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9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bitperu.sharepoint.com/sites/DEMO/Shared Documents/GeneraI/DEMOS/DataPulse/"/>
    </mc:Choice>
  </mc:AlternateContent>
  <xr:revisionPtr revIDLastSave="17981" documentId="13_ncr:1_{07265A00-3973-4D7E-88F9-C9CD866D9381}" xr6:coauthVersionLast="47" xr6:coauthVersionMax="47" xr10:uidLastSave="{1292EB74-CA61-4B46-AC05-FF54AE033CAF}"/>
  <bookViews>
    <workbookView xWindow="-108" yWindow="-16308" windowWidth="29016" windowHeight="16416" tabRatio="807" activeTab="4" xr2:uid="{ED16D5EB-AB4C-4C4F-B04F-AA3397850077}"/>
  </bookViews>
  <sheets>
    <sheet name="Reporte_Bancos" sheetId="15" r:id="rId1"/>
    <sheet name="Clientes_Proveedores" sheetId="2" state="hidden" r:id="rId2"/>
    <sheet name="B_Bcp_Soles" sheetId="24" r:id="rId3"/>
    <sheet name="B_Bcp_Dolares" sheetId="3" r:id="rId4"/>
    <sheet name="B_Interbank_Soles" sheetId="5" r:id="rId5"/>
    <sheet name="B_Bbva_Soles" sheetId="6" r:id="rId6"/>
    <sheet name="B_Banco_Nacion" sheetId="7" r:id="rId7"/>
    <sheet name="C_Arequipa_Soles" sheetId="8" r:id="rId8"/>
    <sheet name="C_Finanzas_Soles" sheetId="9" r:id="rId9"/>
    <sheet name="FE" sheetId="16" r:id="rId10"/>
    <sheet name="Caja_Operativa" sheetId="23" r:id="rId11"/>
    <sheet name="Ruben Bustamante" sheetId="10" r:id="rId12"/>
    <sheet name="Walter A" sheetId="12" r:id="rId13"/>
    <sheet name="Juber Monteza" sheetId="13" r:id="rId14"/>
    <sheet name="Willian León" sheetId="17" r:id="rId15"/>
    <sheet name="Juan Tarifa" sheetId="18" r:id="rId16"/>
    <sheet name="Miguel Solis" sheetId="20" r:id="rId17"/>
    <sheet name="Anthony Huamani" sheetId="21" r:id="rId18"/>
    <sheet name="Nelson Quispe" sheetId="19" r:id="rId19"/>
    <sheet name="Ronald Guizado" sheetId="22" r:id="rId20"/>
  </sheets>
  <externalReferences>
    <externalReference r:id="rId21"/>
    <externalReference r:id="rId22"/>
  </externalReferences>
  <definedNames>
    <definedName name="Cargo_Pago" localSheetId="0">#REF!</definedName>
    <definedName name="DatosExternos_1" localSheetId="1" hidden="1">'Clientes_Proveedores'!$A$1:$E$802</definedName>
    <definedName name="Documentos" localSheetId="17">Tipo_Documento[Tipo de Documento]</definedName>
    <definedName name="Documentos" localSheetId="6">Tipo_Documento[Tipo de Documento]</definedName>
    <definedName name="Documentos" localSheetId="5">Tipo_Documento[Tipo de Documento]</definedName>
    <definedName name="Documentos" localSheetId="3">Tipo_Documento[Tipo de Documento]</definedName>
    <definedName name="Documentos" localSheetId="4">Tipo_Documento[Tipo de Documento]</definedName>
    <definedName name="Documentos" localSheetId="7">Tipo_Documento[Tipo de Documento]</definedName>
    <definedName name="Documentos" localSheetId="8">Tipo_Documento[Tipo de Documento]</definedName>
    <definedName name="Documentos" localSheetId="10">Tipo_Documento[Tipo de Documento]</definedName>
    <definedName name="Documentos" localSheetId="15">Tipo_Documento[Tipo de Documento]</definedName>
    <definedName name="Documentos" localSheetId="13">Tipo_Documento[Tipo de Documento]</definedName>
    <definedName name="Documentos" localSheetId="16">Tipo_Documento[Tipo de Documento]</definedName>
    <definedName name="Documentos" localSheetId="18">Tipo_Documento[Tipo de Documento]</definedName>
    <definedName name="Documentos" localSheetId="19">Tipo_Documento[Tipo de Documento]</definedName>
    <definedName name="Documentos" localSheetId="11">Tipo_Documento[Tipo de Documento]</definedName>
    <definedName name="Documentos" localSheetId="12">Tipo_Documento[Tipo de Documento]</definedName>
    <definedName name="Documentos" localSheetId="14">Tipo_Documento[Tipo de Documento]</definedName>
    <definedName name="Documentos">Tipo_Documento[Tipo de Documento]</definedName>
    <definedName name="ID.Ingreso" localSheetId="0">#REF!</definedName>
    <definedName name="Operaciones_Finanzas" localSheetId="17">Caja_Finanzas[ITEM]</definedName>
    <definedName name="Operaciones_Finanzas" localSheetId="10">Caja_Finanzas[ITEM]</definedName>
    <definedName name="Operaciones_Finanzas" localSheetId="15">Caja_Finanzas[ITEM]</definedName>
    <definedName name="Operaciones_Finanzas" localSheetId="16">Caja_Finanzas[ITEM]</definedName>
    <definedName name="Operaciones_Finanzas" localSheetId="18">Caja_Finanzas[ITEM]</definedName>
    <definedName name="Operaciones_Finanzas" localSheetId="19">Caja_Finanzas[ITEM]</definedName>
    <definedName name="Operaciones_Finanzas" localSheetId="14">Caja_Finanzas[ITEM]</definedName>
    <definedName name="Operaciones_Finanzas">Caja_Finanzas[ITEM]</definedName>
    <definedName name="_xlnm.Print_Area" localSheetId="17">C_Ope_007[]</definedName>
    <definedName name="_xlnm.Print_Area" localSheetId="6">Banco_Nacion[]</definedName>
    <definedName name="_xlnm.Print_Area" localSheetId="5">Bbva_Soles[]</definedName>
    <definedName name="_xlnm.Print_Area" localSheetId="3">BCP_Dolares[]</definedName>
    <definedName name="_xlnm.Print_Area" localSheetId="2">BCP_Soles[]</definedName>
    <definedName name="_xlnm.Print_Area" localSheetId="4">Interbank_Soles[]</definedName>
    <definedName name="_xlnm.Print_Area" localSheetId="7">Caja_Arequipa[]</definedName>
    <definedName name="_xlnm.Print_Area" localSheetId="8">Caja_Finanzas[]</definedName>
    <definedName name="_xlnm.Print_Area" localSheetId="10">Caja_Operativa[]</definedName>
    <definedName name="_xlnm.Print_Area" localSheetId="9">FE!$B$2:$J$42</definedName>
    <definedName name="_xlnm.Print_Area" localSheetId="15">C_Ope_005[]</definedName>
    <definedName name="_xlnm.Print_Area" localSheetId="13">C_Ope_003[]</definedName>
    <definedName name="_xlnm.Print_Area" localSheetId="16">C_Ope_006[]</definedName>
    <definedName name="_xlnm.Print_Area" localSheetId="18">C_Ope_008[]</definedName>
    <definedName name="_xlnm.Print_Area" localSheetId="0">Reporte_Bancos!$B$9:$R$91</definedName>
    <definedName name="_xlnm.Print_Area" localSheetId="19">C_Ope_009[]</definedName>
    <definedName name="_xlnm.Print_Area" localSheetId="11">C_Ope_001[]</definedName>
    <definedName name="_xlnm.Print_Area" localSheetId="12">C_Ope_002[]</definedName>
    <definedName name="_xlnm.Print_Area" localSheetId="14">C_Ope_004[]</definedName>
    <definedName name="_xlnm.Print_Titles" localSheetId="17">'Anthony Huamani'!$2:$4</definedName>
    <definedName name="_xlnm.Print_Titles" localSheetId="6">B_Banco_Nacion!$2:$4</definedName>
    <definedName name="_xlnm.Print_Titles" localSheetId="5">B_Bbva_Soles!$2:$4</definedName>
    <definedName name="_xlnm.Print_Titles" localSheetId="3">B_Bcp_Dolares!$2:$4</definedName>
    <definedName name="_xlnm.Print_Titles" localSheetId="2">B_Bcp_Soles!$2:$4</definedName>
    <definedName name="_xlnm.Print_Titles" localSheetId="4">B_Interbank_Soles!$2:$4</definedName>
    <definedName name="_xlnm.Print_Titles" localSheetId="7">C_Arequipa_Soles!$2:$4</definedName>
    <definedName name="_xlnm.Print_Titles" localSheetId="8">C_Finanzas_Soles!$2:$4</definedName>
    <definedName name="_xlnm.Print_Titles" localSheetId="10">'Caja_Operativa'!$2:$4</definedName>
    <definedName name="_xlnm.Print_Titles" localSheetId="15">'Juan Tarifa'!$2:$4</definedName>
    <definedName name="_xlnm.Print_Titles" localSheetId="13">'Juber Monteza'!$2:$4</definedName>
    <definedName name="_xlnm.Print_Titles" localSheetId="16">'Miguel Solis'!$2:$4</definedName>
    <definedName name="_xlnm.Print_Titles" localSheetId="18">'Nelson Quispe'!$2:$4</definedName>
    <definedName name="_xlnm.Print_Titles" localSheetId="0">Reporte_Bancos!$2:$8</definedName>
    <definedName name="_xlnm.Print_Titles" localSheetId="19">'Ronald Guizado'!$2:$4</definedName>
    <definedName name="_xlnm.Print_Titles" localSheetId="11">'Ruben Bustamante'!$2:$4</definedName>
    <definedName name="_xlnm.Print_Titles" localSheetId="12">'Walter A'!$2:$4</definedName>
    <definedName name="_xlnm.Print_Titles" localSheetId="14">'Willian León'!$2:$4</definedName>
    <definedName name="Proveedores_Clientes" localSheetId="17">Clientes_Proveedores[Razon Social]</definedName>
    <definedName name="Proveedores_Clientes" localSheetId="6">Clientes_Proveedores[Razon Social]</definedName>
    <definedName name="Proveedores_Clientes" localSheetId="5">Clientes_Proveedores[Razon Social]</definedName>
    <definedName name="Proveedores_Clientes" localSheetId="3">Clientes_Proveedores[Razon Social]</definedName>
    <definedName name="Proveedores_Clientes" localSheetId="4">Clientes_Proveedores[Razon Social]</definedName>
    <definedName name="Proveedores_Clientes" localSheetId="7">Clientes_Proveedores[Razon Social]</definedName>
    <definedName name="Proveedores_Clientes" localSheetId="8">Clientes_Proveedores[Razon Social]</definedName>
    <definedName name="Proveedores_Clientes" localSheetId="10">Clientes_Proveedores[Razon Social]</definedName>
    <definedName name="Proveedores_Clientes" localSheetId="15">Clientes_Proveedores[Razon Social]</definedName>
    <definedName name="Proveedores_Clientes" localSheetId="13">Clientes_Proveedores[Razon Social]</definedName>
    <definedName name="Proveedores_Clientes" localSheetId="16">Clientes_Proveedores[Razon Social]</definedName>
    <definedName name="Proveedores_Clientes" localSheetId="18">Clientes_Proveedores[Razon Social]</definedName>
    <definedName name="Proveedores_Clientes" localSheetId="19">Clientes_Proveedores[Razon Social]</definedName>
    <definedName name="Proveedores_Clientes" localSheetId="11">Clientes_Proveedores[Razon Social]</definedName>
    <definedName name="Proveedores_Clientes" localSheetId="12">Clientes_Proveedores[Razon Social]</definedName>
    <definedName name="Proveedores_Clientes" localSheetId="14">Clientes_Proveedores[Razon Social]</definedName>
    <definedName name="Proveedores_Clientes">Clientes_Proveedores[Razon Social]</definedName>
    <definedName name="Registro_Boletas_Venta_Detallado" localSheetId="0">#REF!</definedName>
    <definedName name="Registro_Facturas_Venta_Detallado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8" i="9" l="1"/>
  <c r="N768" i="9" s="1"/>
  <c r="C768" i="9"/>
  <c r="O768" i="9"/>
  <c r="R768" i="9"/>
  <c r="S768" i="9"/>
  <c r="AC768" i="9"/>
  <c r="B3482" i="24"/>
  <c r="C3482" i="24"/>
  <c r="N3482" i="24"/>
  <c r="Q3482" i="24"/>
  <c r="R3482" i="24"/>
  <c r="W3482" i="24"/>
  <c r="AB3482" i="24"/>
  <c r="B3481" i="24" l="1"/>
  <c r="C3481" i="24"/>
  <c r="N3481" i="24"/>
  <c r="Q3481" i="24"/>
  <c r="R3481" i="24"/>
  <c r="W3481" i="24"/>
  <c r="AB3481" i="24"/>
  <c r="B3480" i="24"/>
  <c r="C3480" i="24"/>
  <c r="N3480" i="24"/>
  <c r="Q3480" i="24"/>
  <c r="R3480" i="24"/>
  <c r="W3480" i="24"/>
  <c r="AB3480" i="24"/>
  <c r="B3479" i="24"/>
  <c r="C3479" i="24"/>
  <c r="N3479" i="24"/>
  <c r="Q3479" i="24"/>
  <c r="R3479" i="24"/>
  <c r="W3479" i="24"/>
  <c r="AB3479" i="24"/>
  <c r="B723" i="8" l="1"/>
  <c r="N723" i="8" s="1"/>
  <c r="C723" i="8"/>
  <c r="O723" i="8"/>
  <c r="R723" i="8"/>
  <c r="S723" i="8"/>
  <c r="AC723" i="8"/>
  <c r="B3478" i="24"/>
  <c r="C3478" i="24"/>
  <c r="N3478" i="24"/>
  <c r="Q3478" i="24"/>
  <c r="R3478" i="24"/>
  <c r="W3478" i="24"/>
  <c r="AB3478" i="24"/>
  <c r="B3430" i="24"/>
  <c r="B3431" i="24"/>
  <c r="B3429" i="24"/>
  <c r="C3429" i="24"/>
  <c r="N3429" i="24"/>
  <c r="Q3429" i="24"/>
  <c r="R3429" i="24"/>
  <c r="W3429" i="24"/>
  <c r="AB3429" i="24"/>
  <c r="C3430" i="24"/>
  <c r="N3430" i="24"/>
  <c r="Q3430" i="24"/>
  <c r="R3430" i="24"/>
  <c r="W3430" i="24"/>
  <c r="AB3430" i="24"/>
  <c r="B3477" i="24"/>
  <c r="C3477" i="24"/>
  <c r="N3477" i="24"/>
  <c r="Q3477" i="24"/>
  <c r="R3477" i="24"/>
  <c r="W3477" i="24"/>
  <c r="AB3477" i="24"/>
  <c r="B3471" i="24"/>
  <c r="B3472" i="24"/>
  <c r="B3470" i="24"/>
  <c r="C3470" i="24"/>
  <c r="N3470" i="24"/>
  <c r="Q3470" i="24"/>
  <c r="R3470" i="24"/>
  <c r="W3470" i="24"/>
  <c r="AB3470" i="24"/>
  <c r="C3471" i="24"/>
  <c r="N3471" i="24"/>
  <c r="Q3471" i="24"/>
  <c r="R3471" i="24"/>
  <c r="W3471" i="24"/>
  <c r="AB3471" i="24"/>
  <c r="AB622" i="7" l="1"/>
  <c r="AB623" i="7"/>
  <c r="AB624" i="7"/>
  <c r="AB625" i="7"/>
  <c r="AB626" i="7"/>
  <c r="AB627" i="7"/>
  <c r="AB628" i="7"/>
  <c r="AB629" i="7"/>
  <c r="AB630" i="7"/>
  <c r="AB631" i="7"/>
  <c r="AB632" i="7"/>
  <c r="AB633" i="7"/>
  <c r="AB634" i="7"/>
  <c r="AB635" i="7"/>
  <c r="AB636" i="7"/>
  <c r="AB637" i="7"/>
  <c r="AB638" i="7"/>
  <c r="AB639" i="7"/>
  <c r="AB640" i="7"/>
  <c r="AB641" i="7"/>
  <c r="AB642" i="7"/>
  <c r="AB643" i="7"/>
  <c r="AB644" i="7"/>
  <c r="X622" i="7"/>
  <c r="X623" i="7"/>
  <c r="X624" i="7"/>
  <c r="X625" i="7"/>
  <c r="X626" i="7"/>
  <c r="X627" i="7"/>
  <c r="X628" i="7"/>
  <c r="X629" i="7"/>
  <c r="X630" i="7"/>
  <c r="X631" i="7"/>
  <c r="X632" i="7"/>
  <c r="X633" i="7"/>
  <c r="X634" i="7"/>
  <c r="X635" i="7"/>
  <c r="X636" i="7"/>
  <c r="X637" i="7"/>
  <c r="X638" i="7"/>
  <c r="X639" i="7"/>
  <c r="X640" i="7"/>
  <c r="X641" i="7"/>
  <c r="X642" i="7"/>
  <c r="X643" i="7"/>
  <c r="X644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R622" i="7"/>
  <c r="R623" i="7"/>
  <c r="R624" i="7"/>
  <c r="R625" i="7"/>
  <c r="R626" i="7"/>
  <c r="R627" i="7"/>
  <c r="R628" i="7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Q622" i="7"/>
  <c r="Y622" i="7" s="1"/>
  <c r="Q623" i="7"/>
  <c r="Y623" i="7" s="1"/>
  <c r="Q624" i="7"/>
  <c r="Y624" i="7" s="1"/>
  <c r="Q625" i="7"/>
  <c r="Y625" i="7" s="1"/>
  <c r="Q626" i="7"/>
  <c r="Y626" i="7" s="1"/>
  <c r="Q627" i="7"/>
  <c r="Y627" i="7" s="1"/>
  <c r="Q628" i="7"/>
  <c r="Y628" i="7" s="1"/>
  <c r="Q629" i="7"/>
  <c r="Y629" i="7" s="1"/>
  <c r="Q630" i="7"/>
  <c r="Y630" i="7" s="1"/>
  <c r="Q631" i="7"/>
  <c r="Y631" i="7" s="1"/>
  <c r="Q632" i="7"/>
  <c r="Y632" i="7" s="1"/>
  <c r="Q633" i="7"/>
  <c r="Y633" i="7" s="1"/>
  <c r="Q634" i="7"/>
  <c r="Y634" i="7" s="1"/>
  <c r="Q635" i="7"/>
  <c r="Y635" i="7" s="1"/>
  <c r="Q636" i="7"/>
  <c r="Y636" i="7" s="1"/>
  <c r="Q637" i="7"/>
  <c r="Y637" i="7" s="1"/>
  <c r="Q638" i="7"/>
  <c r="Y638" i="7" s="1"/>
  <c r="Q639" i="7"/>
  <c r="Y639" i="7" s="1"/>
  <c r="Q640" i="7"/>
  <c r="Y640" i="7" s="1"/>
  <c r="Q641" i="7"/>
  <c r="Y641" i="7" s="1"/>
  <c r="Q642" i="7"/>
  <c r="Y642" i="7" s="1"/>
  <c r="Q643" i="7"/>
  <c r="Y643" i="7" s="1"/>
  <c r="Q644" i="7"/>
  <c r="Y644" i="7" s="1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AB645" i="7"/>
  <c r="AB646" i="7"/>
  <c r="AB647" i="7"/>
  <c r="AB648" i="7"/>
  <c r="AB649" i="7"/>
  <c r="AB650" i="7"/>
  <c r="AB651" i="7"/>
  <c r="AB652" i="7"/>
  <c r="AB653" i="7"/>
  <c r="AB654" i="7"/>
  <c r="AB655" i="7"/>
  <c r="AB656" i="7"/>
  <c r="AB657" i="7"/>
  <c r="AB658" i="7"/>
  <c r="AB659" i="7"/>
  <c r="AB660" i="7"/>
  <c r="AB661" i="7"/>
  <c r="AB662" i="7"/>
  <c r="AB663" i="7"/>
  <c r="AB664" i="7"/>
  <c r="AB665" i="7"/>
  <c r="AB666" i="7"/>
  <c r="AB667" i="7"/>
  <c r="X645" i="7"/>
  <c r="X646" i="7"/>
  <c r="X647" i="7"/>
  <c r="X648" i="7"/>
  <c r="X649" i="7"/>
  <c r="X650" i="7"/>
  <c r="X651" i="7"/>
  <c r="X652" i="7"/>
  <c r="X653" i="7"/>
  <c r="X654" i="7"/>
  <c r="X655" i="7"/>
  <c r="X656" i="7"/>
  <c r="X657" i="7"/>
  <c r="X658" i="7"/>
  <c r="X659" i="7"/>
  <c r="X660" i="7"/>
  <c r="X661" i="7"/>
  <c r="X662" i="7"/>
  <c r="X663" i="7"/>
  <c r="X664" i="7"/>
  <c r="X665" i="7"/>
  <c r="X666" i="7"/>
  <c r="X667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R645" i="7"/>
  <c r="R646" i="7"/>
  <c r="R647" i="7"/>
  <c r="R648" i="7"/>
  <c r="R649" i="7"/>
  <c r="R650" i="7"/>
  <c r="R651" i="7"/>
  <c r="R652" i="7"/>
  <c r="R653" i="7"/>
  <c r="R654" i="7"/>
  <c r="R655" i="7"/>
  <c r="R656" i="7"/>
  <c r="R657" i="7"/>
  <c r="R658" i="7"/>
  <c r="R659" i="7"/>
  <c r="R660" i="7"/>
  <c r="R661" i="7"/>
  <c r="R662" i="7"/>
  <c r="R663" i="7"/>
  <c r="R664" i="7"/>
  <c r="R665" i="7"/>
  <c r="R666" i="7"/>
  <c r="R667" i="7"/>
  <c r="Q645" i="7"/>
  <c r="Y645" i="7" s="1"/>
  <c r="Q646" i="7"/>
  <c r="Y646" i="7" s="1"/>
  <c r="Q647" i="7"/>
  <c r="Y647" i="7" s="1"/>
  <c r="Q648" i="7"/>
  <c r="Y648" i="7" s="1"/>
  <c r="Q649" i="7"/>
  <c r="Y649" i="7" s="1"/>
  <c r="Q650" i="7"/>
  <c r="Y650" i="7" s="1"/>
  <c r="Q651" i="7"/>
  <c r="Y651" i="7" s="1"/>
  <c r="Q652" i="7"/>
  <c r="Y652" i="7" s="1"/>
  <c r="Q653" i="7"/>
  <c r="Y653" i="7" s="1"/>
  <c r="Q654" i="7"/>
  <c r="Y654" i="7" s="1"/>
  <c r="Q655" i="7"/>
  <c r="Y655" i="7" s="1"/>
  <c r="Q656" i="7"/>
  <c r="Y656" i="7" s="1"/>
  <c r="Q657" i="7"/>
  <c r="Y657" i="7" s="1"/>
  <c r="Q658" i="7"/>
  <c r="Y658" i="7" s="1"/>
  <c r="Q659" i="7"/>
  <c r="Y659" i="7" s="1"/>
  <c r="Q660" i="7"/>
  <c r="Y660" i="7" s="1"/>
  <c r="Q661" i="7"/>
  <c r="Y661" i="7" s="1"/>
  <c r="Q662" i="7"/>
  <c r="Y662" i="7" s="1"/>
  <c r="Q663" i="7"/>
  <c r="Y663" i="7" s="1"/>
  <c r="Q664" i="7"/>
  <c r="Y664" i="7" s="1"/>
  <c r="Q665" i="7"/>
  <c r="Y665" i="7" s="1"/>
  <c r="Q666" i="7"/>
  <c r="Y666" i="7" s="1"/>
  <c r="Q667" i="7"/>
  <c r="Y667" i="7" s="1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AB668" i="7"/>
  <c r="AB669" i="7"/>
  <c r="AB670" i="7"/>
  <c r="AB671" i="7"/>
  <c r="AB672" i="7"/>
  <c r="AB673" i="7"/>
  <c r="AB674" i="7"/>
  <c r="AB675" i="7"/>
  <c r="AB676" i="7"/>
  <c r="AB677" i="7"/>
  <c r="AB678" i="7"/>
  <c r="AB679" i="7"/>
  <c r="AB680" i="7"/>
  <c r="AB681" i="7"/>
  <c r="AB682" i="7"/>
  <c r="AB683" i="7"/>
  <c r="AB684" i="7"/>
  <c r="AB685" i="7"/>
  <c r="AB686" i="7"/>
  <c r="AB687" i="7"/>
  <c r="AB688" i="7"/>
  <c r="AB689" i="7"/>
  <c r="AB690" i="7"/>
  <c r="X668" i="7"/>
  <c r="X669" i="7"/>
  <c r="X670" i="7"/>
  <c r="X671" i="7"/>
  <c r="X672" i="7"/>
  <c r="X673" i="7"/>
  <c r="X674" i="7"/>
  <c r="X675" i="7"/>
  <c r="X676" i="7"/>
  <c r="X677" i="7"/>
  <c r="X678" i="7"/>
  <c r="X679" i="7"/>
  <c r="X680" i="7"/>
  <c r="X681" i="7"/>
  <c r="X682" i="7"/>
  <c r="X683" i="7"/>
  <c r="X684" i="7"/>
  <c r="X685" i="7"/>
  <c r="X686" i="7"/>
  <c r="X687" i="7"/>
  <c r="X688" i="7"/>
  <c r="X689" i="7"/>
  <c r="X690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R668" i="7"/>
  <c r="R669" i="7"/>
  <c r="R670" i="7"/>
  <c r="R671" i="7"/>
  <c r="R672" i="7"/>
  <c r="R673" i="7"/>
  <c r="R674" i="7"/>
  <c r="R675" i="7"/>
  <c r="R676" i="7"/>
  <c r="R677" i="7"/>
  <c r="R678" i="7"/>
  <c r="R679" i="7"/>
  <c r="R680" i="7"/>
  <c r="R681" i="7"/>
  <c r="R682" i="7"/>
  <c r="R683" i="7"/>
  <c r="R684" i="7"/>
  <c r="R685" i="7"/>
  <c r="R686" i="7"/>
  <c r="R687" i="7"/>
  <c r="R688" i="7"/>
  <c r="R689" i="7"/>
  <c r="R690" i="7"/>
  <c r="Q668" i="7"/>
  <c r="Y668" i="7" s="1"/>
  <c r="Q669" i="7"/>
  <c r="Y669" i="7" s="1"/>
  <c r="Q670" i="7"/>
  <c r="Y670" i="7" s="1"/>
  <c r="Q671" i="7"/>
  <c r="Y671" i="7" s="1"/>
  <c r="Q672" i="7"/>
  <c r="Y672" i="7" s="1"/>
  <c r="Q673" i="7"/>
  <c r="Y673" i="7" s="1"/>
  <c r="Q674" i="7"/>
  <c r="Y674" i="7" s="1"/>
  <c r="Q675" i="7"/>
  <c r="Y675" i="7" s="1"/>
  <c r="Q676" i="7"/>
  <c r="Y676" i="7" s="1"/>
  <c r="Q677" i="7"/>
  <c r="Y677" i="7" s="1"/>
  <c r="Q678" i="7"/>
  <c r="Y678" i="7" s="1"/>
  <c r="Q679" i="7"/>
  <c r="Y679" i="7" s="1"/>
  <c r="Q680" i="7"/>
  <c r="Y680" i="7" s="1"/>
  <c r="Q681" i="7"/>
  <c r="Y681" i="7" s="1"/>
  <c r="Q682" i="7"/>
  <c r="Y682" i="7" s="1"/>
  <c r="Q683" i="7"/>
  <c r="Y683" i="7" s="1"/>
  <c r="Q684" i="7"/>
  <c r="Y684" i="7" s="1"/>
  <c r="Q685" i="7"/>
  <c r="Y685" i="7" s="1"/>
  <c r="Q686" i="7"/>
  <c r="Y686" i="7" s="1"/>
  <c r="Q687" i="7"/>
  <c r="Y687" i="7" s="1"/>
  <c r="Q688" i="7"/>
  <c r="Y688" i="7" s="1"/>
  <c r="Q689" i="7"/>
  <c r="Y689" i="7" s="1"/>
  <c r="Q690" i="7"/>
  <c r="Y690" i="7" s="1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AB691" i="7"/>
  <c r="AB692" i="7"/>
  <c r="AB693" i="7"/>
  <c r="AB694" i="7"/>
  <c r="AB695" i="7"/>
  <c r="AB696" i="7"/>
  <c r="AB697" i="7"/>
  <c r="AB698" i="7"/>
  <c r="AB699" i="7"/>
  <c r="AB700" i="7"/>
  <c r="AB701" i="7"/>
  <c r="AB702" i="7"/>
  <c r="AB703" i="7"/>
  <c r="AB704" i="7"/>
  <c r="AB705" i="7"/>
  <c r="AB706" i="7"/>
  <c r="AB707" i="7"/>
  <c r="AB708" i="7"/>
  <c r="AB709" i="7"/>
  <c r="AB710" i="7"/>
  <c r="AB711" i="7"/>
  <c r="AB712" i="7"/>
  <c r="AB713" i="7"/>
  <c r="X691" i="7"/>
  <c r="X692" i="7"/>
  <c r="X693" i="7"/>
  <c r="X694" i="7"/>
  <c r="X695" i="7"/>
  <c r="X696" i="7"/>
  <c r="X697" i="7"/>
  <c r="X698" i="7"/>
  <c r="X699" i="7"/>
  <c r="X700" i="7"/>
  <c r="X701" i="7"/>
  <c r="X702" i="7"/>
  <c r="X703" i="7"/>
  <c r="X704" i="7"/>
  <c r="X705" i="7"/>
  <c r="X706" i="7"/>
  <c r="X707" i="7"/>
  <c r="X708" i="7"/>
  <c r="X709" i="7"/>
  <c r="X710" i="7"/>
  <c r="X711" i="7"/>
  <c r="X712" i="7"/>
  <c r="X713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R691" i="7"/>
  <c r="R692" i="7"/>
  <c r="R693" i="7"/>
  <c r="R694" i="7"/>
  <c r="R695" i="7"/>
  <c r="R696" i="7"/>
  <c r="R697" i="7"/>
  <c r="R698" i="7"/>
  <c r="R699" i="7"/>
  <c r="R700" i="7"/>
  <c r="R701" i="7"/>
  <c r="R702" i="7"/>
  <c r="R703" i="7"/>
  <c r="R704" i="7"/>
  <c r="R705" i="7"/>
  <c r="R706" i="7"/>
  <c r="R707" i="7"/>
  <c r="R708" i="7"/>
  <c r="R709" i="7"/>
  <c r="R710" i="7"/>
  <c r="R711" i="7"/>
  <c r="R712" i="7"/>
  <c r="R713" i="7"/>
  <c r="Q691" i="7"/>
  <c r="Y691" i="7" s="1"/>
  <c r="Q692" i="7"/>
  <c r="Y692" i="7" s="1"/>
  <c r="Q693" i="7"/>
  <c r="Y693" i="7" s="1"/>
  <c r="Q694" i="7"/>
  <c r="Y694" i="7" s="1"/>
  <c r="Q695" i="7"/>
  <c r="Y695" i="7" s="1"/>
  <c r="Q696" i="7"/>
  <c r="Y696" i="7" s="1"/>
  <c r="Q697" i="7"/>
  <c r="Y697" i="7" s="1"/>
  <c r="Q698" i="7"/>
  <c r="Y698" i="7" s="1"/>
  <c r="Q699" i="7"/>
  <c r="Y699" i="7" s="1"/>
  <c r="Q700" i="7"/>
  <c r="Y700" i="7" s="1"/>
  <c r="Q701" i="7"/>
  <c r="Y701" i="7" s="1"/>
  <c r="Q702" i="7"/>
  <c r="Y702" i="7" s="1"/>
  <c r="Q703" i="7"/>
  <c r="Y703" i="7" s="1"/>
  <c r="Q704" i="7"/>
  <c r="Y704" i="7" s="1"/>
  <c r="Q705" i="7"/>
  <c r="Y705" i="7" s="1"/>
  <c r="Q706" i="7"/>
  <c r="Y706" i="7" s="1"/>
  <c r="Q707" i="7"/>
  <c r="Y707" i="7" s="1"/>
  <c r="Q708" i="7"/>
  <c r="Y708" i="7" s="1"/>
  <c r="Q709" i="7"/>
  <c r="Y709" i="7" s="1"/>
  <c r="Q710" i="7"/>
  <c r="Y710" i="7" s="1"/>
  <c r="Q711" i="7"/>
  <c r="Y711" i="7" s="1"/>
  <c r="Q712" i="7"/>
  <c r="Y712" i="7" s="1"/>
  <c r="Q713" i="7"/>
  <c r="Y713" i="7" s="1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AB614" i="7"/>
  <c r="AB615" i="7"/>
  <c r="AB616" i="7"/>
  <c r="AB617" i="7"/>
  <c r="AB618" i="7"/>
  <c r="AB619" i="7"/>
  <c r="AB620" i="7"/>
  <c r="AB621" i="7"/>
  <c r="AB714" i="7"/>
  <c r="AB715" i="7"/>
  <c r="AB716" i="7"/>
  <c r="AB717" i="7"/>
  <c r="AB718" i="7"/>
  <c r="AB719" i="7"/>
  <c r="AB720" i="7"/>
  <c r="AB721" i="7"/>
  <c r="AB722" i="7"/>
  <c r="AB723" i="7"/>
  <c r="AB724" i="7"/>
  <c r="X614" i="7"/>
  <c r="X615" i="7"/>
  <c r="X616" i="7"/>
  <c r="X617" i="7"/>
  <c r="X618" i="7"/>
  <c r="X619" i="7"/>
  <c r="X620" i="7"/>
  <c r="X621" i="7"/>
  <c r="X714" i="7"/>
  <c r="X715" i="7"/>
  <c r="X716" i="7"/>
  <c r="X717" i="7"/>
  <c r="X718" i="7"/>
  <c r="X719" i="7"/>
  <c r="X720" i="7"/>
  <c r="X721" i="7"/>
  <c r="X722" i="7"/>
  <c r="X723" i="7"/>
  <c r="X724" i="7"/>
  <c r="W614" i="7"/>
  <c r="W615" i="7"/>
  <c r="W616" i="7"/>
  <c r="W617" i="7"/>
  <c r="W618" i="7"/>
  <c r="W619" i="7"/>
  <c r="W620" i="7"/>
  <c r="W621" i="7"/>
  <c r="W714" i="7"/>
  <c r="W715" i="7"/>
  <c r="W716" i="7"/>
  <c r="W717" i="7"/>
  <c r="W718" i="7"/>
  <c r="W719" i="7"/>
  <c r="W720" i="7"/>
  <c r="W721" i="7"/>
  <c r="W722" i="7"/>
  <c r="W723" i="7"/>
  <c r="W724" i="7"/>
  <c r="R614" i="7"/>
  <c r="R615" i="7"/>
  <c r="R616" i="7"/>
  <c r="R617" i="7"/>
  <c r="R618" i="7"/>
  <c r="R619" i="7"/>
  <c r="R620" i="7"/>
  <c r="R621" i="7"/>
  <c r="R714" i="7"/>
  <c r="R715" i="7"/>
  <c r="R716" i="7"/>
  <c r="R717" i="7"/>
  <c r="R718" i="7"/>
  <c r="R719" i="7"/>
  <c r="R720" i="7"/>
  <c r="R721" i="7"/>
  <c r="R722" i="7"/>
  <c r="R723" i="7"/>
  <c r="R724" i="7"/>
  <c r="Q614" i="7"/>
  <c r="Y614" i="7" s="1"/>
  <c r="Q615" i="7"/>
  <c r="Y615" i="7" s="1"/>
  <c r="Q616" i="7"/>
  <c r="Y616" i="7" s="1"/>
  <c r="Q617" i="7"/>
  <c r="Y617" i="7" s="1"/>
  <c r="Q618" i="7"/>
  <c r="Y618" i="7" s="1"/>
  <c r="Q619" i="7"/>
  <c r="Y619" i="7" s="1"/>
  <c r="Q620" i="7"/>
  <c r="Y620" i="7" s="1"/>
  <c r="Q621" i="7"/>
  <c r="Y621" i="7" s="1"/>
  <c r="Q714" i="7"/>
  <c r="Y714" i="7" s="1"/>
  <c r="Q715" i="7"/>
  <c r="Y715" i="7" s="1"/>
  <c r="Q716" i="7"/>
  <c r="Y716" i="7" s="1"/>
  <c r="Q717" i="7"/>
  <c r="Y717" i="7" s="1"/>
  <c r="Q718" i="7"/>
  <c r="Y718" i="7" s="1"/>
  <c r="Q719" i="7"/>
  <c r="Y719" i="7" s="1"/>
  <c r="Q720" i="7"/>
  <c r="Y720" i="7" s="1"/>
  <c r="Q721" i="7"/>
  <c r="Y721" i="7" s="1"/>
  <c r="Q722" i="7"/>
  <c r="Y722" i="7" s="1"/>
  <c r="Q723" i="7"/>
  <c r="Y723" i="7" s="1"/>
  <c r="Q724" i="7"/>
  <c r="Y724" i="7" s="1"/>
  <c r="N614" i="7"/>
  <c r="N615" i="7"/>
  <c r="N616" i="7"/>
  <c r="N617" i="7"/>
  <c r="N618" i="7"/>
  <c r="N619" i="7"/>
  <c r="N620" i="7"/>
  <c r="N621" i="7"/>
  <c r="N714" i="7"/>
  <c r="N715" i="7"/>
  <c r="N716" i="7"/>
  <c r="N717" i="7"/>
  <c r="N718" i="7"/>
  <c r="N719" i="7"/>
  <c r="N720" i="7"/>
  <c r="N721" i="7"/>
  <c r="N722" i="7"/>
  <c r="N723" i="7"/>
  <c r="N724" i="7"/>
  <c r="C614" i="7"/>
  <c r="C615" i="7"/>
  <c r="C616" i="7"/>
  <c r="C617" i="7"/>
  <c r="C618" i="7"/>
  <c r="C619" i="7"/>
  <c r="C620" i="7"/>
  <c r="C621" i="7"/>
  <c r="C714" i="7"/>
  <c r="C715" i="7"/>
  <c r="C716" i="7"/>
  <c r="C717" i="7"/>
  <c r="C718" i="7"/>
  <c r="C719" i="7"/>
  <c r="C720" i="7"/>
  <c r="C721" i="7"/>
  <c r="C722" i="7"/>
  <c r="C723" i="7"/>
  <c r="C724" i="7"/>
  <c r="B614" i="7"/>
  <c r="B615" i="7"/>
  <c r="B616" i="7"/>
  <c r="B617" i="7"/>
  <c r="B618" i="7"/>
  <c r="B619" i="7"/>
  <c r="B620" i="7"/>
  <c r="B621" i="7"/>
  <c r="B714" i="7"/>
  <c r="B715" i="7"/>
  <c r="B716" i="7"/>
  <c r="B717" i="7"/>
  <c r="B718" i="7"/>
  <c r="B719" i="7"/>
  <c r="B720" i="7"/>
  <c r="B721" i="7"/>
  <c r="B722" i="7"/>
  <c r="B723" i="7"/>
  <c r="B724" i="7"/>
  <c r="J733" i="7"/>
  <c r="K732" i="7"/>
  <c r="M732" i="7" s="1"/>
  <c r="K731" i="7"/>
  <c r="K730" i="7"/>
  <c r="M730" i="7" s="1"/>
  <c r="AB592" i="7"/>
  <c r="AB593" i="7"/>
  <c r="AB594" i="7"/>
  <c r="AB595" i="7"/>
  <c r="AB596" i="7"/>
  <c r="AB597" i="7"/>
  <c r="AB598" i="7"/>
  <c r="AB599" i="7"/>
  <c r="AB600" i="7"/>
  <c r="AB601" i="7"/>
  <c r="AB602" i="7"/>
  <c r="AB603" i="7"/>
  <c r="AB604" i="7"/>
  <c r="AB605" i="7"/>
  <c r="AB606" i="7"/>
  <c r="AB607" i="7"/>
  <c r="AB608" i="7"/>
  <c r="AB609" i="7"/>
  <c r="AB610" i="7"/>
  <c r="AB611" i="7"/>
  <c r="AB612" i="7"/>
  <c r="AB613" i="7"/>
  <c r="AB725" i="7"/>
  <c r="X592" i="7"/>
  <c r="X593" i="7"/>
  <c r="X594" i="7"/>
  <c r="X595" i="7"/>
  <c r="X596" i="7"/>
  <c r="X597" i="7"/>
  <c r="X598" i="7"/>
  <c r="X599" i="7"/>
  <c r="X600" i="7"/>
  <c r="X601" i="7"/>
  <c r="X602" i="7"/>
  <c r="X603" i="7"/>
  <c r="X604" i="7"/>
  <c r="X605" i="7"/>
  <c r="X606" i="7"/>
  <c r="X607" i="7"/>
  <c r="X608" i="7"/>
  <c r="X609" i="7"/>
  <c r="X610" i="7"/>
  <c r="X611" i="7"/>
  <c r="X612" i="7"/>
  <c r="X613" i="7"/>
  <c r="X725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725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725" i="7"/>
  <c r="Q592" i="7"/>
  <c r="Y592" i="7" s="1"/>
  <c r="Q593" i="7"/>
  <c r="Y593" i="7" s="1"/>
  <c r="Q594" i="7"/>
  <c r="Y594" i="7" s="1"/>
  <c r="Q595" i="7"/>
  <c r="Y595" i="7" s="1"/>
  <c r="Q596" i="7"/>
  <c r="Y596" i="7" s="1"/>
  <c r="Q597" i="7"/>
  <c r="Y597" i="7" s="1"/>
  <c r="Q598" i="7"/>
  <c r="Y598" i="7" s="1"/>
  <c r="Q599" i="7"/>
  <c r="Y599" i="7" s="1"/>
  <c r="Q600" i="7"/>
  <c r="Y600" i="7" s="1"/>
  <c r="Q601" i="7"/>
  <c r="Y601" i="7" s="1"/>
  <c r="Q602" i="7"/>
  <c r="Y602" i="7" s="1"/>
  <c r="Q603" i="7"/>
  <c r="Y603" i="7" s="1"/>
  <c r="Q604" i="7"/>
  <c r="Y604" i="7" s="1"/>
  <c r="Q605" i="7"/>
  <c r="Y605" i="7" s="1"/>
  <c r="Q606" i="7"/>
  <c r="Y606" i="7" s="1"/>
  <c r="Q607" i="7"/>
  <c r="Y607" i="7" s="1"/>
  <c r="Q608" i="7"/>
  <c r="Y608" i="7" s="1"/>
  <c r="Q609" i="7"/>
  <c r="Y609" i="7" s="1"/>
  <c r="Q610" i="7"/>
  <c r="Y610" i="7" s="1"/>
  <c r="Q611" i="7"/>
  <c r="Y611" i="7" s="1"/>
  <c r="Q612" i="7"/>
  <c r="Y612" i="7" s="1"/>
  <c r="Q613" i="7"/>
  <c r="Y613" i="7" s="1"/>
  <c r="Q725" i="7"/>
  <c r="Y725" i="7" s="1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725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725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725" i="7"/>
  <c r="K733" i="7" l="1"/>
  <c r="M731" i="7"/>
  <c r="M733" i="7" s="1"/>
  <c r="B3476" i="24" l="1"/>
  <c r="C3476" i="24"/>
  <c r="N3476" i="24"/>
  <c r="Q3476" i="24"/>
  <c r="R3476" i="24"/>
  <c r="W3476" i="24"/>
  <c r="AB3476" i="24"/>
  <c r="B722" i="8"/>
  <c r="N722" i="8" s="1"/>
  <c r="C722" i="8"/>
  <c r="O722" i="8"/>
  <c r="R722" i="8"/>
  <c r="S722" i="8"/>
  <c r="AC722" i="8"/>
  <c r="B3475" i="24" l="1"/>
  <c r="C3475" i="24"/>
  <c r="N3475" i="24"/>
  <c r="Q3475" i="24"/>
  <c r="R3475" i="24"/>
  <c r="W3475" i="24"/>
  <c r="AB3475" i="24"/>
  <c r="B3474" i="24"/>
  <c r="C3474" i="24"/>
  <c r="N3474" i="24"/>
  <c r="Q3474" i="24"/>
  <c r="R3474" i="24"/>
  <c r="W3474" i="24"/>
  <c r="AB3474" i="24"/>
  <c r="B3439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58" i="24"/>
  <c r="B59" i="24"/>
  <c r="B60" i="24"/>
  <c r="B61" i="24"/>
  <c r="B62" i="24"/>
  <c r="B63" i="24"/>
  <c r="B64" i="24"/>
  <c r="B65" i="24"/>
  <c r="B66" i="24"/>
  <c r="B67" i="24"/>
  <c r="B68" i="24"/>
  <c r="B69" i="24"/>
  <c r="B70" i="24"/>
  <c r="B71" i="24"/>
  <c r="B72" i="24"/>
  <c r="B73" i="24"/>
  <c r="B74" i="24"/>
  <c r="B75" i="24"/>
  <c r="B76" i="24"/>
  <c r="B77" i="24"/>
  <c r="B78" i="24"/>
  <c r="B79" i="24"/>
  <c r="B80" i="24"/>
  <c r="B81" i="24"/>
  <c r="B82" i="24"/>
  <c r="B83" i="24"/>
  <c r="B84" i="24"/>
  <c r="B85" i="24"/>
  <c r="B86" i="24"/>
  <c r="B87" i="24"/>
  <c r="B88" i="24"/>
  <c r="B89" i="24"/>
  <c r="B90" i="24"/>
  <c r="B91" i="24"/>
  <c r="B92" i="24"/>
  <c r="B93" i="24"/>
  <c r="B94" i="24"/>
  <c r="B95" i="24"/>
  <c r="B96" i="24"/>
  <c r="B97" i="24"/>
  <c r="B98" i="24"/>
  <c r="B99" i="24"/>
  <c r="B100" i="24"/>
  <c r="B101" i="24"/>
  <c r="B102" i="24"/>
  <c r="B103" i="24"/>
  <c r="B104" i="24"/>
  <c r="B105" i="24"/>
  <c r="B106" i="24"/>
  <c r="B107" i="24"/>
  <c r="B108" i="24"/>
  <c r="B109" i="24"/>
  <c r="B110" i="24"/>
  <c r="B111" i="24"/>
  <c r="B112" i="24"/>
  <c r="B113" i="24"/>
  <c r="B114" i="24"/>
  <c r="B115" i="24"/>
  <c r="B116" i="24"/>
  <c r="B117" i="24"/>
  <c r="B118" i="24"/>
  <c r="B119" i="24"/>
  <c r="B120" i="24"/>
  <c r="B121" i="24"/>
  <c r="B122" i="24"/>
  <c r="B123" i="24"/>
  <c r="B124" i="24"/>
  <c r="B125" i="24"/>
  <c r="B126" i="24"/>
  <c r="B127" i="24"/>
  <c r="B128" i="24"/>
  <c r="B129" i="24"/>
  <c r="B130" i="24"/>
  <c r="B131" i="24"/>
  <c r="B132" i="24"/>
  <c r="B133" i="24"/>
  <c r="B134" i="24"/>
  <c r="B135" i="24"/>
  <c r="B136" i="24"/>
  <c r="B137" i="24"/>
  <c r="B138" i="24"/>
  <c r="B139" i="24"/>
  <c r="B140" i="24"/>
  <c r="B141" i="24"/>
  <c r="B142" i="24"/>
  <c r="B143" i="24"/>
  <c r="B144" i="24"/>
  <c r="B145" i="24"/>
  <c r="B146" i="24"/>
  <c r="B147" i="24"/>
  <c r="B148" i="24"/>
  <c r="B149" i="24"/>
  <c r="B150" i="24"/>
  <c r="B151" i="24"/>
  <c r="B152" i="24"/>
  <c r="B153" i="24"/>
  <c r="B154" i="24"/>
  <c r="B155" i="24"/>
  <c r="B156" i="24"/>
  <c r="B157" i="24"/>
  <c r="B158" i="24"/>
  <c r="B159" i="24"/>
  <c r="B160" i="24"/>
  <c r="B161" i="24"/>
  <c r="B162" i="24"/>
  <c r="B163" i="24"/>
  <c r="B164" i="24"/>
  <c r="B165" i="24"/>
  <c r="B166" i="24"/>
  <c r="B167" i="24"/>
  <c r="B168" i="24"/>
  <c r="B169" i="24"/>
  <c r="B170" i="24"/>
  <c r="B171" i="24"/>
  <c r="B172" i="24"/>
  <c r="B173" i="24"/>
  <c r="B174" i="24"/>
  <c r="B175" i="24"/>
  <c r="B176" i="24"/>
  <c r="B177" i="24"/>
  <c r="B178" i="24"/>
  <c r="B179" i="24"/>
  <c r="B180" i="24"/>
  <c r="B181" i="24"/>
  <c r="B182" i="24"/>
  <c r="B183" i="24"/>
  <c r="B184" i="24"/>
  <c r="B185" i="24"/>
  <c r="B186" i="24"/>
  <c r="B187" i="24"/>
  <c r="B188" i="24"/>
  <c r="B189" i="24"/>
  <c r="B190" i="24"/>
  <c r="B191" i="24"/>
  <c r="B192" i="24"/>
  <c r="B193" i="24"/>
  <c r="B194" i="24"/>
  <c r="B195" i="24"/>
  <c r="B196" i="24"/>
  <c r="B197" i="24"/>
  <c r="B198" i="24"/>
  <c r="B199" i="24"/>
  <c r="B200" i="24"/>
  <c r="B201" i="24"/>
  <c r="B202" i="24"/>
  <c r="B203" i="24"/>
  <c r="B204" i="24"/>
  <c r="B205" i="24"/>
  <c r="B206" i="24"/>
  <c r="B207" i="24"/>
  <c r="B208" i="24"/>
  <c r="B209" i="24"/>
  <c r="B210" i="24"/>
  <c r="B211" i="24"/>
  <c r="B212" i="24"/>
  <c r="B213" i="24"/>
  <c r="B214" i="24"/>
  <c r="B215" i="24"/>
  <c r="B216" i="24"/>
  <c r="B217" i="24"/>
  <c r="B218" i="24"/>
  <c r="B219" i="24"/>
  <c r="B220" i="24"/>
  <c r="B221" i="24"/>
  <c r="B222" i="24"/>
  <c r="B223" i="24"/>
  <c r="B224" i="24"/>
  <c r="B225" i="24"/>
  <c r="B226" i="24"/>
  <c r="B227" i="24"/>
  <c r="B228" i="24"/>
  <c r="B229" i="24"/>
  <c r="B230" i="24"/>
  <c r="B231" i="24"/>
  <c r="B232" i="24"/>
  <c r="B233" i="24"/>
  <c r="B234" i="24"/>
  <c r="B235" i="24"/>
  <c r="B236" i="24"/>
  <c r="B237" i="24"/>
  <c r="B238" i="24"/>
  <c r="B239" i="24"/>
  <c r="B240" i="24"/>
  <c r="B241" i="24"/>
  <c r="B242" i="24"/>
  <c r="B243" i="24"/>
  <c r="B244" i="24"/>
  <c r="B245" i="24"/>
  <c r="B246" i="24"/>
  <c r="B247" i="24"/>
  <c r="B248" i="24"/>
  <c r="B249" i="24"/>
  <c r="B250" i="24"/>
  <c r="B251" i="24"/>
  <c r="B252" i="24"/>
  <c r="B253" i="24"/>
  <c r="B254" i="24"/>
  <c r="B255" i="24"/>
  <c r="B256" i="24"/>
  <c r="B257" i="24"/>
  <c r="B258" i="24"/>
  <c r="B259" i="24"/>
  <c r="B260" i="24"/>
  <c r="B261" i="24"/>
  <c r="B262" i="24"/>
  <c r="B263" i="24"/>
  <c r="B264" i="24"/>
  <c r="B265" i="24"/>
  <c r="B266" i="24"/>
  <c r="B267" i="24"/>
  <c r="B268" i="24"/>
  <c r="B269" i="24"/>
  <c r="B270" i="24"/>
  <c r="B271" i="24"/>
  <c r="B272" i="24"/>
  <c r="B273" i="24"/>
  <c r="B274" i="24"/>
  <c r="B275" i="24"/>
  <c r="B276" i="24"/>
  <c r="B277" i="24"/>
  <c r="B278" i="24"/>
  <c r="B279" i="24"/>
  <c r="B280" i="24"/>
  <c r="B281" i="24"/>
  <c r="B282" i="24"/>
  <c r="B283" i="24"/>
  <c r="B284" i="24"/>
  <c r="B285" i="24"/>
  <c r="B286" i="24"/>
  <c r="B287" i="24"/>
  <c r="B288" i="24"/>
  <c r="B289" i="24"/>
  <c r="B290" i="24"/>
  <c r="B291" i="24"/>
  <c r="B292" i="24"/>
  <c r="B293" i="24"/>
  <c r="B294" i="24"/>
  <c r="B295" i="24"/>
  <c r="B296" i="24"/>
  <c r="B297" i="24"/>
  <c r="B298" i="24"/>
  <c r="B299" i="24"/>
  <c r="B300" i="24"/>
  <c r="B301" i="24"/>
  <c r="B302" i="24"/>
  <c r="B303" i="24"/>
  <c r="B304" i="24"/>
  <c r="B305" i="24"/>
  <c r="B306" i="24"/>
  <c r="B307" i="24"/>
  <c r="B308" i="24"/>
  <c r="B309" i="24"/>
  <c r="B310" i="24"/>
  <c r="B311" i="24"/>
  <c r="B312" i="24"/>
  <c r="B313" i="24"/>
  <c r="B314" i="24"/>
  <c r="B315" i="24"/>
  <c r="B316" i="24"/>
  <c r="B317" i="24"/>
  <c r="B318" i="24"/>
  <c r="B319" i="24"/>
  <c r="B320" i="24"/>
  <c r="B321" i="24"/>
  <c r="B322" i="24"/>
  <c r="B323" i="24"/>
  <c r="B324" i="24"/>
  <c r="B325" i="24"/>
  <c r="B326" i="24"/>
  <c r="B327" i="24"/>
  <c r="B328" i="24"/>
  <c r="B329" i="24"/>
  <c r="B330" i="24"/>
  <c r="B331" i="24"/>
  <c r="B332" i="24"/>
  <c r="B333" i="24"/>
  <c r="B334" i="24"/>
  <c r="B335" i="24"/>
  <c r="B336" i="24"/>
  <c r="B337" i="24"/>
  <c r="B338" i="24"/>
  <c r="B339" i="24"/>
  <c r="B340" i="24"/>
  <c r="B341" i="24"/>
  <c r="B342" i="24"/>
  <c r="B343" i="24"/>
  <c r="B344" i="24"/>
  <c r="B345" i="24"/>
  <c r="B346" i="24"/>
  <c r="B347" i="24"/>
  <c r="B348" i="24"/>
  <c r="B349" i="24"/>
  <c r="B350" i="24"/>
  <c r="B351" i="24"/>
  <c r="B352" i="24"/>
  <c r="B353" i="24"/>
  <c r="B354" i="24"/>
  <c r="B355" i="24"/>
  <c r="B356" i="24"/>
  <c r="B357" i="24"/>
  <c r="B358" i="24"/>
  <c r="B359" i="24"/>
  <c r="B360" i="24"/>
  <c r="B361" i="24"/>
  <c r="B362" i="24"/>
  <c r="B363" i="24"/>
  <c r="B364" i="24"/>
  <c r="B365" i="24"/>
  <c r="B366" i="24"/>
  <c r="B367" i="24"/>
  <c r="B368" i="24"/>
  <c r="B369" i="24"/>
  <c r="B370" i="24"/>
  <c r="B371" i="24"/>
  <c r="B372" i="24"/>
  <c r="B373" i="24"/>
  <c r="B374" i="24"/>
  <c r="B375" i="24"/>
  <c r="B376" i="24"/>
  <c r="B377" i="24"/>
  <c r="B378" i="24"/>
  <c r="B379" i="24"/>
  <c r="B380" i="24"/>
  <c r="B381" i="24"/>
  <c r="B382" i="24"/>
  <c r="B383" i="24"/>
  <c r="B384" i="24"/>
  <c r="B385" i="24"/>
  <c r="B386" i="24"/>
  <c r="B387" i="24"/>
  <c r="B388" i="24"/>
  <c r="B389" i="24"/>
  <c r="B390" i="24"/>
  <c r="B391" i="24"/>
  <c r="B392" i="24"/>
  <c r="B393" i="24"/>
  <c r="B394" i="24"/>
  <c r="B395" i="24"/>
  <c r="B396" i="24"/>
  <c r="B397" i="24"/>
  <c r="B398" i="24"/>
  <c r="B399" i="24"/>
  <c r="B400" i="24"/>
  <c r="B401" i="24"/>
  <c r="B402" i="24"/>
  <c r="B403" i="24"/>
  <c r="B404" i="24"/>
  <c r="B405" i="24"/>
  <c r="B406" i="24"/>
  <c r="B407" i="24"/>
  <c r="B408" i="24"/>
  <c r="B409" i="24"/>
  <c r="B410" i="24"/>
  <c r="B411" i="24"/>
  <c r="B412" i="24"/>
  <c r="B413" i="24"/>
  <c r="B414" i="24"/>
  <c r="B415" i="24"/>
  <c r="B416" i="24"/>
  <c r="B417" i="24"/>
  <c r="B418" i="24"/>
  <c r="B419" i="24"/>
  <c r="B420" i="24"/>
  <c r="B421" i="24"/>
  <c r="B422" i="24"/>
  <c r="B423" i="24"/>
  <c r="B424" i="24"/>
  <c r="B425" i="24"/>
  <c r="B426" i="24"/>
  <c r="B427" i="24"/>
  <c r="B428" i="24"/>
  <c r="B429" i="24"/>
  <c r="B430" i="24"/>
  <c r="B431" i="24"/>
  <c r="B432" i="24"/>
  <c r="B433" i="24"/>
  <c r="B434" i="24"/>
  <c r="B435" i="24"/>
  <c r="B436" i="24"/>
  <c r="B437" i="24"/>
  <c r="B438" i="24"/>
  <c r="B439" i="24"/>
  <c r="B440" i="24"/>
  <c r="B441" i="24"/>
  <c r="B442" i="24"/>
  <c r="B443" i="24"/>
  <c r="B444" i="24"/>
  <c r="B445" i="24"/>
  <c r="B446" i="24"/>
  <c r="B447" i="24"/>
  <c r="B448" i="24"/>
  <c r="B449" i="24"/>
  <c r="B450" i="24"/>
  <c r="B451" i="24"/>
  <c r="B452" i="24"/>
  <c r="B453" i="24"/>
  <c r="B454" i="24"/>
  <c r="B455" i="24"/>
  <c r="B456" i="24"/>
  <c r="B457" i="24"/>
  <c r="B458" i="24"/>
  <c r="B459" i="24"/>
  <c r="B460" i="24"/>
  <c r="B461" i="24"/>
  <c r="B462" i="24"/>
  <c r="B463" i="24"/>
  <c r="B464" i="24"/>
  <c r="B465" i="24"/>
  <c r="B466" i="24"/>
  <c r="B467" i="24"/>
  <c r="B468" i="24"/>
  <c r="B469" i="24"/>
  <c r="B470" i="24"/>
  <c r="B471" i="24"/>
  <c r="B472" i="24"/>
  <c r="B473" i="24"/>
  <c r="B474" i="24"/>
  <c r="B475" i="24"/>
  <c r="B476" i="24"/>
  <c r="B477" i="24"/>
  <c r="B478" i="24"/>
  <c r="B479" i="24"/>
  <c r="B480" i="24"/>
  <c r="B481" i="24"/>
  <c r="B482" i="24"/>
  <c r="B483" i="24"/>
  <c r="B484" i="24"/>
  <c r="B485" i="24"/>
  <c r="B486" i="24"/>
  <c r="B487" i="24"/>
  <c r="B488" i="24"/>
  <c r="B489" i="24"/>
  <c r="B490" i="24"/>
  <c r="B491" i="24"/>
  <c r="B492" i="24"/>
  <c r="B493" i="24"/>
  <c r="B494" i="24"/>
  <c r="B495" i="24"/>
  <c r="B496" i="24"/>
  <c r="B497" i="24"/>
  <c r="B498" i="24"/>
  <c r="B499" i="24"/>
  <c r="B500" i="24"/>
  <c r="B501" i="24"/>
  <c r="B502" i="24"/>
  <c r="B503" i="24"/>
  <c r="B504" i="24"/>
  <c r="B505" i="24"/>
  <c r="B506" i="24"/>
  <c r="B507" i="24"/>
  <c r="B508" i="24"/>
  <c r="B509" i="24"/>
  <c r="B510" i="24"/>
  <c r="B511" i="24"/>
  <c r="B512" i="24"/>
  <c r="B513" i="24"/>
  <c r="B514" i="24"/>
  <c r="B515" i="24"/>
  <c r="B516" i="24"/>
  <c r="B517" i="24"/>
  <c r="B518" i="24"/>
  <c r="B519" i="24"/>
  <c r="B520" i="24"/>
  <c r="B521" i="24"/>
  <c r="B522" i="24"/>
  <c r="B523" i="24"/>
  <c r="B524" i="24"/>
  <c r="B525" i="24"/>
  <c r="B526" i="24"/>
  <c r="B527" i="24"/>
  <c r="B528" i="24"/>
  <c r="B529" i="24"/>
  <c r="B530" i="24"/>
  <c r="B531" i="24"/>
  <c r="B532" i="24"/>
  <c r="B533" i="24"/>
  <c r="B534" i="24"/>
  <c r="B535" i="24"/>
  <c r="B536" i="24"/>
  <c r="B537" i="24"/>
  <c r="B538" i="24"/>
  <c r="B539" i="24"/>
  <c r="B540" i="24"/>
  <c r="B541" i="24"/>
  <c r="B542" i="24"/>
  <c r="B543" i="24"/>
  <c r="B544" i="24"/>
  <c r="B545" i="24"/>
  <c r="B546" i="24"/>
  <c r="B547" i="24"/>
  <c r="B548" i="24"/>
  <c r="B549" i="24"/>
  <c r="B550" i="24"/>
  <c r="B551" i="24"/>
  <c r="B552" i="24"/>
  <c r="B553" i="24"/>
  <c r="B554" i="24"/>
  <c r="B555" i="24"/>
  <c r="B556" i="24"/>
  <c r="B557" i="24"/>
  <c r="B558" i="24"/>
  <c r="B559" i="24"/>
  <c r="B560" i="24"/>
  <c r="B561" i="24"/>
  <c r="B562" i="24"/>
  <c r="B563" i="24"/>
  <c r="B564" i="24"/>
  <c r="B565" i="24"/>
  <c r="B566" i="24"/>
  <c r="B567" i="24"/>
  <c r="B568" i="24"/>
  <c r="B569" i="24"/>
  <c r="B570" i="24"/>
  <c r="B571" i="24"/>
  <c r="B572" i="24"/>
  <c r="B573" i="24"/>
  <c r="B574" i="24"/>
  <c r="B575" i="24"/>
  <c r="B576" i="24"/>
  <c r="B577" i="24"/>
  <c r="B578" i="24"/>
  <c r="B579" i="24"/>
  <c r="B580" i="24"/>
  <c r="B581" i="24"/>
  <c r="B582" i="24"/>
  <c r="B583" i="24"/>
  <c r="B584" i="24"/>
  <c r="B585" i="24"/>
  <c r="B586" i="24"/>
  <c r="B587" i="24"/>
  <c r="B588" i="24"/>
  <c r="B589" i="24"/>
  <c r="B590" i="24"/>
  <c r="B591" i="24"/>
  <c r="B592" i="24"/>
  <c r="B593" i="24"/>
  <c r="B594" i="24"/>
  <c r="B595" i="24"/>
  <c r="B596" i="24"/>
  <c r="B597" i="24"/>
  <c r="B598" i="24"/>
  <c r="B599" i="24"/>
  <c r="B600" i="24"/>
  <c r="B601" i="24"/>
  <c r="B602" i="24"/>
  <c r="B603" i="24"/>
  <c r="B604" i="24"/>
  <c r="B605" i="24"/>
  <c r="B606" i="24"/>
  <c r="B607" i="24"/>
  <c r="B608" i="24"/>
  <c r="B609" i="24"/>
  <c r="B610" i="24"/>
  <c r="B611" i="24"/>
  <c r="B612" i="24"/>
  <c r="B613" i="24"/>
  <c r="B614" i="24"/>
  <c r="B615" i="24"/>
  <c r="B616" i="24"/>
  <c r="B617" i="24"/>
  <c r="B618" i="24"/>
  <c r="B619" i="24"/>
  <c r="B620" i="24"/>
  <c r="B621" i="24"/>
  <c r="B622" i="24"/>
  <c r="B623" i="24"/>
  <c r="B624" i="24"/>
  <c r="B625" i="24"/>
  <c r="B626" i="24"/>
  <c r="B627" i="24"/>
  <c r="B628" i="24"/>
  <c r="B629" i="24"/>
  <c r="B630" i="24"/>
  <c r="B631" i="24"/>
  <c r="B632" i="24"/>
  <c r="B633" i="24"/>
  <c r="B634" i="24"/>
  <c r="B635" i="24"/>
  <c r="B636" i="24"/>
  <c r="B637" i="24"/>
  <c r="B638" i="24"/>
  <c r="B639" i="24"/>
  <c r="B640" i="24"/>
  <c r="B641" i="24"/>
  <c r="B642" i="24"/>
  <c r="B643" i="24"/>
  <c r="B644" i="24"/>
  <c r="B645" i="24"/>
  <c r="B646" i="24"/>
  <c r="B647" i="24"/>
  <c r="B648" i="24"/>
  <c r="B649" i="24"/>
  <c r="B650" i="24"/>
  <c r="B651" i="24"/>
  <c r="B652" i="24"/>
  <c r="B653" i="24"/>
  <c r="B654" i="24"/>
  <c r="B655" i="24"/>
  <c r="B656" i="24"/>
  <c r="B657" i="24"/>
  <c r="B658" i="24"/>
  <c r="B659" i="24"/>
  <c r="B660" i="24"/>
  <c r="B661" i="24"/>
  <c r="B662" i="24"/>
  <c r="B663" i="24"/>
  <c r="B664" i="24"/>
  <c r="B665" i="24"/>
  <c r="B666" i="24"/>
  <c r="B667" i="24"/>
  <c r="B668" i="24"/>
  <c r="B669" i="24"/>
  <c r="B670" i="24"/>
  <c r="B671" i="24"/>
  <c r="B672" i="24"/>
  <c r="B673" i="24"/>
  <c r="B674" i="24"/>
  <c r="B675" i="24"/>
  <c r="B676" i="24"/>
  <c r="B677" i="24"/>
  <c r="B678" i="24"/>
  <c r="B679" i="24"/>
  <c r="B680" i="24"/>
  <c r="B681" i="24"/>
  <c r="B682" i="24"/>
  <c r="B683" i="24"/>
  <c r="B684" i="24"/>
  <c r="B685" i="24"/>
  <c r="B686" i="24"/>
  <c r="B687" i="24"/>
  <c r="B688" i="24"/>
  <c r="B689" i="24"/>
  <c r="B690" i="24"/>
  <c r="B691" i="24"/>
  <c r="B692" i="24"/>
  <c r="B693" i="24"/>
  <c r="B694" i="24"/>
  <c r="B695" i="24"/>
  <c r="B696" i="24"/>
  <c r="B697" i="24"/>
  <c r="B698" i="24"/>
  <c r="B699" i="24"/>
  <c r="B700" i="24"/>
  <c r="B701" i="24"/>
  <c r="B702" i="24"/>
  <c r="B703" i="24"/>
  <c r="B704" i="24"/>
  <c r="B705" i="24"/>
  <c r="B706" i="24"/>
  <c r="B707" i="24"/>
  <c r="B708" i="24"/>
  <c r="B709" i="24"/>
  <c r="B710" i="24"/>
  <c r="B711" i="24"/>
  <c r="B712" i="24"/>
  <c r="B713" i="24"/>
  <c r="B714" i="24"/>
  <c r="B715" i="24"/>
  <c r="B716" i="24"/>
  <c r="B717" i="24"/>
  <c r="B718" i="24"/>
  <c r="B719" i="24"/>
  <c r="B720" i="24"/>
  <c r="B721" i="24"/>
  <c r="B722" i="24"/>
  <c r="B723" i="24"/>
  <c r="B724" i="24"/>
  <c r="B725" i="24"/>
  <c r="B726" i="24"/>
  <c r="B727" i="24"/>
  <c r="B728" i="24"/>
  <c r="B729" i="24"/>
  <c r="B730" i="24"/>
  <c r="B731" i="24"/>
  <c r="B732" i="24"/>
  <c r="B733" i="24"/>
  <c r="B734" i="24"/>
  <c r="B735" i="24"/>
  <c r="B736" i="24"/>
  <c r="B737" i="24"/>
  <c r="B738" i="24"/>
  <c r="B739" i="24"/>
  <c r="B740" i="24"/>
  <c r="B741" i="24"/>
  <c r="B742" i="24"/>
  <c r="B743" i="24"/>
  <c r="B744" i="24"/>
  <c r="B745" i="24"/>
  <c r="B746" i="24"/>
  <c r="B747" i="24"/>
  <c r="B748" i="24"/>
  <c r="B749" i="24"/>
  <c r="B750" i="24"/>
  <c r="B751" i="24"/>
  <c r="B752" i="24"/>
  <c r="B753" i="24"/>
  <c r="B754" i="24"/>
  <c r="B755" i="24"/>
  <c r="B756" i="24"/>
  <c r="B757" i="24"/>
  <c r="B758" i="24"/>
  <c r="B759" i="24"/>
  <c r="B760" i="24"/>
  <c r="B761" i="24"/>
  <c r="B762" i="24"/>
  <c r="B763" i="24"/>
  <c r="B764" i="24"/>
  <c r="B765" i="24"/>
  <c r="B766" i="24"/>
  <c r="B767" i="24"/>
  <c r="B768" i="24"/>
  <c r="B769" i="24"/>
  <c r="B770" i="24"/>
  <c r="B771" i="24"/>
  <c r="B772" i="24"/>
  <c r="B773" i="24"/>
  <c r="B774" i="24"/>
  <c r="B775" i="24"/>
  <c r="B776" i="24"/>
  <c r="B777" i="24"/>
  <c r="B778" i="24"/>
  <c r="B779" i="24"/>
  <c r="B780" i="24"/>
  <c r="B781" i="24"/>
  <c r="B782" i="24"/>
  <c r="B783" i="24"/>
  <c r="B784" i="24"/>
  <c r="B785" i="24"/>
  <c r="B786" i="24"/>
  <c r="B787" i="24"/>
  <c r="B788" i="24"/>
  <c r="B789" i="24"/>
  <c r="B790" i="24"/>
  <c r="B791" i="24"/>
  <c r="B792" i="24"/>
  <c r="B793" i="24"/>
  <c r="B794" i="24"/>
  <c r="B795" i="24"/>
  <c r="B796" i="24"/>
  <c r="B797" i="24"/>
  <c r="B798" i="24"/>
  <c r="B799" i="24"/>
  <c r="B800" i="24"/>
  <c r="B801" i="24"/>
  <c r="B802" i="24"/>
  <c r="B803" i="24"/>
  <c r="B804" i="24"/>
  <c r="B805" i="24"/>
  <c r="B806" i="24"/>
  <c r="B807" i="24"/>
  <c r="B808" i="24"/>
  <c r="B809" i="24"/>
  <c r="B810" i="24"/>
  <c r="B811" i="24"/>
  <c r="B812" i="24"/>
  <c r="B813" i="24"/>
  <c r="B814" i="24"/>
  <c r="B815" i="24"/>
  <c r="B816" i="24"/>
  <c r="B817" i="24"/>
  <c r="B818" i="24"/>
  <c r="B819" i="24"/>
  <c r="B820" i="24"/>
  <c r="B821" i="24"/>
  <c r="B822" i="24"/>
  <c r="B823" i="24"/>
  <c r="B824" i="24"/>
  <c r="B825" i="24"/>
  <c r="B826" i="24"/>
  <c r="B827" i="24"/>
  <c r="B828" i="24"/>
  <c r="B829" i="24"/>
  <c r="B830" i="24"/>
  <c r="B831" i="24"/>
  <c r="B832" i="24"/>
  <c r="B833" i="24"/>
  <c r="B834" i="24"/>
  <c r="B835" i="24"/>
  <c r="B836" i="24"/>
  <c r="B837" i="24"/>
  <c r="B838" i="24"/>
  <c r="B839" i="24"/>
  <c r="B840" i="24"/>
  <c r="B841" i="24"/>
  <c r="B842" i="24"/>
  <c r="B843" i="24"/>
  <c r="B844" i="24"/>
  <c r="B845" i="24"/>
  <c r="B846" i="24"/>
  <c r="B847" i="24"/>
  <c r="B848" i="24"/>
  <c r="B849" i="24"/>
  <c r="B850" i="24"/>
  <c r="B851" i="24"/>
  <c r="B852" i="24"/>
  <c r="B853" i="24"/>
  <c r="B854" i="24"/>
  <c r="B855" i="24"/>
  <c r="B856" i="24"/>
  <c r="B857" i="24"/>
  <c r="B858" i="24"/>
  <c r="B859" i="24"/>
  <c r="B860" i="24"/>
  <c r="B861" i="24"/>
  <c r="B862" i="24"/>
  <c r="B863" i="24"/>
  <c r="B864" i="24"/>
  <c r="B865" i="24"/>
  <c r="B866" i="24"/>
  <c r="B867" i="24"/>
  <c r="B868" i="24"/>
  <c r="B869" i="24"/>
  <c r="B870" i="24"/>
  <c r="B871" i="24"/>
  <c r="B872" i="24"/>
  <c r="B873" i="24"/>
  <c r="B874" i="24"/>
  <c r="B875" i="24"/>
  <c r="B876" i="24"/>
  <c r="B877" i="24"/>
  <c r="B878" i="24"/>
  <c r="B879" i="24"/>
  <c r="B880" i="24"/>
  <c r="B881" i="24"/>
  <c r="B882" i="24"/>
  <c r="B883" i="24"/>
  <c r="B884" i="24"/>
  <c r="B885" i="24"/>
  <c r="B886" i="24"/>
  <c r="B887" i="24"/>
  <c r="B888" i="24"/>
  <c r="B889" i="24"/>
  <c r="B890" i="24"/>
  <c r="B891" i="24"/>
  <c r="B892" i="24"/>
  <c r="B893" i="24"/>
  <c r="B894" i="24"/>
  <c r="B895" i="24"/>
  <c r="B896" i="24"/>
  <c r="B897" i="24"/>
  <c r="B898" i="24"/>
  <c r="B899" i="24"/>
  <c r="B900" i="24"/>
  <c r="B901" i="24"/>
  <c r="B902" i="24"/>
  <c r="B903" i="24"/>
  <c r="B904" i="24"/>
  <c r="B905" i="24"/>
  <c r="B906" i="24"/>
  <c r="B907" i="24"/>
  <c r="B908" i="24"/>
  <c r="B909" i="24"/>
  <c r="B910" i="24"/>
  <c r="B911" i="24"/>
  <c r="B912" i="24"/>
  <c r="B913" i="24"/>
  <c r="B914" i="24"/>
  <c r="B915" i="24"/>
  <c r="B916" i="24"/>
  <c r="B917" i="24"/>
  <c r="B918" i="24"/>
  <c r="B919" i="24"/>
  <c r="B920" i="24"/>
  <c r="B921" i="24"/>
  <c r="B922" i="24"/>
  <c r="B923" i="24"/>
  <c r="B924" i="24"/>
  <c r="B925" i="24"/>
  <c r="B926" i="24"/>
  <c r="B927" i="24"/>
  <c r="B928" i="24"/>
  <c r="B929" i="24"/>
  <c r="B930" i="24"/>
  <c r="B931" i="24"/>
  <c r="B932" i="24"/>
  <c r="B933" i="24"/>
  <c r="B934" i="24"/>
  <c r="B935" i="24"/>
  <c r="B936" i="24"/>
  <c r="B937" i="24"/>
  <c r="B938" i="24"/>
  <c r="B939" i="24"/>
  <c r="B940" i="24"/>
  <c r="B941" i="24"/>
  <c r="B942" i="24"/>
  <c r="B943" i="24"/>
  <c r="B944" i="24"/>
  <c r="B945" i="24"/>
  <c r="B946" i="24"/>
  <c r="B947" i="24"/>
  <c r="B948" i="24"/>
  <c r="B949" i="24"/>
  <c r="B950" i="24"/>
  <c r="B951" i="24"/>
  <c r="B952" i="24"/>
  <c r="B953" i="24"/>
  <c r="B954" i="24"/>
  <c r="B955" i="24"/>
  <c r="B956" i="24"/>
  <c r="B957" i="24"/>
  <c r="B958" i="24"/>
  <c r="B959" i="24"/>
  <c r="B960" i="24"/>
  <c r="B961" i="24"/>
  <c r="B962" i="24"/>
  <c r="B963" i="24"/>
  <c r="B964" i="24"/>
  <c r="B965" i="24"/>
  <c r="B966" i="24"/>
  <c r="B967" i="24"/>
  <c r="B968" i="24"/>
  <c r="B969" i="24"/>
  <c r="B970" i="24"/>
  <c r="B971" i="24"/>
  <c r="B972" i="24"/>
  <c r="B973" i="24"/>
  <c r="B974" i="24"/>
  <c r="B975" i="24"/>
  <c r="B976" i="24"/>
  <c r="B977" i="24"/>
  <c r="B978" i="24"/>
  <c r="B979" i="24"/>
  <c r="B980" i="24"/>
  <c r="B981" i="24"/>
  <c r="B982" i="24"/>
  <c r="B983" i="24"/>
  <c r="B984" i="24"/>
  <c r="B985" i="24"/>
  <c r="B986" i="24"/>
  <c r="B987" i="24"/>
  <c r="B988" i="24"/>
  <c r="B989" i="24"/>
  <c r="B990" i="24"/>
  <c r="B991" i="24"/>
  <c r="B992" i="24"/>
  <c r="B993" i="24"/>
  <c r="B994" i="24"/>
  <c r="B995" i="24"/>
  <c r="B996" i="24"/>
  <c r="B997" i="24"/>
  <c r="B998" i="24"/>
  <c r="B999" i="24"/>
  <c r="B1000" i="24"/>
  <c r="B1001" i="24"/>
  <c r="B1002" i="24"/>
  <c r="B1003" i="24"/>
  <c r="B1004" i="24"/>
  <c r="B1005" i="24"/>
  <c r="B1006" i="24"/>
  <c r="B1007" i="24"/>
  <c r="B1008" i="24"/>
  <c r="B1009" i="24"/>
  <c r="B1010" i="24"/>
  <c r="B1011" i="24"/>
  <c r="B1012" i="24"/>
  <c r="B1013" i="24"/>
  <c r="B1014" i="24"/>
  <c r="B1015" i="24"/>
  <c r="B1016" i="24"/>
  <c r="B1017" i="24"/>
  <c r="B1018" i="24"/>
  <c r="B1019" i="24"/>
  <c r="B1020" i="24"/>
  <c r="B1021" i="24"/>
  <c r="B1022" i="24"/>
  <c r="B1023" i="24"/>
  <c r="B1024" i="24"/>
  <c r="B1025" i="24"/>
  <c r="B1026" i="24"/>
  <c r="B1027" i="24"/>
  <c r="B1028" i="24"/>
  <c r="B1029" i="24"/>
  <c r="B1030" i="24"/>
  <c r="B1031" i="24"/>
  <c r="B1032" i="24"/>
  <c r="B1033" i="24"/>
  <c r="B1034" i="24"/>
  <c r="B1035" i="24"/>
  <c r="B1036" i="24"/>
  <c r="B1037" i="24"/>
  <c r="B1038" i="24"/>
  <c r="B1039" i="24"/>
  <c r="B1040" i="24"/>
  <c r="B1041" i="24"/>
  <c r="B1042" i="24"/>
  <c r="B1043" i="24"/>
  <c r="B1044" i="24"/>
  <c r="B1045" i="24"/>
  <c r="B1046" i="24"/>
  <c r="B1047" i="24"/>
  <c r="B1048" i="24"/>
  <c r="B1049" i="24"/>
  <c r="B1050" i="24"/>
  <c r="B1051" i="24"/>
  <c r="B1052" i="24"/>
  <c r="B1053" i="24"/>
  <c r="B1054" i="24"/>
  <c r="B1055" i="24"/>
  <c r="B1056" i="24"/>
  <c r="B1057" i="24"/>
  <c r="B1058" i="24"/>
  <c r="B1059" i="24"/>
  <c r="B1060" i="24"/>
  <c r="B1061" i="24"/>
  <c r="B1062" i="24"/>
  <c r="B1063" i="24"/>
  <c r="B1064" i="24"/>
  <c r="B1065" i="24"/>
  <c r="B1066" i="24"/>
  <c r="B1067" i="24"/>
  <c r="B1068" i="24"/>
  <c r="B1069" i="24"/>
  <c r="B1070" i="24"/>
  <c r="B1071" i="24"/>
  <c r="B1072" i="24"/>
  <c r="B1073" i="24"/>
  <c r="B1074" i="24"/>
  <c r="B1075" i="24"/>
  <c r="B1076" i="24"/>
  <c r="B1077" i="24"/>
  <c r="B1078" i="24"/>
  <c r="B1079" i="24"/>
  <c r="B1080" i="24"/>
  <c r="B1081" i="24"/>
  <c r="B1082" i="24"/>
  <c r="B1083" i="24"/>
  <c r="B1084" i="24"/>
  <c r="B1085" i="24"/>
  <c r="B1086" i="24"/>
  <c r="B1087" i="24"/>
  <c r="B1088" i="24"/>
  <c r="B1089" i="24"/>
  <c r="B1090" i="24"/>
  <c r="B1091" i="24"/>
  <c r="B1092" i="24"/>
  <c r="B1093" i="24"/>
  <c r="B1094" i="24"/>
  <c r="B1095" i="24"/>
  <c r="B1096" i="24"/>
  <c r="B1097" i="24"/>
  <c r="B1098" i="24"/>
  <c r="B1099" i="24"/>
  <c r="B1100" i="24"/>
  <c r="B1101" i="24"/>
  <c r="B1102" i="24"/>
  <c r="B1103" i="24"/>
  <c r="B1104" i="24"/>
  <c r="B1105" i="24"/>
  <c r="B1106" i="24"/>
  <c r="B1107" i="24"/>
  <c r="B1108" i="24"/>
  <c r="B1109" i="24"/>
  <c r="B1110" i="24"/>
  <c r="B1111" i="24"/>
  <c r="B1112" i="24"/>
  <c r="B1113" i="24"/>
  <c r="B1114" i="24"/>
  <c r="B1115" i="24"/>
  <c r="B1116" i="24"/>
  <c r="B1117" i="24"/>
  <c r="B1118" i="24"/>
  <c r="B1119" i="24"/>
  <c r="B1120" i="24"/>
  <c r="B1121" i="24"/>
  <c r="B1122" i="24"/>
  <c r="B1123" i="24"/>
  <c r="B1124" i="24"/>
  <c r="B1125" i="24"/>
  <c r="B1126" i="24"/>
  <c r="B1127" i="24"/>
  <c r="B1128" i="24"/>
  <c r="B1129" i="24"/>
  <c r="B1130" i="24"/>
  <c r="B1131" i="24"/>
  <c r="B1132" i="24"/>
  <c r="B1133" i="24"/>
  <c r="B1134" i="24"/>
  <c r="B1135" i="24"/>
  <c r="B1136" i="24"/>
  <c r="B1137" i="24"/>
  <c r="B1138" i="24"/>
  <c r="B1139" i="24"/>
  <c r="B1140" i="24"/>
  <c r="B1141" i="24"/>
  <c r="B1142" i="24"/>
  <c r="B1143" i="24"/>
  <c r="B1144" i="24"/>
  <c r="B1145" i="24"/>
  <c r="B1146" i="24"/>
  <c r="B1147" i="24"/>
  <c r="B1148" i="24"/>
  <c r="B1149" i="24"/>
  <c r="B1150" i="24"/>
  <c r="B1151" i="24"/>
  <c r="B1152" i="24"/>
  <c r="B1153" i="24"/>
  <c r="B1154" i="24"/>
  <c r="B1155" i="24"/>
  <c r="B1156" i="24"/>
  <c r="B1157" i="24"/>
  <c r="B1158" i="24"/>
  <c r="B1159" i="24"/>
  <c r="B1160" i="24"/>
  <c r="B1161" i="24"/>
  <c r="B1162" i="24"/>
  <c r="B1163" i="24"/>
  <c r="B1164" i="24"/>
  <c r="B1165" i="24"/>
  <c r="B1166" i="24"/>
  <c r="B1167" i="24"/>
  <c r="B1168" i="24"/>
  <c r="B1169" i="24"/>
  <c r="B1170" i="24"/>
  <c r="B1171" i="24"/>
  <c r="B1172" i="24"/>
  <c r="B1173" i="24"/>
  <c r="B1174" i="24"/>
  <c r="B1175" i="24"/>
  <c r="B1176" i="24"/>
  <c r="B1177" i="24"/>
  <c r="B1178" i="24"/>
  <c r="B1179" i="24"/>
  <c r="B1180" i="24"/>
  <c r="B1181" i="24"/>
  <c r="B1182" i="24"/>
  <c r="B1183" i="24"/>
  <c r="B1184" i="24"/>
  <c r="B1185" i="24"/>
  <c r="B1186" i="24"/>
  <c r="B1187" i="24"/>
  <c r="B1188" i="24"/>
  <c r="B1189" i="24"/>
  <c r="B1190" i="24"/>
  <c r="B1191" i="24"/>
  <c r="B1192" i="24"/>
  <c r="B1193" i="24"/>
  <c r="B1194" i="24"/>
  <c r="B1195" i="24"/>
  <c r="B1196" i="24"/>
  <c r="B1197" i="24"/>
  <c r="B1198" i="24"/>
  <c r="B1199" i="24"/>
  <c r="B1200" i="24"/>
  <c r="B1201" i="24"/>
  <c r="B1202" i="24"/>
  <c r="B1203" i="24"/>
  <c r="B1204" i="24"/>
  <c r="B1205" i="24"/>
  <c r="B1206" i="24"/>
  <c r="B1207" i="24"/>
  <c r="B1208" i="24"/>
  <c r="B1209" i="24"/>
  <c r="B1210" i="24"/>
  <c r="B1211" i="24"/>
  <c r="B1212" i="24"/>
  <c r="B1213" i="24"/>
  <c r="B1214" i="24"/>
  <c r="B1215" i="24"/>
  <c r="B1216" i="24"/>
  <c r="B1217" i="24"/>
  <c r="B1218" i="24"/>
  <c r="B1219" i="24"/>
  <c r="B1220" i="24"/>
  <c r="B1221" i="24"/>
  <c r="B1222" i="24"/>
  <c r="B1223" i="24"/>
  <c r="B1224" i="24"/>
  <c r="B1225" i="24"/>
  <c r="B1226" i="24"/>
  <c r="B1227" i="24"/>
  <c r="B1228" i="24"/>
  <c r="B1229" i="24"/>
  <c r="B1230" i="24"/>
  <c r="B1231" i="24"/>
  <c r="B1232" i="24"/>
  <c r="B1233" i="24"/>
  <c r="B1234" i="24"/>
  <c r="B1235" i="24"/>
  <c r="B1236" i="24"/>
  <c r="B1237" i="24"/>
  <c r="B1238" i="24"/>
  <c r="B1239" i="24"/>
  <c r="B1240" i="24"/>
  <c r="B1241" i="24"/>
  <c r="B1242" i="24"/>
  <c r="B1243" i="24"/>
  <c r="B1244" i="24"/>
  <c r="B1245" i="24"/>
  <c r="B1246" i="24"/>
  <c r="B1247" i="24"/>
  <c r="B1248" i="24"/>
  <c r="B1249" i="24"/>
  <c r="B1250" i="24"/>
  <c r="B1251" i="24"/>
  <c r="B1252" i="24"/>
  <c r="B1253" i="24"/>
  <c r="B1254" i="24"/>
  <c r="B1255" i="24"/>
  <c r="B1256" i="24"/>
  <c r="B1257" i="24"/>
  <c r="B1258" i="24"/>
  <c r="B1259" i="24"/>
  <c r="B1260" i="24"/>
  <c r="B1261" i="24"/>
  <c r="B1262" i="24"/>
  <c r="B1263" i="24"/>
  <c r="B1264" i="24"/>
  <c r="B1265" i="24"/>
  <c r="B1266" i="24"/>
  <c r="B1267" i="24"/>
  <c r="B1268" i="24"/>
  <c r="B1269" i="24"/>
  <c r="B1270" i="24"/>
  <c r="B1271" i="24"/>
  <c r="B1272" i="24"/>
  <c r="B1273" i="24"/>
  <c r="B1274" i="24"/>
  <c r="B1275" i="24"/>
  <c r="B1276" i="24"/>
  <c r="B1277" i="24"/>
  <c r="B1278" i="24"/>
  <c r="B1279" i="24"/>
  <c r="B1280" i="24"/>
  <c r="B1281" i="24"/>
  <c r="B1282" i="24"/>
  <c r="B1283" i="24"/>
  <c r="B1284" i="24"/>
  <c r="B1285" i="24"/>
  <c r="B1286" i="24"/>
  <c r="B1287" i="24"/>
  <c r="B1288" i="24"/>
  <c r="B1289" i="24"/>
  <c r="B1290" i="24"/>
  <c r="B1291" i="24"/>
  <c r="B1292" i="24"/>
  <c r="B1293" i="24"/>
  <c r="B1294" i="24"/>
  <c r="B1295" i="24"/>
  <c r="B1296" i="24"/>
  <c r="B1297" i="24"/>
  <c r="B1298" i="24"/>
  <c r="B1299" i="24"/>
  <c r="B1300" i="24"/>
  <c r="B1301" i="24"/>
  <c r="B1302" i="24"/>
  <c r="B1303" i="24"/>
  <c r="B1304" i="24"/>
  <c r="B1305" i="24"/>
  <c r="B1306" i="24"/>
  <c r="B1307" i="24"/>
  <c r="B1308" i="24"/>
  <c r="B1309" i="24"/>
  <c r="B1310" i="24"/>
  <c r="B1311" i="24"/>
  <c r="B1312" i="24"/>
  <c r="B1313" i="24"/>
  <c r="B1314" i="24"/>
  <c r="B1315" i="24"/>
  <c r="B1316" i="24"/>
  <c r="B1317" i="24"/>
  <c r="B1318" i="24"/>
  <c r="B1319" i="24"/>
  <c r="B1320" i="24"/>
  <c r="B1321" i="24"/>
  <c r="B1322" i="24"/>
  <c r="B1323" i="24"/>
  <c r="B1324" i="24"/>
  <c r="B1325" i="24"/>
  <c r="B1326" i="24"/>
  <c r="B1327" i="24"/>
  <c r="B1328" i="24"/>
  <c r="B1329" i="24"/>
  <c r="B1330" i="24"/>
  <c r="B1331" i="24"/>
  <c r="B1332" i="24"/>
  <c r="B1333" i="24"/>
  <c r="B1334" i="24"/>
  <c r="B1335" i="24"/>
  <c r="B1336" i="24"/>
  <c r="B1337" i="24"/>
  <c r="B1338" i="24"/>
  <c r="B1339" i="24"/>
  <c r="B1340" i="24"/>
  <c r="B1341" i="24"/>
  <c r="B1342" i="24"/>
  <c r="B1343" i="24"/>
  <c r="B1344" i="24"/>
  <c r="B1345" i="24"/>
  <c r="B1346" i="24"/>
  <c r="B1347" i="24"/>
  <c r="B1348" i="24"/>
  <c r="B1349" i="24"/>
  <c r="B1350" i="24"/>
  <c r="B1351" i="24"/>
  <c r="B1352" i="24"/>
  <c r="B1353" i="24"/>
  <c r="B1354" i="24"/>
  <c r="B1355" i="24"/>
  <c r="B1356" i="24"/>
  <c r="B1357" i="24"/>
  <c r="B1358" i="24"/>
  <c r="B1359" i="24"/>
  <c r="B1360" i="24"/>
  <c r="B1361" i="24"/>
  <c r="B1362" i="24"/>
  <c r="B1363" i="24"/>
  <c r="B1364" i="24"/>
  <c r="B1365" i="24"/>
  <c r="B1366" i="24"/>
  <c r="B1367" i="24"/>
  <c r="B1368" i="24"/>
  <c r="B1369" i="24"/>
  <c r="B1370" i="24"/>
  <c r="B1371" i="24"/>
  <c r="B1372" i="24"/>
  <c r="B1373" i="24"/>
  <c r="B1374" i="24"/>
  <c r="B1375" i="24"/>
  <c r="B1376" i="24"/>
  <c r="B1377" i="24"/>
  <c r="B1378" i="24"/>
  <c r="B1379" i="24"/>
  <c r="B1380" i="24"/>
  <c r="B1381" i="24"/>
  <c r="B1382" i="24"/>
  <c r="B1383" i="24"/>
  <c r="B1384" i="24"/>
  <c r="B1385" i="24"/>
  <c r="B1386" i="24"/>
  <c r="B1387" i="24"/>
  <c r="B1388" i="24"/>
  <c r="B1389" i="24"/>
  <c r="B1390" i="24"/>
  <c r="B1391" i="24"/>
  <c r="B1392" i="24"/>
  <c r="B1393" i="24"/>
  <c r="B1394" i="24"/>
  <c r="B1395" i="24"/>
  <c r="B1396" i="24"/>
  <c r="B1397" i="24"/>
  <c r="B1398" i="24"/>
  <c r="B1399" i="24"/>
  <c r="B1400" i="24"/>
  <c r="B1401" i="24"/>
  <c r="B1402" i="24"/>
  <c r="B1403" i="24"/>
  <c r="B1404" i="24"/>
  <c r="B1405" i="24"/>
  <c r="B1406" i="24"/>
  <c r="B1407" i="24"/>
  <c r="B1408" i="24"/>
  <c r="B1409" i="24"/>
  <c r="B1410" i="24"/>
  <c r="B1411" i="24"/>
  <c r="B1412" i="24"/>
  <c r="B1413" i="24"/>
  <c r="B1414" i="24"/>
  <c r="B1415" i="24"/>
  <c r="B1416" i="24"/>
  <c r="B1417" i="24"/>
  <c r="B1418" i="24"/>
  <c r="B1419" i="24"/>
  <c r="B1420" i="24"/>
  <c r="B1421" i="24"/>
  <c r="B1422" i="24"/>
  <c r="B1423" i="24"/>
  <c r="B1424" i="24"/>
  <c r="B1425" i="24"/>
  <c r="B1426" i="24"/>
  <c r="B1427" i="24"/>
  <c r="B1428" i="24"/>
  <c r="B1429" i="24"/>
  <c r="B1430" i="24"/>
  <c r="B1431" i="24"/>
  <c r="B1432" i="24"/>
  <c r="B1433" i="24"/>
  <c r="B1434" i="24"/>
  <c r="B1435" i="24"/>
  <c r="B1436" i="24"/>
  <c r="B1437" i="24"/>
  <c r="B1438" i="24"/>
  <c r="B1439" i="24"/>
  <c r="B1440" i="24"/>
  <c r="B1441" i="24"/>
  <c r="B1442" i="24"/>
  <c r="B1443" i="24"/>
  <c r="B1444" i="24"/>
  <c r="B1445" i="24"/>
  <c r="B1446" i="24"/>
  <c r="B1447" i="24"/>
  <c r="B1448" i="24"/>
  <c r="B1449" i="24"/>
  <c r="B1450" i="24"/>
  <c r="B1451" i="24"/>
  <c r="B1452" i="24"/>
  <c r="B1453" i="24"/>
  <c r="B1454" i="24"/>
  <c r="B1455" i="24"/>
  <c r="B1456" i="24"/>
  <c r="B1457" i="24"/>
  <c r="B1458" i="24"/>
  <c r="B1459" i="24"/>
  <c r="B1460" i="24"/>
  <c r="B1461" i="24"/>
  <c r="B1462" i="24"/>
  <c r="B1463" i="24"/>
  <c r="B1464" i="24"/>
  <c r="B1465" i="24"/>
  <c r="B1466" i="24"/>
  <c r="B1467" i="24"/>
  <c r="B1468" i="24"/>
  <c r="B1469" i="24"/>
  <c r="B1470" i="24"/>
  <c r="B1471" i="24"/>
  <c r="B1472" i="24"/>
  <c r="B1473" i="24"/>
  <c r="B1474" i="24"/>
  <c r="B1475" i="24"/>
  <c r="B1476" i="24"/>
  <c r="B1477" i="24"/>
  <c r="B1478" i="24"/>
  <c r="B1479" i="24"/>
  <c r="B1480" i="24"/>
  <c r="B1481" i="24"/>
  <c r="B1482" i="24"/>
  <c r="B1483" i="24"/>
  <c r="B1484" i="24"/>
  <c r="B1485" i="24"/>
  <c r="B1486" i="24"/>
  <c r="B1487" i="24"/>
  <c r="B1488" i="24"/>
  <c r="B1489" i="24"/>
  <c r="B1490" i="24"/>
  <c r="B1491" i="24"/>
  <c r="B1492" i="24"/>
  <c r="B1493" i="24"/>
  <c r="B1494" i="24"/>
  <c r="B1495" i="24"/>
  <c r="B1496" i="24"/>
  <c r="B1497" i="24"/>
  <c r="B1498" i="24"/>
  <c r="B1499" i="24"/>
  <c r="B1500" i="24"/>
  <c r="B1501" i="24"/>
  <c r="B1502" i="24"/>
  <c r="B1503" i="24"/>
  <c r="B1504" i="24"/>
  <c r="B1505" i="24"/>
  <c r="B1506" i="24"/>
  <c r="B1507" i="24"/>
  <c r="B1508" i="24"/>
  <c r="B1509" i="24"/>
  <c r="B1510" i="24"/>
  <c r="B1511" i="24"/>
  <c r="B1512" i="24"/>
  <c r="B1513" i="24"/>
  <c r="B1514" i="24"/>
  <c r="B1515" i="24"/>
  <c r="B1516" i="24"/>
  <c r="B1517" i="24"/>
  <c r="B1518" i="24"/>
  <c r="B1519" i="24"/>
  <c r="B1520" i="24"/>
  <c r="B1521" i="24"/>
  <c r="B1522" i="24"/>
  <c r="B1523" i="24"/>
  <c r="B1524" i="24"/>
  <c r="B1525" i="24"/>
  <c r="B1526" i="24"/>
  <c r="B1527" i="24"/>
  <c r="B1528" i="24"/>
  <c r="B1529" i="24"/>
  <c r="B1530" i="24"/>
  <c r="B1531" i="24"/>
  <c r="B1532" i="24"/>
  <c r="B1533" i="24"/>
  <c r="B1534" i="24"/>
  <c r="B1535" i="24"/>
  <c r="B1536" i="24"/>
  <c r="B1537" i="24"/>
  <c r="B1538" i="24"/>
  <c r="B1539" i="24"/>
  <c r="B1540" i="24"/>
  <c r="B1541" i="24"/>
  <c r="B1542" i="24"/>
  <c r="B1543" i="24"/>
  <c r="B1544" i="24"/>
  <c r="B1545" i="24"/>
  <c r="B1546" i="24"/>
  <c r="B1547" i="24"/>
  <c r="B1548" i="24"/>
  <c r="B1549" i="24"/>
  <c r="B1550" i="24"/>
  <c r="B1551" i="24"/>
  <c r="B1552" i="24"/>
  <c r="B1553" i="24"/>
  <c r="B1554" i="24"/>
  <c r="B1555" i="24"/>
  <c r="B1556" i="24"/>
  <c r="B1557" i="24"/>
  <c r="B1558" i="24"/>
  <c r="B1559" i="24"/>
  <c r="B1560" i="24"/>
  <c r="B1561" i="24"/>
  <c r="B1562" i="24"/>
  <c r="B1563" i="24"/>
  <c r="B1564" i="24"/>
  <c r="B1565" i="24"/>
  <c r="B1566" i="24"/>
  <c r="B1567" i="24"/>
  <c r="B1568" i="24"/>
  <c r="B1569" i="24"/>
  <c r="B1570" i="24"/>
  <c r="B1571" i="24"/>
  <c r="B1572" i="24"/>
  <c r="B1573" i="24"/>
  <c r="B1574" i="24"/>
  <c r="B1575" i="24"/>
  <c r="B1576" i="24"/>
  <c r="B1577" i="24"/>
  <c r="B1578" i="24"/>
  <c r="B1579" i="24"/>
  <c r="B1580" i="24"/>
  <c r="B1581" i="24"/>
  <c r="B1582" i="24"/>
  <c r="B1583" i="24"/>
  <c r="B1584" i="24"/>
  <c r="B1585" i="24"/>
  <c r="B1586" i="24"/>
  <c r="B1587" i="24"/>
  <c r="B1588" i="24"/>
  <c r="B1589" i="24"/>
  <c r="B1590" i="24"/>
  <c r="B1591" i="24"/>
  <c r="B1592" i="24"/>
  <c r="B1593" i="24"/>
  <c r="B1594" i="24"/>
  <c r="B1595" i="24"/>
  <c r="B1596" i="24"/>
  <c r="B1597" i="24"/>
  <c r="B1598" i="24"/>
  <c r="B1599" i="24"/>
  <c r="B1600" i="24"/>
  <c r="B1601" i="24"/>
  <c r="B1602" i="24"/>
  <c r="B1603" i="24"/>
  <c r="B1604" i="24"/>
  <c r="B1605" i="24"/>
  <c r="B1606" i="24"/>
  <c r="B1607" i="24"/>
  <c r="B1608" i="24"/>
  <c r="B1609" i="24"/>
  <c r="B1610" i="24"/>
  <c r="B1611" i="24"/>
  <c r="B1612" i="24"/>
  <c r="B1613" i="24"/>
  <c r="B1614" i="24"/>
  <c r="B1615" i="24"/>
  <c r="B1616" i="24"/>
  <c r="B1617" i="24"/>
  <c r="B1618" i="24"/>
  <c r="B1619" i="24"/>
  <c r="B1620" i="24"/>
  <c r="B1621" i="24"/>
  <c r="B1622" i="24"/>
  <c r="B1623" i="24"/>
  <c r="B1624" i="24"/>
  <c r="B1625" i="24"/>
  <c r="B1626" i="24"/>
  <c r="B1627" i="24"/>
  <c r="B1628" i="24"/>
  <c r="B1629" i="24"/>
  <c r="B1630" i="24"/>
  <c r="B1631" i="24"/>
  <c r="B1632" i="24"/>
  <c r="B1633" i="24"/>
  <c r="B1634" i="24"/>
  <c r="B1635" i="24"/>
  <c r="B1636" i="24"/>
  <c r="B1637" i="24"/>
  <c r="B1638" i="24"/>
  <c r="B1639" i="24"/>
  <c r="B1640" i="24"/>
  <c r="B1641" i="24"/>
  <c r="B1642" i="24"/>
  <c r="B1643" i="24"/>
  <c r="B1644" i="24"/>
  <c r="B1645" i="24"/>
  <c r="B1646" i="24"/>
  <c r="B1647" i="24"/>
  <c r="B1648" i="24"/>
  <c r="B1649" i="24"/>
  <c r="B1650" i="24"/>
  <c r="B1651" i="24"/>
  <c r="B1652" i="24"/>
  <c r="B1653" i="24"/>
  <c r="B1654" i="24"/>
  <c r="B1655" i="24"/>
  <c r="B1656" i="24"/>
  <c r="B1657" i="24"/>
  <c r="B1658" i="24"/>
  <c r="B1659" i="24"/>
  <c r="B1660" i="24"/>
  <c r="B1661" i="24"/>
  <c r="B1662" i="24"/>
  <c r="B1663" i="24"/>
  <c r="B1664" i="24"/>
  <c r="B1665" i="24"/>
  <c r="B1666" i="24"/>
  <c r="B1667" i="24"/>
  <c r="B1668" i="24"/>
  <c r="B1669" i="24"/>
  <c r="B1670" i="24"/>
  <c r="B1671" i="24"/>
  <c r="B1672" i="24"/>
  <c r="B1673" i="24"/>
  <c r="B1674" i="24"/>
  <c r="B1675" i="24"/>
  <c r="B1676" i="24"/>
  <c r="B1677" i="24"/>
  <c r="B1678" i="24"/>
  <c r="B1679" i="24"/>
  <c r="B1680" i="24"/>
  <c r="B1681" i="24"/>
  <c r="B1682" i="24"/>
  <c r="B1683" i="24"/>
  <c r="B1684" i="24"/>
  <c r="B1685" i="24"/>
  <c r="B1686" i="24"/>
  <c r="B1687" i="24"/>
  <c r="B1688" i="24"/>
  <c r="B1689" i="24"/>
  <c r="B1690" i="24"/>
  <c r="B1691" i="24"/>
  <c r="B1692" i="24"/>
  <c r="B1693" i="24"/>
  <c r="B1694" i="24"/>
  <c r="B1695" i="24"/>
  <c r="B1696" i="24"/>
  <c r="B1697" i="24"/>
  <c r="B1698" i="24"/>
  <c r="B1699" i="24"/>
  <c r="B1700" i="24"/>
  <c r="B1701" i="24"/>
  <c r="B1702" i="24"/>
  <c r="B1703" i="24"/>
  <c r="B1704" i="24"/>
  <c r="B1705" i="24"/>
  <c r="B1706" i="24"/>
  <c r="B1707" i="24"/>
  <c r="B1708" i="24"/>
  <c r="B1709" i="24"/>
  <c r="B1710" i="24"/>
  <c r="B1711" i="24"/>
  <c r="B1712" i="24"/>
  <c r="B1713" i="24"/>
  <c r="B1714" i="24"/>
  <c r="B1715" i="24"/>
  <c r="B1716" i="24"/>
  <c r="B1717" i="24"/>
  <c r="B1718" i="24"/>
  <c r="B1719" i="24"/>
  <c r="B1720" i="24"/>
  <c r="B1721" i="24"/>
  <c r="B1722" i="24"/>
  <c r="B1723" i="24"/>
  <c r="B1724" i="24"/>
  <c r="B1725" i="24"/>
  <c r="B1726" i="24"/>
  <c r="B1727" i="24"/>
  <c r="B1728" i="24"/>
  <c r="B1729" i="24"/>
  <c r="B1730" i="24"/>
  <c r="B1731" i="24"/>
  <c r="B1732" i="24"/>
  <c r="B1733" i="24"/>
  <c r="B1734" i="24"/>
  <c r="B1735" i="24"/>
  <c r="B1736" i="24"/>
  <c r="B1737" i="24"/>
  <c r="B1738" i="24"/>
  <c r="B1739" i="24"/>
  <c r="B1740" i="24"/>
  <c r="B1741" i="24"/>
  <c r="B1742" i="24"/>
  <c r="B1743" i="24"/>
  <c r="B1744" i="24"/>
  <c r="B1745" i="24"/>
  <c r="B1746" i="24"/>
  <c r="B1747" i="24"/>
  <c r="B1748" i="24"/>
  <c r="B1749" i="24"/>
  <c r="B1750" i="24"/>
  <c r="B1751" i="24"/>
  <c r="B1752" i="24"/>
  <c r="B1753" i="24"/>
  <c r="B1754" i="24"/>
  <c r="B1755" i="24"/>
  <c r="B1756" i="24"/>
  <c r="B1757" i="24"/>
  <c r="B1758" i="24"/>
  <c r="B1759" i="24"/>
  <c r="B1760" i="24"/>
  <c r="B1761" i="24"/>
  <c r="B1762" i="24"/>
  <c r="B1763" i="24"/>
  <c r="B1764" i="24"/>
  <c r="B1765" i="24"/>
  <c r="B1766" i="24"/>
  <c r="B1767" i="24"/>
  <c r="B1768" i="24"/>
  <c r="B1769" i="24"/>
  <c r="B1770" i="24"/>
  <c r="B1771" i="24"/>
  <c r="B1772" i="24"/>
  <c r="B1773" i="24"/>
  <c r="B1774" i="24"/>
  <c r="B1775" i="24"/>
  <c r="B1776" i="24"/>
  <c r="B1777" i="24"/>
  <c r="B1778" i="24"/>
  <c r="B1779" i="24"/>
  <c r="B1780" i="24"/>
  <c r="B1781" i="24"/>
  <c r="B1782" i="24"/>
  <c r="B1783" i="24"/>
  <c r="B1784" i="24"/>
  <c r="B1785" i="24"/>
  <c r="B1786" i="24"/>
  <c r="B1787" i="24"/>
  <c r="B1788" i="24"/>
  <c r="B1789" i="24"/>
  <c r="B1790" i="24"/>
  <c r="B1791" i="24"/>
  <c r="B1792" i="24"/>
  <c r="B1793" i="24"/>
  <c r="B1794" i="24"/>
  <c r="B1795" i="24"/>
  <c r="B1796" i="24"/>
  <c r="B1797" i="24"/>
  <c r="B1798" i="24"/>
  <c r="B1799" i="24"/>
  <c r="B1800" i="24"/>
  <c r="B1801" i="24"/>
  <c r="B1802" i="24"/>
  <c r="B1803" i="24"/>
  <c r="B1804" i="24"/>
  <c r="B1805" i="24"/>
  <c r="B1806" i="24"/>
  <c r="B1807" i="24"/>
  <c r="B1808" i="24"/>
  <c r="B1809" i="24"/>
  <c r="B1810" i="24"/>
  <c r="B1811" i="24"/>
  <c r="B1812" i="24"/>
  <c r="B1813" i="24"/>
  <c r="B1814" i="24"/>
  <c r="B1815" i="24"/>
  <c r="B1816" i="24"/>
  <c r="B1817" i="24"/>
  <c r="B1818" i="24"/>
  <c r="B1819" i="24"/>
  <c r="B1820" i="24"/>
  <c r="B1821" i="24"/>
  <c r="B1822" i="24"/>
  <c r="B1823" i="24"/>
  <c r="B1824" i="24"/>
  <c r="B1825" i="24"/>
  <c r="B1826" i="24"/>
  <c r="B1827" i="24"/>
  <c r="B1828" i="24"/>
  <c r="B1829" i="24"/>
  <c r="B1830" i="24"/>
  <c r="B1831" i="24"/>
  <c r="B1832" i="24"/>
  <c r="B1833" i="24"/>
  <c r="B1834" i="24"/>
  <c r="B1835" i="24"/>
  <c r="B1836" i="24"/>
  <c r="B1837" i="24"/>
  <c r="B1838" i="24"/>
  <c r="B1839" i="24"/>
  <c r="B1840" i="24"/>
  <c r="B1841" i="24"/>
  <c r="B1842" i="24"/>
  <c r="B1843" i="24"/>
  <c r="B1844" i="24"/>
  <c r="B1845" i="24"/>
  <c r="B1846" i="24"/>
  <c r="B1847" i="24"/>
  <c r="B1848" i="24"/>
  <c r="B1849" i="24"/>
  <c r="B1850" i="24"/>
  <c r="B1851" i="24"/>
  <c r="B1852" i="24"/>
  <c r="B1853" i="24"/>
  <c r="B1854" i="24"/>
  <c r="B1855" i="24"/>
  <c r="B1856" i="24"/>
  <c r="B1857" i="24"/>
  <c r="B1858" i="24"/>
  <c r="B1859" i="24"/>
  <c r="B1860" i="24"/>
  <c r="B1861" i="24"/>
  <c r="B1862" i="24"/>
  <c r="B1863" i="24"/>
  <c r="B1864" i="24"/>
  <c r="B1865" i="24"/>
  <c r="B1866" i="24"/>
  <c r="B1867" i="24"/>
  <c r="B1868" i="24"/>
  <c r="B1869" i="24"/>
  <c r="B1870" i="24"/>
  <c r="B1871" i="24"/>
  <c r="B1872" i="24"/>
  <c r="B1873" i="24"/>
  <c r="B1874" i="24"/>
  <c r="B1875" i="24"/>
  <c r="B1876" i="24"/>
  <c r="B1877" i="24"/>
  <c r="B1878" i="24"/>
  <c r="B1879" i="24"/>
  <c r="B1880" i="24"/>
  <c r="B1881" i="24"/>
  <c r="B1882" i="24"/>
  <c r="B1883" i="24"/>
  <c r="B1884" i="24"/>
  <c r="B1885" i="24"/>
  <c r="B1886" i="24"/>
  <c r="B1887" i="24"/>
  <c r="B1888" i="24"/>
  <c r="B1889" i="24"/>
  <c r="B1890" i="24"/>
  <c r="B1891" i="24"/>
  <c r="B1892" i="24"/>
  <c r="B1893" i="24"/>
  <c r="B1894" i="24"/>
  <c r="B1895" i="24"/>
  <c r="B1896" i="24"/>
  <c r="B1897" i="24"/>
  <c r="B1898" i="24"/>
  <c r="B1899" i="24"/>
  <c r="B1900" i="24"/>
  <c r="B1901" i="24"/>
  <c r="B1902" i="24"/>
  <c r="B1903" i="24"/>
  <c r="B1904" i="24"/>
  <c r="B1905" i="24"/>
  <c r="B1906" i="24"/>
  <c r="B1907" i="24"/>
  <c r="B1908" i="24"/>
  <c r="B1909" i="24"/>
  <c r="B1910" i="24"/>
  <c r="B1911" i="24"/>
  <c r="B1912" i="24"/>
  <c r="B1913" i="24"/>
  <c r="B1914" i="24"/>
  <c r="B1915" i="24"/>
  <c r="B1916" i="24"/>
  <c r="B1917" i="24"/>
  <c r="B1918" i="24"/>
  <c r="B1919" i="24"/>
  <c r="B1920" i="24"/>
  <c r="B1921" i="24"/>
  <c r="B1922" i="24"/>
  <c r="B1923" i="24"/>
  <c r="B1924" i="24"/>
  <c r="B1925" i="24"/>
  <c r="B1926" i="24"/>
  <c r="B1927" i="24"/>
  <c r="B1928" i="24"/>
  <c r="B1929" i="24"/>
  <c r="B1930" i="24"/>
  <c r="B1931" i="24"/>
  <c r="B1932" i="24"/>
  <c r="B1933" i="24"/>
  <c r="B1934" i="24"/>
  <c r="B1935" i="24"/>
  <c r="B1936" i="24"/>
  <c r="B1937" i="24"/>
  <c r="B1938" i="24"/>
  <c r="B1939" i="24"/>
  <c r="B1940" i="24"/>
  <c r="B1941" i="24"/>
  <c r="B1942" i="24"/>
  <c r="B1943" i="24"/>
  <c r="B1944" i="24"/>
  <c r="B1945" i="24"/>
  <c r="B1946" i="24"/>
  <c r="B1947" i="24"/>
  <c r="B1948" i="24"/>
  <c r="B1949" i="24"/>
  <c r="B1950" i="24"/>
  <c r="B1951" i="24"/>
  <c r="B1952" i="24"/>
  <c r="B1953" i="24"/>
  <c r="B1954" i="24"/>
  <c r="B1955" i="24"/>
  <c r="B1956" i="24"/>
  <c r="B1957" i="24"/>
  <c r="B1958" i="24"/>
  <c r="B1959" i="24"/>
  <c r="B1960" i="24"/>
  <c r="B1961" i="24"/>
  <c r="B1962" i="24"/>
  <c r="B1963" i="24"/>
  <c r="B1964" i="24"/>
  <c r="B1965" i="24"/>
  <c r="B1966" i="24"/>
  <c r="B1967" i="24"/>
  <c r="B1968" i="24"/>
  <c r="B1969" i="24"/>
  <c r="B1970" i="24"/>
  <c r="B1971" i="24"/>
  <c r="B1972" i="24"/>
  <c r="B1973" i="24"/>
  <c r="B1974" i="24"/>
  <c r="B1975" i="24"/>
  <c r="B1976" i="24"/>
  <c r="B1977" i="24"/>
  <c r="B1978" i="24"/>
  <c r="B1979" i="24"/>
  <c r="B1980" i="24"/>
  <c r="B1981" i="24"/>
  <c r="B1982" i="24"/>
  <c r="B1983" i="24"/>
  <c r="B1984" i="24"/>
  <c r="B1985" i="24"/>
  <c r="B1986" i="24"/>
  <c r="B1987" i="24"/>
  <c r="B1988" i="24"/>
  <c r="B1989" i="24"/>
  <c r="B1990" i="24"/>
  <c r="B1991" i="24"/>
  <c r="B1992" i="24"/>
  <c r="B1993" i="24"/>
  <c r="B1994" i="24"/>
  <c r="B1995" i="24"/>
  <c r="B1996" i="24"/>
  <c r="B1997" i="24"/>
  <c r="B1998" i="24"/>
  <c r="B1999" i="24"/>
  <c r="B2000" i="24"/>
  <c r="B2001" i="24"/>
  <c r="B2002" i="24"/>
  <c r="B2003" i="24"/>
  <c r="B2004" i="24"/>
  <c r="B2005" i="24"/>
  <c r="B2006" i="24"/>
  <c r="B2007" i="24"/>
  <c r="B2008" i="24"/>
  <c r="B2009" i="24"/>
  <c r="B2010" i="24"/>
  <c r="B2011" i="24"/>
  <c r="B2012" i="24"/>
  <c r="B2013" i="24"/>
  <c r="B2014" i="24"/>
  <c r="B2015" i="24"/>
  <c r="B2016" i="24"/>
  <c r="B2017" i="24"/>
  <c r="B2018" i="24"/>
  <c r="B2019" i="24"/>
  <c r="B2020" i="24"/>
  <c r="B2021" i="24"/>
  <c r="B2022" i="24"/>
  <c r="B2023" i="24"/>
  <c r="B2024" i="24"/>
  <c r="B2025" i="24"/>
  <c r="B2026" i="24"/>
  <c r="B2027" i="24"/>
  <c r="B2028" i="24"/>
  <c r="B2029" i="24"/>
  <c r="B2030" i="24"/>
  <c r="B2031" i="24"/>
  <c r="B2032" i="24"/>
  <c r="B2033" i="24"/>
  <c r="B2034" i="24"/>
  <c r="B2035" i="24"/>
  <c r="B2036" i="24"/>
  <c r="B2037" i="24"/>
  <c r="B2038" i="24"/>
  <c r="B2039" i="24"/>
  <c r="B2040" i="24"/>
  <c r="B2041" i="24"/>
  <c r="B2042" i="24"/>
  <c r="B2043" i="24"/>
  <c r="B2044" i="24"/>
  <c r="B2045" i="24"/>
  <c r="B2046" i="24"/>
  <c r="B2047" i="24"/>
  <c r="B2048" i="24"/>
  <c r="B2049" i="24"/>
  <c r="B2050" i="24"/>
  <c r="B2051" i="24"/>
  <c r="B2052" i="24"/>
  <c r="B2053" i="24"/>
  <c r="B2054" i="24"/>
  <c r="B2055" i="24"/>
  <c r="B2056" i="24"/>
  <c r="B2057" i="24"/>
  <c r="B2058" i="24"/>
  <c r="B2059" i="24"/>
  <c r="B2060" i="24"/>
  <c r="B2061" i="24"/>
  <c r="B2062" i="24"/>
  <c r="B2063" i="24"/>
  <c r="B2064" i="24"/>
  <c r="B2065" i="24"/>
  <c r="B2066" i="24"/>
  <c r="B2067" i="24"/>
  <c r="B2068" i="24"/>
  <c r="B2069" i="24"/>
  <c r="B2070" i="24"/>
  <c r="B2071" i="24"/>
  <c r="B2072" i="24"/>
  <c r="B2073" i="24"/>
  <c r="B2074" i="24"/>
  <c r="B2075" i="24"/>
  <c r="B2076" i="24"/>
  <c r="B2077" i="24"/>
  <c r="B2078" i="24"/>
  <c r="B2079" i="24"/>
  <c r="B2080" i="24"/>
  <c r="B2081" i="24"/>
  <c r="B2082" i="24"/>
  <c r="B2083" i="24"/>
  <c r="B2084" i="24"/>
  <c r="B2085" i="24"/>
  <c r="B2086" i="24"/>
  <c r="B2087" i="24"/>
  <c r="B2088" i="24"/>
  <c r="B2089" i="24"/>
  <c r="B2090" i="24"/>
  <c r="B2091" i="24"/>
  <c r="B2092" i="24"/>
  <c r="B2093" i="24"/>
  <c r="B2094" i="24"/>
  <c r="B2095" i="24"/>
  <c r="B2096" i="24"/>
  <c r="B2097" i="24"/>
  <c r="B2098" i="24"/>
  <c r="B2099" i="24"/>
  <c r="B2100" i="24"/>
  <c r="B2101" i="24"/>
  <c r="B2102" i="24"/>
  <c r="B2103" i="24"/>
  <c r="B2104" i="24"/>
  <c r="B2105" i="24"/>
  <c r="B2106" i="24"/>
  <c r="B2107" i="24"/>
  <c r="B2108" i="24"/>
  <c r="B2109" i="24"/>
  <c r="B2110" i="24"/>
  <c r="B2111" i="24"/>
  <c r="B2112" i="24"/>
  <c r="B2113" i="24"/>
  <c r="B2114" i="24"/>
  <c r="B2115" i="24"/>
  <c r="B2116" i="24"/>
  <c r="B2117" i="24"/>
  <c r="B2118" i="24"/>
  <c r="B2119" i="24"/>
  <c r="B2120" i="24"/>
  <c r="B2121" i="24"/>
  <c r="B2122" i="24"/>
  <c r="B2123" i="24"/>
  <c r="B2124" i="24"/>
  <c r="B2125" i="24"/>
  <c r="B2126" i="24"/>
  <c r="B2127" i="24"/>
  <c r="B2128" i="24"/>
  <c r="B2129" i="24"/>
  <c r="B2130" i="24"/>
  <c r="B2131" i="24"/>
  <c r="B2132" i="24"/>
  <c r="B2133" i="24"/>
  <c r="B2134" i="24"/>
  <c r="B2135" i="24"/>
  <c r="B2136" i="24"/>
  <c r="B2137" i="24"/>
  <c r="B2138" i="24"/>
  <c r="B2139" i="24"/>
  <c r="B2140" i="24"/>
  <c r="B2141" i="24"/>
  <c r="B2142" i="24"/>
  <c r="B2143" i="24"/>
  <c r="B2144" i="24"/>
  <c r="B2145" i="24"/>
  <c r="B2146" i="24"/>
  <c r="B2147" i="24"/>
  <c r="B2148" i="24"/>
  <c r="B2149" i="24"/>
  <c r="B2150" i="24"/>
  <c r="B2151" i="24"/>
  <c r="B2152" i="24"/>
  <c r="B2153" i="24"/>
  <c r="B2154" i="24"/>
  <c r="B2155" i="24"/>
  <c r="B2156" i="24"/>
  <c r="B2157" i="24"/>
  <c r="B2158" i="24"/>
  <c r="B2159" i="24"/>
  <c r="B2160" i="24"/>
  <c r="B2161" i="24"/>
  <c r="B2162" i="24"/>
  <c r="B2163" i="24"/>
  <c r="B2164" i="24"/>
  <c r="B2165" i="24"/>
  <c r="B2166" i="24"/>
  <c r="B2167" i="24"/>
  <c r="B2168" i="24"/>
  <c r="B2169" i="24"/>
  <c r="B2170" i="24"/>
  <c r="B2171" i="24"/>
  <c r="B2172" i="24"/>
  <c r="B2173" i="24"/>
  <c r="B2174" i="24"/>
  <c r="B2175" i="24"/>
  <c r="B2176" i="24"/>
  <c r="B2177" i="24"/>
  <c r="B2178" i="24"/>
  <c r="B2179" i="24"/>
  <c r="B2180" i="24"/>
  <c r="B2181" i="24"/>
  <c r="B2182" i="24"/>
  <c r="B2183" i="24"/>
  <c r="B2184" i="24"/>
  <c r="B2185" i="24"/>
  <c r="B2186" i="24"/>
  <c r="B2187" i="24"/>
  <c r="B2188" i="24"/>
  <c r="B2189" i="24"/>
  <c r="B2190" i="24"/>
  <c r="B2191" i="24"/>
  <c r="B2192" i="24"/>
  <c r="B2193" i="24"/>
  <c r="B2194" i="24"/>
  <c r="B2195" i="24"/>
  <c r="B2196" i="24"/>
  <c r="B2197" i="24"/>
  <c r="B2198" i="24"/>
  <c r="B2199" i="24"/>
  <c r="B2200" i="24"/>
  <c r="B2201" i="24"/>
  <c r="B2202" i="24"/>
  <c r="B2203" i="24"/>
  <c r="B2204" i="24"/>
  <c r="B2205" i="24"/>
  <c r="B2206" i="24"/>
  <c r="B2207" i="24"/>
  <c r="B2208" i="24"/>
  <c r="B2209" i="24"/>
  <c r="B2210" i="24"/>
  <c r="B2211" i="24"/>
  <c r="B2212" i="24"/>
  <c r="B2213" i="24"/>
  <c r="B2214" i="24"/>
  <c r="B2215" i="24"/>
  <c r="B2216" i="24"/>
  <c r="B2217" i="24"/>
  <c r="B2218" i="24"/>
  <c r="B2219" i="24"/>
  <c r="B2220" i="24"/>
  <c r="B2221" i="24"/>
  <c r="B2222" i="24"/>
  <c r="B2223" i="24"/>
  <c r="B2224" i="24"/>
  <c r="B2225" i="24"/>
  <c r="B2226" i="24"/>
  <c r="B2227" i="24"/>
  <c r="B2228" i="24"/>
  <c r="B2229" i="24"/>
  <c r="B2230" i="24"/>
  <c r="B2231" i="24"/>
  <c r="B2232" i="24"/>
  <c r="B2233" i="24"/>
  <c r="B2234" i="24"/>
  <c r="B2235" i="24"/>
  <c r="B2236" i="24"/>
  <c r="B2237" i="24"/>
  <c r="B2238" i="24"/>
  <c r="B2239" i="24"/>
  <c r="B2240" i="24"/>
  <c r="B2241" i="24"/>
  <c r="B2242" i="24"/>
  <c r="B2243" i="24"/>
  <c r="B2244" i="24"/>
  <c r="B2245" i="24"/>
  <c r="B2246" i="24"/>
  <c r="B2247" i="24"/>
  <c r="B2248" i="24"/>
  <c r="B2249" i="24"/>
  <c r="B2250" i="24"/>
  <c r="B2251" i="24"/>
  <c r="B2252" i="24"/>
  <c r="B2253" i="24"/>
  <c r="B2254" i="24"/>
  <c r="B2255" i="24"/>
  <c r="B2256" i="24"/>
  <c r="B2257" i="24"/>
  <c r="B2258" i="24"/>
  <c r="B2259" i="24"/>
  <c r="B2260" i="24"/>
  <c r="B2261" i="24"/>
  <c r="B2262" i="24"/>
  <c r="B2263" i="24"/>
  <c r="B2264" i="24"/>
  <c r="B2265" i="24"/>
  <c r="B2266" i="24"/>
  <c r="B2267" i="24"/>
  <c r="B2268" i="24"/>
  <c r="B2269" i="24"/>
  <c r="B2270" i="24"/>
  <c r="B2271" i="24"/>
  <c r="B2272" i="24"/>
  <c r="B2273" i="24"/>
  <c r="B2274" i="24"/>
  <c r="B2275" i="24"/>
  <c r="B2276" i="24"/>
  <c r="B2277" i="24"/>
  <c r="B2278" i="24"/>
  <c r="B2279" i="24"/>
  <c r="B2280" i="24"/>
  <c r="B2281" i="24"/>
  <c r="B2282" i="24"/>
  <c r="B2283" i="24"/>
  <c r="B2284" i="24"/>
  <c r="B2285" i="24"/>
  <c r="B2286" i="24"/>
  <c r="B2287" i="24"/>
  <c r="B2288" i="24"/>
  <c r="B2289" i="24"/>
  <c r="B2290" i="24"/>
  <c r="B2291" i="24"/>
  <c r="B2292" i="24"/>
  <c r="B2293" i="24"/>
  <c r="B2294" i="24"/>
  <c r="B2295" i="24"/>
  <c r="B2296" i="24"/>
  <c r="B2297" i="24"/>
  <c r="B2298" i="24"/>
  <c r="B2299" i="24"/>
  <c r="B2300" i="24"/>
  <c r="B2301" i="24"/>
  <c r="B2302" i="24"/>
  <c r="B2303" i="24"/>
  <c r="B2304" i="24"/>
  <c r="B2305" i="24"/>
  <c r="B2306" i="24"/>
  <c r="B2307" i="24"/>
  <c r="B2308" i="24"/>
  <c r="B2309" i="24"/>
  <c r="B2310" i="24"/>
  <c r="B2311" i="24"/>
  <c r="B2312" i="24"/>
  <c r="B2313" i="24"/>
  <c r="B2314" i="24"/>
  <c r="B2315" i="24"/>
  <c r="B2316" i="24"/>
  <c r="B2317" i="24"/>
  <c r="B2318" i="24"/>
  <c r="B2319" i="24"/>
  <c r="B2320" i="24"/>
  <c r="B2321" i="24"/>
  <c r="B2322" i="24"/>
  <c r="B2323" i="24"/>
  <c r="B2324" i="24"/>
  <c r="B2325" i="24"/>
  <c r="B2326" i="24"/>
  <c r="B2327" i="24"/>
  <c r="B2328" i="24"/>
  <c r="B2329" i="24"/>
  <c r="B2330" i="24"/>
  <c r="B2331" i="24"/>
  <c r="B2332" i="24"/>
  <c r="B2333" i="24"/>
  <c r="B2334" i="24"/>
  <c r="B2335" i="24"/>
  <c r="B2336" i="24"/>
  <c r="B2337" i="24"/>
  <c r="B2338" i="24"/>
  <c r="B2339" i="24"/>
  <c r="B2340" i="24"/>
  <c r="B2341" i="24"/>
  <c r="B2342" i="24"/>
  <c r="B2343" i="24"/>
  <c r="B2344" i="24"/>
  <c r="B2345" i="24"/>
  <c r="B2346" i="24"/>
  <c r="B2347" i="24"/>
  <c r="B2348" i="24"/>
  <c r="B2349" i="24"/>
  <c r="B2350" i="24"/>
  <c r="B2351" i="24"/>
  <c r="B2352" i="24"/>
  <c r="B2353" i="24"/>
  <c r="B2354" i="24"/>
  <c r="B2355" i="24"/>
  <c r="B2356" i="24"/>
  <c r="B2357" i="24"/>
  <c r="B2358" i="24"/>
  <c r="B2359" i="24"/>
  <c r="B2360" i="24"/>
  <c r="B2361" i="24"/>
  <c r="B2362" i="24"/>
  <c r="B2363" i="24"/>
  <c r="B2364" i="24"/>
  <c r="B2365" i="24"/>
  <c r="B2366" i="24"/>
  <c r="B2367" i="24"/>
  <c r="B2368" i="24"/>
  <c r="B2369" i="24"/>
  <c r="B2370" i="24"/>
  <c r="B2371" i="24"/>
  <c r="B2372" i="24"/>
  <c r="B2373" i="24"/>
  <c r="B2374" i="24"/>
  <c r="B2375" i="24"/>
  <c r="B2376" i="24"/>
  <c r="B2377" i="24"/>
  <c r="B2378" i="24"/>
  <c r="B2379" i="24"/>
  <c r="B2380" i="24"/>
  <c r="B2381" i="24"/>
  <c r="B2382" i="24"/>
  <c r="B2383" i="24"/>
  <c r="B2384" i="24"/>
  <c r="B2385" i="24"/>
  <c r="B2386" i="24"/>
  <c r="B2387" i="24"/>
  <c r="B2388" i="24"/>
  <c r="B2389" i="24"/>
  <c r="B2390" i="24"/>
  <c r="B2391" i="24"/>
  <c r="B2392" i="24"/>
  <c r="B2393" i="24"/>
  <c r="B2394" i="24"/>
  <c r="B2395" i="24"/>
  <c r="B2396" i="24"/>
  <c r="B2397" i="24"/>
  <c r="B2398" i="24"/>
  <c r="B2399" i="24"/>
  <c r="B2400" i="24"/>
  <c r="B2401" i="24"/>
  <c r="B2402" i="24"/>
  <c r="B2403" i="24"/>
  <c r="B2404" i="24"/>
  <c r="B2405" i="24"/>
  <c r="B2406" i="24"/>
  <c r="B2407" i="24"/>
  <c r="B2408" i="24"/>
  <c r="B2409" i="24"/>
  <c r="B2410" i="24"/>
  <c r="B2411" i="24"/>
  <c r="B2412" i="24"/>
  <c r="B2413" i="24"/>
  <c r="B2414" i="24"/>
  <c r="B2415" i="24"/>
  <c r="B2416" i="24"/>
  <c r="B2417" i="24"/>
  <c r="B2418" i="24"/>
  <c r="B2419" i="24"/>
  <c r="B2420" i="24"/>
  <c r="B2421" i="24"/>
  <c r="B2422" i="24"/>
  <c r="B2423" i="24"/>
  <c r="B2424" i="24"/>
  <c r="B2425" i="24"/>
  <c r="B2426" i="24"/>
  <c r="B2427" i="24"/>
  <c r="B2428" i="24"/>
  <c r="B2429" i="24"/>
  <c r="B2430" i="24"/>
  <c r="B2431" i="24"/>
  <c r="B2432" i="24"/>
  <c r="B2433" i="24"/>
  <c r="B2434" i="24"/>
  <c r="B2435" i="24"/>
  <c r="B2436" i="24"/>
  <c r="B2437" i="24"/>
  <c r="B2438" i="24"/>
  <c r="B2439" i="24"/>
  <c r="B2440" i="24"/>
  <c r="B2441" i="24"/>
  <c r="B2442" i="24"/>
  <c r="B2443" i="24"/>
  <c r="B2444" i="24"/>
  <c r="B2445" i="24"/>
  <c r="B2446" i="24"/>
  <c r="B2447" i="24"/>
  <c r="B2448" i="24"/>
  <c r="B2449" i="24"/>
  <c r="B2450" i="24"/>
  <c r="B2451" i="24"/>
  <c r="B2452" i="24"/>
  <c r="B2453" i="24"/>
  <c r="B2454" i="24"/>
  <c r="B2455" i="24"/>
  <c r="B2456" i="24"/>
  <c r="B2457" i="24"/>
  <c r="B2458" i="24"/>
  <c r="B2459" i="24"/>
  <c r="B2460" i="24"/>
  <c r="B2461" i="24"/>
  <c r="B2462" i="24"/>
  <c r="B2463" i="24"/>
  <c r="B2464" i="24"/>
  <c r="B2465" i="24"/>
  <c r="B2466" i="24"/>
  <c r="B2467" i="24"/>
  <c r="B2468" i="24"/>
  <c r="B2469" i="24"/>
  <c r="B2470" i="24"/>
  <c r="B2471" i="24"/>
  <c r="B2472" i="24"/>
  <c r="B2473" i="24"/>
  <c r="B2474" i="24"/>
  <c r="B2475" i="24"/>
  <c r="B2476" i="24"/>
  <c r="B2477" i="24"/>
  <c r="B2478" i="24"/>
  <c r="B2479" i="24"/>
  <c r="B2480" i="24"/>
  <c r="B2481" i="24"/>
  <c r="B2482" i="24"/>
  <c r="B2483" i="24"/>
  <c r="B2484" i="24"/>
  <c r="B2485" i="24"/>
  <c r="B2486" i="24"/>
  <c r="B2487" i="24"/>
  <c r="B2488" i="24"/>
  <c r="B2489" i="24"/>
  <c r="B2490" i="24"/>
  <c r="B2491" i="24"/>
  <c r="B2492" i="24"/>
  <c r="B2493" i="24"/>
  <c r="B2494" i="24"/>
  <c r="B2495" i="24"/>
  <c r="B2496" i="24"/>
  <c r="B2497" i="24"/>
  <c r="B2498" i="24"/>
  <c r="B2499" i="24"/>
  <c r="B2500" i="24"/>
  <c r="B2501" i="24"/>
  <c r="B2502" i="24"/>
  <c r="B2503" i="24"/>
  <c r="B2504" i="24"/>
  <c r="B2505" i="24"/>
  <c r="B2506" i="24"/>
  <c r="B2507" i="24"/>
  <c r="B2508" i="24"/>
  <c r="B2509" i="24"/>
  <c r="B2510" i="24"/>
  <c r="B2511" i="24"/>
  <c r="B2512" i="24"/>
  <c r="B2513" i="24"/>
  <c r="B2514" i="24"/>
  <c r="B2515" i="24"/>
  <c r="B2516" i="24"/>
  <c r="B2517" i="24"/>
  <c r="B2518" i="24"/>
  <c r="B2519" i="24"/>
  <c r="B2520" i="24"/>
  <c r="B2521" i="24"/>
  <c r="B2522" i="24"/>
  <c r="B2523" i="24"/>
  <c r="B2524" i="24"/>
  <c r="B2525" i="24"/>
  <c r="B2526" i="24"/>
  <c r="B2527" i="24"/>
  <c r="B2528" i="24"/>
  <c r="B2529" i="24"/>
  <c r="B2530" i="24"/>
  <c r="B2531" i="24"/>
  <c r="B2532" i="24"/>
  <c r="B2533" i="24"/>
  <c r="B2534" i="24"/>
  <c r="B2535" i="24"/>
  <c r="B2536" i="24"/>
  <c r="B2537" i="24"/>
  <c r="B2538" i="24"/>
  <c r="B2539" i="24"/>
  <c r="B2540" i="24"/>
  <c r="B2541" i="24"/>
  <c r="B2542" i="24"/>
  <c r="B2543" i="24"/>
  <c r="B2544" i="24"/>
  <c r="B2545" i="24"/>
  <c r="B2546" i="24"/>
  <c r="B2547" i="24"/>
  <c r="B2548" i="24"/>
  <c r="B2549" i="24"/>
  <c r="B2550" i="24"/>
  <c r="B2551" i="24"/>
  <c r="B2552" i="24"/>
  <c r="B2553" i="24"/>
  <c r="B2554" i="24"/>
  <c r="B2555" i="24"/>
  <c r="B2556" i="24"/>
  <c r="B2557" i="24"/>
  <c r="B2558" i="24"/>
  <c r="B2559" i="24"/>
  <c r="B2560" i="24"/>
  <c r="B2561" i="24"/>
  <c r="B2562" i="24"/>
  <c r="B2563" i="24"/>
  <c r="B2564" i="24"/>
  <c r="B2565" i="24"/>
  <c r="B2566" i="24"/>
  <c r="B2567" i="24"/>
  <c r="B2568" i="24"/>
  <c r="B2569" i="24"/>
  <c r="B2570" i="24"/>
  <c r="B2571" i="24"/>
  <c r="B2572" i="24"/>
  <c r="B2573" i="24"/>
  <c r="B2574" i="24"/>
  <c r="B2575" i="24"/>
  <c r="B2576" i="24"/>
  <c r="B2577" i="24"/>
  <c r="B2578" i="24"/>
  <c r="B2579" i="24"/>
  <c r="B2580" i="24"/>
  <c r="B2581" i="24"/>
  <c r="B2582" i="24"/>
  <c r="B2583" i="24"/>
  <c r="B2584" i="24"/>
  <c r="B2585" i="24"/>
  <c r="B2586" i="24"/>
  <c r="B2587" i="24"/>
  <c r="B2588" i="24"/>
  <c r="B2589" i="24"/>
  <c r="B2590" i="24"/>
  <c r="B2591" i="24"/>
  <c r="B2592" i="24"/>
  <c r="B2593" i="24"/>
  <c r="B2594" i="24"/>
  <c r="B2595" i="24"/>
  <c r="B2596" i="24"/>
  <c r="B2597" i="24"/>
  <c r="B2598" i="24"/>
  <c r="B2599" i="24"/>
  <c r="B2600" i="24"/>
  <c r="B2601" i="24"/>
  <c r="B2602" i="24"/>
  <c r="B2603" i="24"/>
  <c r="B2604" i="24"/>
  <c r="B2605" i="24"/>
  <c r="B2606" i="24"/>
  <c r="B2607" i="24"/>
  <c r="B2608" i="24"/>
  <c r="B2609" i="24"/>
  <c r="B2610" i="24"/>
  <c r="B2611" i="24"/>
  <c r="B2612" i="24"/>
  <c r="B2613" i="24"/>
  <c r="B2614" i="24"/>
  <c r="B2615" i="24"/>
  <c r="B2616" i="24"/>
  <c r="B2617" i="24"/>
  <c r="B2618" i="24"/>
  <c r="B2619" i="24"/>
  <c r="B2620" i="24"/>
  <c r="B2621" i="24"/>
  <c r="B2622" i="24"/>
  <c r="B2623" i="24"/>
  <c r="B2624" i="24"/>
  <c r="B2625" i="24"/>
  <c r="B2626" i="24"/>
  <c r="B2627" i="24"/>
  <c r="B2628" i="24"/>
  <c r="B2629" i="24"/>
  <c r="B2630" i="24"/>
  <c r="B2631" i="24"/>
  <c r="B2632" i="24"/>
  <c r="B2633" i="24"/>
  <c r="B2634" i="24"/>
  <c r="B2635" i="24"/>
  <c r="B2636" i="24"/>
  <c r="B2637" i="24"/>
  <c r="B2638" i="24"/>
  <c r="B2639" i="24"/>
  <c r="B2640" i="24"/>
  <c r="B2641" i="24"/>
  <c r="B2642" i="24"/>
  <c r="B2643" i="24"/>
  <c r="B2644" i="24"/>
  <c r="B2645" i="24"/>
  <c r="B2646" i="24"/>
  <c r="B2647" i="24"/>
  <c r="B2648" i="24"/>
  <c r="B2649" i="24"/>
  <c r="B2650" i="24"/>
  <c r="B2651" i="24"/>
  <c r="B2652" i="24"/>
  <c r="B2653" i="24"/>
  <c r="B2654" i="24"/>
  <c r="B2655" i="24"/>
  <c r="B2656" i="24"/>
  <c r="B2657" i="24"/>
  <c r="B2658" i="24"/>
  <c r="B2659" i="24"/>
  <c r="B2660" i="24"/>
  <c r="B2661" i="24"/>
  <c r="B2662" i="24"/>
  <c r="B2663" i="24"/>
  <c r="B2664" i="24"/>
  <c r="B2665" i="24"/>
  <c r="B2666" i="24"/>
  <c r="B2667" i="24"/>
  <c r="B2668" i="24"/>
  <c r="B2669" i="24"/>
  <c r="B2670" i="24"/>
  <c r="B2671" i="24"/>
  <c r="B2672" i="24"/>
  <c r="B2673" i="24"/>
  <c r="B2674" i="24"/>
  <c r="B2675" i="24"/>
  <c r="B2676" i="24"/>
  <c r="B2677" i="24"/>
  <c r="B2678" i="24"/>
  <c r="B2679" i="24"/>
  <c r="B2680" i="24"/>
  <c r="B2681" i="24"/>
  <c r="B2682" i="24"/>
  <c r="B2683" i="24"/>
  <c r="B2684" i="24"/>
  <c r="B2685" i="24"/>
  <c r="B2686" i="24"/>
  <c r="B2687" i="24"/>
  <c r="B2688" i="24"/>
  <c r="B2689" i="24"/>
  <c r="B2690" i="24"/>
  <c r="B2691" i="24"/>
  <c r="B2692" i="24"/>
  <c r="B2693" i="24"/>
  <c r="B2694" i="24"/>
  <c r="B2695" i="24"/>
  <c r="B2696" i="24"/>
  <c r="B2697" i="24"/>
  <c r="B2698" i="24"/>
  <c r="B2699" i="24"/>
  <c r="B2700" i="24"/>
  <c r="B2701" i="24"/>
  <c r="B2702" i="24"/>
  <c r="B2703" i="24"/>
  <c r="B2704" i="24"/>
  <c r="B2705" i="24"/>
  <c r="B2706" i="24"/>
  <c r="B2707" i="24"/>
  <c r="B2708" i="24"/>
  <c r="B2709" i="24"/>
  <c r="B2710" i="24"/>
  <c r="B2711" i="24"/>
  <c r="B2712" i="24"/>
  <c r="B2713" i="24"/>
  <c r="B2714" i="24"/>
  <c r="B2715" i="24"/>
  <c r="B2716" i="24"/>
  <c r="B2717" i="24"/>
  <c r="B2718" i="24"/>
  <c r="B2719" i="24"/>
  <c r="B2720" i="24"/>
  <c r="B2721" i="24"/>
  <c r="B2722" i="24"/>
  <c r="B2723" i="24"/>
  <c r="B2724" i="24"/>
  <c r="B2725" i="24"/>
  <c r="B2726" i="24"/>
  <c r="B2727" i="24"/>
  <c r="B2728" i="24"/>
  <c r="B2729" i="24"/>
  <c r="B2730" i="24"/>
  <c r="B2731" i="24"/>
  <c r="B2732" i="24"/>
  <c r="B2733" i="24"/>
  <c r="B2734" i="24"/>
  <c r="B2735" i="24"/>
  <c r="B2736" i="24"/>
  <c r="B2737" i="24"/>
  <c r="B2738" i="24"/>
  <c r="B2739" i="24"/>
  <c r="B2740" i="24"/>
  <c r="B2741" i="24"/>
  <c r="B2742" i="24"/>
  <c r="B2743" i="24"/>
  <c r="B2744" i="24"/>
  <c r="B2745" i="24"/>
  <c r="B2746" i="24"/>
  <c r="B2747" i="24"/>
  <c r="B2748" i="24"/>
  <c r="B2749" i="24"/>
  <c r="B2750" i="24"/>
  <c r="B2751" i="24"/>
  <c r="B2752" i="24"/>
  <c r="B2753" i="24"/>
  <c r="B2754" i="24"/>
  <c r="B2755" i="24"/>
  <c r="B2756" i="24"/>
  <c r="B2757" i="24"/>
  <c r="B2758" i="24"/>
  <c r="B2759" i="24"/>
  <c r="B2760" i="24"/>
  <c r="B2761" i="24"/>
  <c r="B2762" i="24"/>
  <c r="B2763" i="24"/>
  <c r="B2764" i="24"/>
  <c r="B2765" i="24"/>
  <c r="B2766" i="24"/>
  <c r="B2767" i="24"/>
  <c r="B2768" i="24"/>
  <c r="B2769" i="24"/>
  <c r="B2770" i="24"/>
  <c r="B2771" i="24"/>
  <c r="B2772" i="24"/>
  <c r="B2773" i="24"/>
  <c r="B2774" i="24"/>
  <c r="B2775" i="24"/>
  <c r="B2776" i="24"/>
  <c r="B2777" i="24"/>
  <c r="B2778" i="24"/>
  <c r="B2779" i="24"/>
  <c r="B2780" i="24"/>
  <c r="B2781" i="24"/>
  <c r="B2782" i="24"/>
  <c r="B2783" i="24"/>
  <c r="B2784" i="24"/>
  <c r="B2785" i="24"/>
  <c r="B2786" i="24"/>
  <c r="B2787" i="24"/>
  <c r="B2788" i="24"/>
  <c r="B2789" i="24"/>
  <c r="B2790" i="24"/>
  <c r="B2791" i="24"/>
  <c r="B2792" i="24"/>
  <c r="B2793" i="24"/>
  <c r="B2794" i="24"/>
  <c r="B2795" i="24"/>
  <c r="B2796" i="24"/>
  <c r="B2797" i="24"/>
  <c r="B2798" i="24"/>
  <c r="B2799" i="24"/>
  <c r="B2800" i="24"/>
  <c r="B2801" i="24"/>
  <c r="B2802" i="24"/>
  <c r="B2803" i="24"/>
  <c r="B2804" i="24"/>
  <c r="B2805" i="24"/>
  <c r="B2806" i="24"/>
  <c r="B2807" i="24"/>
  <c r="B2808" i="24"/>
  <c r="B2809" i="24"/>
  <c r="B2810" i="24"/>
  <c r="B2811" i="24"/>
  <c r="B2812" i="24"/>
  <c r="B2813" i="24"/>
  <c r="B2814" i="24"/>
  <c r="B2815" i="24"/>
  <c r="B2816" i="24"/>
  <c r="B2817" i="24"/>
  <c r="B2818" i="24"/>
  <c r="B2819" i="24"/>
  <c r="B2820" i="24"/>
  <c r="B2821" i="24"/>
  <c r="B2822" i="24"/>
  <c r="B2823" i="24"/>
  <c r="B2824" i="24"/>
  <c r="B2825" i="24"/>
  <c r="B2826" i="24"/>
  <c r="B2827" i="24"/>
  <c r="B2828" i="24"/>
  <c r="B2829" i="24"/>
  <c r="B2830" i="24"/>
  <c r="B2831" i="24"/>
  <c r="B2832" i="24"/>
  <c r="B2833" i="24"/>
  <c r="B2834" i="24"/>
  <c r="B2835" i="24"/>
  <c r="B2836" i="24"/>
  <c r="B2837" i="24"/>
  <c r="B2838" i="24"/>
  <c r="B2839" i="24"/>
  <c r="B2840" i="24"/>
  <c r="B2841" i="24"/>
  <c r="B2842" i="24"/>
  <c r="B2843" i="24"/>
  <c r="B2844" i="24"/>
  <c r="B2845" i="24"/>
  <c r="B2846" i="24"/>
  <c r="B2847" i="24"/>
  <c r="B2848" i="24"/>
  <c r="B2849" i="24"/>
  <c r="B2850" i="24"/>
  <c r="B2851" i="24"/>
  <c r="B2852" i="24"/>
  <c r="B2853" i="24"/>
  <c r="B2854" i="24"/>
  <c r="B2855" i="24"/>
  <c r="B2856" i="24"/>
  <c r="B2857" i="24"/>
  <c r="B2858" i="24"/>
  <c r="B2859" i="24"/>
  <c r="B2860" i="24"/>
  <c r="B2861" i="24"/>
  <c r="B2862" i="24"/>
  <c r="B2863" i="24"/>
  <c r="B2864" i="24"/>
  <c r="B2865" i="24"/>
  <c r="B2866" i="24"/>
  <c r="B2867" i="24"/>
  <c r="B2868" i="24"/>
  <c r="B2869" i="24"/>
  <c r="B2870" i="24"/>
  <c r="B2871" i="24"/>
  <c r="B2872" i="24"/>
  <c r="B2873" i="24"/>
  <c r="B2874" i="24"/>
  <c r="B2875" i="24"/>
  <c r="B2876" i="24"/>
  <c r="B2877" i="24"/>
  <c r="B2878" i="24"/>
  <c r="B2879" i="24"/>
  <c r="B2880" i="24"/>
  <c r="B2881" i="24"/>
  <c r="B2882" i="24"/>
  <c r="B2883" i="24"/>
  <c r="B2884" i="24"/>
  <c r="B2885" i="24"/>
  <c r="B2886" i="24"/>
  <c r="B2887" i="24"/>
  <c r="B2888" i="24"/>
  <c r="B2889" i="24"/>
  <c r="B2890" i="24"/>
  <c r="B2891" i="24"/>
  <c r="B2892" i="24"/>
  <c r="B2893" i="24"/>
  <c r="B2894" i="24"/>
  <c r="B2895" i="24"/>
  <c r="B2896" i="24"/>
  <c r="B2897" i="24"/>
  <c r="B2898" i="24"/>
  <c r="B2899" i="24"/>
  <c r="B2900" i="24"/>
  <c r="B2901" i="24"/>
  <c r="B2902" i="24"/>
  <c r="B2903" i="24"/>
  <c r="B2904" i="24"/>
  <c r="B2905" i="24"/>
  <c r="B2906" i="24"/>
  <c r="B2907" i="24"/>
  <c r="B2908" i="24"/>
  <c r="B2909" i="24"/>
  <c r="B2910" i="24"/>
  <c r="B2911" i="24"/>
  <c r="B2912" i="24"/>
  <c r="B2913" i="24"/>
  <c r="B2914" i="24"/>
  <c r="B2915" i="24"/>
  <c r="B2916" i="24"/>
  <c r="B2917" i="24"/>
  <c r="B2918" i="24"/>
  <c r="B2919" i="24"/>
  <c r="B2920" i="24"/>
  <c r="B2921" i="24"/>
  <c r="B2922" i="24"/>
  <c r="B2923" i="24"/>
  <c r="B2924" i="24"/>
  <c r="B2925" i="24"/>
  <c r="B2926" i="24"/>
  <c r="B2927" i="24"/>
  <c r="B2928" i="24"/>
  <c r="B2929" i="24"/>
  <c r="B2930" i="24"/>
  <c r="B2931" i="24"/>
  <c r="B2932" i="24"/>
  <c r="B2933" i="24"/>
  <c r="B2934" i="24"/>
  <c r="B2935" i="24"/>
  <c r="B2936" i="24"/>
  <c r="B2937" i="24"/>
  <c r="B2938" i="24"/>
  <c r="B2939" i="24"/>
  <c r="B2940" i="24"/>
  <c r="B2941" i="24"/>
  <c r="B2942" i="24"/>
  <c r="B2943" i="24"/>
  <c r="B2944" i="24"/>
  <c r="B2945" i="24"/>
  <c r="B2946" i="24"/>
  <c r="B2947" i="24"/>
  <c r="B2948" i="24"/>
  <c r="B2949" i="24"/>
  <c r="B2950" i="24"/>
  <c r="B2951" i="24"/>
  <c r="B2952" i="24"/>
  <c r="B2953" i="24"/>
  <c r="B2954" i="24"/>
  <c r="B2955" i="24"/>
  <c r="B2956" i="24"/>
  <c r="B2957" i="24"/>
  <c r="B2958" i="24"/>
  <c r="B2959" i="24"/>
  <c r="B2960" i="24"/>
  <c r="B2961" i="24"/>
  <c r="B2962" i="24"/>
  <c r="B2963" i="24"/>
  <c r="B2964" i="24"/>
  <c r="B2965" i="24"/>
  <c r="B2966" i="24"/>
  <c r="B2967" i="24"/>
  <c r="B2968" i="24"/>
  <c r="B2969" i="24"/>
  <c r="B2970" i="24"/>
  <c r="B2971" i="24"/>
  <c r="B2972" i="24"/>
  <c r="B2973" i="24"/>
  <c r="B2974" i="24"/>
  <c r="B2975" i="24"/>
  <c r="B2976" i="24"/>
  <c r="B2977" i="24"/>
  <c r="B2978" i="24"/>
  <c r="B2979" i="24"/>
  <c r="B2980" i="24"/>
  <c r="B2981" i="24"/>
  <c r="B2982" i="24"/>
  <c r="B2983" i="24"/>
  <c r="B2984" i="24"/>
  <c r="B2985" i="24"/>
  <c r="B2986" i="24"/>
  <c r="B2987" i="24"/>
  <c r="B2988" i="24"/>
  <c r="B2989" i="24"/>
  <c r="B2990" i="24"/>
  <c r="B2991" i="24"/>
  <c r="B2992" i="24"/>
  <c r="B2993" i="24"/>
  <c r="B2994" i="24"/>
  <c r="B2995" i="24"/>
  <c r="B2996" i="24"/>
  <c r="B2997" i="24"/>
  <c r="B2998" i="24"/>
  <c r="B2999" i="24"/>
  <c r="B3000" i="24"/>
  <c r="B3001" i="24"/>
  <c r="B3002" i="24"/>
  <c r="B3003" i="24"/>
  <c r="B3004" i="24"/>
  <c r="B3005" i="24"/>
  <c r="B3006" i="24"/>
  <c r="B3007" i="24"/>
  <c r="B3008" i="24"/>
  <c r="B3009" i="24"/>
  <c r="B3010" i="24"/>
  <c r="B3011" i="24"/>
  <c r="B3012" i="24"/>
  <c r="B3013" i="24"/>
  <c r="B3014" i="24"/>
  <c r="B3015" i="24"/>
  <c r="B3016" i="24"/>
  <c r="B3017" i="24"/>
  <c r="B3018" i="24"/>
  <c r="B3019" i="24"/>
  <c r="B3020" i="24"/>
  <c r="B3021" i="24"/>
  <c r="B3022" i="24"/>
  <c r="B3023" i="24"/>
  <c r="B3024" i="24"/>
  <c r="B3025" i="24"/>
  <c r="B3026" i="24"/>
  <c r="B3027" i="24"/>
  <c r="B3028" i="24"/>
  <c r="B3029" i="24"/>
  <c r="B3030" i="24"/>
  <c r="B3031" i="24"/>
  <c r="B3032" i="24"/>
  <c r="B3033" i="24"/>
  <c r="B3034" i="24"/>
  <c r="B3035" i="24"/>
  <c r="B3036" i="24"/>
  <c r="B3037" i="24"/>
  <c r="B3038" i="24"/>
  <c r="B3039" i="24"/>
  <c r="B3040" i="24"/>
  <c r="B3041" i="24"/>
  <c r="B3042" i="24"/>
  <c r="B3043" i="24"/>
  <c r="B3044" i="24"/>
  <c r="B3045" i="24"/>
  <c r="B3046" i="24"/>
  <c r="B3047" i="24"/>
  <c r="B3048" i="24"/>
  <c r="B3049" i="24"/>
  <c r="B3050" i="24"/>
  <c r="B3051" i="24"/>
  <c r="B3052" i="24"/>
  <c r="B3053" i="24"/>
  <c r="B3054" i="24"/>
  <c r="B3055" i="24"/>
  <c r="B3056" i="24"/>
  <c r="B3057" i="24"/>
  <c r="B3058" i="24"/>
  <c r="B3059" i="24"/>
  <c r="B3060" i="24"/>
  <c r="B3061" i="24"/>
  <c r="B3062" i="24"/>
  <c r="B3063" i="24"/>
  <c r="B3064" i="24"/>
  <c r="B3065" i="24"/>
  <c r="B3066" i="24"/>
  <c r="B3067" i="24"/>
  <c r="B3068" i="24"/>
  <c r="B3069" i="24"/>
  <c r="B3070" i="24"/>
  <c r="B3071" i="24"/>
  <c r="B3072" i="24"/>
  <c r="B3073" i="24"/>
  <c r="B3074" i="24"/>
  <c r="B3075" i="24"/>
  <c r="B3076" i="24"/>
  <c r="B3077" i="24"/>
  <c r="B3078" i="24"/>
  <c r="B3079" i="24"/>
  <c r="B3080" i="24"/>
  <c r="B3081" i="24"/>
  <c r="B3082" i="24"/>
  <c r="B3083" i="24"/>
  <c r="B3084" i="24"/>
  <c r="B3085" i="24"/>
  <c r="B3086" i="24"/>
  <c r="B3087" i="24"/>
  <c r="B3088" i="24"/>
  <c r="B3089" i="24"/>
  <c r="B3090" i="24"/>
  <c r="B3091" i="24"/>
  <c r="B3092" i="24"/>
  <c r="B3093" i="24"/>
  <c r="B3094" i="24"/>
  <c r="B3095" i="24"/>
  <c r="B3096" i="24"/>
  <c r="B3097" i="24"/>
  <c r="B3098" i="24"/>
  <c r="B3099" i="24"/>
  <c r="B3100" i="24"/>
  <c r="B3101" i="24"/>
  <c r="B3102" i="24"/>
  <c r="B3103" i="24"/>
  <c r="B3104" i="24"/>
  <c r="B3105" i="24"/>
  <c r="B3106" i="24"/>
  <c r="B3107" i="24"/>
  <c r="B3108" i="24"/>
  <c r="B3109" i="24"/>
  <c r="B3110" i="24"/>
  <c r="B3111" i="24"/>
  <c r="B3112" i="24"/>
  <c r="B3113" i="24"/>
  <c r="B3114" i="24"/>
  <c r="B3115" i="24"/>
  <c r="B3116" i="24"/>
  <c r="B3117" i="24"/>
  <c r="B3118" i="24"/>
  <c r="B3119" i="24"/>
  <c r="B3120" i="24"/>
  <c r="B3121" i="24"/>
  <c r="B3122" i="24"/>
  <c r="B3123" i="24"/>
  <c r="B3124" i="24"/>
  <c r="B3125" i="24"/>
  <c r="B3126" i="24"/>
  <c r="B3127" i="24"/>
  <c r="B3128" i="24"/>
  <c r="B3129" i="24"/>
  <c r="B3130" i="24"/>
  <c r="B3131" i="24"/>
  <c r="B3132" i="24"/>
  <c r="B3133" i="24"/>
  <c r="B3134" i="24"/>
  <c r="B3135" i="24"/>
  <c r="B3136" i="24"/>
  <c r="B3137" i="24"/>
  <c r="B3138" i="24"/>
  <c r="B3139" i="24"/>
  <c r="B3140" i="24"/>
  <c r="B3141" i="24"/>
  <c r="B3142" i="24"/>
  <c r="B3143" i="24"/>
  <c r="B3144" i="24"/>
  <c r="B3145" i="24"/>
  <c r="B3146" i="24"/>
  <c r="B3147" i="24"/>
  <c r="B3148" i="24"/>
  <c r="B3149" i="24"/>
  <c r="B3150" i="24"/>
  <c r="B3151" i="24"/>
  <c r="B3152" i="24"/>
  <c r="B3153" i="24"/>
  <c r="B3154" i="24"/>
  <c r="B3155" i="24"/>
  <c r="B3156" i="24"/>
  <c r="B3157" i="24"/>
  <c r="B3158" i="24"/>
  <c r="B3159" i="24"/>
  <c r="B3160" i="24"/>
  <c r="B3161" i="24"/>
  <c r="B3162" i="24"/>
  <c r="B3163" i="24"/>
  <c r="B3164" i="24"/>
  <c r="B3165" i="24"/>
  <c r="B3166" i="24"/>
  <c r="B3167" i="24"/>
  <c r="B3168" i="24"/>
  <c r="B3169" i="24"/>
  <c r="B3170" i="24"/>
  <c r="B3171" i="24"/>
  <c r="B3172" i="24"/>
  <c r="B3173" i="24"/>
  <c r="B3174" i="24"/>
  <c r="B3175" i="24"/>
  <c r="B3176" i="24"/>
  <c r="B3177" i="24"/>
  <c r="B3178" i="24"/>
  <c r="B3179" i="24"/>
  <c r="B3180" i="24"/>
  <c r="B3181" i="24"/>
  <c r="B3182" i="24"/>
  <c r="B3183" i="24"/>
  <c r="B3184" i="24"/>
  <c r="B3185" i="24"/>
  <c r="B3186" i="24"/>
  <c r="B3187" i="24"/>
  <c r="B3188" i="24"/>
  <c r="B3189" i="24"/>
  <c r="B3190" i="24"/>
  <c r="B3191" i="24"/>
  <c r="B3192" i="24"/>
  <c r="B3193" i="24"/>
  <c r="B3194" i="24"/>
  <c r="B3195" i="24"/>
  <c r="B3196" i="24"/>
  <c r="B3197" i="24"/>
  <c r="B3198" i="24"/>
  <c r="B3199" i="24"/>
  <c r="B3200" i="24"/>
  <c r="B3201" i="24"/>
  <c r="B3202" i="24"/>
  <c r="B3203" i="24"/>
  <c r="B3204" i="24"/>
  <c r="B3205" i="24"/>
  <c r="B3206" i="24"/>
  <c r="B3207" i="24"/>
  <c r="B3208" i="24"/>
  <c r="B3209" i="24"/>
  <c r="B3210" i="24"/>
  <c r="B3211" i="24"/>
  <c r="B3212" i="24"/>
  <c r="B3213" i="24"/>
  <c r="B3214" i="24"/>
  <c r="B3215" i="24"/>
  <c r="B3216" i="24"/>
  <c r="B3217" i="24"/>
  <c r="B3218" i="24"/>
  <c r="B3219" i="24"/>
  <c r="B3220" i="24"/>
  <c r="B3221" i="24"/>
  <c r="B3222" i="24"/>
  <c r="B3223" i="24"/>
  <c r="B3224" i="24"/>
  <c r="B3225" i="24"/>
  <c r="B3226" i="24"/>
  <c r="B3227" i="24"/>
  <c r="B3228" i="24"/>
  <c r="B3229" i="24"/>
  <c r="B3230" i="24"/>
  <c r="B3231" i="24"/>
  <c r="B3232" i="24"/>
  <c r="B3233" i="24"/>
  <c r="B3234" i="24"/>
  <c r="B3235" i="24"/>
  <c r="B3236" i="24"/>
  <c r="B3237" i="24"/>
  <c r="B3238" i="24"/>
  <c r="B3239" i="24"/>
  <c r="B3240" i="24"/>
  <c r="B3241" i="24"/>
  <c r="B3242" i="24"/>
  <c r="B3243" i="24"/>
  <c r="B3244" i="24"/>
  <c r="B3245" i="24"/>
  <c r="B3246" i="24"/>
  <c r="B3247" i="24"/>
  <c r="B3248" i="24"/>
  <c r="B3249" i="24"/>
  <c r="B3250" i="24"/>
  <c r="B3251" i="24"/>
  <c r="B3252" i="24"/>
  <c r="B3253" i="24"/>
  <c r="B3254" i="24"/>
  <c r="B3255" i="24"/>
  <c r="B3256" i="24"/>
  <c r="B3257" i="24"/>
  <c r="B3258" i="24"/>
  <c r="B3259" i="24"/>
  <c r="B3260" i="24"/>
  <c r="B3261" i="24"/>
  <c r="B3262" i="24"/>
  <c r="B3263" i="24"/>
  <c r="B3264" i="24"/>
  <c r="B3265" i="24"/>
  <c r="B3266" i="24"/>
  <c r="B3267" i="24"/>
  <c r="B3268" i="24"/>
  <c r="B3269" i="24"/>
  <c r="B3270" i="24"/>
  <c r="B3271" i="24"/>
  <c r="B3272" i="24"/>
  <c r="B3273" i="24"/>
  <c r="B3274" i="24"/>
  <c r="B3275" i="24"/>
  <c r="B3276" i="24"/>
  <c r="B3277" i="24"/>
  <c r="B3278" i="24"/>
  <c r="B3279" i="24"/>
  <c r="B3280" i="24"/>
  <c r="B3281" i="24"/>
  <c r="B3282" i="24"/>
  <c r="B3283" i="24"/>
  <c r="B3284" i="24"/>
  <c r="B3285" i="24"/>
  <c r="B3286" i="24"/>
  <c r="B3287" i="24"/>
  <c r="B3288" i="24"/>
  <c r="B3289" i="24"/>
  <c r="B3290" i="24"/>
  <c r="B3291" i="24"/>
  <c r="B3292" i="24"/>
  <c r="B3293" i="24"/>
  <c r="B3294" i="24"/>
  <c r="B3295" i="24"/>
  <c r="B3296" i="24"/>
  <c r="B3297" i="24"/>
  <c r="B3298" i="24"/>
  <c r="B3299" i="24"/>
  <c r="B3300" i="24"/>
  <c r="B3301" i="24"/>
  <c r="B3302" i="24"/>
  <c r="B3303" i="24"/>
  <c r="B3304" i="24"/>
  <c r="B3305" i="24"/>
  <c r="B3306" i="24"/>
  <c r="B3307" i="24"/>
  <c r="B3308" i="24"/>
  <c r="B3309" i="24"/>
  <c r="B3310" i="24"/>
  <c r="B3311" i="24"/>
  <c r="B3312" i="24"/>
  <c r="B3313" i="24"/>
  <c r="B3314" i="24"/>
  <c r="B3315" i="24"/>
  <c r="B3316" i="24"/>
  <c r="B3317" i="24"/>
  <c r="B3318" i="24"/>
  <c r="B3319" i="24"/>
  <c r="B3320" i="24"/>
  <c r="B3321" i="24"/>
  <c r="B3322" i="24"/>
  <c r="B3323" i="24"/>
  <c r="B3324" i="24"/>
  <c r="B3325" i="24"/>
  <c r="B3326" i="24"/>
  <c r="B3327" i="24"/>
  <c r="B3328" i="24"/>
  <c r="B3329" i="24"/>
  <c r="B3330" i="24"/>
  <c r="B3331" i="24"/>
  <c r="B3332" i="24"/>
  <c r="B3333" i="24"/>
  <c r="B3334" i="24"/>
  <c r="B3335" i="24"/>
  <c r="B3336" i="24"/>
  <c r="B3337" i="24"/>
  <c r="B3338" i="24"/>
  <c r="B3339" i="24"/>
  <c r="B3340" i="24"/>
  <c r="B3341" i="24"/>
  <c r="B3342" i="24"/>
  <c r="B3343" i="24"/>
  <c r="B3344" i="24"/>
  <c r="B3345" i="24"/>
  <c r="B3346" i="24"/>
  <c r="B3347" i="24"/>
  <c r="B3348" i="24"/>
  <c r="B3349" i="24"/>
  <c r="B3350" i="24"/>
  <c r="B3351" i="24"/>
  <c r="B3352" i="24"/>
  <c r="B3353" i="24"/>
  <c r="B3354" i="24"/>
  <c r="B3355" i="24"/>
  <c r="B3356" i="24"/>
  <c r="B3357" i="24"/>
  <c r="B3358" i="24"/>
  <c r="B3359" i="24"/>
  <c r="B3360" i="24"/>
  <c r="B3361" i="24"/>
  <c r="B3362" i="24"/>
  <c r="B3363" i="24"/>
  <c r="B3364" i="24"/>
  <c r="B3365" i="24"/>
  <c r="B3366" i="24"/>
  <c r="B3367" i="24"/>
  <c r="B3368" i="24"/>
  <c r="B3369" i="24"/>
  <c r="B3370" i="24"/>
  <c r="B3371" i="24"/>
  <c r="B3372" i="24"/>
  <c r="B3373" i="24"/>
  <c r="B3374" i="24"/>
  <c r="B3375" i="24"/>
  <c r="B3376" i="24"/>
  <c r="B3377" i="24"/>
  <c r="B3378" i="24"/>
  <c r="B3379" i="24"/>
  <c r="B3380" i="24"/>
  <c r="B3381" i="24"/>
  <c r="B3382" i="24"/>
  <c r="B3383" i="24"/>
  <c r="B3384" i="24"/>
  <c r="B3385" i="24"/>
  <c r="B3386" i="24"/>
  <c r="B3387" i="24"/>
  <c r="B3388" i="24"/>
  <c r="B3389" i="24"/>
  <c r="B3390" i="24"/>
  <c r="B3391" i="24"/>
  <c r="B3392" i="24"/>
  <c r="B3393" i="24"/>
  <c r="B3394" i="24"/>
  <c r="B3395" i="24"/>
  <c r="B3396" i="24"/>
  <c r="B3397" i="24"/>
  <c r="B3398" i="24"/>
  <c r="B3399" i="24"/>
  <c r="B3400" i="24"/>
  <c r="B3401" i="24"/>
  <c r="B3402" i="24"/>
  <c r="B3403" i="24"/>
  <c r="B3404" i="24"/>
  <c r="B3405" i="24"/>
  <c r="B3406" i="24"/>
  <c r="B3407" i="24"/>
  <c r="B3408" i="24"/>
  <c r="B3409" i="24"/>
  <c r="B3410" i="24"/>
  <c r="B3411" i="24"/>
  <c r="B3412" i="24"/>
  <c r="B3413" i="24"/>
  <c r="B3414" i="24"/>
  <c r="B3415" i="24"/>
  <c r="B3416" i="24"/>
  <c r="B3417" i="24"/>
  <c r="B3418" i="24"/>
  <c r="B3419" i="24"/>
  <c r="B3420" i="24"/>
  <c r="B3421" i="24"/>
  <c r="B3422" i="24"/>
  <c r="B3423" i="24"/>
  <c r="B3424" i="24"/>
  <c r="B3425" i="24"/>
  <c r="B3426" i="24"/>
  <c r="B3427" i="24"/>
  <c r="B3428" i="24"/>
  <c r="B3432" i="24"/>
  <c r="B3433" i="24"/>
  <c r="B3434" i="24"/>
  <c r="B3435" i="24"/>
  <c r="B3436" i="24"/>
  <c r="B3437" i="24"/>
  <c r="B3438" i="24"/>
  <c r="B3440" i="24"/>
  <c r="B3441" i="24"/>
  <c r="B3442" i="24"/>
  <c r="B3443" i="24"/>
  <c r="B3444" i="24"/>
  <c r="B3445" i="24"/>
  <c r="B3446" i="24"/>
  <c r="B3447" i="24"/>
  <c r="B3448" i="24"/>
  <c r="B3449" i="24"/>
  <c r="B3450" i="24"/>
  <c r="B3451" i="24"/>
  <c r="B3452" i="24"/>
  <c r="B3453" i="24"/>
  <c r="B3454" i="24"/>
  <c r="B3455" i="24"/>
  <c r="B3456" i="24"/>
  <c r="B3457" i="24"/>
  <c r="B3458" i="24"/>
  <c r="B3459" i="24"/>
  <c r="B3460" i="24"/>
  <c r="B3461" i="24"/>
  <c r="B3462" i="24"/>
  <c r="B3463" i="24"/>
  <c r="B3464" i="24"/>
  <c r="B3465" i="24"/>
  <c r="B3466" i="24"/>
  <c r="B3467" i="24"/>
  <c r="B3468" i="24"/>
  <c r="B3469" i="24"/>
  <c r="B3473" i="24"/>
  <c r="AB3444" i="24"/>
  <c r="AB3445" i="24"/>
  <c r="AB3446" i="24"/>
  <c r="AB3447" i="24"/>
  <c r="AB3448" i="24"/>
  <c r="AB3449" i="24"/>
  <c r="AB3450" i="24"/>
  <c r="AB3451" i="24"/>
  <c r="AB3452" i="24"/>
  <c r="AB3453" i="24"/>
  <c r="AB3454" i="24"/>
  <c r="W3444" i="24"/>
  <c r="W3445" i="24"/>
  <c r="W3446" i="24"/>
  <c r="W3447" i="24"/>
  <c r="W3448" i="24"/>
  <c r="W3449" i="24"/>
  <c r="W3450" i="24"/>
  <c r="W3451" i="24"/>
  <c r="W3452" i="24"/>
  <c r="W3453" i="24"/>
  <c r="W3454" i="24"/>
  <c r="R3444" i="24"/>
  <c r="R3445" i="24"/>
  <c r="R3446" i="24"/>
  <c r="R3447" i="24"/>
  <c r="R3448" i="24"/>
  <c r="R3449" i="24"/>
  <c r="R3450" i="24"/>
  <c r="R3451" i="24"/>
  <c r="R3452" i="24"/>
  <c r="R3453" i="24"/>
  <c r="R3454" i="24"/>
  <c r="Q3444" i="24"/>
  <c r="Q3445" i="24"/>
  <c r="Q3446" i="24"/>
  <c r="Q3447" i="24"/>
  <c r="Q3448" i="24"/>
  <c r="Q3449" i="24"/>
  <c r="Q3450" i="24"/>
  <c r="Q3451" i="24"/>
  <c r="Q3452" i="24"/>
  <c r="Q3453" i="24"/>
  <c r="Q3454" i="24"/>
  <c r="N3444" i="24"/>
  <c r="N3445" i="24"/>
  <c r="N3446" i="24"/>
  <c r="N3447" i="24"/>
  <c r="N3448" i="24"/>
  <c r="N3449" i="24"/>
  <c r="N3450" i="24"/>
  <c r="N3451" i="24"/>
  <c r="N3452" i="24"/>
  <c r="N3453" i="24"/>
  <c r="N3454" i="24"/>
  <c r="C3444" i="24"/>
  <c r="C3445" i="24"/>
  <c r="C3446" i="24"/>
  <c r="C3447" i="24"/>
  <c r="C3448" i="24"/>
  <c r="C3449" i="24"/>
  <c r="C3450" i="24"/>
  <c r="C3451" i="24"/>
  <c r="C3452" i="24"/>
  <c r="C3453" i="24"/>
  <c r="C3454" i="24"/>
  <c r="AB3440" i="24"/>
  <c r="W3440" i="24"/>
  <c r="R3440" i="24"/>
  <c r="Q3440" i="24"/>
  <c r="N3440" i="24"/>
  <c r="C3440" i="24"/>
  <c r="AB3441" i="24"/>
  <c r="W3441" i="24"/>
  <c r="R3441" i="24"/>
  <c r="Q3441" i="24"/>
  <c r="N3441" i="24"/>
  <c r="C3441" i="24"/>
  <c r="AB3442" i="24"/>
  <c r="W3442" i="24"/>
  <c r="R3442" i="24"/>
  <c r="Q3442" i="24"/>
  <c r="N3442" i="24"/>
  <c r="C3442" i="24"/>
  <c r="AB3443" i="24"/>
  <c r="W3443" i="24"/>
  <c r="R3443" i="24"/>
  <c r="Q3443" i="24"/>
  <c r="N3443" i="24"/>
  <c r="C3443" i="24"/>
  <c r="R3399" i="24"/>
  <c r="C3473" i="24"/>
  <c r="N3473" i="24"/>
  <c r="Q3473" i="24"/>
  <c r="R3473" i="24"/>
  <c r="W3473" i="24"/>
  <c r="AB3473" i="24"/>
  <c r="C3472" i="24"/>
  <c r="N3472" i="24"/>
  <c r="Q3472" i="24"/>
  <c r="R3472" i="24"/>
  <c r="W3472" i="24"/>
  <c r="AB3472" i="24"/>
  <c r="B721" i="8" l="1"/>
  <c r="C721" i="8"/>
  <c r="O721" i="8"/>
  <c r="R721" i="8"/>
  <c r="S721" i="8"/>
  <c r="AC721" i="8"/>
  <c r="B720" i="8"/>
  <c r="C720" i="8"/>
  <c r="O720" i="8"/>
  <c r="R720" i="8"/>
  <c r="S720" i="8"/>
  <c r="AC720" i="8"/>
  <c r="B719" i="8"/>
  <c r="N719" i="8" s="1"/>
  <c r="N720" i="8" s="1"/>
  <c r="N721" i="8" s="1"/>
  <c r="C719" i="8"/>
  <c r="O719" i="8"/>
  <c r="R719" i="8"/>
  <c r="S719" i="8"/>
  <c r="AC719" i="8"/>
  <c r="C3456" i="24" l="1"/>
  <c r="N3456" i="24"/>
  <c r="Q3456" i="24"/>
  <c r="R3456" i="24"/>
  <c r="W3456" i="24"/>
  <c r="AB3456" i="24"/>
  <c r="C3455" i="24"/>
  <c r="N3455" i="24"/>
  <c r="Q3455" i="24"/>
  <c r="R3455" i="24"/>
  <c r="W3455" i="24"/>
  <c r="AB3455" i="24"/>
  <c r="C3432" i="24"/>
  <c r="N3432" i="24"/>
  <c r="Q3432" i="24"/>
  <c r="R3432" i="24"/>
  <c r="W3432" i="24"/>
  <c r="AB3432" i="24"/>
  <c r="C3433" i="24"/>
  <c r="N3433" i="24"/>
  <c r="Q3433" i="24"/>
  <c r="R3433" i="24"/>
  <c r="W3433" i="24"/>
  <c r="AB3433" i="24"/>
  <c r="C3434" i="24"/>
  <c r="N3434" i="24"/>
  <c r="Q3434" i="24"/>
  <c r="R3434" i="24"/>
  <c r="W3434" i="24"/>
  <c r="AB3434" i="24"/>
  <c r="C3435" i="24"/>
  <c r="N3435" i="24"/>
  <c r="Q3435" i="24"/>
  <c r="R3435" i="24"/>
  <c r="W3435" i="24"/>
  <c r="AB3435" i="24"/>
  <c r="C3436" i="24"/>
  <c r="N3436" i="24"/>
  <c r="Q3436" i="24"/>
  <c r="R3436" i="24"/>
  <c r="W3436" i="24"/>
  <c r="AB3436" i="24"/>
  <c r="C3437" i="24"/>
  <c r="N3437" i="24"/>
  <c r="Q3437" i="24"/>
  <c r="R3437" i="24"/>
  <c r="W3437" i="24"/>
  <c r="AB3437" i="24"/>
  <c r="C3431" i="24"/>
  <c r="N3431" i="24"/>
  <c r="Q3431" i="24"/>
  <c r="R3431" i="24"/>
  <c r="W3431" i="24"/>
  <c r="AB3431" i="24"/>
  <c r="C3427" i="24"/>
  <c r="N3427" i="24"/>
  <c r="Q3427" i="24"/>
  <c r="R3427" i="24"/>
  <c r="W3427" i="24"/>
  <c r="AB3427" i="24"/>
  <c r="C3428" i="24"/>
  <c r="N3428" i="24"/>
  <c r="Q3428" i="24"/>
  <c r="R3428" i="24"/>
  <c r="W3428" i="24"/>
  <c r="AB3428" i="24"/>
  <c r="C3459" i="24"/>
  <c r="C3460" i="24"/>
  <c r="C3461" i="24"/>
  <c r="C3462" i="24"/>
  <c r="C3463" i="24"/>
  <c r="C3464" i="24"/>
  <c r="C3465" i="24"/>
  <c r="C3466" i="24"/>
  <c r="C3467" i="24"/>
  <c r="C3468" i="24"/>
  <c r="C3469" i="24"/>
  <c r="N3459" i="24"/>
  <c r="N3460" i="24"/>
  <c r="N3461" i="24"/>
  <c r="N3462" i="24"/>
  <c r="N3463" i="24"/>
  <c r="N3464" i="24"/>
  <c r="N3465" i="24"/>
  <c r="N3466" i="24"/>
  <c r="N3467" i="24"/>
  <c r="N3468" i="24"/>
  <c r="N3469" i="24"/>
  <c r="Q3459" i="24"/>
  <c r="Q3460" i="24"/>
  <c r="Q3461" i="24"/>
  <c r="Q3462" i="24"/>
  <c r="Q3463" i="24"/>
  <c r="Q3464" i="24"/>
  <c r="Q3465" i="24"/>
  <c r="Q3466" i="24"/>
  <c r="Q3467" i="24"/>
  <c r="Q3468" i="24"/>
  <c r="Q3469" i="24"/>
  <c r="R3459" i="24"/>
  <c r="R3460" i="24"/>
  <c r="R3461" i="24"/>
  <c r="R3462" i="24"/>
  <c r="R3463" i="24"/>
  <c r="R3464" i="24"/>
  <c r="R3465" i="24"/>
  <c r="R3466" i="24"/>
  <c r="R3467" i="24"/>
  <c r="R3468" i="24"/>
  <c r="R3469" i="24"/>
  <c r="W3459" i="24"/>
  <c r="W3460" i="24"/>
  <c r="W3461" i="24"/>
  <c r="W3462" i="24"/>
  <c r="W3463" i="24"/>
  <c r="W3464" i="24"/>
  <c r="W3465" i="24"/>
  <c r="W3466" i="24"/>
  <c r="W3467" i="24"/>
  <c r="W3468" i="24"/>
  <c r="W3469" i="24"/>
  <c r="AB3459" i="24"/>
  <c r="AB3460" i="24"/>
  <c r="AB3461" i="24"/>
  <c r="AB3462" i="24"/>
  <c r="AB3463" i="24"/>
  <c r="AB3464" i="24"/>
  <c r="AB3465" i="24"/>
  <c r="AB3466" i="24"/>
  <c r="AB3467" i="24"/>
  <c r="AB3468" i="24"/>
  <c r="AB3469" i="24"/>
  <c r="C3458" i="24"/>
  <c r="N3458" i="24"/>
  <c r="Q3458" i="24"/>
  <c r="R3458" i="24"/>
  <c r="W3458" i="24"/>
  <c r="AB3458" i="24"/>
  <c r="C3426" i="24" l="1"/>
  <c r="N3426" i="24"/>
  <c r="Q3426" i="24"/>
  <c r="R3426" i="24"/>
  <c r="W3426" i="24"/>
  <c r="AB3426" i="24"/>
  <c r="B344" i="3" l="1"/>
  <c r="AB343" i="3"/>
  <c r="R343" i="3"/>
  <c r="Q343" i="3"/>
  <c r="N343" i="3"/>
  <c r="C343" i="3"/>
  <c r="B343" i="3"/>
  <c r="AB3439" i="24"/>
  <c r="W3439" i="24"/>
  <c r="R3439" i="24"/>
  <c r="Q3439" i="24"/>
  <c r="N3439" i="24"/>
  <c r="C3439" i="24"/>
  <c r="AB3423" i="24"/>
  <c r="W3423" i="24"/>
  <c r="R3423" i="24"/>
  <c r="Q3423" i="24"/>
  <c r="N3423" i="24"/>
  <c r="C3423" i="24"/>
  <c r="AB3424" i="24"/>
  <c r="W3424" i="24"/>
  <c r="R3424" i="24"/>
  <c r="Q3424" i="24"/>
  <c r="N3424" i="24"/>
  <c r="C3424" i="24"/>
  <c r="AB3425" i="24"/>
  <c r="W3425" i="24"/>
  <c r="R3425" i="24"/>
  <c r="Q3425" i="24"/>
  <c r="N3425" i="24"/>
  <c r="C3425" i="24"/>
  <c r="AB344" i="3"/>
  <c r="R344" i="3"/>
  <c r="Q344" i="3"/>
  <c r="N344" i="3"/>
  <c r="C344" i="3"/>
  <c r="AB3457" i="24"/>
  <c r="W3457" i="24"/>
  <c r="R3457" i="24"/>
  <c r="Q3457" i="24"/>
  <c r="N3457" i="24"/>
  <c r="C3457" i="24"/>
  <c r="S792" i="9" l="1"/>
  <c r="B770" i="9"/>
  <c r="N770" i="9" s="1"/>
  <c r="AC769" i="9"/>
  <c r="S769" i="9"/>
  <c r="R769" i="9"/>
  <c r="O769" i="9"/>
  <c r="C769" i="9"/>
  <c r="B769" i="9"/>
  <c r="N769" i="9" s="1"/>
  <c r="AC770" i="9"/>
  <c r="S770" i="9"/>
  <c r="R770" i="9"/>
  <c r="O770" i="9"/>
  <c r="C770" i="9"/>
  <c r="B44" i="6"/>
  <c r="C44" i="6"/>
  <c r="N44" i="6"/>
  <c r="Q44" i="6"/>
  <c r="R44" i="6"/>
  <c r="AB44" i="6"/>
  <c r="B718" i="8"/>
  <c r="N718" i="8" s="1"/>
  <c r="C718" i="8"/>
  <c r="O718" i="8"/>
  <c r="R718" i="8"/>
  <c r="S718" i="8"/>
  <c r="AC718" i="8"/>
  <c r="C3391" i="24" l="1"/>
  <c r="N3391" i="24"/>
  <c r="Q3391" i="24"/>
  <c r="R3391" i="24"/>
  <c r="W3391" i="24"/>
  <c r="AB3391" i="24"/>
  <c r="C3392" i="24"/>
  <c r="N3392" i="24"/>
  <c r="Q3392" i="24"/>
  <c r="R3392" i="24"/>
  <c r="W3392" i="24"/>
  <c r="AB3392" i="24"/>
  <c r="C3388" i="24"/>
  <c r="N3388" i="24"/>
  <c r="Q3388" i="24"/>
  <c r="R3388" i="24"/>
  <c r="W3388" i="24"/>
  <c r="AB3388" i="24"/>
  <c r="C3389" i="24"/>
  <c r="N3389" i="24"/>
  <c r="Q3389" i="24"/>
  <c r="R3389" i="24"/>
  <c r="W3389" i="24"/>
  <c r="AB3389" i="24"/>
  <c r="C3421" i="24"/>
  <c r="N3421" i="24"/>
  <c r="Q3421" i="24"/>
  <c r="R3421" i="24"/>
  <c r="W3421" i="24"/>
  <c r="AB3421" i="24"/>
  <c r="C3422" i="24"/>
  <c r="N3422" i="24"/>
  <c r="Q3422" i="24"/>
  <c r="R3422" i="24"/>
  <c r="W3422" i="24"/>
  <c r="AB3422" i="24"/>
  <c r="C3420" i="24"/>
  <c r="N3420" i="24"/>
  <c r="Q3420" i="24"/>
  <c r="R3420" i="24"/>
  <c r="W3420" i="24"/>
  <c r="AB3420" i="24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AB399" i="10"/>
  <c r="Y399" i="10"/>
  <c r="R399" i="10"/>
  <c r="Q399" i="10"/>
  <c r="N399" i="10"/>
  <c r="C399" i="10"/>
  <c r="C400" i="10"/>
  <c r="C401" i="10"/>
  <c r="C402" i="10"/>
  <c r="C403" i="10"/>
  <c r="C404" i="10"/>
  <c r="C405" i="10"/>
  <c r="C406" i="10"/>
  <c r="C407" i="10"/>
  <c r="C408" i="10"/>
  <c r="C409" i="10"/>
  <c r="N400" i="10"/>
  <c r="N401" i="10"/>
  <c r="N402" i="10"/>
  <c r="N403" i="10"/>
  <c r="N404" i="10"/>
  <c r="N405" i="10"/>
  <c r="N406" i="10"/>
  <c r="N407" i="10"/>
  <c r="N408" i="10"/>
  <c r="N409" i="10"/>
  <c r="Q400" i="10"/>
  <c r="Q401" i="10"/>
  <c r="Q402" i="10"/>
  <c r="Q403" i="10"/>
  <c r="Q404" i="10"/>
  <c r="Q405" i="10"/>
  <c r="Q406" i="10"/>
  <c r="Q407" i="10"/>
  <c r="Q408" i="10"/>
  <c r="Q409" i="10"/>
  <c r="R400" i="10"/>
  <c r="R401" i="10"/>
  <c r="R402" i="10"/>
  <c r="R403" i="10"/>
  <c r="R404" i="10"/>
  <c r="R405" i="10"/>
  <c r="R406" i="10"/>
  <c r="R407" i="10"/>
  <c r="R408" i="10"/>
  <c r="R409" i="10"/>
  <c r="Y400" i="10"/>
  <c r="Y401" i="10"/>
  <c r="Y402" i="10"/>
  <c r="Y403" i="10"/>
  <c r="Y404" i="10"/>
  <c r="Y405" i="10"/>
  <c r="Y406" i="10"/>
  <c r="Y407" i="10"/>
  <c r="Y408" i="10"/>
  <c r="Y409" i="10"/>
  <c r="AB400" i="10"/>
  <c r="AB401" i="10"/>
  <c r="AB402" i="10"/>
  <c r="AB403" i="10"/>
  <c r="AB404" i="10"/>
  <c r="AB405" i="10"/>
  <c r="AB406" i="10"/>
  <c r="AB407" i="10"/>
  <c r="AB408" i="10"/>
  <c r="AB409" i="10"/>
  <c r="AB426" i="23"/>
  <c r="R426" i="23"/>
  <c r="Q426" i="23"/>
  <c r="N426" i="23"/>
  <c r="C426" i="23"/>
  <c r="B426" i="23"/>
  <c r="AB425" i="23"/>
  <c r="R425" i="23"/>
  <c r="Q425" i="23"/>
  <c r="N425" i="23"/>
  <c r="C425" i="23"/>
  <c r="B425" i="23"/>
  <c r="AB424" i="23"/>
  <c r="R424" i="23"/>
  <c r="Q424" i="23"/>
  <c r="N424" i="23"/>
  <c r="C424" i="23"/>
  <c r="B424" i="23"/>
  <c r="AB423" i="23"/>
  <c r="R423" i="23"/>
  <c r="Q423" i="23"/>
  <c r="N423" i="23"/>
  <c r="C423" i="23"/>
  <c r="B423" i="23"/>
  <c r="AB422" i="23"/>
  <c r="R422" i="23"/>
  <c r="Q422" i="23"/>
  <c r="N422" i="23"/>
  <c r="C422" i="23"/>
  <c r="B422" i="23"/>
  <c r="AB421" i="23"/>
  <c r="R421" i="23"/>
  <c r="Q421" i="23"/>
  <c r="N421" i="23"/>
  <c r="C421" i="23"/>
  <c r="B421" i="23"/>
  <c r="C3438" i="24"/>
  <c r="N3438" i="24"/>
  <c r="Q3438" i="24"/>
  <c r="R3438" i="24"/>
  <c r="W3438" i="24"/>
  <c r="AB3438" i="24"/>
  <c r="C3419" i="24"/>
  <c r="N3419" i="24"/>
  <c r="Q3419" i="24"/>
  <c r="R3419" i="24"/>
  <c r="W3419" i="24"/>
  <c r="AB3419" i="24"/>
  <c r="C3418" i="24"/>
  <c r="N3418" i="24"/>
  <c r="Q3418" i="24"/>
  <c r="R3418" i="24"/>
  <c r="W3418" i="24"/>
  <c r="AB3418" i="24"/>
  <c r="AB3387" i="24"/>
  <c r="W3387" i="24"/>
  <c r="R3387" i="24"/>
  <c r="Q3387" i="24"/>
  <c r="N3387" i="24"/>
  <c r="C3387" i="24"/>
  <c r="AB3390" i="24"/>
  <c r="W3390" i="24"/>
  <c r="R3390" i="24"/>
  <c r="Q3390" i="24"/>
  <c r="N3390" i="24"/>
  <c r="C3390" i="24"/>
  <c r="C3269" i="24" l="1"/>
  <c r="N3269" i="24"/>
  <c r="Q3269" i="24"/>
  <c r="R3269" i="24"/>
  <c r="W3269" i="24"/>
  <c r="AB3269" i="24"/>
  <c r="C3270" i="24"/>
  <c r="N3270" i="24"/>
  <c r="Q3270" i="24"/>
  <c r="R3270" i="24"/>
  <c r="W3270" i="24"/>
  <c r="AB3270" i="24"/>
  <c r="C3153" i="24"/>
  <c r="N3153" i="24"/>
  <c r="Q3153" i="24"/>
  <c r="R3153" i="24"/>
  <c r="W3153" i="24"/>
  <c r="AB3153" i="24"/>
  <c r="C3154" i="24"/>
  <c r="N3154" i="24"/>
  <c r="Q3154" i="24"/>
  <c r="R3154" i="24"/>
  <c r="W3154" i="24"/>
  <c r="AB3154" i="24"/>
  <c r="B341" i="3"/>
  <c r="B342" i="3"/>
  <c r="B340" i="3"/>
  <c r="C340" i="3"/>
  <c r="N340" i="3"/>
  <c r="Q340" i="3"/>
  <c r="R340" i="3"/>
  <c r="AB340" i="3"/>
  <c r="C341" i="3"/>
  <c r="N341" i="3"/>
  <c r="Q341" i="3"/>
  <c r="R341" i="3"/>
  <c r="AB341" i="3"/>
  <c r="B691" i="8"/>
  <c r="B692" i="8"/>
  <c r="N692" i="8" s="1"/>
  <c r="B690" i="8"/>
  <c r="C690" i="8"/>
  <c r="O690" i="8"/>
  <c r="R690" i="8"/>
  <c r="S690" i="8"/>
  <c r="AC690" i="8"/>
  <c r="C691" i="8"/>
  <c r="O691" i="8"/>
  <c r="R691" i="8"/>
  <c r="S691" i="8"/>
  <c r="AC691" i="8"/>
  <c r="C3417" i="24"/>
  <c r="N3417" i="24"/>
  <c r="Q3417" i="24"/>
  <c r="R3417" i="24"/>
  <c r="W3417" i="24"/>
  <c r="AB3417" i="24"/>
  <c r="C3416" i="24"/>
  <c r="N3416" i="24"/>
  <c r="Q3416" i="24"/>
  <c r="R3416" i="24"/>
  <c r="W3416" i="24"/>
  <c r="AB3416" i="24"/>
  <c r="C342" i="3"/>
  <c r="N342" i="3"/>
  <c r="Q342" i="3"/>
  <c r="R342" i="3"/>
  <c r="AB342" i="3"/>
  <c r="C3415" i="24"/>
  <c r="N3415" i="24"/>
  <c r="Q3415" i="24"/>
  <c r="R3415" i="24"/>
  <c r="W3415" i="24"/>
  <c r="AB3415" i="24"/>
  <c r="C3414" i="24"/>
  <c r="N3414" i="24"/>
  <c r="Q3414" i="24"/>
  <c r="R3414" i="24"/>
  <c r="W3414" i="24"/>
  <c r="AB3414" i="24"/>
  <c r="C3413" i="24"/>
  <c r="N3413" i="24"/>
  <c r="Q3413" i="24"/>
  <c r="R3413" i="24"/>
  <c r="W3413" i="24"/>
  <c r="AB3413" i="24"/>
  <c r="C3412" i="24"/>
  <c r="N3412" i="24"/>
  <c r="Q3412" i="24"/>
  <c r="R3412" i="24"/>
  <c r="W3412" i="24"/>
  <c r="AB3412" i="24"/>
  <c r="C3411" i="24"/>
  <c r="N3411" i="24"/>
  <c r="Q3411" i="24"/>
  <c r="R3411" i="24"/>
  <c r="W3411" i="24"/>
  <c r="AB3411" i="24"/>
  <c r="C3410" i="24"/>
  <c r="N3410" i="24"/>
  <c r="Q3410" i="24"/>
  <c r="R3410" i="24"/>
  <c r="W3410" i="24"/>
  <c r="AB3410" i="24"/>
  <c r="C3409" i="24"/>
  <c r="N3409" i="24"/>
  <c r="Q3409" i="24"/>
  <c r="R3409" i="24"/>
  <c r="W3409" i="24"/>
  <c r="AB3409" i="24"/>
  <c r="C3408" i="24"/>
  <c r="N3408" i="24"/>
  <c r="Q3408" i="24"/>
  <c r="R3408" i="24"/>
  <c r="W3408" i="24"/>
  <c r="AB3408" i="24"/>
  <c r="C3407" i="24"/>
  <c r="N3407" i="24"/>
  <c r="Q3407" i="24"/>
  <c r="R3407" i="24"/>
  <c r="W3407" i="24"/>
  <c r="AB3407" i="24"/>
  <c r="C3406" i="24"/>
  <c r="N3406" i="24"/>
  <c r="Q3406" i="24"/>
  <c r="R3406" i="24"/>
  <c r="W3406" i="24"/>
  <c r="AB3406" i="24"/>
  <c r="C3405" i="24"/>
  <c r="N3405" i="24"/>
  <c r="Q3405" i="24"/>
  <c r="R3405" i="24"/>
  <c r="W3405" i="24"/>
  <c r="AB3405" i="24"/>
  <c r="C3404" i="24"/>
  <c r="N3404" i="24"/>
  <c r="Q3404" i="24"/>
  <c r="R3404" i="24"/>
  <c r="W3404" i="24"/>
  <c r="AB3404" i="24"/>
  <c r="C3403" i="24"/>
  <c r="N3403" i="24"/>
  <c r="Q3403" i="24"/>
  <c r="R3403" i="24"/>
  <c r="W3403" i="24"/>
  <c r="AB3403" i="24"/>
  <c r="C3402" i="24"/>
  <c r="N3402" i="24"/>
  <c r="Q3402" i="24"/>
  <c r="R3402" i="24"/>
  <c r="W3402" i="24"/>
  <c r="AB3402" i="24"/>
  <c r="C3401" i="24"/>
  <c r="N3401" i="24"/>
  <c r="Q3401" i="24"/>
  <c r="R3401" i="24"/>
  <c r="W3401" i="24"/>
  <c r="AB3401" i="24"/>
  <c r="C3400" i="24"/>
  <c r="N3400" i="24"/>
  <c r="Q3400" i="24"/>
  <c r="R3400" i="24"/>
  <c r="W3400" i="24"/>
  <c r="AB3400" i="24"/>
  <c r="C3399" i="24"/>
  <c r="N3399" i="24"/>
  <c r="Q3399" i="24"/>
  <c r="W3399" i="24"/>
  <c r="AB3399" i="24"/>
  <c r="B339" i="3"/>
  <c r="C339" i="3"/>
  <c r="N339" i="3"/>
  <c r="Q339" i="3"/>
  <c r="R339" i="3"/>
  <c r="AB339" i="3"/>
  <c r="C3395" i="24"/>
  <c r="C3396" i="24"/>
  <c r="C3397" i="24"/>
  <c r="C3398" i="24"/>
  <c r="N3395" i="24"/>
  <c r="N3396" i="24"/>
  <c r="N3397" i="24"/>
  <c r="N3398" i="24"/>
  <c r="Q3395" i="24"/>
  <c r="Q3396" i="24"/>
  <c r="Q3397" i="24"/>
  <c r="Q3398" i="24"/>
  <c r="R3395" i="24"/>
  <c r="R3396" i="24"/>
  <c r="R3397" i="24"/>
  <c r="R3398" i="24"/>
  <c r="W3395" i="24"/>
  <c r="W3396" i="24"/>
  <c r="W3397" i="24"/>
  <c r="W3398" i="24"/>
  <c r="AB3395" i="24"/>
  <c r="AB3396" i="24"/>
  <c r="AB3397" i="24"/>
  <c r="AB3398" i="24"/>
  <c r="C3288" i="24" l="1"/>
  <c r="N3288" i="24"/>
  <c r="Q3288" i="24"/>
  <c r="R3288" i="24"/>
  <c r="W3288" i="24"/>
  <c r="AB3288" i="24"/>
  <c r="C3289" i="24"/>
  <c r="N3289" i="24"/>
  <c r="Q3289" i="24"/>
  <c r="R3289" i="24"/>
  <c r="W3289" i="24"/>
  <c r="AB3289" i="24"/>
  <c r="C3290" i="24"/>
  <c r="N3290" i="24"/>
  <c r="Q3290" i="24"/>
  <c r="R3290" i="24"/>
  <c r="W3290" i="24"/>
  <c r="AB3290" i="24"/>
  <c r="C3291" i="24"/>
  <c r="N3291" i="24"/>
  <c r="Q3291" i="24"/>
  <c r="R3291" i="24"/>
  <c r="W3291" i="24"/>
  <c r="AB3291" i="24"/>
  <c r="C3292" i="24"/>
  <c r="N3292" i="24"/>
  <c r="Q3292" i="24"/>
  <c r="R3292" i="24"/>
  <c r="W3292" i="24"/>
  <c r="AB3292" i="24"/>
  <c r="AB3247" i="24"/>
  <c r="W3247" i="24"/>
  <c r="R3247" i="24"/>
  <c r="Q3247" i="24"/>
  <c r="N3247" i="24"/>
  <c r="C3247" i="24"/>
  <c r="AB3248" i="24"/>
  <c r="W3248" i="24"/>
  <c r="R3248" i="24"/>
  <c r="Q3248" i="24"/>
  <c r="N3248" i="24"/>
  <c r="C3248" i="24"/>
  <c r="AB3234" i="24"/>
  <c r="W3234" i="24"/>
  <c r="R3234" i="24"/>
  <c r="Q3234" i="24"/>
  <c r="N3234" i="24"/>
  <c r="C3234" i="24"/>
  <c r="AB3235" i="24"/>
  <c r="W3235" i="24"/>
  <c r="R3235" i="24"/>
  <c r="Q3235" i="24"/>
  <c r="N3235" i="24"/>
  <c r="C3235" i="24"/>
  <c r="AB3394" i="24"/>
  <c r="W3394" i="24"/>
  <c r="R3394" i="24"/>
  <c r="Q3394" i="24"/>
  <c r="N3394" i="24"/>
  <c r="C3394" i="24"/>
  <c r="AB3393" i="24"/>
  <c r="W3393" i="24"/>
  <c r="R3393" i="24"/>
  <c r="Q3393" i="24"/>
  <c r="N3393" i="24"/>
  <c r="C3393" i="24"/>
  <c r="AB2196" i="24"/>
  <c r="W2196" i="24"/>
  <c r="R2196" i="24"/>
  <c r="Q2196" i="24"/>
  <c r="N2196" i="24"/>
  <c r="C2196" i="24"/>
  <c r="AB2197" i="24"/>
  <c r="W2197" i="24"/>
  <c r="R2197" i="24"/>
  <c r="Q2197" i="24"/>
  <c r="N2197" i="24"/>
  <c r="C2197" i="24"/>
  <c r="B588" i="7" l="1"/>
  <c r="B589" i="7"/>
  <c r="B590" i="7"/>
  <c r="B591" i="7"/>
  <c r="B726" i="7"/>
  <c r="C588" i="7"/>
  <c r="C589" i="7"/>
  <c r="C590" i="7"/>
  <c r="C591" i="7"/>
  <c r="C726" i="7"/>
  <c r="N588" i="7"/>
  <c r="N589" i="7"/>
  <c r="N590" i="7"/>
  <c r="N591" i="7"/>
  <c r="N726" i="7"/>
  <c r="Q588" i="7"/>
  <c r="Q589" i="7"/>
  <c r="Q590" i="7"/>
  <c r="Q591" i="7"/>
  <c r="Y591" i="7" s="1"/>
  <c r="Q726" i="7"/>
  <c r="R588" i="7"/>
  <c r="R589" i="7"/>
  <c r="R590" i="7"/>
  <c r="R591" i="7"/>
  <c r="R726" i="7"/>
  <c r="W588" i="7"/>
  <c r="W589" i="7"/>
  <c r="W590" i="7"/>
  <c r="W591" i="7"/>
  <c r="W726" i="7"/>
  <c r="X588" i="7"/>
  <c r="X589" i="7"/>
  <c r="X590" i="7"/>
  <c r="X591" i="7"/>
  <c r="X726" i="7"/>
  <c r="AB588" i="7"/>
  <c r="AB589" i="7"/>
  <c r="AB590" i="7"/>
  <c r="AB591" i="7"/>
  <c r="AB726" i="7"/>
  <c r="Y588" i="7" l="1"/>
  <c r="Y726" i="7"/>
  <c r="Y590" i="7"/>
  <c r="Y589" i="7"/>
  <c r="C3378" i="24" l="1"/>
  <c r="N3378" i="24"/>
  <c r="Q3378" i="24"/>
  <c r="R3378" i="24"/>
  <c r="W3378" i="24"/>
  <c r="AB3378" i="24"/>
  <c r="C3386" i="24"/>
  <c r="N3386" i="24"/>
  <c r="Q3386" i="24"/>
  <c r="R3386" i="24"/>
  <c r="W3386" i="24"/>
  <c r="AB3386" i="24"/>
  <c r="C3377" i="24"/>
  <c r="N3377" i="24"/>
  <c r="Q3377" i="24"/>
  <c r="R3377" i="24"/>
  <c r="W3377" i="24"/>
  <c r="AB3377" i="24"/>
  <c r="B717" i="8"/>
  <c r="C717" i="8"/>
  <c r="O717" i="8"/>
  <c r="R717" i="8"/>
  <c r="S717" i="8"/>
  <c r="AC717" i="8"/>
  <c r="B716" i="8"/>
  <c r="C716" i="8"/>
  <c r="O716" i="8"/>
  <c r="R716" i="8"/>
  <c r="S716" i="8"/>
  <c r="AC716" i="8"/>
  <c r="B715" i="8"/>
  <c r="C715" i="8"/>
  <c r="O715" i="8"/>
  <c r="R715" i="8"/>
  <c r="S715" i="8"/>
  <c r="AC715" i="8"/>
  <c r="B714" i="8"/>
  <c r="C714" i="8"/>
  <c r="O714" i="8"/>
  <c r="R714" i="8"/>
  <c r="S714" i="8"/>
  <c r="AC714" i="8"/>
  <c r="B713" i="8"/>
  <c r="C713" i="8"/>
  <c r="O713" i="8"/>
  <c r="R713" i="8"/>
  <c r="S713" i="8"/>
  <c r="AC713" i="8"/>
  <c r="B712" i="8"/>
  <c r="C712" i="8"/>
  <c r="O712" i="8"/>
  <c r="R712" i="8"/>
  <c r="S712" i="8"/>
  <c r="AC712" i="8"/>
  <c r="B711" i="8"/>
  <c r="C711" i="8"/>
  <c r="O711" i="8"/>
  <c r="R711" i="8"/>
  <c r="S711" i="8"/>
  <c r="AC711" i="8"/>
  <c r="B710" i="8"/>
  <c r="C710" i="8"/>
  <c r="O710" i="8"/>
  <c r="R710" i="8"/>
  <c r="S710" i="8"/>
  <c r="AC710" i="8"/>
  <c r="B709" i="8"/>
  <c r="C709" i="8"/>
  <c r="O709" i="8"/>
  <c r="R709" i="8"/>
  <c r="S709" i="8"/>
  <c r="AC709" i="8"/>
  <c r="B708" i="8"/>
  <c r="C708" i="8"/>
  <c r="O708" i="8"/>
  <c r="R708" i="8"/>
  <c r="S708" i="8"/>
  <c r="AC708" i="8"/>
  <c r="B707" i="8"/>
  <c r="C707" i="8"/>
  <c r="O707" i="8"/>
  <c r="R707" i="8"/>
  <c r="S707" i="8"/>
  <c r="AC707" i="8"/>
  <c r="B706" i="8"/>
  <c r="N706" i="8" s="1"/>
  <c r="C706" i="8"/>
  <c r="O706" i="8"/>
  <c r="R706" i="8"/>
  <c r="S706" i="8"/>
  <c r="AC706" i="8"/>
  <c r="C3385" i="24"/>
  <c r="N3385" i="24"/>
  <c r="Q3385" i="24"/>
  <c r="R3385" i="24"/>
  <c r="W3385" i="24"/>
  <c r="AB3385" i="24"/>
  <c r="B767" i="9"/>
  <c r="N767" i="9" s="1"/>
  <c r="C767" i="9"/>
  <c r="O767" i="9"/>
  <c r="R767" i="9"/>
  <c r="S767" i="9"/>
  <c r="AC767" i="9"/>
  <c r="B705" i="8"/>
  <c r="N705" i="8" s="1"/>
  <c r="C705" i="8"/>
  <c r="O705" i="8"/>
  <c r="R705" i="8"/>
  <c r="S705" i="8"/>
  <c r="AC705" i="8"/>
  <c r="N707" i="8" l="1"/>
  <c r="N708" i="8" s="1"/>
  <c r="N709" i="8" s="1"/>
  <c r="N710" i="8" s="1"/>
  <c r="N711" i="8" s="1"/>
  <c r="N712" i="8" s="1"/>
  <c r="N713" i="8" s="1"/>
  <c r="N714" i="8" s="1"/>
  <c r="N715" i="8" s="1"/>
  <c r="N716" i="8" s="1"/>
  <c r="N717" i="8" s="1"/>
  <c r="C3374" i="24" l="1"/>
  <c r="N3374" i="24"/>
  <c r="Q3374" i="24"/>
  <c r="R3374" i="24"/>
  <c r="W3374" i="24"/>
  <c r="AB3374" i="24"/>
  <c r="C3375" i="24"/>
  <c r="N3375" i="24"/>
  <c r="Q3375" i="24"/>
  <c r="R3375" i="24"/>
  <c r="W3375" i="24"/>
  <c r="AB3375" i="24"/>
  <c r="C3376" i="24"/>
  <c r="N3376" i="24"/>
  <c r="Q3376" i="24"/>
  <c r="R3376" i="24"/>
  <c r="W3376" i="24"/>
  <c r="AB3376" i="24"/>
  <c r="C3384" i="24"/>
  <c r="N3384" i="24"/>
  <c r="Q3384" i="24"/>
  <c r="R3384" i="24"/>
  <c r="W3384" i="24"/>
  <c r="AB3384" i="24"/>
  <c r="C3383" i="24"/>
  <c r="N3383" i="24"/>
  <c r="Q3383" i="24"/>
  <c r="R3383" i="24"/>
  <c r="W3383" i="24"/>
  <c r="AB3383" i="24"/>
  <c r="B200" i="3"/>
  <c r="B201" i="3"/>
  <c r="B199" i="3"/>
  <c r="C199" i="3"/>
  <c r="N199" i="3"/>
  <c r="Q199" i="3"/>
  <c r="R199" i="3"/>
  <c r="AB199" i="3"/>
  <c r="C200" i="3"/>
  <c r="N200" i="3"/>
  <c r="Q200" i="3"/>
  <c r="R200" i="3"/>
  <c r="AB200" i="3"/>
  <c r="B766" i="9"/>
  <c r="N766" i="9" s="1"/>
  <c r="C766" i="9"/>
  <c r="O766" i="9"/>
  <c r="R766" i="9"/>
  <c r="S766" i="9"/>
  <c r="AC766" i="9"/>
  <c r="C1147" i="24"/>
  <c r="N1147" i="24"/>
  <c r="Q1147" i="24"/>
  <c r="R1147" i="24"/>
  <c r="W1147" i="24"/>
  <c r="AB1147" i="24"/>
  <c r="C1148" i="24"/>
  <c r="N1148" i="24"/>
  <c r="Q1148" i="24"/>
  <c r="R1148" i="24"/>
  <c r="W1148" i="24"/>
  <c r="AB1148" i="24"/>
  <c r="C770" i="24"/>
  <c r="N770" i="24"/>
  <c r="Q770" i="24"/>
  <c r="R770" i="24"/>
  <c r="W770" i="24"/>
  <c r="AB770" i="24"/>
  <c r="C771" i="24"/>
  <c r="N771" i="24"/>
  <c r="Q771" i="24"/>
  <c r="R771" i="24"/>
  <c r="W771" i="24"/>
  <c r="AB771" i="24"/>
  <c r="C3382" i="24"/>
  <c r="N3382" i="24"/>
  <c r="Q3382" i="24"/>
  <c r="R3382" i="24"/>
  <c r="W3382" i="24"/>
  <c r="AB3382" i="24"/>
  <c r="C790" i="24"/>
  <c r="N790" i="24"/>
  <c r="Q790" i="24"/>
  <c r="R790" i="24"/>
  <c r="W790" i="24"/>
  <c r="AB790" i="24"/>
  <c r="C791" i="24"/>
  <c r="N791" i="24"/>
  <c r="Q791" i="24"/>
  <c r="R791" i="24"/>
  <c r="W791" i="24"/>
  <c r="AB791" i="24"/>
  <c r="B765" i="9"/>
  <c r="N765" i="9" s="1"/>
  <c r="C765" i="9"/>
  <c r="O765" i="9"/>
  <c r="R765" i="9"/>
  <c r="S765" i="9"/>
  <c r="AC765" i="9"/>
  <c r="C585" i="24"/>
  <c r="N585" i="24"/>
  <c r="Q585" i="24"/>
  <c r="R585" i="24"/>
  <c r="W585" i="24"/>
  <c r="AB585" i="24"/>
  <c r="C586" i="24"/>
  <c r="N586" i="24"/>
  <c r="Q586" i="24"/>
  <c r="R586" i="24"/>
  <c r="W586" i="24"/>
  <c r="AB586" i="24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C398" i="24"/>
  <c r="N398" i="24"/>
  <c r="Q398" i="24"/>
  <c r="R398" i="24"/>
  <c r="W398" i="24"/>
  <c r="AB398" i="24"/>
  <c r="C399" i="24"/>
  <c r="N399" i="24"/>
  <c r="Q399" i="24"/>
  <c r="R399" i="24"/>
  <c r="W399" i="24"/>
  <c r="AB399" i="24"/>
  <c r="B14" i="3"/>
  <c r="B15" i="3"/>
  <c r="B13" i="3"/>
  <c r="C13" i="3"/>
  <c r="N13" i="3"/>
  <c r="Q13" i="3"/>
  <c r="R13" i="3"/>
  <c r="AB13" i="3"/>
  <c r="C14" i="3"/>
  <c r="N14" i="3"/>
  <c r="Q14" i="3"/>
  <c r="R14" i="3"/>
  <c r="AB14" i="3"/>
  <c r="C45" i="24"/>
  <c r="N45" i="24"/>
  <c r="Q45" i="24"/>
  <c r="R45" i="24"/>
  <c r="W45" i="24"/>
  <c r="AB45" i="24"/>
  <c r="C46" i="24"/>
  <c r="N46" i="24"/>
  <c r="Q46" i="24"/>
  <c r="R46" i="24"/>
  <c r="W46" i="24"/>
  <c r="AB46" i="24"/>
  <c r="C326" i="24"/>
  <c r="N326" i="24"/>
  <c r="Q326" i="24"/>
  <c r="R326" i="24"/>
  <c r="W326" i="24"/>
  <c r="AB326" i="24"/>
  <c r="C327" i="24"/>
  <c r="N327" i="24"/>
  <c r="Q327" i="24"/>
  <c r="R327" i="24"/>
  <c r="W327" i="24"/>
  <c r="AB327" i="24"/>
  <c r="C353" i="24" l="1"/>
  <c r="N353" i="24"/>
  <c r="Q353" i="24"/>
  <c r="R353" i="24"/>
  <c r="W353" i="24"/>
  <c r="AB353" i="24"/>
  <c r="C354" i="24"/>
  <c r="N354" i="24"/>
  <c r="Q354" i="24"/>
  <c r="R354" i="24"/>
  <c r="W354" i="24"/>
  <c r="AB354" i="24"/>
  <c r="AB444" i="18"/>
  <c r="Y444" i="18"/>
  <c r="R444" i="18"/>
  <c r="Q444" i="18"/>
  <c r="N444" i="18"/>
  <c r="C444" i="18"/>
  <c r="B444" i="18"/>
  <c r="B331" i="3"/>
  <c r="B332" i="3"/>
  <c r="B333" i="3"/>
  <c r="B334" i="3"/>
  <c r="B335" i="3"/>
  <c r="B336" i="3"/>
  <c r="B337" i="3"/>
  <c r="B330" i="3"/>
  <c r="C330" i="3"/>
  <c r="N330" i="3"/>
  <c r="Q330" i="3"/>
  <c r="R330" i="3"/>
  <c r="AB330" i="3"/>
  <c r="C331" i="3"/>
  <c r="N331" i="3"/>
  <c r="Q331" i="3"/>
  <c r="R331" i="3"/>
  <c r="AB331" i="3"/>
  <c r="C332" i="3"/>
  <c r="N332" i="3"/>
  <c r="Q332" i="3"/>
  <c r="R332" i="3"/>
  <c r="AB332" i="3"/>
  <c r="C333" i="3"/>
  <c r="N333" i="3"/>
  <c r="Q333" i="3"/>
  <c r="R333" i="3"/>
  <c r="AB333" i="3"/>
  <c r="C334" i="3"/>
  <c r="N334" i="3"/>
  <c r="Q334" i="3"/>
  <c r="R334" i="3"/>
  <c r="AB334" i="3"/>
  <c r="C335" i="3"/>
  <c r="N335" i="3"/>
  <c r="Q335" i="3"/>
  <c r="R335" i="3"/>
  <c r="AB335" i="3"/>
  <c r="C336" i="3"/>
  <c r="N336" i="3"/>
  <c r="Q336" i="3"/>
  <c r="R336" i="3"/>
  <c r="AB336" i="3"/>
  <c r="C3355" i="24"/>
  <c r="N3355" i="24"/>
  <c r="Q3355" i="24"/>
  <c r="R3355" i="24"/>
  <c r="W3355" i="24"/>
  <c r="AB3355" i="24"/>
  <c r="C3356" i="24"/>
  <c r="N3356" i="24"/>
  <c r="Q3356" i="24"/>
  <c r="R3356" i="24"/>
  <c r="W3356" i="24"/>
  <c r="AB3356" i="24"/>
  <c r="C3357" i="24"/>
  <c r="N3357" i="24"/>
  <c r="Q3357" i="24"/>
  <c r="R3357" i="24"/>
  <c r="W3357" i="24"/>
  <c r="AB3357" i="24"/>
  <c r="C3358" i="24"/>
  <c r="N3358" i="24"/>
  <c r="Q3358" i="24"/>
  <c r="R3358" i="24"/>
  <c r="W3358" i="24"/>
  <c r="AB3358" i="24"/>
  <c r="C3359" i="24"/>
  <c r="N3359" i="24"/>
  <c r="Q3359" i="24"/>
  <c r="R3359" i="24"/>
  <c r="W3359" i="24"/>
  <c r="AB3359" i="24"/>
  <c r="C3360" i="24"/>
  <c r="N3360" i="24"/>
  <c r="Q3360" i="24"/>
  <c r="R3360" i="24"/>
  <c r="W3360" i="24"/>
  <c r="AB3360" i="24"/>
  <c r="C3361" i="24"/>
  <c r="N3361" i="24"/>
  <c r="Q3361" i="24"/>
  <c r="R3361" i="24"/>
  <c r="W3361" i="24"/>
  <c r="AB3361" i="24"/>
  <c r="C3362" i="24"/>
  <c r="N3362" i="24"/>
  <c r="Q3362" i="24"/>
  <c r="R3362" i="24"/>
  <c r="W3362" i="24"/>
  <c r="AB3362" i="24"/>
  <c r="C3363" i="24"/>
  <c r="N3363" i="24"/>
  <c r="Q3363" i="24"/>
  <c r="R3363" i="24"/>
  <c r="W3363" i="24"/>
  <c r="AB3363" i="24"/>
  <c r="C3364" i="24"/>
  <c r="N3364" i="24"/>
  <c r="Q3364" i="24"/>
  <c r="R3364" i="24"/>
  <c r="W3364" i="24"/>
  <c r="AB3364" i="24"/>
  <c r="C3365" i="24"/>
  <c r="N3365" i="24"/>
  <c r="Q3365" i="24"/>
  <c r="R3365" i="24"/>
  <c r="W3365" i="24"/>
  <c r="AB3365" i="24"/>
  <c r="C3366" i="24"/>
  <c r="N3366" i="24"/>
  <c r="Q3366" i="24"/>
  <c r="R3366" i="24"/>
  <c r="W3366" i="24"/>
  <c r="AB3366" i="24"/>
  <c r="C3319" i="24"/>
  <c r="N3319" i="24"/>
  <c r="Q3319" i="24"/>
  <c r="R3319" i="24"/>
  <c r="W3319" i="24"/>
  <c r="AB3319" i="24"/>
  <c r="C3320" i="24"/>
  <c r="N3320" i="24"/>
  <c r="Q3320" i="24"/>
  <c r="R3320" i="24"/>
  <c r="W3320" i="24"/>
  <c r="AB3320" i="24"/>
  <c r="AA5" i="18"/>
  <c r="AA26" i="18"/>
  <c r="AA27" i="18"/>
  <c r="AA52" i="18"/>
  <c r="AA53" i="18"/>
  <c r="AA71" i="18"/>
  <c r="AA78" i="18"/>
  <c r="AA79" i="18"/>
  <c r="AA80" i="18"/>
  <c r="AA133" i="18"/>
  <c r="AA146" i="18"/>
  <c r="AA155" i="18"/>
  <c r="AA167" i="18"/>
  <c r="AA180" i="18"/>
  <c r="AA194" i="18"/>
  <c r="AA195" i="18"/>
  <c r="AA224" i="18"/>
  <c r="AA225" i="18"/>
  <c r="AA248" i="18"/>
  <c r="AA258" i="18"/>
  <c r="AA259" i="18"/>
  <c r="AA276" i="18"/>
  <c r="AA317" i="18"/>
  <c r="AA318" i="18"/>
  <c r="AA355" i="18"/>
  <c r="AA369" i="18"/>
  <c r="AA392" i="18"/>
  <c r="AA418" i="18"/>
  <c r="AA423" i="18"/>
  <c r="C3379" i="24"/>
  <c r="N3379" i="24"/>
  <c r="Q3379" i="24"/>
  <c r="R3379" i="24"/>
  <c r="W3379" i="24"/>
  <c r="AB3379" i="24"/>
  <c r="C3380" i="24"/>
  <c r="N3380" i="24"/>
  <c r="Q3380" i="24"/>
  <c r="R3380" i="24"/>
  <c r="W3380" i="24"/>
  <c r="AB3380" i="24"/>
  <c r="C3372" i="24"/>
  <c r="N3372" i="24"/>
  <c r="Q3372" i="24"/>
  <c r="R3372" i="24"/>
  <c r="W3372" i="24"/>
  <c r="AB3372" i="24"/>
  <c r="C3373" i="24"/>
  <c r="N3373" i="24"/>
  <c r="Q3373" i="24"/>
  <c r="R3373" i="24"/>
  <c r="W3373" i="24"/>
  <c r="AB3373" i="24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72" i="18"/>
  <c r="B273" i="18"/>
  <c r="B274" i="18"/>
  <c r="B275" i="18"/>
  <c r="B276" i="18"/>
  <c r="B277" i="18"/>
  <c r="B278" i="18"/>
  <c r="B279" i="18"/>
  <c r="B280" i="18"/>
  <c r="B281" i="18"/>
  <c r="B282" i="18"/>
  <c r="B283" i="18"/>
  <c r="B284" i="18"/>
  <c r="B285" i="18"/>
  <c r="B286" i="18"/>
  <c r="B287" i="18"/>
  <c r="B288" i="18"/>
  <c r="B289" i="18"/>
  <c r="B290" i="18"/>
  <c r="B291" i="18"/>
  <c r="B292" i="18"/>
  <c r="B293" i="18"/>
  <c r="B294" i="18"/>
  <c r="B295" i="18"/>
  <c r="B296" i="18"/>
  <c r="B297" i="18"/>
  <c r="B298" i="18"/>
  <c r="B299" i="18"/>
  <c r="B300" i="18"/>
  <c r="B301" i="18"/>
  <c r="B302" i="18"/>
  <c r="B303" i="18"/>
  <c r="B304" i="18"/>
  <c r="B305" i="18"/>
  <c r="B306" i="18"/>
  <c r="B307" i="18"/>
  <c r="B308" i="18"/>
  <c r="B309" i="18"/>
  <c r="B310" i="18"/>
  <c r="B311" i="18"/>
  <c r="B312" i="18"/>
  <c r="B313" i="18"/>
  <c r="B314" i="18"/>
  <c r="B315" i="18"/>
  <c r="B316" i="18"/>
  <c r="B317" i="18"/>
  <c r="B318" i="18"/>
  <c r="B319" i="18"/>
  <c r="B320" i="18"/>
  <c r="B321" i="18"/>
  <c r="B322" i="18"/>
  <c r="B323" i="18"/>
  <c r="B324" i="18"/>
  <c r="B325" i="18"/>
  <c r="B326" i="18"/>
  <c r="B327" i="18"/>
  <c r="B328" i="18"/>
  <c r="B329" i="18"/>
  <c r="B330" i="18"/>
  <c r="B331" i="18"/>
  <c r="B332" i="18"/>
  <c r="B333" i="18"/>
  <c r="B334" i="18"/>
  <c r="B335" i="18"/>
  <c r="B336" i="18"/>
  <c r="B337" i="18"/>
  <c r="B338" i="18"/>
  <c r="B339" i="18"/>
  <c r="B340" i="18"/>
  <c r="B341" i="18"/>
  <c r="B342" i="18"/>
  <c r="B343" i="18"/>
  <c r="B344" i="18"/>
  <c r="B345" i="18"/>
  <c r="B346" i="18"/>
  <c r="B347" i="18"/>
  <c r="B348" i="18"/>
  <c r="B349" i="18"/>
  <c r="B350" i="18"/>
  <c r="B351" i="18"/>
  <c r="B352" i="18"/>
  <c r="B353" i="18"/>
  <c r="B354" i="18"/>
  <c r="B355" i="18"/>
  <c r="B356" i="18"/>
  <c r="B357" i="18"/>
  <c r="B358" i="18"/>
  <c r="B359" i="18"/>
  <c r="B360" i="18"/>
  <c r="B361" i="18"/>
  <c r="B362" i="18"/>
  <c r="B363" i="18"/>
  <c r="B364" i="18"/>
  <c r="B365" i="18"/>
  <c r="B366" i="18"/>
  <c r="B367" i="18"/>
  <c r="B368" i="18"/>
  <c r="B369" i="18"/>
  <c r="B370" i="18"/>
  <c r="B371" i="18"/>
  <c r="B372" i="18"/>
  <c r="B373" i="18"/>
  <c r="B374" i="18"/>
  <c r="B375" i="18"/>
  <c r="B376" i="18"/>
  <c r="B377" i="18"/>
  <c r="B378" i="18"/>
  <c r="B379" i="18"/>
  <c r="B380" i="18"/>
  <c r="B381" i="18"/>
  <c r="B382" i="18"/>
  <c r="B383" i="18"/>
  <c r="B384" i="18"/>
  <c r="B385" i="18"/>
  <c r="B386" i="18"/>
  <c r="B387" i="18"/>
  <c r="B388" i="18"/>
  <c r="B389" i="18"/>
  <c r="B390" i="18"/>
  <c r="B391" i="18"/>
  <c r="B392" i="18"/>
  <c r="B393" i="18"/>
  <c r="B394" i="18"/>
  <c r="B395" i="18"/>
  <c r="B396" i="18"/>
  <c r="B397" i="18"/>
  <c r="B398" i="18"/>
  <c r="B399" i="18"/>
  <c r="B400" i="18"/>
  <c r="B401" i="18"/>
  <c r="B402" i="18"/>
  <c r="B403" i="18"/>
  <c r="B404" i="18"/>
  <c r="B405" i="18"/>
  <c r="B406" i="18"/>
  <c r="B407" i="18"/>
  <c r="B408" i="18"/>
  <c r="B409" i="18"/>
  <c r="B410" i="18"/>
  <c r="B411" i="18"/>
  <c r="B412" i="18"/>
  <c r="B413" i="18"/>
  <c r="B414" i="18"/>
  <c r="B415" i="18"/>
  <c r="B416" i="18"/>
  <c r="B417" i="18"/>
  <c r="B418" i="18"/>
  <c r="B419" i="18"/>
  <c r="B420" i="18"/>
  <c r="B421" i="18"/>
  <c r="B422" i="18"/>
  <c r="B423" i="18"/>
  <c r="B424" i="18"/>
  <c r="B425" i="18"/>
  <c r="B426" i="18"/>
  <c r="B427" i="18"/>
  <c r="B428" i="18"/>
  <c r="B429" i="18"/>
  <c r="B430" i="18"/>
  <c r="B431" i="18"/>
  <c r="B432" i="18"/>
  <c r="B433" i="18"/>
  <c r="B434" i="18"/>
  <c r="B435" i="18"/>
  <c r="B436" i="18"/>
  <c r="B437" i="18"/>
  <c r="B438" i="18"/>
  <c r="B439" i="18"/>
  <c r="B440" i="18"/>
  <c r="B441" i="18"/>
  <c r="B442" i="18"/>
  <c r="B443" i="18"/>
  <c r="C423" i="18"/>
  <c r="N423" i="18"/>
  <c r="Q423" i="18"/>
  <c r="R423" i="18"/>
  <c r="Y423" i="18"/>
  <c r="AB423" i="18"/>
  <c r="C418" i="18"/>
  <c r="N418" i="18"/>
  <c r="Q418" i="18"/>
  <c r="R418" i="18"/>
  <c r="Y418" i="18"/>
  <c r="AB418" i="18"/>
  <c r="C421" i="18"/>
  <c r="C422" i="18"/>
  <c r="C424" i="18"/>
  <c r="C425" i="18"/>
  <c r="C426" i="18"/>
  <c r="C427" i="18"/>
  <c r="C428" i="18"/>
  <c r="C429" i="18"/>
  <c r="C430" i="18"/>
  <c r="C431" i="18"/>
  <c r="C432" i="18"/>
  <c r="C433" i="18"/>
  <c r="C434" i="18"/>
  <c r="C435" i="18"/>
  <c r="C436" i="18"/>
  <c r="C437" i="18"/>
  <c r="C438" i="18"/>
  <c r="C439" i="18"/>
  <c r="C440" i="18"/>
  <c r="C441" i="18"/>
  <c r="C442" i="18"/>
  <c r="C443" i="18"/>
  <c r="N421" i="18"/>
  <c r="N422" i="18"/>
  <c r="N424" i="18"/>
  <c r="N425" i="18"/>
  <c r="N426" i="18"/>
  <c r="N427" i="18"/>
  <c r="N428" i="18"/>
  <c r="N429" i="18"/>
  <c r="N430" i="18"/>
  <c r="N431" i="18"/>
  <c r="N432" i="18"/>
  <c r="N433" i="18"/>
  <c r="N434" i="18"/>
  <c r="N435" i="18"/>
  <c r="N436" i="18"/>
  <c r="N437" i="18"/>
  <c r="N438" i="18"/>
  <c r="N439" i="18"/>
  <c r="N440" i="18"/>
  <c r="N441" i="18"/>
  <c r="N442" i="18"/>
  <c r="N443" i="18"/>
  <c r="Q421" i="18"/>
  <c r="Q422" i="18"/>
  <c r="Q424" i="18"/>
  <c r="Q425" i="18"/>
  <c r="Q426" i="18"/>
  <c r="Q427" i="18"/>
  <c r="Q428" i="18"/>
  <c r="Q429" i="18"/>
  <c r="Q430" i="18"/>
  <c r="Q431" i="18"/>
  <c r="Q432" i="18"/>
  <c r="Q433" i="18"/>
  <c r="Q434" i="18"/>
  <c r="Q435" i="18"/>
  <c r="Q436" i="18"/>
  <c r="Q437" i="18"/>
  <c r="Q438" i="18"/>
  <c r="Q439" i="18"/>
  <c r="Q440" i="18"/>
  <c r="Q441" i="18"/>
  <c r="Q442" i="18"/>
  <c r="Q443" i="18"/>
  <c r="R421" i="18"/>
  <c r="R422" i="18"/>
  <c r="R424" i="18"/>
  <c r="R425" i="18"/>
  <c r="R426" i="18"/>
  <c r="R427" i="18"/>
  <c r="R428" i="18"/>
  <c r="R429" i="18"/>
  <c r="R430" i="18"/>
  <c r="R431" i="18"/>
  <c r="R432" i="18"/>
  <c r="R433" i="18"/>
  <c r="R434" i="18"/>
  <c r="R435" i="18"/>
  <c r="R436" i="18"/>
  <c r="R437" i="18"/>
  <c r="R438" i="18"/>
  <c r="R439" i="18"/>
  <c r="R440" i="18"/>
  <c r="R441" i="18"/>
  <c r="R442" i="18"/>
  <c r="R443" i="18"/>
  <c r="Y421" i="18"/>
  <c r="Y422" i="18"/>
  <c r="Y424" i="18"/>
  <c r="Y425" i="18"/>
  <c r="Y426" i="18"/>
  <c r="Y427" i="18"/>
  <c r="Y428" i="18"/>
  <c r="Y429" i="18"/>
  <c r="Y430" i="18"/>
  <c r="Y431" i="18"/>
  <c r="Y432" i="18"/>
  <c r="Y433" i="18"/>
  <c r="Y434" i="18"/>
  <c r="Y435" i="18"/>
  <c r="Y436" i="18"/>
  <c r="Y437" i="18"/>
  <c r="Y438" i="18"/>
  <c r="Y439" i="18"/>
  <c r="Y440" i="18"/>
  <c r="Y441" i="18"/>
  <c r="Y442" i="18"/>
  <c r="Y443" i="18"/>
  <c r="AB421" i="18"/>
  <c r="AB422" i="18"/>
  <c r="AB424" i="18"/>
  <c r="AB425" i="18"/>
  <c r="AB426" i="18"/>
  <c r="AB427" i="18"/>
  <c r="AB428" i="18"/>
  <c r="AB429" i="18"/>
  <c r="AB430" i="18"/>
  <c r="AB431" i="18"/>
  <c r="AB432" i="18"/>
  <c r="AB433" i="18"/>
  <c r="AB434" i="18"/>
  <c r="AB435" i="18"/>
  <c r="AB436" i="18"/>
  <c r="AB437" i="18"/>
  <c r="AB438" i="18"/>
  <c r="AB439" i="18"/>
  <c r="AB440" i="18"/>
  <c r="AB441" i="18"/>
  <c r="AB442" i="18"/>
  <c r="AB443" i="18"/>
  <c r="AB3381" i="24"/>
  <c r="W3381" i="24"/>
  <c r="R3381" i="24"/>
  <c r="Q3381" i="24"/>
  <c r="N3381" i="24"/>
  <c r="C3381" i="24"/>
  <c r="C387" i="18" l="1"/>
  <c r="N387" i="18"/>
  <c r="Q387" i="18"/>
  <c r="R387" i="18"/>
  <c r="Y387" i="18"/>
  <c r="AB387" i="18"/>
  <c r="C3351" i="24"/>
  <c r="N3351" i="24"/>
  <c r="Q3351" i="24"/>
  <c r="R3351" i="24"/>
  <c r="W3351" i="24"/>
  <c r="AB3351" i="24"/>
  <c r="B338" i="3"/>
  <c r="C338" i="3"/>
  <c r="N338" i="3"/>
  <c r="Q338" i="3"/>
  <c r="R338" i="3"/>
  <c r="AB338" i="3"/>
  <c r="C337" i="3"/>
  <c r="N337" i="3"/>
  <c r="Q337" i="3"/>
  <c r="R337" i="3"/>
  <c r="AB337" i="3"/>
  <c r="C3371" i="24"/>
  <c r="N3371" i="24"/>
  <c r="Q3371" i="24"/>
  <c r="R3371" i="24"/>
  <c r="W3371" i="24"/>
  <c r="AB3371" i="24"/>
  <c r="B329" i="3"/>
  <c r="B328" i="3"/>
  <c r="C328" i="3"/>
  <c r="N328" i="3"/>
  <c r="Q328" i="3"/>
  <c r="R328" i="3"/>
  <c r="AB328" i="3"/>
  <c r="C3350" i="24"/>
  <c r="N3350" i="24"/>
  <c r="Q3350" i="24"/>
  <c r="R3350" i="24"/>
  <c r="W3350" i="24"/>
  <c r="AB3350" i="24"/>
  <c r="B764" i="9"/>
  <c r="N764" i="9" s="1"/>
  <c r="C764" i="9"/>
  <c r="O764" i="9"/>
  <c r="R764" i="9"/>
  <c r="S764" i="9"/>
  <c r="AC764" i="9"/>
  <c r="B704" i="8"/>
  <c r="N704" i="8" s="1"/>
  <c r="C704" i="8"/>
  <c r="O704" i="8"/>
  <c r="R704" i="8"/>
  <c r="S704" i="8"/>
  <c r="AC704" i="8"/>
  <c r="C3349" i="24"/>
  <c r="N3349" i="24"/>
  <c r="Q3349" i="24"/>
  <c r="R3349" i="24"/>
  <c r="W3349" i="24"/>
  <c r="AB3349" i="24"/>
  <c r="C3352" i="24"/>
  <c r="N3352" i="24"/>
  <c r="Q3352" i="24"/>
  <c r="R3352" i="24"/>
  <c r="W3352" i="24"/>
  <c r="AB3352" i="24"/>
  <c r="C3353" i="24"/>
  <c r="N3353" i="24"/>
  <c r="Q3353" i="24"/>
  <c r="R3353" i="24"/>
  <c r="W3353" i="24"/>
  <c r="AB3353" i="24"/>
  <c r="C3370" i="24"/>
  <c r="N3370" i="24"/>
  <c r="Q3370" i="24"/>
  <c r="R3370" i="24"/>
  <c r="W3370" i="24"/>
  <c r="AB3370" i="24"/>
  <c r="C3369" i="24" l="1"/>
  <c r="N3369" i="24"/>
  <c r="Q3369" i="24"/>
  <c r="R3369" i="24"/>
  <c r="W3369" i="24"/>
  <c r="AB3369" i="24"/>
  <c r="C3368" i="24"/>
  <c r="N3368" i="24"/>
  <c r="Q3368" i="24"/>
  <c r="R3368" i="24"/>
  <c r="W3368" i="24"/>
  <c r="AB3368" i="24"/>
  <c r="C3367" i="24" l="1"/>
  <c r="N3367" i="24"/>
  <c r="Q3367" i="24"/>
  <c r="R3367" i="24"/>
  <c r="W3367" i="24"/>
  <c r="AB3367" i="24"/>
  <c r="C329" i="3"/>
  <c r="N329" i="3"/>
  <c r="Q329" i="3"/>
  <c r="R329" i="3"/>
  <c r="AB329" i="3"/>
  <c r="B703" i="8" l="1"/>
  <c r="N703" i="8" s="1"/>
  <c r="C703" i="8"/>
  <c r="O703" i="8"/>
  <c r="R703" i="8"/>
  <c r="S703" i="8"/>
  <c r="AC703" i="8"/>
  <c r="C3347" i="24" l="1"/>
  <c r="N3347" i="24"/>
  <c r="Q3347" i="24"/>
  <c r="R3347" i="24"/>
  <c r="W3347" i="24"/>
  <c r="AB3347" i="24"/>
  <c r="C3348" i="24"/>
  <c r="N3348" i="24"/>
  <c r="Q3348" i="24"/>
  <c r="R3348" i="24"/>
  <c r="W3348" i="24"/>
  <c r="AB3348" i="24"/>
  <c r="C3354" i="24"/>
  <c r="N3354" i="24"/>
  <c r="Q3354" i="24"/>
  <c r="R3354" i="24"/>
  <c r="W3354" i="24"/>
  <c r="AB3354" i="24"/>
  <c r="B763" i="9" l="1"/>
  <c r="N763" i="9" s="1"/>
  <c r="C763" i="9"/>
  <c r="O763" i="9"/>
  <c r="R763" i="9"/>
  <c r="S763" i="9"/>
  <c r="AC763" i="9"/>
  <c r="AB2664" i="24"/>
  <c r="AB2665" i="24"/>
  <c r="AB2666" i="24"/>
  <c r="AB2667" i="24"/>
  <c r="AB2668" i="24"/>
  <c r="AB2669" i="24"/>
  <c r="AB2670" i="24"/>
  <c r="AB2671" i="24"/>
  <c r="AB2672" i="24"/>
  <c r="AB2673" i="24"/>
  <c r="AB2674" i="24"/>
  <c r="AB2675" i="24"/>
  <c r="AB2676" i="24"/>
  <c r="W2664" i="24"/>
  <c r="W2665" i="24"/>
  <c r="W2666" i="24"/>
  <c r="W2667" i="24"/>
  <c r="W2668" i="24"/>
  <c r="W2669" i="24"/>
  <c r="W2670" i="24"/>
  <c r="W2671" i="24"/>
  <c r="W2672" i="24"/>
  <c r="W2673" i="24"/>
  <c r="W2674" i="24"/>
  <c r="W2675" i="24"/>
  <c r="W2676" i="24"/>
  <c r="R2664" i="24"/>
  <c r="R2665" i="24"/>
  <c r="R2666" i="24"/>
  <c r="R2667" i="24"/>
  <c r="R2668" i="24"/>
  <c r="R2669" i="24"/>
  <c r="R2670" i="24"/>
  <c r="R2671" i="24"/>
  <c r="R2672" i="24"/>
  <c r="R2673" i="24"/>
  <c r="R2674" i="24"/>
  <c r="R2675" i="24"/>
  <c r="R2676" i="24"/>
  <c r="Q2664" i="24"/>
  <c r="Q2665" i="24"/>
  <c r="Q2666" i="24"/>
  <c r="Q2667" i="24"/>
  <c r="Q2668" i="24"/>
  <c r="Q2669" i="24"/>
  <c r="Q2670" i="24"/>
  <c r="Q2671" i="24"/>
  <c r="Q2672" i="24"/>
  <c r="Q2673" i="24"/>
  <c r="Q2674" i="24"/>
  <c r="Q2675" i="24"/>
  <c r="Q2676" i="24"/>
  <c r="N2664" i="24"/>
  <c r="N2665" i="24"/>
  <c r="N2666" i="24"/>
  <c r="N2667" i="24"/>
  <c r="N2668" i="24"/>
  <c r="N2669" i="24"/>
  <c r="N2670" i="24"/>
  <c r="N2671" i="24"/>
  <c r="N2672" i="24"/>
  <c r="N2673" i="24"/>
  <c r="N2674" i="24"/>
  <c r="N2675" i="24"/>
  <c r="N2676" i="24"/>
  <c r="C2664" i="24"/>
  <c r="C2665" i="24"/>
  <c r="C2666" i="24"/>
  <c r="C2667" i="24"/>
  <c r="C2668" i="24"/>
  <c r="C2669" i="24"/>
  <c r="C2670" i="24"/>
  <c r="C2671" i="24"/>
  <c r="C2672" i="24"/>
  <c r="C2673" i="24"/>
  <c r="C2674" i="24"/>
  <c r="C2675" i="24"/>
  <c r="C2676" i="24"/>
  <c r="AB2677" i="24"/>
  <c r="AB2678" i="24"/>
  <c r="AB2679" i="24"/>
  <c r="AB2680" i="24"/>
  <c r="AB2681" i="24"/>
  <c r="AB2682" i="24"/>
  <c r="AB2683" i="24"/>
  <c r="AB2684" i="24"/>
  <c r="W2677" i="24"/>
  <c r="W2678" i="24"/>
  <c r="W2679" i="24"/>
  <c r="W2680" i="24"/>
  <c r="W2681" i="24"/>
  <c r="W2682" i="24"/>
  <c r="W2683" i="24"/>
  <c r="W2684" i="24"/>
  <c r="R2677" i="24"/>
  <c r="R2678" i="24"/>
  <c r="R2679" i="24"/>
  <c r="R2680" i="24"/>
  <c r="R2681" i="24"/>
  <c r="R2682" i="24"/>
  <c r="R2683" i="24"/>
  <c r="R2684" i="24"/>
  <c r="Q2677" i="24"/>
  <c r="Q2678" i="24"/>
  <c r="Q2679" i="24"/>
  <c r="Q2680" i="24"/>
  <c r="Q2681" i="24"/>
  <c r="Q2682" i="24"/>
  <c r="Q2683" i="24"/>
  <c r="Q2684" i="24"/>
  <c r="N2677" i="24"/>
  <c r="N2678" i="24"/>
  <c r="N2679" i="24"/>
  <c r="N2680" i="24"/>
  <c r="N2681" i="24"/>
  <c r="N2682" i="24"/>
  <c r="N2683" i="24"/>
  <c r="N2684" i="24"/>
  <c r="C2677" i="24"/>
  <c r="C2678" i="24"/>
  <c r="C2679" i="24"/>
  <c r="C2680" i="24"/>
  <c r="C2681" i="24"/>
  <c r="C2682" i="24"/>
  <c r="C2683" i="24"/>
  <c r="C2684" i="24"/>
  <c r="AB2637" i="24"/>
  <c r="AB2638" i="24"/>
  <c r="AB2639" i="24"/>
  <c r="AB2640" i="24"/>
  <c r="AB2641" i="24"/>
  <c r="AB2642" i="24"/>
  <c r="AB2643" i="24"/>
  <c r="AB2644" i="24"/>
  <c r="AB2645" i="24"/>
  <c r="W2637" i="24"/>
  <c r="W2638" i="24"/>
  <c r="W2639" i="24"/>
  <c r="W2640" i="24"/>
  <c r="W2641" i="24"/>
  <c r="W2642" i="24"/>
  <c r="W2643" i="24"/>
  <c r="W2644" i="24"/>
  <c r="W2645" i="24"/>
  <c r="R2637" i="24"/>
  <c r="R2638" i="24"/>
  <c r="R2639" i="24"/>
  <c r="R2640" i="24"/>
  <c r="R2641" i="24"/>
  <c r="R2642" i="24"/>
  <c r="R2643" i="24"/>
  <c r="R2644" i="24"/>
  <c r="R2645" i="24"/>
  <c r="Q2637" i="24"/>
  <c r="Q2638" i="24"/>
  <c r="Q2639" i="24"/>
  <c r="Q2640" i="24"/>
  <c r="Q2641" i="24"/>
  <c r="Q2642" i="24"/>
  <c r="Q2643" i="24"/>
  <c r="Q2644" i="24"/>
  <c r="Q2645" i="24"/>
  <c r="N2637" i="24"/>
  <c r="N2638" i="24"/>
  <c r="N2639" i="24"/>
  <c r="N2640" i="24"/>
  <c r="N2641" i="24"/>
  <c r="N2642" i="24"/>
  <c r="N2643" i="24"/>
  <c r="N2644" i="24"/>
  <c r="N2645" i="24"/>
  <c r="C2637" i="24"/>
  <c r="C2638" i="24"/>
  <c r="C2639" i="24"/>
  <c r="C2640" i="24"/>
  <c r="C2641" i="24"/>
  <c r="C2642" i="24"/>
  <c r="C2643" i="24"/>
  <c r="C2644" i="24"/>
  <c r="C2645" i="24"/>
  <c r="AB2646" i="24"/>
  <c r="AB2647" i="24"/>
  <c r="AB2648" i="24"/>
  <c r="AB2649" i="24"/>
  <c r="AB2650" i="24"/>
  <c r="AB2651" i="24"/>
  <c r="AB2652" i="24"/>
  <c r="AB2653" i="24"/>
  <c r="AB2654" i="24"/>
  <c r="W2646" i="24"/>
  <c r="W2647" i="24"/>
  <c r="W2648" i="24"/>
  <c r="W2649" i="24"/>
  <c r="W2650" i="24"/>
  <c r="W2651" i="24"/>
  <c r="W2652" i="24"/>
  <c r="W2653" i="24"/>
  <c r="W2654" i="24"/>
  <c r="R2646" i="24"/>
  <c r="R2647" i="24"/>
  <c r="R2648" i="24"/>
  <c r="R2649" i="24"/>
  <c r="R2650" i="24"/>
  <c r="R2651" i="24"/>
  <c r="R2652" i="24"/>
  <c r="R2653" i="24"/>
  <c r="R2654" i="24"/>
  <c r="Q2646" i="24"/>
  <c r="Q2647" i="24"/>
  <c r="Q2648" i="24"/>
  <c r="Q2649" i="24"/>
  <c r="Q2650" i="24"/>
  <c r="Q2651" i="24"/>
  <c r="Q2652" i="24"/>
  <c r="Q2653" i="24"/>
  <c r="Q2654" i="24"/>
  <c r="N2646" i="24"/>
  <c r="N2647" i="24"/>
  <c r="N2648" i="24"/>
  <c r="N2649" i="24"/>
  <c r="N2650" i="24"/>
  <c r="N2651" i="24"/>
  <c r="N2652" i="24"/>
  <c r="N2653" i="24"/>
  <c r="N2654" i="24"/>
  <c r="C2646" i="24"/>
  <c r="C2647" i="24"/>
  <c r="C2648" i="24"/>
  <c r="C2649" i="24"/>
  <c r="C2650" i="24"/>
  <c r="C2651" i="24"/>
  <c r="C2652" i="24"/>
  <c r="C2653" i="24"/>
  <c r="C2654" i="24"/>
  <c r="AB2655" i="24"/>
  <c r="AB2656" i="24"/>
  <c r="AB2657" i="24"/>
  <c r="AB2658" i="24"/>
  <c r="AB2659" i="24"/>
  <c r="AB2660" i="24"/>
  <c r="AB2661" i="24"/>
  <c r="AB2662" i="24"/>
  <c r="AB2663" i="24"/>
  <c r="W2655" i="24"/>
  <c r="W2656" i="24"/>
  <c r="W2657" i="24"/>
  <c r="W2658" i="24"/>
  <c r="W2659" i="24"/>
  <c r="W2660" i="24"/>
  <c r="W2661" i="24"/>
  <c r="W2662" i="24"/>
  <c r="W2663" i="24"/>
  <c r="R2655" i="24"/>
  <c r="R2656" i="24"/>
  <c r="R2657" i="24"/>
  <c r="R2658" i="24"/>
  <c r="R2659" i="24"/>
  <c r="R2660" i="24"/>
  <c r="R2661" i="24"/>
  <c r="R2662" i="24"/>
  <c r="R2663" i="24"/>
  <c r="Q2655" i="24"/>
  <c r="Q2656" i="24"/>
  <c r="Q2657" i="24"/>
  <c r="Q2658" i="24"/>
  <c r="Q2659" i="24"/>
  <c r="Q2660" i="24"/>
  <c r="Q2661" i="24"/>
  <c r="Q2662" i="24"/>
  <c r="Q2663" i="24"/>
  <c r="N2655" i="24"/>
  <c r="N2656" i="24"/>
  <c r="N2657" i="24"/>
  <c r="N2658" i="24"/>
  <c r="N2659" i="24"/>
  <c r="N2660" i="24"/>
  <c r="N2661" i="24"/>
  <c r="N2662" i="24"/>
  <c r="N2663" i="24"/>
  <c r="C2655" i="24"/>
  <c r="C2656" i="24"/>
  <c r="C2657" i="24"/>
  <c r="C2658" i="24"/>
  <c r="C2659" i="24"/>
  <c r="C2660" i="24"/>
  <c r="C2661" i="24"/>
  <c r="C2662" i="24"/>
  <c r="C2663" i="24"/>
  <c r="B653" i="8"/>
  <c r="N653" i="8" s="1"/>
  <c r="B652" i="8"/>
  <c r="N652" i="8" s="1"/>
  <c r="C652" i="8"/>
  <c r="O652" i="8"/>
  <c r="R652" i="8"/>
  <c r="S652" i="8"/>
  <c r="AC652" i="8"/>
  <c r="AB67" i="22" l="1"/>
  <c r="R67" i="22"/>
  <c r="Q67" i="22"/>
  <c r="N67" i="22"/>
  <c r="C67" i="22"/>
  <c r="AB71" i="22"/>
  <c r="R71" i="22"/>
  <c r="Q71" i="22"/>
  <c r="N71" i="22"/>
  <c r="C71" i="22"/>
  <c r="AB70" i="22"/>
  <c r="AB69" i="22"/>
  <c r="R70" i="22"/>
  <c r="R69" i="22"/>
  <c r="Q70" i="22"/>
  <c r="Q69" i="22"/>
  <c r="N70" i="22"/>
  <c r="N69" i="22"/>
  <c r="C70" i="22"/>
  <c r="C69" i="22"/>
  <c r="C58" i="22"/>
  <c r="C59" i="22"/>
  <c r="C60" i="22"/>
  <c r="C61" i="22"/>
  <c r="C62" i="22"/>
  <c r="C63" i="22"/>
  <c r="C64" i="22"/>
  <c r="C65" i="22"/>
  <c r="C66" i="22"/>
  <c r="C68" i="22"/>
  <c r="N58" i="22"/>
  <c r="N59" i="22"/>
  <c r="N60" i="22"/>
  <c r="N61" i="22"/>
  <c r="N62" i="22"/>
  <c r="N63" i="22"/>
  <c r="N64" i="22"/>
  <c r="N65" i="22"/>
  <c r="N66" i="22"/>
  <c r="N68" i="22"/>
  <c r="Q58" i="22"/>
  <c r="Q59" i="22"/>
  <c r="Q60" i="22"/>
  <c r="Q61" i="22"/>
  <c r="Q62" i="22"/>
  <c r="Q63" i="22"/>
  <c r="Q64" i="22"/>
  <c r="Q65" i="22"/>
  <c r="Q66" i="22"/>
  <c r="Q68" i="22"/>
  <c r="R58" i="22"/>
  <c r="R59" i="22"/>
  <c r="R60" i="22"/>
  <c r="R61" i="22"/>
  <c r="R62" i="22"/>
  <c r="R63" i="22"/>
  <c r="R64" i="22"/>
  <c r="R65" i="22"/>
  <c r="R66" i="22"/>
  <c r="R68" i="22"/>
  <c r="AB58" i="22"/>
  <c r="AB59" i="22"/>
  <c r="AB60" i="22"/>
  <c r="AB61" i="22"/>
  <c r="AB62" i="22"/>
  <c r="AB63" i="22"/>
  <c r="AB64" i="22"/>
  <c r="AB65" i="22"/>
  <c r="AB66" i="22"/>
  <c r="AB68" i="22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B193" i="17"/>
  <c r="B194" i="17"/>
  <c r="B195" i="17"/>
  <c r="B196" i="17"/>
  <c r="B197" i="17"/>
  <c r="B198" i="17"/>
  <c r="B199" i="17"/>
  <c r="B200" i="17"/>
  <c r="B201" i="17"/>
  <c r="B202" i="17"/>
  <c r="B203" i="17"/>
  <c r="B204" i="17"/>
  <c r="B205" i="17"/>
  <c r="B206" i="17"/>
  <c r="B207" i="17"/>
  <c r="B208" i="17"/>
  <c r="B209" i="17"/>
  <c r="B210" i="17"/>
  <c r="B211" i="17"/>
  <c r="B212" i="17"/>
  <c r="B213" i="17"/>
  <c r="B214" i="17"/>
  <c r="B215" i="17"/>
  <c r="B216" i="17"/>
  <c r="B217" i="17"/>
  <c r="B218" i="17"/>
  <c r="B219" i="17"/>
  <c r="B220" i="17"/>
  <c r="B221" i="17"/>
  <c r="B222" i="17"/>
  <c r="B223" i="17"/>
  <c r="B224" i="17"/>
  <c r="B225" i="17"/>
  <c r="B226" i="17"/>
  <c r="B227" i="17"/>
  <c r="B228" i="17"/>
  <c r="B229" i="17"/>
  <c r="C197" i="17"/>
  <c r="N197" i="17"/>
  <c r="Q197" i="17"/>
  <c r="R197" i="17"/>
  <c r="Y197" i="17"/>
  <c r="AB197" i="17"/>
  <c r="B663" i="8"/>
  <c r="B664" i="8"/>
  <c r="B665" i="8"/>
  <c r="N665" i="8" s="1"/>
  <c r="AC662" i="8"/>
  <c r="S662" i="8"/>
  <c r="R662" i="8"/>
  <c r="O662" i="8"/>
  <c r="C662" i="8"/>
  <c r="B662" i="8"/>
  <c r="AC663" i="8"/>
  <c r="S663" i="8"/>
  <c r="R663" i="8"/>
  <c r="O663" i="8"/>
  <c r="C663" i="8"/>
  <c r="AC664" i="8"/>
  <c r="S664" i="8"/>
  <c r="R664" i="8"/>
  <c r="O664" i="8"/>
  <c r="C664" i="8"/>
  <c r="B668" i="8"/>
  <c r="B669" i="8"/>
  <c r="N669" i="8" s="1"/>
  <c r="AC667" i="8"/>
  <c r="S667" i="8"/>
  <c r="R667" i="8"/>
  <c r="O667" i="8"/>
  <c r="C667" i="8"/>
  <c r="B667" i="8"/>
  <c r="AC668" i="8"/>
  <c r="S668" i="8"/>
  <c r="R668" i="8"/>
  <c r="O668" i="8"/>
  <c r="C668" i="8"/>
  <c r="AC702" i="8"/>
  <c r="S702" i="8"/>
  <c r="R702" i="8"/>
  <c r="O702" i="8"/>
  <c r="C702" i="8"/>
  <c r="B702" i="8"/>
  <c r="AC701" i="8"/>
  <c r="S701" i="8"/>
  <c r="R701" i="8"/>
  <c r="O701" i="8"/>
  <c r="C701" i="8"/>
  <c r="B701" i="8"/>
  <c r="AC700" i="8"/>
  <c r="S700" i="8"/>
  <c r="R700" i="8"/>
  <c r="O700" i="8"/>
  <c r="C700" i="8"/>
  <c r="B700" i="8"/>
  <c r="AC699" i="8"/>
  <c r="S699" i="8"/>
  <c r="R699" i="8"/>
  <c r="O699" i="8"/>
  <c r="C699" i="8"/>
  <c r="B699" i="8"/>
  <c r="N699" i="8" s="1"/>
  <c r="N700" i="8" s="1"/>
  <c r="N701" i="8" s="1"/>
  <c r="N702" i="8" s="1"/>
  <c r="B762" i="9"/>
  <c r="N762" i="9" s="1"/>
  <c r="C762" i="9"/>
  <c r="O762" i="9"/>
  <c r="R762" i="9"/>
  <c r="S762" i="9"/>
  <c r="AC762" i="9"/>
  <c r="AB226" i="17"/>
  <c r="Y226" i="17"/>
  <c r="R226" i="17"/>
  <c r="Q226" i="17"/>
  <c r="N226" i="17"/>
  <c r="C226" i="17"/>
  <c r="AB229" i="17"/>
  <c r="AB228" i="17"/>
  <c r="AB227" i="17"/>
  <c r="AB225" i="17"/>
  <c r="AB224" i="17"/>
  <c r="Y229" i="17"/>
  <c r="Y228" i="17"/>
  <c r="Y227" i="17"/>
  <c r="Y225" i="17"/>
  <c r="Y224" i="17"/>
  <c r="R229" i="17"/>
  <c r="R228" i="17"/>
  <c r="R227" i="17"/>
  <c r="R225" i="17"/>
  <c r="R224" i="17"/>
  <c r="Q229" i="17"/>
  <c r="Q228" i="17"/>
  <c r="Q227" i="17"/>
  <c r="Q225" i="17"/>
  <c r="Q224" i="17"/>
  <c r="N229" i="17"/>
  <c r="N228" i="17"/>
  <c r="N227" i="17"/>
  <c r="N225" i="17"/>
  <c r="N224" i="17"/>
  <c r="C229" i="17"/>
  <c r="C228" i="17"/>
  <c r="C227" i="17"/>
  <c r="C225" i="17"/>
  <c r="C224" i="17"/>
  <c r="B698" i="8"/>
  <c r="C698" i="8"/>
  <c r="O698" i="8"/>
  <c r="R698" i="8"/>
  <c r="S698" i="8"/>
  <c r="AC698" i="8"/>
  <c r="B697" i="8"/>
  <c r="C697" i="8"/>
  <c r="O697" i="8"/>
  <c r="R697" i="8"/>
  <c r="S697" i="8"/>
  <c r="AC697" i="8"/>
  <c r="B696" i="8"/>
  <c r="C696" i="8"/>
  <c r="O696" i="8"/>
  <c r="R696" i="8"/>
  <c r="S696" i="8"/>
  <c r="AC696" i="8"/>
  <c r="B695" i="8"/>
  <c r="C695" i="8"/>
  <c r="O695" i="8"/>
  <c r="R695" i="8"/>
  <c r="S695" i="8"/>
  <c r="AC695" i="8"/>
  <c r="B694" i="8"/>
  <c r="C694" i="8"/>
  <c r="O694" i="8"/>
  <c r="R694" i="8"/>
  <c r="S694" i="8"/>
  <c r="AC694" i="8"/>
  <c r="B693" i="8"/>
  <c r="C693" i="8"/>
  <c r="O693" i="8"/>
  <c r="R693" i="8"/>
  <c r="S693" i="8"/>
  <c r="AC693" i="8"/>
  <c r="B761" i="9"/>
  <c r="N761" i="9" s="1"/>
  <c r="C761" i="9"/>
  <c r="O761" i="9"/>
  <c r="R761" i="9"/>
  <c r="S761" i="9"/>
  <c r="AC761" i="9"/>
  <c r="N693" i="8"/>
  <c r="N694" i="8" s="1"/>
  <c r="N695" i="8" s="1"/>
  <c r="N696" i="8" s="1"/>
  <c r="N697" i="8" s="1"/>
  <c r="N698" i="8" s="1"/>
  <c r="C692" i="8"/>
  <c r="O692" i="8"/>
  <c r="R692" i="8"/>
  <c r="S692" i="8"/>
  <c r="AC692" i="8"/>
  <c r="B689" i="8" l="1"/>
  <c r="N689" i="8" s="1"/>
  <c r="C689" i="8"/>
  <c r="O689" i="8"/>
  <c r="R689" i="8"/>
  <c r="S689" i="8"/>
  <c r="AC689" i="8"/>
  <c r="AB3332" i="24"/>
  <c r="W3332" i="24"/>
  <c r="R3332" i="24"/>
  <c r="Q3332" i="24"/>
  <c r="N3332" i="24"/>
  <c r="C3332" i="24"/>
  <c r="AB3333" i="24"/>
  <c r="W3333" i="24"/>
  <c r="R3333" i="24"/>
  <c r="Q3333" i="24"/>
  <c r="N3333" i="24"/>
  <c r="C3333" i="24"/>
  <c r="AB3334" i="24"/>
  <c r="W3334" i="24"/>
  <c r="R3334" i="24"/>
  <c r="Q3334" i="24"/>
  <c r="N3334" i="24"/>
  <c r="C3334" i="24"/>
  <c r="AB3335" i="24"/>
  <c r="W3335" i="24"/>
  <c r="R3335" i="24"/>
  <c r="Q3335" i="24"/>
  <c r="N3335" i="24"/>
  <c r="C3335" i="24"/>
  <c r="AB3336" i="24"/>
  <c r="W3336" i="24"/>
  <c r="R3336" i="24"/>
  <c r="Q3336" i="24"/>
  <c r="N3336" i="24"/>
  <c r="C3336" i="24"/>
  <c r="AB3337" i="24"/>
  <c r="W3337" i="24"/>
  <c r="R3337" i="24"/>
  <c r="Q3337" i="24"/>
  <c r="N3337" i="24"/>
  <c r="C3337" i="24"/>
  <c r="AB3338" i="24"/>
  <c r="W3338" i="24"/>
  <c r="R3338" i="24"/>
  <c r="Q3338" i="24"/>
  <c r="N3338" i="24"/>
  <c r="C3338" i="24"/>
  <c r="AB3339" i="24"/>
  <c r="W3339" i="24"/>
  <c r="R3339" i="24"/>
  <c r="Q3339" i="24"/>
  <c r="N3339" i="24"/>
  <c r="C3339" i="24"/>
  <c r="AB3340" i="24"/>
  <c r="W3340" i="24"/>
  <c r="R3340" i="24"/>
  <c r="Q3340" i="24"/>
  <c r="N3340" i="24"/>
  <c r="C3340" i="24"/>
  <c r="AB3341" i="24"/>
  <c r="W3341" i="24"/>
  <c r="R3341" i="24"/>
  <c r="Q3341" i="24"/>
  <c r="N3341" i="24"/>
  <c r="C3341" i="24"/>
  <c r="AB3342" i="24"/>
  <c r="W3342" i="24"/>
  <c r="R3342" i="24"/>
  <c r="Q3342" i="24"/>
  <c r="N3342" i="24"/>
  <c r="C3342" i="24"/>
  <c r="AB3329" i="24"/>
  <c r="W3329" i="24"/>
  <c r="R3329" i="24"/>
  <c r="Q3329" i="24"/>
  <c r="N3329" i="24"/>
  <c r="C3329" i="24"/>
  <c r="AB3330" i="24"/>
  <c r="W3330" i="24"/>
  <c r="R3330" i="24"/>
  <c r="Q3330" i="24"/>
  <c r="N3330" i="24"/>
  <c r="C3330" i="24"/>
  <c r="C208" i="17"/>
  <c r="N208" i="17"/>
  <c r="Q208" i="17"/>
  <c r="R208" i="17"/>
  <c r="Y208" i="17"/>
  <c r="AB208" i="17"/>
  <c r="C209" i="17"/>
  <c r="N209" i="17"/>
  <c r="Q209" i="17"/>
  <c r="R209" i="17"/>
  <c r="Y209" i="17"/>
  <c r="AB209" i="17"/>
  <c r="AB3315" i="24"/>
  <c r="W3315" i="24"/>
  <c r="R3315" i="24"/>
  <c r="Q3315" i="24"/>
  <c r="N3315" i="24"/>
  <c r="C3315" i="24"/>
  <c r="AB3316" i="24"/>
  <c r="W3316" i="24"/>
  <c r="R3316" i="24"/>
  <c r="Q3316" i="24"/>
  <c r="N3316" i="24"/>
  <c r="C3316" i="24"/>
  <c r="AC688" i="8"/>
  <c r="S688" i="8"/>
  <c r="R688" i="8"/>
  <c r="O688" i="8"/>
  <c r="C688" i="8"/>
  <c r="B688" i="8"/>
  <c r="AC687" i="8"/>
  <c r="S687" i="8"/>
  <c r="R687" i="8"/>
  <c r="O687" i="8"/>
  <c r="C687" i="8"/>
  <c r="B687" i="8"/>
  <c r="AC686" i="8"/>
  <c r="S686" i="8"/>
  <c r="R686" i="8"/>
  <c r="O686" i="8"/>
  <c r="C686" i="8"/>
  <c r="B686" i="8"/>
  <c r="AC685" i="8"/>
  <c r="S685" i="8"/>
  <c r="R685" i="8"/>
  <c r="O685" i="8"/>
  <c r="C685" i="8"/>
  <c r="B685" i="8"/>
  <c r="AC684" i="8"/>
  <c r="S684" i="8"/>
  <c r="R684" i="8"/>
  <c r="O684" i="8"/>
  <c r="C684" i="8"/>
  <c r="B684" i="8"/>
  <c r="AC683" i="8"/>
  <c r="S683" i="8"/>
  <c r="R683" i="8"/>
  <c r="O683" i="8"/>
  <c r="C683" i="8"/>
  <c r="B683" i="8"/>
  <c r="AC682" i="8"/>
  <c r="S682" i="8"/>
  <c r="R682" i="8"/>
  <c r="O682" i="8"/>
  <c r="C682" i="8"/>
  <c r="B682" i="8"/>
  <c r="AC681" i="8"/>
  <c r="S681" i="8"/>
  <c r="R681" i="8"/>
  <c r="O681" i="8"/>
  <c r="C681" i="8"/>
  <c r="B681" i="8"/>
  <c r="AC680" i="8"/>
  <c r="S680" i="8"/>
  <c r="R680" i="8"/>
  <c r="O680" i="8"/>
  <c r="C680" i="8"/>
  <c r="B680" i="8"/>
  <c r="AC679" i="8"/>
  <c r="S679" i="8"/>
  <c r="R679" i="8"/>
  <c r="O679" i="8"/>
  <c r="C679" i="8"/>
  <c r="B679" i="8"/>
  <c r="N679" i="8" s="1"/>
  <c r="N680" i="8" s="1"/>
  <c r="N681" i="8" s="1"/>
  <c r="N682" i="8" s="1"/>
  <c r="N683" i="8" s="1"/>
  <c r="N684" i="8" s="1"/>
  <c r="N685" i="8" s="1"/>
  <c r="N686" i="8" s="1"/>
  <c r="N687" i="8" s="1"/>
  <c r="N688" i="8" s="1"/>
  <c r="AB3346" i="24"/>
  <c r="W3346" i="24"/>
  <c r="R3346" i="24"/>
  <c r="Q3346" i="24"/>
  <c r="N3346" i="24"/>
  <c r="C3346" i="24"/>
  <c r="AB3325" i="24"/>
  <c r="W3325" i="24"/>
  <c r="R3325" i="24"/>
  <c r="Q3325" i="24"/>
  <c r="N3325" i="24"/>
  <c r="C3325" i="24"/>
  <c r="C3345" i="24"/>
  <c r="N3345" i="24"/>
  <c r="Q3345" i="24"/>
  <c r="R3345" i="24"/>
  <c r="W3345" i="24"/>
  <c r="AB3345" i="24"/>
  <c r="N690" i="8" l="1"/>
  <c r="N691" i="8" s="1"/>
  <c r="C3344" i="24"/>
  <c r="N3344" i="24"/>
  <c r="Q3344" i="24"/>
  <c r="R3344" i="24"/>
  <c r="W3344" i="24"/>
  <c r="AB3344" i="24"/>
  <c r="C3343" i="24"/>
  <c r="N3343" i="24"/>
  <c r="Q3343" i="24"/>
  <c r="R3343" i="24"/>
  <c r="W3343" i="24"/>
  <c r="AB3343" i="24"/>
  <c r="B5" i="19" l="1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AB106" i="19"/>
  <c r="Y106" i="19"/>
  <c r="R106" i="19"/>
  <c r="Q106" i="19"/>
  <c r="N106" i="19"/>
  <c r="C106" i="19"/>
  <c r="C107" i="19" l="1"/>
  <c r="C108" i="19"/>
  <c r="C109" i="19"/>
  <c r="C110" i="19"/>
  <c r="C111" i="19"/>
  <c r="C112" i="19"/>
  <c r="C113" i="19"/>
  <c r="C114" i="19"/>
  <c r="C115" i="19"/>
  <c r="C116" i="19"/>
  <c r="C117" i="19"/>
  <c r="N107" i="19"/>
  <c r="N108" i="19"/>
  <c r="N109" i="19"/>
  <c r="N110" i="19"/>
  <c r="N111" i="19"/>
  <c r="N112" i="19"/>
  <c r="N113" i="19"/>
  <c r="N114" i="19"/>
  <c r="N115" i="19"/>
  <c r="N116" i="19"/>
  <c r="N117" i="19"/>
  <c r="Q107" i="19"/>
  <c r="Q108" i="19"/>
  <c r="Q109" i="19"/>
  <c r="Q110" i="19"/>
  <c r="Q111" i="19"/>
  <c r="Q112" i="19"/>
  <c r="Q113" i="19"/>
  <c r="Q114" i="19"/>
  <c r="Q115" i="19"/>
  <c r="Q116" i="19"/>
  <c r="Q117" i="19"/>
  <c r="R107" i="19"/>
  <c r="R108" i="19"/>
  <c r="R109" i="19"/>
  <c r="R110" i="19"/>
  <c r="R111" i="19"/>
  <c r="R112" i="19"/>
  <c r="R113" i="19"/>
  <c r="R114" i="19"/>
  <c r="R115" i="19"/>
  <c r="R116" i="19"/>
  <c r="R117" i="19"/>
  <c r="Y107" i="19"/>
  <c r="Y108" i="19"/>
  <c r="Y109" i="19"/>
  <c r="Y110" i="19"/>
  <c r="Y111" i="19"/>
  <c r="Y112" i="19"/>
  <c r="Y113" i="19"/>
  <c r="Y114" i="19"/>
  <c r="Y115" i="19"/>
  <c r="Y116" i="19"/>
  <c r="Y117" i="19"/>
  <c r="AB107" i="19"/>
  <c r="AB108" i="19"/>
  <c r="AB109" i="19"/>
  <c r="AB110" i="19"/>
  <c r="AB111" i="19"/>
  <c r="AB112" i="19"/>
  <c r="AB113" i="19"/>
  <c r="AB114" i="19"/>
  <c r="AB115" i="19"/>
  <c r="AB116" i="19"/>
  <c r="AB117" i="19"/>
  <c r="C3323" i="24"/>
  <c r="N3323" i="24"/>
  <c r="Q3323" i="24"/>
  <c r="R3323" i="24"/>
  <c r="W3323" i="24"/>
  <c r="AB3323" i="24"/>
  <c r="C3324" i="24"/>
  <c r="N3324" i="24"/>
  <c r="Q3324" i="24"/>
  <c r="R3324" i="24"/>
  <c r="W3324" i="24"/>
  <c r="AB3324" i="24"/>
  <c r="C3331" i="24"/>
  <c r="N3331" i="24"/>
  <c r="Q3331" i="24"/>
  <c r="R3331" i="24"/>
  <c r="W3331" i="24"/>
  <c r="AB3331" i="24"/>
  <c r="C3328" i="24"/>
  <c r="N3328" i="24"/>
  <c r="Q3328" i="24"/>
  <c r="R3328" i="24"/>
  <c r="W3328" i="24"/>
  <c r="AB3328" i="24"/>
  <c r="B257" i="13" l="1"/>
  <c r="B258" i="13"/>
  <c r="B259" i="13"/>
  <c r="B260" i="13"/>
  <c r="B261" i="13"/>
  <c r="B262" i="13"/>
  <c r="B263" i="13"/>
  <c r="B264" i="13"/>
  <c r="B265" i="13"/>
  <c r="B266" i="13"/>
  <c r="C257" i="13"/>
  <c r="C258" i="13"/>
  <c r="C259" i="13"/>
  <c r="C260" i="13"/>
  <c r="C261" i="13"/>
  <c r="C262" i="13"/>
  <c r="C263" i="13"/>
  <c r="C264" i="13"/>
  <c r="C265" i="13"/>
  <c r="C266" i="13"/>
  <c r="N257" i="13"/>
  <c r="N258" i="13"/>
  <c r="N259" i="13"/>
  <c r="N260" i="13"/>
  <c r="N261" i="13"/>
  <c r="N262" i="13"/>
  <c r="N263" i="13"/>
  <c r="N264" i="13"/>
  <c r="N265" i="13"/>
  <c r="N266" i="13"/>
  <c r="Q257" i="13"/>
  <c r="Q258" i="13"/>
  <c r="Q259" i="13"/>
  <c r="Q260" i="13"/>
  <c r="Q261" i="13"/>
  <c r="Q262" i="13"/>
  <c r="Q263" i="13"/>
  <c r="Q264" i="13"/>
  <c r="Q265" i="13"/>
  <c r="Q266" i="13"/>
  <c r="R257" i="13"/>
  <c r="R258" i="13"/>
  <c r="R259" i="13"/>
  <c r="R260" i="13"/>
  <c r="R261" i="13"/>
  <c r="R262" i="13"/>
  <c r="R263" i="13"/>
  <c r="R264" i="13"/>
  <c r="R265" i="13"/>
  <c r="R266" i="13"/>
  <c r="Y257" i="13"/>
  <c r="Y258" i="13"/>
  <c r="Y259" i="13"/>
  <c r="Y260" i="13"/>
  <c r="Y261" i="13"/>
  <c r="Y262" i="13"/>
  <c r="Y263" i="13"/>
  <c r="Y264" i="13"/>
  <c r="Y265" i="13"/>
  <c r="Y266" i="13"/>
  <c r="AB257" i="13"/>
  <c r="AB258" i="13"/>
  <c r="AB259" i="13"/>
  <c r="AB260" i="13"/>
  <c r="AB261" i="13"/>
  <c r="AB262" i="13"/>
  <c r="AB263" i="13"/>
  <c r="AB264" i="13"/>
  <c r="AB265" i="13"/>
  <c r="AB266" i="13"/>
  <c r="B256" i="13"/>
  <c r="C256" i="13"/>
  <c r="N256" i="13"/>
  <c r="Q256" i="13"/>
  <c r="R256" i="13"/>
  <c r="Y256" i="13"/>
  <c r="AB256" i="13"/>
  <c r="AC760" i="9" l="1"/>
  <c r="S760" i="9"/>
  <c r="R760" i="9"/>
  <c r="O760" i="9"/>
  <c r="C760" i="9"/>
  <c r="B760" i="9"/>
  <c r="N760" i="9" s="1"/>
  <c r="AC678" i="8" l="1"/>
  <c r="S678" i="8"/>
  <c r="R678" i="8"/>
  <c r="O678" i="8"/>
  <c r="C678" i="8"/>
  <c r="B678" i="8"/>
  <c r="N678" i="8" s="1"/>
  <c r="C394" i="10" l="1"/>
  <c r="N394" i="10"/>
  <c r="Q394" i="10"/>
  <c r="R394" i="10"/>
  <c r="Y394" i="10"/>
  <c r="AB394" i="10"/>
  <c r="C392" i="10"/>
  <c r="C393" i="10"/>
  <c r="C395" i="10"/>
  <c r="C396" i="10"/>
  <c r="C397" i="10"/>
  <c r="C398" i="10"/>
  <c r="N392" i="10"/>
  <c r="N393" i="10"/>
  <c r="N395" i="10"/>
  <c r="N396" i="10"/>
  <c r="N397" i="10"/>
  <c r="N398" i="10"/>
  <c r="Q392" i="10"/>
  <c r="Q393" i="10"/>
  <c r="Q395" i="10"/>
  <c r="Q396" i="10"/>
  <c r="Q397" i="10"/>
  <c r="Q398" i="10"/>
  <c r="R392" i="10"/>
  <c r="R393" i="10"/>
  <c r="R395" i="10"/>
  <c r="R396" i="10"/>
  <c r="R397" i="10"/>
  <c r="R398" i="10"/>
  <c r="Y392" i="10"/>
  <c r="Y393" i="10"/>
  <c r="Y395" i="10"/>
  <c r="Y396" i="10"/>
  <c r="Y397" i="10"/>
  <c r="Y398" i="10"/>
  <c r="AB392" i="10"/>
  <c r="AB393" i="10"/>
  <c r="AB395" i="10"/>
  <c r="AB396" i="10"/>
  <c r="AB397" i="10"/>
  <c r="AB398" i="10"/>
  <c r="B420" i="23"/>
  <c r="C420" i="23"/>
  <c r="N420" i="23"/>
  <c r="Q420" i="23"/>
  <c r="R420" i="23"/>
  <c r="AB420" i="23"/>
  <c r="B419" i="23"/>
  <c r="C419" i="23"/>
  <c r="N419" i="23"/>
  <c r="Q419" i="23"/>
  <c r="R419" i="23"/>
  <c r="AB419" i="23"/>
  <c r="AB3327" i="24"/>
  <c r="W3327" i="24"/>
  <c r="R3327" i="24"/>
  <c r="Q3327" i="24"/>
  <c r="N3327" i="24"/>
  <c r="C3327" i="24"/>
  <c r="AB3326" i="24"/>
  <c r="W3326" i="24"/>
  <c r="R3326" i="24"/>
  <c r="Q3326" i="24"/>
  <c r="N3326" i="24"/>
  <c r="C3326" i="24"/>
  <c r="AB587" i="7" l="1"/>
  <c r="X587" i="7"/>
  <c r="W587" i="7"/>
  <c r="R587" i="7"/>
  <c r="Q587" i="7"/>
  <c r="Y587" i="7" s="1"/>
  <c r="N587" i="7"/>
  <c r="C587" i="7"/>
  <c r="B587" i="7"/>
  <c r="AB586" i="7"/>
  <c r="X586" i="7"/>
  <c r="W586" i="7"/>
  <c r="R586" i="7"/>
  <c r="Q586" i="7"/>
  <c r="N586" i="7"/>
  <c r="C586" i="7"/>
  <c r="B586" i="7"/>
  <c r="Y586" i="7" l="1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N706" i="9" s="1"/>
  <c r="B707" i="9"/>
  <c r="N707" i="9" s="1"/>
  <c r="B708" i="9"/>
  <c r="N708" i="9" s="1"/>
  <c r="B709" i="9"/>
  <c r="N709" i="9" s="1"/>
  <c r="B710" i="9"/>
  <c r="N710" i="9" s="1"/>
  <c r="B711" i="9"/>
  <c r="N711" i="9" s="1"/>
  <c r="B712" i="9"/>
  <c r="N712" i="9" s="1"/>
  <c r="B713" i="9"/>
  <c r="N713" i="9" s="1"/>
  <c r="B714" i="9"/>
  <c r="N714" i="9" s="1"/>
  <c r="B715" i="9"/>
  <c r="N715" i="9" s="1"/>
  <c r="B716" i="9"/>
  <c r="N716" i="9" s="1"/>
  <c r="B717" i="9"/>
  <c r="N717" i="9" s="1"/>
  <c r="B718" i="9"/>
  <c r="N718" i="9" s="1"/>
  <c r="B719" i="9"/>
  <c r="N719" i="9" s="1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AC718" i="9"/>
  <c r="AC719" i="9"/>
  <c r="S718" i="9"/>
  <c r="S719" i="9"/>
  <c r="R718" i="9"/>
  <c r="R719" i="9"/>
  <c r="O718" i="9"/>
  <c r="O719" i="9"/>
  <c r="C718" i="9"/>
  <c r="C719" i="9"/>
  <c r="AC706" i="9"/>
  <c r="AC707" i="9"/>
  <c r="AC708" i="9"/>
  <c r="AC709" i="9"/>
  <c r="AC710" i="9"/>
  <c r="AC711" i="9"/>
  <c r="AC712" i="9"/>
  <c r="AC713" i="9"/>
  <c r="AC714" i="9"/>
  <c r="AC715" i="9"/>
  <c r="AC716" i="9"/>
  <c r="AC717" i="9"/>
  <c r="S706" i="9"/>
  <c r="S707" i="9"/>
  <c r="S708" i="9"/>
  <c r="S709" i="9"/>
  <c r="S710" i="9"/>
  <c r="S711" i="9"/>
  <c r="S712" i="9"/>
  <c r="S713" i="9"/>
  <c r="S714" i="9"/>
  <c r="S715" i="9"/>
  <c r="S716" i="9"/>
  <c r="S717" i="9"/>
  <c r="R706" i="9"/>
  <c r="R707" i="9"/>
  <c r="R708" i="9"/>
  <c r="R709" i="9"/>
  <c r="R710" i="9"/>
  <c r="R711" i="9"/>
  <c r="R712" i="9"/>
  <c r="R713" i="9"/>
  <c r="R714" i="9"/>
  <c r="R715" i="9"/>
  <c r="R716" i="9"/>
  <c r="R717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10" i="16" l="1"/>
  <c r="C3311" i="24"/>
  <c r="N3311" i="24"/>
  <c r="Q3311" i="24"/>
  <c r="R3311" i="24"/>
  <c r="W3311" i="24"/>
  <c r="AB3311" i="24"/>
  <c r="C3322" i="24"/>
  <c r="N3322" i="24"/>
  <c r="Q3322" i="24"/>
  <c r="R3322" i="24"/>
  <c r="W3322" i="24"/>
  <c r="AB3322" i="24"/>
  <c r="B205" i="3" l="1"/>
  <c r="B206" i="3"/>
  <c r="B207" i="3"/>
  <c r="B208" i="3"/>
  <c r="B209" i="3"/>
  <c r="B210" i="3"/>
  <c r="B211" i="3"/>
  <c r="AB204" i="3"/>
  <c r="R204" i="3"/>
  <c r="Q204" i="3"/>
  <c r="N204" i="3"/>
  <c r="C204" i="3"/>
  <c r="B204" i="3"/>
  <c r="AB205" i="3"/>
  <c r="R205" i="3"/>
  <c r="Q205" i="3"/>
  <c r="N205" i="3"/>
  <c r="C205" i="3"/>
  <c r="AB206" i="3"/>
  <c r="R206" i="3"/>
  <c r="Q206" i="3"/>
  <c r="N206" i="3"/>
  <c r="C206" i="3"/>
  <c r="AB207" i="3"/>
  <c r="R207" i="3"/>
  <c r="Q207" i="3"/>
  <c r="N207" i="3"/>
  <c r="C207" i="3"/>
  <c r="AB208" i="3"/>
  <c r="R208" i="3"/>
  <c r="Q208" i="3"/>
  <c r="N208" i="3"/>
  <c r="C208" i="3"/>
  <c r="AB209" i="3"/>
  <c r="R209" i="3"/>
  <c r="Q209" i="3"/>
  <c r="N209" i="3"/>
  <c r="C209" i="3"/>
  <c r="AB210" i="3"/>
  <c r="R210" i="3"/>
  <c r="Q210" i="3"/>
  <c r="N210" i="3"/>
  <c r="C210" i="3"/>
  <c r="B175" i="3"/>
  <c r="B176" i="3"/>
  <c r="AB174" i="3"/>
  <c r="R174" i="3"/>
  <c r="Q174" i="3"/>
  <c r="N174" i="3"/>
  <c r="C174" i="3"/>
  <c r="B174" i="3"/>
  <c r="AB175" i="3"/>
  <c r="R175" i="3"/>
  <c r="Q175" i="3"/>
  <c r="N175" i="3"/>
  <c r="C175" i="3"/>
  <c r="AB3321" i="24"/>
  <c r="W3321" i="24"/>
  <c r="R3321" i="24"/>
  <c r="Q3321" i="24"/>
  <c r="N3321" i="24"/>
  <c r="C3321" i="24"/>
  <c r="AB3318" i="24"/>
  <c r="W3318" i="24"/>
  <c r="R3318" i="24"/>
  <c r="Q3318" i="24"/>
  <c r="N3318" i="24"/>
  <c r="C3318" i="24"/>
  <c r="AB3317" i="24"/>
  <c r="W3317" i="24"/>
  <c r="R3317" i="24"/>
  <c r="Q3317" i="24"/>
  <c r="N3317" i="24"/>
  <c r="C3317" i="24"/>
  <c r="R669" i="8"/>
  <c r="AB3307" i="24"/>
  <c r="W3307" i="24"/>
  <c r="R3307" i="24"/>
  <c r="Q3307" i="24"/>
  <c r="N3307" i="24"/>
  <c r="C3307" i="24"/>
  <c r="AB3308" i="24"/>
  <c r="W3308" i="24"/>
  <c r="R3308" i="24"/>
  <c r="Q3308" i="24"/>
  <c r="N3308" i="24"/>
  <c r="C3308" i="24"/>
  <c r="AB3303" i="24"/>
  <c r="W3303" i="24"/>
  <c r="R3303" i="24"/>
  <c r="Q3303" i="24"/>
  <c r="N3303" i="24"/>
  <c r="C3303" i="24"/>
  <c r="AB3304" i="24"/>
  <c r="W3304" i="24"/>
  <c r="R3304" i="24"/>
  <c r="Q3304" i="24"/>
  <c r="N3304" i="24"/>
  <c r="C3304" i="24"/>
  <c r="AB3305" i="24"/>
  <c r="W3305" i="24"/>
  <c r="R3305" i="24"/>
  <c r="Q3305" i="24"/>
  <c r="N3305" i="24"/>
  <c r="C3305" i="24"/>
  <c r="AB3306" i="24"/>
  <c r="W3306" i="24"/>
  <c r="R3306" i="24"/>
  <c r="Q3306" i="24"/>
  <c r="N3306" i="24"/>
  <c r="C3306" i="24"/>
  <c r="AB3309" i="24"/>
  <c r="W3309" i="24"/>
  <c r="R3309" i="24"/>
  <c r="Q3309" i="24"/>
  <c r="N3309" i="24"/>
  <c r="C3309" i="24"/>
  <c r="AB3310" i="24"/>
  <c r="W3310" i="24"/>
  <c r="R3310" i="24"/>
  <c r="Q3310" i="24"/>
  <c r="N3310" i="24"/>
  <c r="C3310" i="24"/>
  <c r="AB148" i="5"/>
  <c r="R148" i="5"/>
  <c r="Q148" i="5"/>
  <c r="N148" i="5"/>
  <c r="C148" i="5"/>
  <c r="B148" i="5"/>
  <c r="AB3314" i="24"/>
  <c r="W3314" i="24"/>
  <c r="R3314" i="24"/>
  <c r="Q3314" i="24"/>
  <c r="N3314" i="24"/>
  <c r="C3314" i="24"/>
  <c r="AB147" i="5" l="1"/>
  <c r="R147" i="5"/>
  <c r="Q147" i="5"/>
  <c r="N147" i="5"/>
  <c r="C147" i="5"/>
  <c r="B147" i="5"/>
  <c r="AB146" i="5"/>
  <c r="R146" i="5"/>
  <c r="Q146" i="5"/>
  <c r="N146" i="5"/>
  <c r="C146" i="5"/>
  <c r="B146" i="5"/>
  <c r="AC759" i="9"/>
  <c r="S759" i="9"/>
  <c r="R759" i="9"/>
  <c r="O759" i="9"/>
  <c r="C759" i="9"/>
  <c r="N759" i="9"/>
  <c r="C3313" i="24"/>
  <c r="N3313" i="24"/>
  <c r="Q3313" i="24"/>
  <c r="R3313" i="24"/>
  <c r="W3313" i="24"/>
  <c r="AB3313" i="24"/>
  <c r="B677" i="8"/>
  <c r="C677" i="8"/>
  <c r="O677" i="8"/>
  <c r="R677" i="8"/>
  <c r="S677" i="8"/>
  <c r="AC677" i="8"/>
  <c r="B674" i="8"/>
  <c r="N674" i="8" s="1"/>
  <c r="N675" i="8" s="1"/>
  <c r="N676" i="8" s="1"/>
  <c r="N677" i="8" s="1"/>
  <c r="B675" i="8"/>
  <c r="B676" i="8"/>
  <c r="C674" i="8"/>
  <c r="C675" i="8"/>
  <c r="C676" i="8"/>
  <c r="O674" i="8"/>
  <c r="O675" i="8"/>
  <c r="O676" i="8"/>
  <c r="R674" i="8"/>
  <c r="R675" i="8"/>
  <c r="R676" i="8"/>
  <c r="S674" i="8"/>
  <c r="S675" i="8"/>
  <c r="S676" i="8"/>
  <c r="AC674" i="8"/>
  <c r="AC675" i="8"/>
  <c r="AC676" i="8"/>
  <c r="N686" i="9"/>
  <c r="N688" i="9"/>
  <c r="N689" i="9"/>
  <c r="N690" i="9"/>
  <c r="N692" i="9"/>
  <c r="N694" i="9"/>
  <c r="N695" i="9"/>
  <c r="N696" i="9"/>
  <c r="N697" i="9"/>
  <c r="N753" i="9"/>
  <c r="N754" i="9"/>
  <c r="N755" i="9"/>
  <c r="N756" i="9"/>
  <c r="N757" i="9"/>
  <c r="N758" i="9"/>
  <c r="N691" i="9"/>
  <c r="N693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N687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R686" i="9"/>
  <c r="R687" i="9"/>
  <c r="R688" i="9"/>
  <c r="R689" i="9"/>
  <c r="R690" i="9"/>
  <c r="R691" i="9"/>
  <c r="R692" i="9"/>
  <c r="R693" i="9"/>
  <c r="R694" i="9"/>
  <c r="R695" i="9"/>
  <c r="R696" i="9"/>
  <c r="R697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AC686" i="9"/>
  <c r="AC687" i="9"/>
  <c r="AC688" i="9"/>
  <c r="AC689" i="9"/>
  <c r="AC690" i="9"/>
  <c r="AC691" i="9"/>
  <c r="AC692" i="9"/>
  <c r="AC693" i="9"/>
  <c r="AC694" i="9"/>
  <c r="AC695" i="9"/>
  <c r="AC696" i="9"/>
  <c r="AC697" i="9"/>
  <c r="C757" i="9"/>
  <c r="C758" i="9"/>
  <c r="O757" i="9"/>
  <c r="O758" i="9"/>
  <c r="R757" i="9"/>
  <c r="R758" i="9"/>
  <c r="S757" i="9"/>
  <c r="S758" i="9"/>
  <c r="AC757" i="9"/>
  <c r="AC758" i="9"/>
  <c r="C753" i="9"/>
  <c r="C754" i="9"/>
  <c r="C755" i="9"/>
  <c r="C756" i="9"/>
  <c r="O753" i="9"/>
  <c r="O754" i="9"/>
  <c r="O755" i="9"/>
  <c r="O756" i="9"/>
  <c r="R753" i="9"/>
  <c r="R754" i="9"/>
  <c r="R755" i="9"/>
  <c r="R756" i="9"/>
  <c r="S753" i="9"/>
  <c r="S754" i="9"/>
  <c r="S755" i="9"/>
  <c r="S756" i="9"/>
  <c r="AC753" i="9"/>
  <c r="AC754" i="9"/>
  <c r="AC755" i="9"/>
  <c r="AC756" i="9"/>
  <c r="B673" i="8" l="1"/>
  <c r="C673" i="8"/>
  <c r="O673" i="8"/>
  <c r="R673" i="8"/>
  <c r="S673" i="8"/>
  <c r="AC673" i="8"/>
  <c r="B672" i="8"/>
  <c r="C672" i="8"/>
  <c r="O672" i="8"/>
  <c r="R672" i="8"/>
  <c r="S672" i="8"/>
  <c r="AC672" i="8"/>
  <c r="B671" i="8"/>
  <c r="N671" i="8" s="1"/>
  <c r="N672" i="8" s="1"/>
  <c r="N673" i="8" s="1"/>
  <c r="C671" i="8"/>
  <c r="O671" i="8"/>
  <c r="R671" i="8"/>
  <c r="S671" i="8"/>
  <c r="AC671" i="8"/>
  <c r="N752" i="9"/>
  <c r="C752" i="9"/>
  <c r="O752" i="9"/>
  <c r="R752" i="9"/>
  <c r="S752" i="9"/>
  <c r="AC752" i="9"/>
  <c r="N751" i="9"/>
  <c r="C751" i="9"/>
  <c r="O751" i="9"/>
  <c r="R751" i="9"/>
  <c r="S751" i="9"/>
  <c r="AC751" i="9"/>
  <c r="N750" i="9"/>
  <c r="C750" i="9"/>
  <c r="O750" i="9"/>
  <c r="R750" i="9"/>
  <c r="S750" i="9"/>
  <c r="AC750" i="9"/>
  <c r="N749" i="9"/>
  <c r="C749" i="9"/>
  <c r="O749" i="9"/>
  <c r="R749" i="9"/>
  <c r="S749" i="9"/>
  <c r="AC749" i="9"/>
  <c r="N3278" i="24"/>
  <c r="AB3278" i="24"/>
  <c r="W3278" i="24"/>
  <c r="R3278" i="24"/>
  <c r="Q3278" i="24"/>
  <c r="C3278" i="24"/>
  <c r="AB3086" i="24" l="1"/>
  <c r="W3086" i="24"/>
  <c r="R3086" i="24"/>
  <c r="Q3086" i="24"/>
  <c r="N3086" i="24"/>
  <c r="C3086" i="24"/>
  <c r="AB3087" i="24"/>
  <c r="W3087" i="24"/>
  <c r="R3087" i="24"/>
  <c r="Q3087" i="24"/>
  <c r="N3087" i="24"/>
  <c r="C3087" i="24"/>
  <c r="AB3088" i="24"/>
  <c r="W3088" i="24"/>
  <c r="R3088" i="24"/>
  <c r="Q3088" i="24"/>
  <c r="N3088" i="24"/>
  <c r="C3088" i="24"/>
  <c r="AB3089" i="24"/>
  <c r="W3089" i="24"/>
  <c r="R3089" i="24"/>
  <c r="Q3089" i="24"/>
  <c r="N3089" i="24"/>
  <c r="C3089" i="24"/>
  <c r="AB3090" i="24"/>
  <c r="W3090" i="24"/>
  <c r="R3090" i="24"/>
  <c r="Q3090" i="24"/>
  <c r="N3090" i="24"/>
  <c r="C3090" i="24"/>
  <c r="AB3091" i="24"/>
  <c r="W3091" i="24"/>
  <c r="R3091" i="24"/>
  <c r="Q3091" i="24"/>
  <c r="N3091" i="24"/>
  <c r="C3091" i="24"/>
  <c r="B670" i="8"/>
  <c r="N670" i="8" s="1"/>
  <c r="C669" i="8"/>
  <c r="O669" i="8"/>
  <c r="S669" i="8"/>
  <c r="AC669" i="8"/>
  <c r="C2342" i="24"/>
  <c r="N2342" i="24"/>
  <c r="Q2342" i="24"/>
  <c r="R2342" i="24"/>
  <c r="W2342" i="24"/>
  <c r="AB2342" i="24"/>
  <c r="C2343" i="24"/>
  <c r="N2343" i="24"/>
  <c r="Q2343" i="24"/>
  <c r="R2343" i="24"/>
  <c r="W2343" i="24"/>
  <c r="AB2343" i="24"/>
  <c r="C2344" i="24"/>
  <c r="N2344" i="24"/>
  <c r="Q2344" i="24"/>
  <c r="R2344" i="24"/>
  <c r="W2344" i="24"/>
  <c r="AB2344" i="24"/>
  <c r="C2345" i="24"/>
  <c r="N2345" i="24"/>
  <c r="Q2345" i="24"/>
  <c r="R2345" i="24"/>
  <c r="W2345" i="24"/>
  <c r="AB2345" i="24"/>
  <c r="C2346" i="24"/>
  <c r="N2346" i="24"/>
  <c r="Q2346" i="24"/>
  <c r="R2346" i="24"/>
  <c r="W2346" i="24"/>
  <c r="AB2346" i="24"/>
  <c r="C2347" i="24"/>
  <c r="N2347" i="24"/>
  <c r="Q2347" i="24"/>
  <c r="R2347" i="24"/>
  <c r="W2347" i="24"/>
  <c r="AB2347" i="24"/>
  <c r="C2348" i="24"/>
  <c r="N2348" i="24"/>
  <c r="Q2348" i="24"/>
  <c r="R2348" i="24"/>
  <c r="W2348" i="24"/>
  <c r="AB2348" i="24"/>
  <c r="C2349" i="24"/>
  <c r="N2349" i="24"/>
  <c r="Q2349" i="24"/>
  <c r="R2349" i="24"/>
  <c r="W2349" i="24"/>
  <c r="AB2349" i="24"/>
  <c r="C2350" i="24"/>
  <c r="N2350" i="24"/>
  <c r="Q2350" i="24"/>
  <c r="R2350" i="24"/>
  <c r="W2350" i="24"/>
  <c r="AB2350" i="24"/>
  <c r="C2351" i="24"/>
  <c r="N2351" i="24"/>
  <c r="Q2351" i="24"/>
  <c r="R2351" i="24"/>
  <c r="W2351" i="24"/>
  <c r="AB2351" i="24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Y365" i="10"/>
  <c r="Y366" i="10"/>
  <c r="Y367" i="10"/>
  <c r="Y368" i="10"/>
  <c r="Y369" i="10"/>
  <c r="Y370" i="10"/>
  <c r="Y371" i="10"/>
  <c r="Y372" i="10"/>
  <c r="Y373" i="10"/>
  <c r="Y374" i="10"/>
  <c r="Y375" i="10"/>
  <c r="Y376" i="10"/>
  <c r="Y377" i="10"/>
  <c r="Y378" i="10"/>
  <c r="Y379" i="10"/>
  <c r="Y380" i="10"/>
  <c r="Y381" i="10"/>
  <c r="Y382" i="10"/>
  <c r="Y383" i="10"/>
  <c r="Y384" i="10"/>
  <c r="Y385" i="10"/>
  <c r="Y386" i="10"/>
  <c r="Y387" i="10"/>
  <c r="Y388" i="10"/>
  <c r="Y389" i="10"/>
  <c r="Y390" i="10"/>
  <c r="Y391" i="10"/>
  <c r="AB365" i="10"/>
  <c r="AB366" i="10"/>
  <c r="AB367" i="10"/>
  <c r="AB368" i="10"/>
  <c r="AB369" i="10"/>
  <c r="AB370" i="10"/>
  <c r="AB371" i="10"/>
  <c r="AB372" i="10"/>
  <c r="AB373" i="10"/>
  <c r="AB374" i="10"/>
  <c r="AB375" i="10"/>
  <c r="AB376" i="10"/>
  <c r="AB377" i="10"/>
  <c r="AB378" i="10"/>
  <c r="AB379" i="10"/>
  <c r="AB380" i="10"/>
  <c r="AB381" i="10"/>
  <c r="AB382" i="10"/>
  <c r="AB383" i="10"/>
  <c r="AB384" i="10"/>
  <c r="AB385" i="10"/>
  <c r="AB386" i="10"/>
  <c r="AB387" i="10"/>
  <c r="AB388" i="10"/>
  <c r="AB389" i="10"/>
  <c r="AB390" i="10"/>
  <c r="AB391" i="10"/>
  <c r="C364" i="10"/>
  <c r="N364" i="10"/>
  <c r="Q364" i="10"/>
  <c r="R364" i="10"/>
  <c r="Y364" i="10"/>
  <c r="AB364" i="10"/>
  <c r="AC670" i="8" l="1"/>
  <c r="S670" i="8"/>
  <c r="R670" i="8"/>
  <c r="O670" i="8"/>
  <c r="C670" i="8"/>
  <c r="C3312" i="24"/>
  <c r="N3312" i="24"/>
  <c r="Q3312" i="24"/>
  <c r="R3312" i="24"/>
  <c r="W3312" i="24"/>
  <c r="AB3312" i="24"/>
  <c r="C3294" i="24" l="1"/>
  <c r="N3294" i="24"/>
  <c r="Q3294" i="24"/>
  <c r="R3294" i="24"/>
  <c r="W3294" i="24"/>
  <c r="AB3294" i="24"/>
  <c r="C3295" i="24"/>
  <c r="N3295" i="24"/>
  <c r="Q3295" i="24"/>
  <c r="R3295" i="24"/>
  <c r="W3295" i="24"/>
  <c r="AB3295" i="24"/>
  <c r="C3296" i="24"/>
  <c r="N3296" i="24"/>
  <c r="Q3296" i="24"/>
  <c r="R3296" i="24"/>
  <c r="W3296" i="24"/>
  <c r="AB3296" i="24"/>
  <c r="C3297" i="24"/>
  <c r="N3297" i="24"/>
  <c r="Q3297" i="24"/>
  <c r="R3297" i="24"/>
  <c r="W3297" i="24"/>
  <c r="AB3297" i="24"/>
  <c r="C3298" i="24"/>
  <c r="N3298" i="24"/>
  <c r="Q3298" i="24"/>
  <c r="R3298" i="24"/>
  <c r="W3298" i="24"/>
  <c r="AB3298" i="24"/>
  <c r="C3299" i="24"/>
  <c r="N3299" i="24"/>
  <c r="Q3299" i="24"/>
  <c r="R3299" i="24"/>
  <c r="W3299" i="24"/>
  <c r="AB3299" i="24"/>
  <c r="C3300" i="24"/>
  <c r="N3300" i="24"/>
  <c r="Q3300" i="24"/>
  <c r="R3300" i="24"/>
  <c r="W3300" i="24"/>
  <c r="AB3300" i="24"/>
  <c r="C3301" i="24"/>
  <c r="N3301" i="24"/>
  <c r="Q3301" i="24"/>
  <c r="R3301" i="24"/>
  <c r="W3301" i="24"/>
  <c r="AB3301" i="24"/>
  <c r="C3281" i="24"/>
  <c r="N3281" i="24"/>
  <c r="Q3281" i="24"/>
  <c r="R3281" i="24"/>
  <c r="W3281" i="24"/>
  <c r="AB3281" i="24"/>
  <c r="C3282" i="24"/>
  <c r="N3282" i="24"/>
  <c r="Q3282" i="24"/>
  <c r="R3282" i="24"/>
  <c r="W3282" i="24"/>
  <c r="AB3282" i="24"/>
  <c r="C3283" i="24"/>
  <c r="N3283" i="24"/>
  <c r="Q3283" i="24"/>
  <c r="R3283" i="24"/>
  <c r="W3283" i="24"/>
  <c r="AB3283" i="24"/>
  <c r="C3284" i="24"/>
  <c r="N3284" i="24"/>
  <c r="Q3284" i="24"/>
  <c r="R3284" i="24"/>
  <c r="W3284" i="24"/>
  <c r="AB3284" i="24"/>
  <c r="C3285" i="24"/>
  <c r="N3285" i="24"/>
  <c r="Q3285" i="24"/>
  <c r="R3285" i="24"/>
  <c r="W3285" i="24"/>
  <c r="AB3285" i="24"/>
  <c r="C3302" i="24"/>
  <c r="N3302" i="24"/>
  <c r="Q3302" i="24"/>
  <c r="R3302" i="24"/>
  <c r="W3302" i="24"/>
  <c r="AB3302" i="24"/>
  <c r="C3219" i="24" l="1"/>
  <c r="N3219" i="24"/>
  <c r="Q3219" i="24"/>
  <c r="R3219" i="24"/>
  <c r="W3219" i="24"/>
  <c r="AB3219" i="24"/>
  <c r="C3220" i="24"/>
  <c r="N3220" i="24"/>
  <c r="Q3220" i="24"/>
  <c r="R3220" i="24"/>
  <c r="W3220" i="24"/>
  <c r="AB3220" i="24"/>
  <c r="C3293" i="24"/>
  <c r="N3293" i="24"/>
  <c r="Q3293" i="24"/>
  <c r="R3293" i="24"/>
  <c r="W3293" i="24"/>
  <c r="AB3293" i="24"/>
  <c r="C3276" i="24"/>
  <c r="N3276" i="24"/>
  <c r="Q3276" i="24"/>
  <c r="R3276" i="24"/>
  <c r="W3276" i="24"/>
  <c r="AB3276" i="24"/>
  <c r="C3277" i="24"/>
  <c r="N3277" i="24"/>
  <c r="Q3277" i="24"/>
  <c r="R3277" i="24"/>
  <c r="W3277" i="24"/>
  <c r="AB3277" i="24"/>
  <c r="AC666" i="8" l="1"/>
  <c r="S666" i="8"/>
  <c r="R666" i="8"/>
  <c r="O666" i="8"/>
  <c r="C666" i="8"/>
  <c r="B666" i="8"/>
  <c r="N666" i="8" s="1"/>
  <c r="N667" i="8" s="1"/>
  <c r="N668" i="8" s="1"/>
  <c r="C3287" i="24"/>
  <c r="N3287" i="24"/>
  <c r="Q3287" i="24"/>
  <c r="R3287" i="24"/>
  <c r="W3287" i="24"/>
  <c r="AB3287" i="24"/>
  <c r="C3286" i="24"/>
  <c r="N3286" i="24"/>
  <c r="Q3286" i="24"/>
  <c r="R3286" i="24"/>
  <c r="W3286" i="24"/>
  <c r="AB3286" i="24"/>
  <c r="B314" i="3" l="1"/>
  <c r="C3280" i="24"/>
  <c r="N3280" i="24"/>
  <c r="Q3280" i="24"/>
  <c r="R3280" i="24"/>
  <c r="W3280" i="24"/>
  <c r="AB3280" i="24"/>
  <c r="C3279" i="24" l="1"/>
  <c r="N3279" i="24"/>
  <c r="Q3279" i="24"/>
  <c r="R3279" i="24"/>
  <c r="W3279" i="24"/>
  <c r="AB3279" i="24"/>
  <c r="N748" i="9" l="1"/>
  <c r="C748" i="9"/>
  <c r="O748" i="9"/>
  <c r="R748" i="9"/>
  <c r="S748" i="9"/>
  <c r="AC748" i="9"/>
  <c r="N747" i="9"/>
  <c r="C747" i="9"/>
  <c r="O747" i="9"/>
  <c r="R747" i="9"/>
  <c r="S747" i="9"/>
  <c r="AC747" i="9"/>
  <c r="N746" i="9"/>
  <c r="C746" i="9"/>
  <c r="O746" i="9"/>
  <c r="R746" i="9"/>
  <c r="S746" i="9"/>
  <c r="AC746" i="9"/>
  <c r="B549" i="7" l="1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Y572" i="7" s="1"/>
  <c r="Q573" i="7"/>
  <c r="Y573" i="7" s="1"/>
  <c r="Q574" i="7"/>
  <c r="Q575" i="7"/>
  <c r="Q576" i="7"/>
  <c r="Q577" i="7"/>
  <c r="Q578" i="7"/>
  <c r="Q579" i="7"/>
  <c r="Q580" i="7"/>
  <c r="Q581" i="7"/>
  <c r="Q582" i="7"/>
  <c r="Q583" i="7"/>
  <c r="Q584" i="7"/>
  <c r="Q585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X549" i="7"/>
  <c r="X550" i="7"/>
  <c r="X551" i="7"/>
  <c r="X552" i="7"/>
  <c r="X553" i="7"/>
  <c r="X554" i="7"/>
  <c r="X555" i="7"/>
  <c r="X556" i="7"/>
  <c r="X557" i="7"/>
  <c r="X558" i="7"/>
  <c r="X559" i="7"/>
  <c r="X560" i="7"/>
  <c r="X561" i="7"/>
  <c r="X562" i="7"/>
  <c r="X563" i="7"/>
  <c r="X564" i="7"/>
  <c r="X565" i="7"/>
  <c r="X566" i="7"/>
  <c r="X567" i="7"/>
  <c r="X568" i="7"/>
  <c r="X569" i="7"/>
  <c r="X570" i="7"/>
  <c r="X571" i="7"/>
  <c r="X572" i="7"/>
  <c r="X573" i="7"/>
  <c r="X574" i="7"/>
  <c r="X575" i="7"/>
  <c r="X576" i="7"/>
  <c r="X577" i="7"/>
  <c r="X578" i="7"/>
  <c r="X579" i="7"/>
  <c r="X580" i="7"/>
  <c r="X581" i="7"/>
  <c r="X582" i="7"/>
  <c r="X583" i="7"/>
  <c r="X584" i="7"/>
  <c r="X585" i="7"/>
  <c r="AB549" i="7"/>
  <c r="AB550" i="7"/>
  <c r="AB551" i="7"/>
  <c r="AB552" i="7"/>
  <c r="AB553" i="7"/>
  <c r="AB554" i="7"/>
  <c r="AB555" i="7"/>
  <c r="AB556" i="7"/>
  <c r="AB557" i="7"/>
  <c r="AB558" i="7"/>
  <c r="AB559" i="7"/>
  <c r="AB560" i="7"/>
  <c r="AB561" i="7"/>
  <c r="AB562" i="7"/>
  <c r="AB563" i="7"/>
  <c r="AB564" i="7"/>
  <c r="AB565" i="7"/>
  <c r="AB566" i="7"/>
  <c r="AB567" i="7"/>
  <c r="AB568" i="7"/>
  <c r="AB569" i="7"/>
  <c r="AB570" i="7"/>
  <c r="AB571" i="7"/>
  <c r="AB572" i="7"/>
  <c r="AB573" i="7"/>
  <c r="AB574" i="7"/>
  <c r="AB575" i="7"/>
  <c r="AB576" i="7"/>
  <c r="AB577" i="7"/>
  <c r="AB578" i="7"/>
  <c r="AB579" i="7"/>
  <c r="AB580" i="7"/>
  <c r="AB581" i="7"/>
  <c r="AB582" i="7"/>
  <c r="AB583" i="7"/>
  <c r="AB584" i="7"/>
  <c r="AB585" i="7"/>
  <c r="C3274" i="24"/>
  <c r="N3274" i="24"/>
  <c r="Q3274" i="24"/>
  <c r="R3274" i="24"/>
  <c r="W3274" i="24"/>
  <c r="AB3274" i="24"/>
  <c r="C3260" i="24"/>
  <c r="N3260" i="24"/>
  <c r="Q3260" i="24"/>
  <c r="R3260" i="24"/>
  <c r="W3260" i="24"/>
  <c r="AB3260" i="24"/>
  <c r="C3275" i="24"/>
  <c r="N3275" i="24"/>
  <c r="Q3275" i="24"/>
  <c r="R3275" i="24"/>
  <c r="W3275" i="24"/>
  <c r="AB3275" i="24"/>
  <c r="AB418" i="23"/>
  <c r="R418" i="23"/>
  <c r="Q418" i="23"/>
  <c r="N418" i="23"/>
  <c r="C418" i="23"/>
  <c r="B418" i="23"/>
  <c r="AB417" i="23"/>
  <c r="R417" i="23"/>
  <c r="Q417" i="23"/>
  <c r="N417" i="23"/>
  <c r="C417" i="23"/>
  <c r="B417" i="23"/>
  <c r="AB416" i="23"/>
  <c r="R416" i="23"/>
  <c r="Q416" i="23"/>
  <c r="N416" i="23"/>
  <c r="C416" i="23"/>
  <c r="B416" i="23"/>
  <c r="AB415" i="23"/>
  <c r="R415" i="23"/>
  <c r="Q415" i="23"/>
  <c r="N415" i="23"/>
  <c r="C415" i="23"/>
  <c r="B415" i="23"/>
  <c r="AB414" i="23"/>
  <c r="R414" i="23"/>
  <c r="Q414" i="23"/>
  <c r="N414" i="23"/>
  <c r="C414" i="23"/>
  <c r="B414" i="23"/>
  <c r="C3273" i="24"/>
  <c r="N3273" i="24"/>
  <c r="Q3273" i="24"/>
  <c r="R3273" i="24"/>
  <c r="W3273" i="24"/>
  <c r="AB3273" i="24"/>
  <c r="Y583" i="7" l="1"/>
  <c r="Y571" i="7"/>
  <c r="Y582" i="7"/>
  <c r="Y576" i="7"/>
  <c r="Y570" i="7"/>
  <c r="Y564" i="7"/>
  <c r="Y558" i="7"/>
  <c r="Y580" i="7"/>
  <c r="Y579" i="7"/>
  <c r="Y550" i="7"/>
  <c r="Y563" i="7"/>
  <c r="Y549" i="7"/>
  <c r="Y575" i="7"/>
  <c r="Y574" i="7"/>
  <c r="Y562" i="7"/>
  <c r="Y578" i="7"/>
  <c r="Y561" i="7"/>
  <c r="Y577" i="7"/>
  <c r="Y565" i="7"/>
  <c r="Y553" i="7"/>
  <c r="Y552" i="7"/>
  <c r="Y581" i="7"/>
  <c r="Y584" i="7"/>
  <c r="Y567" i="7"/>
  <c r="Y585" i="7"/>
  <c r="Y569" i="7"/>
  <c r="Y568" i="7"/>
  <c r="Y566" i="7"/>
  <c r="Y560" i="7"/>
  <c r="Y557" i="7"/>
  <c r="Y556" i="7"/>
  <c r="Y555" i="7"/>
  <c r="Y554" i="7"/>
  <c r="Y551" i="7"/>
  <c r="Y559" i="7"/>
  <c r="C5" i="24"/>
  <c r="N5" i="24"/>
  <c r="Q5" i="24"/>
  <c r="S5" i="24" s="1"/>
  <c r="R5" i="24"/>
  <c r="W5" i="24"/>
  <c r="AB5" i="24"/>
  <c r="C6" i="24"/>
  <c r="N6" i="24"/>
  <c r="Q6" i="24"/>
  <c r="R6" i="24"/>
  <c r="W6" i="24"/>
  <c r="AB6" i="24"/>
  <c r="C7" i="24"/>
  <c r="N7" i="24"/>
  <c r="Q7" i="24"/>
  <c r="R7" i="24"/>
  <c r="W7" i="24"/>
  <c r="AB7" i="24"/>
  <c r="C8" i="24"/>
  <c r="N8" i="24"/>
  <c r="Q8" i="24"/>
  <c r="R8" i="24"/>
  <c r="W8" i="24"/>
  <c r="AB8" i="24"/>
  <c r="C9" i="24"/>
  <c r="N9" i="24"/>
  <c r="Q9" i="24"/>
  <c r="R9" i="24"/>
  <c r="W9" i="24"/>
  <c r="AB9" i="24"/>
  <c r="C10" i="24"/>
  <c r="N10" i="24"/>
  <c r="Q10" i="24"/>
  <c r="R10" i="24"/>
  <c r="W10" i="24"/>
  <c r="AB10" i="24"/>
  <c r="C11" i="24"/>
  <c r="N11" i="24"/>
  <c r="Q11" i="24"/>
  <c r="R11" i="24"/>
  <c r="W11" i="24"/>
  <c r="AB11" i="24"/>
  <c r="C12" i="24"/>
  <c r="N12" i="24"/>
  <c r="Q12" i="24"/>
  <c r="R12" i="24"/>
  <c r="W12" i="24"/>
  <c r="AB12" i="24"/>
  <c r="C13" i="24"/>
  <c r="N13" i="24"/>
  <c r="Q13" i="24"/>
  <c r="R13" i="24"/>
  <c r="W13" i="24"/>
  <c r="AB13" i="24"/>
  <c r="C14" i="24"/>
  <c r="N14" i="24"/>
  <c r="Q14" i="24"/>
  <c r="R14" i="24"/>
  <c r="W14" i="24"/>
  <c r="AB14" i="24"/>
  <c r="C15" i="24"/>
  <c r="N15" i="24"/>
  <c r="Q15" i="24"/>
  <c r="R15" i="24"/>
  <c r="W15" i="24"/>
  <c r="AB15" i="24"/>
  <c r="C16" i="24"/>
  <c r="N16" i="24"/>
  <c r="Q16" i="24"/>
  <c r="R16" i="24"/>
  <c r="W16" i="24"/>
  <c r="AB16" i="24"/>
  <c r="C17" i="24"/>
  <c r="N17" i="24"/>
  <c r="Q17" i="24"/>
  <c r="R17" i="24"/>
  <c r="W17" i="24"/>
  <c r="AB17" i="24"/>
  <c r="C18" i="24"/>
  <c r="N18" i="24"/>
  <c r="Q18" i="24"/>
  <c r="R18" i="24"/>
  <c r="W18" i="24"/>
  <c r="AB18" i="24"/>
  <c r="C19" i="24"/>
  <c r="N19" i="24"/>
  <c r="Q19" i="24"/>
  <c r="R19" i="24"/>
  <c r="W19" i="24"/>
  <c r="AB19" i="24"/>
  <c r="C20" i="24"/>
  <c r="N20" i="24"/>
  <c r="Q20" i="24"/>
  <c r="R20" i="24"/>
  <c r="W20" i="24"/>
  <c r="AB20" i="24"/>
  <c r="C21" i="24"/>
  <c r="N21" i="24"/>
  <c r="Q21" i="24"/>
  <c r="R21" i="24"/>
  <c r="W21" i="24"/>
  <c r="AB21" i="24"/>
  <c r="C22" i="24"/>
  <c r="N22" i="24"/>
  <c r="Q22" i="24"/>
  <c r="R22" i="24"/>
  <c r="W22" i="24"/>
  <c r="AB22" i="24"/>
  <c r="C23" i="24"/>
  <c r="N23" i="24"/>
  <c r="Q23" i="24"/>
  <c r="R23" i="24"/>
  <c r="W23" i="24"/>
  <c r="AB23" i="24"/>
  <c r="C24" i="24"/>
  <c r="N24" i="24"/>
  <c r="Q24" i="24"/>
  <c r="R24" i="24"/>
  <c r="W24" i="24"/>
  <c r="AB24" i="24"/>
  <c r="C25" i="24"/>
  <c r="N25" i="24"/>
  <c r="Q25" i="24"/>
  <c r="R25" i="24"/>
  <c r="W25" i="24"/>
  <c r="AB25" i="24"/>
  <c r="C26" i="24"/>
  <c r="N26" i="24"/>
  <c r="Q26" i="24"/>
  <c r="R26" i="24"/>
  <c r="W26" i="24"/>
  <c r="AB26" i="24"/>
  <c r="C27" i="24"/>
  <c r="N27" i="24"/>
  <c r="Q27" i="24"/>
  <c r="R27" i="24"/>
  <c r="W27" i="24"/>
  <c r="AB27" i="24"/>
  <c r="C28" i="24"/>
  <c r="N28" i="24"/>
  <c r="Q28" i="24"/>
  <c r="R28" i="24"/>
  <c r="W28" i="24"/>
  <c r="AB28" i="24"/>
  <c r="C29" i="24"/>
  <c r="N29" i="24"/>
  <c r="Q29" i="24"/>
  <c r="R29" i="24"/>
  <c r="W29" i="24"/>
  <c r="AB29" i="24"/>
  <c r="C30" i="24"/>
  <c r="N30" i="24"/>
  <c r="Q30" i="24"/>
  <c r="R30" i="24"/>
  <c r="W30" i="24"/>
  <c r="AB30" i="24"/>
  <c r="C31" i="24"/>
  <c r="N31" i="24"/>
  <c r="Q31" i="24"/>
  <c r="R31" i="24"/>
  <c r="W31" i="24"/>
  <c r="AB31" i="24"/>
  <c r="C32" i="24"/>
  <c r="N32" i="24"/>
  <c r="Q32" i="24"/>
  <c r="R32" i="24"/>
  <c r="W32" i="24"/>
  <c r="AB32" i="24"/>
  <c r="C33" i="24"/>
  <c r="N33" i="24"/>
  <c r="Q33" i="24"/>
  <c r="R33" i="24"/>
  <c r="W33" i="24"/>
  <c r="AB33" i="24"/>
  <c r="C34" i="24"/>
  <c r="N34" i="24"/>
  <c r="Q34" i="24"/>
  <c r="R34" i="24"/>
  <c r="W34" i="24"/>
  <c r="AB34" i="24"/>
  <c r="C35" i="24"/>
  <c r="N35" i="24"/>
  <c r="Q35" i="24"/>
  <c r="R35" i="24"/>
  <c r="W35" i="24"/>
  <c r="AB35" i="24"/>
  <c r="C36" i="24"/>
  <c r="N36" i="24"/>
  <c r="Q36" i="24"/>
  <c r="R36" i="24"/>
  <c r="W36" i="24"/>
  <c r="AB36" i="24"/>
  <c r="C37" i="24"/>
  <c r="N37" i="24"/>
  <c r="Q37" i="24"/>
  <c r="R37" i="24"/>
  <c r="W37" i="24"/>
  <c r="AB37" i="24"/>
  <c r="C38" i="24"/>
  <c r="N38" i="24"/>
  <c r="Q38" i="24"/>
  <c r="R38" i="24"/>
  <c r="W38" i="24"/>
  <c r="AB38" i="24"/>
  <c r="C39" i="24"/>
  <c r="N39" i="24"/>
  <c r="Q39" i="24"/>
  <c r="R39" i="24"/>
  <c r="W39" i="24"/>
  <c r="AB39" i="24"/>
  <c r="C40" i="24"/>
  <c r="N40" i="24"/>
  <c r="Q40" i="24"/>
  <c r="R40" i="24"/>
  <c r="W40" i="24"/>
  <c r="AB40" i="24"/>
  <c r="C41" i="24"/>
  <c r="N41" i="24"/>
  <c r="Q41" i="24"/>
  <c r="R41" i="24"/>
  <c r="W41" i="24"/>
  <c r="AB41" i="24"/>
  <c r="C42" i="24"/>
  <c r="N42" i="24"/>
  <c r="Q42" i="24"/>
  <c r="R42" i="24"/>
  <c r="W42" i="24"/>
  <c r="AB42" i="24"/>
  <c r="C43" i="24"/>
  <c r="N43" i="24"/>
  <c r="Q43" i="24"/>
  <c r="R43" i="24"/>
  <c r="W43" i="24"/>
  <c r="AB43" i="24"/>
  <c r="C44" i="24"/>
  <c r="N44" i="24"/>
  <c r="Q44" i="24"/>
  <c r="R44" i="24"/>
  <c r="W44" i="24"/>
  <c r="AB44" i="24"/>
  <c r="C47" i="24"/>
  <c r="N47" i="24"/>
  <c r="Q47" i="24"/>
  <c r="R47" i="24"/>
  <c r="W47" i="24"/>
  <c r="AB47" i="24"/>
  <c r="C48" i="24"/>
  <c r="N48" i="24"/>
  <c r="Q48" i="24"/>
  <c r="R48" i="24"/>
  <c r="W48" i="24"/>
  <c r="AB48" i="24"/>
  <c r="C49" i="24"/>
  <c r="N49" i="24"/>
  <c r="Q49" i="24"/>
  <c r="R49" i="24"/>
  <c r="W49" i="24"/>
  <c r="AB49" i="24"/>
  <c r="C50" i="24"/>
  <c r="N50" i="24"/>
  <c r="Q50" i="24"/>
  <c r="R50" i="24"/>
  <c r="W50" i="24"/>
  <c r="AB50" i="24"/>
  <c r="C51" i="24"/>
  <c r="N51" i="24"/>
  <c r="Q51" i="24"/>
  <c r="R51" i="24"/>
  <c r="W51" i="24"/>
  <c r="AB51" i="24"/>
  <c r="C52" i="24"/>
  <c r="N52" i="24"/>
  <c r="Q52" i="24"/>
  <c r="R52" i="24"/>
  <c r="W52" i="24"/>
  <c r="AB52" i="24"/>
  <c r="C53" i="24"/>
  <c r="N53" i="24"/>
  <c r="Q53" i="24"/>
  <c r="R53" i="24"/>
  <c r="W53" i="24"/>
  <c r="AB53" i="24"/>
  <c r="C54" i="24"/>
  <c r="N54" i="24"/>
  <c r="Q54" i="24"/>
  <c r="R54" i="24"/>
  <c r="W54" i="24"/>
  <c r="AB54" i="24"/>
  <c r="C55" i="24"/>
  <c r="N55" i="24"/>
  <c r="Q55" i="24"/>
  <c r="R55" i="24"/>
  <c r="W55" i="24"/>
  <c r="AB55" i="24"/>
  <c r="C56" i="24"/>
  <c r="N56" i="24"/>
  <c r="Q56" i="24"/>
  <c r="R56" i="24"/>
  <c r="W56" i="24"/>
  <c r="AB56" i="24"/>
  <c r="C57" i="24"/>
  <c r="N57" i="24"/>
  <c r="Q57" i="24"/>
  <c r="R57" i="24"/>
  <c r="W57" i="24"/>
  <c r="AB57" i="24"/>
  <c r="C58" i="24"/>
  <c r="N58" i="24"/>
  <c r="Q58" i="24"/>
  <c r="R58" i="24"/>
  <c r="W58" i="24"/>
  <c r="AB58" i="24"/>
  <c r="C59" i="24"/>
  <c r="N59" i="24"/>
  <c r="Q59" i="24"/>
  <c r="R59" i="24"/>
  <c r="W59" i="24"/>
  <c r="AB59" i="24"/>
  <c r="C60" i="24"/>
  <c r="N60" i="24"/>
  <c r="Q60" i="24"/>
  <c r="R60" i="24"/>
  <c r="W60" i="24"/>
  <c r="AB60" i="24"/>
  <c r="C61" i="24"/>
  <c r="N61" i="24"/>
  <c r="Q61" i="24"/>
  <c r="R61" i="24"/>
  <c r="W61" i="24"/>
  <c r="AB61" i="24"/>
  <c r="C62" i="24"/>
  <c r="N62" i="24"/>
  <c r="Q62" i="24"/>
  <c r="R62" i="24"/>
  <c r="W62" i="24"/>
  <c r="AB62" i="24"/>
  <c r="C63" i="24"/>
  <c r="N63" i="24"/>
  <c r="Q63" i="24"/>
  <c r="R63" i="24"/>
  <c r="W63" i="24"/>
  <c r="AB63" i="24"/>
  <c r="C64" i="24"/>
  <c r="N64" i="24"/>
  <c r="Q64" i="24"/>
  <c r="R64" i="24"/>
  <c r="W64" i="24"/>
  <c r="AB64" i="24"/>
  <c r="C65" i="24"/>
  <c r="N65" i="24"/>
  <c r="Q65" i="24"/>
  <c r="R65" i="24"/>
  <c r="W65" i="24"/>
  <c r="AB65" i="24"/>
  <c r="C66" i="24"/>
  <c r="N66" i="24"/>
  <c r="Q66" i="24"/>
  <c r="R66" i="24"/>
  <c r="W66" i="24"/>
  <c r="AB66" i="24"/>
  <c r="C67" i="24"/>
  <c r="N67" i="24"/>
  <c r="Q67" i="24"/>
  <c r="R67" i="24"/>
  <c r="W67" i="24"/>
  <c r="AB67" i="24"/>
  <c r="C68" i="24"/>
  <c r="N68" i="24"/>
  <c r="Q68" i="24"/>
  <c r="R68" i="24"/>
  <c r="W68" i="24"/>
  <c r="AB68" i="24"/>
  <c r="C69" i="24"/>
  <c r="N69" i="24"/>
  <c r="Q69" i="24"/>
  <c r="R69" i="24"/>
  <c r="W69" i="24"/>
  <c r="AB69" i="24"/>
  <c r="C70" i="24"/>
  <c r="N70" i="24"/>
  <c r="Q70" i="24"/>
  <c r="R70" i="24"/>
  <c r="W70" i="24"/>
  <c r="AB70" i="24"/>
  <c r="C71" i="24"/>
  <c r="N71" i="24"/>
  <c r="Q71" i="24"/>
  <c r="R71" i="24"/>
  <c r="W71" i="24"/>
  <c r="AB71" i="24"/>
  <c r="C72" i="24"/>
  <c r="N72" i="24"/>
  <c r="Q72" i="24"/>
  <c r="R72" i="24"/>
  <c r="W72" i="24"/>
  <c r="AB72" i="24"/>
  <c r="C73" i="24"/>
  <c r="N73" i="24"/>
  <c r="Q73" i="24"/>
  <c r="R73" i="24"/>
  <c r="W73" i="24"/>
  <c r="AB73" i="24"/>
  <c r="C74" i="24"/>
  <c r="N74" i="24"/>
  <c r="Q74" i="24"/>
  <c r="R74" i="24"/>
  <c r="W74" i="24"/>
  <c r="AB74" i="24"/>
  <c r="C75" i="24"/>
  <c r="N75" i="24"/>
  <c r="Q75" i="24"/>
  <c r="R75" i="24"/>
  <c r="W75" i="24"/>
  <c r="AB75" i="24"/>
  <c r="C76" i="24"/>
  <c r="N76" i="24"/>
  <c r="Q76" i="24"/>
  <c r="R76" i="24"/>
  <c r="W76" i="24"/>
  <c r="AB76" i="24"/>
  <c r="C77" i="24"/>
  <c r="N77" i="24"/>
  <c r="Q77" i="24"/>
  <c r="R77" i="24"/>
  <c r="W77" i="24"/>
  <c r="AB77" i="24"/>
  <c r="C78" i="24"/>
  <c r="N78" i="24"/>
  <c r="Q78" i="24"/>
  <c r="R78" i="24"/>
  <c r="W78" i="24"/>
  <c r="AB78" i="24"/>
  <c r="C79" i="24"/>
  <c r="N79" i="24"/>
  <c r="Q79" i="24"/>
  <c r="R79" i="24"/>
  <c r="W79" i="24"/>
  <c r="AB79" i="24"/>
  <c r="C80" i="24"/>
  <c r="N80" i="24"/>
  <c r="Q80" i="24"/>
  <c r="R80" i="24"/>
  <c r="W80" i="24"/>
  <c r="AB80" i="24"/>
  <c r="C81" i="24"/>
  <c r="N81" i="24"/>
  <c r="Q81" i="24"/>
  <c r="R81" i="24"/>
  <c r="W81" i="24"/>
  <c r="AB81" i="24"/>
  <c r="C82" i="24"/>
  <c r="N82" i="24"/>
  <c r="Q82" i="24"/>
  <c r="R82" i="24"/>
  <c r="W82" i="24"/>
  <c r="AB82" i="24"/>
  <c r="C83" i="24"/>
  <c r="N83" i="24"/>
  <c r="Q83" i="24"/>
  <c r="R83" i="24"/>
  <c r="W83" i="24"/>
  <c r="AB83" i="24"/>
  <c r="C84" i="24"/>
  <c r="N84" i="24"/>
  <c r="Q84" i="24"/>
  <c r="R84" i="24"/>
  <c r="W84" i="24"/>
  <c r="AB84" i="24"/>
  <c r="C85" i="24"/>
  <c r="N85" i="24"/>
  <c r="Q85" i="24"/>
  <c r="R85" i="24"/>
  <c r="W85" i="24"/>
  <c r="AB85" i="24"/>
  <c r="C86" i="24"/>
  <c r="N86" i="24"/>
  <c r="Q86" i="24"/>
  <c r="R86" i="24"/>
  <c r="W86" i="24"/>
  <c r="AB86" i="24"/>
  <c r="C87" i="24"/>
  <c r="N87" i="24"/>
  <c r="Q87" i="24"/>
  <c r="R87" i="24"/>
  <c r="W87" i="24"/>
  <c r="AB87" i="24"/>
  <c r="C88" i="24"/>
  <c r="N88" i="24"/>
  <c r="Q88" i="24"/>
  <c r="R88" i="24"/>
  <c r="W88" i="24"/>
  <c r="AB88" i="24"/>
  <c r="C89" i="24"/>
  <c r="N89" i="24"/>
  <c r="Q89" i="24"/>
  <c r="R89" i="24"/>
  <c r="W89" i="24"/>
  <c r="AB89" i="24"/>
  <c r="C90" i="24"/>
  <c r="N90" i="24"/>
  <c r="Q90" i="24"/>
  <c r="R90" i="24"/>
  <c r="W90" i="24"/>
  <c r="AB90" i="24"/>
  <c r="C91" i="24"/>
  <c r="N91" i="24"/>
  <c r="Q91" i="24"/>
  <c r="R91" i="24"/>
  <c r="W91" i="24"/>
  <c r="AB91" i="24"/>
  <c r="C92" i="24"/>
  <c r="N92" i="24"/>
  <c r="Q92" i="24"/>
  <c r="R92" i="24"/>
  <c r="W92" i="24"/>
  <c r="AB92" i="24"/>
  <c r="C93" i="24"/>
  <c r="N93" i="24"/>
  <c r="Q93" i="24"/>
  <c r="R93" i="24"/>
  <c r="W93" i="24"/>
  <c r="AB93" i="24"/>
  <c r="C94" i="24"/>
  <c r="N94" i="24"/>
  <c r="Q94" i="24"/>
  <c r="R94" i="24"/>
  <c r="W94" i="24"/>
  <c r="AB94" i="24"/>
  <c r="C95" i="24"/>
  <c r="N95" i="24"/>
  <c r="Q95" i="24"/>
  <c r="R95" i="24"/>
  <c r="W95" i="24"/>
  <c r="AB95" i="24"/>
  <c r="C96" i="24"/>
  <c r="N96" i="24"/>
  <c r="Q96" i="24"/>
  <c r="R96" i="24"/>
  <c r="W96" i="24"/>
  <c r="AB96" i="24"/>
  <c r="C97" i="24"/>
  <c r="N97" i="24"/>
  <c r="Q97" i="24"/>
  <c r="R97" i="24"/>
  <c r="W97" i="24"/>
  <c r="AB97" i="24"/>
  <c r="C98" i="24"/>
  <c r="N98" i="24"/>
  <c r="Q98" i="24"/>
  <c r="R98" i="24"/>
  <c r="W98" i="24"/>
  <c r="AB98" i="24"/>
  <c r="C99" i="24"/>
  <c r="N99" i="24"/>
  <c r="Q99" i="24"/>
  <c r="R99" i="24"/>
  <c r="W99" i="24"/>
  <c r="AB99" i="24"/>
  <c r="C100" i="24"/>
  <c r="N100" i="24"/>
  <c r="Q100" i="24"/>
  <c r="R100" i="24"/>
  <c r="W100" i="24"/>
  <c r="AB100" i="24"/>
  <c r="C101" i="24"/>
  <c r="N101" i="24"/>
  <c r="Q101" i="24"/>
  <c r="R101" i="24"/>
  <c r="W101" i="24"/>
  <c r="AB101" i="24"/>
  <c r="C102" i="24"/>
  <c r="N102" i="24"/>
  <c r="Q102" i="24"/>
  <c r="R102" i="24"/>
  <c r="W102" i="24"/>
  <c r="AB102" i="24"/>
  <c r="C103" i="24"/>
  <c r="N103" i="24"/>
  <c r="Q103" i="24"/>
  <c r="R103" i="24"/>
  <c r="W103" i="24"/>
  <c r="AB103" i="24"/>
  <c r="C104" i="24"/>
  <c r="N104" i="24"/>
  <c r="Q104" i="24"/>
  <c r="R104" i="24"/>
  <c r="W104" i="24"/>
  <c r="AB104" i="24"/>
  <c r="C105" i="24"/>
  <c r="N105" i="24"/>
  <c r="Q105" i="24"/>
  <c r="R105" i="24"/>
  <c r="W105" i="24"/>
  <c r="AB105" i="24"/>
  <c r="C106" i="24"/>
  <c r="N106" i="24"/>
  <c r="Q106" i="24"/>
  <c r="R106" i="24"/>
  <c r="W106" i="24"/>
  <c r="AB106" i="24"/>
  <c r="C107" i="24"/>
  <c r="N107" i="24"/>
  <c r="Q107" i="24"/>
  <c r="R107" i="24"/>
  <c r="W107" i="24"/>
  <c r="AB107" i="24"/>
  <c r="C108" i="24"/>
  <c r="N108" i="24"/>
  <c r="Q108" i="24"/>
  <c r="R108" i="24"/>
  <c r="W108" i="24"/>
  <c r="AB108" i="24"/>
  <c r="C109" i="24"/>
  <c r="N109" i="24"/>
  <c r="Q109" i="24"/>
  <c r="R109" i="24"/>
  <c r="W109" i="24"/>
  <c r="AB109" i="24"/>
  <c r="C110" i="24"/>
  <c r="N110" i="24"/>
  <c r="Q110" i="24"/>
  <c r="R110" i="24"/>
  <c r="W110" i="24"/>
  <c r="AB110" i="24"/>
  <c r="C111" i="24"/>
  <c r="N111" i="24"/>
  <c r="Q111" i="24"/>
  <c r="R111" i="24"/>
  <c r="W111" i="24"/>
  <c r="AB111" i="24"/>
  <c r="C112" i="24"/>
  <c r="N112" i="24"/>
  <c r="Q112" i="24"/>
  <c r="R112" i="24"/>
  <c r="W112" i="24"/>
  <c r="AB112" i="24"/>
  <c r="C113" i="24"/>
  <c r="N113" i="24"/>
  <c r="Q113" i="24"/>
  <c r="R113" i="24"/>
  <c r="W113" i="24"/>
  <c r="AB113" i="24"/>
  <c r="C114" i="24"/>
  <c r="N114" i="24"/>
  <c r="Q114" i="24"/>
  <c r="R114" i="24"/>
  <c r="W114" i="24"/>
  <c r="AB114" i="24"/>
  <c r="C115" i="24"/>
  <c r="N115" i="24"/>
  <c r="Q115" i="24"/>
  <c r="R115" i="24"/>
  <c r="W115" i="24"/>
  <c r="AB115" i="24"/>
  <c r="C116" i="24"/>
  <c r="N116" i="24"/>
  <c r="Q116" i="24"/>
  <c r="R116" i="24"/>
  <c r="W116" i="24"/>
  <c r="AB116" i="24"/>
  <c r="C117" i="24"/>
  <c r="N117" i="24"/>
  <c r="Q117" i="24"/>
  <c r="R117" i="24"/>
  <c r="W117" i="24"/>
  <c r="AB117" i="24"/>
  <c r="C118" i="24"/>
  <c r="N118" i="24"/>
  <c r="Q118" i="24"/>
  <c r="R118" i="24"/>
  <c r="W118" i="24"/>
  <c r="AB118" i="24"/>
  <c r="C119" i="24"/>
  <c r="N119" i="24"/>
  <c r="Q119" i="24"/>
  <c r="R119" i="24"/>
  <c r="W119" i="24"/>
  <c r="AB119" i="24"/>
  <c r="C120" i="24"/>
  <c r="N120" i="24"/>
  <c r="Q120" i="24"/>
  <c r="R120" i="24"/>
  <c r="W120" i="24"/>
  <c r="AB120" i="24"/>
  <c r="C121" i="24"/>
  <c r="N121" i="24"/>
  <c r="Q121" i="24"/>
  <c r="R121" i="24"/>
  <c r="W121" i="24"/>
  <c r="AB121" i="24"/>
  <c r="C122" i="24"/>
  <c r="N122" i="24"/>
  <c r="Q122" i="24"/>
  <c r="R122" i="24"/>
  <c r="W122" i="24"/>
  <c r="AB122" i="24"/>
  <c r="C123" i="24"/>
  <c r="N123" i="24"/>
  <c r="Q123" i="24"/>
  <c r="R123" i="24"/>
  <c r="W123" i="24"/>
  <c r="AB123" i="24"/>
  <c r="C124" i="24"/>
  <c r="N124" i="24"/>
  <c r="Q124" i="24"/>
  <c r="R124" i="24"/>
  <c r="W124" i="24"/>
  <c r="AB124" i="24"/>
  <c r="C125" i="24"/>
  <c r="N125" i="24"/>
  <c r="Q125" i="24"/>
  <c r="R125" i="24"/>
  <c r="W125" i="24"/>
  <c r="AB125" i="24"/>
  <c r="C126" i="24"/>
  <c r="N126" i="24"/>
  <c r="Q126" i="24"/>
  <c r="R126" i="24"/>
  <c r="W126" i="24"/>
  <c r="AB126" i="24"/>
  <c r="C127" i="24"/>
  <c r="N127" i="24"/>
  <c r="Q127" i="24"/>
  <c r="R127" i="24"/>
  <c r="W127" i="24"/>
  <c r="AB127" i="24"/>
  <c r="C128" i="24"/>
  <c r="N128" i="24"/>
  <c r="Q128" i="24"/>
  <c r="R128" i="24"/>
  <c r="W128" i="24"/>
  <c r="AB128" i="24"/>
  <c r="C129" i="24"/>
  <c r="N129" i="24"/>
  <c r="Q129" i="24"/>
  <c r="R129" i="24"/>
  <c r="W129" i="24"/>
  <c r="AB129" i="24"/>
  <c r="C130" i="24"/>
  <c r="N130" i="24"/>
  <c r="Q130" i="24"/>
  <c r="R130" i="24"/>
  <c r="W130" i="24"/>
  <c r="AB130" i="24"/>
  <c r="C131" i="24"/>
  <c r="N131" i="24"/>
  <c r="Q131" i="24"/>
  <c r="R131" i="24"/>
  <c r="W131" i="24"/>
  <c r="AB131" i="24"/>
  <c r="C132" i="24"/>
  <c r="N132" i="24"/>
  <c r="Q132" i="24"/>
  <c r="R132" i="24"/>
  <c r="W132" i="24"/>
  <c r="AB132" i="24"/>
  <c r="C133" i="24"/>
  <c r="N133" i="24"/>
  <c r="Q133" i="24"/>
  <c r="R133" i="24"/>
  <c r="W133" i="24"/>
  <c r="AB133" i="24"/>
  <c r="C134" i="24"/>
  <c r="N134" i="24"/>
  <c r="Q134" i="24"/>
  <c r="R134" i="24"/>
  <c r="W134" i="24"/>
  <c r="AB134" i="24"/>
  <c r="C135" i="24"/>
  <c r="N135" i="24"/>
  <c r="Q135" i="24"/>
  <c r="R135" i="24"/>
  <c r="W135" i="24"/>
  <c r="AB135" i="24"/>
  <c r="C136" i="24"/>
  <c r="N136" i="24"/>
  <c r="Q136" i="24"/>
  <c r="R136" i="24"/>
  <c r="W136" i="24"/>
  <c r="AB136" i="24"/>
  <c r="C137" i="24"/>
  <c r="N137" i="24"/>
  <c r="Q137" i="24"/>
  <c r="R137" i="24"/>
  <c r="W137" i="24"/>
  <c r="AB137" i="24"/>
  <c r="C138" i="24"/>
  <c r="N138" i="24"/>
  <c r="Q138" i="24"/>
  <c r="R138" i="24"/>
  <c r="W138" i="24"/>
  <c r="AB138" i="24"/>
  <c r="C139" i="24"/>
  <c r="N139" i="24"/>
  <c r="Q139" i="24"/>
  <c r="R139" i="24"/>
  <c r="W139" i="24"/>
  <c r="AB139" i="24"/>
  <c r="C140" i="24"/>
  <c r="N140" i="24"/>
  <c r="Q140" i="24"/>
  <c r="R140" i="24"/>
  <c r="W140" i="24"/>
  <c r="AB140" i="24"/>
  <c r="C141" i="24"/>
  <c r="N141" i="24"/>
  <c r="Q141" i="24"/>
  <c r="R141" i="24"/>
  <c r="W141" i="24"/>
  <c r="AB141" i="24"/>
  <c r="C142" i="24"/>
  <c r="N142" i="24"/>
  <c r="Q142" i="24"/>
  <c r="R142" i="24"/>
  <c r="W142" i="24"/>
  <c r="AB142" i="24"/>
  <c r="C143" i="24"/>
  <c r="N143" i="24"/>
  <c r="Q143" i="24"/>
  <c r="R143" i="24"/>
  <c r="W143" i="24"/>
  <c r="AB143" i="24"/>
  <c r="C144" i="24"/>
  <c r="N144" i="24"/>
  <c r="Q144" i="24"/>
  <c r="R144" i="24"/>
  <c r="W144" i="24"/>
  <c r="AB144" i="24"/>
  <c r="C145" i="24"/>
  <c r="N145" i="24"/>
  <c r="Q145" i="24"/>
  <c r="R145" i="24"/>
  <c r="W145" i="24"/>
  <c r="AB145" i="24"/>
  <c r="C146" i="24"/>
  <c r="N146" i="24"/>
  <c r="Q146" i="24"/>
  <c r="R146" i="24"/>
  <c r="W146" i="24"/>
  <c r="AB146" i="24"/>
  <c r="C147" i="24"/>
  <c r="N147" i="24"/>
  <c r="Q147" i="24"/>
  <c r="R147" i="24"/>
  <c r="W147" i="24"/>
  <c r="AB147" i="24"/>
  <c r="C148" i="24"/>
  <c r="N148" i="24"/>
  <c r="Q148" i="24"/>
  <c r="R148" i="24"/>
  <c r="W148" i="24"/>
  <c r="AB148" i="24"/>
  <c r="C149" i="24"/>
  <c r="N149" i="24"/>
  <c r="Q149" i="24"/>
  <c r="R149" i="24"/>
  <c r="W149" i="24"/>
  <c r="AB149" i="24"/>
  <c r="C150" i="24"/>
  <c r="N150" i="24"/>
  <c r="Q150" i="24"/>
  <c r="R150" i="24"/>
  <c r="W150" i="24"/>
  <c r="AB150" i="24"/>
  <c r="C151" i="24"/>
  <c r="N151" i="24"/>
  <c r="Q151" i="24"/>
  <c r="R151" i="24"/>
  <c r="W151" i="24"/>
  <c r="AB151" i="24"/>
  <c r="C152" i="24"/>
  <c r="N152" i="24"/>
  <c r="Q152" i="24"/>
  <c r="R152" i="24"/>
  <c r="W152" i="24"/>
  <c r="AB152" i="24"/>
  <c r="C153" i="24"/>
  <c r="N153" i="24"/>
  <c r="Q153" i="24"/>
  <c r="R153" i="24"/>
  <c r="W153" i="24"/>
  <c r="AB153" i="24"/>
  <c r="C154" i="24"/>
  <c r="N154" i="24"/>
  <c r="Q154" i="24"/>
  <c r="R154" i="24"/>
  <c r="W154" i="24"/>
  <c r="AB154" i="24"/>
  <c r="C155" i="24"/>
  <c r="N155" i="24"/>
  <c r="Q155" i="24"/>
  <c r="R155" i="24"/>
  <c r="W155" i="24"/>
  <c r="AB155" i="24"/>
  <c r="C156" i="24"/>
  <c r="N156" i="24"/>
  <c r="Q156" i="24"/>
  <c r="R156" i="24"/>
  <c r="W156" i="24"/>
  <c r="AB156" i="24"/>
  <c r="C157" i="24"/>
  <c r="N157" i="24"/>
  <c r="Q157" i="24"/>
  <c r="R157" i="24"/>
  <c r="W157" i="24"/>
  <c r="AB157" i="24"/>
  <c r="C158" i="24"/>
  <c r="N158" i="24"/>
  <c r="Q158" i="24"/>
  <c r="R158" i="24"/>
  <c r="W158" i="24"/>
  <c r="AB158" i="24"/>
  <c r="C159" i="24"/>
  <c r="N159" i="24"/>
  <c r="Q159" i="24"/>
  <c r="R159" i="24"/>
  <c r="W159" i="24"/>
  <c r="AB159" i="24"/>
  <c r="C160" i="24"/>
  <c r="N160" i="24"/>
  <c r="Q160" i="24"/>
  <c r="R160" i="24"/>
  <c r="W160" i="24"/>
  <c r="AB160" i="24"/>
  <c r="C161" i="24"/>
  <c r="N161" i="24"/>
  <c r="Q161" i="24"/>
  <c r="R161" i="24"/>
  <c r="W161" i="24"/>
  <c r="AB161" i="24"/>
  <c r="C162" i="24"/>
  <c r="N162" i="24"/>
  <c r="Q162" i="24"/>
  <c r="R162" i="24"/>
  <c r="W162" i="24"/>
  <c r="AB162" i="24"/>
  <c r="C163" i="24"/>
  <c r="N163" i="24"/>
  <c r="Q163" i="24"/>
  <c r="R163" i="24"/>
  <c r="W163" i="24"/>
  <c r="AB163" i="24"/>
  <c r="C164" i="24"/>
  <c r="N164" i="24"/>
  <c r="Q164" i="24"/>
  <c r="R164" i="24"/>
  <c r="W164" i="24"/>
  <c r="AB164" i="24"/>
  <c r="C165" i="24"/>
  <c r="N165" i="24"/>
  <c r="Q165" i="24"/>
  <c r="R165" i="24"/>
  <c r="W165" i="24"/>
  <c r="AB165" i="24"/>
  <c r="C166" i="24"/>
  <c r="N166" i="24"/>
  <c r="Q166" i="24"/>
  <c r="R166" i="24"/>
  <c r="W166" i="24"/>
  <c r="AB166" i="24"/>
  <c r="C167" i="24"/>
  <c r="N167" i="24"/>
  <c r="Q167" i="24"/>
  <c r="R167" i="24"/>
  <c r="W167" i="24"/>
  <c r="AB167" i="24"/>
  <c r="C168" i="24"/>
  <c r="N168" i="24"/>
  <c r="Q168" i="24"/>
  <c r="R168" i="24"/>
  <c r="W168" i="24"/>
  <c r="AB168" i="24"/>
  <c r="C169" i="24"/>
  <c r="N169" i="24"/>
  <c r="Q169" i="24"/>
  <c r="R169" i="24"/>
  <c r="W169" i="24"/>
  <c r="AB169" i="24"/>
  <c r="C170" i="24"/>
  <c r="N170" i="24"/>
  <c r="Q170" i="24"/>
  <c r="R170" i="24"/>
  <c r="W170" i="24"/>
  <c r="AB170" i="24"/>
  <c r="C171" i="24"/>
  <c r="N171" i="24"/>
  <c r="Q171" i="24"/>
  <c r="R171" i="24"/>
  <c r="W171" i="24"/>
  <c r="AB171" i="24"/>
  <c r="C172" i="24"/>
  <c r="N172" i="24"/>
  <c r="Q172" i="24"/>
  <c r="R172" i="24"/>
  <c r="W172" i="24"/>
  <c r="AB172" i="24"/>
  <c r="C173" i="24"/>
  <c r="N173" i="24"/>
  <c r="Q173" i="24"/>
  <c r="R173" i="24"/>
  <c r="W173" i="24"/>
  <c r="AB173" i="24"/>
  <c r="C174" i="24"/>
  <c r="N174" i="24"/>
  <c r="Q174" i="24"/>
  <c r="R174" i="24"/>
  <c r="W174" i="24"/>
  <c r="AB174" i="24"/>
  <c r="C175" i="24"/>
  <c r="N175" i="24"/>
  <c r="Q175" i="24"/>
  <c r="R175" i="24"/>
  <c r="W175" i="24"/>
  <c r="AB175" i="24"/>
  <c r="C176" i="24"/>
  <c r="N176" i="24"/>
  <c r="Q176" i="24"/>
  <c r="R176" i="24"/>
  <c r="W176" i="24"/>
  <c r="AB176" i="24"/>
  <c r="C177" i="24"/>
  <c r="N177" i="24"/>
  <c r="Q177" i="24"/>
  <c r="R177" i="24"/>
  <c r="W177" i="24"/>
  <c r="AB177" i="24"/>
  <c r="C178" i="24"/>
  <c r="N178" i="24"/>
  <c r="Q178" i="24"/>
  <c r="R178" i="24"/>
  <c r="W178" i="24"/>
  <c r="AB178" i="24"/>
  <c r="C179" i="24"/>
  <c r="N179" i="24"/>
  <c r="Q179" i="24"/>
  <c r="R179" i="24"/>
  <c r="W179" i="24"/>
  <c r="AB179" i="24"/>
  <c r="C180" i="24"/>
  <c r="N180" i="24"/>
  <c r="Q180" i="24"/>
  <c r="R180" i="24"/>
  <c r="W180" i="24"/>
  <c r="AB180" i="24"/>
  <c r="C181" i="24"/>
  <c r="N181" i="24"/>
  <c r="Q181" i="24"/>
  <c r="R181" i="24"/>
  <c r="W181" i="24"/>
  <c r="AB181" i="24"/>
  <c r="C182" i="24"/>
  <c r="N182" i="24"/>
  <c r="Q182" i="24"/>
  <c r="R182" i="24"/>
  <c r="W182" i="24"/>
  <c r="AB182" i="24"/>
  <c r="C183" i="24"/>
  <c r="N183" i="24"/>
  <c r="Q183" i="24"/>
  <c r="R183" i="24"/>
  <c r="W183" i="24"/>
  <c r="AB183" i="24"/>
  <c r="C184" i="24"/>
  <c r="N184" i="24"/>
  <c r="Q184" i="24"/>
  <c r="R184" i="24"/>
  <c r="W184" i="24"/>
  <c r="AB184" i="24"/>
  <c r="C185" i="24"/>
  <c r="N185" i="24"/>
  <c r="Q185" i="24"/>
  <c r="R185" i="24"/>
  <c r="W185" i="24"/>
  <c r="AB185" i="24"/>
  <c r="C186" i="24"/>
  <c r="N186" i="24"/>
  <c r="Q186" i="24"/>
  <c r="R186" i="24"/>
  <c r="W186" i="24"/>
  <c r="AB186" i="24"/>
  <c r="C187" i="24"/>
  <c r="N187" i="24"/>
  <c r="Q187" i="24"/>
  <c r="R187" i="24"/>
  <c r="W187" i="24"/>
  <c r="AB187" i="24"/>
  <c r="C188" i="24"/>
  <c r="N188" i="24"/>
  <c r="Q188" i="24"/>
  <c r="R188" i="24"/>
  <c r="W188" i="24"/>
  <c r="AB188" i="24"/>
  <c r="C189" i="24"/>
  <c r="N189" i="24"/>
  <c r="Q189" i="24"/>
  <c r="R189" i="24"/>
  <c r="W189" i="24"/>
  <c r="AB189" i="24"/>
  <c r="C190" i="24"/>
  <c r="N190" i="24"/>
  <c r="Q190" i="24"/>
  <c r="R190" i="24"/>
  <c r="W190" i="24"/>
  <c r="AB190" i="24"/>
  <c r="C191" i="24"/>
  <c r="N191" i="24"/>
  <c r="Q191" i="24"/>
  <c r="R191" i="24"/>
  <c r="W191" i="24"/>
  <c r="AB191" i="24"/>
  <c r="C192" i="24"/>
  <c r="N192" i="24"/>
  <c r="Q192" i="24"/>
  <c r="R192" i="24"/>
  <c r="W192" i="24"/>
  <c r="AB192" i="24"/>
  <c r="C193" i="24"/>
  <c r="N193" i="24"/>
  <c r="Q193" i="24"/>
  <c r="R193" i="24"/>
  <c r="W193" i="24"/>
  <c r="AB193" i="24"/>
  <c r="C194" i="24"/>
  <c r="N194" i="24"/>
  <c r="Q194" i="24"/>
  <c r="R194" i="24"/>
  <c r="W194" i="24"/>
  <c r="AB194" i="24"/>
  <c r="C195" i="24"/>
  <c r="N195" i="24"/>
  <c r="Q195" i="24"/>
  <c r="R195" i="24"/>
  <c r="W195" i="24"/>
  <c r="AB195" i="24"/>
  <c r="C196" i="24"/>
  <c r="N196" i="24"/>
  <c r="Q196" i="24"/>
  <c r="R196" i="24"/>
  <c r="W196" i="24"/>
  <c r="AB196" i="24"/>
  <c r="C197" i="24"/>
  <c r="N197" i="24"/>
  <c r="Q197" i="24"/>
  <c r="R197" i="24"/>
  <c r="W197" i="24"/>
  <c r="AB197" i="24"/>
  <c r="C198" i="24"/>
  <c r="N198" i="24"/>
  <c r="Q198" i="24"/>
  <c r="R198" i="24"/>
  <c r="W198" i="24"/>
  <c r="AB198" i="24"/>
  <c r="C199" i="24"/>
  <c r="N199" i="24"/>
  <c r="Q199" i="24"/>
  <c r="R199" i="24"/>
  <c r="W199" i="24"/>
  <c r="AB199" i="24"/>
  <c r="C200" i="24"/>
  <c r="N200" i="24"/>
  <c r="Q200" i="24"/>
  <c r="R200" i="24"/>
  <c r="W200" i="24"/>
  <c r="AB200" i="24"/>
  <c r="C201" i="24"/>
  <c r="N201" i="24"/>
  <c r="Q201" i="24"/>
  <c r="R201" i="24"/>
  <c r="W201" i="24"/>
  <c r="AB201" i="24"/>
  <c r="C202" i="24"/>
  <c r="N202" i="24"/>
  <c r="Q202" i="24"/>
  <c r="R202" i="24"/>
  <c r="W202" i="24"/>
  <c r="AB202" i="24"/>
  <c r="C203" i="24"/>
  <c r="N203" i="24"/>
  <c r="Q203" i="24"/>
  <c r="R203" i="24"/>
  <c r="W203" i="24"/>
  <c r="AB203" i="24"/>
  <c r="C204" i="24"/>
  <c r="N204" i="24"/>
  <c r="Q204" i="24"/>
  <c r="R204" i="24"/>
  <c r="W204" i="24"/>
  <c r="AB204" i="24"/>
  <c r="C205" i="24"/>
  <c r="N205" i="24"/>
  <c r="Q205" i="24"/>
  <c r="R205" i="24"/>
  <c r="W205" i="24"/>
  <c r="AB205" i="24"/>
  <c r="C206" i="24"/>
  <c r="N206" i="24"/>
  <c r="Q206" i="24"/>
  <c r="R206" i="24"/>
  <c r="W206" i="24"/>
  <c r="AB206" i="24"/>
  <c r="C207" i="24"/>
  <c r="N207" i="24"/>
  <c r="Q207" i="24"/>
  <c r="R207" i="24"/>
  <c r="W207" i="24"/>
  <c r="AB207" i="24"/>
  <c r="C208" i="24"/>
  <c r="N208" i="24"/>
  <c r="Q208" i="24"/>
  <c r="R208" i="24"/>
  <c r="W208" i="24"/>
  <c r="AB208" i="24"/>
  <c r="C209" i="24"/>
  <c r="N209" i="24"/>
  <c r="Q209" i="24"/>
  <c r="R209" i="24"/>
  <c r="W209" i="24"/>
  <c r="AB209" i="24"/>
  <c r="C210" i="24"/>
  <c r="N210" i="24"/>
  <c r="Q210" i="24"/>
  <c r="R210" i="24"/>
  <c r="W210" i="24"/>
  <c r="AB210" i="24"/>
  <c r="C211" i="24"/>
  <c r="N211" i="24"/>
  <c r="Q211" i="24"/>
  <c r="R211" i="24"/>
  <c r="W211" i="24"/>
  <c r="AB211" i="24"/>
  <c r="C212" i="24"/>
  <c r="N212" i="24"/>
  <c r="Q212" i="24"/>
  <c r="R212" i="24"/>
  <c r="W212" i="24"/>
  <c r="AB212" i="24"/>
  <c r="C213" i="24"/>
  <c r="N213" i="24"/>
  <c r="Q213" i="24"/>
  <c r="R213" i="24"/>
  <c r="W213" i="24"/>
  <c r="AB213" i="24"/>
  <c r="C214" i="24"/>
  <c r="N214" i="24"/>
  <c r="Q214" i="24"/>
  <c r="R214" i="24"/>
  <c r="W214" i="24"/>
  <c r="AB214" i="24"/>
  <c r="C215" i="24"/>
  <c r="N215" i="24"/>
  <c r="Q215" i="24"/>
  <c r="R215" i="24"/>
  <c r="W215" i="24"/>
  <c r="AB215" i="24"/>
  <c r="C216" i="24"/>
  <c r="N216" i="24"/>
  <c r="Q216" i="24"/>
  <c r="R216" i="24"/>
  <c r="W216" i="24"/>
  <c r="AB216" i="24"/>
  <c r="C217" i="24"/>
  <c r="N217" i="24"/>
  <c r="Q217" i="24"/>
  <c r="R217" i="24"/>
  <c r="W217" i="24"/>
  <c r="AB217" i="24"/>
  <c r="C218" i="24"/>
  <c r="N218" i="24"/>
  <c r="Q218" i="24"/>
  <c r="R218" i="24"/>
  <c r="W218" i="24"/>
  <c r="AB218" i="24"/>
  <c r="C219" i="24"/>
  <c r="N219" i="24"/>
  <c r="Q219" i="24"/>
  <c r="R219" i="24"/>
  <c r="W219" i="24"/>
  <c r="AB219" i="24"/>
  <c r="C220" i="24"/>
  <c r="N220" i="24"/>
  <c r="Q220" i="24"/>
  <c r="R220" i="24"/>
  <c r="W220" i="24"/>
  <c r="AB220" i="24"/>
  <c r="C221" i="24"/>
  <c r="N221" i="24"/>
  <c r="Q221" i="24"/>
  <c r="R221" i="24"/>
  <c r="W221" i="24"/>
  <c r="AB221" i="24"/>
  <c r="C222" i="24"/>
  <c r="N222" i="24"/>
  <c r="Q222" i="24"/>
  <c r="R222" i="24"/>
  <c r="W222" i="24"/>
  <c r="AB222" i="24"/>
  <c r="C223" i="24"/>
  <c r="N223" i="24"/>
  <c r="Q223" i="24"/>
  <c r="R223" i="24"/>
  <c r="W223" i="24"/>
  <c r="AB223" i="24"/>
  <c r="C224" i="24"/>
  <c r="N224" i="24"/>
  <c r="Q224" i="24"/>
  <c r="R224" i="24"/>
  <c r="W224" i="24"/>
  <c r="AB224" i="24"/>
  <c r="C225" i="24"/>
  <c r="N225" i="24"/>
  <c r="Q225" i="24"/>
  <c r="R225" i="24"/>
  <c r="W225" i="24"/>
  <c r="AB225" i="24"/>
  <c r="C226" i="24"/>
  <c r="N226" i="24"/>
  <c r="Q226" i="24"/>
  <c r="R226" i="24"/>
  <c r="W226" i="24"/>
  <c r="AB226" i="24"/>
  <c r="C227" i="24"/>
  <c r="N227" i="24"/>
  <c r="Q227" i="24"/>
  <c r="R227" i="24"/>
  <c r="W227" i="24"/>
  <c r="AB227" i="24"/>
  <c r="C228" i="24"/>
  <c r="N228" i="24"/>
  <c r="Q228" i="24"/>
  <c r="R228" i="24"/>
  <c r="W228" i="24"/>
  <c r="AB228" i="24"/>
  <c r="C229" i="24"/>
  <c r="N229" i="24"/>
  <c r="Q229" i="24"/>
  <c r="R229" i="24"/>
  <c r="W229" i="24"/>
  <c r="AB229" i="24"/>
  <c r="C230" i="24"/>
  <c r="N230" i="24"/>
  <c r="Q230" i="24"/>
  <c r="R230" i="24"/>
  <c r="W230" i="24"/>
  <c r="AB230" i="24"/>
  <c r="C231" i="24"/>
  <c r="N231" i="24"/>
  <c r="Q231" i="24"/>
  <c r="R231" i="24"/>
  <c r="W231" i="24"/>
  <c r="AB231" i="24"/>
  <c r="C232" i="24"/>
  <c r="N232" i="24"/>
  <c r="Q232" i="24"/>
  <c r="R232" i="24"/>
  <c r="W232" i="24"/>
  <c r="AB232" i="24"/>
  <c r="C233" i="24"/>
  <c r="N233" i="24"/>
  <c r="Q233" i="24"/>
  <c r="R233" i="24"/>
  <c r="W233" i="24"/>
  <c r="AB233" i="24"/>
  <c r="C234" i="24"/>
  <c r="N234" i="24"/>
  <c r="Q234" i="24"/>
  <c r="R234" i="24"/>
  <c r="W234" i="24"/>
  <c r="AB234" i="24"/>
  <c r="C235" i="24"/>
  <c r="N235" i="24"/>
  <c r="Q235" i="24"/>
  <c r="R235" i="24"/>
  <c r="W235" i="24"/>
  <c r="AB235" i="24"/>
  <c r="C236" i="24"/>
  <c r="N236" i="24"/>
  <c r="Q236" i="24"/>
  <c r="R236" i="24"/>
  <c r="W236" i="24"/>
  <c r="AB236" i="24"/>
  <c r="C237" i="24"/>
  <c r="N237" i="24"/>
  <c r="Q237" i="24"/>
  <c r="R237" i="24"/>
  <c r="W237" i="24"/>
  <c r="AB237" i="24"/>
  <c r="C238" i="24"/>
  <c r="N238" i="24"/>
  <c r="Q238" i="24"/>
  <c r="R238" i="24"/>
  <c r="W238" i="24"/>
  <c r="AB238" i="24"/>
  <c r="C239" i="24"/>
  <c r="N239" i="24"/>
  <c r="Q239" i="24"/>
  <c r="R239" i="24"/>
  <c r="W239" i="24"/>
  <c r="AB239" i="24"/>
  <c r="C240" i="24"/>
  <c r="N240" i="24"/>
  <c r="Q240" i="24"/>
  <c r="R240" i="24"/>
  <c r="W240" i="24"/>
  <c r="AB240" i="24"/>
  <c r="C241" i="24"/>
  <c r="N241" i="24"/>
  <c r="Q241" i="24"/>
  <c r="R241" i="24"/>
  <c r="W241" i="24"/>
  <c r="AB241" i="24"/>
  <c r="C242" i="24"/>
  <c r="N242" i="24"/>
  <c r="Q242" i="24"/>
  <c r="R242" i="24"/>
  <c r="W242" i="24"/>
  <c r="AB242" i="24"/>
  <c r="C243" i="24"/>
  <c r="N243" i="24"/>
  <c r="Q243" i="24"/>
  <c r="R243" i="24"/>
  <c r="W243" i="24"/>
  <c r="AB243" i="24"/>
  <c r="C244" i="24"/>
  <c r="N244" i="24"/>
  <c r="Q244" i="24"/>
  <c r="R244" i="24"/>
  <c r="W244" i="24"/>
  <c r="AB244" i="24"/>
  <c r="C245" i="24"/>
  <c r="N245" i="24"/>
  <c r="Q245" i="24"/>
  <c r="R245" i="24"/>
  <c r="W245" i="24"/>
  <c r="AB245" i="24"/>
  <c r="C246" i="24"/>
  <c r="N246" i="24"/>
  <c r="Q246" i="24"/>
  <c r="R246" i="24"/>
  <c r="W246" i="24"/>
  <c r="AB246" i="24"/>
  <c r="C247" i="24"/>
  <c r="N247" i="24"/>
  <c r="Q247" i="24"/>
  <c r="R247" i="24"/>
  <c r="W247" i="24"/>
  <c r="AB247" i="24"/>
  <c r="C248" i="24"/>
  <c r="N248" i="24"/>
  <c r="Q248" i="24"/>
  <c r="R248" i="24"/>
  <c r="W248" i="24"/>
  <c r="AB248" i="24"/>
  <c r="C249" i="24"/>
  <c r="N249" i="24"/>
  <c r="Q249" i="24"/>
  <c r="R249" i="24"/>
  <c r="W249" i="24"/>
  <c r="AB249" i="24"/>
  <c r="C250" i="24"/>
  <c r="N250" i="24"/>
  <c r="Q250" i="24"/>
  <c r="R250" i="24"/>
  <c r="W250" i="24"/>
  <c r="AB250" i="24"/>
  <c r="C251" i="24"/>
  <c r="N251" i="24"/>
  <c r="Q251" i="24"/>
  <c r="R251" i="24"/>
  <c r="W251" i="24"/>
  <c r="AB251" i="24"/>
  <c r="C252" i="24"/>
  <c r="N252" i="24"/>
  <c r="Q252" i="24"/>
  <c r="R252" i="24"/>
  <c r="W252" i="24"/>
  <c r="AB252" i="24"/>
  <c r="C253" i="24"/>
  <c r="N253" i="24"/>
  <c r="Q253" i="24"/>
  <c r="R253" i="24"/>
  <c r="W253" i="24"/>
  <c r="AB253" i="24"/>
  <c r="C254" i="24"/>
  <c r="N254" i="24"/>
  <c r="Q254" i="24"/>
  <c r="R254" i="24"/>
  <c r="W254" i="24"/>
  <c r="AB254" i="24"/>
  <c r="C255" i="24"/>
  <c r="N255" i="24"/>
  <c r="Q255" i="24"/>
  <c r="R255" i="24"/>
  <c r="W255" i="24"/>
  <c r="AB255" i="24"/>
  <c r="C256" i="24"/>
  <c r="N256" i="24"/>
  <c r="Q256" i="24"/>
  <c r="R256" i="24"/>
  <c r="W256" i="24"/>
  <c r="AB256" i="24"/>
  <c r="C257" i="24"/>
  <c r="N257" i="24"/>
  <c r="Q257" i="24"/>
  <c r="R257" i="24"/>
  <c r="W257" i="24"/>
  <c r="AB257" i="24"/>
  <c r="C258" i="24"/>
  <c r="N258" i="24"/>
  <c r="Q258" i="24"/>
  <c r="R258" i="24"/>
  <c r="W258" i="24"/>
  <c r="AB258" i="24"/>
  <c r="C259" i="24"/>
  <c r="N259" i="24"/>
  <c r="Q259" i="24"/>
  <c r="R259" i="24"/>
  <c r="W259" i="24"/>
  <c r="AB259" i="24"/>
  <c r="C260" i="24"/>
  <c r="N260" i="24"/>
  <c r="Q260" i="24"/>
  <c r="R260" i="24"/>
  <c r="W260" i="24"/>
  <c r="AB260" i="24"/>
  <c r="C261" i="24"/>
  <c r="N261" i="24"/>
  <c r="Q261" i="24"/>
  <c r="R261" i="24"/>
  <c r="W261" i="24"/>
  <c r="AB261" i="24"/>
  <c r="C262" i="24"/>
  <c r="N262" i="24"/>
  <c r="Q262" i="24"/>
  <c r="R262" i="24"/>
  <c r="W262" i="24"/>
  <c r="AB262" i="24"/>
  <c r="C263" i="24"/>
  <c r="N263" i="24"/>
  <c r="Q263" i="24"/>
  <c r="R263" i="24"/>
  <c r="W263" i="24"/>
  <c r="AB263" i="24"/>
  <c r="C264" i="24"/>
  <c r="N264" i="24"/>
  <c r="Q264" i="24"/>
  <c r="R264" i="24"/>
  <c r="W264" i="24"/>
  <c r="AB264" i="24"/>
  <c r="C265" i="24"/>
  <c r="N265" i="24"/>
  <c r="Q265" i="24"/>
  <c r="R265" i="24"/>
  <c r="W265" i="24"/>
  <c r="AB265" i="24"/>
  <c r="C266" i="24"/>
  <c r="N266" i="24"/>
  <c r="Q266" i="24"/>
  <c r="R266" i="24"/>
  <c r="W266" i="24"/>
  <c r="AB266" i="24"/>
  <c r="C267" i="24"/>
  <c r="N267" i="24"/>
  <c r="Q267" i="24"/>
  <c r="R267" i="24"/>
  <c r="W267" i="24"/>
  <c r="AB267" i="24"/>
  <c r="C268" i="24"/>
  <c r="N268" i="24"/>
  <c r="Q268" i="24"/>
  <c r="R268" i="24"/>
  <c r="W268" i="24"/>
  <c r="AB268" i="24"/>
  <c r="C269" i="24"/>
  <c r="N269" i="24"/>
  <c r="Q269" i="24"/>
  <c r="R269" i="24"/>
  <c r="W269" i="24"/>
  <c r="AB269" i="24"/>
  <c r="C270" i="24"/>
  <c r="N270" i="24"/>
  <c r="Q270" i="24"/>
  <c r="R270" i="24"/>
  <c r="W270" i="24"/>
  <c r="AB270" i="24"/>
  <c r="C271" i="24"/>
  <c r="N271" i="24"/>
  <c r="Q271" i="24"/>
  <c r="R271" i="24"/>
  <c r="W271" i="24"/>
  <c r="AB271" i="24"/>
  <c r="C272" i="24"/>
  <c r="N272" i="24"/>
  <c r="Q272" i="24"/>
  <c r="R272" i="24"/>
  <c r="W272" i="24"/>
  <c r="AB272" i="24"/>
  <c r="C273" i="24"/>
  <c r="N273" i="24"/>
  <c r="Q273" i="24"/>
  <c r="R273" i="24"/>
  <c r="W273" i="24"/>
  <c r="AB273" i="24"/>
  <c r="C274" i="24"/>
  <c r="N274" i="24"/>
  <c r="Q274" i="24"/>
  <c r="R274" i="24"/>
  <c r="W274" i="24"/>
  <c r="AB274" i="24"/>
  <c r="C275" i="24"/>
  <c r="N275" i="24"/>
  <c r="Q275" i="24"/>
  <c r="R275" i="24"/>
  <c r="W275" i="24"/>
  <c r="AB275" i="24"/>
  <c r="C276" i="24"/>
  <c r="N276" i="24"/>
  <c r="Q276" i="24"/>
  <c r="R276" i="24"/>
  <c r="W276" i="24"/>
  <c r="AB276" i="24"/>
  <c r="C277" i="24"/>
  <c r="N277" i="24"/>
  <c r="Q277" i="24"/>
  <c r="R277" i="24"/>
  <c r="W277" i="24"/>
  <c r="AB277" i="24"/>
  <c r="C278" i="24"/>
  <c r="N278" i="24"/>
  <c r="Q278" i="24"/>
  <c r="R278" i="24"/>
  <c r="W278" i="24"/>
  <c r="AB278" i="24"/>
  <c r="C279" i="24"/>
  <c r="N279" i="24"/>
  <c r="Q279" i="24"/>
  <c r="R279" i="24"/>
  <c r="W279" i="24"/>
  <c r="AB279" i="24"/>
  <c r="C280" i="24"/>
  <c r="N280" i="24"/>
  <c r="Q280" i="24"/>
  <c r="R280" i="24"/>
  <c r="W280" i="24"/>
  <c r="AB280" i="24"/>
  <c r="C281" i="24"/>
  <c r="N281" i="24"/>
  <c r="Q281" i="24"/>
  <c r="R281" i="24"/>
  <c r="W281" i="24"/>
  <c r="AB281" i="24"/>
  <c r="C282" i="24"/>
  <c r="N282" i="24"/>
  <c r="Q282" i="24"/>
  <c r="R282" i="24"/>
  <c r="W282" i="24"/>
  <c r="AB282" i="24"/>
  <c r="C283" i="24"/>
  <c r="N283" i="24"/>
  <c r="Q283" i="24"/>
  <c r="R283" i="24"/>
  <c r="W283" i="24"/>
  <c r="AB283" i="24"/>
  <c r="C284" i="24"/>
  <c r="N284" i="24"/>
  <c r="Q284" i="24"/>
  <c r="R284" i="24"/>
  <c r="W284" i="24"/>
  <c r="AB284" i="24"/>
  <c r="C285" i="24"/>
  <c r="N285" i="24"/>
  <c r="Q285" i="24"/>
  <c r="R285" i="24"/>
  <c r="W285" i="24"/>
  <c r="AB285" i="24"/>
  <c r="C286" i="24"/>
  <c r="N286" i="24"/>
  <c r="Q286" i="24"/>
  <c r="R286" i="24"/>
  <c r="W286" i="24"/>
  <c r="AB286" i="24"/>
  <c r="C287" i="24"/>
  <c r="N287" i="24"/>
  <c r="Q287" i="24"/>
  <c r="R287" i="24"/>
  <c r="W287" i="24"/>
  <c r="AB287" i="24"/>
  <c r="C288" i="24"/>
  <c r="N288" i="24"/>
  <c r="Q288" i="24"/>
  <c r="R288" i="24"/>
  <c r="W288" i="24"/>
  <c r="AB288" i="24"/>
  <c r="C289" i="24"/>
  <c r="N289" i="24"/>
  <c r="Q289" i="24"/>
  <c r="R289" i="24"/>
  <c r="W289" i="24"/>
  <c r="AB289" i="24"/>
  <c r="C290" i="24"/>
  <c r="N290" i="24"/>
  <c r="Q290" i="24"/>
  <c r="R290" i="24"/>
  <c r="W290" i="24"/>
  <c r="AB290" i="24"/>
  <c r="C291" i="24"/>
  <c r="N291" i="24"/>
  <c r="Q291" i="24"/>
  <c r="R291" i="24"/>
  <c r="W291" i="24"/>
  <c r="AB291" i="24"/>
  <c r="C292" i="24"/>
  <c r="N292" i="24"/>
  <c r="Q292" i="24"/>
  <c r="R292" i="24"/>
  <c r="W292" i="24"/>
  <c r="AB292" i="24"/>
  <c r="C293" i="24"/>
  <c r="N293" i="24"/>
  <c r="Q293" i="24"/>
  <c r="R293" i="24"/>
  <c r="W293" i="24"/>
  <c r="AB293" i="24"/>
  <c r="C294" i="24"/>
  <c r="N294" i="24"/>
  <c r="Q294" i="24"/>
  <c r="R294" i="24"/>
  <c r="W294" i="24"/>
  <c r="AB294" i="24"/>
  <c r="C295" i="24"/>
  <c r="N295" i="24"/>
  <c r="Q295" i="24"/>
  <c r="R295" i="24"/>
  <c r="W295" i="24"/>
  <c r="AB295" i="24"/>
  <c r="C296" i="24"/>
  <c r="N296" i="24"/>
  <c r="Q296" i="24"/>
  <c r="R296" i="24"/>
  <c r="W296" i="24"/>
  <c r="AB296" i="24"/>
  <c r="C297" i="24"/>
  <c r="N297" i="24"/>
  <c r="Q297" i="24"/>
  <c r="R297" i="24"/>
  <c r="W297" i="24"/>
  <c r="AB297" i="24"/>
  <c r="C298" i="24"/>
  <c r="N298" i="24"/>
  <c r="Q298" i="24"/>
  <c r="R298" i="24"/>
  <c r="W298" i="24"/>
  <c r="AB298" i="24"/>
  <c r="C299" i="24"/>
  <c r="N299" i="24"/>
  <c r="Q299" i="24"/>
  <c r="R299" i="24"/>
  <c r="W299" i="24"/>
  <c r="AB299" i="24"/>
  <c r="C300" i="24"/>
  <c r="N300" i="24"/>
  <c r="Q300" i="24"/>
  <c r="R300" i="24"/>
  <c r="W300" i="24"/>
  <c r="AB300" i="24"/>
  <c r="C301" i="24"/>
  <c r="N301" i="24"/>
  <c r="Q301" i="24"/>
  <c r="R301" i="24"/>
  <c r="W301" i="24"/>
  <c r="AB301" i="24"/>
  <c r="C302" i="24"/>
  <c r="N302" i="24"/>
  <c r="Q302" i="24"/>
  <c r="R302" i="24"/>
  <c r="W302" i="24"/>
  <c r="AB302" i="24"/>
  <c r="C303" i="24"/>
  <c r="N303" i="24"/>
  <c r="Q303" i="24"/>
  <c r="R303" i="24"/>
  <c r="W303" i="24"/>
  <c r="AB303" i="24"/>
  <c r="C304" i="24"/>
  <c r="N304" i="24"/>
  <c r="Q304" i="24"/>
  <c r="R304" i="24"/>
  <c r="W304" i="24"/>
  <c r="AB304" i="24"/>
  <c r="C305" i="24"/>
  <c r="N305" i="24"/>
  <c r="Q305" i="24"/>
  <c r="R305" i="24"/>
  <c r="W305" i="24"/>
  <c r="AB305" i="24"/>
  <c r="C306" i="24"/>
  <c r="N306" i="24"/>
  <c r="Q306" i="24"/>
  <c r="R306" i="24"/>
  <c r="W306" i="24"/>
  <c r="AB306" i="24"/>
  <c r="C307" i="24"/>
  <c r="N307" i="24"/>
  <c r="Q307" i="24"/>
  <c r="R307" i="24"/>
  <c r="W307" i="24"/>
  <c r="AB307" i="24"/>
  <c r="C308" i="24"/>
  <c r="N308" i="24"/>
  <c r="Q308" i="24"/>
  <c r="R308" i="24"/>
  <c r="W308" i="24"/>
  <c r="AB308" i="24"/>
  <c r="C309" i="24"/>
  <c r="N309" i="24"/>
  <c r="Q309" i="24"/>
  <c r="R309" i="24"/>
  <c r="W309" i="24"/>
  <c r="AB309" i="24"/>
  <c r="C310" i="24"/>
  <c r="N310" i="24"/>
  <c r="Q310" i="24"/>
  <c r="R310" i="24"/>
  <c r="W310" i="24"/>
  <c r="AB310" i="24"/>
  <c r="C311" i="24"/>
  <c r="N311" i="24"/>
  <c r="Q311" i="24"/>
  <c r="R311" i="24"/>
  <c r="W311" i="24"/>
  <c r="AB311" i="24"/>
  <c r="C312" i="24"/>
  <c r="N312" i="24"/>
  <c r="Q312" i="24"/>
  <c r="R312" i="24"/>
  <c r="W312" i="24"/>
  <c r="AB312" i="24"/>
  <c r="C313" i="24"/>
  <c r="N313" i="24"/>
  <c r="Q313" i="24"/>
  <c r="R313" i="24"/>
  <c r="W313" i="24"/>
  <c r="AB313" i="24"/>
  <c r="C314" i="24"/>
  <c r="N314" i="24"/>
  <c r="Q314" i="24"/>
  <c r="R314" i="24"/>
  <c r="W314" i="24"/>
  <c r="AB314" i="24"/>
  <c r="C315" i="24"/>
  <c r="N315" i="24"/>
  <c r="Q315" i="24"/>
  <c r="R315" i="24"/>
  <c r="W315" i="24"/>
  <c r="AB315" i="24"/>
  <c r="C316" i="24"/>
  <c r="N316" i="24"/>
  <c r="Q316" i="24"/>
  <c r="R316" i="24"/>
  <c r="W316" i="24"/>
  <c r="AB316" i="24"/>
  <c r="C317" i="24"/>
  <c r="N317" i="24"/>
  <c r="Q317" i="24"/>
  <c r="R317" i="24"/>
  <c r="W317" i="24"/>
  <c r="AB317" i="24"/>
  <c r="C318" i="24"/>
  <c r="N318" i="24"/>
  <c r="Q318" i="24"/>
  <c r="R318" i="24"/>
  <c r="W318" i="24"/>
  <c r="AB318" i="24"/>
  <c r="C319" i="24"/>
  <c r="N319" i="24"/>
  <c r="Q319" i="24"/>
  <c r="R319" i="24"/>
  <c r="W319" i="24"/>
  <c r="AB319" i="24"/>
  <c r="C320" i="24"/>
  <c r="N320" i="24"/>
  <c r="Q320" i="24"/>
  <c r="R320" i="24"/>
  <c r="W320" i="24"/>
  <c r="AB320" i="24"/>
  <c r="C321" i="24"/>
  <c r="N321" i="24"/>
  <c r="Q321" i="24"/>
  <c r="R321" i="24"/>
  <c r="W321" i="24"/>
  <c r="AB321" i="24"/>
  <c r="C322" i="24"/>
  <c r="N322" i="24"/>
  <c r="Q322" i="24"/>
  <c r="R322" i="24"/>
  <c r="W322" i="24"/>
  <c r="AB322" i="24"/>
  <c r="C323" i="24"/>
  <c r="N323" i="24"/>
  <c r="Q323" i="24"/>
  <c r="R323" i="24"/>
  <c r="W323" i="24"/>
  <c r="AB323" i="24"/>
  <c r="C324" i="24"/>
  <c r="N324" i="24"/>
  <c r="Q324" i="24"/>
  <c r="R324" i="24"/>
  <c r="W324" i="24"/>
  <c r="AB324" i="24"/>
  <c r="C325" i="24"/>
  <c r="N325" i="24"/>
  <c r="Q325" i="24"/>
  <c r="R325" i="24"/>
  <c r="W325" i="24"/>
  <c r="AB325" i="24"/>
  <c r="C328" i="24"/>
  <c r="N328" i="24"/>
  <c r="Q328" i="24"/>
  <c r="R328" i="24"/>
  <c r="W328" i="24"/>
  <c r="AB328" i="24"/>
  <c r="C329" i="24"/>
  <c r="N329" i="24"/>
  <c r="Q329" i="24"/>
  <c r="R329" i="24"/>
  <c r="W329" i="24"/>
  <c r="AB329" i="24"/>
  <c r="C330" i="24"/>
  <c r="N330" i="24"/>
  <c r="Q330" i="24"/>
  <c r="R330" i="24"/>
  <c r="W330" i="24"/>
  <c r="AB330" i="24"/>
  <c r="C331" i="24"/>
  <c r="N331" i="24"/>
  <c r="Q331" i="24"/>
  <c r="R331" i="24"/>
  <c r="W331" i="24"/>
  <c r="AB331" i="24"/>
  <c r="C332" i="24"/>
  <c r="N332" i="24"/>
  <c r="Q332" i="24"/>
  <c r="R332" i="24"/>
  <c r="W332" i="24"/>
  <c r="AB332" i="24"/>
  <c r="C333" i="24"/>
  <c r="N333" i="24"/>
  <c r="Q333" i="24"/>
  <c r="R333" i="24"/>
  <c r="W333" i="24"/>
  <c r="AB333" i="24"/>
  <c r="C334" i="24"/>
  <c r="N334" i="24"/>
  <c r="Q334" i="24"/>
  <c r="R334" i="24"/>
  <c r="W334" i="24"/>
  <c r="AB334" i="24"/>
  <c r="C335" i="24"/>
  <c r="N335" i="24"/>
  <c r="Q335" i="24"/>
  <c r="R335" i="24"/>
  <c r="W335" i="24"/>
  <c r="AB335" i="24"/>
  <c r="C336" i="24"/>
  <c r="N336" i="24"/>
  <c r="Q336" i="24"/>
  <c r="R336" i="24"/>
  <c r="W336" i="24"/>
  <c r="AB336" i="24"/>
  <c r="C337" i="24"/>
  <c r="N337" i="24"/>
  <c r="Q337" i="24"/>
  <c r="R337" i="24"/>
  <c r="W337" i="24"/>
  <c r="AB337" i="24"/>
  <c r="C338" i="24"/>
  <c r="N338" i="24"/>
  <c r="Q338" i="24"/>
  <c r="R338" i="24"/>
  <c r="W338" i="24"/>
  <c r="AB338" i="24"/>
  <c r="C339" i="24"/>
  <c r="N339" i="24"/>
  <c r="Q339" i="24"/>
  <c r="R339" i="24"/>
  <c r="W339" i="24"/>
  <c r="AB339" i="24"/>
  <c r="C340" i="24"/>
  <c r="N340" i="24"/>
  <c r="Q340" i="24"/>
  <c r="R340" i="24"/>
  <c r="W340" i="24"/>
  <c r="AB340" i="24"/>
  <c r="C341" i="24"/>
  <c r="N341" i="24"/>
  <c r="Q341" i="24"/>
  <c r="R341" i="24"/>
  <c r="W341" i="24"/>
  <c r="AB341" i="24"/>
  <c r="C342" i="24"/>
  <c r="N342" i="24"/>
  <c r="Q342" i="24"/>
  <c r="R342" i="24"/>
  <c r="W342" i="24"/>
  <c r="AB342" i="24"/>
  <c r="C343" i="24"/>
  <c r="N343" i="24"/>
  <c r="Q343" i="24"/>
  <c r="R343" i="24"/>
  <c r="W343" i="24"/>
  <c r="AB343" i="24"/>
  <c r="C344" i="24"/>
  <c r="N344" i="24"/>
  <c r="Q344" i="24"/>
  <c r="R344" i="24"/>
  <c r="W344" i="24"/>
  <c r="AB344" i="24"/>
  <c r="C345" i="24"/>
  <c r="N345" i="24"/>
  <c r="Q345" i="24"/>
  <c r="R345" i="24"/>
  <c r="W345" i="24"/>
  <c r="AB345" i="24"/>
  <c r="C346" i="24"/>
  <c r="N346" i="24"/>
  <c r="Q346" i="24"/>
  <c r="R346" i="24"/>
  <c r="W346" i="24"/>
  <c r="AB346" i="24"/>
  <c r="C347" i="24"/>
  <c r="N347" i="24"/>
  <c r="Q347" i="24"/>
  <c r="R347" i="24"/>
  <c r="W347" i="24"/>
  <c r="AB347" i="24"/>
  <c r="C348" i="24"/>
  <c r="N348" i="24"/>
  <c r="Q348" i="24"/>
  <c r="R348" i="24"/>
  <c r="W348" i="24"/>
  <c r="AB348" i="24"/>
  <c r="C349" i="24"/>
  <c r="N349" i="24"/>
  <c r="Q349" i="24"/>
  <c r="R349" i="24"/>
  <c r="W349" i="24"/>
  <c r="AB349" i="24"/>
  <c r="C350" i="24"/>
  <c r="N350" i="24"/>
  <c r="Q350" i="24"/>
  <c r="R350" i="24"/>
  <c r="W350" i="24"/>
  <c r="AB350" i="24"/>
  <c r="C351" i="24"/>
  <c r="N351" i="24"/>
  <c r="Q351" i="24"/>
  <c r="R351" i="24"/>
  <c r="W351" i="24"/>
  <c r="AB351" i="24"/>
  <c r="C352" i="24"/>
  <c r="N352" i="24"/>
  <c r="Q352" i="24"/>
  <c r="R352" i="24"/>
  <c r="W352" i="24"/>
  <c r="AB352" i="24"/>
  <c r="C355" i="24"/>
  <c r="N355" i="24"/>
  <c r="Q355" i="24"/>
  <c r="R355" i="24"/>
  <c r="W355" i="24"/>
  <c r="AB355" i="24"/>
  <c r="C356" i="24"/>
  <c r="N356" i="24"/>
  <c r="Q356" i="24"/>
  <c r="R356" i="24"/>
  <c r="W356" i="24"/>
  <c r="AB356" i="24"/>
  <c r="C357" i="24"/>
  <c r="N357" i="24"/>
  <c r="Q357" i="24"/>
  <c r="R357" i="24"/>
  <c r="W357" i="24"/>
  <c r="AB357" i="24"/>
  <c r="C358" i="24"/>
  <c r="N358" i="24"/>
  <c r="Q358" i="24"/>
  <c r="R358" i="24"/>
  <c r="W358" i="24"/>
  <c r="AB358" i="24"/>
  <c r="C359" i="24"/>
  <c r="N359" i="24"/>
  <c r="Q359" i="24"/>
  <c r="R359" i="24"/>
  <c r="W359" i="24"/>
  <c r="AB359" i="24"/>
  <c r="C360" i="24"/>
  <c r="N360" i="24"/>
  <c r="Q360" i="24"/>
  <c r="R360" i="24"/>
  <c r="W360" i="24"/>
  <c r="AB360" i="24"/>
  <c r="C361" i="24"/>
  <c r="N361" i="24"/>
  <c r="Q361" i="24"/>
  <c r="R361" i="24"/>
  <c r="W361" i="24"/>
  <c r="AB361" i="24"/>
  <c r="C362" i="24"/>
  <c r="N362" i="24"/>
  <c r="Q362" i="24"/>
  <c r="R362" i="24"/>
  <c r="W362" i="24"/>
  <c r="AB362" i="24"/>
  <c r="C363" i="24"/>
  <c r="N363" i="24"/>
  <c r="Q363" i="24"/>
  <c r="R363" i="24"/>
  <c r="W363" i="24"/>
  <c r="AB363" i="24"/>
  <c r="C364" i="24"/>
  <c r="N364" i="24"/>
  <c r="Q364" i="24"/>
  <c r="R364" i="24"/>
  <c r="W364" i="24"/>
  <c r="AB364" i="24"/>
  <c r="C365" i="24"/>
  <c r="N365" i="24"/>
  <c r="Q365" i="24"/>
  <c r="R365" i="24"/>
  <c r="W365" i="24"/>
  <c r="AB365" i="24"/>
  <c r="C366" i="24"/>
  <c r="N366" i="24"/>
  <c r="Q366" i="24"/>
  <c r="R366" i="24"/>
  <c r="W366" i="24"/>
  <c r="AB366" i="24"/>
  <c r="C367" i="24"/>
  <c r="N367" i="24"/>
  <c r="Q367" i="24"/>
  <c r="R367" i="24"/>
  <c r="W367" i="24"/>
  <c r="AB367" i="24"/>
  <c r="C368" i="24"/>
  <c r="N368" i="24"/>
  <c r="Q368" i="24"/>
  <c r="R368" i="24"/>
  <c r="W368" i="24"/>
  <c r="AB368" i="24"/>
  <c r="C369" i="24"/>
  <c r="N369" i="24"/>
  <c r="Q369" i="24"/>
  <c r="R369" i="24"/>
  <c r="W369" i="24"/>
  <c r="AB369" i="24"/>
  <c r="C370" i="24"/>
  <c r="N370" i="24"/>
  <c r="Q370" i="24"/>
  <c r="R370" i="24"/>
  <c r="W370" i="24"/>
  <c r="AB370" i="24"/>
  <c r="C371" i="24"/>
  <c r="N371" i="24"/>
  <c r="Q371" i="24"/>
  <c r="R371" i="24"/>
  <c r="W371" i="24"/>
  <c r="AB371" i="24"/>
  <c r="C372" i="24"/>
  <c r="N372" i="24"/>
  <c r="Q372" i="24"/>
  <c r="R372" i="24"/>
  <c r="W372" i="24"/>
  <c r="AB372" i="24"/>
  <c r="C373" i="24"/>
  <c r="N373" i="24"/>
  <c r="Q373" i="24"/>
  <c r="R373" i="24"/>
  <c r="W373" i="24"/>
  <c r="AB373" i="24"/>
  <c r="C374" i="24"/>
  <c r="N374" i="24"/>
  <c r="Q374" i="24"/>
  <c r="R374" i="24"/>
  <c r="W374" i="24"/>
  <c r="AB374" i="24"/>
  <c r="C375" i="24"/>
  <c r="N375" i="24"/>
  <c r="Q375" i="24"/>
  <c r="R375" i="24"/>
  <c r="W375" i="24"/>
  <c r="AB375" i="24"/>
  <c r="C376" i="24"/>
  <c r="N376" i="24"/>
  <c r="Q376" i="24"/>
  <c r="R376" i="24"/>
  <c r="W376" i="24"/>
  <c r="AB376" i="24"/>
  <c r="C377" i="24"/>
  <c r="N377" i="24"/>
  <c r="Q377" i="24"/>
  <c r="R377" i="24"/>
  <c r="W377" i="24"/>
  <c r="AB377" i="24"/>
  <c r="C378" i="24"/>
  <c r="N378" i="24"/>
  <c r="Q378" i="24"/>
  <c r="R378" i="24"/>
  <c r="W378" i="24"/>
  <c r="AB378" i="24"/>
  <c r="C379" i="24"/>
  <c r="N379" i="24"/>
  <c r="Q379" i="24"/>
  <c r="R379" i="24"/>
  <c r="W379" i="24"/>
  <c r="AB379" i="24"/>
  <c r="C380" i="24"/>
  <c r="N380" i="24"/>
  <c r="Q380" i="24"/>
  <c r="R380" i="24"/>
  <c r="W380" i="24"/>
  <c r="AB380" i="24"/>
  <c r="C381" i="24"/>
  <c r="N381" i="24"/>
  <c r="Q381" i="24"/>
  <c r="R381" i="24"/>
  <c r="W381" i="24"/>
  <c r="AB381" i="24"/>
  <c r="C382" i="24"/>
  <c r="N382" i="24"/>
  <c r="Q382" i="24"/>
  <c r="R382" i="24"/>
  <c r="W382" i="24"/>
  <c r="AB382" i="24"/>
  <c r="C383" i="24"/>
  <c r="N383" i="24"/>
  <c r="Q383" i="24"/>
  <c r="R383" i="24"/>
  <c r="W383" i="24"/>
  <c r="AB383" i="24"/>
  <c r="C384" i="24"/>
  <c r="N384" i="24"/>
  <c r="Q384" i="24"/>
  <c r="R384" i="24"/>
  <c r="W384" i="24"/>
  <c r="AB384" i="24"/>
  <c r="C385" i="24"/>
  <c r="N385" i="24"/>
  <c r="Q385" i="24"/>
  <c r="R385" i="24"/>
  <c r="W385" i="24"/>
  <c r="AB385" i="24"/>
  <c r="C386" i="24"/>
  <c r="N386" i="24"/>
  <c r="Q386" i="24"/>
  <c r="R386" i="24"/>
  <c r="W386" i="24"/>
  <c r="AB386" i="24"/>
  <c r="C387" i="24"/>
  <c r="N387" i="24"/>
  <c r="Q387" i="24"/>
  <c r="R387" i="24"/>
  <c r="W387" i="24"/>
  <c r="AB387" i="24"/>
  <c r="C388" i="24"/>
  <c r="N388" i="24"/>
  <c r="Q388" i="24"/>
  <c r="R388" i="24"/>
  <c r="W388" i="24"/>
  <c r="AB388" i="24"/>
  <c r="C389" i="24"/>
  <c r="N389" i="24"/>
  <c r="Q389" i="24"/>
  <c r="R389" i="24"/>
  <c r="W389" i="24"/>
  <c r="AB389" i="24"/>
  <c r="C390" i="24"/>
  <c r="N390" i="24"/>
  <c r="Q390" i="24"/>
  <c r="R390" i="24"/>
  <c r="W390" i="24"/>
  <c r="AB390" i="24"/>
  <c r="C391" i="24"/>
  <c r="N391" i="24"/>
  <c r="Q391" i="24"/>
  <c r="R391" i="24"/>
  <c r="W391" i="24"/>
  <c r="AB391" i="24"/>
  <c r="C392" i="24"/>
  <c r="N392" i="24"/>
  <c r="Q392" i="24"/>
  <c r="R392" i="24"/>
  <c r="W392" i="24"/>
  <c r="AB392" i="24"/>
  <c r="C393" i="24"/>
  <c r="N393" i="24"/>
  <c r="Q393" i="24"/>
  <c r="R393" i="24"/>
  <c r="W393" i="24"/>
  <c r="AB393" i="24"/>
  <c r="C394" i="24"/>
  <c r="N394" i="24"/>
  <c r="Q394" i="24"/>
  <c r="R394" i="24"/>
  <c r="W394" i="24"/>
  <c r="AB394" i="24"/>
  <c r="C395" i="24"/>
  <c r="N395" i="24"/>
  <c r="Q395" i="24"/>
  <c r="R395" i="24"/>
  <c r="W395" i="24"/>
  <c r="AB395" i="24"/>
  <c r="C396" i="24"/>
  <c r="N396" i="24"/>
  <c r="Q396" i="24"/>
  <c r="R396" i="24"/>
  <c r="W396" i="24"/>
  <c r="AB396" i="24"/>
  <c r="C397" i="24"/>
  <c r="N397" i="24"/>
  <c r="Q397" i="24"/>
  <c r="R397" i="24"/>
  <c r="W397" i="24"/>
  <c r="AB397" i="24"/>
  <c r="C400" i="24"/>
  <c r="N400" i="24"/>
  <c r="Q400" i="24"/>
  <c r="R400" i="24"/>
  <c r="W400" i="24"/>
  <c r="AB400" i="24"/>
  <c r="C401" i="24"/>
  <c r="N401" i="24"/>
  <c r="Q401" i="24"/>
  <c r="R401" i="24"/>
  <c r="W401" i="24"/>
  <c r="AB401" i="24"/>
  <c r="C402" i="24"/>
  <c r="N402" i="24"/>
  <c r="Q402" i="24"/>
  <c r="R402" i="24"/>
  <c r="W402" i="24"/>
  <c r="AB402" i="24"/>
  <c r="C403" i="24"/>
  <c r="N403" i="24"/>
  <c r="Q403" i="24"/>
  <c r="R403" i="24"/>
  <c r="W403" i="24"/>
  <c r="AB403" i="24"/>
  <c r="C404" i="24"/>
  <c r="N404" i="24"/>
  <c r="Q404" i="24"/>
  <c r="R404" i="24"/>
  <c r="W404" i="24"/>
  <c r="AB404" i="24"/>
  <c r="C405" i="24"/>
  <c r="N405" i="24"/>
  <c r="Q405" i="24"/>
  <c r="R405" i="24"/>
  <c r="W405" i="24"/>
  <c r="AB405" i="24"/>
  <c r="C406" i="24"/>
  <c r="N406" i="24"/>
  <c r="Q406" i="24"/>
  <c r="R406" i="24"/>
  <c r="W406" i="24"/>
  <c r="AB406" i="24"/>
  <c r="C407" i="24"/>
  <c r="N407" i="24"/>
  <c r="Q407" i="24"/>
  <c r="R407" i="24"/>
  <c r="W407" i="24"/>
  <c r="AB407" i="24"/>
  <c r="C408" i="24"/>
  <c r="N408" i="24"/>
  <c r="Q408" i="24"/>
  <c r="R408" i="24"/>
  <c r="W408" i="24"/>
  <c r="AB408" i="24"/>
  <c r="C409" i="24"/>
  <c r="N409" i="24"/>
  <c r="Q409" i="24"/>
  <c r="R409" i="24"/>
  <c r="W409" i="24"/>
  <c r="AB409" i="24"/>
  <c r="C410" i="24"/>
  <c r="N410" i="24"/>
  <c r="Q410" i="24"/>
  <c r="R410" i="24"/>
  <c r="W410" i="24"/>
  <c r="AB410" i="24"/>
  <c r="C411" i="24"/>
  <c r="N411" i="24"/>
  <c r="Q411" i="24"/>
  <c r="R411" i="24"/>
  <c r="W411" i="24"/>
  <c r="AB411" i="24"/>
  <c r="C412" i="24"/>
  <c r="N412" i="24"/>
  <c r="Q412" i="24"/>
  <c r="R412" i="24"/>
  <c r="W412" i="24"/>
  <c r="AB412" i="24"/>
  <c r="C413" i="24"/>
  <c r="N413" i="24"/>
  <c r="Q413" i="24"/>
  <c r="R413" i="24"/>
  <c r="W413" i="24"/>
  <c r="AB413" i="24"/>
  <c r="C414" i="24"/>
  <c r="N414" i="24"/>
  <c r="Q414" i="24"/>
  <c r="R414" i="24"/>
  <c r="W414" i="24"/>
  <c r="AB414" i="24"/>
  <c r="C415" i="24"/>
  <c r="N415" i="24"/>
  <c r="Q415" i="24"/>
  <c r="R415" i="24"/>
  <c r="W415" i="24"/>
  <c r="AB415" i="24"/>
  <c r="C416" i="24"/>
  <c r="N416" i="24"/>
  <c r="Q416" i="24"/>
  <c r="R416" i="24"/>
  <c r="W416" i="24"/>
  <c r="AB416" i="24"/>
  <c r="C417" i="24"/>
  <c r="N417" i="24"/>
  <c r="Q417" i="24"/>
  <c r="R417" i="24"/>
  <c r="W417" i="24"/>
  <c r="AB417" i="24"/>
  <c r="C418" i="24"/>
  <c r="N418" i="24"/>
  <c r="Q418" i="24"/>
  <c r="R418" i="24"/>
  <c r="W418" i="24"/>
  <c r="AB418" i="24"/>
  <c r="C419" i="24"/>
  <c r="N419" i="24"/>
  <c r="Q419" i="24"/>
  <c r="R419" i="24"/>
  <c r="W419" i="24"/>
  <c r="AB419" i="24"/>
  <c r="C420" i="24"/>
  <c r="N420" i="24"/>
  <c r="Q420" i="24"/>
  <c r="R420" i="24"/>
  <c r="W420" i="24"/>
  <c r="AB420" i="24"/>
  <c r="C421" i="24"/>
  <c r="N421" i="24"/>
  <c r="Q421" i="24"/>
  <c r="R421" i="24"/>
  <c r="W421" i="24"/>
  <c r="AB421" i="24"/>
  <c r="C422" i="24"/>
  <c r="N422" i="24"/>
  <c r="Q422" i="24"/>
  <c r="R422" i="24"/>
  <c r="W422" i="24"/>
  <c r="AB422" i="24"/>
  <c r="C423" i="24"/>
  <c r="N423" i="24"/>
  <c r="Q423" i="24"/>
  <c r="R423" i="24"/>
  <c r="W423" i="24"/>
  <c r="AB423" i="24"/>
  <c r="C424" i="24"/>
  <c r="N424" i="24"/>
  <c r="Q424" i="24"/>
  <c r="R424" i="24"/>
  <c r="W424" i="24"/>
  <c r="AB424" i="24"/>
  <c r="C425" i="24"/>
  <c r="N425" i="24"/>
  <c r="Q425" i="24"/>
  <c r="R425" i="24"/>
  <c r="W425" i="24"/>
  <c r="AB425" i="24"/>
  <c r="C426" i="24"/>
  <c r="N426" i="24"/>
  <c r="Q426" i="24"/>
  <c r="R426" i="24"/>
  <c r="W426" i="24"/>
  <c r="AB426" i="24"/>
  <c r="C427" i="24"/>
  <c r="N427" i="24"/>
  <c r="Q427" i="24"/>
  <c r="R427" i="24"/>
  <c r="W427" i="24"/>
  <c r="AB427" i="24"/>
  <c r="C428" i="24"/>
  <c r="N428" i="24"/>
  <c r="Q428" i="24"/>
  <c r="R428" i="24"/>
  <c r="W428" i="24"/>
  <c r="AB428" i="24"/>
  <c r="C429" i="24"/>
  <c r="N429" i="24"/>
  <c r="Q429" i="24"/>
  <c r="R429" i="24"/>
  <c r="W429" i="24"/>
  <c r="AB429" i="24"/>
  <c r="C430" i="24"/>
  <c r="N430" i="24"/>
  <c r="Q430" i="24"/>
  <c r="R430" i="24"/>
  <c r="W430" i="24"/>
  <c r="AB430" i="24"/>
  <c r="C431" i="24"/>
  <c r="N431" i="24"/>
  <c r="Q431" i="24"/>
  <c r="R431" i="24"/>
  <c r="W431" i="24"/>
  <c r="AB431" i="24"/>
  <c r="C432" i="24"/>
  <c r="N432" i="24"/>
  <c r="Q432" i="24"/>
  <c r="R432" i="24"/>
  <c r="W432" i="24"/>
  <c r="AB432" i="24"/>
  <c r="C433" i="24"/>
  <c r="N433" i="24"/>
  <c r="Q433" i="24"/>
  <c r="R433" i="24"/>
  <c r="W433" i="24"/>
  <c r="AB433" i="24"/>
  <c r="C434" i="24"/>
  <c r="N434" i="24"/>
  <c r="Q434" i="24"/>
  <c r="R434" i="24"/>
  <c r="W434" i="24"/>
  <c r="AB434" i="24"/>
  <c r="C435" i="24"/>
  <c r="N435" i="24"/>
  <c r="Q435" i="24"/>
  <c r="R435" i="24"/>
  <c r="W435" i="24"/>
  <c r="AB435" i="24"/>
  <c r="C436" i="24"/>
  <c r="N436" i="24"/>
  <c r="Q436" i="24"/>
  <c r="R436" i="24"/>
  <c r="W436" i="24"/>
  <c r="AB436" i="24"/>
  <c r="C437" i="24"/>
  <c r="N437" i="24"/>
  <c r="Q437" i="24"/>
  <c r="R437" i="24"/>
  <c r="W437" i="24"/>
  <c r="AB437" i="24"/>
  <c r="C438" i="24"/>
  <c r="N438" i="24"/>
  <c r="Q438" i="24"/>
  <c r="R438" i="24"/>
  <c r="W438" i="24"/>
  <c r="AB438" i="24"/>
  <c r="C439" i="24"/>
  <c r="N439" i="24"/>
  <c r="Q439" i="24"/>
  <c r="R439" i="24"/>
  <c r="W439" i="24"/>
  <c r="AB439" i="24"/>
  <c r="C440" i="24"/>
  <c r="N440" i="24"/>
  <c r="Q440" i="24"/>
  <c r="R440" i="24"/>
  <c r="W440" i="24"/>
  <c r="AB440" i="24"/>
  <c r="C441" i="24"/>
  <c r="N441" i="24"/>
  <c r="Q441" i="24"/>
  <c r="R441" i="24"/>
  <c r="W441" i="24"/>
  <c r="AB441" i="24"/>
  <c r="C442" i="24"/>
  <c r="N442" i="24"/>
  <c r="Q442" i="24"/>
  <c r="R442" i="24"/>
  <c r="W442" i="24"/>
  <c r="AB442" i="24"/>
  <c r="C443" i="24"/>
  <c r="N443" i="24"/>
  <c r="Q443" i="24"/>
  <c r="R443" i="24"/>
  <c r="W443" i="24"/>
  <c r="AB443" i="24"/>
  <c r="C444" i="24"/>
  <c r="N444" i="24"/>
  <c r="Q444" i="24"/>
  <c r="R444" i="24"/>
  <c r="W444" i="24"/>
  <c r="AB444" i="24"/>
  <c r="C445" i="24"/>
  <c r="N445" i="24"/>
  <c r="Q445" i="24"/>
  <c r="R445" i="24"/>
  <c r="W445" i="24"/>
  <c r="AB445" i="24"/>
  <c r="C446" i="24"/>
  <c r="N446" i="24"/>
  <c r="Q446" i="24"/>
  <c r="R446" i="24"/>
  <c r="W446" i="24"/>
  <c r="AB446" i="24"/>
  <c r="C447" i="24"/>
  <c r="N447" i="24"/>
  <c r="Q447" i="24"/>
  <c r="R447" i="24"/>
  <c r="W447" i="24"/>
  <c r="AB447" i="24"/>
  <c r="C448" i="24"/>
  <c r="N448" i="24"/>
  <c r="Q448" i="24"/>
  <c r="R448" i="24"/>
  <c r="W448" i="24"/>
  <c r="AB448" i="24"/>
  <c r="C449" i="24"/>
  <c r="N449" i="24"/>
  <c r="Q449" i="24"/>
  <c r="R449" i="24"/>
  <c r="W449" i="24"/>
  <c r="AB449" i="24"/>
  <c r="C450" i="24"/>
  <c r="N450" i="24"/>
  <c r="Q450" i="24"/>
  <c r="R450" i="24"/>
  <c r="W450" i="24"/>
  <c r="AB450" i="24"/>
  <c r="C451" i="24"/>
  <c r="N451" i="24"/>
  <c r="Q451" i="24"/>
  <c r="R451" i="24"/>
  <c r="W451" i="24"/>
  <c r="AB451" i="24"/>
  <c r="C452" i="24"/>
  <c r="N452" i="24"/>
  <c r="Q452" i="24"/>
  <c r="R452" i="24"/>
  <c r="W452" i="24"/>
  <c r="AB452" i="24"/>
  <c r="C453" i="24"/>
  <c r="N453" i="24"/>
  <c r="Q453" i="24"/>
  <c r="R453" i="24"/>
  <c r="W453" i="24"/>
  <c r="AB453" i="24"/>
  <c r="C454" i="24"/>
  <c r="N454" i="24"/>
  <c r="Q454" i="24"/>
  <c r="R454" i="24"/>
  <c r="W454" i="24"/>
  <c r="AB454" i="24"/>
  <c r="C455" i="24"/>
  <c r="N455" i="24"/>
  <c r="Q455" i="24"/>
  <c r="R455" i="24"/>
  <c r="W455" i="24"/>
  <c r="AB455" i="24"/>
  <c r="C456" i="24"/>
  <c r="N456" i="24"/>
  <c r="Q456" i="24"/>
  <c r="R456" i="24"/>
  <c r="W456" i="24"/>
  <c r="AB456" i="24"/>
  <c r="C457" i="24"/>
  <c r="N457" i="24"/>
  <c r="Q457" i="24"/>
  <c r="R457" i="24"/>
  <c r="W457" i="24"/>
  <c r="AB457" i="24"/>
  <c r="C458" i="24"/>
  <c r="N458" i="24"/>
  <c r="Q458" i="24"/>
  <c r="R458" i="24"/>
  <c r="W458" i="24"/>
  <c r="AB458" i="24"/>
  <c r="C459" i="24"/>
  <c r="N459" i="24"/>
  <c r="Q459" i="24"/>
  <c r="R459" i="24"/>
  <c r="W459" i="24"/>
  <c r="AB459" i="24"/>
  <c r="C460" i="24"/>
  <c r="N460" i="24"/>
  <c r="Q460" i="24"/>
  <c r="R460" i="24"/>
  <c r="W460" i="24"/>
  <c r="AB460" i="24"/>
  <c r="C461" i="24"/>
  <c r="N461" i="24"/>
  <c r="Q461" i="24"/>
  <c r="R461" i="24"/>
  <c r="W461" i="24"/>
  <c r="AB461" i="24"/>
  <c r="C462" i="24"/>
  <c r="N462" i="24"/>
  <c r="Q462" i="24"/>
  <c r="R462" i="24"/>
  <c r="W462" i="24"/>
  <c r="AB462" i="24"/>
  <c r="C463" i="24"/>
  <c r="N463" i="24"/>
  <c r="Q463" i="24"/>
  <c r="R463" i="24"/>
  <c r="W463" i="24"/>
  <c r="AB463" i="24"/>
  <c r="C464" i="24"/>
  <c r="N464" i="24"/>
  <c r="Q464" i="24"/>
  <c r="R464" i="24"/>
  <c r="W464" i="24"/>
  <c r="AB464" i="24"/>
  <c r="C465" i="24"/>
  <c r="N465" i="24"/>
  <c r="Q465" i="24"/>
  <c r="R465" i="24"/>
  <c r="W465" i="24"/>
  <c r="AB465" i="24"/>
  <c r="C466" i="24"/>
  <c r="N466" i="24"/>
  <c r="Q466" i="24"/>
  <c r="R466" i="24"/>
  <c r="W466" i="24"/>
  <c r="AB466" i="24"/>
  <c r="C467" i="24"/>
  <c r="N467" i="24"/>
  <c r="Q467" i="24"/>
  <c r="R467" i="24"/>
  <c r="W467" i="24"/>
  <c r="AB467" i="24"/>
  <c r="C468" i="24"/>
  <c r="N468" i="24"/>
  <c r="Q468" i="24"/>
  <c r="R468" i="24"/>
  <c r="W468" i="24"/>
  <c r="AB468" i="24"/>
  <c r="C469" i="24"/>
  <c r="N469" i="24"/>
  <c r="Q469" i="24"/>
  <c r="R469" i="24"/>
  <c r="W469" i="24"/>
  <c r="AB469" i="24"/>
  <c r="C470" i="24"/>
  <c r="N470" i="24"/>
  <c r="Q470" i="24"/>
  <c r="R470" i="24"/>
  <c r="W470" i="24"/>
  <c r="AB470" i="24"/>
  <c r="C471" i="24"/>
  <c r="N471" i="24"/>
  <c r="Q471" i="24"/>
  <c r="R471" i="24"/>
  <c r="W471" i="24"/>
  <c r="AB471" i="24"/>
  <c r="C472" i="24"/>
  <c r="N472" i="24"/>
  <c r="Q472" i="24"/>
  <c r="R472" i="24"/>
  <c r="W472" i="24"/>
  <c r="AB472" i="24"/>
  <c r="C473" i="24"/>
  <c r="N473" i="24"/>
  <c r="Q473" i="24"/>
  <c r="R473" i="24"/>
  <c r="W473" i="24"/>
  <c r="AB473" i="24"/>
  <c r="C474" i="24"/>
  <c r="N474" i="24"/>
  <c r="Q474" i="24"/>
  <c r="R474" i="24"/>
  <c r="W474" i="24"/>
  <c r="AB474" i="24"/>
  <c r="C475" i="24"/>
  <c r="N475" i="24"/>
  <c r="Q475" i="24"/>
  <c r="R475" i="24"/>
  <c r="W475" i="24"/>
  <c r="AB475" i="24"/>
  <c r="C476" i="24"/>
  <c r="N476" i="24"/>
  <c r="Q476" i="24"/>
  <c r="R476" i="24"/>
  <c r="W476" i="24"/>
  <c r="AB476" i="24"/>
  <c r="C477" i="24"/>
  <c r="N477" i="24"/>
  <c r="Q477" i="24"/>
  <c r="R477" i="24"/>
  <c r="W477" i="24"/>
  <c r="AB477" i="24"/>
  <c r="C478" i="24"/>
  <c r="N478" i="24"/>
  <c r="Q478" i="24"/>
  <c r="R478" i="24"/>
  <c r="W478" i="24"/>
  <c r="AB478" i="24"/>
  <c r="C479" i="24"/>
  <c r="N479" i="24"/>
  <c r="Q479" i="24"/>
  <c r="R479" i="24"/>
  <c r="W479" i="24"/>
  <c r="AB479" i="24"/>
  <c r="C480" i="24"/>
  <c r="N480" i="24"/>
  <c r="Q480" i="24"/>
  <c r="R480" i="24"/>
  <c r="W480" i="24"/>
  <c r="AB480" i="24"/>
  <c r="C481" i="24"/>
  <c r="N481" i="24"/>
  <c r="Q481" i="24"/>
  <c r="R481" i="24"/>
  <c r="W481" i="24"/>
  <c r="AB481" i="24"/>
  <c r="C482" i="24"/>
  <c r="N482" i="24"/>
  <c r="Q482" i="24"/>
  <c r="R482" i="24"/>
  <c r="W482" i="24"/>
  <c r="AB482" i="24"/>
  <c r="C483" i="24"/>
  <c r="N483" i="24"/>
  <c r="Q483" i="24"/>
  <c r="R483" i="24"/>
  <c r="W483" i="24"/>
  <c r="AB483" i="24"/>
  <c r="C484" i="24"/>
  <c r="N484" i="24"/>
  <c r="Q484" i="24"/>
  <c r="R484" i="24"/>
  <c r="W484" i="24"/>
  <c r="AB484" i="24"/>
  <c r="C485" i="24"/>
  <c r="N485" i="24"/>
  <c r="Q485" i="24"/>
  <c r="R485" i="24"/>
  <c r="W485" i="24"/>
  <c r="AB485" i="24"/>
  <c r="C486" i="24"/>
  <c r="N486" i="24"/>
  <c r="Q486" i="24"/>
  <c r="R486" i="24"/>
  <c r="W486" i="24"/>
  <c r="AB486" i="24"/>
  <c r="C487" i="24"/>
  <c r="N487" i="24"/>
  <c r="Q487" i="24"/>
  <c r="R487" i="24"/>
  <c r="W487" i="24"/>
  <c r="AB487" i="24"/>
  <c r="C488" i="24"/>
  <c r="N488" i="24"/>
  <c r="Q488" i="24"/>
  <c r="R488" i="24"/>
  <c r="W488" i="24"/>
  <c r="AB488" i="24"/>
  <c r="C489" i="24"/>
  <c r="N489" i="24"/>
  <c r="Q489" i="24"/>
  <c r="R489" i="24"/>
  <c r="W489" i="24"/>
  <c r="AB489" i="24"/>
  <c r="C490" i="24"/>
  <c r="N490" i="24"/>
  <c r="Q490" i="24"/>
  <c r="R490" i="24"/>
  <c r="W490" i="24"/>
  <c r="AB490" i="24"/>
  <c r="C491" i="24"/>
  <c r="N491" i="24"/>
  <c r="Q491" i="24"/>
  <c r="R491" i="24"/>
  <c r="W491" i="24"/>
  <c r="AB491" i="24"/>
  <c r="C492" i="24"/>
  <c r="N492" i="24"/>
  <c r="Q492" i="24"/>
  <c r="R492" i="24"/>
  <c r="W492" i="24"/>
  <c r="AB492" i="24"/>
  <c r="C493" i="24"/>
  <c r="N493" i="24"/>
  <c r="Q493" i="24"/>
  <c r="R493" i="24"/>
  <c r="W493" i="24"/>
  <c r="AB493" i="24"/>
  <c r="C494" i="24"/>
  <c r="N494" i="24"/>
  <c r="Q494" i="24"/>
  <c r="R494" i="24"/>
  <c r="W494" i="24"/>
  <c r="AB494" i="24"/>
  <c r="C495" i="24"/>
  <c r="N495" i="24"/>
  <c r="Q495" i="24"/>
  <c r="R495" i="24"/>
  <c r="W495" i="24"/>
  <c r="AB495" i="24"/>
  <c r="C496" i="24"/>
  <c r="N496" i="24"/>
  <c r="Q496" i="24"/>
  <c r="R496" i="24"/>
  <c r="W496" i="24"/>
  <c r="AB496" i="24"/>
  <c r="C497" i="24"/>
  <c r="N497" i="24"/>
  <c r="Q497" i="24"/>
  <c r="R497" i="24"/>
  <c r="W497" i="24"/>
  <c r="AB497" i="24"/>
  <c r="C498" i="24"/>
  <c r="N498" i="24"/>
  <c r="Q498" i="24"/>
  <c r="R498" i="24"/>
  <c r="W498" i="24"/>
  <c r="AB498" i="24"/>
  <c r="C499" i="24"/>
  <c r="N499" i="24"/>
  <c r="Q499" i="24"/>
  <c r="R499" i="24"/>
  <c r="W499" i="24"/>
  <c r="AB499" i="24"/>
  <c r="C500" i="24"/>
  <c r="N500" i="24"/>
  <c r="Q500" i="24"/>
  <c r="R500" i="24"/>
  <c r="W500" i="24"/>
  <c r="AB500" i="24"/>
  <c r="C501" i="24"/>
  <c r="N501" i="24"/>
  <c r="Q501" i="24"/>
  <c r="R501" i="24"/>
  <c r="W501" i="24"/>
  <c r="AB501" i="24"/>
  <c r="C502" i="24"/>
  <c r="N502" i="24"/>
  <c r="Q502" i="24"/>
  <c r="R502" i="24"/>
  <c r="W502" i="24"/>
  <c r="AB502" i="24"/>
  <c r="C503" i="24"/>
  <c r="N503" i="24"/>
  <c r="Q503" i="24"/>
  <c r="R503" i="24"/>
  <c r="W503" i="24"/>
  <c r="AB503" i="24"/>
  <c r="C504" i="24"/>
  <c r="N504" i="24"/>
  <c r="Q504" i="24"/>
  <c r="R504" i="24"/>
  <c r="W504" i="24"/>
  <c r="AB504" i="24"/>
  <c r="C505" i="24"/>
  <c r="N505" i="24"/>
  <c r="Q505" i="24"/>
  <c r="R505" i="24"/>
  <c r="W505" i="24"/>
  <c r="AB505" i="24"/>
  <c r="C506" i="24"/>
  <c r="N506" i="24"/>
  <c r="Q506" i="24"/>
  <c r="R506" i="24"/>
  <c r="W506" i="24"/>
  <c r="AB506" i="24"/>
  <c r="C507" i="24"/>
  <c r="N507" i="24"/>
  <c r="Q507" i="24"/>
  <c r="R507" i="24"/>
  <c r="W507" i="24"/>
  <c r="AB507" i="24"/>
  <c r="C508" i="24"/>
  <c r="N508" i="24"/>
  <c r="Q508" i="24"/>
  <c r="R508" i="24"/>
  <c r="W508" i="24"/>
  <c r="AB508" i="24"/>
  <c r="C509" i="24"/>
  <c r="N509" i="24"/>
  <c r="Q509" i="24"/>
  <c r="R509" i="24"/>
  <c r="W509" i="24"/>
  <c r="AB509" i="24"/>
  <c r="C510" i="24"/>
  <c r="N510" i="24"/>
  <c r="Q510" i="24"/>
  <c r="R510" i="24"/>
  <c r="W510" i="24"/>
  <c r="AB510" i="24"/>
  <c r="C511" i="24"/>
  <c r="N511" i="24"/>
  <c r="Q511" i="24"/>
  <c r="R511" i="24"/>
  <c r="W511" i="24"/>
  <c r="AB511" i="24"/>
  <c r="C512" i="24"/>
  <c r="N512" i="24"/>
  <c r="Q512" i="24"/>
  <c r="R512" i="24"/>
  <c r="W512" i="24"/>
  <c r="AB512" i="24"/>
  <c r="C513" i="24"/>
  <c r="N513" i="24"/>
  <c r="Q513" i="24"/>
  <c r="R513" i="24"/>
  <c r="W513" i="24"/>
  <c r="AB513" i="24"/>
  <c r="C514" i="24"/>
  <c r="N514" i="24"/>
  <c r="Q514" i="24"/>
  <c r="R514" i="24"/>
  <c r="W514" i="24"/>
  <c r="AB514" i="24"/>
  <c r="C515" i="24"/>
  <c r="N515" i="24"/>
  <c r="Q515" i="24"/>
  <c r="R515" i="24"/>
  <c r="W515" i="24"/>
  <c r="AB515" i="24"/>
  <c r="C516" i="24"/>
  <c r="N516" i="24"/>
  <c r="Q516" i="24"/>
  <c r="R516" i="24"/>
  <c r="W516" i="24"/>
  <c r="AB516" i="24"/>
  <c r="C517" i="24"/>
  <c r="N517" i="24"/>
  <c r="Q517" i="24"/>
  <c r="R517" i="24"/>
  <c r="W517" i="24"/>
  <c r="AB517" i="24"/>
  <c r="C518" i="24"/>
  <c r="N518" i="24"/>
  <c r="Q518" i="24"/>
  <c r="R518" i="24"/>
  <c r="W518" i="24"/>
  <c r="AB518" i="24"/>
  <c r="C519" i="24"/>
  <c r="N519" i="24"/>
  <c r="Q519" i="24"/>
  <c r="R519" i="24"/>
  <c r="W519" i="24"/>
  <c r="AB519" i="24"/>
  <c r="C520" i="24"/>
  <c r="N520" i="24"/>
  <c r="Q520" i="24"/>
  <c r="R520" i="24"/>
  <c r="W520" i="24"/>
  <c r="AB520" i="24"/>
  <c r="C521" i="24"/>
  <c r="N521" i="24"/>
  <c r="Q521" i="24"/>
  <c r="R521" i="24"/>
  <c r="W521" i="24"/>
  <c r="AB521" i="24"/>
  <c r="C522" i="24"/>
  <c r="N522" i="24"/>
  <c r="Q522" i="24"/>
  <c r="R522" i="24"/>
  <c r="W522" i="24"/>
  <c r="AB522" i="24"/>
  <c r="C523" i="24"/>
  <c r="N523" i="24"/>
  <c r="Q523" i="24"/>
  <c r="R523" i="24"/>
  <c r="W523" i="24"/>
  <c r="AB523" i="24"/>
  <c r="C524" i="24"/>
  <c r="N524" i="24"/>
  <c r="Q524" i="24"/>
  <c r="R524" i="24"/>
  <c r="W524" i="24"/>
  <c r="AB524" i="24"/>
  <c r="C525" i="24"/>
  <c r="N525" i="24"/>
  <c r="Q525" i="24"/>
  <c r="R525" i="24"/>
  <c r="W525" i="24"/>
  <c r="AB525" i="24"/>
  <c r="C526" i="24"/>
  <c r="N526" i="24"/>
  <c r="Q526" i="24"/>
  <c r="R526" i="24"/>
  <c r="W526" i="24"/>
  <c r="AB526" i="24"/>
  <c r="C527" i="24"/>
  <c r="N527" i="24"/>
  <c r="Q527" i="24"/>
  <c r="R527" i="24"/>
  <c r="W527" i="24"/>
  <c r="AB527" i="24"/>
  <c r="C528" i="24"/>
  <c r="N528" i="24"/>
  <c r="Q528" i="24"/>
  <c r="R528" i="24"/>
  <c r="W528" i="24"/>
  <c r="AB528" i="24"/>
  <c r="C529" i="24"/>
  <c r="N529" i="24"/>
  <c r="Q529" i="24"/>
  <c r="R529" i="24"/>
  <c r="W529" i="24"/>
  <c r="AB529" i="24"/>
  <c r="C530" i="24"/>
  <c r="N530" i="24"/>
  <c r="Q530" i="24"/>
  <c r="R530" i="24"/>
  <c r="W530" i="24"/>
  <c r="AB530" i="24"/>
  <c r="C531" i="24"/>
  <c r="N531" i="24"/>
  <c r="Q531" i="24"/>
  <c r="R531" i="24"/>
  <c r="W531" i="24"/>
  <c r="AB531" i="24"/>
  <c r="C532" i="24"/>
  <c r="N532" i="24"/>
  <c r="Q532" i="24"/>
  <c r="R532" i="24"/>
  <c r="W532" i="24"/>
  <c r="AB532" i="24"/>
  <c r="C533" i="24"/>
  <c r="N533" i="24"/>
  <c r="Q533" i="24"/>
  <c r="R533" i="24"/>
  <c r="W533" i="24"/>
  <c r="AB533" i="24"/>
  <c r="C534" i="24"/>
  <c r="N534" i="24"/>
  <c r="Q534" i="24"/>
  <c r="R534" i="24"/>
  <c r="W534" i="24"/>
  <c r="AB534" i="24"/>
  <c r="C535" i="24"/>
  <c r="N535" i="24"/>
  <c r="Q535" i="24"/>
  <c r="R535" i="24"/>
  <c r="W535" i="24"/>
  <c r="AB535" i="24"/>
  <c r="C536" i="24"/>
  <c r="N536" i="24"/>
  <c r="Q536" i="24"/>
  <c r="R536" i="24"/>
  <c r="W536" i="24"/>
  <c r="AB536" i="24"/>
  <c r="C537" i="24"/>
  <c r="N537" i="24"/>
  <c r="Q537" i="24"/>
  <c r="R537" i="24"/>
  <c r="W537" i="24"/>
  <c r="AB537" i="24"/>
  <c r="C538" i="24"/>
  <c r="N538" i="24"/>
  <c r="Q538" i="24"/>
  <c r="R538" i="24"/>
  <c r="W538" i="24"/>
  <c r="AB538" i="24"/>
  <c r="C539" i="24"/>
  <c r="N539" i="24"/>
  <c r="Q539" i="24"/>
  <c r="R539" i="24"/>
  <c r="W539" i="24"/>
  <c r="AB539" i="24"/>
  <c r="C540" i="24"/>
  <c r="N540" i="24"/>
  <c r="Q540" i="24"/>
  <c r="R540" i="24"/>
  <c r="W540" i="24"/>
  <c r="AB540" i="24"/>
  <c r="C541" i="24"/>
  <c r="N541" i="24"/>
  <c r="Q541" i="24"/>
  <c r="R541" i="24"/>
  <c r="W541" i="24"/>
  <c r="AB541" i="24"/>
  <c r="C542" i="24"/>
  <c r="N542" i="24"/>
  <c r="Q542" i="24"/>
  <c r="R542" i="24"/>
  <c r="W542" i="24"/>
  <c r="AB542" i="24"/>
  <c r="C543" i="24"/>
  <c r="N543" i="24"/>
  <c r="Q543" i="24"/>
  <c r="R543" i="24"/>
  <c r="W543" i="24"/>
  <c r="AB543" i="24"/>
  <c r="C544" i="24"/>
  <c r="N544" i="24"/>
  <c r="Q544" i="24"/>
  <c r="R544" i="24"/>
  <c r="W544" i="24"/>
  <c r="AB544" i="24"/>
  <c r="C545" i="24"/>
  <c r="N545" i="24"/>
  <c r="Q545" i="24"/>
  <c r="R545" i="24"/>
  <c r="W545" i="24"/>
  <c r="AB545" i="24"/>
  <c r="C546" i="24"/>
  <c r="N546" i="24"/>
  <c r="Q546" i="24"/>
  <c r="R546" i="24"/>
  <c r="W546" i="24"/>
  <c r="AB546" i="24"/>
  <c r="C547" i="24"/>
  <c r="N547" i="24"/>
  <c r="Q547" i="24"/>
  <c r="R547" i="24"/>
  <c r="W547" i="24"/>
  <c r="AB547" i="24"/>
  <c r="C548" i="24"/>
  <c r="N548" i="24"/>
  <c r="Q548" i="24"/>
  <c r="R548" i="24"/>
  <c r="W548" i="24"/>
  <c r="AB548" i="24"/>
  <c r="C549" i="24"/>
  <c r="N549" i="24"/>
  <c r="Q549" i="24"/>
  <c r="R549" i="24"/>
  <c r="W549" i="24"/>
  <c r="AB549" i="24"/>
  <c r="C550" i="24"/>
  <c r="N550" i="24"/>
  <c r="Q550" i="24"/>
  <c r="R550" i="24"/>
  <c r="W550" i="24"/>
  <c r="AB550" i="24"/>
  <c r="C551" i="24"/>
  <c r="N551" i="24"/>
  <c r="Q551" i="24"/>
  <c r="R551" i="24"/>
  <c r="W551" i="24"/>
  <c r="AB551" i="24"/>
  <c r="C552" i="24"/>
  <c r="N552" i="24"/>
  <c r="Q552" i="24"/>
  <c r="R552" i="24"/>
  <c r="W552" i="24"/>
  <c r="AB552" i="24"/>
  <c r="C553" i="24"/>
  <c r="N553" i="24"/>
  <c r="Q553" i="24"/>
  <c r="R553" i="24"/>
  <c r="W553" i="24"/>
  <c r="AB553" i="24"/>
  <c r="C554" i="24"/>
  <c r="N554" i="24"/>
  <c r="Q554" i="24"/>
  <c r="R554" i="24"/>
  <c r="W554" i="24"/>
  <c r="AB554" i="24"/>
  <c r="C555" i="24"/>
  <c r="N555" i="24"/>
  <c r="Q555" i="24"/>
  <c r="R555" i="24"/>
  <c r="W555" i="24"/>
  <c r="AB555" i="24"/>
  <c r="C556" i="24"/>
  <c r="N556" i="24"/>
  <c r="Q556" i="24"/>
  <c r="R556" i="24"/>
  <c r="W556" i="24"/>
  <c r="AB556" i="24"/>
  <c r="C557" i="24"/>
  <c r="N557" i="24"/>
  <c r="Q557" i="24"/>
  <c r="R557" i="24"/>
  <c r="W557" i="24"/>
  <c r="AB557" i="24"/>
  <c r="C558" i="24"/>
  <c r="N558" i="24"/>
  <c r="Q558" i="24"/>
  <c r="R558" i="24"/>
  <c r="W558" i="24"/>
  <c r="AB558" i="24"/>
  <c r="C559" i="24"/>
  <c r="N559" i="24"/>
  <c r="Q559" i="24"/>
  <c r="R559" i="24"/>
  <c r="W559" i="24"/>
  <c r="AB559" i="24"/>
  <c r="C560" i="24"/>
  <c r="N560" i="24"/>
  <c r="Q560" i="24"/>
  <c r="R560" i="24"/>
  <c r="W560" i="24"/>
  <c r="AB560" i="24"/>
  <c r="C561" i="24"/>
  <c r="N561" i="24"/>
  <c r="Q561" i="24"/>
  <c r="R561" i="24"/>
  <c r="W561" i="24"/>
  <c r="AB561" i="24"/>
  <c r="C562" i="24"/>
  <c r="N562" i="24"/>
  <c r="Q562" i="24"/>
  <c r="R562" i="24"/>
  <c r="W562" i="24"/>
  <c r="AB562" i="24"/>
  <c r="C563" i="24"/>
  <c r="N563" i="24"/>
  <c r="Q563" i="24"/>
  <c r="R563" i="24"/>
  <c r="W563" i="24"/>
  <c r="AB563" i="24"/>
  <c r="C564" i="24"/>
  <c r="N564" i="24"/>
  <c r="Q564" i="24"/>
  <c r="R564" i="24"/>
  <c r="W564" i="24"/>
  <c r="AB564" i="24"/>
  <c r="C565" i="24"/>
  <c r="N565" i="24"/>
  <c r="Q565" i="24"/>
  <c r="R565" i="24"/>
  <c r="W565" i="24"/>
  <c r="AB565" i="24"/>
  <c r="C566" i="24"/>
  <c r="N566" i="24"/>
  <c r="Q566" i="24"/>
  <c r="R566" i="24"/>
  <c r="W566" i="24"/>
  <c r="AB566" i="24"/>
  <c r="C567" i="24"/>
  <c r="N567" i="24"/>
  <c r="Q567" i="24"/>
  <c r="R567" i="24"/>
  <c r="W567" i="24"/>
  <c r="AB567" i="24"/>
  <c r="C568" i="24"/>
  <c r="N568" i="24"/>
  <c r="Q568" i="24"/>
  <c r="R568" i="24"/>
  <c r="W568" i="24"/>
  <c r="AB568" i="24"/>
  <c r="C569" i="24"/>
  <c r="N569" i="24"/>
  <c r="Q569" i="24"/>
  <c r="R569" i="24"/>
  <c r="W569" i="24"/>
  <c r="AB569" i="24"/>
  <c r="C570" i="24"/>
  <c r="N570" i="24"/>
  <c r="Q570" i="24"/>
  <c r="R570" i="24"/>
  <c r="W570" i="24"/>
  <c r="AB570" i="24"/>
  <c r="C571" i="24"/>
  <c r="N571" i="24"/>
  <c r="Q571" i="24"/>
  <c r="R571" i="24"/>
  <c r="W571" i="24"/>
  <c r="AB571" i="24"/>
  <c r="C572" i="24"/>
  <c r="N572" i="24"/>
  <c r="Q572" i="24"/>
  <c r="R572" i="24"/>
  <c r="W572" i="24"/>
  <c r="AB572" i="24"/>
  <c r="C573" i="24"/>
  <c r="N573" i="24"/>
  <c r="Q573" i="24"/>
  <c r="R573" i="24"/>
  <c r="W573" i="24"/>
  <c r="AB573" i="24"/>
  <c r="C574" i="24"/>
  <c r="N574" i="24"/>
  <c r="Q574" i="24"/>
  <c r="R574" i="24"/>
  <c r="W574" i="24"/>
  <c r="AB574" i="24"/>
  <c r="C575" i="24"/>
  <c r="N575" i="24"/>
  <c r="Q575" i="24"/>
  <c r="R575" i="24"/>
  <c r="W575" i="24"/>
  <c r="AB575" i="24"/>
  <c r="C576" i="24"/>
  <c r="N576" i="24"/>
  <c r="Q576" i="24"/>
  <c r="R576" i="24"/>
  <c r="W576" i="24"/>
  <c r="AB576" i="24"/>
  <c r="C577" i="24"/>
  <c r="N577" i="24"/>
  <c r="Q577" i="24"/>
  <c r="R577" i="24"/>
  <c r="W577" i="24"/>
  <c r="AB577" i="24"/>
  <c r="C578" i="24"/>
  <c r="N578" i="24"/>
  <c r="Q578" i="24"/>
  <c r="R578" i="24"/>
  <c r="W578" i="24"/>
  <c r="AB578" i="24"/>
  <c r="C579" i="24"/>
  <c r="N579" i="24"/>
  <c r="Q579" i="24"/>
  <c r="R579" i="24"/>
  <c r="W579" i="24"/>
  <c r="AB579" i="24"/>
  <c r="C580" i="24"/>
  <c r="N580" i="24"/>
  <c r="Q580" i="24"/>
  <c r="R580" i="24"/>
  <c r="W580" i="24"/>
  <c r="AB580" i="24"/>
  <c r="C581" i="24"/>
  <c r="N581" i="24"/>
  <c r="Q581" i="24"/>
  <c r="R581" i="24"/>
  <c r="W581" i="24"/>
  <c r="AB581" i="24"/>
  <c r="C582" i="24"/>
  <c r="N582" i="24"/>
  <c r="Q582" i="24"/>
  <c r="R582" i="24"/>
  <c r="W582" i="24"/>
  <c r="AB582" i="24"/>
  <c r="C583" i="24"/>
  <c r="N583" i="24"/>
  <c r="Q583" i="24"/>
  <c r="R583" i="24"/>
  <c r="W583" i="24"/>
  <c r="AB583" i="24"/>
  <c r="C584" i="24"/>
  <c r="N584" i="24"/>
  <c r="Q584" i="24"/>
  <c r="R584" i="24"/>
  <c r="W584" i="24"/>
  <c r="AB584" i="24"/>
  <c r="C587" i="24"/>
  <c r="N587" i="24"/>
  <c r="Q587" i="24"/>
  <c r="R587" i="24"/>
  <c r="W587" i="24"/>
  <c r="AB587" i="24"/>
  <c r="C588" i="24"/>
  <c r="N588" i="24"/>
  <c r="Q588" i="24"/>
  <c r="R588" i="24"/>
  <c r="W588" i="24"/>
  <c r="AB588" i="24"/>
  <c r="C589" i="24"/>
  <c r="N589" i="24"/>
  <c r="Q589" i="24"/>
  <c r="R589" i="24"/>
  <c r="W589" i="24"/>
  <c r="AB589" i="24"/>
  <c r="C590" i="24"/>
  <c r="N590" i="24"/>
  <c r="Q590" i="24"/>
  <c r="R590" i="24"/>
  <c r="W590" i="24"/>
  <c r="AB590" i="24"/>
  <c r="C591" i="24"/>
  <c r="N591" i="24"/>
  <c r="Q591" i="24"/>
  <c r="R591" i="24"/>
  <c r="W591" i="24"/>
  <c r="AB591" i="24"/>
  <c r="C592" i="24"/>
  <c r="N592" i="24"/>
  <c r="Q592" i="24"/>
  <c r="R592" i="24"/>
  <c r="W592" i="24"/>
  <c r="AB592" i="24"/>
  <c r="C593" i="24"/>
  <c r="N593" i="24"/>
  <c r="Q593" i="24"/>
  <c r="R593" i="24"/>
  <c r="W593" i="24"/>
  <c r="AB593" i="24"/>
  <c r="C594" i="24"/>
  <c r="N594" i="24"/>
  <c r="Q594" i="24"/>
  <c r="R594" i="24"/>
  <c r="W594" i="24"/>
  <c r="AB594" i="24"/>
  <c r="C595" i="24"/>
  <c r="N595" i="24"/>
  <c r="Q595" i="24"/>
  <c r="R595" i="24"/>
  <c r="W595" i="24"/>
  <c r="AB595" i="24"/>
  <c r="C596" i="24"/>
  <c r="N596" i="24"/>
  <c r="Q596" i="24"/>
  <c r="R596" i="24"/>
  <c r="W596" i="24"/>
  <c r="AB596" i="24"/>
  <c r="C597" i="24"/>
  <c r="N597" i="24"/>
  <c r="Q597" i="24"/>
  <c r="R597" i="24"/>
  <c r="W597" i="24"/>
  <c r="AB597" i="24"/>
  <c r="C598" i="24"/>
  <c r="N598" i="24"/>
  <c r="Q598" i="24"/>
  <c r="R598" i="24"/>
  <c r="W598" i="24"/>
  <c r="AB598" i="24"/>
  <c r="C599" i="24"/>
  <c r="N599" i="24"/>
  <c r="Q599" i="24"/>
  <c r="R599" i="24"/>
  <c r="W599" i="24"/>
  <c r="AB599" i="24"/>
  <c r="C600" i="24"/>
  <c r="N600" i="24"/>
  <c r="Q600" i="24"/>
  <c r="R600" i="24"/>
  <c r="W600" i="24"/>
  <c r="AB600" i="24"/>
  <c r="C601" i="24"/>
  <c r="N601" i="24"/>
  <c r="Q601" i="24"/>
  <c r="R601" i="24"/>
  <c r="W601" i="24"/>
  <c r="AB601" i="24"/>
  <c r="C602" i="24"/>
  <c r="N602" i="24"/>
  <c r="Q602" i="24"/>
  <c r="R602" i="24"/>
  <c r="W602" i="24"/>
  <c r="AB602" i="24"/>
  <c r="C603" i="24"/>
  <c r="N603" i="24"/>
  <c r="Q603" i="24"/>
  <c r="R603" i="24"/>
  <c r="W603" i="24"/>
  <c r="AB603" i="24"/>
  <c r="C604" i="24"/>
  <c r="N604" i="24"/>
  <c r="Q604" i="24"/>
  <c r="R604" i="24"/>
  <c r="W604" i="24"/>
  <c r="AB604" i="24"/>
  <c r="C605" i="24"/>
  <c r="N605" i="24"/>
  <c r="Q605" i="24"/>
  <c r="R605" i="24"/>
  <c r="W605" i="24"/>
  <c r="AB605" i="24"/>
  <c r="C606" i="24"/>
  <c r="N606" i="24"/>
  <c r="Q606" i="24"/>
  <c r="R606" i="24"/>
  <c r="W606" i="24"/>
  <c r="AB606" i="24"/>
  <c r="C607" i="24"/>
  <c r="N607" i="24"/>
  <c r="Q607" i="24"/>
  <c r="R607" i="24"/>
  <c r="W607" i="24"/>
  <c r="AB607" i="24"/>
  <c r="C608" i="24"/>
  <c r="N608" i="24"/>
  <c r="Q608" i="24"/>
  <c r="R608" i="24"/>
  <c r="W608" i="24"/>
  <c r="AB608" i="24"/>
  <c r="C609" i="24"/>
  <c r="N609" i="24"/>
  <c r="Q609" i="24"/>
  <c r="R609" i="24"/>
  <c r="W609" i="24"/>
  <c r="AB609" i="24"/>
  <c r="C610" i="24"/>
  <c r="N610" i="24"/>
  <c r="Q610" i="24"/>
  <c r="R610" i="24"/>
  <c r="W610" i="24"/>
  <c r="AB610" i="24"/>
  <c r="C611" i="24"/>
  <c r="N611" i="24"/>
  <c r="Q611" i="24"/>
  <c r="R611" i="24"/>
  <c r="W611" i="24"/>
  <c r="AB611" i="24"/>
  <c r="C612" i="24"/>
  <c r="N612" i="24"/>
  <c r="Q612" i="24"/>
  <c r="R612" i="24"/>
  <c r="W612" i="24"/>
  <c r="AB612" i="24"/>
  <c r="C613" i="24"/>
  <c r="N613" i="24"/>
  <c r="Q613" i="24"/>
  <c r="R613" i="24"/>
  <c r="W613" i="24"/>
  <c r="AB613" i="24"/>
  <c r="C614" i="24"/>
  <c r="N614" i="24"/>
  <c r="Q614" i="24"/>
  <c r="R614" i="24"/>
  <c r="W614" i="24"/>
  <c r="AB614" i="24"/>
  <c r="C615" i="24"/>
  <c r="N615" i="24"/>
  <c r="Q615" i="24"/>
  <c r="R615" i="24"/>
  <c r="W615" i="24"/>
  <c r="AB615" i="24"/>
  <c r="C616" i="24"/>
  <c r="N616" i="24"/>
  <c r="Q616" i="24"/>
  <c r="R616" i="24"/>
  <c r="W616" i="24"/>
  <c r="AB616" i="24"/>
  <c r="C617" i="24"/>
  <c r="N617" i="24"/>
  <c r="Q617" i="24"/>
  <c r="R617" i="24"/>
  <c r="W617" i="24"/>
  <c r="AB617" i="24"/>
  <c r="C618" i="24"/>
  <c r="N618" i="24"/>
  <c r="Q618" i="24"/>
  <c r="R618" i="24"/>
  <c r="W618" i="24"/>
  <c r="AB618" i="24"/>
  <c r="C619" i="24"/>
  <c r="N619" i="24"/>
  <c r="Q619" i="24"/>
  <c r="R619" i="24"/>
  <c r="W619" i="24"/>
  <c r="AB619" i="24"/>
  <c r="C620" i="24"/>
  <c r="N620" i="24"/>
  <c r="Q620" i="24"/>
  <c r="R620" i="24"/>
  <c r="W620" i="24"/>
  <c r="AB620" i="24"/>
  <c r="C621" i="24"/>
  <c r="N621" i="24"/>
  <c r="Q621" i="24"/>
  <c r="R621" i="24"/>
  <c r="W621" i="24"/>
  <c r="AB621" i="24"/>
  <c r="C622" i="24"/>
  <c r="N622" i="24"/>
  <c r="Q622" i="24"/>
  <c r="R622" i="24"/>
  <c r="W622" i="24"/>
  <c r="AB622" i="24"/>
  <c r="C623" i="24"/>
  <c r="N623" i="24"/>
  <c r="Q623" i="24"/>
  <c r="R623" i="24"/>
  <c r="W623" i="24"/>
  <c r="AB623" i="24"/>
  <c r="C624" i="24"/>
  <c r="N624" i="24"/>
  <c r="Q624" i="24"/>
  <c r="R624" i="24"/>
  <c r="W624" i="24"/>
  <c r="AB624" i="24"/>
  <c r="C625" i="24"/>
  <c r="N625" i="24"/>
  <c r="Q625" i="24"/>
  <c r="R625" i="24"/>
  <c r="W625" i="24"/>
  <c r="AB625" i="24"/>
  <c r="C626" i="24"/>
  <c r="N626" i="24"/>
  <c r="Q626" i="24"/>
  <c r="R626" i="24"/>
  <c r="W626" i="24"/>
  <c r="AB626" i="24"/>
  <c r="C627" i="24"/>
  <c r="N627" i="24"/>
  <c r="Q627" i="24"/>
  <c r="R627" i="24"/>
  <c r="W627" i="24"/>
  <c r="AB627" i="24"/>
  <c r="C628" i="24"/>
  <c r="N628" i="24"/>
  <c r="Q628" i="24"/>
  <c r="R628" i="24"/>
  <c r="W628" i="24"/>
  <c r="AB628" i="24"/>
  <c r="C629" i="24"/>
  <c r="N629" i="24"/>
  <c r="Q629" i="24"/>
  <c r="R629" i="24"/>
  <c r="W629" i="24"/>
  <c r="AB629" i="24"/>
  <c r="C630" i="24"/>
  <c r="N630" i="24"/>
  <c r="Q630" i="24"/>
  <c r="R630" i="24"/>
  <c r="W630" i="24"/>
  <c r="AB630" i="24"/>
  <c r="C631" i="24"/>
  <c r="N631" i="24"/>
  <c r="Q631" i="24"/>
  <c r="R631" i="24"/>
  <c r="W631" i="24"/>
  <c r="AB631" i="24"/>
  <c r="C632" i="24"/>
  <c r="N632" i="24"/>
  <c r="Q632" i="24"/>
  <c r="R632" i="24"/>
  <c r="W632" i="24"/>
  <c r="AB632" i="24"/>
  <c r="C633" i="24"/>
  <c r="N633" i="24"/>
  <c r="Q633" i="24"/>
  <c r="R633" i="24"/>
  <c r="W633" i="24"/>
  <c r="AB633" i="24"/>
  <c r="C634" i="24"/>
  <c r="N634" i="24"/>
  <c r="Q634" i="24"/>
  <c r="R634" i="24"/>
  <c r="W634" i="24"/>
  <c r="AB634" i="24"/>
  <c r="C635" i="24"/>
  <c r="N635" i="24"/>
  <c r="Q635" i="24"/>
  <c r="R635" i="24"/>
  <c r="W635" i="24"/>
  <c r="AB635" i="24"/>
  <c r="C636" i="24"/>
  <c r="N636" i="24"/>
  <c r="Q636" i="24"/>
  <c r="R636" i="24"/>
  <c r="W636" i="24"/>
  <c r="AB636" i="24"/>
  <c r="C637" i="24"/>
  <c r="N637" i="24"/>
  <c r="Q637" i="24"/>
  <c r="R637" i="24"/>
  <c r="W637" i="24"/>
  <c r="AB637" i="24"/>
  <c r="C638" i="24"/>
  <c r="N638" i="24"/>
  <c r="Q638" i="24"/>
  <c r="R638" i="24"/>
  <c r="W638" i="24"/>
  <c r="AB638" i="24"/>
  <c r="C639" i="24"/>
  <c r="N639" i="24"/>
  <c r="Q639" i="24"/>
  <c r="R639" i="24"/>
  <c r="W639" i="24"/>
  <c r="AB639" i="24"/>
  <c r="C640" i="24"/>
  <c r="N640" i="24"/>
  <c r="Q640" i="24"/>
  <c r="R640" i="24"/>
  <c r="W640" i="24"/>
  <c r="AB640" i="24"/>
  <c r="C641" i="24"/>
  <c r="N641" i="24"/>
  <c r="Q641" i="24"/>
  <c r="R641" i="24"/>
  <c r="W641" i="24"/>
  <c r="AB641" i="24"/>
  <c r="C642" i="24"/>
  <c r="N642" i="24"/>
  <c r="Q642" i="24"/>
  <c r="R642" i="24"/>
  <c r="W642" i="24"/>
  <c r="AB642" i="24"/>
  <c r="C643" i="24"/>
  <c r="N643" i="24"/>
  <c r="Q643" i="24"/>
  <c r="R643" i="24"/>
  <c r="W643" i="24"/>
  <c r="AB643" i="24"/>
  <c r="C644" i="24"/>
  <c r="N644" i="24"/>
  <c r="Q644" i="24"/>
  <c r="R644" i="24"/>
  <c r="W644" i="24"/>
  <c r="AB644" i="24"/>
  <c r="C645" i="24"/>
  <c r="N645" i="24"/>
  <c r="Q645" i="24"/>
  <c r="R645" i="24"/>
  <c r="W645" i="24"/>
  <c r="AB645" i="24"/>
  <c r="C646" i="24"/>
  <c r="N646" i="24"/>
  <c r="Q646" i="24"/>
  <c r="R646" i="24"/>
  <c r="W646" i="24"/>
  <c r="AB646" i="24"/>
  <c r="C647" i="24"/>
  <c r="N647" i="24"/>
  <c r="Q647" i="24"/>
  <c r="R647" i="24"/>
  <c r="W647" i="24"/>
  <c r="AB647" i="24"/>
  <c r="C648" i="24"/>
  <c r="N648" i="24"/>
  <c r="Q648" i="24"/>
  <c r="R648" i="24"/>
  <c r="W648" i="24"/>
  <c r="AB648" i="24"/>
  <c r="C649" i="24"/>
  <c r="N649" i="24"/>
  <c r="Q649" i="24"/>
  <c r="R649" i="24"/>
  <c r="W649" i="24"/>
  <c r="AB649" i="24"/>
  <c r="C650" i="24"/>
  <c r="N650" i="24"/>
  <c r="Q650" i="24"/>
  <c r="R650" i="24"/>
  <c r="W650" i="24"/>
  <c r="AB650" i="24"/>
  <c r="C651" i="24"/>
  <c r="N651" i="24"/>
  <c r="Q651" i="24"/>
  <c r="R651" i="24"/>
  <c r="W651" i="24"/>
  <c r="AB651" i="24"/>
  <c r="C652" i="24"/>
  <c r="N652" i="24"/>
  <c r="Q652" i="24"/>
  <c r="R652" i="24"/>
  <c r="W652" i="24"/>
  <c r="AB652" i="24"/>
  <c r="C653" i="24"/>
  <c r="N653" i="24"/>
  <c r="Q653" i="24"/>
  <c r="R653" i="24"/>
  <c r="W653" i="24"/>
  <c r="AB653" i="24"/>
  <c r="C654" i="24"/>
  <c r="N654" i="24"/>
  <c r="Q654" i="24"/>
  <c r="R654" i="24"/>
  <c r="W654" i="24"/>
  <c r="AB654" i="24"/>
  <c r="C655" i="24"/>
  <c r="N655" i="24"/>
  <c r="Q655" i="24"/>
  <c r="R655" i="24"/>
  <c r="W655" i="24"/>
  <c r="AB655" i="24"/>
  <c r="C656" i="24"/>
  <c r="N656" i="24"/>
  <c r="Q656" i="24"/>
  <c r="R656" i="24"/>
  <c r="W656" i="24"/>
  <c r="AB656" i="24"/>
  <c r="C657" i="24"/>
  <c r="N657" i="24"/>
  <c r="Q657" i="24"/>
  <c r="R657" i="24"/>
  <c r="W657" i="24"/>
  <c r="AB657" i="24"/>
  <c r="C658" i="24"/>
  <c r="N658" i="24"/>
  <c r="Q658" i="24"/>
  <c r="R658" i="24"/>
  <c r="W658" i="24"/>
  <c r="AB658" i="24"/>
  <c r="C659" i="24"/>
  <c r="N659" i="24"/>
  <c r="Q659" i="24"/>
  <c r="R659" i="24"/>
  <c r="W659" i="24"/>
  <c r="AB659" i="24"/>
  <c r="C660" i="24"/>
  <c r="N660" i="24"/>
  <c r="Q660" i="24"/>
  <c r="R660" i="24"/>
  <c r="W660" i="24"/>
  <c r="AB660" i="24"/>
  <c r="C661" i="24"/>
  <c r="N661" i="24"/>
  <c r="Q661" i="24"/>
  <c r="R661" i="24"/>
  <c r="W661" i="24"/>
  <c r="AB661" i="24"/>
  <c r="C662" i="24"/>
  <c r="N662" i="24"/>
  <c r="Q662" i="24"/>
  <c r="R662" i="24"/>
  <c r="W662" i="24"/>
  <c r="AB662" i="24"/>
  <c r="C663" i="24"/>
  <c r="N663" i="24"/>
  <c r="Q663" i="24"/>
  <c r="R663" i="24"/>
  <c r="W663" i="24"/>
  <c r="AB663" i="24"/>
  <c r="C664" i="24"/>
  <c r="N664" i="24"/>
  <c r="Q664" i="24"/>
  <c r="R664" i="24"/>
  <c r="W664" i="24"/>
  <c r="AB664" i="24"/>
  <c r="C665" i="24"/>
  <c r="N665" i="24"/>
  <c r="Q665" i="24"/>
  <c r="R665" i="24"/>
  <c r="W665" i="24"/>
  <c r="AB665" i="24"/>
  <c r="C666" i="24"/>
  <c r="N666" i="24"/>
  <c r="Q666" i="24"/>
  <c r="R666" i="24"/>
  <c r="W666" i="24"/>
  <c r="AB666" i="24"/>
  <c r="C667" i="24"/>
  <c r="N667" i="24"/>
  <c r="Q667" i="24"/>
  <c r="R667" i="24"/>
  <c r="W667" i="24"/>
  <c r="AB667" i="24"/>
  <c r="C668" i="24"/>
  <c r="N668" i="24"/>
  <c r="Q668" i="24"/>
  <c r="R668" i="24"/>
  <c r="W668" i="24"/>
  <c r="AB668" i="24"/>
  <c r="C669" i="24"/>
  <c r="N669" i="24"/>
  <c r="Q669" i="24"/>
  <c r="R669" i="24"/>
  <c r="W669" i="24"/>
  <c r="AB669" i="24"/>
  <c r="C670" i="24"/>
  <c r="N670" i="24"/>
  <c r="Q670" i="24"/>
  <c r="R670" i="24"/>
  <c r="W670" i="24"/>
  <c r="AB670" i="24"/>
  <c r="C671" i="24"/>
  <c r="N671" i="24"/>
  <c r="Q671" i="24"/>
  <c r="R671" i="24"/>
  <c r="W671" i="24"/>
  <c r="AB671" i="24"/>
  <c r="C672" i="24"/>
  <c r="N672" i="24"/>
  <c r="Q672" i="24"/>
  <c r="R672" i="24"/>
  <c r="W672" i="24"/>
  <c r="AB672" i="24"/>
  <c r="C673" i="24"/>
  <c r="N673" i="24"/>
  <c r="Q673" i="24"/>
  <c r="R673" i="24"/>
  <c r="W673" i="24"/>
  <c r="AB673" i="24"/>
  <c r="C674" i="24"/>
  <c r="N674" i="24"/>
  <c r="Q674" i="24"/>
  <c r="R674" i="24"/>
  <c r="W674" i="24"/>
  <c r="AB674" i="24"/>
  <c r="C675" i="24"/>
  <c r="N675" i="24"/>
  <c r="Q675" i="24"/>
  <c r="R675" i="24"/>
  <c r="W675" i="24"/>
  <c r="AB675" i="24"/>
  <c r="C676" i="24"/>
  <c r="N676" i="24"/>
  <c r="Q676" i="24"/>
  <c r="R676" i="24"/>
  <c r="W676" i="24"/>
  <c r="AB676" i="24"/>
  <c r="C677" i="24"/>
  <c r="N677" i="24"/>
  <c r="Q677" i="24"/>
  <c r="R677" i="24"/>
  <c r="W677" i="24"/>
  <c r="AB677" i="24"/>
  <c r="C678" i="24"/>
  <c r="N678" i="24"/>
  <c r="Q678" i="24"/>
  <c r="R678" i="24"/>
  <c r="W678" i="24"/>
  <c r="AB678" i="24"/>
  <c r="C679" i="24"/>
  <c r="N679" i="24"/>
  <c r="Q679" i="24"/>
  <c r="R679" i="24"/>
  <c r="W679" i="24"/>
  <c r="AB679" i="24"/>
  <c r="C680" i="24"/>
  <c r="N680" i="24"/>
  <c r="Q680" i="24"/>
  <c r="R680" i="24"/>
  <c r="W680" i="24"/>
  <c r="AB680" i="24"/>
  <c r="C681" i="24"/>
  <c r="N681" i="24"/>
  <c r="Q681" i="24"/>
  <c r="R681" i="24"/>
  <c r="W681" i="24"/>
  <c r="AB681" i="24"/>
  <c r="C682" i="24"/>
  <c r="N682" i="24"/>
  <c r="Q682" i="24"/>
  <c r="R682" i="24"/>
  <c r="W682" i="24"/>
  <c r="AB682" i="24"/>
  <c r="C683" i="24"/>
  <c r="N683" i="24"/>
  <c r="Q683" i="24"/>
  <c r="R683" i="24"/>
  <c r="W683" i="24"/>
  <c r="AB683" i="24"/>
  <c r="C684" i="24"/>
  <c r="N684" i="24"/>
  <c r="Q684" i="24"/>
  <c r="R684" i="24"/>
  <c r="W684" i="24"/>
  <c r="AB684" i="24"/>
  <c r="C685" i="24"/>
  <c r="N685" i="24"/>
  <c r="Q685" i="24"/>
  <c r="R685" i="24"/>
  <c r="W685" i="24"/>
  <c r="AB685" i="24"/>
  <c r="C686" i="24"/>
  <c r="N686" i="24"/>
  <c r="Q686" i="24"/>
  <c r="R686" i="24"/>
  <c r="W686" i="24"/>
  <c r="AB686" i="24"/>
  <c r="C687" i="24"/>
  <c r="N687" i="24"/>
  <c r="Q687" i="24"/>
  <c r="R687" i="24"/>
  <c r="W687" i="24"/>
  <c r="AB687" i="24"/>
  <c r="C688" i="24"/>
  <c r="N688" i="24"/>
  <c r="Q688" i="24"/>
  <c r="R688" i="24"/>
  <c r="W688" i="24"/>
  <c r="AB688" i="24"/>
  <c r="C689" i="24"/>
  <c r="N689" i="24"/>
  <c r="Q689" i="24"/>
  <c r="R689" i="24"/>
  <c r="W689" i="24"/>
  <c r="AB689" i="24"/>
  <c r="C690" i="24"/>
  <c r="N690" i="24"/>
  <c r="Q690" i="24"/>
  <c r="R690" i="24"/>
  <c r="W690" i="24"/>
  <c r="AB690" i="24"/>
  <c r="C691" i="24"/>
  <c r="N691" i="24"/>
  <c r="Q691" i="24"/>
  <c r="R691" i="24"/>
  <c r="W691" i="24"/>
  <c r="AB691" i="24"/>
  <c r="C692" i="24"/>
  <c r="N692" i="24"/>
  <c r="Q692" i="24"/>
  <c r="R692" i="24"/>
  <c r="W692" i="24"/>
  <c r="AB692" i="24"/>
  <c r="C693" i="24"/>
  <c r="N693" i="24"/>
  <c r="Q693" i="24"/>
  <c r="R693" i="24"/>
  <c r="W693" i="24"/>
  <c r="AB693" i="24"/>
  <c r="C694" i="24"/>
  <c r="N694" i="24"/>
  <c r="Q694" i="24"/>
  <c r="R694" i="24"/>
  <c r="W694" i="24"/>
  <c r="AB694" i="24"/>
  <c r="C695" i="24"/>
  <c r="N695" i="24"/>
  <c r="Q695" i="24"/>
  <c r="R695" i="24"/>
  <c r="W695" i="24"/>
  <c r="AB695" i="24"/>
  <c r="C696" i="24"/>
  <c r="N696" i="24"/>
  <c r="Q696" i="24"/>
  <c r="R696" i="24"/>
  <c r="W696" i="24"/>
  <c r="AB696" i="24"/>
  <c r="C697" i="24"/>
  <c r="N697" i="24"/>
  <c r="Q697" i="24"/>
  <c r="R697" i="24"/>
  <c r="W697" i="24"/>
  <c r="AB697" i="24"/>
  <c r="C698" i="24"/>
  <c r="N698" i="24"/>
  <c r="Q698" i="24"/>
  <c r="R698" i="24"/>
  <c r="W698" i="24"/>
  <c r="AB698" i="24"/>
  <c r="C699" i="24"/>
  <c r="N699" i="24"/>
  <c r="Q699" i="24"/>
  <c r="R699" i="24"/>
  <c r="W699" i="24"/>
  <c r="AB699" i="24"/>
  <c r="C700" i="24"/>
  <c r="N700" i="24"/>
  <c r="Q700" i="24"/>
  <c r="R700" i="24"/>
  <c r="W700" i="24"/>
  <c r="AB700" i="24"/>
  <c r="C701" i="24"/>
  <c r="N701" i="24"/>
  <c r="Q701" i="24"/>
  <c r="R701" i="24"/>
  <c r="W701" i="24"/>
  <c r="AB701" i="24"/>
  <c r="C702" i="24"/>
  <c r="N702" i="24"/>
  <c r="Q702" i="24"/>
  <c r="R702" i="24"/>
  <c r="W702" i="24"/>
  <c r="AB702" i="24"/>
  <c r="C703" i="24"/>
  <c r="N703" i="24"/>
  <c r="Q703" i="24"/>
  <c r="R703" i="24"/>
  <c r="W703" i="24"/>
  <c r="AB703" i="24"/>
  <c r="C704" i="24"/>
  <c r="N704" i="24"/>
  <c r="Q704" i="24"/>
  <c r="R704" i="24"/>
  <c r="W704" i="24"/>
  <c r="AB704" i="24"/>
  <c r="C705" i="24"/>
  <c r="N705" i="24"/>
  <c r="Q705" i="24"/>
  <c r="R705" i="24"/>
  <c r="W705" i="24"/>
  <c r="AB705" i="24"/>
  <c r="C706" i="24"/>
  <c r="N706" i="24"/>
  <c r="Q706" i="24"/>
  <c r="R706" i="24"/>
  <c r="W706" i="24"/>
  <c r="AB706" i="24"/>
  <c r="C707" i="24"/>
  <c r="N707" i="24"/>
  <c r="Q707" i="24"/>
  <c r="R707" i="24"/>
  <c r="W707" i="24"/>
  <c r="AB707" i="24"/>
  <c r="C708" i="24"/>
  <c r="N708" i="24"/>
  <c r="Q708" i="24"/>
  <c r="R708" i="24"/>
  <c r="W708" i="24"/>
  <c r="AB708" i="24"/>
  <c r="C709" i="24"/>
  <c r="N709" i="24"/>
  <c r="Q709" i="24"/>
  <c r="R709" i="24"/>
  <c r="W709" i="24"/>
  <c r="AB709" i="24"/>
  <c r="C710" i="24"/>
  <c r="N710" i="24"/>
  <c r="Q710" i="24"/>
  <c r="R710" i="24"/>
  <c r="W710" i="24"/>
  <c r="AB710" i="24"/>
  <c r="C711" i="24"/>
  <c r="N711" i="24"/>
  <c r="Q711" i="24"/>
  <c r="R711" i="24"/>
  <c r="W711" i="24"/>
  <c r="AB711" i="24"/>
  <c r="C712" i="24"/>
  <c r="N712" i="24"/>
  <c r="Q712" i="24"/>
  <c r="R712" i="24"/>
  <c r="W712" i="24"/>
  <c r="AB712" i="24"/>
  <c r="C713" i="24"/>
  <c r="N713" i="24"/>
  <c r="Q713" i="24"/>
  <c r="R713" i="24"/>
  <c r="W713" i="24"/>
  <c r="AB713" i="24"/>
  <c r="C714" i="24"/>
  <c r="N714" i="24"/>
  <c r="Q714" i="24"/>
  <c r="R714" i="24"/>
  <c r="W714" i="24"/>
  <c r="AB714" i="24"/>
  <c r="C715" i="24"/>
  <c r="N715" i="24"/>
  <c r="Q715" i="24"/>
  <c r="R715" i="24"/>
  <c r="W715" i="24"/>
  <c r="AB715" i="24"/>
  <c r="C716" i="24"/>
  <c r="N716" i="24"/>
  <c r="Q716" i="24"/>
  <c r="R716" i="24"/>
  <c r="W716" i="24"/>
  <c r="AB716" i="24"/>
  <c r="C717" i="24"/>
  <c r="N717" i="24"/>
  <c r="Q717" i="24"/>
  <c r="R717" i="24"/>
  <c r="W717" i="24"/>
  <c r="AB717" i="24"/>
  <c r="C718" i="24"/>
  <c r="N718" i="24"/>
  <c r="Q718" i="24"/>
  <c r="R718" i="24"/>
  <c r="W718" i="24"/>
  <c r="AB718" i="24"/>
  <c r="C719" i="24"/>
  <c r="N719" i="24"/>
  <c r="Q719" i="24"/>
  <c r="R719" i="24"/>
  <c r="W719" i="24"/>
  <c r="AB719" i="24"/>
  <c r="C720" i="24"/>
  <c r="N720" i="24"/>
  <c r="Q720" i="24"/>
  <c r="R720" i="24"/>
  <c r="W720" i="24"/>
  <c r="AB720" i="24"/>
  <c r="C721" i="24"/>
  <c r="N721" i="24"/>
  <c r="Q721" i="24"/>
  <c r="R721" i="24"/>
  <c r="W721" i="24"/>
  <c r="AB721" i="24"/>
  <c r="C722" i="24"/>
  <c r="N722" i="24"/>
  <c r="Q722" i="24"/>
  <c r="R722" i="24"/>
  <c r="W722" i="24"/>
  <c r="AB722" i="24"/>
  <c r="C723" i="24"/>
  <c r="N723" i="24"/>
  <c r="Q723" i="24"/>
  <c r="R723" i="24"/>
  <c r="W723" i="24"/>
  <c r="AB723" i="24"/>
  <c r="C724" i="24"/>
  <c r="N724" i="24"/>
  <c r="Q724" i="24"/>
  <c r="R724" i="24"/>
  <c r="W724" i="24"/>
  <c r="AB724" i="24"/>
  <c r="C725" i="24"/>
  <c r="N725" i="24"/>
  <c r="Q725" i="24"/>
  <c r="R725" i="24"/>
  <c r="W725" i="24"/>
  <c r="AB725" i="24"/>
  <c r="C726" i="24"/>
  <c r="N726" i="24"/>
  <c r="Q726" i="24"/>
  <c r="R726" i="24"/>
  <c r="W726" i="24"/>
  <c r="AB726" i="24"/>
  <c r="C727" i="24"/>
  <c r="N727" i="24"/>
  <c r="Q727" i="24"/>
  <c r="R727" i="24"/>
  <c r="W727" i="24"/>
  <c r="AB727" i="24"/>
  <c r="C728" i="24"/>
  <c r="N728" i="24"/>
  <c r="Q728" i="24"/>
  <c r="R728" i="24"/>
  <c r="W728" i="24"/>
  <c r="AB728" i="24"/>
  <c r="C729" i="24"/>
  <c r="N729" i="24"/>
  <c r="Q729" i="24"/>
  <c r="R729" i="24"/>
  <c r="W729" i="24"/>
  <c r="AB729" i="24"/>
  <c r="C730" i="24"/>
  <c r="N730" i="24"/>
  <c r="Q730" i="24"/>
  <c r="R730" i="24"/>
  <c r="W730" i="24"/>
  <c r="AB730" i="24"/>
  <c r="C731" i="24"/>
  <c r="N731" i="24"/>
  <c r="Q731" i="24"/>
  <c r="R731" i="24"/>
  <c r="W731" i="24"/>
  <c r="AB731" i="24"/>
  <c r="C732" i="24"/>
  <c r="N732" i="24"/>
  <c r="Q732" i="24"/>
  <c r="R732" i="24"/>
  <c r="W732" i="24"/>
  <c r="AB732" i="24"/>
  <c r="C733" i="24"/>
  <c r="N733" i="24"/>
  <c r="Q733" i="24"/>
  <c r="R733" i="24"/>
  <c r="W733" i="24"/>
  <c r="AB733" i="24"/>
  <c r="C734" i="24"/>
  <c r="N734" i="24"/>
  <c r="Q734" i="24"/>
  <c r="R734" i="24"/>
  <c r="W734" i="24"/>
  <c r="AB734" i="24"/>
  <c r="C735" i="24"/>
  <c r="N735" i="24"/>
  <c r="Q735" i="24"/>
  <c r="R735" i="24"/>
  <c r="W735" i="24"/>
  <c r="AB735" i="24"/>
  <c r="C736" i="24"/>
  <c r="N736" i="24"/>
  <c r="Q736" i="24"/>
  <c r="R736" i="24"/>
  <c r="W736" i="24"/>
  <c r="AB736" i="24"/>
  <c r="C737" i="24"/>
  <c r="N737" i="24"/>
  <c r="Q737" i="24"/>
  <c r="R737" i="24"/>
  <c r="W737" i="24"/>
  <c r="AB737" i="24"/>
  <c r="C738" i="24"/>
  <c r="N738" i="24"/>
  <c r="Q738" i="24"/>
  <c r="R738" i="24"/>
  <c r="W738" i="24"/>
  <c r="AB738" i="24"/>
  <c r="C739" i="24"/>
  <c r="N739" i="24"/>
  <c r="Q739" i="24"/>
  <c r="R739" i="24"/>
  <c r="W739" i="24"/>
  <c r="AB739" i="24"/>
  <c r="C740" i="24"/>
  <c r="N740" i="24"/>
  <c r="Q740" i="24"/>
  <c r="R740" i="24"/>
  <c r="W740" i="24"/>
  <c r="AB740" i="24"/>
  <c r="C741" i="24"/>
  <c r="N741" i="24"/>
  <c r="Q741" i="24"/>
  <c r="R741" i="24"/>
  <c r="W741" i="24"/>
  <c r="AB741" i="24"/>
  <c r="C742" i="24"/>
  <c r="N742" i="24"/>
  <c r="Q742" i="24"/>
  <c r="R742" i="24"/>
  <c r="W742" i="24"/>
  <c r="AB742" i="24"/>
  <c r="C743" i="24"/>
  <c r="N743" i="24"/>
  <c r="Q743" i="24"/>
  <c r="R743" i="24"/>
  <c r="W743" i="24"/>
  <c r="AB743" i="24"/>
  <c r="C744" i="24"/>
  <c r="N744" i="24"/>
  <c r="Q744" i="24"/>
  <c r="R744" i="24"/>
  <c r="W744" i="24"/>
  <c r="AB744" i="24"/>
  <c r="C745" i="24"/>
  <c r="N745" i="24"/>
  <c r="Q745" i="24"/>
  <c r="R745" i="24"/>
  <c r="W745" i="24"/>
  <c r="AB745" i="24"/>
  <c r="C746" i="24"/>
  <c r="N746" i="24"/>
  <c r="Q746" i="24"/>
  <c r="R746" i="24"/>
  <c r="W746" i="24"/>
  <c r="AB746" i="24"/>
  <c r="C747" i="24"/>
  <c r="N747" i="24"/>
  <c r="Q747" i="24"/>
  <c r="R747" i="24"/>
  <c r="W747" i="24"/>
  <c r="AB747" i="24"/>
  <c r="C748" i="24"/>
  <c r="N748" i="24"/>
  <c r="Q748" i="24"/>
  <c r="R748" i="24"/>
  <c r="W748" i="24"/>
  <c r="AB748" i="24"/>
  <c r="C749" i="24"/>
  <c r="N749" i="24"/>
  <c r="Q749" i="24"/>
  <c r="R749" i="24"/>
  <c r="W749" i="24"/>
  <c r="AB749" i="24"/>
  <c r="C750" i="24"/>
  <c r="N750" i="24"/>
  <c r="Q750" i="24"/>
  <c r="R750" i="24"/>
  <c r="W750" i="24"/>
  <c r="AB750" i="24"/>
  <c r="C751" i="24"/>
  <c r="N751" i="24"/>
  <c r="Q751" i="24"/>
  <c r="R751" i="24"/>
  <c r="W751" i="24"/>
  <c r="AB751" i="24"/>
  <c r="C752" i="24"/>
  <c r="N752" i="24"/>
  <c r="Q752" i="24"/>
  <c r="R752" i="24"/>
  <c r="W752" i="24"/>
  <c r="AB752" i="24"/>
  <c r="C753" i="24"/>
  <c r="N753" i="24"/>
  <c r="Q753" i="24"/>
  <c r="R753" i="24"/>
  <c r="W753" i="24"/>
  <c r="AB753" i="24"/>
  <c r="C754" i="24"/>
  <c r="N754" i="24"/>
  <c r="Q754" i="24"/>
  <c r="R754" i="24"/>
  <c r="W754" i="24"/>
  <c r="AB754" i="24"/>
  <c r="C755" i="24"/>
  <c r="N755" i="24"/>
  <c r="Q755" i="24"/>
  <c r="R755" i="24"/>
  <c r="W755" i="24"/>
  <c r="AB755" i="24"/>
  <c r="C756" i="24"/>
  <c r="N756" i="24"/>
  <c r="Q756" i="24"/>
  <c r="R756" i="24"/>
  <c r="W756" i="24"/>
  <c r="AB756" i="24"/>
  <c r="C757" i="24"/>
  <c r="N757" i="24"/>
  <c r="Q757" i="24"/>
  <c r="R757" i="24"/>
  <c r="W757" i="24"/>
  <c r="AB757" i="24"/>
  <c r="C758" i="24"/>
  <c r="N758" i="24"/>
  <c r="Q758" i="24"/>
  <c r="R758" i="24"/>
  <c r="W758" i="24"/>
  <c r="AB758" i="24"/>
  <c r="C759" i="24"/>
  <c r="N759" i="24"/>
  <c r="Q759" i="24"/>
  <c r="R759" i="24"/>
  <c r="W759" i="24"/>
  <c r="AB759" i="24"/>
  <c r="C760" i="24"/>
  <c r="N760" i="24"/>
  <c r="Q760" i="24"/>
  <c r="R760" i="24"/>
  <c r="W760" i="24"/>
  <c r="AB760" i="24"/>
  <c r="C761" i="24"/>
  <c r="N761" i="24"/>
  <c r="Q761" i="24"/>
  <c r="R761" i="24"/>
  <c r="W761" i="24"/>
  <c r="AB761" i="24"/>
  <c r="C762" i="24"/>
  <c r="N762" i="24"/>
  <c r="Q762" i="24"/>
  <c r="R762" i="24"/>
  <c r="W762" i="24"/>
  <c r="AB762" i="24"/>
  <c r="C763" i="24"/>
  <c r="N763" i="24"/>
  <c r="Q763" i="24"/>
  <c r="R763" i="24"/>
  <c r="W763" i="24"/>
  <c r="AB763" i="24"/>
  <c r="C764" i="24"/>
  <c r="N764" i="24"/>
  <c r="Q764" i="24"/>
  <c r="R764" i="24"/>
  <c r="W764" i="24"/>
  <c r="AB764" i="24"/>
  <c r="C765" i="24"/>
  <c r="N765" i="24"/>
  <c r="Q765" i="24"/>
  <c r="R765" i="24"/>
  <c r="W765" i="24"/>
  <c r="AB765" i="24"/>
  <c r="C766" i="24"/>
  <c r="N766" i="24"/>
  <c r="Q766" i="24"/>
  <c r="R766" i="24"/>
  <c r="W766" i="24"/>
  <c r="AB766" i="24"/>
  <c r="C767" i="24"/>
  <c r="N767" i="24"/>
  <c r="Q767" i="24"/>
  <c r="R767" i="24"/>
  <c r="W767" i="24"/>
  <c r="AB767" i="24"/>
  <c r="C768" i="24"/>
  <c r="N768" i="24"/>
  <c r="Q768" i="24"/>
  <c r="R768" i="24"/>
  <c r="W768" i="24"/>
  <c r="AB768" i="24"/>
  <c r="C769" i="24"/>
  <c r="N769" i="24"/>
  <c r="Q769" i="24"/>
  <c r="R769" i="24"/>
  <c r="W769" i="24"/>
  <c r="AB769" i="24"/>
  <c r="C772" i="24"/>
  <c r="N772" i="24"/>
  <c r="Q772" i="24"/>
  <c r="R772" i="24"/>
  <c r="W772" i="24"/>
  <c r="AB772" i="24"/>
  <c r="C773" i="24"/>
  <c r="N773" i="24"/>
  <c r="Q773" i="24"/>
  <c r="R773" i="24"/>
  <c r="W773" i="24"/>
  <c r="AB773" i="24"/>
  <c r="C774" i="24"/>
  <c r="N774" i="24"/>
  <c r="Q774" i="24"/>
  <c r="R774" i="24"/>
  <c r="W774" i="24"/>
  <c r="AB774" i="24"/>
  <c r="C775" i="24"/>
  <c r="N775" i="24"/>
  <c r="Q775" i="24"/>
  <c r="R775" i="24"/>
  <c r="W775" i="24"/>
  <c r="AB775" i="24"/>
  <c r="C776" i="24"/>
  <c r="N776" i="24"/>
  <c r="Q776" i="24"/>
  <c r="R776" i="24"/>
  <c r="W776" i="24"/>
  <c r="AB776" i="24"/>
  <c r="C777" i="24"/>
  <c r="N777" i="24"/>
  <c r="Q777" i="24"/>
  <c r="R777" i="24"/>
  <c r="W777" i="24"/>
  <c r="AB777" i="24"/>
  <c r="C778" i="24"/>
  <c r="N778" i="24"/>
  <c r="Q778" i="24"/>
  <c r="R778" i="24"/>
  <c r="W778" i="24"/>
  <c r="AB778" i="24"/>
  <c r="C779" i="24"/>
  <c r="N779" i="24"/>
  <c r="Q779" i="24"/>
  <c r="R779" i="24"/>
  <c r="W779" i="24"/>
  <c r="AB779" i="24"/>
  <c r="C780" i="24"/>
  <c r="N780" i="24"/>
  <c r="Q780" i="24"/>
  <c r="R780" i="24"/>
  <c r="W780" i="24"/>
  <c r="AB780" i="24"/>
  <c r="C781" i="24"/>
  <c r="N781" i="24"/>
  <c r="Q781" i="24"/>
  <c r="R781" i="24"/>
  <c r="W781" i="24"/>
  <c r="AB781" i="24"/>
  <c r="C782" i="24"/>
  <c r="N782" i="24"/>
  <c r="Q782" i="24"/>
  <c r="R782" i="24"/>
  <c r="W782" i="24"/>
  <c r="AB782" i="24"/>
  <c r="C783" i="24"/>
  <c r="N783" i="24"/>
  <c r="Q783" i="24"/>
  <c r="R783" i="24"/>
  <c r="W783" i="24"/>
  <c r="AB783" i="24"/>
  <c r="C784" i="24"/>
  <c r="N784" i="24"/>
  <c r="Q784" i="24"/>
  <c r="R784" i="24"/>
  <c r="W784" i="24"/>
  <c r="AB784" i="24"/>
  <c r="C785" i="24"/>
  <c r="N785" i="24"/>
  <c r="Q785" i="24"/>
  <c r="R785" i="24"/>
  <c r="W785" i="24"/>
  <c r="AB785" i="24"/>
  <c r="C786" i="24"/>
  <c r="N786" i="24"/>
  <c r="Q786" i="24"/>
  <c r="R786" i="24"/>
  <c r="W786" i="24"/>
  <c r="AB786" i="24"/>
  <c r="C787" i="24"/>
  <c r="N787" i="24"/>
  <c r="Q787" i="24"/>
  <c r="R787" i="24"/>
  <c r="W787" i="24"/>
  <c r="AB787" i="24"/>
  <c r="C788" i="24"/>
  <c r="N788" i="24"/>
  <c r="Q788" i="24"/>
  <c r="R788" i="24"/>
  <c r="W788" i="24"/>
  <c r="AB788" i="24"/>
  <c r="C789" i="24"/>
  <c r="N789" i="24"/>
  <c r="Q789" i="24"/>
  <c r="R789" i="24"/>
  <c r="W789" i="24"/>
  <c r="AB789" i="24"/>
  <c r="C792" i="24"/>
  <c r="N792" i="24"/>
  <c r="Q792" i="24"/>
  <c r="R792" i="24"/>
  <c r="W792" i="24"/>
  <c r="AB792" i="24"/>
  <c r="C793" i="24"/>
  <c r="N793" i="24"/>
  <c r="Q793" i="24"/>
  <c r="R793" i="24"/>
  <c r="W793" i="24"/>
  <c r="AB793" i="24"/>
  <c r="C794" i="24"/>
  <c r="N794" i="24"/>
  <c r="Q794" i="24"/>
  <c r="R794" i="24"/>
  <c r="W794" i="24"/>
  <c r="AB794" i="24"/>
  <c r="C795" i="24"/>
  <c r="N795" i="24"/>
  <c r="Q795" i="24"/>
  <c r="R795" i="24"/>
  <c r="W795" i="24"/>
  <c r="AB795" i="24"/>
  <c r="C796" i="24"/>
  <c r="N796" i="24"/>
  <c r="Q796" i="24"/>
  <c r="R796" i="24"/>
  <c r="W796" i="24"/>
  <c r="AB796" i="24"/>
  <c r="C797" i="24"/>
  <c r="N797" i="24"/>
  <c r="Q797" i="24"/>
  <c r="R797" i="24"/>
  <c r="W797" i="24"/>
  <c r="AB797" i="24"/>
  <c r="C798" i="24"/>
  <c r="N798" i="24"/>
  <c r="Q798" i="24"/>
  <c r="R798" i="24"/>
  <c r="W798" i="24"/>
  <c r="AB798" i="24"/>
  <c r="C799" i="24"/>
  <c r="N799" i="24"/>
  <c r="Q799" i="24"/>
  <c r="R799" i="24"/>
  <c r="W799" i="24"/>
  <c r="AB799" i="24"/>
  <c r="C800" i="24"/>
  <c r="N800" i="24"/>
  <c r="Q800" i="24"/>
  <c r="R800" i="24"/>
  <c r="W800" i="24"/>
  <c r="AB800" i="24"/>
  <c r="C801" i="24"/>
  <c r="N801" i="24"/>
  <c r="Q801" i="24"/>
  <c r="R801" i="24"/>
  <c r="W801" i="24"/>
  <c r="AB801" i="24"/>
  <c r="C802" i="24"/>
  <c r="N802" i="24"/>
  <c r="Q802" i="24"/>
  <c r="R802" i="24"/>
  <c r="W802" i="24"/>
  <c r="AB802" i="24"/>
  <c r="C803" i="24"/>
  <c r="N803" i="24"/>
  <c r="Q803" i="24"/>
  <c r="R803" i="24"/>
  <c r="W803" i="24"/>
  <c r="AB803" i="24"/>
  <c r="C804" i="24"/>
  <c r="N804" i="24"/>
  <c r="Q804" i="24"/>
  <c r="R804" i="24"/>
  <c r="W804" i="24"/>
  <c r="AB804" i="24"/>
  <c r="C805" i="24"/>
  <c r="N805" i="24"/>
  <c r="Q805" i="24"/>
  <c r="R805" i="24"/>
  <c r="W805" i="24"/>
  <c r="AB805" i="24"/>
  <c r="C806" i="24"/>
  <c r="N806" i="24"/>
  <c r="Q806" i="24"/>
  <c r="R806" i="24"/>
  <c r="W806" i="24"/>
  <c r="AB806" i="24"/>
  <c r="C807" i="24"/>
  <c r="N807" i="24"/>
  <c r="Q807" i="24"/>
  <c r="R807" i="24"/>
  <c r="W807" i="24"/>
  <c r="AB807" i="24"/>
  <c r="C808" i="24"/>
  <c r="N808" i="24"/>
  <c r="Q808" i="24"/>
  <c r="R808" i="24"/>
  <c r="W808" i="24"/>
  <c r="AB808" i="24"/>
  <c r="C809" i="24"/>
  <c r="N809" i="24"/>
  <c r="Q809" i="24"/>
  <c r="R809" i="24"/>
  <c r="W809" i="24"/>
  <c r="AB809" i="24"/>
  <c r="C810" i="24"/>
  <c r="N810" i="24"/>
  <c r="Q810" i="24"/>
  <c r="R810" i="24"/>
  <c r="W810" i="24"/>
  <c r="AB810" i="24"/>
  <c r="C811" i="24"/>
  <c r="N811" i="24"/>
  <c r="Q811" i="24"/>
  <c r="R811" i="24"/>
  <c r="W811" i="24"/>
  <c r="AB811" i="24"/>
  <c r="C812" i="24"/>
  <c r="N812" i="24"/>
  <c r="Q812" i="24"/>
  <c r="R812" i="24"/>
  <c r="W812" i="24"/>
  <c r="AB812" i="24"/>
  <c r="C813" i="24"/>
  <c r="N813" i="24"/>
  <c r="Q813" i="24"/>
  <c r="R813" i="24"/>
  <c r="W813" i="24"/>
  <c r="AB813" i="24"/>
  <c r="C814" i="24"/>
  <c r="N814" i="24"/>
  <c r="Q814" i="24"/>
  <c r="R814" i="24"/>
  <c r="W814" i="24"/>
  <c r="AB814" i="24"/>
  <c r="C815" i="24"/>
  <c r="N815" i="24"/>
  <c r="Q815" i="24"/>
  <c r="R815" i="24"/>
  <c r="W815" i="24"/>
  <c r="AB815" i="24"/>
  <c r="C816" i="24"/>
  <c r="N816" i="24"/>
  <c r="Q816" i="24"/>
  <c r="R816" i="24"/>
  <c r="W816" i="24"/>
  <c r="AB816" i="24"/>
  <c r="C817" i="24"/>
  <c r="N817" i="24"/>
  <c r="Q817" i="24"/>
  <c r="R817" i="24"/>
  <c r="W817" i="24"/>
  <c r="AB817" i="24"/>
  <c r="C818" i="24"/>
  <c r="N818" i="24"/>
  <c r="Q818" i="24"/>
  <c r="R818" i="24"/>
  <c r="W818" i="24"/>
  <c r="AB818" i="24"/>
  <c r="C819" i="24"/>
  <c r="N819" i="24"/>
  <c r="Q819" i="24"/>
  <c r="R819" i="24"/>
  <c r="W819" i="24"/>
  <c r="AB819" i="24"/>
  <c r="C820" i="24"/>
  <c r="N820" i="24"/>
  <c r="Q820" i="24"/>
  <c r="R820" i="24"/>
  <c r="W820" i="24"/>
  <c r="AB820" i="24"/>
  <c r="C821" i="24"/>
  <c r="N821" i="24"/>
  <c r="Q821" i="24"/>
  <c r="R821" i="24"/>
  <c r="W821" i="24"/>
  <c r="AB821" i="24"/>
  <c r="C822" i="24"/>
  <c r="N822" i="24"/>
  <c r="Q822" i="24"/>
  <c r="R822" i="24"/>
  <c r="W822" i="24"/>
  <c r="AB822" i="24"/>
  <c r="C823" i="24"/>
  <c r="N823" i="24"/>
  <c r="Q823" i="24"/>
  <c r="R823" i="24"/>
  <c r="W823" i="24"/>
  <c r="AB823" i="24"/>
  <c r="C824" i="24"/>
  <c r="N824" i="24"/>
  <c r="Q824" i="24"/>
  <c r="R824" i="24"/>
  <c r="W824" i="24"/>
  <c r="AB824" i="24"/>
  <c r="C825" i="24"/>
  <c r="N825" i="24"/>
  <c r="Q825" i="24"/>
  <c r="R825" i="24"/>
  <c r="W825" i="24"/>
  <c r="AB825" i="24"/>
  <c r="C826" i="24"/>
  <c r="N826" i="24"/>
  <c r="Q826" i="24"/>
  <c r="R826" i="24"/>
  <c r="W826" i="24"/>
  <c r="AB826" i="24"/>
  <c r="C827" i="24"/>
  <c r="N827" i="24"/>
  <c r="Q827" i="24"/>
  <c r="R827" i="24"/>
  <c r="W827" i="24"/>
  <c r="AB827" i="24"/>
  <c r="C828" i="24"/>
  <c r="N828" i="24"/>
  <c r="Q828" i="24"/>
  <c r="R828" i="24"/>
  <c r="W828" i="24"/>
  <c r="AB828" i="24"/>
  <c r="C829" i="24"/>
  <c r="N829" i="24"/>
  <c r="Q829" i="24"/>
  <c r="R829" i="24"/>
  <c r="W829" i="24"/>
  <c r="AB829" i="24"/>
  <c r="C830" i="24"/>
  <c r="N830" i="24"/>
  <c r="Q830" i="24"/>
  <c r="R830" i="24"/>
  <c r="W830" i="24"/>
  <c r="AB830" i="24"/>
  <c r="C831" i="24"/>
  <c r="N831" i="24"/>
  <c r="Q831" i="24"/>
  <c r="R831" i="24"/>
  <c r="W831" i="24"/>
  <c r="AB831" i="24"/>
  <c r="C832" i="24"/>
  <c r="N832" i="24"/>
  <c r="Q832" i="24"/>
  <c r="R832" i="24"/>
  <c r="W832" i="24"/>
  <c r="AB832" i="24"/>
  <c r="C833" i="24"/>
  <c r="N833" i="24"/>
  <c r="Q833" i="24"/>
  <c r="R833" i="24"/>
  <c r="W833" i="24"/>
  <c r="AB833" i="24"/>
  <c r="C834" i="24"/>
  <c r="N834" i="24"/>
  <c r="Q834" i="24"/>
  <c r="R834" i="24"/>
  <c r="W834" i="24"/>
  <c r="AB834" i="24"/>
  <c r="C835" i="24"/>
  <c r="N835" i="24"/>
  <c r="Q835" i="24"/>
  <c r="R835" i="24"/>
  <c r="W835" i="24"/>
  <c r="AB835" i="24"/>
  <c r="C836" i="24"/>
  <c r="N836" i="24"/>
  <c r="Q836" i="24"/>
  <c r="R836" i="24"/>
  <c r="W836" i="24"/>
  <c r="AB836" i="24"/>
  <c r="C837" i="24"/>
  <c r="N837" i="24"/>
  <c r="Q837" i="24"/>
  <c r="R837" i="24"/>
  <c r="W837" i="24"/>
  <c r="AB837" i="24"/>
  <c r="C838" i="24"/>
  <c r="N838" i="24"/>
  <c r="Q838" i="24"/>
  <c r="R838" i="24"/>
  <c r="W838" i="24"/>
  <c r="AB838" i="24"/>
  <c r="C839" i="24"/>
  <c r="N839" i="24"/>
  <c r="Q839" i="24"/>
  <c r="R839" i="24"/>
  <c r="W839" i="24"/>
  <c r="AB839" i="24"/>
  <c r="C840" i="24"/>
  <c r="N840" i="24"/>
  <c r="Q840" i="24"/>
  <c r="R840" i="24"/>
  <c r="W840" i="24"/>
  <c r="AB840" i="24"/>
  <c r="C841" i="24"/>
  <c r="N841" i="24"/>
  <c r="Q841" i="24"/>
  <c r="R841" i="24"/>
  <c r="W841" i="24"/>
  <c r="AB841" i="24"/>
  <c r="C842" i="24"/>
  <c r="N842" i="24"/>
  <c r="Q842" i="24"/>
  <c r="R842" i="24"/>
  <c r="W842" i="24"/>
  <c r="AB842" i="24"/>
  <c r="C843" i="24"/>
  <c r="N843" i="24"/>
  <c r="Q843" i="24"/>
  <c r="R843" i="24"/>
  <c r="W843" i="24"/>
  <c r="AB843" i="24"/>
  <c r="C844" i="24"/>
  <c r="N844" i="24"/>
  <c r="Q844" i="24"/>
  <c r="R844" i="24"/>
  <c r="W844" i="24"/>
  <c r="AB844" i="24"/>
  <c r="C845" i="24"/>
  <c r="N845" i="24"/>
  <c r="Q845" i="24"/>
  <c r="R845" i="24"/>
  <c r="W845" i="24"/>
  <c r="AB845" i="24"/>
  <c r="C846" i="24"/>
  <c r="N846" i="24"/>
  <c r="Q846" i="24"/>
  <c r="R846" i="24"/>
  <c r="W846" i="24"/>
  <c r="AB846" i="24"/>
  <c r="C847" i="24"/>
  <c r="N847" i="24"/>
  <c r="Q847" i="24"/>
  <c r="R847" i="24"/>
  <c r="W847" i="24"/>
  <c r="AB847" i="24"/>
  <c r="C848" i="24"/>
  <c r="N848" i="24"/>
  <c r="Q848" i="24"/>
  <c r="R848" i="24"/>
  <c r="W848" i="24"/>
  <c r="AB848" i="24"/>
  <c r="C849" i="24"/>
  <c r="N849" i="24"/>
  <c r="Q849" i="24"/>
  <c r="R849" i="24"/>
  <c r="W849" i="24"/>
  <c r="AB849" i="24"/>
  <c r="C850" i="24"/>
  <c r="N850" i="24"/>
  <c r="Q850" i="24"/>
  <c r="R850" i="24"/>
  <c r="W850" i="24"/>
  <c r="AB850" i="24"/>
  <c r="C851" i="24"/>
  <c r="N851" i="24"/>
  <c r="Q851" i="24"/>
  <c r="R851" i="24"/>
  <c r="W851" i="24"/>
  <c r="AB851" i="24"/>
  <c r="C852" i="24"/>
  <c r="N852" i="24"/>
  <c r="Q852" i="24"/>
  <c r="R852" i="24"/>
  <c r="W852" i="24"/>
  <c r="AB852" i="24"/>
  <c r="C853" i="24"/>
  <c r="N853" i="24"/>
  <c r="Q853" i="24"/>
  <c r="R853" i="24"/>
  <c r="W853" i="24"/>
  <c r="AB853" i="24"/>
  <c r="C854" i="24"/>
  <c r="N854" i="24"/>
  <c r="Q854" i="24"/>
  <c r="R854" i="24"/>
  <c r="W854" i="24"/>
  <c r="AB854" i="24"/>
  <c r="C855" i="24"/>
  <c r="N855" i="24"/>
  <c r="Q855" i="24"/>
  <c r="R855" i="24"/>
  <c r="W855" i="24"/>
  <c r="AB855" i="24"/>
  <c r="C856" i="24"/>
  <c r="N856" i="24"/>
  <c r="Q856" i="24"/>
  <c r="R856" i="24"/>
  <c r="W856" i="24"/>
  <c r="AB856" i="24"/>
  <c r="C857" i="24"/>
  <c r="N857" i="24"/>
  <c r="Q857" i="24"/>
  <c r="R857" i="24"/>
  <c r="W857" i="24"/>
  <c r="AB857" i="24"/>
  <c r="C858" i="24"/>
  <c r="N858" i="24"/>
  <c r="Q858" i="24"/>
  <c r="R858" i="24"/>
  <c r="W858" i="24"/>
  <c r="AB858" i="24"/>
  <c r="C859" i="24"/>
  <c r="N859" i="24"/>
  <c r="Q859" i="24"/>
  <c r="R859" i="24"/>
  <c r="W859" i="24"/>
  <c r="AB859" i="24"/>
  <c r="C860" i="24"/>
  <c r="N860" i="24"/>
  <c r="Q860" i="24"/>
  <c r="R860" i="24"/>
  <c r="W860" i="24"/>
  <c r="AB860" i="24"/>
  <c r="C861" i="24"/>
  <c r="N861" i="24"/>
  <c r="Q861" i="24"/>
  <c r="R861" i="24"/>
  <c r="W861" i="24"/>
  <c r="AB861" i="24"/>
  <c r="C862" i="24"/>
  <c r="N862" i="24"/>
  <c r="Q862" i="24"/>
  <c r="R862" i="24"/>
  <c r="W862" i="24"/>
  <c r="AB862" i="24"/>
  <c r="C863" i="24"/>
  <c r="N863" i="24"/>
  <c r="Q863" i="24"/>
  <c r="R863" i="24"/>
  <c r="W863" i="24"/>
  <c r="AB863" i="24"/>
  <c r="C864" i="24"/>
  <c r="N864" i="24"/>
  <c r="Q864" i="24"/>
  <c r="R864" i="24"/>
  <c r="W864" i="24"/>
  <c r="AB864" i="24"/>
  <c r="C865" i="24"/>
  <c r="N865" i="24"/>
  <c r="Q865" i="24"/>
  <c r="R865" i="24"/>
  <c r="W865" i="24"/>
  <c r="AB865" i="24"/>
  <c r="C866" i="24"/>
  <c r="N866" i="24"/>
  <c r="Q866" i="24"/>
  <c r="R866" i="24"/>
  <c r="W866" i="24"/>
  <c r="AB866" i="24"/>
  <c r="C867" i="24"/>
  <c r="N867" i="24"/>
  <c r="Q867" i="24"/>
  <c r="R867" i="24"/>
  <c r="W867" i="24"/>
  <c r="AB867" i="24"/>
  <c r="C868" i="24"/>
  <c r="N868" i="24"/>
  <c r="Q868" i="24"/>
  <c r="R868" i="24"/>
  <c r="W868" i="24"/>
  <c r="AB868" i="24"/>
  <c r="C869" i="24"/>
  <c r="N869" i="24"/>
  <c r="Q869" i="24"/>
  <c r="R869" i="24"/>
  <c r="W869" i="24"/>
  <c r="AB869" i="24"/>
  <c r="C870" i="24"/>
  <c r="N870" i="24"/>
  <c r="Q870" i="24"/>
  <c r="R870" i="24"/>
  <c r="W870" i="24"/>
  <c r="AB870" i="24"/>
  <c r="C871" i="24"/>
  <c r="N871" i="24"/>
  <c r="Q871" i="24"/>
  <c r="R871" i="24"/>
  <c r="W871" i="24"/>
  <c r="AB871" i="24"/>
  <c r="C872" i="24"/>
  <c r="N872" i="24"/>
  <c r="Q872" i="24"/>
  <c r="R872" i="24"/>
  <c r="W872" i="24"/>
  <c r="AB872" i="24"/>
  <c r="C873" i="24"/>
  <c r="N873" i="24"/>
  <c r="Q873" i="24"/>
  <c r="R873" i="24"/>
  <c r="W873" i="24"/>
  <c r="AB873" i="24"/>
  <c r="C874" i="24"/>
  <c r="N874" i="24"/>
  <c r="Q874" i="24"/>
  <c r="R874" i="24"/>
  <c r="W874" i="24"/>
  <c r="AB874" i="24"/>
  <c r="C875" i="24"/>
  <c r="N875" i="24"/>
  <c r="Q875" i="24"/>
  <c r="R875" i="24"/>
  <c r="W875" i="24"/>
  <c r="AB875" i="24"/>
  <c r="C876" i="24"/>
  <c r="N876" i="24"/>
  <c r="Q876" i="24"/>
  <c r="R876" i="24"/>
  <c r="W876" i="24"/>
  <c r="AB876" i="24"/>
  <c r="C877" i="24"/>
  <c r="N877" i="24"/>
  <c r="Q877" i="24"/>
  <c r="R877" i="24"/>
  <c r="W877" i="24"/>
  <c r="AB877" i="24"/>
  <c r="C878" i="24"/>
  <c r="N878" i="24"/>
  <c r="Q878" i="24"/>
  <c r="R878" i="24"/>
  <c r="W878" i="24"/>
  <c r="AB878" i="24"/>
  <c r="C879" i="24"/>
  <c r="N879" i="24"/>
  <c r="Q879" i="24"/>
  <c r="R879" i="24"/>
  <c r="W879" i="24"/>
  <c r="AB879" i="24"/>
  <c r="C880" i="24"/>
  <c r="N880" i="24"/>
  <c r="Q880" i="24"/>
  <c r="R880" i="24"/>
  <c r="W880" i="24"/>
  <c r="AB880" i="24"/>
  <c r="C881" i="24"/>
  <c r="N881" i="24"/>
  <c r="Q881" i="24"/>
  <c r="R881" i="24"/>
  <c r="W881" i="24"/>
  <c r="AB881" i="24"/>
  <c r="C882" i="24"/>
  <c r="N882" i="24"/>
  <c r="Q882" i="24"/>
  <c r="R882" i="24"/>
  <c r="W882" i="24"/>
  <c r="AB882" i="24"/>
  <c r="C883" i="24"/>
  <c r="N883" i="24"/>
  <c r="Q883" i="24"/>
  <c r="R883" i="24"/>
  <c r="W883" i="24"/>
  <c r="AB883" i="24"/>
  <c r="C884" i="24"/>
  <c r="N884" i="24"/>
  <c r="Q884" i="24"/>
  <c r="R884" i="24"/>
  <c r="W884" i="24"/>
  <c r="AB884" i="24"/>
  <c r="C885" i="24"/>
  <c r="N885" i="24"/>
  <c r="Q885" i="24"/>
  <c r="R885" i="24"/>
  <c r="W885" i="24"/>
  <c r="AB885" i="24"/>
  <c r="C886" i="24"/>
  <c r="N886" i="24"/>
  <c r="Q886" i="24"/>
  <c r="R886" i="24"/>
  <c r="W886" i="24"/>
  <c r="AB886" i="24"/>
  <c r="C887" i="24"/>
  <c r="N887" i="24"/>
  <c r="Q887" i="24"/>
  <c r="R887" i="24"/>
  <c r="W887" i="24"/>
  <c r="AB887" i="24"/>
  <c r="C888" i="24"/>
  <c r="N888" i="24"/>
  <c r="Q888" i="24"/>
  <c r="R888" i="24"/>
  <c r="W888" i="24"/>
  <c r="AB888" i="24"/>
  <c r="C889" i="24"/>
  <c r="N889" i="24"/>
  <c r="Q889" i="24"/>
  <c r="R889" i="24"/>
  <c r="W889" i="24"/>
  <c r="AB889" i="24"/>
  <c r="C890" i="24"/>
  <c r="N890" i="24"/>
  <c r="Q890" i="24"/>
  <c r="R890" i="24"/>
  <c r="W890" i="24"/>
  <c r="AB890" i="24"/>
  <c r="C891" i="24"/>
  <c r="N891" i="24"/>
  <c r="Q891" i="24"/>
  <c r="R891" i="24"/>
  <c r="W891" i="24"/>
  <c r="AB891" i="24"/>
  <c r="C892" i="24"/>
  <c r="N892" i="24"/>
  <c r="Q892" i="24"/>
  <c r="R892" i="24"/>
  <c r="W892" i="24"/>
  <c r="AB892" i="24"/>
  <c r="C893" i="24"/>
  <c r="N893" i="24"/>
  <c r="Q893" i="24"/>
  <c r="R893" i="24"/>
  <c r="W893" i="24"/>
  <c r="AB893" i="24"/>
  <c r="C894" i="24"/>
  <c r="N894" i="24"/>
  <c r="Q894" i="24"/>
  <c r="R894" i="24"/>
  <c r="W894" i="24"/>
  <c r="AB894" i="24"/>
  <c r="C895" i="24"/>
  <c r="N895" i="24"/>
  <c r="Q895" i="24"/>
  <c r="R895" i="24"/>
  <c r="W895" i="24"/>
  <c r="AB895" i="24"/>
  <c r="C896" i="24"/>
  <c r="N896" i="24"/>
  <c r="Q896" i="24"/>
  <c r="R896" i="24"/>
  <c r="W896" i="24"/>
  <c r="AB896" i="24"/>
  <c r="C897" i="24"/>
  <c r="N897" i="24"/>
  <c r="Q897" i="24"/>
  <c r="R897" i="24"/>
  <c r="W897" i="24"/>
  <c r="AB897" i="24"/>
  <c r="C898" i="24"/>
  <c r="N898" i="24"/>
  <c r="Q898" i="24"/>
  <c r="R898" i="24"/>
  <c r="W898" i="24"/>
  <c r="AB898" i="24"/>
  <c r="C899" i="24"/>
  <c r="N899" i="24"/>
  <c r="Q899" i="24"/>
  <c r="R899" i="24"/>
  <c r="W899" i="24"/>
  <c r="AB899" i="24"/>
  <c r="C900" i="24"/>
  <c r="N900" i="24"/>
  <c r="Q900" i="24"/>
  <c r="R900" i="24"/>
  <c r="W900" i="24"/>
  <c r="AB900" i="24"/>
  <c r="C901" i="24"/>
  <c r="N901" i="24"/>
  <c r="Q901" i="24"/>
  <c r="R901" i="24"/>
  <c r="W901" i="24"/>
  <c r="AB901" i="24"/>
  <c r="C902" i="24"/>
  <c r="N902" i="24"/>
  <c r="Q902" i="24"/>
  <c r="R902" i="24"/>
  <c r="W902" i="24"/>
  <c r="AB902" i="24"/>
  <c r="C903" i="24"/>
  <c r="N903" i="24"/>
  <c r="Q903" i="24"/>
  <c r="R903" i="24"/>
  <c r="W903" i="24"/>
  <c r="AB903" i="24"/>
  <c r="C904" i="24"/>
  <c r="N904" i="24"/>
  <c r="Q904" i="24"/>
  <c r="R904" i="24"/>
  <c r="W904" i="24"/>
  <c r="AB904" i="24"/>
  <c r="C905" i="24"/>
  <c r="N905" i="24"/>
  <c r="Q905" i="24"/>
  <c r="R905" i="24"/>
  <c r="W905" i="24"/>
  <c r="AB905" i="24"/>
  <c r="C906" i="24"/>
  <c r="N906" i="24"/>
  <c r="Q906" i="24"/>
  <c r="R906" i="24"/>
  <c r="W906" i="24"/>
  <c r="AB906" i="24"/>
  <c r="C907" i="24"/>
  <c r="N907" i="24"/>
  <c r="Q907" i="24"/>
  <c r="R907" i="24"/>
  <c r="W907" i="24"/>
  <c r="AB907" i="24"/>
  <c r="C908" i="24"/>
  <c r="N908" i="24"/>
  <c r="Q908" i="24"/>
  <c r="R908" i="24"/>
  <c r="W908" i="24"/>
  <c r="AB908" i="24"/>
  <c r="C909" i="24"/>
  <c r="N909" i="24"/>
  <c r="Q909" i="24"/>
  <c r="R909" i="24"/>
  <c r="W909" i="24"/>
  <c r="AB909" i="24"/>
  <c r="C910" i="24"/>
  <c r="N910" i="24"/>
  <c r="Q910" i="24"/>
  <c r="R910" i="24"/>
  <c r="W910" i="24"/>
  <c r="AB910" i="24"/>
  <c r="C911" i="24"/>
  <c r="N911" i="24"/>
  <c r="Q911" i="24"/>
  <c r="R911" i="24"/>
  <c r="W911" i="24"/>
  <c r="AB911" i="24"/>
  <c r="C912" i="24"/>
  <c r="N912" i="24"/>
  <c r="Q912" i="24"/>
  <c r="R912" i="24"/>
  <c r="W912" i="24"/>
  <c r="AB912" i="24"/>
  <c r="C913" i="24"/>
  <c r="N913" i="24"/>
  <c r="Q913" i="24"/>
  <c r="R913" i="24"/>
  <c r="W913" i="24"/>
  <c r="AB913" i="24"/>
  <c r="C914" i="24"/>
  <c r="N914" i="24"/>
  <c r="Q914" i="24"/>
  <c r="R914" i="24"/>
  <c r="W914" i="24"/>
  <c r="AB914" i="24"/>
  <c r="C915" i="24"/>
  <c r="N915" i="24"/>
  <c r="Q915" i="24"/>
  <c r="R915" i="24"/>
  <c r="W915" i="24"/>
  <c r="AB915" i="24"/>
  <c r="C916" i="24"/>
  <c r="N916" i="24"/>
  <c r="Q916" i="24"/>
  <c r="R916" i="24"/>
  <c r="W916" i="24"/>
  <c r="AB916" i="24"/>
  <c r="C917" i="24"/>
  <c r="N917" i="24"/>
  <c r="Q917" i="24"/>
  <c r="R917" i="24"/>
  <c r="W917" i="24"/>
  <c r="AB917" i="24"/>
  <c r="C918" i="24"/>
  <c r="N918" i="24"/>
  <c r="Q918" i="24"/>
  <c r="R918" i="24"/>
  <c r="W918" i="24"/>
  <c r="AB918" i="24"/>
  <c r="C919" i="24"/>
  <c r="N919" i="24"/>
  <c r="Q919" i="24"/>
  <c r="R919" i="24"/>
  <c r="W919" i="24"/>
  <c r="AB919" i="24"/>
  <c r="C920" i="24"/>
  <c r="N920" i="24"/>
  <c r="Q920" i="24"/>
  <c r="R920" i="24"/>
  <c r="W920" i="24"/>
  <c r="AB920" i="24"/>
  <c r="C921" i="24"/>
  <c r="N921" i="24"/>
  <c r="Q921" i="24"/>
  <c r="R921" i="24"/>
  <c r="W921" i="24"/>
  <c r="AB921" i="24"/>
  <c r="C922" i="24"/>
  <c r="N922" i="24"/>
  <c r="Q922" i="24"/>
  <c r="R922" i="24"/>
  <c r="W922" i="24"/>
  <c r="AB922" i="24"/>
  <c r="C923" i="24"/>
  <c r="N923" i="24"/>
  <c r="Q923" i="24"/>
  <c r="R923" i="24"/>
  <c r="W923" i="24"/>
  <c r="AB923" i="24"/>
  <c r="C924" i="24"/>
  <c r="N924" i="24"/>
  <c r="Q924" i="24"/>
  <c r="R924" i="24"/>
  <c r="W924" i="24"/>
  <c r="AB924" i="24"/>
  <c r="C925" i="24"/>
  <c r="N925" i="24"/>
  <c r="Q925" i="24"/>
  <c r="R925" i="24"/>
  <c r="W925" i="24"/>
  <c r="AB925" i="24"/>
  <c r="C926" i="24"/>
  <c r="N926" i="24"/>
  <c r="Q926" i="24"/>
  <c r="R926" i="24"/>
  <c r="W926" i="24"/>
  <c r="AB926" i="24"/>
  <c r="C927" i="24"/>
  <c r="N927" i="24"/>
  <c r="Q927" i="24"/>
  <c r="R927" i="24"/>
  <c r="W927" i="24"/>
  <c r="AB927" i="24"/>
  <c r="C928" i="24"/>
  <c r="N928" i="24"/>
  <c r="Q928" i="24"/>
  <c r="R928" i="24"/>
  <c r="W928" i="24"/>
  <c r="AB928" i="24"/>
  <c r="C929" i="24"/>
  <c r="N929" i="24"/>
  <c r="Q929" i="24"/>
  <c r="R929" i="24"/>
  <c r="W929" i="24"/>
  <c r="AB929" i="24"/>
  <c r="C930" i="24"/>
  <c r="N930" i="24"/>
  <c r="Q930" i="24"/>
  <c r="R930" i="24"/>
  <c r="W930" i="24"/>
  <c r="AB930" i="24"/>
  <c r="C931" i="24"/>
  <c r="N931" i="24"/>
  <c r="Q931" i="24"/>
  <c r="R931" i="24"/>
  <c r="W931" i="24"/>
  <c r="AB931" i="24"/>
  <c r="C932" i="24"/>
  <c r="N932" i="24"/>
  <c r="Q932" i="24"/>
  <c r="R932" i="24"/>
  <c r="W932" i="24"/>
  <c r="AB932" i="24"/>
  <c r="C933" i="24"/>
  <c r="N933" i="24"/>
  <c r="Q933" i="24"/>
  <c r="R933" i="24"/>
  <c r="W933" i="24"/>
  <c r="AB933" i="24"/>
  <c r="C934" i="24"/>
  <c r="N934" i="24"/>
  <c r="Q934" i="24"/>
  <c r="R934" i="24"/>
  <c r="W934" i="24"/>
  <c r="AB934" i="24"/>
  <c r="C935" i="24"/>
  <c r="N935" i="24"/>
  <c r="Q935" i="24"/>
  <c r="R935" i="24"/>
  <c r="W935" i="24"/>
  <c r="AB935" i="24"/>
  <c r="C936" i="24"/>
  <c r="N936" i="24"/>
  <c r="Q936" i="24"/>
  <c r="R936" i="24"/>
  <c r="W936" i="24"/>
  <c r="AB936" i="24"/>
  <c r="C937" i="24"/>
  <c r="N937" i="24"/>
  <c r="Q937" i="24"/>
  <c r="R937" i="24"/>
  <c r="W937" i="24"/>
  <c r="AB937" i="24"/>
  <c r="C938" i="24"/>
  <c r="N938" i="24"/>
  <c r="Q938" i="24"/>
  <c r="R938" i="24"/>
  <c r="W938" i="24"/>
  <c r="AB938" i="24"/>
  <c r="C939" i="24"/>
  <c r="N939" i="24"/>
  <c r="Q939" i="24"/>
  <c r="R939" i="24"/>
  <c r="W939" i="24"/>
  <c r="AB939" i="24"/>
  <c r="C940" i="24"/>
  <c r="N940" i="24"/>
  <c r="Q940" i="24"/>
  <c r="R940" i="24"/>
  <c r="W940" i="24"/>
  <c r="AB940" i="24"/>
  <c r="C941" i="24"/>
  <c r="N941" i="24"/>
  <c r="Q941" i="24"/>
  <c r="R941" i="24"/>
  <c r="W941" i="24"/>
  <c r="AB941" i="24"/>
  <c r="C942" i="24"/>
  <c r="N942" i="24"/>
  <c r="Q942" i="24"/>
  <c r="R942" i="24"/>
  <c r="W942" i="24"/>
  <c r="AB942" i="24"/>
  <c r="C943" i="24"/>
  <c r="N943" i="24"/>
  <c r="Q943" i="24"/>
  <c r="R943" i="24"/>
  <c r="W943" i="24"/>
  <c r="AB943" i="24"/>
  <c r="C944" i="24"/>
  <c r="N944" i="24"/>
  <c r="Q944" i="24"/>
  <c r="R944" i="24"/>
  <c r="W944" i="24"/>
  <c r="AB944" i="24"/>
  <c r="C945" i="24"/>
  <c r="N945" i="24"/>
  <c r="Q945" i="24"/>
  <c r="R945" i="24"/>
  <c r="W945" i="24"/>
  <c r="AB945" i="24"/>
  <c r="C946" i="24"/>
  <c r="N946" i="24"/>
  <c r="Q946" i="24"/>
  <c r="R946" i="24"/>
  <c r="W946" i="24"/>
  <c r="AB946" i="24"/>
  <c r="C947" i="24"/>
  <c r="N947" i="24"/>
  <c r="Q947" i="24"/>
  <c r="R947" i="24"/>
  <c r="W947" i="24"/>
  <c r="AB947" i="24"/>
  <c r="C948" i="24"/>
  <c r="N948" i="24"/>
  <c r="Q948" i="24"/>
  <c r="R948" i="24"/>
  <c r="W948" i="24"/>
  <c r="AB948" i="24"/>
  <c r="C949" i="24"/>
  <c r="N949" i="24"/>
  <c r="Q949" i="24"/>
  <c r="R949" i="24"/>
  <c r="W949" i="24"/>
  <c r="AB949" i="24"/>
  <c r="C950" i="24"/>
  <c r="N950" i="24"/>
  <c r="Q950" i="24"/>
  <c r="R950" i="24"/>
  <c r="W950" i="24"/>
  <c r="AB950" i="24"/>
  <c r="C951" i="24"/>
  <c r="N951" i="24"/>
  <c r="Q951" i="24"/>
  <c r="R951" i="24"/>
  <c r="W951" i="24"/>
  <c r="AB951" i="24"/>
  <c r="C952" i="24"/>
  <c r="N952" i="24"/>
  <c r="Q952" i="24"/>
  <c r="R952" i="24"/>
  <c r="W952" i="24"/>
  <c r="AB952" i="24"/>
  <c r="C953" i="24"/>
  <c r="N953" i="24"/>
  <c r="Q953" i="24"/>
  <c r="R953" i="24"/>
  <c r="W953" i="24"/>
  <c r="AB953" i="24"/>
  <c r="C954" i="24"/>
  <c r="N954" i="24"/>
  <c r="Q954" i="24"/>
  <c r="R954" i="24"/>
  <c r="W954" i="24"/>
  <c r="AB954" i="24"/>
  <c r="C955" i="24"/>
  <c r="N955" i="24"/>
  <c r="Q955" i="24"/>
  <c r="R955" i="24"/>
  <c r="W955" i="24"/>
  <c r="AB955" i="24"/>
  <c r="C956" i="24"/>
  <c r="N956" i="24"/>
  <c r="Q956" i="24"/>
  <c r="R956" i="24"/>
  <c r="W956" i="24"/>
  <c r="AB956" i="24"/>
  <c r="C957" i="24"/>
  <c r="N957" i="24"/>
  <c r="Q957" i="24"/>
  <c r="R957" i="24"/>
  <c r="W957" i="24"/>
  <c r="AB957" i="24"/>
  <c r="C958" i="24"/>
  <c r="N958" i="24"/>
  <c r="Q958" i="24"/>
  <c r="R958" i="24"/>
  <c r="W958" i="24"/>
  <c r="AB958" i="24"/>
  <c r="C959" i="24"/>
  <c r="N959" i="24"/>
  <c r="Q959" i="24"/>
  <c r="R959" i="24"/>
  <c r="W959" i="24"/>
  <c r="AB959" i="24"/>
  <c r="C960" i="24"/>
  <c r="N960" i="24"/>
  <c r="Q960" i="24"/>
  <c r="R960" i="24"/>
  <c r="W960" i="24"/>
  <c r="AB960" i="24"/>
  <c r="C961" i="24"/>
  <c r="N961" i="24"/>
  <c r="Q961" i="24"/>
  <c r="R961" i="24"/>
  <c r="W961" i="24"/>
  <c r="AB961" i="24"/>
  <c r="C962" i="24"/>
  <c r="N962" i="24"/>
  <c r="Q962" i="24"/>
  <c r="R962" i="24"/>
  <c r="W962" i="24"/>
  <c r="AB962" i="24"/>
  <c r="C963" i="24"/>
  <c r="N963" i="24"/>
  <c r="Q963" i="24"/>
  <c r="R963" i="24"/>
  <c r="W963" i="24"/>
  <c r="AB963" i="24"/>
  <c r="C964" i="24"/>
  <c r="N964" i="24"/>
  <c r="Q964" i="24"/>
  <c r="R964" i="24"/>
  <c r="W964" i="24"/>
  <c r="AB964" i="24"/>
  <c r="C965" i="24"/>
  <c r="N965" i="24"/>
  <c r="Q965" i="24"/>
  <c r="R965" i="24"/>
  <c r="W965" i="24"/>
  <c r="AB965" i="24"/>
  <c r="C966" i="24"/>
  <c r="N966" i="24"/>
  <c r="Q966" i="24"/>
  <c r="R966" i="24"/>
  <c r="W966" i="24"/>
  <c r="AB966" i="24"/>
  <c r="C967" i="24"/>
  <c r="N967" i="24"/>
  <c r="Q967" i="24"/>
  <c r="R967" i="24"/>
  <c r="W967" i="24"/>
  <c r="AB967" i="24"/>
  <c r="C968" i="24"/>
  <c r="N968" i="24"/>
  <c r="Q968" i="24"/>
  <c r="R968" i="24"/>
  <c r="W968" i="24"/>
  <c r="AB968" i="24"/>
  <c r="C969" i="24"/>
  <c r="N969" i="24"/>
  <c r="Q969" i="24"/>
  <c r="R969" i="24"/>
  <c r="W969" i="24"/>
  <c r="AB969" i="24"/>
  <c r="C970" i="24"/>
  <c r="N970" i="24"/>
  <c r="Q970" i="24"/>
  <c r="R970" i="24"/>
  <c r="W970" i="24"/>
  <c r="AB970" i="24"/>
  <c r="C971" i="24"/>
  <c r="N971" i="24"/>
  <c r="Q971" i="24"/>
  <c r="R971" i="24"/>
  <c r="W971" i="24"/>
  <c r="AB971" i="24"/>
  <c r="C972" i="24"/>
  <c r="N972" i="24"/>
  <c r="Q972" i="24"/>
  <c r="R972" i="24"/>
  <c r="W972" i="24"/>
  <c r="AB972" i="24"/>
  <c r="C973" i="24"/>
  <c r="N973" i="24"/>
  <c r="Q973" i="24"/>
  <c r="R973" i="24"/>
  <c r="W973" i="24"/>
  <c r="AB973" i="24"/>
  <c r="C974" i="24"/>
  <c r="N974" i="24"/>
  <c r="Q974" i="24"/>
  <c r="R974" i="24"/>
  <c r="W974" i="24"/>
  <c r="AB974" i="24"/>
  <c r="C975" i="24"/>
  <c r="N975" i="24"/>
  <c r="Q975" i="24"/>
  <c r="R975" i="24"/>
  <c r="W975" i="24"/>
  <c r="AB975" i="24"/>
  <c r="C976" i="24"/>
  <c r="N976" i="24"/>
  <c r="Q976" i="24"/>
  <c r="R976" i="24"/>
  <c r="W976" i="24"/>
  <c r="AB976" i="24"/>
  <c r="C977" i="24"/>
  <c r="N977" i="24"/>
  <c r="Q977" i="24"/>
  <c r="R977" i="24"/>
  <c r="W977" i="24"/>
  <c r="AB977" i="24"/>
  <c r="C978" i="24"/>
  <c r="N978" i="24"/>
  <c r="Q978" i="24"/>
  <c r="R978" i="24"/>
  <c r="W978" i="24"/>
  <c r="AB978" i="24"/>
  <c r="C979" i="24"/>
  <c r="N979" i="24"/>
  <c r="Q979" i="24"/>
  <c r="R979" i="24"/>
  <c r="W979" i="24"/>
  <c r="AB979" i="24"/>
  <c r="C980" i="24"/>
  <c r="N980" i="24"/>
  <c r="Q980" i="24"/>
  <c r="R980" i="24"/>
  <c r="W980" i="24"/>
  <c r="AB980" i="24"/>
  <c r="C981" i="24"/>
  <c r="N981" i="24"/>
  <c r="Q981" i="24"/>
  <c r="R981" i="24"/>
  <c r="W981" i="24"/>
  <c r="AB981" i="24"/>
  <c r="C982" i="24"/>
  <c r="N982" i="24"/>
  <c r="Q982" i="24"/>
  <c r="R982" i="24"/>
  <c r="W982" i="24"/>
  <c r="AB982" i="24"/>
  <c r="C983" i="24"/>
  <c r="N983" i="24"/>
  <c r="Q983" i="24"/>
  <c r="R983" i="24"/>
  <c r="W983" i="24"/>
  <c r="AB983" i="24"/>
  <c r="C984" i="24"/>
  <c r="N984" i="24"/>
  <c r="Q984" i="24"/>
  <c r="R984" i="24"/>
  <c r="W984" i="24"/>
  <c r="AB984" i="24"/>
  <c r="C985" i="24"/>
  <c r="N985" i="24"/>
  <c r="Q985" i="24"/>
  <c r="R985" i="24"/>
  <c r="W985" i="24"/>
  <c r="AB985" i="24"/>
  <c r="C986" i="24"/>
  <c r="N986" i="24"/>
  <c r="Q986" i="24"/>
  <c r="R986" i="24"/>
  <c r="W986" i="24"/>
  <c r="AB986" i="24"/>
  <c r="C987" i="24"/>
  <c r="N987" i="24"/>
  <c r="Q987" i="24"/>
  <c r="R987" i="24"/>
  <c r="W987" i="24"/>
  <c r="AB987" i="24"/>
  <c r="C988" i="24"/>
  <c r="N988" i="24"/>
  <c r="Q988" i="24"/>
  <c r="R988" i="24"/>
  <c r="W988" i="24"/>
  <c r="AB988" i="24"/>
  <c r="C989" i="24"/>
  <c r="N989" i="24"/>
  <c r="Q989" i="24"/>
  <c r="R989" i="24"/>
  <c r="W989" i="24"/>
  <c r="AB989" i="24"/>
  <c r="C990" i="24"/>
  <c r="N990" i="24"/>
  <c r="Q990" i="24"/>
  <c r="R990" i="24"/>
  <c r="W990" i="24"/>
  <c r="AB990" i="24"/>
  <c r="C991" i="24"/>
  <c r="N991" i="24"/>
  <c r="Q991" i="24"/>
  <c r="R991" i="24"/>
  <c r="W991" i="24"/>
  <c r="AB991" i="24"/>
  <c r="C992" i="24"/>
  <c r="N992" i="24"/>
  <c r="Q992" i="24"/>
  <c r="R992" i="24"/>
  <c r="W992" i="24"/>
  <c r="AB992" i="24"/>
  <c r="C993" i="24"/>
  <c r="N993" i="24"/>
  <c r="Q993" i="24"/>
  <c r="R993" i="24"/>
  <c r="W993" i="24"/>
  <c r="AB993" i="24"/>
  <c r="C994" i="24"/>
  <c r="N994" i="24"/>
  <c r="Q994" i="24"/>
  <c r="R994" i="24"/>
  <c r="W994" i="24"/>
  <c r="AB994" i="24"/>
  <c r="C995" i="24"/>
  <c r="N995" i="24"/>
  <c r="Q995" i="24"/>
  <c r="R995" i="24"/>
  <c r="W995" i="24"/>
  <c r="AB995" i="24"/>
  <c r="C996" i="24"/>
  <c r="N996" i="24"/>
  <c r="Q996" i="24"/>
  <c r="R996" i="24"/>
  <c r="W996" i="24"/>
  <c r="AB996" i="24"/>
  <c r="C997" i="24"/>
  <c r="N997" i="24"/>
  <c r="Q997" i="24"/>
  <c r="R997" i="24"/>
  <c r="W997" i="24"/>
  <c r="AB997" i="24"/>
  <c r="C998" i="24"/>
  <c r="N998" i="24"/>
  <c r="Q998" i="24"/>
  <c r="R998" i="24"/>
  <c r="W998" i="24"/>
  <c r="AB998" i="24"/>
  <c r="C999" i="24"/>
  <c r="N999" i="24"/>
  <c r="Q999" i="24"/>
  <c r="R999" i="24"/>
  <c r="W999" i="24"/>
  <c r="AB999" i="24"/>
  <c r="C1000" i="24"/>
  <c r="N1000" i="24"/>
  <c r="Q1000" i="24"/>
  <c r="R1000" i="24"/>
  <c r="W1000" i="24"/>
  <c r="AB1000" i="24"/>
  <c r="C1001" i="24"/>
  <c r="N1001" i="24"/>
  <c r="Q1001" i="24"/>
  <c r="R1001" i="24"/>
  <c r="W1001" i="24"/>
  <c r="AB1001" i="24"/>
  <c r="C1002" i="24"/>
  <c r="N1002" i="24"/>
  <c r="Q1002" i="24"/>
  <c r="R1002" i="24"/>
  <c r="W1002" i="24"/>
  <c r="AB1002" i="24"/>
  <c r="C1003" i="24"/>
  <c r="N1003" i="24"/>
  <c r="Q1003" i="24"/>
  <c r="R1003" i="24"/>
  <c r="W1003" i="24"/>
  <c r="AB1003" i="24"/>
  <c r="C1004" i="24"/>
  <c r="N1004" i="24"/>
  <c r="Q1004" i="24"/>
  <c r="R1004" i="24"/>
  <c r="W1004" i="24"/>
  <c r="AB1004" i="24"/>
  <c r="C1005" i="24"/>
  <c r="N1005" i="24"/>
  <c r="Q1005" i="24"/>
  <c r="R1005" i="24"/>
  <c r="W1005" i="24"/>
  <c r="AB1005" i="24"/>
  <c r="C1006" i="24"/>
  <c r="N1006" i="24"/>
  <c r="Q1006" i="24"/>
  <c r="R1006" i="24"/>
  <c r="W1006" i="24"/>
  <c r="AB1006" i="24"/>
  <c r="C1007" i="24"/>
  <c r="N1007" i="24"/>
  <c r="Q1007" i="24"/>
  <c r="R1007" i="24"/>
  <c r="W1007" i="24"/>
  <c r="AB1007" i="24"/>
  <c r="C1008" i="24"/>
  <c r="N1008" i="24"/>
  <c r="Q1008" i="24"/>
  <c r="R1008" i="24"/>
  <c r="W1008" i="24"/>
  <c r="AB1008" i="24"/>
  <c r="C1009" i="24"/>
  <c r="N1009" i="24"/>
  <c r="Q1009" i="24"/>
  <c r="R1009" i="24"/>
  <c r="W1009" i="24"/>
  <c r="AB1009" i="24"/>
  <c r="C1010" i="24"/>
  <c r="N1010" i="24"/>
  <c r="Q1010" i="24"/>
  <c r="R1010" i="24"/>
  <c r="W1010" i="24"/>
  <c r="AB1010" i="24"/>
  <c r="C1011" i="24"/>
  <c r="N1011" i="24"/>
  <c r="Q1011" i="24"/>
  <c r="R1011" i="24"/>
  <c r="W1011" i="24"/>
  <c r="AB1011" i="24"/>
  <c r="C1012" i="24"/>
  <c r="N1012" i="24"/>
  <c r="Q1012" i="24"/>
  <c r="R1012" i="24"/>
  <c r="W1012" i="24"/>
  <c r="AB1012" i="24"/>
  <c r="C1013" i="24"/>
  <c r="N1013" i="24"/>
  <c r="Q1013" i="24"/>
  <c r="R1013" i="24"/>
  <c r="W1013" i="24"/>
  <c r="AB1013" i="24"/>
  <c r="C1014" i="24"/>
  <c r="N1014" i="24"/>
  <c r="Q1014" i="24"/>
  <c r="R1014" i="24"/>
  <c r="W1014" i="24"/>
  <c r="AB1014" i="24"/>
  <c r="C1015" i="24"/>
  <c r="N1015" i="24"/>
  <c r="Q1015" i="24"/>
  <c r="R1015" i="24"/>
  <c r="W1015" i="24"/>
  <c r="AB1015" i="24"/>
  <c r="C1016" i="24"/>
  <c r="N1016" i="24"/>
  <c r="Q1016" i="24"/>
  <c r="R1016" i="24"/>
  <c r="W1016" i="24"/>
  <c r="AB1016" i="24"/>
  <c r="C1017" i="24"/>
  <c r="N1017" i="24"/>
  <c r="Q1017" i="24"/>
  <c r="R1017" i="24"/>
  <c r="W1017" i="24"/>
  <c r="AB1017" i="24"/>
  <c r="C1018" i="24"/>
  <c r="N1018" i="24"/>
  <c r="Q1018" i="24"/>
  <c r="R1018" i="24"/>
  <c r="W1018" i="24"/>
  <c r="AB1018" i="24"/>
  <c r="C1019" i="24"/>
  <c r="N1019" i="24"/>
  <c r="Q1019" i="24"/>
  <c r="R1019" i="24"/>
  <c r="W1019" i="24"/>
  <c r="AB1019" i="24"/>
  <c r="C1020" i="24"/>
  <c r="N1020" i="24"/>
  <c r="Q1020" i="24"/>
  <c r="R1020" i="24"/>
  <c r="W1020" i="24"/>
  <c r="AB1020" i="24"/>
  <c r="C1021" i="24"/>
  <c r="N1021" i="24"/>
  <c r="Q1021" i="24"/>
  <c r="R1021" i="24"/>
  <c r="W1021" i="24"/>
  <c r="AB1021" i="24"/>
  <c r="C1022" i="24"/>
  <c r="N1022" i="24"/>
  <c r="Q1022" i="24"/>
  <c r="R1022" i="24"/>
  <c r="W1022" i="24"/>
  <c r="AB1022" i="24"/>
  <c r="C1023" i="24"/>
  <c r="N1023" i="24"/>
  <c r="Q1023" i="24"/>
  <c r="R1023" i="24"/>
  <c r="W1023" i="24"/>
  <c r="AB1023" i="24"/>
  <c r="C1024" i="24"/>
  <c r="N1024" i="24"/>
  <c r="Q1024" i="24"/>
  <c r="R1024" i="24"/>
  <c r="W1024" i="24"/>
  <c r="AB1024" i="24"/>
  <c r="C1025" i="24"/>
  <c r="N1025" i="24"/>
  <c r="Q1025" i="24"/>
  <c r="R1025" i="24"/>
  <c r="W1025" i="24"/>
  <c r="AB1025" i="24"/>
  <c r="C1026" i="24"/>
  <c r="N1026" i="24"/>
  <c r="Q1026" i="24"/>
  <c r="R1026" i="24"/>
  <c r="W1026" i="24"/>
  <c r="AB1026" i="24"/>
  <c r="C1027" i="24"/>
  <c r="N1027" i="24"/>
  <c r="Q1027" i="24"/>
  <c r="R1027" i="24"/>
  <c r="W1027" i="24"/>
  <c r="AB1027" i="24"/>
  <c r="C1028" i="24"/>
  <c r="N1028" i="24"/>
  <c r="Q1028" i="24"/>
  <c r="R1028" i="24"/>
  <c r="W1028" i="24"/>
  <c r="AB1028" i="24"/>
  <c r="C1029" i="24"/>
  <c r="N1029" i="24"/>
  <c r="Q1029" i="24"/>
  <c r="R1029" i="24"/>
  <c r="W1029" i="24"/>
  <c r="AB1029" i="24"/>
  <c r="C1030" i="24"/>
  <c r="N1030" i="24"/>
  <c r="Q1030" i="24"/>
  <c r="R1030" i="24"/>
  <c r="W1030" i="24"/>
  <c r="AB1030" i="24"/>
  <c r="C1031" i="24"/>
  <c r="N1031" i="24"/>
  <c r="Q1031" i="24"/>
  <c r="R1031" i="24"/>
  <c r="W1031" i="24"/>
  <c r="AB1031" i="24"/>
  <c r="C1032" i="24"/>
  <c r="N1032" i="24"/>
  <c r="Q1032" i="24"/>
  <c r="R1032" i="24"/>
  <c r="W1032" i="24"/>
  <c r="AB1032" i="24"/>
  <c r="C1033" i="24"/>
  <c r="N1033" i="24"/>
  <c r="Q1033" i="24"/>
  <c r="R1033" i="24"/>
  <c r="W1033" i="24"/>
  <c r="AB1033" i="24"/>
  <c r="C1034" i="24"/>
  <c r="N1034" i="24"/>
  <c r="Q1034" i="24"/>
  <c r="R1034" i="24"/>
  <c r="W1034" i="24"/>
  <c r="AB1034" i="24"/>
  <c r="C1035" i="24"/>
  <c r="N1035" i="24"/>
  <c r="Q1035" i="24"/>
  <c r="R1035" i="24"/>
  <c r="W1035" i="24"/>
  <c r="AB1035" i="24"/>
  <c r="C1036" i="24"/>
  <c r="N1036" i="24"/>
  <c r="Q1036" i="24"/>
  <c r="R1036" i="24"/>
  <c r="W1036" i="24"/>
  <c r="AB1036" i="24"/>
  <c r="C1037" i="24"/>
  <c r="N1037" i="24"/>
  <c r="Q1037" i="24"/>
  <c r="R1037" i="24"/>
  <c r="W1037" i="24"/>
  <c r="AB1037" i="24"/>
  <c r="C1038" i="24"/>
  <c r="N1038" i="24"/>
  <c r="Q1038" i="24"/>
  <c r="R1038" i="24"/>
  <c r="W1038" i="24"/>
  <c r="AB1038" i="24"/>
  <c r="C1039" i="24"/>
  <c r="N1039" i="24"/>
  <c r="Q1039" i="24"/>
  <c r="R1039" i="24"/>
  <c r="W1039" i="24"/>
  <c r="AB1039" i="24"/>
  <c r="C1040" i="24"/>
  <c r="N1040" i="24"/>
  <c r="Q1040" i="24"/>
  <c r="R1040" i="24"/>
  <c r="W1040" i="24"/>
  <c r="AB1040" i="24"/>
  <c r="C1041" i="24"/>
  <c r="N1041" i="24"/>
  <c r="Q1041" i="24"/>
  <c r="R1041" i="24"/>
  <c r="W1041" i="24"/>
  <c r="AB1041" i="24"/>
  <c r="C1042" i="24"/>
  <c r="N1042" i="24"/>
  <c r="Q1042" i="24"/>
  <c r="R1042" i="24"/>
  <c r="W1042" i="24"/>
  <c r="AB1042" i="24"/>
  <c r="C1043" i="24"/>
  <c r="N1043" i="24"/>
  <c r="Q1043" i="24"/>
  <c r="R1043" i="24"/>
  <c r="W1043" i="24"/>
  <c r="AB1043" i="24"/>
  <c r="C1044" i="24"/>
  <c r="N1044" i="24"/>
  <c r="Q1044" i="24"/>
  <c r="R1044" i="24"/>
  <c r="W1044" i="24"/>
  <c r="AB1044" i="24"/>
  <c r="C1045" i="24"/>
  <c r="N1045" i="24"/>
  <c r="Q1045" i="24"/>
  <c r="R1045" i="24"/>
  <c r="W1045" i="24"/>
  <c r="AB1045" i="24"/>
  <c r="C1046" i="24"/>
  <c r="N1046" i="24"/>
  <c r="Q1046" i="24"/>
  <c r="R1046" i="24"/>
  <c r="W1046" i="24"/>
  <c r="AB1046" i="24"/>
  <c r="C1047" i="24"/>
  <c r="N1047" i="24"/>
  <c r="Q1047" i="24"/>
  <c r="R1047" i="24"/>
  <c r="W1047" i="24"/>
  <c r="AB1047" i="24"/>
  <c r="C1048" i="24"/>
  <c r="N1048" i="24"/>
  <c r="Q1048" i="24"/>
  <c r="R1048" i="24"/>
  <c r="W1048" i="24"/>
  <c r="AB1048" i="24"/>
  <c r="C1049" i="24"/>
  <c r="N1049" i="24"/>
  <c r="Q1049" i="24"/>
  <c r="R1049" i="24"/>
  <c r="W1049" i="24"/>
  <c r="AB1049" i="24"/>
  <c r="C1050" i="24"/>
  <c r="N1050" i="24"/>
  <c r="Q1050" i="24"/>
  <c r="R1050" i="24"/>
  <c r="W1050" i="24"/>
  <c r="AB1050" i="24"/>
  <c r="C1051" i="24"/>
  <c r="N1051" i="24"/>
  <c r="Q1051" i="24"/>
  <c r="R1051" i="24"/>
  <c r="W1051" i="24"/>
  <c r="AB1051" i="24"/>
  <c r="C1052" i="24"/>
  <c r="N1052" i="24"/>
  <c r="Q1052" i="24"/>
  <c r="R1052" i="24"/>
  <c r="W1052" i="24"/>
  <c r="AB1052" i="24"/>
  <c r="C1053" i="24"/>
  <c r="N1053" i="24"/>
  <c r="Q1053" i="24"/>
  <c r="R1053" i="24"/>
  <c r="W1053" i="24"/>
  <c r="AB1053" i="24"/>
  <c r="C1054" i="24"/>
  <c r="N1054" i="24"/>
  <c r="Q1054" i="24"/>
  <c r="R1054" i="24"/>
  <c r="W1054" i="24"/>
  <c r="AB1054" i="24"/>
  <c r="C1055" i="24"/>
  <c r="N1055" i="24"/>
  <c r="Q1055" i="24"/>
  <c r="R1055" i="24"/>
  <c r="W1055" i="24"/>
  <c r="AB1055" i="24"/>
  <c r="C1056" i="24"/>
  <c r="N1056" i="24"/>
  <c r="Q1056" i="24"/>
  <c r="R1056" i="24"/>
  <c r="W1056" i="24"/>
  <c r="AB1056" i="24"/>
  <c r="C1057" i="24"/>
  <c r="N1057" i="24"/>
  <c r="Q1057" i="24"/>
  <c r="R1057" i="24"/>
  <c r="W1057" i="24"/>
  <c r="AB1057" i="24"/>
  <c r="C1058" i="24"/>
  <c r="N1058" i="24"/>
  <c r="Q1058" i="24"/>
  <c r="R1058" i="24"/>
  <c r="W1058" i="24"/>
  <c r="AB1058" i="24"/>
  <c r="C1059" i="24"/>
  <c r="N1059" i="24"/>
  <c r="Q1059" i="24"/>
  <c r="R1059" i="24"/>
  <c r="W1059" i="24"/>
  <c r="AB1059" i="24"/>
  <c r="C1060" i="24"/>
  <c r="N1060" i="24"/>
  <c r="Q1060" i="24"/>
  <c r="R1060" i="24"/>
  <c r="W1060" i="24"/>
  <c r="AB1060" i="24"/>
  <c r="C1061" i="24"/>
  <c r="N1061" i="24"/>
  <c r="Q1061" i="24"/>
  <c r="R1061" i="24"/>
  <c r="W1061" i="24"/>
  <c r="AB1061" i="24"/>
  <c r="C1062" i="24"/>
  <c r="N1062" i="24"/>
  <c r="Q1062" i="24"/>
  <c r="R1062" i="24"/>
  <c r="W1062" i="24"/>
  <c r="AB1062" i="24"/>
  <c r="C1063" i="24"/>
  <c r="N1063" i="24"/>
  <c r="Q1063" i="24"/>
  <c r="R1063" i="24"/>
  <c r="W1063" i="24"/>
  <c r="AB1063" i="24"/>
  <c r="C1064" i="24"/>
  <c r="N1064" i="24"/>
  <c r="Q1064" i="24"/>
  <c r="R1064" i="24"/>
  <c r="W1064" i="24"/>
  <c r="AB1064" i="24"/>
  <c r="C1065" i="24"/>
  <c r="N1065" i="24"/>
  <c r="Q1065" i="24"/>
  <c r="R1065" i="24"/>
  <c r="W1065" i="24"/>
  <c r="AB1065" i="24"/>
  <c r="C1066" i="24"/>
  <c r="N1066" i="24"/>
  <c r="Q1066" i="24"/>
  <c r="R1066" i="24"/>
  <c r="W1066" i="24"/>
  <c r="AB1066" i="24"/>
  <c r="C1067" i="24"/>
  <c r="N1067" i="24"/>
  <c r="Q1067" i="24"/>
  <c r="R1067" i="24"/>
  <c r="W1067" i="24"/>
  <c r="AB1067" i="24"/>
  <c r="C1068" i="24"/>
  <c r="N1068" i="24"/>
  <c r="Q1068" i="24"/>
  <c r="R1068" i="24"/>
  <c r="W1068" i="24"/>
  <c r="AB1068" i="24"/>
  <c r="C1069" i="24"/>
  <c r="N1069" i="24"/>
  <c r="Q1069" i="24"/>
  <c r="R1069" i="24"/>
  <c r="W1069" i="24"/>
  <c r="AB1069" i="24"/>
  <c r="C1070" i="24"/>
  <c r="N1070" i="24"/>
  <c r="Q1070" i="24"/>
  <c r="R1070" i="24"/>
  <c r="W1070" i="24"/>
  <c r="AB1070" i="24"/>
  <c r="C1071" i="24"/>
  <c r="N1071" i="24"/>
  <c r="Q1071" i="24"/>
  <c r="R1071" i="24"/>
  <c r="W1071" i="24"/>
  <c r="AB1071" i="24"/>
  <c r="C1072" i="24"/>
  <c r="N1072" i="24"/>
  <c r="Q1072" i="24"/>
  <c r="R1072" i="24"/>
  <c r="W1072" i="24"/>
  <c r="AB1072" i="24"/>
  <c r="C1073" i="24"/>
  <c r="N1073" i="24"/>
  <c r="Q1073" i="24"/>
  <c r="R1073" i="24"/>
  <c r="W1073" i="24"/>
  <c r="AB1073" i="24"/>
  <c r="C1074" i="24"/>
  <c r="N1074" i="24"/>
  <c r="Q1074" i="24"/>
  <c r="R1074" i="24"/>
  <c r="W1074" i="24"/>
  <c r="AB1074" i="24"/>
  <c r="C1075" i="24"/>
  <c r="N1075" i="24"/>
  <c r="Q1075" i="24"/>
  <c r="R1075" i="24"/>
  <c r="W1075" i="24"/>
  <c r="AB1075" i="24"/>
  <c r="C1076" i="24"/>
  <c r="N1076" i="24"/>
  <c r="Q1076" i="24"/>
  <c r="R1076" i="24"/>
  <c r="W1076" i="24"/>
  <c r="AB1076" i="24"/>
  <c r="C1077" i="24"/>
  <c r="N1077" i="24"/>
  <c r="Q1077" i="24"/>
  <c r="R1077" i="24"/>
  <c r="W1077" i="24"/>
  <c r="AB1077" i="24"/>
  <c r="C1078" i="24"/>
  <c r="N1078" i="24"/>
  <c r="Q1078" i="24"/>
  <c r="R1078" i="24"/>
  <c r="W1078" i="24"/>
  <c r="AB1078" i="24"/>
  <c r="C1079" i="24"/>
  <c r="N1079" i="24"/>
  <c r="Q1079" i="24"/>
  <c r="R1079" i="24"/>
  <c r="W1079" i="24"/>
  <c r="AB1079" i="24"/>
  <c r="C1080" i="24"/>
  <c r="N1080" i="24"/>
  <c r="Q1080" i="24"/>
  <c r="R1080" i="24"/>
  <c r="W1080" i="24"/>
  <c r="AB1080" i="24"/>
  <c r="C1081" i="24"/>
  <c r="N1081" i="24"/>
  <c r="Q1081" i="24"/>
  <c r="R1081" i="24"/>
  <c r="W1081" i="24"/>
  <c r="AB1081" i="24"/>
  <c r="C1082" i="24"/>
  <c r="N1082" i="24"/>
  <c r="Q1082" i="24"/>
  <c r="R1082" i="24"/>
  <c r="W1082" i="24"/>
  <c r="AB1082" i="24"/>
  <c r="C1083" i="24"/>
  <c r="N1083" i="24"/>
  <c r="Q1083" i="24"/>
  <c r="R1083" i="24"/>
  <c r="W1083" i="24"/>
  <c r="AB1083" i="24"/>
  <c r="C1084" i="24"/>
  <c r="N1084" i="24"/>
  <c r="Q1084" i="24"/>
  <c r="R1084" i="24"/>
  <c r="W1084" i="24"/>
  <c r="AB1084" i="24"/>
  <c r="C1085" i="24"/>
  <c r="N1085" i="24"/>
  <c r="Q1085" i="24"/>
  <c r="R1085" i="24"/>
  <c r="W1085" i="24"/>
  <c r="AB1085" i="24"/>
  <c r="C1086" i="24"/>
  <c r="N1086" i="24"/>
  <c r="Q1086" i="24"/>
  <c r="R1086" i="24"/>
  <c r="W1086" i="24"/>
  <c r="AB1086" i="24"/>
  <c r="C1087" i="24"/>
  <c r="N1087" i="24"/>
  <c r="Q1087" i="24"/>
  <c r="R1087" i="24"/>
  <c r="W1087" i="24"/>
  <c r="AB1087" i="24"/>
  <c r="C1088" i="24"/>
  <c r="N1088" i="24"/>
  <c r="Q1088" i="24"/>
  <c r="R1088" i="24"/>
  <c r="W1088" i="24"/>
  <c r="AB1088" i="24"/>
  <c r="C1089" i="24"/>
  <c r="N1089" i="24"/>
  <c r="Q1089" i="24"/>
  <c r="R1089" i="24"/>
  <c r="W1089" i="24"/>
  <c r="AB1089" i="24"/>
  <c r="C1090" i="24"/>
  <c r="N1090" i="24"/>
  <c r="Q1090" i="24"/>
  <c r="R1090" i="24"/>
  <c r="W1090" i="24"/>
  <c r="AB1090" i="24"/>
  <c r="C1091" i="24"/>
  <c r="N1091" i="24"/>
  <c r="Q1091" i="24"/>
  <c r="R1091" i="24"/>
  <c r="W1091" i="24"/>
  <c r="AB1091" i="24"/>
  <c r="C1092" i="24"/>
  <c r="N1092" i="24"/>
  <c r="Q1092" i="24"/>
  <c r="R1092" i="24"/>
  <c r="W1092" i="24"/>
  <c r="AB1092" i="24"/>
  <c r="C1093" i="24"/>
  <c r="N1093" i="24"/>
  <c r="Q1093" i="24"/>
  <c r="R1093" i="24"/>
  <c r="W1093" i="24"/>
  <c r="AB1093" i="24"/>
  <c r="C1094" i="24"/>
  <c r="N1094" i="24"/>
  <c r="Q1094" i="24"/>
  <c r="R1094" i="24"/>
  <c r="W1094" i="24"/>
  <c r="AB1094" i="24"/>
  <c r="C1095" i="24"/>
  <c r="N1095" i="24"/>
  <c r="Q1095" i="24"/>
  <c r="R1095" i="24"/>
  <c r="W1095" i="24"/>
  <c r="AB1095" i="24"/>
  <c r="C1096" i="24"/>
  <c r="N1096" i="24"/>
  <c r="Q1096" i="24"/>
  <c r="R1096" i="24"/>
  <c r="W1096" i="24"/>
  <c r="AB1096" i="24"/>
  <c r="C1097" i="24"/>
  <c r="N1097" i="24"/>
  <c r="Q1097" i="24"/>
  <c r="R1097" i="24"/>
  <c r="W1097" i="24"/>
  <c r="AB1097" i="24"/>
  <c r="C1098" i="24"/>
  <c r="N1098" i="24"/>
  <c r="Q1098" i="24"/>
  <c r="R1098" i="24"/>
  <c r="W1098" i="24"/>
  <c r="AB1098" i="24"/>
  <c r="C1099" i="24"/>
  <c r="N1099" i="24"/>
  <c r="Q1099" i="24"/>
  <c r="R1099" i="24"/>
  <c r="W1099" i="24"/>
  <c r="AB1099" i="24"/>
  <c r="C1100" i="24"/>
  <c r="N1100" i="24"/>
  <c r="Q1100" i="24"/>
  <c r="R1100" i="24"/>
  <c r="W1100" i="24"/>
  <c r="AB1100" i="24"/>
  <c r="C1101" i="24"/>
  <c r="N1101" i="24"/>
  <c r="Q1101" i="24"/>
  <c r="R1101" i="24"/>
  <c r="W1101" i="24"/>
  <c r="AB1101" i="24"/>
  <c r="C1102" i="24"/>
  <c r="N1102" i="24"/>
  <c r="Q1102" i="24"/>
  <c r="R1102" i="24"/>
  <c r="W1102" i="24"/>
  <c r="AB1102" i="24"/>
  <c r="C1103" i="24"/>
  <c r="N1103" i="24"/>
  <c r="Q1103" i="24"/>
  <c r="R1103" i="24"/>
  <c r="W1103" i="24"/>
  <c r="AB1103" i="24"/>
  <c r="C1104" i="24"/>
  <c r="N1104" i="24"/>
  <c r="Q1104" i="24"/>
  <c r="R1104" i="24"/>
  <c r="W1104" i="24"/>
  <c r="AB1104" i="24"/>
  <c r="C1105" i="24"/>
  <c r="N1105" i="24"/>
  <c r="Q1105" i="24"/>
  <c r="R1105" i="24"/>
  <c r="W1105" i="24"/>
  <c r="AB1105" i="24"/>
  <c r="C1106" i="24"/>
  <c r="N1106" i="24"/>
  <c r="Q1106" i="24"/>
  <c r="R1106" i="24"/>
  <c r="W1106" i="24"/>
  <c r="AB1106" i="24"/>
  <c r="C1107" i="24"/>
  <c r="N1107" i="24"/>
  <c r="Q1107" i="24"/>
  <c r="R1107" i="24"/>
  <c r="W1107" i="24"/>
  <c r="AB1107" i="24"/>
  <c r="C1108" i="24"/>
  <c r="N1108" i="24"/>
  <c r="Q1108" i="24"/>
  <c r="R1108" i="24"/>
  <c r="W1108" i="24"/>
  <c r="AB1108" i="24"/>
  <c r="C1109" i="24"/>
  <c r="N1109" i="24"/>
  <c r="Q1109" i="24"/>
  <c r="R1109" i="24"/>
  <c r="W1109" i="24"/>
  <c r="AB1109" i="24"/>
  <c r="C1110" i="24"/>
  <c r="N1110" i="24"/>
  <c r="Q1110" i="24"/>
  <c r="R1110" i="24"/>
  <c r="W1110" i="24"/>
  <c r="AB1110" i="24"/>
  <c r="C1111" i="24"/>
  <c r="N1111" i="24"/>
  <c r="Q1111" i="24"/>
  <c r="R1111" i="24"/>
  <c r="W1111" i="24"/>
  <c r="AB1111" i="24"/>
  <c r="C1112" i="24"/>
  <c r="N1112" i="24"/>
  <c r="Q1112" i="24"/>
  <c r="R1112" i="24"/>
  <c r="W1112" i="24"/>
  <c r="AB1112" i="24"/>
  <c r="C1113" i="24"/>
  <c r="N1113" i="24"/>
  <c r="Q1113" i="24"/>
  <c r="R1113" i="24"/>
  <c r="W1113" i="24"/>
  <c r="AB1113" i="24"/>
  <c r="C1114" i="24"/>
  <c r="N1114" i="24"/>
  <c r="Q1114" i="24"/>
  <c r="R1114" i="24"/>
  <c r="W1114" i="24"/>
  <c r="AB1114" i="24"/>
  <c r="C1115" i="24"/>
  <c r="N1115" i="24"/>
  <c r="Q1115" i="24"/>
  <c r="R1115" i="24"/>
  <c r="W1115" i="24"/>
  <c r="AB1115" i="24"/>
  <c r="C1116" i="24"/>
  <c r="N1116" i="24"/>
  <c r="Q1116" i="24"/>
  <c r="R1116" i="24"/>
  <c r="W1116" i="24"/>
  <c r="AB1116" i="24"/>
  <c r="C1117" i="24"/>
  <c r="N1117" i="24"/>
  <c r="Q1117" i="24"/>
  <c r="R1117" i="24"/>
  <c r="W1117" i="24"/>
  <c r="AB1117" i="24"/>
  <c r="C1118" i="24"/>
  <c r="N1118" i="24"/>
  <c r="Q1118" i="24"/>
  <c r="R1118" i="24"/>
  <c r="W1118" i="24"/>
  <c r="AB1118" i="24"/>
  <c r="C1119" i="24"/>
  <c r="N1119" i="24"/>
  <c r="Q1119" i="24"/>
  <c r="R1119" i="24"/>
  <c r="W1119" i="24"/>
  <c r="AB1119" i="24"/>
  <c r="C1120" i="24"/>
  <c r="N1120" i="24"/>
  <c r="Q1120" i="24"/>
  <c r="R1120" i="24"/>
  <c r="W1120" i="24"/>
  <c r="AB1120" i="24"/>
  <c r="C1121" i="24"/>
  <c r="N1121" i="24"/>
  <c r="Q1121" i="24"/>
  <c r="R1121" i="24"/>
  <c r="W1121" i="24"/>
  <c r="AB1121" i="24"/>
  <c r="C1122" i="24"/>
  <c r="N1122" i="24"/>
  <c r="Q1122" i="24"/>
  <c r="R1122" i="24"/>
  <c r="W1122" i="24"/>
  <c r="AB1122" i="24"/>
  <c r="C1123" i="24"/>
  <c r="N1123" i="24"/>
  <c r="Q1123" i="24"/>
  <c r="R1123" i="24"/>
  <c r="W1123" i="24"/>
  <c r="AB1123" i="24"/>
  <c r="C1124" i="24"/>
  <c r="N1124" i="24"/>
  <c r="Q1124" i="24"/>
  <c r="R1124" i="24"/>
  <c r="W1124" i="24"/>
  <c r="AB1124" i="24"/>
  <c r="C1125" i="24"/>
  <c r="N1125" i="24"/>
  <c r="Q1125" i="24"/>
  <c r="R1125" i="24"/>
  <c r="W1125" i="24"/>
  <c r="AB1125" i="24"/>
  <c r="C1126" i="24"/>
  <c r="N1126" i="24"/>
  <c r="Q1126" i="24"/>
  <c r="R1126" i="24"/>
  <c r="W1126" i="24"/>
  <c r="AB1126" i="24"/>
  <c r="C1127" i="24"/>
  <c r="N1127" i="24"/>
  <c r="Q1127" i="24"/>
  <c r="R1127" i="24"/>
  <c r="W1127" i="24"/>
  <c r="AB1127" i="24"/>
  <c r="C1128" i="24"/>
  <c r="N1128" i="24"/>
  <c r="Q1128" i="24"/>
  <c r="R1128" i="24"/>
  <c r="W1128" i="24"/>
  <c r="AB1128" i="24"/>
  <c r="C1129" i="24"/>
  <c r="N1129" i="24"/>
  <c r="Q1129" i="24"/>
  <c r="R1129" i="24"/>
  <c r="W1129" i="24"/>
  <c r="AB1129" i="24"/>
  <c r="C1130" i="24"/>
  <c r="N1130" i="24"/>
  <c r="Q1130" i="24"/>
  <c r="R1130" i="24"/>
  <c r="W1130" i="24"/>
  <c r="AB1130" i="24"/>
  <c r="C1131" i="24"/>
  <c r="N1131" i="24"/>
  <c r="Q1131" i="24"/>
  <c r="R1131" i="24"/>
  <c r="W1131" i="24"/>
  <c r="AB1131" i="24"/>
  <c r="C1132" i="24"/>
  <c r="N1132" i="24"/>
  <c r="Q1132" i="24"/>
  <c r="R1132" i="24"/>
  <c r="W1132" i="24"/>
  <c r="AB1132" i="24"/>
  <c r="C1133" i="24"/>
  <c r="N1133" i="24"/>
  <c r="Q1133" i="24"/>
  <c r="R1133" i="24"/>
  <c r="W1133" i="24"/>
  <c r="AB1133" i="24"/>
  <c r="C1134" i="24"/>
  <c r="N1134" i="24"/>
  <c r="Q1134" i="24"/>
  <c r="R1134" i="24"/>
  <c r="W1134" i="24"/>
  <c r="AB1134" i="24"/>
  <c r="C1135" i="24"/>
  <c r="N1135" i="24"/>
  <c r="Q1135" i="24"/>
  <c r="R1135" i="24"/>
  <c r="W1135" i="24"/>
  <c r="AB1135" i="24"/>
  <c r="C1136" i="24"/>
  <c r="N1136" i="24"/>
  <c r="Q1136" i="24"/>
  <c r="R1136" i="24"/>
  <c r="W1136" i="24"/>
  <c r="AB1136" i="24"/>
  <c r="C1137" i="24"/>
  <c r="N1137" i="24"/>
  <c r="Q1137" i="24"/>
  <c r="R1137" i="24"/>
  <c r="W1137" i="24"/>
  <c r="AB1137" i="24"/>
  <c r="C1138" i="24"/>
  <c r="N1138" i="24"/>
  <c r="Q1138" i="24"/>
  <c r="R1138" i="24"/>
  <c r="W1138" i="24"/>
  <c r="AB1138" i="24"/>
  <c r="C1139" i="24"/>
  <c r="N1139" i="24"/>
  <c r="Q1139" i="24"/>
  <c r="R1139" i="24"/>
  <c r="W1139" i="24"/>
  <c r="AB1139" i="24"/>
  <c r="C1140" i="24"/>
  <c r="N1140" i="24"/>
  <c r="Q1140" i="24"/>
  <c r="R1140" i="24"/>
  <c r="W1140" i="24"/>
  <c r="AB1140" i="24"/>
  <c r="C1141" i="24"/>
  <c r="N1141" i="24"/>
  <c r="Q1141" i="24"/>
  <c r="R1141" i="24"/>
  <c r="W1141" i="24"/>
  <c r="AB1141" i="24"/>
  <c r="C1142" i="24"/>
  <c r="N1142" i="24"/>
  <c r="Q1142" i="24"/>
  <c r="R1142" i="24"/>
  <c r="W1142" i="24"/>
  <c r="AB1142" i="24"/>
  <c r="C1143" i="24"/>
  <c r="N1143" i="24"/>
  <c r="Q1143" i="24"/>
  <c r="R1143" i="24"/>
  <c r="W1143" i="24"/>
  <c r="AB1143" i="24"/>
  <c r="C1144" i="24"/>
  <c r="N1144" i="24"/>
  <c r="Q1144" i="24"/>
  <c r="R1144" i="24"/>
  <c r="W1144" i="24"/>
  <c r="AB1144" i="24"/>
  <c r="C1145" i="24"/>
  <c r="N1145" i="24"/>
  <c r="Q1145" i="24"/>
  <c r="R1145" i="24"/>
  <c r="W1145" i="24"/>
  <c r="AB1145" i="24"/>
  <c r="C1146" i="24"/>
  <c r="N1146" i="24"/>
  <c r="Q1146" i="24"/>
  <c r="R1146" i="24"/>
  <c r="W1146" i="24"/>
  <c r="AB1146" i="24"/>
  <c r="C1149" i="24"/>
  <c r="N1149" i="24"/>
  <c r="Q1149" i="24"/>
  <c r="R1149" i="24"/>
  <c r="W1149" i="24"/>
  <c r="AB1149" i="24"/>
  <c r="C1150" i="24"/>
  <c r="N1150" i="24"/>
  <c r="Q1150" i="24"/>
  <c r="R1150" i="24"/>
  <c r="W1150" i="24"/>
  <c r="AB1150" i="24"/>
  <c r="C1151" i="24"/>
  <c r="N1151" i="24"/>
  <c r="Q1151" i="24"/>
  <c r="R1151" i="24"/>
  <c r="W1151" i="24"/>
  <c r="AB1151" i="24"/>
  <c r="C1152" i="24"/>
  <c r="N1152" i="24"/>
  <c r="Q1152" i="24"/>
  <c r="R1152" i="24"/>
  <c r="W1152" i="24"/>
  <c r="AB1152" i="24"/>
  <c r="C1153" i="24"/>
  <c r="N1153" i="24"/>
  <c r="Q1153" i="24"/>
  <c r="R1153" i="24"/>
  <c r="W1153" i="24"/>
  <c r="AB1153" i="24"/>
  <c r="C1154" i="24"/>
  <c r="N1154" i="24"/>
  <c r="Q1154" i="24"/>
  <c r="R1154" i="24"/>
  <c r="W1154" i="24"/>
  <c r="AB1154" i="24"/>
  <c r="C1155" i="24"/>
  <c r="N1155" i="24"/>
  <c r="Q1155" i="24"/>
  <c r="R1155" i="24"/>
  <c r="W1155" i="24"/>
  <c r="AB1155" i="24"/>
  <c r="C1156" i="24"/>
  <c r="N1156" i="24"/>
  <c r="Q1156" i="24"/>
  <c r="R1156" i="24"/>
  <c r="W1156" i="24"/>
  <c r="AB1156" i="24"/>
  <c r="C1157" i="24"/>
  <c r="N1157" i="24"/>
  <c r="Q1157" i="24"/>
  <c r="R1157" i="24"/>
  <c r="W1157" i="24"/>
  <c r="AB1157" i="24"/>
  <c r="C1158" i="24"/>
  <c r="N1158" i="24"/>
  <c r="Q1158" i="24"/>
  <c r="R1158" i="24"/>
  <c r="W1158" i="24"/>
  <c r="AB1158" i="24"/>
  <c r="C1159" i="24"/>
  <c r="N1159" i="24"/>
  <c r="Q1159" i="24"/>
  <c r="R1159" i="24"/>
  <c r="W1159" i="24"/>
  <c r="AB1159" i="24"/>
  <c r="C1160" i="24"/>
  <c r="N1160" i="24"/>
  <c r="Q1160" i="24"/>
  <c r="R1160" i="24"/>
  <c r="W1160" i="24"/>
  <c r="AB1160" i="24"/>
  <c r="C1161" i="24"/>
  <c r="N1161" i="24"/>
  <c r="Q1161" i="24"/>
  <c r="R1161" i="24"/>
  <c r="W1161" i="24"/>
  <c r="AB1161" i="24"/>
  <c r="C1162" i="24"/>
  <c r="N1162" i="24"/>
  <c r="Q1162" i="24"/>
  <c r="R1162" i="24"/>
  <c r="W1162" i="24"/>
  <c r="AB1162" i="24"/>
  <c r="C1163" i="24"/>
  <c r="N1163" i="24"/>
  <c r="Q1163" i="24"/>
  <c r="R1163" i="24"/>
  <c r="W1163" i="24"/>
  <c r="AB1163" i="24"/>
  <c r="C1164" i="24"/>
  <c r="N1164" i="24"/>
  <c r="Q1164" i="24"/>
  <c r="R1164" i="24"/>
  <c r="W1164" i="24"/>
  <c r="AB1164" i="24"/>
  <c r="C1165" i="24"/>
  <c r="N1165" i="24"/>
  <c r="Q1165" i="24"/>
  <c r="R1165" i="24"/>
  <c r="W1165" i="24"/>
  <c r="AB1165" i="24"/>
  <c r="C1166" i="24"/>
  <c r="N1166" i="24"/>
  <c r="Q1166" i="24"/>
  <c r="R1166" i="24"/>
  <c r="W1166" i="24"/>
  <c r="AB1166" i="24"/>
  <c r="C1167" i="24"/>
  <c r="N1167" i="24"/>
  <c r="Q1167" i="24"/>
  <c r="R1167" i="24"/>
  <c r="W1167" i="24"/>
  <c r="AB1167" i="24"/>
  <c r="C1168" i="24"/>
  <c r="N1168" i="24"/>
  <c r="Q1168" i="24"/>
  <c r="R1168" i="24"/>
  <c r="W1168" i="24"/>
  <c r="AB1168" i="24"/>
  <c r="C1169" i="24"/>
  <c r="N1169" i="24"/>
  <c r="Q1169" i="24"/>
  <c r="R1169" i="24"/>
  <c r="W1169" i="24"/>
  <c r="AB1169" i="24"/>
  <c r="C1170" i="24"/>
  <c r="N1170" i="24"/>
  <c r="Q1170" i="24"/>
  <c r="R1170" i="24"/>
  <c r="W1170" i="24"/>
  <c r="AB1170" i="24"/>
  <c r="C1171" i="24"/>
  <c r="N1171" i="24"/>
  <c r="Q1171" i="24"/>
  <c r="R1171" i="24"/>
  <c r="W1171" i="24"/>
  <c r="AB1171" i="24"/>
  <c r="C1172" i="24"/>
  <c r="N1172" i="24"/>
  <c r="Q1172" i="24"/>
  <c r="R1172" i="24"/>
  <c r="W1172" i="24"/>
  <c r="AB1172" i="24"/>
  <c r="C1173" i="24"/>
  <c r="N1173" i="24"/>
  <c r="Q1173" i="24"/>
  <c r="R1173" i="24"/>
  <c r="W1173" i="24"/>
  <c r="AB1173" i="24"/>
  <c r="C1174" i="24"/>
  <c r="N1174" i="24"/>
  <c r="Q1174" i="24"/>
  <c r="R1174" i="24"/>
  <c r="W1174" i="24"/>
  <c r="AB1174" i="24"/>
  <c r="C1175" i="24"/>
  <c r="N1175" i="24"/>
  <c r="Q1175" i="24"/>
  <c r="R1175" i="24"/>
  <c r="W1175" i="24"/>
  <c r="AB1175" i="24"/>
  <c r="C1176" i="24"/>
  <c r="N1176" i="24"/>
  <c r="Q1176" i="24"/>
  <c r="R1176" i="24"/>
  <c r="W1176" i="24"/>
  <c r="AB1176" i="24"/>
  <c r="C1177" i="24"/>
  <c r="N1177" i="24"/>
  <c r="Q1177" i="24"/>
  <c r="R1177" i="24"/>
  <c r="W1177" i="24"/>
  <c r="AB1177" i="24"/>
  <c r="C1178" i="24"/>
  <c r="N1178" i="24"/>
  <c r="Q1178" i="24"/>
  <c r="R1178" i="24"/>
  <c r="W1178" i="24"/>
  <c r="AB1178" i="24"/>
  <c r="C1179" i="24"/>
  <c r="N1179" i="24"/>
  <c r="Q1179" i="24"/>
  <c r="R1179" i="24"/>
  <c r="W1179" i="24"/>
  <c r="AB1179" i="24"/>
  <c r="C1180" i="24"/>
  <c r="N1180" i="24"/>
  <c r="Q1180" i="24"/>
  <c r="R1180" i="24"/>
  <c r="W1180" i="24"/>
  <c r="AB1180" i="24"/>
  <c r="C1181" i="24"/>
  <c r="N1181" i="24"/>
  <c r="Q1181" i="24"/>
  <c r="R1181" i="24"/>
  <c r="W1181" i="24"/>
  <c r="AB1181" i="24"/>
  <c r="C1182" i="24"/>
  <c r="N1182" i="24"/>
  <c r="Q1182" i="24"/>
  <c r="R1182" i="24"/>
  <c r="W1182" i="24"/>
  <c r="AB1182" i="24"/>
  <c r="C1183" i="24"/>
  <c r="N1183" i="24"/>
  <c r="Q1183" i="24"/>
  <c r="R1183" i="24"/>
  <c r="W1183" i="24"/>
  <c r="AB1183" i="24"/>
  <c r="C1184" i="24"/>
  <c r="N1184" i="24"/>
  <c r="Q1184" i="24"/>
  <c r="R1184" i="24"/>
  <c r="W1184" i="24"/>
  <c r="AB1184" i="24"/>
  <c r="C1185" i="24"/>
  <c r="N1185" i="24"/>
  <c r="Q1185" i="24"/>
  <c r="R1185" i="24"/>
  <c r="W1185" i="24"/>
  <c r="AB1185" i="24"/>
  <c r="C1186" i="24"/>
  <c r="N1186" i="24"/>
  <c r="Q1186" i="24"/>
  <c r="R1186" i="24"/>
  <c r="W1186" i="24"/>
  <c r="AB1186" i="24"/>
  <c r="C1187" i="24"/>
  <c r="N1187" i="24"/>
  <c r="Q1187" i="24"/>
  <c r="R1187" i="24"/>
  <c r="W1187" i="24"/>
  <c r="AB1187" i="24"/>
  <c r="C1188" i="24"/>
  <c r="N1188" i="24"/>
  <c r="Q1188" i="24"/>
  <c r="R1188" i="24"/>
  <c r="W1188" i="24"/>
  <c r="AB1188" i="24"/>
  <c r="C1189" i="24"/>
  <c r="N1189" i="24"/>
  <c r="Q1189" i="24"/>
  <c r="R1189" i="24"/>
  <c r="W1189" i="24"/>
  <c r="AB1189" i="24"/>
  <c r="C1190" i="24"/>
  <c r="N1190" i="24"/>
  <c r="Q1190" i="24"/>
  <c r="R1190" i="24"/>
  <c r="W1190" i="24"/>
  <c r="AB1190" i="24"/>
  <c r="C1191" i="24"/>
  <c r="N1191" i="24"/>
  <c r="Q1191" i="24"/>
  <c r="R1191" i="24"/>
  <c r="W1191" i="24"/>
  <c r="AB1191" i="24"/>
  <c r="C1192" i="24"/>
  <c r="N1192" i="24"/>
  <c r="Q1192" i="24"/>
  <c r="R1192" i="24"/>
  <c r="W1192" i="24"/>
  <c r="AB1192" i="24"/>
  <c r="C1193" i="24"/>
  <c r="N1193" i="24"/>
  <c r="Q1193" i="24"/>
  <c r="R1193" i="24"/>
  <c r="W1193" i="24"/>
  <c r="AB1193" i="24"/>
  <c r="C1194" i="24"/>
  <c r="N1194" i="24"/>
  <c r="Q1194" i="24"/>
  <c r="R1194" i="24"/>
  <c r="W1194" i="24"/>
  <c r="AB1194" i="24"/>
  <c r="C1195" i="24"/>
  <c r="N1195" i="24"/>
  <c r="Q1195" i="24"/>
  <c r="R1195" i="24"/>
  <c r="W1195" i="24"/>
  <c r="AB1195" i="24"/>
  <c r="C1196" i="24"/>
  <c r="N1196" i="24"/>
  <c r="Q1196" i="24"/>
  <c r="R1196" i="24"/>
  <c r="W1196" i="24"/>
  <c r="AB1196" i="24"/>
  <c r="C1197" i="24"/>
  <c r="N1197" i="24"/>
  <c r="Q1197" i="24"/>
  <c r="R1197" i="24"/>
  <c r="W1197" i="24"/>
  <c r="AB1197" i="24"/>
  <c r="C1198" i="24"/>
  <c r="N1198" i="24"/>
  <c r="Q1198" i="24"/>
  <c r="R1198" i="24"/>
  <c r="W1198" i="24"/>
  <c r="AB1198" i="24"/>
  <c r="C1199" i="24"/>
  <c r="N1199" i="24"/>
  <c r="Q1199" i="24"/>
  <c r="R1199" i="24"/>
  <c r="W1199" i="24"/>
  <c r="AB1199" i="24"/>
  <c r="C1200" i="24"/>
  <c r="N1200" i="24"/>
  <c r="Q1200" i="24"/>
  <c r="R1200" i="24"/>
  <c r="W1200" i="24"/>
  <c r="AB1200" i="24"/>
  <c r="C1201" i="24"/>
  <c r="N1201" i="24"/>
  <c r="Q1201" i="24"/>
  <c r="R1201" i="24"/>
  <c r="W1201" i="24"/>
  <c r="AB1201" i="24"/>
  <c r="C1202" i="24"/>
  <c r="N1202" i="24"/>
  <c r="Q1202" i="24"/>
  <c r="R1202" i="24"/>
  <c r="W1202" i="24"/>
  <c r="AB1202" i="24"/>
  <c r="C1203" i="24"/>
  <c r="N1203" i="24"/>
  <c r="Q1203" i="24"/>
  <c r="R1203" i="24"/>
  <c r="W1203" i="24"/>
  <c r="AB1203" i="24"/>
  <c r="C1204" i="24"/>
  <c r="N1204" i="24"/>
  <c r="Q1204" i="24"/>
  <c r="R1204" i="24"/>
  <c r="W1204" i="24"/>
  <c r="AB1204" i="24"/>
  <c r="C1205" i="24"/>
  <c r="N1205" i="24"/>
  <c r="Q1205" i="24"/>
  <c r="R1205" i="24"/>
  <c r="W1205" i="24"/>
  <c r="AB1205" i="24"/>
  <c r="C1206" i="24"/>
  <c r="N1206" i="24"/>
  <c r="Q1206" i="24"/>
  <c r="R1206" i="24"/>
  <c r="W1206" i="24"/>
  <c r="AB1206" i="24"/>
  <c r="C1207" i="24"/>
  <c r="N1207" i="24"/>
  <c r="Q1207" i="24"/>
  <c r="R1207" i="24"/>
  <c r="W1207" i="24"/>
  <c r="AB1207" i="24"/>
  <c r="C1208" i="24"/>
  <c r="N1208" i="24"/>
  <c r="Q1208" i="24"/>
  <c r="R1208" i="24"/>
  <c r="W1208" i="24"/>
  <c r="AB1208" i="24"/>
  <c r="C1209" i="24"/>
  <c r="N1209" i="24"/>
  <c r="Q1209" i="24"/>
  <c r="R1209" i="24"/>
  <c r="W1209" i="24"/>
  <c r="AB1209" i="24"/>
  <c r="C1210" i="24"/>
  <c r="N1210" i="24"/>
  <c r="Q1210" i="24"/>
  <c r="R1210" i="24"/>
  <c r="W1210" i="24"/>
  <c r="AB1210" i="24"/>
  <c r="C1211" i="24"/>
  <c r="N1211" i="24"/>
  <c r="Q1211" i="24"/>
  <c r="R1211" i="24"/>
  <c r="W1211" i="24"/>
  <c r="AB1211" i="24"/>
  <c r="C1212" i="24"/>
  <c r="N1212" i="24"/>
  <c r="Q1212" i="24"/>
  <c r="R1212" i="24"/>
  <c r="W1212" i="24"/>
  <c r="AB1212" i="24"/>
  <c r="C1213" i="24"/>
  <c r="N1213" i="24"/>
  <c r="Q1213" i="24"/>
  <c r="R1213" i="24"/>
  <c r="W1213" i="24"/>
  <c r="AB1213" i="24"/>
  <c r="C1214" i="24"/>
  <c r="N1214" i="24"/>
  <c r="Q1214" i="24"/>
  <c r="R1214" i="24"/>
  <c r="W1214" i="24"/>
  <c r="AB1214" i="24"/>
  <c r="C1215" i="24"/>
  <c r="N1215" i="24"/>
  <c r="Q1215" i="24"/>
  <c r="R1215" i="24"/>
  <c r="W1215" i="24"/>
  <c r="AB1215" i="24"/>
  <c r="C1216" i="24"/>
  <c r="N1216" i="24"/>
  <c r="Q1216" i="24"/>
  <c r="R1216" i="24"/>
  <c r="W1216" i="24"/>
  <c r="AB1216" i="24"/>
  <c r="C1217" i="24"/>
  <c r="N1217" i="24"/>
  <c r="Q1217" i="24"/>
  <c r="R1217" i="24"/>
  <c r="W1217" i="24"/>
  <c r="AB1217" i="24"/>
  <c r="C1218" i="24"/>
  <c r="N1218" i="24"/>
  <c r="Q1218" i="24"/>
  <c r="R1218" i="24"/>
  <c r="W1218" i="24"/>
  <c r="AB1218" i="24"/>
  <c r="C1219" i="24"/>
  <c r="N1219" i="24"/>
  <c r="Q1219" i="24"/>
  <c r="R1219" i="24"/>
  <c r="W1219" i="24"/>
  <c r="AB1219" i="24"/>
  <c r="C1220" i="24"/>
  <c r="N1220" i="24"/>
  <c r="Q1220" i="24"/>
  <c r="R1220" i="24"/>
  <c r="W1220" i="24"/>
  <c r="AB1220" i="24"/>
  <c r="C1221" i="24"/>
  <c r="N1221" i="24"/>
  <c r="Q1221" i="24"/>
  <c r="R1221" i="24"/>
  <c r="W1221" i="24"/>
  <c r="AB1221" i="24"/>
  <c r="C1222" i="24"/>
  <c r="N1222" i="24"/>
  <c r="Q1222" i="24"/>
  <c r="R1222" i="24"/>
  <c r="W1222" i="24"/>
  <c r="AB1222" i="24"/>
  <c r="C1223" i="24"/>
  <c r="N1223" i="24"/>
  <c r="Q1223" i="24"/>
  <c r="R1223" i="24"/>
  <c r="W1223" i="24"/>
  <c r="AB1223" i="24"/>
  <c r="C1224" i="24"/>
  <c r="N1224" i="24"/>
  <c r="Q1224" i="24"/>
  <c r="R1224" i="24"/>
  <c r="W1224" i="24"/>
  <c r="AB1224" i="24"/>
  <c r="C1225" i="24"/>
  <c r="N1225" i="24"/>
  <c r="Q1225" i="24"/>
  <c r="R1225" i="24"/>
  <c r="W1225" i="24"/>
  <c r="AB1225" i="24"/>
  <c r="C1226" i="24"/>
  <c r="N1226" i="24"/>
  <c r="Q1226" i="24"/>
  <c r="R1226" i="24"/>
  <c r="W1226" i="24"/>
  <c r="AB1226" i="24"/>
  <c r="C1227" i="24"/>
  <c r="N1227" i="24"/>
  <c r="Q1227" i="24"/>
  <c r="R1227" i="24"/>
  <c r="W1227" i="24"/>
  <c r="AB1227" i="24"/>
  <c r="C1228" i="24"/>
  <c r="N1228" i="24"/>
  <c r="Q1228" i="24"/>
  <c r="R1228" i="24"/>
  <c r="W1228" i="24"/>
  <c r="AB1228" i="24"/>
  <c r="C1229" i="24"/>
  <c r="N1229" i="24"/>
  <c r="Q1229" i="24"/>
  <c r="R1229" i="24"/>
  <c r="W1229" i="24"/>
  <c r="AB1229" i="24"/>
  <c r="C1230" i="24"/>
  <c r="N1230" i="24"/>
  <c r="Q1230" i="24"/>
  <c r="R1230" i="24"/>
  <c r="W1230" i="24"/>
  <c r="AB1230" i="24"/>
  <c r="C1231" i="24"/>
  <c r="N1231" i="24"/>
  <c r="Q1231" i="24"/>
  <c r="R1231" i="24"/>
  <c r="W1231" i="24"/>
  <c r="AB1231" i="24"/>
  <c r="C1232" i="24"/>
  <c r="N1232" i="24"/>
  <c r="Q1232" i="24"/>
  <c r="R1232" i="24"/>
  <c r="W1232" i="24"/>
  <c r="AB1232" i="24"/>
  <c r="C1233" i="24"/>
  <c r="N1233" i="24"/>
  <c r="Q1233" i="24"/>
  <c r="R1233" i="24"/>
  <c r="W1233" i="24"/>
  <c r="AB1233" i="24"/>
  <c r="C1234" i="24"/>
  <c r="N1234" i="24"/>
  <c r="Q1234" i="24"/>
  <c r="R1234" i="24"/>
  <c r="W1234" i="24"/>
  <c r="AB1234" i="24"/>
  <c r="C1235" i="24"/>
  <c r="N1235" i="24"/>
  <c r="Q1235" i="24"/>
  <c r="R1235" i="24"/>
  <c r="W1235" i="24"/>
  <c r="AB1235" i="24"/>
  <c r="C1236" i="24"/>
  <c r="N1236" i="24"/>
  <c r="Q1236" i="24"/>
  <c r="R1236" i="24"/>
  <c r="W1236" i="24"/>
  <c r="AB1236" i="24"/>
  <c r="C1237" i="24"/>
  <c r="N1237" i="24"/>
  <c r="Q1237" i="24"/>
  <c r="R1237" i="24"/>
  <c r="W1237" i="24"/>
  <c r="AB1237" i="24"/>
  <c r="C1238" i="24"/>
  <c r="N1238" i="24"/>
  <c r="Q1238" i="24"/>
  <c r="R1238" i="24"/>
  <c r="W1238" i="24"/>
  <c r="AB1238" i="24"/>
  <c r="C1239" i="24"/>
  <c r="N1239" i="24"/>
  <c r="Q1239" i="24"/>
  <c r="R1239" i="24"/>
  <c r="W1239" i="24"/>
  <c r="AB1239" i="24"/>
  <c r="C1240" i="24"/>
  <c r="N1240" i="24"/>
  <c r="Q1240" i="24"/>
  <c r="R1240" i="24"/>
  <c r="W1240" i="24"/>
  <c r="AB1240" i="24"/>
  <c r="C1241" i="24"/>
  <c r="N1241" i="24"/>
  <c r="Q1241" i="24"/>
  <c r="R1241" i="24"/>
  <c r="W1241" i="24"/>
  <c r="AB1241" i="24"/>
  <c r="C1242" i="24"/>
  <c r="N1242" i="24"/>
  <c r="Q1242" i="24"/>
  <c r="R1242" i="24"/>
  <c r="W1242" i="24"/>
  <c r="AB1242" i="24"/>
  <c r="C1243" i="24"/>
  <c r="N1243" i="24"/>
  <c r="Q1243" i="24"/>
  <c r="R1243" i="24"/>
  <c r="W1243" i="24"/>
  <c r="AB1243" i="24"/>
  <c r="C1244" i="24"/>
  <c r="N1244" i="24"/>
  <c r="Q1244" i="24"/>
  <c r="R1244" i="24"/>
  <c r="W1244" i="24"/>
  <c r="AB1244" i="24"/>
  <c r="C1245" i="24"/>
  <c r="N1245" i="24"/>
  <c r="Q1245" i="24"/>
  <c r="R1245" i="24"/>
  <c r="W1245" i="24"/>
  <c r="AB1245" i="24"/>
  <c r="C1246" i="24"/>
  <c r="N1246" i="24"/>
  <c r="Q1246" i="24"/>
  <c r="R1246" i="24"/>
  <c r="W1246" i="24"/>
  <c r="AB1246" i="24"/>
  <c r="C1247" i="24"/>
  <c r="N1247" i="24"/>
  <c r="Q1247" i="24"/>
  <c r="R1247" i="24"/>
  <c r="W1247" i="24"/>
  <c r="AB1247" i="24"/>
  <c r="C1248" i="24"/>
  <c r="N1248" i="24"/>
  <c r="Q1248" i="24"/>
  <c r="R1248" i="24"/>
  <c r="W1248" i="24"/>
  <c r="AB1248" i="24"/>
  <c r="C1249" i="24"/>
  <c r="N1249" i="24"/>
  <c r="Q1249" i="24"/>
  <c r="R1249" i="24"/>
  <c r="W1249" i="24"/>
  <c r="AB1249" i="24"/>
  <c r="C1250" i="24"/>
  <c r="N1250" i="24"/>
  <c r="Q1250" i="24"/>
  <c r="R1250" i="24"/>
  <c r="W1250" i="24"/>
  <c r="AB1250" i="24"/>
  <c r="C1251" i="24"/>
  <c r="N1251" i="24"/>
  <c r="Q1251" i="24"/>
  <c r="R1251" i="24"/>
  <c r="W1251" i="24"/>
  <c r="AB1251" i="24"/>
  <c r="C1252" i="24"/>
  <c r="N1252" i="24"/>
  <c r="Q1252" i="24"/>
  <c r="R1252" i="24"/>
  <c r="W1252" i="24"/>
  <c r="AB1252" i="24"/>
  <c r="C1253" i="24"/>
  <c r="N1253" i="24"/>
  <c r="Q1253" i="24"/>
  <c r="R1253" i="24"/>
  <c r="W1253" i="24"/>
  <c r="AB1253" i="24"/>
  <c r="C1254" i="24"/>
  <c r="N1254" i="24"/>
  <c r="Q1254" i="24"/>
  <c r="R1254" i="24"/>
  <c r="W1254" i="24"/>
  <c r="AB1254" i="24"/>
  <c r="C1255" i="24"/>
  <c r="N1255" i="24"/>
  <c r="Q1255" i="24"/>
  <c r="R1255" i="24"/>
  <c r="W1255" i="24"/>
  <c r="AB1255" i="24"/>
  <c r="C1256" i="24"/>
  <c r="N1256" i="24"/>
  <c r="Q1256" i="24"/>
  <c r="R1256" i="24"/>
  <c r="W1256" i="24"/>
  <c r="AB1256" i="24"/>
  <c r="C1257" i="24"/>
  <c r="N1257" i="24"/>
  <c r="Q1257" i="24"/>
  <c r="R1257" i="24"/>
  <c r="W1257" i="24"/>
  <c r="AB1257" i="24"/>
  <c r="C1258" i="24"/>
  <c r="N1258" i="24"/>
  <c r="Q1258" i="24"/>
  <c r="R1258" i="24"/>
  <c r="W1258" i="24"/>
  <c r="AB1258" i="24"/>
  <c r="C1259" i="24"/>
  <c r="N1259" i="24"/>
  <c r="Q1259" i="24"/>
  <c r="R1259" i="24"/>
  <c r="W1259" i="24"/>
  <c r="AB1259" i="24"/>
  <c r="C1260" i="24"/>
  <c r="N1260" i="24"/>
  <c r="Q1260" i="24"/>
  <c r="R1260" i="24"/>
  <c r="W1260" i="24"/>
  <c r="AB1260" i="24"/>
  <c r="C1261" i="24"/>
  <c r="N1261" i="24"/>
  <c r="Q1261" i="24"/>
  <c r="R1261" i="24"/>
  <c r="W1261" i="24"/>
  <c r="AB1261" i="24"/>
  <c r="C1262" i="24"/>
  <c r="N1262" i="24"/>
  <c r="Q1262" i="24"/>
  <c r="R1262" i="24"/>
  <c r="W1262" i="24"/>
  <c r="AB1262" i="24"/>
  <c r="C1263" i="24"/>
  <c r="N1263" i="24"/>
  <c r="Q1263" i="24"/>
  <c r="R1263" i="24"/>
  <c r="W1263" i="24"/>
  <c r="AB1263" i="24"/>
  <c r="C1264" i="24"/>
  <c r="N1264" i="24"/>
  <c r="Q1264" i="24"/>
  <c r="R1264" i="24"/>
  <c r="W1264" i="24"/>
  <c r="AB1264" i="24"/>
  <c r="C1265" i="24"/>
  <c r="N1265" i="24"/>
  <c r="Q1265" i="24"/>
  <c r="R1265" i="24"/>
  <c r="W1265" i="24"/>
  <c r="AB1265" i="24"/>
  <c r="C1266" i="24"/>
  <c r="N1266" i="24"/>
  <c r="Q1266" i="24"/>
  <c r="R1266" i="24"/>
  <c r="W1266" i="24"/>
  <c r="AB1266" i="24"/>
  <c r="C1267" i="24"/>
  <c r="N1267" i="24"/>
  <c r="Q1267" i="24"/>
  <c r="R1267" i="24"/>
  <c r="W1267" i="24"/>
  <c r="AB1267" i="24"/>
  <c r="C1268" i="24"/>
  <c r="N1268" i="24"/>
  <c r="Q1268" i="24"/>
  <c r="R1268" i="24"/>
  <c r="W1268" i="24"/>
  <c r="AB1268" i="24"/>
  <c r="C1269" i="24"/>
  <c r="N1269" i="24"/>
  <c r="Q1269" i="24"/>
  <c r="R1269" i="24"/>
  <c r="W1269" i="24"/>
  <c r="AB1269" i="24"/>
  <c r="C1270" i="24"/>
  <c r="N1270" i="24"/>
  <c r="Q1270" i="24"/>
  <c r="R1270" i="24"/>
  <c r="W1270" i="24"/>
  <c r="AB1270" i="24"/>
  <c r="C1271" i="24"/>
  <c r="N1271" i="24"/>
  <c r="Q1271" i="24"/>
  <c r="R1271" i="24"/>
  <c r="W1271" i="24"/>
  <c r="AB1271" i="24"/>
  <c r="C1272" i="24"/>
  <c r="N1272" i="24"/>
  <c r="Q1272" i="24"/>
  <c r="R1272" i="24"/>
  <c r="W1272" i="24"/>
  <c r="AB1272" i="24"/>
  <c r="C1273" i="24"/>
  <c r="N1273" i="24"/>
  <c r="Q1273" i="24"/>
  <c r="R1273" i="24"/>
  <c r="W1273" i="24"/>
  <c r="AB1273" i="24"/>
  <c r="C1274" i="24"/>
  <c r="N1274" i="24"/>
  <c r="Q1274" i="24"/>
  <c r="R1274" i="24"/>
  <c r="W1274" i="24"/>
  <c r="AB1274" i="24"/>
  <c r="C1275" i="24"/>
  <c r="N1275" i="24"/>
  <c r="Q1275" i="24"/>
  <c r="R1275" i="24"/>
  <c r="W1275" i="24"/>
  <c r="AB1275" i="24"/>
  <c r="C1276" i="24"/>
  <c r="N1276" i="24"/>
  <c r="Q1276" i="24"/>
  <c r="R1276" i="24"/>
  <c r="W1276" i="24"/>
  <c r="AB1276" i="24"/>
  <c r="C1277" i="24"/>
  <c r="N1277" i="24"/>
  <c r="Q1277" i="24"/>
  <c r="R1277" i="24"/>
  <c r="W1277" i="24"/>
  <c r="AB1277" i="24"/>
  <c r="C1278" i="24"/>
  <c r="N1278" i="24"/>
  <c r="Q1278" i="24"/>
  <c r="R1278" i="24"/>
  <c r="W1278" i="24"/>
  <c r="AB1278" i="24"/>
  <c r="C1279" i="24"/>
  <c r="N1279" i="24"/>
  <c r="Q1279" i="24"/>
  <c r="R1279" i="24"/>
  <c r="W1279" i="24"/>
  <c r="AB1279" i="24"/>
  <c r="C1280" i="24"/>
  <c r="N1280" i="24"/>
  <c r="Q1280" i="24"/>
  <c r="R1280" i="24"/>
  <c r="W1280" i="24"/>
  <c r="AB1280" i="24"/>
  <c r="C1281" i="24"/>
  <c r="N1281" i="24"/>
  <c r="Q1281" i="24"/>
  <c r="R1281" i="24"/>
  <c r="W1281" i="24"/>
  <c r="AB1281" i="24"/>
  <c r="C1282" i="24"/>
  <c r="N1282" i="24"/>
  <c r="Q1282" i="24"/>
  <c r="R1282" i="24"/>
  <c r="W1282" i="24"/>
  <c r="AB1282" i="24"/>
  <c r="C1283" i="24"/>
  <c r="N1283" i="24"/>
  <c r="Q1283" i="24"/>
  <c r="R1283" i="24"/>
  <c r="W1283" i="24"/>
  <c r="AB1283" i="24"/>
  <c r="C1284" i="24"/>
  <c r="N1284" i="24"/>
  <c r="Q1284" i="24"/>
  <c r="R1284" i="24"/>
  <c r="W1284" i="24"/>
  <c r="AB1284" i="24"/>
  <c r="C1285" i="24"/>
  <c r="N1285" i="24"/>
  <c r="Q1285" i="24"/>
  <c r="R1285" i="24"/>
  <c r="W1285" i="24"/>
  <c r="AB1285" i="24"/>
  <c r="C1286" i="24"/>
  <c r="N1286" i="24"/>
  <c r="Q1286" i="24"/>
  <c r="R1286" i="24"/>
  <c r="W1286" i="24"/>
  <c r="AB1286" i="24"/>
  <c r="C1287" i="24"/>
  <c r="N1287" i="24"/>
  <c r="Q1287" i="24"/>
  <c r="R1287" i="24"/>
  <c r="W1287" i="24"/>
  <c r="AB1287" i="24"/>
  <c r="C1288" i="24"/>
  <c r="N1288" i="24"/>
  <c r="Q1288" i="24"/>
  <c r="R1288" i="24"/>
  <c r="W1288" i="24"/>
  <c r="AB1288" i="24"/>
  <c r="C1289" i="24"/>
  <c r="N1289" i="24"/>
  <c r="Q1289" i="24"/>
  <c r="R1289" i="24"/>
  <c r="W1289" i="24"/>
  <c r="AB1289" i="24"/>
  <c r="C1290" i="24"/>
  <c r="N1290" i="24"/>
  <c r="Q1290" i="24"/>
  <c r="R1290" i="24"/>
  <c r="W1290" i="24"/>
  <c r="AB1290" i="24"/>
  <c r="C1291" i="24"/>
  <c r="N1291" i="24"/>
  <c r="Q1291" i="24"/>
  <c r="R1291" i="24"/>
  <c r="W1291" i="24"/>
  <c r="AB1291" i="24"/>
  <c r="C1292" i="24"/>
  <c r="N1292" i="24"/>
  <c r="Q1292" i="24"/>
  <c r="R1292" i="24"/>
  <c r="W1292" i="24"/>
  <c r="AB1292" i="24"/>
  <c r="C1293" i="24"/>
  <c r="N1293" i="24"/>
  <c r="Q1293" i="24"/>
  <c r="R1293" i="24"/>
  <c r="W1293" i="24"/>
  <c r="AB1293" i="24"/>
  <c r="C1294" i="24"/>
  <c r="N1294" i="24"/>
  <c r="Q1294" i="24"/>
  <c r="R1294" i="24"/>
  <c r="W1294" i="24"/>
  <c r="AB1294" i="24"/>
  <c r="C1295" i="24"/>
  <c r="N1295" i="24"/>
  <c r="Q1295" i="24"/>
  <c r="R1295" i="24"/>
  <c r="W1295" i="24"/>
  <c r="AB1295" i="24"/>
  <c r="C1296" i="24"/>
  <c r="N1296" i="24"/>
  <c r="Q1296" i="24"/>
  <c r="R1296" i="24"/>
  <c r="W1296" i="24"/>
  <c r="AB1296" i="24"/>
  <c r="C1297" i="24"/>
  <c r="N1297" i="24"/>
  <c r="Q1297" i="24"/>
  <c r="R1297" i="24"/>
  <c r="W1297" i="24"/>
  <c r="AB1297" i="24"/>
  <c r="C1298" i="24"/>
  <c r="N1298" i="24"/>
  <c r="Q1298" i="24"/>
  <c r="R1298" i="24"/>
  <c r="W1298" i="24"/>
  <c r="AB1298" i="24"/>
  <c r="C1299" i="24"/>
  <c r="N1299" i="24"/>
  <c r="Q1299" i="24"/>
  <c r="R1299" i="24"/>
  <c r="W1299" i="24"/>
  <c r="AB1299" i="24"/>
  <c r="C1300" i="24"/>
  <c r="N1300" i="24"/>
  <c r="Q1300" i="24"/>
  <c r="R1300" i="24"/>
  <c r="W1300" i="24"/>
  <c r="AB1300" i="24"/>
  <c r="C1301" i="24"/>
  <c r="N1301" i="24"/>
  <c r="Q1301" i="24"/>
  <c r="R1301" i="24"/>
  <c r="W1301" i="24"/>
  <c r="AB1301" i="24"/>
  <c r="C1302" i="24"/>
  <c r="N1302" i="24"/>
  <c r="Q1302" i="24"/>
  <c r="R1302" i="24"/>
  <c r="W1302" i="24"/>
  <c r="AB1302" i="24"/>
  <c r="C1303" i="24"/>
  <c r="N1303" i="24"/>
  <c r="Q1303" i="24"/>
  <c r="R1303" i="24"/>
  <c r="W1303" i="24"/>
  <c r="AB1303" i="24"/>
  <c r="C1304" i="24"/>
  <c r="N1304" i="24"/>
  <c r="Q1304" i="24"/>
  <c r="R1304" i="24"/>
  <c r="W1304" i="24"/>
  <c r="AB1304" i="24"/>
  <c r="C1305" i="24"/>
  <c r="N1305" i="24"/>
  <c r="Q1305" i="24"/>
  <c r="R1305" i="24"/>
  <c r="W1305" i="24"/>
  <c r="AB1305" i="24"/>
  <c r="C1306" i="24"/>
  <c r="N1306" i="24"/>
  <c r="Q1306" i="24"/>
  <c r="R1306" i="24"/>
  <c r="W1306" i="24"/>
  <c r="AB1306" i="24"/>
  <c r="C1307" i="24"/>
  <c r="N1307" i="24"/>
  <c r="Q1307" i="24"/>
  <c r="R1307" i="24"/>
  <c r="W1307" i="24"/>
  <c r="AB1307" i="24"/>
  <c r="C1308" i="24"/>
  <c r="N1308" i="24"/>
  <c r="Q1308" i="24"/>
  <c r="R1308" i="24"/>
  <c r="W1308" i="24"/>
  <c r="AB1308" i="24"/>
  <c r="C1309" i="24"/>
  <c r="N1309" i="24"/>
  <c r="Q1309" i="24"/>
  <c r="R1309" i="24"/>
  <c r="W1309" i="24"/>
  <c r="AB1309" i="24"/>
  <c r="C1310" i="24"/>
  <c r="N1310" i="24"/>
  <c r="Q1310" i="24"/>
  <c r="R1310" i="24"/>
  <c r="W1310" i="24"/>
  <c r="AB1310" i="24"/>
  <c r="C1311" i="24"/>
  <c r="N1311" i="24"/>
  <c r="Q1311" i="24"/>
  <c r="R1311" i="24"/>
  <c r="W1311" i="24"/>
  <c r="AB1311" i="24"/>
  <c r="C1312" i="24"/>
  <c r="N1312" i="24"/>
  <c r="Q1312" i="24"/>
  <c r="R1312" i="24"/>
  <c r="W1312" i="24"/>
  <c r="AB1312" i="24"/>
  <c r="C1313" i="24"/>
  <c r="N1313" i="24"/>
  <c r="Q1313" i="24"/>
  <c r="R1313" i="24"/>
  <c r="W1313" i="24"/>
  <c r="AB1313" i="24"/>
  <c r="C1314" i="24"/>
  <c r="N1314" i="24"/>
  <c r="Q1314" i="24"/>
  <c r="R1314" i="24"/>
  <c r="W1314" i="24"/>
  <c r="AB1314" i="24"/>
  <c r="C1315" i="24"/>
  <c r="N1315" i="24"/>
  <c r="Q1315" i="24"/>
  <c r="R1315" i="24"/>
  <c r="W1315" i="24"/>
  <c r="AB1315" i="24"/>
  <c r="C1316" i="24"/>
  <c r="N1316" i="24"/>
  <c r="Q1316" i="24"/>
  <c r="R1316" i="24"/>
  <c r="W1316" i="24"/>
  <c r="AB1316" i="24"/>
  <c r="C1317" i="24"/>
  <c r="N1317" i="24"/>
  <c r="Q1317" i="24"/>
  <c r="R1317" i="24"/>
  <c r="W1317" i="24"/>
  <c r="AB1317" i="24"/>
  <c r="C1318" i="24"/>
  <c r="N1318" i="24"/>
  <c r="Q1318" i="24"/>
  <c r="R1318" i="24"/>
  <c r="W1318" i="24"/>
  <c r="AB1318" i="24"/>
  <c r="C1319" i="24"/>
  <c r="N1319" i="24"/>
  <c r="Q1319" i="24"/>
  <c r="R1319" i="24"/>
  <c r="W1319" i="24"/>
  <c r="AB1319" i="24"/>
  <c r="C1320" i="24"/>
  <c r="N1320" i="24"/>
  <c r="Q1320" i="24"/>
  <c r="R1320" i="24"/>
  <c r="W1320" i="24"/>
  <c r="AB1320" i="24"/>
  <c r="C1321" i="24"/>
  <c r="N1321" i="24"/>
  <c r="Q1321" i="24"/>
  <c r="R1321" i="24"/>
  <c r="W1321" i="24"/>
  <c r="AB1321" i="24"/>
  <c r="C1322" i="24"/>
  <c r="N1322" i="24"/>
  <c r="Q1322" i="24"/>
  <c r="R1322" i="24"/>
  <c r="W1322" i="24"/>
  <c r="AB1322" i="24"/>
  <c r="C1323" i="24"/>
  <c r="N1323" i="24"/>
  <c r="Q1323" i="24"/>
  <c r="R1323" i="24"/>
  <c r="W1323" i="24"/>
  <c r="AB1323" i="24"/>
  <c r="C1324" i="24"/>
  <c r="N1324" i="24"/>
  <c r="Q1324" i="24"/>
  <c r="R1324" i="24"/>
  <c r="W1324" i="24"/>
  <c r="AB1324" i="24"/>
  <c r="C1325" i="24"/>
  <c r="N1325" i="24"/>
  <c r="Q1325" i="24"/>
  <c r="R1325" i="24"/>
  <c r="W1325" i="24"/>
  <c r="AB1325" i="24"/>
  <c r="C1326" i="24"/>
  <c r="N1326" i="24"/>
  <c r="Q1326" i="24"/>
  <c r="R1326" i="24"/>
  <c r="W1326" i="24"/>
  <c r="AB1326" i="24"/>
  <c r="C1327" i="24"/>
  <c r="N1327" i="24"/>
  <c r="Q1327" i="24"/>
  <c r="R1327" i="24"/>
  <c r="W1327" i="24"/>
  <c r="AB1327" i="24"/>
  <c r="C1328" i="24"/>
  <c r="N1328" i="24"/>
  <c r="Q1328" i="24"/>
  <c r="R1328" i="24"/>
  <c r="W1328" i="24"/>
  <c r="AB1328" i="24"/>
  <c r="C1329" i="24"/>
  <c r="N1329" i="24"/>
  <c r="Q1329" i="24"/>
  <c r="R1329" i="24"/>
  <c r="W1329" i="24"/>
  <c r="AB1329" i="24"/>
  <c r="C1330" i="24"/>
  <c r="N1330" i="24"/>
  <c r="Q1330" i="24"/>
  <c r="R1330" i="24"/>
  <c r="W1330" i="24"/>
  <c r="AB1330" i="24"/>
  <c r="C1331" i="24"/>
  <c r="N1331" i="24"/>
  <c r="Q1331" i="24"/>
  <c r="R1331" i="24"/>
  <c r="W1331" i="24"/>
  <c r="AB1331" i="24"/>
  <c r="C1332" i="24"/>
  <c r="N1332" i="24"/>
  <c r="Q1332" i="24"/>
  <c r="R1332" i="24"/>
  <c r="W1332" i="24"/>
  <c r="AB1332" i="24"/>
  <c r="C1333" i="24"/>
  <c r="N1333" i="24"/>
  <c r="Q1333" i="24"/>
  <c r="R1333" i="24"/>
  <c r="W1333" i="24"/>
  <c r="AB1333" i="24"/>
  <c r="C1334" i="24"/>
  <c r="N1334" i="24"/>
  <c r="Q1334" i="24"/>
  <c r="R1334" i="24"/>
  <c r="W1334" i="24"/>
  <c r="AB1334" i="24"/>
  <c r="C1335" i="24"/>
  <c r="N1335" i="24"/>
  <c r="Q1335" i="24"/>
  <c r="R1335" i="24"/>
  <c r="W1335" i="24"/>
  <c r="AB1335" i="24"/>
  <c r="C1336" i="24"/>
  <c r="N1336" i="24"/>
  <c r="Q1336" i="24"/>
  <c r="R1336" i="24"/>
  <c r="W1336" i="24"/>
  <c r="AB1336" i="24"/>
  <c r="C1337" i="24"/>
  <c r="N1337" i="24"/>
  <c r="Q1337" i="24"/>
  <c r="R1337" i="24"/>
  <c r="W1337" i="24"/>
  <c r="AB1337" i="24"/>
  <c r="C1338" i="24"/>
  <c r="N1338" i="24"/>
  <c r="Q1338" i="24"/>
  <c r="R1338" i="24"/>
  <c r="W1338" i="24"/>
  <c r="AB1338" i="24"/>
  <c r="C1339" i="24"/>
  <c r="N1339" i="24"/>
  <c r="Q1339" i="24"/>
  <c r="R1339" i="24"/>
  <c r="W1339" i="24"/>
  <c r="AB1339" i="24"/>
  <c r="C1340" i="24"/>
  <c r="N1340" i="24"/>
  <c r="Q1340" i="24"/>
  <c r="R1340" i="24"/>
  <c r="W1340" i="24"/>
  <c r="AB1340" i="24"/>
  <c r="C1341" i="24"/>
  <c r="N1341" i="24"/>
  <c r="Q1341" i="24"/>
  <c r="R1341" i="24"/>
  <c r="W1341" i="24"/>
  <c r="AB1341" i="24"/>
  <c r="C1342" i="24"/>
  <c r="N1342" i="24"/>
  <c r="Q1342" i="24"/>
  <c r="R1342" i="24"/>
  <c r="W1342" i="24"/>
  <c r="AB1342" i="24"/>
  <c r="C1343" i="24"/>
  <c r="N1343" i="24"/>
  <c r="Q1343" i="24"/>
  <c r="R1343" i="24"/>
  <c r="W1343" i="24"/>
  <c r="AB1343" i="24"/>
  <c r="C1344" i="24"/>
  <c r="N1344" i="24"/>
  <c r="Q1344" i="24"/>
  <c r="R1344" i="24"/>
  <c r="W1344" i="24"/>
  <c r="AB1344" i="24"/>
  <c r="C1345" i="24"/>
  <c r="N1345" i="24"/>
  <c r="Q1345" i="24"/>
  <c r="R1345" i="24"/>
  <c r="W1345" i="24"/>
  <c r="AB1345" i="24"/>
  <c r="C1346" i="24"/>
  <c r="N1346" i="24"/>
  <c r="Q1346" i="24"/>
  <c r="R1346" i="24"/>
  <c r="W1346" i="24"/>
  <c r="AB1346" i="24"/>
  <c r="C1347" i="24"/>
  <c r="N1347" i="24"/>
  <c r="Q1347" i="24"/>
  <c r="R1347" i="24"/>
  <c r="W1347" i="24"/>
  <c r="AB1347" i="24"/>
  <c r="C1348" i="24"/>
  <c r="N1348" i="24"/>
  <c r="Q1348" i="24"/>
  <c r="R1348" i="24"/>
  <c r="W1348" i="24"/>
  <c r="AB1348" i="24"/>
  <c r="C1349" i="24"/>
  <c r="N1349" i="24"/>
  <c r="Q1349" i="24"/>
  <c r="R1349" i="24"/>
  <c r="W1349" i="24"/>
  <c r="AB1349" i="24"/>
  <c r="C1350" i="24"/>
  <c r="N1350" i="24"/>
  <c r="Q1350" i="24"/>
  <c r="R1350" i="24"/>
  <c r="W1350" i="24"/>
  <c r="AB1350" i="24"/>
  <c r="C1351" i="24"/>
  <c r="N1351" i="24"/>
  <c r="Q1351" i="24"/>
  <c r="R1351" i="24"/>
  <c r="W1351" i="24"/>
  <c r="AB1351" i="24"/>
  <c r="C1352" i="24"/>
  <c r="N1352" i="24"/>
  <c r="Q1352" i="24"/>
  <c r="R1352" i="24"/>
  <c r="W1352" i="24"/>
  <c r="AB1352" i="24"/>
  <c r="C1353" i="24"/>
  <c r="N1353" i="24"/>
  <c r="Q1353" i="24"/>
  <c r="R1353" i="24"/>
  <c r="W1353" i="24"/>
  <c r="AB1353" i="24"/>
  <c r="C1354" i="24"/>
  <c r="N1354" i="24"/>
  <c r="Q1354" i="24"/>
  <c r="R1354" i="24"/>
  <c r="W1354" i="24"/>
  <c r="AB1354" i="24"/>
  <c r="C1355" i="24"/>
  <c r="N1355" i="24"/>
  <c r="Q1355" i="24"/>
  <c r="R1355" i="24"/>
  <c r="W1355" i="24"/>
  <c r="AB1355" i="24"/>
  <c r="C1356" i="24"/>
  <c r="N1356" i="24"/>
  <c r="Q1356" i="24"/>
  <c r="R1356" i="24"/>
  <c r="W1356" i="24"/>
  <c r="AB1356" i="24"/>
  <c r="C1357" i="24"/>
  <c r="N1357" i="24"/>
  <c r="Q1357" i="24"/>
  <c r="R1357" i="24"/>
  <c r="W1357" i="24"/>
  <c r="AB1357" i="24"/>
  <c r="C1358" i="24"/>
  <c r="N1358" i="24"/>
  <c r="Q1358" i="24"/>
  <c r="R1358" i="24"/>
  <c r="W1358" i="24"/>
  <c r="AB1358" i="24"/>
  <c r="C1359" i="24"/>
  <c r="N1359" i="24"/>
  <c r="Q1359" i="24"/>
  <c r="R1359" i="24"/>
  <c r="W1359" i="24"/>
  <c r="AB1359" i="24"/>
  <c r="C1360" i="24"/>
  <c r="N1360" i="24"/>
  <c r="Q1360" i="24"/>
  <c r="R1360" i="24"/>
  <c r="W1360" i="24"/>
  <c r="AB1360" i="24"/>
  <c r="C1361" i="24"/>
  <c r="N1361" i="24"/>
  <c r="Q1361" i="24"/>
  <c r="R1361" i="24"/>
  <c r="W1361" i="24"/>
  <c r="AB1361" i="24"/>
  <c r="C1362" i="24"/>
  <c r="N1362" i="24"/>
  <c r="Q1362" i="24"/>
  <c r="R1362" i="24"/>
  <c r="W1362" i="24"/>
  <c r="AB1362" i="24"/>
  <c r="C1363" i="24"/>
  <c r="N1363" i="24"/>
  <c r="Q1363" i="24"/>
  <c r="R1363" i="24"/>
  <c r="W1363" i="24"/>
  <c r="AB1363" i="24"/>
  <c r="C1364" i="24"/>
  <c r="N1364" i="24"/>
  <c r="Q1364" i="24"/>
  <c r="R1364" i="24"/>
  <c r="W1364" i="24"/>
  <c r="AB1364" i="24"/>
  <c r="C1365" i="24"/>
  <c r="N1365" i="24"/>
  <c r="Q1365" i="24"/>
  <c r="R1365" i="24"/>
  <c r="W1365" i="24"/>
  <c r="AB1365" i="24"/>
  <c r="C1366" i="24"/>
  <c r="N1366" i="24"/>
  <c r="Q1366" i="24"/>
  <c r="R1366" i="24"/>
  <c r="W1366" i="24"/>
  <c r="AB1366" i="24"/>
  <c r="C1367" i="24"/>
  <c r="N1367" i="24"/>
  <c r="Q1367" i="24"/>
  <c r="R1367" i="24"/>
  <c r="W1367" i="24"/>
  <c r="AB1367" i="24"/>
  <c r="C1368" i="24"/>
  <c r="N1368" i="24"/>
  <c r="Q1368" i="24"/>
  <c r="R1368" i="24"/>
  <c r="W1368" i="24"/>
  <c r="AB1368" i="24"/>
  <c r="C1369" i="24"/>
  <c r="N1369" i="24"/>
  <c r="Q1369" i="24"/>
  <c r="R1369" i="24"/>
  <c r="W1369" i="24"/>
  <c r="AB1369" i="24"/>
  <c r="C1370" i="24"/>
  <c r="N1370" i="24"/>
  <c r="Q1370" i="24"/>
  <c r="R1370" i="24"/>
  <c r="W1370" i="24"/>
  <c r="AB1370" i="24"/>
  <c r="C1371" i="24"/>
  <c r="N1371" i="24"/>
  <c r="Q1371" i="24"/>
  <c r="R1371" i="24"/>
  <c r="W1371" i="24"/>
  <c r="AB1371" i="24"/>
  <c r="C1372" i="24"/>
  <c r="N1372" i="24"/>
  <c r="Q1372" i="24"/>
  <c r="R1372" i="24"/>
  <c r="W1372" i="24"/>
  <c r="AB1372" i="24"/>
  <c r="C1373" i="24"/>
  <c r="N1373" i="24"/>
  <c r="Q1373" i="24"/>
  <c r="R1373" i="24"/>
  <c r="W1373" i="24"/>
  <c r="AB1373" i="24"/>
  <c r="C1374" i="24"/>
  <c r="N1374" i="24"/>
  <c r="Q1374" i="24"/>
  <c r="R1374" i="24"/>
  <c r="W1374" i="24"/>
  <c r="AB1374" i="24"/>
  <c r="C1375" i="24"/>
  <c r="N1375" i="24"/>
  <c r="Q1375" i="24"/>
  <c r="R1375" i="24"/>
  <c r="W1375" i="24"/>
  <c r="AB1375" i="24"/>
  <c r="C1376" i="24"/>
  <c r="N1376" i="24"/>
  <c r="Q1376" i="24"/>
  <c r="R1376" i="24"/>
  <c r="W1376" i="24"/>
  <c r="AB1376" i="24"/>
  <c r="C1377" i="24"/>
  <c r="N1377" i="24"/>
  <c r="Q1377" i="24"/>
  <c r="R1377" i="24"/>
  <c r="W1377" i="24"/>
  <c r="AB1377" i="24"/>
  <c r="C1378" i="24"/>
  <c r="N1378" i="24"/>
  <c r="Q1378" i="24"/>
  <c r="R1378" i="24"/>
  <c r="W1378" i="24"/>
  <c r="AB1378" i="24"/>
  <c r="C1379" i="24"/>
  <c r="N1379" i="24"/>
  <c r="Q1379" i="24"/>
  <c r="R1379" i="24"/>
  <c r="W1379" i="24"/>
  <c r="AB1379" i="24"/>
  <c r="C1380" i="24"/>
  <c r="N1380" i="24"/>
  <c r="Q1380" i="24"/>
  <c r="R1380" i="24"/>
  <c r="W1380" i="24"/>
  <c r="AB1380" i="24"/>
  <c r="C1381" i="24"/>
  <c r="N1381" i="24"/>
  <c r="Q1381" i="24"/>
  <c r="R1381" i="24"/>
  <c r="W1381" i="24"/>
  <c r="AB1381" i="24"/>
  <c r="C1382" i="24"/>
  <c r="N1382" i="24"/>
  <c r="Q1382" i="24"/>
  <c r="R1382" i="24"/>
  <c r="W1382" i="24"/>
  <c r="AB1382" i="24"/>
  <c r="C1383" i="24"/>
  <c r="N1383" i="24"/>
  <c r="Q1383" i="24"/>
  <c r="R1383" i="24"/>
  <c r="W1383" i="24"/>
  <c r="AB1383" i="24"/>
  <c r="C1384" i="24"/>
  <c r="N1384" i="24"/>
  <c r="Q1384" i="24"/>
  <c r="R1384" i="24"/>
  <c r="W1384" i="24"/>
  <c r="AB1384" i="24"/>
  <c r="C1385" i="24"/>
  <c r="N1385" i="24"/>
  <c r="Q1385" i="24"/>
  <c r="R1385" i="24"/>
  <c r="W1385" i="24"/>
  <c r="AB1385" i="24"/>
  <c r="C1386" i="24"/>
  <c r="N1386" i="24"/>
  <c r="Q1386" i="24"/>
  <c r="R1386" i="24"/>
  <c r="W1386" i="24"/>
  <c r="AB1386" i="24"/>
  <c r="C1387" i="24"/>
  <c r="N1387" i="24"/>
  <c r="Q1387" i="24"/>
  <c r="R1387" i="24"/>
  <c r="W1387" i="24"/>
  <c r="AB1387" i="24"/>
  <c r="C1388" i="24"/>
  <c r="N1388" i="24"/>
  <c r="Q1388" i="24"/>
  <c r="R1388" i="24"/>
  <c r="W1388" i="24"/>
  <c r="AB1388" i="24"/>
  <c r="C1389" i="24"/>
  <c r="N1389" i="24"/>
  <c r="Q1389" i="24"/>
  <c r="R1389" i="24"/>
  <c r="W1389" i="24"/>
  <c r="AB1389" i="24"/>
  <c r="C1390" i="24"/>
  <c r="N1390" i="24"/>
  <c r="Q1390" i="24"/>
  <c r="R1390" i="24"/>
  <c r="W1390" i="24"/>
  <c r="AB1390" i="24"/>
  <c r="C1391" i="24"/>
  <c r="N1391" i="24"/>
  <c r="Q1391" i="24"/>
  <c r="R1391" i="24"/>
  <c r="W1391" i="24"/>
  <c r="AB1391" i="24"/>
  <c r="C1392" i="24"/>
  <c r="N1392" i="24"/>
  <c r="Q1392" i="24"/>
  <c r="R1392" i="24"/>
  <c r="W1392" i="24"/>
  <c r="AB1392" i="24"/>
  <c r="C1393" i="24"/>
  <c r="N1393" i="24"/>
  <c r="Q1393" i="24"/>
  <c r="R1393" i="24"/>
  <c r="W1393" i="24"/>
  <c r="AB1393" i="24"/>
  <c r="C1394" i="24"/>
  <c r="N1394" i="24"/>
  <c r="Q1394" i="24"/>
  <c r="R1394" i="24"/>
  <c r="W1394" i="24"/>
  <c r="AB1394" i="24"/>
  <c r="C1395" i="24"/>
  <c r="N1395" i="24"/>
  <c r="Q1395" i="24"/>
  <c r="R1395" i="24"/>
  <c r="W1395" i="24"/>
  <c r="AB1395" i="24"/>
  <c r="C1396" i="24"/>
  <c r="N1396" i="24"/>
  <c r="Q1396" i="24"/>
  <c r="R1396" i="24"/>
  <c r="W1396" i="24"/>
  <c r="AB1396" i="24"/>
  <c r="C1397" i="24"/>
  <c r="N1397" i="24"/>
  <c r="Q1397" i="24"/>
  <c r="R1397" i="24"/>
  <c r="W1397" i="24"/>
  <c r="AB1397" i="24"/>
  <c r="C1398" i="24"/>
  <c r="N1398" i="24"/>
  <c r="Q1398" i="24"/>
  <c r="R1398" i="24"/>
  <c r="W1398" i="24"/>
  <c r="AB1398" i="24"/>
  <c r="C1399" i="24"/>
  <c r="N1399" i="24"/>
  <c r="Q1399" i="24"/>
  <c r="R1399" i="24"/>
  <c r="W1399" i="24"/>
  <c r="AB1399" i="24"/>
  <c r="C1400" i="24"/>
  <c r="N1400" i="24"/>
  <c r="Q1400" i="24"/>
  <c r="R1400" i="24"/>
  <c r="W1400" i="24"/>
  <c r="AB1400" i="24"/>
  <c r="C1401" i="24"/>
  <c r="N1401" i="24"/>
  <c r="Q1401" i="24"/>
  <c r="R1401" i="24"/>
  <c r="W1401" i="24"/>
  <c r="AB1401" i="24"/>
  <c r="C1402" i="24"/>
  <c r="N1402" i="24"/>
  <c r="Q1402" i="24"/>
  <c r="R1402" i="24"/>
  <c r="W1402" i="24"/>
  <c r="AB1402" i="24"/>
  <c r="C1403" i="24"/>
  <c r="N1403" i="24"/>
  <c r="Q1403" i="24"/>
  <c r="R1403" i="24"/>
  <c r="W1403" i="24"/>
  <c r="AB1403" i="24"/>
  <c r="C1404" i="24"/>
  <c r="N1404" i="24"/>
  <c r="Q1404" i="24"/>
  <c r="R1404" i="24"/>
  <c r="W1404" i="24"/>
  <c r="AB1404" i="24"/>
  <c r="C1405" i="24"/>
  <c r="N1405" i="24"/>
  <c r="Q1405" i="24"/>
  <c r="R1405" i="24"/>
  <c r="W1405" i="24"/>
  <c r="AB1405" i="24"/>
  <c r="C1406" i="24"/>
  <c r="N1406" i="24"/>
  <c r="Q1406" i="24"/>
  <c r="R1406" i="24"/>
  <c r="W1406" i="24"/>
  <c r="AB1406" i="24"/>
  <c r="C1407" i="24"/>
  <c r="N1407" i="24"/>
  <c r="Q1407" i="24"/>
  <c r="R1407" i="24"/>
  <c r="W1407" i="24"/>
  <c r="AB1407" i="24"/>
  <c r="C1408" i="24"/>
  <c r="N1408" i="24"/>
  <c r="Q1408" i="24"/>
  <c r="R1408" i="24"/>
  <c r="W1408" i="24"/>
  <c r="AB1408" i="24"/>
  <c r="C1409" i="24"/>
  <c r="N1409" i="24"/>
  <c r="Q1409" i="24"/>
  <c r="R1409" i="24"/>
  <c r="W1409" i="24"/>
  <c r="AB1409" i="24"/>
  <c r="C1410" i="24"/>
  <c r="N1410" i="24"/>
  <c r="Q1410" i="24"/>
  <c r="R1410" i="24"/>
  <c r="W1410" i="24"/>
  <c r="AB1410" i="24"/>
  <c r="C1411" i="24"/>
  <c r="N1411" i="24"/>
  <c r="Q1411" i="24"/>
  <c r="R1411" i="24"/>
  <c r="W1411" i="24"/>
  <c r="AB1411" i="24"/>
  <c r="C1412" i="24"/>
  <c r="N1412" i="24"/>
  <c r="Q1412" i="24"/>
  <c r="R1412" i="24"/>
  <c r="W1412" i="24"/>
  <c r="AB1412" i="24"/>
  <c r="C1413" i="24"/>
  <c r="N1413" i="24"/>
  <c r="Q1413" i="24"/>
  <c r="R1413" i="24"/>
  <c r="W1413" i="24"/>
  <c r="AB1413" i="24"/>
  <c r="C1414" i="24"/>
  <c r="N1414" i="24"/>
  <c r="Q1414" i="24"/>
  <c r="R1414" i="24"/>
  <c r="W1414" i="24"/>
  <c r="AB1414" i="24"/>
  <c r="C1415" i="24"/>
  <c r="N1415" i="24"/>
  <c r="Q1415" i="24"/>
  <c r="R1415" i="24"/>
  <c r="W1415" i="24"/>
  <c r="AB1415" i="24"/>
  <c r="C1416" i="24"/>
  <c r="N1416" i="24"/>
  <c r="Q1416" i="24"/>
  <c r="R1416" i="24"/>
  <c r="W1416" i="24"/>
  <c r="AB1416" i="24"/>
  <c r="C1417" i="24"/>
  <c r="N1417" i="24"/>
  <c r="Q1417" i="24"/>
  <c r="R1417" i="24"/>
  <c r="W1417" i="24"/>
  <c r="AB1417" i="24"/>
  <c r="C1418" i="24"/>
  <c r="N1418" i="24"/>
  <c r="Q1418" i="24"/>
  <c r="R1418" i="24"/>
  <c r="W1418" i="24"/>
  <c r="AB1418" i="24"/>
  <c r="C1419" i="24"/>
  <c r="N1419" i="24"/>
  <c r="Q1419" i="24"/>
  <c r="R1419" i="24"/>
  <c r="W1419" i="24"/>
  <c r="AB1419" i="24"/>
  <c r="C1420" i="24"/>
  <c r="N1420" i="24"/>
  <c r="Q1420" i="24"/>
  <c r="R1420" i="24"/>
  <c r="W1420" i="24"/>
  <c r="AB1420" i="24"/>
  <c r="C1421" i="24"/>
  <c r="N1421" i="24"/>
  <c r="Q1421" i="24"/>
  <c r="R1421" i="24"/>
  <c r="W1421" i="24"/>
  <c r="AB1421" i="24"/>
  <c r="C1422" i="24"/>
  <c r="N1422" i="24"/>
  <c r="Q1422" i="24"/>
  <c r="R1422" i="24"/>
  <c r="W1422" i="24"/>
  <c r="AB1422" i="24"/>
  <c r="C1423" i="24"/>
  <c r="N1423" i="24"/>
  <c r="Q1423" i="24"/>
  <c r="R1423" i="24"/>
  <c r="W1423" i="24"/>
  <c r="AB1423" i="24"/>
  <c r="C1424" i="24"/>
  <c r="N1424" i="24"/>
  <c r="Q1424" i="24"/>
  <c r="R1424" i="24"/>
  <c r="W1424" i="24"/>
  <c r="AB1424" i="24"/>
  <c r="C1425" i="24"/>
  <c r="N1425" i="24"/>
  <c r="Q1425" i="24"/>
  <c r="R1425" i="24"/>
  <c r="W1425" i="24"/>
  <c r="AB1425" i="24"/>
  <c r="C1426" i="24"/>
  <c r="N1426" i="24"/>
  <c r="Q1426" i="24"/>
  <c r="R1426" i="24"/>
  <c r="W1426" i="24"/>
  <c r="AB1426" i="24"/>
  <c r="C1427" i="24"/>
  <c r="N1427" i="24"/>
  <c r="Q1427" i="24"/>
  <c r="R1427" i="24"/>
  <c r="W1427" i="24"/>
  <c r="AB1427" i="24"/>
  <c r="C1428" i="24"/>
  <c r="N1428" i="24"/>
  <c r="Q1428" i="24"/>
  <c r="R1428" i="24"/>
  <c r="W1428" i="24"/>
  <c r="AB1428" i="24"/>
  <c r="C1429" i="24"/>
  <c r="N1429" i="24"/>
  <c r="Q1429" i="24"/>
  <c r="R1429" i="24"/>
  <c r="W1429" i="24"/>
  <c r="AB1429" i="24"/>
  <c r="C1430" i="24"/>
  <c r="N1430" i="24"/>
  <c r="Q1430" i="24"/>
  <c r="R1430" i="24"/>
  <c r="W1430" i="24"/>
  <c r="AB1430" i="24"/>
  <c r="C1431" i="24"/>
  <c r="N1431" i="24"/>
  <c r="Q1431" i="24"/>
  <c r="R1431" i="24"/>
  <c r="W1431" i="24"/>
  <c r="AB1431" i="24"/>
  <c r="C1432" i="24"/>
  <c r="N1432" i="24"/>
  <c r="Q1432" i="24"/>
  <c r="R1432" i="24"/>
  <c r="W1432" i="24"/>
  <c r="AB1432" i="24"/>
  <c r="C1433" i="24"/>
  <c r="N1433" i="24"/>
  <c r="Q1433" i="24"/>
  <c r="R1433" i="24"/>
  <c r="W1433" i="24"/>
  <c r="AB1433" i="24"/>
  <c r="C1434" i="24"/>
  <c r="N1434" i="24"/>
  <c r="Q1434" i="24"/>
  <c r="R1434" i="24"/>
  <c r="W1434" i="24"/>
  <c r="AB1434" i="24"/>
  <c r="C1435" i="24"/>
  <c r="N1435" i="24"/>
  <c r="Q1435" i="24"/>
  <c r="R1435" i="24"/>
  <c r="W1435" i="24"/>
  <c r="AB1435" i="24"/>
  <c r="C1436" i="24"/>
  <c r="N1436" i="24"/>
  <c r="Q1436" i="24"/>
  <c r="R1436" i="24"/>
  <c r="W1436" i="24"/>
  <c r="AB1436" i="24"/>
  <c r="C1437" i="24"/>
  <c r="N1437" i="24"/>
  <c r="Q1437" i="24"/>
  <c r="R1437" i="24"/>
  <c r="W1437" i="24"/>
  <c r="AB1437" i="24"/>
  <c r="C1438" i="24"/>
  <c r="N1438" i="24"/>
  <c r="Q1438" i="24"/>
  <c r="R1438" i="24"/>
  <c r="W1438" i="24"/>
  <c r="AB1438" i="24"/>
  <c r="C1439" i="24"/>
  <c r="N1439" i="24"/>
  <c r="Q1439" i="24"/>
  <c r="R1439" i="24"/>
  <c r="W1439" i="24"/>
  <c r="AB1439" i="24"/>
  <c r="C1440" i="24"/>
  <c r="N1440" i="24"/>
  <c r="Q1440" i="24"/>
  <c r="R1440" i="24"/>
  <c r="W1440" i="24"/>
  <c r="AB1440" i="24"/>
  <c r="C1441" i="24"/>
  <c r="N1441" i="24"/>
  <c r="Q1441" i="24"/>
  <c r="R1441" i="24"/>
  <c r="W1441" i="24"/>
  <c r="AB1441" i="24"/>
  <c r="C1442" i="24"/>
  <c r="N1442" i="24"/>
  <c r="Q1442" i="24"/>
  <c r="R1442" i="24"/>
  <c r="W1442" i="24"/>
  <c r="AB1442" i="24"/>
  <c r="C1443" i="24"/>
  <c r="N1443" i="24"/>
  <c r="Q1443" i="24"/>
  <c r="R1443" i="24"/>
  <c r="W1443" i="24"/>
  <c r="AB1443" i="24"/>
  <c r="C1444" i="24"/>
  <c r="N1444" i="24"/>
  <c r="Q1444" i="24"/>
  <c r="R1444" i="24"/>
  <c r="W1444" i="24"/>
  <c r="AB1444" i="24"/>
  <c r="C1445" i="24"/>
  <c r="N1445" i="24"/>
  <c r="Q1445" i="24"/>
  <c r="R1445" i="24"/>
  <c r="W1445" i="24"/>
  <c r="AB1445" i="24"/>
  <c r="C1446" i="24"/>
  <c r="N1446" i="24"/>
  <c r="Q1446" i="24"/>
  <c r="R1446" i="24"/>
  <c r="W1446" i="24"/>
  <c r="AB1446" i="24"/>
  <c r="C1447" i="24"/>
  <c r="N1447" i="24"/>
  <c r="Q1447" i="24"/>
  <c r="R1447" i="24"/>
  <c r="W1447" i="24"/>
  <c r="AB1447" i="24"/>
  <c r="C1448" i="24"/>
  <c r="N1448" i="24"/>
  <c r="Q1448" i="24"/>
  <c r="R1448" i="24"/>
  <c r="W1448" i="24"/>
  <c r="AB1448" i="24"/>
  <c r="C1449" i="24"/>
  <c r="N1449" i="24"/>
  <c r="Q1449" i="24"/>
  <c r="R1449" i="24"/>
  <c r="W1449" i="24"/>
  <c r="AB1449" i="24"/>
  <c r="C1450" i="24"/>
  <c r="N1450" i="24"/>
  <c r="Q1450" i="24"/>
  <c r="R1450" i="24"/>
  <c r="W1450" i="24"/>
  <c r="AB1450" i="24"/>
  <c r="C1451" i="24"/>
  <c r="N1451" i="24"/>
  <c r="Q1451" i="24"/>
  <c r="R1451" i="24"/>
  <c r="W1451" i="24"/>
  <c r="AB1451" i="24"/>
  <c r="C1452" i="24"/>
  <c r="N1452" i="24"/>
  <c r="Q1452" i="24"/>
  <c r="R1452" i="24"/>
  <c r="W1452" i="24"/>
  <c r="AB1452" i="24"/>
  <c r="C1453" i="24"/>
  <c r="N1453" i="24"/>
  <c r="Q1453" i="24"/>
  <c r="R1453" i="24"/>
  <c r="W1453" i="24"/>
  <c r="AB1453" i="24"/>
  <c r="C1454" i="24"/>
  <c r="N1454" i="24"/>
  <c r="Q1454" i="24"/>
  <c r="R1454" i="24"/>
  <c r="W1454" i="24"/>
  <c r="AB1454" i="24"/>
  <c r="C1455" i="24"/>
  <c r="N1455" i="24"/>
  <c r="Q1455" i="24"/>
  <c r="R1455" i="24"/>
  <c r="W1455" i="24"/>
  <c r="AB1455" i="24"/>
  <c r="C1456" i="24"/>
  <c r="N1456" i="24"/>
  <c r="Q1456" i="24"/>
  <c r="R1456" i="24"/>
  <c r="W1456" i="24"/>
  <c r="AB1456" i="24"/>
  <c r="C1457" i="24"/>
  <c r="N1457" i="24"/>
  <c r="Q1457" i="24"/>
  <c r="R1457" i="24"/>
  <c r="W1457" i="24"/>
  <c r="AB1457" i="24"/>
  <c r="C1458" i="24"/>
  <c r="N1458" i="24"/>
  <c r="Q1458" i="24"/>
  <c r="R1458" i="24"/>
  <c r="W1458" i="24"/>
  <c r="AB1458" i="24"/>
  <c r="C1459" i="24"/>
  <c r="N1459" i="24"/>
  <c r="Q1459" i="24"/>
  <c r="R1459" i="24"/>
  <c r="W1459" i="24"/>
  <c r="AB1459" i="24"/>
  <c r="C1460" i="24"/>
  <c r="N1460" i="24"/>
  <c r="Q1460" i="24"/>
  <c r="R1460" i="24"/>
  <c r="W1460" i="24"/>
  <c r="AB1460" i="24"/>
  <c r="C1461" i="24"/>
  <c r="N1461" i="24"/>
  <c r="Q1461" i="24"/>
  <c r="R1461" i="24"/>
  <c r="W1461" i="24"/>
  <c r="AB1461" i="24"/>
  <c r="C1462" i="24"/>
  <c r="N1462" i="24"/>
  <c r="Q1462" i="24"/>
  <c r="R1462" i="24"/>
  <c r="W1462" i="24"/>
  <c r="AB1462" i="24"/>
  <c r="C1463" i="24"/>
  <c r="N1463" i="24"/>
  <c r="Q1463" i="24"/>
  <c r="R1463" i="24"/>
  <c r="W1463" i="24"/>
  <c r="AB1463" i="24"/>
  <c r="C1464" i="24"/>
  <c r="N1464" i="24"/>
  <c r="Q1464" i="24"/>
  <c r="R1464" i="24"/>
  <c r="W1464" i="24"/>
  <c r="AB1464" i="24"/>
  <c r="C1465" i="24"/>
  <c r="N1465" i="24"/>
  <c r="Q1465" i="24"/>
  <c r="R1465" i="24"/>
  <c r="W1465" i="24"/>
  <c r="AB1465" i="24"/>
  <c r="C1466" i="24"/>
  <c r="N1466" i="24"/>
  <c r="Q1466" i="24"/>
  <c r="R1466" i="24"/>
  <c r="W1466" i="24"/>
  <c r="AB1466" i="24"/>
  <c r="C1467" i="24"/>
  <c r="N1467" i="24"/>
  <c r="Q1467" i="24"/>
  <c r="R1467" i="24"/>
  <c r="W1467" i="24"/>
  <c r="AB1467" i="24"/>
  <c r="C1468" i="24"/>
  <c r="N1468" i="24"/>
  <c r="Q1468" i="24"/>
  <c r="R1468" i="24"/>
  <c r="W1468" i="24"/>
  <c r="AB1468" i="24"/>
  <c r="C1469" i="24"/>
  <c r="N1469" i="24"/>
  <c r="Q1469" i="24"/>
  <c r="R1469" i="24"/>
  <c r="W1469" i="24"/>
  <c r="AB1469" i="24"/>
  <c r="C1470" i="24"/>
  <c r="N1470" i="24"/>
  <c r="Q1470" i="24"/>
  <c r="R1470" i="24"/>
  <c r="W1470" i="24"/>
  <c r="AB1470" i="24"/>
  <c r="C1471" i="24"/>
  <c r="N1471" i="24"/>
  <c r="Q1471" i="24"/>
  <c r="R1471" i="24"/>
  <c r="W1471" i="24"/>
  <c r="AB1471" i="24"/>
  <c r="C1472" i="24"/>
  <c r="N1472" i="24"/>
  <c r="Q1472" i="24"/>
  <c r="R1472" i="24"/>
  <c r="W1472" i="24"/>
  <c r="AB1472" i="24"/>
  <c r="C1473" i="24"/>
  <c r="N1473" i="24"/>
  <c r="Q1473" i="24"/>
  <c r="R1473" i="24"/>
  <c r="W1473" i="24"/>
  <c r="AB1473" i="24"/>
  <c r="C1474" i="24"/>
  <c r="N1474" i="24"/>
  <c r="Q1474" i="24"/>
  <c r="R1474" i="24"/>
  <c r="W1474" i="24"/>
  <c r="AB1474" i="24"/>
  <c r="C1475" i="24"/>
  <c r="N1475" i="24"/>
  <c r="Q1475" i="24"/>
  <c r="R1475" i="24"/>
  <c r="W1475" i="24"/>
  <c r="AB1475" i="24"/>
  <c r="C1476" i="24"/>
  <c r="N1476" i="24"/>
  <c r="Q1476" i="24"/>
  <c r="R1476" i="24"/>
  <c r="W1476" i="24"/>
  <c r="AB1476" i="24"/>
  <c r="C1477" i="24"/>
  <c r="N1477" i="24"/>
  <c r="Q1477" i="24"/>
  <c r="R1477" i="24"/>
  <c r="W1477" i="24"/>
  <c r="AB1477" i="24"/>
  <c r="C1478" i="24"/>
  <c r="N1478" i="24"/>
  <c r="Q1478" i="24"/>
  <c r="R1478" i="24"/>
  <c r="W1478" i="24"/>
  <c r="AB1478" i="24"/>
  <c r="C1479" i="24"/>
  <c r="N1479" i="24"/>
  <c r="Q1479" i="24"/>
  <c r="R1479" i="24"/>
  <c r="W1479" i="24"/>
  <c r="AB1479" i="24"/>
  <c r="C1480" i="24"/>
  <c r="N1480" i="24"/>
  <c r="Q1480" i="24"/>
  <c r="R1480" i="24"/>
  <c r="W1480" i="24"/>
  <c r="AB1480" i="24"/>
  <c r="C1481" i="24"/>
  <c r="N1481" i="24"/>
  <c r="Q1481" i="24"/>
  <c r="R1481" i="24"/>
  <c r="W1481" i="24"/>
  <c r="AB1481" i="24"/>
  <c r="C1482" i="24"/>
  <c r="N1482" i="24"/>
  <c r="Q1482" i="24"/>
  <c r="R1482" i="24"/>
  <c r="W1482" i="24"/>
  <c r="AB1482" i="24"/>
  <c r="C1483" i="24"/>
  <c r="N1483" i="24"/>
  <c r="Q1483" i="24"/>
  <c r="R1483" i="24"/>
  <c r="W1483" i="24"/>
  <c r="AB1483" i="24"/>
  <c r="C1484" i="24"/>
  <c r="N1484" i="24"/>
  <c r="Q1484" i="24"/>
  <c r="R1484" i="24"/>
  <c r="W1484" i="24"/>
  <c r="AB1484" i="24"/>
  <c r="C1485" i="24"/>
  <c r="N1485" i="24"/>
  <c r="Q1485" i="24"/>
  <c r="R1485" i="24"/>
  <c r="W1485" i="24"/>
  <c r="AB1485" i="24"/>
  <c r="C1486" i="24"/>
  <c r="N1486" i="24"/>
  <c r="Q1486" i="24"/>
  <c r="R1486" i="24"/>
  <c r="W1486" i="24"/>
  <c r="AB1486" i="24"/>
  <c r="C1487" i="24"/>
  <c r="N1487" i="24"/>
  <c r="Q1487" i="24"/>
  <c r="R1487" i="24"/>
  <c r="W1487" i="24"/>
  <c r="AB1487" i="24"/>
  <c r="C1488" i="24"/>
  <c r="N1488" i="24"/>
  <c r="Q1488" i="24"/>
  <c r="R1488" i="24"/>
  <c r="W1488" i="24"/>
  <c r="AB1488" i="24"/>
  <c r="C1489" i="24"/>
  <c r="N1489" i="24"/>
  <c r="Q1489" i="24"/>
  <c r="R1489" i="24"/>
  <c r="W1489" i="24"/>
  <c r="AB1489" i="24"/>
  <c r="C1490" i="24"/>
  <c r="N1490" i="24"/>
  <c r="Q1490" i="24"/>
  <c r="R1490" i="24"/>
  <c r="W1490" i="24"/>
  <c r="AB1490" i="24"/>
  <c r="C1491" i="24"/>
  <c r="N1491" i="24"/>
  <c r="Q1491" i="24"/>
  <c r="R1491" i="24"/>
  <c r="W1491" i="24"/>
  <c r="AB1491" i="24"/>
  <c r="C1492" i="24"/>
  <c r="N1492" i="24"/>
  <c r="Q1492" i="24"/>
  <c r="R1492" i="24"/>
  <c r="W1492" i="24"/>
  <c r="AB1492" i="24"/>
  <c r="C1493" i="24"/>
  <c r="N1493" i="24"/>
  <c r="Q1493" i="24"/>
  <c r="R1493" i="24"/>
  <c r="W1493" i="24"/>
  <c r="AB1493" i="24"/>
  <c r="C1494" i="24"/>
  <c r="N1494" i="24"/>
  <c r="Q1494" i="24"/>
  <c r="R1494" i="24"/>
  <c r="W1494" i="24"/>
  <c r="AB1494" i="24"/>
  <c r="C1495" i="24"/>
  <c r="N1495" i="24"/>
  <c r="Q1495" i="24"/>
  <c r="R1495" i="24"/>
  <c r="W1495" i="24"/>
  <c r="AB1495" i="24"/>
  <c r="C1496" i="24"/>
  <c r="N1496" i="24"/>
  <c r="Q1496" i="24"/>
  <c r="R1496" i="24"/>
  <c r="W1496" i="24"/>
  <c r="AB1496" i="24"/>
  <c r="C1497" i="24"/>
  <c r="N1497" i="24"/>
  <c r="Q1497" i="24"/>
  <c r="R1497" i="24"/>
  <c r="W1497" i="24"/>
  <c r="AB1497" i="24"/>
  <c r="C1498" i="24"/>
  <c r="N1498" i="24"/>
  <c r="Q1498" i="24"/>
  <c r="R1498" i="24"/>
  <c r="W1498" i="24"/>
  <c r="AB1498" i="24"/>
  <c r="C1499" i="24"/>
  <c r="N1499" i="24"/>
  <c r="Q1499" i="24"/>
  <c r="R1499" i="24"/>
  <c r="W1499" i="24"/>
  <c r="AB1499" i="24"/>
  <c r="C1500" i="24"/>
  <c r="N1500" i="24"/>
  <c r="Q1500" i="24"/>
  <c r="R1500" i="24"/>
  <c r="W1500" i="24"/>
  <c r="AB1500" i="24"/>
  <c r="C1501" i="24"/>
  <c r="N1501" i="24"/>
  <c r="Q1501" i="24"/>
  <c r="R1501" i="24"/>
  <c r="W1501" i="24"/>
  <c r="AB1501" i="24"/>
  <c r="C1502" i="24"/>
  <c r="N1502" i="24"/>
  <c r="Q1502" i="24"/>
  <c r="R1502" i="24"/>
  <c r="W1502" i="24"/>
  <c r="AB1502" i="24"/>
  <c r="C1503" i="24"/>
  <c r="N1503" i="24"/>
  <c r="Q1503" i="24"/>
  <c r="R1503" i="24"/>
  <c r="W1503" i="24"/>
  <c r="AB1503" i="24"/>
  <c r="C1504" i="24"/>
  <c r="N1504" i="24"/>
  <c r="Q1504" i="24"/>
  <c r="R1504" i="24"/>
  <c r="W1504" i="24"/>
  <c r="AB1504" i="24"/>
  <c r="C1505" i="24"/>
  <c r="N1505" i="24"/>
  <c r="Q1505" i="24"/>
  <c r="R1505" i="24"/>
  <c r="W1505" i="24"/>
  <c r="AB1505" i="24"/>
  <c r="C1506" i="24"/>
  <c r="N1506" i="24"/>
  <c r="Q1506" i="24"/>
  <c r="R1506" i="24"/>
  <c r="W1506" i="24"/>
  <c r="AB1506" i="24"/>
  <c r="C1507" i="24"/>
  <c r="N1507" i="24"/>
  <c r="Q1507" i="24"/>
  <c r="R1507" i="24"/>
  <c r="W1507" i="24"/>
  <c r="AB1507" i="24"/>
  <c r="C1508" i="24"/>
  <c r="N1508" i="24"/>
  <c r="Q1508" i="24"/>
  <c r="R1508" i="24"/>
  <c r="W1508" i="24"/>
  <c r="AB1508" i="24"/>
  <c r="C1509" i="24"/>
  <c r="N1509" i="24"/>
  <c r="Q1509" i="24"/>
  <c r="R1509" i="24"/>
  <c r="W1509" i="24"/>
  <c r="AB1509" i="24"/>
  <c r="C1510" i="24"/>
  <c r="N1510" i="24"/>
  <c r="Q1510" i="24"/>
  <c r="R1510" i="24"/>
  <c r="W1510" i="24"/>
  <c r="AB1510" i="24"/>
  <c r="C1511" i="24"/>
  <c r="N1511" i="24"/>
  <c r="Q1511" i="24"/>
  <c r="R1511" i="24"/>
  <c r="W1511" i="24"/>
  <c r="AB1511" i="24"/>
  <c r="C1512" i="24"/>
  <c r="N1512" i="24"/>
  <c r="Q1512" i="24"/>
  <c r="R1512" i="24"/>
  <c r="W1512" i="24"/>
  <c r="AB1512" i="24"/>
  <c r="C1513" i="24"/>
  <c r="N1513" i="24"/>
  <c r="Q1513" i="24"/>
  <c r="R1513" i="24"/>
  <c r="W1513" i="24"/>
  <c r="AB1513" i="24"/>
  <c r="C1514" i="24"/>
  <c r="N1514" i="24"/>
  <c r="Q1514" i="24"/>
  <c r="R1514" i="24"/>
  <c r="W1514" i="24"/>
  <c r="AB1514" i="24"/>
  <c r="C1515" i="24"/>
  <c r="N1515" i="24"/>
  <c r="Q1515" i="24"/>
  <c r="R1515" i="24"/>
  <c r="W1515" i="24"/>
  <c r="AB1515" i="24"/>
  <c r="C1516" i="24"/>
  <c r="N1516" i="24"/>
  <c r="Q1516" i="24"/>
  <c r="R1516" i="24"/>
  <c r="W1516" i="24"/>
  <c r="AB1516" i="24"/>
  <c r="C1517" i="24"/>
  <c r="N1517" i="24"/>
  <c r="Q1517" i="24"/>
  <c r="R1517" i="24"/>
  <c r="W1517" i="24"/>
  <c r="AB1517" i="24"/>
  <c r="C1518" i="24"/>
  <c r="N1518" i="24"/>
  <c r="Q1518" i="24"/>
  <c r="R1518" i="24"/>
  <c r="W1518" i="24"/>
  <c r="AB1518" i="24"/>
  <c r="C1519" i="24"/>
  <c r="N1519" i="24"/>
  <c r="Q1519" i="24"/>
  <c r="R1519" i="24"/>
  <c r="W1519" i="24"/>
  <c r="AB1519" i="24"/>
  <c r="C1520" i="24"/>
  <c r="N1520" i="24"/>
  <c r="Q1520" i="24"/>
  <c r="R1520" i="24"/>
  <c r="W1520" i="24"/>
  <c r="AB1520" i="24"/>
  <c r="C1521" i="24"/>
  <c r="N1521" i="24"/>
  <c r="Q1521" i="24"/>
  <c r="R1521" i="24"/>
  <c r="W1521" i="24"/>
  <c r="AB1521" i="24"/>
  <c r="C1522" i="24"/>
  <c r="N1522" i="24"/>
  <c r="Q1522" i="24"/>
  <c r="R1522" i="24"/>
  <c r="W1522" i="24"/>
  <c r="AB1522" i="24"/>
  <c r="C1523" i="24"/>
  <c r="N1523" i="24"/>
  <c r="Q1523" i="24"/>
  <c r="R1523" i="24"/>
  <c r="W1523" i="24"/>
  <c r="AB1523" i="24"/>
  <c r="C1524" i="24"/>
  <c r="N1524" i="24"/>
  <c r="Q1524" i="24"/>
  <c r="R1524" i="24"/>
  <c r="W1524" i="24"/>
  <c r="AB1524" i="24"/>
  <c r="C1525" i="24"/>
  <c r="N1525" i="24"/>
  <c r="Q1525" i="24"/>
  <c r="R1525" i="24"/>
  <c r="W1525" i="24"/>
  <c r="AB1525" i="24"/>
  <c r="C1526" i="24"/>
  <c r="N1526" i="24"/>
  <c r="Q1526" i="24"/>
  <c r="R1526" i="24"/>
  <c r="W1526" i="24"/>
  <c r="AB1526" i="24"/>
  <c r="C1527" i="24"/>
  <c r="N1527" i="24"/>
  <c r="Q1527" i="24"/>
  <c r="R1527" i="24"/>
  <c r="W1527" i="24"/>
  <c r="AB1527" i="24"/>
  <c r="C1528" i="24"/>
  <c r="N1528" i="24"/>
  <c r="Q1528" i="24"/>
  <c r="R1528" i="24"/>
  <c r="W1528" i="24"/>
  <c r="AB1528" i="24"/>
  <c r="C1529" i="24"/>
  <c r="N1529" i="24"/>
  <c r="Q1529" i="24"/>
  <c r="R1529" i="24"/>
  <c r="W1529" i="24"/>
  <c r="AB1529" i="24"/>
  <c r="C1530" i="24"/>
  <c r="N1530" i="24"/>
  <c r="Q1530" i="24"/>
  <c r="R1530" i="24"/>
  <c r="W1530" i="24"/>
  <c r="AB1530" i="24"/>
  <c r="C1531" i="24"/>
  <c r="N1531" i="24"/>
  <c r="Q1531" i="24"/>
  <c r="R1531" i="24"/>
  <c r="W1531" i="24"/>
  <c r="AB1531" i="24"/>
  <c r="C1532" i="24"/>
  <c r="N1532" i="24"/>
  <c r="Q1532" i="24"/>
  <c r="R1532" i="24"/>
  <c r="W1532" i="24"/>
  <c r="AB1532" i="24"/>
  <c r="C1533" i="24"/>
  <c r="N1533" i="24"/>
  <c r="Q1533" i="24"/>
  <c r="R1533" i="24"/>
  <c r="W1533" i="24"/>
  <c r="AB1533" i="24"/>
  <c r="C1534" i="24"/>
  <c r="N1534" i="24"/>
  <c r="Q1534" i="24"/>
  <c r="R1534" i="24"/>
  <c r="W1534" i="24"/>
  <c r="AB1534" i="24"/>
  <c r="C1535" i="24"/>
  <c r="N1535" i="24"/>
  <c r="Q1535" i="24"/>
  <c r="R1535" i="24"/>
  <c r="W1535" i="24"/>
  <c r="AB1535" i="24"/>
  <c r="C1536" i="24"/>
  <c r="N1536" i="24"/>
  <c r="Q1536" i="24"/>
  <c r="R1536" i="24"/>
  <c r="W1536" i="24"/>
  <c r="AB1536" i="24"/>
  <c r="C1537" i="24"/>
  <c r="N1537" i="24"/>
  <c r="Q1537" i="24"/>
  <c r="R1537" i="24"/>
  <c r="W1537" i="24"/>
  <c r="AB1537" i="24"/>
  <c r="C1538" i="24"/>
  <c r="N1538" i="24"/>
  <c r="Q1538" i="24"/>
  <c r="R1538" i="24"/>
  <c r="W1538" i="24"/>
  <c r="AB1538" i="24"/>
  <c r="C1539" i="24"/>
  <c r="N1539" i="24"/>
  <c r="Q1539" i="24"/>
  <c r="R1539" i="24"/>
  <c r="W1539" i="24"/>
  <c r="AB1539" i="24"/>
  <c r="C1540" i="24"/>
  <c r="N1540" i="24"/>
  <c r="Q1540" i="24"/>
  <c r="R1540" i="24"/>
  <c r="W1540" i="24"/>
  <c r="AB1540" i="24"/>
  <c r="C1541" i="24"/>
  <c r="N1541" i="24"/>
  <c r="Q1541" i="24"/>
  <c r="R1541" i="24"/>
  <c r="W1541" i="24"/>
  <c r="AB1541" i="24"/>
  <c r="C1542" i="24"/>
  <c r="N1542" i="24"/>
  <c r="Q1542" i="24"/>
  <c r="R1542" i="24"/>
  <c r="W1542" i="24"/>
  <c r="AB1542" i="24"/>
  <c r="C1543" i="24"/>
  <c r="N1543" i="24"/>
  <c r="Q1543" i="24"/>
  <c r="R1543" i="24"/>
  <c r="W1543" i="24"/>
  <c r="AB1543" i="24"/>
  <c r="C1544" i="24"/>
  <c r="N1544" i="24"/>
  <c r="Q1544" i="24"/>
  <c r="R1544" i="24"/>
  <c r="W1544" i="24"/>
  <c r="AB1544" i="24"/>
  <c r="C1545" i="24"/>
  <c r="N1545" i="24"/>
  <c r="Q1545" i="24"/>
  <c r="R1545" i="24"/>
  <c r="W1545" i="24"/>
  <c r="AB1545" i="24"/>
  <c r="C1546" i="24"/>
  <c r="N1546" i="24"/>
  <c r="Q1546" i="24"/>
  <c r="R1546" i="24"/>
  <c r="W1546" i="24"/>
  <c r="AB1546" i="24"/>
  <c r="C1547" i="24"/>
  <c r="N1547" i="24"/>
  <c r="Q1547" i="24"/>
  <c r="R1547" i="24"/>
  <c r="W1547" i="24"/>
  <c r="AB1547" i="24"/>
  <c r="C1548" i="24"/>
  <c r="N1548" i="24"/>
  <c r="Q1548" i="24"/>
  <c r="R1548" i="24"/>
  <c r="W1548" i="24"/>
  <c r="AB1548" i="24"/>
  <c r="C1549" i="24"/>
  <c r="N1549" i="24"/>
  <c r="Q1549" i="24"/>
  <c r="R1549" i="24"/>
  <c r="W1549" i="24"/>
  <c r="AB1549" i="24"/>
  <c r="C1550" i="24"/>
  <c r="N1550" i="24"/>
  <c r="Q1550" i="24"/>
  <c r="R1550" i="24"/>
  <c r="W1550" i="24"/>
  <c r="AB1550" i="24"/>
  <c r="C1551" i="24"/>
  <c r="N1551" i="24"/>
  <c r="Q1551" i="24"/>
  <c r="R1551" i="24"/>
  <c r="W1551" i="24"/>
  <c r="AB1551" i="24"/>
  <c r="C1552" i="24"/>
  <c r="N1552" i="24"/>
  <c r="Q1552" i="24"/>
  <c r="R1552" i="24"/>
  <c r="W1552" i="24"/>
  <c r="AB1552" i="24"/>
  <c r="C1553" i="24"/>
  <c r="N1553" i="24"/>
  <c r="Q1553" i="24"/>
  <c r="R1553" i="24"/>
  <c r="W1553" i="24"/>
  <c r="AB1553" i="24"/>
  <c r="C1554" i="24"/>
  <c r="N1554" i="24"/>
  <c r="Q1554" i="24"/>
  <c r="R1554" i="24"/>
  <c r="W1554" i="24"/>
  <c r="AB1554" i="24"/>
  <c r="C1555" i="24"/>
  <c r="N1555" i="24"/>
  <c r="Q1555" i="24"/>
  <c r="R1555" i="24"/>
  <c r="W1555" i="24"/>
  <c r="AB1555" i="24"/>
  <c r="C1556" i="24"/>
  <c r="N1556" i="24"/>
  <c r="Q1556" i="24"/>
  <c r="R1556" i="24"/>
  <c r="W1556" i="24"/>
  <c r="AB1556" i="24"/>
  <c r="C1557" i="24"/>
  <c r="N1557" i="24"/>
  <c r="Q1557" i="24"/>
  <c r="R1557" i="24"/>
  <c r="W1557" i="24"/>
  <c r="AB1557" i="24"/>
  <c r="C1558" i="24"/>
  <c r="N1558" i="24"/>
  <c r="Q1558" i="24"/>
  <c r="R1558" i="24"/>
  <c r="W1558" i="24"/>
  <c r="AB1558" i="24"/>
  <c r="C1559" i="24"/>
  <c r="N1559" i="24"/>
  <c r="Q1559" i="24"/>
  <c r="R1559" i="24"/>
  <c r="W1559" i="24"/>
  <c r="AB1559" i="24"/>
  <c r="C1560" i="24"/>
  <c r="N1560" i="24"/>
  <c r="Q1560" i="24"/>
  <c r="R1560" i="24"/>
  <c r="W1560" i="24"/>
  <c r="AB1560" i="24"/>
  <c r="C1561" i="24"/>
  <c r="N1561" i="24"/>
  <c r="Q1561" i="24"/>
  <c r="R1561" i="24"/>
  <c r="W1561" i="24"/>
  <c r="AB1561" i="24"/>
  <c r="C1562" i="24"/>
  <c r="N1562" i="24"/>
  <c r="Q1562" i="24"/>
  <c r="R1562" i="24"/>
  <c r="W1562" i="24"/>
  <c r="AB1562" i="24"/>
  <c r="C1563" i="24"/>
  <c r="N1563" i="24"/>
  <c r="Q1563" i="24"/>
  <c r="R1563" i="24"/>
  <c r="W1563" i="24"/>
  <c r="AB1563" i="24"/>
  <c r="C1564" i="24"/>
  <c r="N1564" i="24"/>
  <c r="Q1564" i="24"/>
  <c r="R1564" i="24"/>
  <c r="W1564" i="24"/>
  <c r="AB1564" i="24"/>
  <c r="C1565" i="24"/>
  <c r="N1565" i="24"/>
  <c r="Q1565" i="24"/>
  <c r="R1565" i="24"/>
  <c r="W1565" i="24"/>
  <c r="AB1565" i="24"/>
  <c r="C1566" i="24"/>
  <c r="N1566" i="24"/>
  <c r="Q1566" i="24"/>
  <c r="R1566" i="24"/>
  <c r="W1566" i="24"/>
  <c r="AB1566" i="24"/>
  <c r="C1567" i="24"/>
  <c r="N1567" i="24"/>
  <c r="Q1567" i="24"/>
  <c r="R1567" i="24"/>
  <c r="W1567" i="24"/>
  <c r="AB1567" i="24"/>
  <c r="C1568" i="24"/>
  <c r="N1568" i="24"/>
  <c r="Q1568" i="24"/>
  <c r="R1568" i="24"/>
  <c r="W1568" i="24"/>
  <c r="AB1568" i="24"/>
  <c r="C1569" i="24"/>
  <c r="N1569" i="24"/>
  <c r="Q1569" i="24"/>
  <c r="R1569" i="24"/>
  <c r="W1569" i="24"/>
  <c r="AB1569" i="24"/>
  <c r="C1570" i="24"/>
  <c r="N1570" i="24"/>
  <c r="Q1570" i="24"/>
  <c r="R1570" i="24"/>
  <c r="W1570" i="24"/>
  <c r="AB1570" i="24"/>
  <c r="C1571" i="24"/>
  <c r="N1571" i="24"/>
  <c r="Q1571" i="24"/>
  <c r="R1571" i="24"/>
  <c r="W1571" i="24"/>
  <c r="AB1571" i="24"/>
  <c r="C1572" i="24"/>
  <c r="N1572" i="24"/>
  <c r="Q1572" i="24"/>
  <c r="R1572" i="24"/>
  <c r="W1572" i="24"/>
  <c r="AB1572" i="24"/>
  <c r="C1573" i="24"/>
  <c r="N1573" i="24"/>
  <c r="Q1573" i="24"/>
  <c r="R1573" i="24"/>
  <c r="W1573" i="24"/>
  <c r="AB1573" i="24"/>
  <c r="C1574" i="24"/>
  <c r="N1574" i="24"/>
  <c r="Q1574" i="24"/>
  <c r="R1574" i="24"/>
  <c r="W1574" i="24"/>
  <c r="AB1574" i="24"/>
  <c r="C1575" i="24"/>
  <c r="N1575" i="24"/>
  <c r="Q1575" i="24"/>
  <c r="R1575" i="24"/>
  <c r="W1575" i="24"/>
  <c r="AB1575" i="24"/>
  <c r="C1576" i="24"/>
  <c r="N1576" i="24"/>
  <c r="Q1576" i="24"/>
  <c r="R1576" i="24"/>
  <c r="W1576" i="24"/>
  <c r="AB1576" i="24"/>
  <c r="C1577" i="24"/>
  <c r="N1577" i="24"/>
  <c r="Q1577" i="24"/>
  <c r="R1577" i="24"/>
  <c r="W1577" i="24"/>
  <c r="AB1577" i="24"/>
  <c r="C1578" i="24"/>
  <c r="N1578" i="24"/>
  <c r="Q1578" i="24"/>
  <c r="R1578" i="24"/>
  <c r="W1578" i="24"/>
  <c r="AB1578" i="24"/>
  <c r="C1579" i="24"/>
  <c r="N1579" i="24"/>
  <c r="Q1579" i="24"/>
  <c r="R1579" i="24"/>
  <c r="W1579" i="24"/>
  <c r="AB1579" i="24"/>
  <c r="C1580" i="24"/>
  <c r="N1580" i="24"/>
  <c r="Q1580" i="24"/>
  <c r="R1580" i="24"/>
  <c r="W1580" i="24"/>
  <c r="AB1580" i="24"/>
  <c r="C1581" i="24"/>
  <c r="N1581" i="24"/>
  <c r="Q1581" i="24"/>
  <c r="R1581" i="24"/>
  <c r="W1581" i="24"/>
  <c r="AB1581" i="24"/>
  <c r="C1582" i="24"/>
  <c r="N1582" i="24"/>
  <c r="Q1582" i="24"/>
  <c r="R1582" i="24"/>
  <c r="W1582" i="24"/>
  <c r="AB1582" i="24"/>
  <c r="C1583" i="24"/>
  <c r="N1583" i="24"/>
  <c r="Q1583" i="24"/>
  <c r="R1583" i="24"/>
  <c r="W1583" i="24"/>
  <c r="AB1583" i="24"/>
  <c r="C1584" i="24"/>
  <c r="N1584" i="24"/>
  <c r="Q1584" i="24"/>
  <c r="R1584" i="24"/>
  <c r="W1584" i="24"/>
  <c r="AB1584" i="24"/>
  <c r="C1585" i="24"/>
  <c r="N1585" i="24"/>
  <c r="Q1585" i="24"/>
  <c r="R1585" i="24"/>
  <c r="W1585" i="24"/>
  <c r="AB1585" i="24"/>
  <c r="C1586" i="24"/>
  <c r="N1586" i="24"/>
  <c r="Q1586" i="24"/>
  <c r="R1586" i="24"/>
  <c r="W1586" i="24"/>
  <c r="AB1586" i="24"/>
  <c r="C1587" i="24"/>
  <c r="N1587" i="24"/>
  <c r="Q1587" i="24"/>
  <c r="R1587" i="24"/>
  <c r="W1587" i="24"/>
  <c r="AB1587" i="24"/>
  <c r="C1588" i="24"/>
  <c r="N1588" i="24"/>
  <c r="Q1588" i="24"/>
  <c r="R1588" i="24"/>
  <c r="W1588" i="24"/>
  <c r="AB1588" i="24"/>
  <c r="C1589" i="24"/>
  <c r="N1589" i="24"/>
  <c r="Q1589" i="24"/>
  <c r="R1589" i="24"/>
  <c r="W1589" i="24"/>
  <c r="AB1589" i="24"/>
  <c r="C1590" i="24"/>
  <c r="N1590" i="24"/>
  <c r="Q1590" i="24"/>
  <c r="R1590" i="24"/>
  <c r="W1590" i="24"/>
  <c r="AB1590" i="24"/>
  <c r="C1591" i="24"/>
  <c r="N1591" i="24"/>
  <c r="Q1591" i="24"/>
  <c r="R1591" i="24"/>
  <c r="W1591" i="24"/>
  <c r="AB1591" i="24"/>
  <c r="C1592" i="24"/>
  <c r="N1592" i="24"/>
  <c r="Q1592" i="24"/>
  <c r="R1592" i="24"/>
  <c r="W1592" i="24"/>
  <c r="AB1592" i="24"/>
  <c r="C1593" i="24"/>
  <c r="N1593" i="24"/>
  <c r="Q1593" i="24"/>
  <c r="R1593" i="24"/>
  <c r="W1593" i="24"/>
  <c r="AB1593" i="24"/>
  <c r="C1594" i="24"/>
  <c r="N1594" i="24"/>
  <c r="Q1594" i="24"/>
  <c r="R1594" i="24"/>
  <c r="W1594" i="24"/>
  <c r="AB1594" i="24"/>
  <c r="C1595" i="24"/>
  <c r="N1595" i="24"/>
  <c r="Q1595" i="24"/>
  <c r="R1595" i="24"/>
  <c r="W1595" i="24"/>
  <c r="AB1595" i="24"/>
  <c r="C1596" i="24"/>
  <c r="N1596" i="24"/>
  <c r="Q1596" i="24"/>
  <c r="R1596" i="24"/>
  <c r="W1596" i="24"/>
  <c r="AB1596" i="24"/>
  <c r="C1597" i="24"/>
  <c r="N1597" i="24"/>
  <c r="Q1597" i="24"/>
  <c r="R1597" i="24"/>
  <c r="W1597" i="24"/>
  <c r="AB1597" i="24"/>
  <c r="C1598" i="24"/>
  <c r="N1598" i="24"/>
  <c r="Q1598" i="24"/>
  <c r="R1598" i="24"/>
  <c r="W1598" i="24"/>
  <c r="AB1598" i="24"/>
  <c r="C1599" i="24"/>
  <c r="N1599" i="24"/>
  <c r="Q1599" i="24"/>
  <c r="R1599" i="24"/>
  <c r="W1599" i="24"/>
  <c r="AB1599" i="24"/>
  <c r="C1600" i="24"/>
  <c r="N1600" i="24"/>
  <c r="Q1600" i="24"/>
  <c r="R1600" i="24"/>
  <c r="W1600" i="24"/>
  <c r="AB1600" i="24"/>
  <c r="C1601" i="24"/>
  <c r="N1601" i="24"/>
  <c r="Q1601" i="24"/>
  <c r="R1601" i="24"/>
  <c r="W1601" i="24"/>
  <c r="AB1601" i="24"/>
  <c r="C1602" i="24"/>
  <c r="N1602" i="24"/>
  <c r="Q1602" i="24"/>
  <c r="R1602" i="24"/>
  <c r="W1602" i="24"/>
  <c r="AB1602" i="24"/>
  <c r="C1603" i="24"/>
  <c r="N1603" i="24"/>
  <c r="Q1603" i="24"/>
  <c r="R1603" i="24"/>
  <c r="W1603" i="24"/>
  <c r="AB1603" i="24"/>
  <c r="C1604" i="24"/>
  <c r="N1604" i="24"/>
  <c r="Q1604" i="24"/>
  <c r="R1604" i="24"/>
  <c r="W1604" i="24"/>
  <c r="AB1604" i="24"/>
  <c r="C1605" i="24"/>
  <c r="N1605" i="24"/>
  <c r="Q1605" i="24"/>
  <c r="R1605" i="24"/>
  <c r="W1605" i="24"/>
  <c r="AB1605" i="24"/>
  <c r="C1606" i="24"/>
  <c r="N1606" i="24"/>
  <c r="Q1606" i="24"/>
  <c r="R1606" i="24"/>
  <c r="W1606" i="24"/>
  <c r="AB1606" i="24"/>
  <c r="C1607" i="24"/>
  <c r="N1607" i="24"/>
  <c r="Q1607" i="24"/>
  <c r="R1607" i="24"/>
  <c r="W1607" i="24"/>
  <c r="AB1607" i="24"/>
  <c r="C1608" i="24"/>
  <c r="N1608" i="24"/>
  <c r="Q1608" i="24"/>
  <c r="R1608" i="24"/>
  <c r="W1608" i="24"/>
  <c r="AB1608" i="24"/>
  <c r="C1609" i="24"/>
  <c r="N1609" i="24"/>
  <c r="Q1609" i="24"/>
  <c r="R1609" i="24"/>
  <c r="W1609" i="24"/>
  <c r="AB1609" i="24"/>
  <c r="C1610" i="24"/>
  <c r="N1610" i="24"/>
  <c r="Q1610" i="24"/>
  <c r="R1610" i="24"/>
  <c r="W1610" i="24"/>
  <c r="AB1610" i="24"/>
  <c r="C1611" i="24"/>
  <c r="N1611" i="24"/>
  <c r="Q1611" i="24"/>
  <c r="R1611" i="24"/>
  <c r="W1611" i="24"/>
  <c r="AB1611" i="24"/>
  <c r="C1612" i="24"/>
  <c r="N1612" i="24"/>
  <c r="Q1612" i="24"/>
  <c r="R1612" i="24"/>
  <c r="W1612" i="24"/>
  <c r="AB1612" i="24"/>
  <c r="C1613" i="24"/>
  <c r="N1613" i="24"/>
  <c r="Q1613" i="24"/>
  <c r="R1613" i="24"/>
  <c r="W1613" i="24"/>
  <c r="AB1613" i="24"/>
  <c r="C1614" i="24"/>
  <c r="N1614" i="24"/>
  <c r="Q1614" i="24"/>
  <c r="R1614" i="24"/>
  <c r="W1614" i="24"/>
  <c r="AB1614" i="24"/>
  <c r="C1615" i="24"/>
  <c r="N1615" i="24"/>
  <c r="Q1615" i="24"/>
  <c r="R1615" i="24"/>
  <c r="W1615" i="24"/>
  <c r="AB1615" i="24"/>
  <c r="C1616" i="24"/>
  <c r="N1616" i="24"/>
  <c r="Q1616" i="24"/>
  <c r="R1616" i="24"/>
  <c r="W1616" i="24"/>
  <c r="AB1616" i="24"/>
  <c r="C1617" i="24"/>
  <c r="N1617" i="24"/>
  <c r="Q1617" i="24"/>
  <c r="R1617" i="24"/>
  <c r="W1617" i="24"/>
  <c r="AB1617" i="24"/>
  <c r="C1618" i="24"/>
  <c r="N1618" i="24"/>
  <c r="Q1618" i="24"/>
  <c r="R1618" i="24"/>
  <c r="W1618" i="24"/>
  <c r="AB1618" i="24"/>
  <c r="C1619" i="24"/>
  <c r="N1619" i="24"/>
  <c r="Q1619" i="24"/>
  <c r="R1619" i="24"/>
  <c r="W1619" i="24"/>
  <c r="AB1619" i="24"/>
  <c r="C1620" i="24"/>
  <c r="N1620" i="24"/>
  <c r="Q1620" i="24"/>
  <c r="R1620" i="24"/>
  <c r="W1620" i="24"/>
  <c r="AB1620" i="24"/>
  <c r="C1621" i="24"/>
  <c r="N1621" i="24"/>
  <c r="Q1621" i="24"/>
  <c r="R1621" i="24"/>
  <c r="W1621" i="24"/>
  <c r="AB1621" i="24"/>
  <c r="C1622" i="24"/>
  <c r="N1622" i="24"/>
  <c r="Q1622" i="24"/>
  <c r="R1622" i="24"/>
  <c r="W1622" i="24"/>
  <c r="AB1622" i="24"/>
  <c r="C1623" i="24"/>
  <c r="N1623" i="24"/>
  <c r="Q1623" i="24"/>
  <c r="R1623" i="24"/>
  <c r="W1623" i="24"/>
  <c r="AB1623" i="24"/>
  <c r="C1624" i="24"/>
  <c r="N1624" i="24"/>
  <c r="Q1624" i="24"/>
  <c r="R1624" i="24"/>
  <c r="W1624" i="24"/>
  <c r="AB1624" i="24"/>
  <c r="C1625" i="24"/>
  <c r="N1625" i="24"/>
  <c r="Q1625" i="24"/>
  <c r="R1625" i="24"/>
  <c r="W1625" i="24"/>
  <c r="AB1625" i="24"/>
  <c r="C1626" i="24"/>
  <c r="N1626" i="24"/>
  <c r="Q1626" i="24"/>
  <c r="R1626" i="24"/>
  <c r="W1626" i="24"/>
  <c r="AB1626" i="24"/>
  <c r="C1627" i="24"/>
  <c r="N1627" i="24"/>
  <c r="Q1627" i="24"/>
  <c r="R1627" i="24"/>
  <c r="W1627" i="24"/>
  <c r="AB1627" i="24"/>
  <c r="C1628" i="24"/>
  <c r="N1628" i="24"/>
  <c r="Q1628" i="24"/>
  <c r="R1628" i="24"/>
  <c r="W1628" i="24"/>
  <c r="AB1628" i="24"/>
  <c r="C1629" i="24"/>
  <c r="N1629" i="24"/>
  <c r="Q1629" i="24"/>
  <c r="R1629" i="24"/>
  <c r="W1629" i="24"/>
  <c r="AB1629" i="24"/>
  <c r="C1630" i="24"/>
  <c r="N1630" i="24"/>
  <c r="Q1630" i="24"/>
  <c r="R1630" i="24"/>
  <c r="W1630" i="24"/>
  <c r="AB1630" i="24"/>
  <c r="C1631" i="24"/>
  <c r="N1631" i="24"/>
  <c r="Q1631" i="24"/>
  <c r="R1631" i="24"/>
  <c r="W1631" i="24"/>
  <c r="AB1631" i="24"/>
  <c r="C1632" i="24"/>
  <c r="N1632" i="24"/>
  <c r="Q1632" i="24"/>
  <c r="R1632" i="24"/>
  <c r="W1632" i="24"/>
  <c r="AB1632" i="24"/>
  <c r="C1633" i="24"/>
  <c r="N1633" i="24"/>
  <c r="Q1633" i="24"/>
  <c r="R1633" i="24"/>
  <c r="W1633" i="24"/>
  <c r="AB1633" i="24"/>
  <c r="C1634" i="24"/>
  <c r="N1634" i="24"/>
  <c r="Q1634" i="24"/>
  <c r="R1634" i="24"/>
  <c r="W1634" i="24"/>
  <c r="AB1634" i="24"/>
  <c r="C1635" i="24"/>
  <c r="N1635" i="24"/>
  <c r="Q1635" i="24"/>
  <c r="R1635" i="24"/>
  <c r="W1635" i="24"/>
  <c r="AB1635" i="24"/>
  <c r="C1636" i="24"/>
  <c r="N1636" i="24"/>
  <c r="Q1636" i="24"/>
  <c r="R1636" i="24"/>
  <c r="W1636" i="24"/>
  <c r="AB1636" i="24"/>
  <c r="C1637" i="24"/>
  <c r="N1637" i="24"/>
  <c r="Q1637" i="24"/>
  <c r="R1637" i="24"/>
  <c r="W1637" i="24"/>
  <c r="AB1637" i="24"/>
  <c r="C1638" i="24"/>
  <c r="N1638" i="24"/>
  <c r="Q1638" i="24"/>
  <c r="R1638" i="24"/>
  <c r="W1638" i="24"/>
  <c r="AB1638" i="24"/>
  <c r="C1639" i="24"/>
  <c r="N1639" i="24"/>
  <c r="Q1639" i="24"/>
  <c r="R1639" i="24"/>
  <c r="W1639" i="24"/>
  <c r="AB1639" i="24"/>
  <c r="C1640" i="24"/>
  <c r="N1640" i="24"/>
  <c r="Q1640" i="24"/>
  <c r="R1640" i="24"/>
  <c r="W1640" i="24"/>
  <c r="AB1640" i="24"/>
  <c r="C1641" i="24"/>
  <c r="N1641" i="24"/>
  <c r="Q1641" i="24"/>
  <c r="R1641" i="24"/>
  <c r="W1641" i="24"/>
  <c r="AB1641" i="24"/>
  <c r="C1642" i="24"/>
  <c r="N1642" i="24"/>
  <c r="Q1642" i="24"/>
  <c r="R1642" i="24"/>
  <c r="W1642" i="24"/>
  <c r="AB1642" i="24"/>
  <c r="C1643" i="24"/>
  <c r="N1643" i="24"/>
  <c r="Q1643" i="24"/>
  <c r="R1643" i="24"/>
  <c r="W1643" i="24"/>
  <c r="AB1643" i="24"/>
  <c r="C1644" i="24"/>
  <c r="N1644" i="24"/>
  <c r="Q1644" i="24"/>
  <c r="R1644" i="24"/>
  <c r="W1644" i="24"/>
  <c r="AB1644" i="24"/>
  <c r="C1645" i="24"/>
  <c r="N1645" i="24"/>
  <c r="Q1645" i="24"/>
  <c r="R1645" i="24"/>
  <c r="W1645" i="24"/>
  <c r="AB1645" i="24"/>
  <c r="C1646" i="24"/>
  <c r="N1646" i="24"/>
  <c r="Q1646" i="24"/>
  <c r="R1646" i="24"/>
  <c r="W1646" i="24"/>
  <c r="AB1646" i="24"/>
  <c r="C1647" i="24"/>
  <c r="N1647" i="24"/>
  <c r="Q1647" i="24"/>
  <c r="R1647" i="24"/>
  <c r="W1647" i="24"/>
  <c r="AB1647" i="24"/>
  <c r="C1648" i="24"/>
  <c r="N1648" i="24"/>
  <c r="Q1648" i="24"/>
  <c r="R1648" i="24"/>
  <c r="W1648" i="24"/>
  <c r="AB1648" i="24"/>
  <c r="C1649" i="24"/>
  <c r="N1649" i="24"/>
  <c r="Q1649" i="24"/>
  <c r="R1649" i="24"/>
  <c r="W1649" i="24"/>
  <c r="AB1649" i="24"/>
  <c r="C1650" i="24"/>
  <c r="N1650" i="24"/>
  <c r="Q1650" i="24"/>
  <c r="R1650" i="24"/>
  <c r="W1650" i="24"/>
  <c r="AB1650" i="24"/>
  <c r="C1651" i="24"/>
  <c r="N1651" i="24"/>
  <c r="Q1651" i="24"/>
  <c r="R1651" i="24"/>
  <c r="W1651" i="24"/>
  <c r="AB1651" i="24"/>
  <c r="C1652" i="24"/>
  <c r="N1652" i="24"/>
  <c r="Q1652" i="24"/>
  <c r="R1652" i="24"/>
  <c r="W1652" i="24"/>
  <c r="AB1652" i="24"/>
  <c r="C1653" i="24"/>
  <c r="N1653" i="24"/>
  <c r="Q1653" i="24"/>
  <c r="R1653" i="24"/>
  <c r="W1653" i="24"/>
  <c r="AB1653" i="24"/>
  <c r="C1654" i="24"/>
  <c r="N1654" i="24"/>
  <c r="Q1654" i="24"/>
  <c r="R1654" i="24"/>
  <c r="W1654" i="24"/>
  <c r="AB1654" i="24"/>
  <c r="C1655" i="24"/>
  <c r="N1655" i="24"/>
  <c r="Q1655" i="24"/>
  <c r="R1655" i="24"/>
  <c r="W1655" i="24"/>
  <c r="AB1655" i="24"/>
  <c r="C1656" i="24"/>
  <c r="N1656" i="24"/>
  <c r="Q1656" i="24"/>
  <c r="R1656" i="24"/>
  <c r="W1656" i="24"/>
  <c r="AB1656" i="24"/>
  <c r="C1657" i="24"/>
  <c r="N1657" i="24"/>
  <c r="Q1657" i="24"/>
  <c r="R1657" i="24"/>
  <c r="W1657" i="24"/>
  <c r="AB1657" i="24"/>
  <c r="C1658" i="24"/>
  <c r="N1658" i="24"/>
  <c r="Q1658" i="24"/>
  <c r="R1658" i="24"/>
  <c r="W1658" i="24"/>
  <c r="AB1658" i="24"/>
  <c r="C1659" i="24"/>
  <c r="N1659" i="24"/>
  <c r="Q1659" i="24"/>
  <c r="R1659" i="24"/>
  <c r="W1659" i="24"/>
  <c r="AB1659" i="24"/>
  <c r="C1660" i="24"/>
  <c r="N1660" i="24"/>
  <c r="Q1660" i="24"/>
  <c r="R1660" i="24"/>
  <c r="W1660" i="24"/>
  <c r="AB1660" i="24"/>
  <c r="C1661" i="24"/>
  <c r="N1661" i="24"/>
  <c r="Q1661" i="24"/>
  <c r="R1661" i="24"/>
  <c r="W1661" i="24"/>
  <c r="AB1661" i="24"/>
  <c r="C1662" i="24"/>
  <c r="N1662" i="24"/>
  <c r="Q1662" i="24"/>
  <c r="R1662" i="24"/>
  <c r="W1662" i="24"/>
  <c r="AB1662" i="24"/>
  <c r="C1663" i="24"/>
  <c r="N1663" i="24"/>
  <c r="Q1663" i="24"/>
  <c r="R1663" i="24"/>
  <c r="W1663" i="24"/>
  <c r="AB1663" i="24"/>
  <c r="C1664" i="24"/>
  <c r="N1664" i="24"/>
  <c r="Q1664" i="24"/>
  <c r="R1664" i="24"/>
  <c r="W1664" i="24"/>
  <c r="AB1664" i="24"/>
  <c r="C1665" i="24"/>
  <c r="N1665" i="24"/>
  <c r="Q1665" i="24"/>
  <c r="R1665" i="24"/>
  <c r="W1665" i="24"/>
  <c r="AB1665" i="24"/>
  <c r="C1666" i="24"/>
  <c r="N1666" i="24"/>
  <c r="Q1666" i="24"/>
  <c r="R1666" i="24"/>
  <c r="W1666" i="24"/>
  <c r="AB1666" i="24"/>
  <c r="C1667" i="24"/>
  <c r="N1667" i="24"/>
  <c r="Q1667" i="24"/>
  <c r="R1667" i="24"/>
  <c r="W1667" i="24"/>
  <c r="AB1667" i="24"/>
  <c r="C1668" i="24"/>
  <c r="N1668" i="24"/>
  <c r="Q1668" i="24"/>
  <c r="R1668" i="24"/>
  <c r="W1668" i="24"/>
  <c r="AB1668" i="24"/>
  <c r="C1669" i="24"/>
  <c r="N1669" i="24"/>
  <c r="Q1669" i="24"/>
  <c r="R1669" i="24"/>
  <c r="W1669" i="24"/>
  <c r="AB1669" i="24"/>
  <c r="C1670" i="24"/>
  <c r="N1670" i="24"/>
  <c r="Q1670" i="24"/>
  <c r="R1670" i="24"/>
  <c r="W1670" i="24"/>
  <c r="AB1670" i="24"/>
  <c r="C1671" i="24"/>
  <c r="N1671" i="24"/>
  <c r="Q1671" i="24"/>
  <c r="R1671" i="24"/>
  <c r="W1671" i="24"/>
  <c r="AB1671" i="24"/>
  <c r="C1672" i="24"/>
  <c r="N1672" i="24"/>
  <c r="Q1672" i="24"/>
  <c r="R1672" i="24"/>
  <c r="W1672" i="24"/>
  <c r="AB1672" i="24"/>
  <c r="C1673" i="24"/>
  <c r="N1673" i="24"/>
  <c r="Q1673" i="24"/>
  <c r="R1673" i="24"/>
  <c r="W1673" i="24"/>
  <c r="AB1673" i="24"/>
  <c r="C1674" i="24"/>
  <c r="N1674" i="24"/>
  <c r="Q1674" i="24"/>
  <c r="R1674" i="24"/>
  <c r="W1674" i="24"/>
  <c r="AB1674" i="24"/>
  <c r="C1675" i="24"/>
  <c r="N1675" i="24"/>
  <c r="Q1675" i="24"/>
  <c r="R1675" i="24"/>
  <c r="W1675" i="24"/>
  <c r="AB1675" i="24"/>
  <c r="C1676" i="24"/>
  <c r="N1676" i="24"/>
  <c r="Q1676" i="24"/>
  <c r="R1676" i="24"/>
  <c r="W1676" i="24"/>
  <c r="AB1676" i="24"/>
  <c r="C1677" i="24"/>
  <c r="N1677" i="24"/>
  <c r="Q1677" i="24"/>
  <c r="R1677" i="24"/>
  <c r="W1677" i="24"/>
  <c r="AB1677" i="24"/>
  <c r="C1678" i="24"/>
  <c r="N1678" i="24"/>
  <c r="Q1678" i="24"/>
  <c r="R1678" i="24"/>
  <c r="W1678" i="24"/>
  <c r="AB1678" i="24"/>
  <c r="C1679" i="24"/>
  <c r="N1679" i="24"/>
  <c r="Q1679" i="24"/>
  <c r="R1679" i="24"/>
  <c r="W1679" i="24"/>
  <c r="AB1679" i="24"/>
  <c r="C1680" i="24"/>
  <c r="N1680" i="24"/>
  <c r="Q1680" i="24"/>
  <c r="R1680" i="24"/>
  <c r="W1680" i="24"/>
  <c r="AB1680" i="24"/>
  <c r="C1681" i="24"/>
  <c r="N1681" i="24"/>
  <c r="Q1681" i="24"/>
  <c r="R1681" i="24"/>
  <c r="W1681" i="24"/>
  <c r="AB1681" i="24"/>
  <c r="C1682" i="24"/>
  <c r="N1682" i="24"/>
  <c r="Q1682" i="24"/>
  <c r="R1682" i="24"/>
  <c r="W1682" i="24"/>
  <c r="AB1682" i="24"/>
  <c r="C1683" i="24"/>
  <c r="N1683" i="24"/>
  <c r="Q1683" i="24"/>
  <c r="R1683" i="24"/>
  <c r="W1683" i="24"/>
  <c r="AB1683" i="24"/>
  <c r="C1684" i="24"/>
  <c r="N1684" i="24"/>
  <c r="Q1684" i="24"/>
  <c r="R1684" i="24"/>
  <c r="W1684" i="24"/>
  <c r="AB1684" i="24"/>
  <c r="C1685" i="24"/>
  <c r="N1685" i="24"/>
  <c r="Q1685" i="24"/>
  <c r="R1685" i="24"/>
  <c r="W1685" i="24"/>
  <c r="AB1685" i="24"/>
  <c r="C1686" i="24"/>
  <c r="N1686" i="24"/>
  <c r="Q1686" i="24"/>
  <c r="R1686" i="24"/>
  <c r="W1686" i="24"/>
  <c r="AB1686" i="24"/>
  <c r="C1687" i="24"/>
  <c r="N1687" i="24"/>
  <c r="Q1687" i="24"/>
  <c r="R1687" i="24"/>
  <c r="W1687" i="24"/>
  <c r="AB1687" i="24"/>
  <c r="C1688" i="24"/>
  <c r="N1688" i="24"/>
  <c r="Q1688" i="24"/>
  <c r="R1688" i="24"/>
  <c r="W1688" i="24"/>
  <c r="AB1688" i="24"/>
  <c r="C1689" i="24"/>
  <c r="N1689" i="24"/>
  <c r="Q1689" i="24"/>
  <c r="R1689" i="24"/>
  <c r="W1689" i="24"/>
  <c r="AB1689" i="24"/>
  <c r="C1690" i="24"/>
  <c r="N1690" i="24"/>
  <c r="Q1690" i="24"/>
  <c r="R1690" i="24"/>
  <c r="W1690" i="24"/>
  <c r="AB1690" i="24"/>
  <c r="C1691" i="24"/>
  <c r="N1691" i="24"/>
  <c r="Q1691" i="24"/>
  <c r="R1691" i="24"/>
  <c r="W1691" i="24"/>
  <c r="AB1691" i="24"/>
  <c r="C1692" i="24"/>
  <c r="N1692" i="24"/>
  <c r="Q1692" i="24"/>
  <c r="R1692" i="24"/>
  <c r="W1692" i="24"/>
  <c r="AB1692" i="24"/>
  <c r="C1693" i="24"/>
  <c r="N1693" i="24"/>
  <c r="Q1693" i="24"/>
  <c r="R1693" i="24"/>
  <c r="W1693" i="24"/>
  <c r="AB1693" i="24"/>
  <c r="C1694" i="24"/>
  <c r="N1694" i="24"/>
  <c r="Q1694" i="24"/>
  <c r="R1694" i="24"/>
  <c r="W1694" i="24"/>
  <c r="AB1694" i="24"/>
  <c r="C1695" i="24"/>
  <c r="N1695" i="24"/>
  <c r="Q1695" i="24"/>
  <c r="R1695" i="24"/>
  <c r="W1695" i="24"/>
  <c r="AB1695" i="24"/>
  <c r="C1696" i="24"/>
  <c r="N1696" i="24"/>
  <c r="Q1696" i="24"/>
  <c r="R1696" i="24"/>
  <c r="W1696" i="24"/>
  <c r="AB1696" i="24"/>
  <c r="C1697" i="24"/>
  <c r="N1697" i="24"/>
  <c r="Q1697" i="24"/>
  <c r="R1697" i="24"/>
  <c r="W1697" i="24"/>
  <c r="AB1697" i="24"/>
  <c r="C1698" i="24"/>
  <c r="N1698" i="24"/>
  <c r="Q1698" i="24"/>
  <c r="R1698" i="24"/>
  <c r="W1698" i="24"/>
  <c r="AB1698" i="24"/>
  <c r="C1699" i="24"/>
  <c r="N1699" i="24"/>
  <c r="Q1699" i="24"/>
  <c r="R1699" i="24"/>
  <c r="W1699" i="24"/>
  <c r="AB1699" i="24"/>
  <c r="C1700" i="24"/>
  <c r="N1700" i="24"/>
  <c r="Q1700" i="24"/>
  <c r="R1700" i="24"/>
  <c r="W1700" i="24"/>
  <c r="AB1700" i="24"/>
  <c r="C1701" i="24"/>
  <c r="N1701" i="24"/>
  <c r="Q1701" i="24"/>
  <c r="R1701" i="24"/>
  <c r="W1701" i="24"/>
  <c r="AB1701" i="24"/>
  <c r="C1702" i="24"/>
  <c r="N1702" i="24"/>
  <c r="Q1702" i="24"/>
  <c r="R1702" i="24"/>
  <c r="W1702" i="24"/>
  <c r="AB1702" i="24"/>
  <c r="C1703" i="24"/>
  <c r="N1703" i="24"/>
  <c r="Q1703" i="24"/>
  <c r="R1703" i="24"/>
  <c r="W1703" i="24"/>
  <c r="AB1703" i="24"/>
  <c r="C1704" i="24"/>
  <c r="N1704" i="24"/>
  <c r="Q1704" i="24"/>
  <c r="R1704" i="24"/>
  <c r="W1704" i="24"/>
  <c r="AB1704" i="24"/>
  <c r="C1705" i="24"/>
  <c r="N1705" i="24"/>
  <c r="Q1705" i="24"/>
  <c r="R1705" i="24"/>
  <c r="W1705" i="24"/>
  <c r="AB1705" i="24"/>
  <c r="C1706" i="24"/>
  <c r="N1706" i="24"/>
  <c r="Q1706" i="24"/>
  <c r="R1706" i="24"/>
  <c r="W1706" i="24"/>
  <c r="AB1706" i="24"/>
  <c r="C1707" i="24"/>
  <c r="N1707" i="24"/>
  <c r="Q1707" i="24"/>
  <c r="R1707" i="24"/>
  <c r="W1707" i="24"/>
  <c r="AB1707" i="24"/>
  <c r="C1708" i="24"/>
  <c r="N1708" i="24"/>
  <c r="Q1708" i="24"/>
  <c r="R1708" i="24"/>
  <c r="W1708" i="24"/>
  <c r="AB1708" i="24"/>
  <c r="C1709" i="24"/>
  <c r="N1709" i="24"/>
  <c r="Q1709" i="24"/>
  <c r="R1709" i="24"/>
  <c r="W1709" i="24"/>
  <c r="AB1709" i="24"/>
  <c r="C1710" i="24"/>
  <c r="N1710" i="24"/>
  <c r="Q1710" i="24"/>
  <c r="R1710" i="24"/>
  <c r="W1710" i="24"/>
  <c r="AB1710" i="24"/>
  <c r="C1711" i="24"/>
  <c r="N1711" i="24"/>
  <c r="Q1711" i="24"/>
  <c r="R1711" i="24"/>
  <c r="W1711" i="24"/>
  <c r="AB1711" i="24"/>
  <c r="C1712" i="24"/>
  <c r="N1712" i="24"/>
  <c r="Q1712" i="24"/>
  <c r="R1712" i="24"/>
  <c r="W1712" i="24"/>
  <c r="AB1712" i="24"/>
  <c r="C1713" i="24"/>
  <c r="N1713" i="24"/>
  <c r="Q1713" i="24"/>
  <c r="R1713" i="24"/>
  <c r="W1713" i="24"/>
  <c r="AB1713" i="24"/>
  <c r="C1714" i="24"/>
  <c r="N1714" i="24"/>
  <c r="Q1714" i="24"/>
  <c r="R1714" i="24"/>
  <c r="W1714" i="24"/>
  <c r="AB1714" i="24"/>
  <c r="C1715" i="24"/>
  <c r="N1715" i="24"/>
  <c r="Q1715" i="24"/>
  <c r="R1715" i="24"/>
  <c r="W1715" i="24"/>
  <c r="AB1715" i="24"/>
  <c r="C1716" i="24"/>
  <c r="N1716" i="24"/>
  <c r="Q1716" i="24"/>
  <c r="R1716" i="24"/>
  <c r="W1716" i="24"/>
  <c r="AB1716" i="24"/>
  <c r="C1717" i="24"/>
  <c r="N1717" i="24"/>
  <c r="Q1717" i="24"/>
  <c r="R1717" i="24"/>
  <c r="W1717" i="24"/>
  <c r="AB1717" i="24"/>
  <c r="C1718" i="24"/>
  <c r="N1718" i="24"/>
  <c r="Q1718" i="24"/>
  <c r="R1718" i="24"/>
  <c r="W1718" i="24"/>
  <c r="AB1718" i="24"/>
  <c r="C1719" i="24"/>
  <c r="N1719" i="24"/>
  <c r="Q1719" i="24"/>
  <c r="R1719" i="24"/>
  <c r="W1719" i="24"/>
  <c r="AB1719" i="24"/>
  <c r="C1720" i="24"/>
  <c r="N1720" i="24"/>
  <c r="Q1720" i="24"/>
  <c r="R1720" i="24"/>
  <c r="W1720" i="24"/>
  <c r="AB1720" i="24"/>
  <c r="C1721" i="24"/>
  <c r="N1721" i="24"/>
  <c r="Q1721" i="24"/>
  <c r="R1721" i="24"/>
  <c r="W1721" i="24"/>
  <c r="AB1721" i="24"/>
  <c r="C1722" i="24"/>
  <c r="N1722" i="24"/>
  <c r="Q1722" i="24"/>
  <c r="R1722" i="24"/>
  <c r="W1722" i="24"/>
  <c r="AB1722" i="24"/>
  <c r="C1723" i="24"/>
  <c r="N1723" i="24"/>
  <c r="Q1723" i="24"/>
  <c r="R1723" i="24"/>
  <c r="W1723" i="24"/>
  <c r="AB1723" i="24"/>
  <c r="C1724" i="24"/>
  <c r="N1724" i="24"/>
  <c r="Q1724" i="24"/>
  <c r="R1724" i="24"/>
  <c r="W1724" i="24"/>
  <c r="AB1724" i="24"/>
  <c r="C1725" i="24"/>
  <c r="N1725" i="24"/>
  <c r="Q1725" i="24"/>
  <c r="R1725" i="24"/>
  <c r="W1725" i="24"/>
  <c r="AB1725" i="24"/>
  <c r="C1726" i="24"/>
  <c r="N1726" i="24"/>
  <c r="Q1726" i="24"/>
  <c r="R1726" i="24"/>
  <c r="W1726" i="24"/>
  <c r="AB1726" i="24"/>
  <c r="C1727" i="24"/>
  <c r="N1727" i="24"/>
  <c r="Q1727" i="24"/>
  <c r="R1727" i="24"/>
  <c r="W1727" i="24"/>
  <c r="AB1727" i="24"/>
  <c r="C1728" i="24"/>
  <c r="N1728" i="24"/>
  <c r="Q1728" i="24"/>
  <c r="R1728" i="24"/>
  <c r="W1728" i="24"/>
  <c r="AB1728" i="24"/>
  <c r="C1729" i="24"/>
  <c r="N1729" i="24"/>
  <c r="Q1729" i="24"/>
  <c r="R1729" i="24"/>
  <c r="W1729" i="24"/>
  <c r="AB1729" i="24"/>
  <c r="C1730" i="24"/>
  <c r="N1730" i="24"/>
  <c r="Q1730" i="24"/>
  <c r="R1730" i="24"/>
  <c r="W1730" i="24"/>
  <c r="AB1730" i="24"/>
  <c r="C1731" i="24"/>
  <c r="N1731" i="24"/>
  <c r="Q1731" i="24"/>
  <c r="R1731" i="24"/>
  <c r="W1731" i="24"/>
  <c r="AB1731" i="24"/>
  <c r="C1732" i="24"/>
  <c r="N1732" i="24"/>
  <c r="Q1732" i="24"/>
  <c r="R1732" i="24"/>
  <c r="W1732" i="24"/>
  <c r="AB1732" i="24"/>
  <c r="C1733" i="24"/>
  <c r="N1733" i="24"/>
  <c r="Q1733" i="24"/>
  <c r="R1733" i="24"/>
  <c r="W1733" i="24"/>
  <c r="AB1733" i="24"/>
  <c r="C1734" i="24"/>
  <c r="N1734" i="24"/>
  <c r="Q1734" i="24"/>
  <c r="R1734" i="24"/>
  <c r="W1734" i="24"/>
  <c r="AB1734" i="24"/>
  <c r="C1735" i="24"/>
  <c r="N1735" i="24"/>
  <c r="Q1735" i="24"/>
  <c r="R1735" i="24"/>
  <c r="W1735" i="24"/>
  <c r="AB1735" i="24"/>
  <c r="C1736" i="24"/>
  <c r="N1736" i="24"/>
  <c r="Q1736" i="24"/>
  <c r="R1736" i="24"/>
  <c r="W1736" i="24"/>
  <c r="AB1736" i="24"/>
  <c r="C1737" i="24"/>
  <c r="N1737" i="24"/>
  <c r="Q1737" i="24"/>
  <c r="R1737" i="24"/>
  <c r="W1737" i="24"/>
  <c r="AB1737" i="24"/>
  <c r="C1738" i="24"/>
  <c r="N1738" i="24"/>
  <c r="Q1738" i="24"/>
  <c r="R1738" i="24"/>
  <c r="W1738" i="24"/>
  <c r="AB1738" i="24"/>
  <c r="C1739" i="24"/>
  <c r="N1739" i="24"/>
  <c r="Q1739" i="24"/>
  <c r="R1739" i="24"/>
  <c r="W1739" i="24"/>
  <c r="AB1739" i="24"/>
  <c r="C1740" i="24"/>
  <c r="N1740" i="24"/>
  <c r="Q1740" i="24"/>
  <c r="R1740" i="24"/>
  <c r="W1740" i="24"/>
  <c r="AB1740" i="24"/>
  <c r="C1741" i="24"/>
  <c r="N1741" i="24"/>
  <c r="Q1741" i="24"/>
  <c r="R1741" i="24"/>
  <c r="W1741" i="24"/>
  <c r="AB1741" i="24"/>
  <c r="C1742" i="24"/>
  <c r="N1742" i="24"/>
  <c r="Q1742" i="24"/>
  <c r="R1742" i="24"/>
  <c r="W1742" i="24"/>
  <c r="AB1742" i="24"/>
  <c r="C1743" i="24"/>
  <c r="N1743" i="24"/>
  <c r="Q1743" i="24"/>
  <c r="R1743" i="24"/>
  <c r="W1743" i="24"/>
  <c r="AB1743" i="24"/>
  <c r="C1744" i="24"/>
  <c r="N1744" i="24"/>
  <c r="Q1744" i="24"/>
  <c r="R1744" i="24"/>
  <c r="W1744" i="24"/>
  <c r="AB1744" i="24"/>
  <c r="C1745" i="24"/>
  <c r="N1745" i="24"/>
  <c r="Q1745" i="24"/>
  <c r="R1745" i="24"/>
  <c r="W1745" i="24"/>
  <c r="AB1745" i="24"/>
  <c r="C1746" i="24"/>
  <c r="N1746" i="24"/>
  <c r="Q1746" i="24"/>
  <c r="R1746" i="24"/>
  <c r="W1746" i="24"/>
  <c r="AB1746" i="24"/>
  <c r="C1747" i="24"/>
  <c r="N1747" i="24"/>
  <c r="Q1747" i="24"/>
  <c r="R1747" i="24"/>
  <c r="W1747" i="24"/>
  <c r="AB1747" i="24"/>
  <c r="C1748" i="24"/>
  <c r="N1748" i="24"/>
  <c r="Q1748" i="24"/>
  <c r="R1748" i="24"/>
  <c r="W1748" i="24"/>
  <c r="AB1748" i="24"/>
  <c r="C1749" i="24"/>
  <c r="N1749" i="24"/>
  <c r="Q1749" i="24"/>
  <c r="R1749" i="24"/>
  <c r="W1749" i="24"/>
  <c r="AB1749" i="24"/>
  <c r="C1750" i="24"/>
  <c r="N1750" i="24"/>
  <c r="Q1750" i="24"/>
  <c r="R1750" i="24"/>
  <c r="W1750" i="24"/>
  <c r="AB1750" i="24"/>
  <c r="C1751" i="24"/>
  <c r="N1751" i="24"/>
  <c r="Q1751" i="24"/>
  <c r="R1751" i="24"/>
  <c r="W1751" i="24"/>
  <c r="AB1751" i="24"/>
  <c r="C1752" i="24"/>
  <c r="N1752" i="24"/>
  <c r="Q1752" i="24"/>
  <c r="R1752" i="24"/>
  <c r="W1752" i="24"/>
  <c r="AB1752" i="24"/>
  <c r="C1753" i="24"/>
  <c r="N1753" i="24"/>
  <c r="Q1753" i="24"/>
  <c r="R1753" i="24"/>
  <c r="W1753" i="24"/>
  <c r="AB1753" i="24"/>
  <c r="C1754" i="24"/>
  <c r="N1754" i="24"/>
  <c r="Q1754" i="24"/>
  <c r="R1754" i="24"/>
  <c r="W1754" i="24"/>
  <c r="AB1754" i="24"/>
  <c r="C1755" i="24"/>
  <c r="N1755" i="24"/>
  <c r="Q1755" i="24"/>
  <c r="R1755" i="24"/>
  <c r="W1755" i="24"/>
  <c r="AB1755" i="24"/>
  <c r="C1756" i="24"/>
  <c r="N1756" i="24"/>
  <c r="Q1756" i="24"/>
  <c r="R1756" i="24"/>
  <c r="W1756" i="24"/>
  <c r="AB1756" i="24"/>
  <c r="C1757" i="24"/>
  <c r="N1757" i="24"/>
  <c r="Q1757" i="24"/>
  <c r="R1757" i="24"/>
  <c r="W1757" i="24"/>
  <c r="AB1757" i="24"/>
  <c r="C1758" i="24"/>
  <c r="N1758" i="24"/>
  <c r="Q1758" i="24"/>
  <c r="R1758" i="24"/>
  <c r="W1758" i="24"/>
  <c r="AB1758" i="24"/>
  <c r="C1759" i="24"/>
  <c r="N1759" i="24"/>
  <c r="Q1759" i="24"/>
  <c r="R1759" i="24"/>
  <c r="W1759" i="24"/>
  <c r="AB1759" i="24"/>
  <c r="C1760" i="24"/>
  <c r="N1760" i="24"/>
  <c r="Q1760" i="24"/>
  <c r="R1760" i="24"/>
  <c r="W1760" i="24"/>
  <c r="AB1760" i="24"/>
  <c r="C1761" i="24"/>
  <c r="N1761" i="24"/>
  <c r="Q1761" i="24"/>
  <c r="R1761" i="24"/>
  <c r="W1761" i="24"/>
  <c r="AB1761" i="24"/>
  <c r="C1762" i="24"/>
  <c r="N1762" i="24"/>
  <c r="Q1762" i="24"/>
  <c r="R1762" i="24"/>
  <c r="W1762" i="24"/>
  <c r="AB1762" i="24"/>
  <c r="C1763" i="24"/>
  <c r="N1763" i="24"/>
  <c r="Q1763" i="24"/>
  <c r="R1763" i="24"/>
  <c r="W1763" i="24"/>
  <c r="AB1763" i="24"/>
  <c r="C1764" i="24"/>
  <c r="N1764" i="24"/>
  <c r="Q1764" i="24"/>
  <c r="R1764" i="24"/>
  <c r="W1764" i="24"/>
  <c r="AB1764" i="24"/>
  <c r="C1765" i="24"/>
  <c r="N1765" i="24"/>
  <c r="Q1765" i="24"/>
  <c r="R1765" i="24"/>
  <c r="W1765" i="24"/>
  <c r="AB1765" i="24"/>
  <c r="C1766" i="24"/>
  <c r="N1766" i="24"/>
  <c r="Q1766" i="24"/>
  <c r="R1766" i="24"/>
  <c r="W1766" i="24"/>
  <c r="AB1766" i="24"/>
  <c r="C1767" i="24"/>
  <c r="N1767" i="24"/>
  <c r="Q1767" i="24"/>
  <c r="R1767" i="24"/>
  <c r="W1767" i="24"/>
  <c r="AB1767" i="24"/>
  <c r="C1768" i="24"/>
  <c r="N1768" i="24"/>
  <c r="Q1768" i="24"/>
  <c r="R1768" i="24"/>
  <c r="W1768" i="24"/>
  <c r="AB1768" i="24"/>
  <c r="C1769" i="24"/>
  <c r="N1769" i="24"/>
  <c r="Q1769" i="24"/>
  <c r="R1769" i="24"/>
  <c r="W1769" i="24"/>
  <c r="AB1769" i="24"/>
  <c r="C1770" i="24"/>
  <c r="N1770" i="24"/>
  <c r="Q1770" i="24"/>
  <c r="R1770" i="24"/>
  <c r="W1770" i="24"/>
  <c r="AB1770" i="24"/>
  <c r="C1771" i="24"/>
  <c r="N1771" i="24"/>
  <c r="Q1771" i="24"/>
  <c r="R1771" i="24"/>
  <c r="W1771" i="24"/>
  <c r="AB1771" i="24"/>
  <c r="C1772" i="24"/>
  <c r="N1772" i="24"/>
  <c r="Q1772" i="24"/>
  <c r="R1772" i="24"/>
  <c r="W1772" i="24"/>
  <c r="AB1772" i="24"/>
  <c r="C1773" i="24"/>
  <c r="N1773" i="24"/>
  <c r="Q1773" i="24"/>
  <c r="R1773" i="24"/>
  <c r="W1773" i="24"/>
  <c r="AB1773" i="24"/>
  <c r="C1774" i="24"/>
  <c r="N1774" i="24"/>
  <c r="Q1774" i="24"/>
  <c r="R1774" i="24"/>
  <c r="W1774" i="24"/>
  <c r="AB1774" i="24"/>
  <c r="C1775" i="24"/>
  <c r="N1775" i="24"/>
  <c r="Q1775" i="24"/>
  <c r="R1775" i="24"/>
  <c r="W1775" i="24"/>
  <c r="AB1775" i="24"/>
  <c r="C1776" i="24"/>
  <c r="N1776" i="24"/>
  <c r="Q1776" i="24"/>
  <c r="R1776" i="24"/>
  <c r="W1776" i="24"/>
  <c r="AB1776" i="24"/>
  <c r="C1777" i="24"/>
  <c r="N1777" i="24"/>
  <c r="Q1777" i="24"/>
  <c r="R1777" i="24"/>
  <c r="W1777" i="24"/>
  <c r="AB1777" i="24"/>
  <c r="C1778" i="24"/>
  <c r="N1778" i="24"/>
  <c r="Q1778" i="24"/>
  <c r="R1778" i="24"/>
  <c r="W1778" i="24"/>
  <c r="AB1778" i="24"/>
  <c r="C1779" i="24"/>
  <c r="N1779" i="24"/>
  <c r="Q1779" i="24"/>
  <c r="R1779" i="24"/>
  <c r="W1779" i="24"/>
  <c r="AB1779" i="24"/>
  <c r="C1780" i="24"/>
  <c r="N1780" i="24"/>
  <c r="Q1780" i="24"/>
  <c r="R1780" i="24"/>
  <c r="W1780" i="24"/>
  <c r="AB1780" i="24"/>
  <c r="C1781" i="24"/>
  <c r="N1781" i="24"/>
  <c r="Q1781" i="24"/>
  <c r="R1781" i="24"/>
  <c r="W1781" i="24"/>
  <c r="AB1781" i="24"/>
  <c r="C1782" i="24"/>
  <c r="N1782" i="24"/>
  <c r="Q1782" i="24"/>
  <c r="R1782" i="24"/>
  <c r="W1782" i="24"/>
  <c r="AB1782" i="24"/>
  <c r="C1783" i="24"/>
  <c r="N1783" i="24"/>
  <c r="Q1783" i="24"/>
  <c r="R1783" i="24"/>
  <c r="W1783" i="24"/>
  <c r="AB1783" i="24"/>
  <c r="C1784" i="24"/>
  <c r="N1784" i="24"/>
  <c r="Q1784" i="24"/>
  <c r="R1784" i="24"/>
  <c r="W1784" i="24"/>
  <c r="AB1784" i="24"/>
  <c r="C1785" i="24"/>
  <c r="N1785" i="24"/>
  <c r="Q1785" i="24"/>
  <c r="R1785" i="24"/>
  <c r="W1785" i="24"/>
  <c r="AB1785" i="24"/>
  <c r="C1786" i="24"/>
  <c r="N1786" i="24"/>
  <c r="Q1786" i="24"/>
  <c r="R1786" i="24"/>
  <c r="W1786" i="24"/>
  <c r="AB1786" i="24"/>
  <c r="C1787" i="24"/>
  <c r="N1787" i="24"/>
  <c r="Q1787" i="24"/>
  <c r="R1787" i="24"/>
  <c r="W1787" i="24"/>
  <c r="AB1787" i="24"/>
  <c r="C1788" i="24"/>
  <c r="N1788" i="24"/>
  <c r="Q1788" i="24"/>
  <c r="R1788" i="24"/>
  <c r="W1788" i="24"/>
  <c r="AB1788" i="24"/>
  <c r="C1789" i="24"/>
  <c r="N1789" i="24"/>
  <c r="Q1789" i="24"/>
  <c r="R1789" i="24"/>
  <c r="W1789" i="24"/>
  <c r="AB1789" i="24"/>
  <c r="C1790" i="24"/>
  <c r="N1790" i="24"/>
  <c r="Q1790" i="24"/>
  <c r="R1790" i="24"/>
  <c r="W1790" i="24"/>
  <c r="AB1790" i="24"/>
  <c r="C1791" i="24"/>
  <c r="N1791" i="24"/>
  <c r="Q1791" i="24"/>
  <c r="R1791" i="24"/>
  <c r="W1791" i="24"/>
  <c r="AB1791" i="24"/>
  <c r="C1792" i="24"/>
  <c r="N1792" i="24"/>
  <c r="Q1792" i="24"/>
  <c r="R1792" i="24"/>
  <c r="W1792" i="24"/>
  <c r="AB1792" i="24"/>
  <c r="C1793" i="24"/>
  <c r="N1793" i="24"/>
  <c r="Q1793" i="24"/>
  <c r="R1793" i="24"/>
  <c r="W1793" i="24"/>
  <c r="AB1793" i="24"/>
  <c r="C1794" i="24"/>
  <c r="N1794" i="24"/>
  <c r="Q1794" i="24"/>
  <c r="R1794" i="24"/>
  <c r="W1794" i="24"/>
  <c r="AB1794" i="24"/>
  <c r="C1795" i="24"/>
  <c r="N1795" i="24"/>
  <c r="Q1795" i="24"/>
  <c r="R1795" i="24"/>
  <c r="W1795" i="24"/>
  <c r="AB1795" i="24"/>
  <c r="C1796" i="24"/>
  <c r="N1796" i="24"/>
  <c r="Q1796" i="24"/>
  <c r="R1796" i="24"/>
  <c r="W1796" i="24"/>
  <c r="AB1796" i="24"/>
  <c r="C1797" i="24"/>
  <c r="N1797" i="24"/>
  <c r="Q1797" i="24"/>
  <c r="R1797" i="24"/>
  <c r="W1797" i="24"/>
  <c r="AB1797" i="24"/>
  <c r="C1798" i="24"/>
  <c r="N1798" i="24"/>
  <c r="Q1798" i="24"/>
  <c r="R1798" i="24"/>
  <c r="W1798" i="24"/>
  <c r="AB1798" i="24"/>
  <c r="C1799" i="24"/>
  <c r="N1799" i="24"/>
  <c r="Q1799" i="24"/>
  <c r="R1799" i="24"/>
  <c r="W1799" i="24"/>
  <c r="AB1799" i="24"/>
  <c r="C1800" i="24"/>
  <c r="N1800" i="24"/>
  <c r="Q1800" i="24"/>
  <c r="R1800" i="24"/>
  <c r="W1800" i="24"/>
  <c r="AB1800" i="24"/>
  <c r="C1801" i="24"/>
  <c r="N1801" i="24"/>
  <c r="Q1801" i="24"/>
  <c r="R1801" i="24"/>
  <c r="W1801" i="24"/>
  <c r="AB1801" i="24"/>
  <c r="C1802" i="24"/>
  <c r="N1802" i="24"/>
  <c r="Q1802" i="24"/>
  <c r="R1802" i="24"/>
  <c r="W1802" i="24"/>
  <c r="AB1802" i="24"/>
  <c r="C1803" i="24"/>
  <c r="N1803" i="24"/>
  <c r="Q1803" i="24"/>
  <c r="R1803" i="24"/>
  <c r="W1803" i="24"/>
  <c r="AB1803" i="24"/>
  <c r="C1804" i="24"/>
  <c r="N1804" i="24"/>
  <c r="Q1804" i="24"/>
  <c r="R1804" i="24"/>
  <c r="W1804" i="24"/>
  <c r="AB1804" i="24"/>
  <c r="C1805" i="24"/>
  <c r="N1805" i="24"/>
  <c r="Q1805" i="24"/>
  <c r="R1805" i="24"/>
  <c r="W1805" i="24"/>
  <c r="AB1805" i="24"/>
  <c r="C1806" i="24"/>
  <c r="N1806" i="24"/>
  <c r="Q1806" i="24"/>
  <c r="R1806" i="24"/>
  <c r="W1806" i="24"/>
  <c r="AB1806" i="24"/>
  <c r="C1807" i="24"/>
  <c r="N1807" i="24"/>
  <c r="Q1807" i="24"/>
  <c r="R1807" i="24"/>
  <c r="W1807" i="24"/>
  <c r="AB1807" i="24"/>
  <c r="C1808" i="24"/>
  <c r="N1808" i="24"/>
  <c r="Q1808" i="24"/>
  <c r="R1808" i="24"/>
  <c r="W1808" i="24"/>
  <c r="AB1808" i="24"/>
  <c r="C1809" i="24"/>
  <c r="N1809" i="24"/>
  <c r="Q1809" i="24"/>
  <c r="R1809" i="24"/>
  <c r="W1809" i="24"/>
  <c r="AB1809" i="24"/>
  <c r="C1810" i="24"/>
  <c r="N1810" i="24"/>
  <c r="Q1810" i="24"/>
  <c r="R1810" i="24"/>
  <c r="W1810" i="24"/>
  <c r="AB1810" i="24"/>
  <c r="C1811" i="24"/>
  <c r="N1811" i="24"/>
  <c r="Q1811" i="24"/>
  <c r="R1811" i="24"/>
  <c r="W1811" i="24"/>
  <c r="AB1811" i="24"/>
  <c r="C1812" i="24"/>
  <c r="N1812" i="24"/>
  <c r="Q1812" i="24"/>
  <c r="R1812" i="24"/>
  <c r="W1812" i="24"/>
  <c r="AB1812" i="24"/>
  <c r="C1813" i="24"/>
  <c r="N1813" i="24"/>
  <c r="Q1813" i="24"/>
  <c r="R1813" i="24"/>
  <c r="W1813" i="24"/>
  <c r="AB1813" i="24"/>
  <c r="C1814" i="24"/>
  <c r="N1814" i="24"/>
  <c r="Q1814" i="24"/>
  <c r="R1814" i="24"/>
  <c r="W1814" i="24"/>
  <c r="AB1814" i="24"/>
  <c r="C1815" i="24"/>
  <c r="N1815" i="24"/>
  <c r="Q1815" i="24"/>
  <c r="R1815" i="24"/>
  <c r="W1815" i="24"/>
  <c r="AB1815" i="24"/>
  <c r="C1816" i="24"/>
  <c r="N1816" i="24"/>
  <c r="Q1816" i="24"/>
  <c r="R1816" i="24"/>
  <c r="W1816" i="24"/>
  <c r="AB1816" i="24"/>
  <c r="C1817" i="24"/>
  <c r="N1817" i="24"/>
  <c r="Q1817" i="24"/>
  <c r="R1817" i="24"/>
  <c r="W1817" i="24"/>
  <c r="AB1817" i="24"/>
  <c r="C1818" i="24"/>
  <c r="N1818" i="24"/>
  <c r="Q1818" i="24"/>
  <c r="R1818" i="24"/>
  <c r="W1818" i="24"/>
  <c r="AB1818" i="24"/>
  <c r="C1819" i="24"/>
  <c r="N1819" i="24"/>
  <c r="Q1819" i="24"/>
  <c r="R1819" i="24"/>
  <c r="W1819" i="24"/>
  <c r="AB1819" i="24"/>
  <c r="C1820" i="24"/>
  <c r="N1820" i="24"/>
  <c r="Q1820" i="24"/>
  <c r="R1820" i="24"/>
  <c r="W1820" i="24"/>
  <c r="AB1820" i="24"/>
  <c r="C1821" i="24"/>
  <c r="N1821" i="24"/>
  <c r="Q1821" i="24"/>
  <c r="R1821" i="24"/>
  <c r="W1821" i="24"/>
  <c r="AB1821" i="24"/>
  <c r="C1822" i="24"/>
  <c r="N1822" i="24"/>
  <c r="Q1822" i="24"/>
  <c r="R1822" i="24"/>
  <c r="W1822" i="24"/>
  <c r="AB1822" i="24"/>
  <c r="C1823" i="24"/>
  <c r="N1823" i="24"/>
  <c r="Q1823" i="24"/>
  <c r="R1823" i="24"/>
  <c r="W1823" i="24"/>
  <c r="AB1823" i="24"/>
  <c r="C1824" i="24"/>
  <c r="N1824" i="24"/>
  <c r="Q1824" i="24"/>
  <c r="R1824" i="24"/>
  <c r="W1824" i="24"/>
  <c r="AB1824" i="24"/>
  <c r="C1825" i="24"/>
  <c r="N1825" i="24"/>
  <c r="Q1825" i="24"/>
  <c r="R1825" i="24"/>
  <c r="W1825" i="24"/>
  <c r="AB1825" i="24"/>
  <c r="C1826" i="24"/>
  <c r="N1826" i="24"/>
  <c r="Q1826" i="24"/>
  <c r="R1826" i="24"/>
  <c r="W1826" i="24"/>
  <c r="AB1826" i="24"/>
  <c r="C1827" i="24"/>
  <c r="N1827" i="24"/>
  <c r="Q1827" i="24"/>
  <c r="R1827" i="24"/>
  <c r="W1827" i="24"/>
  <c r="AB1827" i="24"/>
  <c r="C1828" i="24"/>
  <c r="N1828" i="24"/>
  <c r="Q1828" i="24"/>
  <c r="R1828" i="24"/>
  <c r="W1828" i="24"/>
  <c r="AB1828" i="24"/>
  <c r="C1829" i="24"/>
  <c r="N1829" i="24"/>
  <c r="Q1829" i="24"/>
  <c r="R1829" i="24"/>
  <c r="W1829" i="24"/>
  <c r="AB1829" i="24"/>
  <c r="C1830" i="24"/>
  <c r="N1830" i="24"/>
  <c r="Q1830" i="24"/>
  <c r="R1830" i="24"/>
  <c r="W1830" i="24"/>
  <c r="AB1830" i="24"/>
  <c r="C1831" i="24"/>
  <c r="N1831" i="24"/>
  <c r="Q1831" i="24"/>
  <c r="R1831" i="24"/>
  <c r="W1831" i="24"/>
  <c r="AB1831" i="24"/>
  <c r="C1832" i="24"/>
  <c r="N1832" i="24"/>
  <c r="Q1832" i="24"/>
  <c r="R1832" i="24"/>
  <c r="W1832" i="24"/>
  <c r="AB1832" i="24"/>
  <c r="C1833" i="24"/>
  <c r="N1833" i="24"/>
  <c r="Q1833" i="24"/>
  <c r="R1833" i="24"/>
  <c r="W1833" i="24"/>
  <c r="AB1833" i="24"/>
  <c r="C1834" i="24"/>
  <c r="N1834" i="24"/>
  <c r="Q1834" i="24"/>
  <c r="R1834" i="24"/>
  <c r="W1834" i="24"/>
  <c r="AB1834" i="24"/>
  <c r="C1835" i="24"/>
  <c r="N1835" i="24"/>
  <c r="Q1835" i="24"/>
  <c r="R1835" i="24"/>
  <c r="W1835" i="24"/>
  <c r="AB1835" i="24"/>
  <c r="C1836" i="24"/>
  <c r="N1836" i="24"/>
  <c r="Q1836" i="24"/>
  <c r="R1836" i="24"/>
  <c r="W1836" i="24"/>
  <c r="AB1836" i="24"/>
  <c r="C1837" i="24"/>
  <c r="N1837" i="24"/>
  <c r="Q1837" i="24"/>
  <c r="R1837" i="24"/>
  <c r="W1837" i="24"/>
  <c r="AB1837" i="24"/>
  <c r="C1838" i="24"/>
  <c r="N1838" i="24"/>
  <c r="Q1838" i="24"/>
  <c r="R1838" i="24"/>
  <c r="W1838" i="24"/>
  <c r="AB1838" i="24"/>
  <c r="C1839" i="24"/>
  <c r="N1839" i="24"/>
  <c r="Q1839" i="24"/>
  <c r="R1839" i="24"/>
  <c r="W1839" i="24"/>
  <c r="AB1839" i="24"/>
  <c r="C1840" i="24"/>
  <c r="N1840" i="24"/>
  <c r="Q1840" i="24"/>
  <c r="R1840" i="24"/>
  <c r="W1840" i="24"/>
  <c r="AB1840" i="24"/>
  <c r="C1841" i="24"/>
  <c r="N1841" i="24"/>
  <c r="Q1841" i="24"/>
  <c r="R1841" i="24"/>
  <c r="W1841" i="24"/>
  <c r="AB1841" i="24"/>
  <c r="C1842" i="24"/>
  <c r="N1842" i="24"/>
  <c r="Q1842" i="24"/>
  <c r="R1842" i="24"/>
  <c r="W1842" i="24"/>
  <c r="AB1842" i="24"/>
  <c r="C1843" i="24"/>
  <c r="N1843" i="24"/>
  <c r="Q1843" i="24"/>
  <c r="R1843" i="24"/>
  <c r="W1843" i="24"/>
  <c r="AB1843" i="24"/>
  <c r="C1844" i="24"/>
  <c r="N1844" i="24"/>
  <c r="Q1844" i="24"/>
  <c r="R1844" i="24"/>
  <c r="W1844" i="24"/>
  <c r="AB1844" i="24"/>
  <c r="C1845" i="24"/>
  <c r="N1845" i="24"/>
  <c r="Q1845" i="24"/>
  <c r="R1845" i="24"/>
  <c r="W1845" i="24"/>
  <c r="AB1845" i="24"/>
  <c r="C1846" i="24"/>
  <c r="N1846" i="24"/>
  <c r="Q1846" i="24"/>
  <c r="R1846" i="24"/>
  <c r="W1846" i="24"/>
  <c r="AB1846" i="24"/>
  <c r="C1847" i="24"/>
  <c r="N1847" i="24"/>
  <c r="Q1847" i="24"/>
  <c r="R1847" i="24"/>
  <c r="W1847" i="24"/>
  <c r="AB1847" i="24"/>
  <c r="C1848" i="24"/>
  <c r="N1848" i="24"/>
  <c r="Q1848" i="24"/>
  <c r="R1848" i="24"/>
  <c r="W1848" i="24"/>
  <c r="AB1848" i="24"/>
  <c r="C1849" i="24"/>
  <c r="N1849" i="24"/>
  <c r="Q1849" i="24"/>
  <c r="R1849" i="24"/>
  <c r="W1849" i="24"/>
  <c r="AB1849" i="24"/>
  <c r="C1850" i="24"/>
  <c r="N1850" i="24"/>
  <c r="Q1850" i="24"/>
  <c r="R1850" i="24"/>
  <c r="W1850" i="24"/>
  <c r="AB1850" i="24"/>
  <c r="C1851" i="24"/>
  <c r="N1851" i="24"/>
  <c r="Q1851" i="24"/>
  <c r="R1851" i="24"/>
  <c r="W1851" i="24"/>
  <c r="AB1851" i="24"/>
  <c r="C1852" i="24"/>
  <c r="N1852" i="24"/>
  <c r="Q1852" i="24"/>
  <c r="R1852" i="24"/>
  <c r="W1852" i="24"/>
  <c r="AB1852" i="24"/>
  <c r="C1853" i="24"/>
  <c r="N1853" i="24"/>
  <c r="Q1853" i="24"/>
  <c r="R1853" i="24"/>
  <c r="W1853" i="24"/>
  <c r="AB1853" i="24"/>
  <c r="C1854" i="24"/>
  <c r="N1854" i="24"/>
  <c r="Q1854" i="24"/>
  <c r="R1854" i="24"/>
  <c r="W1854" i="24"/>
  <c r="AB1854" i="24"/>
  <c r="C1855" i="24"/>
  <c r="N1855" i="24"/>
  <c r="Q1855" i="24"/>
  <c r="R1855" i="24"/>
  <c r="W1855" i="24"/>
  <c r="AB1855" i="24"/>
  <c r="C1856" i="24"/>
  <c r="N1856" i="24"/>
  <c r="Q1856" i="24"/>
  <c r="R1856" i="24"/>
  <c r="W1856" i="24"/>
  <c r="AB1856" i="24"/>
  <c r="C1857" i="24"/>
  <c r="N1857" i="24"/>
  <c r="Q1857" i="24"/>
  <c r="R1857" i="24"/>
  <c r="W1857" i="24"/>
  <c r="AB1857" i="24"/>
  <c r="C1858" i="24"/>
  <c r="N1858" i="24"/>
  <c r="Q1858" i="24"/>
  <c r="R1858" i="24"/>
  <c r="W1858" i="24"/>
  <c r="AB1858" i="24"/>
  <c r="C1859" i="24"/>
  <c r="N1859" i="24"/>
  <c r="Q1859" i="24"/>
  <c r="R1859" i="24"/>
  <c r="W1859" i="24"/>
  <c r="AB1859" i="24"/>
  <c r="C1860" i="24"/>
  <c r="N1860" i="24"/>
  <c r="Q1860" i="24"/>
  <c r="R1860" i="24"/>
  <c r="W1860" i="24"/>
  <c r="AB1860" i="24"/>
  <c r="C1861" i="24"/>
  <c r="N1861" i="24"/>
  <c r="Q1861" i="24"/>
  <c r="R1861" i="24"/>
  <c r="W1861" i="24"/>
  <c r="AB1861" i="24"/>
  <c r="C1862" i="24"/>
  <c r="N1862" i="24"/>
  <c r="Q1862" i="24"/>
  <c r="R1862" i="24"/>
  <c r="W1862" i="24"/>
  <c r="AB1862" i="24"/>
  <c r="C1863" i="24"/>
  <c r="N1863" i="24"/>
  <c r="Q1863" i="24"/>
  <c r="R1863" i="24"/>
  <c r="W1863" i="24"/>
  <c r="AB1863" i="24"/>
  <c r="C1864" i="24"/>
  <c r="N1864" i="24"/>
  <c r="Q1864" i="24"/>
  <c r="R1864" i="24"/>
  <c r="W1864" i="24"/>
  <c r="AB1864" i="24"/>
  <c r="C1865" i="24"/>
  <c r="N1865" i="24"/>
  <c r="Q1865" i="24"/>
  <c r="R1865" i="24"/>
  <c r="W1865" i="24"/>
  <c r="AB1865" i="24"/>
  <c r="C1866" i="24"/>
  <c r="N1866" i="24"/>
  <c r="Q1866" i="24"/>
  <c r="R1866" i="24"/>
  <c r="W1866" i="24"/>
  <c r="AB1866" i="24"/>
  <c r="C1867" i="24"/>
  <c r="N1867" i="24"/>
  <c r="Q1867" i="24"/>
  <c r="R1867" i="24"/>
  <c r="W1867" i="24"/>
  <c r="AB1867" i="24"/>
  <c r="C1868" i="24"/>
  <c r="N1868" i="24"/>
  <c r="Q1868" i="24"/>
  <c r="R1868" i="24"/>
  <c r="W1868" i="24"/>
  <c r="AB1868" i="24"/>
  <c r="C1869" i="24"/>
  <c r="N1869" i="24"/>
  <c r="Q1869" i="24"/>
  <c r="R1869" i="24"/>
  <c r="W1869" i="24"/>
  <c r="AB1869" i="24"/>
  <c r="C1870" i="24"/>
  <c r="N1870" i="24"/>
  <c r="Q1870" i="24"/>
  <c r="R1870" i="24"/>
  <c r="W1870" i="24"/>
  <c r="AB1870" i="24"/>
  <c r="C1871" i="24"/>
  <c r="N1871" i="24"/>
  <c r="Q1871" i="24"/>
  <c r="R1871" i="24"/>
  <c r="W1871" i="24"/>
  <c r="AB1871" i="24"/>
  <c r="C1872" i="24"/>
  <c r="N1872" i="24"/>
  <c r="Q1872" i="24"/>
  <c r="R1872" i="24"/>
  <c r="W1872" i="24"/>
  <c r="AB1872" i="24"/>
  <c r="C1873" i="24"/>
  <c r="N1873" i="24"/>
  <c r="Q1873" i="24"/>
  <c r="R1873" i="24"/>
  <c r="W1873" i="24"/>
  <c r="AB1873" i="24"/>
  <c r="C1874" i="24"/>
  <c r="N1874" i="24"/>
  <c r="Q1874" i="24"/>
  <c r="R1874" i="24"/>
  <c r="W1874" i="24"/>
  <c r="AB1874" i="24"/>
  <c r="C1875" i="24"/>
  <c r="N1875" i="24"/>
  <c r="Q1875" i="24"/>
  <c r="R1875" i="24"/>
  <c r="W1875" i="24"/>
  <c r="AB1875" i="24"/>
  <c r="C1876" i="24"/>
  <c r="N1876" i="24"/>
  <c r="Q1876" i="24"/>
  <c r="R1876" i="24"/>
  <c r="W1876" i="24"/>
  <c r="AB1876" i="24"/>
  <c r="C1877" i="24"/>
  <c r="N1877" i="24"/>
  <c r="Q1877" i="24"/>
  <c r="R1877" i="24"/>
  <c r="W1877" i="24"/>
  <c r="AB1877" i="24"/>
  <c r="C1878" i="24"/>
  <c r="N1878" i="24"/>
  <c r="Q1878" i="24"/>
  <c r="R1878" i="24"/>
  <c r="W1878" i="24"/>
  <c r="AB1878" i="24"/>
  <c r="C1879" i="24"/>
  <c r="N1879" i="24"/>
  <c r="Q1879" i="24"/>
  <c r="R1879" i="24"/>
  <c r="W1879" i="24"/>
  <c r="AB1879" i="24"/>
  <c r="C1880" i="24"/>
  <c r="N1880" i="24"/>
  <c r="Q1880" i="24"/>
  <c r="R1880" i="24"/>
  <c r="W1880" i="24"/>
  <c r="AB1880" i="24"/>
  <c r="C1881" i="24"/>
  <c r="N1881" i="24"/>
  <c r="Q1881" i="24"/>
  <c r="R1881" i="24"/>
  <c r="W1881" i="24"/>
  <c r="AB1881" i="24"/>
  <c r="C1882" i="24"/>
  <c r="N1882" i="24"/>
  <c r="Q1882" i="24"/>
  <c r="R1882" i="24"/>
  <c r="W1882" i="24"/>
  <c r="AB1882" i="24"/>
  <c r="C1883" i="24"/>
  <c r="N1883" i="24"/>
  <c r="Q1883" i="24"/>
  <c r="R1883" i="24"/>
  <c r="W1883" i="24"/>
  <c r="AB1883" i="24"/>
  <c r="C1884" i="24"/>
  <c r="N1884" i="24"/>
  <c r="Q1884" i="24"/>
  <c r="R1884" i="24"/>
  <c r="W1884" i="24"/>
  <c r="AB1884" i="24"/>
  <c r="C1885" i="24"/>
  <c r="N1885" i="24"/>
  <c r="Q1885" i="24"/>
  <c r="R1885" i="24"/>
  <c r="W1885" i="24"/>
  <c r="AB1885" i="24"/>
  <c r="C1886" i="24"/>
  <c r="N1886" i="24"/>
  <c r="Q1886" i="24"/>
  <c r="R1886" i="24"/>
  <c r="W1886" i="24"/>
  <c r="AB1886" i="24"/>
  <c r="C1887" i="24"/>
  <c r="N1887" i="24"/>
  <c r="Q1887" i="24"/>
  <c r="R1887" i="24"/>
  <c r="W1887" i="24"/>
  <c r="AB1887" i="24"/>
  <c r="C1888" i="24"/>
  <c r="N1888" i="24"/>
  <c r="Q1888" i="24"/>
  <c r="R1888" i="24"/>
  <c r="W1888" i="24"/>
  <c r="AB1888" i="24"/>
  <c r="C1889" i="24"/>
  <c r="N1889" i="24"/>
  <c r="Q1889" i="24"/>
  <c r="R1889" i="24"/>
  <c r="W1889" i="24"/>
  <c r="AB1889" i="24"/>
  <c r="C1890" i="24"/>
  <c r="N1890" i="24"/>
  <c r="Q1890" i="24"/>
  <c r="R1890" i="24"/>
  <c r="W1890" i="24"/>
  <c r="AB1890" i="24"/>
  <c r="C1891" i="24"/>
  <c r="N1891" i="24"/>
  <c r="Q1891" i="24"/>
  <c r="R1891" i="24"/>
  <c r="W1891" i="24"/>
  <c r="AB1891" i="24"/>
  <c r="C1892" i="24"/>
  <c r="N1892" i="24"/>
  <c r="Q1892" i="24"/>
  <c r="R1892" i="24"/>
  <c r="W1892" i="24"/>
  <c r="AB1892" i="24"/>
  <c r="C1893" i="24"/>
  <c r="N1893" i="24"/>
  <c r="Q1893" i="24"/>
  <c r="R1893" i="24"/>
  <c r="W1893" i="24"/>
  <c r="AB1893" i="24"/>
  <c r="C1894" i="24"/>
  <c r="N1894" i="24"/>
  <c r="Q1894" i="24"/>
  <c r="R1894" i="24"/>
  <c r="W1894" i="24"/>
  <c r="AB1894" i="24"/>
  <c r="C1895" i="24"/>
  <c r="N1895" i="24"/>
  <c r="Q1895" i="24"/>
  <c r="R1895" i="24"/>
  <c r="W1895" i="24"/>
  <c r="AB1895" i="24"/>
  <c r="C1896" i="24"/>
  <c r="N1896" i="24"/>
  <c r="Q1896" i="24"/>
  <c r="R1896" i="24"/>
  <c r="W1896" i="24"/>
  <c r="AB1896" i="24"/>
  <c r="C1897" i="24"/>
  <c r="N1897" i="24"/>
  <c r="Q1897" i="24"/>
  <c r="R1897" i="24"/>
  <c r="W1897" i="24"/>
  <c r="AB1897" i="24"/>
  <c r="C1898" i="24"/>
  <c r="N1898" i="24"/>
  <c r="Q1898" i="24"/>
  <c r="R1898" i="24"/>
  <c r="W1898" i="24"/>
  <c r="AB1898" i="24"/>
  <c r="C1899" i="24"/>
  <c r="N1899" i="24"/>
  <c r="Q1899" i="24"/>
  <c r="R1899" i="24"/>
  <c r="W1899" i="24"/>
  <c r="AB1899" i="24"/>
  <c r="C1900" i="24"/>
  <c r="N1900" i="24"/>
  <c r="Q1900" i="24"/>
  <c r="R1900" i="24"/>
  <c r="W1900" i="24"/>
  <c r="AB1900" i="24"/>
  <c r="C1901" i="24"/>
  <c r="N1901" i="24"/>
  <c r="Q1901" i="24"/>
  <c r="R1901" i="24"/>
  <c r="W1901" i="24"/>
  <c r="AB1901" i="24"/>
  <c r="C1902" i="24"/>
  <c r="N1902" i="24"/>
  <c r="Q1902" i="24"/>
  <c r="R1902" i="24"/>
  <c r="W1902" i="24"/>
  <c r="AB1902" i="24"/>
  <c r="C1903" i="24"/>
  <c r="N1903" i="24"/>
  <c r="Q1903" i="24"/>
  <c r="R1903" i="24"/>
  <c r="W1903" i="24"/>
  <c r="AB1903" i="24"/>
  <c r="C1904" i="24"/>
  <c r="N1904" i="24"/>
  <c r="Q1904" i="24"/>
  <c r="R1904" i="24"/>
  <c r="W1904" i="24"/>
  <c r="AB1904" i="24"/>
  <c r="C1905" i="24"/>
  <c r="N1905" i="24"/>
  <c r="Q1905" i="24"/>
  <c r="R1905" i="24"/>
  <c r="W1905" i="24"/>
  <c r="AB1905" i="24"/>
  <c r="C1906" i="24"/>
  <c r="N1906" i="24"/>
  <c r="Q1906" i="24"/>
  <c r="R1906" i="24"/>
  <c r="W1906" i="24"/>
  <c r="AB1906" i="24"/>
  <c r="C1907" i="24"/>
  <c r="N1907" i="24"/>
  <c r="Q1907" i="24"/>
  <c r="R1907" i="24"/>
  <c r="W1907" i="24"/>
  <c r="AB1907" i="24"/>
  <c r="C1908" i="24"/>
  <c r="N1908" i="24"/>
  <c r="Q1908" i="24"/>
  <c r="R1908" i="24"/>
  <c r="W1908" i="24"/>
  <c r="AB1908" i="24"/>
  <c r="C1909" i="24"/>
  <c r="N1909" i="24"/>
  <c r="Q1909" i="24"/>
  <c r="R1909" i="24"/>
  <c r="W1909" i="24"/>
  <c r="AB1909" i="24"/>
  <c r="C1910" i="24"/>
  <c r="N1910" i="24"/>
  <c r="Q1910" i="24"/>
  <c r="R1910" i="24"/>
  <c r="W1910" i="24"/>
  <c r="AB1910" i="24"/>
  <c r="C1911" i="24"/>
  <c r="N1911" i="24"/>
  <c r="Q1911" i="24"/>
  <c r="R1911" i="24"/>
  <c r="W1911" i="24"/>
  <c r="AB1911" i="24"/>
  <c r="C1912" i="24"/>
  <c r="N1912" i="24"/>
  <c r="Q1912" i="24"/>
  <c r="R1912" i="24"/>
  <c r="W1912" i="24"/>
  <c r="AB1912" i="24"/>
  <c r="C1913" i="24"/>
  <c r="N1913" i="24"/>
  <c r="Q1913" i="24"/>
  <c r="R1913" i="24"/>
  <c r="W1913" i="24"/>
  <c r="AB1913" i="24"/>
  <c r="C1914" i="24"/>
  <c r="N1914" i="24"/>
  <c r="Q1914" i="24"/>
  <c r="R1914" i="24"/>
  <c r="W1914" i="24"/>
  <c r="AB1914" i="24"/>
  <c r="C1915" i="24"/>
  <c r="N1915" i="24"/>
  <c r="Q1915" i="24"/>
  <c r="R1915" i="24"/>
  <c r="W1915" i="24"/>
  <c r="AB1915" i="24"/>
  <c r="C1916" i="24"/>
  <c r="N1916" i="24"/>
  <c r="Q1916" i="24"/>
  <c r="R1916" i="24"/>
  <c r="W1916" i="24"/>
  <c r="AB1916" i="24"/>
  <c r="C1917" i="24"/>
  <c r="N1917" i="24"/>
  <c r="Q1917" i="24"/>
  <c r="R1917" i="24"/>
  <c r="W1917" i="24"/>
  <c r="AB1917" i="24"/>
  <c r="C1918" i="24"/>
  <c r="N1918" i="24"/>
  <c r="Q1918" i="24"/>
  <c r="R1918" i="24"/>
  <c r="W1918" i="24"/>
  <c r="AB1918" i="24"/>
  <c r="C1919" i="24"/>
  <c r="N1919" i="24"/>
  <c r="Q1919" i="24"/>
  <c r="R1919" i="24"/>
  <c r="W1919" i="24"/>
  <c r="AB1919" i="24"/>
  <c r="C1920" i="24"/>
  <c r="N1920" i="24"/>
  <c r="Q1920" i="24"/>
  <c r="R1920" i="24"/>
  <c r="W1920" i="24"/>
  <c r="AB1920" i="24"/>
  <c r="C1921" i="24"/>
  <c r="N1921" i="24"/>
  <c r="Q1921" i="24"/>
  <c r="R1921" i="24"/>
  <c r="W1921" i="24"/>
  <c r="AB1921" i="24"/>
  <c r="C1922" i="24"/>
  <c r="N1922" i="24"/>
  <c r="Q1922" i="24"/>
  <c r="R1922" i="24"/>
  <c r="W1922" i="24"/>
  <c r="AB1922" i="24"/>
  <c r="C1923" i="24"/>
  <c r="N1923" i="24"/>
  <c r="Q1923" i="24"/>
  <c r="R1923" i="24"/>
  <c r="W1923" i="24"/>
  <c r="AB1923" i="24"/>
  <c r="C1924" i="24"/>
  <c r="N1924" i="24"/>
  <c r="Q1924" i="24"/>
  <c r="R1924" i="24"/>
  <c r="W1924" i="24"/>
  <c r="AB1924" i="24"/>
  <c r="C1925" i="24"/>
  <c r="N1925" i="24"/>
  <c r="Q1925" i="24"/>
  <c r="R1925" i="24"/>
  <c r="W1925" i="24"/>
  <c r="AB1925" i="24"/>
  <c r="C1926" i="24"/>
  <c r="N1926" i="24"/>
  <c r="Q1926" i="24"/>
  <c r="R1926" i="24"/>
  <c r="W1926" i="24"/>
  <c r="AB1926" i="24"/>
  <c r="C1927" i="24"/>
  <c r="N1927" i="24"/>
  <c r="Q1927" i="24"/>
  <c r="R1927" i="24"/>
  <c r="W1927" i="24"/>
  <c r="AB1927" i="24"/>
  <c r="C1928" i="24"/>
  <c r="N1928" i="24"/>
  <c r="Q1928" i="24"/>
  <c r="R1928" i="24"/>
  <c r="W1928" i="24"/>
  <c r="AB1928" i="24"/>
  <c r="C1929" i="24"/>
  <c r="N1929" i="24"/>
  <c r="Q1929" i="24"/>
  <c r="R1929" i="24"/>
  <c r="W1929" i="24"/>
  <c r="AB1929" i="24"/>
  <c r="C1930" i="24"/>
  <c r="N1930" i="24"/>
  <c r="Q1930" i="24"/>
  <c r="R1930" i="24"/>
  <c r="W1930" i="24"/>
  <c r="AB1930" i="24"/>
  <c r="C1931" i="24"/>
  <c r="N1931" i="24"/>
  <c r="Q1931" i="24"/>
  <c r="R1931" i="24"/>
  <c r="W1931" i="24"/>
  <c r="AB1931" i="24"/>
  <c r="C1932" i="24"/>
  <c r="N1932" i="24"/>
  <c r="Q1932" i="24"/>
  <c r="R1932" i="24"/>
  <c r="W1932" i="24"/>
  <c r="AB1932" i="24"/>
  <c r="C1933" i="24"/>
  <c r="N1933" i="24"/>
  <c r="Q1933" i="24"/>
  <c r="R1933" i="24"/>
  <c r="W1933" i="24"/>
  <c r="AB1933" i="24"/>
  <c r="C1934" i="24"/>
  <c r="N1934" i="24"/>
  <c r="Q1934" i="24"/>
  <c r="R1934" i="24"/>
  <c r="W1934" i="24"/>
  <c r="AB1934" i="24"/>
  <c r="C1935" i="24"/>
  <c r="N1935" i="24"/>
  <c r="Q1935" i="24"/>
  <c r="R1935" i="24"/>
  <c r="W1935" i="24"/>
  <c r="AB1935" i="24"/>
  <c r="C1936" i="24"/>
  <c r="N1936" i="24"/>
  <c r="Q1936" i="24"/>
  <c r="R1936" i="24"/>
  <c r="W1936" i="24"/>
  <c r="AB1936" i="24"/>
  <c r="C1937" i="24"/>
  <c r="N1937" i="24"/>
  <c r="Q1937" i="24"/>
  <c r="R1937" i="24"/>
  <c r="W1937" i="24"/>
  <c r="AB1937" i="24"/>
  <c r="C1938" i="24"/>
  <c r="N1938" i="24"/>
  <c r="Q1938" i="24"/>
  <c r="R1938" i="24"/>
  <c r="W1938" i="24"/>
  <c r="AB1938" i="24"/>
  <c r="C1939" i="24"/>
  <c r="N1939" i="24"/>
  <c r="Q1939" i="24"/>
  <c r="R1939" i="24"/>
  <c r="W1939" i="24"/>
  <c r="AB1939" i="24"/>
  <c r="C1940" i="24"/>
  <c r="N1940" i="24"/>
  <c r="Q1940" i="24"/>
  <c r="R1940" i="24"/>
  <c r="W1940" i="24"/>
  <c r="AB1940" i="24"/>
  <c r="C1941" i="24"/>
  <c r="N1941" i="24"/>
  <c r="Q1941" i="24"/>
  <c r="R1941" i="24"/>
  <c r="W1941" i="24"/>
  <c r="AB1941" i="24"/>
  <c r="C1942" i="24"/>
  <c r="N1942" i="24"/>
  <c r="Q1942" i="24"/>
  <c r="R1942" i="24"/>
  <c r="W1942" i="24"/>
  <c r="AB1942" i="24"/>
  <c r="C1943" i="24"/>
  <c r="N1943" i="24"/>
  <c r="Q1943" i="24"/>
  <c r="R1943" i="24"/>
  <c r="W1943" i="24"/>
  <c r="AB1943" i="24"/>
  <c r="C1944" i="24"/>
  <c r="N1944" i="24"/>
  <c r="Q1944" i="24"/>
  <c r="R1944" i="24"/>
  <c r="W1944" i="24"/>
  <c r="AB1944" i="24"/>
  <c r="C1945" i="24"/>
  <c r="N1945" i="24"/>
  <c r="Q1945" i="24"/>
  <c r="R1945" i="24"/>
  <c r="W1945" i="24"/>
  <c r="AB1945" i="24"/>
  <c r="C1946" i="24"/>
  <c r="N1946" i="24"/>
  <c r="Q1946" i="24"/>
  <c r="R1946" i="24"/>
  <c r="W1946" i="24"/>
  <c r="AB1946" i="24"/>
  <c r="C1947" i="24"/>
  <c r="N1947" i="24"/>
  <c r="Q1947" i="24"/>
  <c r="R1947" i="24"/>
  <c r="W1947" i="24"/>
  <c r="AB1947" i="24"/>
  <c r="C1948" i="24"/>
  <c r="N1948" i="24"/>
  <c r="Q1948" i="24"/>
  <c r="R1948" i="24"/>
  <c r="W1948" i="24"/>
  <c r="AB1948" i="24"/>
  <c r="C1949" i="24"/>
  <c r="N1949" i="24"/>
  <c r="Q1949" i="24"/>
  <c r="R1949" i="24"/>
  <c r="W1949" i="24"/>
  <c r="AB1949" i="24"/>
  <c r="C1950" i="24"/>
  <c r="N1950" i="24"/>
  <c r="Q1950" i="24"/>
  <c r="R1950" i="24"/>
  <c r="W1950" i="24"/>
  <c r="AB1950" i="24"/>
  <c r="C1951" i="24"/>
  <c r="N1951" i="24"/>
  <c r="Q1951" i="24"/>
  <c r="R1951" i="24"/>
  <c r="W1951" i="24"/>
  <c r="AB1951" i="24"/>
  <c r="C1952" i="24"/>
  <c r="N1952" i="24"/>
  <c r="Q1952" i="24"/>
  <c r="R1952" i="24"/>
  <c r="W1952" i="24"/>
  <c r="AB1952" i="24"/>
  <c r="C1953" i="24"/>
  <c r="N1953" i="24"/>
  <c r="Q1953" i="24"/>
  <c r="R1953" i="24"/>
  <c r="W1953" i="24"/>
  <c r="AB1953" i="24"/>
  <c r="C1954" i="24"/>
  <c r="N1954" i="24"/>
  <c r="Q1954" i="24"/>
  <c r="R1954" i="24"/>
  <c r="W1954" i="24"/>
  <c r="AB1954" i="24"/>
  <c r="C1955" i="24"/>
  <c r="N1955" i="24"/>
  <c r="Q1955" i="24"/>
  <c r="R1955" i="24"/>
  <c r="W1955" i="24"/>
  <c r="AB1955" i="24"/>
  <c r="C1956" i="24"/>
  <c r="N1956" i="24"/>
  <c r="Q1956" i="24"/>
  <c r="R1956" i="24"/>
  <c r="W1956" i="24"/>
  <c r="AB1956" i="24"/>
  <c r="C1957" i="24"/>
  <c r="N1957" i="24"/>
  <c r="Q1957" i="24"/>
  <c r="R1957" i="24"/>
  <c r="W1957" i="24"/>
  <c r="AB1957" i="24"/>
  <c r="C1958" i="24"/>
  <c r="N1958" i="24"/>
  <c r="Q1958" i="24"/>
  <c r="R1958" i="24"/>
  <c r="W1958" i="24"/>
  <c r="AB1958" i="24"/>
  <c r="C1959" i="24"/>
  <c r="N1959" i="24"/>
  <c r="Q1959" i="24"/>
  <c r="R1959" i="24"/>
  <c r="W1959" i="24"/>
  <c r="AB1959" i="24"/>
  <c r="C1960" i="24"/>
  <c r="N1960" i="24"/>
  <c r="Q1960" i="24"/>
  <c r="R1960" i="24"/>
  <c r="W1960" i="24"/>
  <c r="AB1960" i="24"/>
  <c r="C1961" i="24"/>
  <c r="N1961" i="24"/>
  <c r="Q1961" i="24"/>
  <c r="R1961" i="24"/>
  <c r="W1961" i="24"/>
  <c r="AB1961" i="24"/>
  <c r="C1962" i="24"/>
  <c r="N1962" i="24"/>
  <c r="Q1962" i="24"/>
  <c r="R1962" i="24"/>
  <c r="W1962" i="24"/>
  <c r="AB1962" i="24"/>
  <c r="C1963" i="24"/>
  <c r="N1963" i="24"/>
  <c r="Q1963" i="24"/>
  <c r="R1963" i="24"/>
  <c r="W1963" i="24"/>
  <c r="AB1963" i="24"/>
  <c r="C1964" i="24"/>
  <c r="N1964" i="24"/>
  <c r="Q1964" i="24"/>
  <c r="R1964" i="24"/>
  <c r="W1964" i="24"/>
  <c r="AB1964" i="24"/>
  <c r="C1965" i="24"/>
  <c r="N1965" i="24"/>
  <c r="Q1965" i="24"/>
  <c r="R1965" i="24"/>
  <c r="W1965" i="24"/>
  <c r="AB1965" i="24"/>
  <c r="C1966" i="24"/>
  <c r="N1966" i="24"/>
  <c r="Q1966" i="24"/>
  <c r="R1966" i="24"/>
  <c r="W1966" i="24"/>
  <c r="AB1966" i="24"/>
  <c r="C1967" i="24"/>
  <c r="N1967" i="24"/>
  <c r="Q1967" i="24"/>
  <c r="R1967" i="24"/>
  <c r="W1967" i="24"/>
  <c r="AB1967" i="24"/>
  <c r="C1968" i="24"/>
  <c r="N1968" i="24"/>
  <c r="Q1968" i="24"/>
  <c r="R1968" i="24"/>
  <c r="W1968" i="24"/>
  <c r="AB1968" i="24"/>
  <c r="C1969" i="24"/>
  <c r="N1969" i="24"/>
  <c r="Q1969" i="24"/>
  <c r="R1969" i="24"/>
  <c r="W1969" i="24"/>
  <c r="AB1969" i="24"/>
  <c r="C1970" i="24"/>
  <c r="N1970" i="24"/>
  <c r="Q1970" i="24"/>
  <c r="R1970" i="24"/>
  <c r="W1970" i="24"/>
  <c r="AB1970" i="24"/>
  <c r="C1971" i="24"/>
  <c r="N1971" i="24"/>
  <c r="Q1971" i="24"/>
  <c r="R1971" i="24"/>
  <c r="W1971" i="24"/>
  <c r="AB1971" i="24"/>
  <c r="C1972" i="24"/>
  <c r="N1972" i="24"/>
  <c r="Q1972" i="24"/>
  <c r="R1972" i="24"/>
  <c r="W1972" i="24"/>
  <c r="AB1972" i="24"/>
  <c r="C1973" i="24"/>
  <c r="N1973" i="24"/>
  <c r="Q1973" i="24"/>
  <c r="R1973" i="24"/>
  <c r="W1973" i="24"/>
  <c r="AB1973" i="24"/>
  <c r="C1974" i="24"/>
  <c r="N1974" i="24"/>
  <c r="Q1974" i="24"/>
  <c r="R1974" i="24"/>
  <c r="W1974" i="24"/>
  <c r="AB1974" i="24"/>
  <c r="C1975" i="24"/>
  <c r="N1975" i="24"/>
  <c r="Q1975" i="24"/>
  <c r="R1975" i="24"/>
  <c r="W1975" i="24"/>
  <c r="AB1975" i="24"/>
  <c r="C1976" i="24"/>
  <c r="N1976" i="24"/>
  <c r="Q1976" i="24"/>
  <c r="R1976" i="24"/>
  <c r="W1976" i="24"/>
  <c r="AB1976" i="24"/>
  <c r="C1977" i="24"/>
  <c r="N1977" i="24"/>
  <c r="Q1977" i="24"/>
  <c r="R1977" i="24"/>
  <c r="W1977" i="24"/>
  <c r="AB1977" i="24"/>
  <c r="C1978" i="24"/>
  <c r="N1978" i="24"/>
  <c r="Q1978" i="24"/>
  <c r="R1978" i="24"/>
  <c r="W1978" i="24"/>
  <c r="AB1978" i="24"/>
  <c r="C1979" i="24"/>
  <c r="N1979" i="24"/>
  <c r="Q1979" i="24"/>
  <c r="R1979" i="24"/>
  <c r="W1979" i="24"/>
  <c r="AB1979" i="24"/>
  <c r="C1980" i="24"/>
  <c r="N1980" i="24"/>
  <c r="Q1980" i="24"/>
  <c r="R1980" i="24"/>
  <c r="W1980" i="24"/>
  <c r="AB1980" i="24"/>
  <c r="C1981" i="24"/>
  <c r="N1981" i="24"/>
  <c r="Q1981" i="24"/>
  <c r="R1981" i="24"/>
  <c r="W1981" i="24"/>
  <c r="AB1981" i="24"/>
  <c r="C1982" i="24"/>
  <c r="N1982" i="24"/>
  <c r="Q1982" i="24"/>
  <c r="R1982" i="24"/>
  <c r="W1982" i="24"/>
  <c r="AB1982" i="24"/>
  <c r="C1983" i="24"/>
  <c r="N1983" i="24"/>
  <c r="Q1983" i="24"/>
  <c r="R1983" i="24"/>
  <c r="W1983" i="24"/>
  <c r="AB1983" i="24"/>
  <c r="C1984" i="24"/>
  <c r="N1984" i="24"/>
  <c r="Q1984" i="24"/>
  <c r="R1984" i="24"/>
  <c r="W1984" i="24"/>
  <c r="AB1984" i="24"/>
  <c r="C1985" i="24"/>
  <c r="N1985" i="24"/>
  <c r="Q1985" i="24"/>
  <c r="R1985" i="24"/>
  <c r="W1985" i="24"/>
  <c r="AB1985" i="24"/>
  <c r="C1986" i="24"/>
  <c r="N1986" i="24"/>
  <c r="Q1986" i="24"/>
  <c r="R1986" i="24"/>
  <c r="W1986" i="24"/>
  <c r="AB1986" i="24"/>
  <c r="C1987" i="24"/>
  <c r="N1987" i="24"/>
  <c r="Q1987" i="24"/>
  <c r="R1987" i="24"/>
  <c r="W1987" i="24"/>
  <c r="AB1987" i="24"/>
  <c r="C1988" i="24"/>
  <c r="N1988" i="24"/>
  <c r="Q1988" i="24"/>
  <c r="R1988" i="24"/>
  <c r="W1988" i="24"/>
  <c r="AB1988" i="24"/>
  <c r="C1989" i="24"/>
  <c r="N1989" i="24"/>
  <c r="Q1989" i="24"/>
  <c r="R1989" i="24"/>
  <c r="W1989" i="24"/>
  <c r="AB1989" i="24"/>
  <c r="C1990" i="24"/>
  <c r="N1990" i="24"/>
  <c r="Q1990" i="24"/>
  <c r="R1990" i="24"/>
  <c r="W1990" i="24"/>
  <c r="AB1990" i="24"/>
  <c r="C1991" i="24"/>
  <c r="N1991" i="24"/>
  <c r="Q1991" i="24"/>
  <c r="R1991" i="24"/>
  <c r="W1991" i="24"/>
  <c r="AB1991" i="24"/>
  <c r="C1992" i="24"/>
  <c r="N1992" i="24"/>
  <c r="Q1992" i="24"/>
  <c r="R1992" i="24"/>
  <c r="W1992" i="24"/>
  <c r="AB1992" i="24"/>
  <c r="C1993" i="24"/>
  <c r="N1993" i="24"/>
  <c r="Q1993" i="24"/>
  <c r="R1993" i="24"/>
  <c r="W1993" i="24"/>
  <c r="AB1993" i="24"/>
  <c r="C1994" i="24"/>
  <c r="N1994" i="24"/>
  <c r="Q1994" i="24"/>
  <c r="R1994" i="24"/>
  <c r="W1994" i="24"/>
  <c r="AB1994" i="24"/>
  <c r="C1995" i="24"/>
  <c r="N1995" i="24"/>
  <c r="Q1995" i="24"/>
  <c r="R1995" i="24"/>
  <c r="W1995" i="24"/>
  <c r="AB1995" i="24"/>
  <c r="C1996" i="24"/>
  <c r="N1996" i="24"/>
  <c r="Q1996" i="24"/>
  <c r="R1996" i="24"/>
  <c r="W1996" i="24"/>
  <c r="AB1996" i="24"/>
  <c r="C1997" i="24"/>
  <c r="N1997" i="24"/>
  <c r="Q1997" i="24"/>
  <c r="R1997" i="24"/>
  <c r="W1997" i="24"/>
  <c r="AB1997" i="24"/>
  <c r="C1998" i="24"/>
  <c r="N1998" i="24"/>
  <c r="Q1998" i="24"/>
  <c r="R1998" i="24"/>
  <c r="W1998" i="24"/>
  <c r="AB1998" i="24"/>
  <c r="C1999" i="24"/>
  <c r="N1999" i="24"/>
  <c r="Q1999" i="24"/>
  <c r="R1999" i="24"/>
  <c r="W1999" i="24"/>
  <c r="AB1999" i="24"/>
  <c r="C2000" i="24"/>
  <c r="N2000" i="24"/>
  <c r="Q2000" i="24"/>
  <c r="R2000" i="24"/>
  <c r="W2000" i="24"/>
  <c r="AB2000" i="24"/>
  <c r="C2001" i="24"/>
  <c r="N2001" i="24"/>
  <c r="Q2001" i="24"/>
  <c r="R2001" i="24"/>
  <c r="W2001" i="24"/>
  <c r="AB2001" i="24"/>
  <c r="C2002" i="24"/>
  <c r="N2002" i="24"/>
  <c r="Q2002" i="24"/>
  <c r="R2002" i="24"/>
  <c r="W2002" i="24"/>
  <c r="AB2002" i="24"/>
  <c r="C2003" i="24"/>
  <c r="N2003" i="24"/>
  <c r="Q2003" i="24"/>
  <c r="R2003" i="24"/>
  <c r="W2003" i="24"/>
  <c r="AB2003" i="24"/>
  <c r="C2004" i="24"/>
  <c r="N2004" i="24"/>
  <c r="Q2004" i="24"/>
  <c r="R2004" i="24"/>
  <c r="W2004" i="24"/>
  <c r="AB2004" i="24"/>
  <c r="C2005" i="24"/>
  <c r="N2005" i="24"/>
  <c r="Q2005" i="24"/>
  <c r="R2005" i="24"/>
  <c r="W2005" i="24"/>
  <c r="AB2005" i="24"/>
  <c r="C2006" i="24"/>
  <c r="N2006" i="24"/>
  <c r="Q2006" i="24"/>
  <c r="R2006" i="24"/>
  <c r="W2006" i="24"/>
  <c r="AB2006" i="24"/>
  <c r="C2007" i="24"/>
  <c r="N2007" i="24"/>
  <c r="Q2007" i="24"/>
  <c r="R2007" i="24"/>
  <c r="W2007" i="24"/>
  <c r="AB2007" i="24"/>
  <c r="C2008" i="24"/>
  <c r="N2008" i="24"/>
  <c r="Q2008" i="24"/>
  <c r="R2008" i="24"/>
  <c r="W2008" i="24"/>
  <c r="AB2008" i="24"/>
  <c r="C2009" i="24"/>
  <c r="N2009" i="24"/>
  <c r="Q2009" i="24"/>
  <c r="R2009" i="24"/>
  <c r="W2009" i="24"/>
  <c r="AB2009" i="24"/>
  <c r="C2010" i="24"/>
  <c r="N2010" i="24"/>
  <c r="Q2010" i="24"/>
  <c r="R2010" i="24"/>
  <c r="W2010" i="24"/>
  <c r="AB2010" i="24"/>
  <c r="C2011" i="24"/>
  <c r="N2011" i="24"/>
  <c r="Q2011" i="24"/>
  <c r="R2011" i="24"/>
  <c r="W2011" i="24"/>
  <c r="AB2011" i="24"/>
  <c r="C2012" i="24"/>
  <c r="N2012" i="24"/>
  <c r="Q2012" i="24"/>
  <c r="R2012" i="24"/>
  <c r="W2012" i="24"/>
  <c r="AB2012" i="24"/>
  <c r="C2013" i="24"/>
  <c r="N2013" i="24"/>
  <c r="Q2013" i="24"/>
  <c r="R2013" i="24"/>
  <c r="W2013" i="24"/>
  <c r="AB2013" i="24"/>
  <c r="C2014" i="24"/>
  <c r="N2014" i="24"/>
  <c r="Q2014" i="24"/>
  <c r="R2014" i="24"/>
  <c r="W2014" i="24"/>
  <c r="AB2014" i="24"/>
  <c r="C2015" i="24"/>
  <c r="N2015" i="24"/>
  <c r="Q2015" i="24"/>
  <c r="R2015" i="24"/>
  <c r="W2015" i="24"/>
  <c r="AB2015" i="24"/>
  <c r="C2016" i="24"/>
  <c r="N2016" i="24"/>
  <c r="Q2016" i="24"/>
  <c r="R2016" i="24"/>
  <c r="W2016" i="24"/>
  <c r="AB2016" i="24"/>
  <c r="C2017" i="24"/>
  <c r="N2017" i="24"/>
  <c r="Q2017" i="24"/>
  <c r="R2017" i="24"/>
  <c r="W2017" i="24"/>
  <c r="AB2017" i="24"/>
  <c r="C2018" i="24"/>
  <c r="N2018" i="24"/>
  <c r="Q2018" i="24"/>
  <c r="R2018" i="24"/>
  <c r="W2018" i="24"/>
  <c r="AB2018" i="24"/>
  <c r="C2019" i="24"/>
  <c r="N2019" i="24"/>
  <c r="Q2019" i="24"/>
  <c r="R2019" i="24"/>
  <c r="W2019" i="24"/>
  <c r="AB2019" i="24"/>
  <c r="C2020" i="24"/>
  <c r="N2020" i="24"/>
  <c r="Q2020" i="24"/>
  <c r="R2020" i="24"/>
  <c r="W2020" i="24"/>
  <c r="AB2020" i="24"/>
  <c r="C2021" i="24"/>
  <c r="N2021" i="24"/>
  <c r="Q2021" i="24"/>
  <c r="R2021" i="24"/>
  <c r="W2021" i="24"/>
  <c r="AB2021" i="24"/>
  <c r="C2022" i="24"/>
  <c r="N2022" i="24"/>
  <c r="Q2022" i="24"/>
  <c r="R2022" i="24"/>
  <c r="W2022" i="24"/>
  <c r="AB2022" i="24"/>
  <c r="C2023" i="24"/>
  <c r="N2023" i="24"/>
  <c r="Q2023" i="24"/>
  <c r="R2023" i="24"/>
  <c r="W2023" i="24"/>
  <c r="AB2023" i="24"/>
  <c r="C2024" i="24"/>
  <c r="N2024" i="24"/>
  <c r="Q2024" i="24"/>
  <c r="R2024" i="24"/>
  <c r="W2024" i="24"/>
  <c r="AB2024" i="24"/>
  <c r="C2025" i="24"/>
  <c r="N2025" i="24"/>
  <c r="Q2025" i="24"/>
  <c r="R2025" i="24"/>
  <c r="W2025" i="24"/>
  <c r="AB2025" i="24"/>
  <c r="C2026" i="24"/>
  <c r="N2026" i="24"/>
  <c r="Q2026" i="24"/>
  <c r="R2026" i="24"/>
  <c r="W2026" i="24"/>
  <c r="AB2026" i="24"/>
  <c r="C2027" i="24"/>
  <c r="N2027" i="24"/>
  <c r="Q2027" i="24"/>
  <c r="R2027" i="24"/>
  <c r="W2027" i="24"/>
  <c r="AB2027" i="24"/>
  <c r="C2028" i="24"/>
  <c r="N2028" i="24"/>
  <c r="Q2028" i="24"/>
  <c r="R2028" i="24"/>
  <c r="W2028" i="24"/>
  <c r="AB2028" i="24"/>
  <c r="C2029" i="24"/>
  <c r="N2029" i="24"/>
  <c r="Q2029" i="24"/>
  <c r="R2029" i="24"/>
  <c r="W2029" i="24"/>
  <c r="AB2029" i="24"/>
  <c r="C2030" i="24"/>
  <c r="N2030" i="24"/>
  <c r="Q2030" i="24"/>
  <c r="R2030" i="24"/>
  <c r="W2030" i="24"/>
  <c r="AB2030" i="24"/>
  <c r="C2031" i="24"/>
  <c r="N2031" i="24"/>
  <c r="Q2031" i="24"/>
  <c r="R2031" i="24"/>
  <c r="W2031" i="24"/>
  <c r="AB2031" i="24"/>
  <c r="C2032" i="24"/>
  <c r="N2032" i="24"/>
  <c r="Q2032" i="24"/>
  <c r="R2032" i="24"/>
  <c r="W2032" i="24"/>
  <c r="AB2032" i="24"/>
  <c r="C2033" i="24"/>
  <c r="N2033" i="24"/>
  <c r="Q2033" i="24"/>
  <c r="R2033" i="24"/>
  <c r="W2033" i="24"/>
  <c r="AB2033" i="24"/>
  <c r="C2034" i="24"/>
  <c r="N2034" i="24"/>
  <c r="Q2034" i="24"/>
  <c r="R2034" i="24"/>
  <c r="W2034" i="24"/>
  <c r="AB2034" i="24"/>
  <c r="C2035" i="24"/>
  <c r="N2035" i="24"/>
  <c r="Q2035" i="24"/>
  <c r="R2035" i="24"/>
  <c r="W2035" i="24"/>
  <c r="AB2035" i="24"/>
  <c r="C2036" i="24"/>
  <c r="N2036" i="24"/>
  <c r="Q2036" i="24"/>
  <c r="R2036" i="24"/>
  <c r="W2036" i="24"/>
  <c r="AB2036" i="24"/>
  <c r="C2037" i="24"/>
  <c r="N2037" i="24"/>
  <c r="Q2037" i="24"/>
  <c r="R2037" i="24"/>
  <c r="W2037" i="24"/>
  <c r="AB2037" i="24"/>
  <c r="C2038" i="24"/>
  <c r="N2038" i="24"/>
  <c r="Q2038" i="24"/>
  <c r="R2038" i="24"/>
  <c r="W2038" i="24"/>
  <c r="AB2038" i="24"/>
  <c r="C2039" i="24"/>
  <c r="N2039" i="24"/>
  <c r="Q2039" i="24"/>
  <c r="R2039" i="24"/>
  <c r="W2039" i="24"/>
  <c r="AB2039" i="24"/>
  <c r="C2040" i="24"/>
  <c r="N2040" i="24"/>
  <c r="Q2040" i="24"/>
  <c r="R2040" i="24"/>
  <c r="W2040" i="24"/>
  <c r="AB2040" i="24"/>
  <c r="C2041" i="24"/>
  <c r="N2041" i="24"/>
  <c r="Q2041" i="24"/>
  <c r="R2041" i="24"/>
  <c r="W2041" i="24"/>
  <c r="AB2041" i="24"/>
  <c r="C2042" i="24"/>
  <c r="N2042" i="24"/>
  <c r="Q2042" i="24"/>
  <c r="R2042" i="24"/>
  <c r="W2042" i="24"/>
  <c r="AB2042" i="24"/>
  <c r="C2043" i="24"/>
  <c r="N2043" i="24"/>
  <c r="Q2043" i="24"/>
  <c r="R2043" i="24"/>
  <c r="W2043" i="24"/>
  <c r="AB2043" i="24"/>
  <c r="C2044" i="24"/>
  <c r="N2044" i="24"/>
  <c r="Q2044" i="24"/>
  <c r="R2044" i="24"/>
  <c r="W2044" i="24"/>
  <c r="AB2044" i="24"/>
  <c r="C2045" i="24"/>
  <c r="N2045" i="24"/>
  <c r="Q2045" i="24"/>
  <c r="R2045" i="24"/>
  <c r="W2045" i="24"/>
  <c r="AB2045" i="24"/>
  <c r="C2046" i="24"/>
  <c r="N2046" i="24"/>
  <c r="Q2046" i="24"/>
  <c r="R2046" i="24"/>
  <c r="W2046" i="24"/>
  <c r="AB2046" i="24"/>
  <c r="C2047" i="24"/>
  <c r="N2047" i="24"/>
  <c r="Q2047" i="24"/>
  <c r="R2047" i="24"/>
  <c r="W2047" i="24"/>
  <c r="AB2047" i="24"/>
  <c r="C2048" i="24"/>
  <c r="N2048" i="24"/>
  <c r="Q2048" i="24"/>
  <c r="R2048" i="24"/>
  <c r="W2048" i="24"/>
  <c r="AB2048" i="24"/>
  <c r="C2049" i="24"/>
  <c r="N2049" i="24"/>
  <c r="Q2049" i="24"/>
  <c r="R2049" i="24"/>
  <c r="W2049" i="24"/>
  <c r="AB2049" i="24"/>
  <c r="C2050" i="24"/>
  <c r="N2050" i="24"/>
  <c r="Q2050" i="24"/>
  <c r="R2050" i="24"/>
  <c r="W2050" i="24"/>
  <c r="AB2050" i="24"/>
  <c r="C2051" i="24"/>
  <c r="N2051" i="24"/>
  <c r="Q2051" i="24"/>
  <c r="R2051" i="24"/>
  <c r="W2051" i="24"/>
  <c r="AB2051" i="24"/>
  <c r="C2052" i="24"/>
  <c r="N2052" i="24"/>
  <c r="Q2052" i="24"/>
  <c r="R2052" i="24"/>
  <c r="W2052" i="24"/>
  <c r="AB2052" i="24"/>
  <c r="C2053" i="24"/>
  <c r="N2053" i="24"/>
  <c r="Q2053" i="24"/>
  <c r="R2053" i="24"/>
  <c r="W2053" i="24"/>
  <c r="AB2053" i="24"/>
  <c r="C2054" i="24"/>
  <c r="N2054" i="24"/>
  <c r="Q2054" i="24"/>
  <c r="R2054" i="24"/>
  <c r="W2054" i="24"/>
  <c r="AB2054" i="24"/>
  <c r="C2055" i="24"/>
  <c r="N2055" i="24"/>
  <c r="Q2055" i="24"/>
  <c r="R2055" i="24"/>
  <c r="W2055" i="24"/>
  <c r="AB2055" i="24"/>
  <c r="C2056" i="24"/>
  <c r="N2056" i="24"/>
  <c r="Q2056" i="24"/>
  <c r="R2056" i="24"/>
  <c r="W2056" i="24"/>
  <c r="AB2056" i="24"/>
  <c r="C2057" i="24"/>
  <c r="N2057" i="24"/>
  <c r="Q2057" i="24"/>
  <c r="R2057" i="24"/>
  <c r="W2057" i="24"/>
  <c r="AB2057" i="24"/>
  <c r="C2058" i="24"/>
  <c r="N2058" i="24"/>
  <c r="Q2058" i="24"/>
  <c r="R2058" i="24"/>
  <c r="W2058" i="24"/>
  <c r="AB2058" i="24"/>
  <c r="C2059" i="24"/>
  <c r="N2059" i="24"/>
  <c r="Q2059" i="24"/>
  <c r="R2059" i="24"/>
  <c r="W2059" i="24"/>
  <c r="AB2059" i="24"/>
  <c r="C2060" i="24"/>
  <c r="N2060" i="24"/>
  <c r="Q2060" i="24"/>
  <c r="R2060" i="24"/>
  <c r="W2060" i="24"/>
  <c r="AB2060" i="24"/>
  <c r="C2061" i="24"/>
  <c r="N2061" i="24"/>
  <c r="Q2061" i="24"/>
  <c r="R2061" i="24"/>
  <c r="W2061" i="24"/>
  <c r="AB2061" i="24"/>
  <c r="C2062" i="24"/>
  <c r="N2062" i="24"/>
  <c r="Q2062" i="24"/>
  <c r="R2062" i="24"/>
  <c r="W2062" i="24"/>
  <c r="AB2062" i="24"/>
  <c r="C2063" i="24"/>
  <c r="N2063" i="24"/>
  <c r="Q2063" i="24"/>
  <c r="R2063" i="24"/>
  <c r="W2063" i="24"/>
  <c r="AB2063" i="24"/>
  <c r="C2064" i="24"/>
  <c r="N2064" i="24"/>
  <c r="Q2064" i="24"/>
  <c r="R2064" i="24"/>
  <c r="W2064" i="24"/>
  <c r="AB2064" i="24"/>
  <c r="C2065" i="24"/>
  <c r="N2065" i="24"/>
  <c r="Q2065" i="24"/>
  <c r="R2065" i="24"/>
  <c r="W2065" i="24"/>
  <c r="AB2065" i="24"/>
  <c r="C2066" i="24"/>
  <c r="N2066" i="24"/>
  <c r="Q2066" i="24"/>
  <c r="R2066" i="24"/>
  <c r="W2066" i="24"/>
  <c r="AB2066" i="24"/>
  <c r="C2067" i="24"/>
  <c r="N2067" i="24"/>
  <c r="Q2067" i="24"/>
  <c r="R2067" i="24"/>
  <c r="W2067" i="24"/>
  <c r="AB2067" i="24"/>
  <c r="C2068" i="24"/>
  <c r="N2068" i="24"/>
  <c r="Q2068" i="24"/>
  <c r="R2068" i="24"/>
  <c r="W2068" i="24"/>
  <c r="AB2068" i="24"/>
  <c r="C2069" i="24"/>
  <c r="N2069" i="24"/>
  <c r="Q2069" i="24"/>
  <c r="R2069" i="24"/>
  <c r="W2069" i="24"/>
  <c r="AB2069" i="24"/>
  <c r="C2070" i="24"/>
  <c r="N2070" i="24"/>
  <c r="Q2070" i="24"/>
  <c r="R2070" i="24"/>
  <c r="W2070" i="24"/>
  <c r="AB2070" i="24"/>
  <c r="C2071" i="24"/>
  <c r="N2071" i="24"/>
  <c r="Q2071" i="24"/>
  <c r="R2071" i="24"/>
  <c r="W2071" i="24"/>
  <c r="AB2071" i="24"/>
  <c r="C2072" i="24"/>
  <c r="N2072" i="24"/>
  <c r="Q2072" i="24"/>
  <c r="R2072" i="24"/>
  <c r="W2072" i="24"/>
  <c r="AB2072" i="24"/>
  <c r="C2073" i="24"/>
  <c r="N2073" i="24"/>
  <c r="Q2073" i="24"/>
  <c r="R2073" i="24"/>
  <c r="W2073" i="24"/>
  <c r="AB2073" i="24"/>
  <c r="C2074" i="24"/>
  <c r="N2074" i="24"/>
  <c r="Q2074" i="24"/>
  <c r="R2074" i="24"/>
  <c r="W2074" i="24"/>
  <c r="AB2074" i="24"/>
  <c r="C2075" i="24"/>
  <c r="N2075" i="24"/>
  <c r="Q2075" i="24"/>
  <c r="R2075" i="24"/>
  <c r="W2075" i="24"/>
  <c r="AB2075" i="24"/>
  <c r="C2076" i="24"/>
  <c r="N2076" i="24"/>
  <c r="Q2076" i="24"/>
  <c r="R2076" i="24"/>
  <c r="W2076" i="24"/>
  <c r="AB2076" i="24"/>
  <c r="C2077" i="24"/>
  <c r="N2077" i="24"/>
  <c r="Q2077" i="24"/>
  <c r="R2077" i="24"/>
  <c r="W2077" i="24"/>
  <c r="AB2077" i="24"/>
  <c r="C2078" i="24"/>
  <c r="N2078" i="24"/>
  <c r="Q2078" i="24"/>
  <c r="R2078" i="24"/>
  <c r="W2078" i="24"/>
  <c r="AB2078" i="24"/>
  <c r="C2079" i="24"/>
  <c r="N2079" i="24"/>
  <c r="Q2079" i="24"/>
  <c r="R2079" i="24"/>
  <c r="W2079" i="24"/>
  <c r="AB2079" i="24"/>
  <c r="C2080" i="24"/>
  <c r="N2080" i="24"/>
  <c r="Q2080" i="24"/>
  <c r="R2080" i="24"/>
  <c r="W2080" i="24"/>
  <c r="AB2080" i="24"/>
  <c r="C2081" i="24"/>
  <c r="N2081" i="24"/>
  <c r="Q2081" i="24"/>
  <c r="R2081" i="24"/>
  <c r="W2081" i="24"/>
  <c r="AB2081" i="24"/>
  <c r="C2082" i="24"/>
  <c r="N2082" i="24"/>
  <c r="Q2082" i="24"/>
  <c r="R2082" i="24"/>
  <c r="W2082" i="24"/>
  <c r="AB2082" i="24"/>
  <c r="C2083" i="24"/>
  <c r="N2083" i="24"/>
  <c r="Q2083" i="24"/>
  <c r="R2083" i="24"/>
  <c r="W2083" i="24"/>
  <c r="AB2083" i="24"/>
  <c r="C2084" i="24"/>
  <c r="N2084" i="24"/>
  <c r="Q2084" i="24"/>
  <c r="R2084" i="24"/>
  <c r="W2084" i="24"/>
  <c r="AB2084" i="24"/>
  <c r="C2085" i="24"/>
  <c r="N2085" i="24"/>
  <c r="Q2085" i="24"/>
  <c r="R2085" i="24"/>
  <c r="W2085" i="24"/>
  <c r="AB2085" i="24"/>
  <c r="C2086" i="24"/>
  <c r="N2086" i="24"/>
  <c r="Q2086" i="24"/>
  <c r="R2086" i="24"/>
  <c r="W2086" i="24"/>
  <c r="AB2086" i="24"/>
  <c r="C2087" i="24"/>
  <c r="N2087" i="24"/>
  <c r="Q2087" i="24"/>
  <c r="R2087" i="24"/>
  <c r="W2087" i="24"/>
  <c r="AB2087" i="24"/>
  <c r="C2088" i="24"/>
  <c r="N2088" i="24"/>
  <c r="Q2088" i="24"/>
  <c r="R2088" i="24"/>
  <c r="W2088" i="24"/>
  <c r="AB2088" i="24"/>
  <c r="C2089" i="24"/>
  <c r="N2089" i="24"/>
  <c r="Q2089" i="24"/>
  <c r="R2089" i="24"/>
  <c r="W2089" i="24"/>
  <c r="AB2089" i="24"/>
  <c r="C2090" i="24"/>
  <c r="N2090" i="24"/>
  <c r="Q2090" i="24"/>
  <c r="R2090" i="24"/>
  <c r="W2090" i="24"/>
  <c r="AB2090" i="24"/>
  <c r="C2091" i="24"/>
  <c r="N2091" i="24"/>
  <c r="Q2091" i="24"/>
  <c r="R2091" i="24"/>
  <c r="W2091" i="24"/>
  <c r="AB2091" i="24"/>
  <c r="C2092" i="24"/>
  <c r="N2092" i="24"/>
  <c r="Q2092" i="24"/>
  <c r="R2092" i="24"/>
  <c r="W2092" i="24"/>
  <c r="AB2092" i="24"/>
  <c r="C2093" i="24"/>
  <c r="N2093" i="24"/>
  <c r="Q2093" i="24"/>
  <c r="R2093" i="24"/>
  <c r="W2093" i="24"/>
  <c r="AB2093" i="24"/>
  <c r="C2094" i="24"/>
  <c r="N2094" i="24"/>
  <c r="Q2094" i="24"/>
  <c r="R2094" i="24"/>
  <c r="W2094" i="24"/>
  <c r="AB2094" i="24"/>
  <c r="C2095" i="24"/>
  <c r="N2095" i="24"/>
  <c r="Q2095" i="24"/>
  <c r="R2095" i="24"/>
  <c r="W2095" i="24"/>
  <c r="AB2095" i="24"/>
  <c r="C2096" i="24"/>
  <c r="N2096" i="24"/>
  <c r="Q2096" i="24"/>
  <c r="R2096" i="24"/>
  <c r="W2096" i="24"/>
  <c r="AB2096" i="24"/>
  <c r="C2097" i="24"/>
  <c r="N2097" i="24"/>
  <c r="Q2097" i="24"/>
  <c r="R2097" i="24"/>
  <c r="W2097" i="24"/>
  <c r="AB2097" i="24"/>
  <c r="C2098" i="24"/>
  <c r="N2098" i="24"/>
  <c r="Q2098" i="24"/>
  <c r="R2098" i="24"/>
  <c r="W2098" i="24"/>
  <c r="AB2098" i="24"/>
  <c r="C2099" i="24"/>
  <c r="N2099" i="24"/>
  <c r="Q2099" i="24"/>
  <c r="R2099" i="24"/>
  <c r="W2099" i="24"/>
  <c r="AB2099" i="24"/>
  <c r="C2100" i="24"/>
  <c r="N2100" i="24"/>
  <c r="Q2100" i="24"/>
  <c r="R2100" i="24"/>
  <c r="W2100" i="24"/>
  <c r="AB2100" i="24"/>
  <c r="C2101" i="24"/>
  <c r="N2101" i="24"/>
  <c r="Q2101" i="24"/>
  <c r="R2101" i="24"/>
  <c r="W2101" i="24"/>
  <c r="AB2101" i="24"/>
  <c r="C2102" i="24"/>
  <c r="N2102" i="24"/>
  <c r="Q2102" i="24"/>
  <c r="R2102" i="24"/>
  <c r="W2102" i="24"/>
  <c r="AB2102" i="24"/>
  <c r="C2103" i="24"/>
  <c r="N2103" i="24"/>
  <c r="Q2103" i="24"/>
  <c r="R2103" i="24"/>
  <c r="W2103" i="24"/>
  <c r="AB2103" i="24"/>
  <c r="C2104" i="24"/>
  <c r="N2104" i="24"/>
  <c r="Q2104" i="24"/>
  <c r="R2104" i="24"/>
  <c r="W2104" i="24"/>
  <c r="AB2104" i="24"/>
  <c r="C2105" i="24"/>
  <c r="N2105" i="24"/>
  <c r="Q2105" i="24"/>
  <c r="R2105" i="24"/>
  <c r="W2105" i="24"/>
  <c r="AB2105" i="24"/>
  <c r="C2106" i="24"/>
  <c r="N2106" i="24"/>
  <c r="Q2106" i="24"/>
  <c r="R2106" i="24"/>
  <c r="W2106" i="24"/>
  <c r="AB2106" i="24"/>
  <c r="C2107" i="24"/>
  <c r="N2107" i="24"/>
  <c r="Q2107" i="24"/>
  <c r="R2107" i="24"/>
  <c r="W2107" i="24"/>
  <c r="AB2107" i="24"/>
  <c r="C2108" i="24"/>
  <c r="N2108" i="24"/>
  <c r="Q2108" i="24"/>
  <c r="R2108" i="24"/>
  <c r="W2108" i="24"/>
  <c r="AB2108" i="24"/>
  <c r="C2109" i="24"/>
  <c r="N2109" i="24"/>
  <c r="Q2109" i="24"/>
  <c r="R2109" i="24"/>
  <c r="W2109" i="24"/>
  <c r="AB2109" i="24"/>
  <c r="C2110" i="24"/>
  <c r="N2110" i="24"/>
  <c r="Q2110" i="24"/>
  <c r="R2110" i="24"/>
  <c r="W2110" i="24"/>
  <c r="AB2110" i="24"/>
  <c r="C2111" i="24"/>
  <c r="N2111" i="24"/>
  <c r="Q2111" i="24"/>
  <c r="R2111" i="24"/>
  <c r="W2111" i="24"/>
  <c r="AB2111" i="24"/>
  <c r="C2112" i="24"/>
  <c r="N2112" i="24"/>
  <c r="Q2112" i="24"/>
  <c r="R2112" i="24"/>
  <c r="W2112" i="24"/>
  <c r="AB2112" i="24"/>
  <c r="C2113" i="24"/>
  <c r="N2113" i="24"/>
  <c r="Q2113" i="24"/>
  <c r="R2113" i="24"/>
  <c r="W2113" i="24"/>
  <c r="AB2113" i="24"/>
  <c r="C2114" i="24"/>
  <c r="N2114" i="24"/>
  <c r="Q2114" i="24"/>
  <c r="R2114" i="24"/>
  <c r="W2114" i="24"/>
  <c r="AB2114" i="24"/>
  <c r="C2115" i="24"/>
  <c r="N2115" i="24"/>
  <c r="Q2115" i="24"/>
  <c r="R2115" i="24"/>
  <c r="W2115" i="24"/>
  <c r="AB2115" i="24"/>
  <c r="C2116" i="24"/>
  <c r="N2116" i="24"/>
  <c r="Q2116" i="24"/>
  <c r="R2116" i="24"/>
  <c r="W2116" i="24"/>
  <c r="AB2116" i="24"/>
  <c r="C2117" i="24"/>
  <c r="N2117" i="24"/>
  <c r="Q2117" i="24"/>
  <c r="R2117" i="24"/>
  <c r="W2117" i="24"/>
  <c r="AB2117" i="24"/>
  <c r="C2118" i="24"/>
  <c r="N2118" i="24"/>
  <c r="Q2118" i="24"/>
  <c r="R2118" i="24"/>
  <c r="W2118" i="24"/>
  <c r="AB2118" i="24"/>
  <c r="C2119" i="24"/>
  <c r="N2119" i="24"/>
  <c r="Q2119" i="24"/>
  <c r="R2119" i="24"/>
  <c r="W2119" i="24"/>
  <c r="AB2119" i="24"/>
  <c r="C2120" i="24"/>
  <c r="N2120" i="24"/>
  <c r="Q2120" i="24"/>
  <c r="R2120" i="24"/>
  <c r="W2120" i="24"/>
  <c r="AB2120" i="24"/>
  <c r="C2121" i="24"/>
  <c r="N2121" i="24"/>
  <c r="Q2121" i="24"/>
  <c r="R2121" i="24"/>
  <c r="W2121" i="24"/>
  <c r="AB2121" i="24"/>
  <c r="C2122" i="24"/>
  <c r="N2122" i="24"/>
  <c r="Q2122" i="24"/>
  <c r="R2122" i="24"/>
  <c r="W2122" i="24"/>
  <c r="AB2122" i="24"/>
  <c r="C2123" i="24"/>
  <c r="N2123" i="24"/>
  <c r="Q2123" i="24"/>
  <c r="R2123" i="24"/>
  <c r="W2123" i="24"/>
  <c r="AB2123" i="24"/>
  <c r="C2124" i="24"/>
  <c r="N2124" i="24"/>
  <c r="Q2124" i="24"/>
  <c r="R2124" i="24"/>
  <c r="W2124" i="24"/>
  <c r="AB2124" i="24"/>
  <c r="C2125" i="24"/>
  <c r="N2125" i="24"/>
  <c r="Q2125" i="24"/>
  <c r="R2125" i="24"/>
  <c r="W2125" i="24"/>
  <c r="AB2125" i="24"/>
  <c r="C2126" i="24"/>
  <c r="N2126" i="24"/>
  <c r="Q2126" i="24"/>
  <c r="R2126" i="24"/>
  <c r="W2126" i="24"/>
  <c r="AB2126" i="24"/>
  <c r="C2127" i="24"/>
  <c r="N2127" i="24"/>
  <c r="Q2127" i="24"/>
  <c r="R2127" i="24"/>
  <c r="W2127" i="24"/>
  <c r="AB2127" i="24"/>
  <c r="C2128" i="24"/>
  <c r="N2128" i="24"/>
  <c r="Q2128" i="24"/>
  <c r="R2128" i="24"/>
  <c r="W2128" i="24"/>
  <c r="AB2128" i="24"/>
  <c r="C2129" i="24"/>
  <c r="N2129" i="24"/>
  <c r="Q2129" i="24"/>
  <c r="R2129" i="24"/>
  <c r="W2129" i="24"/>
  <c r="AB2129" i="24"/>
  <c r="C2130" i="24"/>
  <c r="N2130" i="24"/>
  <c r="Q2130" i="24"/>
  <c r="R2130" i="24"/>
  <c r="W2130" i="24"/>
  <c r="AB2130" i="24"/>
  <c r="C2131" i="24"/>
  <c r="N2131" i="24"/>
  <c r="Q2131" i="24"/>
  <c r="R2131" i="24"/>
  <c r="W2131" i="24"/>
  <c r="AB2131" i="24"/>
  <c r="C2132" i="24"/>
  <c r="N2132" i="24"/>
  <c r="Q2132" i="24"/>
  <c r="R2132" i="24"/>
  <c r="W2132" i="24"/>
  <c r="AB2132" i="24"/>
  <c r="C2133" i="24"/>
  <c r="N2133" i="24"/>
  <c r="Q2133" i="24"/>
  <c r="R2133" i="24"/>
  <c r="W2133" i="24"/>
  <c r="AB2133" i="24"/>
  <c r="C2134" i="24"/>
  <c r="N2134" i="24"/>
  <c r="Q2134" i="24"/>
  <c r="R2134" i="24"/>
  <c r="W2134" i="24"/>
  <c r="AB2134" i="24"/>
  <c r="C2135" i="24"/>
  <c r="N2135" i="24"/>
  <c r="Q2135" i="24"/>
  <c r="R2135" i="24"/>
  <c r="W2135" i="24"/>
  <c r="AB2135" i="24"/>
  <c r="C2136" i="24"/>
  <c r="N2136" i="24"/>
  <c r="Q2136" i="24"/>
  <c r="R2136" i="24"/>
  <c r="W2136" i="24"/>
  <c r="AB2136" i="24"/>
  <c r="C2137" i="24"/>
  <c r="N2137" i="24"/>
  <c r="Q2137" i="24"/>
  <c r="R2137" i="24"/>
  <c r="W2137" i="24"/>
  <c r="AB2137" i="24"/>
  <c r="C2138" i="24"/>
  <c r="N2138" i="24"/>
  <c r="Q2138" i="24"/>
  <c r="R2138" i="24"/>
  <c r="W2138" i="24"/>
  <c r="AB2138" i="24"/>
  <c r="C2139" i="24"/>
  <c r="N2139" i="24"/>
  <c r="Q2139" i="24"/>
  <c r="R2139" i="24"/>
  <c r="W2139" i="24"/>
  <c r="AB2139" i="24"/>
  <c r="C2140" i="24"/>
  <c r="N2140" i="24"/>
  <c r="Q2140" i="24"/>
  <c r="R2140" i="24"/>
  <c r="W2140" i="24"/>
  <c r="AB2140" i="24"/>
  <c r="C2141" i="24"/>
  <c r="N2141" i="24"/>
  <c r="Q2141" i="24"/>
  <c r="R2141" i="24"/>
  <c r="W2141" i="24"/>
  <c r="AB2141" i="24"/>
  <c r="C2142" i="24"/>
  <c r="N2142" i="24"/>
  <c r="Q2142" i="24"/>
  <c r="R2142" i="24"/>
  <c r="W2142" i="24"/>
  <c r="AB2142" i="24"/>
  <c r="C2143" i="24"/>
  <c r="N2143" i="24"/>
  <c r="Q2143" i="24"/>
  <c r="R2143" i="24"/>
  <c r="W2143" i="24"/>
  <c r="AB2143" i="24"/>
  <c r="C2144" i="24"/>
  <c r="N2144" i="24"/>
  <c r="Q2144" i="24"/>
  <c r="R2144" i="24"/>
  <c r="W2144" i="24"/>
  <c r="AB2144" i="24"/>
  <c r="C2145" i="24"/>
  <c r="N2145" i="24"/>
  <c r="Q2145" i="24"/>
  <c r="R2145" i="24"/>
  <c r="W2145" i="24"/>
  <c r="AB2145" i="24"/>
  <c r="C2146" i="24"/>
  <c r="N2146" i="24"/>
  <c r="Q2146" i="24"/>
  <c r="R2146" i="24"/>
  <c r="W2146" i="24"/>
  <c r="AB2146" i="24"/>
  <c r="C2147" i="24"/>
  <c r="N2147" i="24"/>
  <c r="Q2147" i="24"/>
  <c r="R2147" i="24"/>
  <c r="W2147" i="24"/>
  <c r="AB2147" i="24"/>
  <c r="C2148" i="24"/>
  <c r="N2148" i="24"/>
  <c r="Q2148" i="24"/>
  <c r="R2148" i="24"/>
  <c r="W2148" i="24"/>
  <c r="AB2148" i="24"/>
  <c r="C2149" i="24"/>
  <c r="N2149" i="24"/>
  <c r="Q2149" i="24"/>
  <c r="R2149" i="24"/>
  <c r="W2149" i="24"/>
  <c r="AB2149" i="24"/>
  <c r="C2150" i="24"/>
  <c r="N2150" i="24"/>
  <c r="Q2150" i="24"/>
  <c r="R2150" i="24"/>
  <c r="W2150" i="24"/>
  <c r="AB2150" i="24"/>
  <c r="C2151" i="24"/>
  <c r="N2151" i="24"/>
  <c r="Q2151" i="24"/>
  <c r="R2151" i="24"/>
  <c r="W2151" i="24"/>
  <c r="AB2151" i="24"/>
  <c r="C2152" i="24"/>
  <c r="N2152" i="24"/>
  <c r="Q2152" i="24"/>
  <c r="R2152" i="24"/>
  <c r="W2152" i="24"/>
  <c r="AB2152" i="24"/>
  <c r="C2153" i="24"/>
  <c r="N2153" i="24"/>
  <c r="Q2153" i="24"/>
  <c r="R2153" i="24"/>
  <c r="W2153" i="24"/>
  <c r="AB2153" i="24"/>
  <c r="C2154" i="24"/>
  <c r="N2154" i="24"/>
  <c r="Q2154" i="24"/>
  <c r="R2154" i="24"/>
  <c r="W2154" i="24"/>
  <c r="AB2154" i="24"/>
  <c r="C2155" i="24"/>
  <c r="N2155" i="24"/>
  <c r="Q2155" i="24"/>
  <c r="R2155" i="24"/>
  <c r="W2155" i="24"/>
  <c r="AB2155" i="24"/>
  <c r="C2156" i="24"/>
  <c r="N2156" i="24"/>
  <c r="Q2156" i="24"/>
  <c r="R2156" i="24"/>
  <c r="W2156" i="24"/>
  <c r="AB2156" i="24"/>
  <c r="C2157" i="24"/>
  <c r="N2157" i="24"/>
  <c r="Q2157" i="24"/>
  <c r="R2157" i="24"/>
  <c r="W2157" i="24"/>
  <c r="AB2157" i="24"/>
  <c r="C2158" i="24"/>
  <c r="N2158" i="24"/>
  <c r="Q2158" i="24"/>
  <c r="R2158" i="24"/>
  <c r="W2158" i="24"/>
  <c r="AB2158" i="24"/>
  <c r="C2159" i="24"/>
  <c r="N2159" i="24"/>
  <c r="Q2159" i="24"/>
  <c r="R2159" i="24"/>
  <c r="W2159" i="24"/>
  <c r="AB2159" i="24"/>
  <c r="C2160" i="24"/>
  <c r="N2160" i="24"/>
  <c r="Q2160" i="24"/>
  <c r="R2160" i="24"/>
  <c r="W2160" i="24"/>
  <c r="AB2160" i="24"/>
  <c r="C2161" i="24"/>
  <c r="N2161" i="24"/>
  <c r="Q2161" i="24"/>
  <c r="R2161" i="24"/>
  <c r="W2161" i="24"/>
  <c r="AB2161" i="24"/>
  <c r="C2162" i="24"/>
  <c r="N2162" i="24"/>
  <c r="Q2162" i="24"/>
  <c r="R2162" i="24"/>
  <c r="W2162" i="24"/>
  <c r="AB2162" i="24"/>
  <c r="C2163" i="24"/>
  <c r="N2163" i="24"/>
  <c r="Q2163" i="24"/>
  <c r="R2163" i="24"/>
  <c r="W2163" i="24"/>
  <c r="AB2163" i="24"/>
  <c r="C2164" i="24"/>
  <c r="N2164" i="24"/>
  <c r="Q2164" i="24"/>
  <c r="R2164" i="24"/>
  <c r="W2164" i="24"/>
  <c r="AB2164" i="24"/>
  <c r="C2165" i="24"/>
  <c r="N2165" i="24"/>
  <c r="Q2165" i="24"/>
  <c r="R2165" i="24"/>
  <c r="W2165" i="24"/>
  <c r="AB2165" i="24"/>
  <c r="C2166" i="24"/>
  <c r="N2166" i="24"/>
  <c r="Q2166" i="24"/>
  <c r="R2166" i="24"/>
  <c r="W2166" i="24"/>
  <c r="AB2166" i="24"/>
  <c r="C2167" i="24"/>
  <c r="N2167" i="24"/>
  <c r="Q2167" i="24"/>
  <c r="R2167" i="24"/>
  <c r="W2167" i="24"/>
  <c r="AB2167" i="24"/>
  <c r="C2168" i="24"/>
  <c r="N2168" i="24"/>
  <c r="Q2168" i="24"/>
  <c r="R2168" i="24"/>
  <c r="W2168" i="24"/>
  <c r="AB2168" i="24"/>
  <c r="C2169" i="24"/>
  <c r="N2169" i="24"/>
  <c r="Q2169" i="24"/>
  <c r="R2169" i="24"/>
  <c r="W2169" i="24"/>
  <c r="AB2169" i="24"/>
  <c r="C2170" i="24"/>
  <c r="N2170" i="24"/>
  <c r="Q2170" i="24"/>
  <c r="R2170" i="24"/>
  <c r="W2170" i="24"/>
  <c r="AB2170" i="24"/>
  <c r="C2171" i="24"/>
  <c r="N2171" i="24"/>
  <c r="Q2171" i="24"/>
  <c r="R2171" i="24"/>
  <c r="W2171" i="24"/>
  <c r="AB2171" i="24"/>
  <c r="C2172" i="24"/>
  <c r="N2172" i="24"/>
  <c r="Q2172" i="24"/>
  <c r="R2172" i="24"/>
  <c r="W2172" i="24"/>
  <c r="AB2172" i="24"/>
  <c r="C2173" i="24"/>
  <c r="N2173" i="24"/>
  <c r="Q2173" i="24"/>
  <c r="R2173" i="24"/>
  <c r="W2173" i="24"/>
  <c r="AB2173" i="24"/>
  <c r="C2174" i="24"/>
  <c r="N2174" i="24"/>
  <c r="Q2174" i="24"/>
  <c r="R2174" i="24"/>
  <c r="W2174" i="24"/>
  <c r="AB2174" i="24"/>
  <c r="C2175" i="24"/>
  <c r="N2175" i="24"/>
  <c r="Q2175" i="24"/>
  <c r="R2175" i="24"/>
  <c r="W2175" i="24"/>
  <c r="AB2175" i="24"/>
  <c r="C2176" i="24"/>
  <c r="N2176" i="24"/>
  <c r="Q2176" i="24"/>
  <c r="R2176" i="24"/>
  <c r="W2176" i="24"/>
  <c r="AB2176" i="24"/>
  <c r="C2177" i="24"/>
  <c r="N2177" i="24"/>
  <c r="Q2177" i="24"/>
  <c r="R2177" i="24"/>
  <c r="W2177" i="24"/>
  <c r="AB2177" i="24"/>
  <c r="C2178" i="24"/>
  <c r="N2178" i="24"/>
  <c r="Q2178" i="24"/>
  <c r="R2178" i="24"/>
  <c r="W2178" i="24"/>
  <c r="AB2178" i="24"/>
  <c r="C2179" i="24"/>
  <c r="N2179" i="24"/>
  <c r="Q2179" i="24"/>
  <c r="R2179" i="24"/>
  <c r="W2179" i="24"/>
  <c r="AB2179" i="24"/>
  <c r="C2180" i="24"/>
  <c r="N2180" i="24"/>
  <c r="Q2180" i="24"/>
  <c r="R2180" i="24"/>
  <c r="W2180" i="24"/>
  <c r="AB2180" i="24"/>
  <c r="C2181" i="24"/>
  <c r="N2181" i="24"/>
  <c r="Q2181" i="24"/>
  <c r="R2181" i="24"/>
  <c r="W2181" i="24"/>
  <c r="AB2181" i="24"/>
  <c r="C2182" i="24"/>
  <c r="N2182" i="24"/>
  <c r="Q2182" i="24"/>
  <c r="R2182" i="24"/>
  <c r="W2182" i="24"/>
  <c r="AB2182" i="24"/>
  <c r="C2183" i="24"/>
  <c r="N2183" i="24"/>
  <c r="Q2183" i="24"/>
  <c r="R2183" i="24"/>
  <c r="W2183" i="24"/>
  <c r="AB2183" i="24"/>
  <c r="C2184" i="24"/>
  <c r="N2184" i="24"/>
  <c r="Q2184" i="24"/>
  <c r="R2184" i="24"/>
  <c r="W2184" i="24"/>
  <c r="AB2184" i="24"/>
  <c r="C2185" i="24"/>
  <c r="N2185" i="24"/>
  <c r="Q2185" i="24"/>
  <c r="R2185" i="24"/>
  <c r="W2185" i="24"/>
  <c r="AB2185" i="24"/>
  <c r="C2186" i="24"/>
  <c r="N2186" i="24"/>
  <c r="Q2186" i="24"/>
  <c r="R2186" i="24"/>
  <c r="W2186" i="24"/>
  <c r="AB2186" i="24"/>
  <c r="C2187" i="24"/>
  <c r="N2187" i="24"/>
  <c r="Q2187" i="24"/>
  <c r="R2187" i="24"/>
  <c r="W2187" i="24"/>
  <c r="AB2187" i="24"/>
  <c r="C2188" i="24"/>
  <c r="N2188" i="24"/>
  <c r="Q2188" i="24"/>
  <c r="R2188" i="24"/>
  <c r="W2188" i="24"/>
  <c r="AB2188" i="24"/>
  <c r="C2189" i="24"/>
  <c r="N2189" i="24"/>
  <c r="Q2189" i="24"/>
  <c r="R2189" i="24"/>
  <c r="W2189" i="24"/>
  <c r="AB2189" i="24"/>
  <c r="C2190" i="24"/>
  <c r="N2190" i="24"/>
  <c r="Q2190" i="24"/>
  <c r="R2190" i="24"/>
  <c r="W2190" i="24"/>
  <c r="AB2190" i="24"/>
  <c r="C2191" i="24"/>
  <c r="N2191" i="24"/>
  <c r="Q2191" i="24"/>
  <c r="R2191" i="24"/>
  <c r="W2191" i="24"/>
  <c r="AB2191" i="24"/>
  <c r="C2192" i="24"/>
  <c r="N2192" i="24"/>
  <c r="Q2192" i="24"/>
  <c r="R2192" i="24"/>
  <c r="W2192" i="24"/>
  <c r="AB2192" i="24"/>
  <c r="C2193" i="24"/>
  <c r="N2193" i="24"/>
  <c r="Q2193" i="24"/>
  <c r="R2193" i="24"/>
  <c r="W2193" i="24"/>
  <c r="AB2193" i="24"/>
  <c r="C2194" i="24"/>
  <c r="N2194" i="24"/>
  <c r="Q2194" i="24"/>
  <c r="R2194" i="24"/>
  <c r="W2194" i="24"/>
  <c r="AB2194" i="24"/>
  <c r="C2195" i="24"/>
  <c r="N2195" i="24"/>
  <c r="Q2195" i="24"/>
  <c r="R2195" i="24"/>
  <c r="W2195" i="24"/>
  <c r="AB2195" i="24"/>
  <c r="C2198" i="24"/>
  <c r="N2198" i="24"/>
  <c r="Q2198" i="24"/>
  <c r="R2198" i="24"/>
  <c r="W2198" i="24"/>
  <c r="AB2198" i="24"/>
  <c r="C2199" i="24"/>
  <c r="N2199" i="24"/>
  <c r="Q2199" i="24"/>
  <c r="R2199" i="24"/>
  <c r="W2199" i="24"/>
  <c r="AB2199" i="24"/>
  <c r="C2200" i="24"/>
  <c r="N2200" i="24"/>
  <c r="Q2200" i="24"/>
  <c r="R2200" i="24"/>
  <c r="W2200" i="24"/>
  <c r="AB2200" i="24"/>
  <c r="C2201" i="24"/>
  <c r="N2201" i="24"/>
  <c r="Q2201" i="24"/>
  <c r="R2201" i="24"/>
  <c r="W2201" i="24"/>
  <c r="AB2201" i="24"/>
  <c r="C2202" i="24"/>
  <c r="N2202" i="24"/>
  <c r="Q2202" i="24"/>
  <c r="R2202" i="24"/>
  <c r="W2202" i="24"/>
  <c r="AB2202" i="24"/>
  <c r="C2203" i="24"/>
  <c r="N2203" i="24"/>
  <c r="Q2203" i="24"/>
  <c r="R2203" i="24"/>
  <c r="W2203" i="24"/>
  <c r="AB2203" i="24"/>
  <c r="C2204" i="24"/>
  <c r="N2204" i="24"/>
  <c r="Q2204" i="24"/>
  <c r="R2204" i="24"/>
  <c r="W2204" i="24"/>
  <c r="AB2204" i="24"/>
  <c r="C2205" i="24"/>
  <c r="N2205" i="24"/>
  <c r="Q2205" i="24"/>
  <c r="R2205" i="24"/>
  <c r="W2205" i="24"/>
  <c r="AB2205" i="24"/>
  <c r="C2206" i="24"/>
  <c r="N2206" i="24"/>
  <c r="Q2206" i="24"/>
  <c r="R2206" i="24"/>
  <c r="W2206" i="24"/>
  <c r="AB2206" i="24"/>
  <c r="C2207" i="24"/>
  <c r="N2207" i="24"/>
  <c r="Q2207" i="24"/>
  <c r="R2207" i="24"/>
  <c r="W2207" i="24"/>
  <c r="AB2207" i="24"/>
  <c r="C2208" i="24"/>
  <c r="N2208" i="24"/>
  <c r="Q2208" i="24"/>
  <c r="R2208" i="24"/>
  <c r="W2208" i="24"/>
  <c r="AB2208" i="24"/>
  <c r="C2209" i="24"/>
  <c r="N2209" i="24"/>
  <c r="Q2209" i="24"/>
  <c r="R2209" i="24"/>
  <c r="W2209" i="24"/>
  <c r="AB2209" i="24"/>
  <c r="C2210" i="24"/>
  <c r="N2210" i="24"/>
  <c r="Q2210" i="24"/>
  <c r="R2210" i="24"/>
  <c r="W2210" i="24"/>
  <c r="AB2210" i="24"/>
  <c r="C2211" i="24"/>
  <c r="N2211" i="24"/>
  <c r="Q2211" i="24"/>
  <c r="R2211" i="24"/>
  <c r="W2211" i="24"/>
  <c r="AB2211" i="24"/>
  <c r="C2212" i="24"/>
  <c r="N2212" i="24"/>
  <c r="Q2212" i="24"/>
  <c r="R2212" i="24"/>
  <c r="W2212" i="24"/>
  <c r="AB2212" i="24"/>
  <c r="C2213" i="24"/>
  <c r="N2213" i="24"/>
  <c r="Q2213" i="24"/>
  <c r="R2213" i="24"/>
  <c r="W2213" i="24"/>
  <c r="AB2213" i="24"/>
  <c r="C2214" i="24"/>
  <c r="N2214" i="24"/>
  <c r="Q2214" i="24"/>
  <c r="R2214" i="24"/>
  <c r="W2214" i="24"/>
  <c r="AB2214" i="24"/>
  <c r="C2215" i="24"/>
  <c r="N2215" i="24"/>
  <c r="Q2215" i="24"/>
  <c r="R2215" i="24"/>
  <c r="W2215" i="24"/>
  <c r="AB2215" i="24"/>
  <c r="C2216" i="24"/>
  <c r="N2216" i="24"/>
  <c r="Q2216" i="24"/>
  <c r="R2216" i="24"/>
  <c r="W2216" i="24"/>
  <c r="AB2216" i="24"/>
  <c r="C2217" i="24"/>
  <c r="N2217" i="24"/>
  <c r="Q2217" i="24"/>
  <c r="R2217" i="24"/>
  <c r="W2217" i="24"/>
  <c r="AB2217" i="24"/>
  <c r="C2218" i="24"/>
  <c r="N2218" i="24"/>
  <c r="Q2218" i="24"/>
  <c r="R2218" i="24"/>
  <c r="W2218" i="24"/>
  <c r="AB2218" i="24"/>
  <c r="C2219" i="24"/>
  <c r="N2219" i="24"/>
  <c r="Q2219" i="24"/>
  <c r="R2219" i="24"/>
  <c r="W2219" i="24"/>
  <c r="AB2219" i="24"/>
  <c r="C2220" i="24"/>
  <c r="N2220" i="24"/>
  <c r="Q2220" i="24"/>
  <c r="R2220" i="24"/>
  <c r="W2220" i="24"/>
  <c r="AB2220" i="24"/>
  <c r="C2221" i="24"/>
  <c r="N2221" i="24"/>
  <c r="Q2221" i="24"/>
  <c r="R2221" i="24"/>
  <c r="W2221" i="24"/>
  <c r="AB2221" i="24"/>
  <c r="C2222" i="24"/>
  <c r="N2222" i="24"/>
  <c r="Q2222" i="24"/>
  <c r="R2222" i="24"/>
  <c r="W2222" i="24"/>
  <c r="AB2222" i="24"/>
  <c r="C2223" i="24"/>
  <c r="N2223" i="24"/>
  <c r="Q2223" i="24"/>
  <c r="R2223" i="24"/>
  <c r="W2223" i="24"/>
  <c r="AB2223" i="24"/>
  <c r="C2224" i="24"/>
  <c r="N2224" i="24"/>
  <c r="Q2224" i="24"/>
  <c r="R2224" i="24"/>
  <c r="W2224" i="24"/>
  <c r="AB2224" i="24"/>
  <c r="C2225" i="24"/>
  <c r="N2225" i="24"/>
  <c r="Q2225" i="24"/>
  <c r="R2225" i="24"/>
  <c r="W2225" i="24"/>
  <c r="AB2225" i="24"/>
  <c r="C2226" i="24"/>
  <c r="N2226" i="24"/>
  <c r="Q2226" i="24"/>
  <c r="R2226" i="24"/>
  <c r="W2226" i="24"/>
  <c r="AB2226" i="24"/>
  <c r="C2227" i="24"/>
  <c r="N2227" i="24"/>
  <c r="Q2227" i="24"/>
  <c r="R2227" i="24"/>
  <c r="W2227" i="24"/>
  <c r="AB2227" i="24"/>
  <c r="C2228" i="24"/>
  <c r="N2228" i="24"/>
  <c r="Q2228" i="24"/>
  <c r="R2228" i="24"/>
  <c r="W2228" i="24"/>
  <c r="AB2228" i="24"/>
  <c r="C2229" i="24"/>
  <c r="N2229" i="24"/>
  <c r="Q2229" i="24"/>
  <c r="R2229" i="24"/>
  <c r="W2229" i="24"/>
  <c r="AB2229" i="24"/>
  <c r="C2230" i="24"/>
  <c r="N2230" i="24"/>
  <c r="Q2230" i="24"/>
  <c r="R2230" i="24"/>
  <c r="W2230" i="24"/>
  <c r="AB2230" i="24"/>
  <c r="C2231" i="24"/>
  <c r="N2231" i="24"/>
  <c r="Q2231" i="24"/>
  <c r="R2231" i="24"/>
  <c r="W2231" i="24"/>
  <c r="AB2231" i="24"/>
  <c r="C2232" i="24"/>
  <c r="N2232" i="24"/>
  <c r="Q2232" i="24"/>
  <c r="R2232" i="24"/>
  <c r="W2232" i="24"/>
  <c r="AB2232" i="24"/>
  <c r="C2233" i="24"/>
  <c r="N2233" i="24"/>
  <c r="Q2233" i="24"/>
  <c r="R2233" i="24"/>
  <c r="W2233" i="24"/>
  <c r="AB2233" i="24"/>
  <c r="C2234" i="24"/>
  <c r="N2234" i="24"/>
  <c r="Q2234" i="24"/>
  <c r="R2234" i="24"/>
  <c r="W2234" i="24"/>
  <c r="AB2234" i="24"/>
  <c r="C2235" i="24"/>
  <c r="N2235" i="24"/>
  <c r="Q2235" i="24"/>
  <c r="R2235" i="24"/>
  <c r="W2235" i="24"/>
  <c r="AB2235" i="24"/>
  <c r="C2236" i="24"/>
  <c r="N2236" i="24"/>
  <c r="Q2236" i="24"/>
  <c r="R2236" i="24"/>
  <c r="W2236" i="24"/>
  <c r="AB2236" i="24"/>
  <c r="C2237" i="24"/>
  <c r="N2237" i="24"/>
  <c r="Q2237" i="24"/>
  <c r="R2237" i="24"/>
  <c r="W2237" i="24"/>
  <c r="AB2237" i="24"/>
  <c r="C2238" i="24"/>
  <c r="N2238" i="24"/>
  <c r="Q2238" i="24"/>
  <c r="R2238" i="24"/>
  <c r="W2238" i="24"/>
  <c r="AB2238" i="24"/>
  <c r="C2239" i="24"/>
  <c r="N2239" i="24"/>
  <c r="Q2239" i="24"/>
  <c r="R2239" i="24"/>
  <c r="W2239" i="24"/>
  <c r="AB2239" i="24"/>
  <c r="C2240" i="24"/>
  <c r="N2240" i="24"/>
  <c r="Q2240" i="24"/>
  <c r="R2240" i="24"/>
  <c r="W2240" i="24"/>
  <c r="AB2240" i="24"/>
  <c r="C2241" i="24"/>
  <c r="N2241" i="24"/>
  <c r="Q2241" i="24"/>
  <c r="R2241" i="24"/>
  <c r="W2241" i="24"/>
  <c r="AB2241" i="24"/>
  <c r="C2242" i="24"/>
  <c r="N2242" i="24"/>
  <c r="Q2242" i="24"/>
  <c r="R2242" i="24"/>
  <c r="W2242" i="24"/>
  <c r="AB2242" i="24"/>
  <c r="C2243" i="24"/>
  <c r="N2243" i="24"/>
  <c r="Q2243" i="24"/>
  <c r="R2243" i="24"/>
  <c r="W2243" i="24"/>
  <c r="AB2243" i="24"/>
  <c r="C2244" i="24"/>
  <c r="N2244" i="24"/>
  <c r="Q2244" i="24"/>
  <c r="R2244" i="24"/>
  <c r="W2244" i="24"/>
  <c r="AB2244" i="24"/>
  <c r="C2245" i="24"/>
  <c r="N2245" i="24"/>
  <c r="Q2245" i="24"/>
  <c r="R2245" i="24"/>
  <c r="W2245" i="24"/>
  <c r="AB2245" i="24"/>
  <c r="C2246" i="24"/>
  <c r="N2246" i="24"/>
  <c r="Q2246" i="24"/>
  <c r="R2246" i="24"/>
  <c r="W2246" i="24"/>
  <c r="AB2246" i="24"/>
  <c r="C2247" i="24"/>
  <c r="N2247" i="24"/>
  <c r="Q2247" i="24"/>
  <c r="R2247" i="24"/>
  <c r="W2247" i="24"/>
  <c r="AB2247" i="24"/>
  <c r="C2248" i="24"/>
  <c r="N2248" i="24"/>
  <c r="Q2248" i="24"/>
  <c r="R2248" i="24"/>
  <c r="W2248" i="24"/>
  <c r="AB2248" i="24"/>
  <c r="C2249" i="24"/>
  <c r="N2249" i="24"/>
  <c r="Q2249" i="24"/>
  <c r="R2249" i="24"/>
  <c r="W2249" i="24"/>
  <c r="AB2249" i="24"/>
  <c r="C2250" i="24"/>
  <c r="N2250" i="24"/>
  <c r="Q2250" i="24"/>
  <c r="R2250" i="24"/>
  <c r="W2250" i="24"/>
  <c r="AB2250" i="24"/>
  <c r="C2251" i="24"/>
  <c r="N2251" i="24"/>
  <c r="Q2251" i="24"/>
  <c r="R2251" i="24"/>
  <c r="W2251" i="24"/>
  <c r="AB2251" i="24"/>
  <c r="C2252" i="24"/>
  <c r="N2252" i="24"/>
  <c r="Q2252" i="24"/>
  <c r="R2252" i="24"/>
  <c r="W2252" i="24"/>
  <c r="AB2252" i="24"/>
  <c r="C2253" i="24"/>
  <c r="N2253" i="24"/>
  <c r="Q2253" i="24"/>
  <c r="R2253" i="24"/>
  <c r="W2253" i="24"/>
  <c r="AB2253" i="24"/>
  <c r="C2254" i="24"/>
  <c r="N2254" i="24"/>
  <c r="Q2254" i="24"/>
  <c r="R2254" i="24"/>
  <c r="W2254" i="24"/>
  <c r="AB2254" i="24"/>
  <c r="C2255" i="24"/>
  <c r="N2255" i="24"/>
  <c r="Q2255" i="24"/>
  <c r="R2255" i="24"/>
  <c r="W2255" i="24"/>
  <c r="AB2255" i="24"/>
  <c r="C2256" i="24"/>
  <c r="N2256" i="24"/>
  <c r="Q2256" i="24"/>
  <c r="R2256" i="24"/>
  <c r="W2256" i="24"/>
  <c r="AB2256" i="24"/>
  <c r="C2257" i="24"/>
  <c r="N2257" i="24"/>
  <c r="Q2257" i="24"/>
  <c r="R2257" i="24"/>
  <c r="W2257" i="24"/>
  <c r="AB2257" i="24"/>
  <c r="C2258" i="24"/>
  <c r="N2258" i="24"/>
  <c r="Q2258" i="24"/>
  <c r="R2258" i="24"/>
  <c r="W2258" i="24"/>
  <c r="AB2258" i="24"/>
  <c r="C2259" i="24"/>
  <c r="N2259" i="24"/>
  <c r="Q2259" i="24"/>
  <c r="R2259" i="24"/>
  <c r="W2259" i="24"/>
  <c r="AB2259" i="24"/>
  <c r="C2260" i="24"/>
  <c r="N2260" i="24"/>
  <c r="Q2260" i="24"/>
  <c r="R2260" i="24"/>
  <c r="W2260" i="24"/>
  <c r="AB2260" i="24"/>
  <c r="C2261" i="24"/>
  <c r="N2261" i="24"/>
  <c r="Q2261" i="24"/>
  <c r="R2261" i="24"/>
  <c r="W2261" i="24"/>
  <c r="AB2261" i="24"/>
  <c r="C2262" i="24"/>
  <c r="N2262" i="24"/>
  <c r="Q2262" i="24"/>
  <c r="R2262" i="24"/>
  <c r="W2262" i="24"/>
  <c r="AB2262" i="24"/>
  <c r="C2263" i="24"/>
  <c r="N2263" i="24"/>
  <c r="Q2263" i="24"/>
  <c r="R2263" i="24"/>
  <c r="W2263" i="24"/>
  <c r="AB2263" i="24"/>
  <c r="C2264" i="24"/>
  <c r="N2264" i="24"/>
  <c r="Q2264" i="24"/>
  <c r="R2264" i="24"/>
  <c r="W2264" i="24"/>
  <c r="AB2264" i="24"/>
  <c r="C2265" i="24"/>
  <c r="N2265" i="24"/>
  <c r="Q2265" i="24"/>
  <c r="R2265" i="24"/>
  <c r="W2265" i="24"/>
  <c r="AB2265" i="24"/>
  <c r="C2266" i="24"/>
  <c r="N2266" i="24"/>
  <c r="Q2266" i="24"/>
  <c r="R2266" i="24"/>
  <c r="W2266" i="24"/>
  <c r="AB2266" i="24"/>
  <c r="C2267" i="24"/>
  <c r="N2267" i="24"/>
  <c r="Q2267" i="24"/>
  <c r="R2267" i="24"/>
  <c r="W2267" i="24"/>
  <c r="AB2267" i="24"/>
  <c r="C2268" i="24"/>
  <c r="N2268" i="24"/>
  <c r="Q2268" i="24"/>
  <c r="R2268" i="24"/>
  <c r="W2268" i="24"/>
  <c r="AB2268" i="24"/>
  <c r="C2269" i="24"/>
  <c r="N2269" i="24"/>
  <c r="Q2269" i="24"/>
  <c r="R2269" i="24"/>
  <c r="W2269" i="24"/>
  <c r="AB2269" i="24"/>
  <c r="C2270" i="24"/>
  <c r="N2270" i="24"/>
  <c r="Q2270" i="24"/>
  <c r="R2270" i="24"/>
  <c r="W2270" i="24"/>
  <c r="AB2270" i="24"/>
  <c r="C2271" i="24"/>
  <c r="N2271" i="24"/>
  <c r="Q2271" i="24"/>
  <c r="R2271" i="24"/>
  <c r="W2271" i="24"/>
  <c r="AB2271" i="24"/>
  <c r="C2272" i="24"/>
  <c r="N2272" i="24"/>
  <c r="Q2272" i="24"/>
  <c r="R2272" i="24"/>
  <c r="W2272" i="24"/>
  <c r="AB2272" i="24"/>
  <c r="C2273" i="24"/>
  <c r="N2273" i="24"/>
  <c r="Q2273" i="24"/>
  <c r="R2273" i="24"/>
  <c r="W2273" i="24"/>
  <c r="AB2273" i="24"/>
  <c r="C2274" i="24"/>
  <c r="N2274" i="24"/>
  <c r="Q2274" i="24"/>
  <c r="R2274" i="24"/>
  <c r="W2274" i="24"/>
  <c r="AB2274" i="24"/>
  <c r="C2275" i="24"/>
  <c r="N2275" i="24"/>
  <c r="Q2275" i="24"/>
  <c r="R2275" i="24"/>
  <c r="W2275" i="24"/>
  <c r="AB2275" i="24"/>
  <c r="C2276" i="24"/>
  <c r="N2276" i="24"/>
  <c r="Q2276" i="24"/>
  <c r="R2276" i="24"/>
  <c r="W2276" i="24"/>
  <c r="AB2276" i="24"/>
  <c r="C2277" i="24"/>
  <c r="N2277" i="24"/>
  <c r="Q2277" i="24"/>
  <c r="R2277" i="24"/>
  <c r="W2277" i="24"/>
  <c r="AB2277" i="24"/>
  <c r="C2278" i="24"/>
  <c r="N2278" i="24"/>
  <c r="Q2278" i="24"/>
  <c r="R2278" i="24"/>
  <c r="W2278" i="24"/>
  <c r="AB2278" i="24"/>
  <c r="C2279" i="24"/>
  <c r="N2279" i="24"/>
  <c r="Q2279" i="24"/>
  <c r="R2279" i="24"/>
  <c r="W2279" i="24"/>
  <c r="AB2279" i="24"/>
  <c r="C2280" i="24"/>
  <c r="N2280" i="24"/>
  <c r="Q2280" i="24"/>
  <c r="R2280" i="24"/>
  <c r="W2280" i="24"/>
  <c r="AB2280" i="24"/>
  <c r="C2281" i="24"/>
  <c r="N2281" i="24"/>
  <c r="Q2281" i="24"/>
  <c r="R2281" i="24"/>
  <c r="W2281" i="24"/>
  <c r="AB2281" i="24"/>
  <c r="C2282" i="24"/>
  <c r="N2282" i="24"/>
  <c r="Q2282" i="24"/>
  <c r="R2282" i="24"/>
  <c r="W2282" i="24"/>
  <c r="AB2282" i="24"/>
  <c r="C2283" i="24"/>
  <c r="N2283" i="24"/>
  <c r="Q2283" i="24"/>
  <c r="R2283" i="24"/>
  <c r="W2283" i="24"/>
  <c r="AB2283" i="24"/>
  <c r="C2284" i="24"/>
  <c r="N2284" i="24"/>
  <c r="Q2284" i="24"/>
  <c r="R2284" i="24"/>
  <c r="W2284" i="24"/>
  <c r="AB2284" i="24"/>
  <c r="C2285" i="24"/>
  <c r="N2285" i="24"/>
  <c r="Q2285" i="24"/>
  <c r="R2285" i="24"/>
  <c r="W2285" i="24"/>
  <c r="AB2285" i="24"/>
  <c r="C2286" i="24"/>
  <c r="N2286" i="24"/>
  <c r="Q2286" i="24"/>
  <c r="R2286" i="24"/>
  <c r="W2286" i="24"/>
  <c r="AB2286" i="24"/>
  <c r="C2287" i="24"/>
  <c r="N2287" i="24"/>
  <c r="Q2287" i="24"/>
  <c r="R2287" i="24"/>
  <c r="W2287" i="24"/>
  <c r="AB2287" i="24"/>
  <c r="C2288" i="24"/>
  <c r="N2288" i="24"/>
  <c r="Q2288" i="24"/>
  <c r="R2288" i="24"/>
  <c r="W2288" i="24"/>
  <c r="AB2288" i="24"/>
  <c r="C2289" i="24"/>
  <c r="N2289" i="24"/>
  <c r="Q2289" i="24"/>
  <c r="R2289" i="24"/>
  <c r="W2289" i="24"/>
  <c r="AB2289" i="24"/>
  <c r="C2290" i="24"/>
  <c r="N2290" i="24"/>
  <c r="Q2290" i="24"/>
  <c r="R2290" i="24"/>
  <c r="W2290" i="24"/>
  <c r="AB2290" i="24"/>
  <c r="C2291" i="24"/>
  <c r="N2291" i="24"/>
  <c r="Q2291" i="24"/>
  <c r="R2291" i="24"/>
  <c r="W2291" i="24"/>
  <c r="AB2291" i="24"/>
  <c r="C2292" i="24"/>
  <c r="N2292" i="24"/>
  <c r="Q2292" i="24"/>
  <c r="R2292" i="24"/>
  <c r="W2292" i="24"/>
  <c r="AB2292" i="24"/>
  <c r="C2293" i="24"/>
  <c r="N2293" i="24"/>
  <c r="Q2293" i="24"/>
  <c r="R2293" i="24"/>
  <c r="W2293" i="24"/>
  <c r="AB2293" i="24"/>
  <c r="C2294" i="24"/>
  <c r="N2294" i="24"/>
  <c r="Q2294" i="24"/>
  <c r="R2294" i="24"/>
  <c r="W2294" i="24"/>
  <c r="AB2294" i="24"/>
  <c r="C2295" i="24"/>
  <c r="N2295" i="24"/>
  <c r="Q2295" i="24"/>
  <c r="R2295" i="24"/>
  <c r="W2295" i="24"/>
  <c r="AB2295" i="24"/>
  <c r="C2296" i="24"/>
  <c r="N2296" i="24"/>
  <c r="Q2296" i="24"/>
  <c r="R2296" i="24"/>
  <c r="W2296" i="24"/>
  <c r="AB2296" i="24"/>
  <c r="C2297" i="24"/>
  <c r="N2297" i="24"/>
  <c r="Q2297" i="24"/>
  <c r="R2297" i="24"/>
  <c r="W2297" i="24"/>
  <c r="AB2297" i="24"/>
  <c r="C2298" i="24"/>
  <c r="N2298" i="24"/>
  <c r="Q2298" i="24"/>
  <c r="R2298" i="24"/>
  <c r="W2298" i="24"/>
  <c r="AB2298" i="24"/>
  <c r="C2299" i="24"/>
  <c r="N2299" i="24"/>
  <c r="Q2299" i="24"/>
  <c r="R2299" i="24"/>
  <c r="W2299" i="24"/>
  <c r="AB2299" i="24"/>
  <c r="C2300" i="24"/>
  <c r="N2300" i="24"/>
  <c r="Q2300" i="24"/>
  <c r="R2300" i="24"/>
  <c r="W2300" i="24"/>
  <c r="AB2300" i="24"/>
  <c r="C2301" i="24"/>
  <c r="N2301" i="24"/>
  <c r="Q2301" i="24"/>
  <c r="R2301" i="24"/>
  <c r="W2301" i="24"/>
  <c r="AB2301" i="24"/>
  <c r="C2302" i="24"/>
  <c r="N2302" i="24"/>
  <c r="Q2302" i="24"/>
  <c r="R2302" i="24"/>
  <c r="W2302" i="24"/>
  <c r="AB2302" i="24"/>
  <c r="C2303" i="24"/>
  <c r="N2303" i="24"/>
  <c r="Q2303" i="24"/>
  <c r="R2303" i="24"/>
  <c r="W2303" i="24"/>
  <c r="AB2303" i="24"/>
  <c r="C2304" i="24"/>
  <c r="N2304" i="24"/>
  <c r="Q2304" i="24"/>
  <c r="R2304" i="24"/>
  <c r="W2304" i="24"/>
  <c r="AB2304" i="24"/>
  <c r="C2305" i="24"/>
  <c r="N2305" i="24"/>
  <c r="Q2305" i="24"/>
  <c r="R2305" i="24"/>
  <c r="W2305" i="24"/>
  <c r="AB2305" i="24"/>
  <c r="C2306" i="24"/>
  <c r="N2306" i="24"/>
  <c r="Q2306" i="24"/>
  <c r="R2306" i="24"/>
  <c r="W2306" i="24"/>
  <c r="AB2306" i="24"/>
  <c r="C2307" i="24"/>
  <c r="N2307" i="24"/>
  <c r="Q2307" i="24"/>
  <c r="R2307" i="24"/>
  <c r="W2307" i="24"/>
  <c r="AB2307" i="24"/>
  <c r="C2308" i="24"/>
  <c r="N2308" i="24"/>
  <c r="Q2308" i="24"/>
  <c r="R2308" i="24"/>
  <c r="W2308" i="24"/>
  <c r="AB2308" i="24"/>
  <c r="C2309" i="24"/>
  <c r="N2309" i="24"/>
  <c r="Q2309" i="24"/>
  <c r="R2309" i="24"/>
  <c r="W2309" i="24"/>
  <c r="AB2309" i="24"/>
  <c r="C2310" i="24"/>
  <c r="N2310" i="24"/>
  <c r="Q2310" i="24"/>
  <c r="R2310" i="24"/>
  <c r="W2310" i="24"/>
  <c r="AB2310" i="24"/>
  <c r="C2311" i="24"/>
  <c r="N2311" i="24"/>
  <c r="Q2311" i="24"/>
  <c r="R2311" i="24"/>
  <c r="W2311" i="24"/>
  <c r="AB2311" i="24"/>
  <c r="C2312" i="24"/>
  <c r="N2312" i="24"/>
  <c r="Q2312" i="24"/>
  <c r="R2312" i="24"/>
  <c r="W2312" i="24"/>
  <c r="AB2312" i="24"/>
  <c r="C2313" i="24"/>
  <c r="N2313" i="24"/>
  <c r="Q2313" i="24"/>
  <c r="R2313" i="24"/>
  <c r="W2313" i="24"/>
  <c r="AB2313" i="24"/>
  <c r="C2314" i="24"/>
  <c r="N2314" i="24"/>
  <c r="Q2314" i="24"/>
  <c r="R2314" i="24"/>
  <c r="W2314" i="24"/>
  <c r="AB2314" i="24"/>
  <c r="C2315" i="24"/>
  <c r="N2315" i="24"/>
  <c r="Q2315" i="24"/>
  <c r="R2315" i="24"/>
  <c r="W2315" i="24"/>
  <c r="AB2315" i="24"/>
  <c r="C2316" i="24"/>
  <c r="N2316" i="24"/>
  <c r="Q2316" i="24"/>
  <c r="R2316" i="24"/>
  <c r="W2316" i="24"/>
  <c r="AB2316" i="24"/>
  <c r="C2317" i="24"/>
  <c r="N2317" i="24"/>
  <c r="Q2317" i="24"/>
  <c r="R2317" i="24"/>
  <c r="W2317" i="24"/>
  <c r="AB2317" i="24"/>
  <c r="C2318" i="24"/>
  <c r="N2318" i="24"/>
  <c r="Q2318" i="24"/>
  <c r="R2318" i="24"/>
  <c r="W2318" i="24"/>
  <c r="AB2318" i="24"/>
  <c r="C2319" i="24"/>
  <c r="N2319" i="24"/>
  <c r="Q2319" i="24"/>
  <c r="R2319" i="24"/>
  <c r="W2319" i="24"/>
  <c r="AB2319" i="24"/>
  <c r="C2320" i="24"/>
  <c r="N2320" i="24"/>
  <c r="Q2320" i="24"/>
  <c r="R2320" i="24"/>
  <c r="W2320" i="24"/>
  <c r="AB2320" i="24"/>
  <c r="C2321" i="24"/>
  <c r="N2321" i="24"/>
  <c r="Q2321" i="24"/>
  <c r="R2321" i="24"/>
  <c r="W2321" i="24"/>
  <c r="AB2321" i="24"/>
  <c r="C2322" i="24"/>
  <c r="N2322" i="24"/>
  <c r="Q2322" i="24"/>
  <c r="R2322" i="24"/>
  <c r="W2322" i="24"/>
  <c r="AB2322" i="24"/>
  <c r="C2323" i="24"/>
  <c r="N2323" i="24"/>
  <c r="Q2323" i="24"/>
  <c r="R2323" i="24"/>
  <c r="W2323" i="24"/>
  <c r="AB2323" i="24"/>
  <c r="C2324" i="24"/>
  <c r="N2324" i="24"/>
  <c r="Q2324" i="24"/>
  <c r="R2324" i="24"/>
  <c r="W2324" i="24"/>
  <c r="AB2324" i="24"/>
  <c r="C2325" i="24"/>
  <c r="N2325" i="24"/>
  <c r="Q2325" i="24"/>
  <c r="R2325" i="24"/>
  <c r="W2325" i="24"/>
  <c r="AB2325" i="24"/>
  <c r="C2326" i="24"/>
  <c r="N2326" i="24"/>
  <c r="Q2326" i="24"/>
  <c r="R2326" i="24"/>
  <c r="W2326" i="24"/>
  <c r="AB2326" i="24"/>
  <c r="C2327" i="24"/>
  <c r="N2327" i="24"/>
  <c r="Q2327" i="24"/>
  <c r="R2327" i="24"/>
  <c r="W2327" i="24"/>
  <c r="AB2327" i="24"/>
  <c r="C2328" i="24"/>
  <c r="N2328" i="24"/>
  <c r="Q2328" i="24"/>
  <c r="R2328" i="24"/>
  <c r="W2328" i="24"/>
  <c r="AB2328" i="24"/>
  <c r="C2329" i="24"/>
  <c r="N2329" i="24"/>
  <c r="Q2329" i="24"/>
  <c r="R2329" i="24"/>
  <c r="W2329" i="24"/>
  <c r="AB2329" i="24"/>
  <c r="C2330" i="24"/>
  <c r="N2330" i="24"/>
  <c r="Q2330" i="24"/>
  <c r="R2330" i="24"/>
  <c r="W2330" i="24"/>
  <c r="AB2330" i="24"/>
  <c r="C2331" i="24"/>
  <c r="N2331" i="24"/>
  <c r="Q2331" i="24"/>
  <c r="R2331" i="24"/>
  <c r="W2331" i="24"/>
  <c r="AB2331" i="24"/>
  <c r="C2332" i="24"/>
  <c r="N2332" i="24"/>
  <c r="Q2332" i="24"/>
  <c r="R2332" i="24"/>
  <c r="W2332" i="24"/>
  <c r="AB2332" i="24"/>
  <c r="C2333" i="24"/>
  <c r="N2333" i="24"/>
  <c r="Q2333" i="24"/>
  <c r="R2333" i="24"/>
  <c r="W2333" i="24"/>
  <c r="AB2333" i="24"/>
  <c r="C2334" i="24"/>
  <c r="N2334" i="24"/>
  <c r="Q2334" i="24"/>
  <c r="R2334" i="24"/>
  <c r="W2334" i="24"/>
  <c r="AB2334" i="24"/>
  <c r="C2335" i="24"/>
  <c r="N2335" i="24"/>
  <c r="Q2335" i="24"/>
  <c r="R2335" i="24"/>
  <c r="W2335" i="24"/>
  <c r="AB2335" i="24"/>
  <c r="C2336" i="24"/>
  <c r="N2336" i="24"/>
  <c r="Q2336" i="24"/>
  <c r="R2336" i="24"/>
  <c r="W2336" i="24"/>
  <c r="AB2336" i="24"/>
  <c r="C2337" i="24"/>
  <c r="N2337" i="24"/>
  <c r="Q2337" i="24"/>
  <c r="R2337" i="24"/>
  <c r="W2337" i="24"/>
  <c r="AB2337" i="24"/>
  <c r="C2338" i="24"/>
  <c r="N2338" i="24"/>
  <c r="Q2338" i="24"/>
  <c r="R2338" i="24"/>
  <c r="W2338" i="24"/>
  <c r="AB2338" i="24"/>
  <c r="C2339" i="24"/>
  <c r="N2339" i="24"/>
  <c r="Q2339" i="24"/>
  <c r="R2339" i="24"/>
  <c r="W2339" i="24"/>
  <c r="AB2339" i="24"/>
  <c r="C2340" i="24"/>
  <c r="N2340" i="24"/>
  <c r="Q2340" i="24"/>
  <c r="R2340" i="24"/>
  <c r="W2340" i="24"/>
  <c r="AB2340" i="24"/>
  <c r="C2341" i="24"/>
  <c r="N2341" i="24"/>
  <c r="Q2341" i="24"/>
  <c r="R2341" i="24"/>
  <c r="W2341" i="24"/>
  <c r="AB2341" i="24"/>
  <c r="C2352" i="24"/>
  <c r="N2352" i="24"/>
  <c r="Q2352" i="24"/>
  <c r="R2352" i="24"/>
  <c r="W2352" i="24"/>
  <c r="AB2352" i="24"/>
  <c r="C2353" i="24"/>
  <c r="N2353" i="24"/>
  <c r="Q2353" i="24"/>
  <c r="R2353" i="24"/>
  <c r="W2353" i="24"/>
  <c r="AB2353" i="24"/>
  <c r="C2354" i="24"/>
  <c r="N2354" i="24"/>
  <c r="Q2354" i="24"/>
  <c r="R2354" i="24"/>
  <c r="W2354" i="24"/>
  <c r="AB2354" i="24"/>
  <c r="C2355" i="24"/>
  <c r="N2355" i="24"/>
  <c r="Q2355" i="24"/>
  <c r="R2355" i="24"/>
  <c r="W2355" i="24"/>
  <c r="AB2355" i="24"/>
  <c r="C2356" i="24"/>
  <c r="N2356" i="24"/>
  <c r="Q2356" i="24"/>
  <c r="R2356" i="24"/>
  <c r="W2356" i="24"/>
  <c r="AB2356" i="24"/>
  <c r="C2357" i="24"/>
  <c r="N2357" i="24"/>
  <c r="Q2357" i="24"/>
  <c r="R2357" i="24"/>
  <c r="W2357" i="24"/>
  <c r="AB2357" i="24"/>
  <c r="C2358" i="24"/>
  <c r="N2358" i="24"/>
  <c r="Q2358" i="24"/>
  <c r="R2358" i="24"/>
  <c r="W2358" i="24"/>
  <c r="AB2358" i="24"/>
  <c r="C2359" i="24"/>
  <c r="N2359" i="24"/>
  <c r="Q2359" i="24"/>
  <c r="R2359" i="24"/>
  <c r="W2359" i="24"/>
  <c r="AB2359" i="24"/>
  <c r="C2360" i="24"/>
  <c r="N2360" i="24"/>
  <c r="Q2360" i="24"/>
  <c r="R2360" i="24"/>
  <c r="W2360" i="24"/>
  <c r="AB2360" i="24"/>
  <c r="C2361" i="24"/>
  <c r="N2361" i="24"/>
  <c r="Q2361" i="24"/>
  <c r="R2361" i="24"/>
  <c r="W2361" i="24"/>
  <c r="AB2361" i="24"/>
  <c r="C2362" i="24"/>
  <c r="N2362" i="24"/>
  <c r="Q2362" i="24"/>
  <c r="R2362" i="24"/>
  <c r="W2362" i="24"/>
  <c r="AB2362" i="24"/>
  <c r="C2363" i="24"/>
  <c r="N2363" i="24"/>
  <c r="Q2363" i="24"/>
  <c r="R2363" i="24"/>
  <c r="W2363" i="24"/>
  <c r="AB2363" i="24"/>
  <c r="C2364" i="24"/>
  <c r="N2364" i="24"/>
  <c r="Q2364" i="24"/>
  <c r="R2364" i="24"/>
  <c r="W2364" i="24"/>
  <c r="AB2364" i="24"/>
  <c r="C2365" i="24"/>
  <c r="N2365" i="24"/>
  <c r="Q2365" i="24"/>
  <c r="R2365" i="24"/>
  <c r="W2365" i="24"/>
  <c r="AB2365" i="24"/>
  <c r="C2366" i="24"/>
  <c r="N2366" i="24"/>
  <c r="Q2366" i="24"/>
  <c r="R2366" i="24"/>
  <c r="W2366" i="24"/>
  <c r="AB2366" i="24"/>
  <c r="C2367" i="24"/>
  <c r="N2367" i="24"/>
  <c r="Q2367" i="24"/>
  <c r="R2367" i="24"/>
  <c r="W2367" i="24"/>
  <c r="AB2367" i="24"/>
  <c r="C2368" i="24"/>
  <c r="N2368" i="24"/>
  <c r="Q2368" i="24"/>
  <c r="R2368" i="24"/>
  <c r="W2368" i="24"/>
  <c r="AB2368" i="24"/>
  <c r="C2369" i="24"/>
  <c r="N2369" i="24"/>
  <c r="Q2369" i="24"/>
  <c r="R2369" i="24"/>
  <c r="W2369" i="24"/>
  <c r="AB2369" i="24"/>
  <c r="C2370" i="24"/>
  <c r="N2370" i="24"/>
  <c r="Q2370" i="24"/>
  <c r="R2370" i="24"/>
  <c r="W2370" i="24"/>
  <c r="AB2370" i="24"/>
  <c r="C2371" i="24"/>
  <c r="N2371" i="24"/>
  <c r="Q2371" i="24"/>
  <c r="R2371" i="24"/>
  <c r="W2371" i="24"/>
  <c r="AB2371" i="24"/>
  <c r="C2372" i="24"/>
  <c r="N2372" i="24"/>
  <c r="Q2372" i="24"/>
  <c r="R2372" i="24"/>
  <c r="W2372" i="24"/>
  <c r="AB2372" i="24"/>
  <c r="C2373" i="24"/>
  <c r="N2373" i="24"/>
  <c r="Q2373" i="24"/>
  <c r="R2373" i="24"/>
  <c r="W2373" i="24"/>
  <c r="AB2373" i="24"/>
  <c r="C2374" i="24"/>
  <c r="N2374" i="24"/>
  <c r="Q2374" i="24"/>
  <c r="R2374" i="24"/>
  <c r="W2374" i="24"/>
  <c r="AB2374" i="24"/>
  <c r="C2375" i="24"/>
  <c r="N2375" i="24"/>
  <c r="Q2375" i="24"/>
  <c r="R2375" i="24"/>
  <c r="W2375" i="24"/>
  <c r="AB2375" i="24"/>
  <c r="C2376" i="24"/>
  <c r="N2376" i="24"/>
  <c r="Q2376" i="24"/>
  <c r="R2376" i="24"/>
  <c r="W2376" i="24"/>
  <c r="AB2376" i="24"/>
  <c r="C2377" i="24"/>
  <c r="N2377" i="24"/>
  <c r="Q2377" i="24"/>
  <c r="R2377" i="24"/>
  <c r="W2377" i="24"/>
  <c r="AB2377" i="24"/>
  <c r="C2378" i="24"/>
  <c r="N2378" i="24"/>
  <c r="Q2378" i="24"/>
  <c r="R2378" i="24"/>
  <c r="W2378" i="24"/>
  <c r="AB2378" i="24"/>
  <c r="C2379" i="24"/>
  <c r="N2379" i="24"/>
  <c r="Q2379" i="24"/>
  <c r="R2379" i="24"/>
  <c r="W2379" i="24"/>
  <c r="AB2379" i="24"/>
  <c r="C2380" i="24"/>
  <c r="N2380" i="24"/>
  <c r="Q2380" i="24"/>
  <c r="R2380" i="24"/>
  <c r="W2380" i="24"/>
  <c r="AB2380" i="24"/>
  <c r="C2381" i="24"/>
  <c r="N2381" i="24"/>
  <c r="Q2381" i="24"/>
  <c r="R2381" i="24"/>
  <c r="W2381" i="24"/>
  <c r="AB2381" i="24"/>
  <c r="C2382" i="24"/>
  <c r="N2382" i="24"/>
  <c r="Q2382" i="24"/>
  <c r="R2382" i="24"/>
  <c r="W2382" i="24"/>
  <c r="AB2382" i="24"/>
  <c r="C2383" i="24"/>
  <c r="N2383" i="24"/>
  <c r="Q2383" i="24"/>
  <c r="R2383" i="24"/>
  <c r="W2383" i="24"/>
  <c r="AB2383" i="24"/>
  <c r="C2384" i="24"/>
  <c r="N2384" i="24"/>
  <c r="Q2384" i="24"/>
  <c r="R2384" i="24"/>
  <c r="W2384" i="24"/>
  <c r="AB2384" i="24"/>
  <c r="C2385" i="24"/>
  <c r="N2385" i="24"/>
  <c r="Q2385" i="24"/>
  <c r="R2385" i="24"/>
  <c r="W2385" i="24"/>
  <c r="AB2385" i="24"/>
  <c r="C2386" i="24"/>
  <c r="N2386" i="24"/>
  <c r="Q2386" i="24"/>
  <c r="R2386" i="24"/>
  <c r="W2386" i="24"/>
  <c r="AB2386" i="24"/>
  <c r="C2387" i="24"/>
  <c r="N2387" i="24"/>
  <c r="Q2387" i="24"/>
  <c r="R2387" i="24"/>
  <c r="W2387" i="24"/>
  <c r="AB2387" i="24"/>
  <c r="C2388" i="24"/>
  <c r="N2388" i="24"/>
  <c r="Q2388" i="24"/>
  <c r="R2388" i="24"/>
  <c r="W2388" i="24"/>
  <c r="AB2388" i="24"/>
  <c r="C2389" i="24"/>
  <c r="N2389" i="24"/>
  <c r="Q2389" i="24"/>
  <c r="R2389" i="24"/>
  <c r="W2389" i="24"/>
  <c r="AB2389" i="24"/>
  <c r="C2390" i="24"/>
  <c r="N2390" i="24"/>
  <c r="Q2390" i="24"/>
  <c r="R2390" i="24"/>
  <c r="W2390" i="24"/>
  <c r="AB2390" i="24"/>
  <c r="C2391" i="24"/>
  <c r="N2391" i="24"/>
  <c r="Q2391" i="24"/>
  <c r="R2391" i="24"/>
  <c r="W2391" i="24"/>
  <c r="AB2391" i="24"/>
  <c r="C2392" i="24"/>
  <c r="N2392" i="24"/>
  <c r="Q2392" i="24"/>
  <c r="R2392" i="24"/>
  <c r="W2392" i="24"/>
  <c r="AB2392" i="24"/>
  <c r="C2393" i="24"/>
  <c r="N2393" i="24"/>
  <c r="Q2393" i="24"/>
  <c r="R2393" i="24"/>
  <c r="W2393" i="24"/>
  <c r="AB2393" i="24"/>
  <c r="C2394" i="24"/>
  <c r="N2394" i="24"/>
  <c r="Q2394" i="24"/>
  <c r="R2394" i="24"/>
  <c r="W2394" i="24"/>
  <c r="AB2394" i="24"/>
  <c r="C2395" i="24"/>
  <c r="N2395" i="24"/>
  <c r="Q2395" i="24"/>
  <c r="R2395" i="24"/>
  <c r="W2395" i="24"/>
  <c r="AB2395" i="24"/>
  <c r="C2396" i="24"/>
  <c r="N2396" i="24"/>
  <c r="Q2396" i="24"/>
  <c r="R2396" i="24"/>
  <c r="W2396" i="24"/>
  <c r="AB2396" i="24"/>
  <c r="C2397" i="24"/>
  <c r="N2397" i="24"/>
  <c r="Q2397" i="24"/>
  <c r="R2397" i="24"/>
  <c r="W2397" i="24"/>
  <c r="AB2397" i="24"/>
  <c r="C2398" i="24"/>
  <c r="N2398" i="24"/>
  <c r="Q2398" i="24"/>
  <c r="R2398" i="24"/>
  <c r="W2398" i="24"/>
  <c r="AB2398" i="24"/>
  <c r="C2399" i="24"/>
  <c r="N2399" i="24"/>
  <c r="Q2399" i="24"/>
  <c r="R2399" i="24"/>
  <c r="W2399" i="24"/>
  <c r="AB2399" i="24"/>
  <c r="C2400" i="24"/>
  <c r="N2400" i="24"/>
  <c r="Q2400" i="24"/>
  <c r="R2400" i="24"/>
  <c r="W2400" i="24"/>
  <c r="AB2400" i="24"/>
  <c r="C2401" i="24"/>
  <c r="N2401" i="24"/>
  <c r="Q2401" i="24"/>
  <c r="R2401" i="24"/>
  <c r="W2401" i="24"/>
  <c r="AB2401" i="24"/>
  <c r="C2402" i="24"/>
  <c r="N2402" i="24"/>
  <c r="Q2402" i="24"/>
  <c r="R2402" i="24"/>
  <c r="W2402" i="24"/>
  <c r="AB2402" i="24"/>
  <c r="C2403" i="24"/>
  <c r="N2403" i="24"/>
  <c r="Q2403" i="24"/>
  <c r="R2403" i="24"/>
  <c r="W2403" i="24"/>
  <c r="AB2403" i="24"/>
  <c r="C2404" i="24"/>
  <c r="N2404" i="24"/>
  <c r="Q2404" i="24"/>
  <c r="R2404" i="24"/>
  <c r="W2404" i="24"/>
  <c r="AB2404" i="24"/>
  <c r="C2405" i="24"/>
  <c r="N2405" i="24"/>
  <c r="Q2405" i="24"/>
  <c r="R2405" i="24"/>
  <c r="W2405" i="24"/>
  <c r="AB2405" i="24"/>
  <c r="C2406" i="24"/>
  <c r="N2406" i="24"/>
  <c r="Q2406" i="24"/>
  <c r="R2406" i="24"/>
  <c r="W2406" i="24"/>
  <c r="AB2406" i="24"/>
  <c r="C2407" i="24"/>
  <c r="N2407" i="24"/>
  <c r="Q2407" i="24"/>
  <c r="R2407" i="24"/>
  <c r="W2407" i="24"/>
  <c r="AB2407" i="24"/>
  <c r="C2408" i="24"/>
  <c r="N2408" i="24"/>
  <c r="Q2408" i="24"/>
  <c r="R2408" i="24"/>
  <c r="W2408" i="24"/>
  <c r="AB2408" i="24"/>
  <c r="C2409" i="24"/>
  <c r="N2409" i="24"/>
  <c r="Q2409" i="24"/>
  <c r="R2409" i="24"/>
  <c r="W2409" i="24"/>
  <c r="AB2409" i="24"/>
  <c r="C2410" i="24"/>
  <c r="N2410" i="24"/>
  <c r="Q2410" i="24"/>
  <c r="R2410" i="24"/>
  <c r="W2410" i="24"/>
  <c r="AB2410" i="24"/>
  <c r="C2411" i="24"/>
  <c r="N2411" i="24"/>
  <c r="Q2411" i="24"/>
  <c r="R2411" i="24"/>
  <c r="W2411" i="24"/>
  <c r="AB2411" i="24"/>
  <c r="C2412" i="24"/>
  <c r="N2412" i="24"/>
  <c r="Q2412" i="24"/>
  <c r="R2412" i="24"/>
  <c r="W2412" i="24"/>
  <c r="AB2412" i="24"/>
  <c r="C2413" i="24"/>
  <c r="N2413" i="24"/>
  <c r="Q2413" i="24"/>
  <c r="R2413" i="24"/>
  <c r="W2413" i="24"/>
  <c r="AB2413" i="24"/>
  <c r="C2414" i="24"/>
  <c r="N2414" i="24"/>
  <c r="Q2414" i="24"/>
  <c r="R2414" i="24"/>
  <c r="W2414" i="24"/>
  <c r="AB2414" i="24"/>
  <c r="C2415" i="24"/>
  <c r="N2415" i="24"/>
  <c r="Q2415" i="24"/>
  <c r="R2415" i="24"/>
  <c r="W2415" i="24"/>
  <c r="AB2415" i="24"/>
  <c r="C2416" i="24"/>
  <c r="N2416" i="24"/>
  <c r="Q2416" i="24"/>
  <c r="R2416" i="24"/>
  <c r="W2416" i="24"/>
  <c r="AB2416" i="24"/>
  <c r="C2417" i="24"/>
  <c r="N2417" i="24"/>
  <c r="Q2417" i="24"/>
  <c r="R2417" i="24"/>
  <c r="W2417" i="24"/>
  <c r="AB2417" i="24"/>
  <c r="C2418" i="24"/>
  <c r="N2418" i="24"/>
  <c r="Q2418" i="24"/>
  <c r="R2418" i="24"/>
  <c r="W2418" i="24"/>
  <c r="AB2418" i="24"/>
  <c r="C2419" i="24"/>
  <c r="N2419" i="24"/>
  <c r="Q2419" i="24"/>
  <c r="R2419" i="24"/>
  <c r="W2419" i="24"/>
  <c r="AB2419" i="24"/>
  <c r="C2420" i="24"/>
  <c r="N2420" i="24"/>
  <c r="Q2420" i="24"/>
  <c r="R2420" i="24"/>
  <c r="W2420" i="24"/>
  <c r="AB2420" i="24"/>
  <c r="C2421" i="24"/>
  <c r="N2421" i="24"/>
  <c r="Q2421" i="24"/>
  <c r="R2421" i="24"/>
  <c r="W2421" i="24"/>
  <c r="AB2421" i="24"/>
  <c r="C2422" i="24"/>
  <c r="N2422" i="24"/>
  <c r="Q2422" i="24"/>
  <c r="R2422" i="24"/>
  <c r="W2422" i="24"/>
  <c r="AB2422" i="24"/>
  <c r="C2423" i="24"/>
  <c r="N2423" i="24"/>
  <c r="Q2423" i="24"/>
  <c r="R2423" i="24"/>
  <c r="W2423" i="24"/>
  <c r="AB2423" i="24"/>
  <c r="C2424" i="24"/>
  <c r="N2424" i="24"/>
  <c r="Q2424" i="24"/>
  <c r="R2424" i="24"/>
  <c r="W2424" i="24"/>
  <c r="AB2424" i="24"/>
  <c r="C2425" i="24"/>
  <c r="N2425" i="24"/>
  <c r="Q2425" i="24"/>
  <c r="R2425" i="24"/>
  <c r="W2425" i="24"/>
  <c r="AB2425" i="24"/>
  <c r="C2426" i="24"/>
  <c r="N2426" i="24"/>
  <c r="Q2426" i="24"/>
  <c r="R2426" i="24"/>
  <c r="W2426" i="24"/>
  <c r="AB2426" i="24"/>
  <c r="C2427" i="24"/>
  <c r="N2427" i="24"/>
  <c r="Q2427" i="24"/>
  <c r="R2427" i="24"/>
  <c r="W2427" i="24"/>
  <c r="AB2427" i="24"/>
  <c r="C2428" i="24"/>
  <c r="N2428" i="24"/>
  <c r="Q2428" i="24"/>
  <c r="R2428" i="24"/>
  <c r="W2428" i="24"/>
  <c r="AB2428" i="24"/>
  <c r="C2429" i="24"/>
  <c r="N2429" i="24"/>
  <c r="Q2429" i="24"/>
  <c r="R2429" i="24"/>
  <c r="W2429" i="24"/>
  <c r="AB2429" i="24"/>
  <c r="C2430" i="24"/>
  <c r="N2430" i="24"/>
  <c r="Q2430" i="24"/>
  <c r="R2430" i="24"/>
  <c r="W2430" i="24"/>
  <c r="AB2430" i="24"/>
  <c r="C2431" i="24"/>
  <c r="N2431" i="24"/>
  <c r="Q2431" i="24"/>
  <c r="R2431" i="24"/>
  <c r="W2431" i="24"/>
  <c r="AB2431" i="24"/>
  <c r="C2432" i="24"/>
  <c r="N2432" i="24"/>
  <c r="Q2432" i="24"/>
  <c r="R2432" i="24"/>
  <c r="W2432" i="24"/>
  <c r="AB2432" i="24"/>
  <c r="C2433" i="24"/>
  <c r="N2433" i="24"/>
  <c r="Q2433" i="24"/>
  <c r="R2433" i="24"/>
  <c r="W2433" i="24"/>
  <c r="AB2433" i="24"/>
  <c r="C2434" i="24"/>
  <c r="N2434" i="24"/>
  <c r="Q2434" i="24"/>
  <c r="R2434" i="24"/>
  <c r="W2434" i="24"/>
  <c r="AB2434" i="24"/>
  <c r="C2435" i="24"/>
  <c r="N2435" i="24"/>
  <c r="Q2435" i="24"/>
  <c r="R2435" i="24"/>
  <c r="W2435" i="24"/>
  <c r="AB2435" i="24"/>
  <c r="C2436" i="24"/>
  <c r="N2436" i="24"/>
  <c r="Q2436" i="24"/>
  <c r="R2436" i="24"/>
  <c r="W2436" i="24"/>
  <c r="AB2436" i="24"/>
  <c r="C2437" i="24"/>
  <c r="N2437" i="24"/>
  <c r="Q2437" i="24"/>
  <c r="R2437" i="24"/>
  <c r="W2437" i="24"/>
  <c r="AB2437" i="24"/>
  <c r="C2438" i="24"/>
  <c r="N2438" i="24"/>
  <c r="Q2438" i="24"/>
  <c r="R2438" i="24"/>
  <c r="W2438" i="24"/>
  <c r="AB2438" i="24"/>
  <c r="C2439" i="24"/>
  <c r="N2439" i="24"/>
  <c r="Q2439" i="24"/>
  <c r="R2439" i="24"/>
  <c r="W2439" i="24"/>
  <c r="AB2439" i="24"/>
  <c r="C2440" i="24"/>
  <c r="N2440" i="24"/>
  <c r="Q2440" i="24"/>
  <c r="R2440" i="24"/>
  <c r="W2440" i="24"/>
  <c r="AB2440" i="24"/>
  <c r="C2441" i="24"/>
  <c r="N2441" i="24"/>
  <c r="Q2441" i="24"/>
  <c r="R2441" i="24"/>
  <c r="W2441" i="24"/>
  <c r="AB2441" i="24"/>
  <c r="C2442" i="24"/>
  <c r="N2442" i="24"/>
  <c r="Q2442" i="24"/>
  <c r="R2442" i="24"/>
  <c r="W2442" i="24"/>
  <c r="AB2442" i="24"/>
  <c r="C2443" i="24"/>
  <c r="N2443" i="24"/>
  <c r="Q2443" i="24"/>
  <c r="R2443" i="24"/>
  <c r="W2443" i="24"/>
  <c r="AB2443" i="24"/>
  <c r="C2444" i="24"/>
  <c r="N2444" i="24"/>
  <c r="Q2444" i="24"/>
  <c r="R2444" i="24"/>
  <c r="W2444" i="24"/>
  <c r="AB2444" i="24"/>
  <c r="C2445" i="24"/>
  <c r="N2445" i="24"/>
  <c r="Q2445" i="24"/>
  <c r="R2445" i="24"/>
  <c r="W2445" i="24"/>
  <c r="AB2445" i="24"/>
  <c r="C2446" i="24"/>
  <c r="N2446" i="24"/>
  <c r="Q2446" i="24"/>
  <c r="R2446" i="24"/>
  <c r="W2446" i="24"/>
  <c r="AB2446" i="24"/>
  <c r="C2447" i="24"/>
  <c r="N2447" i="24"/>
  <c r="Q2447" i="24"/>
  <c r="R2447" i="24"/>
  <c r="W2447" i="24"/>
  <c r="AB2447" i="24"/>
  <c r="C2448" i="24"/>
  <c r="N2448" i="24"/>
  <c r="Q2448" i="24"/>
  <c r="R2448" i="24"/>
  <c r="W2448" i="24"/>
  <c r="AB2448" i="24"/>
  <c r="C2449" i="24"/>
  <c r="N2449" i="24"/>
  <c r="Q2449" i="24"/>
  <c r="R2449" i="24"/>
  <c r="W2449" i="24"/>
  <c r="AB2449" i="24"/>
  <c r="C2450" i="24"/>
  <c r="N2450" i="24"/>
  <c r="Q2450" i="24"/>
  <c r="R2450" i="24"/>
  <c r="W2450" i="24"/>
  <c r="AB2450" i="24"/>
  <c r="C2451" i="24"/>
  <c r="N2451" i="24"/>
  <c r="Q2451" i="24"/>
  <c r="R2451" i="24"/>
  <c r="W2451" i="24"/>
  <c r="AB2451" i="24"/>
  <c r="C2452" i="24"/>
  <c r="N2452" i="24"/>
  <c r="Q2452" i="24"/>
  <c r="R2452" i="24"/>
  <c r="W2452" i="24"/>
  <c r="AB2452" i="24"/>
  <c r="C2453" i="24"/>
  <c r="N2453" i="24"/>
  <c r="Q2453" i="24"/>
  <c r="R2453" i="24"/>
  <c r="W2453" i="24"/>
  <c r="AB2453" i="24"/>
  <c r="C2454" i="24"/>
  <c r="N2454" i="24"/>
  <c r="Q2454" i="24"/>
  <c r="R2454" i="24"/>
  <c r="W2454" i="24"/>
  <c r="AB2454" i="24"/>
  <c r="C2455" i="24"/>
  <c r="N2455" i="24"/>
  <c r="Q2455" i="24"/>
  <c r="R2455" i="24"/>
  <c r="W2455" i="24"/>
  <c r="AB2455" i="24"/>
  <c r="C2456" i="24"/>
  <c r="N2456" i="24"/>
  <c r="Q2456" i="24"/>
  <c r="R2456" i="24"/>
  <c r="W2456" i="24"/>
  <c r="AB2456" i="24"/>
  <c r="C2457" i="24"/>
  <c r="N2457" i="24"/>
  <c r="Q2457" i="24"/>
  <c r="R2457" i="24"/>
  <c r="W2457" i="24"/>
  <c r="AB2457" i="24"/>
  <c r="C2458" i="24"/>
  <c r="N2458" i="24"/>
  <c r="Q2458" i="24"/>
  <c r="R2458" i="24"/>
  <c r="W2458" i="24"/>
  <c r="AB2458" i="24"/>
  <c r="C2459" i="24"/>
  <c r="N2459" i="24"/>
  <c r="Q2459" i="24"/>
  <c r="R2459" i="24"/>
  <c r="W2459" i="24"/>
  <c r="AB2459" i="24"/>
  <c r="C2460" i="24"/>
  <c r="N2460" i="24"/>
  <c r="Q2460" i="24"/>
  <c r="R2460" i="24"/>
  <c r="W2460" i="24"/>
  <c r="AB2460" i="24"/>
  <c r="C2461" i="24"/>
  <c r="N2461" i="24"/>
  <c r="Q2461" i="24"/>
  <c r="R2461" i="24"/>
  <c r="W2461" i="24"/>
  <c r="AB2461" i="24"/>
  <c r="C2462" i="24"/>
  <c r="N2462" i="24"/>
  <c r="Q2462" i="24"/>
  <c r="R2462" i="24"/>
  <c r="W2462" i="24"/>
  <c r="AB2462" i="24"/>
  <c r="C2463" i="24"/>
  <c r="N2463" i="24"/>
  <c r="Q2463" i="24"/>
  <c r="R2463" i="24"/>
  <c r="W2463" i="24"/>
  <c r="AB2463" i="24"/>
  <c r="C2464" i="24"/>
  <c r="N2464" i="24"/>
  <c r="Q2464" i="24"/>
  <c r="R2464" i="24"/>
  <c r="W2464" i="24"/>
  <c r="AB2464" i="24"/>
  <c r="C2465" i="24"/>
  <c r="N2465" i="24"/>
  <c r="Q2465" i="24"/>
  <c r="R2465" i="24"/>
  <c r="W2465" i="24"/>
  <c r="AB2465" i="24"/>
  <c r="C2466" i="24"/>
  <c r="N2466" i="24"/>
  <c r="Q2466" i="24"/>
  <c r="R2466" i="24"/>
  <c r="W2466" i="24"/>
  <c r="AB2466" i="24"/>
  <c r="C2467" i="24"/>
  <c r="N2467" i="24"/>
  <c r="Q2467" i="24"/>
  <c r="R2467" i="24"/>
  <c r="W2467" i="24"/>
  <c r="AB2467" i="24"/>
  <c r="C2468" i="24"/>
  <c r="N2468" i="24"/>
  <c r="Q2468" i="24"/>
  <c r="R2468" i="24"/>
  <c r="W2468" i="24"/>
  <c r="AB2468" i="24"/>
  <c r="C2469" i="24"/>
  <c r="N2469" i="24"/>
  <c r="Q2469" i="24"/>
  <c r="R2469" i="24"/>
  <c r="W2469" i="24"/>
  <c r="AB2469" i="24"/>
  <c r="C2470" i="24"/>
  <c r="N2470" i="24"/>
  <c r="Q2470" i="24"/>
  <c r="R2470" i="24"/>
  <c r="W2470" i="24"/>
  <c r="AB2470" i="24"/>
  <c r="C2471" i="24"/>
  <c r="N2471" i="24"/>
  <c r="Q2471" i="24"/>
  <c r="R2471" i="24"/>
  <c r="W2471" i="24"/>
  <c r="AB2471" i="24"/>
  <c r="C2472" i="24"/>
  <c r="N2472" i="24"/>
  <c r="Q2472" i="24"/>
  <c r="R2472" i="24"/>
  <c r="W2472" i="24"/>
  <c r="AB2472" i="24"/>
  <c r="C2473" i="24"/>
  <c r="N2473" i="24"/>
  <c r="Q2473" i="24"/>
  <c r="R2473" i="24"/>
  <c r="W2473" i="24"/>
  <c r="AB2473" i="24"/>
  <c r="C2474" i="24"/>
  <c r="N2474" i="24"/>
  <c r="Q2474" i="24"/>
  <c r="R2474" i="24"/>
  <c r="W2474" i="24"/>
  <c r="AB2474" i="24"/>
  <c r="C2475" i="24"/>
  <c r="N2475" i="24"/>
  <c r="Q2475" i="24"/>
  <c r="R2475" i="24"/>
  <c r="W2475" i="24"/>
  <c r="AB2475" i="24"/>
  <c r="C2476" i="24"/>
  <c r="N2476" i="24"/>
  <c r="Q2476" i="24"/>
  <c r="R2476" i="24"/>
  <c r="W2476" i="24"/>
  <c r="AB2476" i="24"/>
  <c r="C2477" i="24"/>
  <c r="N2477" i="24"/>
  <c r="Q2477" i="24"/>
  <c r="R2477" i="24"/>
  <c r="W2477" i="24"/>
  <c r="AB2477" i="24"/>
  <c r="C2478" i="24"/>
  <c r="N2478" i="24"/>
  <c r="Q2478" i="24"/>
  <c r="R2478" i="24"/>
  <c r="W2478" i="24"/>
  <c r="AB2478" i="24"/>
  <c r="C2479" i="24"/>
  <c r="N2479" i="24"/>
  <c r="Q2479" i="24"/>
  <c r="R2479" i="24"/>
  <c r="W2479" i="24"/>
  <c r="AB2479" i="24"/>
  <c r="C2480" i="24"/>
  <c r="N2480" i="24"/>
  <c r="Q2480" i="24"/>
  <c r="R2480" i="24"/>
  <c r="W2480" i="24"/>
  <c r="AB2480" i="24"/>
  <c r="C2481" i="24"/>
  <c r="N2481" i="24"/>
  <c r="Q2481" i="24"/>
  <c r="R2481" i="24"/>
  <c r="W2481" i="24"/>
  <c r="AB2481" i="24"/>
  <c r="C2482" i="24"/>
  <c r="N2482" i="24"/>
  <c r="Q2482" i="24"/>
  <c r="R2482" i="24"/>
  <c r="W2482" i="24"/>
  <c r="AB2482" i="24"/>
  <c r="C2483" i="24"/>
  <c r="N2483" i="24"/>
  <c r="Q2483" i="24"/>
  <c r="R2483" i="24"/>
  <c r="W2483" i="24"/>
  <c r="AB2483" i="24"/>
  <c r="C2484" i="24"/>
  <c r="N2484" i="24"/>
  <c r="Q2484" i="24"/>
  <c r="R2484" i="24"/>
  <c r="W2484" i="24"/>
  <c r="AB2484" i="24"/>
  <c r="C2485" i="24"/>
  <c r="N2485" i="24"/>
  <c r="Q2485" i="24"/>
  <c r="R2485" i="24"/>
  <c r="W2485" i="24"/>
  <c r="AB2485" i="24"/>
  <c r="C2486" i="24"/>
  <c r="N2486" i="24"/>
  <c r="Q2486" i="24"/>
  <c r="R2486" i="24"/>
  <c r="W2486" i="24"/>
  <c r="AB2486" i="24"/>
  <c r="C2487" i="24"/>
  <c r="N2487" i="24"/>
  <c r="Q2487" i="24"/>
  <c r="R2487" i="24"/>
  <c r="W2487" i="24"/>
  <c r="AB2487" i="24"/>
  <c r="C2488" i="24"/>
  <c r="N2488" i="24"/>
  <c r="Q2488" i="24"/>
  <c r="R2488" i="24"/>
  <c r="W2488" i="24"/>
  <c r="AB2488" i="24"/>
  <c r="C2489" i="24"/>
  <c r="N2489" i="24"/>
  <c r="Q2489" i="24"/>
  <c r="R2489" i="24"/>
  <c r="W2489" i="24"/>
  <c r="AB2489" i="24"/>
  <c r="C2490" i="24"/>
  <c r="N2490" i="24"/>
  <c r="Q2490" i="24"/>
  <c r="R2490" i="24"/>
  <c r="W2490" i="24"/>
  <c r="AB2490" i="24"/>
  <c r="C2491" i="24"/>
  <c r="N2491" i="24"/>
  <c r="Q2491" i="24"/>
  <c r="R2491" i="24"/>
  <c r="W2491" i="24"/>
  <c r="AB2491" i="24"/>
  <c r="C2492" i="24"/>
  <c r="N2492" i="24"/>
  <c r="Q2492" i="24"/>
  <c r="R2492" i="24"/>
  <c r="W2492" i="24"/>
  <c r="AB2492" i="24"/>
  <c r="C2493" i="24"/>
  <c r="N2493" i="24"/>
  <c r="Q2493" i="24"/>
  <c r="R2493" i="24"/>
  <c r="W2493" i="24"/>
  <c r="AB2493" i="24"/>
  <c r="C2494" i="24"/>
  <c r="N2494" i="24"/>
  <c r="Q2494" i="24"/>
  <c r="R2494" i="24"/>
  <c r="W2494" i="24"/>
  <c r="AB2494" i="24"/>
  <c r="C2495" i="24"/>
  <c r="N2495" i="24"/>
  <c r="Q2495" i="24"/>
  <c r="R2495" i="24"/>
  <c r="W2495" i="24"/>
  <c r="AB2495" i="24"/>
  <c r="C2496" i="24"/>
  <c r="N2496" i="24"/>
  <c r="Q2496" i="24"/>
  <c r="R2496" i="24"/>
  <c r="W2496" i="24"/>
  <c r="AB2496" i="24"/>
  <c r="C2497" i="24"/>
  <c r="N2497" i="24"/>
  <c r="Q2497" i="24"/>
  <c r="R2497" i="24"/>
  <c r="W2497" i="24"/>
  <c r="AB2497" i="24"/>
  <c r="C2498" i="24"/>
  <c r="N2498" i="24"/>
  <c r="Q2498" i="24"/>
  <c r="R2498" i="24"/>
  <c r="W2498" i="24"/>
  <c r="AB2498" i="24"/>
  <c r="C2499" i="24"/>
  <c r="N2499" i="24"/>
  <c r="Q2499" i="24"/>
  <c r="R2499" i="24"/>
  <c r="W2499" i="24"/>
  <c r="AB2499" i="24"/>
  <c r="C2500" i="24"/>
  <c r="N2500" i="24"/>
  <c r="Q2500" i="24"/>
  <c r="R2500" i="24"/>
  <c r="W2500" i="24"/>
  <c r="AB2500" i="24"/>
  <c r="C2501" i="24"/>
  <c r="N2501" i="24"/>
  <c r="Q2501" i="24"/>
  <c r="R2501" i="24"/>
  <c r="W2501" i="24"/>
  <c r="AB2501" i="24"/>
  <c r="C2502" i="24"/>
  <c r="N2502" i="24"/>
  <c r="Q2502" i="24"/>
  <c r="R2502" i="24"/>
  <c r="W2502" i="24"/>
  <c r="AB2502" i="24"/>
  <c r="C2503" i="24"/>
  <c r="N2503" i="24"/>
  <c r="Q2503" i="24"/>
  <c r="R2503" i="24"/>
  <c r="W2503" i="24"/>
  <c r="AB2503" i="24"/>
  <c r="C2504" i="24"/>
  <c r="N2504" i="24"/>
  <c r="Q2504" i="24"/>
  <c r="R2504" i="24"/>
  <c r="W2504" i="24"/>
  <c r="AB2504" i="24"/>
  <c r="C2505" i="24"/>
  <c r="N2505" i="24"/>
  <c r="Q2505" i="24"/>
  <c r="R2505" i="24"/>
  <c r="W2505" i="24"/>
  <c r="AB2505" i="24"/>
  <c r="C2506" i="24"/>
  <c r="N2506" i="24"/>
  <c r="Q2506" i="24"/>
  <c r="R2506" i="24"/>
  <c r="W2506" i="24"/>
  <c r="AB2506" i="24"/>
  <c r="C2507" i="24"/>
  <c r="N2507" i="24"/>
  <c r="Q2507" i="24"/>
  <c r="R2507" i="24"/>
  <c r="W2507" i="24"/>
  <c r="AB2507" i="24"/>
  <c r="C2508" i="24"/>
  <c r="N2508" i="24"/>
  <c r="Q2508" i="24"/>
  <c r="R2508" i="24"/>
  <c r="W2508" i="24"/>
  <c r="AB2508" i="24"/>
  <c r="C2509" i="24"/>
  <c r="N2509" i="24"/>
  <c r="Q2509" i="24"/>
  <c r="R2509" i="24"/>
  <c r="W2509" i="24"/>
  <c r="AB2509" i="24"/>
  <c r="C2510" i="24"/>
  <c r="N2510" i="24"/>
  <c r="Q2510" i="24"/>
  <c r="R2510" i="24"/>
  <c r="W2510" i="24"/>
  <c r="AB2510" i="24"/>
  <c r="C2511" i="24"/>
  <c r="N2511" i="24"/>
  <c r="Q2511" i="24"/>
  <c r="R2511" i="24"/>
  <c r="W2511" i="24"/>
  <c r="AB2511" i="24"/>
  <c r="C2512" i="24"/>
  <c r="N2512" i="24"/>
  <c r="Q2512" i="24"/>
  <c r="R2512" i="24"/>
  <c r="W2512" i="24"/>
  <c r="AB2512" i="24"/>
  <c r="C2513" i="24"/>
  <c r="N2513" i="24"/>
  <c r="Q2513" i="24"/>
  <c r="R2513" i="24"/>
  <c r="W2513" i="24"/>
  <c r="AB2513" i="24"/>
  <c r="C2514" i="24"/>
  <c r="N2514" i="24"/>
  <c r="Q2514" i="24"/>
  <c r="R2514" i="24"/>
  <c r="W2514" i="24"/>
  <c r="AB2514" i="24"/>
  <c r="C2515" i="24"/>
  <c r="N2515" i="24"/>
  <c r="Q2515" i="24"/>
  <c r="R2515" i="24"/>
  <c r="W2515" i="24"/>
  <c r="AB2515" i="24"/>
  <c r="C2516" i="24"/>
  <c r="N2516" i="24"/>
  <c r="Q2516" i="24"/>
  <c r="R2516" i="24"/>
  <c r="W2516" i="24"/>
  <c r="AB2516" i="24"/>
  <c r="C2517" i="24"/>
  <c r="N2517" i="24"/>
  <c r="Q2517" i="24"/>
  <c r="R2517" i="24"/>
  <c r="W2517" i="24"/>
  <c r="AB2517" i="24"/>
  <c r="C2518" i="24"/>
  <c r="N2518" i="24"/>
  <c r="Q2518" i="24"/>
  <c r="R2518" i="24"/>
  <c r="W2518" i="24"/>
  <c r="AB2518" i="24"/>
  <c r="C2519" i="24"/>
  <c r="N2519" i="24"/>
  <c r="Q2519" i="24"/>
  <c r="R2519" i="24"/>
  <c r="W2519" i="24"/>
  <c r="AB2519" i="24"/>
  <c r="C2520" i="24"/>
  <c r="N2520" i="24"/>
  <c r="Q2520" i="24"/>
  <c r="R2520" i="24"/>
  <c r="W2520" i="24"/>
  <c r="AB2520" i="24"/>
  <c r="C2521" i="24"/>
  <c r="N2521" i="24"/>
  <c r="Q2521" i="24"/>
  <c r="R2521" i="24"/>
  <c r="W2521" i="24"/>
  <c r="AB2521" i="24"/>
  <c r="C2522" i="24"/>
  <c r="N2522" i="24"/>
  <c r="Q2522" i="24"/>
  <c r="R2522" i="24"/>
  <c r="W2522" i="24"/>
  <c r="AB2522" i="24"/>
  <c r="C2523" i="24"/>
  <c r="N2523" i="24"/>
  <c r="Q2523" i="24"/>
  <c r="R2523" i="24"/>
  <c r="W2523" i="24"/>
  <c r="AB2523" i="24"/>
  <c r="C2524" i="24"/>
  <c r="N2524" i="24"/>
  <c r="Q2524" i="24"/>
  <c r="R2524" i="24"/>
  <c r="W2524" i="24"/>
  <c r="AB2524" i="24"/>
  <c r="C2525" i="24"/>
  <c r="N2525" i="24"/>
  <c r="Q2525" i="24"/>
  <c r="R2525" i="24"/>
  <c r="W2525" i="24"/>
  <c r="AB2525" i="24"/>
  <c r="C2526" i="24"/>
  <c r="N2526" i="24"/>
  <c r="Q2526" i="24"/>
  <c r="R2526" i="24"/>
  <c r="W2526" i="24"/>
  <c r="AB2526" i="24"/>
  <c r="C2527" i="24"/>
  <c r="N2527" i="24"/>
  <c r="Q2527" i="24"/>
  <c r="R2527" i="24"/>
  <c r="W2527" i="24"/>
  <c r="AB2527" i="24"/>
  <c r="C2528" i="24"/>
  <c r="N2528" i="24"/>
  <c r="Q2528" i="24"/>
  <c r="R2528" i="24"/>
  <c r="W2528" i="24"/>
  <c r="AB2528" i="24"/>
  <c r="C2529" i="24"/>
  <c r="N2529" i="24"/>
  <c r="Q2529" i="24"/>
  <c r="R2529" i="24"/>
  <c r="W2529" i="24"/>
  <c r="AB2529" i="24"/>
  <c r="C2530" i="24"/>
  <c r="N2530" i="24"/>
  <c r="Q2530" i="24"/>
  <c r="R2530" i="24"/>
  <c r="W2530" i="24"/>
  <c r="AB2530" i="24"/>
  <c r="C2531" i="24"/>
  <c r="N2531" i="24"/>
  <c r="Q2531" i="24"/>
  <c r="R2531" i="24"/>
  <c r="W2531" i="24"/>
  <c r="AB2531" i="24"/>
  <c r="C2532" i="24"/>
  <c r="N2532" i="24"/>
  <c r="Q2532" i="24"/>
  <c r="R2532" i="24"/>
  <c r="W2532" i="24"/>
  <c r="AB2532" i="24"/>
  <c r="C2533" i="24"/>
  <c r="N2533" i="24"/>
  <c r="Q2533" i="24"/>
  <c r="R2533" i="24"/>
  <c r="W2533" i="24"/>
  <c r="AB2533" i="24"/>
  <c r="C2534" i="24"/>
  <c r="N2534" i="24"/>
  <c r="Q2534" i="24"/>
  <c r="R2534" i="24"/>
  <c r="W2534" i="24"/>
  <c r="AB2534" i="24"/>
  <c r="C2535" i="24"/>
  <c r="N2535" i="24"/>
  <c r="Q2535" i="24"/>
  <c r="R2535" i="24"/>
  <c r="W2535" i="24"/>
  <c r="AB2535" i="24"/>
  <c r="C2536" i="24"/>
  <c r="N2536" i="24"/>
  <c r="Q2536" i="24"/>
  <c r="R2536" i="24"/>
  <c r="W2536" i="24"/>
  <c r="AB2536" i="24"/>
  <c r="C2537" i="24"/>
  <c r="N2537" i="24"/>
  <c r="Q2537" i="24"/>
  <c r="R2537" i="24"/>
  <c r="W2537" i="24"/>
  <c r="AB2537" i="24"/>
  <c r="C2538" i="24"/>
  <c r="N2538" i="24"/>
  <c r="Q2538" i="24"/>
  <c r="R2538" i="24"/>
  <c r="W2538" i="24"/>
  <c r="AB2538" i="24"/>
  <c r="C2539" i="24"/>
  <c r="N2539" i="24"/>
  <c r="Q2539" i="24"/>
  <c r="R2539" i="24"/>
  <c r="W2539" i="24"/>
  <c r="AB2539" i="24"/>
  <c r="C2540" i="24"/>
  <c r="N2540" i="24"/>
  <c r="Q2540" i="24"/>
  <c r="R2540" i="24"/>
  <c r="W2540" i="24"/>
  <c r="AB2540" i="24"/>
  <c r="C2541" i="24"/>
  <c r="N2541" i="24"/>
  <c r="Q2541" i="24"/>
  <c r="R2541" i="24"/>
  <c r="W2541" i="24"/>
  <c r="AB2541" i="24"/>
  <c r="C2542" i="24"/>
  <c r="N2542" i="24"/>
  <c r="Q2542" i="24"/>
  <c r="R2542" i="24"/>
  <c r="W2542" i="24"/>
  <c r="AB2542" i="24"/>
  <c r="C2543" i="24"/>
  <c r="N2543" i="24"/>
  <c r="Q2543" i="24"/>
  <c r="R2543" i="24"/>
  <c r="W2543" i="24"/>
  <c r="AB2543" i="24"/>
  <c r="C2544" i="24"/>
  <c r="N2544" i="24"/>
  <c r="Q2544" i="24"/>
  <c r="R2544" i="24"/>
  <c r="W2544" i="24"/>
  <c r="AB2544" i="24"/>
  <c r="C2545" i="24"/>
  <c r="N2545" i="24"/>
  <c r="Q2545" i="24"/>
  <c r="R2545" i="24"/>
  <c r="W2545" i="24"/>
  <c r="AB2545" i="24"/>
  <c r="C2546" i="24"/>
  <c r="N2546" i="24"/>
  <c r="Q2546" i="24"/>
  <c r="R2546" i="24"/>
  <c r="W2546" i="24"/>
  <c r="AB2546" i="24"/>
  <c r="C2547" i="24"/>
  <c r="N2547" i="24"/>
  <c r="Q2547" i="24"/>
  <c r="R2547" i="24"/>
  <c r="W2547" i="24"/>
  <c r="AB2547" i="24"/>
  <c r="C2548" i="24"/>
  <c r="N2548" i="24"/>
  <c r="Q2548" i="24"/>
  <c r="R2548" i="24"/>
  <c r="W2548" i="24"/>
  <c r="AB2548" i="24"/>
  <c r="C2549" i="24"/>
  <c r="N2549" i="24"/>
  <c r="Q2549" i="24"/>
  <c r="R2549" i="24"/>
  <c r="W2549" i="24"/>
  <c r="AB2549" i="24"/>
  <c r="C2550" i="24"/>
  <c r="N2550" i="24"/>
  <c r="Q2550" i="24"/>
  <c r="R2550" i="24"/>
  <c r="W2550" i="24"/>
  <c r="AB2550" i="24"/>
  <c r="C2551" i="24"/>
  <c r="N2551" i="24"/>
  <c r="Q2551" i="24"/>
  <c r="R2551" i="24"/>
  <c r="W2551" i="24"/>
  <c r="AB2551" i="24"/>
  <c r="C2552" i="24"/>
  <c r="N2552" i="24"/>
  <c r="Q2552" i="24"/>
  <c r="R2552" i="24"/>
  <c r="W2552" i="24"/>
  <c r="AB2552" i="24"/>
  <c r="C2553" i="24"/>
  <c r="N2553" i="24"/>
  <c r="Q2553" i="24"/>
  <c r="R2553" i="24"/>
  <c r="W2553" i="24"/>
  <c r="AB2553" i="24"/>
  <c r="C2554" i="24"/>
  <c r="N2554" i="24"/>
  <c r="Q2554" i="24"/>
  <c r="R2554" i="24"/>
  <c r="W2554" i="24"/>
  <c r="AB2554" i="24"/>
  <c r="C2555" i="24"/>
  <c r="N2555" i="24"/>
  <c r="Q2555" i="24"/>
  <c r="R2555" i="24"/>
  <c r="W2555" i="24"/>
  <c r="AB2555" i="24"/>
  <c r="C2556" i="24"/>
  <c r="N2556" i="24"/>
  <c r="Q2556" i="24"/>
  <c r="R2556" i="24"/>
  <c r="W2556" i="24"/>
  <c r="AB2556" i="24"/>
  <c r="C2557" i="24"/>
  <c r="N2557" i="24"/>
  <c r="Q2557" i="24"/>
  <c r="R2557" i="24"/>
  <c r="W2557" i="24"/>
  <c r="AB2557" i="24"/>
  <c r="C2558" i="24"/>
  <c r="N2558" i="24"/>
  <c r="Q2558" i="24"/>
  <c r="R2558" i="24"/>
  <c r="W2558" i="24"/>
  <c r="AB2558" i="24"/>
  <c r="C2559" i="24"/>
  <c r="N2559" i="24"/>
  <c r="Q2559" i="24"/>
  <c r="R2559" i="24"/>
  <c r="W2559" i="24"/>
  <c r="AB2559" i="24"/>
  <c r="C2560" i="24"/>
  <c r="N2560" i="24"/>
  <c r="Q2560" i="24"/>
  <c r="R2560" i="24"/>
  <c r="W2560" i="24"/>
  <c r="AB2560" i="24"/>
  <c r="C2561" i="24"/>
  <c r="N2561" i="24"/>
  <c r="Q2561" i="24"/>
  <c r="R2561" i="24"/>
  <c r="W2561" i="24"/>
  <c r="AB2561" i="24"/>
  <c r="C2562" i="24"/>
  <c r="N2562" i="24"/>
  <c r="Q2562" i="24"/>
  <c r="R2562" i="24"/>
  <c r="W2562" i="24"/>
  <c r="AB2562" i="24"/>
  <c r="C2563" i="24"/>
  <c r="N2563" i="24"/>
  <c r="Q2563" i="24"/>
  <c r="R2563" i="24"/>
  <c r="W2563" i="24"/>
  <c r="AB2563" i="24"/>
  <c r="C2564" i="24"/>
  <c r="N2564" i="24"/>
  <c r="Q2564" i="24"/>
  <c r="R2564" i="24"/>
  <c r="W2564" i="24"/>
  <c r="AB2564" i="24"/>
  <c r="C2565" i="24"/>
  <c r="N2565" i="24"/>
  <c r="Q2565" i="24"/>
  <c r="R2565" i="24"/>
  <c r="W2565" i="24"/>
  <c r="AB2565" i="24"/>
  <c r="C2566" i="24"/>
  <c r="N2566" i="24"/>
  <c r="Q2566" i="24"/>
  <c r="R2566" i="24"/>
  <c r="W2566" i="24"/>
  <c r="AB2566" i="24"/>
  <c r="C2567" i="24"/>
  <c r="N2567" i="24"/>
  <c r="Q2567" i="24"/>
  <c r="R2567" i="24"/>
  <c r="W2567" i="24"/>
  <c r="AB2567" i="24"/>
  <c r="C2568" i="24"/>
  <c r="N2568" i="24"/>
  <c r="Q2568" i="24"/>
  <c r="R2568" i="24"/>
  <c r="W2568" i="24"/>
  <c r="AB2568" i="24"/>
  <c r="C2569" i="24"/>
  <c r="N2569" i="24"/>
  <c r="Q2569" i="24"/>
  <c r="R2569" i="24"/>
  <c r="W2569" i="24"/>
  <c r="AB2569" i="24"/>
  <c r="C2570" i="24"/>
  <c r="N2570" i="24"/>
  <c r="Q2570" i="24"/>
  <c r="R2570" i="24"/>
  <c r="W2570" i="24"/>
  <c r="AB2570" i="24"/>
  <c r="C2571" i="24"/>
  <c r="N2571" i="24"/>
  <c r="Q2571" i="24"/>
  <c r="R2571" i="24"/>
  <c r="W2571" i="24"/>
  <c r="AB2571" i="24"/>
  <c r="C2572" i="24"/>
  <c r="N2572" i="24"/>
  <c r="Q2572" i="24"/>
  <c r="R2572" i="24"/>
  <c r="W2572" i="24"/>
  <c r="AB2572" i="24"/>
  <c r="C2573" i="24"/>
  <c r="N2573" i="24"/>
  <c r="Q2573" i="24"/>
  <c r="R2573" i="24"/>
  <c r="W2573" i="24"/>
  <c r="AB2573" i="24"/>
  <c r="C2574" i="24"/>
  <c r="N2574" i="24"/>
  <c r="Q2574" i="24"/>
  <c r="R2574" i="24"/>
  <c r="W2574" i="24"/>
  <c r="AB2574" i="24"/>
  <c r="C2575" i="24"/>
  <c r="N2575" i="24"/>
  <c r="Q2575" i="24"/>
  <c r="R2575" i="24"/>
  <c r="W2575" i="24"/>
  <c r="AB2575" i="24"/>
  <c r="C2576" i="24"/>
  <c r="N2576" i="24"/>
  <c r="Q2576" i="24"/>
  <c r="R2576" i="24"/>
  <c r="W2576" i="24"/>
  <c r="AB2576" i="24"/>
  <c r="C2577" i="24"/>
  <c r="N2577" i="24"/>
  <c r="Q2577" i="24"/>
  <c r="R2577" i="24"/>
  <c r="W2577" i="24"/>
  <c r="AB2577" i="24"/>
  <c r="C2578" i="24"/>
  <c r="N2578" i="24"/>
  <c r="Q2578" i="24"/>
  <c r="R2578" i="24"/>
  <c r="W2578" i="24"/>
  <c r="AB2578" i="24"/>
  <c r="C2579" i="24"/>
  <c r="N2579" i="24"/>
  <c r="Q2579" i="24"/>
  <c r="R2579" i="24"/>
  <c r="W2579" i="24"/>
  <c r="AB2579" i="24"/>
  <c r="C2580" i="24"/>
  <c r="N2580" i="24"/>
  <c r="Q2580" i="24"/>
  <c r="R2580" i="24"/>
  <c r="W2580" i="24"/>
  <c r="AB2580" i="24"/>
  <c r="C2581" i="24"/>
  <c r="N2581" i="24"/>
  <c r="Q2581" i="24"/>
  <c r="R2581" i="24"/>
  <c r="W2581" i="24"/>
  <c r="AB2581" i="24"/>
  <c r="C2582" i="24"/>
  <c r="N2582" i="24"/>
  <c r="Q2582" i="24"/>
  <c r="R2582" i="24"/>
  <c r="W2582" i="24"/>
  <c r="AB2582" i="24"/>
  <c r="C2583" i="24"/>
  <c r="N2583" i="24"/>
  <c r="Q2583" i="24"/>
  <c r="R2583" i="24"/>
  <c r="W2583" i="24"/>
  <c r="AB2583" i="24"/>
  <c r="C2584" i="24"/>
  <c r="N2584" i="24"/>
  <c r="Q2584" i="24"/>
  <c r="R2584" i="24"/>
  <c r="W2584" i="24"/>
  <c r="AB2584" i="24"/>
  <c r="C2585" i="24"/>
  <c r="N2585" i="24"/>
  <c r="Q2585" i="24"/>
  <c r="R2585" i="24"/>
  <c r="W2585" i="24"/>
  <c r="AB2585" i="24"/>
  <c r="C2586" i="24"/>
  <c r="N2586" i="24"/>
  <c r="Q2586" i="24"/>
  <c r="R2586" i="24"/>
  <c r="W2586" i="24"/>
  <c r="AB2586" i="24"/>
  <c r="C2587" i="24"/>
  <c r="N2587" i="24"/>
  <c r="Q2587" i="24"/>
  <c r="R2587" i="24"/>
  <c r="W2587" i="24"/>
  <c r="AB2587" i="24"/>
  <c r="C2588" i="24"/>
  <c r="N2588" i="24"/>
  <c r="Q2588" i="24"/>
  <c r="R2588" i="24"/>
  <c r="W2588" i="24"/>
  <c r="AB2588" i="24"/>
  <c r="C2589" i="24"/>
  <c r="N2589" i="24"/>
  <c r="Q2589" i="24"/>
  <c r="R2589" i="24"/>
  <c r="W2589" i="24"/>
  <c r="AB2589" i="24"/>
  <c r="C2590" i="24"/>
  <c r="N2590" i="24"/>
  <c r="Q2590" i="24"/>
  <c r="R2590" i="24"/>
  <c r="W2590" i="24"/>
  <c r="AB2590" i="24"/>
  <c r="C2591" i="24"/>
  <c r="N2591" i="24"/>
  <c r="Q2591" i="24"/>
  <c r="R2591" i="24"/>
  <c r="W2591" i="24"/>
  <c r="AB2591" i="24"/>
  <c r="C2592" i="24"/>
  <c r="N2592" i="24"/>
  <c r="Q2592" i="24"/>
  <c r="R2592" i="24"/>
  <c r="W2592" i="24"/>
  <c r="AB2592" i="24"/>
  <c r="C2593" i="24"/>
  <c r="N2593" i="24"/>
  <c r="Q2593" i="24"/>
  <c r="R2593" i="24"/>
  <c r="W2593" i="24"/>
  <c r="AB2593" i="24"/>
  <c r="C2594" i="24"/>
  <c r="N2594" i="24"/>
  <c r="Q2594" i="24"/>
  <c r="R2594" i="24"/>
  <c r="W2594" i="24"/>
  <c r="AB2594" i="24"/>
  <c r="C2595" i="24"/>
  <c r="N2595" i="24"/>
  <c r="Q2595" i="24"/>
  <c r="R2595" i="24"/>
  <c r="W2595" i="24"/>
  <c r="AB2595" i="24"/>
  <c r="C2596" i="24"/>
  <c r="N2596" i="24"/>
  <c r="Q2596" i="24"/>
  <c r="R2596" i="24"/>
  <c r="W2596" i="24"/>
  <c r="AB2596" i="24"/>
  <c r="C2597" i="24"/>
  <c r="N2597" i="24"/>
  <c r="Q2597" i="24"/>
  <c r="R2597" i="24"/>
  <c r="W2597" i="24"/>
  <c r="AB2597" i="24"/>
  <c r="C2598" i="24"/>
  <c r="N2598" i="24"/>
  <c r="Q2598" i="24"/>
  <c r="R2598" i="24"/>
  <c r="W2598" i="24"/>
  <c r="AB2598" i="24"/>
  <c r="C2599" i="24"/>
  <c r="N2599" i="24"/>
  <c r="Q2599" i="24"/>
  <c r="R2599" i="24"/>
  <c r="W2599" i="24"/>
  <c r="AB2599" i="24"/>
  <c r="C2600" i="24"/>
  <c r="N2600" i="24"/>
  <c r="Q2600" i="24"/>
  <c r="R2600" i="24"/>
  <c r="W2600" i="24"/>
  <c r="AB2600" i="24"/>
  <c r="C2601" i="24"/>
  <c r="N2601" i="24"/>
  <c r="Q2601" i="24"/>
  <c r="R2601" i="24"/>
  <c r="W2601" i="24"/>
  <c r="AB2601" i="24"/>
  <c r="C2602" i="24"/>
  <c r="N2602" i="24"/>
  <c r="Q2602" i="24"/>
  <c r="R2602" i="24"/>
  <c r="W2602" i="24"/>
  <c r="AB2602" i="24"/>
  <c r="C2603" i="24"/>
  <c r="N2603" i="24"/>
  <c r="Q2603" i="24"/>
  <c r="R2603" i="24"/>
  <c r="W2603" i="24"/>
  <c r="AB2603" i="24"/>
  <c r="C2604" i="24"/>
  <c r="N2604" i="24"/>
  <c r="Q2604" i="24"/>
  <c r="R2604" i="24"/>
  <c r="W2604" i="24"/>
  <c r="AB2604" i="24"/>
  <c r="C2605" i="24"/>
  <c r="N2605" i="24"/>
  <c r="Q2605" i="24"/>
  <c r="R2605" i="24"/>
  <c r="W2605" i="24"/>
  <c r="AB2605" i="24"/>
  <c r="C2606" i="24"/>
  <c r="N2606" i="24"/>
  <c r="Q2606" i="24"/>
  <c r="R2606" i="24"/>
  <c r="W2606" i="24"/>
  <c r="AB2606" i="24"/>
  <c r="C2607" i="24"/>
  <c r="N2607" i="24"/>
  <c r="Q2607" i="24"/>
  <c r="R2607" i="24"/>
  <c r="W2607" i="24"/>
  <c r="AB2607" i="24"/>
  <c r="C2608" i="24"/>
  <c r="N2608" i="24"/>
  <c r="Q2608" i="24"/>
  <c r="R2608" i="24"/>
  <c r="W2608" i="24"/>
  <c r="AB2608" i="24"/>
  <c r="C2609" i="24"/>
  <c r="N2609" i="24"/>
  <c r="Q2609" i="24"/>
  <c r="R2609" i="24"/>
  <c r="W2609" i="24"/>
  <c r="AB2609" i="24"/>
  <c r="C2610" i="24"/>
  <c r="N2610" i="24"/>
  <c r="Q2610" i="24"/>
  <c r="R2610" i="24"/>
  <c r="W2610" i="24"/>
  <c r="AB2610" i="24"/>
  <c r="C2611" i="24"/>
  <c r="N2611" i="24"/>
  <c r="Q2611" i="24"/>
  <c r="R2611" i="24"/>
  <c r="W2611" i="24"/>
  <c r="AB2611" i="24"/>
  <c r="C2612" i="24"/>
  <c r="N2612" i="24"/>
  <c r="Q2612" i="24"/>
  <c r="R2612" i="24"/>
  <c r="W2612" i="24"/>
  <c r="AB2612" i="24"/>
  <c r="C2613" i="24"/>
  <c r="N2613" i="24"/>
  <c r="Q2613" i="24"/>
  <c r="R2613" i="24"/>
  <c r="W2613" i="24"/>
  <c r="AB2613" i="24"/>
  <c r="C2614" i="24"/>
  <c r="N2614" i="24"/>
  <c r="Q2614" i="24"/>
  <c r="R2614" i="24"/>
  <c r="W2614" i="24"/>
  <c r="AB2614" i="24"/>
  <c r="C2615" i="24"/>
  <c r="N2615" i="24"/>
  <c r="Q2615" i="24"/>
  <c r="R2615" i="24"/>
  <c r="W2615" i="24"/>
  <c r="AB2615" i="24"/>
  <c r="C2616" i="24"/>
  <c r="N2616" i="24"/>
  <c r="Q2616" i="24"/>
  <c r="R2616" i="24"/>
  <c r="W2616" i="24"/>
  <c r="AB2616" i="24"/>
  <c r="C2617" i="24"/>
  <c r="N2617" i="24"/>
  <c r="Q2617" i="24"/>
  <c r="R2617" i="24"/>
  <c r="W2617" i="24"/>
  <c r="AB2617" i="24"/>
  <c r="C2618" i="24"/>
  <c r="N2618" i="24"/>
  <c r="Q2618" i="24"/>
  <c r="R2618" i="24"/>
  <c r="W2618" i="24"/>
  <c r="AB2618" i="24"/>
  <c r="C2619" i="24"/>
  <c r="N2619" i="24"/>
  <c r="Q2619" i="24"/>
  <c r="R2619" i="24"/>
  <c r="W2619" i="24"/>
  <c r="AB2619" i="24"/>
  <c r="C2620" i="24"/>
  <c r="N2620" i="24"/>
  <c r="Q2620" i="24"/>
  <c r="R2620" i="24"/>
  <c r="W2620" i="24"/>
  <c r="AB2620" i="24"/>
  <c r="C2621" i="24"/>
  <c r="N2621" i="24"/>
  <c r="Q2621" i="24"/>
  <c r="R2621" i="24"/>
  <c r="W2621" i="24"/>
  <c r="AB2621" i="24"/>
  <c r="C2622" i="24"/>
  <c r="N2622" i="24"/>
  <c r="Q2622" i="24"/>
  <c r="R2622" i="24"/>
  <c r="W2622" i="24"/>
  <c r="AB2622" i="24"/>
  <c r="C2623" i="24"/>
  <c r="N2623" i="24"/>
  <c r="Q2623" i="24"/>
  <c r="R2623" i="24"/>
  <c r="W2623" i="24"/>
  <c r="AB2623" i="24"/>
  <c r="C2624" i="24"/>
  <c r="N2624" i="24"/>
  <c r="Q2624" i="24"/>
  <c r="R2624" i="24"/>
  <c r="W2624" i="24"/>
  <c r="AB2624" i="24"/>
  <c r="C2625" i="24"/>
  <c r="N2625" i="24"/>
  <c r="Q2625" i="24"/>
  <c r="R2625" i="24"/>
  <c r="W2625" i="24"/>
  <c r="AB2625" i="24"/>
  <c r="C2626" i="24"/>
  <c r="N2626" i="24"/>
  <c r="Q2626" i="24"/>
  <c r="R2626" i="24"/>
  <c r="W2626" i="24"/>
  <c r="AB2626" i="24"/>
  <c r="C2627" i="24"/>
  <c r="N2627" i="24"/>
  <c r="Q2627" i="24"/>
  <c r="R2627" i="24"/>
  <c r="W2627" i="24"/>
  <c r="AB2627" i="24"/>
  <c r="C2628" i="24"/>
  <c r="N2628" i="24"/>
  <c r="Q2628" i="24"/>
  <c r="R2628" i="24"/>
  <c r="W2628" i="24"/>
  <c r="AB2628" i="24"/>
  <c r="C2629" i="24"/>
  <c r="N2629" i="24"/>
  <c r="Q2629" i="24"/>
  <c r="R2629" i="24"/>
  <c r="W2629" i="24"/>
  <c r="AB2629" i="24"/>
  <c r="C2630" i="24"/>
  <c r="N2630" i="24"/>
  <c r="Q2630" i="24"/>
  <c r="R2630" i="24"/>
  <c r="W2630" i="24"/>
  <c r="AB2630" i="24"/>
  <c r="C2631" i="24"/>
  <c r="N2631" i="24"/>
  <c r="Q2631" i="24"/>
  <c r="R2631" i="24"/>
  <c r="W2631" i="24"/>
  <c r="AB2631" i="24"/>
  <c r="C2632" i="24"/>
  <c r="N2632" i="24"/>
  <c r="Q2632" i="24"/>
  <c r="R2632" i="24"/>
  <c r="W2632" i="24"/>
  <c r="AB2632" i="24"/>
  <c r="C2633" i="24"/>
  <c r="N2633" i="24"/>
  <c r="Q2633" i="24"/>
  <c r="R2633" i="24"/>
  <c r="W2633" i="24"/>
  <c r="AB2633" i="24"/>
  <c r="C2634" i="24"/>
  <c r="N2634" i="24"/>
  <c r="Q2634" i="24"/>
  <c r="R2634" i="24"/>
  <c r="W2634" i="24"/>
  <c r="AB2634" i="24"/>
  <c r="C2635" i="24"/>
  <c r="N2635" i="24"/>
  <c r="Q2635" i="24"/>
  <c r="R2635" i="24"/>
  <c r="W2635" i="24"/>
  <c r="AB2635" i="24"/>
  <c r="C2636" i="24"/>
  <c r="N2636" i="24"/>
  <c r="Q2636" i="24"/>
  <c r="R2636" i="24"/>
  <c r="W2636" i="24"/>
  <c r="AB2636" i="24"/>
  <c r="C2685" i="24"/>
  <c r="N2685" i="24"/>
  <c r="Q2685" i="24"/>
  <c r="R2685" i="24"/>
  <c r="W2685" i="24"/>
  <c r="AB2685" i="24"/>
  <c r="C2686" i="24"/>
  <c r="N2686" i="24"/>
  <c r="Q2686" i="24"/>
  <c r="R2686" i="24"/>
  <c r="W2686" i="24"/>
  <c r="AB2686" i="24"/>
  <c r="C2687" i="24"/>
  <c r="N2687" i="24"/>
  <c r="Q2687" i="24"/>
  <c r="R2687" i="24"/>
  <c r="W2687" i="24"/>
  <c r="AB2687" i="24"/>
  <c r="C2688" i="24"/>
  <c r="N2688" i="24"/>
  <c r="Q2688" i="24"/>
  <c r="R2688" i="24"/>
  <c r="W2688" i="24"/>
  <c r="AB2688" i="24"/>
  <c r="C2689" i="24"/>
  <c r="N2689" i="24"/>
  <c r="Q2689" i="24"/>
  <c r="R2689" i="24"/>
  <c r="W2689" i="24"/>
  <c r="AB2689" i="24"/>
  <c r="C2690" i="24"/>
  <c r="N2690" i="24"/>
  <c r="Q2690" i="24"/>
  <c r="R2690" i="24"/>
  <c r="W2690" i="24"/>
  <c r="AB2690" i="24"/>
  <c r="C2691" i="24"/>
  <c r="N2691" i="24"/>
  <c r="Q2691" i="24"/>
  <c r="R2691" i="24"/>
  <c r="W2691" i="24"/>
  <c r="AB2691" i="24"/>
  <c r="C2692" i="24"/>
  <c r="N2692" i="24"/>
  <c r="Q2692" i="24"/>
  <c r="R2692" i="24"/>
  <c r="W2692" i="24"/>
  <c r="AB2692" i="24"/>
  <c r="C2693" i="24"/>
  <c r="N2693" i="24"/>
  <c r="Q2693" i="24"/>
  <c r="R2693" i="24"/>
  <c r="W2693" i="24"/>
  <c r="AB2693" i="24"/>
  <c r="C2694" i="24"/>
  <c r="N2694" i="24"/>
  <c r="Q2694" i="24"/>
  <c r="R2694" i="24"/>
  <c r="W2694" i="24"/>
  <c r="AB2694" i="24"/>
  <c r="C2695" i="24"/>
  <c r="N2695" i="24"/>
  <c r="Q2695" i="24"/>
  <c r="R2695" i="24"/>
  <c r="W2695" i="24"/>
  <c r="AB2695" i="24"/>
  <c r="C2696" i="24"/>
  <c r="N2696" i="24"/>
  <c r="Q2696" i="24"/>
  <c r="R2696" i="24"/>
  <c r="W2696" i="24"/>
  <c r="AB2696" i="24"/>
  <c r="C2697" i="24"/>
  <c r="N2697" i="24"/>
  <c r="Q2697" i="24"/>
  <c r="R2697" i="24"/>
  <c r="W2697" i="24"/>
  <c r="AB2697" i="24"/>
  <c r="C2698" i="24"/>
  <c r="N2698" i="24"/>
  <c r="Q2698" i="24"/>
  <c r="R2698" i="24"/>
  <c r="W2698" i="24"/>
  <c r="AB2698" i="24"/>
  <c r="C2699" i="24"/>
  <c r="N2699" i="24"/>
  <c r="Q2699" i="24"/>
  <c r="R2699" i="24"/>
  <c r="W2699" i="24"/>
  <c r="AB2699" i="24"/>
  <c r="C2700" i="24"/>
  <c r="N2700" i="24"/>
  <c r="Q2700" i="24"/>
  <c r="R2700" i="24"/>
  <c r="W2700" i="24"/>
  <c r="AB2700" i="24"/>
  <c r="C2701" i="24"/>
  <c r="N2701" i="24"/>
  <c r="Q2701" i="24"/>
  <c r="R2701" i="24"/>
  <c r="W2701" i="24"/>
  <c r="AB2701" i="24"/>
  <c r="C2702" i="24"/>
  <c r="N2702" i="24"/>
  <c r="Q2702" i="24"/>
  <c r="R2702" i="24"/>
  <c r="W2702" i="24"/>
  <c r="AB2702" i="24"/>
  <c r="C2703" i="24"/>
  <c r="N2703" i="24"/>
  <c r="Q2703" i="24"/>
  <c r="R2703" i="24"/>
  <c r="W2703" i="24"/>
  <c r="AB2703" i="24"/>
  <c r="C2704" i="24"/>
  <c r="N2704" i="24"/>
  <c r="Q2704" i="24"/>
  <c r="R2704" i="24"/>
  <c r="W2704" i="24"/>
  <c r="AB2704" i="24"/>
  <c r="C2705" i="24"/>
  <c r="N2705" i="24"/>
  <c r="Q2705" i="24"/>
  <c r="R2705" i="24"/>
  <c r="W2705" i="24"/>
  <c r="AB2705" i="24"/>
  <c r="C2706" i="24"/>
  <c r="N2706" i="24"/>
  <c r="Q2706" i="24"/>
  <c r="R2706" i="24"/>
  <c r="W2706" i="24"/>
  <c r="AB2706" i="24"/>
  <c r="C2707" i="24"/>
  <c r="N2707" i="24"/>
  <c r="Q2707" i="24"/>
  <c r="R2707" i="24"/>
  <c r="W2707" i="24"/>
  <c r="AB2707" i="24"/>
  <c r="C2708" i="24"/>
  <c r="N2708" i="24"/>
  <c r="Q2708" i="24"/>
  <c r="R2708" i="24"/>
  <c r="W2708" i="24"/>
  <c r="AB2708" i="24"/>
  <c r="C2709" i="24"/>
  <c r="N2709" i="24"/>
  <c r="Q2709" i="24"/>
  <c r="R2709" i="24"/>
  <c r="W2709" i="24"/>
  <c r="AB2709" i="24"/>
  <c r="C2710" i="24"/>
  <c r="N2710" i="24"/>
  <c r="Q2710" i="24"/>
  <c r="R2710" i="24"/>
  <c r="W2710" i="24"/>
  <c r="AB2710" i="24"/>
  <c r="C2711" i="24"/>
  <c r="N2711" i="24"/>
  <c r="Q2711" i="24"/>
  <c r="R2711" i="24"/>
  <c r="W2711" i="24"/>
  <c r="AB2711" i="24"/>
  <c r="C2712" i="24"/>
  <c r="N2712" i="24"/>
  <c r="Q2712" i="24"/>
  <c r="R2712" i="24"/>
  <c r="W2712" i="24"/>
  <c r="AB2712" i="24"/>
  <c r="C2713" i="24"/>
  <c r="N2713" i="24"/>
  <c r="Q2713" i="24"/>
  <c r="R2713" i="24"/>
  <c r="W2713" i="24"/>
  <c r="AB2713" i="24"/>
  <c r="C2714" i="24"/>
  <c r="N2714" i="24"/>
  <c r="Q2714" i="24"/>
  <c r="R2714" i="24"/>
  <c r="W2714" i="24"/>
  <c r="AB2714" i="24"/>
  <c r="C2715" i="24"/>
  <c r="N2715" i="24"/>
  <c r="Q2715" i="24"/>
  <c r="R2715" i="24"/>
  <c r="W2715" i="24"/>
  <c r="AB2715" i="24"/>
  <c r="C2716" i="24"/>
  <c r="N2716" i="24"/>
  <c r="Q2716" i="24"/>
  <c r="R2716" i="24"/>
  <c r="W2716" i="24"/>
  <c r="AB2716" i="24"/>
  <c r="C2717" i="24"/>
  <c r="N2717" i="24"/>
  <c r="Q2717" i="24"/>
  <c r="R2717" i="24"/>
  <c r="W2717" i="24"/>
  <c r="AB2717" i="24"/>
  <c r="C2718" i="24"/>
  <c r="N2718" i="24"/>
  <c r="Q2718" i="24"/>
  <c r="R2718" i="24"/>
  <c r="W2718" i="24"/>
  <c r="AB2718" i="24"/>
  <c r="C2719" i="24"/>
  <c r="N2719" i="24"/>
  <c r="Q2719" i="24"/>
  <c r="R2719" i="24"/>
  <c r="W2719" i="24"/>
  <c r="AB2719" i="24"/>
  <c r="C2720" i="24"/>
  <c r="N2720" i="24"/>
  <c r="Q2720" i="24"/>
  <c r="R2720" i="24"/>
  <c r="W2720" i="24"/>
  <c r="AB2720" i="24"/>
  <c r="C2721" i="24"/>
  <c r="N2721" i="24"/>
  <c r="Q2721" i="24"/>
  <c r="R2721" i="24"/>
  <c r="W2721" i="24"/>
  <c r="AB2721" i="24"/>
  <c r="C2722" i="24"/>
  <c r="N2722" i="24"/>
  <c r="Q2722" i="24"/>
  <c r="R2722" i="24"/>
  <c r="W2722" i="24"/>
  <c r="AB2722" i="24"/>
  <c r="C2723" i="24"/>
  <c r="N2723" i="24"/>
  <c r="Q2723" i="24"/>
  <c r="R2723" i="24"/>
  <c r="W2723" i="24"/>
  <c r="AB2723" i="24"/>
  <c r="C2724" i="24"/>
  <c r="N2724" i="24"/>
  <c r="Q2724" i="24"/>
  <c r="R2724" i="24"/>
  <c r="W2724" i="24"/>
  <c r="AB2724" i="24"/>
  <c r="C2725" i="24"/>
  <c r="N2725" i="24"/>
  <c r="Q2725" i="24"/>
  <c r="R2725" i="24"/>
  <c r="W2725" i="24"/>
  <c r="AB2725" i="24"/>
  <c r="C2726" i="24"/>
  <c r="N2726" i="24"/>
  <c r="Q2726" i="24"/>
  <c r="R2726" i="24"/>
  <c r="W2726" i="24"/>
  <c r="AB2726" i="24"/>
  <c r="C2727" i="24"/>
  <c r="N2727" i="24"/>
  <c r="Q2727" i="24"/>
  <c r="R2727" i="24"/>
  <c r="W2727" i="24"/>
  <c r="AB2727" i="24"/>
  <c r="C2728" i="24"/>
  <c r="N2728" i="24"/>
  <c r="Q2728" i="24"/>
  <c r="R2728" i="24"/>
  <c r="W2728" i="24"/>
  <c r="AB2728" i="24"/>
  <c r="C2729" i="24"/>
  <c r="N2729" i="24"/>
  <c r="Q2729" i="24"/>
  <c r="R2729" i="24"/>
  <c r="W2729" i="24"/>
  <c r="AB2729" i="24"/>
  <c r="C2730" i="24"/>
  <c r="N2730" i="24"/>
  <c r="Q2730" i="24"/>
  <c r="R2730" i="24"/>
  <c r="W2730" i="24"/>
  <c r="AB2730" i="24"/>
  <c r="C2731" i="24"/>
  <c r="N2731" i="24"/>
  <c r="Q2731" i="24"/>
  <c r="R2731" i="24"/>
  <c r="W2731" i="24"/>
  <c r="AB2731" i="24"/>
  <c r="C2732" i="24"/>
  <c r="N2732" i="24"/>
  <c r="Q2732" i="24"/>
  <c r="R2732" i="24"/>
  <c r="W2732" i="24"/>
  <c r="AB2732" i="24"/>
  <c r="C2733" i="24"/>
  <c r="N2733" i="24"/>
  <c r="Q2733" i="24"/>
  <c r="R2733" i="24"/>
  <c r="W2733" i="24"/>
  <c r="AB2733" i="24"/>
  <c r="C2734" i="24"/>
  <c r="N2734" i="24"/>
  <c r="Q2734" i="24"/>
  <c r="R2734" i="24"/>
  <c r="W2734" i="24"/>
  <c r="AB2734" i="24"/>
  <c r="C2735" i="24"/>
  <c r="N2735" i="24"/>
  <c r="Q2735" i="24"/>
  <c r="R2735" i="24"/>
  <c r="W2735" i="24"/>
  <c r="AB2735" i="24"/>
  <c r="C2736" i="24"/>
  <c r="N2736" i="24"/>
  <c r="Q2736" i="24"/>
  <c r="R2736" i="24"/>
  <c r="W2736" i="24"/>
  <c r="AB2736" i="24"/>
  <c r="C2737" i="24"/>
  <c r="N2737" i="24"/>
  <c r="Q2737" i="24"/>
  <c r="R2737" i="24"/>
  <c r="W2737" i="24"/>
  <c r="AB2737" i="24"/>
  <c r="C2738" i="24"/>
  <c r="N2738" i="24"/>
  <c r="Q2738" i="24"/>
  <c r="R2738" i="24"/>
  <c r="W2738" i="24"/>
  <c r="AB2738" i="24"/>
  <c r="C2739" i="24"/>
  <c r="N2739" i="24"/>
  <c r="Q2739" i="24"/>
  <c r="R2739" i="24"/>
  <c r="W2739" i="24"/>
  <c r="AB2739" i="24"/>
  <c r="C2740" i="24"/>
  <c r="N2740" i="24"/>
  <c r="Q2740" i="24"/>
  <c r="R2740" i="24"/>
  <c r="W2740" i="24"/>
  <c r="AB2740" i="24"/>
  <c r="C2741" i="24"/>
  <c r="N2741" i="24"/>
  <c r="Q2741" i="24"/>
  <c r="R2741" i="24"/>
  <c r="W2741" i="24"/>
  <c r="AB2741" i="24"/>
  <c r="C2742" i="24"/>
  <c r="N2742" i="24"/>
  <c r="Q2742" i="24"/>
  <c r="R2742" i="24"/>
  <c r="W2742" i="24"/>
  <c r="AB2742" i="24"/>
  <c r="C2743" i="24"/>
  <c r="N2743" i="24"/>
  <c r="Q2743" i="24"/>
  <c r="R2743" i="24"/>
  <c r="W2743" i="24"/>
  <c r="AB2743" i="24"/>
  <c r="C2744" i="24"/>
  <c r="N2744" i="24"/>
  <c r="Q2744" i="24"/>
  <c r="R2744" i="24"/>
  <c r="W2744" i="24"/>
  <c r="AB2744" i="24"/>
  <c r="C2745" i="24"/>
  <c r="N2745" i="24"/>
  <c r="Q2745" i="24"/>
  <c r="R2745" i="24"/>
  <c r="W2745" i="24"/>
  <c r="AB2745" i="24"/>
  <c r="C2746" i="24"/>
  <c r="N2746" i="24"/>
  <c r="Q2746" i="24"/>
  <c r="R2746" i="24"/>
  <c r="W2746" i="24"/>
  <c r="AB2746" i="24"/>
  <c r="C2747" i="24"/>
  <c r="N2747" i="24"/>
  <c r="Q2747" i="24"/>
  <c r="R2747" i="24"/>
  <c r="W2747" i="24"/>
  <c r="AB2747" i="24"/>
  <c r="C2748" i="24"/>
  <c r="N2748" i="24"/>
  <c r="Q2748" i="24"/>
  <c r="R2748" i="24"/>
  <c r="W2748" i="24"/>
  <c r="AB2748" i="24"/>
  <c r="C2749" i="24"/>
  <c r="N2749" i="24"/>
  <c r="Q2749" i="24"/>
  <c r="R2749" i="24"/>
  <c r="W2749" i="24"/>
  <c r="AB2749" i="24"/>
  <c r="C2750" i="24"/>
  <c r="N2750" i="24"/>
  <c r="Q2750" i="24"/>
  <c r="R2750" i="24"/>
  <c r="W2750" i="24"/>
  <c r="AB2750" i="24"/>
  <c r="C2751" i="24"/>
  <c r="N2751" i="24"/>
  <c r="Q2751" i="24"/>
  <c r="R2751" i="24"/>
  <c r="W2751" i="24"/>
  <c r="AB2751" i="24"/>
  <c r="C2752" i="24"/>
  <c r="N2752" i="24"/>
  <c r="Q2752" i="24"/>
  <c r="R2752" i="24"/>
  <c r="W2752" i="24"/>
  <c r="AB2752" i="24"/>
  <c r="C2753" i="24"/>
  <c r="N2753" i="24"/>
  <c r="Q2753" i="24"/>
  <c r="R2753" i="24"/>
  <c r="W2753" i="24"/>
  <c r="AB2753" i="24"/>
  <c r="C2754" i="24"/>
  <c r="N2754" i="24"/>
  <c r="Q2754" i="24"/>
  <c r="R2754" i="24"/>
  <c r="W2754" i="24"/>
  <c r="AB2754" i="24"/>
  <c r="C2755" i="24"/>
  <c r="N2755" i="24"/>
  <c r="Q2755" i="24"/>
  <c r="R2755" i="24"/>
  <c r="W2755" i="24"/>
  <c r="AB2755" i="24"/>
  <c r="C2756" i="24"/>
  <c r="N2756" i="24"/>
  <c r="Q2756" i="24"/>
  <c r="R2756" i="24"/>
  <c r="W2756" i="24"/>
  <c r="AB2756" i="24"/>
  <c r="C2757" i="24"/>
  <c r="N2757" i="24"/>
  <c r="Q2757" i="24"/>
  <c r="R2757" i="24"/>
  <c r="W2757" i="24"/>
  <c r="AB2757" i="24"/>
  <c r="C2758" i="24"/>
  <c r="N2758" i="24"/>
  <c r="Q2758" i="24"/>
  <c r="R2758" i="24"/>
  <c r="W2758" i="24"/>
  <c r="AB2758" i="24"/>
  <c r="C2759" i="24"/>
  <c r="N2759" i="24"/>
  <c r="Q2759" i="24"/>
  <c r="R2759" i="24"/>
  <c r="W2759" i="24"/>
  <c r="AB2759" i="24"/>
  <c r="C2760" i="24"/>
  <c r="N2760" i="24"/>
  <c r="Q2760" i="24"/>
  <c r="R2760" i="24"/>
  <c r="W2760" i="24"/>
  <c r="AB2760" i="24"/>
  <c r="C2761" i="24"/>
  <c r="N2761" i="24"/>
  <c r="Q2761" i="24"/>
  <c r="R2761" i="24"/>
  <c r="W2761" i="24"/>
  <c r="AB2761" i="24"/>
  <c r="C2762" i="24"/>
  <c r="N2762" i="24"/>
  <c r="Q2762" i="24"/>
  <c r="R2762" i="24"/>
  <c r="W2762" i="24"/>
  <c r="AB2762" i="24"/>
  <c r="C2763" i="24"/>
  <c r="N2763" i="24"/>
  <c r="Q2763" i="24"/>
  <c r="R2763" i="24"/>
  <c r="W2763" i="24"/>
  <c r="AB2763" i="24"/>
  <c r="C2764" i="24"/>
  <c r="N2764" i="24"/>
  <c r="Q2764" i="24"/>
  <c r="R2764" i="24"/>
  <c r="W2764" i="24"/>
  <c r="AB2764" i="24"/>
  <c r="C2765" i="24"/>
  <c r="N2765" i="24"/>
  <c r="Q2765" i="24"/>
  <c r="R2765" i="24"/>
  <c r="W2765" i="24"/>
  <c r="AB2765" i="24"/>
  <c r="C2766" i="24"/>
  <c r="N2766" i="24"/>
  <c r="Q2766" i="24"/>
  <c r="R2766" i="24"/>
  <c r="W2766" i="24"/>
  <c r="AB2766" i="24"/>
  <c r="C2767" i="24"/>
  <c r="N2767" i="24"/>
  <c r="Q2767" i="24"/>
  <c r="R2767" i="24"/>
  <c r="W2767" i="24"/>
  <c r="AB2767" i="24"/>
  <c r="C2768" i="24"/>
  <c r="N2768" i="24"/>
  <c r="Q2768" i="24"/>
  <c r="R2768" i="24"/>
  <c r="W2768" i="24"/>
  <c r="AB2768" i="24"/>
  <c r="C2769" i="24"/>
  <c r="N2769" i="24"/>
  <c r="Q2769" i="24"/>
  <c r="R2769" i="24"/>
  <c r="W2769" i="24"/>
  <c r="AB2769" i="24"/>
  <c r="C2770" i="24"/>
  <c r="N2770" i="24"/>
  <c r="Q2770" i="24"/>
  <c r="R2770" i="24"/>
  <c r="W2770" i="24"/>
  <c r="AB2770" i="24"/>
  <c r="C2771" i="24"/>
  <c r="N2771" i="24"/>
  <c r="Q2771" i="24"/>
  <c r="R2771" i="24"/>
  <c r="W2771" i="24"/>
  <c r="AB2771" i="24"/>
  <c r="C2772" i="24"/>
  <c r="N2772" i="24"/>
  <c r="Q2772" i="24"/>
  <c r="R2772" i="24"/>
  <c r="W2772" i="24"/>
  <c r="AB2772" i="24"/>
  <c r="C2773" i="24"/>
  <c r="N2773" i="24"/>
  <c r="Q2773" i="24"/>
  <c r="R2773" i="24"/>
  <c r="W2773" i="24"/>
  <c r="AB2773" i="24"/>
  <c r="C2774" i="24"/>
  <c r="N2774" i="24"/>
  <c r="Q2774" i="24"/>
  <c r="R2774" i="24"/>
  <c r="W2774" i="24"/>
  <c r="AB2774" i="24"/>
  <c r="C2775" i="24"/>
  <c r="N2775" i="24"/>
  <c r="Q2775" i="24"/>
  <c r="R2775" i="24"/>
  <c r="W2775" i="24"/>
  <c r="AB2775" i="24"/>
  <c r="C2776" i="24"/>
  <c r="N2776" i="24"/>
  <c r="Q2776" i="24"/>
  <c r="R2776" i="24"/>
  <c r="W2776" i="24"/>
  <c r="AB2776" i="24"/>
  <c r="C2777" i="24"/>
  <c r="N2777" i="24"/>
  <c r="Q2777" i="24"/>
  <c r="R2777" i="24"/>
  <c r="W2777" i="24"/>
  <c r="AB2777" i="24"/>
  <c r="C2778" i="24"/>
  <c r="N2778" i="24"/>
  <c r="Q2778" i="24"/>
  <c r="R2778" i="24"/>
  <c r="W2778" i="24"/>
  <c r="AB2778" i="24"/>
  <c r="C2779" i="24"/>
  <c r="N2779" i="24"/>
  <c r="Q2779" i="24"/>
  <c r="R2779" i="24"/>
  <c r="W2779" i="24"/>
  <c r="AB2779" i="24"/>
  <c r="C2780" i="24"/>
  <c r="N2780" i="24"/>
  <c r="Q2780" i="24"/>
  <c r="R2780" i="24"/>
  <c r="W2780" i="24"/>
  <c r="AB2780" i="24"/>
  <c r="C2781" i="24"/>
  <c r="N2781" i="24"/>
  <c r="Q2781" i="24"/>
  <c r="R2781" i="24"/>
  <c r="W2781" i="24"/>
  <c r="AB2781" i="24"/>
  <c r="C2782" i="24"/>
  <c r="N2782" i="24"/>
  <c r="Q2782" i="24"/>
  <c r="R2782" i="24"/>
  <c r="W2782" i="24"/>
  <c r="AB2782" i="24"/>
  <c r="C2783" i="24"/>
  <c r="N2783" i="24"/>
  <c r="Q2783" i="24"/>
  <c r="R2783" i="24"/>
  <c r="W2783" i="24"/>
  <c r="AB2783" i="24"/>
  <c r="C2784" i="24"/>
  <c r="N2784" i="24"/>
  <c r="Q2784" i="24"/>
  <c r="R2784" i="24"/>
  <c r="W2784" i="24"/>
  <c r="AB2784" i="24"/>
  <c r="C2785" i="24"/>
  <c r="N2785" i="24"/>
  <c r="Q2785" i="24"/>
  <c r="R2785" i="24"/>
  <c r="W2785" i="24"/>
  <c r="AB2785" i="24"/>
  <c r="C2786" i="24"/>
  <c r="N2786" i="24"/>
  <c r="Q2786" i="24"/>
  <c r="R2786" i="24"/>
  <c r="W2786" i="24"/>
  <c r="AB2786" i="24"/>
  <c r="C2787" i="24"/>
  <c r="N2787" i="24"/>
  <c r="Q2787" i="24"/>
  <c r="R2787" i="24"/>
  <c r="W2787" i="24"/>
  <c r="AB2787" i="24"/>
  <c r="C2788" i="24"/>
  <c r="N2788" i="24"/>
  <c r="Q2788" i="24"/>
  <c r="R2788" i="24"/>
  <c r="W2788" i="24"/>
  <c r="AB2788" i="24"/>
  <c r="C2789" i="24"/>
  <c r="N2789" i="24"/>
  <c r="Q2789" i="24"/>
  <c r="R2789" i="24"/>
  <c r="W2789" i="24"/>
  <c r="AB2789" i="24"/>
  <c r="C2790" i="24"/>
  <c r="N2790" i="24"/>
  <c r="Q2790" i="24"/>
  <c r="R2790" i="24"/>
  <c r="W2790" i="24"/>
  <c r="AB2790" i="24"/>
  <c r="C2791" i="24"/>
  <c r="N2791" i="24"/>
  <c r="Q2791" i="24"/>
  <c r="R2791" i="24"/>
  <c r="W2791" i="24"/>
  <c r="AB2791" i="24"/>
  <c r="C2792" i="24"/>
  <c r="N2792" i="24"/>
  <c r="Q2792" i="24"/>
  <c r="R2792" i="24"/>
  <c r="W2792" i="24"/>
  <c r="AB2792" i="24"/>
  <c r="C2793" i="24"/>
  <c r="N2793" i="24"/>
  <c r="O2793" i="24"/>
  <c r="Q2793" i="24"/>
  <c r="R2793" i="24"/>
  <c r="W2793" i="24"/>
  <c r="AB2793" i="24"/>
  <c r="C2794" i="24"/>
  <c r="N2794" i="24"/>
  <c r="Q2794" i="24"/>
  <c r="R2794" i="24"/>
  <c r="W2794" i="24"/>
  <c r="AB2794" i="24"/>
  <c r="C2795" i="24"/>
  <c r="N2795" i="24"/>
  <c r="Q2795" i="24"/>
  <c r="R2795" i="24"/>
  <c r="W2795" i="24"/>
  <c r="AB2795" i="24"/>
  <c r="C2796" i="24"/>
  <c r="N2796" i="24"/>
  <c r="Q2796" i="24"/>
  <c r="R2796" i="24"/>
  <c r="W2796" i="24"/>
  <c r="AB2796" i="24"/>
  <c r="C2797" i="24"/>
  <c r="N2797" i="24"/>
  <c r="Q2797" i="24"/>
  <c r="R2797" i="24"/>
  <c r="W2797" i="24"/>
  <c r="AB2797" i="24"/>
  <c r="C2798" i="24"/>
  <c r="N2798" i="24"/>
  <c r="Q2798" i="24"/>
  <c r="R2798" i="24"/>
  <c r="W2798" i="24"/>
  <c r="AB2798" i="24"/>
  <c r="C2799" i="24"/>
  <c r="N2799" i="24"/>
  <c r="Q2799" i="24"/>
  <c r="R2799" i="24"/>
  <c r="W2799" i="24"/>
  <c r="AB2799" i="24"/>
  <c r="C2800" i="24"/>
  <c r="N2800" i="24"/>
  <c r="Q2800" i="24"/>
  <c r="R2800" i="24"/>
  <c r="W2800" i="24"/>
  <c r="AB2800" i="24"/>
  <c r="C2801" i="24"/>
  <c r="N2801" i="24"/>
  <c r="Q2801" i="24"/>
  <c r="R2801" i="24"/>
  <c r="W2801" i="24"/>
  <c r="AB2801" i="24"/>
  <c r="C2802" i="24"/>
  <c r="N2802" i="24"/>
  <c r="Q2802" i="24"/>
  <c r="R2802" i="24"/>
  <c r="W2802" i="24"/>
  <c r="AB2802" i="24"/>
  <c r="C2803" i="24"/>
  <c r="N2803" i="24"/>
  <c r="Q2803" i="24"/>
  <c r="R2803" i="24"/>
  <c r="W2803" i="24"/>
  <c r="AB2803" i="24"/>
  <c r="C2804" i="24"/>
  <c r="N2804" i="24"/>
  <c r="Q2804" i="24"/>
  <c r="R2804" i="24"/>
  <c r="W2804" i="24"/>
  <c r="AB2804" i="24"/>
  <c r="C2805" i="24"/>
  <c r="N2805" i="24"/>
  <c r="Q2805" i="24"/>
  <c r="R2805" i="24"/>
  <c r="W2805" i="24"/>
  <c r="AB2805" i="24"/>
  <c r="C2806" i="24"/>
  <c r="N2806" i="24"/>
  <c r="Q2806" i="24"/>
  <c r="R2806" i="24"/>
  <c r="W2806" i="24"/>
  <c r="AB2806" i="24"/>
  <c r="C2807" i="24"/>
  <c r="N2807" i="24"/>
  <c r="Q2807" i="24"/>
  <c r="R2807" i="24"/>
  <c r="W2807" i="24"/>
  <c r="AB2807" i="24"/>
  <c r="C2808" i="24"/>
  <c r="N2808" i="24"/>
  <c r="Q2808" i="24"/>
  <c r="R2808" i="24"/>
  <c r="W2808" i="24"/>
  <c r="AB2808" i="24"/>
  <c r="C2809" i="24"/>
  <c r="N2809" i="24"/>
  <c r="Q2809" i="24"/>
  <c r="R2809" i="24"/>
  <c r="W2809" i="24"/>
  <c r="AB2809" i="24"/>
  <c r="C2810" i="24"/>
  <c r="N2810" i="24"/>
  <c r="Q2810" i="24"/>
  <c r="R2810" i="24"/>
  <c r="W2810" i="24"/>
  <c r="AB2810" i="24"/>
  <c r="C2811" i="24"/>
  <c r="N2811" i="24"/>
  <c r="Q2811" i="24"/>
  <c r="R2811" i="24"/>
  <c r="W2811" i="24"/>
  <c r="AB2811" i="24"/>
  <c r="C2812" i="24"/>
  <c r="N2812" i="24"/>
  <c r="Q2812" i="24"/>
  <c r="R2812" i="24"/>
  <c r="W2812" i="24"/>
  <c r="AB2812" i="24"/>
  <c r="C2813" i="24"/>
  <c r="N2813" i="24"/>
  <c r="Q2813" i="24"/>
  <c r="R2813" i="24"/>
  <c r="W2813" i="24"/>
  <c r="AB2813" i="24"/>
  <c r="C2814" i="24"/>
  <c r="N2814" i="24"/>
  <c r="Q2814" i="24"/>
  <c r="R2814" i="24"/>
  <c r="W2814" i="24"/>
  <c r="AB2814" i="24"/>
  <c r="C2815" i="24"/>
  <c r="N2815" i="24"/>
  <c r="Q2815" i="24"/>
  <c r="R2815" i="24"/>
  <c r="W2815" i="24"/>
  <c r="AB2815" i="24"/>
  <c r="C2816" i="24"/>
  <c r="N2816" i="24"/>
  <c r="Q2816" i="24"/>
  <c r="R2816" i="24"/>
  <c r="W2816" i="24"/>
  <c r="AB2816" i="24"/>
  <c r="C2817" i="24"/>
  <c r="N2817" i="24"/>
  <c r="Q2817" i="24"/>
  <c r="R2817" i="24"/>
  <c r="W2817" i="24"/>
  <c r="AB2817" i="24"/>
  <c r="C2818" i="24"/>
  <c r="N2818" i="24"/>
  <c r="Q2818" i="24"/>
  <c r="R2818" i="24"/>
  <c r="W2818" i="24"/>
  <c r="AB2818" i="24"/>
  <c r="C2819" i="24"/>
  <c r="N2819" i="24"/>
  <c r="Q2819" i="24"/>
  <c r="R2819" i="24"/>
  <c r="W2819" i="24"/>
  <c r="AB2819" i="24"/>
  <c r="C2820" i="24"/>
  <c r="N2820" i="24"/>
  <c r="Q2820" i="24"/>
  <c r="R2820" i="24"/>
  <c r="W2820" i="24"/>
  <c r="AB2820" i="24"/>
  <c r="C2821" i="24"/>
  <c r="N2821" i="24"/>
  <c r="Q2821" i="24"/>
  <c r="R2821" i="24"/>
  <c r="W2821" i="24"/>
  <c r="AB2821" i="24"/>
  <c r="C2822" i="24"/>
  <c r="N2822" i="24"/>
  <c r="Q2822" i="24"/>
  <c r="R2822" i="24"/>
  <c r="W2822" i="24"/>
  <c r="AB2822" i="24"/>
  <c r="C2823" i="24"/>
  <c r="N2823" i="24"/>
  <c r="Q2823" i="24"/>
  <c r="R2823" i="24"/>
  <c r="W2823" i="24"/>
  <c r="AB2823" i="24"/>
  <c r="C2824" i="24"/>
  <c r="N2824" i="24"/>
  <c r="Q2824" i="24"/>
  <c r="R2824" i="24"/>
  <c r="W2824" i="24"/>
  <c r="AB2824" i="24"/>
  <c r="C2825" i="24"/>
  <c r="N2825" i="24"/>
  <c r="Q2825" i="24"/>
  <c r="R2825" i="24"/>
  <c r="W2825" i="24"/>
  <c r="AB2825" i="24"/>
  <c r="C2826" i="24"/>
  <c r="N2826" i="24"/>
  <c r="Q2826" i="24"/>
  <c r="R2826" i="24"/>
  <c r="W2826" i="24"/>
  <c r="AB2826" i="24"/>
  <c r="C2827" i="24"/>
  <c r="N2827" i="24"/>
  <c r="Q2827" i="24"/>
  <c r="R2827" i="24"/>
  <c r="W2827" i="24"/>
  <c r="AB2827" i="24"/>
  <c r="C2828" i="24"/>
  <c r="N2828" i="24"/>
  <c r="Q2828" i="24"/>
  <c r="R2828" i="24"/>
  <c r="W2828" i="24"/>
  <c r="AB2828" i="24"/>
  <c r="C2829" i="24"/>
  <c r="N2829" i="24"/>
  <c r="Q2829" i="24"/>
  <c r="R2829" i="24"/>
  <c r="W2829" i="24"/>
  <c r="AB2829" i="24"/>
  <c r="C2830" i="24"/>
  <c r="N2830" i="24"/>
  <c r="Q2830" i="24"/>
  <c r="R2830" i="24"/>
  <c r="W2830" i="24"/>
  <c r="AB2830" i="24"/>
  <c r="C2831" i="24"/>
  <c r="N2831" i="24"/>
  <c r="Q2831" i="24"/>
  <c r="R2831" i="24"/>
  <c r="W2831" i="24"/>
  <c r="AB2831" i="24"/>
  <c r="C2832" i="24"/>
  <c r="N2832" i="24"/>
  <c r="Q2832" i="24"/>
  <c r="R2832" i="24"/>
  <c r="W2832" i="24"/>
  <c r="AB2832" i="24"/>
  <c r="C2833" i="24"/>
  <c r="N2833" i="24"/>
  <c r="Q2833" i="24"/>
  <c r="R2833" i="24"/>
  <c r="W2833" i="24"/>
  <c r="AB2833" i="24"/>
  <c r="C2834" i="24"/>
  <c r="N2834" i="24"/>
  <c r="Q2834" i="24"/>
  <c r="R2834" i="24"/>
  <c r="W2834" i="24"/>
  <c r="AB2834" i="24"/>
  <c r="C2835" i="24"/>
  <c r="N2835" i="24"/>
  <c r="Q2835" i="24"/>
  <c r="R2835" i="24"/>
  <c r="W2835" i="24"/>
  <c r="AB2835" i="24"/>
  <c r="C2836" i="24"/>
  <c r="N2836" i="24"/>
  <c r="Q2836" i="24"/>
  <c r="R2836" i="24"/>
  <c r="W2836" i="24"/>
  <c r="AB2836" i="24"/>
  <c r="C2837" i="24"/>
  <c r="N2837" i="24"/>
  <c r="Q2837" i="24"/>
  <c r="R2837" i="24"/>
  <c r="W2837" i="24"/>
  <c r="AB2837" i="24"/>
  <c r="C2838" i="24"/>
  <c r="N2838" i="24"/>
  <c r="Q2838" i="24"/>
  <c r="R2838" i="24"/>
  <c r="W2838" i="24"/>
  <c r="AB2838" i="24"/>
  <c r="C2839" i="24"/>
  <c r="N2839" i="24"/>
  <c r="Q2839" i="24"/>
  <c r="R2839" i="24"/>
  <c r="W2839" i="24"/>
  <c r="AB2839" i="24"/>
  <c r="C2840" i="24"/>
  <c r="N2840" i="24"/>
  <c r="Q2840" i="24"/>
  <c r="R2840" i="24"/>
  <c r="W2840" i="24"/>
  <c r="AB2840" i="24"/>
  <c r="C2841" i="24"/>
  <c r="N2841" i="24"/>
  <c r="Q2841" i="24"/>
  <c r="R2841" i="24"/>
  <c r="W2841" i="24"/>
  <c r="AB2841" i="24"/>
  <c r="C2842" i="24"/>
  <c r="N2842" i="24"/>
  <c r="Q2842" i="24"/>
  <c r="R2842" i="24"/>
  <c r="W2842" i="24"/>
  <c r="AB2842" i="24"/>
  <c r="C2843" i="24"/>
  <c r="N2843" i="24"/>
  <c r="Q2843" i="24"/>
  <c r="R2843" i="24"/>
  <c r="W2843" i="24"/>
  <c r="AB2843" i="24"/>
  <c r="C2844" i="24"/>
  <c r="N2844" i="24"/>
  <c r="Q2844" i="24"/>
  <c r="R2844" i="24"/>
  <c r="W2844" i="24"/>
  <c r="AB2844" i="24"/>
  <c r="C2845" i="24"/>
  <c r="N2845" i="24"/>
  <c r="Q2845" i="24"/>
  <c r="R2845" i="24"/>
  <c r="W2845" i="24"/>
  <c r="AB2845" i="24"/>
  <c r="C2846" i="24"/>
  <c r="N2846" i="24"/>
  <c r="Q2846" i="24"/>
  <c r="R2846" i="24"/>
  <c r="W2846" i="24"/>
  <c r="AB2846" i="24"/>
  <c r="C2847" i="24"/>
  <c r="N2847" i="24"/>
  <c r="Q2847" i="24"/>
  <c r="R2847" i="24"/>
  <c r="W2847" i="24"/>
  <c r="AB2847" i="24"/>
  <c r="C2848" i="24"/>
  <c r="N2848" i="24"/>
  <c r="Q2848" i="24"/>
  <c r="R2848" i="24"/>
  <c r="W2848" i="24"/>
  <c r="AB2848" i="24"/>
  <c r="C2849" i="24"/>
  <c r="N2849" i="24"/>
  <c r="Q2849" i="24"/>
  <c r="R2849" i="24"/>
  <c r="W2849" i="24"/>
  <c r="AB2849" i="24"/>
  <c r="C2850" i="24"/>
  <c r="N2850" i="24"/>
  <c r="Q2850" i="24"/>
  <c r="R2850" i="24"/>
  <c r="W2850" i="24"/>
  <c r="AB2850" i="24"/>
  <c r="C2851" i="24"/>
  <c r="N2851" i="24"/>
  <c r="Q2851" i="24"/>
  <c r="R2851" i="24"/>
  <c r="W2851" i="24"/>
  <c r="AB2851" i="24"/>
  <c r="C2852" i="24"/>
  <c r="N2852" i="24"/>
  <c r="Q2852" i="24"/>
  <c r="R2852" i="24"/>
  <c r="W2852" i="24"/>
  <c r="AB2852" i="24"/>
  <c r="C2853" i="24"/>
  <c r="N2853" i="24"/>
  <c r="Q2853" i="24"/>
  <c r="R2853" i="24"/>
  <c r="W2853" i="24"/>
  <c r="AB2853" i="24"/>
  <c r="C2854" i="24"/>
  <c r="N2854" i="24"/>
  <c r="Q2854" i="24"/>
  <c r="R2854" i="24"/>
  <c r="W2854" i="24"/>
  <c r="AB2854" i="24"/>
  <c r="C2855" i="24"/>
  <c r="N2855" i="24"/>
  <c r="Q2855" i="24"/>
  <c r="R2855" i="24"/>
  <c r="W2855" i="24"/>
  <c r="AB2855" i="24"/>
  <c r="C2856" i="24"/>
  <c r="N2856" i="24"/>
  <c r="Q2856" i="24"/>
  <c r="R2856" i="24"/>
  <c r="W2856" i="24"/>
  <c r="AB2856" i="24"/>
  <c r="C2857" i="24"/>
  <c r="N2857" i="24"/>
  <c r="Q2857" i="24"/>
  <c r="R2857" i="24"/>
  <c r="W2857" i="24"/>
  <c r="AB2857" i="24"/>
  <c r="C2858" i="24"/>
  <c r="N2858" i="24"/>
  <c r="Q2858" i="24"/>
  <c r="R2858" i="24"/>
  <c r="W2858" i="24"/>
  <c r="AB2858" i="24"/>
  <c r="C2859" i="24"/>
  <c r="N2859" i="24"/>
  <c r="Q2859" i="24"/>
  <c r="R2859" i="24"/>
  <c r="W2859" i="24"/>
  <c r="AB2859" i="24"/>
  <c r="C2860" i="24"/>
  <c r="N2860" i="24"/>
  <c r="Q2860" i="24"/>
  <c r="R2860" i="24"/>
  <c r="W2860" i="24"/>
  <c r="AB2860" i="24"/>
  <c r="C2861" i="24"/>
  <c r="N2861" i="24"/>
  <c r="Q2861" i="24"/>
  <c r="R2861" i="24"/>
  <c r="W2861" i="24"/>
  <c r="AB2861" i="24"/>
  <c r="C2862" i="24"/>
  <c r="N2862" i="24"/>
  <c r="Q2862" i="24"/>
  <c r="R2862" i="24"/>
  <c r="W2862" i="24"/>
  <c r="AB2862" i="24"/>
  <c r="C2863" i="24"/>
  <c r="N2863" i="24"/>
  <c r="Q2863" i="24"/>
  <c r="R2863" i="24"/>
  <c r="W2863" i="24"/>
  <c r="AB2863" i="24"/>
  <c r="C2864" i="24"/>
  <c r="N2864" i="24"/>
  <c r="Q2864" i="24"/>
  <c r="R2864" i="24"/>
  <c r="W2864" i="24"/>
  <c r="AB2864" i="24"/>
  <c r="C2865" i="24"/>
  <c r="N2865" i="24"/>
  <c r="Q2865" i="24"/>
  <c r="R2865" i="24"/>
  <c r="W2865" i="24"/>
  <c r="AB2865" i="24"/>
  <c r="C2866" i="24"/>
  <c r="N2866" i="24"/>
  <c r="Q2866" i="24"/>
  <c r="R2866" i="24"/>
  <c r="W2866" i="24"/>
  <c r="AB2866" i="24"/>
  <c r="C2867" i="24"/>
  <c r="N2867" i="24"/>
  <c r="Q2867" i="24"/>
  <c r="R2867" i="24"/>
  <c r="W2867" i="24"/>
  <c r="AB2867" i="24"/>
  <c r="C2868" i="24"/>
  <c r="N2868" i="24"/>
  <c r="Q2868" i="24"/>
  <c r="R2868" i="24"/>
  <c r="W2868" i="24"/>
  <c r="AB2868" i="24"/>
  <c r="C2869" i="24"/>
  <c r="N2869" i="24"/>
  <c r="Q2869" i="24"/>
  <c r="R2869" i="24"/>
  <c r="W2869" i="24"/>
  <c r="AB2869" i="24"/>
  <c r="C2870" i="24"/>
  <c r="N2870" i="24"/>
  <c r="Q2870" i="24"/>
  <c r="R2870" i="24"/>
  <c r="W2870" i="24"/>
  <c r="AB2870" i="24"/>
  <c r="C2871" i="24"/>
  <c r="N2871" i="24"/>
  <c r="Q2871" i="24"/>
  <c r="R2871" i="24"/>
  <c r="W2871" i="24"/>
  <c r="AB2871" i="24"/>
  <c r="C2872" i="24"/>
  <c r="N2872" i="24"/>
  <c r="Q2872" i="24"/>
  <c r="R2872" i="24"/>
  <c r="W2872" i="24"/>
  <c r="AB2872" i="24"/>
  <c r="C2873" i="24"/>
  <c r="N2873" i="24"/>
  <c r="Q2873" i="24"/>
  <c r="R2873" i="24"/>
  <c r="W2873" i="24"/>
  <c r="AB2873" i="24"/>
  <c r="C2874" i="24"/>
  <c r="N2874" i="24"/>
  <c r="Q2874" i="24"/>
  <c r="R2874" i="24"/>
  <c r="W2874" i="24"/>
  <c r="AB2874" i="24"/>
  <c r="C2875" i="24"/>
  <c r="N2875" i="24"/>
  <c r="Q2875" i="24"/>
  <c r="R2875" i="24"/>
  <c r="W2875" i="24"/>
  <c r="AB2875" i="24"/>
  <c r="C2876" i="24"/>
  <c r="N2876" i="24"/>
  <c r="Q2876" i="24"/>
  <c r="R2876" i="24"/>
  <c r="W2876" i="24"/>
  <c r="AB2876" i="24"/>
  <c r="C2877" i="24"/>
  <c r="N2877" i="24"/>
  <c r="Q2877" i="24"/>
  <c r="R2877" i="24"/>
  <c r="W2877" i="24"/>
  <c r="AB2877" i="24"/>
  <c r="C2878" i="24"/>
  <c r="N2878" i="24"/>
  <c r="Q2878" i="24"/>
  <c r="R2878" i="24"/>
  <c r="W2878" i="24"/>
  <c r="AB2878" i="24"/>
  <c r="C2879" i="24"/>
  <c r="N2879" i="24"/>
  <c r="Q2879" i="24"/>
  <c r="R2879" i="24"/>
  <c r="W2879" i="24"/>
  <c r="AB2879" i="24"/>
  <c r="C2880" i="24"/>
  <c r="N2880" i="24"/>
  <c r="Q2880" i="24"/>
  <c r="R2880" i="24"/>
  <c r="W2880" i="24"/>
  <c r="AB2880" i="24"/>
  <c r="C2881" i="24"/>
  <c r="N2881" i="24"/>
  <c r="Q2881" i="24"/>
  <c r="R2881" i="24"/>
  <c r="W2881" i="24"/>
  <c r="AB2881" i="24"/>
  <c r="C2882" i="24"/>
  <c r="N2882" i="24"/>
  <c r="Q2882" i="24"/>
  <c r="R2882" i="24"/>
  <c r="W2882" i="24"/>
  <c r="AB2882" i="24"/>
  <c r="C2883" i="24"/>
  <c r="N2883" i="24"/>
  <c r="Q2883" i="24"/>
  <c r="R2883" i="24"/>
  <c r="W2883" i="24"/>
  <c r="AB2883" i="24"/>
  <c r="C2884" i="24"/>
  <c r="N2884" i="24"/>
  <c r="Q2884" i="24"/>
  <c r="R2884" i="24"/>
  <c r="W2884" i="24"/>
  <c r="AB2884" i="24"/>
  <c r="C2885" i="24"/>
  <c r="N2885" i="24"/>
  <c r="Q2885" i="24"/>
  <c r="R2885" i="24"/>
  <c r="W2885" i="24"/>
  <c r="AB2885" i="24"/>
  <c r="C2886" i="24"/>
  <c r="N2886" i="24"/>
  <c r="Q2886" i="24"/>
  <c r="R2886" i="24"/>
  <c r="W2886" i="24"/>
  <c r="AB2886" i="24"/>
  <c r="C2887" i="24"/>
  <c r="N2887" i="24"/>
  <c r="Q2887" i="24"/>
  <c r="R2887" i="24"/>
  <c r="W2887" i="24"/>
  <c r="AB2887" i="24"/>
  <c r="C2888" i="24"/>
  <c r="N2888" i="24"/>
  <c r="Q2888" i="24"/>
  <c r="R2888" i="24"/>
  <c r="W2888" i="24"/>
  <c r="AB2888" i="24"/>
  <c r="C2889" i="24"/>
  <c r="N2889" i="24"/>
  <c r="Q2889" i="24"/>
  <c r="R2889" i="24"/>
  <c r="W2889" i="24"/>
  <c r="AB2889" i="24"/>
  <c r="C2890" i="24"/>
  <c r="N2890" i="24"/>
  <c r="Q2890" i="24"/>
  <c r="R2890" i="24"/>
  <c r="W2890" i="24"/>
  <c r="AB2890" i="24"/>
  <c r="C2891" i="24"/>
  <c r="N2891" i="24"/>
  <c r="Q2891" i="24"/>
  <c r="R2891" i="24"/>
  <c r="W2891" i="24"/>
  <c r="AB2891" i="24"/>
  <c r="C2892" i="24"/>
  <c r="N2892" i="24"/>
  <c r="Q2892" i="24"/>
  <c r="R2892" i="24"/>
  <c r="W2892" i="24"/>
  <c r="AB2892" i="24"/>
  <c r="C2893" i="24"/>
  <c r="N2893" i="24"/>
  <c r="Q2893" i="24"/>
  <c r="R2893" i="24"/>
  <c r="W2893" i="24"/>
  <c r="AB2893" i="24"/>
  <c r="C2894" i="24"/>
  <c r="N2894" i="24"/>
  <c r="Q2894" i="24"/>
  <c r="R2894" i="24"/>
  <c r="W2894" i="24"/>
  <c r="AB2894" i="24"/>
  <c r="C2895" i="24"/>
  <c r="N2895" i="24"/>
  <c r="Q2895" i="24"/>
  <c r="R2895" i="24"/>
  <c r="W2895" i="24"/>
  <c r="AB2895" i="24"/>
  <c r="C2896" i="24"/>
  <c r="N2896" i="24"/>
  <c r="Q2896" i="24"/>
  <c r="R2896" i="24"/>
  <c r="W2896" i="24"/>
  <c r="AB2896" i="24"/>
  <c r="C2897" i="24"/>
  <c r="N2897" i="24"/>
  <c r="Q2897" i="24"/>
  <c r="R2897" i="24"/>
  <c r="W2897" i="24"/>
  <c r="AB2897" i="24"/>
  <c r="C2898" i="24"/>
  <c r="N2898" i="24"/>
  <c r="Q2898" i="24"/>
  <c r="R2898" i="24"/>
  <c r="W2898" i="24"/>
  <c r="AB2898" i="24"/>
  <c r="C2899" i="24"/>
  <c r="N2899" i="24"/>
  <c r="Q2899" i="24"/>
  <c r="R2899" i="24"/>
  <c r="W2899" i="24"/>
  <c r="AB2899" i="24"/>
  <c r="C2900" i="24"/>
  <c r="N2900" i="24"/>
  <c r="Q2900" i="24"/>
  <c r="R2900" i="24"/>
  <c r="W2900" i="24"/>
  <c r="AB2900" i="24"/>
  <c r="C2901" i="24"/>
  <c r="N2901" i="24"/>
  <c r="Q2901" i="24"/>
  <c r="R2901" i="24"/>
  <c r="W2901" i="24"/>
  <c r="AB2901" i="24"/>
  <c r="C2902" i="24"/>
  <c r="N2902" i="24"/>
  <c r="Q2902" i="24"/>
  <c r="R2902" i="24"/>
  <c r="W2902" i="24"/>
  <c r="AB2902" i="24"/>
  <c r="C2903" i="24"/>
  <c r="N2903" i="24"/>
  <c r="Q2903" i="24"/>
  <c r="R2903" i="24"/>
  <c r="W2903" i="24"/>
  <c r="AB2903" i="24"/>
  <c r="C2904" i="24"/>
  <c r="N2904" i="24"/>
  <c r="Q2904" i="24"/>
  <c r="R2904" i="24"/>
  <c r="W2904" i="24"/>
  <c r="AB2904" i="24"/>
  <c r="C2905" i="24"/>
  <c r="N2905" i="24"/>
  <c r="Q2905" i="24"/>
  <c r="R2905" i="24"/>
  <c r="W2905" i="24"/>
  <c r="AB2905" i="24"/>
  <c r="C2906" i="24"/>
  <c r="N2906" i="24"/>
  <c r="Q2906" i="24"/>
  <c r="R2906" i="24"/>
  <c r="W2906" i="24"/>
  <c r="AB2906" i="24"/>
  <c r="C2907" i="24"/>
  <c r="N2907" i="24"/>
  <c r="Q2907" i="24"/>
  <c r="R2907" i="24"/>
  <c r="W2907" i="24"/>
  <c r="AB2907" i="24"/>
  <c r="C2908" i="24"/>
  <c r="N2908" i="24"/>
  <c r="Q2908" i="24"/>
  <c r="R2908" i="24"/>
  <c r="W2908" i="24"/>
  <c r="AB2908" i="24"/>
  <c r="C2909" i="24"/>
  <c r="N2909" i="24"/>
  <c r="Q2909" i="24"/>
  <c r="R2909" i="24"/>
  <c r="W2909" i="24"/>
  <c r="AB2909" i="24"/>
  <c r="C2910" i="24"/>
  <c r="N2910" i="24"/>
  <c r="Q2910" i="24"/>
  <c r="R2910" i="24"/>
  <c r="W2910" i="24"/>
  <c r="AB2910" i="24"/>
  <c r="C2911" i="24"/>
  <c r="N2911" i="24"/>
  <c r="Q2911" i="24"/>
  <c r="R2911" i="24"/>
  <c r="W2911" i="24"/>
  <c r="AB2911" i="24"/>
  <c r="C2912" i="24"/>
  <c r="N2912" i="24"/>
  <c r="Q2912" i="24"/>
  <c r="R2912" i="24"/>
  <c r="W2912" i="24"/>
  <c r="AB2912" i="24"/>
  <c r="C2913" i="24"/>
  <c r="N2913" i="24"/>
  <c r="Q2913" i="24"/>
  <c r="R2913" i="24"/>
  <c r="W2913" i="24"/>
  <c r="AB2913" i="24"/>
  <c r="C2914" i="24"/>
  <c r="N2914" i="24"/>
  <c r="Q2914" i="24"/>
  <c r="R2914" i="24"/>
  <c r="W2914" i="24"/>
  <c r="AB2914" i="24"/>
  <c r="C2915" i="24"/>
  <c r="N2915" i="24"/>
  <c r="Q2915" i="24"/>
  <c r="R2915" i="24"/>
  <c r="W2915" i="24"/>
  <c r="AB2915" i="24"/>
  <c r="C2916" i="24"/>
  <c r="N2916" i="24"/>
  <c r="Q2916" i="24"/>
  <c r="R2916" i="24"/>
  <c r="W2916" i="24"/>
  <c r="AB2916" i="24"/>
  <c r="C2917" i="24"/>
  <c r="N2917" i="24"/>
  <c r="Q2917" i="24"/>
  <c r="R2917" i="24"/>
  <c r="W2917" i="24"/>
  <c r="AB2917" i="24"/>
  <c r="C2918" i="24"/>
  <c r="N2918" i="24"/>
  <c r="Q2918" i="24"/>
  <c r="R2918" i="24"/>
  <c r="W2918" i="24"/>
  <c r="AB2918" i="24"/>
  <c r="C2919" i="24"/>
  <c r="N2919" i="24"/>
  <c r="Q2919" i="24"/>
  <c r="R2919" i="24"/>
  <c r="W2919" i="24"/>
  <c r="AB2919" i="24"/>
  <c r="C2920" i="24"/>
  <c r="N2920" i="24"/>
  <c r="Q2920" i="24"/>
  <c r="R2920" i="24"/>
  <c r="W2920" i="24"/>
  <c r="AB2920" i="24"/>
  <c r="C2921" i="24"/>
  <c r="N2921" i="24"/>
  <c r="Q2921" i="24"/>
  <c r="R2921" i="24"/>
  <c r="W2921" i="24"/>
  <c r="AB2921" i="24"/>
  <c r="C2922" i="24"/>
  <c r="N2922" i="24"/>
  <c r="Q2922" i="24"/>
  <c r="R2922" i="24"/>
  <c r="W2922" i="24"/>
  <c r="AB2922" i="24"/>
  <c r="C2923" i="24"/>
  <c r="N2923" i="24"/>
  <c r="Q2923" i="24"/>
  <c r="R2923" i="24"/>
  <c r="W2923" i="24"/>
  <c r="AB2923" i="24"/>
  <c r="C2924" i="24"/>
  <c r="N2924" i="24"/>
  <c r="Q2924" i="24"/>
  <c r="R2924" i="24"/>
  <c r="W2924" i="24"/>
  <c r="AB2924" i="24"/>
  <c r="C2925" i="24"/>
  <c r="N2925" i="24"/>
  <c r="Q2925" i="24"/>
  <c r="R2925" i="24"/>
  <c r="W2925" i="24"/>
  <c r="AB2925" i="24"/>
  <c r="C2926" i="24"/>
  <c r="N2926" i="24"/>
  <c r="Q2926" i="24"/>
  <c r="R2926" i="24"/>
  <c r="W2926" i="24"/>
  <c r="AB2926" i="24"/>
  <c r="C2927" i="24"/>
  <c r="N2927" i="24"/>
  <c r="Q2927" i="24"/>
  <c r="R2927" i="24"/>
  <c r="W2927" i="24"/>
  <c r="AB2927" i="24"/>
  <c r="C2928" i="24"/>
  <c r="N2928" i="24"/>
  <c r="Q2928" i="24"/>
  <c r="R2928" i="24"/>
  <c r="W2928" i="24"/>
  <c r="AB2928" i="24"/>
  <c r="C2929" i="24"/>
  <c r="N2929" i="24"/>
  <c r="Q2929" i="24"/>
  <c r="R2929" i="24"/>
  <c r="W2929" i="24"/>
  <c r="AB2929" i="24"/>
  <c r="C2930" i="24"/>
  <c r="N2930" i="24"/>
  <c r="Q2930" i="24"/>
  <c r="R2930" i="24"/>
  <c r="W2930" i="24"/>
  <c r="AB2930" i="24"/>
  <c r="C2931" i="24"/>
  <c r="N2931" i="24"/>
  <c r="Q2931" i="24"/>
  <c r="R2931" i="24"/>
  <c r="W2931" i="24"/>
  <c r="AB2931" i="24"/>
  <c r="C2932" i="24"/>
  <c r="N2932" i="24"/>
  <c r="Q2932" i="24"/>
  <c r="R2932" i="24"/>
  <c r="W2932" i="24"/>
  <c r="AB2932" i="24"/>
  <c r="C2933" i="24"/>
  <c r="N2933" i="24"/>
  <c r="Q2933" i="24"/>
  <c r="R2933" i="24"/>
  <c r="W2933" i="24"/>
  <c r="AB2933" i="24"/>
  <c r="C2934" i="24"/>
  <c r="N2934" i="24"/>
  <c r="Q2934" i="24"/>
  <c r="R2934" i="24"/>
  <c r="W2934" i="24"/>
  <c r="AB2934" i="24"/>
  <c r="C2935" i="24"/>
  <c r="N2935" i="24"/>
  <c r="Q2935" i="24"/>
  <c r="R2935" i="24"/>
  <c r="W2935" i="24"/>
  <c r="AB2935" i="24"/>
  <c r="C2936" i="24"/>
  <c r="N2936" i="24"/>
  <c r="Q2936" i="24"/>
  <c r="R2936" i="24"/>
  <c r="W2936" i="24"/>
  <c r="AB2936" i="24"/>
  <c r="C2937" i="24"/>
  <c r="N2937" i="24"/>
  <c r="Q2937" i="24"/>
  <c r="R2937" i="24"/>
  <c r="W2937" i="24"/>
  <c r="AB2937" i="24"/>
  <c r="C2938" i="24"/>
  <c r="N2938" i="24"/>
  <c r="Q2938" i="24"/>
  <c r="R2938" i="24"/>
  <c r="W2938" i="24"/>
  <c r="AB2938" i="24"/>
  <c r="C2939" i="24"/>
  <c r="N2939" i="24"/>
  <c r="Q2939" i="24"/>
  <c r="R2939" i="24"/>
  <c r="W2939" i="24"/>
  <c r="AB2939" i="24"/>
  <c r="C2940" i="24"/>
  <c r="N2940" i="24"/>
  <c r="Q2940" i="24"/>
  <c r="R2940" i="24"/>
  <c r="W2940" i="24"/>
  <c r="AB2940" i="24"/>
  <c r="C2941" i="24"/>
  <c r="N2941" i="24"/>
  <c r="Q2941" i="24"/>
  <c r="R2941" i="24"/>
  <c r="W2941" i="24"/>
  <c r="AB2941" i="24"/>
  <c r="C2942" i="24"/>
  <c r="N2942" i="24"/>
  <c r="Q2942" i="24"/>
  <c r="R2942" i="24"/>
  <c r="W2942" i="24"/>
  <c r="AB2942" i="24"/>
  <c r="C2943" i="24"/>
  <c r="N2943" i="24"/>
  <c r="Q2943" i="24"/>
  <c r="R2943" i="24"/>
  <c r="W2943" i="24"/>
  <c r="AB2943" i="24"/>
  <c r="C2944" i="24"/>
  <c r="N2944" i="24"/>
  <c r="Q2944" i="24"/>
  <c r="R2944" i="24"/>
  <c r="W2944" i="24"/>
  <c r="AB2944" i="24"/>
  <c r="C2945" i="24"/>
  <c r="N2945" i="24"/>
  <c r="Q2945" i="24"/>
  <c r="R2945" i="24"/>
  <c r="W2945" i="24"/>
  <c r="AB2945" i="24"/>
  <c r="C2946" i="24"/>
  <c r="N2946" i="24"/>
  <c r="Q2946" i="24"/>
  <c r="R2946" i="24"/>
  <c r="W2946" i="24"/>
  <c r="AB2946" i="24"/>
  <c r="C2947" i="24"/>
  <c r="N2947" i="24"/>
  <c r="Q2947" i="24"/>
  <c r="R2947" i="24"/>
  <c r="W2947" i="24"/>
  <c r="AB2947" i="24"/>
  <c r="C2948" i="24"/>
  <c r="N2948" i="24"/>
  <c r="Q2948" i="24"/>
  <c r="R2948" i="24"/>
  <c r="W2948" i="24"/>
  <c r="AB2948" i="24"/>
  <c r="C2949" i="24"/>
  <c r="N2949" i="24"/>
  <c r="Q2949" i="24"/>
  <c r="R2949" i="24"/>
  <c r="W2949" i="24"/>
  <c r="AB2949" i="24"/>
  <c r="C2950" i="24"/>
  <c r="N2950" i="24"/>
  <c r="Q2950" i="24"/>
  <c r="R2950" i="24"/>
  <c r="W2950" i="24"/>
  <c r="AB2950" i="24"/>
  <c r="C2951" i="24"/>
  <c r="N2951" i="24"/>
  <c r="Q2951" i="24"/>
  <c r="R2951" i="24"/>
  <c r="W2951" i="24"/>
  <c r="AB2951" i="24"/>
  <c r="C2952" i="24"/>
  <c r="N2952" i="24"/>
  <c r="Q2952" i="24"/>
  <c r="R2952" i="24"/>
  <c r="W2952" i="24"/>
  <c r="AB2952" i="24"/>
  <c r="C2953" i="24"/>
  <c r="N2953" i="24"/>
  <c r="Q2953" i="24"/>
  <c r="R2953" i="24"/>
  <c r="W2953" i="24"/>
  <c r="AB2953" i="24"/>
  <c r="C2954" i="24"/>
  <c r="N2954" i="24"/>
  <c r="Q2954" i="24"/>
  <c r="R2954" i="24"/>
  <c r="W2954" i="24"/>
  <c r="AB2954" i="24"/>
  <c r="C2955" i="24"/>
  <c r="N2955" i="24"/>
  <c r="Q2955" i="24"/>
  <c r="R2955" i="24"/>
  <c r="W2955" i="24"/>
  <c r="AB2955" i="24"/>
  <c r="C2956" i="24"/>
  <c r="N2956" i="24"/>
  <c r="Q2956" i="24"/>
  <c r="R2956" i="24"/>
  <c r="W2956" i="24"/>
  <c r="AB2956" i="24"/>
  <c r="C2957" i="24"/>
  <c r="N2957" i="24"/>
  <c r="Q2957" i="24"/>
  <c r="R2957" i="24"/>
  <c r="W2957" i="24"/>
  <c r="AB2957" i="24"/>
  <c r="C2958" i="24"/>
  <c r="N2958" i="24"/>
  <c r="Q2958" i="24"/>
  <c r="R2958" i="24"/>
  <c r="W2958" i="24"/>
  <c r="AB2958" i="24"/>
  <c r="C2959" i="24"/>
  <c r="N2959" i="24"/>
  <c r="Q2959" i="24"/>
  <c r="R2959" i="24"/>
  <c r="W2959" i="24"/>
  <c r="AB2959" i="24"/>
  <c r="C2960" i="24"/>
  <c r="N2960" i="24"/>
  <c r="Q2960" i="24"/>
  <c r="R2960" i="24"/>
  <c r="W2960" i="24"/>
  <c r="AB2960" i="24"/>
  <c r="C2961" i="24"/>
  <c r="N2961" i="24"/>
  <c r="Q2961" i="24"/>
  <c r="R2961" i="24"/>
  <c r="W2961" i="24"/>
  <c r="AB2961" i="24"/>
  <c r="C2962" i="24"/>
  <c r="N2962" i="24"/>
  <c r="Q2962" i="24"/>
  <c r="R2962" i="24"/>
  <c r="W2962" i="24"/>
  <c r="AB2962" i="24"/>
  <c r="C2963" i="24"/>
  <c r="N2963" i="24"/>
  <c r="Q2963" i="24"/>
  <c r="R2963" i="24"/>
  <c r="W2963" i="24"/>
  <c r="AB2963" i="24"/>
  <c r="C2964" i="24"/>
  <c r="N2964" i="24"/>
  <c r="Q2964" i="24"/>
  <c r="R2964" i="24"/>
  <c r="W2964" i="24"/>
  <c r="AB2964" i="24"/>
  <c r="C2965" i="24"/>
  <c r="N2965" i="24"/>
  <c r="Q2965" i="24"/>
  <c r="R2965" i="24"/>
  <c r="W2965" i="24"/>
  <c r="AB2965" i="24"/>
  <c r="C2966" i="24"/>
  <c r="N2966" i="24"/>
  <c r="Q2966" i="24"/>
  <c r="R2966" i="24"/>
  <c r="W2966" i="24"/>
  <c r="AB2966" i="24"/>
  <c r="C2967" i="24"/>
  <c r="N2967" i="24"/>
  <c r="Q2967" i="24"/>
  <c r="R2967" i="24"/>
  <c r="W2967" i="24"/>
  <c r="AB2967" i="24"/>
  <c r="C2968" i="24"/>
  <c r="N2968" i="24"/>
  <c r="Q2968" i="24"/>
  <c r="R2968" i="24"/>
  <c r="W2968" i="24"/>
  <c r="AB2968" i="24"/>
  <c r="C2969" i="24"/>
  <c r="N2969" i="24"/>
  <c r="Q2969" i="24"/>
  <c r="R2969" i="24"/>
  <c r="W2969" i="24"/>
  <c r="AB2969" i="24"/>
  <c r="C2970" i="24"/>
  <c r="N2970" i="24"/>
  <c r="Q2970" i="24"/>
  <c r="R2970" i="24"/>
  <c r="W2970" i="24"/>
  <c r="AB2970" i="24"/>
  <c r="C2971" i="24"/>
  <c r="N2971" i="24"/>
  <c r="Q2971" i="24"/>
  <c r="R2971" i="24"/>
  <c r="W2971" i="24"/>
  <c r="AB2971" i="24"/>
  <c r="C2972" i="24"/>
  <c r="N2972" i="24"/>
  <c r="Q2972" i="24"/>
  <c r="R2972" i="24"/>
  <c r="W2972" i="24"/>
  <c r="AB2972" i="24"/>
  <c r="C2973" i="24"/>
  <c r="N2973" i="24"/>
  <c r="Q2973" i="24"/>
  <c r="R2973" i="24"/>
  <c r="W2973" i="24"/>
  <c r="AB2973" i="24"/>
  <c r="C2974" i="24"/>
  <c r="N2974" i="24"/>
  <c r="Q2974" i="24"/>
  <c r="R2974" i="24"/>
  <c r="W2974" i="24"/>
  <c r="AB2974" i="24"/>
  <c r="C2975" i="24"/>
  <c r="N2975" i="24"/>
  <c r="Q2975" i="24"/>
  <c r="R2975" i="24"/>
  <c r="W2975" i="24"/>
  <c r="AB2975" i="24"/>
  <c r="C2976" i="24"/>
  <c r="N2976" i="24"/>
  <c r="Q2976" i="24"/>
  <c r="R2976" i="24"/>
  <c r="W2976" i="24"/>
  <c r="AB2976" i="24"/>
  <c r="C2977" i="24"/>
  <c r="N2977" i="24"/>
  <c r="Q2977" i="24"/>
  <c r="R2977" i="24"/>
  <c r="W2977" i="24"/>
  <c r="AB2977" i="24"/>
  <c r="C2978" i="24"/>
  <c r="N2978" i="24"/>
  <c r="Q2978" i="24"/>
  <c r="R2978" i="24"/>
  <c r="W2978" i="24"/>
  <c r="AB2978" i="24"/>
  <c r="C2979" i="24"/>
  <c r="N2979" i="24"/>
  <c r="Q2979" i="24"/>
  <c r="R2979" i="24"/>
  <c r="W2979" i="24"/>
  <c r="AB2979" i="24"/>
  <c r="C2980" i="24"/>
  <c r="N2980" i="24"/>
  <c r="Q2980" i="24"/>
  <c r="R2980" i="24"/>
  <c r="W2980" i="24"/>
  <c r="AB2980" i="24"/>
  <c r="C2981" i="24"/>
  <c r="N2981" i="24"/>
  <c r="Q2981" i="24"/>
  <c r="R2981" i="24"/>
  <c r="W2981" i="24"/>
  <c r="AB2981" i="24"/>
  <c r="C2982" i="24"/>
  <c r="N2982" i="24"/>
  <c r="Q2982" i="24"/>
  <c r="R2982" i="24"/>
  <c r="W2982" i="24"/>
  <c r="AB2982" i="24"/>
  <c r="C2983" i="24"/>
  <c r="N2983" i="24"/>
  <c r="Q2983" i="24"/>
  <c r="R2983" i="24"/>
  <c r="W2983" i="24"/>
  <c r="AB2983" i="24"/>
  <c r="C2984" i="24"/>
  <c r="N2984" i="24"/>
  <c r="Q2984" i="24"/>
  <c r="R2984" i="24"/>
  <c r="W2984" i="24"/>
  <c r="AB2984" i="24"/>
  <c r="C2985" i="24"/>
  <c r="N2985" i="24"/>
  <c r="Q2985" i="24"/>
  <c r="R2985" i="24"/>
  <c r="W2985" i="24"/>
  <c r="AB2985" i="24"/>
  <c r="C2986" i="24"/>
  <c r="N2986" i="24"/>
  <c r="Q2986" i="24"/>
  <c r="R2986" i="24"/>
  <c r="W2986" i="24"/>
  <c r="AB2986" i="24"/>
  <c r="C2987" i="24"/>
  <c r="N2987" i="24"/>
  <c r="Q2987" i="24"/>
  <c r="R2987" i="24"/>
  <c r="W2987" i="24"/>
  <c r="AB2987" i="24"/>
  <c r="C2988" i="24"/>
  <c r="N2988" i="24"/>
  <c r="Q2988" i="24"/>
  <c r="R2988" i="24"/>
  <c r="W2988" i="24"/>
  <c r="AB2988" i="24"/>
  <c r="C2989" i="24"/>
  <c r="N2989" i="24"/>
  <c r="Q2989" i="24"/>
  <c r="R2989" i="24"/>
  <c r="W2989" i="24"/>
  <c r="AB2989" i="24"/>
  <c r="C2990" i="24"/>
  <c r="N2990" i="24"/>
  <c r="Q2990" i="24"/>
  <c r="R2990" i="24"/>
  <c r="W2990" i="24"/>
  <c r="AB2990" i="24"/>
  <c r="C2991" i="24"/>
  <c r="N2991" i="24"/>
  <c r="Q2991" i="24"/>
  <c r="R2991" i="24"/>
  <c r="W2991" i="24"/>
  <c r="AB2991" i="24"/>
  <c r="C2992" i="24"/>
  <c r="N2992" i="24"/>
  <c r="Q2992" i="24"/>
  <c r="R2992" i="24"/>
  <c r="W2992" i="24"/>
  <c r="AB2992" i="24"/>
  <c r="C2993" i="24"/>
  <c r="N2993" i="24"/>
  <c r="Q2993" i="24"/>
  <c r="R2993" i="24"/>
  <c r="W2993" i="24"/>
  <c r="AB2993" i="24"/>
  <c r="C2994" i="24"/>
  <c r="N2994" i="24"/>
  <c r="Q2994" i="24"/>
  <c r="R2994" i="24"/>
  <c r="W2994" i="24"/>
  <c r="AB2994" i="24"/>
  <c r="C2995" i="24"/>
  <c r="N2995" i="24"/>
  <c r="Q2995" i="24"/>
  <c r="R2995" i="24"/>
  <c r="W2995" i="24"/>
  <c r="AB2995" i="24"/>
  <c r="C2996" i="24"/>
  <c r="N2996" i="24"/>
  <c r="Q2996" i="24"/>
  <c r="R2996" i="24"/>
  <c r="W2996" i="24"/>
  <c r="AB2996" i="24"/>
  <c r="C2997" i="24"/>
  <c r="N2997" i="24"/>
  <c r="Q2997" i="24"/>
  <c r="R2997" i="24"/>
  <c r="W2997" i="24"/>
  <c r="AB2997" i="24"/>
  <c r="C2998" i="24"/>
  <c r="N2998" i="24"/>
  <c r="Q2998" i="24"/>
  <c r="R2998" i="24"/>
  <c r="W2998" i="24"/>
  <c r="AB2998" i="24"/>
  <c r="C2999" i="24"/>
  <c r="N2999" i="24"/>
  <c r="Q2999" i="24"/>
  <c r="R2999" i="24"/>
  <c r="W2999" i="24"/>
  <c r="AB2999" i="24"/>
  <c r="C3000" i="24"/>
  <c r="N3000" i="24"/>
  <c r="Q3000" i="24"/>
  <c r="R3000" i="24"/>
  <c r="W3000" i="24"/>
  <c r="AB3000" i="24"/>
  <c r="C3001" i="24"/>
  <c r="N3001" i="24"/>
  <c r="Q3001" i="24"/>
  <c r="R3001" i="24"/>
  <c r="W3001" i="24"/>
  <c r="AB3001" i="24"/>
  <c r="C3002" i="24"/>
  <c r="N3002" i="24"/>
  <c r="Q3002" i="24"/>
  <c r="R3002" i="24"/>
  <c r="W3002" i="24"/>
  <c r="AB3002" i="24"/>
  <c r="C3003" i="24"/>
  <c r="N3003" i="24"/>
  <c r="Q3003" i="24"/>
  <c r="R3003" i="24"/>
  <c r="W3003" i="24"/>
  <c r="AB3003" i="24"/>
  <c r="C3004" i="24"/>
  <c r="N3004" i="24"/>
  <c r="Q3004" i="24"/>
  <c r="R3004" i="24"/>
  <c r="W3004" i="24"/>
  <c r="AB3004" i="24"/>
  <c r="C3005" i="24"/>
  <c r="N3005" i="24"/>
  <c r="Q3005" i="24"/>
  <c r="R3005" i="24"/>
  <c r="W3005" i="24"/>
  <c r="AB3005" i="24"/>
  <c r="C3006" i="24"/>
  <c r="N3006" i="24"/>
  <c r="Q3006" i="24"/>
  <c r="R3006" i="24"/>
  <c r="W3006" i="24"/>
  <c r="AB3006" i="24"/>
  <c r="C3007" i="24"/>
  <c r="N3007" i="24"/>
  <c r="Q3007" i="24"/>
  <c r="R3007" i="24"/>
  <c r="W3007" i="24"/>
  <c r="AB3007" i="24"/>
  <c r="C3008" i="24"/>
  <c r="N3008" i="24"/>
  <c r="Q3008" i="24"/>
  <c r="R3008" i="24"/>
  <c r="W3008" i="24"/>
  <c r="AB3008" i="24"/>
  <c r="C3009" i="24"/>
  <c r="N3009" i="24"/>
  <c r="Q3009" i="24"/>
  <c r="R3009" i="24"/>
  <c r="W3009" i="24"/>
  <c r="AB3009" i="24"/>
  <c r="C3010" i="24"/>
  <c r="N3010" i="24"/>
  <c r="Q3010" i="24"/>
  <c r="R3010" i="24"/>
  <c r="W3010" i="24"/>
  <c r="AB3010" i="24"/>
  <c r="C3011" i="24"/>
  <c r="N3011" i="24"/>
  <c r="Q3011" i="24"/>
  <c r="R3011" i="24"/>
  <c r="W3011" i="24"/>
  <c r="AB3011" i="24"/>
  <c r="C3012" i="24"/>
  <c r="N3012" i="24"/>
  <c r="Q3012" i="24"/>
  <c r="R3012" i="24"/>
  <c r="W3012" i="24"/>
  <c r="AB3012" i="24"/>
  <c r="C3013" i="24"/>
  <c r="N3013" i="24"/>
  <c r="Q3013" i="24"/>
  <c r="R3013" i="24"/>
  <c r="W3013" i="24"/>
  <c r="AB3013" i="24"/>
  <c r="C3014" i="24"/>
  <c r="N3014" i="24"/>
  <c r="Q3014" i="24"/>
  <c r="R3014" i="24"/>
  <c r="W3014" i="24"/>
  <c r="AB3014" i="24"/>
  <c r="C3015" i="24"/>
  <c r="N3015" i="24"/>
  <c r="Q3015" i="24"/>
  <c r="R3015" i="24"/>
  <c r="W3015" i="24"/>
  <c r="AB3015" i="24"/>
  <c r="C3016" i="24"/>
  <c r="N3016" i="24"/>
  <c r="Q3016" i="24"/>
  <c r="R3016" i="24"/>
  <c r="W3016" i="24"/>
  <c r="AB3016" i="24"/>
  <c r="C3017" i="24"/>
  <c r="N3017" i="24"/>
  <c r="Q3017" i="24"/>
  <c r="R3017" i="24"/>
  <c r="W3017" i="24"/>
  <c r="AB3017" i="24"/>
  <c r="C3018" i="24"/>
  <c r="N3018" i="24"/>
  <c r="Q3018" i="24"/>
  <c r="R3018" i="24"/>
  <c r="W3018" i="24"/>
  <c r="AB3018" i="24"/>
  <c r="C3019" i="24"/>
  <c r="N3019" i="24"/>
  <c r="Q3019" i="24"/>
  <c r="R3019" i="24"/>
  <c r="W3019" i="24"/>
  <c r="AB3019" i="24"/>
  <c r="C3020" i="24"/>
  <c r="N3020" i="24"/>
  <c r="Q3020" i="24"/>
  <c r="R3020" i="24"/>
  <c r="W3020" i="24"/>
  <c r="AB3020" i="24"/>
  <c r="C3021" i="24"/>
  <c r="N3021" i="24"/>
  <c r="Q3021" i="24"/>
  <c r="R3021" i="24"/>
  <c r="W3021" i="24"/>
  <c r="AB3021" i="24"/>
  <c r="C3022" i="24"/>
  <c r="N3022" i="24"/>
  <c r="Q3022" i="24"/>
  <c r="R3022" i="24"/>
  <c r="W3022" i="24"/>
  <c r="AB3022" i="24"/>
  <c r="C3023" i="24"/>
  <c r="N3023" i="24"/>
  <c r="Q3023" i="24"/>
  <c r="R3023" i="24"/>
  <c r="W3023" i="24"/>
  <c r="AB3023" i="24"/>
  <c r="C3024" i="24"/>
  <c r="N3024" i="24"/>
  <c r="Q3024" i="24"/>
  <c r="R3024" i="24"/>
  <c r="W3024" i="24"/>
  <c r="AB3024" i="24"/>
  <c r="C3025" i="24"/>
  <c r="N3025" i="24"/>
  <c r="Q3025" i="24"/>
  <c r="R3025" i="24"/>
  <c r="W3025" i="24"/>
  <c r="AB3025" i="24"/>
  <c r="C3026" i="24"/>
  <c r="N3026" i="24"/>
  <c r="Q3026" i="24"/>
  <c r="R3026" i="24"/>
  <c r="W3026" i="24"/>
  <c r="AB3026" i="24"/>
  <c r="C3027" i="24"/>
  <c r="N3027" i="24"/>
  <c r="Q3027" i="24"/>
  <c r="R3027" i="24"/>
  <c r="W3027" i="24"/>
  <c r="AB3027" i="24"/>
  <c r="C3028" i="24"/>
  <c r="N3028" i="24"/>
  <c r="Q3028" i="24"/>
  <c r="R3028" i="24"/>
  <c r="W3028" i="24"/>
  <c r="AB3028" i="24"/>
  <c r="C3029" i="24"/>
  <c r="N3029" i="24"/>
  <c r="Q3029" i="24"/>
  <c r="R3029" i="24"/>
  <c r="W3029" i="24"/>
  <c r="AB3029" i="24"/>
  <c r="C3030" i="24"/>
  <c r="N3030" i="24"/>
  <c r="Q3030" i="24"/>
  <c r="R3030" i="24"/>
  <c r="W3030" i="24"/>
  <c r="AB3030" i="24"/>
  <c r="C3031" i="24"/>
  <c r="N3031" i="24"/>
  <c r="Q3031" i="24"/>
  <c r="R3031" i="24"/>
  <c r="W3031" i="24"/>
  <c r="AB3031" i="24"/>
  <c r="C3032" i="24"/>
  <c r="N3032" i="24"/>
  <c r="Q3032" i="24"/>
  <c r="R3032" i="24"/>
  <c r="W3032" i="24"/>
  <c r="AB3032" i="24"/>
  <c r="C3033" i="24"/>
  <c r="N3033" i="24"/>
  <c r="Q3033" i="24"/>
  <c r="R3033" i="24"/>
  <c r="W3033" i="24"/>
  <c r="AB3033" i="24"/>
  <c r="C3034" i="24"/>
  <c r="N3034" i="24"/>
  <c r="Q3034" i="24"/>
  <c r="R3034" i="24"/>
  <c r="W3034" i="24"/>
  <c r="AB3034" i="24"/>
  <c r="C3035" i="24"/>
  <c r="N3035" i="24"/>
  <c r="Q3035" i="24"/>
  <c r="R3035" i="24"/>
  <c r="W3035" i="24"/>
  <c r="AB3035" i="24"/>
  <c r="C3036" i="24"/>
  <c r="N3036" i="24"/>
  <c r="Q3036" i="24"/>
  <c r="R3036" i="24"/>
  <c r="W3036" i="24"/>
  <c r="AB3036" i="24"/>
  <c r="C3037" i="24"/>
  <c r="N3037" i="24"/>
  <c r="Q3037" i="24"/>
  <c r="R3037" i="24"/>
  <c r="W3037" i="24"/>
  <c r="AB3037" i="24"/>
  <c r="C3038" i="24"/>
  <c r="N3038" i="24"/>
  <c r="Q3038" i="24"/>
  <c r="R3038" i="24"/>
  <c r="W3038" i="24"/>
  <c r="AB3038" i="24"/>
  <c r="C3039" i="24"/>
  <c r="N3039" i="24"/>
  <c r="Q3039" i="24"/>
  <c r="R3039" i="24"/>
  <c r="W3039" i="24"/>
  <c r="AB3039" i="24"/>
  <c r="C3040" i="24"/>
  <c r="N3040" i="24"/>
  <c r="Q3040" i="24"/>
  <c r="R3040" i="24"/>
  <c r="W3040" i="24"/>
  <c r="AB3040" i="24"/>
  <c r="C3041" i="24"/>
  <c r="N3041" i="24"/>
  <c r="Q3041" i="24"/>
  <c r="R3041" i="24"/>
  <c r="W3041" i="24"/>
  <c r="AB3041" i="24"/>
  <c r="C3042" i="24"/>
  <c r="N3042" i="24"/>
  <c r="Q3042" i="24"/>
  <c r="R3042" i="24"/>
  <c r="W3042" i="24"/>
  <c r="AB3042" i="24"/>
  <c r="C3043" i="24"/>
  <c r="N3043" i="24"/>
  <c r="Q3043" i="24"/>
  <c r="R3043" i="24"/>
  <c r="W3043" i="24"/>
  <c r="AB3043" i="24"/>
  <c r="C3044" i="24"/>
  <c r="N3044" i="24"/>
  <c r="Q3044" i="24"/>
  <c r="R3044" i="24"/>
  <c r="W3044" i="24"/>
  <c r="AB3044" i="24"/>
  <c r="C3045" i="24"/>
  <c r="N3045" i="24"/>
  <c r="Q3045" i="24"/>
  <c r="R3045" i="24"/>
  <c r="W3045" i="24"/>
  <c r="AB3045" i="24"/>
  <c r="C3046" i="24"/>
  <c r="N3046" i="24"/>
  <c r="Q3046" i="24"/>
  <c r="R3046" i="24"/>
  <c r="W3046" i="24"/>
  <c r="AB3046" i="24"/>
  <c r="C3047" i="24"/>
  <c r="N3047" i="24"/>
  <c r="Q3047" i="24"/>
  <c r="R3047" i="24"/>
  <c r="W3047" i="24"/>
  <c r="AB3047" i="24"/>
  <c r="C3048" i="24"/>
  <c r="N3048" i="24"/>
  <c r="Q3048" i="24"/>
  <c r="R3048" i="24"/>
  <c r="W3048" i="24"/>
  <c r="AB3048" i="24"/>
  <c r="C3049" i="24"/>
  <c r="N3049" i="24"/>
  <c r="Q3049" i="24"/>
  <c r="R3049" i="24"/>
  <c r="W3049" i="24"/>
  <c r="AB3049" i="24"/>
  <c r="C3050" i="24"/>
  <c r="N3050" i="24"/>
  <c r="Q3050" i="24"/>
  <c r="R3050" i="24"/>
  <c r="W3050" i="24"/>
  <c r="AB3050" i="24"/>
  <c r="C3051" i="24"/>
  <c r="N3051" i="24"/>
  <c r="Q3051" i="24"/>
  <c r="R3051" i="24"/>
  <c r="W3051" i="24"/>
  <c r="AB3051" i="24"/>
  <c r="C3052" i="24"/>
  <c r="N3052" i="24"/>
  <c r="Q3052" i="24"/>
  <c r="R3052" i="24"/>
  <c r="W3052" i="24"/>
  <c r="AB3052" i="24"/>
  <c r="C3053" i="24"/>
  <c r="N3053" i="24"/>
  <c r="Q3053" i="24"/>
  <c r="R3053" i="24"/>
  <c r="W3053" i="24"/>
  <c r="AB3053" i="24"/>
  <c r="C3054" i="24"/>
  <c r="N3054" i="24"/>
  <c r="Q3054" i="24"/>
  <c r="R3054" i="24"/>
  <c r="W3054" i="24"/>
  <c r="AB3054" i="24"/>
  <c r="C3055" i="24"/>
  <c r="N3055" i="24"/>
  <c r="Q3055" i="24"/>
  <c r="R3055" i="24"/>
  <c r="W3055" i="24"/>
  <c r="AB3055" i="24"/>
  <c r="C3056" i="24"/>
  <c r="N3056" i="24"/>
  <c r="Q3056" i="24"/>
  <c r="R3056" i="24"/>
  <c r="W3056" i="24"/>
  <c r="AB3056" i="24"/>
  <c r="C3057" i="24"/>
  <c r="N3057" i="24"/>
  <c r="Q3057" i="24"/>
  <c r="R3057" i="24"/>
  <c r="W3057" i="24"/>
  <c r="AB3057" i="24"/>
  <c r="C3058" i="24"/>
  <c r="N3058" i="24"/>
  <c r="Q3058" i="24"/>
  <c r="R3058" i="24"/>
  <c r="W3058" i="24"/>
  <c r="AB3058" i="24"/>
  <c r="C3059" i="24"/>
  <c r="N3059" i="24"/>
  <c r="Q3059" i="24"/>
  <c r="R3059" i="24"/>
  <c r="W3059" i="24"/>
  <c r="AB3059" i="24"/>
  <c r="C3060" i="24"/>
  <c r="N3060" i="24"/>
  <c r="Q3060" i="24"/>
  <c r="R3060" i="24"/>
  <c r="W3060" i="24"/>
  <c r="AB3060" i="24"/>
  <c r="C3061" i="24"/>
  <c r="N3061" i="24"/>
  <c r="Q3061" i="24"/>
  <c r="R3061" i="24"/>
  <c r="W3061" i="24"/>
  <c r="AB3061" i="24"/>
  <c r="C3062" i="24"/>
  <c r="N3062" i="24"/>
  <c r="Q3062" i="24"/>
  <c r="R3062" i="24"/>
  <c r="W3062" i="24"/>
  <c r="AB3062" i="24"/>
  <c r="C3063" i="24"/>
  <c r="N3063" i="24"/>
  <c r="Q3063" i="24"/>
  <c r="R3063" i="24"/>
  <c r="W3063" i="24"/>
  <c r="AB3063" i="24"/>
  <c r="C3064" i="24"/>
  <c r="N3064" i="24"/>
  <c r="Q3064" i="24"/>
  <c r="R3064" i="24"/>
  <c r="W3064" i="24"/>
  <c r="AB3064" i="24"/>
  <c r="C3065" i="24"/>
  <c r="N3065" i="24"/>
  <c r="Q3065" i="24"/>
  <c r="R3065" i="24"/>
  <c r="W3065" i="24"/>
  <c r="AB3065" i="24"/>
  <c r="C3066" i="24"/>
  <c r="N3066" i="24"/>
  <c r="Q3066" i="24"/>
  <c r="R3066" i="24"/>
  <c r="W3066" i="24"/>
  <c r="AB3066" i="24"/>
  <c r="C3067" i="24"/>
  <c r="N3067" i="24"/>
  <c r="Q3067" i="24"/>
  <c r="R3067" i="24"/>
  <c r="W3067" i="24"/>
  <c r="AB3067" i="24"/>
  <c r="C3068" i="24"/>
  <c r="N3068" i="24"/>
  <c r="Q3068" i="24"/>
  <c r="R3068" i="24"/>
  <c r="W3068" i="24"/>
  <c r="AB3068" i="24"/>
  <c r="C3069" i="24"/>
  <c r="N3069" i="24"/>
  <c r="Q3069" i="24"/>
  <c r="R3069" i="24"/>
  <c r="W3069" i="24"/>
  <c r="AB3069" i="24"/>
  <c r="C3070" i="24"/>
  <c r="N3070" i="24"/>
  <c r="Q3070" i="24"/>
  <c r="R3070" i="24"/>
  <c r="W3070" i="24"/>
  <c r="AB3070" i="24"/>
  <c r="C3071" i="24"/>
  <c r="N3071" i="24"/>
  <c r="Q3071" i="24"/>
  <c r="R3071" i="24"/>
  <c r="W3071" i="24"/>
  <c r="AB3071" i="24"/>
  <c r="C3072" i="24"/>
  <c r="N3072" i="24"/>
  <c r="Q3072" i="24"/>
  <c r="R3072" i="24"/>
  <c r="W3072" i="24"/>
  <c r="AB3072" i="24"/>
  <c r="C3073" i="24"/>
  <c r="N3073" i="24"/>
  <c r="Q3073" i="24"/>
  <c r="R3073" i="24"/>
  <c r="W3073" i="24"/>
  <c r="AB3073" i="24"/>
  <c r="C3074" i="24"/>
  <c r="N3074" i="24"/>
  <c r="Q3074" i="24"/>
  <c r="R3074" i="24"/>
  <c r="W3074" i="24"/>
  <c r="AB3074" i="24"/>
  <c r="C3075" i="24"/>
  <c r="N3075" i="24"/>
  <c r="Q3075" i="24"/>
  <c r="R3075" i="24"/>
  <c r="W3075" i="24"/>
  <c r="AB3075" i="24"/>
  <c r="C3076" i="24"/>
  <c r="N3076" i="24"/>
  <c r="Q3076" i="24"/>
  <c r="R3076" i="24"/>
  <c r="W3076" i="24"/>
  <c r="AB3076" i="24"/>
  <c r="C3077" i="24"/>
  <c r="N3077" i="24"/>
  <c r="Q3077" i="24"/>
  <c r="R3077" i="24"/>
  <c r="W3077" i="24"/>
  <c r="AB3077" i="24"/>
  <c r="C3078" i="24"/>
  <c r="N3078" i="24"/>
  <c r="Q3078" i="24"/>
  <c r="R3078" i="24"/>
  <c r="W3078" i="24"/>
  <c r="AB3078" i="24"/>
  <c r="C3079" i="24"/>
  <c r="N3079" i="24"/>
  <c r="Q3079" i="24"/>
  <c r="R3079" i="24"/>
  <c r="W3079" i="24"/>
  <c r="AB3079" i="24"/>
  <c r="C3080" i="24"/>
  <c r="N3080" i="24"/>
  <c r="Q3080" i="24"/>
  <c r="R3080" i="24"/>
  <c r="W3080" i="24"/>
  <c r="AB3080" i="24"/>
  <c r="C3081" i="24"/>
  <c r="N3081" i="24"/>
  <c r="Q3081" i="24"/>
  <c r="R3081" i="24"/>
  <c r="W3081" i="24"/>
  <c r="AB3081" i="24"/>
  <c r="C3082" i="24"/>
  <c r="N3082" i="24"/>
  <c r="Q3082" i="24"/>
  <c r="R3082" i="24"/>
  <c r="W3082" i="24"/>
  <c r="AB3082" i="24"/>
  <c r="C3083" i="24"/>
  <c r="N3083" i="24"/>
  <c r="Q3083" i="24"/>
  <c r="R3083" i="24"/>
  <c r="W3083" i="24"/>
  <c r="AB3083" i="24"/>
  <c r="C3084" i="24"/>
  <c r="N3084" i="24"/>
  <c r="Q3084" i="24"/>
  <c r="R3084" i="24"/>
  <c r="W3084" i="24"/>
  <c r="AB3084" i="24"/>
  <c r="C3085" i="24"/>
  <c r="N3085" i="24"/>
  <c r="Q3085" i="24"/>
  <c r="R3085" i="24"/>
  <c r="W3085" i="24"/>
  <c r="AB3085" i="24"/>
  <c r="C3092" i="24"/>
  <c r="N3092" i="24"/>
  <c r="Q3092" i="24"/>
  <c r="R3092" i="24"/>
  <c r="W3092" i="24"/>
  <c r="AB3092" i="24"/>
  <c r="C3093" i="24"/>
  <c r="N3093" i="24"/>
  <c r="Q3093" i="24"/>
  <c r="R3093" i="24"/>
  <c r="W3093" i="24"/>
  <c r="AB3093" i="24"/>
  <c r="C3094" i="24"/>
  <c r="N3094" i="24"/>
  <c r="Q3094" i="24"/>
  <c r="R3094" i="24"/>
  <c r="W3094" i="24"/>
  <c r="AB3094" i="24"/>
  <c r="C3095" i="24"/>
  <c r="N3095" i="24"/>
  <c r="Q3095" i="24"/>
  <c r="R3095" i="24"/>
  <c r="W3095" i="24"/>
  <c r="AB3095" i="24"/>
  <c r="C3096" i="24"/>
  <c r="N3096" i="24"/>
  <c r="Q3096" i="24"/>
  <c r="R3096" i="24"/>
  <c r="W3096" i="24"/>
  <c r="AB3096" i="24"/>
  <c r="C3097" i="24"/>
  <c r="N3097" i="24"/>
  <c r="Q3097" i="24"/>
  <c r="R3097" i="24"/>
  <c r="W3097" i="24"/>
  <c r="AB3097" i="24"/>
  <c r="C3098" i="24"/>
  <c r="N3098" i="24"/>
  <c r="Q3098" i="24"/>
  <c r="R3098" i="24"/>
  <c r="W3098" i="24"/>
  <c r="AB3098" i="24"/>
  <c r="C3099" i="24"/>
  <c r="N3099" i="24"/>
  <c r="Q3099" i="24"/>
  <c r="R3099" i="24"/>
  <c r="W3099" i="24"/>
  <c r="AB3099" i="24"/>
  <c r="C3100" i="24"/>
  <c r="N3100" i="24"/>
  <c r="Q3100" i="24"/>
  <c r="R3100" i="24"/>
  <c r="W3100" i="24"/>
  <c r="AB3100" i="24"/>
  <c r="C3101" i="24"/>
  <c r="N3101" i="24"/>
  <c r="Q3101" i="24"/>
  <c r="R3101" i="24"/>
  <c r="W3101" i="24"/>
  <c r="AB3101" i="24"/>
  <c r="C3102" i="24"/>
  <c r="N3102" i="24"/>
  <c r="Q3102" i="24"/>
  <c r="R3102" i="24"/>
  <c r="W3102" i="24"/>
  <c r="AB3102" i="24"/>
  <c r="C3103" i="24"/>
  <c r="N3103" i="24"/>
  <c r="Q3103" i="24"/>
  <c r="R3103" i="24"/>
  <c r="W3103" i="24"/>
  <c r="AB3103" i="24"/>
  <c r="C3104" i="24"/>
  <c r="N3104" i="24"/>
  <c r="Q3104" i="24"/>
  <c r="R3104" i="24"/>
  <c r="W3104" i="24"/>
  <c r="AB3104" i="24"/>
  <c r="C3105" i="24"/>
  <c r="N3105" i="24"/>
  <c r="Q3105" i="24"/>
  <c r="R3105" i="24"/>
  <c r="W3105" i="24"/>
  <c r="AB3105" i="24"/>
  <c r="C3106" i="24"/>
  <c r="N3106" i="24"/>
  <c r="Q3106" i="24"/>
  <c r="R3106" i="24"/>
  <c r="W3106" i="24"/>
  <c r="AB3106" i="24"/>
  <c r="C3107" i="24"/>
  <c r="N3107" i="24"/>
  <c r="Q3107" i="24"/>
  <c r="R3107" i="24"/>
  <c r="W3107" i="24"/>
  <c r="AB3107" i="24"/>
  <c r="C3108" i="24"/>
  <c r="N3108" i="24"/>
  <c r="Q3108" i="24"/>
  <c r="R3108" i="24"/>
  <c r="W3108" i="24"/>
  <c r="AB3108" i="24"/>
  <c r="C3109" i="24"/>
  <c r="N3109" i="24"/>
  <c r="Q3109" i="24"/>
  <c r="R3109" i="24"/>
  <c r="W3109" i="24"/>
  <c r="AB3109" i="24"/>
  <c r="C3110" i="24"/>
  <c r="N3110" i="24"/>
  <c r="Q3110" i="24"/>
  <c r="R3110" i="24"/>
  <c r="W3110" i="24"/>
  <c r="AB3110" i="24"/>
  <c r="C3111" i="24"/>
  <c r="N3111" i="24"/>
  <c r="Q3111" i="24"/>
  <c r="R3111" i="24"/>
  <c r="W3111" i="24"/>
  <c r="AB3111" i="24"/>
  <c r="C3112" i="24"/>
  <c r="N3112" i="24"/>
  <c r="Q3112" i="24"/>
  <c r="R3112" i="24"/>
  <c r="W3112" i="24"/>
  <c r="AB3112" i="24"/>
  <c r="C3113" i="24"/>
  <c r="N3113" i="24"/>
  <c r="Q3113" i="24"/>
  <c r="R3113" i="24"/>
  <c r="W3113" i="24"/>
  <c r="AB3113" i="24"/>
  <c r="C3114" i="24"/>
  <c r="N3114" i="24"/>
  <c r="Q3114" i="24"/>
  <c r="R3114" i="24"/>
  <c r="W3114" i="24"/>
  <c r="AB3114" i="24"/>
  <c r="C3115" i="24"/>
  <c r="N3115" i="24"/>
  <c r="Q3115" i="24"/>
  <c r="R3115" i="24"/>
  <c r="W3115" i="24"/>
  <c r="AB3115" i="24"/>
  <c r="C3116" i="24"/>
  <c r="N3116" i="24"/>
  <c r="Q3116" i="24"/>
  <c r="R3116" i="24"/>
  <c r="W3116" i="24"/>
  <c r="AB3116" i="24"/>
  <c r="C3117" i="24"/>
  <c r="N3117" i="24"/>
  <c r="Q3117" i="24"/>
  <c r="R3117" i="24"/>
  <c r="W3117" i="24"/>
  <c r="AB3117" i="24"/>
  <c r="C3118" i="24"/>
  <c r="N3118" i="24"/>
  <c r="Q3118" i="24"/>
  <c r="R3118" i="24"/>
  <c r="W3118" i="24"/>
  <c r="AB3118" i="24"/>
  <c r="C3119" i="24"/>
  <c r="N3119" i="24"/>
  <c r="Q3119" i="24"/>
  <c r="R3119" i="24"/>
  <c r="W3119" i="24"/>
  <c r="AB3119" i="24"/>
  <c r="C3120" i="24"/>
  <c r="N3120" i="24"/>
  <c r="Q3120" i="24"/>
  <c r="R3120" i="24"/>
  <c r="W3120" i="24"/>
  <c r="AB3120" i="24"/>
  <c r="C3121" i="24"/>
  <c r="N3121" i="24"/>
  <c r="Q3121" i="24"/>
  <c r="R3121" i="24"/>
  <c r="W3121" i="24"/>
  <c r="AB3121" i="24"/>
  <c r="C3122" i="24"/>
  <c r="N3122" i="24"/>
  <c r="Q3122" i="24"/>
  <c r="R3122" i="24"/>
  <c r="W3122" i="24"/>
  <c r="AB3122" i="24"/>
  <c r="C3123" i="24"/>
  <c r="N3123" i="24"/>
  <c r="Q3123" i="24"/>
  <c r="R3123" i="24"/>
  <c r="W3123" i="24"/>
  <c r="AB3123" i="24"/>
  <c r="C3124" i="24"/>
  <c r="N3124" i="24"/>
  <c r="Q3124" i="24"/>
  <c r="R3124" i="24"/>
  <c r="W3124" i="24"/>
  <c r="AB3124" i="24"/>
  <c r="C3125" i="24"/>
  <c r="N3125" i="24"/>
  <c r="Q3125" i="24"/>
  <c r="R3125" i="24"/>
  <c r="W3125" i="24"/>
  <c r="AB3125" i="24"/>
  <c r="C3126" i="24"/>
  <c r="N3126" i="24"/>
  <c r="Q3126" i="24"/>
  <c r="R3126" i="24"/>
  <c r="W3126" i="24"/>
  <c r="AB3126" i="24"/>
  <c r="C3127" i="24"/>
  <c r="N3127" i="24"/>
  <c r="Q3127" i="24"/>
  <c r="R3127" i="24"/>
  <c r="W3127" i="24"/>
  <c r="AB3127" i="24"/>
  <c r="C3128" i="24"/>
  <c r="N3128" i="24"/>
  <c r="Q3128" i="24"/>
  <c r="R3128" i="24"/>
  <c r="W3128" i="24"/>
  <c r="AB3128" i="24"/>
  <c r="C3129" i="24"/>
  <c r="N3129" i="24"/>
  <c r="Q3129" i="24"/>
  <c r="R3129" i="24"/>
  <c r="W3129" i="24"/>
  <c r="AB3129" i="24"/>
  <c r="C3130" i="24"/>
  <c r="N3130" i="24"/>
  <c r="Q3130" i="24"/>
  <c r="R3130" i="24"/>
  <c r="W3130" i="24"/>
  <c r="AB3130" i="24"/>
  <c r="C3131" i="24"/>
  <c r="N3131" i="24"/>
  <c r="Q3131" i="24"/>
  <c r="R3131" i="24"/>
  <c r="W3131" i="24"/>
  <c r="AB3131" i="24"/>
  <c r="C3132" i="24"/>
  <c r="N3132" i="24"/>
  <c r="Q3132" i="24"/>
  <c r="R3132" i="24"/>
  <c r="W3132" i="24"/>
  <c r="AB3132" i="24"/>
  <c r="C3133" i="24"/>
  <c r="N3133" i="24"/>
  <c r="Q3133" i="24"/>
  <c r="R3133" i="24"/>
  <c r="W3133" i="24"/>
  <c r="AB3133" i="24"/>
  <c r="C3134" i="24"/>
  <c r="N3134" i="24"/>
  <c r="Q3134" i="24"/>
  <c r="R3134" i="24"/>
  <c r="W3134" i="24"/>
  <c r="AB3134" i="24"/>
  <c r="C3135" i="24"/>
  <c r="N3135" i="24"/>
  <c r="Q3135" i="24"/>
  <c r="R3135" i="24"/>
  <c r="W3135" i="24"/>
  <c r="AB3135" i="24"/>
  <c r="C3136" i="24"/>
  <c r="N3136" i="24"/>
  <c r="Q3136" i="24"/>
  <c r="R3136" i="24"/>
  <c r="W3136" i="24"/>
  <c r="AB3136" i="24"/>
  <c r="C3137" i="24"/>
  <c r="N3137" i="24"/>
  <c r="Q3137" i="24"/>
  <c r="R3137" i="24"/>
  <c r="W3137" i="24"/>
  <c r="AB3137" i="24"/>
  <c r="C3138" i="24"/>
  <c r="N3138" i="24"/>
  <c r="Q3138" i="24"/>
  <c r="R3138" i="24"/>
  <c r="W3138" i="24"/>
  <c r="AB3138" i="24"/>
  <c r="C3139" i="24"/>
  <c r="N3139" i="24"/>
  <c r="Q3139" i="24"/>
  <c r="R3139" i="24"/>
  <c r="W3139" i="24"/>
  <c r="AB3139" i="24"/>
  <c r="C3140" i="24"/>
  <c r="N3140" i="24"/>
  <c r="Q3140" i="24"/>
  <c r="R3140" i="24"/>
  <c r="W3140" i="24"/>
  <c r="AB3140" i="24"/>
  <c r="C3141" i="24"/>
  <c r="N3141" i="24"/>
  <c r="Q3141" i="24"/>
  <c r="R3141" i="24"/>
  <c r="W3141" i="24"/>
  <c r="AB3141" i="24"/>
  <c r="C3142" i="24"/>
  <c r="N3142" i="24"/>
  <c r="Q3142" i="24"/>
  <c r="R3142" i="24"/>
  <c r="W3142" i="24"/>
  <c r="AB3142" i="24"/>
  <c r="C3143" i="24"/>
  <c r="N3143" i="24"/>
  <c r="Q3143" i="24"/>
  <c r="R3143" i="24"/>
  <c r="W3143" i="24"/>
  <c r="AB3143" i="24"/>
  <c r="C3144" i="24"/>
  <c r="N3144" i="24"/>
  <c r="Q3144" i="24"/>
  <c r="R3144" i="24"/>
  <c r="W3144" i="24"/>
  <c r="AB3144" i="24"/>
  <c r="C3145" i="24"/>
  <c r="N3145" i="24"/>
  <c r="Q3145" i="24"/>
  <c r="R3145" i="24"/>
  <c r="W3145" i="24"/>
  <c r="AB3145" i="24"/>
  <c r="C3146" i="24"/>
  <c r="N3146" i="24"/>
  <c r="Q3146" i="24"/>
  <c r="R3146" i="24"/>
  <c r="W3146" i="24"/>
  <c r="AB3146" i="24"/>
  <c r="C3147" i="24"/>
  <c r="N3147" i="24"/>
  <c r="Q3147" i="24"/>
  <c r="R3147" i="24"/>
  <c r="W3147" i="24"/>
  <c r="AB3147" i="24"/>
  <c r="C3148" i="24"/>
  <c r="N3148" i="24"/>
  <c r="Q3148" i="24"/>
  <c r="R3148" i="24"/>
  <c r="W3148" i="24"/>
  <c r="AB3148" i="24"/>
  <c r="C3149" i="24"/>
  <c r="N3149" i="24"/>
  <c r="Q3149" i="24"/>
  <c r="R3149" i="24"/>
  <c r="W3149" i="24"/>
  <c r="AB3149" i="24"/>
  <c r="C3150" i="24"/>
  <c r="N3150" i="24"/>
  <c r="Q3150" i="24"/>
  <c r="R3150" i="24"/>
  <c r="W3150" i="24"/>
  <c r="AB3150" i="24"/>
  <c r="C3151" i="24"/>
  <c r="N3151" i="24"/>
  <c r="Q3151" i="24"/>
  <c r="R3151" i="24"/>
  <c r="W3151" i="24"/>
  <c r="AB3151" i="24"/>
  <c r="C3152" i="24"/>
  <c r="N3152" i="24"/>
  <c r="Q3152" i="24"/>
  <c r="R3152" i="24"/>
  <c r="W3152" i="24"/>
  <c r="AB3152" i="24"/>
  <c r="C3155" i="24"/>
  <c r="N3155" i="24"/>
  <c r="Q3155" i="24"/>
  <c r="R3155" i="24"/>
  <c r="W3155" i="24"/>
  <c r="AB3155" i="24"/>
  <c r="C3156" i="24"/>
  <c r="N3156" i="24"/>
  <c r="Q3156" i="24"/>
  <c r="R3156" i="24"/>
  <c r="W3156" i="24"/>
  <c r="AB3156" i="24"/>
  <c r="C3157" i="24"/>
  <c r="N3157" i="24"/>
  <c r="Q3157" i="24"/>
  <c r="R3157" i="24"/>
  <c r="W3157" i="24"/>
  <c r="AB3157" i="24"/>
  <c r="C3158" i="24"/>
  <c r="N3158" i="24"/>
  <c r="Q3158" i="24"/>
  <c r="R3158" i="24"/>
  <c r="W3158" i="24"/>
  <c r="AB3158" i="24"/>
  <c r="C3159" i="24"/>
  <c r="N3159" i="24"/>
  <c r="Q3159" i="24"/>
  <c r="R3159" i="24"/>
  <c r="W3159" i="24"/>
  <c r="AB3159" i="24"/>
  <c r="C3160" i="24"/>
  <c r="N3160" i="24"/>
  <c r="Q3160" i="24"/>
  <c r="R3160" i="24"/>
  <c r="W3160" i="24"/>
  <c r="AB3160" i="24"/>
  <c r="C3161" i="24"/>
  <c r="N3161" i="24"/>
  <c r="Q3161" i="24"/>
  <c r="R3161" i="24"/>
  <c r="W3161" i="24"/>
  <c r="AB3161" i="24"/>
  <c r="C3162" i="24"/>
  <c r="N3162" i="24"/>
  <c r="Q3162" i="24"/>
  <c r="R3162" i="24"/>
  <c r="W3162" i="24"/>
  <c r="AB3162" i="24"/>
  <c r="C3163" i="24"/>
  <c r="N3163" i="24"/>
  <c r="Q3163" i="24"/>
  <c r="R3163" i="24"/>
  <c r="W3163" i="24"/>
  <c r="AB3163" i="24"/>
  <c r="C3164" i="24"/>
  <c r="N3164" i="24"/>
  <c r="Q3164" i="24"/>
  <c r="R3164" i="24"/>
  <c r="W3164" i="24"/>
  <c r="AB3164" i="24"/>
  <c r="C3165" i="24"/>
  <c r="N3165" i="24"/>
  <c r="Q3165" i="24"/>
  <c r="R3165" i="24"/>
  <c r="W3165" i="24"/>
  <c r="AB3165" i="24"/>
  <c r="C3166" i="24"/>
  <c r="N3166" i="24"/>
  <c r="Q3166" i="24"/>
  <c r="R3166" i="24"/>
  <c r="W3166" i="24"/>
  <c r="AB3166" i="24"/>
  <c r="C3167" i="24"/>
  <c r="N3167" i="24"/>
  <c r="Q3167" i="24"/>
  <c r="R3167" i="24"/>
  <c r="W3167" i="24"/>
  <c r="AB3167" i="24"/>
  <c r="C3168" i="24"/>
  <c r="N3168" i="24"/>
  <c r="Q3168" i="24"/>
  <c r="R3168" i="24"/>
  <c r="W3168" i="24"/>
  <c r="AB3168" i="24"/>
  <c r="C3169" i="24"/>
  <c r="N3169" i="24"/>
  <c r="Q3169" i="24"/>
  <c r="R3169" i="24"/>
  <c r="W3169" i="24"/>
  <c r="AB3169" i="24"/>
  <c r="C3170" i="24"/>
  <c r="N3170" i="24"/>
  <c r="Q3170" i="24"/>
  <c r="R3170" i="24"/>
  <c r="W3170" i="24"/>
  <c r="AB3170" i="24"/>
  <c r="C3171" i="24"/>
  <c r="N3171" i="24"/>
  <c r="Q3171" i="24"/>
  <c r="R3171" i="24"/>
  <c r="W3171" i="24"/>
  <c r="AB3171" i="24"/>
  <c r="C3172" i="24"/>
  <c r="N3172" i="24"/>
  <c r="Q3172" i="24"/>
  <c r="R3172" i="24"/>
  <c r="W3172" i="24"/>
  <c r="AB3172" i="24"/>
  <c r="C3173" i="24"/>
  <c r="N3173" i="24"/>
  <c r="Q3173" i="24"/>
  <c r="R3173" i="24"/>
  <c r="W3173" i="24"/>
  <c r="AB3173" i="24"/>
  <c r="C3174" i="24"/>
  <c r="N3174" i="24"/>
  <c r="Q3174" i="24"/>
  <c r="R3174" i="24"/>
  <c r="W3174" i="24"/>
  <c r="AB3174" i="24"/>
  <c r="C3175" i="24"/>
  <c r="N3175" i="24"/>
  <c r="Q3175" i="24"/>
  <c r="R3175" i="24"/>
  <c r="W3175" i="24"/>
  <c r="AB3175" i="24"/>
  <c r="C3176" i="24"/>
  <c r="N3176" i="24"/>
  <c r="Q3176" i="24"/>
  <c r="R3176" i="24"/>
  <c r="W3176" i="24"/>
  <c r="AB3176" i="24"/>
  <c r="C3177" i="24"/>
  <c r="N3177" i="24"/>
  <c r="Q3177" i="24"/>
  <c r="R3177" i="24"/>
  <c r="W3177" i="24"/>
  <c r="AB3177" i="24"/>
  <c r="C3178" i="24"/>
  <c r="N3178" i="24"/>
  <c r="Q3178" i="24"/>
  <c r="R3178" i="24"/>
  <c r="W3178" i="24"/>
  <c r="AB3178" i="24"/>
  <c r="C3179" i="24"/>
  <c r="N3179" i="24"/>
  <c r="Q3179" i="24"/>
  <c r="R3179" i="24"/>
  <c r="W3179" i="24"/>
  <c r="AB3179" i="24"/>
  <c r="C3180" i="24"/>
  <c r="N3180" i="24"/>
  <c r="Q3180" i="24"/>
  <c r="R3180" i="24"/>
  <c r="W3180" i="24"/>
  <c r="AB3180" i="24"/>
  <c r="C3181" i="24"/>
  <c r="N3181" i="24"/>
  <c r="Q3181" i="24"/>
  <c r="R3181" i="24"/>
  <c r="W3181" i="24"/>
  <c r="AB3181" i="24"/>
  <c r="C3182" i="24"/>
  <c r="N3182" i="24"/>
  <c r="Q3182" i="24"/>
  <c r="R3182" i="24"/>
  <c r="W3182" i="24"/>
  <c r="AB3182" i="24"/>
  <c r="C3183" i="24"/>
  <c r="N3183" i="24"/>
  <c r="Q3183" i="24"/>
  <c r="R3183" i="24"/>
  <c r="W3183" i="24"/>
  <c r="AB3183" i="24"/>
  <c r="C3184" i="24"/>
  <c r="N3184" i="24"/>
  <c r="Q3184" i="24"/>
  <c r="R3184" i="24"/>
  <c r="W3184" i="24"/>
  <c r="AB3184" i="24"/>
  <c r="C3185" i="24"/>
  <c r="N3185" i="24"/>
  <c r="Q3185" i="24"/>
  <c r="R3185" i="24"/>
  <c r="W3185" i="24"/>
  <c r="AB3185" i="24"/>
  <c r="C3186" i="24"/>
  <c r="N3186" i="24"/>
  <c r="Q3186" i="24"/>
  <c r="R3186" i="24"/>
  <c r="W3186" i="24"/>
  <c r="AB3186" i="24"/>
  <c r="C3187" i="24"/>
  <c r="N3187" i="24"/>
  <c r="Q3187" i="24"/>
  <c r="R3187" i="24"/>
  <c r="W3187" i="24"/>
  <c r="AB3187" i="24"/>
  <c r="C3188" i="24"/>
  <c r="N3188" i="24"/>
  <c r="Q3188" i="24"/>
  <c r="R3188" i="24"/>
  <c r="W3188" i="24"/>
  <c r="AB3188" i="24"/>
  <c r="C3189" i="24"/>
  <c r="N3189" i="24"/>
  <c r="Q3189" i="24"/>
  <c r="R3189" i="24"/>
  <c r="W3189" i="24"/>
  <c r="AB3189" i="24"/>
  <c r="C3190" i="24"/>
  <c r="N3190" i="24"/>
  <c r="Q3190" i="24"/>
  <c r="R3190" i="24"/>
  <c r="W3190" i="24"/>
  <c r="AB3190" i="24"/>
  <c r="C3191" i="24"/>
  <c r="N3191" i="24"/>
  <c r="Q3191" i="24"/>
  <c r="R3191" i="24"/>
  <c r="W3191" i="24"/>
  <c r="AB3191" i="24"/>
  <c r="C3192" i="24"/>
  <c r="N3192" i="24"/>
  <c r="Q3192" i="24"/>
  <c r="R3192" i="24"/>
  <c r="W3192" i="24"/>
  <c r="AB3192" i="24"/>
  <c r="C3193" i="24"/>
  <c r="N3193" i="24"/>
  <c r="Q3193" i="24"/>
  <c r="R3193" i="24"/>
  <c r="W3193" i="24"/>
  <c r="AB3193" i="24"/>
  <c r="C3194" i="24"/>
  <c r="N3194" i="24"/>
  <c r="Q3194" i="24"/>
  <c r="R3194" i="24"/>
  <c r="W3194" i="24"/>
  <c r="AB3194" i="24"/>
  <c r="C3195" i="24"/>
  <c r="N3195" i="24"/>
  <c r="Q3195" i="24"/>
  <c r="R3195" i="24"/>
  <c r="W3195" i="24"/>
  <c r="AB3195" i="24"/>
  <c r="C3196" i="24"/>
  <c r="N3196" i="24"/>
  <c r="Q3196" i="24"/>
  <c r="R3196" i="24"/>
  <c r="W3196" i="24"/>
  <c r="AB3196" i="24"/>
  <c r="C3197" i="24"/>
  <c r="N3197" i="24"/>
  <c r="Q3197" i="24"/>
  <c r="R3197" i="24"/>
  <c r="W3197" i="24"/>
  <c r="AB3197" i="24"/>
  <c r="C3198" i="24"/>
  <c r="N3198" i="24"/>
  <c r="Q3198" i="24"/>
  <c r="R3198" i="24"/>
  <c r="W3198" i="24"/>
  <c r="AB3198" i="24"/>
  <c r="C3199" i="24"/>
  <c r="N3199" i="24"/>
  <c r="Q3199" i="24"/>
  <c r="R3199" i="24"/>
  <c r="W3199" i="24"/>
  <c r="AB3199" i="24"/>
  <c r="C3200" i="24"/>
  <c r="N3200" i="24"/>
  <c r="Q3200" i="24"/>
  <c r="R3200" i="24"/>
  <c r="W3200" i="24"/>
  <c r="AB3200" i="24"/>
  <c r="C3201" i="24"/>
  <c r="N3201" i="24"/>
  <c r="Q3201" i="24"/>
  <c r="R3201" i="24"/>
  <c r="W3201" i="24"/>
  <c r="AB3201" i="24"/>
  <c r="C3202" i="24"/>
  <c r="N3202" i="24"/>
  <c r="Q3202" i="24"/>
  <c r="R3202" i="24"/>
  <c r="W3202" i="24"/>
  <c r="AB3202" i="24"/>
  <c r="C3203" i="24"/>
  <c r="N3203" i="24"/>
  <c r="Q3203" i="24"/>
  <c r="R3203" i="24"/>
  <c r="W3203" i="24"/>
  <c r="AB3203" i="24"/>
  <c r="C3204" i="24"/>
  <c r="N3204" i="24"/>
  <c r="Q3204" i="24"/>
  <c r="R3204" i="24"/>
  <c r="W3204" i="24"/>
  <c r="AB3204" i="24"/>
  <c r="C3205" i="24"/>
  <c r="N3205" i="24"/>
  <c r="Q3205" i="24"/>
  <c r="R3205" i="24"/>
  <c r="W3205" i="24"/>
  <c r="AB3205" i="24"/>
  <c r="C3206" i="24"/>
  <c r="N3206" i="24"/>
  <c r="Q3206" i="24"/>
  <c r="R3206" i="24"/>
  <c r="W3206" i="24"/>
  <c r="AB3206" i="24"/>
  <c r="C3207" i="24"/>
  <c r="N3207" i="24"/>
  <c r="Q3207" i="24"/>
  <c r="R3207" i="24"/>
  <c r="W3207" i="24"/>
  <c r="AB3207" i="24"/>
  <c r="C3208" i="24"/>
  <c r="N3208" i="24"/>
  <c r="Q3208" i="24"/>
  <c r="R3208" i="24"/>
  <c r="W3208" i="24"/>
  <c r="AB3208" i="24"/>
  <c r="C3209" i="24"/>
  <c r="N3209" i="24"/>
  <c r="Q3209" i="24"/>
  <c r="R3209" i="24"/>
  <c r="W3209" i="24"/>
  <c r="AB3209" i="24"/>
  <c r="C3210" i="24"/>
  <c r="N3210" i="24"/>
  <c r="Q3210" i="24"/>
  <c r="R3210" i="24"/>
  <c r="W3210" i="24"/>
  <c r="AB3210" i="24"/>
  <c r="C3211" i="24"/>
  <c r="N3211" i="24"/>
  <c r="Q3211" i="24"/>
  <c r="R3211" i="24"/>
  <c r="W3211" i="24"/>
  <c r="AB3211" i="24"/>
  <c r="C3212" i="24"/>
  <c r="N3212" i="24"/>
  <c r="Q3212" i="24"/>
  <c r="R3212" i="24"/>
  <c r="W3212" i="24"/>
  <c r="AB3212" i="24"/>
  <c r="C3213" i="24"/>
  <c r="N3213" i="24"/>
  <c r="Q3213" i="24"/>
  <c r="R3213" i="24"/>
  <c r="W3213" i="24"/>
  <c r="AB3213" i="24"/>
  <c r="C3214" i="24"/>
  <c r="N3214" i="24"/>
  <c r="Q3214" i="24"/>
  <c r="R3214" i="24"/>
  <c r="W3214" i="24"/>
  <c r="AB3214" i="24"/>
  <c r="C3215" i="24"/>
  <c r="N3215" i="24"/>
  <c r="Q3215" i="24"/>
  <c r="R3215" i="24"/>
  <c r="W3215" i="24"/>
  <c r="AB3215" i="24"/>
  <c r="C3216" i="24"/>
  <c r="N3216" i="24"/>
  <c r="Q3216" i="24"/>
  <c r="R3216" i="24"/>
  <c r="W3216" i="24"/>
  <c r="AB3216" i="24"/>
  <c r="C3217" i="24"/>
  <c r="N3217" i="24"/>
  <c r="Q3217" i="24"/>
  <c r="R3217" i="24"/>
  <c r="W3217" i="24"/>
  <c r="AB3217" i="24"/>
  <c r="C3218" i="24"/>
  <c r="N3218" i="24"/>
  <c r="Q3218" i="24"/>
  <c r="R3218" i="24"/>
  <c r="W3218" i="24"/>
  <c r="AB3218" i="24"/>
  <c r="C3221" i="24"/>
  <c r="N3221" i="24"/>
  <c r="Q3221" i="24"/>
  <c r="R3221" i="24"/>
  <c r="W3221" i="24"/>
  <c r="AB3221" i="24"/>
  <c r="C3222" i="24"/>
  <c r="N3222" i="24"/>
  <c r="Q3222" i="24"/>
  <c r="R3222" i="24"/>
  <c r="W3222" i="24"/>
  <c r="AB3222" i="24"/>
  <c r="C3223" i="24"/>
  <c r="N3223" i="24"/>
  <c r="Q3223" i="24"/>
  <c r="R3223" i="24"/>
  <c r="W3223" i="24"/>
  <c r="AB3223" i="24"/>
  <c r="C3224" i="24"/>
  <c r="N3224" i="24"/>
  <c r="Q3224" i="24"/>
  <c r="R3224" i="24"/>
  <c r="W3224" i="24"/>
  <c r="AB3224" i="24"/>
  <c r="C3225" i="24"/>
  <c r="N3225" i="24"/>
  <c r="Q3225" i="24"/>
  <c r="R3225" i="24"/>
  <c r="W3225" i="24"/>
  <c r="AB3225" i="24"/>
  <c r="C3226" i="24"/>
  <c r="N3226" i="24"/>
  <c r="Q3226" i="24"/>
  <c r="R3226" i="24"/>
  <c r="W3226" i="24"/>
  <c r="AB3226" i="24"/>
  <c r="C3227" i="24"/>
  <c r="N3227" i="24"/>
  <c r="Q3227" i="24"/>
  <c r="R3227" i="24"/>
  <c r="W3227" i="24"/>
  <c r="AB3227" i="24"/>
  <c r="C3228" i="24"/>
  <c r="N3228" i="24"/>
  <c r="Q3228" i="24"/>
  <c r="R3228" i="24"/>
  <c r="W3228" i="24"/>
  <c r="AB3228" i="24"/>
  <c r="C3229" i="24"/>
  <c r="N3229" i="24"/>
  <c r="Q3229" i="24"/>
  <c r="R3229" i="24"/>
  <c r="W3229" i="24"/>
  <c r="AB3229" i="24"/>
  <c r="C3230" i="24"/>
  <c r="N3230" i="24"/>
  <c r="Q3230" i="24"/>
  <c r="R3230" i="24"/>
  <c r="W3230" i="24"/>
  <c r="AB3230" i="24"/>
  <c r="C3231" i="24"/>
  <c r="N3231" i="24"/>
  <c r="Q3231" i="24"/>
  <c r="R3231" i="24"/>
  <c r="W3231" i="24"/>
  <c r="AB3231" i="24"/>
  <c r="C3232" i="24"/>
  <c r="N3232" i="24"/>
  <c r="Q3232" i="24"/>
  <c r="R3232" i="24"/>
  <c r="W3232" i="24"/>
  <c r="AB3232" i="24"/>
  <c r="C3233" i="24"/>
  <c r="N3233" i="24"/>
  <c r="Q3233" i="24"/>
  <c r="R3233" i="24"/>
  <c r="W3233" i="24"/>
  <c r="AB3233" i="24"/>
  <c r="C3236" i="24"/>
  <c r="N3236" i="24"/>
  <c r="Q3236" i="24"/>
  <c r="R3236" i="24"/>
  <c r="W3236" i="24"/>
  <c r="AB3236" i="24"/>
  <c r="C3237" i="24"/>
  <c r="N3237" i="24"/>
  <c r="Q3237" i="24"/>
  <c r="R3237" i="24"/>
  <c r="W3237" i="24"/>
  <c r="AB3237" i="24"/>
  <c r="C3238" i="24"/>
  <c r="N3238" i="24"/>
  <c r="Q3238" i="24"/>
  <c r="R3238" i="24"/>
  <c r="W3238" i="24"/>
  <c r="AB3238" i="24"/>
  <c r="C3239" i="24"/>
  <c r="N3239" i="24"/>
  <c r="Q3239" i="24"/>
  <c r="R3239" i="24"/>
  <c r="W3239" i="24"/>
  <c r="AB3239" i="24"/>
  <c r="C3240" i="24"/>
  <c r="N3240" i="24"/>
  <c r="Q3240" i="24"/>
  <c r="R3240" i="24"/>
  <c r="W3240" i="24"/>
  <c r="AB3240" i="24"/>
  <c r="C3241" i="24"/>
  <c r="N3241" i="24"/>
  <c r="Q3241" i="24"/>
  <c r="R3241" i="24"/>
  <c r="W3241" i="24"/>
  <c r="AB3241" i="24"/>
  <c r="C3242" i="24"/>
  <c r="N3242" i="24"/>
  <c r="Q3242" i="24"/>
  <c r="R3242" i="24"/>
  <c r="W3242" i="24"/>
  <c r="AB3242" i="24"/>
  <c r="C3243" i="24"/>
  <c r="N3243" i="24"/>
  <c r="Q3243" i="24"/>
  <c r="R3243" i="24"/>
  <c r="W3243" i="24"/>
  <c r="AB3243" i="24"/>
  <c r="C3244" i="24"/>
  <c r="N3244" i="24"/>
  <c r="Q3244" i="24"/>
  <c r="R3244" i="24"/>
  <c r="W3244" i="24"/>
  <c r="AB3244" i="24"/>
  <c r="C3245" i="24"/>
  <c r="N3245" i="24"/>
  <c r="Q3245" i="24"/>
  <c r="R3245" i="24"/>
  <c r="W3245" i="24"/>
  <c r="AB3245" i="24"/>
  <c r="C3246" i="24"/>
  <c r="N3246" i="24"/>
  <c r="Q3246" i="24"/>
  <c r="R3246" i="24"/>
  <c r="W3246" i="24"/>
  <c r="AB3246" i="24"/>
  <c r="C3249" i="24"/>
  <c r="N3249" i="24"/>
  <c r="Q3249" i="24"/>
  <c r="R3249" i="24"/>
  <c r="W3249" i="24"/>
  <c r="AB3249" i="24"/>
  <c r="C3250" i="24"/>
  <c r="N3250" i="24"/>
  <c r="Q3250" i="24"/>
  <c r="R3250" i="24"/>
  <c r="W3250" i="24"/>
  <c r="AB3250" i="24"/>
  <c r="C3251" i="24"/>
  <c r="N3251" i="24"/>
  <c r="Q3251" i="24"/>
  <c r="R3251" i="24"/>
  <c r="W3251" i="24"/>
  <c r="AB3251" i="24"/>
  <c r="C3252" i="24"/>
  <c r="N3252" i="24"/>
  <c r="Q3252" i="24"/>
  <c r="R3252" i="24"/>
  <c r="W3252" i="24"/>
  <c r="AB3252" i="24"/>
  <c r="C3253" i="24"/>
  <c r="N3253" i="24"/>
  <c r="Q3253" i="24"/>
  <c r="R3253" i="24"/>
  <c r="W3253" i="24"/>
  <c r="AB3253" i="24"/>
  <c r="C3254" i="24"/>
  <c r="N3254" i="24"/>
  <c r="Q3254" i="24"/>
  <c r="R3254" i="24"/>
  <c r="W3254" i="24"/>
  <c r="AB3254" i="24"/>
  <c r="C3255" i="24"/>
  <c r="N3255" i="24"/>
  <c r="Q3255" i="24"/>
  <c r="R3255" i="24"/>
  <c r="W3255" i="24"/>
  <c r="AB3255" i="24"/>
  <c r="C3256" i="24"/>
  <c r="N3256" i="24"/>
  <c r="Q3256" i="24"/>
  <c r="R3256" i="24"/>
  <c r="W3256" i="24"/>
  <c r="AB3256" i="24"/>
  <c r="C3257" i="24"/>
  <c r="N3257" i="24"/>
  <c r="Q3257" i="24"/>
  <c r="R3257" i="24"/>
  <c r="W3257" i="24"/>
  <c r="AB3257" i="24"/>
  <c r="C3258" i="24"/>
  <c r="N3258" i="24"/>
  <c r="Q3258" i="24"/>
  <c r="R3258" i="24"/>
  <c r="W3258" i="24"/>
  <c r="AB3258" i="24"/>
  <c r="C3259" i="24"/>
  <c r="N3259" i="24"/>
  <c r="Q3259" i="24"/>
  <c r="R3259" i="24"/>
  <c r="W3259" i="24"/>
  <c r="AB3259" i="24"/>
  <c r="C3261" i="24"/>
  <c r="N3261" i="24"/>
  <c r="Q3261" i="24"/>
  <c r="R3261" i="24"/>
  <c r="W3261" i="24"/>
  <c r="AB3261" i="24"/>
  <c r="C3262" i="24"/>
  <c r="N3262" i="24"/>
  <c r="Q3262" i="24"/>
  <c r="R3262" i="24"/>
  <c r="W3262" i="24"/>
  <c r="AB3262" i="24"/>
  <c r="C3263" i="24"/>
  <c r="N3263" i="24"/>
  <c r="Q3263" i="24"/>
  <c r="R3263" i="24"/>
  <c r="W3263" i="24"/>
  <c r="AB3263" i="24"/>
  <c r="C3264" i="24"/>
  <c r="N3264" i="24"/>
  <c r="Q3264" i="24"/>
  <c r="R3264" i="24"/>
  <c r="W3264" i="24"/>
  <c r="AB3264" i="24"/>
  <c r="C3265" i="24"/>
  <c r="N3265" i="24"/>
  <c r="Q3265" i="24"/>
  <c r="R3265" i="24"/>
  <c r="W3265" i="24"/>
  <c r="AB3265" i="24"/>
  <c r="C3266" i="24"/>
  <c r="N3266" i="24"/>
  <c r="Q3266" i="24"/>
  <c r="R3266" i="24"/>
  <c r="W3266" i="24"/>
  <c r="AB3266" i="24"/>
  <c r="C3267" i="24"/>
  <c r="N3267" i="24"/>
  <c r="Q3267" i="24"/>
  <c r="R3267" i="24"/>
  <c r="W3267" i="24"/>
  <c r="AB3267" i="24"/>
  <c r="C3268" i="24"/>
  <c r="N3268" i="24"/>
  <c r="Q3268" i="24"/>
  <c r="R3268" i="24"/>
  <c r="W3268" i="24"/>
  <c r="AB3268" i="24"/>
  <c r="C3271" i="24"/>
  <c r="N3271" i="24"/>
  <c r="Q3271" i="24"/>
  <c r="R3271" i="24"/>
  <c r="W3271" i="24"/>
  <c r="AB3271" i="24"/>
  <c r="C3272" i="24"/>
  <c r="N3272" i="24"/>
  <c r="Q3272" i="24"/>
  <c r="R3272" i="24"/>
  <c r="W3272" i="24"/>
  <c r="AB3272" i="24"/>
  <c r="S6" i="24" l="1"/>
  <c r="S7" i="24" s="1"/>
  <c r="S8" i="24" s="1"/>
  <c r="S9" i="24" s="1"/>
  <c r="S10" i="24" s="1"/>
  <c r="S11" i="24" s="1"/>
  <c r="S12" i="24" s="1"/>
  <c r="S13" i="24" s="1"/>
  <c r="S14" i="24" s="1"/>
  <c r="S15" i="24" s="1"/>
  <c r="S16" i="24" s="1"/>
  <c r="S17" i="24" s="1"/>
  <c r="S18" i="24" s="1"/>
  <c r="S19" i="24" s="1"/>
  <c r="S20" i="24" s="1"/>
  <c r="S21" i="24" s="1"/>
  <c r="S22" i="24" s="1"/>
  <c r="S23" i="24" s="1"/>
  <c r="S24" i="24" s="1"/>
  <c r="S25" i="24" s="1"/>
  <c r="S26" i="24" s="1"/>
  <c r="S27" i="24" s="1"/>
  <c r="S28" i="24" s="1"/>
  <c r="S29" i="24" s="1"/>
  <c r="S30" i="24" s="1"/>
  <c r="S31" i="24" s="1"/>
  <c r="S32" i="24" s="1"/>
  <c r="S33" i="24" s="1"/>
  <c r="S34" i="24" s="1"/>
  <c r="S35" i="24" s="1"/>
  <c r="S36" i="24" s="1"/>
  <c r="S37" i="24" s="1"/>
  <c r="S38" i="24" s="1"/>
  <c r="S39" i="24" s="1"/>
  <c r="S40" i="24" s="1"/>
  <c r="S41" i="24" s="1"/>
  <c r="S42" i="24" s="1"/>
  <c r="S43" i="24" s="1"/>
  <c r="S44" i="24" s="1"/>
  <c r="S45" i="24" s="1"/>
  <c r="S46" i="24" s="1"/>
  <c r="S47" i="24" s="1"/>
  <c r="S48" i="24" s="1"/>
  <c r="S49" i="24" s="1"/>
  <c r="S50" i="24" s="1"/>
  <c r="S51" i="24" s="1"/>
  <c r="S52" i="24" s="1"/>
  <c r="S53" i="24" s="1"/>
  <c r="S54" i="24" s="1"/>
  <c r="S55" i="24" s="1"/>
  <c r="S56" i="24" s="1"/>
  <c r="S57" i="24" s="1"/>
  <c r="S58" i="24" s="1"/>
  <c r="S59" i="24" s="1"/>
  <c r="S60" i="24" s="1"/>
  <c r="S61" i="24" s="1"/>
  <c r="S62" i="24" s="1"/>
  <c r="S63" i="24" s="1"/>
  <c r="S64" i="24" s="1"/>
  <c r="S65" i="24" s="1"/>
  <c r="S66" i="24" s="1"/>
  <c r="S67" i="24" s="1"/>
  <c r="S68" i="24" s="1"/>
  <c r="S69" i="24" s="1"/>
  <c r="S70" i="24" s="1"/>
  <c r="S71" i="24" s="1"/>
  <c r="S72" i="24" s="1"/>
  <c r="S73" i="24" s="1"/>
  <c r="S74" i="24" s="1"/>
  <c r="S75" i="24" s="1"/>
  <c r="S76" i="24" s="1"/>
  <c r="S77" i="24" s="1"/>
  <c r="S78" i="24" s="1"/>
  <c r="S79" i="24" s="1"/>
  <c r="S80" i="24" s="1"/>
  <c r="S81" i="24" s="1"/>
  <c r="S82" i="24" s="1"/>
  <c r="S83" i="24" s="1"/>
  <c r="S84" i="24" s="1"/>
  <c r="S85" i="24" s="1"/>
  <c r="S86" i="24" s="1"/>
  <c r="S87" i="24" s="1"/>
  <c r="S88" i="24" s="1"/>
  <c r="S89" i="24" s="1"/>
  <c r="S90" i="24" s="1"/>
  <c r="S91" i="24" s="1"/>
  <c r="S92" i="24" s="1"/>
  <c r="S93" i="24" s="1"/>
  <c r="S94" i="24" s="1"/>
  <c r="S95" i="24" s="1"/>
  <c r="S96" i="24" s="1"/>
  <c r="S97" i="24" s="1"/>
  <c r="S98" i="24" s="1"/>
  <c r="S99" i="24" s="1"/>
  <c r="S100" i="24" s="1"/>
  <c r="S101" i="24" s="1"/>
  <c r="S102" i="24" s="1"/>
  <c r="S103" i="24" s="1"/>
  <c r="S104" i="24" s="1"/>
  <c r="S105" i="24" s="1"/>
  <c r="S106" i="24" s="1"/>
  <c r="S107" i="24" s="1"/>
  <c r="S108" i="24" s="1"/>
  <c r="S109" i="24" s="1"/>
  <c r="S110" i="24" s="1"/>
  <c r="S111" i="24" s="1"/>
  <c r="S112" i="24" s="1"/>
  <c r="S113" i="24" s="1"/>
  <c r="S114" i="24" s="1"/>
  <c r="S115" i="24" s="1"/>
  <c r="S116" i="24" s="1"/>
  <c r="S117" i="24" s="1"/>
  <c r="S118" i="24" s="1"/>
  <c r="S119" i="24" s="1"/>
  <c r="S120" i="24" s="1"/>
  <c r="S121" i="24" s="1"/>
  <c r="S122" i="24" s="1"/>
  <c r="S123" i="24" s="1"/>
  <c r="S124" i="24" s="1"/>
  <c r="S125" i="24" s="1"/>
  <c r="S126" i="24" s="1"/>
  <c r="S127" i="24" s="1"/>
  <c r="S128" i="24" s="1"/>
  <c r="S129" i="24" s="1"/>
  <c r="S130" i="24" s="1"/>
  <c r="S131" i="24" s="1"/>
  <c r="S132" i="24" s="1"/>
  <c r="S133" i="24" s="1"/>
  <c r="S134" i="24" s="1"/>
  <c r="S135" i="24" s="1"/>
  <c r="S136" i="24" s="1"/>
  <c r="S137" i="24" s="1"/>
  <c r="S138" i="24" s="1"/>
  <c r="S139" i="24" s="1"/>
  <c r="S140" i="24" s="1"/>
  <c r="S141" i="24" s="1"/>
  <c r="S142" i="24" s="1"/>
  <c r="S143" i="24" s="1"/>
  <c r="S144" i="24" s="1"/>
  <c r="S145" i="24" s="1"/>
  <c r="S146" i="24" s="1"/>
  <c r="S147" i="24" s="1"/>
  <c r="S148" i="24" s="1"/>
  <c r="S149" i="24" s="1"/>
  <c r="S150" i="24" s="1"/>
  <c r="S151" i="24" s="1"/>
  <c r="S152" i="24" s="1"/>
  <c r="S153" i="24" s="1"/>
  <c r="S154" i="24" s="1"/>
  <c r="S155" i="24" s="1"/>
  <c r="S156" i="24" s="1"/>
  <c r="S157" i="24" s="1"/>
  <c r="S158" i="24" s="1"/>
  <c r="S159" i="24" s="1"/>
  <c r="S160" i="24" s="1"/>
  <c r="S161" i="24" s="1"/>
  <c r="S162" i="24" s="1"/>
  <c r="S163" i="24" s="1"/>
  <c r="S164" i="24" s="1"/>
  <c r="S165" i="24" s="1"/>
  <c r="S166" i="24" s="1"/>
  <c r="S167" i="24" s="1"/>
  <c r="S168" i="24" s="1"/>
  <c r="S169" i="24" s="1"/>
  <c r="S170" i="24" s="1"/>
  <c r="S171" i="24" s="1"/>
  <c r="S172" i="24" s="1"/>
  <c r="S173" i="24" s="1"/>
  <c r="S174" i="24" s="1"/>
  <c r="S175" i="24" s="1"/>
  <c r="S176" i="24" s="1"/>
  <c r="S177" i="24" s="1"/>
  <c r="S178" i="24" s="1"/>
  <c r="S179" i="24" s="1"/>
  <c r="S180" i="24" s="1"/>
  <c r="S181" i="24" s="1"/>
  <c r="S182" i="24" s="1"/>
  <c r="S183" i="24" s="1"/>
  <c r="S184" i="24" s="1"/>
  <c r="S185" i="24" s="1"/>
  <c r="S186" i="24" s="1"/>
  <c r="S187" i="24" s="1"/>
  <c r="S188" i="24" s="1"/>
  <c r="S189" i="24" s="1"/>
  <c r="S190" i="24" s="1"/>
  <c r="S191" i="24" s="1"/>
  <c r="S192" i="24" s="1"/>
  <c r="S193" i="24" s="1"/>
  <c r="S194" i="24" s="1"/>
  <c r="S195" i="24" s="1"/>
  <c r="S196" i="24" s="1"/>
  <c r="S197" i="24" s="1"/>
  <c r="S198" i="24" s="1"/>
  <c r="S199" i="24" s="1"/>
  <c r="S200" i="24" s="1"/>
  <c r="S201" i="24" s="1"/>
  <c r="S202" i="24" s="1"/>
  <c r="S203" i="24" s="1"/>
  <c r="S204" i="24" s="1"/>
  <c r="S205" i="24" s="1"/>
  <c r="S206" i="24" s="1"/>
  <c r="S207" i="24" s="1"/>
  <c r="S208" i="24" s="1"/>
  <c r="S209" i="24" s="1"/>
  <c r="S210" i="24" s="1"/>
  <c r="S211" i="24" s="1"/>
  <c r="S212" i="24" s="1"/>
  <c r="S213" i="24" s="1"/>
  <c r="S214" i="24" s="1"/>
  <c r="S215" i="24" s="1"/>
  <c r="S216" i="24" s="1"/>
  <c r="S217" i="24" s="1"/>
  <c r="S218" i="24" s="1"/>
  <c r="S219" i="24" s="1"/>
  <c r="S220" i="24" s="1"/>
  <c r="S221" i="24" s="1"/>
  <c r="S222" i="24" s="1"/>
  <c r="S223" i="24" s="1"/>
  <c r="S224" i="24" s="1"/>
  <c r="S225" i="24" s="1"/>
  <c r="S226" i="24" s="1"/>
  <c r="S227" i="24" s="1"/>
  <c r="S228" i="24" s="1"/>
  <c r="S229" i="24" s="1"/>
  <c r="S230" i="24" s="1"/>
  <c r="S231" i="24" s="1"/>
  <c r="S232" i="24" s="1"/>
  <c r="S233" i="24" s="1"/>
  <c r="S234" i="24" s="1"/>
  <c r="S235" i="24" s="1"/>
  <c r="S236" i="24" s="1"/>
  <c r="S237" i="24" s="1"/>
  <c r="S238" i="24" s="1"/>
  <c r="S239" i="24" s="1"/>
  <c r="S240" i="24" s="1"/>
  <c r="S241" i="24" s="1"/>
  <c r="S242" i="24" s="1"/>
  <c r="S243" i="24" s="1"/>
  <c r="S244" i="24" s="1"/>
  <c r="S245" i="24" s="1"/>
  <c r="S246" i="24" s="1"/>
  <c r="S247" i="24" s="1"/>
  <c r="S248" i="24" s="1"/>
  <c r="S249" i="24" s="1"/>
  <c r="S250" i="24" s="1"/>
  <c r="S251" i="24" s="1"/>
  <c r="S252" i="24" s="1"/>
  <c r="S253" i="24" s="1"/>
  <c r="S254" i="24" s="1"/>
  <c r="S255" i="24" s="1"/>
  <c r="S256" i="24" s="1"/>
  <c r="S257" i="24" s="1"/>
  <c r="S258" i="24" s="1"/>
  <c r="S259" i="24" s="1"/>
  <c r="S260" i="24" s="1"/>
  <c r="S261" i="24" s="1"/>
  <c r="S262" i="24" s="1"/>
  <c r="S263" i="24" s="1"/>
  <c r="S264" i="24" s="1"/>
  <c r="S265" i="24" s="1"/>
  <c r="S266" i="24" s="1"/>
  <c r="S267" i="24" s="1"/>
  <c r="S268" i="24" s="1"/>
  <c r="S269" i="24" s="1"/>
  <c r="S270" i="24" s="1"/>
  <c r="S271" i="24" s="1"/>
  <c r="S272" i="24" s="1"/>
  <c r="S273" i="24" s="1"/>
  <c r="S274" i="24" s="1"/>
  <c r="S275" i="24" s="1"/>
  <c r="S276" i="24" s="1"/>
  <c r="S277" i="24" s="1"/>
  <c r="S278" i="24" s="1"/>
  <c r="S279" i="24" s="1"/>
  <c r="S280" i="24" s="1"/>
  <c r="S281" i="24" s="1"/>
  <c r="S282" i="24" s="1"/>
  <c r="S283" i="24" s="1"/>
  <c r="S284" i="24" s="1"/>
  <c r="S285" i="24" s="1"/>
  <c r="S286" i="24" s="1"/>
  <c r="S287" i="24" s="1"/>
  <c r="S288" i="24" s="1"/>
  <c r="S289" i="24" s="1"/>
  <c r="S290" i="24" s="1"/>
  <c r="S291" i="24" s="1"/>
  <c r="S292" i="24" s="1"/>
  <c r="S293" i="24" s="1"/>
  <c r="S294" i="24" s="1"/>
  <c r="S295" i="24" s="1"/>
  <c r="S296" i="24" s="1"/>
  <c r="S297" i="24" s="1"/>
  <c r="S298" i="24" s="1"/>
  <c r="S299" i="24" s="1"/>
  <c r="S300" i="24" s="1"/>
  <c r="S301" i="24" s="1"/>
  <c r="S302" i="24" s="1"/>
  <c r="S303" i="24" s="1"/>
  <c r="S304" i="24" s="1"/>
  <c r="S305" i="24" s="1"/>
  <c r="S306" i="24" s="1"/>
  <c r="S307" i="24" s="1"/>
  <c r="S308" i="24" s="1"/>
  <c r="S309" i="24" s="1"/>
  <c r="S310" i="24" s="1"/>
  <c r="S311" i="24" s="1"/>
  <c r="S312" i="24" s="1"/>
  <c r="S313" i="24" s="1"/>
  <c r="S314" i="24" s="1"/>
  <c r="S315" i="24" s="1"/>
  <c r="S316" i="24" s="1"/>
  <c r="S317" i="24" s="1"/>
  <c r="S318" i="24" s="1"/>
  <c r="S319" i="24" s="1"/>
  <c r="S320" i="24" s="1"/>
  <c r="S321" i="24" s="1"/>
  <c r="S322" i="24" s="1"/>
  <c r="S323" i="24" s="1"/>
  <c r="S324" i="24" s="1"/>
  <c r="S325" i="24" s="1"/>
  <c r="S326" i="24" s="1"/>
  <c r="S327" i="24" s="1"/>
  <c r="S328" i="24" s="1"/>
  <c r="S329" i="24" s="1"/>
  <c r="S330" i="24" s="1"/>
  <c r="S331" i="24" s="1"/>
  <c r="S332" i="24" s="1"/>
  <c r="S333" i="24" s="1"/>
  <c r="S334" i="24" s="1"/>
  <c r="S335" i="24" s="1"/>
  <c r="S336" i="24" s="1"/>
  <c r="S337" i="24" s="1"/>
  <c r="S338" i="24" s="1"/>
  <c r="S339" i="24" s="1"/>
  <c r="S340" i="24" s="1"/>
  <c r="S341" i="24" s="1"/>
  <c r="S342" i="24" s="1"/>
  <c r="S343" i="24" s="1"/>
  <c r="S344" i="24" s="1"/>
  <c r="S345" i="24" s="1"/>
  <c r="S346" i="24" s="1"/>
  <c r="S347" i="24" s="1"/>
  <c r="S348" i="24" s="1"/>
  <c r="S349" i="24" s="1"/>
  <c r="S350" i="24" s="1"/>
  <c r="S351" i="24" s="1"/>
  <c r="S352" i="24" s="1"/>
  <c r="S353" i="24" s="1"/>
  <c r="S354" i="24" s="1"/>
  <c r="S355" i="24" s="1"/>
  <c r="S356" i="24" s="1"/>
  <c r="S357" i="24" s="1"/>
  <c r="S358" i="24" s="1"/>
  <c r="S359" i="24" s="1"/>
  <c r="S360" i="24" s="1"/>
  <c r="S361" i="24" s="1"/>
  <c r="S362" i="24" s="1"/>
  <c r="S363" i="24" s="1"/>
  <c r="S364" i="24" s="1"/>
  <c r="S365" i="24" s="1"/>
  <c r="S366" i="24" s="1"/>
  <c r="S367" i="24" s="1"/>
  <c r="S368" i="24" s="1"/>
  <c r="S369" i="24" s="1"/>
  <c r="S370" i="24" s="1"/>
  <c r="S371" i="24" s="1"/>
  <c r="S372" i="24" s="1"/>
  <c r="S373" i="24" s="1"/>
  <c r="S374" i="24" s="1"/>
  <c r="S375" i="24" s="1"/>
  <c r="S376" i="24" s="1"/>
  <c r="S377" i="24" s="1"/>
  <c r="S378" i="24" s="1"/>
  <c r="S379" i="24" s="1"/>
  <c r="S380" i="24" s="1"/>
  <c r="S381" i="24" s="1"/>
  <c r="S382" i="24" s="1"/>
  <c r="S383" i="24" s="1"/>
  <c r="S384" i="24" s="1"/>
  <c r="S385" i="24" s="1"/>
  <c r="S386" i="24" s="1"/>
  <c r="S387" i="24" s="1"/>
  <c r="S388" i="24" s="1"/>
  <c r="S389" i="24" s="1"/>
  <c r="S390" i="24" s="1"/>
  <c r="S391" i="24" s="1"/>
  <c r="S392" i="24" s="1"/>
  <c r="S393" i="24" s="1"/>
  <c r="S394" i="24" s="1"/>
  <c r="S395" i="24" s="1"/>
  <c r="S396" i="24" s="1"/>
  <c r="S397" i="24" s="1"/>
  <c r="S398" i="24" s="1"/>
  <c r="S399" i="24" s="1"/>
  <c r="S400" i="24" s="1"/>
  <c r="S401" i="24" s="1"/>
  <c r="S402" i="24" s="1"/>
  <c r="S403" i="24" s="1"/>
  <c r="S404" i="24" s="1"/>
  <c r="S405" i="24" s="1"/>
  <c r="S406" i="24" s="1"/>
  <c r="S407" i="24" s="1"/>
  <c r="S408" i="24" s="1"/>
  <c r="S409" i="24" s="1"/>
  <c r="S410" i="24" s="1"/>
  <c r="S411" i="24" s="1"/>
  <c r="S412" i="24" s="1"/>
  <c r="S413" i="24" s="1"/>
  <c r="S414" i="24" s="1"/>
  <c r="S415" i="24" s="1"/>
  <c r="S416" i="24" s="1"/>
  <c r="S417" i="24" s="1"/>
  <c r="S418" i="24" s="1"/>
  <c r="S419" i="24" s="1"/>
  <c r="S420" i="24" s="1"/>
  <c r="S421" i="24" s="1"/>
  <c r="S422" i="24" s="1"/>
  <c r="S423" i="24" s="1"/>
  <c r="S424" i="24" s="1"/>
  <c r="S425" i="24" s="1"/>
  <c r="S426" i="24" s="1"/>
  <c r="S427" i="24" s="1"/>
  <c r="S428" i="24" s="1"/>
  <c r="S429" i="24" s="1"/>
  <c r="S430" i="24" s="1"/>
  <c r="S431" i="24" s="1"/>
  <c r="S432" i="24" s="1"/>
  <c r="S433" i="24" s="1"/>
  <c r="S434" i="24" s="1"/>
  <c r="S435" i="24" s="1"/>
  <c r="S436" i="24" s="1"/>
  <c r="S437" i="24" s="1"/>
  <c r="S438" i="24" s="1"/>
  <c r="S439" i="24" s="1"/>
  <c r="S440" i="24" s="1"/>
  <c r="S441" i="24" s="1"/>
  <c r="S442" i="24" s="1"/>
  <c r="S443" i="24" s="1"/>
  <c r="S444" i="24" s="1"/>
  <c r="S445" i="24" s="1"/>
  <c r="S446" i="24" s="1"/>
  <c r="S447" i="24" s="1"/>
  <c r="S448" i="24" s="1"/>
  <c r="S449" i="24" s="1"/>
  <c r="S450" i="24" s="1"/>
  <c r="S451" i="24" s="1"/>
  <c r="S452" i="24" s="1"/>
  <c r="S453" i="24" s="1"/>
  <c r="S454" i="24" s="1"/>
  <c r="S455" i="24" s="1"/>
  <c r="S456" i="24" s="1"/>
  <c r="S457" i="24" s="1"/>
  <c r="S458" i="24" s="1"/>
  <c r="S459" i="24" s="1"/>
  <c r="S460" i="24" s="1"/>
  <c r="S461" i="24" s="1"/>
  <c r="S462" i="24" s="1"/>
  <c r="S463" i="24" s="1"/>
  <c r="S464" i="24" s="1"/>
  <c r="S465" i="24" s="1"/>
  <c r="S466" i="24" s="1"/>
  <c r="S467" i="24" s="1"/>
  <c r="S468" i="24" s="1"/>
  <c r="S469" i="24" s="1"/>
  <c r="S470" i="24" s="1"/>
  <c r="S471" i="24" s="1"/>
  <c r="S472" i="24" s="1"/>
  <c r="S473" i="24" s="1"/>
  <c r="S474" i="24" s="1"/>
  <c r="S475" i="24" s="1"/>
  <c r="S476" i="24" s="1"/>
  <c r="S477" i="24" s="1"/>
  <c r="S478" i="24" s="1"/>
  <c r="S479" i="24" s="1"/>
  <c r="S480" i="24" s="1"/>
  <c r="S481" i="24" s="1"/>
  <c r="S482" i="24" s="1"/>
  <c r="S483" i="24" s="1"/>
  <c r="S484" i="24" s="1"/>
  <c r="S485" i="24" s="1"/>
  <c r="S486" i="24" s="1"/>
  <c r="S487" i="24" s="1"/>
  <c r="S488" i="24" s="1"/>
  <c r="S489" i="24" s="1"/>
  <c r="S490" i="24" s="1"/>
  <c r="S491" i="24" s="1"/>
  <c r="S492" i="24" s="1"/>
  <c r="S493" i="24" s="1"/>
  <c r="S494" i="24" s="1"/>
  <c r="S495" i="24" s="1"/>
  <c r="S496" i="24" s="1"/>
  <c r="S497" i="24" s="1"/>
  <c r="S498" i="24" s="1"/>
  <c r="S499" i="24" s="1"/>
  <c r="S500" i="24" s="1"/>
  <c r="S501" i="24" s="1"/>
  <c r="S502" i="24" s="1"/>
  <c r="S503" i="24" s="1"/>
  <c r="S504" i="24" s="1"/>
  <c r="S505" i="24" s="1"/>
  <c r="S506" i="24" s="1"/>
  <c r="S507" i="24" s="1"/>
  <c r="S508" i="24" s="1"/>
  <c r="S509" i="24" s="1"/>
  <c r="S510" i="24" s="1"/>
  <c r="S511" i="24" s="1"/>
  <c r="S512" i="24" s="1"/>
  <c r="S513" i="24" s="1"/>
  <c r="S514" i="24" s="1"/>
  <c r="S515" i="24" s="1"/>
  <c r="S516" i="24" s="1"/>
  <c r="S517" i="24" s="1"/>
  <c r="S518" i="24" s="1"/>
  <c r="S519" i="24" s="1"/>
  <c r="S520" i="24" s="1"/>
  <c r="S521" i="24" s="1"/>
  <c r="S522" i="24" s="1"/>
  <c r="S523" i="24" s="1"/>
  <c r="S524" i="24" s="1"/>
  <c r="S525" i="24" s="1"/>
  <c r="S526" i="24" s="1"/>
  <c r="S527" i="24" s="1"/>
  <c r="S528" i="24" s="1"/>
  <c r="S529" i="24" s="1"/>
  <c r="S530" i="24" s="1"/>
  <c r="S531" i="24" s="1"/>
  <c r="S532" i="24" s="1"/>
  <c r="S533" i="24" s="1"/>
  <c r="S534" i="24" s="1"/>
  <c r="S535" i="24" s="1"/>
  <c r="S536" i="24" s="1"/>
  <c r="S537" i="24" s="1"/>
  <c r="S538" i="24" s="1"/>
  <c r="S539" i="24" s="1"/>
  <c r="S540" i="24" s="1"/>
  <c r="S541" i="24" s="1"/>
  <c r="S542" i="24" s="1"/>
  <c r="S543" i="24" s="1"/>
  <c r="S544" i="24" s="1"/>
  <c r="S545" i="24" s="1"/>
  <c r="S546" i="24" s="1"/>
  <c r="S547" i="24" s="1"/>
  <c r="S548" i="24" s="1"/>
  <c r="S549" i="24" s="1"/>
  <c r="S550" i="24" s="1"/>
  <c r="S551" i="24" s="1"/>
  <c r="S552" i="24" s="1"/>
  <c r="S553" i="24" s="1"/>
  <c r="S554" i="24" s="1"/>
  <c r="S555" i="24" s="1"/>
  <c r="S556" i="24" s="1"/>
  <c r="S557" i="24" s="1"/>
  <c r="S558" i="24" s="1"/>
  <c r="S559" i="24" s="1"/>
  <c r="S560" i="24" s="1"/>
  <c r="S561" i="24" s="1"/>
  <c r="S562" i="24" s="1"/>
  <c r="S563" i="24" s="1"/>
  <c r="S564" i="24" s="1"/>
  <c r="S565" i="24" s="1"/>
  <c r="S566" i="24" s="1"/>
  <c r="S567" i="24" s="1"/>
  <c r="S568" i="24" s="1"/>
  <c r="S569" i="24" s="1"/>
  <c r="S570" i="24" s="1"/>
  <c r="S571" i="24" s="1"/>
  <c r="S572" i="24" s="1"/>
  <c r="S573" i="24" s="1"/>
  <c r="S574" i="24" s="1"/>
  <c r="S575" i="24" s="1"/>
  <c r="S576" i="24" s="1"/>
  <c r="S577" i="24" s="1"/>
  <c r="S578" i="24" s="1"/>
  <c r="S579" i="24" s="1"/>
  <c r="S580" i="24" s="1"/>
  <c r="S581" i="24" s="1"/>
  <c r="S582" i="24" s="1"/>
  <c r="S583" i="24" s="1"/>
  <c r="S584" i="24" s="1"/>
  <c r="S585" i="24" s="1"/>
  <c r="S586" i="24" s="1"/>
  <c r="S587" i="24" s="1"/>
  <c r="S588" i="24" s="1"/>
  <c r="S589" i="24" s="1"/>
  <c r="S590" i="24" s="1"/>
  <c r="S591" i="24" s="1"/>
  <c r="S592" i="24" s="1"/>
  <c r="S593" i="24" s="1"/>
  <c r="S594" i="24" s="1"/>
  <c r="S595" i="24" s="1"/>
  <c r="S596" i="24" s="1"/>
  <c r="S597" i="24" s="1"/>
  <c r="S598" i="24" s="1"/>
  <c r="S599" i="24" s="1"/>
  <c r="S600" i="24" s="1"/>
  <c r="S601" i="24" s="1"/>
  <c r="S602" i="24" s="1"/>
  <c r="S603" i="24" s="1"/>
  <c r="S604" i="24" s="1"/>
  <c r="S605" i="24" s="1"/>
  <c r="S606" i="24" s="1"/>
  <c r="S607" i="24" s="1"/>
  <c r="S608" i="24" s="1"/>
  <c r="S609" i="24" s="1"/>
  <c r="S610" i="24" s="1"/>
  <c r="S611" i="24" s="1"/>
  <c r="S612" i="24" s="1"/>
  <c r="S613" i="24" s="1"/>
  <c r="S614" i="24" s="1"/>
  <c r="S615" i="24" s="1"/>
  <c r="S616" i="24" s="1"/>
  <c r="S617" i="24" s="1"/>
  <c r="S618" i="24" s="1"/>
  <c r="S619" i="24" s="1"/>
  <c r="S620" i="24" s="1"/>
  <c r="S621" i="24" s="1"/>
  <c r="S622" i="24" s="1"/>
  <c r="S623" i="24" s="1"/>
  <c r="S624" i="24" s="1"/>
  <c r="S625" i="24" s="1"/>
  <c r="S626" i="24" s="1"/>
  <c r="S627" i="24" s="1"/>
  <c r="S628" i="24" s="1"/>
  <c r="S629" i="24" s="1"/>
  <c r="S630" i="24" s="1"/>
  <c r="S631" i="24" s="1"/>
  <c r="S632" i="24" s="1"/>
  <c r="S633" i="24" s="1"/>
  <c r="S634" i="24" s="1"/>
  <c r="S635" i="24" s="1"/>
  <c r="S636" i="24" s="1"/>
  <c r="S637" i="24" s="1"/>
  <c r="S638" i="24" s="1"/>
  <c r="S639" i="24" s="1"/>
  <c r="S640" i="24" s="1"/>
  <c r="S641" i="24" s="1"/>
  <c r="S642" i="24" s="1"/>
  <c r="S643" i="24" s="1"/>
  <c r="S644" i="24" s="1"/>
  <c r="S645" i="24" s="1"/>
  <c r="S646" i="24" s="1"/>
  <c r="S647" i="24" s="1"/>
  <c r="S648" i="24" s="1"/>
  <c r="S649" i="24" s="1"/>
  <c r="S650" i="24" s="1"/>
  <c r="S651" i="24" s="1"/>
  <c r="S652" i="24" s="1"/>
  <c r="S653" i="24" s="1"/>
  <c r="S654" i="24" s="1"/>
  <c r="S655" i="24" s="1"/>
  <c r="S656" i="24" s="1"/>
  <c r="S657" i="24" s="1"/>
  <c r="S658" i="24" s="1"/>
  <c r="S659" i="24" s="1"/>
  <c r="S660" i="24" s="1"/>
  <c r="S661" i="24" s="1"/>
  <c r="S662" i="24" s="1"/>
  <c r="S663" i="24" s="1"/>
  <c r="S664" i="24" s="1"/>
  <c r="S665" i="24" s="1"/>
  <c r="S666" i="24" s="1"/>
  <c r="S667" i="24" s="1"/>
  <c r="S668" i="24" s="1"/>
  <c r="S669" i="24" s="1"/>
  <c r="S670" i="24" s="1"/>
  <c r="S671" i="24" s="1"/>
  <c r="S672" i="24" s="1"/>
  <c r="S673" i="24" s="1"/>
  <c r="S674" i="24" s="1"/>
  <c r="S675" i="24" s="1"/>
  <c r="S676" i="24" s="1"/>
  <c r="S677" i="24" s="1"/>
  <c r="S678" i="24" s="1"/>
  <c r="S679" i="24" s="1"/>
  <c r="S680" i="24" s="1"/>
  <c r="S681" i="24" s="1"/>
  <c r="S682" i="24" s="1"/>
  <c r="S683" i="24" s="1"/>
  <c r="S684" i="24" s="1"/>
  <c r="S685" i="24" s="1"/>
  <c r="S686" i="24" s="1"/>
  <c r="S687" i="24" s="1"/>
  <c r="S688" i="24" s="1"/>
  <c r="S689" i="24" s="1"/>
  <c r="S690" i="24" s="1"/>
  <c r="S691" i="24" s="1"/>
  <c r="S692" i="24" s="1"/>
  <c r="S693" i="24" s="1"/>
  <c r="S694" i="24" s="1"/>
  <c r="S695" i="24" s="1"/>
  <c r="S696" i="24" s="1"/>
  <c r="S697" i="24" s="1"/>
  <c r="S698" i="24" s="1"/>
  <c r="S699" i="24" s="1"/>
  <c r="S700" i="24" s="1"/>
  <c r="S701" i="24" s="1"/>
  <c r="S702" i="24" s="1"/>
  <c r="S703" i="24" s="1"/>
  <c r="S704" i="24" s="1"/>
  <c r="S705" i="24" s="1"/>
  <c r="S706" i="24" s="1"/>
  <c r="S707" i="24" s="1"/>
  <c r="S708" i="24" s="1"/>
  <c r="S709" i="24" s="1"/>
  <c r="S710" i="24" s="1"/>
  <c r="S711" i="24" s="1"/>
  <c r="S712" i="24" s="1"/>
  <c r="S713" i="24" s="1"/>
  <c r="S714" i="24" s="1"/>
  <c r="S715" i="24" s="1"/>
  <c r="S716" i="24" s="1"/>
  <c r="S717" i="24" s="1"/>
  <c r="S718" i="24" s="1"/>
  <c r="S719" i="24" s="1"/>
  <c r="S720" i="24" s="1"/>
  <c r="S721" i="24" s="1"/>
  <c r="S722" i="24" s="1"/>
  <c r="S723" i="24" s="1"/>
  <c r="S724" i="24" s="1"/>
  <c r="S725" i="24" s="1"/>
  <c r="S726" i="24" s="1"/>
  <c r="S727" i="24" s="1"/>
  <c r="S728" i="24" s="1"/>
  <c r="S729" i="24" s="1"/>
  <c r="S730" i="24" s="1"/>
  <c r="S731" i="24" s="1"/>
  <c r="S732" i="24" s="1"/>
  <c r="S733" i="24" s="1"/>
  <c r="S734" i="24" s="1"/>
  <c r="S735" i="24" s="1"/>
  <c r="S736" i="24" s="1"/>
  <c r="S737" i="24" s="1"/>
  <c r="S738" i="24" s="1"/>
  <c r="S739" i="24" s="1"/>
  <c r="S740" i="24" s="1"/>
  <c r="S741" i="24" s="1"/>
  <c r="S742" i="24" s="1"/>
  <c r="S743" i="24" s="1"/>
  <c r="S744" i="24" s="1"/>
  <c r="S745" i="24" s="1"/>
  <c r="S746" i="24" s="1"/>
  <c r="S747" i="24" s="1"/>
  <c r="S748" i="24" s="1"/>
  <c r="S749" i="24" s="1"/>
  <c r="S750" i="24" s="1"/>
  <c r="S751" i="24" s="1"/>
  <c r="S752" i="24" s="1"/>
  <c r="S753" i="24" s="1"/>
  <c r="S754" i="24" s="1"/>
  <c r="S755" i="24" s="1"/>
  <c r="S756" i="24" s="1"/>
  <c r="S757" i="24" s="1"/>
  <c r="S758" i="24" s="1"/>
  <c r="S759" i="24" s="1"/>
  <c r="S760" i="24" s="1"/>
  <c r="S761" i="24" s="1"/>
  <c r="S762" i="24" s="1"/>
  <c r="S763" i="24" s="1"/>
  <c r="S764" i="24" s="1"/>
  <c r="S765" i="24" s="1"/>
  <c r="S766" i="24" s="1"/>
  <c r="S767" i="24" s="1"/>
  <c r="S768" i="24" s="1"/>
  <c r="S769" i="24" s="1"/>
  <c r="S770" i="24" s="1"/>
  <c r="S771" i="24" s="1"/>
  <c r="S772" i="24" s="1"/>
  <c r="S773" i="24" s="1"/>
  <c r="S774" i="24" s="1"/>
  <c r="S775" i="24" s="1"/>
  <c r="S776" i="24" s="1"/>
  <c r="S777" i="24" s="1"/>
  <c r="S778" i="24" s="1"/>
  <c r="S779" i="24" s="1"/>
  <c r="S780" i="24" s="1"/>
  <c r="S781" i="24" s="1"/>
  <c r="S782" i="24" s="1"/>
  <c r="S783" i="24" s="1"/>
  <c r="S784" i="24" s="1"/>
  <c r="S785" i="24" s="1"/>
  <c r="S786" i="24" s="1"/>
  <c r="S787" i="24" s="1"/>
  <c r="S788" i="24" s="1"/>
  <c r="S789" i="24" s="1"/>
  <c r="S790" i="24" s="1"/>
  <c r="S791" i="24" s="1"/>
  <c r="S792" i="24" s="1"/>
  <c r="S793" i="24" s="1"/>
  <c r="S794" i="24" s="1"/>
  <c r="S795" i="24" s="1"/>
  <c r="S796" i="24" s="1"/>
  <c r="S797" i="24" s="1"/>
  <c r="S798" i="24" s="1"/>
  <c r="S799" i="24" s="1"/>
  <c r="S800" i="24" s="1"/>
  <c r="S801" i="24" s="1"/>
  <c r="S802" i="24" s="1"/>
  <c r="S803" i="24" s="1"/>
  <c r="S804" i="24" s="1"/>
  <c r="S805" i="24" s="1"/>
  <c r="S806" i="24" s="1"/>
  <c r="S807" i="24" s="1"/>
  <c r="S808" i="24" s="1"/>
  <c r="S809" i="24" s="1"/>
  <c r="S810" i="24" s="1"/>
  <c r="S811" i="24" s="1"/>
  <c r="S812" i="24" s="1"/>
  <c r="S813" i="24" s="1"/>
  <c r="S814" i="24" s="1"/>
  <c r="S815" i="24" s="1"/>
  <c r="S816" i="24" s="1"/>
  <c r="S817" i="24" s="1"/>
  <c r="S818" i="24" s="1"/>
  <c r="S819" i="24" s="1"/>
  <c r="S820" i="24" s="1"/>
  <c r="S821" i="24" s="1"/>
  <c r="S822" i="24" s="1"/>
  <c r="S823" i="24" s="1"/>
  <c r="S824" i="24" s="1"/>
  <c r="S825" i="24" s="1"/>
  <c r="S826" i="24" s="1"/>
  <c r="S827" i="24" s="1"/>
  <c r="S828" i="24" s="1"/>
  <c r="S829" i="24" s="1"/>
  <c r="S830" i="24" s="1"/>
  <c r="S831" i="24" s="1"/>
  <c r="S832" i="24" s="1"/>
  <c r="S833" i="24" s="1"/>
  <c r="S834" i="24" s="1"/>
  <c r="S835" i="24" s="1"/>
  <c r="S836" i="24" s="1"/>
  <c r="S837" i="24" s="1"/>
  <c r="S838" i="24" s="1"/>
  <c r="S839" i="24" s="1"/>
  <c r="S840" i="24" s="1"/>
  <c r="S841" i="24" s="1"/>
  <c r="S842" i="24" s="1"/>
  <c r="S843" i="24" s="1"/>
  <c r="S844" i="24" s="1"/>
  <c r="S845" i="24" s="1"/>
  <c r="S846" i="24" s="1"/>
  <c r="S847" i="24" s="1"/>
  <c r="S848" i="24" s="1"/>
  <c r="S849" i="24" s="1"/>
  <c r="S850" i="24" s="1"/>
  <c r="S851" i="24" s="1"/>
  <c r="S852" i="24" s="1"/>
  <c r="S853" i="24" s="1"/>
  <c r="S854" i="24" s="1"/>
  <c r="S855" i="24" s="1"/>
  <c r="S856" i="24" s="1"/>
  <c r="S857" i="24" s="1"/>
  <c r="S858" i="24" s="1"/>
  <c r="S859" i="24" s="1"/>
  <c r="S860" i="24" s="1"/>
  <c r="S861" i="24" s="1"/>
  <c r="S862" i="24" s="1"/>
  <c r="S863" i="24" s="1"/>
  <c r="S864" i="24" s="1"/>
  <c r="S865" i="24" s="1"/>
  <c r="S866" i="24" s="1"/>
  <c r="S867" i="24" s="1"/>
  <c r="S868" i="24" s="1"/>
  <c r="S869" i="24" s="1"/>
  <c r="S870" i="24" s="1"/>
  <c r="S871" i="24" s="1"/>
  <c r="S872" i="24" s="1"/>
  <c r="S873" i="24" s="1"/>
  <c r="S874" i="24" s="1"/>
  <c r="S875" i="24" s="1"/>
  <c r="S876" i="24" s="1"/>
  <c r="S877" i="24" s="1"/>
  <c r="S878" i="24" s="1"/>
  <c r="S879" i="24" s="1"/>
  <c r="S880" i="24" s="1"/>
  <c r="S881" i="24" s="1"/>
  <c r="S882" i="24" s="1"/>
  <c r="S883" i="24" s="1"/>
  <c r="S884" i="24" s="1"/>
  <c r="S885" i="24" s="1"/>
  <c r="S886" i="24" s="1"/>
  <c r="S887" i="24" s="1"/>
  <c r="S888" i="24" s="1"/>
  <c r="S889" i="24" s="1"/>
  <c r="S890" i="24" s="1"/>
  <c r="S891" i="24" s="1"/>
  <c r="S892" i="24" s="1"/>
  <c r="S893" i="24" s="1"/>
  <c r="S894" i="24" s="1"/>
  <c r="S895" i="24" s="1"/>
  <c r="S896" i="24" s="1"/>
  <c r="S897" i="24" s="1"/>
  <c r="S898" i="24" s="1"/>
  <c r="S899" i="24" s="1"/>
  <c r="S900" i="24" s="1"/>
  <c r="S901" i="24" s="1"/>
  <c r="S902" i="24" s="1"/>
  <c r="S903" i="24" s="1"/>
  <c r="S904" i="24" s="1"/>
  <c r="S905" i="24" s="1"/>
  <c r="S906" i="24" s="1"/>
  <c r="S907" i="24" s="1"/>
  <c r="S908" i="24" s="1"/>
  <c r="S909" i="24" s="1"/>
  <c r="S910" i="24" s="1"/>
  <c r="S911" i="24" s="1"/>
  <c r="S912" i="24" s="1"/>
  <c r="S913" i="24" s="1"/>
  <c r="S914" i="24" s="1"/>
  <c r="S915" i="24" s="1"/>
  <c r="S916" i="24" s="1"/>
  <c r="S917" i="24" s="1"/>
  <c r="S918" i="24" s="1"/>
  <c r="S919" i="24" s="1"/>
  <c r="S920" i="24" s="1"/>
  <c r="S921" i="24" s="1"/>
  <c r="S922" i="24" s="1"/>
  <c r="S923" i="24" s="1"/>
  <c r="S924" i="24" s="1"/>
  <c r="S925" i="24" s="1"/>
  <c r="S926" i="24" s="1"/>
  <c r="S927" i="24" s="1"/>
  <c r="S928" i="24" s="1"/>
  <c r="S929" i="24" s="1"/>
  <c r="S930" i="24" s="1"/>
  <c r="S931" i="24" s="1"/>
  <c r="S932" i="24" s="1"/>
  <c r="S933" i="24" s="1"/>
  <c r="S934" i="24" s="1"/>
  <c r="S935" i="24" s="1"/>
  <c r="S936" i="24" s="1"/>
  <c r="S937" i="24" s="1"/>
  <c r="S938" i="24" s="1"/>
  <c r="S939" i="24" s="1"/>
  <c r="S940" i="24" s="1"/>
  <c r="S941" i="24" s="1"/>
  <c r="S942" i="24" s="1"/>
  <c r="S943" i="24" s="1"/>
  <c r="S944" i="24" s="1"/>
  <c r="S945" i="24" s="1"/>
  <c r="S946" i="24" s="1"/>
  <c r="S947" i="24" s="1"/>
  <c r="S948" i="24" s="1"/>
  <c r="S949" i="24" s="1"/>
  <c r="S950" i="24" s="1"/>
  <c r="S951" i="24" s="1"/>
  <c r="S952" i="24" s="1"/>
  <c r="S953" i="24" s="1"/>
  <c r="S954" i="24" s="1"/>
  <c r="S955" i="24" s="1"/>
  <c r="S956" i="24" s="1"/>
  <c r="S957" i="24" s="1"/>
  <c r="S958" i="24" s="1"/>
  <c r="S959" i="24" s="1"/>
  <c r="S960" i="24" s="1"/>
  <c r="S961" i="24" s="1"/>
  <c r="S962" i="24" s="1"/>
  <c r="S963" i="24" s="1"/>
  <c r="S964" i="24" s="1"/>
  <c r="S965" i="24" s="1"/>
  <c r="S966" i="24" s="1"/>
  <c r="S967" i="24" s="1"/>
  <c r="S968" i="24" s="1"/>
  <c r="S969" i="24" s="1"/>
  <c r="S970" i="24" s="1"/>
  <c r="S971" i="24" s="1"/>
  <c r="S972" i="24" s="1"/>
  <c r="S973" i="24" s="1"/>
  <c r="S974" i="24" s="1"/>
  <c r="S975" i="24" s="1"/>
  <c r="S976" i="24" s="1"/>
  <c r="S977" i="24" s="1"/>
  <c r="S978" i="24" s="1"/>
  <c r="S979" i="24" s="1"/>
  <c r="S980" i="24" s="1"/>
  <c r="S981" i="24" s="1"/>
  <c r="S982" i="24" s="1"/>
  <c r="S983" i="24" s="1"/>
  <c r="S984" i="24" s="1"/>
  <c r="S985" i="24" s="1"/>
  <c r="S986" i="24" s="1"/>
  <c r="S987" i="24" s="1"/>
  <c r="S988" i="24" s="1"/>
  <c r="S989" i="24" s="1"/>
  <c r="S990" i="24" s="1"/>
  <c r="S991" i="24" s="1"/>
  <c r="S992" i="24" s="1"/>
  <c r="S993" i="24" s="1"/>
  <c r="S994" i="24" s="1"/>
  <c r="S995" i="24" s="1"/>
  <c r="S996" i="24" s="1"/>
  <c r="S997" i="24" s="1"/>
  <c r="S998" i="24" s="1"/>
  <c r="S999" i="24" s="1"/>
  <c r="S1000" i="24" s="1"/>
  <c r="S1001" i="24" s="1"/>
  <c r="S1002" i="24" s="1"/>
  <c r="S1003" i="24" s="1"/>
  <c r="S1004" i="24" s="1"/>
  <c r="S1005" i="24" s="1"/>
  <c r="S1006" i="24" s="1"/>
  <c r="S1007" i="24" s="1"/>
  <c r="S1008" i="24" s="1"/>
  <c r="S1009" i="24" s="1"/>
  <c r="S1010" i="24" s="1"/>
  <c r="S1011" i="24" s="1"/>
  <c r="S1012" i="24" s="1"/>
  <c r="S1013" i="24" s="1"/>
  <c r="S1014" i="24" s="1"/>
  <c r="S1015" i="24" s="1"/>
  <c r="S1016" i="24" s="1"/>
  <c r="S1017" i="24" s="1"/>
  <c r="S1018" i="24" s="1"/>
  <c r="S1019" i="24" s="1"/>
  <c r="S1020" i="24" s="1"/>
  <c r="S1021" i="24" s="1"/>
  <c r="S1022" i="24" s="1"/>
  <c r="S1023" i="24" s="1"/>
  <c r="S1024" i="24" s="1"/>
  <c r="S1025" i="24" s="1"/>
  <c r="S1026" i="24" s="1"/>
  <c r="S1027" i="24" s="1"/>
  <c r="S1028" i="24" s="1"/>
  <c r="S1029" i="24" s="1"/>
  <c r="S1030" i="24" s="1"/>
  <c r="S1031" i="24" s="1"/>
  <c r="S1032" i="24" s="1"/>
  <c r="S1033" i="24" s="1"/>
  <c r="S1034" i="24" s="1"/>
  <c r="S1035" i="24" s="1"/>
  <c r="S1036" i="24" s="1"/>
  <c r="S1037" i="24" s="1"/>
  <c r="S1038" i="24" s="1"/>
  <c r="S1039" i="24" s="1"/>
  <c r="S1040" i="24" s="1"/>
  <c r="S1041" i="24" s="1"/>
  <c r="S1042" i="24" s="1"/>
  <c r="S1043" i="24" s="1"/>
  <c r="S1044" i="24" s="1"/>
  <c r="S1045" i="24" s="1"/>
  <c r="S1046" i="24" s="1"/>
  <c r="S1047" i="24" s="1"/>
  <c r="S1048" i="24" s="1"/>
  <c r="S1049" i="24" s="1"/>
  <c r="S1050" i="24" s="1"/>
  <c r="S1051" i="24" s="1"/>
  <c r="S1052" i="24" s="1"/>
  <c r="S1053" i="24" s="1"/>
  <c r="S1054" i="24" s="1"/>
  <c r="S1055" i="24" s="1"/>
  <c r="S1056" i="24" s="1"/>
  <c r="S1057" i="24" s="1"/>
  <c r="S1058" i="24" s="1"/>
  <c r="S1059" i="24" s="1"/>
  <c r="S1060" i="24" s="1"/>
  <c r="S1061" i="24" s="1"/>
  <c r="S1062" i="24" s="1"/>
  <c r="S1063" i="24" s="1"/>
  <c r="S1064" i="24" s="1"/>
  <c r="S1065" i="24" s="1"/>
  <c r="S1066" i="24" s="1"/>
  <c r="S1067" i="24" s="1"/>
  <c r="S1068" i="24" s="1"/>
  <c r="S1069" i="24" s="1"/>
  <c r="S1070" i="24" s="1"/>
  <c r="S1071" i="24" s="1"/>
  <c r="S1072" i="24" s="1"/>
  <c r="S1073" i="24" s="1"/>
  <c r="S1074" i="24" s="1"/>
  <c r="S1075" i="24" s="1"/>
  <c r="S1076" i="24" s="1"/>
  <c r="S1077" i="24" s="1"/>
  <c r="S1078" i="24" s="1"/>
  <c r="S1079" i="24" s="1"/>
  <c r="S1080" i="24" s="1"/>
  <c r="S1081" i="24" s="1"/>
  <c r="S1082" i="24" s="1"/>
  <c r="S1083" i="24" s="1"/>
  <c r="S1084" i="24" s="1"/>
  <c r="S1085" i="24" s="1"/>
  <c r="S1086" i="24" s="1"/>
  <c r="S1087" i="24" s="1"/>
  <c r="S1088" i="24" s="1"/>
  <c r="S1089" i="24" s="1"/>
  <c r="S1090" i="24" s="1"/>
  <c r="S1091" i="24" s="1"/>
  <c r="S1092" i="24" s="1"/>
  <c r="S1093" i="24" s="1"/>
  <c r="S1094" i="24" s="1"/>
  <c r="S1095" i="24" s="1"/>
  <c r="S1096" i="24" s="1"/>
  <c r="S1097" i="24" s="1"/>
  <c r="S1098" i="24" s="1"/>
  <c r="S1099" i="24" s="1"/>
  <c r="S1100" i="24" s="1"/>
  <c r="S1101" i="24" s="1"/>
  <c r="S1102" i="24" s="1"/>
  <c r="S1103" i="24" s="1"/>
  <c r="S1104" i="24" s="1"/>
  <c r="S1105" i="24" s="1"/>
  <c r="S1106" i="24" s="1"/>
  <c r="S1107" i="24" s="1"/>
  <c r="S1108" i="24" s="1"/>
  <c r="S1109" i="24" s="1"/>
  <c r="S1110" i="24" s="1"/>
  <c r="S1111" i="24" s="1"/>
  <c r="S1112" i="24" s="1"/>
  <c r="S1113" i="24" s="1"/>
  <c r="S1114" i="24" s="1"/>
  <c r="S1115" i="24" s="1"/>
  <c r="S1116" i="24" s="1"/>
  <c r="S1117" i="24" s="1"/>
  <c r="S1118" i="24" s="1"/>
  <c r="S1119" i="24" s="1"/>
  <c r="S1120" i="24" s="1"/>
  <c r="S1121" i="24" s="1"/>
  <c r="S1122" i="24" s="1"/>
  <c r="S1123" i="24" s="1"/>
  <c r="S1124" i="24" s="1"/>
  <c r="S1125" i="24" s="1"/>
  <c r="S1126" i="24" s="1"/>
  <c r="S1127" i="24" s="1"/>
  <c r="S1128" i="24" s="1"/>
  <c r="S1129" i="24" s="1"/>
  <c r="S1130" i="24" s="1"/>
  <c r="S1131" i="24" s="1"/>
  <c r="S1132" i="24" s="1"/>
  <c r="S1133" i="24" s="1"/>
  <c r="S1134" i="24" s="1"/>
  <c r="S1135" i="24" s="1"/>
  <c r="S1136" i="24" s="1"/>
  <c r="S1137" i="24" s="1"/>
  <c r="S1138" i="24" s="1"/>
  <c r="S1139" i="24" s="1"/>
  <c r="S1140" i="24" s="1"/>
  <c r="S1141" i="24" s="1"/>
  <c r="S1142" i="24" s="1"/>
  <c r="S1143" i="24" s="1"/>
  <c r="S1144" i="24" s="1"/>
  <c r="S1145" i="24" s="1"/>
  <c r="S1146" i="24" s="1"/>
  <c r="S1147" i="24" s="1"/>
  <c r="S1148" i="24" s="1"/>
  <c r="S1149" i="24" s="1"/>
  <c r="S1150" i="24" s="1"/>
  <c r="S1151" i="24" s="1"/>
  <c r="S1152" i="24" s="1"/>
  <c r="S1153" i="24" s="1"/>
  <c r="S1154" i="24" s="1"/>
  <c r="S1155" i="24" s="1"/>
  <c r="S1156" i="24" s="1"/>
  <c r="S1157" i="24" s="1"/>
  <c r="S1158" i="24" s="1"/>
  <c r="S1159" i="24" s="1"/>
  <c r="S1160" i="24" s="1"/>
  <c r="S1161" i="24" s="1"/>
  <c r="S1162" i="24" s="1"/>
  <c r="S1163" i="24" s="1"/>
  <c r="S1164" i="24" s="1"/>
  <c r="S1165" i="24" s="1"/>
  <c r="S1166" i="24" s="1"/>
  <c r="S1167" i="24" s="1"/>
  <c r="S1168" i="24" s="1"/>
  <c r="S1169" i="24" s="1"/>
  <c r="S1170" i="24" s="1"/>
  <c r="S1171" i="24" s="1"/>
  <c r="S1172" i="24" s="1"/>
  <c r="S1173" i="24" s="1"/>
  <c r="S1174" i="24" s="1"/>
  <c r="S1175" i="24" s="1"/>
  <c r="S1176" i="24" s="1"/>
  <c r="S1177" i="24" s="1"/>
  <c r="S1178" i="24" s="1"/>
  <c r="S1179" i="24" s="1"/>
  <c r="S1180" i="24" s="1"/>
  <c r="S1181" i="24" s="1"/>
  <c r="S1182" i="24" s="1"/>
  <c r="S1183" i="24" s="1"/>
  <c r="S1184" i="24" s="1"/>
  <c r="S1185" i="24" s="1"/>
  <c r="S1186" i="24" s="1"/>
  <c r="S1187" i="24" s="1"/>
  <c r="S1188" i="24" s="1"/>
  <c r="S1189" i="24" s="1"/>
  <c r="S1190" i="24" s="1"/>
  <c r="S1191" i="24" s="1"/>
  <c r="S1192" i="24" s="1"/>
  <c r="S1193" i="24" s="1"/>
  <c r="S1194" i="24" s="1"/>
  <c r="S1195" i="24" s="1"/>
  <c r="S1196" i="24" s="1"/>
  <c r="S1197" i="24" s="1"/>
  <c r="S1198" i="24" s="1"/>
  <c r="S1199" i="24" s="1"/>
  <c r="S1200" i="24" s="1"/>
  <c r="S1201" i="24" s="1"/>
  <c r="S1202" i="24" s="1"/>
  <c r="S1203" i="24" s="1"/>
  <c r="S1204" i="24" s="1"/>
  <c r="S1205" i="24" s="1"/>
  <c r="S1206" i="24" s="1"/>
  <c r="S1207" i="24" s="1"/>
  <c r="S1208" i="24" s="1"/>
  <c r="S1209" i="24" s="1"/>
  <c r="S1210" i="24" s="1"/>
  <c r="S1211" i="24" s="1"/>
  <c r="S1212" i="24" s="1"/>
  <c r="S1213" i="24" s="1"/>
  <c r="S1214" i="24" s="1"/>
  <c r="S1215" i="24" s="1"/>
  <c r="S1216" i="24" s="1"/>
  <c r="S1217" i="24" s="1"/>
  <c r="S1218" i="24" s="1"/>
  <c r="S1219" i="24" s="1"/>
  <c r="S1220" i="24" s="1"/>
  <c r="S1221" i="24" s="1"/>
  <c r="S1222" i="24" s="1"/>
  <c r="S1223" i="24" s="1"/>
  <c r="S1224" i="24" s="1"/>
  <c r="S1225" i="24" s="1"/>
  <c r="S1226" i="24" s="1"/>
  <c r="S1227" i="24" s="1"/>
  <c r="S1228" i="24" s="1"/>
  <c r="S1229" i="24" s="1"/>
  <c r="S1230" i="24" s="1"/>
  <c r="S1231" i="24" s="1"/>
  <c r="S1232" i="24" s="1"/>
  <c r="S1233" i="24" s="1"/>
  <c r="S1234" i="24" s="1"/>
  <c r="S1235" i="24" s="1"/>
  <c r="S1236" i="24" s="1"/>
  <c r="S1237" i="24" s="1"/>
  <c r="S1238" i="24" s="1"/>
  <c r="S1239" i="24" s="1"/>
  <c r="S1240" i="24" s="1"/>
  <c r="S1241" i="24" s="1"/>
  <c r="S1242" i="24" s="1"/>
  <c r="S1243" i="24" s="1"/>
  <c r="S1244" i="24" s="1"/>
  <c r="S1245" i="24" s="1"/>
  <c r="S1246" i="24" s="1"/>
  <c r="S1247" i="24" s="1"/>
  <c r="S1248" i="24" s="1"/>
  <c r="S1249" i="24" s="1"/>
  <c r="S1250" i="24" s="1"/>
  <c r="S1251" i="24" s="1"/>
  <c r="S1252" i="24" s="1"/>
  <c r="S1253" i="24" s="1"/>
  <c r="S1254" i="24" s="1"/>
  <c r="S1255" i="24" s="1"/>
  <c r="S1256" i="24" s="1"/>
  <c r="S1257" i="24" s="1"/>
  <c r="S1258" i="24" s="1"/>
  <c r="S1259" i="24" s="1"/>
  <c r="S1260" i="24" s="1"/>
  <c r="S1261" i="24" s="1"/>
  <c r="S1262" i="24" s="1"/>
  <c r="S1263" i="24" s="1"/>
  <c r="S1264" i="24" s="1"/>
  <c r="S1265" i="24" s="1"/>
  <c r="S1266" i="24" s="1"/>
  <c r="S1267" i="24" s="1"/>
  <c r="S1268" i="24" s="1"/>
  <c r="S1269" i="24" s="1"/>
  <c r="S1270" i="24" s="1"/>
  <c r="S1271" i="24" s="1"/>
  <c r="S1272" i="24" s="1"/>
  <c r="S1273" i="24" s="1"/>
  <c r="S1274" i="24" s="1"/>
  <c r="S1275" i="24" s="1"/>
  <c r="S1276" i="24" s="1"/>
  <c r="S1277" i="24" s="1"/>
  <c r="S1278" i="24" s="1"/>
  <c r="S1279" i="24" s="1"/>
  <c r="S1280" i="24" s="1"/>
  <c r="S1281" i="24" s="1"/>
  <c r="S1282" i="24" s="1"/>
  <c r="S1283" i="24" s="1"/>
  <c r="S1284" i="24" s="1"/>
  <c r="S1285" i="24" s="1"/>
  <c r="S1286" i="24" s="1"/>
  <c r="S1287" i="24" s="1"/>
  <c r="S1288" i="24" s="1"/>
  <c r="S1289" i="24" s="1"/>
  <c r="S1290" i="24" s="1"/>
  <c r="S1291" i="24" s="1"/>
  <c r="S1292" i="24" s="1"/>
  <c r="S1293" i="24" s="1"/>
  <c r="S1294" i="24" s="1"/>
  <c r="S1295" i="24" s="1"/>
  <c r="S1296" i="24" s="1"/>
  <c r="S1297" i="24" s="1"/>
  <c r="S1298" i="24" s="1"/>
  <c r="S1299" i="24" s="1"/>
  <c r="S1300" i="24" s="1"/>
  <c r="S1301" i="24" s="1"/>
  <c r="S1302" i="24" s="1"/>
  <c r="S1303" i="24" s="1"/>
  <c r="S1304" i="24" s="1"/>
  <c r="S1305" i="24" s="1"/>
  <c r="S1306" i="24" s="1"/>
  <c r="S1307" i="24" s="1"/>
  <c r="S1308" i="24" s="1"/>
  <c r="S1309" i="24" s="1"/>
  <c r="S1310" i="24" s="1"/>
  <c r="S1311" i="24" s="1"/>
  <c r="S1312" i="24" s="1"/>
  <c r="S1313" i="24" s="1"/>
  <c r="S1314" i="24" s="1"/>
  <c r="S1315" i="24" s="1"/>
  <c r="S1316" i="24" s="1"/>
  <c r="S1317" i="24" s="1"/>
  <c r="S1318" i="24" s="1"/>
  <c r="S1319" i="24" s="1"/>
  <c r="S1320" i="24" s="1"/>
  <c r="S1321" i="24" s="1"/>
  <c r="S1322" i="24" s="1"/>
  <c r="S1323" i="24" s="1"/>
  <c r="S1324" i="24" s="1"/>
  <c r="S1325" i="24" s="1"/>
  <c r="S1326" i="24" s="1"/>
  <c r="S1327" i="24" s="1"/>
  <c r="S1328" i="24" s="1"/>
  <c r="S1329" i="24" s="1"/>
  <c r="S1330" i="24" s="1"/>
  <c r="S1331" i="24" s="1"/>
  <c r="S1332" i="24" s="1"/>
  <c r="S1333" i="24" s="1"/>
  <c r="S1334" i="24" s="1"/>
  <c r="S1335" i="24" s="1"/>
  <c r="S1336" i="24" s="1"/>
  <c r="S1337" i="24" s="1"/>
  <c r="S1338" i="24" s="1"/>
  <c r="S1339" i="24" s="1"/>
  <c r="S1340" i="24" s="1"/>
  <c r="S1341" i="24" s="1"/>
  <c r="S1342" i="24" s="1"/>
  <c r="S1343" i="24" s="1"/>
  <c r="S1344" i="24" s="1"/>
  <c r="S1345" i="24" s="1"/>
  <c r="S1346" i="24" s="1"/>
  <c r="S1347" i="24" s="1"/>
  <c r="S1348" i="24" s="1"/>
  <c r="S1349" i="24" s="1"/>
  <c r="S1350" i="24" s="1"/>
  <c r="S1351" i="24" s="1"/>
  <c r="S1352" i="24" s="1"/>
  <c r="S1353" i="24" s="1"/>
  <c r="S1354" i="24" s="1"/>
  <c r="S1355" i="24" s="1"/>
  <c r="S1356" i="24" s="1"/>
  <c r="S1357" i="24" s="1"/>
  <c r="S1358" i="24" s="1"/>
  <c r="S1359" i="24" s="1"/>
  <c r="S1360" i="24" s="1"/>
  <c r="S1361" i="24" s="1"/>
  <c r="S1362" i="24" s="1"/>
  <c r="S1363" i="24" s="1"/>
  <c r="S1364" i="24" s="1"/>
  <c r="S1365" i="24" s="1"/>
  <c r="S1366" i="24" s="1"/>
  <c r="S1367" i="24" s="1"/>
  <c r="S1368" i="24" s="1"/>
  <c r="S1369" i="24" s="1"/>
  <c r="S1370" i="24" s="1"/>
  <c r="S1371" i="24" s="1"/>
  <c r="S1372" i="24" s="1"/>
  <c r="S1373" i="24" s="1"/>
  <c r="S1374" i="24" s="1"/>
  <c r="S1375" i="24" s="1"/>
  <c r="S1376" i="24" s="1"/>
  <c r="S1377" i="24" s="1"/>
  <c r="S1378" i="24" s="1"/>
  <c r="S1379" i="24" s="1"/>
  <c r="S1380" i="24" s="1"/>
  <c r="S1381" i="24" s="1"/>
  <c r="S1382" i="24" s="1"/>
  <c r="S1383" i="24" s="1"/>
  <c r="S1384" i="24" s="1"/>
  <c r="S1385" i="24" s="1"/>
  <c r="S1386" i="24" s="1"/>
  <c r="S1387" i="24" s="1"/>
  <c r="S1388" i="24" s="1"/>
  <c r="S1389" i="24" s="1"/>
  <c r="S1390" i="24" s="1"/>
  <c r="S1391" i="24" s="1"/>
  <c r="S1392" i="24" s="1"/>
  <c r="S1393" i="24" s="1"/>
  <c r="S1394" i="24" s="1"/>
  <c r="S1395" i="24" s="1"/>
  <c r="S1396" i="24" s="1"/>
  <c r="S1397" i="24" s="1"/>
  <c r="S1398" i="24" s="1"/>
  <c r="S1399" i="24" s="1"/>
  <c r="S1400" i="24" s="1"/>
  <c r="S1401" i="24" s="1"/>
  <c r="S1402" i="24" s="1"/>
  <c r="S1403" i="24" s="1"/>
  <c r="S1404" i="24" s="1"/>
  <c r="S1405" i="24" s="1"/>
  <c r="S1406" i="24" s="1"/>
  <c r="S1407" i="24" s="1"/>
  <c r="S1408" i="24" s="1"/>
  <c r="S1409" i="24" s="1"/>
  <c r="S1410" i="24" s="1"/>
  <c r="S1411" i="24" s="1"/>
  <c r="S1412" i="24" s="1"/>
  <c r="S1413" i="24" s="1"/>
  <c r="S1414" i="24" s="1"/>
  <c r="S1415" i="24" s="1"/>
  <c r="S1416" i="24" s="1"/>
  <c r="S1417" i="24" s="1"/>
  <c r="S1418" i="24" s="1"/>
  <c r="S1419" i="24" s="1"/>
  <c r="S1420" i="24" s="1"/>
  <c r="S1421" i="24" s="1"/>
  <c r="S1422" i="24" s="1"/>
  <c r="S1423" i="24" s="1"/>
  <c r="S1424" i="24" s="1"/>
  <c r="S1425" i="24" s="1"/>
  <c r="S1426" i="24" s="1"/>
  <c r="S1427" i="24" s="1"/>
  <c r="S1428" i="24" s="1"/>
  <c r="S1429" i="24" s="1"/>
  <c r="S1430" i="24" s="1"/>
  <c r="S1431" i="24" s="1"/>
  <c r="S1432" i="24" s="1"/>
  <c r="S1433" i="24" s="1"/>
  <c r="S1434" i="24" s="1"/>
  <c r="S1435" i="24" s="1"/>
  <c r="S1436" i="24" s="1"/>
  <c r="S1437" i="24" s="1"/>
  <c r="S1438" i="24" s="1"/>
  <c r="S1439" i="24" s="1"/>
  <c r="S1440" i="24" s="1"/>
  <c r="S1441" i="24" s="1"/>
  <c r="S1442" i="24" s="1"/>
  <c r="S1443" i="24" s="1"/>
  <c r="S1444" i="24" s="1"/>
  <c r="S1445" i="24" s="1"/>
  <c r="S1446" i="24" s="1"/>
  <c r="S1447" i="24" s="1"/>
  <c r="S1448" i="24" s="1"/>
  <c r="S1449" i="24" s="1"/>
  <c r="S1450" i="24" s="1"/>
  <c r="S1451" i="24" s="1"/>
  <c r="S1452" i="24" s="1"/>
  <c r="S1453" i="24" s="1"/>
  <c r="S1454" i="24" s="1"/>
  <c r="S1455" i="24" s="1"/>
  <c r="S1456" i="24" s="1"/>
  <c r="S1457" i="24" s="1"/>
  <c r="S1458" i="24" s="1"/>
  <c r="S1459" i="24" s="1"/>
  <c r="S1460" i="24" s="1"/>
  <c r="S1461" i="24" s="1"/>
  <c r="S1462" i="24" s="1"/>
  <c r="S1463" i="24" s="1"/>
  <c r="S1464" i="24" s="1"/>
  <c r="S1465" i="24" s="1"/>
  <c r="S1466" i="24" s="1"/>
  <c r="S1467" i="24" s="1"/>
  <c r="S1468" i="24" s="1"/>
  <c r="S1469" i="24" s="1"/>
  <c r="S1470" i="24" s="1"/>
  <c r="S1471" i="24" s="1"/>
  <c r="S1472" i="24" s="1"/>
  <c r="S1473" i="24" s="1"/>
  <c r="S1474" i="24" s="1"/>
  <c r="S1475" i="24" s="1"/>
  <c r="S1476" i="24" s="1"/>
  <c r="S1477" i="24" s="1"/>
  <c r="S1478" i="24" s="1"/>
  <c r="S1479" i="24" s="1"/>
  <c r="S1480" i="24" s="1"/>
  <c r="S1481" i="24" s="1"/>
  <c r="S1482" i="24" s="1"/>
  <c r="S1483" i="24" s="1"/>
  <c r="S1484" i="24" s="1"/>
  <c r="S1485" i="24" s="1"/>
  <c r="S1486" i="24" s="1"/>
  <c r="S1487" i="24" s="1"/>
  <c r="S1488" i="24" s="1"/>
  <c r="S1489" i="24" s="1"/>
  <c r="S1490" i="24" s="1"/>
  <c r="S1491" i="24" s="1"/>
  <c r="S1492" i="24" s="1"/>
  <c r="S1493" i="24" s="1"/>
  <c r="S1494" i="24" s="1"/>
  <c r="S1495" i="24" s="1"/>
  <c r="S1496" i="24" s="1"/>
  <c r="S1497" i="24" s="1"/>
  <c r="S1498" i="24" s="1"/>
  <c r="S1499" i="24" s="1"/>
  <c r="S1500" i="24" s="1"/>
  <c r="S1501" i="24" s="1"/>
  <c r="S1502" i="24" s="1"/>
  <c r="S1503" i="24" s="1"/>
  <c r="S1504" i="24" s="1"/>
  <c r="S1505" i="24" s="1"/>
  <c r="S1506" i="24" s="1"/>
  <c r="S1507" i="24" s="1"/>
  <c r="S1508" i="24" s="1"/>
  <c r="S1509" i="24" s="1"/>
  <c r="S1510" i="24" s="1"/>
  <c r="S1511" i="24" s="1"/>
  <c r="S1512" i="24" s="1"/>
  <c r="S1513" i="24" s="1"/>
  <c r="S1514" i="24" s="1"/>
  <c r="S1515" i="24" s="1"/>
  <c r="S1516" i="24" s="1"/>
  <c r="S1517" i="24" s="1"/>
  <c r="S1518" i="24" s="1"/>
  <c r="S1519" i="24" s="1"/>
  <c r="S1520" i="24" s="1"/>
  <c r="S1521" i="24" s="1"/>
  <c r="S1522" i="24" s="1"/>
  <c r="S1523" i="24" s="1"/>
  <c r="S1524" i="24" s="1"/>
  <c r="S1525" i="24" s="1"/>
  <c r="S1526" i="24" s="1"/>
  <c r="S1527" i="24" s="1"/>
  <c r="S1528" i="24" s="1"/>
  <c r="S1529" i="24" s="1"/>
  <c r="S1530" i="24" s="1"/>
  <c r="S1531" i="24" s="1"/>
  <c r="S1532" i="24" s="1"/>
  <c r="S1533" i="24" s="1"/>
  <c r="S1534" i="24" s="1"/>
  <c r="S1535" i="24" s="1"/>
  <c r="S1536" i="24" s="1"/>
  <c r="S1537" i="24" s="1"/>
  <c r="S1538" i="24" s="1"/>
  <c r="S1539" i="24" s="1"/>
  <c r="S1540" i="24" s="1"/>
  <c r="S1541" i="24" s="1"/>
  <c r="S1542" i="24" s="1"/>
  <c r="S1543" i="24" s="1"/>
  <c r="S1544" i="24" s="1"/>
  <c r="S1545" i="24" s="1"/>
  <c r="S1546" i="24" s="1"/>
  <c r="S1547" i="24" s="1"/>
  <c r="S1548" i="24" s="1"/>
  <c r="S1549" i="24" s="1"/>
  <c r="S1550" i="24" s="1"/>
  <c r="S1551" i="24" s="1"/>
  <c r="S1552" i="24" s="1"/>
  <c r="S1553" i="24" s="1"/>
  <c r="S1554" i="24" s="1"/>
  <c r="S1555" i="24" s="1"/>
  <c r="S1556" i="24" s="1"/>
  <c r="S1557" i="24" s="1"/>
  <c r="S1558" i="24" s="1"/>
  <c r="S1559" i="24" s="1"/>
  <c r="S1560" i="24" s="1"/>
  <c r="S1561" i="24" s="1"/>
  <c r="S1562" i="24" s="1"/>
  <c r="S1563" i="24" s="1"/>
  <c r="S1564" i="24" s="1"/>
  <c r="S1565" i="24" s="1"/>
  <c r="S1566" i="24" s="1"/>
  <c r="S1567" i="24" s="1"/>
  <c r="S1568" i="24" s="1"/>
  <c r="S1569" i="24" s="1"/>
  <c r="S1570" i="24" s="1"/>
  <c r="S1571" i="24" s="1"/>
  <c r="S1572" i="24" s="1"/>
  <c r="S1573" i="24" s="1"/>
  <c r="S1574" i="24" s="1"/>
  <c r="S1575" i="24" s="1"/>
  <c r="S1576" i="24" s="1"/>
  <c r="S1577" i="24" s="1"/>
  <c r="S1578" i="24" s="1"/>
  <c r="S1579" i="24" s="1"/>
  <c r="S1580" i="24" s="1"/>
  <c r="S1581" i="24" s="1"/>
  <c r="S1582" i="24" s="1"/>
  <c r="S1583" i="24" s="1"/>
  <c r="S1584" i="24" s="1"/>
  <c r="S1585" i="24" s="1"/>
  <c r="S1586" i="24" s="1"/>
  <c r="S1587" i="24" s="1"/>
  <c r="S1588" i="24" s="1"/>
  <c r="S1589" i="24" s="1"/>
  <c r="S1590" i="24" s="1"/>
  <c r="S1591" i="24" s="1"/>
  <c r="S1592" i="24" s="1"/>
  <c r="S1593" i="24" s="1"/>
  <c r="S1594" i="24" s="1"/>
  <c r="S1595" i="24" s="1"/>
  <c r="S1596" i="24" s="1"/>
  <c r="S1597" i="24" s="1"/>
  <c r="S1598" i="24" s="1"/>
  <c r="S1599" i="24" s="1"/>
  <c r="S1600" i="24" s="1"/>
  <c r="S1601" i="24" s="1"/>
  <c r="S1602" i="24" s="1"/>
  <c r="S1603" i="24" s="1"/>
  <c r="S1604" i="24" s="1"/>
  <c r="S1605" i="24" s="1"/>
  <c r="S1606" i="24" s="1"/>
  <c r="S1607" i="24" s="1"/>
  <c r="S1608" i="24" s="1"/>
  <c r="S1609" i="24" s="1"/>
  <c r="S1610" i="24" s="1"/>
  <c r="S1611" i="24" s="1"/>
  <c r="S1612" i="24" s="1"/>
  <c r="S1613" i="24" s="1"/>
  <c r="S1614" i="24" s="1"/>
  <c r="S1615" i="24" s="1"/>
  <c r="S1616" i="24" s="1"/>
  <c r="S1617" i="24" s="1"/>
  <c r="S1618" i="24" s="1"/>
  <c r="S1619" i="24" s="1"/>
  <c r="S1620" i="24" s="1"/>
  <c r="S1621" i="24" s="1"/>
  <c r="S1622" i="24" s="1"/>
  <c r="S1623" i="24" s="1"/>
  <c r="S1624" i="24" s="1"/>
  <c r="S1625" i="24" s="1"/>
  <c r="S1626" i="24" s="1"/>
  <c r="S1627" i="24" s="1"/>
  <c r="S1628" i="24" s="1"/>
  <c r="S1629" i="24" s="1"/>
  <c r="S1630" i="24" s="1"/>
  <c r="S1631" i="24" s="1"/>
  <c r="S1632" i="24" s="1"/>
  <c r="S1633" i="24" s="1"/>
  <c r="S1634" i="24" s="1"/>
  <c r="S1635" i="24" s="1"/>
  <c r="S1636" i="24" s="1"/>
  <c r="S1637" i="24" s="1"/>
  <c r="S1638" i="24" s="1"/>
  <c r="S1639" i="24" s="1"/>
  <c r="S1640" i="24" s="1"/>
  <c r="S1641" i="24" s="1"/>
  <c r="S1642" i="24" s="1"/>
  <c r="S1643" i="24" s="1"/>
  <c r="S1644" i="24" s="1"/>
  <c r="S1645" i="24" s="1"/>
  <c r="S1646" i="24" s="1"/>
  <c r="S1647" i="24" s="1"/>
  <c r="S1648" i="24" s="1"/>
  <c r="S1649" i="24" s="1"/>
  <c r="S1650" i="24" s="1"/>
  <c r="S1651" i="24" s="1"/>
  <c r="S1652" i="24" s="1"/>
  <c r="S1653" i="24" s="1"/>
  <c r="S1654" i="24" s="1"/>
  <c r="S1655" i="24" s="1"/>
  <c r="S1656" i="24" s="1"/>
  <c r="S1657" i="24" s="1"/>
  <c r="S1658" i="24" s="1"/>
  <c r="S1659" i="24" s="1"/>
  <c r="S1660" i="24" s="1"/>
  <c r="S1661" i="24" s="1"/>
  <c r="S1662" i="24" s="1"/>
  <c r="S1663" i="24" s="1"/>
  <c r="S1664" i="24" s="1"/>
  <c r="S1665" i="24" s="1"/>
  <c r="S1666" i="24" s="1"/>
  <c r="S1667" i="24" s="1"/>
  <c r="S1668" i="24" s="1"/>
  <c r="S1669" i="24" s="1"/>
  <c r="S1670" i="24" s="1"/>
  <c r="S1671" i="24" s="1"/>
  <c r="S1672" i="24" s="1"/>
  <c r="S1673" i="24" s="1"/>
  <c r="S1674" i="24" s="1"/>
  <c r="S1675" i="24" s="1"/>
  <c r="S1676" i="24" s="1"/>
  <c r="S1677" i="24" s="1"/>
  <c r="S1678" i="24" s="1"/>
  <c r="S1679" i="24" s="1"/>
  <c r="S1680" i="24" s="1"/>
  <c r="S1681" i="24" s="1"/>
  <c r="S1682" i="24" s="1"/>
  <c r="S1683" i="24" s="1"/>
  <c r="S1684" i="24" s="1"/>
  <c r="S1685" i="24" s="1"/>
  <c r="S1686" i="24" s="1"/>
  <c r="S1687" i="24" s="1"/>
  <c r="S1688" i="24" s="1"/>
  <c r="S1689" i="24" s="1"/>
  <c r="S1690" i="24" s="1"/>
  <c r="S1691" i="24" s="1"/>
  <c r="S1692" i="24" s="1"/>
  <c r="S1693" i="24" s="1"/>
  <c r="S1694" i="24" s="1"/>
  <c r="S1695" i="24" s="1"/>
  <c r="S1696" i="24" s="1"/>
  <c r="S1697" i="24" s="1"/>
  <c r="S1698" i="24" s="1"/>
  <c r="S1699" i="24" s="1"/>
  <c r="S1700" i="24" s="1"/>
  <c r="S1701" i="24" s="1"/>
  <c r="S1702" i="24" s="1"/>
  <c r="S1703" i="24" s="1"/>
  <c r="S1704" i="24" s="1"/>
  <c r="S1705" i="24" s="1"/>
  <c r="S1706" i="24" s="1"/>
  <c r="S1707" i="24" s="1"/>
  <c r="S1708" i="24" s="1"/>
  <c r="S1709" i="24" s="1"/>
  <c r="S1710" i="24" s="1"/>
  <c r="S1711" i="24" s="1"/>
  <c r="S1712" i="24" s="1"/>
  <c r="S1713" i="24" s="1"/>
  <c r="S1714" i="24" s="1"/>
  <c r="S1715" i="24" s="1"/>
  <c r="S1716" i="24" s="1"/>
  <c r="S1717" i="24" s="1"/>
  <c r="S1718" i="24" s="1"/>
  <c r="S1719" i="24" s="1"/>
  <c r="S1720" i="24" s="1"/>
  <c r="S1721" i="24" s="1"/>
  <c r="S1722" i="24" s="1"/>
  <c r="S1723" i="24" s="1"/>
  <c r="S1724" i="24" s="1"/>
  <c r="S1725" i="24" s="1"/>
  <c r="S1726" i="24" s="1"/>
  <c r="S1727" i="24" s="1"/>
  <c r="S1728" i="24" s="1"/>
  <c r="S1729" i="24" s="1"/>
  <c r="S1730" i="24" s="1"/>
  <c r="S1731" i="24" s="1"/>
  <c r="S1732" i="24" s="1"/>
  <c r="S1733" i="24" s="1"/>
  <c r="S1734" i="24" s="1"/>
  <c r="S1735" i="24" s="1"/>
  <c r="S1736" i="24" s="1"/>
  <c r="S1737" i="24" s="1"/>
  <c r="S1738" i="24" s="1"/>
  <c r="S1739" i="24" s="1"/>
  <c r="S1740" i="24" s="1"/>
  <c r="S1741" i="24" s="1"/>
  <c r="S1742" i="24" s="1"/>
  <c r="S1743" i="24" s="1"/>
  <c r="S1744" i="24" s="1"/>
  <c r="S1745" i="24" s="1"/>
  <c r="S1746" i="24" s="1"/>
  <c r="S1747" i="24" s="1"/>
  <c r="S1748" i="24" s="1"/>
  <c r="S1749" i="24" s="1"/>
  <c r="S1750" i="24" s="1"/>
  <c r="S1751" i="24" s="1"/>
  <c r="S1752" i="24" s="1"/>
  <c r="S1753" i="24" s="1"/>
  <c r="S1754" i="24" s="1"/>
  <c r="S1755" i="24" s="1"/>
  <c r="S1756" i="24" s="1"/>
  <c r="S1757" i="24" s="1"/>
  <c r="S1758" i="24" s="1"/>
  <c r="S1759" i="24" s="1"/>
  <c r="S1760" i="24" s="1"/>
  <c r="S1761" i="24" s="1"/>
  <c r="S1762" i="24" s="1"/>
  <c r="S1763" i="24" s="1"/>
  <c r="S1764" i="24" s="1"/>
  <c r="S1765" i="24" s="1"/>
  <c r="S1766" i="24" s="1"/>
  <c r="S1767" i="24" s="1"/>
  <c r="S1768" i="24" s="1"/>
  <c r="S1769" i="24" s="1"/>
  <c r="S1770" i="24" s="1"/>
  <c r="S1771" i="24" s="1"/>
  <c r="S1772" i="24" s="1"/>
  <c r="S1773" i="24" s="1"/>
  <c r="S1774" i="24" s="1"/>
  <c r="S1775" i="24" s="1"/>
  <c r="S1776" i="24" s="1"/>
  <c r="S1777" i="24" s="1"/>
  <c r="S1778" i="24" s="1"/>
  <c r="S1779" i="24" s="1"/>
  <c r="S1780" i="24" s="1"/>
  <c r="S1781" i="24" s="1"/>
  <c r="S1782" i="24" s="1"/>
  <c r="S1783" i="24" s="1"/>
  <c r="S1784" i="24" s="1"/>
  <c r="S1785" i="24" s="1"/>
  <c r="S1786" i="24" s="1"/>
  <c r="S1787" i="24" s="1"/>
  <c r="S1788" i="24" s="1"/>
  <c r="S1789" i="24" s="1"/>
  <c r="S1790" i="24" s="1"/>
  <c r="S1791" i="24" s="1"/>
  <c r="S1792" i="24" s="1"/>
  <c r="S1793" i="24" s="1"/>
  <c r="S1794" i="24" s="1"/>
  <c r="S1795" i="24" s="1"/>
  <c r="S1796" i="24" s="1"/>
  <c r="S1797" i="24" s="1"/>
  <c r="S1798" i="24" s="1"/>
  <c r="S1799" i="24" s="1"/>
  <c r="S1800" i="24" s="1"/>
  <c r="S1801" i="24" s="1"/>
  <c r="S1802" i="24" s="1"/>
  <c r="S1803" i="24" s="1"/>
  <c r="S1804" i="24" s="1"/>
  <c r="S1805" i="24" s="1"/>
  <c r="S1806" i="24" s="1"/>
  <c r="S1807" i="24" s="1"/>
  <c r="S1808" i="24" s="1"/>
  <c r="S1809" i="24" s="1"/>
  <c r="S1810" i="24" s="1"/>
  <c r="S1811" i="24" s="1"/>
  <c r="S1812" i="24" s="1"/>
  <c r="S1813" i="24" s="1"/>
  <c r="S1814" i="24" s="1"/>
  <c r="S1815" i="24" s="1"/>
  <c r="S1816" i="24" s="1"/>
  <c r="S1817" i="24" s="1"/>
  <c r="S1818" i="24" s="1"/>
  <c r="S1819" i="24" s="1"/>
  <c r="S1820" i="24" s="1"/>
  <c r="S1821" i="24" s="1"/>
  <c r="S1822" i="24" s="1"/>
  <c r="S1823" i="24" s="1"/>
  <c r="S1824" i="24" s="1"/>
  <c r="S1825" i="24" s="1"/>
  <c r="S1826" i="24" s="1"/>
  <c r="S1827" i="24" s="1"/>
  <c r="S1828" i="24" s="1"/>
  <c r="S1829" i="24" s="1"/>
  <c r="S1830" i="24" s="1"/>
  <c r="S1831" i="24" s="1"/>
  <c r="S1832" i="24" s="1"/>
  <c r="S1833" i="24" s="1"/>
  <c r="S1834" i="24" s="1"/>
  <c r="S1835" i="24" s="1"/>
  <c r="S1836" i="24" s="1"/>
  <c r="S1837" i="24" s="1"/>
  <c r="S1838" i="24" s="1"/>
  <c r="S1839" i="24" s="1"/>
  <c r="S1840" i="24" s="1"/>
  <c r="S1841" i="24" s="1"/>
  <c r="S1842" i="24" s="1"/>
  <c r="S1843" i="24" s="1"/>
  <c r="S1844" i="24" s="1"/>
  <c r="S1845" i="24" s="1"/>
  <c r="S1846" i="24" s="1"/>
  <c r="S1847" i="24" s="1"/>
  <c r="S1848" i="24" s="1"/>
  <c r="S1849" i="24" s="1"/>
  <c r="S1850" i="24" s="1"/>
  <c r="S1851" i="24" s="1"/>
  <c r="S1852" i="24" s="1"/>
  <c r="S1853" i="24" s="1"/>
  <c r="S1854" i="24" s="1"/>
  <c r="S1855" i="24" s="1"/>
  <c r="S1856" i="24" s="1"/>
  <c r="S1857" i="24" s="1"/>
  <c r="S1858" i="24" s="1"/>
  <c r="S1859" i="24" s="1"/>
  <c r="S1860" i="24" s="1"/>
  <c r="S1861" i="24" s="1"/>
  <c r="S1862" i="24" s="1"/>
  <c r="S1863" i="24" s="1"/>
  <c r="S1864" i="24" s="1"/>
  <c r="S1865" i="24" s="1"/>
  <c r="S1866" i="24" s="1"/>
  <c r="S1867" i="24" s="1"/>
  <c r="S1868" i="24" s="1"/>
  <c r="S1869" i="24" s="1"/>
  <c r="S1870" i="24" s="1"/>
  <c r="S1871" i="24" s="1"/>
  <c r="S1872" i="24" s="1"/>
  <c r="S1873" i="24" s="1"/>
  <c r="S1874" i="24" s="1"/>
  <c r="S1875" i="24" s="1"/>
  <c r="S1876" i="24" s="1"/>
  <c r="S1877" i="24" s="1"/>
  <c r="S1878" i="24" s="1"/>
  <c r="S1879" i="24" s="1"/>
  <c r="S1880" i="24" s="1"/>
  <c r="S1881" i="24" s="1"/>
  <c r="S1882" i="24" s="1"/>
  <c r="S1883" i="24" s="1"/>
  <c r="S1884" i="24" s="1"/>
  <c r="S1885" i="24" s="1"/>
  <c r="S1886" i="24" s="1"/>
  <c r="S1887" i="24" s="1"/>
  <c r="S1888" i="24" s="1"/>
  <c r="S1889" i="24" s="1"/>
  <c r="S1890" i="24" s="1"/>
  <c r="S1891" i="24" s="1"/>
  <c r="S1892" i="24" s="1"/>
  <c r="S1893" i="24" s="1"/>
  <c r="S1894" i="24" s="1"/>
  <c r="S1895" i="24" s="1"/>
  <c r="S1896" i="24" s="1"/>
  <c r="S1897" i="24" s="1"/>
  <c r="S1898" i="24" s="1"/>
  <c r="S1899" i="24" s="1"/>
  <c r="S1900" i="24" s="1"/>
  <c r="S1901" i="24" s="1"/>
  <c r="S1902" i="24" s="1"/>
  <c r="S1903" i="24" s="1"/>
  <c r="S1904" i="24" s="1"/>
  <c r="S1905" i="24" s="1"/>
  <c r="S1906" i="24" s="1"/>
  <c r="S1907" i="24" s="1"/>
  <c r="S1908" i="24" s="1"/>
  <c r="S1909" i="24" s="1"/>
  <c r="S1910" i="24" s="1"/>
  <c r="S1911" i="24" s="1"/>
  <c r="S1912" i="24" s="1"/>
  <c r="S1913" i="24" s="1"/>
  <c r="S1914" i="24" s="1"/>
  <c r="S1915" i="24" s="1"/>
  <c r="S1916" i="24" s="1"/>
  <c r="S1917" i="24" s="1"/>
  <c r="S1918" i="24" s="1"/>
  <c r="S1919" i="24" s="1"/>
  <c r="S1920" i="24" s="1"/>
  <c r="S1921" i="24" s="1"/>
  <c r="S1922" i="24" s="1"/>
  <c r="S1923" i="24" s="1"/>
  <c r="S1924" i="24" s="1"/>
  <c r="S1925" i="24" s="1"/>
  <c r="S1926" i="24" s="1"/>
  <c r="S1927" i="24" s="1"/>
  <c r="S1928" i="24" s="1"/>
  <c r="S1929" i="24" s="1"/>
  <c r="S1930" i="24" s="1"/>
  <c r="S1931" i="24" s="1"/>
  <c r="S1932" i="24" s="1"/>
  <c r="S1933" i="24" s="1"/>
  <c r="S1934" i="24" s="1"/>
  <c r="S1935" i="24" s="1"/>
  <c r="S1936" i="24" s="1"/>
  <c r="S1937" i="24" s="1"/>
  <c r="S1938" i="24" s="1"/>
  <c r="S1939" i="24" s="1"/>
  <c r="S1940" i="24" s="1"/>
  <c r="S1941" i="24" s="1"/>
  <c r="S1942" i="24" s="1"/>
  <c r="S1943" i="24" s="1"/>
  <c r="S1944" i="24" s="1"/>
  <c r="S1945" i="24" s="1"/>
  <c r="S1946" i="24" s="1"/>
  <c r="S1947" i="24" s="1"/>
  <c r="S1948" i="24" s="1"/>
  <c r="S1949" i="24" s="1"/>
  <c r="S1950" i="24" s="1"/>
  <c r="S1951" i="24" s="1"/>
  <c r="S1952" i="24" s="1"/>
  <c r="S1953" i="24" s="1"/>
  <c r="S1954" i="24" s="1"/>
  <c r="S1955" i="24" s="1"/>
  <c r="S1956" i="24" s="1"/>
  <c r="S1957" i="24" s="1"/>
  <c r="S1958" i="24" s="1"/>
  <c r="S1959" i="24" s="1"/>
  <c r="S1960" i="24" s="1"/>
  <c r="S1961" i="24" s="1"/>
  <c r="S1962" i="24" s="1"/>
  <c r="S1963" i="24" s="1"/>
  <c r="S1964" i="24" s="1"/>
  <c r="S1965" i="24" s="1"/>
  <c r="S1966" i="24" s="1"/>
  <c r="S1967" i="24" s="1"/>
  <c r="S1968" i="24" s="1"/>
  <c r="S1969" i="24" s="1"/>
  <c r="S1970" i="24" s="1"/>
  <c r="S1971" i="24" s="1"/>
  <c r="S1972" i="24" s="1"/>
  <c r="S1973" i="24" s="1"/>
  <c r="S1974" i="24" s="1"/>
  <c r="S1975" i="24" s="1"/>
  <c r="S1976" i="24" s="1"/>
  <c r="S1977" i="24" s="1"/>
  <c r="S1978" i="24" s="1"/>
  <c r="S1979" i="24" s="1"/>
  <c r="S1980" i="24" s="1"/>
  <c r="S1981" i="24" s="1"/>
  <c r="S1982" i="24" s="1"/>
  <c r="S1983" i="24" s="1"/>
  <c r="S1984" i="24" s="1"/>
  <c r="S1985" i="24" s="1"/>
  <c r="S1986" i="24" s="1"/>
  <c r="S1987" i="24" s="1"/>
  <c r="S1988" i="24" s="1"/>
  <c r="S1989" i="24" s="1"/>
  <c r="S1990" i="24" s="1"/>
  <c r="S1991" i="24" s="1"/>
  <c r="S1992" i="24" s="1"/>
  <c r="S1993" i="24" s="1"/>
  <c r="S1994" i="24" s="1"/>
  <c r="S1995" i="24" s="1"/>
  <c r="S1996" i="24" s="1"/>
  <c r="S1997" i="24" s="1"/>
  <c r="S1998" i="24" s="1"/>
  <c r="S1999" i="24" s="1"/>
  <c r="S2000" i="24" s="1"/>
  <c r="S2001" i="24" s="1"/>
  <c r="S2002" i="24" s="1"/>
  <c r="S2003" i="24" s="1"/>
  <c r="S2004" i="24" s="1"/>
  <c r="S2005" i="24" s="1"/>
  <c r="S2006" i="24" s="1"/>
  <c r="S2007" i="24" s="1"/>
  <c r="S2008" i="24" s="1"/>
  <c r="S2009" i="24" s="1"/>
  <c r="S2010" i="24" s="1"/>
  <c r="S2011" i="24" s="1"/>
  <c r="S2012" i="24" s="1"/>
  <c r="S2013" i="24" s="1"/>
  <c r="S2014" i="24" s="1"/>
  <c r="S2015" i="24" s="1"/>
  <c r="S2016" i="24" s="1"/>
  <c r="S2017" i="24" s="1"/>
  <c r="S2018" i="24" s="1"/>
  <c r="S2019" i="24" s="1"/>
  <c r="S2020" i="24" s="1"/>
  <c r="S2021" i="24" s="1"/>
  <c r="S2022" i="24" s="1"/>
  <c r="S2023" i="24" s="1"/>
  <c r="S2024" i="24" s="1"/>
  <c r="S2025" i="24" s="1"/>
  <c r="S2026" i="24" s="1"/>
  <c r="S2027" i="24" s="1"/>
  <c r="S2028" i="24" s="1"/>
  <c r="S2029" i="24" s="1"/>
  <c r="S2030" i="24" s="1"/>
  <c r="S2031" i="24" s="1"/>
  <c r="S2032" i="24" s="1"/>
  <c r="S2033" i="24" s="1"/>
  <c r="S2034" i="24" s="1"/>
  <c r="S2035" i="24" s="1"/>
  <c r="S2036" i="24" s="1"/>
  <c r="S2037" i="24" s="1"/>
  <c r="S2038" i="24" s="1"/>
  <c r="S2039" i="24" s="1"/>
  <c r="S2040" i="24" s="1"/>
  <c r="S2041" i="24" s="1"/>
  <c r="S2042" i="24" s="1"/>
  <c r="S2043" i="24" s="1"/>
  <c r="S2044" i="24" s="1"/>
  <c r="S2045" i="24" s="1"/>
  <c r="S2046" i="24" s="1"/>
  <c r="S2047" i="24" s="1"/>
  <c r="S2048" i="24" s="1"/>
  <c r="S2049" i="24" s="1"/>
  <c r="S2050" i="24" s="1"/>
  <c r="S2051" i="24" s="1"/>
  <c r="S2052" i="24" s="1"/>
  <c r="S2053" i="24" s="1"/>
  <c r="S2054" i="24" s="1"/>
  <c r="S2055" i="24" s="1"/>
  <c r="S2056" i="24" s="1"/>
  <c r="S2057" i="24" s="1"/>
  <c r="S2058" i="24" s="1"/>
  <c r="S2059" i="24" s="1"/>
  <c r="S2060" i="24" s="1"/>
  <c r="S2061" i="24" s="1"/>
  <c r="S2062" i="24" s="1"/>
  <c r="S2063" i="24" s="1"/>
  <c r="S2064" i="24" s="1"/>
  <c r="S2065" i="24" s="1"/>
  <c r="S2066" i="24" s="1"/>
  <c r="S2067" i="24" s="1"/>
  <c r="S2068" i="24" s="1"/>
  <c r="S2069" i="24" s="1"/>
  <c r="S2070" i="24" s="1"/>
  <c r="S2071" i="24" s="1"/>
  <c r="S2072" i="24" s="1"/>
  <c r="S2073" i="24" s="1"/>
  <c r="S2074" i="24" s="1"/>
  <c r="S2075" i="24" s="1"/>
  <c r="S2076" i="24" s="1"/>
  <c r="S2077" i="24" s="1"/>
  <c r="S2078" i="24" s="1"/>
  <c r="S2079" i="24" s="1"/>
  <c r="S2080" i="24" s="1"/>
  <c r="S2081" i="24" s="1"/>
  <c r="S2082" i="24" s="1"/>
  <c r="S2083" i="24" s="1"/>
  <c r="S2084" i="24" s="1"/>
  <c r="S2085" i="24" s="1"/>
  <c r="S2086" i="24" s="1"/>
  <c r="S2087" i="24" s="1"/>
  <c r="S2088" i="24" s="1"/>
  <c r="S2089" i="24" s="1"/>
  <c r="S2090" i="24" s="1"/>
  <c r="S2091" i="24" s="1"/>
  <c r="S2092" i="24" s="1"/>
  <c r="S2093" i="24" s="1"/>
  <c r="S2094" i="24" s="1"/>
  <c r="S2095" i="24" s="1"/>
  <c r="S2096" i="24" s="1"/>
  <c r="S2097" i="24" s="1"/>
  <c r="S2098" i="24" s="1"/>
  <c r="S2099" i="24" s="1"/>
  <c r="S2100" i="24" s="1"/>
  <c r="S2101" i="24" s="1"/>
  <c r="S2102" i="24" s="1"/>
  <c r="S2103" i="24" s="1"/>
  <c r="S2104" i="24" s="1"/>
  <c r="S2105" i="24" s="1"/>
  <c r="S2106" i="24" s="1"/>
  <c r="S2107" i="24" s="1"/>
  <c r="S2108" i="24" s="1"/>
  <c r="S2109" i="24" s="1"/>
  <c r="S2110" i="24" s="1"/>
  <c r="S2111" i="24" s="1"/>
  <c r="S2112" i="24" s="1"/>
  <c r="S2113" i="24" s="1"/>
  <c r="S2114" i="24" s="1"/>
  <c r="S2115" i="24" s="1"/>
  <c r="S2116" i="24" s="1"/>
  <c r="S2117" i="24" s="1"/>
  <c r="S2118" i="24" s="1"/>
  <c r="S2119" i="24" s="1"/>
  <c r="S2120" i="24" s="1"/>
  <c r="S2121" i="24" s="1"/>
  <c r="S2122" i="24" s="1"/>
  <c r="S2123" i="24" s="1"/>
  <c r="S2124" i="24" s="1"/>
  <c r="S2125" i="24" s="1"/>
  <c r="S2126" i="24" s="1"/>
  <c r="S2127" i="24" s="1"/>
  <c r="S2128" i="24" s="1"/>
  <c r="S2129" i="24" s="1"/>
  <c r="S2130" i="24" s="1"/>
  <c r="S2131" i="24" s="1"/>
  <c r="S2132" i="24" s="1"/>
  <c r="S2133" i="24" s="1"/>
  <c r="S2134" i="24" s="1"/>
  <c r="S2135" i="24" s="1"/>
  <c r="S2136" i="24" s="1"/>
  <c r="S2137" i="24" s="1"/>
  <c r="S2138" i="24" s="1"/>
  <c r="S2139" i="24" s="1"/>
  <c r="S2140" i="24" s="1"/>
  <c r="S2141" i="24" s="1"/>
  <c r="S2142" i="24" s="1"/>
  <c r="S2143" i="24" s="1"/>
  <c r="S2144" i="24" s="1"/>
  <c r="S2145" i="24" s="1"/>
  <c r="S2146" i="24" s="1"/>
  <c r="S2147" i="24" s="1"/>
  <c r="S2148" i="24" s="1"/>
  <c r="S2149" i="24" s="1"/>
  <c r="S2150" i="24" s="1"/>
  <c r="S2151" i="24" s="1"/>
  <c r="S2152" i="24" s="1"/>
  <c r="S2153" i="24" s="1"/>
  <c r="S2154" i="24" s="1"/>
  <c r="S2155" i="24" s="1"/>
  <c r="S2156" i="24" s="1"/>
  <c r="S2157" i="24" s="1"/>
  <c r="S2158" i="24" s="1"/>
  <c r="S2159" i="24" s="1"/>
  <c r="S2160" i="24" s="1"/>
  <c r="S2161" i="24" s="1"/>
  <c r="S2162" i="24" s="1"/>
  <c r="S2163" i="24" s="1"/>
  <c r="S2164" i="24" s="1"/>
  <c r="S2165" i="24" s="1"/>
  <c r="S2166" i="24" s="1"/>
  <c r="S2167" i="24" s="1"/>
  <c r="S2168" i="24" s="1"/>
  <c r="S2169" i="24" s="1"/>
  <c r="S2170" i="24" s="1"/>
  <c r="S2171" i="24" s="1"/>
  <c r="S2172" i="24" s="1"/>
  <c r="S2173" i="24" s="1"/>
  <c r="S2174" i="24" s="1"/>
  <c r="S2175" i="24" s="1"/>
  <c r="S2176" i="24" s="1"/>
  <c r="S2177" i="24" s="1"/>
  <c r="S2178" i="24" s="1"/>
  <c r="S2179" i="24" s="1"/>
  <c r="S2180" i="24" s="1"/>
  <c r="S2181" i="24" s="1"/>
  <c r="S2182" i="24" s="1"/>
  <c r="S2183" i="24" s="1"/>
  <c r="S2184" i="24" s="1"/>
  <c r="S2185" i="24" s="1"/>
  <c r="S2186" i="24" s="1"/>
  <c r="S2187" i="24" s="1"/>
  <c r="S2188" i="24" s="1"/>
  <c r="S2189" i="24" s="1"/>
  <c r="S2190" i="24" s="1"/>
  <c r="S2191" i="24" s="1"/>
  <c r="S2192" i="24" s="1"/>
  <c r="S2193" i="24" s="1"/>
  <c r="S2194" i="24" s="1"/>
  <c r="S2195" i="24" s="1"/>
  <c r="S2196" i="24" s="1"/>
  <c r="S2197" i="24" s="1"/>
  <c r="S2198" i="24" s="1"/>
  <c r="S2199" i="24" s="1"/>
  <c r="S2200" i="24" s="1"/>
  <c r="S2201" i="24" s="1"/>
  <c r="S2202" i="24" s="1"/>
  <c r="S2203" i="24" s="1"/>
  <c r="S2204" i="24" s="1"/>
  <c r="S2205" i="24" s="1"/>
  <c r="S2206" i="24" s="1"/>
  <c r="S2207" i="24" s="1"/>
  <c r="S2208" i="24" s="1"/>
  <c r="S2209" i="24" s="1"/>
  <c r="S2210" i="24" s="1"/>
  <c r="S2211" i="24" s="1"/>
  <c r="S2212" i="24" s="1"/>
  <c r="S2213" i="24" s="1"/>
  <c r="S2214" i="24" s="1"/>
  <c r="S2215" i="24" s="1"/>
  <c r="S2216" i="24" s="1"/>
  <c r="S2217" i="24" s="1"/>
  <c r="S2218" i="24" s="1"/>
  <c r="S2219" i="24" s="1"/>
  <c r="S2220" i="24" s="1"/>
  <c r="S2221" i="24" s="1"/>
  <c r="S2222" i="24" s="1"/>
  <c r="S2223" i="24" s="1"/>
  <c r="S2224" i="24" s="1"/>
  <c r="S2225" i="24" s="1"/>
  <c r="S2226" i="24" s="1"/>
  <c r="S2227" i="24" s="1"/>
  <c r="S2228" i="24" s="1"/>
  <c r="S2229" i="24" s="1"/>
  <c r="S2230" i="24" s="1"/>
  <c r="S2231" i="24" s="1"/>
  <c r="S2232" i="24" s="1"/>
  <c r="S2233" i="24" s="1"/>
  <c r="S2234" i="24" s="1"/>
  <c r="S2235" i="24" s="1"/>
  <c r="S2236" i="24" s="1"/>
  <c r="S2237" i="24" s="1"/>
  <c r="S2238" i="24" s="1"/>
  <c r="S2239" i="24" s="1"/>
  <c r="S2240" i="24" s="1"/>
  <c r="S2241" i="24" s="1"/>
  <c r="S2242" i="24" s="1"/>
  <c r="S2243" i="24" s="1"/>
  <c r="S2244" i="24" s="1"/>
  <c r="S2245" i="24" s="1"/>
  <c r="S2246" i="24" s="1"/>
  <c r="S2247" i="24" s="1"/>
  <c r="S2248" i="24" s="1"/>
  <c r="S2249" i="24" s="1"/>
  <c r="S2250" i="24" s="1"/>
  <c r="S2251" i="24" s="1"/>
  <c r="S2252" i="24" s="1"/>
  <c r="S2253" i="24" s="1"/>
  <c r="S2254" i="24" s="1"/>
  <c r="S2255" i="24" s="1"/>
  <c r="S2256" i="24" s="1"/>
  <c r="S2257" i="24" s="1"/>
  <c r="S2258" i="24" s="1"/>
  <c r="S2259" i="24" s="1"/>
  <c r="S2260" i="24" s="1"/>
  <c r="S2261" i="24" s="1"/>
  <c r="S2262" i="24" s="1"/>
  <c r="S2263" i="24" s="1"/>
  <c r="S2264" i="24" s="1"/>
  <c r="S2265" i="24" s="1"/>
  <c r="S2266" i="24" s="1"/>
  <c r="S2267" i="24" s="1"/>
  <c r="S2268" i="24" s="1"/>
  <c r="S2269" i="24" s="1"/>
  <c r="S2270" i="24" s="1"/>
  <c r="S2271" i="24" s="1"/>
  <c r="S2272" i="24" s="1"/>
  <c r="S2273" i="24" s="1"/>
  <c r="S2274" i="24" s="1"/>
  <c r="S2275" i="24" s="1"/>
  <c r="S2276" i="24" s="1"/>
  <c r="S2277" i="24" s="1"/>
  <c r="S2278" i="24" s="1"/>
  <c r="S2279" i="24" s="1"/>
  <c r="S2280" i="24" s="1"/>
  <c r="S2281" i="24" s="1"/>
  <c r="S2282" i="24" s="1"/>
  <c r="S2283" i="24" s="1"/>
  <c r="S2284" i="24" s="1"/>
  <c r="S2285" i="24" s="1"/>
  <c r="S2286" i="24" s="1"/>
  <c r="S2287" i="24" s="1"/>
  <c r="S2288" i="24" s="1"/>
  <c r="S2289" i="24" s="1"/>
  <c r="S2290" i="24" s="1"/>
  <c r="S2291" i="24" s="1"/>
  <c r="S2292" i="24" s="1"/>
  <c r="S2293" i="24" s="1"/>
  <c r="S2294" i="24" s="1"/>
  <c r="S2295" i="24" s="1"/>
  <c r="S2296" i="24" s="1"/>
  <c r="S2297" i="24" s="1"/>
  <c r="S2298" i="24" s="1"/>
  <c r="S2299" i="24" s="1"/>
  <c r="S2300" i="24" s="1"/>
  <c r="S2301" i="24" s="1"/>
  <c r="S2302" i="24" s="1"/>
  <c r="S2303" i="24" s="1"/>
  <c r="S2304" i="24" s="1"/>
  <c r="S2305" i="24" s="1"/>
  <c r="S2306" i="24" s="1"/>
  <c r="S2307" i="24" s="1"/>
  <c r="S2308" i="24" s="1"/>
  <c r="S2309" i="24" s="1"/>
  <c r="S2310" i="24" s="1"/>
  <c r="S2311" i="24" s="1"/>
  <c r="S2312" i="24" s="1"/>
  <c r="S2313" i="24" s="1"/>
  <c r="S2314" i="24" s="1"/>
  <c r="S2315" i="24" s="1"/>
  <c r="S2316" i="24" s="1"/>
  <c r="S2317" i="24" s="1"/>
  <c r="S2318" i="24" s="1"/>
  <c r="S2319" i="24" s="1"/>
  <c r="S2320" i="24" s="1"/>
  <c r="S2321" i="24" s="1"/>
  <c r="S2322" i="24" s="1"/>
  <c r="S2323" i="24" s="1"/>
  <c r="S2324" i="24" s="1"/>
  <c r="S2325" i="24" s="1"/>
  <c r="S2326" i="24" s="1"/>
  <c r="S2327" i="24" s="1"/>
  <c r="S2328" i="24" s="1"/>
  <c r="S2329" i="24" s="1"/>
  <c r="S2330" i="24" s="1"/>
  <c r="S2331" i="24" s="1"/>
  <c r="S2332" i="24" s="1"/>
  <c r="S2333" i="24" s="1"/>
  <c r="S2334" i="24" s="1"/>
  <c r="S2335" i="24" s="1"/>
  <c r="S2336" i="24" s="1"/>
  <c r="S2337" i="24" s="1"/>
  <c r="S2338" i="24" s="1"/>
  <c r="S2339" i="24" s="1"/>
  <c r="S2340" i="24" s="1"/>
  <c r="S2341" i="24" s="1"/>
  <c r="S2342" i="24" s="1"/>
  <c r="S2343" i="24" s="1"/>
  <c r="S2344" i="24" s="1"/>
  <c r="S2345" i="24" s="1"/>
  <c r="S2346" i="24" s="1"/>
  <c r="S2347" i="24" s="1"/>
  <c r="S2348" i="24" s="1"/>
  <c r="S2349" i="24" s="1"/>
  <c r="S2350" i="24" s="1"/>
  <c r="S2351" i="24" s="1"/>
  <c r="S2352" i="24" s="1"/>
  <c r="S2353" i="24" s="1"/>
  <c r="S2354" i="24" s="1"/>
  <c r="S2355" i="24" s="1"/>
  <c r="S2356" i="24" s="1"/>
  <c r="S2357" i="24" s="1"/>
  <c r="S2358" i="24" s="1"/>
  <c r="S2359" i="24" s="1"/>
  <c r="S2360" i="24" s="1"/>
  <c r="S2361" i="24" s="1"/>
  <c r="S2362" i="24" s="1"/>
  <c r="S2363" i="24" s="1"/>
  <c r="S2364" i="24" s="1"/>
  <c r="S2365" i="24" s="1"/>
  <c r="S2366" i="24" s="1"/>
  <c r="S2367" i="24" s="1"/>
  <c r="S2368" i="24" s="1"/>
  <c r="S2369" i="24" s="1"/>
  <c r="S2370" i="24" s="1"/>
  <c r="S2371" i="24" s="1"/>
  <c r="S2372" i="24" s="1"/>
  <c r="S2373" i="24" s="1"/>
  <c r="S2374" i="24" s="1"/>
  <c r="S2375" i="24" s="1"/>
  <c r="S2376" i="24" s="1"/>
  <c r="S2377" i="24" s="1"/>
  <c r="S2378" i="24" s="1"/>
  <c r="S2379" i="24" s="1"/>
  <c r="S2380" i="24" s="1"/>
  <c r="S2381" i="24" s="1"/>
  <c r="S2382" i="24" s="1"/>
  <c r="S2383" i="24" s="1"/>
  <c r="S2384" i="24" s="1"/>
  <c r="S2385" i="24" s="1"/>
  <c r="S2386" i="24" s="1"/>
  <c r="S2387" i="24" s="1"/>
  <c r="S2388" i="24" s="1"/>
  <c r="S2389" i="24" s="1"/>
  <c r="S2390" i="24" s="1"/>
  <c r="S2391" i="24" s="1"/>
  <c r="S2392" i="24" s="1"/>
  <c r="S2393" i="24" s="1"/>
  <c r="S2394" i="24" s="1"/>
  <c r="S2395" i="24" s="1"/>
  <c r="S2396" i="24" s="1"/>
  <c r="S2397" i="24" s="1"/>
  <c r="S2398" i="24" s="1"/>
  <c r="S2399" i="24" s="1"/>
  <c r="S2400" i="24" s="1"/>
  <c r="S2401" i="24" s="1"/>
  <c r="S2402" i="24" s="1"/>
  <c r="S2403" i="24" s="1"/>
  <c r="S2404" i="24" s="1"/>
  <c r="S2405" i="24" s="1"/>
  <c r="S2406" i="24" s="1"/>
  <c r="S2407" i="24" s="1"/>
  <c r="S2408" i="24" s="1"/>
  <c r="S2409" i="24" s="1"/>
  <c r="S2410" i="24" s="1"/>
  <c r="S2411" i="24" s="1"/>
  <c r="S2412" i="24" s="1"/>
  <c r="S2413" i="24" s="1"/>
  <c r="S2414" i="24" s="1"/>
  <c r="S2415" i="24" s="1"/>
  <c r="S2416" i="24" s="1"/>
  <c r="S2417" i="24" s="1"/>
  <c r="S2418" i="24" s="1"/>
  <c r="S2419" i="24" s="1"/>
  <c r="S2420" i="24" s="1"/>
  <c r="S2421" i="24" s="1"/>
  <c r="S2422" i="24" s="1"/>
  <c r="S2423" i="24" s="1"/>
  <c r="S2424" i="24" s="1"/>
  <c r="S2425" i="24" s="1"/>
  <c r="S2426" i="24" s="1"/>
  <c r="S2427" i="24" s="1"/>
  <c r="S2428" i="24" s="1"/>
  <c r="S2429" i="24" s="1"/>
  <c r="S2430" i="24" s="1"/>
  <c r="S2431" i="24" s="1"/>
  <c r="S2432" i="24" s="1"/>
  <c r="S2433" i="24" s="1"/>
  <c r="S2434" i="24" s="1"/>
  <c r="S2435" i="24" s="1"/>
  <c r="S2436" i="24" s="1"/>
  <c r="S2437" i="24" s="1"/>
  <c r="S2438" i="24" s="1"/>
  <c r="S2439" i="24" s="1"/>
  <c r="S2440" i="24" s="1"/>
  <c r="S2441" i="24" s="1"/>
  <c r="S2442" i="24" s="1"/>
  <c r="S2443" i="24" s="1"/>
  <c r="S2444" i="24" s="1"/>
  <c r="S2445" i="24" s="1"/>
  <c r="S2446" i="24" s="1"/>
  <c r="S2447" i="24" s="1"/>
  <c r="S2448" i="24" s="1"/>
  <c r="S2449" i="24" s="1"/>
  <c r="S2450" i="24" s="1"/>
  <c r="S2451" i="24" s="1"/>
  <c r="S2452" i="24" s="1"/>
  <c r="S2453" i="24" s="1"/>
  <c r="S2454" i="24" s="1"/>
  <c r="S2455" i="24" s="1"/>
  <c r="S2456" i="24" s="1"/>
  <c r="S2457" i="24" s="1"/>
  <c r="S2458" i="24" s="1"/>
  <c r="S2459" i="24" s="1"/>
  <c r="S2460" i="24" s="1"/>
  <c r="S2461" i="24" s="1"/>
  <c r="S2462" i="24" s="1"/>
  <c r="S2463" i="24" s="1"/>
  <c r="S2464" i="24" s="1"/>
  <c r="S2465" i="24" s="1"/>
  <c r="S2466" i="24" s="1"/>
  <c r="S2467" i="24" s="1"/>
  <c r="S2468" i="24" s="1"/>
  <c r="S2469" i="24" s="1"/>
  <c r="S2470" i="24" s="1"/>
  <c r="S2471" i="24" s="1"/>
  <c r="S2472" i="24" s="1"/>
  <c r="S2473" i="24" s="1"/>
  <c r="S2474" i="24" s="1"/>
  <c r="S2475" i="24" s="1"/>
  <c r="S2476" i="24" s="1"/>
  <c r="S2477" i="24" s="1"/>
  <c r="S2478" i="24" s="1"/>
  <c r="S2479" i="24" s="1"/>
  <c r="S2480" i="24" s="1"/>
  <c r="S2481" i="24" s="1"/>
  <c r="S2482" i="24" s="1"/>
  <c r="S2483" i="24" s="1"/>
  <c r="S2484" i="24" s="1"/>
  <c r="S2485" i="24" s="1"/>
  <c r="S2486" i="24" s="1"/>
  <c r="S2487" i="24" s="1"/>
  <c r="S2488" i="24" s="1"/>
  <c r="S2489" i="24" s="1"/>
  <c r="S2490" i="24" s="1"/>
  <c r="S2491" i="24" s="1"/>
  <c r="S2492" i="24" s="1"/>
  <c r="S2493" i="24" s="1"/>
  <c r="S2494" i="24" s="1"/>
  <c r="S2495" i="24" s="1"/>
  <c r="S2496" i="24" s="1"/>
  <c r="S2497" i="24" s="1"/>
  <c r="S2498" i="24" s="1"/>
  <c r="S2499" i="24" s="1"/>
  <c r="S2500" i="24" s="1"/>
  <c r="S2501" i="24" s="1"/>
  <c r="S2502" i="24" s="1"/>
  <c r="S2503" i="24" s="1"/>
  <c r="S2504" i="24" s="1"/>
  <c r="S2505" i="24" s="1"/>
  <c r="S2506" i="24" s="1"/>
  <c r="S2507" i="24" s="1"/>
  <c r="S2508" i="24" s="1"/>
  <c r="S2509" i="24" s="1"/>
  <c r="S2510" i="24" s="1"/>
  <c r="S2511" i="24" s="1"/>
  <c r="S2512" i="24" s="1"/>
  <c r="S2513" i="24" s="1"/>
  <c r="S2514" i="24" s="1"/>
  <c r="S2515" i="24" s="1"/>
  <c r="S2516" i="24" s="1"/>
  <c r="S2517" i="24" s="1"/>
  <c r="S2518" i="24" s="1"/>
  <c r="S2519" i="24" s="1"/>
  <c r="S2520" i="24" s="1"/>
  <c r="S2521" i="24" s="1"/>
  <c r="S2522" i="24" s="1"/>
  <c r="S2523" i="24" s="1"/>
  <c r="S2524" i="24" s="1"/>
  <c r="S2525" i="24" s="1"/>
  <c r="S2526" i="24" s="1"/>
  <c r="S2527" i="24" s="1"/>
  <c r="S2528" i="24" s="1"/>
  <c r="S2529" i="24" s="1"/>
  <c r="S2530" i="24" s="1"/>
  <c r="S2531" i="24" s="1"/>
  <c r="S2532" i="24" s="1"/>
  <c r="S2533" i="24" s="1"/>
  <c r="S2534" i="24" s="1"/>
  <c r="S2535" i="24" s="1"/>
  <c r="S2536" i="24" s="1"/>
  <c r="S2537" i="24" s="1"/>
  <c r="S2538" i="24" s="1"/>
  <c r="S2539" i="24" s="1"/>
  <c r="S2540" i="24" s="1"/>
  <c r="S2541" i="24" s="1"/>
  <c r="S2542" i="24" s="1"/>
  <c r="S2543" i="24" s="1"/>
  <c r="S2544" i="24" s="1"/>
  <c r="S2545" i="24" s="1"/>
  <c r="S2546" i="24" s="1"/>
  <c r="S2547" i="24" s="1"/>
  <c r="S2548" i="24" s="1"/>
  <c r="S2549" i="24" s="1"/>
  <c r="S2550" i="24" s="1"/>
  <c r="S2551" i="24" s="1"/>
  <c r="S2552" i="24" s="1"/>
  <c r="S2553" i="24" s="1"/>
  <c r="S2554" i="24" s="1"/>
  <c r="S2555" i="24" s="1"/>
  <c r="S2556" i="24" s="1"/>
  <c r="S2557" i="24" s="1"/>
  <c r="S2558" i="24" s="1"/>
  <c r="S2559" i="24" s="1"/>
  <c r="S2560" i="24" s="1"/>
  <c r="S2561" i="24" s="1"/>
  <c r="S2562" i="24" s="1"/>
  <c r="S2563" i="24" s="1"/>
  <c r="S2564" i="24" s="1"/>
  <c r="S2565" i="24" s="1"/>
  <c r="S2566" i="24" s="1"/>
  <c r="S2567" i="24" s="1"/>
  <c r="S2568" i="24" s="1"/>
  <c r="S2569" i="24" s="1"/>
  <c r="S2570" i="24" s="1"/>
  <c r="S2571" i="24" s="1"/>
  <c r="S2572" i="24" s="1"/>
  <c r="S2573" i="24" s="1"/>
  <c r="S2574" i="24" s="1"/>
  <c r="S2575" i="24" s="1"/>
  <c r="S2576" i="24" s="1"/>
  <c r="S2577" i="24" s="1"/>
  <c r="S2578" i="24" s="1"/>
  <c r="S2579" i="24" s="1"/>
  <c r="S2580" i="24" s="1"/>
  <c r="S2581" i="24" s="1"/>
  <c r="S2582" i="24" s="1"/>
  <c r="S2583" i="24" s="1"/>
  <c r="S2584" i="24" s="1"/>
  <c r="S2585" i="24" s="1"/>
  <c r="S2586" i="24" s="1"/>
  <c r="S2587" i="24" s="1"/>
  <c r="S2588" i="24" s="1"/>
  <c r="S2589" i="24" s="1"/>
  <c r="S2590" i="24" s="1"/>
  <c r="S2591" i="24" s="1"/>
  <c r="S2592" i="24" s="1"/>
  <c r="S2593" i="24" s="1"/>
  <c r="S2594" i="24" s="1"/>
  <c r="S2595" i="24" s="1"/>
  <c r="S2596" i="24" s="1"/>
  <c r="S2597" i="24" s="1"/>
  <c r="S2598" i="24" s="1"/>
  <c r="S2599" i="24" s="1"/>
  <c r="S2600" i="24" s="1"/>
  <c r="S2601" i="24" s="1"/>
  <c r="S2602" i="24" s="1"/>
  <c r="S2603" i="24" s="1"/>
  <c r="S2604" i="24" s="1"/>
  <c r="S2605" i="24" s="1"/>
  <c r="S2606" i="24" s="1"/>
  <c r="S2607" i="24" s="1"/>
  <c r="S2608" i="24" s="1"/>
  <c r="S2609" i="24" s="1"/>
  <c r="S2610" i="24" s="1"/>
  <c r="S2611" i="24" s="1"/>
  <c r="S2612" i="24" s="1"/>
  <c r="S2613" i="24" s="1"/>
  <c r="S2614" i="24" s="1"/>
  <c r="S2615" i="24" s="1"/>
  <c r="S2616" i="24" s="1"/>
  <c r="S2617" i="24" s="1"/>
  <c r="S2618" i="24" s="1"/>
  <c r="S2619" i="24" s="1"/>
  <c r="S2620" i="24" s="1"/>
  <c r="S2621" i="24" s="1"/>
  <c r="S2622" i="24" s="1"/>
  <c r="S2623" i="24" s="1"/>
  <c r="S2624" i="24" s="1"/>
  <c r="S2625" i="24" s="1"/>
  <c r="S2626" i="24" s="1"/>
  <c r="S2627" i="24" s="1"/>
  <c r="S2628" i="24" s="1"/>
  <c r="S2629" i="24" s="1"/>
  <c r="S2630" i="24" s="1"/>
  <c r="S2631" i="24" s="1"/>
  <c r="S2632" i="24" s="1"/>
  <c r="S2633" i="24" s="1"/>
  <c r="S2634" i="24" s="1"/>
  <c r="S2635" i="24" s="1"/>
  <c r="S2636" i="24" s="1"/>
  <c r="S2637" i="24" s="1"/>
  <c r="S2638" i="24" s="1"/>
  <c r="S2639" i="24" s="1"/>
  <c r="S2640" i="24" s="1"/>
  <c r="S2641" i="24" s="1"/>
  <c r="S2642" i="24" s="1"/>
  <c r="S2643" i="24" s="1"/>
  <c r="S2644" i="24" s="1"/>
  <c r="S2645" i="24" s="1"/>
  <c r="S2646" i="24" s="1"/>
  <c r="S2647" i="24" s="1"/>
  <c r="S2648" i="24" s="1"/>
  <c r="S2649" i="24" s="1"/>
  <c r="S2650" i="24" s="1"/>
  <c r="S2651" i="24" s="1"/>
  <c r="S2652" i="24" s="1"/>
  <c r="S2653" i="24" s="1"/>
  <c r="S2654" i="24" s="1"/>
  <c r="S2655" i="24" s="1"/>
  <c r="S2656" i="24" s="1"/>
  <c r="S2657" i="24" s="1"/>
  <c r="S2658" i="24" s="1"/>
  <c r="S2659" i="24" s="1"/>
  <c r="S2660" i="24" s="1"/>
  <c r="S2661" i="24" s="1"/>
  <c r="S2662" i="24" s="1"/>
  <c r="S2663" i="24" s="1"/>
  <c r="S2664" i="24" s="1"/>
  <c r="S2665" i="24" s="1"/>
  <c r="S2666" i="24" s="1"/>
  <c r="S2667" i="24" s="1"/>
  <c r="S2668" i="24" s="1"/>
  <c r="S2669" i="24" s="1"/>
  <c r="S2670" i="24" s="1"/>
  <c r="S2671" i="24" s="1"/>
  <c r="S2672" i="24" s="1"/>
  <c r="S2673" i="24" s="1"/>
  <c r="S2674" i="24" s="1"/>
  <c r="S2675" i="24" s="1"/>
  <c r="S2676" i="24" s="1"/>
  <c r="S2677" i="24" s="1"/>
  <c r="S2678" i="24" s="1"/>
  <c r="S2679" i="24" s="1"/>
  <c r="S2680" i="24" s="1"/>
  <c r="S2681" i="24" s="1"/>
  <c r="S2682" i="24" s="1"/>
  <c r="S2683" i="24" s="1"/>
  <c r="S2684" i="24" s="1"/>
  <c r="S2685" i="24" s="1"/>
  <c r="S2686" i="24" s="1"/>
  <c r="S2687" i="24" s="1"/>
  <c r="S2688" i="24" s="1"/>
  <c r="S2689" i="24" s="1"/>
  <c r="S2690" i="24" s="1"/>
  <c r="S2691" i="24" s="1"/>
  <c r="S2692" i="24" s="1"/>
  <c r="S2693" i="24" s="1"/>
  <c r="S2694" i="24" s="1"/>
  <c r="S2695" i="24" s="1"/>
  <c r="S2696" i="24" s="1"/>
  <c r="S2697" i="24" s="1"/>
  <c r="S2698" i="24" s="1"/>
  <c r="S2699" i="24" s="1"/>
  <c r="S2700" i="24" s="1"/>
  <c r="S2701" i="24" s="1"/>
  <c r="S2702" i="24" s="1"/>
  <c r="S2703" i="24" s="1"/>
  <c r="S2704" i="24" s="1"/>
  <c r="S2705" i="24" s="1"/>
  <c r="S2706" i="24" s="1"/>
  <c r="S2707" i="24" s="1"/>
  <c r="S2708" i="24" s="1"/>
  <c r="S2709" i="24" s="1"/>
  <c r="S2710" i="24" s="1"/>
  <c r="S2711" i="24" s="1"/>
  <c r="S2712" i="24" s="1"/>
  <c r="S2713" i="24" s="1"/>
  <c r="S2714" i="24" s="1"/>
  <c r="S2715" i="24" s="1"/>
  <c r="S2716" i="24" s="1"/>
  <c r="S2717" i="24" s="1"/>
  <c r="S2718" i="24" s="1"/>
  <c r="S2719" i="24" s="1"/>
  <c r="S2720" i="24" s="1"/>
  <c r="S2721" i="24" s="1"/>
  <c r="S2722" i="24" s="1"/>
  <c r="S2723" i="24" s="1"/>
  <c r="S2724" i="24" s="1"/>
  <c r="S2725" i="24" s="1"/>
  <c r="S2726" i="24" s="1"/>
  <c r="S2727" i="24" s="1"/>
  <c r="S2728" i="24" s="1"/>
  <c r="S2729" i="24" s="1"/>
  <c r="S2730" i="24" s="1"/>
  <c r="S2731" i="24" s="1"/>
  <c r="S2732" i="24" s="1"/>
  <c r="S2733" i="24" s="1"/>
  <c r="S2734" i="24" s="1"/>
  <c r="S2735" i="24" s="1"/>
  <c r="S2736" i="24" s="1"/>
  <c r="S2737" i="24" s="1"/>
  <c r="S2738" i="24" s="1"/>
  <c r="S2739" i="24" s="1"/>
  <c r="S2740" i="24" s="1"/>
  <c r="S2741" i="24" s="1"/>
  <c r="S2742" i="24" s="1"/>
  <c r="S2743" i="24" s="1"/>
  <c r="S2744" i="24" s="1"/>
  <c r="S2745" i="24" s="1"/>
  <c r="S2746" i="24" s="1"/>
  <c r="S2747" i="24" s="1"/>
  <c r="S2748" i="24" s="1"/>
  <c r="S2749" i="24" s="1"/>
  <c r="S2750" i="24" s="1"/>
  <c r="S2751" i="24" s="1"/>
  <c r="S2752" i="24" s="1"/>
  <c r="S2753" i="24" s="1"/>
  <c r="S2754" i="24" s="1"/>
  <c r="S2755" i="24" s="1"/>
  <c r="S2756" i="24" s="1"/>
  <c r="S2757" i="24" s="1"/>
  <c r="S2758" i="24" s="1"/>
  <c r="S2759" i="24" s="1"/>
  <c r="S2760" i="24" s="1"/>
  <c r="S2761" i="24" s="1"/>
  <c r="S2762" i="24" s="1"/>
  <c r="S2763" i="24" s="1"/>
  <c r="S2764" i="24" s="1"/>
  <c r="S2765" i="24" s="1"/>
  <c r="S2766" i="24" s="1"/>
  <c r="S2767" i="24" s="1"/>
  <c r="S2768" i="24" s="1"/>
  <c r="S2769" i="24" s="1"/>
  <c r="S2770" i="24" s="1"/>
  <c r="S2771" i="24" s="1"/>
  <c r="S2772" i="24" s="1"/>
  <c r="S2773" i="24" s="1"/>
  <c r="S2774" i="24" s="1"/>
  <c r="S2775" i="24" s="1"/>
  <c r="S2776" i="24" s="1"/>
  <c r="S2777" i="24" s="1"/>
  <c r="S2778" i="24" s="1"/>
  <c r="S2779" i="24" s="1"/>
  <c r="S2780" i="24" s="1"/>
  <c r="S2781" i="24" s="1"/>
  <c r="S2782" i="24" s="1"/>
  <c r="S2783" i="24" s="1"/>
  <c r="S2784" i="24" s="1"/>
  <c r="S2785" i="24" s="1"/>
  <c r="S2786" i="24" s="1"/>
  <c r="S2787" i="24" s="1"/>
  <c r="S2788" i="24" s="1"/>
  <c r="S2789" i="24" s="1"/>
  <c r="S2790" i="24" s="1"/>
  <c r="S2791" i="24" s="1"/>
  <c r="S2792" i="24" s="1"/>
  <c r="S2793" i="24" s="1"/>
  <c r="S2794" i="24" s="1"/>
  <c r="S2795" i="24" s="1"/>
  <c r="S2796" i="24" s="1"/>
  <c r="S2797" i="24" s="1"/>
  <c r="S2798" i="24" s="1"/>
  <c r="S2799" i="24" s="1"/>
  <c r="S2800" i="24" s="1"/>
  <c r="S2801" i="24" s="1"/>
  <c r="S2802" i="24" s="1"/>
  <c r="S2803" i="24" s="1"/>
  <c r="S2804" i="24" s="1"/>
  <c r="S2805" i="24" s="1"/>
  <c r="S2806" i="24" s="1"/>
  <c r="S2807" i="24" s="1"/>
  <c r="S2808" i="24" s="1"/>
  <c r="S2809" i="24" s="1"/>
  <c r="S2810" i="24" s="1"/>
  <c r="S2811" i="24" s="1"/>
  <c r="S2812" i="24" s="1"/>
  <c r="S2813" i="24" s="1"/>
  <c r="S2814" i="24" s="1"/>
  <c r="S2815" i="24" s="1"/>
  <c r="S2816" i="24" s="1"/>
  <c r="S2817" i="24" s="1"/>
  <c r="S2818" i="24" s="1"/>
  <c r="S2819" i="24" s="1"/>
  <c r="S2820" i="24" s="1"/>
  <c r="S2821" i="24" s="1"/>
  <c r="S2822" i="24" s="1"/>
  <c r="S2823" i="24" s="1"/>
  <c r="S2824" i="24" s="1"/>
  <c r="S2825" i="24" s="1"/>
  <c r="S2826" i="24" s="1"/>
  <c r="S2827" i="24" s="1"/>
  <c r="S2828" i="24" s="1"/>
  <c r="S2829" i="24" s="1"/>
  <c r="S2830" i="24" s="1"/>
  <c r="S2831" i="24" s="1"/>
  <c r="S2832" i="24" s="1"/>
  <c r="S2833" i="24" s="1"/>
  <c r="S2834" i="24" s="1"/>
  <c r="S2835" i="24" s="1"/>
  <c r="S2836" i="24" s="1"/>
  <c r="S2837" i="24" s="1"/>
  <c r="S2838" i="24" s="1"/>
  <c r="S2839" i="24" s="1"/>
  <c r="S2840" i="24" s="1"/>
  <c r="S2841" i="24" s="1"/>
  <c r="S2842" i="24" s="1"/>
  <c r="S2843" i="24" s="1"/>
  <c r="S2844" i="24" s="1"/>
  <c r="S2845" i="24" s="1"/>
  <c r="S2846" i="24" s="1"/>
  <c r="S2847" i="24" s="1"/>
  <c r="S2848" i="24" s="1"/>
  <c r="S2849" i="24" s="1"/>
  <c r="S2850" i="24" s="1"/>
  <c r="S2851" i="24" s="1"/>
  <c r="S2852" i="24" s="1"/>
  <c r="S2853" i="24" s="1"/>
  <c r="S2854" i="24" s="1"/>
  <c r="S2855" i="24" s="1"/>
  <c r="S2856" i="24" s="1"/>
  <c r="S2857" i="24" s="1"/>
  <c r="S2858" i="24" s="1"/>
  <c r="S2859" i="24" s="1"/>
  <c r="S2860" i="24" s="1"/>
  <c r="S2861" i="24" s="1"/>
  <c r="S2862" i="24" s="1"/>
  <c r="S2863" i="24" s="1"/>
  <c r="S2864" i="24" s="1"/>
  <c r="S2865" i="24" s="1"/>
  <c r="S2866" i="24" s="1"/>
  <c r="S2867" i="24" s="1"/>
  <c r="S2868" i="24" s="1"/>
  <c r="S2869" i="24" s="1"/>
  <c r="S2870" i="24" s="1"/>
  <c r="S2871" i="24" s="1"/>
  <c r="S2872" i="24" s="1"/>
  <c r="S2873" i="24" s="1"/>
  <c r="S2874" i="24" s="1"/>
  <c r="S2875" i="24" s="1"/>
  <c r="S2876" i="24" s="1"/>
  <c r="S2877" i="24" s="1"/>
  <c r="S2878" i="24" s="1"/>
  <c r="S2879" i="24" s="1"/>
  <c r="S2880" i="24" s="1"/>
  <c r="S2881" i="24" s="1"/>
  <c r="S2882" i="24" s="1"/>
  <c r="S2883" i="24" s="1"/>
  <c r="S2884" i="24" s="1"/>
  <c r="S2885" i="24" s="1"/>
  <c r="S2886" i="24" s="1"/>
  <c r="S2887" i="24" s="1"/>
  <c r="S2888" i="24" s="1"/>
  <c r="S2889" i="24" s="1"/>
  <c r="S2890" i="24" s="1"/>
  <c r="S2891" i="24" s="1"/>
  <c r="S2892" i="24" s="1"/>
  <c r="S2893" i="24" s="1"/>
  <c r="S2894" i="24" s="1"/>
  <c r="S2895" i="24" s="1"/>
  <c r="S2896" i="24" s="1"/>
  <c r="S2897" i="24" s="1"/>
  <c r="S2898" i="24" s="1"/>
  <c r="S2899" i="24" s="1"/>
  <c r="S2900" i="24" s="1"/>
  <c r="S2901" i="24" s="1"/>
  <c r="S2902" i="24" s="1"/>
  <c r="S2903" i="24" s="1"/>
  <c r="S2904" i="24" s="1"/>
  <c r="S2905" i="24" s="1"/>
  <c r="S2906" i="24" s="1"/>
  <c r="S2907" i="24" s="1"/>
  <c r="S2908" i="24" s="1"/>
  <c r="S2909" i="24" s="1"/>
  <c r="S2910" i="24" s="1"/>
  <c r="S2911" i="24" s="1"/>
  <c r="S2912" i="24" s="1"/>
  <c r="S2913" i="24" s="1"/>
  <c r="S2914" i="24" s="1"/>
  <c r="S2915" i="24" s="1"/>
  <c r="S2916" i="24" s="1"/>
  <c r="S2917" i="24" s="1"/>
  <c r="S2918" i="24" s="1"/>
  <c r="S2919" i="24" s="1"/>
  <c r="S2920" i="24" s="1"/>
  <c r="S2921" i="24" s="1"/>
  <c r="S2922" i="24" s="1"/>
  <c r="S2923" i="24" s="1"/>
  <c r="S2924" i="24" s="1"/>
  <c r="S2925" i="24" s="1"/>
  <c r="S2926" i="24" s="1"/>
  <c r="S2927" i="24" s="1"/>
  <c r="S2928" i="24" s="1"/>
  <c r="S2929" i="24" s="1"/>
  <c r="S2930" i="24" s="1"/>
  <c r="S2931" i="24" s="1"/>
  <c r="S2932" i="24" s="1"/>
  <c r="S2933" i="24" s="1"/>
  <c r="S2934" i="24" s="1"/>
  <c r="S2935" i="24" s="1"/>
  <c r="S2936" i="24" s="1"/>
  <c r="S2937" i="24" s="1"/>
  <c r="S2938" i="24" s="1"/>
  <c r="S2939" i="24" s="1"/>
  <c r="S2940" i="24" s="1"/>
  <c r="S2941" i="24" s="1"/>
  <c r="S2942" i="24" s="1"/>
  <c r="S2943" i="24" s="1"/>
  <c r="S2944" i="24" s="1"/>
  <c r="S2945" i="24" s="1"/>
  <c r="S2946" i="24" s="1"/>
  <c r="S2947" i="24" s="1"/>
  <c r="S2948" i="24" s="1"/>
  <c r="S2949" i="24" s="1"/>
  <c r="S2950" i="24" s="1"/>
  <c r="S2951" i="24" s="1"/>
  <c r="S2952" i="24" s="1"/>
  <c r="S2953" i="24" s="1"/>
  <c r="S2954" i="24" s="1"/>
  <c r="S2955" i="24" s="1"/>
  <c r="S2956" i="24" s="1"/>
  <c r="S2957" i="24" s="1"/>
  <c r="S2958" i="24" s="1"/>
  <c r="S2959" i="24" s="1"/>
  <c r="S2960" i="24" s="1"/>
  <c r="S2961" i="24" s="1"/>
  <c r="S2962" i="24" s="1"/>
  <c r="S2963" i="24" s="1"/>
  <c r="S2964" i="24" s="1"/>
  <c r="S2965" i="24" s="1"/>
  <c r="S2966" i="24" s="1"/>
  <c r="S2967" i="24" s="1"/>
  <c r="S2968" i="24" s="1"/>
  <c r="S2969" i="24" s="1"/>
  <c r="S2970" i="24" s="1"/>
  <c r="S2971" i="24" s="1"/>
  <c r="S2972" i="24" s="1"/>
  <c r="S2973" i="24" s="1"/>
  <c r="S2974" i="24" s="1"/>
  <c r="S2975" i="24" s="1"/>
  <c r="S2976" i="24" s="1"/>
  <c r="S2977" i="24" s="1"/>
  <c r="S2978" i="24" s="1"/>
  <c r="S2979" i="24" s="1"/>
  <c r="S2980" i="24" s="1"/>
  <c r="S2981" i="24" s="1"/>
  <c r="S2982" i="24" s="1"/>
  <c r="S2983" i="24" s="1"/>
  <c r="S2984" i="24" s="1"/>
  <c r="S2985" i="24" s="1"/>
  <c r="S2986" i="24" s="1"/>
  <c r="S2987" i="24" s="1"/>
  <c r="S2988" i="24" s="1"/>
  <c r="S2989" i="24" s="1"/>
  <c r="S2990" i="24" s="1"/>
  <c r="S2991" i="24" s="1"/>
  <c r="S2992" i="24" s="1"/>
  <c r="S2993" i="24" s="1"/>
  <c r="S2994" i="24" s="1"/>
  <c r="S2995" i="24" s="1"/>
  <c r="S2996" i="24" s="1"/>
  <c r="S2997" i="24" s="1"/>
  <c r="S2998" i="24" s="1"/>
  <c r="S2999" i="24" s="1"/>
  <c r="S3000" i="24" s="1"/>
  <c r="S3001" i="24" s="1"/>
  <c r="S3002" i="24" s="1"/>
  <c r="S3003" i="24" s="1"/>
  <c r="S3004" i="24" s="1"/>
  <c r="S3005" i="24" s="1"/>
  <c r="S3006" i="24" s="1"/>
  <c r="S3007" i="24" s="1"/>
  <c r="S3008" i="24" s="1"/>
  <c r="S3009" i="24" s="1"/>
  <c r="S3010" i="24" s="1"/>
  <c r="S3011" i="24" s="1"/>
  <c r="S3012" i="24" s="1"/>
  <c r="S3013" i="24" s="1"/>
  <c r="S3014" i="24" s="1"/>
  <c r="S3015" i="24" s="1"/>
  <c r="S3016" i="24" s="1"/>
  <c r="S3017" i="24" s="1"/>
  <c r="S3018" i="24" s="1"/>
  <c r="S3019" i="24" s="1"/>
  <c r="S3020" i="24" s="1"/>
  <c r="S3021" i="24" s="1"/>
  <c r="S3022" i="24" s="1"/>
  <c r="S3023" i="24" s="1"/>
  <c r="S3024" i="24" s="1"/>
  <c r="S3025" i="24" s="1"/>
  <c r="S3026" i="24" s="1"/>
  <c r="S3027" i="24" s="1"/>
  <c r="S3028" i="24" s="1"/>
  <c r="S3029" i="24" s="1"/>
  <c r="S3030" i="24" s="1"/>
  <c r="S3031" i="24" s="1"/>
  <c r="S3032" i="24" s="1"/>
  <c r="S3033" i="24" s="1"/>
  <c r="S3034" i="24" s="1"/>
  <c r="S3035" i="24" s="1"/>
  <c r="S3036" i="24" s="1"/>
  <c r="S3037" i="24" s="1"/>
  <c r="S3038" i="24" s="1"/>
  <c r="S3039" i="24" s="1"/>
  <c r="S3040" i="24" s="1"/>
  <c r="S3041" i="24" s="1"/>
  <c r="S3042" i="24" s="1"/>
  <c r="S3043" i="24" s="1"/>
  <c r="S3044" i="24" s="1"/>
  <c r="S3045" i="24" s="1"/>
  <c r="S3046" i="24" s="1"/>
  <c r="S3047" i="24" s="1"/>
  <c r="S3048" i="24" s="1"/>
  <c r="S3049" i="24" s="1"/>
  <c r="S3050" i="24" s="1"/>
  <c r="S3051" i="24" s="1"/>
  <c r="S3052" i="24" s="1"/>
  <c r="S3053" i="24" s="1"/>
  <c r="S3054" i="24" s="1"/>
  <c r="S3055" i="24" s="1"/>
  <c r="S3056" i="24" s="1"/>
  <c r="S3057" i="24" s="1"/>
  <c r="S3058" i="24" s="1"/>
  <c r="S3059" i="24" s="1"/>
  <c r="S3060" i="24" s="1"/>
  <c r="S3061" i="24" s="1"/>
  <c r="S3062" i="24" s="1"/>
  <c r="S3063" i="24" s="1"/>
  <c r="S3064" i="24" s="1"/>
  <c r="S3065" i="24" s="1"/>
  <c r="S3066" i="24" s="1"/>
  <c r="S3067" i="24" s="1"/>
  <c r="S3068" i="24" s="1"/>
  <c r="S3069" i="24" s="1"/>
  <c r="S3070" i="24" s="1"/>
  <c r="S3071" i="24" s="1"/>
  <c r="S3072" i="24" s="1"/>
  <c r="S3073" i="24" s="1"/>
  <c r="S3074" i="24" s="1"/>
  <c r="S3075" i="24" s="1"/>
  <c r="S3076" i="24" s="1"/>
  <c r="S3077" i="24" s="1"/>
  <c r="S3078" i="24" s="1"/>
  <c r="S3079" i="24" s="1"/>
  <c r="S3080" i="24" s="1"/>
  <c r="S3081" i="24" s="1"/>
  <c r="S3082" i="24" s="1"/>
  <c r="S3083" i="24" s="1"/>
  <c r="S3084" i="24" s="1"/>
  <c r="S3085" i="24" s="1"/>
  <c r="S3086" i="24" s="1"/>
  <c r="S3087" i="24" s="1"/>
  <c r="S3088" i="24" s="1"/>
  <c r="S3089" i="24" s="1"/>
  <c r="S3090" i="24" s="1"/>
  <c r="S3091" i="24" s="1"/>
  <c r="S3092" i="24" s="1"/>
  <c r="S3093" i="24" s="1"/>
  <c r="S3094" i="24" s="1"/>
  <c r="S3095" i="24" s="1"/>
  <c r="S3096" i="24" s="1"/>
  <c r="S3097" i="24" s="1"/>
  <c r="S3098" i="24" s="1"/>
  <c r="S3099" i="24" s="1"/>
  <c r="S3100" i="24" s="1"/>
  <c r="S3101" i="24" s="1"/>
  <c r="S3102" i="24" s="1"/>
  <c r="S3103" i="24" s="1"/>
  <c r="S3104" i="24" s="1"/>
  <c r="S3105" i="24" s="1"/>
  <c r="S3106" i="24" s="1"/>
  <c r="S3107" i="24" s="1"/>
  <c r="S3108" i="24" s="1"/>
  <c r="S3109" i="24" s="1"/>
  <c r="S3110" i="24" s="1"/>
  <c r="S3111" i="24" s="1"/>
  <c r="S3112" i="24" s="1"/>
  <c r="S3113" i="24" s="1"/>
  <c r="S3114" i="24" s="1"/>
  <c r="S3115" i="24" s="1"/>
  <c r="S3116" i="24" s="1"/>
  <c r="S3117" i="24" s="1"/>
  <c r="S3118" i="24" s="1"/>
  <c r="S3119" i="24" s="1"/>
  <c r="S3120" i="24" s="1"/>
  <c r="S3121" i="24" s="1"/>
  <c r="S3122" i="24" s="1"/>
  <c r="S3123" i="24" s="1"/>
  <c r="S3124" i="24" s="1"/>
  <c r="S3125" i="24" s="1"/>
  <c r="S3126" i="24" s="1"/>
  <c r="S3127" i="24" s="1"/>
  <c r="S3128" i="24" s="1"/>
  <c r="S3129" i="24" s="1"/>
  <c r="S3130" i="24" s="1"/>
  <c r="S3131" i="24" s="1"/>
  <c r="S3132" i="24" s="1"/>
  <c r="S3133" i="24" s="1"/>
  <c r="S3134" i="24" s="1"/>
  <c r="S3135" i="24" s="1"/>
  <c r="S3136" i="24" s="1"/>
  <c r="S3137" i="24" s="1"/>
  <c r="S3138" i="24" s="1"/>
  <c r="S3139" i="24" s="1"/>
  <c r="S3140" i="24" s="1"/>
  <c r="S3141" i="24" s="1"/>
  <c r="S3142" i="24" s="1"/>
  <c r="S3143" i="24" s="1"/>
  <c r="S3144" i="24" s="1"/>
  <c r="S3145" i="24" s="1"/>
  <c r="S3146" i="24" s="1"/>
  <c r="S3147" i="24" s="1"/>
  <c r="S3148" i="24" s="1"/>
  <c r="S3149" i="24" s="1"/>
  <c r="S3150" i="24" s="1"/>
  <c r="S3151" i="24" s="1"/>
  <c r="S3152" i="24" s="1"/>
  <c r="S3153" i="24" s="1"/>
  <c r="S3154" i="24" s="1"/>
  <c r="S3155" i="24" s="1"/>
  <c r="S3156" i="24" s="1"/>
  <c r="S3157" i="24" s="1"/>
  <c r="S3158" i="24" s="1"/>
  <c r="S3159" i="24" s="1"/>
  <c r="S3160" i="24" s="1"/>
  <c r="S3161" i="24" s="1"/>
  <c r="S3162" i="24" s="1"/>
  <c r="S3163" i="24" s="1"/>
  <c r="S3164" i="24" s="1"/>
  <c r="S3165" i="24" s="1"/>
  <c r="S3166" i="24" s="1"/>
  <c r="S3167" i="24" s="1"/>
  <c r="S3168" i="24" s="1"/>
  <c r="S3169" i="24" s="1"/>
  <c r="S3170" i="24" s="1"/>
  <c r="S3171" i="24" s="1"/>
  <c r="S3172" i="24" s="1"/>
  <c r="S3173" i="24" s="1"/>
  <c r="S3174" i="24" s="1"/>
  <c r="S3175" i="24" s="1"/>
  <c r="S3176" i="24" s="1"/>
  <c r="S3177" i="24" s="1"/>
  <c r="S3178" i="24" s="1"/>
  <c r="S3179" i="24" s="1"/>
  <c r="S3180" i="24" s="1"/>
  <c r="S3181" i="24" s="1"/>
  <c r="S3182" i="24" s="1"/>
  <c r="S3183" i="24" s="1"/>
  <c r="S3184" i="24" s="1"/>
  <c r="S3185" i="24" s="1"/>
  <c r="S3186" i="24" s="1"/>
  <c r="S3187" i="24" s="1"/>
  <c r="S3188" i="24" s="1"/>
  <c r="S3189" i="24" s="1"/>
  <c r="S3190" i="24" s="1"/>
  <c r="S3191" i="24" s="1"/>
  <c r="S3192" i="24" s="1"/>
  <c r="S3193" i="24" s="1"/>
  <c r="S3194" i="24" s="1"/>
  <c r="S3195" i="24" s="1"/>
  <c r="S3196" i="24" s="1"/>
  <c r="S3197" i="24" s="1"/>
  <c r="S3198" i="24" s="1"/>
  <c r="S3199" i="24" s="1"/>
  <c r="S3200" i="24" s="1"/>
  <c r="S3201" i="24" s="1"/>
  <c r="S3202" i="24" s="1"/>
  <c r="S3203" i="24" s="1"/>
  <c r="S3204" i="24" s="1"/>
  <c r="S3205" i="24" s="1"/>
  <c r="S3206" i="24" s="1"/>
  <c r="S3207" i="24" s="1"/>
  <c r="S3208" i="24" s="1"/>
  <c r="S3209" i="24" s="1"/>
  <c r="S3210" i="24" s="1"/>
  <c r="S3211" i="24" s="1"/>
  <c r="S3212" i="24" s="1"/>
  <c r="S3213" i="24" s="1"/>
  <c r="S3214" i="24" s="1"/>
  <c r="S3215" i="24" s="1"/>
  <c r="S3216" i="24" s="1"/>
  <c r="S3217" i="24" s="1"/>
  <c r="S3218" i="24" s="1"/>
  <c r="S3219" i="24" s="1"/>
  <c r="S3220" i="24" s="1"/>
  <c r="S3221" i="24" s="1"/>
  <c r="S3222" i="24" s="1"/>
  <c r="S3223" i="24" s="1"/>
  <c r="S3224" i="24" s="1"/>
  <c r="S3225" i="24" s="1"/>
  <c r="S3226" i="24" s="1"/>
  <c r="S3227" i="24" s="1"/>
  <c r="S3228" i="24" s="1"/>
  <c r="S3229" i="24" s="1"/>
  <c r="S3230" i="24" s="1"/>
  <c r="S3231" i="24" s="1"/>
  <c r="S3232" i="24" s="1"/>
  <c r="S3233" i="24" s="1"/>
  <c r="S3234" i="24" s="1"/>
  <c r="S3235" i="24" s="1"/>
  <c r="S3236" i="24" s="1"/>
  <c r="S3237" i="24" s="1"/>
  <c r="S3238" i="24" s="1"/>
  <c r="S3239" i="24" s="1"/>
  <c r="S3240" i="24" s="1"/>
  <c r="S3241" i="24" s="1"/>
  <c r="S3242" i="24" s="1"/>
  <c r="S3243" i="24" s="1"/>
  <c r="S3244" i="24" s="1"/>
  <c r="S3245" i="24" s="1"/>
  <c r="S3246" i="24" s="1"/>
  <c r="S3247" i="24" s="1"/>
  <c r="S3248" i="24" s="1"/>
  <c r="S3249" i="24" s="1"/>
  <c r="S3250" i="24" s="1"/>
  <c r="S3251" i="24" s="1"/>
  <c r="S3252" i="24" s="1"/>
  <c r="S3253" i="24" s="1"/>
  <c r="S3254" i="24" s="1"/>
  <c r="S3255" i="24" s="1"/>
  <c r="S3256" i="24" s="1"/>
  <c r="S3257" i="24" s="1"/>
  <c r="S3258" i="24" s="1"/>
  <c r="S3259" i="24" s="1"/>
  <c r="S3260" i="24" s="1"/>
  <c r="S3261" i="24" s="1"/>
  <c r="S3262" i="24" s="1"/>
  <c r="S3263" i="24" s="1"/>
  <c r="S3264" i="24" s="1"/>
  <c r="S3265" i="24" s="1"/>
  <c r="S3266" i="24" s="1"/>
  <c r="S3267" i="24" s="1"/>
  <c r="S3268" i="24" s="1"/>
  <c r="S3269" i="24" s="1"/>
  <c r="S3270" i="24" s="1"/>
  <c r="S3271" i="24" s="1"/>
  <c r="S3272" i="24" s="1"/>
  <c r="S3273" i="24" s="1"/>
  <c r="S3274" i="24" s="1"/>
  <c r="S3275" i="24" s="1"/>
  <c r="S3276" i="24" s="1"/>
  <c r="S3277" i="24" s="1"/>
  <c r="S3278" i="24" s="1"/>
  <c r="S3279" i="24" s="1"/>
  <c r="S3280" i="24" s="1"/>
  <c r="S3281" i="24" s="1"/>
  <c r="S3282" i="24" s="1"/>
  <c r="S3283" i="24" s="1"/>
  <c r="S3284" i="24" s="1"/>
  <c r="S3285" i="24" s="1"/>
  <c r="S3286" i="24" s="1"/>
  <c r="S3287" i="24" s="1"/>
  <c r="S3288" i="24" s="1"/>
  <c r="S3289" i="24" s="1"/>
  <c r="S3290" i="24" s="1"/>
  <c r="S3291" i="24" s="1"/>
  <c r="S3292" i="24" s="1"/>
  <c r="S3293" i="24" s="1"/>
  <c r="S3294" i="24" s="1"/>
  <c r="S3295" i="24" s="1"/>
  <c r="S3296" i="24" s="1"/>
  <c r="S3297" i="24" s="1"/>
  <c r="S3298" i="24" s="1"/>
  <c r="S3299" i="24" s="1"/>
  <c r="S3300" i="24" s="1"/>
  <c r="S3301" i="24" s="1"/>
  <c r="S3302" i="24" s="1"/>
  <c r="S3303" i="24" s="1"/>
  <c r="S3304" i="24" s="1"/>
  <c r="S3305" i="24" s="1"/>
  <c r="S3306" i="24" s="1"/>
  <c r="S3307" i="24" s="1"/>
  <c r="S3308" i="24" s="1"/>
  <c r="S3309" i="24" s="1"/>
  <c r="S3310" i="24" s="1"/>
  <c r="S3311" i="24" s="1"/>
  <c r="S3312" i="24" s="1"/>
  <c r="S3313" i="24" s="1"/>
  <c r="S3314" i="24" s="1"/>
  <c r="S3315" i="24" s="1"/>
  <c r="S3316" i="24" s="1"/>
  <c r="S3317" i="24" s="1"/>
  <c r="S3318" i="24" s="1"/>
  <c r="S3319" i="24" s="1"/>
  <c r="S3320" i="24" s="1"/>
  <c r="S3321" i="24" s="1"/>
  <c r="S3322" i="24" s="1"/>
  <c r="S3323" i="24" s="1"/>
  <c r="S3324" i="24" s="1"/>
  <c r="S3325" i="24" s="1"/>
  <c r="S3326" i="24" s="1"/>
  <c r="S3327" i="24" s="1"/>
  <c r="S3328" i="24" s="1"/>
  <c r="S3329" i="24" s="1"/>
  <c r="S3330" i="24" s="1"/>
  <c r="S3331" i="24" s="1"/>
  <c r="S3332" i="24" s="1"/>
  <c r="S3333" i="24" s="1"/>
  <c r="S3334" i="24" s="1"/>
  <c r="S3335" i="24" s="1"/>
  <c r="S3336" i="24" s="1"/>
  <c r="S3337" i="24" s="1"/>
  <c r="S3338" i="24" s="1"/>
  <c r="S3339" i="24" s="1"/>
  <c r="S3340" i="24" s="1"/>
  <c r="S3341" i="24" s="1"/>
  <c r="S3342" i="24" s="1"/>
  <c r="S3343" i="24" s="1"/>
  <c r="S3344" i="24" s="1"/>
  <c r="S3345" i="24" s="1"/>
  <c r="S3346" i="24" s="1"/>
  <c r="S3347" i="24" s="1"/>
  <c r="S3348" i="24" s="1"/>
  <c r="S3349" i="24" s="1"/>
  <c r="S3350" i="24" s="1"/>
  <c r="S3351" i="24" s="1"/>
  <c r="S3352" i="24" s="1"/>
  <c r="S3353" i="24" s="1"/>
  <c r="S3354" i="24" s="1"/>
  <c r="S3355" i="24" s="1"/>
  <c r="S3356" i="24" s="1"/>
  <c r="S3357" i="24" s="1"/>
  <c r="S3358" i="24" s="1"/>
  <c r="S3359" i="24" s="1"/>
  <c r="S3360" i="24" s="1"/>
  <c r="S3361" i="24" s="1"/>
  <c r="S3362" i="24" s="1"/>
  <c r="S3363" i="24" s="1"/>
  <c r="S3364" i="24" s="1"/>
  <c r="S3365" i="24" s="1"/>
  <c r="S3366" i="24" s="1"/>
  <c r="S3367" i="24" s="1"/>
  <c r="S3368" i="24" s="1"/>
  <c r="S3369" i="24" s="1"/>
  <c r="S3370" i="24" s="1"/>
  <c r="S3371" i="24" s="1"/>
  <c r="S3372" i="24" s="1"/>
  <c r="S3373" i="24" s="1"/>
  <c r="S3374" i="24" s="1"/>
  <c r="S3375" i="24" s="1"/>
  <c r="S3376" i="24" s="1"/>
  <c r="S3377" i="24" s="1"/>
  <c r="S3378" i="24" s="1"/>
  <c r="S3379" i="24" s="1"/>
  <c r="S3380" i="24" s="1"/>
  <c r="S3381" i="24" s="1"/>
  <c r="S3382" i="24" s="1"/>
  <c r="S3383" i="24" s="1"/>
  <c r="S3384" i="24" s="1"/>
  <c r="S3385" i="24" s="1"/>
  <c r="S3386" i="24" s="1"/>
  <c r="S3387" i="24" s="1"/>
  <c r="S3388" i="24" s="1"/>
  <c r="S3389" i="24" s="1"/>
  <c r="S3390" i="24" s="1"/>
  <c r="S3391" i="24" s="1"/>
  <c r="S3392" i="24" s="1"/>
  <c r="S3393" i="24" s="1"/>
  <c r="S3394" i="24" s="1"/>
  <c r="S3395" i="24" s="1"/>
  <c r="S3396" i="24" s="1"/>
  <c r="S3397" i="24" s="1"/>
  <c r="S3398" i="24" s="1"/>
  <c r="S3399" i="24" s="1"/>
  <c r="S3400" i="24" s="1"/>
  <c r="S3401" i="24" s="1"/>
  <c r="S3402" i="24" s="1"/>
  <c r="S3403" i="24" s="1"/>
  <c r="S3404" i="24" s="1"/>
  <c r="S3405" i="24" s="1"/>
  <c r="S3406" i="24" s="1"/>
  <c r="S3407" i="24" s="1"/>
  <c r="S3408" i="24" s="1"/>
  <c r="S3409" i="24" s="1"/>
  <c r="S3410" i="24" s="1"/>
  <c r="S3411" i="24" s="1"/>
  <c r="S3412" i="24" s="1"/>
  <c r="S3413" i="24" s="1"/>
  <c r="S3414" i="24" s="1"/>
  <c r="S3415" i="24" s="1"/>
  <c r="S3416" i="24" s="1"/>
  <c r="S3417" i="24" s="1"/>
  <c r="S3418" i="24" s="1"/>
  <c r="S3419" i="24" s="1"/>
  <c r="S3420" i="24" s="1"/>
  <c r="S3421" i="24" s="1"/>
  <c r="S3422" i="24" s="1"/>
  <c r="S3423" i="24" s="1"/>
  <c r="S3424" i="24" s="1"/>
  <c r="S3425" i="24" s="1"/>
  <c r="S3426" i="24" s="1"/>
  <c r="S3427" i="24" s="1"/>
  <c r="S3428" i="24" s="1"/>
  <c r="H11" i="15"/>
  <c r="L12" i="15"/>
  <c r="P11" i="15"/>
  <c r="J11" i="15"/>
  <c r="E10" i="15"/>
  <c r="G11" i="15"/>
  <c r="K12" i="15"/>
  <c r="O11" i="15"/>
  <c r="I11" i="15"/>
  <c r="P12" i="15"/>
  <c r="J12" i="15"/>
  <c r="N11" i="15"/>
  <c r="O12" i="15"/>
  <c r="I12" i="15"/>
  <c r="M11" i="15"/>
  <c r="F11" i="15"/>
  <c r="M12" i="15"/>
  <c r="G12" i="15"/>
  <c r="K11" i="15"/>
  <c r="E11" i="15"/>
  <c r="F12" i="15"/>
  <c r="N12" i="15"/>
  <c r="H12" i="15"/>
  <c r="L11" i="15"/>
  <c r="E12" i="15"/>
  <c r="N745" i="9"/>
  <c r="C745" i="9"/>
  <c r="O745" i="9"/>
  <c r="R745" i="9"/>
  <c r="S745" i="9"/>
  <c r="AC745" i="9"/>
  <c r="S3429" i="24" l="1"/>
  <c r="S3430" i="24" s="1"/>
  <c r="S3431" i="24" s="1"/>
  <c r="S3432" i="24" s="1"/>
  <c r="S3433" i="24" s="1"/>
  <c r="S3434" i="24" s="1"/>
  <c r="S3435" i="24" s="1"/>
  <c r="S3436" i="24" s="1"/>
  <c r="S3437" i="24" s="1"/>
  <c r="S3438" i="24" s="1"/>
  <c r="S3439" i="24" s="1"/>
  <c r="S3440" i="24" s="1"/>
  <c r="S3441" i="24" s="1"/>
  <c r="S3442" i="24" s="1"/>
  <c r="S3443" i="24" s="1"/>
  <c r="S3444" i="24" s="1"/>
  <c r="S3445" i="24" s="1"/>
  <c r="S3446" i="24" s="1"/>
  <c r="S3447" i="24" s="1"/>
  <c r="S3448" i="24" s="1"/>
  <c r="S3449" i="24" s="1"/>
  <c r="S3450" i="24" s="1"/>
  <c r="S3451" i="24" s="1"/>
  <c r="S3452" i="24" s="1"/>
  <c r="S3453" i="24" s="1"/>
  <c r="S3454" i="24" s="1"/>
  <c r="S3455" i="24" s="1"/>
  <c r="S3456" i="24" s="1"/>
  <c r="S3457" i="24" s="1"/>
  <c r="S3458" i="24" s="1"/>
  <c r="S3459" i="24" s="1"/>
  <c r="S3460" i="24" s="1"/>
  <c r="S3461" i="24" s="1"/>
  <c r="S3462" i="24" s="1"/>
  <c r="S3463" i="24" s="1"/>
  <c r="S3464" i="24" s="1"/>
  <c r="S3465" i="24" s="1"/>
  <c r="S3466" i="24" s="1"/>
  <c r="S3467" i="24" s="1"/>
  <c r="S3468" i="24" s="1"/>
  <c r="S3469" i="24" s="1"/>
  <c r="S3470" i="24" s="1"/>
  <c r="S3471" i="24" s="1"/>
  <c r="S3472" i="24" s="1"/>
  <c r="S3473" i="24" s="1"/>
  <c r="S3474" i="24" s="1"/>
  <c r="S3475" i="24" s="1"/>
  <c r="S3476" i="24" s="1"/>
  <c r="S3477" i="24" s="1"/>
  <c r="S3478" i="24" s="1"/>
  <c r="S3479" i="24" s="1"/>
  <c r="S3480" i="24" s="1"/>
  <c r="S3481" i="24" s="1"/>
  <c r="S3482" i="24" s="1"/>
  <c r="N10" i="15"/>
  <c r="P10" i="15"/>
  <c r="O10" i="15"/>
  <c r="N744" i="9"/>
  <c r="C744" i="9"/>
  <c r="O744" i="9"/>
  <c r="R744" i="9"/>
  <c r="S744" i="9"/>
  <c r="AC744" i="9"/>
  <c r="N743" i="9"/>
  <c r="C743" i="9"/>
  <c r="O743" i="9"/>
  <c r="R743" i="9"/>
  <c r="S743" i="9"/>
  <c r="AC743" i="9"/>
  <c r="N742" i="9"/>
  <c r="C742" i="9"/>
  <c r="O742" i="9"/>
  <c r="R742" i="9"/>
  <c r="S742" i="9"/>
  <c r="AC742" i="9"/>
  <c r="N741" i="9"/>
  <c r="C741" i="9"/>
  <c r="O741" i="9"/>
  <c r="R741" i="9"/>
  <c r="S741" i="9"/>
  <c r="AC741" i="9"/>
  <c r="B267" i="3" l="1"/>
  <c r="C665" i="8" l="1"/>
  <c r="O665" i="8"/>
  <c r="R665" i="8"/>
  <c r="S665" i="8"/>
  <c r="AC665" i="8"/>
  <c r="AB43" i="6" l="1"/>
  <c r="R43" i="6"/>
  <c r="Q43" i="6"/>
  <c r="N43" i="6"/>
  <c r="C43" i="6"/>
  <c r="B43" i="6"/>
  <c r="B316" i="3"/>
  <c r="B317" i="3"/>
  <c r="B318" i="3"/>
  <c r="B319" i="3"/>
  <c r="B320" i="3"/>
  <c r="B321" i="3"/>
  <c r="B322" i="3"/>
  <c r="B323" i="3"/>
  <c r="B324" i="3"/>
  <c r="B325" i="3"/>
  <c r="AB315" i="3"/>
  <c r="R315" i="3"/>
  <c r="Q315" i="3"/>
  <c r="N315" i="3"/>
  <c r="C315" i="3"/>
  <c r="B315" i="3"/>
  <c r="AB316" i="3"/>
  <c r="R316" i="3"/>
  <c r="Q316" i="3"/>
  <c r="N316" i="3"/>
  <c r="C316" i="3"/>
  <c r="AB317" i="3"/>
  <c r="R317" i="3"/>
  <c r="Q317" i="3"/>
  <c r="N317" i="3"/>
  <c r="C317" i="3"/>
  <c r="AB318" i="3"/>
  <c r="R318" i="3"/>
  <c r="Q318" i="3"/>
  <c r="N318" i="3"/>
  <c r="C318" i="3"/>
  <c r="AB319" i="3"/>
  <c r="R319" i="3"/>
  <c r="Q319" i="3"/>
  <c r="N319" i="3"/>
  <c r="C319" i="3"/>
  <c r="AB320" i="3"/>
  <c r="R320" i="3"/>
  <c r="Q320" i="3"/>
  <c r="N320" i="3"/>
  <c r="C320" i="3"/>
  <c r="AB321" i="3"/>
  <c r="R321" i="3"/>
  <c r="Q321" i="3"/>
  <c r="N321" i="3"/>
  <c r="C321" i="3"/>
  <c r="AB322" i="3"/>
  <c r="R322" i="3"/>
  <c r="Q322" i="3"/>
  <c r="N322" i="3"/>
  <c r="C322" i="3"/>
  <c r="AB323" i="3"/>
  <c r="R323" i="3"/>
  <c r="Q323" i="3"/>
  <c r="N323" i="3"/>
  <c r="C323" i="3"/>
  <c r="AB324" i="3"/>
  <c r="R324" i="3"/>
  <c r="Q324" i="3"/>
  <c r="N324" i="3"/>
  <c r="C324" i="3"/>
  <c r="C223" i="17"/>
  <c r="N223" i="17"/>
  <c r="Q223" i="17"/>
  <c r="R223" i="17"/>
  <c r="Y223" i="17"/>
  <c r="AB223" i="17"/>
  <c r="C222" i="17"/>
  <c r="N222" i="17"/>
  <c r="Q222" i="17"/>
  <c r="R222" i="17"/>
  <c r="Y222" i="17"/>
  <c r="AB222" i="17"/>
  <c r="C217" i="17"/>
  <c r="N217" i="17"/>
  <c r="Q217" i="17"/>
  <c r="R217" i="17"/>
  <c r="Y217" i="17"/>
  <c r="AB217" i="17"/>
  <c r="C207" i="17"/>
  <c r="N207" i="17"/>
  <c r="Q207" i="17"/>
  <c r="R207" i="17"/>
  <c r="Y207" i="17"/>
  <c r="AB207" i="17"/>
  <c r="C204" i="17" l="1"/>
  <c r="C205" i="17"/>
  <c r="C206" i="17"/>
  <c r="C210" i="17"/>
  <c r="C211" i="17"/>
  <c r="C212" i="17"/>
  <c r="C213" i="17"/>
  <c r="C214" i="17"/>
  <c r="C215" i="17"/>
  <c r="C216" i="17"/>
  <c r="C218" i="17"/>
  <c r="C219" i="17"/>
  <c r="C220" i="17"/>
  <c r="C221" i="17"/>
  <c r="N204" i="17"/>
  <c r="N205" i="17"/>
  <c r="N206" i="17"/>
  <c r="N210" i="17"/>
  <c r="N211" i="17"/>
  <c r="N212" i="17"/>
  <c r="N213" i="17"/>
  <c r="N214" i="17"/>
  <c r="N215" i="17"/>
  <c r="N216" i="17"/>
  <c r="N218" i="17"/>
  <c r="N219" i="17"/>
  <c r="N220" i="17"/>
  <c r="N221" i="17"/>
  <c r="Q204" i="17"/>
  <c r="Q205" i="17"/>
  <c r="Q206" i="17"/>
  <c r="Q210" i="17"/>
  <c r="Q211" i="17"/>
  <c r="Q212" i="17"/>
  <c r="Q213" i="17"/>
  <c r="Q214" i="17"/>
  <c r="Q215" i="17"/>
  <c r="Q216" i="17"/>
  <c r="Q218" i="17"/>
  <c r="Q219" i="17"/>
  <c r="Q220" i="17"/>
  <c r="Q221" i="17"/>
  <c r="R204" i="17"/>
  <c r="R205" i="17"/>
  <c r="R206" i="17"/>
  <c r="R210" i="17"/>
  <c r="R211" i="17"/>
  <c r="R212" i="17"/>
  <c r="R213" i="17"/>
  <c r="R214" i="17"/>
  <c r="R215" i="17"/>
  <c r="R216" i="17"/>
  <c r="R218" i="17"/>
  <c r="R219" i="17"/>
  <c r="R220" i="17"/>
  <c r="R221" i="17"/>
  <c r="Y204" i="17"/>
  <c r="Y205" i="17"/>
  <c r="Y206" i="17"/>
  <c r="Y210" i="17"/>
  <c r="Y211" i="17"/>
  <c r="Y212" i="17"/>
  <c r="Y213" i="17"/>
  <c r="Y214" i="17"/>
  <c r="Y215" i="17"/>
  <c r="Y216" i="17"/>
  <c r="Y218" i="17"/>
  <c r="Y219" i="17"/>
  <c r="Y220" i="17"/>
  <c r="Y221" i="17"/>
  <c r="AB204" i="17"/>
  <c r="AB205" i="17"/>
  <c r="AB206" i="17"/>
  <c r="AB210" i="17"/>
  <c r="AB211" i="17"/>
  <c r="AB212" i="17"/>
  <c r="AB213" i="17"/>
  <c r="AB214" i="17"/>
  <c r="AB215" i="17"/>
  <c r="AB216" i="17"/>
  <c r="AB218" i="17"/>
  <c r="AB219" i="17"/>
  <c r="AB220" i="17"/>
  <c r="AB221" i="17"/>
  <c r="B120" i="5"/>
  <c r="B145" i="5"/>
  <c r="C145" i="5"/>
  <c r="N145" i="5"/>
  <c r="Q145" i="5"/>
  <c r="R145" i="5"/>
  <c r="AB145" i="5"/>
  <c r="B144" i="5"/>
  <c r="C144" i="5"/>
  <c r="N144" i="5"/>
  <c r="Q144" i="5"/>
  <c r="R144" i="5"/>
  <c r="AB144" i="5"/>
  <c r="B143" i="5"/>
  <c r="C143" i="5"/>
  <c r="N143" i="5"/>
  <c r="Q143" i="5"/>
  <c r="R143" i="5"/>
  <c r="AB143" i="5"/>
  <c r="B142" i="5"/>
  <c r="C142" i="5"/>
  <c r="N142" i="5"/>
  <c r="Q142" i="5"/>
  <c r="R142" i="5"/>
  <c r="AB142" i="5"/>
  <c r="B141" i="5"/>
  <c r="C141" i="5"/>
  <c r="N141" i="5"/>
  <c r="Q141" i="5"/>
  <c r="R141" i="5"/>
  <c r="AB141" i="5"/>
  <c r="B140" i="5"/>
  <c r="C140" i="5"/>
  <c r="N140" i="5"/>
  <c r="Q140" i="5"/>
  <c r="R140" i="5"/>
  <c r="AB140" i="5"/>
  <c r="B265" i="12" l="1"/>
  <c r="B266" i="12"/>
  <c r="B267" i="12"/>
  <c r="B268" i="12"/>
  <c r="B269" i="12"/>
  <c r="B270" i="12"/>
  <c r="B271" i="12"/>
  <c r="C265" i="12"/>
  <c r="C266" i="12"/>
  <c r="C267" i="12"/>
  <c r="C268" i="12"/>
  <c r="C269" i="12"/>
  <c r="C270" i="12"/>
  <c r="C271" i="12"/>
  <c r="N265" i="12"/>
  <c r="N266" i="12"/>
  <c r="N267" i="12"/>
  <c r="N268" i="12"/>
  <c r="N269" i="12"/>
  <c r="N270" i="12"/>
  <c r="N271" i="12"/>
  <c r="Q265" i="12"/>
  <c r="Q266" i="12"/>
  <c r="Q267" i="12"/>
  <c r="Q268" i="12"/>
  <c r="Q269" i="12"/>
  <c r="Q270" i="12"/>
  <c r="Q271" i="12"/>
  <c r="R265" i="12"/>
  <c r="R266" i="12"/>
  <c r="R267" i="12"/>
  <c r="R268" i="12"/>
  <c r="R269" i="12"/>
  <c r="R270" i="12"/>
  <c r="R271" i="12"/>
  <c r="Y265" i="12"/>
  <c r="Y266" i="12"/>
  <c r="Y267" i="12"/>
  <c r="Y268" i="12"/>
  <c r="Y269" i="12"/>
  <c r="Y270" i="12"/>
  <c r="Y271" i="12"/>
  <c r="AB265" i="12"/>
  <c r="AB266" i="12"/>
  <c r="AB267" i="12"/>
  <c r="AB268" i="12"/>
  <c r="AB269" i="12"/>
  <c r="AB270" i="12"/>
  <c r="AB271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C261" i="12" l="1"/>
  <c r="N261" i="12"/>
  <c r="Q261" i="12"/>
  <c r="R261" i="12"/>
  <c r="Y261" i="12"/>
  <c r="AB261" i="12"/>
  <c r="C262" i="12"/>
  <c r="N262" i="12"/>
  <c r="Q262" i="12"/>
  <c r="R262" i="12"/>
  <c r="Y262" i="12"/>
  <c r="AB262" i="12"/>
  <c r="C263" i="12"/>
  <c r="N263" i="12"/>
  <c r="Q263" i="12"/>
  <c r="R263" i="12"/>
  <c r="Y263" i="12"/>
  <c r="AB263" i="12"/>
  <c r="C264" i="12"/>
  <c r="N264" i="12"/>
  <c r="Q264" i="12"/>
  <c r="R264" i="12"/>
  <c r="Y264" i="12"/>
  <c r="AB264" i="12"/>
  <c r="W5" i="7" l="1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X205" i="7"/>
  <c r="X206" i="7"/>
  <c r="X207" i="7"/>
  <c r="X208" i="7"/>
  <c r="X209" i="7"/>
  <c r="X210" i="7"/>
  <c r="X211" i="7"/>
  <c r="X212" i="7"/>
  <c r="X213" i="7"/>
  <c r="X214" i="7"/>
  <c r="X215" i="7"/>
  <c r="X216" i="7"/>
  <c r="X217" i="7"/>
  <c r="X218" i="7"/>
  <c r="X219" i="7"/>
  <c r="X220" i="7"/>
  <c r="X221" i="7"/>
  <c r="X222" i="7"/>
  <c r="X223" i="7"/>
  <c r="X224" i="7"/>
  <c r="X225" i="7"/>
  <c r="X226" i="7"/>
  <c r="X227" i="7"/>
  <c r="X228" i="7"/>
  <c r="X229" i="7"/>
  <c r="X230" i="7"/>
  <c r="X231" i="7"/>
  <c r="X232" i="7"/>
  <c r="X233" i="7"/>
  <c r="X234" i="7"/>
  <c r="X235" i="7"/>
  <c r="X236" i="7"/>
  <c r="X237" i="7"/>
  <c r="X238" i="7"/>
  <c r="X239" i="7"/>
  <c r="X240" i="7"/>
  <c r="X241" i="7"/>
  <c r="X242" i="7"/>
  <c r="X243" i="7"/>
  <c r="X244" i="7"/>
  <c r="X245" i="7"/>
  <c r="X246" i="7"/>
  <c r="X247" i="7"/>
  <c r="X248" i="7"/>
  <c r="X249" i="7"/>
  <c r="X250" i="7"/>
  <c r="X251" i="7"/>
  <c r="X252" i="7"/>
  <c r="X253" i="7"/>
  <c r="X254" i="7"/>
  <c r="X255" i="7"/>
  <c r="X256" i="7"/>
  <c r="X257" i="7"/>
  <c r="X258" i="7"/>
  <c r="X259" i="7"/>
  <c r="X260" i="7"/>
  <c r="X261" i="7"/>
  <c r="X262" i="7"/>
  <c r="X263" i="7"/>
  <c r="X264" i="7"/>
  <c r="X265" i="7"/>
  <c r="X266" i="7"/>
  <c r="X267" i="7"/>
  <c r="X268" i="7"/>
  <c r="X269" i="7"/>
  <c r="X270" i="7"/>
  <c r="X271" i="7"/>
  <c r="X272" i="7"/>
  <c r="X273" i="7"/>
  <c r="X274" i="7"/>
  <c r="X275" i="7"/>
  <c r="X276" i="7"/>
  <c r="X277" i="7"/>
  <c r="X278" i="7"/>
  <c r="X279" i="7"/>
  <c r="X280" i="7"/>
  <c r="X281" i="7"/>
  <c r="X282" i="7"/>
  <c r="X283" i="7"/>
  <c r="X284" i="7"/>
  <c r="X285" i="7"/>
  <c r="X286" i="7"/>
  <c r="X287" i="7"/>
  <c r="X288" i="7"/>
  <c r="X289" i="7"/>
  <c r="X290" i="7"/>
  <c r="X291" i="7"/>
  <c r="X292" i="7"/>
  <c r="X293" i="7"/>
  <c r="X294" i="7"/>
  <c r="X295" i="7"/>
  <c r="X296" i="7"/>
  <c r="X297" i="7"/>
  <c r="X298" i="7"/>
  <c r="X299" i="7"/>
  <c r="X300" i="7"/>
  <c r="X301" i="7"/>
  <c r="X302" i="7"/>
  <c r="X303" i="7"/>
  <c r="X304" i="7"/>
  <c r="X305" i="7"/>
  <c r="X306" i="7"/>
  <c r="X307" i="7"/>
  <c r="X308" i="7"/>
  <c r="X309" i="7"/>
  <c r="X310" i="7"/>
  <c r="X311" i="7"/>
  <c r="X312" i="7"/>
  <c r="X313" i="7"/>
  <c r="X314" i="7"/>
  <c r="X315" i="7"/>
  <c r="X316" i="7"/>
  <c r="X317" i="7"/>
  <c r="X318" i="7"/>
  <c r="X319" i="7"/>
  <c r="X320" i="7"/>
  <c r="X321" i="7"/>
  <c r="X322" i="7"/>
  <c r="X323" i="7"/>
  <c r="X324" i="7"/>
  <c r="X325" i="7"/>
  <c r="X326" i="7"/>
  <c r="X327" i="7"/>
  <c r="X328" i="7"/>
  <c r="X329" i="7"/>
  <c r="X330" i="7"/>
  <c r="X331" i="7"/>
  <c r="X332" i="7"/>
  <c r="X333" i="7"/>
  <c r="X334" i="7"/>
  <c r="X335" i="7"/>
  <c r="X336" i="7"/>
  <c r="X337" i="7"/>
  <c r="X338" i="7"/>
  <c r="X339" i="7"/>
  <c r="X340" i="7"/>
  <c r="X341" i="7"/>
  <c r="X342" i="7"/>
  <c r="X343" i="7"/>
  <c r="X344" i="7"/>
  <c r="X345" i="7"/>
  <c r="X346" i="7"/>
  <c r="X347" i="7"/>
  <c r="X348" i="7"/>
  <c r="X349" i="7"/>
  <c r="X350" i="7"/>
  <c r="X351" i="7"/>
  <c r="X352" i="7"/>
  <c r="X353" i="7"/>
  <c r="X354" i="7"/>
  <c r="X355" i="7"/>
  <c r="X356" i="7"/>
  <c r="X357" i="7"/>
  <c r="X358" i="7"/>
  <c r="X359" i="7"/>
  <c r="X360" i="7"/>
  <c r="X361" i="7"/>
  <c r="X362" i="7"/>
  <c r="X363" i="7"/>
  <c r="X364" i="7"/>
  <c r="X365" i="7"/>
  <c r="X366" i="7"/>
  <c r="X367" i="7"/>
  <c r="X368" i="7"/>
  <c r="X369" i="7"/>
  <c r="X370" i="7"/>
  <c r="X371" i="7"/>
  <c r="X372" i="7"/>
  <c r="X373" i="7"/>
  <c r="X374" i="7"/>
  <c r="X375" i="7"/>
  <c r="X376" i="7"/>
  <c r="X377" i="7"/>
  <c r="X378" i="7"/>
  <c r="X379" i="7"/>
  <c r="X380" i="7"/>
  <c r="X381" i="7"/>
  <c r="X382" i="7"/>
  <c r="X383" i="7"/>
  <c r="X384" i="7"/>
  <c r="X385" i="7"/>
  <c r="X386" i="7"/>
  <c r="X387" i="7"/>
  <c r="X388" i="7"/>
  <c r="X389" i="7"/>
  <c r="X390" i="7"/>
  <c r="X391" i="7"/>
  <c r="X392" i="7"/>
  <c r="X393" i="7"/>
  <c r="X394" i="7"/>
  <c r="X395" i="7"/>
  <c r="X396" i="7"/>
  <c r="X397" i="7"/>
  <c r="X398" i="7"/>
  <c r="X399" i="7"/>
  <c r="X400" i="7"/>
  <c r="X401" i="7"/>
  <c r="X402" i="7"/>
  <c r="X403" i="7"/>
  <c r="X404" i="7"/>
  <c r="X405" i="7"/>
  <c r="X406" i="7"/>
  <c r="X407" i="7"/>
  <c r="X408" i="7"/>
  <c r="X409" i="7"/>
  <c r="X410" i="7"/>
  <c r="X411" i="7"/>
  <c r="X412" i="7"/>
  <c r="X413" i="7"/>
  <c r="X414" i="7"/>
  <c r="X415" i="7"/>
  <c r="X416" i="7"/>
  <c r="X417" i="7"/>
  <c r="X418" i="7"/>
  <c r="X419" i="7"/>
  <c r="X420" i="7"/>
  <c r="X421" i="7"/>
  <c r="X422" i="7"/>
  <c r="X423" i="7"/>
  <c r="X424" i="7"/>
  <c r="X425" i="7"/>
  <c r="X426" i="7"/>
  <c r="X427" i="7"/>
  <c r="X428" i="7"/>
  <c r="X429" i="7"/>
  <c r="X430" i="7"/>
  <c r="X431" i="7"/>
  <c r="X432" i="7"/>
  <c r="X433" i="7"/>
  <c r="X434" i="7"/>
  <c r="X435" i="7"/>
  <c r="X436" i="7"/>
  <c r="X437" i="7"/>
  <c r="X438" i="7"/>
  <c r="X439" i="7"/>
  <c r="X440" i="7"/>
  <c r="X441" i="7"/>
  <c r="X442" i="7"/>
  <c r="X443" i="7"/>
  <c r="X444" i="7"/>
  <c r="X445" i="7"/>
  <c r="X446" i="7"/>
  <c r="X447" i="7"/>
  <c r="X448" i="7"/>
  <c r="X449" i="7"/>
  <c r="X450" i="7"/>
  <c r="X451" i="7"/>
  <c r="X452" i="7"/>
  <c r="X453" i="7"/>
  <c r="X454" i="7"/>
  <c r="X455" i="7"/>
  <c r="X456" i="7"/>
  <c r="X457" i="7"/>
  <c r="X458" i="7"/>
  <c r="X459" i="7"/>
  <c r="X460" i="7"/>
  <c r="X461" i="7"/>
  <c r="X462" i="7"/>
  <c r="X463" i="7"/>
  <c r="X464" i="7"/>
  <c r="X465" i="7"/>
  <c r="X466" i="7"/>
  <c r="X467" i="7"/>
  <c r="X468" i="7"/>
  <c r="X469" i="7"/>
  <c r="X470" i="7"/>
  <c r="X471" i="7"/>
  <c r="X472" i="7"/>
  <c r="X473" i="7"/>
  <c r="X474" i="7"/>
  <c r="X475" i="7"/>
  <c r="X476" i="7"/>
  <c r="X477" i="7"/>
  <c r="X478" i="7"/>
  <c r="X479" i="7"/>
  <c r="X480" i="7"/>
  <c r="X481" i="7"/>
  <c r="X482" i="7"/>
  <c r="X483" i="7"/>
  <c r="X484" i="7"/>
  <c r="X485" i="7"/>
  <c r="X486" i="7"/>
  <c r="X487" i="7"/>
  <c r="X488" i="7"/>
  <c r="X489" i="7"/>
  <c r="X490" i="7"/>
  <c r="X491" i="7"/>
  <c r="X492" i="7"/>
  <c r="X493" i="7"/>
  <c r="X494" i="7"/>
  <c r="X495" i="7"/>
  <c r="X496" i="7"/>
  <c r="X497" i="7"/>
  <c r="X498" i="7"/>
  <c r="X499" i="7"/>
  <c r="X500" i="7"/>
  <c r="X501" i="7"/>
  <c r="X502" i="7"/>
  <c r="X503" i="7"/>
  <c r="X504" i="7"/>
  <c r="X505" i="7"/>
  <c r="X506" i="7"/>
  <c r="X507" i="7"/>
  <c r="X508" i="7"/>
  <c r="X509" i="7"/>
  <c r="X510" i="7"/>
  <c r="X511" i="7"/>
  <c r="X512" i="7"/>
  <c r="X513" i="7"/>
  <c r="X514" i="7"/>
  <c r="X515" i="7"/>
  <c r="X516" i="7"/>
  <c r="X517" i="7"/>
  <c r="X518" i="7"/>
  <c r="X519" i="7"/>
  <c r="X520" i="7"/>
  <c r="X521" i="7"/>
  <c r="X522" i="7"/>
  <c r="X523" i="7"/>
  <c r="X524" i="7"/>
  <c r="X525" i="7"/>
  <c r="X526" i="7"/>
  <c r="X527" i="7"/>
  <c r="X528" i="7"/>
  <c r="X529" i="7"/>
  <c r="X530" i="7"/>
  <c r="X531" i="7"/>
  <c r="X532" i="7"/>
  <c r="X533" i="7"/>
  <c r="X534" i="7"/>
  <c r="X535" i="7"/>
  <c r="X536" i="7"/>
  <c r="X537" i="7"/>
  <c r="X538" i="7"/>
  <c r="X539" i="7"/>
  <c r="X540" i="7"/>
  <c r="X541" i="7"/>
  <c r="X542" i="7"/>
  <c r="X543" i="7"/>
  <c r="X544" i="7"/>
  <c r="X545" i="7"/>
  <c r="X546" i="7"/>
  <c r="X547" i="7"/>
  <c r="X548" i="7"/>
  <c r="N740" i="9" l="1"/>
  <c r="C740" i="9"/>
  <c r="O740" i="9"/>
  <c r="R740" i="9"/>
  <c r="S740" i="9"/>
  <c r="AC740" i="9"/>
  <c r="N739" i="9"/>
  <c r="C739" i="9"/>
  <c r="O739" i="9"/>
  <c r="R739" i="9"/>
  <c r="S739" i="9"/>
  <c r="AC739" i="9"/>
  <c r="N738" i="9"/>
  <c r="C738" i="9"/>
  <c r="O738" i="9"/>
  <c r="R738" i="9"/>
  <c r="S738" i="9"/>
  <c r="AC738" i="9"/>
  <c r="B661" i="8" l="1"/>
  <c r="N661" i="8" s="1"/>
  <c r="N662" i="8" s="1"/>
  <c r="N663" i="8" s="1"/>
  <c r="N664" i="8" s="1"/>
  <c r="C661" i="8"/>
  <c r="O661" i="8"/>
  <c r="R661" i="8"/>
  <c r="S661" i="8"/>
  <c r="AC661" i="8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AB111" i="5"/>
  <c r="R111" i="5"/>
  <c r="Q111" i="5"/>
  <c r="N111" i="5"/>
  <c r="C111" i="5"/>
  <c r="AB112" i="5"/>
  <c r="R112" i="5"/>
  <c r="Q112" i="5"/>
  <c r="N112" i="5"/>
  <c r="C112" i="5"/>
  <c r="B660" i="8" l="1"/>
  <c r="N660" i="8" s="1"/>
  <c r="C660" i="8"/>
  <c r="O660" i="8"/>
  <c r="R660" i="8"/>
  <c r="S660" i="8"/>
  <c r="AC660" i="8"/>
  <c r="AB327" i="3" l="1"/>
  <c r="R327" i="3"/>
  <c r="Q327" i="3"/>
  <c r="N327" i="3"/>
  <c r="C327" i="3"/>
  <c r="B327" i="3"/>
  <c r="B413" i="23" l="1"/>
  <c r="C413" i="23"/>
  <c r="N413" i="23"/>
  <c r="Q413" i="23"/>
  <c r="R413" i="23"/>
  <c r="AB413" i="23"/>
  <c r="B412" i="23"/>
  <c r="C412" i="23"/>
  <c r="N412" i="23"/>
  <c r="Q412" i="23"/>
  <c r="R412" i="23"/>
  <c r="AB412" i="23"/>
  <c r="B411" i="23"/>
  <c r="C411" i="23"/>
  <c r="N411" i="23"/>
  <c r="Q411" i="23"/>
  <c r="R411" i="23"/>
  <c r="AB411" i="23"/>
  <c r="B410" i="23"/>
  <c r="C410" i="23"/>
  <c r="N410" i="23"/>
  <c r="Q410" i="23"/>
  <c r="R410" i="23"/>
  <c r="AB410" i="23"/>
  <c r="B409" i="23"/>
  <c r="C409" i="23"/>
  <c r="N409" i="23"/>
  <c r="Q409" i="23"/>
  <c r="R409" i="23"/>
  <c r="AB409" i="23"/>
  <c r="B408" i="23"/>
  <c r="C408" i="23"/>
  <c r="N408" i="23"/>
  <c r="Q408" i="23"/>
  <c r="R408" i="23"/>
  <c r="AB408" i="23"/>
  <c r="B326" i="3"/>
  <c r="C325" i="3"/>
  <c r="N325" i="3"/>
  <c r="Q325" i="3"/>
  <c r="R325" i="3"/>
  <c r="AB325" i="3"/>
  <c r="B659" i="8"/>
  <c r="N659" i="8" s="1"/>
  <c r="C659" i="8"/>
  <c r="O659" i="8"/>
  <c r="R659" i="8"/>
  <c r="S659" i="8"/>
  <c r="AC659" i="8"/>
  <c r="C326" i="3" l="1"/>
  <c r="N326" i="3"/>
  <c r="Q326" i="3"/>
  <c r="R326" i="3"/>
  <c r="AB326" i="3"/>
  <c r="B658" i="8" l="1"/>
  <c r="N658" i="8" s="1"/>
  <c r="C658" i="8"/>
  <c r="O658" i="8"/>
  <c r="R658" i="8"/>
  <c r="S658" i="8"/>
  <c r="AC658" i="8"/>
  <c r="C412" i="18"/>
  <c r="C413" i="18"/>
  <c r="C414" i="18"/>
  <c r="C415" i="18"/>
  <c r="C416" i="18"/>
  <c r="C417" i="18"/>
  <c r="C419" i="18"/>
  <c r="C420" i="18"/>
  <c r="N412" i="18"/>
  <c r="N413" i="18"/>
  <c r="N414" i="18"/>
  <c r="N415" i="18"/>
  <c r="N416" i="18"/>
  <c r="N417" i="18"/>
  <c r="N419" i="18"/>
  <c r="N420" i="18"/>
  <c r="Q412" i="18"/>
  <c r="Q413" i="18"/>
  <c r="Q414" i="18"/>
  <c r="Q415" i="18"/>
  <c r="Q416" i="18"/>
  <c r="Q417" i="18"/>
  <c r="Q419" i="18"/>
  <c r="Q420" i="18"/>
  <c r="R412" i="18"/>
  <c r="R413" i="18"/>
  <c r="R414" i="18"/>
  <c r="R415" i="18"/>
  <c r="R416" i="18"/>
  <c r="R417" i="18"/>
  <c r="R419" i="18"/>
  <c r="R420" i="18"/>
  <c r="Y412" i="18"/>
  <c r="Y413" i="18"/>
  <c r="Y414" i="18"/>
  <c r="Y415" i="18"/>
  <c r="Y416" i="18"/>
  <c r="Y417" i="18"/>
  <c r="Y419" i="18"/>
  <c r="Y420" i="18"/>
  <c r="AB412" i="18"/>
  <c r="AB413" i="18"/>
  <c r="AB414" i="18"/>
  <c r="AB415" i="18"/>
  <c r="AB416" i="18"/>
  <c r="AB417" i="18"/>
  <c r="AB419" i="18"/>
  <c r="AB420" i="18"/>
  <c r="B657" i="8" l="1"/>
  <c r="N657" i="8" s="1"/>
  <c r="C657" i="8"/>
  <c r="O657" i="8"/>
  <c r="R657" i="8"/>
  <c r="S657" i="8"/>
  <c r="AC657" i="8"/>
  <c r="B656" i="8" l="1"/>
  <c r="C656" i="8"/>
  <c r="O656" i="8"/>
  <c r="R656" i="8"/>
  <c r="S656" i="8"/>
  <c r="AC656" i="8"/>
  <c r="B655" i="8"/>
  <c r="C655" i="8"/>
  <c r="O655" i="8"/>
  <c r="R655" i="8"/>
  <c r="S655" i="8"/>
  <c r="AC655" i="8"/>
  <c r="B654" i="8"/>
  <c r="N654" i="8" s="1"/>
  <c r="N655" i="8" s="1"/>
  <c r="N656" i="8" s="1"/>
  <c r="C654" i="8"/>
  <c r="O654" i="8"/>
  <c r="R654" i="8"/>
  <c r="S654" i="8"/>
  <c r="AC654" i="8"/>
  <c r="C653" i="8"/>
  <c r="O653" i="8"/>
  <c r="R653" i="8"/>
  <c r="S653" i="8"/>
  <c r="AC653" i="8"/>
  <c r="N737" i="9"/>
  <c r="C737" i="9"/>
  <c r="O737" i="9"/>
  <c r="R737" i="9"/>
  <c r="S737" i="9"/>
  <c r="AC737" i="9"/>
  <c r="N736" i="9"/>
  <c r="C736" i="9"/>
  <c r="O736" i="9"/>
  <c r="R736" i="9"/>
  <c r="S736" i="9"/>
  <c r="AC736" i="9"/>
  <c r="N735" i="9"/>
  <c r="C735" i="9"/>
  <c r="O735" i="9"/>
  <c r="R735" i="9"/>
  <c r="S735" i="9"/>
  <c r="AC735" i="9"/>
  <c r="N734" i="9"/>
  <c r="C734" i="9"/>
  <c r="O734" i="9"/>
  <c r="R734" i="9"/>
  <c r="S734" i="9"/>
  <c r="AC734" i="9"/>
  <c r="B651" i="8"/>
  <c r="C651" i="8"/>
  <c r="O651" i="8"/>
  <c r="R651" i="8"/>
  <c r="S651" i="8"/>
  <c r="AC651" i="8"/>
  <c r="B649" i="8" l="1"/>
  <c r="N649" i="8" s="1"/>
  <c r="N650" i="8" s="1"/>
  <c r="N651" i="8" s="1"/>
  <c r="B650" i="8" l="1"/>
  <c r="C649" i="8"/>
  <c r="C650" i="8"/>
  <c r="O649" i="8"/>
  <c r="O650" i="8"/>
  <c r="R649" i="8"/>
  <c r="R650" i="8"/>
  <c r="S649" i="8"/>
  <c r="S650" i="8"/>
  <c r="AC649" i="8"/>
  <c r="AC650" i="8"/>
  <c r="B648" i="8"/>
  <c r="N648" i="8" s="1"/>
  <c r="C648" i="8"/>
  <c r="O648" i="8"/>
  <c r="R648" i="8"/>
  <c r="S648" i="8"/>
  <c r="AC648" i="8"/>
  <c r="B647" i="8" l="1"/>
  <c r="N647" i="8" s="1"/>
  <c r="C647" i="8"/>
  <c r="O647" i="8"/>
  <c r="R647" i="8"/>
  <c r="S647" i="8"/>
  <c r="AC647" i="8"/>
  <c r="B646" i="8"/>
  <c r="N646" i="8" s="1"/>
  <c r="C646" i="8"/>
  <c r="O646" i="8"/>
  <c r="R646" i="8"/>
  <c r="S646" i="8"/>
  <c r="AC646" i="8"/>
  <c r="B645" i="8"/>
  <c r="N645" i="8" s="1"/>
  <c r="C645" i="8"/>
  <c r="O645" i="8"/>
  <c r="R645" i="8"/>
  <c r="S645" i="8"/>
  <c r="AC645" i="8"/>
  <c r="B644" i="8"/>
  <c r="N644" i="8" s="1"/>
  <c r="C644" i="8"/>
  <c r="O644" i="8"/>
  <c r="R644" i="8"/>
  <c r="S644" i="8"/>
  <c r="AC644" i="8"/>
  <c r="B643" i="8"/>
  <c r="N643" i="8" s="1"/>
  <c r="C643" i="8"/>
  <c r="O643" i="8"/>
  <c r="R643" i="8"/>
  <c r="S643" i="8"/>
  <c r="AC643" i="8"/>
  <c r="B642" i="8"/>
  <c r="N642" i="8" s="1"/>
  <c r="C642" i="8"/>
  <c r="O642" i="8"/>
  <c r="R642" i="8"/>
  <c r="S642" i="8"/>
  <c r="AC642" i="8"/>
  <c r="B641" i="8"/>
  <c r="N641" i="8" s="1"/>
  <c r="C641" i="8"/>
  <c r="O641" i="8"/>
  <c r="R641" i="8"/>
  <c r="S641" i="8"/>
  <c r="AC641" i="8"/>
  <c r="C314" i="3" l="1"/>
  <c r="N314" i="3"/>
  <c r="Q314" i="3"/>
  <c r="R314" i="3"/>
  <c r="AB314" i="3"/>
  <c r="B633" i="8" l="1"/>
  <c r="N633" i="8" s="1"/>
  <c r="N634" i="8" s="1"/>
  <c r="N635" i="8" s="1"/>
  <c r="N636" i="8" s="1"/>
  <c r="N637" i="8" s="1"/>
  <c r="N638" i="8" s="1"/>
  <c r="N639" i="8" s="1"/>
  <c r="N640" i="8" s="1"/>
  <c r="C401" i="18" l="1"/>
  <c r="C402" i="18"/>
  <c r="C403" i="18"/>
  <c r="C404" i="18"/>
  <c r="C405" i="18"/>
  <c r="C406" i="18"/>
  <c r="C407" i="18"/>
  <c r="C408" i="18"/>
  <c r="C409" i="18"/>
  <c r="C410" i="18"/>
  <c r="C411" i="18"/>
  <c r="N401" i="18"/>
  <c r="N402" i="18"/>
  <c r="N403" i="18"/>
  <c r="N404" i="18"/>
  <c r="N405" i="18"/>
  <c r="N406" i="18"/>
  <c r="N407" i="18"/>
  <c r="N408" i="18"/>
  <c r="N409" i="18"/>
  <c r="N410" i="18"/>
  <c r="N411" i="18"/>
  <c r="Q401" i="18"/>
  <c r="Q402" i="18"/>
  <c r="Q403" i="18"/>
  <c r="Q404" i="18"/>
  <c r="Q405" i="18"/>
  <c r="Q406" i="18"/>
  <c r="Q407" i="18"/>
  <c r="Q408" i="18"/>
  <c r="Q409" i="18"/>
  <c r="Q410" i="18"/>
  <c r="Q411" i="18"/>
  <c r="R401" i="18"/>
  <c r="R402" i="18"/>
  <c r="R403" i="18"/>
  <c r="R404" i="18"/>
  <c r="R405" i="18"/>
  <c r="R406" i="18"/>
  <c r="R407" i="18"/>
  <c r="R408" i="18"/>
  <c r="R409" i="18"/>
  <c r="R410" i="18"/>
  <c r="R411" i="18"/>
  <c r="Y401" i="18"/>
  <c r="Y402" i="18"/>
  <c r="Y403" i="18"/>
  <c r="Y404" i="18"/>
  <c r="Y405" i="18"/>
  <c r="Y406" i="18"/>
  <c r="Y407" i="18"/>
  <c r="Y408" i="18"/>
  <c r="Y409" i="18"/>
  <c r="Y410" i="18"/>
  <c r="Y411" i="18"/>
  <c r="AB401" i="18"/>
  <c r="AB402" i="18"/>
  <c r="AB403" i="18"/>
  <c r="AB404" i="18"/>
  <c r="AB405" i="18"/>
  <c r="AB406" i="18"/>
  <c r="AB407" i="18"/>
  <c r="AB408" i="18"/>
  <c r="AB409" i="18"/>
  <c r="AB410" i="18"/>
  <c r="AB411" i="18"/>
  <c r="C370" i="18"/>
  <c r="C371" i="18"/>
  <c r="C372" i="18"/>
  <c r="C373" i="18"/>
  <c r="C374" i="18"/>
  <c r="C375" i="18"/>
  <c r="C376" i="18"/>
  <c r="C377" i="18"/>
  <c r="C378" i="18"/>
  <c r="C379" i="18"/>
  <c r="C380" i="18"/>
  <c r="C381" i="18"/>
  <c r="C382" i="18"/>
  <c r="C383" i="18"/>
  <c r="C384" i="18"/>
  <c r="C385" i="18"/>
  <c r="C386" i="18"/>
  <c r="C388" i="18"/>
  <c r="C389" i="18"/>
  <c r="C390" i="18"/>
  <c r="C391" i="18"/>
  <c r="C392" i="18"/>
  <c r="C393" i="18"/>
  <c r="C394" i="18"/>
  <c r="C395" i="18"/>
  <c r="C396" i="18"/>
  <c r="C397" i="18"/>
  <c r="C398" i="18"/>
  <c r="C399" i="18"/>
  <c r="C400" i="18"/>
  <c r="N370" i="18"/>
  <c r="N371" i="18"/>
  <c r="N372" i="18"/>
  <c r="N373" i="18"/>
  <c r="N374" i="18"/>
  <c r="N375" i="18"/>
  <c r="N376" i="18"/>
  <c r="N377" i="18"/>
  <c r="N378" i="18"/>
  <c r="N379" i="18"/>
  <c r="N380" i="18"/>
  <c r="N381" i="18"/>
  <c r="N382" i="18"/>
  <c r="N383" i="18"/>
  <c r="N384" i="18"/>
  <c r="N385" i="18"/>
  <c r="N386" i="18"/>
  <c r="N388" i="18"/>
  <c r="N389" i="18"/>
  <c r="N390" i="18"/>
  <c r="N391" i="18"/>
  <c r="N392" i="18"/>
  <c r="N393" i="18"/>
  <c r="N394" i="18"/>
  <c r="N395" i="18"/>
  <c r="N396" i="18"/>
  <c r="N397" i="18"/>
  <c r="N398" i="18"/>
  <c r="N399" i="18"/>
  <c r="N400" i="18"/>
  <c r="Q370" i="18"/>
  <c r="Q371" i="18"/>
  <c r="Q372" i="18"/>
  <c r="Q373" i="18"/>
  <c r="Q374" i="18"/>
  <c r="Q375" i="18"/>
  <c r="Q376" i="18"/>
  <c r="Q377" i="18"/>
  <c r="Q378" i="18"/>
  <c r="Q379" i="18"/>
  <c r="Q380" i="18"/>
  <c r="Q381" i="18"/>
  <c r="Q382" i="18"/>
  <c r="Q383" i="18"/>
  <c r="Q384" i="18"/>
  <c r="Q385" i="18"/>
  <c r="Q386" i="18"/>
  <c r="Q388" i="18"/>
  <c r="Q389" i="18"/>
  <c r="Q390" i="18"/>
  <c r="Q391" i="18"/>
  <c r="Q392" i="18"/>
  <c r="Q393" i="18"/>
  <c r="Q394" i="18"/>
  <c r="Q395" i="18"/>
  <c r="Q396" i="18"/>
  <c r="Q397" i="18"/>
  <c r="Q398" i="18"/>
  <c r="Q399" i="18"/>
  <c r="Q400" i="18"/>
  <c r="R370" i="18"/>
  <c r="R371" i="18"/>
  <c r="R372" i="18"/>
  <c r="R373" i="18"/>
  <c r="R374" i="18"/>
  <c r="R375" i="18"/>
  <c r="R376" i="18"/>
  <c r="R377" i="18"/>
  <c r="R378" i="18"/>
  <c r="R379" i="18"/>
  <c r="R380" i="18"/>
  <c r="R381" i="18"/>
  <c r="R382" i="18"/>
  <c r="R383" i="18"/>
  <c r="R384" i="18"/>
  <c r="R385" i="18"/>
  <c r="R386" i="18"/>
  <c r="R388" i="18"/>
  <c r="R389" i="18"/>
  <c r="R390" i="18"/>
  <c r="R391" i="18"/>
  <c r="R392" i="18"/>
  <c r="R393" i="18"/>
  <c r="R394" i="18"/>
  <c r="R395" i="18"/>
  <c r="R396" i="18"/>
  <c r="R397" i="18"/>
  <c r="R398" i="18"/>
  <c r="R399" i="18"/>
  <c r="R400" i="18"/>
  <c r="Y370" i="18"/>
  <c r="Y371" i="18"/>
  <c r="Y372" i="18"/>
  <c r="Y373" i="18"/>
  <c r="Y374" i="18"/>
  <c r="Y375" i="18"/>
  <c r="Y376" i="18"/>
  <c r="Y377" i="18"/>
  <c r="Y378" i="18"/>
  <c r="Y379" i="18"/>
  <c r="Y380" i="18"/>
  <c r="Y381" i="18"/>
  <c r="Y382" i="18"/>
  <c r="Y383" i="18"/>
  <c r="Y384" i="18"/>
  <c r="Y385" i="18"/>
  <c r="Y386" i="18"/>
  <c r="Y388" i="18"/>
  <c r="Y389" i="18"/>
  <c r="Y390" i="18"/>
  <c r="Y391" i="18"/>
  <c r="Y392" i="18"/>
  <c r="Y393" i="18"/>
  <c r="Y394" i="18"/>
  <c r="Y395" i="18"/>
  <c r="Y396" i="18"/>
  <c r="Y397" i="18"/>
  <c r="Y398" i="18"/>
  <c r="Y399" i="18"/>
  <c r="Y400" i="18"/>
  <c r="AB370" i="18"/>
  <c r="AB371" i="18"/>
  <c r="AB372" i="18"/>
  <c r="AB373" i="18"/>
  <c r="AB374" i="18"/>
  <c r="AB375" i="18"/>
  <c r="AB376" i="18"/>
  <c r="AB377" i="18"/>
  <c r="AB378" i="18"/>
  <c r="AB379" i="18"/>
  <c r="AB380" i="18"/>
  <c r="AB381" i="18"/>
  <c r="AB382" i="18"/>
  <c r="AB383" i="18"/>
  <c r="AB384" i="18"/>
  <c r="AB385" i="18"/>
  <c r="AB386" i="18"/>
  <c r="AB388" i="18"/>
  <c r="AB389" i="18"/>
  <c r="AB390" i="18"/>
  <c r="AB391" i="18"/>
  <c r="AB392" i="18"/>
  <c r="AB393" i="18"/>
  <c r="AB394" i="18"/>
  <c r="AB395" i="18"/>
  <c r="AB396" i="18"/>
  <c r="AB397" i="18"/>
  <c r="AB398" i="18"/>
  <c r="AB399" i="18"/>
  <c r="AB400" i="18"/>
  <c r="B240" i="21"/>
  <c r="B249" i="21"/>
  <c r="C249" i="21"/>
  <c r="Q249" i="21"/>
  <c r="R249" i="21"/>
  <c r="Y249" i="21"/>
  <c r="AB249" i="21"/>
  <c r="N249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53" i="21"/>
  <c r="B154" i="21"/>
  <c r="B155" i="21"/>
  <c r="B156" i="21"/>
  <c r="B157" i="21"/>
  <c r="B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72" i="21"/>
  <c r="B173" i="21"/>
  <c r="B174" i="21"/>
  <c r="B175" i="21"/>
  <c r="B176" i="21"/>
  <c r="B177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B191" i="21"/>
  <c r="B192" i="21"/>
  <c r="B193" i="21"/>
  <c r="B194" i="21"/>
  <c r="B195" i="21"/>
  <c r="B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210" i="21"/>
  <c r="B211" i="21"/>
  <c r="B212" i="21"/>
  <c r="B213" i="21"/>
  <c r="B214" i="21"/>
  <c r="B215" i="21"/>
  <c r="B216" i="21"/>
  <c r="B217" i="21"/>
  <c r="B218" i="21"/>
  <c r="B219" i="21"/>
  <c r="B220" i="21"/>
  <c r="B221" i="21"/>
  <c r="B222" i="21"/>
  <c r="B223" i="21"/>
  <c r="B224" i="21"/>
  <c r="B225" i="21"/>
  <c r="B226" i="21"/>
  <c r="B227" i="21"/>
  <c r="B228" i="21"/>
  <c r="B229" i="21"/>
  <c r="B230" i="21"/>
  <c r="B231" i="21"/>
  <c r="B232" i="21"/>
  <c r="B233" i="21"/>
  <c r="B234" i="21"/>
  <c r="B235" i="21"/>
  <c r="B236" i="21"/>
  <c r="B237" i="21"/>
  <c r="B238" i="21"/>
  <c r="B239" i="21"/>
  <c r="B241" i="21"/>
  <c r="B242" i="21"/>
  <c r="B243" i="21"/>
  <c r="B244" i="21"/>
  <c r="B245" i="21"/>
  <c r="B246" i="21"/>
  <c r="B247" i="21"/>
  <c r="B248" i="21"/>
  <c r="C244" i="21"/>
  <c r="N244" i="21"/>
  <c r="Q244" i="21"/>
  <c r="R244" i="21"/>
  <c r="Y244" i="21"/>
  <c r="AB244" i="21"/>
  <c r="C248" i="21"/>
  <c r="N248" i="21"/>
  <c r="Q248" i="21"/>
  <c r="R248" i="21"/>
  <c r="Y248" i="21"/>
  <c r="AB248" i="21"/>
  <c r="C247" i="21"/>
  <c r="N247" i="21"/>
  <c r="Q247" i="21"/>
  <c r="R247" i="21"/>
  <c r="Y247" i="21"/>
  <c r="AB247" i="21"/>
  <c r="C246" i="21"/>
  <c r="N246" i="21"/>
  <c r="Q246" i="21"/>
  <c r="R246" i="21"/>
  <c r="Y246" i="21"/>
  <c r="AB246" i="21"/>
  <c r="C245" i="21"/>
  <c r="N245" i="21"/>
  <c r="Q245" i="21"/>
  <c r="R245" i="21"/>
  <c r="Y245" i="21"/>
  <c r="AB245" i="21"/>
  <c r="B623" i="8"/>
  <c r="N623" i="8" s="1"/>
  <c r="N624" i="8" s="1"/>
  <c r="N625" i="8" s="1"/>
  <c r="N626" i="8" s="1"/>
  <c r="N627" i="8" s="1"/>
  <c r="N628" i="8" s="1"/>
  <c r="AC622" i="8"/>
  <c r="S622" i="8"/>
  <c r="R622" i="8"/>
  <c r="O622" i="8"/>
  <c r="C622" i="8"/>
  <c r="B622" i="8"/>
  <c r="N622" i="8" s="1"/>
  <c r="AC640" i="8"/>
  <c r="S640" i="8"/>
  <c r="R640" i="8"/>
  <c r="O640" i="8"/>
  <c r="C640" i="8"/>
  <c r="B640" i="8"/>
  <c r="AC639" i="8"/>
  <c r="S639" i="8"/>
  <c r="R639" i="8"/>
  <c r="O639" i="8"/>
  <c r="C639" i="8"/>
  <c r="B639" i="8"/>
  <c r="AC633" i="8"/>
  <c r="AC634" i="8"/>
  <c r="AC635" i="8"/>
  <c r="AC636" i="8"/>
  <c r="AC637" i="8"/>
  <c r="AC638" i="8"/>
  <c r="S633" i="8"/>
  <c r="S634" i="8"/>
  <c r="S635" i="8"/>
  <c r="S636" i="8"/>
  <c r="S637" i="8"/>
  <c r="S638" i="8"/>
  <c r="R633" i="8"/>
  <c r="R634" i="8"/>
  <c r="R635" i="8"/>
  <c r="R636" i="8"/>
  <c r="R637" i="8"/>
  <c r="R638" i="8"/>
  <c r="O633" i="8"/>
  <c r="O634" i="8"/>
  <c r="O635" i="8"/>
  <c r="O636" i="8"/>
  <c r="O637" i="8"/>
  <c r="O638" i="8"/>
  <c r="C633" i="8"/>
  <c r="C634" i="8"/>
  <c r="C635" i="8"/>
  <c r="C636" i="8"/>
  <c r="C637" i="8"/>
  <c r="C638" i="8"/>
  <c r="B634" i="8"/>
  <c r="B635" i="8"/>
  <c r="B636" i="8"/>
  <c r="B637" i="8"/>
  <c r="B638" i="8"/>
  <c r="AC733" i="9"/>
  <c r="S733" i="9"/>
  <c r="R733" i="9"/>
  <c r="O733" i="9"/>
  <c r="C733" i="9"/>
  <c r="N733" i="9"/>
  <c r="N732" i="9"/>
  <c r="AC732" i="9"/>
  <c r="S732" i="9"/>
  <c r="R732" i="9"/>
  <c r="O732" i="9"/>
  <c r="C732" i="9"/>
  <c r="AC731" i="9"/>
  <c r="S731" i="9"/>
  <c r="R731" i="9"/>
  <c r="O731" i="9"/>
  <c r="C731" i="9"/>
  <c r="N731" i="9"/>
  <c r="AC730" i="9"/>
  <c r="S730" i="9"/>
  <c r="R730" i="9"/>
  <c r="O730" i="9"/>
  <c r="C730" i="9"/>
  <c r="N730" i="9"/>
  <c r="AC729" i="9"/>
  <c r="S729" i="9"/>
  <c r="R729" i="9"/>
  <c r="O729" i="9"/>
  <c r="C729" i="9"/>
  <c r="N729" i="9"/>
  <c r="AC728" i="9" l="1"/>
  <c r="S728" i="9"/>
  <c r="R728" i="9"/>
  <c r="O728" i="9"/>
  <c r="C728" i="9"/>
  <c r="N728" i="9"/>
  <c r="AC632" i="8" l="1"/>
  <c r="S632" i="8"/>
  <c r="R632" i="8"/>
  <c r="O632" i="8"/>
  <c r="C632" i="8"/>
  <c r="B632" i="8"/>
  <c r="N632" i="8" s="1"/>
  <c r="AC727" i="9"/>
  <c r="S727" i="9"/>
  <c r="R727" i="9"/>
  <c r="O727" i="9"/>
  <c r="C727" i="9"/>
  <c r="N727" i="9"/>
  <c r="AC726" i="9"/>
  <c r="S726" i="9"/>
  <c r="R726" i="9"/>
  <c r="O726" i="9"/>
  <c r="C726" i="9"/>
  <c r="N726" i="9"/>
  <c r="AB313" i="3" l="1"/>
  <c r="R313" i="3"/>
  <c r="Q313" i="3"/>
  <c r="N313" i="3"/>
  <c r="C313" i="3"/>
  <c r="B313" i="3"/>
  <c r="AC725" i="9" l="1"/>
  <c r="S725" i="9"/>
  <c r="R725" i="9"/>
  <c r="O725" i="9"/>
  <c r="C725" i="9"/>
  <c r="N725" i="9"/>
  <c r="AC631" i="8"/>
  <c r="S631" i="8"/>
  <c r="R631" i="8"/>
  <c r="O631" i="8"/>
  <c r="C631" i="8"/>
  <c r="B631" i="8"/>
  <c r="AC630" i="8"/>
  <c r="S630" i="8"/>
  <c r="R630" i="8"/>
  <c r="O630" i="8"/>
  <c r="C630" i="8"/>
  <c r="B630" i="8"/>
  <c r="AC629" i="8"/>
  <c r="S629" i="8"/>
  <c r="R629" i="8"/>
  <c r="O629" i="8"/>
  <c r="C629" i="8"/>
  <c r="B629" i="8"/>
  <c r="N629" i="8" s="1"/>
  <c r="N630" i="8" s="1"/>
  <c r="N631" i="8" s="1"/>
  <c r="B624" i="8" l="1"/>
  <c r="AC623" i="8"/>
  <c r="S623" i="8"/>
  <c r="R623" i="8"/>
  <c r="O623" i="8"/>
  <c r="C623" i="8"/>
  <c r="B5" i="3"/>
  <c r="B6" i="3"/>
  <c r="B7" i="3"/>
  <c r="B8" i="3"/>
  <c r="B9" i="3"/>
  <c r="B10" i="3"/>
  <c r="B11" i="3"/>
  <c r="B12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202" i="3"/>
  <c r="B203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628" i="8"/>
  <c r="C628" i="8"/>
  <c r="O628" i="8"/>
  <c r="R628" i="8"/>
  <c r="S628" i="8"/>
  <c r="AC628" i="8"/>
  <c r="B627" i="8"/>
  <c r="C627" i="8"/>
  <c r="O627" i="8"/>
  <c r="R627" i="8"/>
  <c r="S627" i="8"/>
  <c r="AC627" i="8"/>
  <c r="B626" i="8"/>
  <c r="C626" i="8"/>
  <c r="O626" i="8"/>
  <c r="R626" i="8"/>
  <c r="S626" i="8"/>
  <c r="AC626" i="8"/>
  <c r="B625" i="8"/>
  <c r="C625" i="8"/>
  <c r="O625" i="8"/>
  <c r="R625" i="8"/>
  <c r="S625" i="8"/>
  <c r="AC625" i="8"/>
  <c r="C624" i="8"/>
  <c r="O624" i="8"/>
  <c r="R624" i="8"/>
  <c r="S624" i="8"/>
  <c r="AC624" i="8"/>
  <c r="N724" i="9" l="1"/>
  <c r="C724" i="9"/>
  <c r="O724" i="9"/>
  <c r="R724" i="9"/>
  <c r="S724" i="9"/>
  <c r="AC724" i="9"/>
  <c r="C136" i="5" l="1"/>
  <c r="C137" i="5"/>
  <c r="C138" i="5"/>
  <c r="C139" i="5"/>
  <c r="N136" i="5"/>
  <c r="N137" i="5"/>
  <c r="N138" i="5"/>
  <c r="N139" i="5"/>
  <c r="Q136" i="5"/>
  <c r="Q137" i="5"/>
  <c r="Q138" i="5"/>
  <c r="Q139" i="5"/>
  <c r="R136" i="5"/>
  <c r="R137" i="5"/>
  <c r="R138" i="5"/>
  <c r="R139" i="5"/>
  <c r="AB136" i="5"/>
  <c r="AB137" i="5"/>
  <c r="AB138" i="5"/>
  <c r="AB139" i="5"/>
  <c r="B620" i="8" l="1"/>
  <c r="N620" i="8" s="1"/>
  <c r="B619" i="8"/>
  <c r="N619" i="8" s="1"/>
  <c r="C619" i="8"/>
  <c r="O619" i="8"/>
  <c r="R619" i="8"/>
  <c r="S619" i="8"/>
  <c r="AC619" i="8"/>
  <c r="C312" i="3"/>
  <c r="N312" i="3"/>
  <c r="Q312" i="3"/>
  <c r="R312" i="3"/>
  <c r="AB312" i="3"/>
  <c r="N723" i="9"/>
  <c r="C723" i="9"/>
  <c r="O723" i="9"/>
  <c r="R723" i="9"/>
  <c r="S723" i="9"/>
  <c r="AC723" i="9"/>
  <c r="AB407" i="23"/>
  <c r="R407" i="23"/>
  <c r="Q407" i="23"/>
  <c r="N407" i="23"/>
  <c r="C407" i="23"/>
  <c r="B407" i="23"/>
  <c r="C105" i="19" l="1"/>
  <c r="N105" i="19"/>
  <c r="Q105" i="19"/>
  <c r="R105" i="19"/>
  <c r="Y105" i="19"/>
  <c r="AB105" i="19"/>
  <c r="C104" i="19"/>
  <c r="N104" i="19"/>
  <c r="Q104" i="19"/>
  <c r="R104" i="19"/>
  <c r="Y104" i="19"/>
  <c r="AB104" i="19"/>
  <c r="N722" i="9" l="1"/>
  <c r="C722" i="9"/>
  <c r="O722" i="9"/>
  <c r="R722" i="9"/>
  <c r="S722" i="9"/>
  <c r="AC722" i="9"/>
  <c r="N721" i="9"/>
  <c r="C721" i="9"/>
  <c r="O721" i="9"/>
  <c r="R721" i="9"/>
  <c r="S721" i="9"/>
  <c r="AC721" i="9"/>
  <c r="B5" i="13" l="1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AB250" i="13"/>
  <c r="Y250" i="13"/>
  <c r="R250" i="13"/>
  <c r="Q250" i="13"/>
  <c r="N250" i="13"/>
  <c r="C250" i="13"/>
  <c r="C246" i="13" l="1"/>
  <c r="C247" i="13"/>
  <c r="C248" i="13"/>
  <c r="C249" i="13"/>
  <c r="C251" i="13"/>
  <c r="C252" i="13"/>
  <c r="C253" i="13"/>
  <c r="C254" i="13"/>
  <c r="C255" i="13"/>
  <c r="N246" i="13"/>
  <c r="N247" i="13"/>
  <c r="N248" i="13"/>
  <c r="N249" i="13"/>
  <c r="N251" i="13"/>
  <c r="N252" i="13"/>
  <c r="N253" i="13"/>
  <c r="N254" i="13"/>
  <c r="N255" i="13"/>
  <c r="Q246" i="13"/>
  <c r="Q247" i="13"/>
  <c r="Q248" i="13"/>
  <c r="Q249" i="13"/>
  <c r="Q251" i="13"/>
  <c r="Q252" i="13"/>
  <c r="Q253" i="13"/>
  <c r="Q254" i="13"/>
  <c r="Q255" i="13"/>
  <c r="R246" i="13"/>
  <c r="R247" i="13"/>
  <c r="R248" i="13"/>
  <c r="R249" i="13"/>
  <c r="R251" i="13"/>
  <c r="R252" i="13"/>
  <c r="R253" i="13"/>
  <c r="R254" i="13"/>
  <c r="R255" i="13"/>
  <c r="Y246" i="13"/>
  <c r="Y247" i="13"/>
  <c r="Y248" i="13"/>
  <c r="Y249" i="13"/>
  <c r="Y251" i="13"/>
  <c r="Y252" i="13"/>
  <c r="Y253" i="13"/>
  <c r="Y254" i="13"/>
  <c r="Y255" i="13"/>
  <c r="AB246" i="13"/>
  <c r="AB247" i="13"/>
  <c r="AB248" i="13"/>
  <c r="AB249" i="13"/>
  <c r="AB251" i="13"/>
  <c r="AB252" i="13"/>
  <c r="AB253" i="13"/>
  <c r="AB254" i="13"/>
  <c r="AB255" i="13"/>
  <c r="AC621" i="8"/>
  <c r="S621" i="8"/>
  <c r="R621" i="8"/>
  <c r="O621" i="8"/>
  <c r="C621" i="8"/>
  <c r="B621" i="8"/>
  <c r="N621" i="8" s="1"/>
  <c r="Y343" i="10" l="1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Y344" i="10"/>
  <c r="Y345" i="10"/>
  <c r="Y346" i="10"/>
  <c r="Y347" i="10"/>
  <c r="Y348" i="10"/>
  <c r="Y349" i="10"/>
  <c r="Y350" i="10"/>
  <c r="Y351" i="10"/>
  <c r="Y352" i="10"/>
  <c r="Y353" i="10"/>
  <c r="Y354" i="10"/>
  <c r="Y355" i="10"/>
  <c r="Y356" i="10"/>
  <c r="Y357" i="10"/>
  <c r="Y358" i="10"/>
  <c r="Y359" i="10"/>
  <c r="Y360" i="10"/>
  <c r="Y361" i="10"/>
  <c r="Y362" i="10"/>
  <c r="Y363" i="10"/>
  <c r="AB343" i="10"/>
  <c r="AB344" i="10"/>
  <c r="AB345" i="10"/>
  <c r="AB346" i="10"/>
  <c r="AB347" i="10"/>
  <c r="AB348" i="10"/>
  <c r="AB349" i="10"/>
  <c r="AB350" i="10"/>
  <c r="AB351" i="10"/>
  <c r="AB352" i="10"/>
  <c r="AB353" i="10"/>
  <c r="AB354" i="10"/>
  <c r="AB355" i="10"/>
  <c r="AB356" i="10"/>
  <c r="AB357" i="10"/>
  <c r="AB358" i="10"/>
  <c r="AB359" i="10"/>
  <c r="AB360" i="10"/>
  <c r="AB361" i="10"/>
  <c r="AB362" i="10"/>
  <c r="AB363" i="10"/>
  <c r="C342" i="10"/>
  <c r="N342" i="10"/>
  <c r="Q342" i="10"/>
  <c r="R342" i="10"/>
  <c r="Y342" i="10"/>
  <c r="AB342" i="10"/>
  <c r="B406" i="23"/>
  <c r="C406" i="23"/>
  <c r="N406" i="23"/>
  <c r="Q406" i="23"/>
  <c r="R406" i="23"/>
  <c r="AB406" i="23"/>
  <c r="AC620" i="8"/>
  <c r="S620" i="8"/>
  <c r="R620" i="8"/>
  <c r="O620" i="8"/>
  <c r="C620" i="8"/>
  <c r="N720" i="9" l="1"/>
  <c r="C720" i="9"/>
  <c r="O720" i="9"/>
  <c r="R720" i="9"/>
  <c r="S720" i="9"/>
  <c r="AC720" i="9"/>
  <c r="N705" i="9"/>
  <c r="C705" i="9"/>
  <c r="O705" i="9"/>
  <c r="R705" i="9"/>
  <c r="S705" i="9"/>
  <c r="AC705" i="9"/>
  <c r="N704" i="9"/>
  <c r="C704" i="9"/>
  <c r="O704" i="9"/>
  <c r="R704" i="9"/>
  <c r="S704" i="9"/>
  <c r="AC704" i="9"/>
  <c r="N703" i="9"/>
  <c r="C703" i="9"/>
  <c r="O703" i="9"/>
  <c r="R703" i="9"/>
  <c r="S703" i="9"/>
  <c r="AC703" i="9"/>
  <c r="N702" i="9"/>
  <c r="C702" i="9"/>
  <c r="O702" i="9"/>
  <c r="R702" i="9"/>
  <c r="S702" i="9"/>
  <c r="AC702" i="9"/>
  <c r="AB235" i="20" l="1"/>
  <c r="Y235" i="20"/>
  <c r="R235" i="20"/>
  <c r="Q235" i="20"/>
  <c r="N235" i="20"/>
  <c r="C235" i="20"/>
  <c r="B235" i="20"/>
  <c r="B405" i="23"/>
  <c r="C405" i="23"/>
  <c r="N405" i="23"/>
  <c r="Q405" i="23"/>
  <c r="R405" i="23"/>
  <c r="AB405" i="23"/>
  <c r="N701" i="9"/>
  <c r="C701" i="9"/>
  <c r="O701" i="9"/>
  <c r="R701" i="9"/>
  <c r="S701" i="9"/>
  <c r="AC701" i="9"/>
  <c r="N700" i="9"/>
  <c r="C700" i="9"/>
  <c r="O700" i="9"/>
  <c r="R700" i="9"/>
  <c r="S700" i="9"/>
  <c r="AC700" i="9"/>
  <c r="N699" i="9"/>
  <c r="C699" i="9"/>
  <c r="O699" i="9"/>
  <c r="R699" i="9"/>
  <c r="S699" i="9"/>
  <c r="AC699" i="9"/>
  <c r="N698" i="9"/>
  <c r="C698" i="9"/>
  <c r="O698" i="9"/>
  <c r="R698" i="9"/>
  <c r="S698" i="9"/>
  <c r="AC698" i="9"/>
  <c r="C135" i="5" l="1"/>
  <c r="N135" i="5"/>
  <c r="Q135" i="5"/>
  <c r="R135" i="5"/>
  <c r="AB135" i="5"/>
  <c r="AB260" i="12" l="1"/>
  <c r="Y260" i="12"/>
  <c r="R260" i="12"/>
  <c r="Q260" i="12"/>
  <c r="N260" i="12"/>
  <c r="C260" i="12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AB538" i="7"/>
  <c r="AB539" i="7"/>
  <c r="AB540" i="7"/>
  <c r="AB541" i="7"/>
  <c r="AB542" i="7"/>
  <c r="AB543" i="7"/>
  <c r="AB544" i="7"/>
  <c r="AB545" i="7"/>
  <c r="AB546" i="7"/>
  <c r="AB547" i="7"/>
  <c r="AB548" i="7"/>
  <c r="R538" i="7"/>
  <c r="R539" i="7"/>
  <c r="R540" i="7"/>
  <c r="R541" i="7"/>
  <c r="R542" i="7"/>
  <c r="R543" i="7"/>
  <c r="R544" i="7"/>
  <c r="R545" i="7"/>
  <c r="R546" i="7"/>
  <c r="R547" i="7"/>
  <c r="R548" i="7"/>
  <c r="Q538" i="7"/>
  <c r="Y538" i="7" s="1"/>
  <c r="Q539" i="7"/>
  <c r="Y539" i="7" s="1"/>
  <c r="Q540" i="7"/>
  <c r="Y540" i="7" s="1"/>
  <c r="Q541" i="7"/>
  <c r="Y541" i="7" s="1"/>
  <c r="Q542" i="7"/>
  <c r="Y542" i="7" s="1"/>
  <c r="Q543" i="7"/>
  <c r="Y543" i="7" s="1"/>
  <c r="Q544" i="7"/>
  <c r="Y544" i="7" s="1"/>
  <c r="Q545" i="7"/>
  <c r="Y545" i="7" s="1"/>
  <c r="Q546" i="7"/>
  <c r="Y546" i="7" s="1"/>
  <c r="Q547" i="7"/>
  <c r="Y547" i="7" s="1"/>
  <c r="Q548" i="7"/>
  <c r="Y548" i="7" s="1"/>
  <c r="N538" i="7"/>
  <c r="N539" i="7"/>
  <c r="N540" i="7"/>
  <c r="N541" i="7"/>
  <c r="N542" i="7"/>
  <c r="N543" i="7"/>
  <c r="N544" i="7"/>
  <c r="N545" i="7"/>
  <c r="N546" i="7"/>
  <c r="N547" i="7"/>
  <c r="N548" i="7"/>
  <c r="C538" i="7"/>
  <c r="C539" i="7"/>
  <c r="C540" i="7"/>
  <c r="C541" i="7"/>
  <c r="C542" i="7"/>
  <c r="C543" i="7"/>
  <c r="C544" i="7"/>
  <c r="C545" i="7"/>
  <c r="C546" i="7"/>
  <c r="C547" i="7"/>
  <c r="C548" i="7"/>
  <c r="AB537" i="7"/>
  <c r="R537" i="7"/>
  <c r="Q537" i="7"/>
  <c r="Y537" i="7" s="1"/>
  <c r="N537" i="7"/>
  <c r="C537" i="7"/>
  <c r="N682" i="9"/>
  <c r="N683" i="9"/>
  <c r="N684" i="9"/>
  <c r="N685" i="9"/>
  <c r="C682" i="9"/>
  <c r="C683" i="9"/>
  <c r="C684" i="9"/>
  <c r="C685" i="9"/>
  <c r="O682" i="9"/>
  <c r="O683" i="9"/>
  <c r="O684" i="9"/>
  <c r="O685" i="9"/>
  <c r="R682" i="9"/>
  <c r="R683" i="9"/>
  <c r="R684" i="9"/>
  <c r="R685" i="9"/>
  <c r="S682" i="9"/>
  <c r="S683" i="9"/>
  <c r="S684" i="9"/>
  <c r="S685" i="9"/>
  <c r="AC682" i="9"/>
  <c r="AC683" i="9"/>
  <c r="AC684" i="9"/>
  <c r="AC685" i="9"/>
  <c r="B618" i="8" l="1"/>
  <c r="N618" i="8" s="1"/>
  <c r="C618" i="8"/>
  <c r="O618" i="8"/>
  <c r="R618" i="8"/>
  <c r="S618" i="8"/>
  <c r="AC618" i="8"/>
  <c r="B615" i="8"/>
  <c r="N615" i="8" s="1"/>
  <c r="B614" i="8"/>
  <c r="N614" i="8" s="1"/>
  <c r="C614" i="8"/>
  <c r="O614" i="8"/>
  <c r="R614" i="8"/>
  <c r="S614" i="8"/>
  <c r="AC614" i="8"/>
  <c r="AB234" i="20"/>
  <c r="Y234" i="20"/>
  <c r="R234" i="20"/>
  <c r="Q234" i="20"/>
  <c r="N234" i="20"/>
  <c r="C234" i="20"/>
  <c r="B234" i="20"/>
  <c r="B5" i="23" l="1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96" i="23"/>
  <c r="B97" i="23"/>
  <c r="B98" i="23"/>
  <c r="B99" i="23"/>
  <c r="B100" i="23"/>
  <c r="B101" i="23"/>
  <c r="B102" i="23"/>
  <c r="B103" i="23"/>
  <c r="B104" i="23"/>
  <c r="B105" i="23"/>
  <c r="B106" i="23"/>
  <c r="B107" i="23"/>
  <c r="B108" i="23"/>
  <c r="B109" i="23"/>
  <c r="B110" i="23"/>
  <c r="B111" i="23"/>
  <c r="B112" i="23"/>
  <c r="B113" i="23"/>
  <c r="B114" i="23"/>
  <c r="B115" i="23"/>
  <c r="B116" i="23"/>
  <c r="B117" i="23"/>
  <c r="B118" i="23"/>
  <c r="B119" i="23"/>
  <c r="B120" i="23"/>
  <c r="B121" i="23"/>
  <c r="B122" i="23"/>
  <c r="B123" i="23"/>
  <c r="B124" i="23"/>
  <c r="B125" i="23"/>
  <c r="B126" i="23"/>
  <c r="B127" i="23"/>
  <c r="B128" i="23"/>
  <c r="B129" i="23"/>
  <c r="B130" i="23"/>
  <c r="B131" i="23"/>
  <c r="B132" i="23"/>
  <c r="B133" i="23"/>
  <c r="B134" i="23"/>
  <c r="B135" i="23"/>
  <c r="B136" i="23"/>
  <c r="B137" i="23"/>
  <c r="B138" i="23"/>
  <c r="B139" i="23"/>
  <c r="B140" i="23"/>
  <c r="B141" i="23"/>
  <c r="B142" i="23"/>
  <c r="B143" i="23"/>
  <c r="B144" i="23"/>
  <c r="B145" i="23"/>
  <c r="B146" i="23"/>
  <c r="B147" i="23"/>
  <c r="B148" i="23"/>
  <c r="B149" i="23"/>
  <c r="B150" i="23"/>
  <c r="B151" i="23"/>
  <c r="B152" i="23"/>
  <c r="B153" i="23"/>
  <c r="B154" i="23"/>
  <c r="B155" i="23"/>
  <c r="B156" i="23"/>
  <c r="B157" i="23"/>
  <c r="B158" i="23"/>
  <c r="B159" i="23"/>
  <c r="B160" i="23"/>
  <c r="B161" i="23"/>
  <c r="B162" i="23"/>
  <c r="B163" i="23"/>
  <c r="B164" i="23"/>
  <c r="B165" i="23"/>
  <c r="B166" i="23"/>
  <c r="B167" i="23"/>
  <c r="B168" i="23"/>
  <c r="B169" i="23"/>
  <c r="B170" i="23"/>
  <c r="B171" i="23"/>
  <c r="B172" i="23"/>
  <c r="B173" i="23"/>
  <c r="B174" i="23"/>
  <c r="B175" i="23"/>
  <c r="B176" i="23"/>
  <c r="B177" i="23"/>
  <c r="B178" i="23"/>
  <c r="B179" i="23"/>
  <c r="B180" i="23"/>
  <c r="B181" i="23"/>
  <c r="B182" i="23"/>
  <c r="B183" i="23"/>
  <c r="B184" i="23"/>
  <c r="B185" i="23"/>
  <c r="B186" i="23"/>
  <c r="B187" i="23"/>
  <c r="B188" i="23"/>
  <c r="B189" i="23"/>
  <c r="B190" i="23"/>
  <c r="B191" i="23"/>
  <c r="B192" i="23"/>
  <c r="B193" i="23"/>
  <c r="B194" i="23"/>
  <c r="B195" i="23"/>
  <c r="B196" i="23"/>
  <c r="B197" i="23"/>
  <c r="B198" i="23"/>
  <c r="B199" i="23"/>
  <c r="B200" i="23"/>
  <c r="B201" i="23"/>
  <c r="B202" i="23"/>
  <c r="B203" i="23"/>
  <c r="B204" i="23"/>
  <c r="B205" i="23"/>
  <c r="B206" i="23"/>
  <c r="B207" i="23"/>
  <c r="B208" i="23"/>
  <c r="B209" i="23"/>
  <c r="B210" i="23"/>
  <c r="B211" i="23"/>
  <c r="B212" i="23"/>
  <c r="B213" i="23"/>
  <c r="B214" i="23"/>
  <c r="B215" i="23"/>
  <c r="B216" i="23"/>
  <c r="B217" i="23"/>
  <c r="B218" i="23"/>
  <c r="B219" i="23"/>
  <c r="B220" i="23"/>
  <c r="B221" i="23"/>
  <c r="B222" i="23"/>
  <c r="B223" i="23"/>
  <c r="B224" i="23"/>
  <c r="B225" i="23"/>
  <c r="B226" i="23"/>
  <c r="B227" i="23"/>
  <c r="B228" i="23"/>
  <c r="B229" i="23"/>
  <c r="B230" i="23"/>
  <c r="B231" i="23"/>
  <c r="B232" i="23"/>
  <c r="B233" i="23"/>
  <c r="B234" i="23"/>
  <c r="B235" i="23"/>
  <c r="B236" i="23"/>
  <c r="B237" i="23"/>
  <c r="B238" i="23"/>
  <c r="B239" i="23"/>
  <c r="B240" i="23"/>
  <c r="B241" i="23"/>
  <c r="B242" i="23"/>
  <c r="B243" i="23"/>
  <c r="B244" i="23"/>
  <c r="B245" i="23"/>
  <c r="B246" i="23"/>
  <c r="B247" i="23"/>
  <c r="B248" i="23"/>
  <c r="B249" i="23"/>
  <c r="B250" i="23"/>
  <c r="B251" i="23"/>
  <c r="B252" i="23"/>
  <c r="B253" i="23"/>
  <c r="B254" i="23"/>
  <c r="B255" i="23"/>
  <c r="B256" i="23"/>
  <c r="B257" i="23"/>
  <c r="B258" i="23"/>
  <c r="B259" i="23"/>
  <c r="B260" i="23"/>
  <c r="B261" i="23"/>
  <c r="B262" i="23"/>
  <c r="B263" i="23"/>
  <c r="B264" i="23"/>
  <c r="B265" i="23"/>
  <c r="B266" i="23"/>
  <c r="B267" i="23"/>
  <c r="B268" i="23"/>
  <c r="B269" i="23"/>
  <c r="B270" i="23"/>
  <c r="B271" i="23"/>
  <c r="B272" i="23"/>
  <c r="B273" i="23"/>
  <c r="B274" i="23"/>
  <c r="B275" i="23"/>
  <c r="B276" i="23"/>
  <c r="B277" i="23"/>
  <c r="B278" i="23"/>
  <c r="B279" i="23"/>
  <c r="B280" i="23"/>
  <c r="B281" i="23"/>
  <c r="B282" i="23"/>
  <c r="B283" i="23"/>
  <c r="B284" i="23"/>
  <c r="B285" i="23"/>
  <c r="B286" i="23"/>
  <c r="B287" i="23"/>
  <c r="B288" i="23"/>
  <c r="B289" i="23"/>
  <c r="B290" i="23"/>
  <c r="B291" i="23"/>
  <c r="B292" i="23"/>
  <c r="B293" i="23"/>
  <c r="B294" i="23"/>
  <c r="B295" i="23"/>
  <c r="B296" i="23"/>
  <c r="B297" i="23"/>
  <c r="B298" i="23"/>
  <c r="B299" i="23"/>
  <c r="B300" i="23"/>
  <c r="B301" i="23"/>
  <c r="B302" i="23"/>
  <c r="B303" i="23"/>
  <c r="B304" i="23"/>
  <c r="B305" i="23"/>
  <c r="B306" i="23"/>
  <c r="B307" i="23"/>
  <c r="B308" i="23"/>
  <c r="B309" i="23"/>
  <c r="B310" i="23"/>
  <c r="B311" i="23"/>
  <c r="B312" i="23"/>
  <c r="B313" i="23"/>
  <c r="B314" i="23"/>
  <c r="B315" i="23"/>
  <c r="B316" i="23"/>
  <c r="B317" i="23"/>
  <c r="B318" i="23"/>
  <c r="B319" i="23"/>
  <c r="B320" i="23"/>
  <c r="B321" i="23"/>
  <c r="B322" i="23"/>
  <c r="B323" i="23"/>
  <c r="B324" i="23"/>
  <c r="B325" i="23"/>
  <c r="B326" i="23"/>
  <c r="B327" i="23"/>
  <c r="B328" i="23"/>
  <c r="B329" i="23"/>
  <c r="B330" i="23"/>
  <c r="B331" i="23"/>
  <c r="B332" i="23"/>
  <c r="B333" i="23"/>
  <c r="B334" i="23"/>
  <c r="B335" i="23"/>
  <c r="B336" i="23"/>
  <c r="B337" i="23"/>
  <c r="B338" i="23"/>
  <c r="B339" i="23"/>
  <c r="B340" i="23"/>
  <c r="B341" i="23"/>
  <c r="B342" i="23"/>
  <c r="B343" i="23"/>
  <c r="B344" i="23"/>
  <c r="B345" i="23"/>
  <c r="B346" i="23"/>
  <c r="B347" i="23"/>
  <c r="B348" i="23"/>
  <c r="B349" i="23"/>
  <c r="B350" i="23"/>
  <c r="B351" i="23"/>
  <c r="B352" i="23"/>
  <c r="B353" i="23"/>
  <c r="B354" i="23"/>
  <c r="B355" i="23"/>
  <c r="B356" i="23"/>
  <c r="B357" i="23"/>
  <c r="B358" i="23"/>
  <c r="B359" i="23"/>
  <c r="B360" i="23"/>
  <c r="B361" i="23"/>
  <c r="B362" i="23"/>
  <c r="B363" i="23"/>
  <c r="B364" i="23"/>
  <c r="B365" i="23"/>
  <c r="B366" i="23"/>
  <c r="B367" i="23"/>
  <c r="B368" i="23"/>
  <c r="B369" i="23"/>
  <c r="B370" i="23"/>
  <c r="B371" i="23"/>
  <c r="B372" i="23"/>
  <c r="B373" i="23"/>
  <c r="B374" i="23"/>
  <c r="B375" i="23"/>
  <c r="B376" i="23"/>
  <c r="B377" i="23"/>
  <c r="B378" i="23"/>
  <c r="B379" i="23"/>
  <c r="B380" i="23"/>
  <c r="B381" i="23"/>
  <c r="B382" i="23"/>
  <c r="B383" i="23"/>
  <c r="B384" i="23"/>
  <c r="B385" i="23"/>
  <c r="B386" i="23"/>
  <c r="B387" i="23"/>
  <c r="B388" i="23"/>
  <c r="B389" i="23"/>
  <c r="B390" i="23"/>
  <c r="B391" i="23"/>
  <c r="B392" i="23"/>
  <c r="B393" i="23"/>
  <c r="B394" i="23"/>
  <c r="B395" i="23"/>
  <c r="B396" i="23"/>
  <c r="B397" i="23"/>
  <c r="B398" i="23"/>
  <c r="B399" i="23"/>
  <c r="B400" i="23"/>
  <c r="B401" i="23"/>
  <c r="B402" i="23"/>
  <c r="B403" i="23"/>
  <c r="B404" i="23"/>
  <c r="AB398" i="23"/>
  <c r="R398" i="23"/>
  <c r="Q398" i="23"/>
  <c r="N398" i="23"/>
  <c r="C398" i="23"/>
  <c r="AB404" i="23"/>
  <c r="R404" i="23"/>
  <c r="Q404" i="23"/>
  <c r="N404" i="23"/>
  <c r="C404" i="23"/>
  <c r="AB403" i="23"/>
  <c r="R403" i="23"/>
  <c r="Q403" i="23"/>
  <c r="N403" i="23"/>
  <c r="C403" i="23"/>
  <c r="AB402" i="23"/>
  <c r="R402" i="23"/>
  <c r="Q402" i="23"/>
  <c r="N402" i="23"/>
  <c r="C402" i="23"/>
  <c r="AB401" i="23"/>
  <c r="R401" i="23"/>
  <c r="Q401" i="23"/>
  <c r="N401" i="23"/>
  <c r="C401" i="23"/>
  <c r="AB400" i="23"/>
  <c r="R400" i="23"/>
  <c r="Q400" i="23"/>
  <c r="N400" i="23"/>
  <c r="C400" i="23"/>
  <c r="AB399" i="23"/>
  <c r="R399" i="23"/>
  <c r="Q399" i="23"/>
  <c r="N399" i="23"/>
  <c r="C399" i="23"/>
  <c r="B617" i="8" l="1"/>
  <c r="N617" i="8" s="1"/>
  <c r="C617" i="8"/>
  <c r="O617" i="8"/>
  <c r="R617" i="8"/>
  <c r="S617" i="8"/>
  <c r="AC617" i="8"/>
  <c r="C203" i="17" l="1"/>
  <c r="N203" i="17"/>
  <c r="Q203" i="17"/>
  <c r="R203" i="17"/>
  <c r="Y203" i="17"/>
  <c r="AB203" i="17"/>
  <c r="B616" i="8"/>
  <c r="N616" i="8" s="1"/>
  <c r="C616" i="8"/>
  <c r="O616" i="8"/>
  <c r="R616" i="8"/>
  <c r="S616" i="8"/>
  <c r="AC616" i="8"/>
  <c r="C243" i="21"/>
  <c r="N243" i="21"/>
  <c r="Q243" i="21"/>
  <c r="R243" i="21"/>
  <c r="Y243" i="21"/>
  <c r="AB243" i="21"/>
  <c r="C134" i="5"/>
  <c r="N134" i="5"/>
  <c r="Q134" i="5"/>
  <c r="R134" i="5"/>
  <c r="AB134" i="5"/>
  <c r="C133" i="5"/>
  <c r="N133" i="5"/>
  <c r="Q133" i="5"/>
  <c r="R133" i="5"/>
  <c r="AB133" i="5"/>
  <c r="C132" i="5"/>
  <c r="N132" i="5"/>
  <c r="Q132" i="5"/>
  <c r="R132" i="5"/>
  <c r="AB132" i="5"/>
  <c r="C131" i="5"/>
  <c r="N131" i="5"/>
  <c r="Q131" i="5"/>
  <c r="R131" i="5"/>
  <c r="AB131" i="5"/>
  <c r="C130" i="5"/>
  <c r="N130" i="5"/>
  <c r="Q130" i="5"/>
  <c r="R130" i="5"/>
  <c r="AB130" i="5"/>
  <c r="C129" i="5"/>
  <c r="N129" i="5"/>
  <c r="Q129" i="5"/>
  <c r="R129" i="5"/>
  <c r="AB129" i="5"/>
  <c r="C128" i="5"/>
  <c r="N128" i="5"/>
  <c r="Q128" i="5"/>
  <c r="R128" i="5"/>
  <c r="AB128" i="5"/>
  <c r="Q5" i="18"/>
  <c r="S5" i="18" s="1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Q53" i="18"/>
  <c r="Q54" i="18"/>
  <c r="Q55" i="18"/>
  <c r="Q56" i="18"/>
  <c r="Q57" i="18"/>
  <c r="Q58" i="18"/>
  <c r="Q59" i="18"/>
  <c r="Q60" i="18"/>
  <c r="Q61" i="18"/>
  <c r="Q62" i="18"/>
  <c r="Q63" i="18"/>
  <c r="Q64" i="18"/>
  <c r="Q65" i="18"/>
  <c r="Q66" i="18"/>
  <c r="Q67" i="18"/>
  <c r="Q68" i="18"/>
  <c r="Q69" i="18"/>
  <c r="Q70" i="18"/>
  <c r="Q71" i="18"/>
  <c r="Q72" i="18"/>
  <c r="Q73" i="18"/>
  <c r="Q74" i="18"/>
  <c r="Q75" i="18"/>
  <c r="Q76" i="18"/>
  <c r="Q77" i="18"/>
  <c r="Q78" i="18"/>
  <c r="Q79" i="18"/>
  <c r="Q80" i="18"/>
  <c r="Q81" i="18"/>
  <c r="Q82" i="18"/>
  <c r="Q83" i="18"/>
  <c r="Q84" i="18"/>
  <c r="Q85" i="18"/>
  <c r="Q86" i="18"/>
  <c r="Q87" i="18"/>
  <c r="Q88" i="18"/>
  <c r="Q89" i="18"/>
  <c r="Q90" i="18"/>
  <c r="Q91" i="18"/>
  <c r="Q92" i="18"/>
  <c r="Q93" i="18"/>
  <c r="Q94" i="18"/>
  <c r="Q95" i="18"/>
  <c r="Q96" i="18"/>
  <c r="Q97" i="18"/>
  <c r="Q98" i="18"/>
  <c r="Q99" i="18"/>
  <c r="Q100" i="18"/>
  <c r="Q101" i="18"/>
  <c r="Q102" i="18"/>
  <c r="Q103" i="18"/>
  <c r="Q104" i="18"/>
  <c r="Q105" i="18"/>
  <c r="Q106" i="18"/>
  <c r="Q107" i="18"/>
  <c r="Q108" i="18"/>
  <c r="Q109" i="18"/>
  <c r="Q110" i="18"/>
  <c r="Q111" i="18"/>
  <c r="Q112" i="18"/>
  <c r="Q113" i="18"/>
  <c r="Q114" i="18"/>
  <c r="Q115" i="18"/>
  <c r="Q116" i="18"/>
  <c r="Q117" i="18"/>
  <c r="Q118" i="18"/>
  <c r="Q119" i="18"/>
  <c r="Q120" i="18"/>
  <c r="Q121" i="18"/>
  <c r="Q122" i="18"/>
  <c r="Q123" i="18"/>
  <c r="Q124" i="18"/>
  <c r="Q125" i="18"/>
  <c r="Q126" i="18"/>
  <c r="Q127" i="18"/>
  <c r="Q128" i="18"/>
  <c r="Q129" i="18"/>
  <c r="Q130" i="18"/>
  <c r="Q131" i="18"/>
  <c r="Q132" i="18"/>
  <c r="Q133" i="18"/>
  <c r="Q134" i="18"/>
  <c r="Q135" i="18"/>
  <c r="Q136" i="18"/>
  <c r="Q137" i="18"/>
  <c r="Q138" i="18"/>
  <c r="Q139" i="18"/>
  <c r="Q140" i="18"/>
  <c r="Q141" i="18"/>
  <c r="Q142" i="18"/>
  <c r="Q143" i="18"/>
  <c r="Q144" i="18"/>
  <c r="Q145" i="18"/>
  <c r="Q146" i="18"/>
  <c r="Q147" i="18"/>
  <c r="Q148" i="18"/>
  <c r="Q149" i="18"/>
  <c r="Q150" i="18"/>
  <c r="Q151" i="18"/>
  <c r="Q152" i="18"/>
  <c r="Q153" i="18"/>
  <c r="Q154" i="18"/>
  <c r="Q155" i="18"/>
  <c r="Q156" i="18"/>
  <c r="Q157" i="18"/>
  <c r="Q158" i="18"/>
  <c r="Q159" i="18"/>
  <c r="Q160" i="18"/>
  <c r="Q161" i="18"/>
  <c r="Q162" i="18"/>
  <c r="Q163" i="18"/>
  <c r="Q164" i="18"/>
  <c r="Q165" i="18"/>
  <c r="Q166" i="18"/>
  <c r="Q167" i="18"/>
  <c r="Q168" i="18"/>
  <c r="Q169" i="18"/>
  <c r="Q170" i="18"/>
  <c r="Q171" i="18"/>
  <c r="Q172" i="18"/>
  <c r="Q173" i="18"/>
  <c r="Q174" i="18"/>
  <c r="Q175" i="18"/>
  <c r="Q176" i="18"/>
  <c r="Q177" i="18"/>
  <c r="Q178" i="18"/>
  <c r="Q179" i="18"/>
  <c r="Q180" i="18"/>
  <c r="Q181" i="18"/>
  <c r="Q182" i="18"/>
  <c r="Q183" i="18"/>
  <c r="Q184" i="18"/>
  <c r="Q185" i="18"/>
  <c r="Q186" i="18"/>
  <c r="Q187" i="18"/>
  <c r="Q188" i="18"/>
  <c r="Q189" i="18"/>
  <c r="Q190" i="18"/>
  <c r="Q191" i="18"/>
  <c r="Q192" i="18"/>
  <c r="Q193" i="18"/>
  <c r="Q194" i="18"/>
  <c r="Q195" i="18"/>
  <c r="Q196" i="18"/>
  <c r="Q197" i="18"/>
  <c r="Q198" i="18"/>
  <c r="Q199" i="18"/>
  <c r="Q200" i="18"/>
  <c r="Q201" i="18"/>
  <c r="Q202" i="18"/>
  <c r="Q203" i="18"/>
  <c r="Q204" i="18"/>
  <c r="Q205" i="18"/>
  <c r="Q206" i="18"/>
  <c r="Q207" i="18"/>
  <c r="Q208" i="18"/>
  <c r="Q209" i="18"/>
  <c r="Q210" i="18"/>
  <c r="Q211" i="18"/>
  <c r="Q212" i="18"/>
  <c r="Q213" i="18"/>
  <c r="Q214" i="18"/>
  <c r="Q215" i="18"/>
  <c r="Q216" i="18"/>
  <c r="Q217" i="18"/>
  <c r="Q218" i="18"/>
  <c r="Q219" i="18"/>
  <c r="Q220" i="18"/>
  <c r="Q221" i="18"/>
  <c r="Q222" i="18"/>
  <c r="Q223" i="18"/>
  <c r="Q224" i="18"/>
  <c r="Q225" i="18"/>
  <c r="Q226" i="18"/>
  <c r="Q227" i="18"/>
  <c r="Q228" i="18"/>
  <c r="Q229" i="18"/>
  <c r="Q230" i="18"/>
  <c r="Q231" i="18"/>
  <c r="Q232" i="18"/>
  <c r="Q233" i="18"/>
  <c r="Q234" i="18"/>
  <c r="Q235" i="18"/>
  <c r="Q236" i="18"/>
  <c r="Q237" i="18"/>
  <c r="Q238" i="18"/>
  <c r="Q239" i="18"/>
  <c r="Q240" i="18"/>
  <c r="Q241" i="18"/>
  <c r="Q242" i="18"/>
  <c r="Q243" i="18"/>
  <c r="Q244" i="18"/>
  <c r="Q245" i="18"/>
  <c r="Q246" i="18"/>
  <c r="Q247" i="18"/>
  <c r="Q248" i="18"/>
  <c r="Q249" i="18"/>
  <c r="Q250" i="18"/>
  <c r="Q251" i="18"/>
  <c r="Q252" i="18"/>
  <c r="Q253" i="18"/>
  <c r="Q254" i="18"/>
  <c r="Q255" i="18"/>
  <c r="Q256" i="18"/>
  <c r="Q257" i="18"/>
  <c r="Q258" i="18"/>
  <c r="Q259" i="18"/>
  <c r="Q260" i="18"/>
  <c r="Q261" i="18"/>
  <c r="Q262" i="18"/>
  <c r="Q263" i="18"/>
  <c r="Q264" i="18"/>
  <c r="Q265" i="18"/>
  <c r="Q266" i="18"/>
  <c r="Q267" i="18"/>
  <c r="Q268" i="18"/>
  <c r="Q269" i="18"/>
  <c r="Q270" i="18"/>
  <c r="Q271" i="18"/>
  <c r="Q272" i="18"/>
  <c r="Q273" i="18"/>
  <c r="Q274" i="18"/>
  <c r="Q275" i="18"/>
  <c r="Q276" i="18"/>
  <c r="Q277" i="18"/>
  <c r="Q278" i="18"/>
  <c r="Q279" i="18"/>
  <c r="Q280" i="18"/>
  <c r="Q281" i="18"/>
  <c r="Q282" i="18"/>
  <c r="Q283" i="18"/>
  <c r="Q284" i="18"/>
  <c r="Q285" i="18"/>
  <c r="Q286" i="18"/>
  <c r="Q287" i="18"/>
  <c r="Q288" i="18"/>
  <c r="Q289" i="18"/>
  <c r="Q290" i="18"/>
  <c r="Q291" i="18"/>
  <c r="Q292" i="18"/>
  <c r="Q293" i="18"/>
  <c r="Q294" i="18"/>
  <c r="Q295" i="18"/>
  <c r="Q296" i="18"/>
  <c r="Q297" i="18"/>
  <c r="Q298" i="18"/>
  <c r="Q299" i="18"/>
  <c r="Q300" i="18"/>
  <c r="Q301" i="18"/>
  <c r="Q302" i="18"/>
  <c r="Q303" i="18"/>
  <c r="Q304" i="18"/>
  <c r="Q305" i="18"/>
  <c r="Q306" i="18"/>
  <c r="Q307" i="18"/>
  <c r="Q308" i="18"/>
  <c r="Q309" i="18"/>
  <c r="Q310" i="18"/>
  <c r="Q311" i="18"/>
  <c r="Q312" i="18"/>
  <c r="Q313" i="18"/>
  <c r="Q314" i="18"/>
  <c r="Q315" i="18"/>
  <c r="Q316" i="18"/>
  <c r="Q317" i="18"/>
  <c r="Q318" i="18"/>
  <c r="Q319" i="18"/>
  <c r="Q320" i="18"/>
  <c r="Q321" i="18"/>
  <c r="Q322" i="18"/>
  <c r="Q323" i="18"/>
  <c r="Q324" i="18"/>
  <c r="Q325" i="18"/>
  <c r="Q326" i="18"/>
  <c r="Q327" i="18"/>
  <c r="Q328" i="18"/>
  <c r="Q329" i="18"/>
  <c r="Q330" i="18"/>
  <c r="Q331" i="18"/>
  <c r="Q332" i="18"/>
  <c r="Q333" i="18"/>
  <c r="Q334" i="18"/>
  <c r="Q335" i="18"/>
  <c r="Q336" i="18"/>
  <c r="Q337" i="18"/>
  <c r="Q338" i="18"/>
  <c r="Q339" i="18"/>
  <c r="Q340" i="18"/>
  <c r="Q341" i="18"/>
  <c r="Q342" i="18"/>
  <c r="Q343" i="18"/>
  <c r="Q344" i="18"/>
  <c r="Q345" i="18"/>
  <c r="Q346" i="18"/>
  <c r="Q347" i="18"/>
  <c r="Q348" i="18"/>
  <c r="Q349" i="18"/>
  <c r="Q350" i="18"/>
  <c r="Q351" i="18"/>
  <c r="Q352" i="18"/>
  <c r="Q353" i="18"/>
  <c r="Q354" i="18"/>
  <c r="Q355" i="18"/>
  <c r="Q356" i="18"/>
  <c r="Q357" i="18"/>
  <c r="Q358" i="18"/>
  <c r="Q359" i="18"/>
  <c r="Q360" i="18"/>
  <c r="Q361" i="18"/>
  <c r="Q362" i="18"/>
  <c r="Q363" i="18"/>
  <c r="Q364" i="18"/>
  <c r="Q365" i="18"/>
  <c r="Q366" i="18"/>
  <c r="Q367" i="18"/>
  <c r="Q368" i="18"/>
  <c r="Q369" i="18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Y183" i="20"/>
  <c r="Y184" i="20"/>
  <c r="Y185" i="20"/>
  <c r="Y186" i="20"/>
  <c r="Y187" i="20"/>
  <c r="Y188" i="20"/>
  <c r="Y189" i="20"/>
  <c r="Y190" i="20"/>
  <c r="Y191" i="20"/>
  <c r="Y192" i="20"/>
  <c r="Y193" i="20"/>
  <c r="Y194" i="20"/>
  <c r="Y195" i="20"/>
  <c r="Y196" i="20"/>
  <c r="Y197" i="20"/>
  <c r="Y198" i="20"/>
  <c r="Y199" i="20"/>
  <c r="Y200" i="20"/>
  <c r="Y201" i="20"/>
  <c r="Y202" i="20"/>
  <c r="Y203" i="20"/>
  <c r="Y204" i="20"/>
  <c r="Y205" i="20"/>
  <c r="Y206" i="20"/>
  <c r="Y207" i="20"/>
  <c r="Y208" i="20"/>
  <c r="Y209" i="20"/>
  <c r="Y210" i="20"/>
  <c r="Y211" i="20"/>
  <c r="Y212" i="20"/>
  <c r="Y213" i="20"/>
  <c r="Y214" i="20"/>
  <c r="Y215" i="20"/>
  <c r="Y216" i="20"/>
  <c r="Y217" i="20"/>
  <c r="Y218" i="20"/>
  <c r="Y219" i="20"/>
  <c r="Y220" i="20"/>
  <c r="Y221" i="20"/>
  <c r="Y222" i="20"/>
  <c r="Y223" i="20"/>
  <c r="Y224" i="20"/>
  <c r="Y225" i="20"/>
  <c r="Y226" i="20"/>
  <c r="Y227" i="20"/>
  <c r="Y228" i="20"/>
  <c r="Y229" i="20"/>
  <c r="Y230" i="20"/>
  <c r="Y231" i="20"/>
  <c r="Y232" i="20"/>
  <c r="Y233" i="20"/>
  <c r="AB183" i="20"/>
  <c r="AB184" i="20"/>
  <c r="AB185" i="20"/>
  <c r="AB186" i="20"/>
  <c r="AB187" i="20"/>
  <c r="AB188" i="20"/>
  <c r="AB189" i="20"/>
  <c r="AB190" i="20"/>
  <c r="AB191" i="20"/>
  <c r="AB192" i="20"/>
  <c r="AB193" i="20"/>
  <c r="AB194" i="20"/>
  <c r="AB195" i="20"/>
  <c r="AB196" i="20"/>
  <c r="AB197" i="20"/>
  <c r="AB198" i="20"/>
  <c r="AB199" i="20"/>
  <c r="AB200" i="20"/>
  <c r="AB201" i="20"/>
  <c r="AB202" i="20"/>
  <c r="AB203" i="20"/>
  <c r="AB204" i="20"/>
  <c r="AB205" i="20"/>
  <c r="AB206" i="20"/>
  <c r="AB207" i="20"/>
  <c r="AB208" i="20"/>
  <c r="AB209" i="20"/>
  <c r="AB210" i="20"/>
  <c r="AB211" i="20"/>
  <c r="AB212" i="20"/>
  <c r="AB213" i="20"/>
  <c r="AB214" i="20"/>
  <c r="AB215" i="20"/>
  <c r="AB216" i="20"/>
  <c r="AB217" i="20"/>
  <c r="AB218" i="20"/>
  <c r="AB219" i="20"/>
  <c r="AB220" i="20"/>
  <c r="AB221" i="20"/>
  <c r="AB222" i="20"/>
  <c r="AB223" i="20"/>
  <c r="AB224" i="20"/>
  <c r="AB225" i="20"/>
  <c r="AB226" i="20"/>
  <c r="AB227" i="20"/>
  <c r="AB228" i="20"/>
  <c r="AB229" i="20"/>
  <c r="AB230" i="20"/>
  <c r="AB231" i="20"/>
  <c r="AB232" i="20"/>
  <c r="AB233" i="20"/>
  <c r="B181" i="20"/>
  <c r="B182" i="20"/>
  <c r="C181" i="20"/>
  <c r="C182" i="20"/>
  <c r="N181" i="20"/>
  <c r="N182" i="20"/>
  <c r="Q181" i="20"/>
  <c r="Q182" i="20"/>
  <c r="R181" i="20"/>
  <c r="R182" i="20"/>
  <c r="Y181" i="20"/>
  <c r="Y182" i="20"/>
  <c r="AB181" i="20"/>
  <c r="AB182" i="20"/>
  <c r="C257" i="12"/>
  <c r="C258" i="12"/>
  <c r="C259" i="12"/>
  <c r="N257" i="12"/>
  <c r="N258" i="12"/>
  <c r="N259" i="12"/>
  <c r="Q257" i="12"/>
  <c r="Q258" i="12"/>
  <c r="Q259" i="12"/>
  <c r="R257" i="12"/>
  <c r="R258" i="12"/>
  <c r="R259" i="12"/>
  <c r="Y257" i="12"/>
  <c r="Y258" i="12"/>
  <c r="Y259" i="12"/>
  <c r="AB257" i="12"/>
  <c r="AB258" i="12"/>
  <c r="AB259" i="12"/>
  <c r="C256" i="12"/>
  <c r="N256" i="12"/>
  <c r="Q256" i="12"/>
  <c r="R256" i="12"/>
  <c r="Y256" i="12"/>
  <c r="AB256" i="12"/>
  <c r="B559" i="8" l="1"/>
  <c r="B558" i="8"/>
  <c r="C558" i="8"/>
  <c r="O558" i="8"/>
  <c r="R558" i="8"/>
  <c r="S558" i="8"/>
  <c r="AC558" i="8"/>
  <c r="C615" i="8" l="1"/>
  <c r="O615" i="8"/>
  <c r="R615" i="8"/>
  <c r="S615" i="8"/>
  <c r="AC615" i="8"/>
  <c r="B613" i="8" l="1"/>
  <c r="N613" i="8" s="1"/>
  <c r="C613" i="8"/>
  <c r="O613" i="8"/>
  <c r="R613" i="8"/>
  <c r="S613" i="8"/>
  <c r="AC613" i="8"/>
  <c r="N681" i="9" l="1"/>
  <c r="C681" i="9"/>
  <c r="O681" i="9"/>
  <c r="R681" i="9"/>
  <c r="S681" i="9"/>
  <c r="AC681" i="9"/>
  <c r="B612" i="8" l="1"/>
  <c r="C612" i="8"/>
  <c r="O612" i="8"/>
  <c r="R612" i="8"/>
  <c r="S612" i="8"/>
  <c r="AC612" i="8"/>
  <c r="B611" i="8"/>
  <c r="C611" i="8"/>
  <c r="O611" i="8"/>
  <c r="R611" i="8"/>
  <c r="S611" i="8"/>
  <c r="AC611" i="8"/>
  <c r="B610" i="8"/>
  <c r="C610" i="8"/>
  <c r="O610" i="8"/>
  <c r="R610" i="8"/>
  <c r="S610" i="8"/>
  <c r="AC610" i="8"/>
  <c r="B609" i="8"/>
  <c r="N609" i="8" s="1"/>
  <c r="N610" i="8" s="1"/>
  <c r="N611" i="8" s="1"/>
  <c r="N612" i="8" s="1"/>
  <c r="C609" i="8"/>
  <c r="O609" i="8"/>
  <c r="R609" i="8"/>
  <c r="S609" i="8"/>
  <c r="AC609" i="8"/>
  <c r="C311" i="3" l="1"/>
  <c r="N311" i="3"/>
  <c r="Q311" i="3"/>
  <c r="R311" i="3"/>
  <c r="AB311" i="3"/>
  <c r="B589" i="8" l="1"/>
  <c r="N589" i="8" s="1"/>
  <c r="B588" i="8"/>
  <c r="N588" i="8" s="1"/>
  <c r="C588" i="8"/>
  <c r="O588" i="8"/>
  <c r="R588" i="8"/>
  <c r="S588" i="8"/>
  <c r="AC588" i="8"/>
  <c r="N680" i="9"/>
  <c r="C680" i="9"/>
  <c r="O680" i="9"/>
  <c r="R680" i="9"/>
  <c r="S680" i="9"/>
  <c r="AC680" i="9"/>
  <c r="B608" i="8" l="1"/>
  <c r="N608" i="8" s="1"/>
  <c r="C608" i="8"/>
  <c r="O608" i="8"/>
  <c r="R608" i="8"/>
  <c r="S608" i="8"/>
  <c r="AC608" i="8"/>
  <c r="N679" i="9" l="1"/>
  <c r="C679" i="9"/>
  <c r="O679" i="9"/>
  <c r="R679" i="9"/>
  <c r="S679" i="9"/>
  <c r="AC679" i="9"/>
  <c r="B570" i="8" l="1"/>
  <c r="B571" i="8"/>
  <c r="N571" i="8" s="1"/>
  <c r="B569" i="8"/>
  <c r="C569" i="8"/>
  <c r="O569" i="8"/>
  <c r="R569" i="8"/>
  <c r="S569" i="8"/>
  <c r="AC569" i="8"/>
  <c r="C570" i="8"/>
  <c r="O570" i="8"/>
  <c r="R570" i="8"/>
  <c r="S570" i="8"/>
  <c r="AC570" i="8"/>
  <c r="C298" i="3"/>
  <c r="N298" i="3"/>
  <c r="Q298" i="3"/>
  <c r="R298" i="3"/>
  <c r="AB298" i="3"/>
  <c r="C299" i="3"/>
  <c r="N299" i="3"/>
  <c r="Q299" i="3"/>
  <c r="R299" i="3"/>
  <c r="AB299" i="3"/>
  <c r="C300" i="3"/>
  <c r="N300" i="3"/>
  <c r="Q300" i="3"/>
  <c r="R300" i="3"/>
  <c r="AB300" i="3"/>
  <c r="C301" i="3"/>
  <c r="N301" i="3"/>
  <c r="Q301" i="3"/>
  <c r="R301" i="3"/>
  <c r="AB301" i="3"/>
  <c r="C294" i="3"/>
  <c r="N294" i="3"/>
  <c r="Q294" i="3"/>
  <c r="R294" i="3"/>
  <c r="AB294" i="3"/>
  <c r="C295" i="3"/>
  <c r="N295" i="3"/>
  <c r="Q295" i="3"/>
  <c r="R295" i="3"/>
  <c r="AB295" i="3"/>
  <c r="C296" i="3"/>
  <c r="N296" i="3"/>
  <c r="Q296" i="3"/>
  <c r="R296" i="3"/>
  <c r="AB296" i="3"/>
  <c r="C126" i="5"/>
  <c r="C127" i="5"/>
  <c r="N126" i="5"/>
  <c r="N127" i="5"/>
  <c r="Q126" i="5"/>
  <c r="Q127" i="5"/>
  <c r="R126" i="5"/>
  <c r="R127" i="5"/>
  <c r="AB126" i="5"/>
  <c r="AB127" i="5"/>
  <c r="C125" i="5"/>
  <c r="N125" i="5"/>
  <c r="Q125" i="5"/>
  <c r="R125" i="5"/>
  <c r="AB125" i="5"/>
  <c r="N678" i="9"/>
  <c r="C678" i="9"/>
  <c r="O678" i="9"/>
  <c r="R678" i="9"/>
  <c r="S678" i="9"/>
  <c r="AC678" i="9"/>
  <c r="B607" i="8" l="1"/>
  <c r="N607" i="8" s="1"/>
  <c r="C607" i="8"/>
  <c r="O607" i="8"/>
  <c r="R607" i="8"/>
  <c r="S607" i="8"/>
  <c r="AC607" i="8"/>
  <c r="B606" i="8"/>
  <c r="N606" i="8" s="1"/>
  <c r="C606" i="8"/>
  <c r="O606" i="8"/>
  <c r="R606" i="8"/>
  <c r="S606" i="8"/>
  <c r="AC606" i="8"/>
  <c r="B605" i="8"/>
  <c r="N605" i="8" s="1"/>
  <c r="C605" i="8"/>
  <c r="O605" i="8"/>
  <c r="R605" i="8"/>
  <c r="S605" i="8"/>
  <c r="AC605" i="8"/>
  <c r="N677" i="9"/>
  <c r="C677" i="9"/>
  <c r="O677" i="9"/>
  <c r="R677" i="9"/>
  <c r="S677" i="9"/>
  <c r="AC677" i="9"/>
  <c r="C498" i="7" l="1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Q498" i="7"/>
  <c r="Y498" i="7" s="1"/>
  <c r="Q499" i="7"/>
  <c r="Y499" i="7" s="1"/>
  <c r="Q500" i="7"/>
  <c r="Y500" i="7" s="1"/>
  <c r="Q501" i="7"/>
  <c r="Y501" i="7" s="1"/>
  <c r="Q502" i="7"/>
  <c r="Y502" i="7" s="1"/>
  <c r="Q503" i="7"/>
  <c r="Y503" i="7" s="1"/>
  <c r="Q504" i="7"/>
  <c r="Y504" i="7" s="1"/>
  <c r="Q505" i="7"/>
  <c r="Y505" i="7" s="1"/>
  <c r="Q506" i="7"/>
  <c r="Y506" i="7" s="1"/>
  <c r="Q507" i="7"/>
  <c r="Y507" i="7" s="1"/>
  <c r="Q508" i="7"/>
  <c r="Y508" i="7" s="1"/>
  <c r="Q509" i="7"/>
  <c r="Y509" i="7" s="1"/>
  <c r="Q510" i="7"/>
  <c r="Y510" i="7" s="1"/>
  <c r="Q511" i="7"/>
  <c r="Y511" i="7" s="1"/>
  <c r="Q512" i="7"/>
  <c r="Y512" i="7" s="1"/>
  <c r="Q513" i="7"/>
  <c r="Y513" i="7" s="1"/>
  <c r="Q514" i="7"/>
  <c r="Y514" i="7" s="1"/>
  <c r="Q515" i="7"/>
  <c r="Y515" i="7" s="1"/>
  <c r="Q516" i="7"/>
  <c r="Y516" i="7" s="1"/>
  <c r="Q517" i="7"/>
  <c r="Y517" i="7" s="1"/>
  <c r="Q518" i="7"/>
  <c r="Y518" i="7" s="1"/>
  <c r="Q519" i="7"/>
  <c r="Y519" i="7" s="1"/>
  <c r="Q520" i="7"/>
  <c r="Y520" i="7" s="1"/>
  <c r="Q521" i="7"/>
  <c r="Y521" i="7" s="1"/>
  <c r="Q522" i="7"/>
  <c r="Y522" i="7" s="1"/>
  <c r="Q523" i="7"/>
  <c r="Y523" i="7" s="1"/>
  <c r="Q524" i="7"/>
  <c r="Y524" i="7" s="1"/>
  <c r="Q525" i="7"/>
  <c r="Y525" i="7" s="1"/>
  <c r="Q526" i="7"/>
  <c r="Y526" i="7" s="1"/>
  <c r="Q527" i="7"/>
  <c r="Y527" i="7" s="1"/>
  <c r="Q528" i="7"/>
  <c r="Y528" i="7" s="1"/>
  <c r="Q529" i="7"/>
  <c r="Y529" i="7" s="1"/>
  <c r="Q530" i="7"/>
  <c r="Y530" i="7" s="1"/>
  <c r="Q531" i="7"/>
  <c r="Y531" i="7" s="1"/>
  <c r="Q532" i="7"/>
  <c r="Y532" i="7" s="1"/>
  <c r="Q533" i="7"/>
  <c r="Y533" i="7" s="1"/>
  <c r="Q534" i="7"/>
  <c r="Y534" i="7" s="1"/>
  <c r="Q535" i="7"/>
  <c r="Y535" i="7" s="1"/>
  <c r="Q536" i="7"/>
  <c r="Y536" i="7" s="1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AB498" i="7"/>
  <c r="AB499" i="7"/>
  <c r="AB500" i="7"/>
  <c r="AB501" i="7"/>
  <c r="AB502" i="7"/>
  <c r="AB503" i="7"/>
  <c r="AB504" i="7"/>
  <c r="AB505" i="7"/>
  <c r="AB506" i="7"/>
  <c r="AB507" i="7"/>
  <c r="AB508" i="7"/>
  <c r="AB509" i="7"/>
  <c r="AB510" i="7"/>
  <c r="AB511" i="7"/>
  <c r="AB512" i="7"/>
  <c r="AB513" i="7"/>
  <c r="AB514" i="7"/>
  <c r="AB515" i="7"/>
  <c r="AB516" i="7"/>
  <c r="AB517" i="7"/>
  <c r="AB518" i="7"/>
  <c r="AB519" i="7"/>
  <c r="AB520" i="7"/>
  <c r="AB521" i="7"/>
  <c r="AB522" i="7"/>
  <c r="AB523" i="7"/>
  <c r="AB524" i="7"/>
  <c r="AB525" i="7"/>
  <c r="AB526" i="7"/>
  <c r="AB527" i="7"/>
  <c r="AB528" i="7"/>
  <c r="AB529" i="7"/>
  <c r="AB530" i="7"/>
  <c r="AB531" i="7"/>
  <c r="AB532" i="7"/>
  <c r="AB533" i="7"/>
  <c r="AB534" i="7"/>
  <c r="AB535" i="7"/>
  <c r="AB536" i="7"/>
  <c r="B42" i="6"/>
  <c r="C42" i="6"/>
  <c r="N42" i="6"/>
  <c r="Q42" i="6"/>
  <c r="R42" i="6"/>
  <c r="AB42" i="6"/>
  <c r="C308" i="3"/>
  <c r="C309" i="3"/>
  <c r="C310" i="3"/>
  <c r="N308" i="3"/>
  <c r="N309" i="3"/>
  <c r="N310" i="3"/>
  <c r="Q308" i="3"/>
  <c r="Q309" i="3"/>
  <c r="Q310" i="3"/>
  <c r="R308" i="3"/>
  <c r="R309" i="3"/>
  <c r="R310" i="3"/>
  <c r="AB308" i="3"/>
  <c r="AB309" i="3"/>
  <c r="AB310" i="3"/>
  <c r="C307" i="3"/>
  <c r="N307" i="3"/>
  <c r="Q307" i="3"/>
  <c r="R307" i="3"/>
  <c r="AB307" i="3"/>
  <c r="N676" i="9"/>
  <c r="C676" i="9"/>
  <c r="O676" i="9"/>
  <c r="R676" i="9"/>
  <c r="S676" i="9"/>
  <c r="AC676" i="9"/>
  <c r="N675" i="9"/>
  <c r="C675" i="9"/>
  <c r="O675" i="9"/>
  <c r="R675" i="9"/>
  <c r="S675" i="9"/>
  <c r="AC675" i="9"/>
  <c r="C121" i="5"/>
  <c r="N121" i="5"/>
  <c r="Q121" i="5"/>
  <c r="R121" i="5"/>
  <c r="AB121" i="5"/>
  <c r="C122" i="5"/>
  <c r="N122" i="5"/>
  <c r="Q122" i="5"/>
  <c r="R122" i="5"/>
  <c r="AB122" i="5"/>
  <c r="C123" i="5"/>
  <c r="N123" i="5"/>
  <c r="Q123" i="5"/>
  <c r="R123" i="5"/>
  <c r="AB123" i="5"/>
  <c r="C120" i="5"/>
  <c r="C124" i="5"/>
  <c r="N120" i="5"/>
  <c r="N124" i="5"/>
  <c r="Q120" i="5"/>
  <c r="Q124" i="5"/>
  <c r="R120" i="5"/>
  <c r="R124" i="5"/>
  <c r="AB120" i="5"/>
  <c r="AB124" i="5"/>
  <c r="C304" i="3" l="1"/>
  <c r="N304" i="3"/>
  <c r="Q304" i="3"/>
  <c r="R304" i="3"/>
  <c r="AB304" i="3"/>
  <c r="C305" i="3"/>
  <c r="N305" i="3"/>
  <c r="Q305" i="3"/>
  <c r="R305" i="3"/>
  <c r="AB305" i="3"/>
  <c r="B604" i="8"/>
  <c r="N604" i="8" s="1"/>
  <c r="C604" i="8"/>
  <c r="O604" i="8"/>
  <c r="R604" i="8"/>
  <c r="S604" i="8"/>
  <c r="AC604" i="8"/>
  <c r="C303" i="3"/>
  <c r="N303" i="3"/>
  <c r="Q303" i="3"/>
  <c r="R303" i="3"/>
  <c r="AB303" i="3"/>
  <c r="N674" i="9" l="1"/>
  <c r="C674" i="9"/>
  <c r="O674" i="9"/>
  <c r="R674" i="9"/>
  <c r="S674" i="9"/>
  <c r="AC674" i="9"/>
  <c r="S601" i="8" l="1"/>
  <c r="B603" i="8"/>
  <c r="N603" i="8" s="1"/>
  <c r="C603" i="8"/>
  <c r="O603" i="8"/>
  <c r="R603" i="8"/>
  <c r="S603" i="8"/>
  <c r="AC603" i="8"/>
  <c r="B602" i="8"/>
  <c r="N602" i="8" s="1"/>
  <c r="C602" i="8"/>
  <c r="O602" i="8"/>
  <c r="R602" i="8"/>
  <c r="S602" i="8"/>
  <c r="AC602" i="8"/>
  <c r="B601" i="8"/>
  <c r="N601" i="8" s="1"/>
  <c r="C601" i="8"/>
  <c r="O601" i="8"/>
  <c r="R601" i="8"/>
  <c r="AC601" i="8"/>
  <c r="B600" i="8"/>
  <c r="N600" i="8" s="1"/>
  <c r="C600" i="8"/>
  <c r="O600" i="8"/>
  <c r="R600" i="8"/>
  <c r="S600" i="8"/>
  <c r="AC600" i="8"/>
  <c r="B599" i="8"/>
  <c r="N599" i="8" s="1"/>
  <c r="C599" i="8"/>
  <c r="O599" i="8"/>
  <c r="R599" i="8"/>
  <c r="S599" i="8"/>
  <c r="AC599" i="8"/>
  <c r="B598" i="8"/>
  <c r="N598" i="8" s="1"/>
  <c r="C598" i="8"/>
  <c r="O598" i="8"/>
  <c r="R598" i="8"/>
  <c r="S598" i="8"/>
  <c r="AC598" i="8"/>
  <c r="B597" i="8"/>
  <c r="N597" i="8" s="1"/>
  <c r="C597" i="8"/>
  <c r="O597" i="8"/>
  <c r="R597" i="8"/>
  <c r="S597" i="8"/>
  <c r="AC597" i="8"/>
  <c r="B596" i="8"/>
  <c r="N596" i="8" s="1"/>
  <c r="C596" i="8"/>
  <c r="O596" i="8"/>
  <c r="R596" i="8"/>
  <c r="S596" i="8"/>
  <c r="AC596" i="8"/>
  <c r="B595" i="8"/>
  <c r="N595" i="8" s="1"/>
  <c r="C595" i="8"/>
  <c r="O595" i="8"/>
  <c r="R595" i="8"/>
  <c r="S595" i="8"/>
  <c r="AC595" i="8"/>
  <c r="B594" i="8"/>
  <c r="N594" i="8" s="1"/>
  <c r="C594" i="8"/>
  <c r="O594" i="8"/>
  <c r="R594" i="8"/>
  <c r="S594" i="8"/>
  <c r="AC594" i="8"/>
  <c r="B593" i="8"/>
  <c r="N593" i="8" s="1"/>
  <c r="C593" i="8"/>
  <c r="O593" i="8"/>
  <c r="R593" i="8"/>
  <c r="S593" i="8"/>
  <c r="AC593" i="8"/>
  <c r="B592" i="8"/>
  <c r="N592" i="8" s="1"/>
  <c r="C592" i="8"/>
  <c r="O592" i="8"/>
  <c r="R592" i="8"/>
  <c r="S592" i="8"/>
  <c r="AC592" i="8"/>
  <c r="B591" i="8"/>
  <c r="N591" i="8" s="1"/>
  <c r="C591" i="8"/>
  <c r="O591" i="8"/>
  <c r="R591" i="8"/>
  <c r="S591" i="8"/>
  <c r="AC591" i="8"/>
  <c r="B590" i="8"/>
  <c r="N590" i="8" s="1"/>
  <c r="C590" i="8"/>
  <c r="O590" i="8"/>
  <c r="R590" i="8"/>
  <c r="S590" i="8"/>
  <c r="AC590" i="8"/>
  <c r="C589" i="8"/>
  <c r="O589" i="8"/>
  <c r="R589" i="8"/>
  <c r="S589" i="8"/>
  <c r="AC589" i="8"/>
  <c r="C306" i="3"/>
  <c r="N306" i="3"/>
  <c r="Q306" i="3"/>
  <c r="R306" i="3"/>
  <c r="AB306" i="3"/>
  <c r="C302" i="3" l="1"/>
  <c r="N302" i="3"/>
  <c r="Q302" i="3"/>
  <c r="R302" i="3"/>
  <c r="AB302" i="3"/>
  <c r="C291" i="3"/>
  <c r="N291" i="3"/>
  <c r="Q291" i="3"/>
  <c r="R291" i="3"/>
  <c r="AB291" i="3"/>
  <c r="B587" i="8"/>
  <c r="C587" i="8"/>
  <c r="O587" i="8"/>
  <c r="R587" i="8"/>
  <c r="S587" i="8"/>
  <c r="AC587" i="8"/>
  <c r="B586" i="8"/>
  <c r="C586" i="8"/>
  <c r="O586" i="8"/>
  <c r="R586" i="8"/>
  <c r="S586" i="8"/>
  <c r="AC586" i="8"/>
  <c r="N673" i="9"/>
  <c r="C673" i="9"/>
  <c r="O673" i="9"/>
  <c r="R673" i="9"/>
  <c r="S673" i="9"/>
  <c r="AC673" i="9"/>
  <c r="C369" i="18" l="1"/>
  <c r="N369" i="18"/>
  <c r="R369" i="18"/>
  <c r="Y369" i="18"/>
  <c r="AB369" i="18"/>
  <c r="B585" i="8" l="1"/>
  <c r="N585" i="8" s="1"/>
  <c r="N586" i="8" s="1"/>
  <c r="N587" i="8" s="1"/>
  <c r="C585" i="8"/>
  <c r="R585" i="8"/>
  <c r="S585" i="8"/>
  <c r="AC585" i="8"/>
  <c r="C297" i="3"/>
  <c r="N297" i="3"/>
  <c r="Q297" i="3"/>
  <c r="R297" i="3"/>
  <c r="AB297" i="3"/>
  <c r="C293" i="3"/>
  <c r="N293" i="3"/>
  <c r="Q293" i="3"/>
  <c r="R293" i="3"/>
  <c r="AB293" i="3"/>
  <c r="C119" i="5" l="1"/>
  <c r="N119" i="5"/>
  <c r="Q119" i="5"/>
  <c r="R119" i="5"/>
  <c r="AB119" i="5"/>
  <c r="C292" i="3"/>
  <c r="N292" i="3"/>
  <c r="Q292" i="3"/>
  <c r="R292" i="3"/>
  <c r="AB292" i="3"/>
  <c r="B584" i="8"/>
  <c r="C584" i="8"/>
  <c r="O584" i="8"/>
  <c r="R584" i="8"/>
  <c r="S584" i="8"/>
  <c r="AC584" i="8"/>
  <c r="B583" i="8"/>
  <c r="C583" i="8"/>
  <c r="O583" i="8"/>
  <c r="R583" i="8"/>
  <c r="S583" i="8"/>
  <c r="AC583" i="8"/>
  <c r="B582" i="8"/>
  <c r="N582" i="8" s="1"/>
  <c r="N583" i="8" s="1"/>
  <c r="N584" i="8" s="1"/>
  <c r="C582" i="8"/>
  <c r="O582" i="8"/>
  <c r="R582" i="8"/>
  <c r="S582" i="8"/>
  <c r="AC582" i="8"/>
  <c r="N672" i="9"/>
  <c r="C672" i="9"/>
  <c r="O672" i="9"/>
  <c r="R672" i="9"/>
  <c r="S672" i="9"/>
  <c r="AC672" i="9"/>
  <c r="N671" i="9"/>
  <c r="C671" i="9"/>
  <c r="O671" i="9"/>
  <c r="R671" i="9"/>
  <c r="S671" i="9"/>
  <c r="AC671" i="9"/>
  <c r="AB397" i="23" l="1"/>
  <c r="R397" i="23"/>
  <c r="Q397" i="23"/>
  <c r="N397" i="23"/>
  <c r="C397" i="23"/>
  <c r="AB396" i="23"/>
  <c r="R396" i="23"/>
  <c r="Q396" i="23"/>
  <c r="N396" i="23"/>
  <c r="C396" i="23"/>
  <c r="AB395" i="23"/>
  <c r="R395" i="23"/>
  <c r="Q395" i="23"/>
  <c r="N395" i="23"/>
  <c r="C395" i="23"/>
  <c r="N670" i="9" l="1"/>
  <c r="C670" i="9"/>
  <c r="O670" i="9"/>
  <c r="R670" i="9"/>
  <c r="S670" i="9"/>
  <c r="AC670" i="9"/>
  <c r="Y5" i="13" l="1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Y102" i="13"/>
  <c r="Y103" i="13"/>
  <c r="Y104" i="13"/>
  <c r="Y105" i="13"/>
  <c r="Y106" i="13"/>
  <c r="Y107" i="13"/>
  <c r="Y108" i="13"/>
  <c r="Y109" i="13"/>
  <c r="Y110" i="13"/>
  <c r="Y111" i="13"/>
  <c r="Y112" i="13"/>
  <c r="Y113" i="13"/>
  <c r="Y114" i="13"/>
  <c r="Y115" i="13"/>
  <c r="Y116" i="13"/>
  <c r="Y117" i="13"/>
  <c r="Y118" i="13"/>
  <c r="Y119" i="13"/>
  <c r="Y120" i="13"/>
  <c r="Y121" i="13"/>
  <c r="Y122" i="13"/>
  <c r="Y123" i="13"/>
  <c r="Y124" i="13"/>
  <c r="Y125" i="13"/>
  <c r="Y126" i="13"/>
  <c r="Y127" i="13"/>
  <c r="Y128" i="13"/>
  <c r="Y129" i="13"/>
  <c r="Y130" i="13"/>
  <c r="Y131" i="13"/>
  <c r="Y132" i="13"/>
  <c r="Y133" i="13"/>
  <c r="Y134" i="13"/>
  <c r="Y135" i="13"/>
  <c r="Y136" i="13"/>
  <c r="Y137" i="13"/>
  <c r="Y138" i="13"/>
  <c r="Y139" i="13"/>
  <c r="Y140" i="13"/>
  <c r="Y141" i="13"/>
  <c r="Y142" i="13"/>
  <c r="Y143" i="13"/>
  <c r="Y144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Y168" i="13"/>
  <c r="Y169" i="13"/>
  <c r="Y170" i="13"/>
  <c r="Y171" i="13"/>
  <c r="Y172" i="13"/>
  <c r="Y173" i="13"/>
  <c r="Y174" i="13"/>
  <c r="Y175" i="13"/>
  <c r="Y176" i="13"/>
  <c r="Y177" i="13"/>
  <c r="Y178" i="13"/>
  <c r="Y179" i="13"/>
  <c r="Y180" i="13"/>
  <c r="Y181" i="13"/>
  <c r="Y182" i="13"/>
  <c r="Y183" i="13"/>
  <c r="Y184" i="13"/>
  <c r="Y185" i="13"/>
  <c r="Y186" i="13"/>
  <c r="Y187" i="13"/>
  <c r="Y188" i="13"/>
  <c r="Y189" i="13"/>
  <c r="Y190" i="13"/>
  <c r="Y191" i="13"/>
  <c r="Y192" i="13"/>
  <c r="Y193" i="13"/>
  <c r="Y194" i="13"/>
  <c r="Y195" i="13"/>
  <c r="Y196" i="13"/>
  <c r="Y197" i="13"/>
  <c r="Y198" i="13"/>
  <c r="Y199" i="13"/>
  <c r="Y200" i="13"/>
  <c r="Y201" i="13"/>
  <c r="Y202" i="13"/>
  <c r="Y203" i="13"/>
  <c r="Y204" i="13"/>
  <c r="Y205" i="13"/>
  <c r="Y206" i="13"/>
  <c r="Y207" i="13"/>
  <c r="Y208" i="13"/>
  <c r="Y209" i="13"/>
  <c r="Y210" i="13"/>
  <c r="Y211" i="13"/>
  <c r="Y212" i="13"/>
  <c r="Y213" i="13"/>
  <c r="Y214" i="13"/>
  <c r="Y215" i="13"/>
  <c r="Y216" i="13"/>
  <c r="Y217" i="13"/>
  <c r="Y218" i="13"/>
  <c r="Y219" i="13"/>
  <c r="Y220" i="13"/>
  <c r="Y221" i="13"/>
  <c r="Y222" i="13"/>
  <c r="Y223" i="13"/>
  <c r="Y224" i="13"/>
  <c r="Y225" i="13"/>
  <c r="Y226" i="13"/>
  <c r="Y227" i="13"/>
  <c r="Y228" i="13"/>
  <c r="Y229" i="13"/>
  <c r="Y230" i="13"/>
  <c r="Y231" i="13"/>
  <c r="Y232" i="13"/>
  <c r="Y233" i="13"/>
  <c r="Y234" i="13"/>
  <c r="Y235" i="13"/>
  <c r="Y236" i="13"/>
  <c r="Y237" i="13"/>
  <c r="Y238" i="13"/>
  <c r="Y239" i="13"/>
  <c r="Y240" i="13"/>
  <c r="Y241" i="13"/>
  <c r="Y242" i="13"/>
  <c r="Y243" i="13"/>
  <c r="Y244" i="13"/>
  <c r="Y245" i="13"/>
  <c r="C237" i="13"/>
  <c r="C238" i="13"/>
  <c r="C239" i="13"/>
  <c r="C240" i="13"/>
  <c r="C241" i="13"/>
  <c r="C242" i="13"/>
  <c r="C243" i="13"/>
  <c r="C244" i="13"/>
  <c r="C245" i="13"/>
  <c r="N237" i="13"/>
  <c r="N238" i="13"/>
  <c r="N239" i="13"/>
  <c r="N240" i="13"/>
  <c r="N241" i="13"/>
  <c r="N242" i="13"/>
  <c r="N243" i="13"/>
  <c r="N244" i="13"/>
  <c r="N245" i="13"/>
  <c r="Q237" i="13"/>
  <c r="Q238" i="13"/>
  <c r="Q239" i="13"/>
  <c r="Q240" i="13"/>
  <c r="Q241" i="13"/>
  <c r="Q242" i="13"/>
  <c r="Q243" i="13"/>
  <c r="Q244" i="13"/>
  <c r="Q245" i="13"/>
  <c r="R237" i="13"/>
  <c r="R238" i="13"/>
  <c r="R239" i="13"/>
  <c r="R240" i="13"/>
  <c r="R241" i="13"/>
  <c r="R242" i="13"/>
  <c r="R243" i="13"/>
  <c r="R244" i="13"/>
  <c r="R245" i="13"/>
  <c r="AB237" i="13"/>
  <c r="AB238" i="13"/>
  <c r="AB239" i="13"/>
  <c r="AB240" i="13"/>
  <c r="AB241" i="13"/>
  <c r="AB242" i="13"/>
  <c r="AB243" i="13"/>
  <c r="AB244" i="13"/>
  <c r="AB245" i="13"/>
  <c r="N669" i="9"/>
  <c r="C669" i="9"/>
  <c r="O669" i="9"/>
  <c r="R669" i="9"/>
  <c r="S669" i="9"/>
  <c r="AC669" i="9"/>
  <c r="N668" i="9"/>
  <c r="C668" i="9"/>
  <c r="O668" i="9"/>
  <c r="R668" i="9"/>
  <c r="S668" i="9"/>
  <c r="AC668" i="9"/>
  <c r="N667" i="9"/>
  <c r="C667" i="9"/>
  <c r="O667" i="9"/>
  <c r="R667" i="9"/>
  <c r="S667" i="9"/>
  <c r="AC667" i="9"/>
  <c r="N666" i="9"/>
  <c r="C666" i="9"/>
  <c r="O666" i="9"/>
  <c r="R666" i="9"/>
  <c r="S666" i="9"/>
  <c r="AC666" i="9"/>
  <c r="R37" i="6" l="1"/>
  <c r="Q40" i="6"/>
  <c r="B41" i="6"/>
  <c r="C41" i="6"/>
  <c r="N41" i="6"/>
  <c r="Q41" i="6"/>
  <c r="R41" i="6"/>
  <c r="AB41" i="6"/>
  <c r="B40" i="6"/>
  <c r="C40" i="6"/>
  <c r="N40" i="6"/>
  <c r="R40" i="6"/>
  <c r="AB40" i="6"/>
  <c r="B39" i="6"/>
  <c r="C39" i="6"/>
  <c r="N39" i="6"/>
  <c r="Q39" i="6"/>
  <c r="R39" i="6"/>
  <c r="AB39" i="6"/>
  <c r="AC581" i="8" l="1"/>
  <c r="S581" i="8"/>
  <c r="R581" i="8"/>
  <c r="O581" i="8"/>
  <c r="C581" i="8"/>
  <c r="B581" i="8"/>
  <c r="N581" i="8" s="1"/>
  <c r="U786" i="9"/>
  <c r="N5" i="17" l="1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8" i="17"/>
  <c r="N199" i="17"/>
  <c r="N200" i="17"/>
  <c r="N201" i="17"/>
  <c r="N202" i="17"/>
  <c r="C202" i="17"/>
  <c r="Q202" i="17"/>
  <c r="R202" i="17"/>
  <c r="Y202" i="17"/>
  <c r="AB202" i="17"/>
  <c r="C201" i="17"/>
  <c r="Q201" i="17"/>
  <c r="R201" i="17"/>
  <c r="Y201" i="17"/>
  <c r="AB201" i="17"/>
  <c r="C200" i="17"/>
  <c r="Q200" i="17"/>
  <c r="R200" i="17"/>
  <c r="Y200" i="17"/>
  <c r="AB200" i="17"/>
  <c r="C199" i="17"/>
  <c r="Q199" i="17"/>
  <c r="R199" i="17"/>
  <c r="Y199" i="17"/>
  <c r="AB199" i="17"/>
  <c r="AC580" i="8"/>
  <c r="S580" i="8"/>
  <c r="R580" i="8"/>
  <c r="O580" i="8"/>
  <c r="C580" i="8"/>
  <c r="B580" i="8"/>
  <c r="N580" i="8" s="1"/>
  <c r="N665" i="9" l="1"/>
  <c r="C665" i="9"/>
  <c r="O665" i="9"/>
  <c r="R665" i="9"/>
  <c r="S665" i="9"/>
  <c r="AC665" i="9"/>
  <c r="N664" i="9"/>
  <c r="C664" i="9"/>
  <c r="O664" i="9"/>
  <c r="R664" i="9"/>
  <c r="S664" i="9"/>
  <c r="AC664" i="9"/>
  <c r="N663" i="9"/>
  <c r="C663" i="9"/>
  <c r="O663" i="9"/>
  <c r="R663" i="9"/>
  <c r="S663" i="9"/>
  <c r="AC663" i="9"/>
  <c r="B579" i="8" l="1"/>
  <c r="C579" i="8"/>
  <c r="O579" i="8"/>
  <c r="R579" i="8"/>
  <c r="S579" i="8"/>
  <c r="AC579" i="8"/>
  <c r="B578" i="8"/>
  <c r="C578" i="8"/>
  <c r="O578" i="8"/>
  <c r="R578" i="8"/>
  <c r="S578" i="8"/>
  <c r="AC578" i="8"/>
  <c r="B577" i="8"/>
  <c r="N577" i="8" s="1"/>
  <c r="N578" i="8" s="1"/>
  <c r="N579" i="8" s="1"/>
  <c r="C577" i="8"/>
  <c r="O577" i="8"/>
  <c r="R577" i="8"/>
  <c r="S577" i="8"/>
  <c r="AC577" i="8"/>
  <c r="N662" i="9"/>
  <c r="C662" i="9"/>
  <c r="O662" i="9"/>
  <c r="R662" i="9"/>
  <c r="S662" i="9"/>
  <c r="AC662" i="9"/>
  <c r="N661" i="9"/>
  <c r="C661" i="9"/>
  <c r="O661" i="9"/>
  <c r="R661" i="9"/>
  <c r="S661" i="9"/>
  <c r="AC661" i="9"/>
  <c r="N660" i="9" l="1"/>
  <c r="C660" i="9"/>
  <c r="O660" i="9"/>
  <c r="R660" i="9"/>
  <c r="S660" i="9"/>
  <c r="AC660" i="9"/>
  <c r="Y5" i="21" l="1"/>
  <c r="Y6" i="21"/>
  <c r="Y7" i="21"/>
  <c r="Y8" i="21"/>
  <c r="Y9" i="21"/>
  <c r="Y10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59" i="21"/>
  <c r="Y60" i="21"/>
  <c r="Y61" i="21"/>
  <c r="Y62" i="21"/>
  <c r="Y63" i="21"/>
  <c r="Y64" i="21"/>
  <c r="Y65" i="21"/>
  <c r="Y66" i="21"/>
  <c r="Y67" i="21"/>
  <c r="Y68" i="21"/>
  <c r="Y69" i="21"/>
  <c r="Y70" i="21"/>
  <c r="Y71" i="21"/>
  <c r="Y72" i="21"/>
  <c r="Y73" i="21"/>
  <c r="Y74" i="21"/>
  <c r="Y75" i="21"/>
  <c r="Y76" i="21"/>
  <c r="Y77" i="21"/>
  <c r="Y78" i="21"/>
  <c r="Y79" i="21"/>
  <c r="Y80" i="21"/>
  <c r="Y81" i="21"/>
  <c r="Y82" i="21"/>
  <c r="Y83" i="21"/>
  <c r="Y84" i="21"/>
  <c r="Y85" i="21"/>
  <c r="Y86" i="21"/>
  <c r="Y87" i="21"/>
  <c r="Y88" i="21"/>
  <c r="Y89" i="21"/>
  <c r="Y90" i="21"/>
  <c r="Y91" i="21"/>
  <c r="Y92" i="21"/>
  <c r="Y93" i="21"/>
  <c r="Y94" i="21"/>
  <c r="Y95" i="21"/>
  <c r="Y96" i="21"/>
  <c r="Y97" i="21"/>
  <c r="Y98" i="21"/>
  <c r="Y99" i="21"/>
  <c r="Y100" i="21"/>
  <c r="Y101" i="21"/>
  <c r="Y102" i="21"/>
  <c r="Y103" i="21"/>
  <c r="Y104" i="21"/>
  <c r="Y105" i="21"/>
  <c r="Y106" i="21"/>
  <c r="Y107" i="21"/>
  <c r="Y108" i="21"/>
  <c r="Y109" i="21"/>
  <c r="Y110" i="21"/>
  <c r="Y111" i="21"/>
  <c r="Y112" i="21"/>
  <c r="Y113" i="21"/>
  <c r="Y114" i="21"/>
  <c r="Y115" i="21"/>
  <c r="Y116" i="21"/>
  <c r="Y117" i="21"/>
  <c r="Y118" i="21"/>
  <c r="Y119" i="21"/>
  <c r="Y120" i="21"/>
  <c r="Y121" i="21"/>
  <c r="Y122" i="21"/>
  <c r="Y123" i="21"/>
  <c r="Y124" i="21"/>
  <c r="Y125" i="21"/>
  <c r="Y126" i="21"/>
  <c r="Y127" i="21"/>
  <c r="Y128" i="21"/>
  <c r="Y129" i="21"/>
  <c r="Y130" i="21"/>
  <c r="Y131" i="21"/>
  <c r="Y132" i="21"/>
  <c r="Y133" i="21"/>
  <c r="Y134" i="21"/>
  <c r="Y135" i="21"/>
  <c r="Y136" i="21"/>
  <c r="Y137" i="21"/>
  <c r="Y138" i="21"/>
  <c r="Y139" i="21"/>
  <c r="Y140" i="21"/>
  <c r="Y141" i="21"/>
  <c r="Y142" i="21"/>
  <c r="Y143" i="21"/>
  <c r="Y144" i="21"/>
  <c r="Y145" i="21"/>
  <c r="Y146" i="21"/>
  <c r="Y147" i="21"/>
  <c r="Y148" i="21"/>
  <c r="Y149" i="21"/>
  <c r="Y150" i="21"/>
  <c r="Y151" i="21"/>
  <c r="Y152" i="21"/>
  <c r="Y153" i="21"/>
  <c r="Y154" i="21"/>
  <c r="Y155" i="21"/>
  <c r="Y156" i="21"/>
  <c r="Y157" i="21"/>
  <c r="Y158" i="21"/>
  <c r="Y159" i="21"/>
  <c r="Y160" i="21"/>
  <c r="Y161" i="21"/>
  <c r="Y162" i="21"/>
  <c r="Y163" i="21"/>
  <c r="Y164" i="21"/>
  <c r="Y165" i="21"/>
  <c r="Y166" i="21"/>
  <c r="Y167" i="21"/>
  <c r="Y168" i="21"/>
  <c r="Y169" i="21"/>
  <c r="Y170" i="21"/>
  <c r="Y171" i="21"/>
  <c r="Y172" i="21"/>
  <c r="Y173" i="21"/>
  <c r="Y174" i="21"/>
  <c r="Y175" i="21"/>
  <c r="Y176" i="21"/>
  <c r="Y177" i="21"/>
  <c r="Y178" i="21"/>
  <c r="Y179" i="21"/>
  <c r="Y180" i="21"/>
  <c r="Y181" i="21"/>
  <c r="Y182" i="21"/>
  <c r="Y183" i="21"/>
  <c r="Y184" i="21"/>
  <c r="Y185" i="21"/>
  <c r="Y186" i="21"/>
  <c r="Y187" i="21"/>
  <c r="Y188" i="21"/>
  <c r="Y189" i="21"/>
  <c r="Y190" i="21"/>
  <c r="Y191" i="21"/>
  <c r="Y192" i="21"/>
  <c r="Y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217" i="21"/>
  <c r="Y218" i="21"/>
  <c r="Y219" i="21"/>
  <c r="Y220" i="21"/>
  <c r="Y221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C234" i="21" l="1"/>
  <c r="C235" i="21"/>
  <c r="C236" i="21"/>
  <c r="C237" i="21"/>
  <c r="C238" i="21"/>
  <c r="C239" i="21"/>
  <c r="C240" i="21"/>
  <c r="C241" i="21"/>
  <c r="C242" i="21"/>
  <c r="N234" i="21"/>
  <c r="N235" i="21"/>
  <c r="N236" i="21"/>
  <c r="N237" i="21"/>
  <c r="N238" i="21"/>
  <c r="N239" i="21"/>
  <c r="N240" i="21"/>
  <c r="N241" i="21"/>
  <c r="N242" i="21"/>
  <c r="Q234" i="21"/>
  <c r="Q235" i="21"/>
  <c r="Q236" i="21"/>
  <c r="Q237" i="21"/>
  <c r="Q238" i="21"/>
  <c r="Q239" i="21"/>
  <c r="Q240" i="21"/>
  <c r="Q241" i="21"/>
  <c r="Q242" i="21"/>
  <c r="R234" i="21"/>
  <c r="R235" i="21"/>
  <c r="R236" i="21"/>
  <c r="R237" i="21"/>
  <c r="R238" i="21"/>
  <c r="R239" i="21"/>
  <c r="R240" i="21"/>
  <c r="R241" i="21"/>
  <c r="R242" i="21"/>
  <c r="AB234" i="21"/>
  <c r="AB235" i="21"/>
  <c r="AB236" i="21"/>
  <c r="AB237" i="21"/>
  <c r="AB238" i="21"/>
  <c r="AB239" i="21"/>
  <c r="AB240" i="21"/>
  <c r="AB241" i="21"/>
  <c r="AB242" i="21"/>
  <c r="C390" i="23" l="1"/>
  <c r="N390" i="23"/>
  <c r="Q390" i="23"/>
  <c r="R390" i="23"/>
  <c r="AB390" i="23"/>
  <c r="C394" i="23"/>
  <c r="N394" i="23"/>
  <c r="Q394" i="23"/>
  <c r="R394" i="23"/>
  <c r="AB394" i="23"/>
  <c r="C393" i="23"/>
  <c r="N393" i="23"/>
  <c r="Q393" i="23"/>
  <c r="R393" i="23"/>
  <c r="AB393" i="23"/>
  <c r="C392" i="23"/>
  <c r="N392" i="23"/>
  <c r="Q392" i="23"/>
  <c r="R392" i="23"/>
  <c r="AB392" i="23"/>
  <c r="C391" i="23"/>
  <c r="N391" i="23"/>
  <c r="Q391" i="23"/>
  <c r="R391" i="23"/>
  <c r="AB391" i="23"/>
  <c r="C389" i="23"/>
  <c r="N389" i="23"/>
  <c r="Q389" i="23"/>
  <c r="R389" i="23"/>
  <c r="AB389" i="23"/>
  <c r="C388" i="23"/>
  <c r="N388" i="23"/>
  <c r="Q388" i="23"/>
  <c r="R388" i="23"/>
  <c r="AB388" i="23"/>
  <c r="C387" i="23"/>
  <c r="N387" i="23"/>
  <c r="Q387" i="23"/>
  <c r="R387" i="23"/>
  <c r="AB387" i="23"/>
  <c r="C386" i="23"/>
  <c r="N386" i="23"/>
  <c r="Q386" i="23"/>
  <c r="R386" i="23"/>
  <c r="AB386" i="23"/>
  <c r="C385" i="23"/>
  <c r="N385" i="23"/>
  <c r="Q385" i="23"/>
  <c r="R385" i="23"/>
  <c r="AB385" i="23"/>
  <c r="C383" i="23"/>
  <c r="N383" i="23"/>
  <c r="Q383" i="23"/>
  <c r="R383" i="23"/>
  <c r="AB383" i="23"/>
  <c r="C384" i="23"/>
  <c r="N384" i="23"/>
  <c r="Q384" i="23"/>
  <c r="R384" i="23"/>
  <c r="AB384" i="23"/>
  <c r="C382" i="23"/>
  <c r="N382" i="23"/>
  <c r="Q382" i="23"/>
  <c r="R382" i="23"/>
  <c r="AB382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7" i="23"/>
  <c r="C238" i="23"/>
  <c r="C239" i="23"/>
  <c r="C240" i="23"/>
  <c r="C241" i="23"/>
  <c r="C242" i="23"/>
  <c r="C243" i="23"/>
  <c r="C244" i="23"/>
  <c r="C245" i="23"/>
  <c r="C246" i="23"/>
  <c r="C247" i="23"/>
  <c r="C248" i="23"/>
  <c r="C249" i="23"/>
  <c r="C250" i="23"/>
  <c r="C251" i="23"/>
  <c r="C252" i="23"/>
  <c r="C253" i="23"/>
  <c r="C254" i="23"/>
  <c r="C255" i="23"/>
  <c r="C256" i="23"/>
  <c r="C257" i="23"/>
  <c r="C258" i="23"/>
  <c r="C259" i="23"/>
  <c r="C260" i="23"/>
  <c r="C261" i="23"/>
  <c r="C262" i="23"/>
  <c r="C263" i="23"/>
  <c r="C264" i="23"/>
  <c r="C265" i="23"/>
  <c r="C266" i="23"/>
  <c r="C267" i="23"/>
  <c r="C268" i="23"/>
  <c r="C269" i="23"/>
  <c r="C270" i="23"/>
  <c r="C271" i="23"/>
  <c r="C272" i="23"/>
  <c r="C273" i="23"/>
  <c r="C274" i="23"/>
  <c r="C275" i="23"/>
  <c r="C276" i="23"/>
  <c r="C277" i="23"/>
  <c r="C278" i="23"/>
  <c r="C279" i="23"/>
  <c r="C280" i="23"/>
  <c r="C281" i="23"/>
  <c r="C282" i="23"/>
  <c r="C283" i="23"/>
  <c r="C284" i="23"/>
  <c r="C285" i="23"/>
  <c r="C286" i="23"/>
  <c r="C287" i="23"/>
  <c r="C288" i="23"/>
  <c r="C289" i="23"/>
  <c r="C290" i="23"/>
  <c r="C291" i="23"/>
  <c r="C292" i="23"/>
  <c r="C293" i="23"/>
  <c r="C294" i="23"/>
  <c r="C295" i="23"/>
  <c r="C296" i="23"/>
  <c r="C297" i="23"/>
  <c r="C298" i="23"/>
  <c r="C299" i="23"/>
  <c r="C300" i="23"/>
  <c r="C301" i="23"/>
  <c r="C302" i="23"/>
  <c r="C303" i="23"/>
  <c r="C304" i="23"/>
  <c r="C305" i="23"/>
  <c r="C306" i="23"/>
  <c r="C307" i="23"/>
  <c r="C308" i="23"/>
  <c r="C309" i="23"/>
  <c r="C310" i="23"/>
  <c r="C311" i="23"/>
  <c r="C312" i="23"/>
  <c r="C313" i="23"/>
  <c r="C314" i="23"/>
  <c r="C315" i="23"/>
  <c r="C316" i="23"/>
  <c r="C317" i="23"/>
  <c r="C318" i="23"/>
  <c r="C319" i="23"/>
  <c r="C320" i="23"/>
  <c r="C321" i="23"/>
  <c r="C322" i="23"/>
  <c r="C323" i="23"/>
  <c r="C324" i="23"/>
  <c r="C325" i="23"/>
  <c r="C326" i="23"/>
  <c r="C327" i="23"/>
  <c r="C328" i="23"/>
  <c r="C329" i="23"/>
  <c r="C330" i="23"/>
  <c r="C331" i="23"/>
  <c r="C332" i="23"/>
  <c r="C333" i="23"/>
  <c r="C334" i="23"/>
  <c r="C335" i="23"/>
  <c r="C336" i="23"/>
  <c r="C337" i="23"/>
  <c r="C338" i="23"/>
  <c r="C339" i="23"/>
  <c r="C340" i="23"/>
  <c r="C341" i="23"/>
  <c r="C342" i="23"/>
  <c r="C343" i="23"/>
  <c r="C344" i="23"/>
  <c r="C345" i="23"/>
  <c r="C346" i="23"/>
  <c r="C347" i="23"/>
  <c r="C348" i="23"/>
  <c r="C349" i="23"/>
  <c r="C350" i="23"/>
  <c r="C351" i="23"/>
  <c r="C352" i="23"/>
  <c r="C353" i="23"/>
  <c r="C354" i="23"/>
  <c r="C355" i="23"/>
  <c r="C356" i="23"/>
  <c r="C357" i="23"/>
  <c r="C358" i="23"/>
  <c r="C359" i="23"/>
  <c r="C360" i="23"/>
  <c r="C361" i="23"/>
  <c r="C362" i="23"/>
  <c r="C363" i="23"/>
  <c r="C364" i="23"/>
  <c r="C365" i="23"/>
  <c r="C366" i="23"/>
  <c r="C367" i="23"/>
  <c r="C368" i="23"/>
  <c r="C369" i="23"/>
  <c r="C370" i="23"/>
  <c r="C371" i="23"/>
  <c r="C372" i="23"/>
  <c r="C373" i="23"/>
  <c r="C374" i="23"/>
  <c r="C375" i="23"/>
  <c r="C376" i="23"/>
  <c r="C377" i="23"/>
  <c r="C378" i="23"/>
  <c r="C379" i="23"/>
  <c r="C380" i="23"/>
  <c r="C381" i="23"/>
  <c r="N6" i="23"/>
  <c r="N7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24" i="23"/>
  <c r="N125" i="23"/>
  <c r="N126" i="23"/>
  <c r="N127" i="23"/>
  <c r="N128" i="23"/>
  <c r="N129" i="23"/>
  <c r="N130" i="23"/>
  <c r="N131" i="23"/>
  <c r="N132" i="23"/>
  <c r="N133" i="23"/>
  <c r="N134" i="23"/>
  <c r="N135" i="23"/>
  <c r="N136" i="23"/>
  <c r="N137" i="23"/>
  <c r="N138" i="23"/>
  <c r="N139" i="23"/>
  <c r="N140" i="23"/>
  <c r="N141" i="23"/>
  <c r="N142" i="23"/>
  <c r="N143" i="23"/>
  <c r="N144" i="23"/>
  <c r="N145" i="23"/>
  <c r="N146" i="23"/>
  <c r="N147" i="23"/>
  <c r="N148" i="23"/>
  <c r="N149" i="23"/>
  <c r="N150" i="23"/>
  <c r="N151" i="23"/>
  <c r="N152" i="23"/>
  <c r="N153" i="23"/>
  <c r="N154" i="23"/>
  <c r="N155" i="23"/>
  <c r="N156" i="23"/>
  <c r="N157" i="23"/>
  <c r="N158" i="23"/>
  <c r="N159" i="23"/>
  <c r="N160" i="23"/>
  <c r="N161" i="23"/>
  <c r="N162" i="23"/>
  <c r="N163" i="23"/>
  <c r="N164" i="23"/>
  <c r="N165" i="23"/>
  <c r="N166" i="23"/>
  <c r="N167" i="23"/>
  <c r="N168" i="23"/>
  <c r="N169" i="23"/>
  <c r="N170" i="23"/>
  <c r="N171" i="23"/>
  <c r="N172" i="23"/>
  <c r="N173" i="23"/>
  <c r="N174" i="23"/>
  <c r="N175" i="23"/>
  <c r="N176" i="23"/>
  <c r="N177" i="23"/>
  <c r="N178" i="23"/>
  <c r="N179" i="23"/>
  <c r="N180" i="23"/>
  <c r="N181" i="23"/>
  <c r="N182" i="23"/>
  <c r="N183" i="23"/>
  <c r="N184" i="23"/>
  <c r="N185" i="23"/>
  <c r="N186" i="23"/>
  <c r="N187" i="23"/>
  <c r="N188" i="23"/>
  <c r="N189" i="23"/>
  <c r="N190" i="23"/>
  <c r="N191" i="23"/>
  <c r="N192" i="23"/>
  <c r="N193" i="23"/>
  <c r="N194" i="23"/>
  <c r="N195" i="23"/>
  <c r="N196" i="23"/>
  <c r="N197" i="23"/>
  <c r="N198" i="23"/>
  <c r="N199" i="23"/>
  <c r="N200" i="23"/>
  <c r="N201" i="23"/>
  <c r="N202" i="23"/>
  <c r="N203" i="23"/>
  <c r="N204" i="23"/>
  <c r="N205" i="23"/>
  <c r="N206" i="23"/>
  <c r="N207" i="23"/>
  <c r="N208" i="23"/>
  <c r="N209" i="23"/>
  <c r="N210" i="23"/>
  <c r="N211" i="23"/>
  <c r="N212" i="23"/>
  <c r="N213" i="23"/>
  <c r="N214" i="23"/>
  <c r="N215" i="23"/>
  <c r="N216" i="23"/>
  <c r="N217" i="23"/>
  <c r="N218" i="23"/>
  <c r="N219" i="23"/>
  <c r="N220" i="23"/>
  <c r="N221" i="23"/>
  <c r="N222" i="23"/>
  <c r="N223" i="23"/>
  <c r="N224" i="23"/>
  <c r="N225" i="23"/>
  <c r="N226" i="23"/>
  <c r="N227" i="23"/>
  <c r="N228" i="23"/>
  <c r="N229" i="23"/>
  <c r="N230" i="23"/>
  <c r="N231" i="23"/>
  <c r="N232" i="23"/>
  <c r="N233" i="23"/>
  <c r="N234" i="23"/>
  <c r="N235" i="23"/>
  <c r="N236" i="23"/>
  <c r="N237" i="23"/>
  <c r="N238" i="23"/>
  <c r="N239" i="23"/>
  <c r="N240" i="23"/>
  <c r="N241" i="23"/>
  <c r="N242" i="23"/>
  <c r="N243" i="23"/>
  <c r="N244" i="23"/>
  <c r="N245" i="23"/>
  <c r="N246" i="23"/>
  <c r="N247" i="23"/>
  <c r="N248" i="23"/>
  <c r="N249" i="23"/>
  <c r="N250" i="23"/>
  <c r="N251" i="23"/>
  <c r="N252" i="23"/>
  <c r="N253" i="23"/>
  <c r="N254" i="23"/>
  <c r="N255" i="23"/>
  <c r="N256" i="23"/>
  <c r="N257" i="23"/>
  <c r="N258" i="23"/>
  <c r="N259" i="23"/>
  <c r="N260" i="23"/>
  <c r="N261" i="23"/>
  <c r="N262" i="23"/>
  <c r="N263" i="23"/>
  <c r="N264" i="23"/>
  <c r="N265" i="23"/>
  <c r="N266" i="23"/>
  <c r="N267" i="23"/>
  <c r="N268" i="23"/>
  <c r="N269" i="23"/>
  <c r="N270" i="23"/>
  <c r="N271" i="23"/>
  <c r="N272" i="23"/>
  <c r="N273" i="23"/>
  <c r="N274" i="23"/>
  <c r="N275" i="23"/>
  <c r="N276" i="23"/>
  <c r="N277" i="23"/>
  <c r="N278" i="23"/>
  <c r="N279" i="23"/>
  <c r="N280" i="23"/>
  <c r="N281" i="23"/>
  <c r="N282" i="23"/>
  <c r="N283" i="23"/>
  <c r="N284" i="23"/>
  <c r="N285" i="23"/>
  <c r="N286" i="23"/>
  <c r="N287" i="23"/>
  <c r="N288" i="23"/>
  <c r="N289" i="23"/>
  <c r="N290" i="23"/>
  <c r="N291" i="23"/>
  <c r="N292" i="23"/>
  <c r="N293" i="23"/>
  <c r="N294" i="23"/>
  <c r="N295" i="23"/>
  <c r="N296" i="23"/>
  <c r="N297" i="23"/>
  <c r="N298" i="23"/>
  <c r="N299" i="23"/>
  <c r="N300" i="23"/>
  <c r="N301" i="23"/>
  <c r="N302" i="23"/>
  <c r="N303" i="23"/>
  <c r="N304" i="23"/>
  <c r="N305" i="23"/>
  <c r="N306" i="23"/>
  <c r="N307" i="23"/>
  <c r="N308" i="23"/>
  <c r="N309" i="23"/>
  <c r="N310" i="23"/>
  <c r="N311" i="23"/>
  <c r="N312" i="23"/>
  <c r="N313" i="23"/>
  <c r="N314" i="23"/>
  <c r="N315" i="23"/>
  <c r="N316" i="23"/>
  <c r="N317" i="23"/>
  <c r="N318" i="23"/>
  <c r="N319" i="23"/>
  <c r="N320" i="23"/>
  <c r="N321" i="23"/>
  <c r="N322" i="23"/>
  <c r="N323" i="23"/>
  <c r="N324" i="23"/>
  <c r="N325" i="23"/>
  <c r="N326" i="23"/>
  <c r="N327" i="23"/>
  <c r="N328" i="23"/>
  <c r="N329" i="23"/>
  <c r="N330" i="23"/>
  <c r="N331" i="23"/>
  <c r="N332" i="23"/>
  <c r="N333" i="23"/>
  <c r="N334" i="23"/>
  <c r="N335" i="23"/>
  <c r="N336" i="23"/>
  <c r="N337" i="23"/>
  <c r="N338" i="23"/>
  <c r="N339" i="23"/>
  <c r="N340" i="23"/>
  <c r="N341" i="23"/>
  <c r="N342" i="23"/>
  <c r="N343" i="23"/>
  <c r="N344" i="23"/>
  <c r="N345" i="23"/>
  <c r="N346" i="23"/>
  <c r="N347" i="23"/>
  <c r="N348" i="23"/>
  <c r="N349" i="23"/>
  <c r="N350" i="23"/>
  <c r="N351" i="23"/>
  <c r="N352" i="23"/>
  <c r="N353" i="23"/>
  <c r="N354" i="23"/>
  <c r="N355" i="23"/>
  <c r="N356" i="23"/>
  <c r="N357" i="23"/>
  <c r="N358" i="23"/>
  <c r="N359" i="23"/>
  <c r="N360" i="23"/>
  <c r="N361" i="23"/>
  <c r="N362" i="23"/>
  <c r="N363" i="23"/>
  <c r="N364" i="23"/>
  <c r="N365" i="23"/>
  <c r="N366" i="23"/>
  <c r="N367" i="23"/>
  <c r="N368" i="23"/>
  <c r="N369" i="23"/>
  <c r="N370" i="23"/>
  <c r="N371" i="23"/>
  <c r="N372" i="23"/>
  <c r="N373" i="23"/>
  <c r="N374" i="23"/>
  <c r="N375" i="23"/>
  <c r="N376" i="23"/>
  <c r="N377" i="23"/>
  <c r="N378" i="23"/>
  <c r="N379" i="23"/>
  <c r="N380" i="23"/>
  <c r="N381" i="23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77" i="23"/>
  <c r="Q78" i="23"/>
  <c r="Q79" i="23"/>
  <c r="Q80" i="23"/>
  <c r="Q81" i="23"/>
  <c r="Q82" i="23"/>
  <c r="Q83" i="23"/>
  <c r="Q84" i="23"/>
  <c r="Q85" i="23"/>
  <c r="Q86" i="23"/>
  <c r="Q87" i="23"/>
  <c r="Q88" i="23"/>
  <c r="Q89" i="23"/>
  <c r="Q90" i="23"/>
  <c r="Q91" i="23"/>
  <c r="Q92" i="23"/>
  <c r="Q93" i="23"/>
  <c r="Q94" i="23"/>
  <c r="Q95" i="23"/>
  <c r="Q96" i="23"/>
  <c r="Q97" i="23"/>
  <c r="Q98" i="23"/>
  <c r="Q99" i="23"/>
  <c r="Q100" i="23"/>
  <c r="Q101" i="23"/>
  <c r="Q102" i="23"/>
  <c r="Q103" i="23"/>
  <c r="Q104" i="23"/>
  <c r="Q105" i="23"/>
  <c r="Q106" i="23"/>
  <c r="Q107" i="23"/>
  <c r="Q108" i="23"/>
  <c r="Q109" i="23"/>
  <c r="Q110" i="23"/>
  <c r="Q111" i="23"/>
  <c r="Q112" i="23"/>
  <c r="Q113" i="23"/>
  <c r="Q114" i="23"/>
  <c r="Q115" i="23"/>
  <c r="Q116" i="23"/>
  <c r="Q117" i="23"/>
  <c r="Q118" i="23"/>
  <c r="Q119" i="23"/>
  <c r="Q120" i="23"/>
  <c r="Q121" i="23"/>
  <c r="Q122" i="23"/>
  <c r="Q123" i="23"/>
  <c r="Q124" i="23"/>
  <c r="Q125" i="23"/>
  <c r="Q126" i="23"/>
  <c r="Q127" i="23"/>
  <c r="Q128" i="23"/>
  <c r="Q129" i="23"/>
  <c r="Q130" i="23"/>
  <c r="Q131" i="23"/>
  <c r="Q132" i="23"/>
  <c r="Q133" i="23"/>
  <c r="Q134" i="23"/>
  <c r="Q135" i="23"/>
  <c r="Q136" i="23"/>
  <c r="Q137" i="23"/>
  <c r="Q138" i="23"/>
  <c r="Q139" i="23"/>
  <c r="Q140" i="23"/>
  <c r="Q141" i="23"/>
  <c r="Q142" i="23"/>
  <c r="Q143" i="23"/>
  <c r="Q144" i="23"/>
  <c r="Q145" i="23"/>
  <c r="Q146" i="23"/>
  <c r="Q147" i="23"/>
  <c r="Q148" i="23"/>
  <c r="Q149" i="23"/>
  <c r="Q150" i="23"/>
  <c r="Q151" i="23"/>
  <c r="Q152" i="23"/>
  <c r="Q153" i="23"/>
  <c r="Q154" i="23"/>
  <c r="Q155" i="23"/>
  <c r="Q156" i="23"/>
  <c r="Q157" i="23"/>
  <c r="Q158" i="23"/>
  <c r="Q159" i="23"/>
  <c r="Q160" i="23"/>
  <c r="Q161" i="23"/>
  <c r="Q162" i="23"/>
  <c r="Q163" i="23"/>
  <c r="Q164" i="23"/>
  <c r="Q165" i="23"/>
  <c r="Q166" i="23"/>
  <c r="Q167" i="23"/>
  <c r="Q168" i="23"/>
  <c r="Q169" i="23"/>
  <c r="Q170" i="23"/>
  <c r="Q171" i="23"/>
  <c r="Q172" i="23"/>
  <c r="Q173" i="23"/>
  <c r="Q174" i="23"/>
  <c r="Q175" i="23"/>
  <c r="Q176" i="23"/>
  <c r="Q177" i="23"/>
  <c r="Q178" i="23"/>
  <c r="Q179" i="23"/>
  <c r="Q180" i="23"/>
  <c r="Q181" i="23"/>
  <c r="Q182" i="23"/>
  <c r="Q183" i="23"/>
  <c r="Q184" i="23"/>
  <c r="Q185" i="23"/>
  <c r="Q186" i="23"/>
  <c r="Q187" i="23"/>
  <c r="Q188" i="23"/>
  <c r="Q189" i="23"/>
  <c r="Q190" i="23"/>
  <c r="Q191" i="23"/>
  <c r="Q192" i="23"/>
  <c r="Q193" i="23"/>
  <c r="Q194" i="23"/>
  <c r="Q195" i="23"/>
  <c r="Q196" i="23"/>
  <c r="Q197" i="23"/>
  <c r="Q198" i="23"/>
  <c r="Q199" i="23"/>
  <c r="Q200" i="23"/>
  <c r="Q201" i="23"/>
  <c r="Q202" i="23"/>
  <c r="Q203" i="23"/>
  <c r="Q204" i="23"/>
  <c r="Q205" i="23"/>
  <c r="Q206" i="23"/>
  <c r="Q207" i="23"/>
  <c r="Q208" i="23"/>
  <c r="Q209" i="23"/>
  <c r="Q210" i="23"/>
  <c r="Q211" i="23"/>
  <c r="Q212" i="23"/>
  <c r="Q213" i="23"/>
  <c r="Q214" i="23"/>
  <c r="Q215" i="23"/>
  <c r="Q216" i="23"/>
  <c r="Q217" i="23"/>
  <c r="Q218" i="23"/>
  <c r="Q219" i="23"/>
  <c r="Q220" i="23"/>
  <c r="Q221" i="23"/>
  <c r="Q222" i="23"/>
  <c r="Q223" i="23"/>
  <c r="Q224" i="23"/>
  <c r="Q225" i="23"/>
  <c r="Q226" i="23"/>
  <c r="Q227" i="23"/>
  <c r="Q228" i="23"/>
  <c r="Q229" i="23"/>
  <c r="Q230" i="23"/>
  <c r="Q231" i="23"/>
  <c r="Q232" i="23"/>
  <c r="Q233" i="23"/>
  <c r="Q234" i="23"/>
  <c r="Q235" i="23"/>
  <c r="Q236" i="23"/>
  <c r="Q237" i="23"/>
  <c r="Q238" i="23"/>
  <c r="Q239" i="23"/>
  <c r="Q240" i="23"/>
  <c r="Q241" i="23"/>
  <c r="Q242" i="23"/>
  <c r="Q243" i="23"/>
  <c r="Q244" i="23"/>
  <c r="Q245" i="23"/>
  <c r="Q246" i="23"/>
  <c r="Q247" i="23"/>
  <c r="Q248" i="23"/>
  <c r="Q249" i="23"/>
  <c r="Q250" i="23"/>
  <c r="Q251" i="23"/>
  <c r="Q252" i="23"/>
  <c r="Q253" i="23"/>
  <c r="Q254" i="23"/>
  <c r="Q255" i="23"/>
  <c r="Q256" i="23"/>
  <c r="Q257" i="23"/>
  <c r="Q258" i="23"/>
  <c r="Q259" i="23"/>
  <c r="Q260" i="23"/>
  <c r="Q261" i="23"/>
  <c r="Q262" i="23"/>
  <c r="Q263" i="23"/>
  <c r="Q264" i="23"/>
  <c r="Q265" i="23"/>
  <c r="Q266" i="23"/>
  <c r="Q267" i="23"/>
  <c r="Q268" i="23"/>
  <c r="Q269" i="23"/>
  <c r="Q270" i="23"/>
  <c r="Q271" i="23"/>
  <c r="Q272" i="23"/>
  <c r="Q273" i="23"/>
  <c r="Q274" i="23"/>
  <c r="Q275" i="23"/>
  <c r="Q276" i="23"/>
  <c r="Q277" i="23"/>
  <c r="Q278" i="23"/>
  <c r="Q279" i="23"/>
  <c r="Q280" i="23"/>
  <c r="Q281" i="23"/>
  <c r="Q282" i="23"/>
  <c r="Q283" i="23"/>
  <c r="Q284" i="23"/>
  <c r="Q285" i="23"/>
  <c r="Q286" i="23"/>
  <c r="Q287" i="23"/>
  <c r="Q288" i="23"/>
  <c r="Q289" i="23"/>
  <c r="Q290" i="23"/>
  <c r="Q291" i="23"/>
  <c r="Q292" i="23"/>
  <c r="Q293" i="23"/>
  <c r="Q294" i="23"/>
  <c r="Q295" i="23"/>
  <c r="Q296" i="23"/>
  <c r="Q297" i="23"/>
  <c r="Q298" i="23"/>
  <c r="Q299" i="23"/>
  <c r="Q300" i="23"/>
  <c r="Q301" i="23"/>
  <c r="Q302" i="23"/>
  <c r="Q303" i="23"/>
  <c r="Q304" i="23"/>
  <c r="Q305" i="23"/>
  <c r="Q306" i="23"/>
  <c r="Q307" i="23"/>
  <c r="Q308" i="23"/>
  <c r="Q309" i="23"/>
  <c r="Q310" i="23"/>
  <c r="Q311" i="23"/>
  <c r="Q312" i="23"/>
  <c r="Q313" i="23"/>
  <c r="Q314" i="23"/>
  <c r="Q315" i="23"/>
  <c r="Q316" i="23"/>
  <c r="Q317" i="23"/>
  <c r="Q318" i="23"/>
  <c r="Q319" i="23"/>
  <c r="Q320" i="23"/>
  <c r="Q321" i="23"/>
  <c r="Q322" i="23"/>
  <c r="Q323" i="23"/>
  <c r="Q324" i="23"/>
  <c r="Q325" i="23"/>
  <c r="Q326" i="23"/>
  <c r="Q327" i="23"/>
  <c r="Q328" i="23"/>
  <c r="Q329" i="23"/>
  <c r="Q330" i="23"/>
  <c r="Q331" i="23"/>
  <c r="Q332" i="23"/>
  <c r="Q333" i="23"/>
  <c r="Q334" i="23"/>
  <c r="Q335" i="23"/>
  <c r="Q336" i="23"/>
  <c r="Q337" i="23"/>
  <c r="Q338" i="23"/>
  <c r="Q339" i="23"/>
  <c r="Q340" i="23"/>
  <c r="Q341" i="23"/>
  <c r="Q342" i="23"/>
  <c r="Q343" i="23"/>
  <c r="Q344" i="23"/>
  <c r="Q345" i="23"/>
  <c r="Q346" i="23"/>
  <c r="Q347" i="23"/>
  <c r="Q348" i="23"/>
  <c r="Q349" i="23"/>
  <c r="Q350" i="23"/>
  <c r="Q351" i="23"/>
  <c r="Q352" i="23"/>
  <c r="Q353" i="23"/>
  <c r="Q354" i="23"/>
  <c r="Q355" i="23"/>
  <c r="Q356" i="23"/>
  <c r="Q357" i="23"/>
  <c r="Q358" i="23"/>
  <c r="Q359" i="23"/>
  <c r="Q360" i="23"/>
  <c r="Q361" i="23"/>
  <c r="Q362" i="23"/>
  <c r="Q363" i="23"/>
  <c r="Q364" i="23"/>
  <c r="Q365" i="23"/>
  <c r="Q366" i="23"/>
  <c r="Q367" i="23"/>
  <c r="Q368" i="23"/>
  <c r="Q369" i="23"/>
  <c r="Q370" i="23"/>
  <c r="Q371" i="23"/>
  <c r="Q372" i="23"/>
  <c r="Q373" i="23"/>
  <c r="Q374" i="23"/>
  <c r="Q375" i="23"/>
  <c r="Q376" i="23"/>
  <c r="Q377" i="23"/>
  <c r="Q378" i="23"/>
  <c r="Q379" i="23"/>
  <c r="Q380" i="23"/>
  <c r="Q381" i="23"/>
  <c r="R6" i="23"/>
  <c r="R7" i="23"/>
  <c r="R8" i="23"/>
  <c r="R9" i="23"/>
  <c r="R10" i="23"/>
  <c r="R11" i="23"/>
  <c r="R12" i="23"/>
  <c r="R13" i="23"/>
  <c r="R14" i="23"/>
  <c r="R15" i="23"/>
  <c r="R16" i="23"/>
  <c r="R17" i="23"/>
  <c r="R18" i="23"/>
  <c r="R19" i="23"/>
  <c r="R20" i="23"/>
  <c r="R21" i="23"/>
  <c r="R22" i="23"/>
  <c r="R23" i="23"/>
  <c r="R24" i="23"/>
  <c r="R25" i="23"/>
  <c r="R26" i="23"/>
  <c r="R27" i="23"/>
  <c r="R28" i="23"/>
  <c r="R29" i="23"/>
  <c r="R30" i="23"/>
  <c r="R31" i="23"/>
  <c r="R32" i="23"/>
  <c r="R33" i="23"/>
  <c r="R34" i="23"/>
  <c r="R35" i="23"/>
  <c r="R36" i="23"/>
  <c r="R37" i="23"/>
  <c r="R38" i="23"/>
  <c r="R39" i="23"/>
  <c r="R40" i="23"/>
  <c r="R41" i="23"/>
  <c r="R42" i="23"/>
  <c r="R43" i="23"/>
  <c r="R44" i="23"/>
  <c r="R45" i="23"/>
  <c r="R46" i="23"/>
  <c r="R47" i="23"/>
  <c r="R48" i="23"/>
  <c r="R49" i="23"/>
  <c r="R50" i="23"/>
  <c r="R51" i="23"/>
  <c r="R52" i="23"/>
  <c r="R53" i="23"/>
  <c r="R54" i="23"/>
  <c r="R55" i="23"/>
  <c r="R56" i="23"/>
  <c r="R57" i="23"/>
  <c r="R58" i="23"/>
  <c r="R59" i="23"/>
  <c r="R60" i="23"/>
  <c r="R61" i="23"/>
  <c r="R62" i="23"/>
  <c r="R63" i="23"/>
  <c r="R64" i="23"/>
  <c r="R65" i="23"/>
  <c r="R66" i="23"/>
  <c r="R67" i="23"/>
  <c r="R68" i="23"/>
  <c r="R69" i="23"/>
  <c r="R70" i="23"/>
  <c r="R71" i="23"/>
  <c r="R72" i="23"/>
  <c r="R73" i="23"/>
  <c r="R74" i="23"/>
  <c r="R75" i="23"/>
  <c r="R76" i="23"/>
  <c r="R77" i="23"/>
  <c r="R78" i="23"/>
  <c r="R79" i="23"/>
  <c r="R80" i="23"/>
  <c r="R81" i="23"/>
  <c r="R82" i="23"/>
  <c r="R83" i="23"/>
  <c r="R84" i="23"/>
  <c r="R85" i="23"/>
  <c r="R86" i="23"/>
  <c r="R87" i="23"/>
  <c r="R88" i="23"/>
  <c r="R89" i="23"/>
  <c r="R90" i="23"/>
  <c r="R91" i="23"/>
  <c r="R92" i="23"/>
  <c r="R93" i="23"/>
  <c r="R94" i="23"/>
  <c r="R95" i="23"/>
  <c r="R96" i="23"/>
  <c r="R97" i="23"/>
  <c r="R98" i="23"/>
  <c r="R99" i="23"/>
  <c r="R100" i="23"/>
  <c r="R101" i="23"/>
  <c r="R102" i="23"/>
  <c r="R103" i="23"/>
  <c r="R104" i="23"/>
  <c r="R105" i="23"/>
  <c r="R106" i="23"/>
  <c r="R107" i="23"/>
  <c r="R108" i="23"/>
  <c r="R109" i="23"/>
  <c r="R110" i="23"/>
  <c r="R111" i="23"/>
  <c r="R112" i="23"/>
  <c r="R113" i="23"/>
  <c r="R114" i="23"/>
  <c r="R115" i="23"/>
  <c r="R116" i="23"/>
  <c r="R117" i="23"/>
  <c r="R118" i="23"/>
  <c r="R119" i="23"/>
  <c r="R120" i="23"/>
  <c r="R121" i="23"/>
  <c r="R122" i="23"/>
  <c r="R123" i="23"/>
  <c r="R124" i="23"/>
  <c r="R125" i="23"/>
  <c r="R126" i="23"/>
  <c r="R127" i="23"/>
  <c r="R128" i="23"/>
  <c r="R129" i="23"/>
  <c r="R130" i="23"/>
  <c r="R131" i="23"/>
  <c r="R132" i="23"/>
  <c r="R133" i="23"/>
  <c r="R134" i="23"/>
  <c r="R135" i="23"/>
  <c r="R136" i="23"/>
  <c r="R137" i="23"/>
  <c r="R138" i="23"/>
  <c r="R139" i="23"/>
  <c r="R140" i="23"/>
  <c r="R141" i="23"/>
  <c r="R142" i="23"/>
  <c r="R143" i="23"/>
  <c r="R144" i="23"/>
  <c r="R145" i="23"/>
  <c r="R146" i="23"/>
  <c r="R147" i="23"/>
  <c r="R148" i="23"/>
  <c r="R149" i="23"/>
  <c r="R150" i="23"/>
  <c r="R151" i="23"/>
  <c r="R152" i="23"/>
  <c r="R153" i="23"/>
  <c r="R154" i="23"/>
  <c r="R155" i="23"/>
  <c r="R156" i="23"/>
  <c r="R157" i="23"/>
  <c r="R158" i="23"/>
  <c r="R159" i="23"/>
  <c r="R160" i="23"/>
  <c r="R161" i="23"/>
  <c r="R162" i="23"/>
  <c r="R163" i="23"/>
  <c r="R164" i="23"/>
  <c r="R165" i="23"/>
  <c r="R166" i="23"/>
  <c r="R167" i="23"/>
  <c r="R168" i="23"/>
  <c r="R169" i="23"/>
  <c r="R170" i="23"/>
  <c r="R171" i="23"/>
  <c r="R172" i="23"/>
  <c r="R173" i="23"/>
  <c r="R174" i="23"/>
  <c r="R175" i="23"/>
  <c r="R176" i="23"/>
  <c r="R177" i="23"/>
  <c r="R178" i="23"/>
  <c r="R179" i="23"/>
  <c r="R180" i="23"/>
  <c r="R181" i="23"/>
  <c r="R182" i="23"/>
  <c r="R183" i="23"/>
  <c r="R184" i="23"/>
  <c r="R185" i="23"/>
  <c r="R186" i="23"/>
  <c r="R187" i="23"/>
  <c r="R188" i="23"/>
  <c r="R189" i="23"/>
  <c r="R190" i="23"/>
  <c r="R191" i="23"/>
  <c r="R192" i="23"/>
  <c r="R193" i="23"/>
  <c r="R194" i="23"/>
  <c r="R195" i="23"/>
  <c r="R196" i="23"/>
  <c r="R197" i="23"/>
  <c r="R198" i="23"/>
  <c r="R199" i="23"/>
  <c r="R200" i="23"/>
  <c r="R201" i="23"/>
  <c r="R202" i="23"/>
  <c r="R203" i="23"/>
  <c r="R204" i="23"/>
  <c r="R205" i="23"/>
  <c r="R206" i="23"/>
  <c r="R207" i="23"/>
  <c r="R208" i="23"/>
  <c r="R209" i="23"/>
  <c r="R210" i="23"/>
  <c r="R211" i="23"/>
  <c r="R212" i="23"/>
  <c r="R213" i="23"/>
  <c r="R214" i="23"/>
  <c r="R215" i="23"/>
  <c r="R216" i="23"/>
  <c r="R217" i="23"/>
  <c r="R218" i="23"/>
  <c r="R219" i="23"/>
  <c r="R220" i="23"/>
  <c r="R221" i="23"/>
  <c r="R222" i="23"/>
  <c r="R223" i="23"/>
  <c r="R224" i="23"/>
  <c r="R225" i="23"/>
  <c r="R226" i="23"/>
  <c r="R227" i="23"/>
  <c r="R228" i="23"/>
  <c r="R229" i="23"/>
  <c r="R230" i="23"/>
  <c r="R231" i="23"/>
  <c r="R232" i="23"/>
  <c r="R233" i="23"/>
  <c r="R234" i="23"/>
  <c r="R235" i="23"/>
  <c r="R236" i="23"/>
  <c r="R237" i="23"/>
  <c r="R238" i="23"/>
  <c r="R239" i="23"/>
  <c r="R240" i="23"/>
  <c r="R241" i="23"/>
  <c r="R242" i="23"/>
  <c r="R243" i="23"/>
  <c r="R244" i="23"/>
  <c r="R245" i="23"/>
  <c r="R246" i="23"/>
  <c r="R247" i="23"/>
  <c r="R248" i="23"/>
  <c r="R249" i="23"/>
  <c r="R250" i="23"/>
  <c r="R251" i="23"/>
  <c r="R252" i="23"/>
  <c r="R253" i="23"/>
  <c r="R254" i="23"/>
  <c r="R255" i="23"/>
  <c r="R256" i="23"/>
  <c r="R257" i="23"/>
  <c r="R258" i="23"/>
  <c r="R259" i="23"/>
  <c r="R260" i="23"/>
  <c r="R261" i="23"/>
  <c r="R262" i="23"/>
  <c r="R263" i="23"/>
  <c r="R264" i="23"/>
  <c r="R265" i="23"/>
  <c r="R266" i="23"/>
  <c r="R267" i="23"/>
  <c r="R268" i="23"/>
  <c r="R269" i="23"/>
  <c r="R270" i="23"/>
  <c r="R271" i="23"/>
  <c r="R272" i="23"/>
  <c r="R273" i="23"/>
  <c r="R274" i="23"/>
  <c r="R275" i="23"/>
  <c r="R276" i="23"/>
  <c r="R277" i="23"/>
  <c r="R278" i="23"/>
  <c r="R279" i="23"/>
  <c r="R280" i="23"/>
  <c r="R281" i="23"/>
  <c r="R282" i="23"/>
  <c r="R283" i="23"/>
  <c r="R284" i="23"/>
  <c r="R285" i="23"/>
  <c r="R286" i="23"/>
  <c r="R287" i="23"/>
  <c r="R288" i="23"/>
  <c r="R289" i="23"/>
  <c r="R290" i="23"/>
  <c r="R291" i="23"/>
  <c r="R292" i="23"/>
  <c r="R293" i="23"/>
  <c r="R294" i="23"/>
  <c r="R295" i="23"/>
  <c r="R296" i="23"/>
  <c r="R297" i="23"/>
  <c r="R298" i="23"/>
  <c r="R299" i="23"/>
  <c r="R300" i="23"/>
  <c r="R301" i="23"/>
  <c r="R302" i="23"/>
  <c r="R303" i="23"/>
  <c r="R304" i="23"/>
  <c r="R305" i="23"/>
  <c r="R306" i="23"/>
  <c r="R307" i="23"/>
  <c r="R308" i="23"/>
  <c r="R309" i="23"/>
  <c r="R310" i="23"/>
  <c r="R311" i="23"/>
  <c r="R312" i="23"/>
  <c r="R313" i="23"/>
  <c r="R314" i="23"/>
  <c r="R315" i="23"/>
  <c r="R316" i="23"/>
  <c r="R317" i="23"/>
  <c r="R318" i="23"/>
  <c r="R319" i="23"/>
  <c r="R320" i="23"/>
  <c r="R321" i="23"/>
  <c r="R322" i="23"/>
  <c r="R323" i="23"/>
  <c r="R324" i="23"/>
  <c r="R325" i="23"/>
  <c r="R326" i="23"/>
  <c r="R327" i="23"/>
  <c r="R328" i="23"/>
  <c r="R329" i="23"/>
  <c r="R330" i="23"/>
  <c r="R331" i="23"/>
  <c r="R332" i="23"/>
  <c r="R333" i="23"/>
  <c r="R334" i="23"/>
  <c r="R335" i="23"/>
  <c r="R336" i="23"/>
  <c r="R337" i="23"/>
  <c r="R338" i="23"/>
  <c r="R339" i="23"/>
  <c r="R340" i="23"/>
  <c r="R341" i="23"/>
  <c r="R342" i="23"/>
  <c r="R343" i="23"/>
  <c r="R344" i="23"/>
  <c r="R345" i="23"/>
  <c r="R346" i="23"/>
  <c r="R347" i="23"/>
  <c r="R348" i="23"/>
  <c r="R349" i="23"/>
  <c r="R350" i="23"/>
  <c r="R351" i="23"/>
  <c r="R352" i="23"/>
  <c r="R353" i="23"/>
  <c r="R354" i="23"/>
  <c r="R355" i="23"/>
  <c r="R356" i="23"/>
  <c r="R357" i="23"/>
  <c r="R358" i="23"/>
  <c r="R359" i="23"/>
  <c r="R360" i="23"/>
  <c r="R361" i="23"/>
  <c r="R362" i="23"/>
  <c r="R363" i="23"/>
  <c r="R364" i="23"/>
  <c r="R365" i="23"/>
  <c r="R366" i="23"/>
  <c r="R367" i="23"/>
  <c r="R368" i="23"/>
  <c r="R369" i="23"/>
  <c r="R370" i="23"/>
  <c r="R371" i="23"/>
  <c r="R372" i="23"/>
  <c r="R373" i="23"/>
  <c r="R374" i="23"/>
  <c r="R375" i="23"/>
  <c r="R376" i="23"/>
  <c r="R377" i="23"/>
  <c r="R378" i="23"/>
  <c r="R379" i="23"/>
  <c r="R380" i="23"/>
  <c r="R381" i="23"/>
  <c r="AB6" i="23"/>
  <c r="AB7" i="23"/>
  <c r="AB8" i="23"/>
  <c r="AB9" i="23"/>
  <c r="AB10" i="23"/>
  <c r="AB11" i="23"/>
  <c r="AB12" i="23"/>
  <c r="AB13" i="23"/>
  <c r="AB14" i="23"/>
  <c r="AB15" i="23"/>
  <c r="AB16" i="23"/>
  <c r="AB17" i="23"/>
  <c r="AB18" i="23"/>
  <c r="AB19" i="23"/>
  <c r="AB20" i="23"/>
  <c r="AB21" i="23"/>
  <c r="AB22" i="23"/>
  <c r="AB23" i="23"/>
  <c r="AB24" i="23"/>
  <c r="AB25" i="23"/>
  <c r="AB26" i="23"/>
  <c r="AB27" i="23"/>
  <c r="AB28" i="23"/>
  <c r="AB29" i="23"/>
  <c r="AB30" i="23"/>
  <c r="AB31" i="23"/>
  <c r="AB32" i="23"/>
  <c r="AB33" i="23"/>
  <c r="AB34" i="23"/>
  <c r="AB35" i="23"/>
  <c r="AB36" i="23"/>
  <c r="AB37" i="23"/>
  <c r="AB38" i="23"/>
  <c r="AB39" i="23"/>
  <c r="AB40" i="23"/>
  <c r="AB41" i="23"/>
  <c r="AB42" i="23"/>
  <c r="AB43" i="23"/>
  <c r="AB44" i="23"/>
  <c r="AB45" i="23"/>
  <c r="AB46" i="23"/>
  <c r="AB47" i="23"/>
  <c r="AB48" i="23"/>
  <c r="AB49" i="23"/>
  <c r="AB50" i="23"/>
  <c r="AB51" i="23"/>
  <c r="AB52" i="23"/>
  <c r="AB53" i="23"/>
  <c r="AB54" i="23"/>
  <c r="AB55" i="23"/>
  <c r="AB56" i="23"/>
  <c r="AB57" i="23"/>
  <c r="AB58" i="23"/>
  <c r="AB59" i="23"/>
  <c r="AB60" i="23"/>
  <c r="AB61" i="23"/>
  <c r="AB62" i="23"/>
  <c r="AB63" i="23"/>
  <c r="AB64" i="23"/>
  <c r="AB65" i="23"/>
  <c r="AB66" i="23"/>
  <c r="AB67" i="23"/>
  <c r="AB68" i="23"/>
  <c r="AB69" i="23"/>
  <c r="AB70" i="23"/>
  <c r="AB71" i="23"/>
  <c r="AB72" i="23"/>
  <c r="AB73" i="23"/>
  <c r="AB74" i="23"/>
  <c r="AB75" i="23"/>
  <c r="AB76" i="23"/>
  <c r="AB77" i="23"/>
  <c r="AB78" i="23"/>
  <c r="AB79" i="23"/>
  <c r="AB80" i="23"/>
  <c r="AB81" i="23"/>
  <c r="AB82" i="23"/>
  <c r="AB83" i="23"/>
  <c r="AB84" i="23"/>
  <c r="AB85" i="23"/>
  <c r="AB86" i="23"/>
  <c r="AB87" i="23"/>
  <c r="AB88" i="23"/>
  <c r="AB89" i="23"/>
  <c r="AB90" i="23"/>
  <c r="AB91" i="23"/>
  <c r="AB92" i="23"/>
  <c r="AB93" i="23"/>
  <c r="AB94" i="23"/>
  <c r="AB95" i="23"/>
  <c r="AB96" i="23"/>
  <c r="AB97" i="23"/>
  <c r="AB98" i="23"/>
  <c r="AB99" i="23"/>
  <c r="AB100" i="23"/>
  <c r="AB101" i="23"/>
  <c r="AB102" i="23"/>
  <c r="AB103" i="23"/>
  <c r="AB104" i="23"/>
  <c r="AB105" i="23"/>
  <c r="AB106" i="23"/>
  <c r="AB107" i="23"/>
  <c r="AB108" i="23"/>
  <c r="AB109" i="23"/>
  <c r="AB110" i="23"/>
  <c r="AB111" i="23"/>
  <c r="AB112" i="23"/>
  <c r="AB113" i="23"/>
  <c r="AB114" i="23"/>
  <c r="AB115" i="23"/>
  <c r="AB116" i="23"/>
  <c r="AB117" i="23"/>
  <c r="AB118" i="23"/>
  <c r="AB119" i="23"/>
  <c r="AB120" i="23"/>
  <c r="AB121" i="23"/>
  <c r="AB122" i="23"/>
  <c r="AB123" i="23"/>
  <c r="AB124" i="23"/>
  <c r="AB125" i="23"/>
  <c r="AB126" i="23"/>
  <c r="AB127" i="23"/>
  <c r="AB128" i="23"/>
  <c r="AB129" i="23"/>
  <c r="AB130" i="23"/>
  <c r="AB131" i="23"/>
  <c r="AB132" i="23"/>
  <c r="AB133" i="23"/>
  <c r="AB134" i="23"/>
  <c r="AB135" i="23"/>
  <c r="AB136" i="23"/>
  <c r="AB137" i="23"/>
  <c r="AB138" i="23"/>
  <c r="AB139" i="23"/>
  <c r="AB140" i="23"/>
  <c r="AB141" i="23"/>
  <c r="AB142" i="23"/>
  <c r="AB143" i="23"/>
  <c r="AB144" i="23"/>
  <c r="AB145" i="23"/>
  <c r="AB146" i="23"/>
  <c r="AB147" i="23"/>
  <c r="AB148" i="23"/>
  <c r="AB149" i="23"/>
  <c r="AB150" i="23"/>
  <c r="AB151" i="23"/>
  <c r="AB152" i="23"/>
  <c r="AB153" i="23"/>
  <c r="AB154" i="23"/>
  <c r="AB155" i="23"/>
  <c r="AB156" i="23"/>
  <c r="AB157" i="23"/>
  <c r="AB158" i="23"/>
  <c r="AB159" i="23"/>
  <c r="AB160" i="23"/>
  <c r="AB161" i="23"/>
  <c r="AB162" i="23"/>
  <c r="AB163" i="23"/>
  <c r="AB164" i="23"/>
  <c r="AB165" i="23"/>
  <c r="AB166" i="23"/>
  <c r="AB167" i="23"/>
  <c r="AB168" i="23"/>
  <c r="AB169" i="23"/>
  <c r="AB170" i="23"/>
  <c r="AB171" i="23"/>
  <c r="AB172" i="23"/>
  <c r="AB173" i="23"/>
  <c r="AB174" i="23"/>
  <c r="AB175" i="23"/>
  <c r="AB176" i="23"/>
  <c r="AB177" i="23"/>
  <c r="AB178" i="23"/>
  <c r="AB179" i="23"/>
  <c r="AB180" i="23"/>
  <c r="AB181" i="23"/>
  <c r="AB182" i="23"/>
  <c r="AB183" i="23"/>
  <c r="AB184" i="23"/>
  <c r="AB185" i="23"/>
  <c r="AB186" i="23"/>
  <c r="AB187" i="23"/>
  <c r="AB188" i="23"/>
  <c r="AB189" i="23"/>
  <c r="AB190" i="23"/>
  <c r="AB191" i="23"/>
  <c r="AB192" i="23"/>
  <c r="AB193" i="23"/>
  <c r="AB194" i="23"/>
  <c r="AB195" i="23"/>
  <c r="AB196" i="23"/>
  <c r="AB197" i="23"/>
  <c r="AB198" i="23"/>
  <c r="AB199" i="23"/>
  <c r="AB200" i="23"/>
  <c r="AB201" i="23"/>
  <c r="AB202" i="23"/>
  <c r="AB203" i="23"/>
  <c r="AB204" i="23"/>
  <c r="AB205" i="23"/>
  <c r="AB206" i="23"/>
  <c r="AB207" i="23"/>
  <c r="AB208" i="23"/>
  <c r="AB209" i="23"/>
  <c r="AB210" i="23"/>
  <c r="AB211" i="23"/>
  <c r="AB212" i="23"/>
  <c r="AB213" i="23"/>
  <c r="AB214" i="23"/>
  <c r="AB215" i="23"/>
  <c r="AB216" i="23"/>
  <c r="AB217" i="23"/>
  <c r="AB218" i="23"/>
  <c r="AB219" i="23"/>
  <c r="AB220" i="23"/>
  <c r="AB221" i="23"/>
  <c r="AB222" i="23"/>
  <c r="AB223" i="23"/>
  <c r="AB224" i="23"/>
  <c r="AB225" i="23"/>
  <c r="AB226" i="23"/>
  <c r="AB227" i="23"/>
  <c r="AB228" i="23"/>
  <c r="AB229" i="23"/>
  <c r="AB230" i="23"/>
  <c r="AB231" i="23"/>
  <c r="AB232" i="23"/>
  <c r="AB233" i="23"/>
  <c r="AB234" i="23"/>
  <c r="AB235" i="23"/>
  <c r="AB236" i="23"/>
  <c r="AB237" i="23"/>
  <c r="AB238" i="23"/>
  <c r="AB239" i="23"/>
  <c r="AB240" i="23"/>
  <c r="AB241" i="23"/>
  <c r="AB242" i="23"/>
  <c r="AB243" i="23"/>
  <c r="AB244" i="23"/>
  <c r="AB245" i="23"/>
  <c r="AB246" i="23"/>
  <c r="AB247" i="23"/>
  <c r="AB248" i="23"/>
  <c r="AB249" i="23"/>
  <c r="AB250" i="23"/>
  <c r="AB251" i="23"/>
  <c r="AB252" i="23"/>
  <c r="AB253" i="23"/>
  <c r="AB254" i="23"/>
  <c r="AB255" i="23"/>
  <c r="AB256" i="23"/>
  <c r="AB257" i="23"/>
  <c r="AB258" i="23"/>
  <c r="AB259" i="23"/>
  <c r="AB260" i="23"/>
  <c r="AB261" i="23"/>
  <c r="AB262" i="23"/>
  <c r="AB263" i="23"/>
  <c r="AB264" i="23"/>
  <c r="AB265" i="23"/>
  <c r="AB266" i="23"/>
  <c r="AB267" i="23"/>
  <c r="AB268" i="23"/>
  <c r="AB269" i="23"/>
  <c r="AB270" i="23"/>
  <c r="AB271" i="23"/>
  <c r="AB272" i="23"/>
  <c r="AB273" i="23"/>
  <c r="AB274" i="23"/>
  <c r="AB275" i="23"/>
  <c r="AB276" i="23"/>
  <c r="AB277" i="23"/>
  <c r="AB278" i="23"/>
  <c r="AB279" i="23"/>
  <c r="AB280" i="23"/>
  <c r="AB281" i="23"/>
  <c r="AB282" i="23"/>
  <c r="AB283" i="23"/>
  <c r="AB284" i="23"/>
  <c r="AB285" i="23"/>
  <c r="AB286" i="23"/>
  <c r="AB287" i="23"/>
  <c r="AB288" i="23"/>
  <c r="AB289" i="23"/>
  <c r="AB290" i="23"/>
  <c r="AB291" i="23"/>
  <c r="AB292" i="23"/>
  <c r="AB293" i="23"/>
  <c r="AB294" i="23"/>
  <c r="AB295" i="23"/>
  <c r="AB296" i="23"/>
  <c r="AB297" i="23"/>
  <c r="AB298" i="23"/>
  <c r="AB299" i="23"/>
  <c r="AB300" i="23"/>
  <c r="AB301" i="23"/>
  <c r="AB302" i="23"/>
  <c r="AB303" i="23"/>
  <c r="AB304" i="23"/>
  <c r="AB305" i="23"/>
  <c r="AB306" i="23"/>
  <c r="AB307" i="23"/>
  <c r="AB308" i="23"/>
  <c r="AB309" i="23"/>
  <c r="AB310" i="23"/>
  <c r="AB311" i="23"/>
  <c r="AB312" i="23"/>
  <c r="AB313" i="23"/>
  <c r="AB314" i="23"/>
  <c r="AB315" i="23"/>
  <c r="AB316" i="23"/>
  <c r="AB317" i="23"/>
  <c r="AB318" i="23"/>
  <c r="AB319" i="23"/>
  <c r="AB320" i="23"/>
  <c r="AB321" i="23"/>
  <c r="AB322" i="23"/>
  <c r="AB323" i="23"/>
  <c r="AB324" i="23"/>
  <c r="AB325" i="23"/>
  <c r="AB326" i="23"/>
  <c r="AB327" i="23"/>
  <c r="AB328" i="23"/>
  <c r="AB329" i="23"/>
  <c r="AB330" i="23"/>
  <c r="AB331" i="23"/>
  <c r="AB332" i="23"/>
  <c r="AB333" i="23"/>
  <c r="AB334" i="23"/>
  <c r="AB335" i="23"/>
  <c r="AB336" i="23"/>
  <c r="AB337" i="23"/>
  <c r="AB338" i="23"/>
  <c r="AB339" i="23"/>
  <c r="AB340" i="23"/>
  <c r="AB341" i="23"/>
  <c r="AB342" i="23"/>
  <c r="AB343" i="23"/>
  <c r="AB344" i="23"/>
  <c r="AB345" i="23"/>
  <c r="AB346" i="23"/>
  <c r="AB347" i="23"/>
  <c r="AB348" i="23"/>
  <c r="AB349" i="23"/>
  <c r="AB350" i="23"/>
  <c r="AB351" i="23"/>
  <c r="AB352" i="23"/>
  <c r="AB353" i="23"/>
  <c r="AB354" i="23"/>
  <c r="AB355" i="23"/>
  <c r="AB356" i="23"/>
  <c r="AB357" i="23"/>
  <c r="AB358" i="23"/>
  <c r="AB359" i="23"/>
  <c r="AB360" i="23"/>
  <c r="AB361" i="23"/>
  <c r="AB362" i="23"/>
  <c r="AB363" i="23"/>
  <c r="AB364" i="23"/>
  <c r="AB365" i="23"/>
  <c r="AB366" i="23"/>
  <c r="AB367" i="23"/>
  <c r="AB368" i="23"/>
  <c r="AB369" i="23"/>
  <c r="AB370" i="23"/>
  <c r="AB371" i="23"/>
  <c r="AB372" i="23"/>
  <c r="AB373" i="23"/>
  <c r="AB374" i="23"/>
  <c r="AB375" i="23"/>
  <c r="AB376" i="23"/>
  <c r="AB377" i="23"/>
  <c r="AB378" i="23"/>
  <c r="AB379" i="23"/>
  <c r="AB380" i="23"/>
  <c r="AB381" i="23"/>
  <c r="C5" i="23"/>
  <c r="AB5" i="23"/>
  <c r="R5" i="23"/>
  <c r="Q5" i="23"/>
  <c r="S5" i="23" s="1"/>
  <c r="N5" i="23"/>
  <c r="S6" i="23" l="1"/>
  <c r="S7" i="23" s="1"/>
  <c r="S8" i="23" s="1"/>
  <c r="S9" i="23" s="1"/>
  <c r="S10" i="23" s="1"/>
  <c r="S11" i="23" s="1"/>
  <c r="S12" i="23" s="1"/>
  <c r="S13" i="23" s="1"/>
  <c r="S14" i="23" s="1"/>
  <c r="S15" i="23" s="1"/>
  <c r="S16" i="23" s="1"/>
  <c r="S17" i="23" s="1"/>
  <c r="S18" i="23" s="1"/>
  <c r="S19" i="23" s="1"/>
  <c r="S20" i="23" s="1"/>
  <c r="S21" i="23" s="1"/>
  <c r="S22" i="23" s="1"/>
  <c r="S23" i="23" s="1"/>
  <c r="S24" i="23" s="1"/>
  <c r="S25" i="23" s="1"/>
  <c r="S26" i="23" s="1"/>
  <c r="S27" i="23" s="1"/>
  <c r="S28" i="23" s="1"/>
  <c r="S29" i="23" s="1"/>
  <c r="S30" i="23" s="1"/>
  <c r="S31" i="23" s="1"/>
  <c r="S32" i="23" s="1"/>
  <c r="S33" i="23" s="1"/>
  <c r="S34" i="23" s="1"/>
  <c r="S35" i="23" s="1"/>
  <c r="S36" i="23" s="1"/>
  <c r="S37" i="23" s="1"/>
  <c r="S38" i="23" s="1"/>
  <c r="S39" i="23" s="1"/>
  <c r="S40" i="23" s="1"/>
  <c r="S41" i="23" s="1"/>
  <c r="S42" i="23" s="1"/>
  <c r="S43" i="23" s="1"/>
  <c r="S44" i="23" s="1"/>
  <c r="S45" i="23" s="1"/>
  <c r="S46" i="23" s="1"/>
  <c r="S47" i="23" s="1"/>
  <c r="S48" i="23" s="1"/>
  <c r="S49" i="23" s="1"/>
  <c r="S50" i="23" s="1"/>
  <c r="S51" i="23" s="1"/>
  <c r="S52" i="23" s="1"/>
  <c r="S53" i="23" s="1"/>
  <c r="S54" i="23" s="1"/>
  <c r="S55" i="23" s="1"/>
  <c r="S56" i="23" s="1"/>
  <c r="S57" i="23" s="1"/>
  <c r="S58" i="23" s="1"/>
  <c r="S59" i="23" s="1"/>
  <c r="S60" i="23" s="1"/>
  <c r="S61" i="23" s="1"/>
  <c r="S62" i="23" s="1"/>
  <c r="S63" i="23" s="1"/>
  <c r="S64" i="23" s="1"/>
  <c r="S65" i="23" s="1"/>
  <c r="S66" i="23" s="1"/>
  <c r="S67" i="23" s="1"/>
  <c r="S68" i="23" s="1"/>
  <c r="S69" i="23" s="1"/>
  <c r="S70" i="23" s="1"/>
  <c r="S71" i="23" s="1"/>
  <c r="S72" i="23" s="1"/>
  <c r="S73" i="23" s="1"/>
  <c r="S74" i="23" s="1"/>
  <c r="S75" i="23" s="1"/>
  <c r="S76" i="23" s="1"/>
  <c r="S77" i="23" s="1"/>
  <c r="S78" i="23" s="1"/>
  <c r="S79" i="23" s="1"/>
  <c r="S80" i="23" s="1"/>
  <c r="S81" i="23" s="1"/>
  <c r="S82" i="23" s="1"/>
  <c r="S83" i="23" s="1"/>
  <c r="S84" i="23" s="1"/>
  <c r="S85" i="23" s="1"/>
  <c r="S86" i="23" s="1"/>
  <c r="S87" i="23" s="1"/>
  <c r="S88" i="23" s="1"/>
  <c r="S89" i="23" s="1"/>
  <c r="S90" i="23" s="1"/>
  <c r="S91" i="23" s="1"/>
  <c r="S92" i="23" s="1"/>
  <c r="S93" i="23" s="1"/>
  <c r="S94" i="23" s="1"/>
  <c r="S95" i="23" s="1"/>
  <c r="S96" i="23" s="1"/>
  <c r="S97" i="23" s="1"/>
  <c r="S98" i="23" s="1"/>
  <c r="S99" i="23" s="1"/>
  <c r="S100" i="23" s="1"/>
  <c r="S101" i="23" s="1"/>
  <c r="S102" i="23" s="1"/>
  <c r="S103" i="23" s="1"/>
  <c r="S104" i="23" s="1"/>
  <c r="S105" i="23" s="1"/>
  <c r="S106" i="23" s="1"/>
  <c r="S107" i="23" s="1"/>
  <c r="S108" i="23" s="1"/>
  <c r="S109" i="23" s="1"/>
  <c r="S110" i="23" s="1"/>
  <c r="S111" i="23" s="1"/>
  <c r="S112" i="23" s="1"/>
  <c r="S113" i="23" s="1"/>
  <c r="S114" i="23" s="1"/>
  <c r="S115" i="23" s="1"/>
  <c r="S116" i="23" s="1"/>
  <c r="S117" i="23" s="1"/>
  <c r="S118" i="23" s="1"/>
  <c r="S119" i="23" s="1"/>
  <c r="S120" i="23" s="1"/>
  <c r="S121" i="23" s="1"/>
  <c r="S122" i="23" s="1"/>
  <c r="S123" i="23" s="1"/>
  <c r="S124" i="23" s="1"/>
  <c r="S125" i="23" s="1"/>
  <c r="S126" i="23" s="1"/>
  <c r="S127" i="23" s="1"/>
  <c r="S128" i="23" s="1"/>
  <c r="S129" i="23" s="1"/>
  <c r="S130" i="23" s="1"/>
  <c r="S131" i="23" s="1"/>
  <c r="S132" i="23" s="1"/>
  <c r="S133" i="23" s="1"/>
  <c r="S134" i="23" s="1"/>
  <c r="S135" i="23" s="1"/>
  <c r="S136" i="23" s="1"/>
  <c r="S137" i="23" s="1"/>
  <c r="S138" i="23" s="1"/>
  <c r="S139" i="23" s="1"/>
  <c r="S140" i="23" s="1"/>
  <c r="S141" i="23" s="1"/>
  <c r="S142" i="23" s="1"/>
  <c r="S143" i="23" s="1"/>
  <c r="S144" i="23" s="1"/>
  <c r="S145" i="23" s="1"/>
  <c r="S146" i="23" s="1"/>
  <c r="S147" i="23" s="1"/>
  <c r="S148" i="23" s="1"/>
  <c r="S149" i="23" s="1"/>
  <c r="S150" i="23" s="1"/>
  <c r="S151" i="23" s="1"/>
  <c r="S152" i="23" s="1"/>
  <c r="S153" i="23" s="1"/>
  <c r="S154" i="23" s="1"/>
  <c r="S155" i="23" s="1"/>
  <c r="S156" i="23" s="1"/>
  <c r="S157" i="23" s="1"/>
  <c r="S158" i="23" s="1"/>
  <c r="S159" i="23" s="1"/>
  <c r="S160" i="23" s="1"/>
  <c r="S161" i="23" s="1"/>
  <c r="S162" i="23" s="1"/>
  <c r="S163" i="23" s="1"/>
  <c r="S164" i="23" s="1"/>
  <c r="S165" i="23" s="1"/>
  <c r="S166" i="23" s="1"/>
  <c r="S167" i="23" s="1"/>
  <c r="S168" i="23" s="1"/>
  <c r="S169" i="23" s="1"/>
  <c r="S170" i="23" s="1"/>
  <c r="S171" i="23" s="1"/>
  <c r="S172" i="23" s="1"/>
  <c r="S173" i="23" s="1"/>
  <c r="S174" i="23" s="1"/>
  <c r="S175" i="23" s="1"/>
  <c r="S176" i="23" s="1"/>
  <c r="S177" i="23" s="1"/>
  <c r="S178" i="23" s="1"/>
  <c r="S179" i="23" s="1"/>
  <c r="S180" i="23" s="1"/>
  <c r="S181" i="23" s="1"/>
  <c r="S182" i="23" s="1"/>
  <c r="S183" i="23" s="1"/>
  <c r="S184" i="23" s="1"/>
  <c r="S185" i="23" s="1"/>
  <c r="S186" i="23" s="1"/>
  <c r="S187" i="23" s="1"/>
  <c r="S188" i="23" s="1"/>
  <c r="S189" i="23" s="1"/>
  <c r="S190" i="23" s="1"/>
  <c r="S191" i="23" s="1"/>
  <c r="S192" i="23" s="1"/>
  <c r="S193" i="23" s="1"/>
  <c r="S194" i="23" s="1"/>
  <c r="S195" i="23" s="1"/>
  <c r="S196" i="23" s="1"/>
  <c r="S197" i="23" s="1"/>
  <c r="S198" i="23" s="1"/>
  <c r="S199" i="23" s="1"/>
  <c r="S200" i="23" s="1"/>
  <c r="S201" i="23" s="1"/>
  <c r="S202" i="23" s="1"/>
  <c r="S203" i="23" s="1"/>
  <c r="S204" i="23" s="1"/>
  <c r="S205" i="23" s="1"/>
  <c r="S206" i="23" s="1"/>
  <c r="S207" i="23" s="1"/>
  <c r="S208" i="23" s="1"/>
  <c r="S209" i="23" s="1"/>
  <c r="S210" i="23" s="1"/>
  <c r="S211" i="23" s="1"/>
  <c r="S212" i="23" s="1"/>
  <c r="S213" i="23" s="1"/>
  <c r="S214" i="23" s="1"/>
  <c r="S215" i="23" s="1"/>
  <c r="S216" i="23" s="1"/>
  <c r="S217" i="23" s="1"/>
  <c r="S218" i="23" s="1"/>
  <c r="S219" i="23" s="1"/>
  <c r="S220" i="23" s="1"/>
  <c r="S221" i="23" s="1"/>
  <c r="S222" i="23" s="1"/>
  <c r="S223" i="23" s="1"/>
  <c r="S224" i="23" s="1"/>
  <c r="S225" i="23" s="1"/>
  <c r="S226" i="23" s="1"/>
  <c r="S227" i="23" s="1"/>
  <c r="S228" i="23" s="1"/>
  <c r="S229" i="23" s="1"/>
  <c r="S230" i="23" s="1"/>
  <c r="S231" i="23" s="1"/>
  <c r="S232" i="23" s="1"/>
  <c r="S233" i="23" s="1"/>
  <c r="S234" i="23" s="1"/>
  <c r="S235" i="23" s="1"/>
  <c r="S236" i="23" s="1"/>
  <c r="S237" i="23" s="1"/>
  <c r="S238" i="23" s="1"/>
  <c r="S239" i="23" s="1"/>
  <c r="S240" i="23" s="1"/>
  <c r="S241" i="23" s="1"/>
  <c r="S242" i="23" s="1"/>
  <c r="S243" i="23" s="1"/>
  <c r="S244" i="23" s="1"/>
  <c r="S245" i="23" s="1"/>
  <c r="S246" i="23" s="1"/>
  <c r="S247" i="23" s="1"/>
  <c r="S248" i="23" s="1"/>
  <c r="S249" i="23" s="1"/>
  <c r="S250" i="23" s="1"/>
  <c r="S251" i="23" s="1"/>
  <c r="S252" i="23" s="1"/>
  <c r="S253" i="23" s="1"/>
  <c r="S254" i="23" s="1"/>
  <c r="S255" i="23" s="1"/>
  <c r="S256" i="23" s="1"/>
  <c r="S257" i="23" s="1"/>
  <c r="S258" i="23" s="1"/>
  <c r="S259" i="23" s="1"/>
  <c r="S260" i="23" s="1"/>
  <c r="S261" i="23" s="1"/>
  <c r="S262" i="23" s="1"/>
  <c r="S263" i="23" s="1"/>
  <c r="S264" i="23" s="1"/>
  <c r="S265" i="23" s="1"/>
  <c r="S266" i="23" s="1"/>
  <c r="S267" i="23" s="1"/>
  <c r="S268" i="23" s="1"/>
  <c r="S269" i="23" s="1"/>
  <c r="S270" i="23" s="1"/>
  <c r="S271" i="23" s="1"/>
  <c r="S272" i="23" s="1"/>
  <c r="S273" i="23" s="1"/>
  <c r="S274" i="23" s="1"/>
  <c r="S275" i="23" s="1"/>
  <c r="S276" i="23" s="1"/>
  <c r="S277" i="23" s="1"/>
  <c r="S278" i="23" s="1"/>
  <c r="S279" i="23" s="1"/>
  <c r="S280" i="23" s="1"/>
  <c r="S281" i="23" s="1"/>
  <c r="S282" i="23" s="1"/>
  <c r="S283" i="23" s="1"/>
  <c r="S284" i="23" s="1"/>
  <c r="S285" i="23" s="1"/>
  <c r="S286" i="23" s="1"/>
  <c r="S287" i="23" s="1"/>
  <c r="S288" i="23" s="1"/>
  <c r="S289" i="23" s="1"/>
  <c r="S290" i="23" s="1"/>
  <c r="S291" i="23" s="1"/>
  <c r="S292" i="23" s="1"/>
  <c r="S293" i="23" s="1"/>
  <c r="S294" i="23" s="1"/>
  <c r="S295" i="23" s="1"/>
  <c r="S296" i="23" s="1"/>
  <c r="S297" i="23" s="1"/>
  <c r="S298" i="23" s="1"/>
  <c r="S299" i="23" s="1"/>
  <c r="S300" i="23" s="1"/>
  <c r="S301" i="23" s="1"/>
  <c r="S302" i="23" s="1"/>
  <c r="S303" i="23" s="1"/>
  <c r="S304" i="23" s="1"/>
  <c r="S305" i="23" s="1"/>
  <c r="S306" i="23" s="1"/>
  <c r="S307" i="23" s="1"/>
  <c r="S308" i="23" s="1"/>
  <c r="S309" i="23" s="1"/>
  <c r="S310" i="23" s="1"/>
  <c r="S311" i="23" s="1"/>
  <c r="S312" i="23" s="1"/>
  <c r="S313" i="23" s="1"/>
  <c r="S314" i="23" s="1"/>
  <c r="S315" i="23" s="1"/>
  <c r="S316" i="23" s="1"/>
  <c r="S317" i="23" s="1"/>
  <c r="S318" i="23" s="1"/>
  <c r="S319" i="23" s="1"/>
  <c r="S320" i="23" s="1"/>
  <c r="S321" i="23" s="1"/>
  <c r="S322" i="23" s="1"/>
  <c r="S323" i="23" s="1"/>
  <c r="S324" i="23" s="1"/>
  <c r="S325" i="23" s="1"/>
  <c r="S326" i="23" s="1"/>
  <c r="S327" i="23" s="1"/>
  <c r="S328" i="23" s="1"/>
  <c r="S329" i="23" s="1"/>
  <c r="S330" i="23" s="1"/>
  <c r="S331" i="23" s="1"/>
  <c r="S332" i="23" s="1"/>
  <c r="S333" i="23" s="1"/>
  <c r="S334" i="23" s="1"/>
  <c r="S335" i="23" s="1"/>
  <c r="S336" i="23" s="1"/>
  <c r="S337" i="23" s="1"/>
  <c r="S338" i="23" s="1"/>
  <c r="S339" i="23" s="1"/>
  <c r="S340" i="23" s="1"/>
  <c r="S341" i="23" s="1"/>
  <c r="S342" i="23" s="1"/>
  <c r="S343" i="23" s="1"/>
  <c r="S344" i="23" s="1"/>
  <c r="S345" i="23" s="1"/>
  <c r="S346" i="23" s="1"/>
  <c r="S347" i="23" s="1"/>
  <c r="S348" i="23" s="1"/>
  <c r="S349" i="23" s="1"/>
  <c r="S350" i="23" s="1"/>
  <c r="S351" i="23" s="1"/>
  <c r="S352" i="23" s="1"/>
  <c r="S353" i="23" s="1"/>
  <c r="S354" i="23" s="1"/>
  <c r="S355" i="23" s="1"/>
  <c r="S356" i="23" s="1"/>
  <c r="S357" i="23" s="1"/>
  <c r="S358" i="23" s="1"/>
  <c r="S359" i="23" s="1"/>
  <c r="S360" i="23" s="1"/>
  <c r="S361" i="23" s="1"/>
  <c r="S362" i="23" s="1"/>
  <c r="S363" i="23" s="1"/>
  <c r="S364" i="23" s="1"/>
  <c r="S365" i="23" s="1"/>
  <c r="S366" i="23" s="1"/>
  <c r="S367" i="23" s="1"/>
  <c r="S368" i="23" s="1"/>
  <c r="S369" i="23" s="1"/>
  <c r="S370" i="23" s="1"/>
  <c r="S371" i="23" s="1"/>
  <c r="S372" i="23" s="1"/>
  <c r="S373" i="23" s="1"/>
  <c r="S374" i="23" s="1"/>
  <c r="S375" i="23" s="1"/>
  <c r="S376" i="23" s="1"/>
  <c r="S377" i="23" s="1"/>
  <c r="S378" i="23" s="1"/>
  <c r="S379" i="23" s="1"/>
  <c r="S380" i="23" s="1"/>
  <c r="S381" i="23" s="1"/>
  <c r="S382" i="23" s="1"/>
  <c r="S383" i="23" s="1"/>
  <c r="S384" i="23" s="1"/>
  <c r="S385" i="23" s="1"/>
  <c r="S386" i="23" s="1"/>
  <c r="S387" i="23" s="1"/>
  <c r="S388" i="23" s="1"/>
  <c r="S389" i="23" s="1"/>
  <c r="S390" i="23" s="1"/>
  <c r="S391" i="23" s="1"/>
  <c r="S392" i="23" s="1"/>
  <c r="S393" i="23" s="1"/>
  <c r="S394" i="23" s="1"/>
  <c r="S395" i="23" s="1"/>
  <c r="S396" i="23" s="1"/>
  <c r="S397" i="23" s="1"/>
  <c r="S398" i="23" s="1"/>
  <c r="S399" i="23" s="1"/>
  <c r="S400" i="23" s="1"/>
  <c r="S401" i="23" s="1"/>
  <c r="S402" i="23" s="1"/>
  <c r="S403" i="23" s="1"/>
  <c r="S404" i="23" s="1"/>
  <c r="S405" i="23" s="1"/>
  <c r="S406" i="23" s="1"/>
  <c r="S407" i="23" s="1"/>
  <c r="S408" i="23" s="1"/>
  <c r="S409" i="23" s="1"/>
  <c r="S410" i="23" s="1"/>
  <c r="S411" i="23" s="1"/>
  <c r="S412" i="23" s="1"/>
  <c r="S413" i="23" s="1"/>
  <c r="S414" i="23" s="1"/>
  <c r="S415" i="23" s="1"/>
  <c r="S416" i="23" s="1"/>
  <c r="S417" i="23" s="1"/>
  <c r="S418" i="23" s="1"/>
  <c r="S419" i="23" s="1"/>
  <c r="S420" i="23" s="1"/>
  <c r="S421" i="23" s="1"/>
  <c r="S422" i="23" s="1"/>
  <c r="S423" i="23" s="1"/>
  <c r="S424" i="23" s="1"/>
  <c r="S425" i="23" s="1"/>
  <c r="S426" i="23" s="1"/>
  <c r="C118" i="5"/>
  <c r="N118" i="5"/>
  <c r="Q118" i="5"/>
  <c r="R118" i="5"/>
  <c r="AB118" i="5"/>
  <c r="C479" i="7" l="1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Q479" i="7"/>
  <c r="Y479" i="7" s="1"/>
  <c r="Q480" i="7"/>
  <c r="Y480" i="7" s="1"/>
  <c r="Q481" i="7"/>
  <c r="Y481" i="7" s="1"/>
  <c r="Q482" i="7"/>
  <c r="Y482" i="7" s="1"/>
  <c r="Q483" i="7"/>
  <c r="Y483" i="7" s="1"/>
  <c r="Q484" i="7"/>
  <c r="Y484" i="7" s="1"/>
  <c r="Q485" i="7"/>
  <c r="Y485" i="7" s="1"/>
  <c r="Q486" i="7"/>
  <c r="Y486" i="7" s="1"/>
  <c r="Q487" i="7"/>
  <c r="Y487" i="7" s="1"/>
  <c r="Q488" i="7"/>
  <c r="Y488" i="7" s="1"/>
  <c r="Q489" i="7"/>
  <c r="Y489" i="7" s="1"/>
  <c r="Q490" i="7"/>
  <c r="Y490" i="7" s="1"/>
  <c r="Q491" i="7"/>
  <c r="Y491" i="7" s="1"/>
  <c r="Q492" i="7"/>
  <c r="Y492" i="7" s="1"/>
  <c r="Q493" i="7"/>
  <c r="Y493" i="7" s="1"/>
  <c r="Q494" i="7"/>
  <c r="Y494" i="7" s="1"/>
  <c r="Q495" i="7"/>
  <c r="Y495" i="7" s="1"/>
  <c r="Q496" i="7"/>
  <c r="Y496" i="7" s="1"/>
  <c r="Q497" i="7"/>
  <c r="Y497" i="7" s="1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AB479" i="7"/>
  <c r="AB480" i="7"/>
  <c r="AB481" i="7"/>
  <c r="AB482" i="7"/>
  <c r="AB483" i="7"/>
  <c r="AB484" i="7"/>
  <c r="AB485" i="7"/>
  <c r="AB486" i="7"/>
  <c r="AB487" i="7"/>
  <c r="AB488" i="7"/>
  <c r="AB489" i="7"/>
  <c r="AB490" i="7"/>
  <c r="AB491" i="7"/>
  <c r="AB492" i="7"/>
  <c r="AB493" i="7"/>
  <c r="AB494" i="7"/>
  <c r="AB495" i="7"/>
  <c r="AB496" i="7"/>
  <c r="AB497" i="7"/>
  <c r="C240" i="12" l="1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Y240" i="12"/>
  <c r="Y241" i="12"/>
  <c r="Y242" i="12"/>
  <c r="Y243" i="12"/>
  <c r="Y244" i="12"/>
  <c r="Y245" i="12"/>
  <c r="Y246" i="12"/>
  <c r="Y247" i="12"/>
  <c r="Y248" i="12"/>
  <c r="Y249" i="12"/>
  <c r="Y250" i="12"/>
  <c r="Y251" i="12"/>
  <c r="Y252" i="12"/>
  <c r="Y253" i="12"/>
  <c r="Y254" i="12"/>
  <c r="Y255" i="12"/>
  <c r="AB240" i="12"/>
  <c r="AB241" i="12"/>
  <c r="AB242" i="12"/>
  <c r="AB243" i="12"/>
  <c r="AB244" i="12"/>
  <c r="AB245" i="12"/>
  <c r="AB246" i="12"/>
  <c r="AB247" i="12"/>
  <c r="AB248" i="12"/>
  <c r="AB249" i="12"/>
  <c r="AB250" i="12"/>
  <c r="AB251" i="12"/>
  <c r="AB252" i="12"/>
  <c r="AB253" i="12"/>
  <c r="AB254" i="12"/>
  <c r="AB255" i="12"/>
  <c r="C333" i="10"/>
  <c r="C334" i="10"/>
  <c r="C335" i="10"/>
  <c r="C336" i="10"/>
  <c r="C337" i="10"/>
  <c r="C338" i="10"/>
  <c r="C339" i="10"/>
  <c r="C340" i="10"/>
  <c r="C341" i="10"/>
  <c r="N333" i="10"/>
  <c r="N334" i="10"/>
  <c r="N335" i="10"/>
  <c r="N336" i="10"/>
  <c r="N337" i="10"/>
  <c r="N338" i="10"/>
  <c r="N339" i="10"/>
  <c r="N340" i="10"/>
  <c r="N341" i="10"/>
  <c r="Q333" i="10"/>
  <c r="Q334" i="10"/>
  <c r="Q335" i="10"/>
  <c r="Q336" i="10"/>
  <c r="Q337" i="10"/>
  <c r="Q338" i="10"/>
  <c r="Q339" i="10"/>
  <c r="Q340" i="10"/>
  <c r="Q341" i="10"/>
  <c r="R333" i="10"/>
  <c r="R334" i="10"/>
  <c r="R335" i="10"/>
  <c r="R336" i="10"/>
  <c r="R337" i="10"/>
  <c r="R338" i="10"/>
  <c r="R339" i="10"/>
  <c r="R340" i="10"/>
  <c r="R341" i="10"/>
  <c r="Y333" i="10"/>
  <c r="Y334" i="10"/>
  <c r="Y335" i="10"/>
  <c r="Y336" i="10"/>
  <c r="Y337" i="10"/>
  <c r="Y338" i="10"/>
  <c r="Y339" i="10"/>
  <c r="Y340" i="10"/>
  <c r="Y341" i="10"/>
  <c r="AB333" i="10"/>
  <c r="AB334" i="10"/>
  <c r="AB335" i="10"/>
  <c r="AB336" i="10"/>
  <c r="AB337" i="10"/>
  <c r="AB338" i="10"/>
  <c r="AB339" i="10"/>
  <c r="AB340" i="10"/>
  <c r="AB341" i="10"/>
  <c r="C368" i="18"/>
  <c r="N368" i="18"/>
  <c r="R368" i="18"/>
  <c r="Y368" i="18"/>
  <c r="AB368" i="18"/>
  <c r="C367" i="18"/>
  <c r="N367" i="18"/>
  <c r="R367" i="18"/>
  <c r="Y367" i="18"/>
  <c r="AB367" i="18"/>
  <c r="C366" i="18"/>
  <c r="N366" i="18"/>
  <c r="R366" i="18"/>
  <c r="Y366" i="18"/>
  <c r="AB366" i="18"/>
  <c r="C365" i="18"/>
  <c r="N365" i="18"/>
  <c r="R365" i="18"/>
  <c r="Y365" i="18"/>
  <c r="AB365" i="18"/>
  <c r="AC659" i="9"/>
  <c r="S659" i="9"/>
  <c r="R659" i="9"/>
  <c r="O659" i="9"/>
  <c r="C659" i="9"/>
  <c r="N659" i="9"/>
  <c r="AC658" i="9"/>
  <c r="S658" i="9"/>
  <c r="R658" i="9"/>
  <c r="O658" i="9"/>
  <c r="C658" i="9"/>
  <c r="N658" i="9"/>
  <c r="AC657" i="9"/>
  <c r="S657" i="9"/>
  <c r="R657" i="9"/>
  <c r="O657" i="9"/>
  <c r="C657" i="9"/>
  <c r="N657" i="9"/>
  <c r="AC656" i="9"/>
  <c r="S656" i="9"/>
  <c r="R656" i="9"/>
  <c r="O656" i="9"/>
  <c r="C656" i="9"/>
  <c r="N656" i="9"/>
  <c r="AC655" i="9"/>
  <c r="S655" i="9"/>
  <c r="R655" i="9"/>
  <c r="O655" i="9"/>
  <c r="C655" i="9"/>
  <c r="N655" i="9"/>
  <c r="AC654" i="9"/>
  <c r="S654" i="9"/>
  <c r="R654" i="9"/>
  <c r="O654" i="9"/>
  <c r="C654" i="9"/>
  <c r="N654" i="9"/>
  <c r="AB290" i="3" l="1"/>
  <c r="R290" i="3"/>
  <c r="Q290" i="3"/>
  <c r="N290" i="3"/>
  <c r="C290" i="3"/>
  <c r="C288" i="3" l="1"/>
  <c r="N288" i="3"/>
  <c r="Q288" i="3"/>
  <c r="R288" i="3"/>
  <c r="AB288" i="3"/>
  <c r="C289" i="3" l="1"/>
  <c r="N289" i="3"/>
  <c r="Q289" i="3"/>
  <c r="R289" i="3"/>
  <c r="AB289" i="3"/>
  <c r="N653" i="9" l="1"/>
  <c r="C653" i="9"/>
  <c r="O653" i="9"/>
  <c r="R653" i="9"/>
  <c r="S653" i="9"/>
  <c r="AC653" i="9"/>
  <c r="N652" i="9"/>
  <c r="C652" i="9"/>
  <c r="O652" i="9"/>
  <c r="R652" i="9"/>
  <c r="S652" i="9"/>
  <c r="AC652" i="9"/>
  <c r="N651" i="9"/>
  <c r="C651" i="9"/>
  <c r="O651" i="9"/>
  <c r="R651" i="9"/>
  <c r="S651" i="9"/>
  <c r="AC651" i="9"/>
  <c r="B576" i="8"/>
  <c r="N576" i="8" s="1"/>
  <c r="C576" i="8"/>
  <c r="O576" i="8"/>
  <c r="R576" i="8"/>
  <c r="S576" i="8"/>
  <c r="AC576" i="8"/>
  <c r="N650" i="9" l="1"/>
  <c r="C650" i="9"/>
  <c r="O650" i="9"/>
  <c r="R650" i="9"/>
  <c r="S650" i="9"/>
  <c r="AC650" i="9"/>
  <c r="B575" i="8"/>
  <c r="N575" i="8" s="1"/>
  <c r="C575" i="8"/>
  <c r="O575" i="8"/>
  <c r="R575" i="8"/>
  <c r="S575" i="8"/>
  <c r="AC575" i="8"/>
  <c r="N649" i="9"/>
  <c r="C649" i="9"/>
  <c r="O649" i="9"/>
  <c r="R649" i="9"/>
  <c r="S649" i="9"/>
  <c r="AC649" i="9"/>
  <c r="N648" i="9"/>
  <c r="C648" i="9"/>
  <c r="O648" i="9"/>
  <c r="R648" i="9"/>
  <c r="S648" i="9"/>
  <c r="AC648" i="9"/>
  <c r="B560" i="8" l="1"/>
  <c r="N560" i="8" s="1"/>
  <c r="N561" i="8" s="1"/>
  <c r="N562" i="8" s="1"/>
  <c r="C560" i="8"/>
  <c r="O560" i="8"/>
  <c r="R560" i="8"/>
  <c r="S560" i="8"/>
  <c r="AC560" i="8"/>
  <c r="C559" i="8"/>
  <c r="O559" i="8"/>
  <c r="R559" i="8"/>
  <c r="S559" i="8"/>
  <c r="AC559" i="8"/>
  <c r="AB332" i="10" l="1"/>
  <c r="Y332" i="10"/>
  <c r="R332" i="10"/>
  <c r="Q332" i="10"/>
  <c r="N332" i="10"/>
  <c r="C332" i="10"/>
  <c r="AB331" i="10"/>
  <c r="Y331" i="10"/>
  <c r="R331" i="10"/>
  <c r="Q331" i="10"/>
  <c r="N331" i="10"/>
  <c r="C331" i="10"/>
  <c r="AB330" i="10"/>
  <c r="Y330" i="10"/>
  <c r="R330" i="10"/>
  <c r="Q330" i="10"/>
  <c r="N330" i="10"/>
  <c r="C330" i="10"/>
  <c r="N647" i="9"/>
  <c r="C647" i="9"/>
  <c r="O647" i="9"/>
  <c r="R647" i="9"/>
  <c r="S647" i="9"/>
  <c r="AC647" i="9"/>
  <c r="N646" i="9"/>
  <c r="C646" i="9"/>
  <c r="O646" i="9"/>
  <c r="R646" i="9"/>
  <c r="S646" i="9"/>
  <c r="AC646" i="9"/>
  <c r="AB103" i="19" l="1"/>
  <c r="Y103" i="19"/>
  <c r="R103" i="19"/>
  <c r="Q103" i="19"/>
  <c r="N103" i="19"/>
  <c r="C103" i="19"/>
  <c r="AB102" i="19"/>
  <c r="Y102" i="19"/>
  <c r="R102" i="19"/>
  <c r="Q102" i="19"/>
  <c r="N102" i="19"/>
  <c r="C102" i="19"/>
  <c r="B574" i="8" l="1"/>
  <c r="N574" i="8" s="1"/>
  <c r="C574" i="8"/>
  <c r="O574" i="8"/>
  <c r="R574" i="8"/>
  <c r="S574" i="8"/>
  <c r="AC574" i="8"/>
  <c r="N645" i="9"/>
  <c r="C645" i="9"/>
  <c r="O645" i="9"/>
  <c r="R645" i="9"/>
  <c r="S645" i="9"/>
  <c r="AC645" i="9"/>
  <c r="B573" i="8" l="1"/>
  <c r="N573" i="8" s="1"/>
  <c r="C573" i="8"/>
  <c r="O573" i="8"/>
  <c r="R573" i="8"/>
  <c r="S573" i="8"/>
  <c r="AC573" i="8"/>
  <c r="N644" i="9" l="1"/>
  <c r="C644" i="9"/>
  <c r="O644" i="9"/>
  <c r="R644" i="9"/>
  <c r="S644" i="9"/>
  <c r="AC644" i="9"/>
  <c r="R565" i="8" l="1"/>
  <c r="S566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503" i="8"/>
  <c r="S504" i="8"/>
  <c r="S505" i="8"/>
  <c r="S506" i="8"/>
  <c r="S507" i="8"/>
  <c r="S508" i="8"/>
  <c r="S509" i="8"/>
  <c r="S510" i="8"/>
  <c r="S511" i="8"/>
  <c r="S512" i="8"/>
  <c r="S513" i="8"/>
  <c r="S514" i="8"/>
  <c r="S515" i="8"/>
  <c r="S516" i="8"/>
  <c r="S517" i="8"/>
  <c r="S518" i="8"/>
  <c r="S519" i="8"/>
  <c r="S520" i="8"/>
  <c r="S521" i="8"/>
  <c r="S522" i="8"/>
  <c r="S523" i="8"/>
  <c r="S524" i="8"/>
  <c r="S525" i="8"/>
  <c r="S526" i="8"/>
  <c r="S527" i="8"/>
  <c r="S528" i="8"/>
  <c r="S529" i="8"/>
  <c r="S530" i="8"/>
  <c r="S531" i="8"/>
  <c r="S532" i="8"/>
  <c r="S533" i="8"/>
  <c r="S534" i="8"/>
  <c r="S535" i="8"/>
  <c r="S536" i="8"/>
  <c r="S537" i="8"/>
  <c r="S538" i="8"/>
  <c r="S539" i="8"/>
  <c r="S540" i="8"/>
  <c r="S541" i="8"/>
  <c r="S542" i="8"/>
  <c r="S543" i="8"/>
  <c r="S544" i="8"/>
  <c r="S545" i="8"/>
  <c r="S546" i="8"/>
  <c r="S547" i="8"/>
  <c r="S548" i="8"/>
  <c r="S549" i="8"/>
  <c r="S550" i="8"/>
  <c r="S551" i="8"/>
  <c r="S552" i="8"/>
  <c r="S553" i="8"/>
  <c r="S554" i="8"/>
  <c r="S555" i="8"/>
  <c r="S556" i="8"/>
  <c r="S557" i="8"/>
  <c r="S561" i="8"/>
  <c r="S562" i="8"/>
  <c r="S563" i="8"/>
  <c r="S564" i="8"/>
  <c r="S565" i="8"/>
  <c r="S567" i="8"/>
  <c r="S568" i="8"/>
  <c r="S571" i="8"/>
  <c r="S572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61" i="8"/>
  <c r="R562" i="8"/>
  <c r="R563" i="8"/>
  <c r="R564" i="8"/>
  <c r="R566" i="8"/>
  <c r="R567" i="8"/>
  <c r="R568" i="8"/>
  <c r="R571" i="8"/>
  <c r="R572" i="8"/>
  <c r="B572" i="8"/>
  <c r="N572" i="8" s="1"/>
  <c r="B568" i="8"/>
  <c r="N568" i="8" s="1"/>
  <c r="N569" i="8" s="1"/>
  <c r="N570" i="8" s="1"/>
  <c r="B567" i="8"/>
  <c r="N567" i="8" s="1"/>
  <c r="B566" i="8"/>
  <c r="N566" i="8" s="1"/>
  <c r="B565" i="8"/>
  <c r="N565" i="8" s="1"/>
  <c r="B564" i="8"/>
  <c r="N564" i="8" s="1"/>
  <c r="B563" i="8"/>
  <c r="N563" i="8" s="1"/>
  <c r="B562" i="8"/>
  <c r="B561" i="8"/>
  <c r="B557" i="8"/>
  <c r="N557" i="8" s="1"/>
  <c r="N558" i="8" s="1"/>
  <c r="N559" i="8" s="1"/>
  <c r="C572" i="8"/>
  <c r="O572" i="8"/>
  <c r="AC572" i="8"/>
  <c r="C287" i="3"/>
  <c r="N287" i="3"/>
  <c r="Q287" i="3"/>
  <c r="R287" i="3"/>
  <c r="AB287" i="3"/>
  <c r="C117" i="5" l="1"/>
  <c r="N117" i="5"/>
  <c r="Q117" i="5"/>
  <c r="R117" i="5"/>
  <c r="AB117" i="5"/>
  <c r="N643" i="9"/>
  <c r="C643" i="9"/>
  <c r="O643" i="9"/>
  <c r="R643" i="9"/>
  <c r="S643" i="9"/>
  <c r="AC643" i="9"/>
  <c r="N642" i="9" l="1"/>
  <c r="C642" i="9"/>
  <c r="O642" i="9"/>
  <c r="R642" i="9"/>
  <c r="S642" i="9"/>
  <c r="AC642" i="9"/>
  <c r="R7" i="3"/>
  <c r="Q6" i="3"/>
  <c r="C279" i="3"/>
  <c r="N279" i="3"/>
  <c r="Q279" i="3"/>
  <c r="R279" i="3"/>
  <c r="AB279" i="3"/>
  <c r="C280" i="3"/>
  <c r="N280" i="3"/>
  <c r="Q280" i="3"/>
  <c r="R280" i="3"/>
  <c r="AB280" i="3"/>
  <c r="C281" i="3"/>
  <c r="N281" i="3"/>
  <c r="Q281" i="3"/>
  <c r="R281" i="3"/>
  <c r="AB281" i="3"/>
  <c r="C282" i="3"/>
  <c r="N282" i="3"/>
  <c r="Q282" i="3"/>
  <c r="R282" i="3"/>
  <c r="AB282" i="3"/>
  <c r="C283" i="3"/>
  <c r="N283" i="3"/>
  <c r="Q283" i="3"/>
  <c r="R283" i="3"/>
  <c r="AB283" i="3"/>
  <c r="C284" i="3"/>
  <c r="N284" i="3"/>
  <c r="Q284" i="3"/>
  <c r="R284" i="3"/>
  <c r="AB284" i="3"/>
  <c r="C285" i="3"/>
  <c r="C286" i="3"/>
  <c r="N285" i="3"/>
  <c r="N286" i="3"/>
  <c r="Q285" i="3"/>
  <c r="Q286" i="3"/>
  <c r="R285" i="3"/>
  <c r="R286" i="3"/>
  <c r="AB285" i="3"/>
  <c r="AB286" i="3"/>
  <c r="C277" i="3"/>
  <c r="N277" i="3"/>
  <c r="Q277" i="3"/>
  <c r="R277" i="3"/>
  <c r="AB277" i="3"/>
  <c r="R734" i="8" l="1"/>
  <c r="C571" i="8" l="1"/>
  <c r="O571" i="8"/>
  <c r="AC571" i="8"/>
  <c r="B5" i="8"/>
  <c r="N5" i="8" s="1"/>
  <c r="B6" i="8"/>
  <c r="N6" i="8" s="1"/>
  <c r="B7" i="8"/>
  <c r="N7" i="8" s="1"/>
  <c r="B8" i="8"/>
  <c r="N8" i="8" s="1"/>
  <c r="B9" i="8"/>
  <c r="N9" i="8" s="1"/>
  <c r="B10" i="8"/>
  <c r="N10" i="8" s="1"/>
  <c r="B11" i="8"/>
  <c r="N11" i="8" s="1"/>
  <c r="B12" i="8"/>
  <c r="N12" i="8" s="1"/>
  <c r="B13" i="8"/>
  <c r="N13" i="8" s="1"/>
  <c r="B14" i="8"/>
  <c r="N14" i="8" s="1"/>
  <c r="B15" i="8"/>
  <c r="N15" i="8" s="1"/>
  <c r="B16" i="8"/>
  <c r="N16" i="8" s="1"/>
  <c r="B17" i="8"/>
  <c r="N17" i="8" s="1"/>
  <c r="B18" i="8"/>
  <c r="N18" i="8" s="1"/>
  <c r="B19" i="8"/>
  <c r="N19" i="8" s="1"/>
  <c r="B20" i="8"/>
  <c r="N20" i="8" s="1"/>
  <c r="B21" i="8"/>
  <c r="N21" i="8" s="1"/>
  <c r="B22" i="8"/>
  <c r="N22" i="8" s="1"/>
  <c r="B23" i="8"/>
  <c r="N23" i="8" s="1"/>
  <c r="B24" i="8"/>
  <c r="N24" i="8" s="1"/>
  <c r="B25" i="8"/>
  <c r="N25" i="8" s="1"/>
  <c r="B26" i="8"/>
  <c r="N26" i="8" s="1"/>
  <c r="B27" i="8"/>
  <c r="N27" i="8" s="1"/>
  <c r="B28" i="8"/>
  <c r="N28" i="8" s="1"/>
  <c r="B29" i="8"/>
  <c r="N29" i="8" s="1"/>
  <c r="B30" i="8"/>
  <c r="N30" i="8" s="1"/>
  <c r="B31" i="8"/>
  <c r="N31" i="8" s="1"/>
  <c r="B32" i="8"/>
  <c r="N32" i="8" s="1"/>
  <c r="B33" i="8"/>
  <c r="N33" i="8" s="1"/>
  <c r="B34" i="8"/>
  <c r="N34" i="8" s="1"/>
  <c r="B35" i="8"/>
  <c r="N35" i="8" s="1"/>
  <c r="B36" i="8"/>
  <c r="N36" i="8" s="1"/>
  <c r="B37" i="8"/>
  <c r="N37" i="8" s="1"/>
  <c r="B38" i="8"/>
  <c r="N38" i="8" s="1"/>
  <c r="B39" i="8"/>
  <c r="N39" i="8" s="1"/>
  <c r="B40" i="8"/>
  <c r="N40" i="8" s="1"/>
  <c r="B41" i="8"/>
  <c r="N41" i="8" s="1"/>
  <c r="B42" i="8"/>
  <c r="N42" i="8" s="1"/>
  <c r="B43" i="8"/>
  <c r="N43" i="8" s="1"/>
  <c r="B44" i="8"/>
  <c r="N44" i="8" s="1"/>
  <c r="B45" i="8"/>
  <c r="N45" i="8" s="1"/>
  <c r="B46" i="8"/>
  <c r="N46" i="8" s="1"/>
  <c r="B47" i="8"/>
  <c r="N47" i="8" s="1"/>
  <c r="B48" i="8"/>
  <c r="N48" i="8" s="1"/>
  <c r="B49" i="8"/>
  <c r="N49" i="8" s="1"/>
  <c r="B50" i="8"/>
  <c r="N50" i="8" s="1"/>
  <c r="B51" i="8"/>
  <c r="N51" i="8" s="1"/>
  <c r="B52" i="8"/>
  <c r="N52" i="8" s="1"/>
  <c r="B53" i="8"/>
  <c r="N53" i="8" s="1"/>
  <c r="B54" i="8"/>
  <c r="N54" i="8" s="1"/>
  <c r="B55" i="8"/>
  <c r="N55" i="8" s="1"/>
  <c r="B56" i="8"/>
  <c r="N56" i="8" s="1"/>
  <c r="B57" i="8"/>
  <c r="N57" i="8" s="1"/>
  <c r="B58" i="8"/>
  <c r="N58" i="8" s="1"/>
  <c r="B59" i="8"/>
  <c r="N59" i="8" s="1"/>
  <c r="B60" i="8"/>
  <c r="N60" i="8" s="1"/>
  <c r="B61" i="8"/>
  <c r="N61" i="8" s="1"/>
  <c r="B62" i="8"/>
  <c r="N62" i="8" s="1"/>
  <c r="B63" i="8"/>
  <c r="N63" i="8" s="1"/>
  <c r="B64" i="8"/>
  <c r="N64" i="8" s="1"/>
  <c r="B65" i="8"/>
  <c r="N65" i="8" s="1"/>
  <c r="B66" i="8"/>
  <c r="N66" i="8" s="1"/>
  <c r="B67" i="8"/>
  <c r="N67" i="8" s="1"/>
  <c r="B68" i="8"/>
  <c r="N68" i="8" s="1"/>
  <c r="B69" i="8"/>
  <c r="N69" i="8" s="1"/>
  <c r="B70" i="8"/>
  <c r="N70" i="8" s="1"/>
  <c r="B71" i="8"/>
  <c r="N71" i="8" s="1"/>
  <c r="B72" i="8"/>
  <c r="N72" i="8" s="1"/>
  <c r="B73" i="8"/>
  <c r="N73" i="8" s="1"/>
  <c r="B74" i="8"/>
  <c r="N74" i="8" s="1"/>
  <c r="B75" i="8"/>
  <c r="N75" i="8" s="1"/>
  <c r="B76" i="8"/>
  <c r="N76" i="8" s="1"/>
  <c r="B77" i="8"/>
  <c r="N77" i="8" s="1"/>
  <c r="B78" i="8"/>
  <c r="N78" i="8" s="1"/>
  <c r="B79" i="8"/>
  <c r="N79" i="8" s="1"/>
  <c r="B80" i="8"/>
  <c r="N80" i="8" s="1"/>
  <c r="B81" i="8"/>
  <c r="N81" i="8" s="1"/>
  <c r="B82" i="8"/>
  <c r="N82" i="8" s="1"/>
  <c r="B83" i="8"/>
  <c r="N83" i="8" s="1"/>
  <c r="B84" i="8"/>
  <c r="N84" i="8" s="1"/>
  <c r="B85" i="8"/>
  <c r="N85" i="8" s="1"/>
  <c r="B86" i="8"/>
  <c r="N86" i="8" s="1"/>
  <c r="B87" i="8"/>
  <c r="N87" i="8" s="1"/>
  <c r="B88" i="8"/>
  <c r="N88" i="8" s="1"/>
  <c r="B89" i="8"/>
  <c r="N89" i="8" s="1"/>
  <c r="B90" i="8"/>
  <c r="N90" i="8" s="1"/>
  <c r="B91" i="8"/>
  <c r="N91" i="8" s="1"/>
  <c r="B92" i="8"/>
  <c r="N92" i="8" s="1"/>
  <c r="B93" i="8"/>
  <c r="N93" i="8" s="1"/>
  <c r="B94" i="8"/>
  <c r="N94" i="8" s="1"/>
  <c r="B95" i="8"/>
  <c r="N95" i="8" s="1"/>
  <c r="B96" i="8"/>
  <c r="N96" i="8" s="1"/>
  <c r="B97" i="8"/>
  <c r="N97" i="8" s="1"/>
  <c r="B98" i="8"/>
  <c r="N98" i="8" s="1"/>
  <c r="B99" i="8"/>
  <c r="N99" i="8" s="1"/>
  <c r="B100" i="8"/>
  <c r="N100" i="8" s="1"/>
  <c r="B101" i="8"/>
  <c r="N101" i="8" s="1"/>
  <c r="B102" i="8"/>
  <c r="N102" i="8" s="1"/>
  <c r="B103" i="8"/>
  <c r="N103" i="8" s="1"/>
  <c r="B104" i="8"/>
  <c r="N104" i="8" s="1"/>
  <c r="B105" i="8"/>
  <c r="N105" i="8" s="1"/>
  <c r="B106" i="8"/>
  <c r="N106" i="8" s="1"/>
  <c r="B107" i="8"/>
  <c r="N107" i="8" s="1"/>
  <c r="B108" i="8"/>
  <c r="N108" i="8" s="1"/>
  <c r="B109" i="8"/>
  <c r="N109" i="8" s="1"/>
  <c r="B110" i="8"/>
  <c r="N110" i="8" s="1"/>
  <c r="B111" i="8"/>
  <c r="N111" i="8" s="1"/>
  <c r="B112" i="8"/>
  <c r="N112" i="8" s="1"/>
  <c r="B113" i="8"/>
  <c r="N113" i="8" s="1"/>
  <c r="B114" i="8"/>
  <c r="N114" i="8" s="1"/>
  <c r="B115" i="8"/>
  <c r="N115" i="8" s="1"/>
  <c r="B116" i="8"/>
  <c r="N116" i="8" s="1"/>
  <c r="B117" i="8"/>
  <c r="N117" i="8" s="1"/>
  <c r="B118" i="8"/>
  <c r="N118" i="8" s="1"/>
  <c r="B119" i="8"/>
  <c r="N119" i="8" s="1"/>
  <c r="B120" i="8"/>
  <c r="N120" i="8" s="1"/>
  <c r="B121" i="8"/>
  <c r="N121" i="8" s="1"/>
  <c r="B122" i="8"/>
  <c r="N122" i="8" s="1"/>
  <c r="B123" i="8"/>
  <c r="N123" i="8" s="1"/>
  <c r="B124" i="8"/>
  <c r="N124" i="8" s="1"/>
  <c r="B125" i="8"/>
  <c r="N125" i="8" s="1"/>
  <c r="B126" i="8"/>
  <c r="N126" i="8" s="1"/>
  <c r="B127" i="8"/>
  <c r="N127" i="8" s="1"/>
  <c r="B128" i="8"/>
  <c r="N128" i="8" s="1"/>
  <c r="B129" i="8"/>
  <c r="N129" i="8" s="1"/>
  <c r="B130" i="8"/>
  <c r="N130" i="8" s="1"/>
  <c r="B131" i="8"/>
  <c r="N131" i="8" s="1"/>
  <c r="B132" i="8"/>
  <c r="N132" i="8" s="1"/>
  <c r="B133" i="8"/>
  <c r="N133" i="8" s="1"/>
  <c r="B134" i="8"/>
  <c r="N134" i="8" s="1"/>
  <c r="B135" i="8"/>
  <c r="N135" i="8" s="1"/>
  <c r="B136" i="8"/>
  <c r="N136" i="8" s="1"/>
  <c r="B137" i="8"/>
  <c r="N137" i="8" s="1"/>
  <c r="B138" i="8"/>
  <c r="N138" i="8" s="1"/>
  <c r="B139" i="8"/>
  <c r="N139" i="8" s="1"/>
  <c r="B140" i="8"/>
  <c r="N140" i="8" s="1"/>
  <c r="B141" i="8"/>
  <c r="N141" i="8" s="1"/>
  <c r="B142" i="8"/>
  <c r="N142" i="8" s="1"/>
  <c r="B143" i="8"/>
  <c r="N143" i="8" s="1"/>
  <c r="B144" i="8"/>
  <c r="N144" i="8" s="1"/>
  <c r="B145" i="8"/>
  <c r="N145" i="8" s="1"/>
  <c r="B146" i="8"/>
  <c r="N146" i="8" s="1"/>
  <c r="B147" i="8"/>
  <c r="N147" i="8" s="1"/>
  <c r="B148" i="8"/>
  <c r="N148" i="8" s="1"/>
  <c r="B149" i="8"/>
  <c r="N149" i="8" s="1"/>
  <c r="B150" i="8"/>
  <c r="N150" i="8" s="1"/>
  <c r="B151" i="8"/>
  <c r="N151" i="8" s="1"/>
  <c r="B152" i="8"/>
  <c r="N152" i="8" s="1"/>
  <c r="B153" i="8"/>
  <c r="N153" i="8" s="1"/>
  <c r="B154" i="8"/>
  <c r="N154" i="8" s="1"/>
  <c r="B155" i="8"/>
  <c r="N155" i="8" s="1"/>
  <c r="B156" i="8"/>
  <c r="N156" i="8" s="1"/>
  <c r="B157" i="8"/>
  <c r="N157" i="8" s="1"/>
  <c r="B158" i="8"/>
  <c r="N158" i="8" s="1"/>
  <c r="B159" i="8"/>
  <c r="N159" i="8" s="1"/>
  <c r="B160" i="8"/>
  <c r="N160" i="8" s="1"/>
  <c r="B161" i="8"/>
  <c r="N161" i="8" s="1"/>
  <c r="B162" i="8"/>
  <c r="N162" i="8" s="1"/>
  <c r="B163" i="8"/>
  <c r="N163" i="8" s="1"/>
  <c r="B164" i="8"/>
  <c r="N164" i="8" s="1"/>
  <c r="B165" i="8"/>
  <c r="N165" i="8" s="1"/>
  <c r="B166" i="8"/>
  <c r="N166" i="8" s="1"/>
  <c r="B167" i="8"/>
  <c r="N167" i="8" s="1"/>
  <c r="B168" i="8"/>
  <c r="N168" i="8" s="1"/>
  <c r="B169" i="8"/>
  <c r="N169" i="8" s="1"/>
  <c r="B170" i="8"/>
  <c r="N170" i="8" s="1"/>
  <c r="B171" i="8"/>
  <c r="N171" i="8" s="1"/>
  <c r="B172" i="8"/>
  <c r="N172" i="8" s="1"/>
  <c r="B173" i="8"/>
  <c r="N173" i="8" s="1"/>
  <c r="B174" i="8"/>
  <c r="N174" i="8" s="1"/>
  <c r="B175" i="8"/>
  <c r="N175" i="8" s="1"/>
  <c r="B176" i="8"/>
  <c r="N176" i="8" s="1"/>
  <c r="B177" i="8"/>
  <c r="N177" i="8" s="1"/>
  <c r="B178" i="8"/>
  <c r="N178" i="8" s="1"/>
  <c r="B179" i="8"/>
  <c r="N179" i="8" s="1"/>
  <c r="B180" i="8"/>
  <c r="N180" i="8" s="1"/>
  <c r="B181" i="8"/>
  <c r="N181" i="8" s="1"/>
  <c r="B182" i="8"/>
  <c r="N182" i="8" s="1"/>
  <c r="B183" i="8"/>
  <c r="N183" i="8" s="1"/>
  <c r="B184" i="8"/>
  <c r="N184" i="8" s="1"/>
  <c r="B185" i="8"/>
  <c r="N185" i="8" s="1"/>
  <c r="B186" i="8"/>
  <c r="N186" i="8" s="1"/>
  <c r="B187" i="8"/>
  <c r="N187" i="8" s="1"/>
  <c r="B188" i="8"/>
  <c r="N188" i="8" s="1"/>
  <c r="B189" i="8"/>
  <c r="N189" i="8" s="1"/>
  <c r="B190" i="8"/>
  <c r="N190" i="8" s="1"/>
  <c r="B191" i="8"/>
  <c r="N191" i="8" s="1"/>
  <c r="B192" i="8"/>
  <c r="N192" i="8" s="1"/>
  <c r="B193" i="8"/>
  <c r="N193" i="8" s="1"/>
  <c r="B194" i="8"/>
  <c r="N194" i="8" s="1"/>
  <c r="B195" i="8"/>
  <c r="N195" i="8" s="1"/>
  <c r="B196" i="8"/>
  <c r="N196" i="8" s="1"/>
  <c r="B197" i="8"/>
  <c r="N197" i="8" s="1"/>
  <c r="B198" i="8"/>
  <c r="N198" i="8" s="1"/>
  <c r="B199" i="8"/>
  <c r="N199" i="8" s="1"/>
  <c r="B200" i="8"/>
  <c r="N200" i="8" s="1"/>
  <c r="B201" i="8"/>
  <c r="N201" i="8" s="1"/>
  <c r="B202" i="8"/>
  <c r="N202" i="8" s="1"/>
  <c r="B203" i="8"/>
  <c r="N203" i="8" s="1"/>
  <c r="B204" i="8"/>
  <c r="N204" i="8" s="1"/>
  <c r="B205" i="8"/>
  <c r="N205" i="8" s="1"/>
  <c r="B206" i="8"/>
  <c r="N206" i="8" s="1"/>
  <c r="B207" i="8"/>
  <c r="N207" i="8" s="1"/>
  <c r="B208" i="8"/>
  <c r="N208" i="8" s="1"/>
  <c r="B209" i="8"/>
  <c r="N209" i="8" s="1"/>
  <c r="B210" i="8"/>
  <c r="N210" i="8" s="1"/>
  <c r="B211" i="8"/>
  <c r="N211" i="8" s="1"/>
  <c r="B212" i="8"/>
  <c r="N212" i="8" s="1"/>
  <c r="B213" i="8"/>
  <c r="N213" i="8" s="1"/>
  <c r="B214" i="8"/>
  <c r="N214" i="8" s="1"/>
  <c r="B215" i="8"/>
  <c r="N215" i="8" s="1"/>
  <c r="B216" i="8"/>
  <c r="N216" i="8" s="1"/>
  <c r="B217" i="8"/>
  <c r="N217" i="8" s="1"/>
  <c r="B218" i="8"/>
  <c r="N218" i="8" s="1"/>
  <c r="B219" i="8"/>
  <c r="N219" i="8" s="1"/>
  <c r="B220" i="8"/>
  <c r="N220" i="8" s="1"/>
  <c r="B221" i="8"/>
  <c r="N221" i="8" s="1"/>
  <c r="B222" i="8"/>
  <c r="N222" i="8" s="1"/>
  <c r="B223" i="8"/>
  <c r="N223" i="8" s="1"/>
  <c r="B224" i="8"/>
  <c r="N224" i="8" s="1"/>
  <c r="B225" i="8"/>
  <c r="N225" i="8" s="1"/>
  <c r="B226" i="8"/>
  <c r="N226" i="8" s="1"/>
  <c r="B227" i="8"/>
  <c r="N227" i="8" s="1"/>
  <c r="B228" i="8"/>
  <c r="N228" i="8" s="1"/>
  <c r="B229" i="8"/>
  <c r="N229" i="8" s="1"/>
  <c r="B230" i="8"/>
  <c r="N230" i="8" s="1"/>
  <c r="B231" i="8"/>
  <c r="N231" i="8" s="1"/>
  <c r="B232" i="8"/>
  <c r="N232" i="8" s="1"/>
  <c r="B233" i="8"/>
  <c r="N233" i="8" s="1"/>
  <c r="B234" i="8"/>
  <c r="N234" i="8" s="1"/>
  <c r="B235" i="8"/>
  <c r="N235" i="8" s="1"/>
  <c r="B236" i="8"/>
  <c r="N236" i="8" s="1"/>
  <c r="B237" i="8"/>
  <c r="N237" i="8" s="1"/>
  <c r="B238" i="8"/>
  <c r="N238" i="8" s="1"/>
  <c r="B239" i="8"/>
  <c r="N239" i="8" s="1"/>
  <c r="B240" i="8"/>
  <c r="N240" i="8" s="1"/>
  <c r="B241" i="8"/>
  <c r="N241" i="8" s="1"/>
  <c r="B242" i="8"/>
  <c r="N242" i="8" s="1"/>
  <c r="B243" i="8"/>
  <c r="N243" i="8" s="1"/>
  <c r="B244" i="8"/>
  <c r="N244" i="8" s="1"/>
  <c r="B245" i="8"/>
  <c r="N245" i="8" s="1"/>
  <c r="B246" i="8"/>
  <c r="N246" i="8" s="1"/>
  <c r="B247" i="8"/>
  <c r="N247" i="8" s="1"/>
  <c r="B248" i="8"/>
  <c r="N248" i="8" s="1"/>
  <c r="B249" i="8"/>
  <c r="N249" i="8" s="1"/>
  <c r="B250" i="8"/>
  <c r="N250" i="8" s="1"/>
  <c r="B251" i="8"/>
  <c r="N251" i="8" s="1"/>
  <c r="B252" i="8"/>
  <c r="N252" i="8" s="1"/>
  <c r="B253" i="8"/>
  <c r="N253" i="8" s="1"/>
  <c r="B254" i="8"/>
  <c r="N254" i="8" s="1"/>
  <c r="B255" i="8"/>
  <c r="N255" i="8" s="1"/>
  <c r="B256" i="8"/>
  <c r="N256" i="8" s="1"/>
  <c r="B257" i="8"/>
  <c r="N257" i="8" s="1"/>
  <c r="B258" i="8"/>
  <c r="N258" i="8" s="1"/>
  <c r="B259" i="8"/>
  <c r="N259" i="8" s="1"/>
  <c r="B260" i="8"/>
  <c r="N260" i="8" s="1"/>
  <c r="B261" i="8"/>
  <c r="N261" i="8" s="1"/>
  <c r="B262" i="8"/>
  <c r="N262" i="8" s="1"/>
  <c r="B263" i="8"/>
  <c r="N263" i="8" s="1"/>
  <c r="B264" i="8"/>
  <c r="N264" i="8" s="1"/>
  <c r="B265" i="8"/>
  <c r="N265" i="8" s="1"/>
  <c r="B266" i="8"/>
  <c r="N266" i="8" s="1"/>
  <c r="B267" i="8"/>
  <c r="N267" i="8" s="1"/>
  <c r="B268" i="8"/>
  <c r="N268" i="8" s="1"/>
  <c r="B269" i="8"/>
  <c r="N269" i="8" s="1"/>
  <c r="B270" i="8"/>
  <c r="N270" i="8" s="1"/>
  <c r="B271" i="8"/>
  <c r="N271" i="8" s="1"/>
  <c r="B272" i="8"/>
  <c r="N272" i="8" s="1"/>
  <c r="B273" i="8"/>
  <c r="N273" i="8" s="1"/>
  <c r="B274" i="8"/>
  <c r="N274" i="8" s="1"/>
  <c r="B275" i="8"/>
  <c r="N275" i="8" s="1"/>
  <c r="B276" i="8"/>
  <c r="N276" i="8" s="1"/>
  <c r="B277" i="8"/>
  <c r="N277" i="8" s="1"/>
  <c r="B278" i="8"/>
  <c r="N278" i="8" s="1"/>
  <c r="B279" i="8"/>
  <c r="N279" i="8" s="1"/>
  <c r="B280" i="8"/>
  <c r="N280" i="8" s="1"/>
  <c r="B281" i="8"/>
  <c r="N281" i="8" s="1"/>
  <c r="B282" i="8"/>
  <c r="N282" i="8" s="1"/>
  <c r="B283" i="8"/>
  <c r="N283" i="8" s="1"/>
  <c r="B284" i="8"/>
  <c r="N284" i="8" s="1"/>
  <c r="B285" i="8"/>
  <c r="N285" i="8" s="1"/>
  <c r="B286" i="8"/>
  <c r="N286" i="8" s="1"/>
  <c r="B287" i="8"/>
  <c r="N287" i="8" s="1"/>
  <c r="B288" i="8"/>
  <c r="N288" i="8" s="1"/>
  <c r="B289" i="8"/>
  <c r="N289" i="8" s="1"/>
  <c r="B290" i="8"/>
  <c r="N290" i="8" s="1"/>
  <c r="B291" i="8"/>
  <c r="N291" i="8" s="1"/>
  <c r="B292" i="8"/>
  <c r="N292" i="8" s="1"/>
  <c r="B293" i="8"/>
  <c r="N293" i="8" s="1"/>
  <c r="B294" i="8"/>
  <c r="N294" i="8" s="1"/>
  <c r="B295" i="8"/>
  <c r="N295" i="8" s="1"/>
  <c r="B296" i="8"/>
  <c r="N296" i="8" s="1"/>
  <c r="B297" i="8"/>
  <c r="N297" i="8" s="1"/>
  <c r="B298" i="8"/>
  <c r="N298" i="8" s="1"/>
  <c r="B299" i="8"/>
  <c r="N299" i="8" s="1"/>
  <c r="B300" i="8"/>
  <c r="N300" i="8" s="1"/>
  <c r="B301" i="8"/>
  <c r="N301" i="8" s="1"/>
  <c r="B302" i="8"/>
  <c r="N302" i="8" s="1"/>
  <c r="B303" i="8"/>
  <c r="N303" i="8" s="1"/>
  <c r="B304" i="8"/>
  <c r="N304" i="8" s="1"/>
  <c r="B305" i="8"/>
  <c r="N305" i="8" s="1"/>
  <c r="B306" i="8"/>
  <c r="N306" i="8" s="1"/>
  <c r="B307" i="8"/>
  <c r="N307" i="8" s="1"/>
  <c r="B308" i="8"/>
  <c r="N308" i="8" s="1"/>
  <c r="B309" i="8"/>
  <c r="N309" i="8" s="1"/>
  <c r="B310" i="8"/>
  <c r="N310" i="8" s="1"/>
  <c r="B311" i="8"/>
  <c r="N311" i="8" s="1"/>
  <c r="B312" i="8"/>
  <c r="N312" i="8" s="1"/>
  <c r="B313" i="8"/>
  <c r="N313" i="8" s="1"/>
  <c r="B314" i="8"/>
  <c r="N314" i="8" s="1"/>
  <c r="B315" i="8"/>
  <c r="N315" i="8" s="1"/>
  <c r="B316" i="8"/>
  <c r="N316" i="8" s="1"/>
  <c r="B317" i="8"/>
  <c r="N317" i="8" s="1"/>
  <c r="B318" i="8"/>
  <c r="N318" i="8" s="1"/>
  <c r="B319" i="8"/>
  <c r="N319" i="8" s="1"/>
  <c r="B320" i="8"/>
  <c r="N320" i="8" s="1"/>
  <c r="B321" i="8"/>
  <c r="N321" i="8" s="1"/>
  <c r="B322" i="8"/>
  <c r="N322" i="8" s="1"/>
  <c r="B323" i="8"/>
  <c r="N323" i="8" s="1"/>
  <c r="B324" i="8"/>
  <c r="N324" i="8" s="1"/>
  <c r="B325" i="8"/>
  <c r="N325" i="8" s="1"/>
  <c r="B326" i="8"/>
  <c r="N326" i="8" s="1"/>
  <c r="B327" i="8"/>
  <c r="N327" i="8" s="1"/>
  <c r="B328" i="8"/>
  <c r="N328" i="8" s="1"/>
  <c r="B329" i="8"/>
  <c r="N329" i="8" s="1"/>
  <c r="B330" i="8"/>
  <c r="N330" i="8" s="1"/>
  <c r="B331" i="8"/>
  <c r="N331" i="8" s="1"/>
  <c r="B332" i="8"/>
  <c r="N332" i="8" s="1"/>
  <c r="B333" i="8"/>
  <c r="N333" i="8" s="1"/>
  <c r="B334" i="8"/>
  <c r="N334" i="8" s="1"/>
  <c r="B335" i="8"/>
  <c r="N335" i="8" s="1"/>
  <c r="B336" i="8"/>
  <c r="N336" i="8" s="1"/>
  <c r="B337" i="8"/>
  <c r="N337" i="8" s="1"/>
  <c r="B338" i="8"/>
  <c r="N338" i="8" s="1"/>
  <c r="B339" i="8"/>
  <c r="N339" i="8" s="1"/>
  <c r="B340" i="8"/>
  <c r="N340" i="8" s="1"/>
  <c r="B341" i="8"/>
  <c r="N341" i="8" s="1"/>
  <c r="B342" i="8"/>
  <c r="N342" i="8" s="1"/>
  <c r="B343" i="8"/>
  <c r="N343" i="8" s="1"/>
  <c r="B344" i="8"/>
  <c r="N344" i="8" s="1"/>
  <c r="B345" i="8"/>
  <c r="N345" i="8" s="1"/>
  <c r="B346" i="8"/>
  <c r="N346" i="8" s="1"/>
  <c r="B347" i="8"/>
  <c r="N347" i="8" s="1"/>
  <c r="B348" i="8"/>
  <c r="N348" i="8" s="1"/>
  <c r="B349" i="8"/>
  <c r="N349" i="8" s="1"/>
  <c r="B350" i="8"/>
  <c r="N350" i="8" s="1"/>
  <c r="B351" i="8"/>
  <c r="N351" i="8" s="1"/>
  <c r="B352" i="8"/>
  <c r="N352" i="8" s="1"/>
  <c r="B353" i="8"/>
  <c r="N353" i="8" s="1"/>
  <c r="B354" i="8"/>
  <c r="N354" i="8" s="1"/>
  <c r="B355" i="8"/>
  <c r="N355" i="8" s="1"/>
  <c r="B356" i="8"/>
  <c r="N356" i="8" s="1"/>
  <c r="B357" i="8"/>
  <c r="N357" i="8" s="1"/>
  <c r="B358" i="8"/>
  <c r="N358" i="8" s="1"/>
  <c r="B359" i="8"/>
  <c r="N359" i="8" s="1"/>
  <c r="B360" i="8"/>
  <c r="N360" i="8" s="1"/>
  <c r="B361" i="8"/>
  <c r="N361" i="8" s="1"/>
  <c r="B362" i="8"/>
  <c r="N362" i="8" s="1"/>
  <c r="B363" i="8"/>
  <c r="N363" i="8" s="1"/>
  <c r="B364" i="8"/>
  <c r="N364" i="8" s="1"/>
  <c r="B365" i="8"/>
  <c r="N365" i="8" s="1"/>
  <c r="B366" i="8"/>
  <c r="N366" i="8" s="1"/>
  <c r="B367" i="8"/>
  <c r="N367" i="8" s="1"/>
  <c r="B368" i="8"/>
  <c r="N368" i="8" s="1"/>
  <c r="B369" i="8"/>
  <c r="N369" i="8" s="1"/>
  <c r="B370" i="8"/>
  <c r="N370" i="8" s="1"/>
  <c r="B371" i="8"/>
  <c r="N371" i="8" s="1"/>
  <c r="B372" i="8"/>
  <c r="N372" i="8" s="1"/>
  <c r="B373" i="8"/>
  <c r="N373" i="8" s="1"/>
  <c r="B374" i="8"/>
  <c r="N374" i="8" s="1"/>
  <c r="B375" i="8"/>
  <c r="N375" i="8" s="1"/>
  <c r="B376" i="8"/>
  <c r="N376" i="8" s="1"/>
  <c r="B377" i="8"/>
  <c r="N377" i="8" s="1"/>
  <c r="B378" i="8"/>
  <c r="N378" i="8" s="1"/>
  <c r="B379" i="8"/>
  <c r="N379" i="8" s="1"/>
  <c r="B380" i="8"/>
  <c r="N380" i="8" s="1"/>
  <c r="B381" i="8"/>
  <c r="N381" i="8" s="1"/>
  <c r="B382" i="8"/>
  <c r="N382" i="8" s="1"/>
  <c r="B383" i="8"/>
  <c r="N383" i="8" s="1"/>
  <c r="B384" i="8"/>
  <c r="N384" i="8" s="1"/>
  <c r="B385" i="8"/>
  <c r="N385" i="8" s="1"/>
  <c r="B386" i="8"/>
  <c r="N386" i="8" s="1"/>
  <c r="B387" i="8"/>
  <c r="N387" i="8" s="1"/>
  <c r="B388" i="8"/>
  <c r="N388" i="8" s="1"/>
  <c r="N389" i="8" s="1"/>
  <c r="N390" i="8" s="1"/>
  <c r="N391" i="8" s="1"/>
  <c r="B389" i="8"/>
  <c r="B390" i="8"/>
  <c r="B391" i="8"/>
  <c r="B392" i="8"/>
  <c r="N392" i="8" s="1"/>
  <c r="B393" i="8"/>
  <c r="N393" i="8" s="1"/>
  <c r="B394" i="8"/>
  <c r="N394" i="8" s="1"/>
  <c r="B395" i="8"/>
  <c r="N395" i="8" s="1"/>
  <c r="B396" i="8"/>
  <c r="N396" i="8" s="1"/>
  <c r="B397" i="8"/>
  <c r="N397" i="8" s="1"/>
  <c r="B398" i="8"/>
  <c r="N398" i="8" s="1"/>
  <c r="B399" i="8"/>
  <c r="N399" i="8" s="1"/>
  <c r="B400" i="8"/>
  <c r="N400" i="8" s="1"/>
  <c r="N401" i="8" s="1"/>
  <c r="N402" i="8" s="1"/>
  <c r="B401" i="8"/>
  <c r="B402" i="8"/>
  <c r="B403" i="8"/>
  <c r="N403" i="8" s="1"/>
  <c r="B404" i="8"/>
  <c r="N404" i="8" s="1"/>
  <c r="B405" i="8"/>
  <c r="N405" i="8" s="1"/>
  <c r="B406" i="8"/>
  <c r="N406" i="8" s="1"/>
  <c r="B407" i="8"/>
  <c r="N407" i="8" s="1"/>
  <c r="B408" i="8"/>
  <c r="N408" i="8" s="1"/>
  <c r="B409" i="8"/>
  <c r="N409" i="8" s="1"/>
  <c r="B410" i="8"/>
  <c r="N410" i="8" s="1"/>
  <c r="B411" i="8"/>
  <c r="N411" i="8" s="1"/>
  <c r="B412" i="8"/>
  <c r="N412" i="8" s="1"/>
  <c r="B413" i="8"/>
  <c r="N413" i="8" s="1"/>
  <c r="B414" i="8"/>
  <c r="N414" i="8" s="1"/>
  <c r="B415" i="8"/>
  <c r="N415" i="8" s="1"/>
  <c r="B416" i="8"/>
  <c r="N416" i="8" s="1"/>
  <c r="B417" i="8"/>
  <c r="N417" i="8" s="1"/>
  <c r="B418" i="8"/>
  <c r="N418" i="8" s="1"/>
  <c r="B419" i="8"/>
  <c r="N419" i="8" s="1"/>
  <c r="B420" i="8"/>
  <c r="N420" i="8" s="1"/>
  <c r="B421" i="8"/>
  <c r="N421" i="8" s="1"/>
  <c r="B422" i="8"/>
  <c r="N422" i="8" s="1"/>
  <c r="B423" i="8"/>
  <c r="N423" i="8" s="1"/>
  <c r="B424" i="8"/>
  <c r="N424" i="8" s="1"/>
  <c r="B425" i="8"/>
  <c r="N425" i="8" s="1"/>
  <c r="B426" i="8"/>
  <c r="N426" i="8" s="1"/>
  <c r="B427" i="8"/>
  <c r="N427" i="8" s="1"/>
  <c r="B428" i="8"/>
  <c r="N428" i="8" s="1"/>
  <c r="B429" i="8"/>
  <c r="N429" i="8" s="1"/>
  <c r="B430" i="8"/>
  <c r="N430" i="8" s="1"/>
  <c r="B431" i="8"/>
  <c r="N431" i="8" s="1"/>
  <c r="B432" i="8"/>
  <c r="N432" i="8" s="1"/>
  <c r="B433" i="8"/>
  <c r="N433" i="8" s="1"/>
  <c r="B434" i="8"/>
  <c r="N434" i="8" s="1"/>
  <c r="B435" i="8"/>
  <c r="N435" i="8" s="1"/>
  <c r="B436" i="8"/>
  <c r="N436" i="8" s="1"/>
  <c r="B437" i="8"/>
  <c r="N437" i="8" s="1"/>
  <c r="B438" i="8"/>
  <c r="N438" i="8" s="1"/>
  <c r="B439" i="8"/>
  <c r="N439" i="8" s="1"/>
  <c r="B440" i="8"/>
  <c r="N440" i="8" s="1"/>
  <c r="B441" i="8"/>
  <c r="N441" i="8" s="1"/>
  <c r="B442" i="8"/>
  <c r="N442" i="8" s="1"/>
  <c r="B443" i="8"/>
  <c r="N443" i="8" s="1"/>
  <c r="B444" i="8"/>
  <c r="N444" i="8" s="1"/>
  <c r="B445" i="8"/>
  <c r="N445" i="8" s="1"/>
  <c r="B446" i="8"/>
  <c r="N446" i="8" s="1"/>
  <c r="B447" i="8"/>
  <c r="N447" i="8" s="1"/>
  <c r="B448" i="8"/>
  <c r="N448" i="8" s="1"/>
  <c r="B449" i="8"/>
  <c r="N449" i="8" s="1"/>
  <c r="B450" i="8"/>
  <c r="N450" i="8" s="1"/>
  <c r="B451" i="8"/>
  <c r="N451" i="8" s="1"/>
  <c r="B452" i="8"/>
  <c r="N452" i="8" s="1"/>
  <c r="B453" i="8"/>
  <c r="N453" i="8" s="1"/>
  <c r="B454" i="8"/>
  <c r="N454" i="8" s="1"/>
  <c r="B455" i="8"/>
  <c r="N455" i="8" s="1"/>
  <c r="B456" i="8"/>
  <c r="N456" i="8" s="1"/>
  <c r="B457" i="8"/>
  <c r="N457" i="8" s="1"/>
  <c r="B458" i="8"/>
  <c r="N458" i="8" s="1"/>
  <c r="B459" i="8"/>
  <c r="N459" i="8" s="1"/>
  <c r="B460" i="8"/>
  <c r="N460" i="8" s="1"/>
  <c r="B461" i="8"/>
  <c r="N461" i="8" s="1"/>
  <c r="B462" i="8"/>
  <c r="N462" i="8" s="1"/>
  <c r="B463" i="8"/>
  <c r="N463" i="8" s="1"/>
  <c r="B464" i="8"/>
  <c r="N464" i="8" s="1"/>
  <c r="B465" i="8"/>
  <c r="N465" i="8" s="1"/>
  <c r="B466" i="8"/>
  <c r="N466" i="8" s="1"/>
  <c r="B467" i="8"/>
  <c r="N467" i="8" s="1"/>
  <c r="B468" i="8"/>
  <c r="N468" i="8" s="1"/>
  <c r="B469" i="8"/>
  <c r="N469" i="8" s="1"/>
  <c r="B470" i="8"/>
  <c r="N470" i="8" s="1"/>
  <c r="B471" i="8"/>
  <c r="N471" i="8" s="1"/>
  <c r="B472" i="8"/>
  <c r="N472" i="8" s="1"/>
  <c r="B473" i="8"/>
  <c r="N473" i="8" s="1"/>
  <c r="B474" i="8"/>
  <c r="N474" i="8" s="1"/>
  <c r="B475" i="8"/>
  <c r="N475" i="8" s="1"/>
  <c r="B476" i="8"/>
  <c r="N476" i="8" s="1"/>
  <c r="N477" i="8" s="1"/>
  <c r="N478" i="8" s="1"/>
  <c r="B477" i="8"/>
  <c r="B478" i="8"/>
  <c r="B479" i="8"/>
  <c r="N479" i="8" s="1"/>
  <c r="B480" i="8"/>
  <c r="N480" i="8" s="1"/>
  <c r="N481" i="8" s="1"/>
  <c r="N482" i="8" s="1"/>
  <c r="B481" i="8"/>
  <c r="B482" i="8"/>
  <c r="B483" i="8"/>
  <c r="N483" i="8" s="1"/>
  <c r="B484" i="8"/>
  <c r="N484" i="8" s="1"/>
  <c r="B485" i="8"/>
  <c r="N485" i="8" s="1"/>
  <c r="B486" i="8"/>
  <c r="N486" i="8" s="1"/>
  <c r="B487" i="8"/>
  <c r="N487" i="8" s="1"/>
  <c r="N488" i="8" s="1"/>
  <c r="N489" i="8" s="1"/>
  <c r="B488" i="8"/>
  <c r="B489" i="8"/>
  <c r="B490" i="8"/>
  <c r="N490" i="8" s="1"/>
  <c r="N491" i="8" s="1"/>
  <c r="N492" i="8" s="1"/>
  <c r="N493" i="8" s="1"/>
  <c r="B491" i="8"/>
  <c r="B492" i="8"/>
  <c r="B493" i="8"/>
  <c r="B494" i="8"/>
  <c r="N494" i="8" s="1"/>
  <c r="B495" i="8"/>
  <c r="N495" i="8" s="1"/>
  <c r="N496" i="8" s="1"/>
  <c r="N497" i="8" s="1"/>
  <c r="B496" i="8"/>
  <c r="B497" i="8"/>
  <c r="B498" i="8"/>
  <c r="N498" i="8" s="1"/>
  <c r="B499" i="8"/>
  <c r="N499" i="8" s="1"/>
  <c r="B500" i="8"/>
  <c r="N500" i="8" s="1"/>
  <c r="B501" i="8"/>
  <c r="N501" i="8" s="1"/>
  <c r="B502" i="8"/>
  <c r="N502" i="8" s="1"/>
  <c r="B503" i="8"/>
  <c r="N503" i="8" s="1"/>
  <c r="B504" i="8"/>
  <c r="N504" i="8" s="1"/>
  <c r="B505" i="8"/>
  <c r="N505" i="8" s="1"/>
  <c r="N506" i="8" s="1"/>
  <c r="N507" i="8" s="1"/>
  <c r="N508" i="8" s="1"/>
  <c r="B506" i="8"/>
  <c r="B507" i="8"/>
  <c r="B508" i="8"/>
  <c r="B509" i="8"/>
  <c r="N509" i="8" s="1"/>
  <c r="B510" i="8"/>
  <c r="N510" i="8" s="1"/>
  <c r="B511" i="8"/>
  <c r="N511" i="8" s="1"/>
  <c r="B512" i="8"/>
  <c r="N512" i="8" s="1"/>
  <c r="B513" i="8"/>
  <c r="N513" i="8" s="1"/>
  <c r="B514" i="8"/>
  <c r="N514" i="8" s="1"/>
  <c r="B515" i="8"/>
  <c r="N515" i="8" s="1"/>
  <c r="B516" i="8"/>
  <c r="N516" i="8" s="1"/>
  <c r="B517" i="8"/>
  <c r="N517" i="8" s="1"/>
  <c r="B518" i="8"/>
  <c r="N518" i="8" s="1"/>
  <c r="N519" i="8" s="1"/>
  <c r="N520" i="8" s="1"/>
  <c r="B519" i="8"/>
  <c r="B520" i="8"/>
  <c r="B521" i="8"/>
  <c r="N521" i="8" s="1"/>
  <c r="B522" i="8"/>
  <c r="N522" i="8" s="1"/>
  <c r="N523" i="8" s="1"/>
  <c r="N524" i="8" s="1"/>
  <c r="B523" i="8"/>
  <c r="B524" i="8"/>
  <c r="B525" i="8"/>
  <c r="N525" i="8" s="1"/>
  <c r="B526" i="8"/>
  <c r="N526" i="8" s="1"/>
  <c r="N527" i="8" s="1"/>
  <c r="N528" i="8" s="1"/>
  <c r="B527" i="8"/>
  <c r="B528" i="8"/>
  <c r="B529" i="8"/>
  <c r="N529" i="8" s="1"/>
  <c r="N530" i="8" s="1"/>
  <c r="N531" i="8" s="1"/>
  <c r="B530" i="8"/>
  <c r="B531" i="8"/>
  <c r="B532" i="8"/>
  <c r="N532" i="8" s="1"/>
  <c r="B533" i="8"/>
  <c r="N533" i="8" s="1"/>
  <c r="N534" i="8" s="1"/>
  <c r="N535" i="8" s="1"/>
  <c r="B534" i="8"/>
  <c r="B535" i="8"/>
  <c r="B536" i="8"/>
  <c r="N536" i="8" s="1"/>
  <c r="B537" i="8"/>
  <c r="N537" i="8" s="1"/>
  <c r="N538" i="8" s="1"/>
  <c r="N539" i="8" s="1"/>
  <c r="B538" i="8"/>
  <c r="B539" i="8"/>
  <c r="B540" i="8"/>
  <c r="N540" i="8" s="1"/>
  <c r="B541" i="8"/>
  <c r="N541" i="8" s="1"/>
  <c r="B542" i="8"/>
  <c r="N542" i="8" s="1"/>
  <c r="B543" i="8"/>
  <c r="N543" i="8" s="1"/>
  <c r="B544" i="8"/>
  <c r="N544" i="8" s="1"/>
  <c r="B545" i="8"/>
  <c r="N545" i="8" s="1"/>
  <c r="B546" i="8"/>
  <c r="N546" i="8" s="1"/>
  <c r="B547" i="8"/>
  <c r="N547" i="8" s="1"/>
  <c r="B548" i="8"/>
  <c r="N548" i="8" s="1"/>
  <c r="B549" i="8"/>
  <c r="N549" i="8" s="1"/>
  <c r="N550" i="8" s="1"/>
  <c r="N551" i="8" s="1"/>
  <c r="N552" i="8" s="1"/>
  <c r="N553" i="8" s="1"/>
  <c r="N554" i="8" s="1"/>
  <c r="B550" i="8"/>
  <c r="B551" i="8"/>
  <c r="B552" i="8"/>
  <c r="B553" i="8"/>
  <c r="B554" i="8"/>
  <c r="B555" i="8"/>
  <c r="N555" i="8" s="1"/>
  <c r="B556" i="8"/>
  <c r="N556" i="8" s="1"/>
  <c r="AC557" i="8"/>
  <c r="O557" i="8"/>
  <c r="C557" i="8"/>
  <c r="C538" i="8" l="1"/>
  <c r="O538" i="8"/>
  <c r="AC538" i="8"/>
  <c r="C539" i="8"/>
  <c r="O539" i="8"/>
  <c r="AC539" i="8"/>
  <c r="N641" i="9"/>
  <c r="C641" i="9"/>
  <c r="O641" i="9"/>
  <c r="R641" i="9"/>
  <c r="S641" i="9"/>
  <c r="AC641" i="9"/>
  <c r="C568" i="8" l="1"/>
  <c r="O568" i="8"/>
  <c r="AC568" i="8"/>
  <c r="Y5" i="20" l="1"/>
  <c r="Y6" i="20"/>
  <c r="Y7" i="20"/>
  <c r="Y8" i="20"/>
  <c r="Y9" i="20"/>
  <c r="Y10" i="20"/>
  <c r="Y11" i="20"/>
  <c r="Y12" i="20"/>
  <c r="Y13" i="20"/>
  <c r="Y14" i="20"/>
  <c r="Y15" i="20"/>
  <c r="Y16" i="20"/>
  <c r="Y17" i="20"/>
  <c r="Y18" i="20"/>
  <c r="Y19" i="20"/>
  <c r="Y20" i="20"/>
  <c r="Y21" i="20"/>
  <c r="Y22" i="20"/>
  <c r="Y23" i="20"/>
  <c r="Y24" i="20"/>
  <c r="Y25" i="20"/>
  <c r="Y26" i="20"/>
  <c r="Y27" i="20"/>
  <c r="Y28" i="20"/>
  <c r="Y29" i="20"/>
  <c r="Y30" i="20"/>
  <c r="Y31" i="20"/>
  <c r="Y32" i="20"/>
  <c r="Y33" i="20"/>
  <c r="Y34" i="20"/>
  <c r="Y35" i="20"/>
  <c r="Y36" i="20"/>
  <c r="Y37" i="20"/>
  <c r="Y38" i="20"/>
  <c r="Y39" i="20"/>
  <c r="Y40" i="20"/>
  <c r="Y41" i="20"/>
  <c r="Y42" i="20"/>
  <c r="Y43" i="20"/>
  <c r="Y44" i="20"/>
  <c r="Y45" i="20"/>
  <c r="Y46" i="20"/>
  <c r="Y47" i="20"/>
  <c r="Y48" i="20"/>
  <c r="Y49" i="20"/>
  <c r="Y50" i="20"/>
  <c r="Y51" i="20"/>
  <c r="Y52" i="20"/>
  <c r="Y53" i="20"/>
  <c r="Y54" i="20"/>
  <c r="Y55" i="20"/>
  <c r="Y56" i="20"/>
  <c r="Y57" i="20"/>
  <c r="Y58" i="20"/>
  <c r="Y59" i="20"/>
  <c r="Y60" i="20"/>
  <c r="Y61" i="20"/>
  <c r="Y62" i="20"/>
  <c r="Y63" i="20"/>
  <c r="Y64" i="20"/>
  <c r="Y65" i="20"/>
  <c r="Y66" i="20"/>
  <c r="Y67" i="20"/>
  <c r="Y68" i="20"/>
  <c r="Y69" i="20"/>
  <c r="Y70" i="20"/>
  <c r="Y71" i="20"/>
  <c r="Y72" i="20"/>
  <c r="Y73" i="20"/>
  <c r="Y74" i="20"/>
  <c r="Y75" i="20"/>
  <c r="Y76" i="20"/>
  <c r="Y77" i="20"/>
  <c r="Y78" i="20"/>
  <c r="Y79" i="20"/>
  <c r="Y80" i="20"/>
  <c r="Y81" i="20"/>
  <c r="Y82" i="20"/>
  <c r="Y83" i="20"/>
  <c r="Y84" i="20"/>
  <c r="Y85" i="20"/>
  <c r="Y86" i="20"/>
  <c r="Y87" i="20"/>
  <c r="Y88" i="20"/>
  <c r="Y89" i="20"/>
  <c r="Y90" i="20"/>
  <c r="Y91" i="20"/>
  <c r="Y92" i="20"/>
  <c r="Y93" i="20"/>
  <c r="Y94" i="20"/>
  <c r="Y95" i="20"/>
  <c r="Y96" i="20"/>
  <c r="Y97" i="20"/>
  <c r="Y98" i="20"/>
  <c r="Y99" i="20"/>
  <c r="Y100" i="20"/>
  <c r="Y101" i="20"/>
  <c r="Y102" i="20"/>
  <c r="Y103" i="20"/>
  <c r="Y104" i="20"/>
  <c r="Y105" i="20"/>
  <c r="Y106" i="20"/>
  <c r="Y107" i="20"/>
  <c r="Y108" i="20"/>
  <c r="Y109" i="20"/>
  <c r="Y110" i="20"/>
  <c r="Y111" i="20"/>
  <c r="Y112" i="20"/>
  <c r="Y113" i="20"/>
  <c r="Y114" i="20"/>
  <c r="Y115" i="20"/>
  <c r="Y116" i="20"/>
  <c r="Y117" i="20"/>
  <c r="Y118" i="20"/>
  <c r="Y119" i="20"/>
  <c r="Y120" i="20"/>
  <c r="Y121" i="20"/>
  <c r="Y122" i="20"/>
  <c r="Y123" i="20"/>
  <c r="Y124" i="20"/>
  <c r="Y125" i="20"/>
  <c r="Y126" i="20"/>
  <c r="Y127" i="20"/>
  <c r="Y128" i="20"/>
  <c r="Y129" i="20"/>
  <c r="Y130" i="20"/>
  <c r="Y131" i="20"/>
  <c r="Y132" i="20"/>
  <c r="Y133" i="20"/>
  <c r="Y134" i="20"/>
  <c r="Y135" i="20"/>
  <c r="Y136" i="20"/>
  <c r="Y137" i="20"/>
  <c r="Y138" i="20"/>
  <c r="Y139" i="20"/>
  <c r="Y140" i="20"/>
  <c r="Y141" i="20"/>
  <c r="Y142" i="20"/>
  <c r="Y143" i="20"/>
  <c r="Y144" i="20"/>
  <c r="Y145" i="20"/>
  <c r="Y146" i="20"/>
  <c r="Y147" i="20"/>
  <c r="Y148" i="20"/>
  <c r="Y149" i="20"/>
  <c r="Y150" i="20"/>
  <c r="Y151" i="20"/>
  <c r="Y152" i="20"/>
  <c r="Y153" i="20"/>
  <c r="Y154" i="20"/>
  <c r="Y155" i="20"/>
  <c r="Y156" i="20"/>
  <c r="Y157" i="20"/>
  <c r="Y158" i="20"/>
  <c r="Y159" i="20"/>
  <c r="Y160" i="20"/>
  <c r="Y161" i="20"/>
  <c r="Y162" i="20"/>
  <c r="Y163" i="20"/>
  <c r="Y164" i="20"/>
  <c r="Y165" i="20"/>
  <c r="Y166" i="20"/>
  <c r="Y167" i="20"/>
  <c r="Y168" i="20"/>
  <c r="Y169" i="20"/>
  <c r="Y170" i="20"/>
  <c r="Y171" i="20"/>
  <c r="Y172" i="20"/>
  <c r="Y173" i="20"/>
  <c r="Y174" i="20"/>
  <c r="Y175" i="20"/>
  <c r="Y176" i="20"/>
  <c r="Y177" i="20"/>
  <c r="Y178" i="20"/>
  <c r="Y179" i="20"/>
  <c r="Y180" i="20"/>
  <c r="B172" i="20"/>
  <c r="B173" i="20"/>
  <c r="B174" i="20"/>
  <c r="B175" i="20"/>
  <c r="B176" i="20"/>
  <c r="B177" i="20"/>
  <c r="B178" i="20"/>
  <c r="B179" i="20"/>
  <c r="B180" i="20"/>
  <c r="C172" i="20"/>
  <c r="C173" i="20"/>
  <c r="C174" i="20"/>
  <c r="C175" i="20"/>
  <c r="C176" i="20"/>
  <c r="C177" i="20"/>
  <c r="C178" i="20"/>
  <c r="C179" i="20"/>
  <c r="C180" i="20"/>
  <c r="N172" i="20"/>
  <c r="N173" i="20"/>
  <c r="N174" i="20"/>
  <c r="N175" i="20"/>
  <c r="N176" i="20"/>
  <c r="N177" i="20"/>
  <c r="N178" i="20"/>
  <c r="N179" i="20"/>
  <c r="N180" i="20"/>
  <c r="Q172" i="20"/>
  <c r="Q173" i="20"/>
  <c r="Q174" i="20"/>
  <c r="Q175" i="20"/>
  <c r="Q176" i="20"/>
  <c r="Q177" i="20"/>
  <c r="Q178" i="20"/>
  <c r="Q179" i="20"/>
  <c r="Q180" i="20"/>
  <c r="R172" i="20"/>
  <c r="R173" i="20"/>
  <c r="R174" i="20"/>
  <c r="R175" i="20"/>
  <c r="R176" i="20"/>
  <c r="R177" i="20"/>
  <c r="R178" i="20"/>
  <c r="R179" i="20"/>
  <c r="R180" i="20"/>
  <c r="AB172" i="20"/>
  <c r="AB173" i="20"/>
  <c r="AB174" i="20"/>
  <c r="AB175" i="20"/>
  <c r="AB176" i="20"/>
  <c r="AB177" i="20"/>
  <c r="AB178" i="20"/>
  <c r="AB179" i="20"/>
  <c r="AB180" i="20"/>
  <c r="C198" i="17"/>
  <c r="Q198" i="17"/>
  <c r="R198" i="17"/>
  <c r="Y198" i="17"/>
  <c r="AB198" i="17"/>
  <c r="C191" i="17"/>
  <c r="C192" i="17"/>
  <c r="C193" i="17"/>
  <c r="C194" i="17"/>
  <c r="C195" i="17"/>
  <c r="C196" i="17"/>
  <c r="Q191" i="17"/>
  <c r="Q192" i="17"/>
  <c r="Q193" i="17"/>
  <c r="Q194" i="17"/>
  <c r="Q195" i="17"/>
  <c r="Q196" i="17"/>
  <c r="R191" i="17"/>
  <c r="R192" i="17"/>
  <c r="R193" i="17"/>
  <c r="R194" i="17"/>
  <c r="R195" i="17"/>
  <c r="R196" i="17"/>
  <c r="Y191" i="17"/>
  <c r="Y192" i="17"/>
  <c r="Y193" i="17"/>
  <c r="Y194" i="17"/>
  <c r="Y195" i="17"/>
  <c r="Y196" i="17"/>
  <c r="AB191" i="17"/>
  <c r="AB192" i="17"/>
  <c r="AB193" i="17"/>
  <c r="AB194" i="17"/>
  <c r="AB195" i="17"/>
  <c r="AB196" i="17"/>
  <c r="AB278" i="3" l="1"/>
  <c r="R278" i="3"/>
  <c r="Q278" i="3"/>
  <c r="N278" i="3"/>
  <c r="C278" i="3"/>
  <c r="O637" i="9"/>
  <c r="O638" i="9"/>
  <c r="O639" i="9"/>
  <c r="O640" i="9"/>
  <c r="AC640" i="9"/>
  <c r="S640" i="9"/>
  <c r="R640" i="9"/>
  <c r="C640" i="9"/>
  <c r="N640" i="9"/>
  <c r="AC639" i="9"/>
  <c r="S639" i="9"/>
  <c r="R639" i="9"/>
  <c r="C639" i="9"/>
  <c r="N639" i="9"/>
  <c r="AC638" i="9"/>
  <c r="S638" i="9"/>
  <c r="R638" i="9"/>
  <c r="C638" i="9"/>
  <c r="N638" i="9"/>
  <c r="AC637" i="9"/>
  <c r="S637" i="9"/>
  <c r="R637" i="9"/>
  <c r="C637" i="9"/>
  <c r="N637" i="9"/>
  <c r="O634" i="9"/>
  <c r="O635" i="9"/>
  <c r="O636" i="9"/>
  <c r="AC636" i="9" l="1"/>
  <c r="S636" i="9"/>
  <c r="R636" i="9"/>
  <c r="C636" i="9"/>
  <c r="N636" i="9"/>
  <c r="AC635" i="9"/>
  <c r="S635" i="9"/>
  <c r="R635" i="9"/>
  <c r="C635" i="9"/>
  <c r="N635" i="9"/>
  <c r="AC634" i="9"/>
  <c r="S634" i="9"/>
  <c r="R634" i="9"/>
  <c r="C634" i="9"/>
  <c r="N634" i="9"/>
  <c r="O567" i="8" l="1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61" i="8"/>
  <c r="C562" i="8"/>
  <c r="C563" i="8"/>
  <c r="C564" i="8"/>
  <c r="C565" i="8"/>
  <c r="C566" i="8"/>
  <c r="C567" i="8"/>
  <c r="O561" i="8" l="1"/>
  <c r="AC561" i="8"/>
  <c r="O562" i="8"/>
  <c r="AC562" i="8"/>
  <c r="N633" i="9" l="1"/>
  <c r="C633" i="9"/>
  <c r="O633" i="9"/>
  <c r="R633" i="9"/>
  <c r="S633" i="9"/>
  <c r="AC633" i="9"/>
  <c r="AB317" i="10" l="1"/>
  <c r="Y317" i="10"/>
  <c r="R317" i="10"/>
  <c r="Q317" i="10"/>
  <c r="N317" i="10"/>
  <c r="C317" i="10"/>
  <c r="AB315" i="10"/>
  <c r="Y315" i="10"/>
  <c r="R315" i="10"/>
  <c r="Q315" i="10"/>
  <c r="N315" i="10"/>
  <c r="C315" i="10"/>
  <c r="AB314" i="10"/>
  <c r="AB316" i="10"/>
  <c r="Y314" i="10"/>
  <c r="Y316" i="10"/>
  <c r="R314" i="10"/>
  <c r="R316" i="10"/>
  <c r="Q314" i="10"/>
  <c r="Q316" i="10"/>
  <c r="N314" i="10"/>
  <c r="N316" i="10"/>
  <c r="C314" i="10"/>
  <c r="C316" i="10"/>
  <c r="AB301" i="10"/>
  <c r="AB302" i="10"/>
  <c r="AB303" i="10"/>
  <c r="Y301" i="10"/>
  <c r="Y302" i="10"/>
  <c r="Y303" i="10"/>
  <c r="R301" i="10"/>
  <c r="R302" i="10"/>
  <c r="R303" i="10"/>
  <c r="Q301" i="10"/>
  <c r="Q302" i="10"/>
  <c r="Q303" i="10"/>
  <c r="N301" i="10"/>
  <c r="N302" i="10"/>
  <c r="N303" i="10"/>
  <c r="C301" i="10"/>
  <c r="C302" i="10"/>
  <c r="C303" i="10"/>
  <c r="AB296" i="10"/>
  <c r="Y296" i="10"/>
  <c r="R296" i="10"/>
  <c r="Q296" i="10"/>
  <c r="N296" i="10"/>
  <c r="C296" i="10"/>
  <c r="AB329" i="10"/>
  <c r="Y329" i="10"/>
  <c r="R329" i="10"/>
  <c r="Q329" i="10"/>
  <c r="N329" i="10"/>
  <c r="C329" i="10"/>
  <c r="AB326" i="10"/>
  <c r="Y326" i="10"/>
  <c r="R326" i="10"/>
  <c r="Q326" i="10"/>
  <c r="N326" i="10"/>
  <c r="C326" i="10"/>
  <c r="AB321" i="10"/>
  <c r="Y321" i="10"/>
  <c r="R321" i="10"/>
  <c r="Q321" i="10"/>
  <c r="N321" i="10"/>
  <c r="C321" i="10"/>
  <c r="AB320" i="10"/>
  <c r="Y320" i="10"/>
  <c r="R320" i="10"/>
  <c r="Q320" i="10"/>
  <c r="N320" i="10"/>
  <c r="C320" i="10"/>
  <c r="AB310" i="10"/>
  <c r="AB311" i="10"/>
  <c r="AB312" i="10"/>
  <c r="AB313" i="10"/>
  <c r="Y310" i="10"/>
  <c r="Y311" i="10"/>
  <c r="Y312" i="10"/>
  <c r="Y313" i="10"/>
  <c r="R310" i="10"/>
  <c r="R311" i="10"/>
  <c r="R312" i="10"/>
  <c r="R313" i="10"/>
  <c r="Q310" i="10"/>
  <c r="Q311" i="10"/>
  <c r="Q312" i="10"/>
  <c r="Q313" i="10"/>
  <c r="N310" i="10"/>
  <c r="N311" i="10"/>
  <c r="N312" i="10"/>
  <c r="N313" i="10"/>
  <c r="C310" i="10"/>
  <c r="C311" i="10"/>
  <c r="C312" i="10"/>
  <c r="C313" i="10"/>
  <c r="AB300" i="10"/>
  <c r="AB304" i="10"/>
  <c r="AB305" i="10"/>
  <c r="Y300" i="10"/>
  <c r="Y304" i="10"/>
  <c r="Y305" i="10"/>
  <c r="R300" i="10"/>
  <c r="R304" i="10"/>
  <c r="R305" i="10"/>
  <c r="Q300" i="10"/>
  <c r="Q304" i="10"/>
  <c r="Q305" i="10"/>
  <c r="N300" i="10"/>
  <c r="N304" i="10"/>
  <c r="N305" i="10"/>
  <c r="C300" i="10"/>
  <c r="C304" i="10"/>
  <c r="C305" i="10"/>
  <c r="AB294" i="10"/>
  <c r="Y294" i="10"/>
  <c r="R294" i="10"/>
  <c r="Q294" i="10"/>
  <c r="N294" i="10"/>
  <c r="C294" i="10"/>
  <c r="AB295" i="10"/>
  <c r="Y295" i="10"/>
  <c r="R295" i="10"/>
  <c r="Q295" i="10"/>
  <c r="N295" i="10"/>
  <c r="C295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7" i="10"/>
  <c r="R298" i="10"/>
  <c r="R299" i="10"/>
  <c r="R306" i="10"/>
  <c r="R307" i="10"/>
  <c r="R308" i="10"/>
  <c r="R309" i="10"/>
  <c r="R318" i="10"/>
  <c r="R319" i="10"/>
  <c r="R322" i="10"/>
  <c r="R323" i="10"/>
  <c r="R324" i="10"/>
  <c r="R325" i="10"/>
  <c r="R327" i="10"/>
  <c r="R328" i="10"/>
  <c r="Q5" i="10"/>
  <c r="S5" i="10" s="1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7" i="10"/>
  <c r="Q298" i="10"/>
  <c r="Q299" i="10"/>
  <c r="Q306" i="10"/>
  <c r="Q307" i="10"/>
  <c r="Q308" i="10"/>
  <c r="Q309" i="10"/>
  <c r="Q318" i="10"/>
  <c r="Q319" i="10"/>
  <c r="Q322" i="10"/>
  <c r="Q323" i="10"/>
  <c r="Q324" i="10"/>
  <c r="Q325" i="10"/>
  <c r="Q327" i="10"/>
  <c r="Q328" i="10"/>
  <c r="AB293" i="10"/>
  <c r="Y293" i="10"/>
  <c r="C293" i="10"/>
  <c r="AB291" i="10"/>
  <c r="AB292" i="10"/>
  <c r="Y291" i="10"/>
  <c r="Y292" i="10"/>
  <c r="C291" i="10"/>
  <c r="C292" i="10"/>
  <c r="S6" i="10" l="1"/>
  <c r="S7" i="10" s="1"/>
  <c r="S8" i="10" s="1"/>
  <c r="S9" i="10" s="1"/>
  <c r="S10" i="10" s="1"/>
  <c r="S11" i="10" s="1"/>
  <c r="S12" i="10" s="1"/>
  <c r="S13" i="10" s="1"/>
  <c r="S14" i="10" s="1"/>
  <c r="S15" i="10" s="1"/>
  <c r="S16" i="10" s="1"/>
  <c r="S17" i="10" s="1"/>
  <c r="S18" i="10" s="1"/>
  <c r="S19" i="10" s="1"/>
  <c r="S20" i="10" s="1"/>
  <c r="S21" i="10" s="1"/>
  <c r="S22" i="10" s="1"/>
  <c r="S23" i="10" s="1"/>
  <c r="S24" i="10" s="1"/>
  <c r="S25" i="10" s="1"/>
  <c r="S26" i="10" s="1"/>
  <c r="S27" i="10" s="1"/>
  <c r="S28" i="10" s="1"/>
  <c r="S29" i="10" s="1"/>
  <c r="S30" i="10" s="1"/>
  <c r="S31" i="10" s="1"/>
  <c r="S32" i="10" s="1"/>
  <c r="S33" i="10" s="1"/>
  <c r="S34" i="10" s="1"/>
  <c r="S35" i="10" s="1"/>
  <c r="S36" i="10" s="1"/>
  <c r="S37" i="10" s="1"/>
  <c r="S38" i="10" s="1"/>
  <c r="S39" i="10" s="1"/>
  <c r="S40" i="10" s="1"/>
  <c r="S41" i="10" s="1"/>
  <c r="S42" i="10" s="1"/>
  <c r="S43" i="10" s="1"/>
  <c r="S44" i="10" s="1"/>
  <c r="S45" i="10" s="1"/>
  <c r="S46" i="10" s="1"/>
  <c r="S47" i="10" s="1"/>
  <c r="S48" i="10" s="1"/>
  <c r="S49" i="10" s="1"/>
  <c r="S50" i="10" s="1"/>
  <c r="S51" i="10" s="1"/>
  <c r="S52" i="10" s="1"/>
  <c r="S53" i="10" s="1"/>
  <c r="S54" i="10" s="1"/>
  <c r="S55" i="10" s="1"/>
  <c r="S56" i="10" s="1"/>
  <c r="S57" i="10" s="1"/>
  <c r="S58" i="10" s="1"/>
  <c r="S59" i="10" s="1"/>
  <c r="S60" i="10" s="1"/>
  <c r="S61" i="10" s="1"/>
  <c r="S62" i="10" s="1"/>
  <c r="S63" i="10" s="1"/>
  <c r="S64" i="10" s="1"/>
  <c r="S65" i="10" s="1"/>
  <c r="S66" i="10" s="1"/>
  <c r="S67" i="10" s="1"/>
  <c r="S68" i="10" s="1"/>
  <c r="S69" i="10" s="1"/>
  <c r="S70" i="10" s="1"/>
  <c r="S71" i="10" s="1"/>
  <c r="S72" i="10" s="1"/>
  <c r="S73" i="10" s="1"/>
  <c r="S74" i="10" s="1"/>
  <c r="S75" i="10" s="1"/>
  <c r="S76" i="10" s="1"/>
  <c r="S77" i="10" s="1"/>
  <c r="S78" i="10" s="1"/>
  <c r="S79" i="10" s="1"/>
  <c r="S80" i="10" s="1"/>
  <c r="S81" i="10" s="1"/>
  <c r="S82" i="10" s="1"/>
  <c r="S83" i="10" s="1"/>
  <c r="S84" i="10" s="1"/>
  <c r="S85" i="10" s="1"/>
  <c r="S86" i="10" s="1"/>
  <c r="S87" i="10" s="1"/>
  <c r="S88" i="10" s="1"/>
  <c r="S89" i="10" s="1"/>
  <c r="S90" i="10" s="1"/>
  <c r="S91" i="10" s="1"/>
  <c r="S92" i="10" s="1"/>
  <c r="S93" i="10" s="1"/>
  <c r="S94" i="10" s="1"/>
  <c r="S95" i="10" s="1"/>
  <c r="S96" i="10" s="1"/>
  <c r="S97" i="10" s="1"/>
  <c r="S98" i="10" s="1"/>
  <c r="S99" i="10" s="1"/>
  <c r="S100" i="10" s="1"/>
  <c r="S101" i="10" s="1"/>
  <c r="S102" i="10" s="1"/>
  <c r="S103" i="10" s="1"/>
  <c r="S104" i="10" s="1"/>
  <c r="S105" i="10" s="1"/>
  <c r="S106" i="10" s="1"/>
  <c r="S107" i="10" s="1"/>
  <c r="S108" i="10" s="1"/>
  <c r="S109" i="10" s="1"/>
  <c r="S110" i="10" s="1"/>
  <c r="S111" i="10" s="1"/>
  <c r="S112" i="10" s="1"/>
  <c r="S113" i="10" s="1"/>
  <c r="S114" i="10" s="1"/>
  <c r="S115" i="10" s="1"/>
  <c r="S116" i="10" s="1"/>
  <c r="S117" i="10" s="1"/>
  <c r="S118" i="10" s="1"/>
  <c r="S119" i="10" s="1"/>
  <c r="S120" i="10" s="1"/>
  <c r="S121" i="10" s="1"/>
  <c r="S122" i="10" s="1"/>
  <c r="S123" i="10" s="1"/>
  <c r="S124" i="10" s="1"/>
  <c r="S125" i="10" s="1"/>
  <c r="S126" i="10" s="1"/>
  <c r="S127" i="10" s="1"/>
  <c r="S128" i="10" s="1"/>
  <c r="S129" i="10" s="1"/>
  <c r="S130" i="10" s="1"/>
  <c r="S131" i="10" s="1"/>
  <c r="S132" i="10" s="1"/>
  <c r="S133" i="10" s="1"/>
  <c r="S134" i="10" s="1"/>
  <c r="S135" i="10" s="1"/>
  <c r="S136" i="10" s="1"/>
  <c r="S137" i="10" s="1"/>
  <c r="S138" i="10" s="1"/>
  <c r="S139" i="10" s="1"/>
  <c r="S140" i="10" s="1"/>
  <c r="S141" i="10" s="1"/>
  <c r="S142" i="10" s="1"/>
  <c r="S143" i="10" s="1"/>
  <c r="S144" i="10" s="1"/>
  <c r="S145" i="10" s="1"/>
  <c r="S146" i="10" s="1"/>
  <c r="S147" i="10" s="1"/>
  <c r="S148" i="10" s="1"/>
  <c r="S149" i="10" s="1"/>
  <c r="S150" i="10" s="1"/>
  <c r="S151" i="10" s="1"/>
  <c r="S152" i="10" s="1"/>
  <c r="S153" i="10" s="1"/>
  <c r="S154" i="10" s="1"/>
  <c r="S155" i="10" s="1"/>
  <c r="S156" i="10" s="1"/>
  <c r="S157" i="10" s="1"/>
  <c r="S158" i="10" s="1"/>
  <c r="S159" i="10" s="1"/>
  <c r="S160" i="10" s="1"/>
  <c r="S161" i="10" s="1"/>
  <c r="S162" i="10" s="1"/>
  <c r="S163" i="10" s="1"/>
  <c r="S164" i="10" s="1"/>
  <c r="S165" i="10" s="1"/>
  <c r="S166" i="10" s="1"/>
  <c r="S167" i="10" s="1"/>
  <c r="S168" i="10" s="1"/>
  <c r="S169" i="10" s="1"/>
  <c r="S170" i="10" s="1"/>
  <c r="S171" i="10" s="1"/>
  <c r="S172" i="10" s="1"/>
  <c r="S173" i="10" s="1"/>
  <c r="S174" i="10" s="1"/>
  <c r="S175" i="10" s="1"/>
  <c r="S176" i="10" s="1"/>
  <c r="S177" i="10" s="1"/>
  <c r="S178" i="10" s="1"/>
  <c r="S179" i="10" s="1"/>
  <c r="S180" i="10" s="1"/>
  <c r="S181" i="10" s="1"/>
  <c r="S182" i="10" s="1"/>
  <c r="S183" i="10" s="1"/>
  <c r="S184" i="10" s="1"/>
  <c r="S185" i="10" s="1"/>
  <c r="S186" i="10" s="1"/>
  <c r="S187" i="10" s="1"/>
  <c r="S188" i="10" s="1"/>
  <c r="S189" i="10" s="1"/>
  <c r="S190" i="10" s="1"/>
  <c r="S191" i="10" s="1"/>
  <c r="S192" i="10" s="1"/>
  <c r="S193" i="10" s="1"/>
  <c r="S194" i="10" s="1"/>
  <c r="S195" i="10" s="1"/>
  <c r="S196" i="10" s="1"/>
  <c r="S197" i="10" s="1"/>
  <c r="S198" i="10" s="1"/>
  <c r="S199" i="10" s="1"/>
  <c r="S200" i="10" s="1"/>
  <c r="S201" i="10" s="1"/>
  <c r="S202" i="10" s="1"/>
  <c r="S203" i="10" s="1"/>
  <c r="S204" i="10" s="1"/>
  <c r="S205" i="10" s="1"/>
  <c r="S206" i="10" s="1"/>
  <c r="S207" i="10" s="1"/>
  <c r="S208" i="10" s="1"/>
  <c r="S209" i="10" s="1"/>
  <c r="S210" i="10" s="1"/>
  <c r="S211" i="10" s="1"/>
  <c r="S212" i="10" s="1"/>
  <c r="S213" i="10" s="1"/>
  <c r="S214" i="10" s="1"/>
  <c r="S215" i="10" s="1"/>
  <c r="S216" i="10" s="1"/>
  <c r="S217" i="10" s="1"/>
  <c r="S218" i="10" s="1"/>
  <c r="S219" i="10" s="1"/>
  <c r="S220" i="10" s="1"/>
  <c r="S221" i="10" s="1"/>
  <c r="S222" i="10" s="1"/>
  <c r="S223" i="10" s="1"/>
  <c r="S224" i="10" s="1"/>
  <c r="S225" i="10" s="1"/>
  <c r="S226" i="10" s="1"/>
  <c r="S227" i="10" s="1"/>
  <c r="S228" i="10" s="1"/>
  <c r="S229" i="10" s="1"/>
  <c r="S230" i="10" s="1"/>
  <c r="S231" i="10" s="1"/>
  <c r="S232" i="10" s="1"/>
  <c r="S233" i="10" s="1"/>
  <c r="S234" i="10" s="1"/>
  <c r="S235" i="10" s="1"/>
  <c r="S236" i="10" s="1"/>
  <c r="S237" i="10" s="1"/>
  <c r="S238" i="10" s="1"/>
  <c r="S239" i="10" s="1"/>
  <c r="S240" i="10" s="1"/>
  <c r="S241" i="10" s="1"/>
  <c r="S242" i="10" s="1"/>
  <c r="S243" i="10" s="1"/>
  <c r="S244" i="10" s="1"/>
  <c r="S245" i="10" s="1"/>
  <c r="S246" i="10" s="1"/>
  <c r="S247" i="10" s="1"/>
  <c r="S248" i="10" s="1"/>
  <c r="S249" i="10" s="1"/>
  <c r="S250" i="10" s="1"/>
  <c r="S251" i="10" s="1"/>
  <c r="S252" i="10" s="1"/>
  <c r="S253" i="10" s="1"/>
  <c r="S254" i="10" s="1"/>
  <c r="S255" i="10" s="1"/>
  <c r="S256" i="10" s="1"/>
  <c r="S257" i="10" s="1"/>
  <c r="S258" i="10" s="1"/>
  <c r="S259" i="10" s="1"/>
  <c r="S260" i="10" s="1"/>
  <c r="S261" i="10" s="1"/>
  <c r="S262" i="10" s="1"/>
  <c r="S263" i="10" s="1"/>
  <c r="S264" i="10" s="1"/>
  <c r="S265" i="10" s="1"/>
  <c r="S266" i="10" s="1"/>
  <c r="S267" i="10" s="1"/>
  <c r="S268" i="10" s="1"/>
  <c r="S269" i="10" s="1"/>
  <c r="S270" i="10" s="1"/>
  <c r="S271" i="10" s="1"/>
  <c r="S272" i="10" s="1"/>
  <c r="S273" i="10" s="1"/>
  <c r="S274" i="10" s="1"/>
  <c r="S275" i="10" s="1"/>
  <c r="S276" i="10" s="1"/>
  <c r="S277" i="10" s="1"/>
  <c r="S278" i="10" s="1"/>
  <c r="S279" i="10" s="1"/>
  <c r="S280" i="10" s="1"/>
  <c r="S281" i="10" s="1"/>
  <c r="S282" i="10" s="1"/>
  <c r="S283" i="10" s="1"/>
  <c r="S284" i="10" s="1"/>
  <c r="S285" i="10" s="1"/>
  <c r="S286" i="10" s="1"/>
  <c r="S287" i="10" s="1"/>
  <c r="S288" i="10" s="1"/>
  <c r="S289" i="10" s="1"/>
  <c r="S290" i="10" s="1"/>
  <c r="S291" i="10" s="1"/>
  <c r="S292" i="10" s="1"/>
  <c r="S293" i="10" s="1"/>
  <c r="S294" i="10" s="1"/>
  <c r="S295" i="10" s="1"/>
  <c r="S296" i="10" s="1"/>
  <c r="S297" i="10" s="1"/>
  <c r="S298" i="10" s="1"/>
  <c r="S299" i="10" s="1"/>
  <c r="S300" i="10" s="1"/>
  <c r="S301" i="10" s="1"/>
  <c r="S302" i="10" s="1"/>
  <c r="S303" i="10" s="1"/>
  <c r="S304" i="10" s="1"/>
  <c r="S305" i="10" s="1"/>
  <c r="S306" i="10" s="1"/>
  <c r="S307" i="10" s="1"/>
  <c r="S308" i="10" s="1"/>
  <c r="S309" i="10" s="1"/>
  <c r="S310" i="10" s="1"/>
  <c r="S311" i="10" s="1"/>
  <c r="S312" i="10" s="1"/>
  <c r="S313" i="10" s="1"/>
  <c r="S314" i="10" s="1"/>
  <c r="S315" i="10" s="1"/>
  <c r="S316" i="10" s="1"/>
  <c r="S317" i="10" s="1"/>
  <c r="S318" i="10" s="1"/>
  <c r="S319" i="10" s="1"/>
  <c r="S320" i="10" s="1"/>
  <c r="S321" i="10" s="1"/>
  <c r="S322" i="10" s="1"/>
  <c r="S323" i="10" s="1"/>
  <c r="S324" i="10" s="1"/>
  <c r="S325" i="10" s="1"/>
  <c r="S326" i="10" s="1"/>
  <c r="S327" i="10" s="1"/>
  <c r="S328" i="10" s="1"/>
  <c r="S329" i="10" s="1"/>
  <c r="S330" i="10" s="1"/>
  <c r="S331" i="10" s="1"/>
  <c r="S332" i="10" s="1"/>
  <c r="S333" i="10" s="1"/>
  <c r="S334" i="10" s="1"/>
  <c r="S335" i="10" s="1"/>
  <c r="S336" i="10" s="1"/>
  <c r="S337" i="10" s="1"/>
  <c r="S338" i="10" s="1"/>
  <c r="S339" i="10" s="1"/>
  <c r="S340" i="10" s="1"/>
  <c r="S341" i="10" s="1"/>
  <c r="S342" i="10" s="1"/>
  <c r="S343" i="10" s="1"/>
  <c r="S344" i="10" s="1"/>
  <c r="S345" i="10" s="1"/>
  <c r="S346" i="10" s="1"/>
  <c r="S347" i="10" s="1"/>
  <c r="S348" i="10" s="1"/>
  <c r="S349" i="10" s="1"/>
  <c r="S350" i="10" s="1"/>
  <c r="S351" i="10" s="1"/>
  <c r="S352" i="10" s="1"/>
  <c r="S353" i="10" s="1"/>
  <c r="S354" i="10" s="1"/>
  <c r="S355" i="10" s="1"/>
  <c r="S356" i="10" s="1"/>
  <c r="S357" i="10" s="1"/>
  <c r="S358" i="10" s="1"/>
  <c r="S359" i="10" s="1"/>
  <c r="S360" i="10" s="1"/>
  <c r="S361" i="10" s="1"/>
  <c r="S362" i="10" s="1"/>
  <c r="S363" i="10" s="1"/>
  <c r="S364" i="10" s="1"/>
  <c r="S365" i="10" s="1"/>
  <c r="S366" i="10" s="1"/>
  <c r="S367" i="10" s="1"/>
  <c r="S368" i="10" s="1"/>
  <c r="S369" i="10" s="1"/>
  <c r="S370" i="10" s="1"/>
  <c r="S371" i="10" s="1"/>
  <c r="S372" i="10" s="1"/>
  <c r="S373" i="10" s="1"/>
  <c r="S374" i="10" s="1"/>
  <c r="S375" i="10" s="1"/>
  <c r="S376" i="10" s="1"/>
  <c r="S377" i="10" s="1"/>
  <c r="S378" i="10" s="1"/>
  <c r="S379" i="10" s="1"/>
  <c r="S380" i="10" s="1"/>
  <c r="S381" i="10" s="1"/>
  <c r="S382" i="10" s="1"/>
  <c r="S383" i="10" s="1"/>
  <c r="S384" i="10" s="1"/>
  <c r="S385" i="10" s="1"/>
  <c r="S386" i="10" s="1"/>
  <c r="S387" i="10" s="1"/>
  <c r="S388" i="10" s="1"/>
  <c r="S389" i="10" s="1"/>
  <c r="S390" i="10" s="1"/>
  <c r="S391" i="10" s="1"/>
  <c r="S392" i="10" s="1"/>
  <c r="S393" i="10" s="1"/>
  <c r="S394" i="10" s="1"/>
  <c r="S395" i="10" s="1"/>
  <c r="S396" i="10" s="1"/>
  <c r="S397" i="10" s="1"/>
  <c r="S398" i="10" s="1"/>
  <c r="S399" i="10" s="1"/>
  <c r="S400" i="10" s="1"/>
  <c r="S401" i="10" s="1"/>
  <c r="S402" i="10" s="1"/>
  <c r="S403" i="10" s="1"/>
  <c r="S404" i="10" s="1"/>
  <c r="S405" i="10" s="1"/>
  <c r="S406" i="10" s="1"/>
  <c r="S407" i="10" s="1"/>
  <c r="S408" i="10" s="1"/>
  <c r="S409" i="10" s="1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169" i="10"/>
  <c r="Y170" i="10"/>
  <c r="Y171" i="10"/>
  <c r="Y172" i="10"/>
  <c r="Y173" i="10"/>
  <c r="Y174" i="10"/>
  <c r="Y175" i="10"/>
  <c r="Y176" i="10"/>
  <c r="Y177" i="10"/>
  <c r="Y178" i="10"/>
  <c r="Y179" i="10"/>
  <c r="Y180" i="10"/>
  <c r="Y181" i="10"/>
  <c r="Y182" i="10"/>
  <c r="Y183" i="10"/>
  <c r="Y184" i="10"/>
  <c r="Y185" i="10"/>
  <c r="Y186" i="10"/>
  <c r="Y187" i="10"/>
  <c r="Y188" i="10"/>
  <c r="Y189" i="10"/>
  <c r="Y190" i="10"/>
  <c r="Y191" i="10"/>
  <c r="Y192" i="10"/>
  <c r="Y193" i="10"/>
  <c r="Y194" i="10"/>
  <c r="Y195" i="10"/>
  <c r="Y196" i="10"/>
  <c r="Y197" i="10"/>
  <c r="Y198" i="10"/>
  <c r="Y199" i="10"/>
  <c r="Y200" i="10"/>
  <c r="Y201" i="10"/>
  <c r="Y202" i="10"/>
  <c r="Y203" i="10"/>
  <c r="Y204" i="10"/>
  <c r="Y205" i="10"/>
  <c r="Y206" i="10"/>
  <c r="Y207" i="10"/>
  <c r="Y208" i="10"/>
  <c r="Y209" i="10"/>
  <c r="Y210" i="10"/>
  <c r="Y211" i="10"/>
  <c r="Y212" i="10"/>
  <c r="Y213" i="10"/>
  <c r="Y214" i="10"/>
  <c r="Y215" i="10"/>
  <c r="Y216" i="10"/>
  <c r="Y217" i="10"/>
  <c r="Y218" i="10"/>
  <c r="Y219" i="10"/>
  <c r="Y220" i="10"/>
  <c r="Y221" i="10"/>
  <c r="Y222" i="10"/>
  <c r="Y223" i="10"/>
  <c r="Y224" i="10"/>
  <c r="Y225" i="10"/>
  <c r="Y226" i="10"/>
  <c r="Y227" i="10"/>
  <c r="Y228" i="10"/>
  <c r="Y229" i="10"/>
  <c r="Y230" i="10"/>
  <c r="Y231" i="10"/>
  <c r="Y232" i="10"/>
  <c r="Y233" i="10"/>
  <c r="Y234" i="10"/>
  <c r="Y235" i="10"/>
  <c r="Y236" i="10"/>
  <c r="Y237" i="10"/>
  <c r="Y238" i="10"/>
  <c r="Y239" i="10"/>
  <c r="Y240" i="10"/>
  <c r="Y241" i="10"/>
  <c r="Y242" i="10"/>
  <c r="Y243" i="10"/>
  <c r="Y244" i="10"/>
  <c r="Y245" i="10"/>
  <c r="Y246" i="10"/>
  <c r="Y247" i="10"/>
  <c r="Y248" i="10"/>
  <c r="Y249" i="10"/>
  <c r="Y250" i="10"/>
  <c r="Y251" i="10"/>
  <c r="Y252" i="10"/>
  <c r="Y253" i="10"/>
  <c r="Y254" i="10"/>
  <c r="Y255" i="10"/>
  <c r="Y256" i="10"/>
  <c r="Y257" i="10"/>
  <c r="Y258" i="10"/>
  <c r="Y259" i="10"/>
  <c r="Y260" i="10"/>
  <c r="Y261" i="10"/>
  <c r="Y262" i="10"/>
  <c r="Y263" i="10"/>
  <c r="Y264" i="10"/>
  <c r="Y265" i="10"/>
  <c r="Y266" i="10"/>
  <c r="Y267" i="10"/>
  <c r="Y268" i="10"/>
  <c r="Y269" i="10"/>
  <c r="Y270" i="10"/>
  <c r="Y271" i="10"/>
  <c r="Y272" i="10"/>
  <c r="Y273" i="10"/>
  <c r="Y274" i="10"/>
  <c r="Y275" i="10"/>
  <c r="Y276" i="10"/>
  <c r="Y277" i="10"/>
  <c r="Y278" i="10"/>
  <c r="Y279" i="10"/>
  <c r="Y280" i="10"/>
  <c r="Y281" i="10"/>
  <c r="Y282" i="10"/>
  <c r="Y283" i="10"/>
  <c r="Y284" i="10"/>
  <c r="Y285" i="10"/>
  <c r="Y286" i="10"/>
  <c r="Y287" i="10"/>
  <c r="Y288" i="10"/>
  <c r="Y289" i="10"/>
  <c r="Y290" i="10"/>
  <c r="Y297" i="10"/>
  <c r="Y298" i="10"/>
  <c r="Y299" i="10"/>
  <c r="Y306" i="10"/>
  <c r="Y307" i="10"/>
  <c r="Y308" i="10"/>
  <c r="Y309" i="10"/>
  <c r="Y318" i="10"/>
  <c r="Y319" i="10"/>
  <c r="Y322" i="10"/>
  <c r="Y323" i="10"/>
  <c r="Y324" i="10"/>
  <c r="Y325" i="10"/>
  <c r="Y327" i="10"/>
  <c r="Y328" i="10"/>
  <c r="C298" i="10"/>
  <c r="C299" i="10"/>
  <c r="C306" i="10"/>
  <c r="C307" i="10"/>
  <c r="C308" i="10"/>
  <c r="C309" i="10"/>
  <c r="C318" i="10"/>
  <c r="C319" i="10"/>
  <c r="C322" i="10"/>
  <c r="C323" i="10"/>
  <c r="C324" i="10"/>
  <c r="C325" i="10"/>
  <c r="C327" i="10"/>
  <c r="C328" i="10"/>
  <c r="N291" i="10"/>
  <c r="N292" i="10"/>
  <c r="N293" i="10"/>
  <c r="N298" i="10"/>
  <c r="N299" i="10"/>
  <c r="N306" i="10"/>
  <c r="N307" i="10"/>
  <c r="N308" i="10"/>
  <c r="N309" i="10"/>
  <c r="N318" i="10"/>
  <c r="N319" i="10"/>
  <c r="N322" i="10"/>
  <c r="N323" i="10"/>
  <c r="N324" i="10"/>
  <c r="N325" i="10"/>
  <c r="N327" i="10"/>
  <c r="N328" i="10"/>
  <c r="AB298" i="10"/>
  <c r="AB299" i="10"/>
  <c r="AB306" i="10"/>
  <c r="AB307" i="10"/>
  <c r="AB308" i="10"/>
  <c r="AB309" i="10"/>
  <c r="AB318" i="10"/>
  <c r="AB319" i="10"/>
  <c r="AB322" i="10"/>
  <c r="AB323" i="10"/>
  <c r="AB324" i="10"/>
  <c r="AB325" i="10"/>
  <c r="AB327" i="10"/>
  <c r="AB328" i="10"/>
  <c r="C297" i="10"/>
  <c r="N297" i="10"/>
  <c r="AB297" i="10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36" i="22"/>
  <c r="Q37" i="22"/>
  <c r="Q38" i="22"/>
  <c r="Q39" i="22"/>
  <c r="Q40" i="22"/>
  <c r="Q41" i="22"/>
  <c r="Q42" i="22"/>
  <c r="Q43" i="22"/>
  <c r="Q44" i="22"/>
  <c r="Q45" i="22"/>
  <c r="Q46" i="22"/>
  <c r="Q47" i="22"/>
  <c r="Q48" i="22"/>
  <c r="Q49" i="22"/>
  <c r="Q50" i="22"/>
  <c r="Q51" i="22"/>
  <c r="Q52" i="22"/>
  <c r="Q53" i="22"/>
  <c r="Q54" i="22"/>
  <c r="Q55" i="22"/>
  <c r="Q56" i="22"/>
  <c r="Q57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36" i="22"/>
  <c r="R37" i="22"/>
  <c r="R38" i="22"/>
  <c r="R39" i="22"/>
  <c r="R40" i="22"/>
  <c r="R41" i="22"/>
  <c r="R42" i="22"/>
  <c r="R43" i="22"/>
  <c r="R44" i="22"/>
  <c r="R45" i="22"/>
  <c r="R46" i="22"/>
  <c r="R47" i="22"/>
  <c r="R48" i="22"/>
  <c r="R49" i="22"/>
  <c r="R50" i="22"/>
  <c r="R51" i="22"/>
  <c r="R52" i="22"/>
  <c r="R53" i="22"/>
  <c r="R54" i="22"/>
  <c r="R55" i="22"/>
  <c r="R56" i="22"/>
  <c r="R57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35" i="22"/>
  <c r="AB36" i="22"/>
  <c r="AB37" i="22"/>
  <c r="AB38" i="22"/>
  <c r="AB39" i="22"/>
  <c r="AB40" i="22"/>
  <c r="AB41" i="22"/>
  <c r="AB42" i="22"/>
  <c r="AB43" i="22"/>
  <c r="AB44" i="22"/>
  <c r="AB45" i="22"/>
  <c r="AB46" i="22"/>
  <c r="AB47" i="22"/>
  <c r="AB48" i="22"/>
  <c r="AB49" i="22"/>
  <c r="AB50" i="22"/>
  <c r="AB51" i="22"/>
  <c r="AB52" i="22"/>
  <c r="AB53" i="22"/>
  <c r="AB54" i="22"/>
  <c r="AB55" i="22"/>
  <c r="AB56" i="22"/>
  <c r="AB57" i="22"/>
  <c r="C5" i="22"/>
  <c r="AB5" i="22"/>
  <c r="R5" i="22"/>
  <c r="Q5" i="22"/>
  <c r="S5" i="22" s="1"/>
  <c r="N5" i="22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54" i="21"/>
  <c r="C155" i="21"/>
  <c r="C156" i="21"/>
  <c r="C157" i="21"/>
  <c r="C158" i="21"/>
  <c r="C159" i="21"/>
  <c r="C160" i="21"/>
  <c r="C161" i="21"/>
  <c r="C162" i="21"/>
  <c r="C163" i="21"/>
  <c r="C164" i="21"/>
  <c r="C165" i="21"/>
  <c r="C166" i="21"/>
  <c r="C167" i="21"/>
  <c r="C168" i="21"/>
  <c r="C169" i="21"/>
  <c r="C170" i="21"/>
  <c r="C171" i="21"/>
  <c r="C172" i="21"/>
  <c r="C173" i="21"/>
  <c r="C174" i="21"/>
  <c r="C175" i="21"/>
  <c r="C176" i="21"/>
  <c r="C177" i="21"/>
  <c r="C178" i="21"/>
  <c r="C179" i="21"/>
  <c r="C180" i="21"/>
  <c r="C181" i="21"/>
  <c r="C182" i="21"/>
  <c r="C183" i="21"/>
  <c r="C184" i="21"/>
  <c r="C185" i="21"/>
  <c r="C186" i="21"/>
  <c r="C187" i="21"/>
  <c r="C188" i="21"/>
  <c r="C189" i="21"/>
  <c r="C190" i="21"/>
  <c r="C191" i="21"/>
  <c r="C192" i="21"/>
  <c r="C193" i="21"/>
  <c r="C194" i="21"/>
  <c r="C195" i="21"/>
  <c r="C196" i="21"/>
  <c r="C197" i="21"/>
  <c r="C198" i="21"/>
  <c r="C199" i="21"/>
  <c r="C200" i="21"/>
  <c r="C201" i="21"/>
  <c r="C202" i="21"/>
  <c r="C203" i="21"/>
  <c r="C204" i="21"/>
  <c r="C205" i="21"/>
  <c r="C206" i="21"/>
  <c r="C207" i="21"/>
  <c r="C208" i="21"/>
  <c r="C209" i="21"/>
  <c r="C210" i="21"/>
  <c r="C211" i="21"/>
  <c r="C212" i="21"/>
  <c r="C213" i="21"/>
  <c r="C214" i="21"/>
  <c r="C215" i="21"/>
  <c r="C216" i="21"/>
  <c r="C217" i="21"/>
  <c r="C218" i="21"/>
  <c r="C219" i="21"/>
  <c r="C220" i="21"/>
  <c r="C221" i="21"/>
  <c r="C222" i="21"/>
  <c r="C223" i="21"/>
  <c r="C224" i="21"/>
  <c r="C225" i="21"/>
  <c r="C226" i="21"/>
  <c r="C227" i="21"/>
  <c r="C228" i="21"/>
  <c r="C229" i="21"/>
  <c r="C230" i="21"/>
  <c r="C231" i="21"/>
  <c r="C232" i="21"/>
  <c r="C233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100" i="21"/>
  <c r="N101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N116" i="21"/>
  <c r="N117" i="21"/>
  <c r="N118" i="21"/>
  <c r="N119" i="21"/>
  <c r="N120" i="21"/>
  <c r="N121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4" i="21"/>
  <c r="N135" i="21"/>
  <c r="N136" i="21"/>
  <c r="N137" i="21"/>
  <c r="N138" i="21"/>
  <c r="N139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N154" i="21"/>
  <c r="N155" i="21"/>
  <c r="N156" i="21"/>
  <c r="N157" i="21"/>
  <c r="N158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N173" i="21"/>
  <c r="N174" i="21"/>
  <c r="N175" i="21"/>
  <c r="N176" i="21"/>
  <c r="N177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N192" i="21"/>
  <c r="N193" i="21"/>
  <c r="N194" i="21"/>
  <c r="N195" i="21"/>
  <c r="N196" i="21"/>
  <c r="N197" i="21"/>
  <c r="N198" i="21"/>
  <c r="N199" i="21"/>
  <c r="N200" i="21"/>
  <c r="N201" i="21"/>
  <c r="N202" i="21"/>
  <c r="N203" i="21"/>
  <c r="N204" i="21"/>
  <c r="N205" i="21"/>
  <c r="N206" i="21"/>
  <c r="N207" i="21"/>
  <c r="N208" i="21"/>
  <c r="N209" i="21"/>
  <c r="N210" i="21"/>
  <c r="N211" i="21"/>
  <c r="N212" i="21"/>
  <c r="N213" i="21"/>
  <c r="N214" i="21"/>
  <c r="N215" i="21"/>
  <c r="N216" i="21"/>
  <c r="N217" i="21"/>
  <c r="N218" i="21"/>
  <c r="N219" i="21"/>
  <c r="N220" i="21"/>
  <c r="N221" i="21"/>
  <c r="N222" i="21"/>
  <c r="N223" i="21"/>
  <c r="N224" i="21"/>
  <c r="N225" i="21"/>
  <c r="N226" i="21"/>
  <c r="N227" i="21"/>
  <c r="N228" i="21"/>
  <c r="N229" i="21"/>
  <c r="N230" i="21"/>
  <c r="N231" i="21"/>
  <c r="N232" i="21"/>
  <c r="N233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Q173" i="21"/>
  <c r="Q174" i="21"/>
  <c r="Q175" i="21"/>
  <c r="Q176" i="21"/>
  <c r="Q177" i="21"/>
  <c r="Q178" i="21"/>
  <c r="Q179" i="21"/>
  <c r="Q180" i="21"/>
  <c r="Q181" i="21"/>
  <c r="Q182" i="21"/>
  <c r="Q183" i="21"/>
  <c r="Q184" i="21"/>
  <c r="Q185" i="21"/>
  <c r="Q186" i="21"/>
  <c r="Q187" i="21"/>
  <c r="Q188" i="21"/>
  <c r="Q189" i="21"/>
  <c r="Q190" i="21"/>
  <c r="Q191" i="21"/>
  <c r="Q192" i="21"/>
  <c r="Q193" i="21"/>
  <c r="Q194" i="21"/>
  <c r="Q195" i="21"/>
  <c r="Q196" i="21"/>
  <c r="Q197" i="21"/>
  <c r="Q198" i="21"/>
  <c r="Q199" i="21"/>
  <c r="Q200" i="21"/>
  <c r="Q201" i="21"/>
  <c r="Q202" i="21"/>
  <c r="Q203" i="21"/>
  <c r="Q204" i="21"/>
  <c r="Q205" i="21"/>
  <c r="Q206" i="21"/>
  <c r="Q207" i="21"/>
  <c r="Q208" i="21"/>
  <c r="Q209" i="21"/>
  <c r="Q210" i="21"/>
  <c r="Q211" i="21"/>
  <c r="Q212" i="21"/>
  <c r="Q213" i="21"/>
  <c r="Q214" i="21"/>
  <c r="Q215" i="21"/>
  <c r="Q216" i="21"/>
  <c r="Q217" i="21"/>
  <c r="Q218" i="21"/>
  <c r="Q219" i="21"/>
  <c r="Q220" i="21"/>
  <c r="Q221" i="21"/>
  <c r="Q222" i="21"/>
  <c r="Q223" i="21"/>
  <c r="Q224" i="21"/>
  <c r="Q225" i="21"/>
  <c r="Q226" i="21"/>
  <c r="Q227" i="21"/>
  <c r="Q228" i="21"/>
  <c r="Q229" i="21"/>
  <c r="Q230" i="21"/>
  <c r="Q231" i="21"/>
  <c r="Q232" i="21"/>
  <c r="Q233" i="21"/>
  <c r="R6" i="2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R51" i="21"/>
  <c r="R52" i="21"/>
  <c r="R53" i="21"/>
  <c r="R54" i="21"/>
  <c r="R55" i="21"/>
  <c r="R56" i="21"/>
  <c r="R57" i="21"/>
  <c r="R58" i="21"/>
  <c r="R59" i="21"/>
  <c r="R60" i="21"/>
  <c r="R61" i="21"/>
  <c r="R62" i="21"/>
  <c r="R63" i="21"/>
  <c r="R64" i="21"/>
  <c r="R65" i="21"/>
  <c r="R66" i="21"/>
  <c r="R67" i="21"/>
  <c r="R68" i="21"/>
  <c r="R69" i="21"/>
  <c r="R70" i="21"/>
  <c r="R71" i="21"/>
  <c r="R72" i="21"/>
  <c r="R73" i="21"/>
  <c r="R74" i="21"/>
  <c r="R75" i="21"/>
  <c r="R76" i="21"/>
  <c r="R77" i="21"/>
  <c r="R78" i="21"/>
  <c r="R79" i="21"/>
  <c r="R80" i="21"/>
  <c r="R81" i="21"/>
  <c r="R82" i="21"/>
  <c r="R83" i="21"/>
  <c r="R84" i="21"/>
  <c r="R85" i="21"/>
  <c r="R86" i="21"/>
  <c r="R87" i="21"/>
  <c r="R88" i="21"/>
  <c r="R89" i="21"/>
  <c r="R90" i="21"/>
  <c r="R91" i="21"/>
  <c r="R92" i="21"/>
  <c r="R93" i="21"/>
  <c r="R94" i="21"/>
  <c r="R95" i="21"/>
  <c r="R96" i="21"/>
  <c r="R97" i="21"/>
  <c r="R98" i="21"/>
  <c r="R99" i="21"/>
  <c r="R100" i="21"/>
  <c r="R101" i="21"/>
  <c r="R102" i="21"/>
  <c r="R103" i="21"/>
  <c r="R104" i="21"/>
  <c r="R105" i="21"/>
  <c r="R106" i="21"/>
  <c r="R107" i="21"/>
  <c r="R108" i="21"/>
  <c r="R109" i="21"/>
  <c r="R110" i="21"/>
  <c r="R111" i="21"/>
  <c r="R112" i="21"/>
  <c r="R113" i="21"/>
  <c r="R114" i="21"/>
  <c r="R115" i="21"/>
  <c r="R116" i="21"/>
  <c r="R117" i="21"/>
  <c r="R118" i="21"/>
  <c r="R119" i="21"/>
  <c r="R120" i="21"/>
  <c r="R121" i="21"/>
  <c r="R122" i="21"/>
  <c r="R123" i="21"/>
  <c r="R124" i="21"/>
  <c r="R125" i="21"/>
  <c r="R126" i="21"/>
  <c r="R127" i="21"/>
  <c r="R128" i="21"/>
  <c r="R129" i="21"/>
  <c r="R130" i="21"/>
  <c r="R131" i="21"/>
  <c r="R132" i="21"/>
  <c r="R133" i="21"/>
  <c r="R134" i="21"/>
  <c r="R135" i="21"/>
  <c r="R136" i="21"/>
  <c r="R137" i="21"/>
  <c r="R138" i="21"/>
  <c r="R139" i="21"/>
  <c r="R140" i="21"/>
  <c r="R141" i="21"/>
  <c r="R142" i="21"/>
  <c r="R143" i="21"/>
  <c r="R144" i="21"/>
  <c r="R145" i="21"/>
  <c r="R146" i="21"/>
  <c r="R147" i="21"/>
  <c r="R148" i="21"/>
  <c r="R149" i="21"/>
  <c r="R150" i="21"/>
  <c r="R151" i="21"/>
  <c r="R152" i="21"/>
  <c r="R153" i="21"/>
  <c r="R154" i="21"/>
  <c r="R155" i="21"/>
  <c r="R156" i="21"/>
  <c r="R157" i="21"/>
  <c r="R158" i="21"/>
  <c r="R159" i="21"/>
  <c r="R160" i="21"/>
  <c r="R161" i="21"/>
  <c r="R162" i="21"/>
  <c r="R163" i="21"/>
  <c r="R164" i="21"/>
  <c r="R165" i="21"/>
  <c r="R166" i="21"/>
  <c r="R167" i="21"/>
  <c r="R168" i="21"/>
  <c r="R169" i="21"/>
  <c r="R170" i="21"/>
  <c r="R171" i="21"/>
  <c r="R172" i="21"/>
  <c r="R173" i="21"/>
  <c r="R174" i="21"/>
  <c r="R175" i="21"/>
  <c r="R176" i="21"/>
  <c r="R177" i="21"/>
  <c r="R178" i="21"/>
  <c r="R179" i="21"/>
  <c r="R180" i="21"/>
  <c r="R181" i="21"/>
  <c r="R182" i="21"/>
  <c r="R183" i="21"/>
  <c r="R184" i="21"/>
  <c r="R185" i="21"/>
  <c r="R186" i="21"/>
  <c r="R187" i="21"/>
  <c r="R188" i="21"/>
  <c r="R189" i="21"/>
  <c r="R190" i="21"/>
  <c r="R191" i="21"/>
  <c r="R192" i="21"/>
  <c r="R193" i="21"/>
  <c r="R194" i="21"/>
  <c r="R195" i="21"/>
  <c r="R196" i="21"/>
  <c r="R197" i="21"/>
  <c r="R198" i="21"/>
  <c r="R199" i="21"/>
  <c r="R200" i="21"/>
  <c r="R201" i="21"/>
  <c r="R202" i="21"/>
  <c r="R203" i="21"/>
  <c r="R204" i="21"/>
  <c r="R205" i="21"/>
  <c r="R206" i="21"/>
  <c r="R207" i="21"/>
  <c r="R208" i="21"/>
  <c r="R209" i="21"/>
  <c r="R210" i="21"/>
  <c r="R211" i="21"/>
  <c r="R212" i="21"/>
  <c r="R213" i="21"/>
  <c r="R214" i="21"/>
  <c r="R215" i="21"/>
  <c r="R216" i="21"/>
  <c r="R217" i="21"/>
  <c r="R218" i="21"/>
  <c r="R219" i="21"/>
  <c r="R220" i="21"/>
  <c r="R221" i="21"/>
  <c r="R222" i="21"/>
  <c r="R223" i="21"/>
  <c r="R224" i="21"/>
  <c r="R225" i="21"/>
  <c r="R226" i="21"/>
  <c r="R227" i="21"/>
  <c r="R228" i="21"/>
  <c r="R229" i="21"/>
  <c r="R230" i="21"/>
  <c r="R231" i="21"/>
  <c r="R232" i="21"/>
  <c r="R233" i="21"/>
  <c r="AB6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39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B54" i="21"/>
  <c r="AB55" i="21"/>
  <c r="AB56" i="21"/>
  <c r="AB57" i="21"/>
  <c r="AB58" i="21"/>
  <c r="AB59" i="21"/>
  <c r="AB60" i="21"/>
  <c r="AB61" i="21"/>
  <c r="AB62" i="21"/>
  <c r="AB63" i="21"/>
  <c r="AB64" i="21"/>
  <c r="AB65" i="21"/>
  <c r="AB66" i="21"/>
  <c r="AB67" i="21"/>
  <c r="AB68" i="21"/>
  <c r="AB69" i="21"/>
  <c r="AB70" i="21"/>
  <c r="AB71" i="21"/>
  <c r="AB72" i="21"/>
  <c r="AB73" i="21"/>
  <c r="AB74" i="21"/>
  <c r="AB75" i="21"/>
  <c r="AB76" i="21"/>
  <c r="AB77" i="21"/>
  <c r="AB78" i="21"/>
  <c r="AB79" i="21"/>
  <c r="AB80" i="21"/>
  <c r="AB81" i="21"/>
  <c r="AB82" i="21"/>
  <c r="AB83" i="21"/>
  <c r="AB84" i="21"/>
  <c r="AB85" i="21"/>
  <c r="AB86" i="21"/>
  <c r="AB87" i="21"/>
  <c r="AB88" i="21"/>
  <c r="AB89" i="21"/>
  <c r="AB90" i="21"/>
  <c r="AB91" i="21"/>
  <c r="AB92" i="21"/>
  <c r="AB93" i="21"/>
  <c r="AB94" i="21"/>
  <c r="AB95" i="21"/>
  <c r="AB96" i="21"/>
  <c r="AB97" i="21"/>
  <c r="AB98" i="21"/>
  <c r="AB99" i="21"/>
  <c r="AB100" i="21"/>
  <c r="AB101" i="21"/>
  <c r="AB102" i="21"/>
  <c r="AB103" i="21"/>
  <c r="AB104" i="21"/>
  <c r="AB105" i="21"/>
  <c r="AB106" i="21"/>
  <c r="AB107" i="21"/>
  <c r="AB108" i="21"/>
  <c r="AB109" i="21"/>
  <c r="AB110" i="21"/>
  <c r="AB111" i="21"/>
  <c r="AB112" i="21"/>
  <c r="AB113" i="21"/>
  <c r="AB114" i="21"/>
  <c r="AB115" i="21"/>
  <c r="AB116" i="21"/>
  <c r="AB117" i="21"/>
  <c r="AB118" i="21"/>
  <c r="AB119" i="21"/>
  <c r="AB120" i="21"/>
  <c r="AB121" i="21"/>
  <c r="AB122" i="21"/>
  <c r="AB123" i="21"/>
  <c r="AB124" i="21"/>
  <c r="AB125" i="21"/>
  <c r="AB126" i="21"/>
  <c r="AB127" i="21"/>
  <c r="AB128" i="21"/>
  <c r="AB129" i="21"/>
  <c r="AB130" i="21"/>
  <c r="AB131" i="21"/>
  <c r="AB132" i="21"/>
  <c r="AB133" i="21"/>
  <c r="AB134" i="21"/>
  <c r="AB135" i="21"/>
  <c r="AB136" i="21"/>
  <c r="AB137" i="21"/>
  <c r="AB138" i="21"/>
  <c r="AB139" i="21"/>
  <c r="AB140" i="21"/>
  <c r="AB141" i="21"/>
  <c r="AB142" i="21"/>
  <c r="AB143" i="21"/>
  <c r="AB144" i="21"/>
  <c r="AB145" i="21"/>
  <c r="AB146" i="21"/>
  <c r="AB147" i="21"/>
  <c r="AB148" i="21"/>
  <c r="AB149" i="21"/>
  <c r="AB150" i="21"/>
  <c r="AB151" i="21"/>
  <c r="AB152" i="21"/>
  <c r="AB153" i="21"/>
  <c r="AB154" i="21"/>
  <c r="AB155" i="21"/>
  <c r="AB156" i="21"/>
  <c r="AB157" i="21"/>
  <c r="AB158" i="21"/>
  <c r="AB159" i="21"/>
  <c r="AB160" i="21"/>
  <c r="AB161" i="21"/>
  <c r="AB162" i="21"/>
  <c r="AB163" i="21"/>
  <c r="AB164" i="21"/>
  <c r="AB165" i="21"/>
  <c r="AB166" i="21"/>
  <c r="AB167" i="21"/>
  <c r="AB168" i="21"/>
  <c r="AB169" i="21"/>
  <c r="AB170" i="21"/>
  <c r="AB171" i="21"/>
  <c r="AB172" i="21"/>
  <c r="AB173" i="21"/>
  <c r="AB174" i="21"/>
  <c r="AB175" i="21"/>
  <c r="AB176" i="21"/>
  <c r="AB177" i="21"/>
  <c r="AB178" i="21"/>
  <c r="AB179" i="21"/>
  <c r="AB180" i="21"/>
  <c r="AB181" i="21"/>
  <c r="AB182" i="21"/>
  <c r="AB183" i="21"/>
  <c r="AB184" i="21"/>
  <c r="AB185" i="21"/>
  <c r="AB186" i="21"/>
  <c r="AB187" i="21"/>
  <c r="AB188" i="21"/>
  <c r="AB189" i="21"/>
  <c r="AB190" i="21"/>
  <c r="AB191" i="21"/>
  <c r="AB192" i="21"/>
  <c r="AB193" i="21"/>
  <c r="AB194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B217" i="21"/>
  <c r="AB218" i="21"/>
  <c r="AB219" i="21"/>
  <c r="AB220" i="21"/>
  <c r="AB221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C5" i="21"/>
  <c r="N5" i="21"/>
  <c r="Q5" i="21"/>
  <c r="S5" i="21" s="1"/>
  <c r="R5" i="21"/>
  <c r="AB5" i="21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AB6" i="20"/>
  <c r="AB7" i="20"/>
  <c r="AB8" i="20"/>
  <c r="AB9" i="20"/>
  <c r="AB10" i="20"/>
  <c r="AB11" i="20"/>
  <c r="AB12" i="20"/>
  <c r="AB13" i="20"/>
  <c r="AB14" i="20"/>
  <c r="AB15" i="20"/>
  <c r="AB16" i="20"/>
  <c r="AB17" i="20"/>
  <c r="AB18" i="20"/>
  <c r="AB19" i="20"/>
  <c r="AB20" i="20"/>
  <c r="AB21" i="20"/>
  <c r="AB22" i="20"/>
  <c r="AB23" i="20"/>
  <c r="AB24" i="20"/>
  <c r="AB25" i="20"/>
  <c r="AB26" i="20"/>
  <c r="AB27" i="20"/>
  <c r="AB28" i="20"/>
  <c r="AB29" i="20"/>
  <c r="AB30" i="20"/>
  <c r="AB31" i="20"/>
  <c r="AB32" i="20"/>
  <c r="AB33" i="20"/>
  <c r="AB34" i="20"/>
  <c r="AB35" i="20"/>
  <c r="AB36" i="20"/>
  <c r="AB37" i="20"/>
  <c r="AB38" i="20"/>
  <c r="AB39" i="20"/>
  <c r="AB40" i="20"/>
  <c r="AB41" i="20"/>
  <c r="AB42" i="20"/>
  <c r="AB43" i="20"/>
  <c r="AB44" i="20"/>
  <c r="AB45" i="20"/>
  <c r="AB46" i="20"/>
  <c r="AB47" i="20"/>
  <c r="AB48" i="20"/>
  <c r="AB49" i="20"/>
  <c r="AB50" i="20"/>
  <c r="AB51" i="20"/>
  <c r="AB52" i="20"/>
  <c r="AB53" i="20"/>
  <c r="AB54" i="20"/>
  <c r="AB55" i="20"/>
  <c r="AB56" i="20"/>
  <c r="AB57" i="20"/>
  <c r="AB58" i="20"/>
  <c r="AB59" i="20"/>
  <c r="AB60" i="20"/>
  <c r="AB61" i="20"/>
  <c r="AB62" i="20"/>
  <c r="AB63" i="20"/>
  <c r="AB64" i="20"/>
  <c r="AB65" i="20"/>
  <c r="AB66" i="20"/>
  <c r="AB67" i="20"/>
  <c r="AB68" i="20"/>
  <c r="AB69" i="20"/>
  <c r="AB70" i="20"/>
  <c r="AB71" i="20"/>
  <c r="AB72" i="20"/>
  <c r="AB73" i="20"/>
  <c r="AB74" i="20"/>
  <c r="AB75" i="20"/>
  <c r="AB76" i="20"/>
  <c r="AB77" i="20"/>
  <c r="AB78" i="20"/>
  <c r="AB79" i="20"/>
  <c r="AB80" i="20"/>
  <c r="AB81" i="20"/>
  <c r="AB82" i="20"/>
  <c r="AB83" i="20"/>
  <c r="AB84" i="20"/>
  <c r="AB85" i="20"/>
  <c r="AB86" i="20"/>
  <c r="AB87" i="20"/>
  <c r="AB88" i="20"/>
  <c r="AB89" i="20"/>
  <c r="AB90" i="20"/>
  <c r="AB91" i="20"/>
  <c r="AB92" i="20"/>
  <c r="AB93" i="20"/>
  <c r="AB94" i="20"/>
  <c r="AB95" i="20"/>
  <c r="AB96" i="20"/>
  <c r="AB97" i="20"/>
  <c r="AB98" i="20"/>
  <c r="AB99" i="20"/>
  <c r="AB100" i="20"/>
  <c r="AB101" i="20"/>
  <c r="AB102" i="20"/>
  <c r="AB103" i="20"/>
  <c r="AB104" i="20"/>
  <c r="AB105" i="20"/>
  <c r="AB106" i="20"/>
  <c r="AB107" i="20"/>
  <c r="AB108" i="20"/>
  <c r="AB109" i="20"/>
  <c r="AB110" i="20"/>
  <c r="AB111" i="20"/>
  <c r="AB112" i="20"/>
  <c r="AB113" i="20"/>
  <c r="AB114" i="20"/>
  <c r="AB115" i="20"/>
  <c r="AB116" i="20"/>
  <c r="AB117" i="20"/>
  <c r="AB118" i="20"/>
  <c r="AB119" i="20"/>
  <c r="AB120" i="20"/>
  <c r="AB121" i="20"/>
  <c r="AB122" i="20"/>
  <c r="AB123" i="20"/>
  <c r="AB124" i="20"/>
  <c r="AB125" i="20"/>
  <c r="AB126" i="20"/>
  <c r="AB127" i="20"/>
  <c r="AB128" i="20"/>
  <c r="AB129" i="20"/>
  <c r="AB130" i="20"/>
  <c r="AB131" i="20"/>
  <c r="AB132" i="20"/>
  <c r="AB133" i="20"/>
  <c r="AB134" i="20"/>
  <c r="AB135" i="20"/>
  <c r="AB136" i="20"/>
  <c r="AB137" i="20"/>
  <c r="AB138" i="20"/>
  <c r="AB139" i="20"/>
  <c r="AB140" i="20"/>
  <c r="AB141" i="20"/>
  <c r="AB142" i="20"/>
  <c r="AB143" i="20"/>
  <c r="AB144" i="20"/>
  <c r="AB145" i="20"/>
  <c r="AB146" i="20"/>
  <c r="AB147" i="20"/>
  <c r="AB148" i="20"/>
  <c r="AB149" i="20"/>
  <c r="AB150" i="20"/>
  <c r="AB151" i="20"/>
  <c r="AB152" i="20"/>
  <c r="AB153" i="20"/>
  <c r="AB154" i="20"/>
  <c r="AB155" i="20"/>
  <c r="AB156" i="20"/>
  <c r="AB157" i="20"/>
  <c r="AB158" i="20"/>
  <c r="AB159" i="20"/>
  <c r="AB160" i="20"/>
  <c r="AB161" i="20"/>
  <c r="AB162" i="20"/>
  <c r="AB163" i="20"/>
  <c r="AB164" i="20"/>
  <c r="AB165" i="20"/>
  <c r="AB166" i="20"/>
  <c r="AB167" i="20"/>
  <c r="AB168" i="20"/>
  <c r="AB169" i="20"/>
  <c r="AB170" i="20"/>
  <c r="AB171" i="20"/>
  <c r="C5" i="20"/>
  <c r="AB5" i="20"/>
  <c r="R5" i="20"/>
  <c r="Q5" i="20"/>
  <c r="S5" i="20" s="1"/>
  <c r="N5" i="20"/>
  <c r="S6" i="21" l="1"/>
  <c r="S7" i="21" s="1"/>
  <c r="S8" i="21" s="1"/>
  <c r="S9" i="21" s="1"/>
  <c r="S10" i="21" s="1"/>
  <c r="S11" i="21" s="1"/>
  <c r="S12" i="21" s="1"/>
  <c r="S13" i="21" s="1"/>
  <c r="S14" i="21" s="1"/>
  <c r="S15" i="21" s="1"/>
  <c r="S16" i="21" s="1"/>
  <c r="S17" i="21" s="1"/>
  <c r="S18" i="21" s="1"/>
  <c r="S19" i="21" s="1"/>
  <c r="S20" i="21" s="1"/>
  <c r="S21" i="21" s="1"/>
  <c r="S22" i="21" s="1"/>
  <c r="S23" i="21" s="1"/>
  <c r="S24" i="21" s="1"/>
  <c r="S25" i="21" s="1"/>
  <c r="S26" i="21" s="1"/>
  <c r="S27" i="21" s="1"/>
  <c r="S28" i="21" s="1"/>
  <c r="S29" i="21" s="1"/>
  <c r="S30" i="21" s="1"/>
  <c r="S31" i="21" s="1"/>
  <c r="S32" i="21" s="1"/>
  <c r="S33" i="21" s="1"/>
  <c r="S34" i="21" s="1"/>
  <c r="S35" i="21" s="1"/>
  <c r="S36" i="21" s="1"/>
  <c r="S37" i="21" s="1"/>
  <c r="S38" i="21" s="1"/>
  <c r="S39" i="21" s="1"/>
  <c r="S40" i="21" s="1"/>
  <c r="S41" i="21" s="1"/>
  <c r="S42" i="21" s="1"/>
  <c r="S43" i="21" s="1"/>
  <c r="S44" i="21" s="1"/>
  <c r="S45" i="21" s="1"/>
  <c r="S46" i="21" s="1"/>
  <c r="S47" i="21" s="1"/>
  <c r="S48" i="21" s="1"/>
  <c r="S49" i="21" s="1"/>
  <c r="S50" i="21" s="1"/>
  <c r="S51" i="21" s="1"/>
  <c r="S52" i="21" s="1"/>
  <c r="S53" i="21" s="1"/>
  <c r="S54" i="21" s="1"/>
  <c r="S55" i="21" s="1"/>
  <c r="S56" i="21" s="1"/>
  <c r="S57" i="21" s="1"/>
  <c r="S58" i="21" s="1"/>
  <c r="S59" i="21" s="1"/>
  <c r="S60" i="21" s="1"/>
  <c r="S61" i="21" s="1"/>
  <c r="S62" i="21" s="1"/>
  <c r="S63" i="21" s="1"/>
  <c r="S64" i="21" s="1"/>
  <c r="S65" i="21" s="1"/>
  <c r="S66" i="21" s="1"/>
  <c r="S67" i="21" s="1"/>
  <c r="S68" i="21" s="1"/>
  <c r="S69" i="21" s="1"/>
  <c r="S70" i="21" s="1"/>
  <c r="S71" i="21" s="1"/>
  <c r="S72" i="21" s="1"/>
  <c r="S73" i="21" s="1"/>
  <c r="S74" i="21" s="1"/>
  <c r="S75" i="21" s="1"/>
  <c r="S76" i="21" s="1"/>
  <c r="S77" i="21" s="1"/>
  <c r="S78" i="21" s="1"/>
  <c r="S79" i="21" s="1"/>
  <c r="S80" i="21" s="1"/>
  <c r="S81" i="21" s="1"/>
  <c r="S82" i="21" s="1"/>
  <c r="S83" i="21" s="1"/>
  <c r="S84" i="21" s="1"/>
  <c r="S85" i="21" s="1"/>
  <c r="S86" i="21" s="1"/>
  <c r="S87" i="21" s="1"/>
  <c r="S88" i="21" s="1"/>
  <c r="S89" i="21" s="1"/>
  <c r="S90" i="21" s="1"/>
  <c r="S91" i="21" s="1"/>
  <c r="S92" i="21" s="1"/>
  <c r="S93" i="21" s="1"/>
  <c r="S94" i="21" s="1"/>
  <c r="S95" i="21" s="1"/>
  <c r="S96" i="21" s="1"/>
  <c r="S97" i="21" s="1"/>
  <c r="S98" i="21" s="1"/>
  <c r="S99" i="21" s="1"/>
  <c r="S100" i="21" s="1"/>
  <c r="S101" i="21" s="1"/>
  <c r="S102" i="21" s="1"/>
  <c r="S103" i="21" s="1"/>
  <c r="S104" i="21" s="1"/>
  <c r="S105" i="21" s="1"/>
  <c r="S106" i="21" s="1"/>
  <c r="S107" i="21" s="1"/>
  <c r="S108" i="21" s="1"/>
  <c r="S109" i="21" s="1"/>
  <c r="S110" i="21" s="1"/>
  <c r="S111" i="21" s="1"/>
  <c r="S112" i="21" s="1"/>
  <c r="S113" i="21" s="1"/>
  <c r="S114" i="21" s="1"/>
  <c r="S115" i="21" s="1"/>
  <c r="S116" i="21" s="1"/>
  <c r="S117" i="21" s="1"/>
  <c r="S118" i="21" s="1"/>
  <c r="S119" i="21" s="1"/>
  <c r="S120" i="21" s="1"/>
  <c r="S121" i="21" s="1"/>
  <c r="S122" i="21" s="1"/>
  <c r="S123" i="21" s="1"/>
  <c r="S124" i="21" s="1"/>
  <c r="S125" i="21" s="1"/>
  <c r="S126" i="21" s="1"/>
  <c r="S127" i="21" s="1"/>
  <c r="S128" i="21" s="1"/>
  <c r="S129" i="21" s="1"/>
  <c r="S130" i="21" s="1"/>
  <c r="S131" i="21" s="1"/>
  <c r="S132" i="21" s="1"/>
  <c r="S133" i="21" s="1"/>
  <c r="S134" i="21" s="1"/>
  <c r="S135" i="21" s="1"/>
  <c r="S136" i="21" s="1"/>
  <c r="S137" i="21" s="1"/>
  <c r="S138" i="21" s="1"/>
  <c r="S139" i="21" s="1"/>
  <c r="S140" i="21" s="1"/>
  <c r="S141" i="21" s="1"/>
  <c r="S142" i="21" s="1"/>
  <c r="S143" i="21" s="1"/>
  <c r="S144" i="21" s="1"/>
  <c r="S145" i="21" s="1"/>
  <c r="S146" i="21" s="1"/>
  <c r="S147" i="21" s="1"/>
  <c r="S148" i="21" s="1"/>
  <c r="S149" i="21" s="1"/>
  <c r="S150" i="21" s="1"/>
  <c r="S151" i="21" s="1"/>
  <c r="S152" i="21" s="1"/>
  <c r="S153" i="21" s="1"/>
  <c r="S154" i="21" s="1"/>
  <c r="S155" i="21" s="1"/>
  <c r="S156" i="21" s="1"/>
  <c r="S157" i="21" s="1"/>
  <c r="S158" i="21" s="1"/>
  <c r="S159" i="21" s="1"/>
  <c r="S160" i="21" s="1"/>
  <c r="S161" i="21" s="1"/>
  <c r="S162" i="21" s="1"/>
  <c r="S163" i="21" s="1"/>
  <c r="S164" i="21" s="1"/>
  <c r="S165" i="21" s="1"/>
  <c r="S166" i="21" s="1"/>
  <c r="S167" i="21" s="1"/>
  <c r="S168" i="21" s="1"/>
  <c r="S169" i="21" s="1"/>
  <c r="S170" i="21" s="1"/>
  <c r="S171" i="21" s="1"/>
  <c r="S172" i="21" s="1"/>
  <c r="S173" i="21" s="1"/>
  <c r="S174" i="21" s="1"/>
  <c r="S175" i="21" s="1"/>
  <c r="S176" i="21" s="1"/>
  <c r="S177" i="21" s="1"/>
  <c r="S178" i="21" s="1"/>
  <c r="S179" i="21" s="1"/>
  <c r="S180" i="21" s="1"/>
  <c r="S181" i="21" s="1"/>
  <c r="S182" i="21" s="1"/>
  <c r="S183" i="21" s="1"/>
  <c r="S184" i="21" s="1"/>
  <c r="S185" i="21" s="1"/>
  <c r="S186" i="21" s="1"/>
  <c r="S187" i="21" s="1"/>
  <c r="S188" i="21" s="1"/>
  <c r="S189" i="21" s="1"/>
  <c r="S190" i="21" s="1"/>
  <c r="S191" i="21" s="1"/>
  <c r="S192" i="21" s="1"/>
  <c r="S193" i="21" s="1"/>
  <c r="S194" i="21" s="1"/>
  <c r="S195" i="21" s="1"/>
  <c r="S196" i="21" s="1"/>
  <c r="S197" i="21" s="1"/>
  <c r="S198" i="21" s="1"/>
  <c r="S199" i="21" s="1"/>
  <c r="S200" i="21" s="1"/>
  <c r="S201" i="21" s="1"/>
  <c r="S202" i="21" s="1"/>
  <c r="S203" i="21" s="1"/>
  <c r="S204" i="21" s="1"/>
  <c r="S205" i="21" s="1"/>
  <c r="S206" i="21" s="1"/>
  <c r="S207" i="21" s="1"/>
  <c r="S208" i="21" s="1"/>
  <c r="S209" i="21" s="1"/>
  <c r="S210" i="21" s="1"/>
  <c r="S211" i="21" s="1"/>
  <c r="S212" i="21" s="1"/>
  <c r="S213" i="21" s="1"/>
  <c r="S214" i="21" s="1"/>
  <c r="S215" i="21" s="1"/>
  <c r="S216" i="21" s="1"/>
  <c r="S217" i="21" s="1"/>
  <c r="S218" i="21" s="1"/>
  <c r="S219" i="21" s="1"/>
  <c r="S220" i="21" s="1"/>
  <c r="S221" i="21" s="1"/>
  <c r="S222" i="21" s="1"/>
  <c r="S223" i="21" s="1"/>
  <c r="S224" i="21" s="1"/>
  <c r="S225" i="21" s="1"/>
  <c r="S226" i="21" s="1"/>
  <c r="S227" i="21" s="1"/>
  <c r="S228" i="21" s="1"/>
  <c r="S229" i="21" s="1"/>
  <c r="S230" i="21" s="1"/>
  <c r="S231" i="21" s="1"/>
  <c r="S232" i="21" s="1"/>
  <c r="S233" i="21" s="1"/>
  <c r="S234" i="21" s="1"/>
  <c r="S235" i="21" s="1"/>
  <c r="S236" i="21" s="1"/>
  <c r="S237" i="21" s="1"/>
  <c r="S238" i="21" s="1"/>
  <c r="S239" i="21" s="1"/>
  <c r="S240" i="21" s="1"/>
  <c r="S241" i="21" s="1"/>
  <c r="S242" i="21" s="1"/>
  <c r="S243" i="21" s="1"/>
  <c r="S244" i="21" s="1"/>
  <c r="S245" i="21" s="1"/>
  <c r="S246" i="21" s="1"/>
  <c r="S247" i="21" s="1"/>
  <c r="S248" i="21" s="1"/>
  <c r="S249" i="21" s="1"/>
  <c r="S6" i="22"/>
  <c r="S7" i="22" s="1"/>
  <c r="S8" i="22" s="1"/>
  <c r="S9" i="22" s="1"/>
  <c r="S10" i="22" s="1"/>
  <c r="S11" i="22" s="1"/>
  <c r="S12" i="22" s="1"/>
  <c r="S13" i="22" s="1"/>
  <c r="S14" i="22" s="1"/>
  <c r="S15" i="22" s="1"/>
  <c r="S16" i="22" s="1"/>
  <c r="S17" i="22" s="1"/>
  <c r="S18" i="22" s="1"/>
  <c r="S19" i="22" s="1"/>
  <c r="S20" i="22" s="1"/>
  <c r="S21" i="22" s="1"/>
  <c r="S22" i="22" s="1"/>
  <c r="S23" i="22" s="1"/>
  <c r="S24" i="22" s="1"/>
  <c r="S25" i="22" s="1"/>
  <c r="S26" i="22" s="1"/>
  <c r="S27" i="22" s="1"/>
  <c r="S28" i="22" s="1"/>
  <c r="S29" i="22" s="1"/>
  <c r="S30" i="22" s="1"/>
  <c r="S31" i="22" s="1"/>
  <c r="S32" i="22" s="1"/>
  <c r="S33" i="22" s="1"/>
  <c r="S34" i="22" s="1"/>
  <c r="S35" i="22" s="1"/>
  <c r="S36" i="22" s="1"/>
  <c r="S37" i="22" s="1"/>
  <c r="S38" i="22" s="1"/>
  <c r="S39" i="22" s="1"/>
  <c r="S40" i="22" s="1"/>
  <c r="S41" i="22" s="1"/>
  <c r="S42" i="22" s="1"/>
  <c r="S43" i="22" s="1"/>
  <c r="S44" i="22" s="1"/>
  <c r="S45" i="22" s="1"/>
  <c r="S46" i="22" s="1"/>
  <c r="S47" i="22" s="1"/>
  <c r="S48" i="22" s="1"/>
  <c r="S49" i="22" s="1"/>
  <c r="S6" i="20"/>
  <c r="S7" i="20" s="1"/>
  <c r="S8" i="20" s="1"/>
  <c r="S9" i="20" s="1"/>
  <c r="S10" i="20" s="1"/>
  <c r="S11" i="20" s="1"/>
  <c r="S12" i="20" s="1"/>
  <c r="S13" i="20" s="1"/>
  <c r="S14" i="20" s="1"/>
  <c r="S15" i="20" s="1"/>
  <c r="S16" i="20" s="1"/>
  <c r="S17" i="20" s="1"/>
  <c r="S18" i="20" s="1"/>
  <c r="S19" i="20" s="1"/>
  <c r="S20" i="20" s="1"/>
  <c r="S21" i="20" s="1"/>
  <c r="S22" i="20" s="1"/>
  <c r="S23" i="20" s="1"/>
  <c r="S24" i="20" s="1"/>
  <c r="S25" i="20" s="1"/>
  <c r="S26" i="20" s="1"/>
  <c r="S27" i="20" s="1"/>
  <c r="S28" i="20" s="1"/>
  <c r="S29" i="20" s="1"/>
  <c r="S30" i="20" s="1"/>
  <c r="S31" i="20" s="1"/>
  <c r="S32" i="20" s="1"/>
  <c r="S33" i="20" s="1"/>
  <c r="S34" i="20" s="1"/>
  <c r="S35" i="20" s="1"/>
  <c r="S36" i="20" s="1"/>
  <c r="S37" i="20" s="1"/>
  <c r="S38" i="20" s="1"/>
  <c r="S39" i="20" s="1"/>
  <c r="S40" i="20" s="1"/>
  <c r="S41" i="20" s="1"/>
  <c r="S42" i="20" s="1"/>
  <c r="S43" i="20" s="1"/>
  <c r="S44" i="20" s="1"/>
  <c r="S45" i="20" s="1"/>
  <c r="S46" i="20" s="1"/>
  <c r="S47" i="20" s="1"/>
  <c r="S48" i="20" s="1"/>
  <c r="S49" i="20" s="1"/>
  <c r="S50" i="20" s="1"/>
  <c r="S51" i="20" s="1"/>
  <c r="S52" i="20" s="1"/>
  <c r="S53" i="20" s="1"/>
  <c r="S54" i="20" s="1"/>
  <c r="S55" i="20" s="1"/>
  <c r="S56" i="20" s="1"/>
  <c r="S57" i="20" s="1"/>
  <c r="S58" i="20" s="1"/>
  <c r="S59" i="20" s="1"/>
  <c r="S60" i="20" s="1"/>
  <c r="S61" i="20" s="1"/>
  <c r="S62" i="20" s="1"/>
  <c r="S63" i="20" s="1"/>
  <c r="S64" i="20" s="1"/>
  <c r="S65" i="20" s="1"/>
  <c r="S66" i="20" s="1"/>
  <c r="S67" i="20" s="1"/>
  <c r="S68" i="20" s="1"/>
  <c r="S69" i="20" s="1"/>
  <c r="S70" i="20" s="1"/>
  <c r="S71" i="20" s="1"/>
  <c r="S72" i="20" s="1"/>
  <c r="S73" i="20" s="1"/>
  <c r="S74" i="20" s="1"/>
  <c r="S75" i="20" s="1"/>
  <c r="S76" i="20" s="1"/>
  <c r="S77" i="20" s="1"/>
  <c r="S78" i="20" s="1"/>
  <c r="S79" i="20" s="1"/>
  <c r="S80" i="20" s="1"/>
  <c r="S81" i="20" s="1"/>
  <c r="S82" i="20" s="1"/>
  <c r="S83" i="20" s="1"/>
  <c r="S84" i="20" s="1"/>
  <c r="S85" i="20" s="1"/>
  <c r="S86" i="20" s="1"/>
  <c r="S87" i="20" s="1"/>
  <c r="S88" i="20" s="1"/>
  <c r="S89" i="20" s="1"/>
  <c r="S90" i="20" s="1"/>
  <c r="S91" i="20" s="1"/>
  <c r="S92" i="20" s="1"/>
  <c r="S93" i="20" s="1"/>
  <c r="S94" i="20" s="1"/>
  <c r="S95" i="20" s="1"/>
  <c r="S96" i="20" s="1"/>
  <c r="S97" i="20" s="1"/>
  <c r="S98" i="20" s="1"/>
  <c r="S99" i="20" s="1"/>
  <c r="S100" i="20" s="1"/>
  <c r="S101" i="20" s="1"/>
  <c r="S102" i="20" s="1"/>
  <c r="S103" i="20" s="1"/>
  <c r="S104" i="20" s="1"/>
  <c r="S105" i="20" s="1"/>
  <c r="S106" i="20" s="1"/>
  <c r="S107" i="20" s="1"/>
  <c r="S108" i="20" s="1"/>
  <c r="S109" i="20" s="1"/>
  <c r="S110" i="20" s="1"/>
  <c r="S111" i="20" s="1"/>
  <c r="S112" i="20" s="1"/>
  <c r="S113" i="20" s="1"/>
  <c r="S114" i="20" s="1"/>
  <c r="S115" i="20" s="1"/>
  <c r="S116" i="20" s="1"/>
  <c r="S117" i="20" s="1"/>
  <c r="S118" i="20" s="1"/>
  <c r="S119" i="20" s="1"/>
  <c r="S120" i="20" s="1"/>
  <c r="S121" i="20" s="1"/>
  <c r="S122" i="20" s="1"/>
  <c r="S123" i="20" s="1"/>
  <c r="S124" i="20" s="1"/>
  <c r="S125" i="20" s="1"/>
  <c r="S126" i="20" s="1"/>
  <c r="S127" i="20" s="1"/>
  <c r="S128" i="20" s="1"/>
  <c r="S129" i="20" s="1"/>
  <c r="S130" i="20" s="1"/>
  <c r="S131" i="20" s="1"/>
  <c r="S132" i="20" s="1"/>
  <c r="S133" i="20" s="1"/>
  <c r="S134" i="20" s="1"/>
  <c r="S135" i="20" s="1"/>
  <c r="S136" i="20" s="1"/>
  <c r="S137" i="20" s="1"/>
  <c r="S138" i="20" s="1"/>
  <c r="S139" i="20" s="1"/>
  <c r="S140" i="20" s="1"/>
  <c r="S141" i="20" s="1"/>
  <c r="S142" i="20" s="1"/>
  <c r="S143" i="20" s="1"/>
  <c r="S144" i="20" s="1"/>
  <c r="S145" i="20" s="1"/>
  <c r="S146" i="20" s="1"/>
  <c r="S147" i="20" s="1"/>
  <c r="S148" i="20" s="1"/>
  <c r="S149" i="20" s="1"/>
  <c r="S150" i="20" s="1"/>
  <c r="S151" i="20" s="1"/>
  <c r="S152" i="20" s="1"/>
  <c r="S153" i="20" s="1"/>
  <c r="S154" i="20" s="1"/>
  <c r="S155" i="20" s="1"/>
  <c r="S156" i="20" s="1"/>
  <c r="S157" i="20" s="1"/>
  <c r="S158" i="20" s="1"/>
  <c r="S159" i="20" s="1"/>
  <c r="S160" i="20" s="1"/>
  <c r="S161" i="20" s="1"/>
  <c r="S162" i="20" s="1"/>
  <c r="S163" i="20" s="1"/>
  <c r="S164" i="20" s="1"/>
  <c r="S165" i="20" s="1"/>
  <c r="S166" i="20" s="1"/>
  <c r="S167" i="20" s="1"/>
  <c r="S168" i="20" s="1"/>
  <c r="S169" i="20" s="1"/>
  <c r="S170" i="20" s="1"/>
  <c r="S171" i="20" s="1"/>
  <c r="S172" i="20" s="1"/>
  <c r="S173" i="20" s="1"/>
  <c r="S174" i="20" s="1"/>
  <c r="S175" i="20" s="1"/>
  <c r="S176" i="20" s="1"/>
  <c r="S177" i="20" s="1"/>
  <c r="S178" i="20" s="1"/>
  <c r="S179" i="20" s="1"/>
  <c r="S180" i="20" s="1"/>
  <c r="S181" i="20" s="1"/>
  <c r="S182" i="20" s="1"/>
  <c r="S183" i="20" s="1"/>
  <c r="S184" i="20" s="1"/>
  <c r="S185" i="20" s="1"/>
  <c r="S186" i="20" s="1"/>
  <c r="S187" i="20" s="1"/>
  <c r="S188" i="20" s="1"/>
  <c r="S189" i="20" s="1"/>
  <c r="S190" i="20" s="1"/>
  <c r="S191" i="20" s="1"/>
  <c r="S192" i="20" s="1"/>
  <c r="S193" i="20" s="1"/>
  <c r="S194" i="20" s="1"/>
  <c r="S195" i="20" s="1"/>
  <c r="S196" i="20" s="1"/>
  <c r="S197" i="20" s="1"/>
  <c r="S198" i="20" s="1"/>
  <c r="S199" i="20" s="1"/>
  <c r="S200" i="20" s="1"/>
  <c r="S201" i="20" s="1"/>
  <c r="S202" i="20" s="1"/>
  <c r="S203" i="20" s="1"/>
  <c r="S204" i="20" s="1"/>
  <c r="S205" i="20" s="1"/>
  <c r="S206" i="20" s="1"/>
  <c r="S207" i="20" s="1"/>
  <c r="S208" i="20" s="1"/>
  <c r="S209" i="20" s="1"/>
  <c r="S210" i="20" s="1"/>
  <c r="S211" i="20" s="1"/>
  <c r="S212" i="20" s="1"/>
  <c r="S213" i="20" s="1"/>
  <c r="S214" i="20" s="1"/>
  <c r="S215" i="20" s="1"/>
  <c r="S216" i="20" s="1"/>
  <c r="S217" i="20" s="1"/>
  <c r="S218" i="20" s="1"/>
  <c r="S219" i="20" s="1"/>
  <c r="S220" i="20" s="1"/>
  <c r="S221" i="20" s="1"/>
  <c r="S222" i="20" s="1"/>
  <c r="S223" i="20" s="1"/>
  <c r="S224" i="20" s="1"/>
  <c r="S225" i="20" s="1"/>
  <c r="S226" i="20" s="1"/>
  <c r="S227" i="20" s="1"/>
  <c r="S228" i="20" s="1"/>
  <c r="S229" i="20" s="1"/>
  <c r="S230" i="20" s="1"/>
  <c r="S231" i="20" s="1"/>
  <c r="S50" i="22" l="1"/>
  <c r="S51" i="22" s="1"/>
  <c r="S52" i="22" s="1"/>
  <c r="S53" i="22" s="1"/>
  <c r="S54" i="22" s="1"/>
  <c r="S55" i="22" s="1"/>
  <c r="S56" i="22" s="1"/>
  <c r="S57" i="22" s="1"/>
  <c r="S58" i="22" s="1"/>
  <c r="S59" i="22" s="1"/>
  <c r="S60" i="22" s="1"/>
  <c r="S61" i="22" s="1"/>
  <c r="S62" i="22" s="1"/>
  <c r="S63" i="22" s="1"/>
  <c r="S64" i="22" s="1"/>
  <c r="S65" i="22" s="1"/>
  <c r="S66" i="22" s="1"/>
  <c r="S67" i="22" s="1"/>
  <c r="S68" i="22" s="1"/>
  <c r="S69" i="22" s="1"/>
  <c r="S70" i="22" s="1"/>
  <c r="S71" i="22" s="1"/>
  <c r="S232" i="20"/>
  <c r="S233" i="20" s="1"/>
  <c r="S234" i="20" s="1"/>
  <c r="S235" i="20" s="1"/>
  <c r="AB98" i="19"/>
  <c r="Y98" i="19"/>
  <c r="R98" i="19"/>
  <c r="Q98" i="19"/>
  <c r="N98" i="19"/>
  <c r="C98" i="19"/>
  <c r="C99" i="19" l="1"/>
  <c r="C100" i="19"/>
  <c r="C101" i="19"/>
  <c r="N99" i="19"/>
  <c r="N100" i="19"/>
  <c r="N101" i="19"/>
  <c r="Q99" i="19"/>
  <c r="Q100" i="19"/>
  <c r="Q101" i="19"/>
  <c r="R99" i="19"/>
  <c r="R100" i="19"/>
  <c r="R101" i="19"/>
  <c r="Y99" i="19"/>
  <c r="Y100" i="19"/>
  <c r="Y101" i="19"/>
  <c r="AB99" i="19"/>
  <c r="AB100" i="19"/>
  <c r="AB101" i="19"/>
  <c r="C90" i="19"/>
  <c r="C91" i="19"/>
  <c r="C92" i="19"/>
  <c r="C93" i="19"/>
  <c r="C94" i="19"/>
  <c r="C95" i="19"/>
  <c r="C96" i="19"/>
  <c r="C97" i="19"/>
  <c r="N90" i="19"/>
  <c r="N91" i="19"/>
  <c r="N92" i="19"/>
  <c r="N93" i="19"/>
  <c r="N94" i="19"/>
  <c r="N95" i="19"/>
  <c r="N96" i="19"/>
  <c r="N97" i="19"/>
  <c r="Q90" i="19"/>
  <c r="Q91" i="19"/>
  <c r="Q92" i="19"/>
  <c r="Q93" i="19"/>
  <c r="Q94" i="19"/>
  <c r="Q95" i="19"/>
  <c r="Q96" i="19"/>
  <c r="Q97" i="19"/>
  <c r="R90" i="19"/>
  <c r="R91" i="19"/>
  <c r="R92" i="19"/>
  <c r="R93" i="19"/>
  <c r="R94" i="19"/>
  <c r="R95" i="19"/>
  <c r="R96" i="19"/>
  <c r="R97" i="19"/>
  <c r="Y90" i="19"/>
  <c r="Y91" i="19"/>
  <c r="Y92" i="19"/>
  <c r="Y93" i="19"/>
  <c r="Y94" i="19"/>
  <c r="Y95" i="19"/>
  <c r="Y96" i="19"/>
  <c r="Y97" i="19"/>
  <c r="AB90" i="19"/>
  <c r="AB91" i="19"/>
  <c r="AB92" i="19"/>
  <c r="AB93" i="19"/>
  <c r="AB94" i="19"/>
  <c r="AB95" i="19"/>
  <c r="AB96" i="19"/>
  <c r="AB97" i="19"/>
  <c r="Y5" i="19"/>
  <c r="Y6" i="19"/>
  <c r="Y7" i="19"/>
  <c r="Y8" i="19"/>
  <c r="Y9" i="19"/>
  <c r="Y10" i="19"/>
  <c r="Y11" i="19"/>
  <c r="Y12" i="19"/>
  <c r="Y13" i="19"/>
  <c r="Y14" i="19"/>
  <c r="Y15" i="19"/>
  <c r="Y16" i="19"/>
  <c r="Y17" i="19"/>
  <c r="Y18" i="19"/>
  <c r="Y19" i="19"/>
  <c r="Y20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34" i="19"/>
  <c r="Y35" i="19"/>
  <c r="Y36" i="19"/>
  <c r="Y37" i="19"/>
  <c r="Y38" i="19"/>
  <c r="Y39" i="19"/>
  <c r="Y40" i="19"/>
  <c r="Y41" i="19"/>
  <c r="Y42" i="19"/>
  <c r="Y43" i="19"/>
  <c r="Y44" i="19"/>
  <c r="Y45" i="19"/>
  <c r="Y46" i="19"/>
  <c r="Y47" i="19"/>
  <c r="Y48" i="19"/>
  <c r="Y49" i="19"/>
  <c r="Y50" i="19"/>
  <c r="Y51" i="19"/>
  <c r="Y52" i="19"/>
  <c r="Y53" i="19"/>
  <c r="Y54" i="19"/>
  <c r="Y55" i="19"/>
  <c r="Y56" i="19"/>
  <c r="Y57" i="19"/>
  <c r="Y58" i="19"/>
  <c r="Y59" i="19"/>
  <c r="Y60" i="19"/>
  <c r="Y61" i="19"/>
  <c r="Y62" i="19"/>
  <c r="Y63" i="19"/>
  <c r="Y64" i="19"/>
  <c r="Y65" i="19"/>
  <c r="Y66" i="19"/>
  <c r="Y67" i="19"/>
  <c r="Y68" i="19"/>
  <c r="Y69" i="19"/>
  <c r="Y70" i="19"/>
  <c r="Y71" i="19"/>
  <c r="Y72" i="19"/>
  <c r="Y73" i="19"/>
  <c r="Y74" i="19"/>
  <c r="Y75" i="19"/>
  <c r="Y76" i="19"/>
  <c r="Y77" i="19"/>
  <c r="Y78" i="19"/>
  <c r="Y79" i="19"/>
  <c r="Y80" i="19"/>
  <c r="Y81" i="19"/>
  <c r="Y82" i="19"/>
  <c r="Y83" i="19"/>
  <c r="Y84" i="19"/>
  <c r="Y85" i="19"/>
  <c r="Y86" i="19"/>
  <c r="Y87" i="19"/>
  <c r="Y88" i="19"/>
  <c r="Y89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Q88" i="19"/>
  <c r="Q89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60" i="19"/>
  <c r="R61" i="19"/>
  <c r="R62" i="19"/>
  <c r="R63" i="19"/>
  <c r="R64" i="19"/>
  <c r="R65" i="19"/>
  <c r="R66" i="19"/>
  <c r="R67" i="19"/>
  <c r="R68" i="19"/>
  <c r="R69" i="19"/>
  <c r="R70" i="19"/>
  <c r="R71" i="19"/>
  <c r="R72" i="19"/>
  <c r="R73" i="19"/>
  <c r="R74" i="19"/>
  <c r="R75" i="19"/>
  <c r="R76" i="19"/>
  <c r="R77" i="19"/>
  <c r="R78" i="19"/>
  <c r="R79" i="19"/>
  <c r="R80" i="19"/>
  <c r="R81" i="19"/>
  <c r="R82" i="19"/>
  <c r="R83" i="19"/>
  <c r="R84" i="19"/>
  <c r="R85" i="19"/>
  <c r="R86" i="19"/>
  <c r="R87" i="19"/>
  <c r="R88" i="19"/>
  <c r="R89" i="19"/>
  <c r="AB6" i="19"/>
  <c r="AB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37" i="19"/>
  <c r="AB38" i="19"/>
  <c r="AB39" i="19"/>
  <c r="AB40" i="19"/>
  <c r="AB41" i="19"/>
  <c r="AB42" i="19"/>
  <c r="AB43" i="19"/>
  <c r="AB44" i="19"/>
  <c r="AB45" i="19"/>
  <c r="AB46" i="19"/>
  <c r="AB47" i="19"/>
  <c r="AB48" i="19"/>
  <c r="AB49" i="19"/>
  <c r="AB50" i="19"/>
  <c r="AB51" i="19"/>
  <c r="AB52" i="19"/>
  <c r="AB53" i="19"/>
  <c r="AB54" i="19"/>
  <c r="AB55" i="19"/>
  <c r="AB56" i="19"/>
  <c r="AB57" i="19"/>
  <c r="AB58" i="19"/>
  <c r="AB59" i="19"/>
  <c r="AB60" i="19"/>
  <c r="AB61" i="19"/>
  <c r="AB62" i="19"/>
  <c r="AB63" i="19"/>
  <c r="AB64" i="19"/>
  <c r="AB65" i="19"/>
  <c r="AB66" i="19"/>
  <c r="AB67" i="19"/>
  <c r="AB68" i="19"/>
  <c r="AB69" i="19"/>
  <c r="AB70" i="19"/>
  <c r="AB71" i="19"/>
  <c r="AB72" i="19"/>
  <c r="AB73" i="19"/>
  <c r="AB74" i="19"/>
  <c r="AB75" i="19"/>
  <c r="AB76" i="19"/>
  <c r="AB77" i="19"/>
  <c r="AB78" i="19"/>
  <c r="AB79" i="19"/>
  <c r="AB80" i="19"/>
  <c r="AB81" i="19"/>
  <c r="AB82" i="19"/>
  <c r="AB83" i="19"/>
  <c r="AB84" i="19"/>
  <c r="AB85" i="19"/>
  <c r="AB86" i="19"/>
  <c r="AB87" i="19"/>
  <c r="AB88" i="19"/>
  <c r="AB89" i="19"/>
  <c r="C5" i="19"/>
  <c r="AB5" i="19"/>
  <c r="R5" i="19"/>
  <c r="Q5" i="19"/>
  <c r="S5" i="19" s="1"/>
  <c r="N5" i="19"/>
  <c r="S6" i="19" l="1"/>
  <c r="S7" i="19" s="1"/>
  <c r="S8" i="19" s="1"/>
  <c r="S9" i="19" s="1"/>
  <c r="S10" i="19" s="1"/>
  <c r="S11" i="19" s="1"/>
  <c r="S12" i="19" s="1"/>
  <c r="S13" i="19" s="1"/>
  <c r="S14" i="19" s="1"/>
  <c r="S15" i="19" s="1"/>
  <c r="S16" i="19" s="1"/>
  <c r="S17" i="19" s="1"/>
  <c r="S18" i="19" s="1"/>
  <c r="S19" i="19" s="1"/>
  <c r="S20" i="19" s="1"/>
  <c r="S21" i="19" s="1"/>
  <c r="S22" i="19" s="1"/>
  <c r="S23" i="19" s="1"/>
  <c r="S24" i="19" s="1"/>
  <c r="S25" i="19" s="1"/>
  <c r="S26" i="19" s="1"/>
  <c r="S27" i="19" s="1"/>
  <c r="S28" i="19" s="1"/>
  <c r="S29" i="19" s="1"/>
  <c r="S30" i="19" s="1"/>
  <c r="S31" i="19" s="1"/>
  <c r="S32" i="19" s="1"/>
  <c r="S33" i="19" s="1"/>
  <c r="S34" i="19" s="1"/>
  <c r="S35" i="19" s="1"/>
  <c r="S36" i="19" s="1"/>
  <c r="S37" i="19" s="1"/>
  <c r="S38" i="19" s="1"/>
  <c r="S39" i="19" s="1"/>
  <c r="S40" i="19" s="1"/>
  <c r="S41" i="19" s="1"/>
  <c r="S42" i="19" s="1"/>
  <c r="S43" i="19" s="1"/>
  <c r="S44" i="19" s="1"/>
  <c r="S45" i="19" s="1"/>
  <c r="S46" i="19" s="1"/>
  <c r="S47" i="19" s="1"/>
  <c r="S48" i="19" s="1"/>
  <c r="S49" i="19" s="1"/>
  <c r="S50" i="19" s="1"/>
  <c r="S51" i="19" s="1"/>
  <c r="S52" i="19" s="1"/>
  <c r="S53" i="19" s="1"/>
  <c r="S54" i="19" s="1"/>
  <c r="S55" i="19" s="1"/>
  <c r="S56" i="19" s="1"/>
  <c r="S57" i="19" s="1"/>
  <c r="S58" i="19" s="1"/>
  <c r="S59" i="19" s="1"/>
  <c r="S60" i="19" s="1"/>
  <c r="S61" i="19" s="1"/>
  <c r="S62" i="19" s="1"/>
  <c r="S63" i="19" s="1"/>
  <c r="S64" i="19" s="1"/>
  <c r="S65" i="19" s="1"/>
  <c r="S66" i="19" s="1"/>
  <c r="S67" i="19" s="1"/>
  <c r="S68" i="19" s="1"/>
  <c r="S69" i="19" s="1"/>
  <c r="S70" i="19" s="1"/>
  <c r="S71" i="19" s="1"/>
  <c r="S72" i="19" s="1"/>
  <c r="S73" i="19" s="1"/>
  <c r="S74" i="19" s="1"/>
  <c r="S75" i="19" s="1"/>
  <c r="S76" i="19" s="1"/>
  <c r="S77" i="19" s="1"/>
  <c r="S78" i="19" s="1"/>
  <c r="S79" i="19" s="1"/>
  <c r="S80" i="19" s="1"/>
  <c r="S81" i="19" s="1"/>
  <c r="S82" i="19" s="1"/>
  <c r="S83" i="19" s="1"/>
  <c r="S84" i="19" s="1"/>
  <c r="S85" i="19" s="1"/>
  <c r="S86" i="19" s="1"/>
  <c r="S87" i="19" s="1"/>
  <c r="S88" i="19" s="1"/>
  <c r="S89" i="19" s="1"/>
  <c r="S90" i="19" s="1"/>
  <c r="S91" i="19" s="1"/>
  <c r="S92" i="19" s="1"/>
  <c r="S93" i="19" s="1"/>
  <c r="S94" i="19" s="1"/>
  <c r="S95" i="19" s="1"/>
  <c r="S96" i="19" s="1"/>
  <c r="S97" i="19" s="1"/>
  <c r="S98" i="19" s="1"/>
  <c r="S99" i="19" s="1"/>
  <c r="S100" i="19" s="1"/>
  <c r="S101" i="19" s="1"/>
  <c r="S102" i="19" s="1"/>
  <c r="S103" i="19" s="1"/>
  <c r="S104" i="19" s="1"/>
  <c r="S105" i="19" s="1"/>
  <c r="S106" i="19" s="1"/>
  <c r="S107" i="19" s="1"/>
  <c r="S108" i="19" s="1"/>
  <c r="S109" i="19" s="1"/>
  <c r="S110" i="19" s="1"/>
  <c r="S111" i="19" s="1"/>
  <c r="S112" i="19" s="1"/>
  <c r="S113" i="19" s="1"/>
  <c r="S114" i="19" s="1"/>
  <c r="S115" i="19" s="1"/>
  <c r="S116" i="19" s="1"/>
  <c r="S117" i="19" s="1"/>
  <c r="AB364" i="18"/>
  <c r="Y364" i="18"/>
  <c r="R364" i="18"/>
  <c r="N364" i="18"/>
  <c r="C364" i="18"/>
  <c r="Y5" i="18"/>
  <c r="Y6" i="18"/>
  <c r="Y7" i="18"/>
  <c r="Y8" i="18"/>
  <c r="Y9" i="18"/>
  <c r="Y10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Y51" i="18"/>
  <c r="Y52" i="18"/>
  <c r="Y53" i="18"/>
  <c r="Y54" i="18"/>
  <c r="Y55" i="18"/>
  <c r="Y56" i="18"/>
  <c r="Y57" i="18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Y98" i="18"/>
  <c r="Y99" i="18"/>
  <c r="Y100" i="18"/>
  <c r="Y101" i="18"/>
  <c r="Y102" i="18"/>
  <c r="Y103" i="18"/>
  <c r="Y104" i="18"/>
  <c r="Y105" i="18"/>
  <c r="Y106" i="18"/>
  <c r="Y107" i="18"/>
  <c r="Y108" i="18"/>
  <c r="Y109" i="18"/>
  <c r="Y110" i="18"/>
  <c r="Y111" i="18"/>
  <c r="Y112" i="18"/>
  <c r="Y113" i="18"/>
  <c r="Y114" i="18"/>
  <c r="Y115" i="18"/>
  <c r="Y116" i="18"/>
  <c r="Y117" i="18"/>
  <c r="Y118" i="18"/>
  <c r="Y119" i="18"/>
  <c r="Y120" i="18"/>
  <c r="Y121" i="18"/>
  <c r="Y122" i="18"/>
  <c r="Y123" i="18"/>
  <c r="Y124" i="18"/>
  <c r="Y125" i="18"/>
  <c r="Y126" i="18"/>
  <c r="Y127" i="18"/>
  <c r="Y128" i="18"/>
  <c r="Y129" i="18"/>
  <c r="Y130" i="18"/>
  <c r="Y131" i="18"/>
  <c r="Y132" i="18"/>
  <c r="Y133" i="18"/>
  <c r="Y134" i="18"/>
  <c r="Y135" i="18"/>
  <c r="Y136" i="18"/>
  <c r="Y137" i="18"/>
  <c r="Y138" i="18"/>
  <c r="Y139" i="18"/>
  <c r="Y140" i="18"/>
  <c r="Y141" i="18"/>
  <c r="Y142" i="18"/>
  <c r="Y143" i="18"/>
  <c r="Y144" i="18"/>
  <c r="Y145" i="18"/>
  <c r="Y146" i="18"/>
  <c r="Y147" i="18"/>
  <c r="Y148" i="18"/>
  <c r="Y149" i="18"/>
  <c r="Y150" i="18"/>
  <c r="Y151" i="18"/>
  <c r="Y152" i="18"/>
  <c r="Y153" i="18"/>
  <c r="Y154" i="18"/>
  <c r="Y155" i="18"/>
  <c r="Y156" i="18"/>
  <c r="Y157" i="18"/>
  <c r="Y158" i="18"/>
  <c r="Y159" i="18"/>
  <c r="Y160" i="18"/>
  <c r="Y161" i="18"/>
  <c r="Y162" i="18"/>
  <c r="Y163" i="18"/>
  <c r="Y164" i="18"/>
  <c r="Y165" i="18"/>
  <c r="Y166" i="18"/>
  <c r="Y167" i="18"/>
  <c r="Y168" i="18"/>
  <c r="Y169" i="18"/>
  <c r="Y170" i="18"/>
  <c r="Y171" i="18"/>
  <c r="Y172" i="18"/>
  <c r="Y173" i="18"/>
  <c r="Y174" i="18"/>
  <c r="Y175" i="18"/>
  <c r="Y176" i="18"/>
  <c r="Y177" i="18"/>
  <c r="Y178" i="18"/>
  <c r="Y179" i="18"/>
  <c r="Y180" i="18"/>
  <c r="Y181" i="18"/>
  <c r="Y182" i="18"/>
  <c r="Y183" i="18"/>
  <c r="Y184" i="18"/>
  <c r="Y185" i="18"/>
  <c r="Y186" i="18"/>
  <c r="Y187" i="18"/>
  <c r="Y188" i="18"/>
  <c r="Y189" i="18"/>
  <c r="Y190" i="18"/>
  <c r="Y191" i="18"/>
  <c r="Y192" i="18"/>
  <c r="Y193" i="18"/>
  <c r="Y194" i="18"/>
  <c r="Y195" i="18"/>
  <c r="Y196" i="18"/>
  <c r="Y197" i="18"/>
  <c r="Y198" i="18"/>
  <c r="Y199" i="18"/>
  <c r="Y200" i="18"/>
  <c r="Y201" i="18"/>
  <c r="Y202" i="18"/>
  <c r="Y203" i="18"/>
  <c r="Y204" i="18"/>
  <c r="Y205" i="18"/>
  <c r="Y206" i="18"/>
  <c r="Y207" i="18"/>
  <c r="Y208" i="18"/>
  <c r="Y209" i="18"/>
  <c r="Y210" i="18"/>
  <c r="Y211" i="18"/>
  <c r="Y212" i="18"/>
  <c r="Y213" i="18"/>
  <c r="Y214" i="18"/>
  <c r="Y215" i="18"/>
  <c r="Y216" i="18"/>
  <c r="Y217" i="18"/>
  <c r="Y218" i="18"/>
  <c r="Y219" i="18"/>
  <c r="Y220" i="18"/>
  <c r="Y221" i="18"/>
  <c r="Y222" i="18"/>
  <c r="Y223" i="18"/>
  <c r="Y224" i="18"/>
  <c r="Y225" i="18"/>
  <c r="Y226" i="18"/>
  <c r="Y227" i="18"/>
  <c r="Y228" i="18"/>
  <c r="Y229" i="18"/>
  <c r="Y230" i="18"/>
  <c r="Y231" i="18"/>
  <c r="Y232" i="18"/>
  <c r="Y233" i="18"/>
  <c r="Y234" i="18"/>
  <c r="Y235" i="18"/>
  <c r="Y236" i="18"/>
  <c r="Y237" i="18"/>
  <c r="Y238" i="18"/>
  <c r="Y239" i="18"/>
  <c r="Y240" i="18"/>
  <c r="Y241" i="18"/>
  <c r="Y242" i="18"/>
  <c r="Y243" i="18"/>
  <c r="Y244" i="18"/>
  <c r="Y245" i="18"/>
  <c r="Y246" i="18"/>
  <c r="Y247" i="18"/>
  <c r="Y248" i="18"/>
  <c r="Y249" i="18"/>
  <c r="Y250" i="18"/>
  <c r="Y251" i="18"/>
  <c r="Y252" i="18"/>
  <c r="Y253" i="18"/>
  <c r="Y254" i="18"/>
  <c r="Y255" i="18"/>
  <c r="Y256" i="18"/>
  <c r="Y257" i="18"/>
  <c r="Y258" i="18"/>
  <c r="Y259" i="18"/>
  <c r="Y260" i="18"/>
  <c r="Y261" i="18"/>
  <c r="Y262" i="18"/>
  <c r="Y263" i="18"/>
  <c r="Y264" i="18"/>
  <c r="Y265" i="18"/>
  <c r="Y266" i="18"/>
  <c r="Y267" i="18"/>
  <c r="Y268" i="18"/>
  <c r="Y269" i="18"/>
  <c r="Y270" i="18"/>
  <c r="Y271" i="18"/>
  <c r="Y272" i="18"/>
  <c r="Y273" i="18"/>
  <c r="Y274" i="18"/>
  <c r="Y275" i="18"/>
  <c r="Y276" i="18"/>
  <c r="Y277" i="18"/>
  <c r="Y278" i="18"/>
  <c r="Y279" i="18"/>
  <c r="Y280" i="18"/>
  <c r="Y281" i="18"/>
  <c r="Y282" i="18"/>
  <c r="Y283" i="18"/>
  <c r="Y284" i="18"/>
  <c r="Y285" i="18"/>
  <c r="Y286" i="18"/>
  <c r="Y287" i="18"/>
  <c r="Y288" i="18"/>
  <c r="Y289" i="18"/>
  <c r="Y290" i="18"/>
  <c r="Y291" i="18"/>
  <c r="Y292" i="18"/>
  <c r="Y293" i="18"/>
  <c r="Y294" i="18"/>
  <c r="Y295" i="18"/>
  <c r="Y296" i="18"/>
  <c r="Y297" i="18"/>
  <c r="Y298" i="18"/>
  <c r="Y299" i="18"/>
  <c r="Y300" i="18"/>
  <c r="Y301" i="18"/>
  <c r="Y302" i="18"/>
  <c r="Y303" i="18"/>
  <c r="Y304" i="18"/>
  <c r="Y305" i="18"/>
  <c r="Y306" i="18"/>
  <c r="Y307" i="18"/>
  <c r="Y308" i="18"/>
  <c r="Y309" i="18"/>
  <c r="Y310" i="18"/>
  <c r="Y311" i="18"/>
  <c r="Y312" i="18"/>
  <c r="Y313" i="18"/>
  <c r="Y314" i="18"/>
  <c r="Y315" i="18"/>
  <c r="Y316" i="18"/>
  <c r="Y317" i="18"/>
  <c r="Y318" i="18"/>
  <c r="Y319" i="18"/>
  <c r="Y320" i="18"/>
  <c r="Y321" i="18"/>
  <c r="Y322" i="18"/>
  <c r="Y323" i="18"/>
  <c r="Y324" i="18"/>
  <c r="Y325" i="18"/>
  <c r="Y326" i="18"/>
  <c r="Y327" i="18"/>
  <c r="Y328" i="18"/>
  <c r="Y329" i="18"/>
  <c r="Y330" i="18"/>
  <c r="Y331" i="18"/>
  <c r="Y332" i="18"/>
  <c r="Y333" i="18"/>
  <c r="Y334" i="18"/>
  <c r="Y335" i="18"/>
  <c r="Y336" i="18"/>
  <c r="Y337" i="18"/>
  <c r="Y338" i="18"/>
  <c r="Y339" i="18"/>
  <c r="Y340" i="18"/>
  <c r="Y341" i="18"/>
  <c r="Y342" i="18"/>
  <c r="Y343" i="18"/>
  <c r="Y344" i="18"/>
  <c r="Y345" i="18"/>
  <c r="Y346" i="18"/>
  <c r="Y347" i="18"/>
  <c r="Y348" i="18"/>
  <c r="Y349" i="18"/>
  <c r="Y350" i="18"/>
  <c r="Y351" i="18"/>
  <c r="Y352" i="18"/>
  <c r="Y353" i="18"/>
  <c r="Y354" i="18"/>
  <c r="Y355" i="18"/>
  <c r="Y356" i="18"/>
  <c r="Y357" i="18"/>
  <c r="Y358" i="18"/>
  <c r="Y359" i="18"/>
  <c r="Y360" i="18"/>
  <c r="Y361" i="18"/>
  <c r="Y362" i="18"/>
  <c r="Y363" i="18"/>
  <c r="C361" i="18"/>
  <c r="C362" i="18"/>
  <c r="C363" i="18"/>
  <c r="N361" i="18"/>
  <c r="N362" i="18"/>
  <c r="N363" i="18"/>
  <c r="R361" i="18"/>
  <c r="R362" i="18"/>
  <c r="R363" i="18"/>
  <c r="AB361" i="18"/>
  <c r="AB362" i="18"/>
  <c r="AB363" i="18"/>
  <c r="C359" i="18"/>
  <c r="C360" i="18"/>
  <c r="N359" i="18"/>
  <c r="N360" i="18"/>
  <c r="R359" i="18"/>
  <c r="R360" i="18"/>
  <c r="AB359" i="18"/>
  <c r="AB360" i="18"/>
  <c r="C358" i="18"/>
  <c r="N358" i="18"/>
  <c r="R358" i="18"/>
  <c r="AB358" i="18"/>
  <c r="C356" i="18"/>
  <c r="C357" i="18"/>
  <c r="N356" i="18"/>
  <c r="N357" i="18"/>
  <c r="R356" i="18"/>
  <c r="R357" i="18"/>
  <c r="AB356" i="18"/>
  <c r="AB357" i="18"/>
  <c r="C6" i="18" l="1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68" i="18"/>
  <c r="N169" i="18"/>
  <c r="N170" i="18"/>
  <c r="N171" i="18"/>
  <c r="N172" i="18"/>
  <c r="N173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99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N227" i="18"/>
  <c r="N228" i="18"/>
  <c r="N229" i="18"/>
  <c r="N230" i="18"/>
  <c r="N231" i="18"/>
  <c r="N232" i="18"/>
  <c r="N233" i="18"/>
  <c r="N234" i="18"/>
  <c r="N235" i="18"/>
  <c r="N236" i="18"/>
  <c r="N237" i="18"/>
  <c r="N238" i="18"/>
  <c r="N239" i="18"/>
  <c r="N240" i="18"/>
  <c r="N241" i="18"/>
  <c r="N242" i="18"/>
  <c r="N243" i="18"/>
  <c r="N244" i="18"/>
  <c r="N245" i="18"/>
  <c r="N246" i="18"/>
  <c r="N247" i="18"/>
  <c r="N248" i="18"/>
  <c r="N249" i="18"/>
  <c r="N250" i="18"/>
  <c r="N251" i="18"/>
  <c r="N252" i="18"/>
  <c r="N253" i="18"/>
  <c r="N254" i="18"/>
  <c r="N255" i="18"/>
  <c r="N256" i="18"/>
  <c r="N257" i="18"/>
  <c r="N258" i="18"/>
  <c r="N259" i="18"/>
  <c r="N260" i="18"/>
  <c r="N261" i="18"/>
  <c r="N262" i="18"/>
  <c r="N263" i="18"/>
  <c r="N264" i="18"/>
  <c r="N265" i="18"/>
  <c r="N266" i="18"/>
  <c r="N267" i="18"/>
  <c r="N268" i="18"/>
  <c r="N269" i="18"/>
  <c r="N270" i="18"/>
  <c r="N271" i="18"/>
  <c r="N272" i="18"/>
  <c r="N273" i="18"/>
  <c r="N274" i="18"/>
  <c r="N275" i="18"/>
  <c r="N276" i="18"/>
  <c r="N277" i="18"/>
  <c r="N278" i="18"/>
  <c r="N279" i="18"/>
  <c r="N280" i="18"/>
  <c r="N281" i="18"/>
  <c r="N282" i="18"/>
  <c r="N283" i="18"/>
  <c r="N284" i="18"/>
  <c r="N285" i="18"/>
  <c r="N286" i="18"/>
  <c r="N287" i="18"/>
  <c r="N288" i="18"/>
  <c r="N289" i="18"/>
  <c r="N290" i="18"/>
  <c r="N291" i="18"/>
  <c r="N292" i="18"/>
  <c r="N293" i="18"/>
  <c r="N294" i="18"/>
  <c r="N295" i="18"/>
  <c r="N296" i="18"/>
  <c r="N297" i="18"/>
  <c r="N298" i="18"/>
  <c r="N299" i="18"/>
  <c r="N300" i="18"/>
  <c r="N301" i="18"/>
  <c r="N302" i="18"/>
  <c r="N303" i="18"/>
  <c r="N304" i="18"/>
  <c r="N305" i="18"/>
  <c r="N306" i="18"/>
  <c r="N307" i="18"/>
  <c r="N308" i="18"/>
  <c r="N309" i="18"/>
  <c r="N310" i="18"/>
  <c r="N311" i="18"/>
  <c r="N312" i="18"/>
  <c r="N313" i="18"/>
  <c r="N314" i="18"/>
  <c r="N315" i="18"/>
  <c r="N316" i="18"/>
  <c r="N317" i="18"/>
  <c r="N318" i="18"/>
  <c r="N319" i="18"/>
  <c r="N320" i="18"/>
  <c r="N321" i="18"/>
  <c r="N322" i="18"/>
  <c r="N323" i="18"/>
  <c r="N324" i="18"/>
  <c r="N325" i="18"/>
  <c r="N326" i="18"/>
  <c r="N327" i="18"/>
  <c r="N328" i="18"/>
  <c r="N329" i="18"/>
  <c r="N330" i="18"/>
  <c r="N331" i="18"/>
  <c r="N332" i="18"/>
  <c r="N333" i="18"/>
  <c r="N334" i="18"/>
  <c r="N335" i="18"/>
  <c r="N336" i="18"/>
  <c r="N337" i="18"/>
  <c r="N338" i="18"/>
  <c r="N339" i="18"/>
  <c r="N340" i="18"/>
  <c r="N341" i="18"/>
  <c r="N342" i="18"/>
  <c r="N343" i="18"/>
  <c r="N344" i="18"/>
  <c r="N345" i="18"/>
  <c r="N346" i="18"/>
  <c r="N347" i="18"/>
  <c r="N348" i="18"/>
  <c r="N349" i="18"/>
  <c r="N350" i="18"/>
  <c r="N351" i="18"/>
  <c r="N352" i="18"/>
  <c r="N353" i="18"/>
  <c r="N354" i="18"/>
  <c r="N355" i="18"/>
  <c r="R6" i="18"/>
  <c r="S6" i="18" s="1"/>
  <c r="R7" i="18"/>
  <c r="R8" i="18"/>
  <c r="R9" i="18"/>
  <c r="R10" i="18"/>
  <c r="R11" i="18"/>
  <c r="R12" i="18"/>
  <c r="R13" i="18"/>
  <c r="R14" i="18"/>
  <c r="R15" i="18"/>
  <c r="R16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36" i="18"/>
  <c r="R37" i="18"/>
  <c r="R38" i="18"/>
  <c r="R39" i="18"/>
  <c r="R40" i="18"/>
  <c r="R41" i="18"/>
  <c r="R42" i="18"/>
  <c r="R43" i="18"/>
  <c r="R44" i="18"/>
  <c r="R45" i="18"/>
  <c r="R46" i="18"/>
  <c r="R47" i="18"/>
  <c r="R48" i="18"/>
  <c r="R49" i="18"/>
  <c r="R50" i="18"/>
  <c r="R51" i="18"/>
  <c r="R52" i="18"/>
  <c r="R53" i="18"/>
  <c r="R54" i="18"/>
  <c r="R55" i="18"/>
  <c r="R56" i="18"/>
  <c r="R57" i="18"/>
  <c r="R58" i="18"/>
  <c r="R59" i="18"/>
  <c r="R60" i="18"/>
  <c r="R61" i="18"/>
  <c r="R62" i="18"/>
  <c r="R63" i="18"/>
  <c r="R64" i="18"/>
  <c r="R65" i="18"/>
  <c r="R66" i="18"/>
  <c r="R67" i="18"/>
  <c r="R68" i="18"/>
  <c r="R69" i="18"/>
  <c r="R70" i="18"/>
  <c r="R71" i="18"/>
  <c r="R72" i="18"/>
  <c r="R73" i="18"/>
  <c r="R74" i="18"/>
  <c r="R75" i="18"/>
  <c r="R76" i="18"/>
  <c r="R77" i="18"/>
  <c r="R78" i="18"/>
  <c r="R79" i="18"/>
  <c r="R80" i="18"/>
  <c r="R81" i="18"/>
  <c r="R82" i="18"/>
  <c r="R83" i="18"/>
  <c r="R84" i="18"/>
  <c r="R85" i="18"/>
  <c r="R86" i="18"/>
  <c r="R87" i="18"/>
  <c r="R88" i="18"/>
  <c r="R89" i="18"/>
  <c r="R90" i="18"/>
  <c r="R91" i="18"/>
  <c r="R92" i="18"/>
  <c r="R93" i="18"/>
  <c r="R94" i="18"/>
  <c r="R95" i="18"/>
  <c r="R96" i="18"/>
  <c r="R97" i="18"/>
  <c r="R98" i="18"/>
  <c r="R99" i="18"/>
  <c r="R100" i="18"/>
  <c r="R101" i="18"/>
  <c r="R102" i="18"/>
  <c r="R103" i="18"/>
  <c r="R104" i="18"/>
  <c r="R105" i="18"/>
  <c r="R106" i="18"/>
  <c r="R107" i="18"/>
  <c r="R108" i="18"/>
  <c r="R109" i="18"/>
  <c r="R110" i="18"/>
  <c r="R111" i="18"/>
  <c r="R112" i="18"/>
  <c r="R113" i="18"/>
  <c r="R114" i="18"/>
  <c r="R115" i="18"/>
  <c r="R116" i="18"/>
  <c r="R117" i="18"/>
  <c r="R118" i="18"/>
  <c r="R119" i="18"/>
  <c r="R120" i="18"/>
  <c r="R121" i="18"/>
  <c r="R122" i="18"/>
  <c r="R123" i="18"/>
  <c r="R124" i="18"/>
  <c r="R125" i="18"/>
  <c r="R126" i="18"/>
  <c r="R127" i="18"/>
  <c r="R128" i="18"/>
  <c r="R129" i="18"/>
  <c r="R130" i="18"/>
  <c r="R131" i="18"/>
  <c r="R132" i="18"/>
  <c r="R133" i="18"/>
  <c r="R134" i="18"/>
  <c r="R135" i="18"/>
  <c r="R136" i="18"/>
  <c r="R137" i="18"/>
  <c r="R138" i="18"/>
  <c r="R139" i="18"/>
  <c r="R140" i="18"/>
  <c r="R141" i="18"/>
  <c r="R142" i="18"/>
  <c r="R143" i="18"/>
  <c r="R144" i="18"/>
  <c r="R145" i="18"/>
  <c r="R146" i="18"/>
  <c r="R147" i="18"/>
  <c r="R148" i="18"/>
  <c r="R149" i="18"/>
  <c r="R150" i="18"/>
  <c r="R151" i="18"/>
  <c r="R152" i="18"/>
  <c r="R153" i="18"/>
  <c r="R154" i="18"/>
  <c r="R155" i="18"/>
  <c r="R156" i="18"/>
  <c r="R157" i="18"/>
  <c r="R158" i="18"/>
  <c r="R159" i="18"/>
  <c r="R160" i="18"/>
  <c r="R161" i="18"/>
  <c r="R162" i="18"/>
  <c r="R163" i="18"/>
  <c r="R164" i="18"/>
  <c r="R165" i="18"/>
  <c r="R166" i="18"/>
  <c r="R167" i="18"/>
  <c r="R168" i="18"/>
  <c r="R169" i="18"/>
  <c r="R170" i="18"/>
  <c r="R171" i="18"/>
  <c r="R172" i="18"/>
  <c r="R173" i="18"/>
  <c r="R174" i="18"/>
  <c r="R175" i="18"/>
  <c r="R176" i="18"/>
  <c r="R177" i="18"/>
  <c r="R178" i="18"/>
  <c r="R179" i="18"/>
  <c r="R180" i="18"/>
  <c r="R181" i="18"/>
  <c r="R182" i="18"/>
  <c r="R183" i="18"/>
  <c r="R184" i="18"/>
  <c r="R185" i="18"/>
  <c r="R186" i="18"/>
  <c r="R187" i="18"/>
  <c r="R188" i="18"/>
  <c r="R189" i="18"/>
  <c r="R190" i="18"/>
  <c r="R191" i="18"/>
  <c r="R192" i="18"/>
  <c r="R193" i="18"/>
  <c r="R194" i="18"/>
  <c r="R195" i="18"/>
  <c r="R196" i="18"/>
  <c r="R197" i="18"/>
  <c r="R198" i="18"/>
  <c r="R199" i="18"/>
  <c r="R200" i="18"/>
  <c r="R201" i="18"/>
  <c r="R202" i="18"/>
  <c r="R203" i="18"/>
  <c r="R204" i="18"/>
  <c r="R205" i="18"/>
  <c r="R206" i="18"/>
  <c r="R207" i="18"/>
  <c r="R208" i="18"/>
  <c r="R209" i="18"/>
  <c r="R210" i="18"/>
  <c r="R211" i="18"/>
  <c r="R212" i="18"/>
  <c r="R213" i="18"/>
  <c r="R214" i="18"/>
  <c r="R215" i="18"/>
  <c r="R216" i="18"/>
  <c r="R217" i="18"/>
  <c r="R218" i="18"/>
  <c r="R219" i="18"/>
  <c r="R220" i="18"/>
  <c r="R221" i="18"/>
  <c r="R222" i="18"/>
  <c r="R223" i="18"/>
  <c r="R224" i="18"/>
  <c r="R225" i="18"/>
  <c r="R226" i="18"/>
  <c r="R227" i="18"/>
  <c r="R228" i="18"/>
  <c r="R229" i="18"/>
  <c r="R230" i="18"/>
  <c r="R231" i="18"/>
  <c r="R232" i="18"/>
  <c r="R233" i="18"/>
  <c r="R234" i="18"/>
  <c r="R235" i="18"/>
  <c r="R236" i="18"/>
  <c r="R237" i="18"/>
  <c r="R238" i="18"/>
  <c r="R239" i="18"/>
  <c r="R240" i="18"/>
  <c r="R241" i="18"/>
  <c r="R242" i="18"/>
  <c r="R243" i="18"/>
  <c r="R244" i="18"/>
  <c r="R245" i="18"/>
  <c r="R246" i="18"/>
  <c r="R247" i="18"/>
  <c r="R248" i="18"/>
  <c r="R249" i="18"/>
  <c r="R250" i="18"/>
  <c r="R251" i="18"/>
  <c r="R252" i="18"/>
  <c r="R253" i="18"/>
  <c r="R254" i="18"/>
  <c r="R255" i="18"/>
  <c r="R256" i="18"/>
  <c r="R257" i="18"/>
  <c r="R258" i="18"/>
  <c r="R259" i="18"/>
  <c r="R260" i="18"/>
  <c r="R261" i="18"/>
  <c r="R262" i="18"/>
  <c r="R263" i="18"/>
  <c r="R264" i="18"/>
  <c r="R265" i="18"/>
  <c r="R266" i="18"/>
  <c r="R267" i="18"/>
  <c r="R268" i="18"/>
  <c r="R269" i="18"/>
  <c r="R270" i="18"/>
  <c r="R271" i="18"/>
  <c r="R272" i="18"/>
  <c r="R273" i="18"/>
  <c r="R274" i="18"/>
  <c r="R275" i="18"/>
  <c r="R276" i="18"/>
  <c r="R277" i="18"/>
  <c r="R278" i="18"/>
  <c r="R279" i="18"/>
  <c r="R280" i="18"/>
  <c r="R281" i="18"/>
  <c r="R282" i="18"/>
  <c r="R283" i="18"/>
  <c r="R284" i="18"/>
  <c r="R285" i="18"/>
  <c r="R286" i="18"/>
  <c r="R287" i="18"/>
  <c r="R288" i="18"/>
  <c r="R289" i="18"/>
  <c r="R290" i="18"/>
  <c r="R291" i="18"/>
  <c r="R292" i="18"/>
  <c r="R293" i="18"/>
  <c r="R294" i="18"/>
  <c r="R295" i="18"/>
  <c r="R296" i="18"/>
  <c r="R297" i="18"/>
  <c r="R298" i="18"/>
  <c r="R299" i="18"/>
  <c r="R300" i="18"/>
  <c r="R301" i="18"/>
  <c r="R302" i="18"/>
  <c r="R303" i="18"/>
  <c r="R304" i="18"/>
  <c r="R305" i="18"/>
  <c r="R306" i="18"/>
  <c r="R307" i="18"/>
  <c r="R308" i="18"/>
  <c r="R309" i="18"/>
  <c r="R310" i="18"/>
  <c r="R311" i="18"/>
  <c r="R312" i="18"/>
  <c r="R313" i="18"/>
  <c r="R314" i="18"/>
  <c r="R315" i="18"/>
  <c r="R316" i="18"/>
  <c r="R317" i="18"/>
  <c r="R318" i="18"/>
  <c r="R319" i="18"/>
  <c r="R320" i="18"/>
  <c r="R321" i="18"/>
  <c r="R322" i="18"/>
  <c r="R323" i="18"/>
  <c r="R324" i="18"/>
  <c r="R325" i="18"/>
  <c r="R326" i="18"/>
  <c r="R327" i="18"/>
  <c r="R328" i="18"/>
  <c r="R329" i="18"/>
  <c r="R330" i="18"/>
  <c r="R331" i="18"/>
  <c r="R332" i="18"/>
  <c r="R333" i="18"/>
  <c r="R334" i="18"/>
  <c r="R335" i="18"/>
  <c r="R336" i="18"/>
  <c r="R337" i="18"/>
  <c r="R338" i="18"/>
  <c r="R339" i="18"/>
  <c r="R340" i="18"/>
  <c r="R341" i="18"/>
  <c r="R342" i="18"/>
  <c r="R343" i="18"/>
  <c r="R344" i="18"/>
  <c r="R345" i="18"/>
  <c r="R346" i="18"/>
  <c r="R347" i="18"/>
  <c r="R348" i="18"/>
  <c r="R349" i="18"/>
  <c r="R350" i="18"/>
  <c r="R351" i="18"/>
  <c r="R352" i="18"/>
  <c r="R353" i="18"/>
  <c r="R354" i="18"/>
  <c r="R355" i="18"/>
  <c r="AB6" i="18"/>
  <c r="AB7" i="18"/>
  <c r="AB8" i="18"/>
  <c r="AB9" i="18"/>
  <c r="AB10" i="18"/>
  <c r="AB11" i="18"/>
  <c r="AB12" i="18"/>
  <c r="AB13" i="18"/>
  <c r="AB14" i="18"/>
  <c r="AB15" i="18"/>
  <c r="AB16" i="18"/>
  <c r="AB17" i="18"/>
  <c r="AB18" i="18"/>
  <c r="AB19" i="18"/>
  <c r="AB20" i="18"/>
  <c r="AB21" i="18"/>
  <c r="AB22" i="18"/>
  <c r="AB23" i="18"/>
  <c r="AB24" i="18"/>
  <c r="AB25" i="18"/>
  <c r="AB26" i="18"/>
  <c r="AB27" i="18"/>
  <c r="AB28" i="18"/>
  <c r="AB29" i="18"/>
  <c r="AB30" i="18"/>
  <c r="AB31" i="18"/>
  <c r="AB32" i="18"/>
  <c r="AB33" i="18"/>
  <c r="AB34" i="18"/>
  <c r="AB35" i="18"/>
  <c r="AB36" i="18"/>
  <c r="AB37" i="18"/>
  <c r="AB38" i="18"/>
  <c r="AB39" i="18"/>
  <c r="AB40" i="18"/>
  <c r="AB41" i="18"/>
  <c r="AB42" i="18"/>
  <c r="AB43" i="18"/>
  <c r="AB44" i="18"/>
  <c r="AB45" i="18"/>
  <c r="AB46" i="18"/>
  <c r="AB47" i="18"/>
  <c r="AB48" i="18"/>
  <c r="AB49" i="18"/>
  <c r="AB50" i="18"/>
  <c r="AB51" i="18"/>
  <c r="AB52" i="18"/>
  <c r="AB53" i="18"/>
  <c r="AB54" i="18"/>
  <c r="AB55" i="18"/>
  <c r="AB56" i="18"/>
  <c r="AB57" i="18"/>
  <c r="AB58" i="18"/>
  <c r="AB59" i="18"/>
  <c r="AB60" i="18"/>
  <c r="AB61" i="18"/>
  <c r="AB62" i="18"/>
  <c r="AB63" i="18"/>
  <c r="AB64" i="18"/>
  <c r="AB65" i="18"/>
  <c r="AB66" i="18"/>
  <c r="AB67" i="18"/>
  <c r="AB68" i="18"/>
  <c r="AB69" i="18"/>
  <c r="AB70" i="18"/>
  <c r="AB71" i="18"/>
  <c r="AB72" i="18"/>
  <c r="AB73" i="18"/>
  <c r="AB74" i="18"/>
  <c r="AB75" i="18"/>
  <c r="AB76" i="18"/>
  <c r="AB77" i="18"/>
  <c r="AB78" i="18"/>
  <c r="AB79" i="18"/>
  <c r="AB80" i="18"/>
  <c r="AB81" i="18"/>
  <c r="AB82" i="18"/>
  <c r="AB83" i="18"/>
  <c r="AB84" i="18"/>
  <c r="AB85" i="18"/>
  <c r="AB86" i="18"/>
  <c r="AB87" i="18"/>
  <c r="AB88" i="18"/>
  <c r="AB89" i="18"/>
  <c r="AB90" i="18"/>
  <c r="AB91" i="18"/>
  <c r="AB92" i="18"/>
  <c r="AB93" i="18"/>
  <c r="AB94" i="18"/>
  <c r="AB95" i="18"/>
  <c r="AB96" i="18"/>
  <c r="AB97" i="18"/>
  <c r="AB98" i="18"/>
  <c r="AB99" i="18"/>
  <c r="AB100" i="18"/>
  <c r="AB101" i="18"/>
  <c r="AB102" i="18"/>
  <c r="AB103" i="18"/>
  <c r="AB104" i="18"/>
  <c r="AB105" i="18"/>
  <c r="AB106" i="18"/>
  <c r="AB107" i="18"/>
  <c r="AB108" i="18"/>
  <c r="AB109" i="18"/>
  <c r="AB110" i="18"/>
  <c r="AB111" i="18"/>
  <c r="AB112" i="18"/>
  <c r="AB113" i="18"/>
  <c r="AB114" i="18"/>
  <c r="AB115" i="18"/>
  <c r="AB116" i="18"/>
  <c r="AB117" i="18"/>
  <c r="AB118" i="18"/>
  <c r="AB119" i="18"/>
  <c r="AB120" i="18"/>
  <c r="AB121" i="18"/>
  <c r="AB122" i="18"/>
  <c r="AB123" i="18"/>
  <c r="AB124" i="18"/>
  <c r="AB125" i="18"/>
  <c r="AB126" i="18"/>
  <c r="AB127" i="18"/>
  <c r="AB128" i="18"/>
  <c r="AB129" i="18"/>
  <c r="AB130" i="18"/>
  <c r="AB131" i="18"/>
  <c r="AB132" i="18"/>
  <c r="AB133" i="18"/>
  <c r="AB134" i="18"/>
  <c r="AB135" i="18"/>
  <c r="AB136" i="18"/>
  <c r="AB137" i="18"/>
  <c r="AB138" i="18"/>
  <c r="AB139" i="18"/>
  <c r="AB140" i="18"/>
  <c r="AB141" i="18"/>
  <c r="AB142" i="18"/>
  <c r="AB143" i="18"/>
  <c r="AB144" i="18"/>
  <c r="AB145" i="18"/>
  <c r="AB146" i="18"/>
  <c r="AB147" i="18"/>
  <c r="AB148" i="18"/>
  <c r="AB149" i="18"/>
  <c r="AB150" i="18"/>
  <c r="AB151" i="18"/>
  <c r="AB152" i="18"/>
  <c r="AB153" i="18"/>
  <c r="AB154" i="18"/>
  <c r="AB155" i="18"/>
  <c r="AB156" i="18"/>
  <c r="AB157" i="18"/>
  <c r="AB158" i="18"/>
  <c r="AB159" i="18"/>
  <c r="AB160" i="18"/>
  <c r="AB161" i="18"/>
  <c r="AB162" i="18"/>
  <c r="AB163" i="18"/>
  <c r="AB164" i="18"/>
  <c r="AB165" i="18"/>
  <c r="AB166" i="18"/>
  <c r="AB167" i="18"/>
  <c r="AB168" i="18"/>
  <c r="AB169" i="18"/>
  <c r="AB170" i="18"/>
  <c r="AB171" i="18"/>
  <c r="AB172" i="18"/>
  <c r="AB173" i="18"/>
  <c r="AB174" i="18"/>
  <c r="AB175" i="18"/>
  <c r="AB176" i="18"/>
  <c r="AB177" i="18"/>
  <c r="AB178" i="18"/>
  <c r="AB179" i="18"/>
  <c r="AB180" i="18"/>
  <c r="AB181" i="18"/>
  <c r="AB182" i="18"/>
  <c r="AB183" i="18"/>
  <c r="AB184" i="18"/>
  <c r="AB185" i="18"/>
  <c r="AB186" i="18"/>
  <c r="AB187" i="18"/>
  <c r="AB188" i="18"/>
  <c r="AB189" i="18"/>
  <c r="AB190" i="18"/>
  <c r="AB191" i="18"/>
  <c r="AB192" i="18"/>
  <c r="AB193" i="18"/>
  <c r="AB194" i="18"/>
  <c r="AB195" i="18"/>
  <c r="AB196" i="18"/>
  <c r="AB197" i="18"/>
  <c r="AB198" i="18"/>
  <c r="AB199" i="18"/>
  <c r="AB200" i="18"/>
  <c r="AB201" i="18"/>
  <c r="AB202" i="18"/>
  <c r="AB203" i="18"/>
  <c r="AB204" i="18"/>
  <c r="AB205" i="18"/>
  <c r="AB206" i="18"/>
  <c r="AB207" i="18"/>
  <c r="AB208" i="18"/>
  <c r="AB209" i="18"/>
  <c r="AB210" i="18"/>
  <c r="AB211" i="18"/>
  <c r="AB212" i="18"/>
  <c r="AB213" i="18"/>
  <c r="AB214" i="18"/>
  <c r="AB215" i="18"/>
  <c r="AB216" i="18"/>
  <c r="AB217" i="18"/>
  <c r="AB218" i="18"/>
  <c r="AB219" i="18"/>
  <c r="AB220" i="18"/>
  <c r="AB221" i="18"/>
  <c r="AB222" i="18"/>
  <c r="AB223" i="18"/>
  <c r="AB224" i="18"/>
  <c r="AB225" i="18"/>
  <c r="AB226" i="18"/>
  <c r="AB227" i="18"/>
  <c r="AB228" i="18"/>
  <c r="AB229" i="18"/>
  <c r="AB230" i="18"/>
  <c r="AB231" i="18"/>
  <c r="AB232" i="18"/>
  <c r="AB233" i="18"/>
  <c r="AB234" i="18"/>
  <c r="AB235" i="18"/>
  <c r="AB236" i="18"/>
  <c r="AB237" i="18"/>
  <c r="AB238" i="18"/>
  <c r="AB239" i="18"/>
  <c r="AB240" i="18"/>
  <c r="AB241" i="18"/>
  <c r="AB242" i="18"/>
  <c r="AB243" i="18"/>
  <c r="AB244" i="18"/>
  <c r="AB245" i="18"/>
  <c r="AB246" i="18"/>
  <c r="AB247" i="18"/>
  <c r="AB248" i="18"/>
  <c r="AB249" i="18"/>
  <c r="AB250" i="18"/>
  <c r="AB251" i="18"/>
  <c r="AB252" i="18"/>
  <c r="AB253" i="18"/>
  <c r="AB254" i="18"/>
  <c r="AB255" i="18"/>
  <c r="AB256" i="18"/>
  <c r="AB257" i="18"/>
  <c r="AB258" i="18"/>
  <c r="AB259" i="18"/>
  <c r="AB260" i="18"/>
  <c r="AB261" i="18"/>
  <c r="AB262" i="18"/>
  <c r="AB263" i="18"/>
  <c r="AB264" i="18"/>
  <c r="AB265" i="18"/>
  <c r="AB266" i="18"/>
  <c r="AB267" i="18"/>
  <c r="AB268" i="18"/>
  <c r="AB269" i="18"/>
  <c r="AB270" i="18"/>
  <c r="AB271" i="18"/>
  <c r="AB272" i="18"/>
  <c r="AB273" i="18"/>
  <c r="AB274" i="18"/>
  <c r="AB275" i="18"/>
  <c r="AB276" i="18"/>
  <c r="AB277" i="18"/>
  <c r="AB278" i="18"/>
  <c r="AB279" i="18"/>
  <c r="AB280" i="18"/>
  <c r="AB281" i="18"/>
  <c r="AB282" i="18"/>
  <c r="AB283" i="18"/>
  <c r="AB284" i="18"/>
  <c r="AB285" i="18"/>
  <c r="AB286" i="18"/>
  <c r="AB287" i="18"/>
  <c r="AB288" i="18"/>
  <c r="AB289" i="18"/>
  <c r="AB290" i="18"/>
  <c r="AB291" i="18"/>
  <c r="AB292" i="18"/>
  <c r="AB293" i="18"/>
  <c r="AB294" i="18"/>
  <c r="AB295" i="18"/>
  <c r="AB296" i="18"/>
  <c r="AB297" i="18"/>
  <c r="AB298" i="18"/>
  <c r="AB299" i="18"/>
  <c r="AB300" i="18"/>
  <c r="AB301" i="18"/>
  <c r="AB302" i="18"/>
  <c r="AB303" i="18"/>
  <c r="AB304" i="18"/>
  <c r="AB305" i="18"/>
  <c r="AB306" i="18"/>
  <c r="AB307" i="18"/>
  <c r="AB308" i="18"/>
  <c r="AB309" i="18"/>
  <c r="AB310" i="18"/>
  <c r="AB311" i="18"/>
  <c r="AB312" i="18"/>
  <c r="AB313" i="18"/>
  <c r="AB314" i="18"/>
  <c r="AB315" i="18"/>
  <c r="AB316" i="18"/>
  <c r="AB317" i="18"/>
  <c r="AB318" i="18"/>
  <c r="AB319" i="18"/>
  <c r="AB320" i="18"/>
  <c r="AB321" i="18"/>
  <c r="AB322" i="18"/>
  <c r="AB323" i="18"/>
  <c r="AB324" i="18"/>
  <c r="AB325" i="18"/>
  <c r="AB326" i="18"/>
  <c r="AB327" i="18"/>
  <c r="AB328" i="18"/>
  <c r="AB329" i="18"/>
  <c r="AB330" i="18"/>
  <c r="AB331" i="18"/>
  <c r="AB332" i="18"/>
  <c r="AB333" i="18"/>
  <c r="AB334" i="18"/>
  <c r="AB335" i="18"/>
  <c r="AB336" i="18"/>
  <c r="AB337" i="18"/>
  <c r="AB338" i="18"/>
  <c r="AB339" i="18"/>
  <c r="AB340" i="18"/>
  <c r="AB341" i="18"/>
  <c r="AB342" i="18"/>
  <c r="AB343" i="18"/>
  <c r="AB344" i="18"/>
  <c r="AB345" i="18"/>
  <c r="AB346" i="18"/>
  <c r="AB347" i="18"/>
  <c r="AB348" i="18"/>
  <c r="AB349" i="18"/>
  <c r="AB350" i="18"/>
  <c r="AB351" i="18"/>
  <c r="AB352" i="18"/>
  <c r="AB353" i="18"/>
  <c r="AB354" i="18"/>
  <c r="AB355" i="18"/>
  <c r="C5" i="18"/>
  <c r="AB5" i="18"/>
  <c r="R5" i="18"/>
  <c r="N5" i="18"/>
  <c r="S7" i="18" l="1"/>
  <c r="S8" i="18" s="1"/>
  <c r="S9" i="18" s="1"/>
  <c r="S10" i="18" s="1"/>
  <c r="S11" i="18" s="1"/>
  <c r="S12" i="18" s="1"/>
  <c r="S13" i="18" s="1"/>
  <c r="S14" i="18" s="1"/>
  <c r="S15" i="18" s="1"/>
  <c r="S16" i="18" s="1"/>
  <c r="S17" i="18" s="1"/>
  <c r="S18" i="18" s="1"/>
  <c r="S19" i="18" s="1"/>
  <c r="S20" i="18" s="1"/>
  <c r="S21" i="18" s="1"/>
  <c r="S22" i="18" s="1"/>
  <c r="S23" i="18" s="1"/>
  <c r="S24" i="18" s="1"/>
  <c r="S25" i="18" s="1"/>
  <c r="S26" i="18" s="1"/>
  <c r="S27" i="18" s="1"/>
  <c r="S28" i="18" s="1"/>
  <c r="S29" i="18" s="1"/>
  <c r="S30" i="18" s="1"/>
  <c r="S31" i="18" s="1"/>
  <c r="S32" i="18" s="1"/>
  <c r="S33" i="18" s="1"/>
  <c r="S34" i="18" s="1"/>
  <c r="S35" i="18" s="1"/>
  <c r="S36" i="18" s="1"/>
  <c r="S37" i="18" s="1"/>
  <c r="S38" i="18" s="1"/>
  <c r="S39" i="18" s="1"/>
  <c r="S40" i="18" s="1"/>
  <c r="S41" i="18" s="1"/>
  <c r="S42" i="18" s="1"/>
  <c r="S43" i="18" s="1"/>
  <c r="S44" i="18" s="1"/>
  <c r="S45" i="18" s="1"/>
  <c r="S46" i="18" s="1"/>
  <c r="S47" i="18" s="1"/>
  <c r="S48" i="18" s="1"/>
  <c r="S49" i="18" s="1"/>
  <c r="S50" i="18" s="1"/>
  <c r="S51" i="18" s="1"/>
  <c r="S52" i="18" s="1"/>
  <c r="S53" i="18" s="1"/>
  <c r="S54" i="18" s="1"/>
  <c r="S55" i="18" s="1"/>
  <c r="S56" i="18" s="1"/>
  <c r="S57" i="18" s="1"/>
  <c r="S58" i="18" s="1"/>
  <c r="S59" i="18" s="1"/>
  <c r="S60" i="18" s="1"/>
  <c r="S61" i="18" s="1"/>
  <c r="S62" i="18" s="1"/>
  <c r="S63" i="18" s="1"/>
  <c r="S64" i="18" s="1"/>
  <c r="S65" i="18" s="1"/>
  <c r="S66" i="18" s="1"/>
  <c r="S67" i="18" s="1"/>
  <c r="S68" i="18" s="1"/>
  <c r="S69" i="18" s="1"/>
  <c r="S70" i="18" s="1"/>
  <c r="S71" i="18" s="1"/>
  <c r="S72" i="18" s="1"/>
  <c r="S73" i="18" s="1"/>
  <c r="S74" i="18" s="1"/>
  <c r="S75" i="18" s="1"/>
  <c r="S76" i="18" s="1"/>
  <c r="S77" i="18" s="1"/>
  <c r="S78" i="18" s="1"/>
  <c r="S79" i="18" s="1"/>
  <c r="S80" i="18" s="1"/>
  <c r="S81" i="18" s="1"/>
  <c r="S82" i="18" s="1"/>
  <c r="S83" i="18" s="1"/>
  <c r="S84" i="18" s="1"/>
  <c r="S85" i="18" s="1"/>
  <c r="S86" i="18" s="1"/>
  <c r="S87" i="18" s="1"/>
  <c r="S88" i="18" s="1"/>
  <c r="S89" i="18" s="1"/>
  <c r="S90" i="18" s="1"/>
  <c r="S91" i="18" s="1"/>
  <c r="S92" i="18" s="1"/>
  <c r="S93" i="18" s="1"/>
  <c r="S94" i="18" s="1"/>
  <c r="S95" i="18" s="1"/>
  <c r="S96" i="18" s="1"/>
  <c r="S97" i="18" s="1"/>
  <c r="S98" i="18" s="1"/>
  <c r="S99" i="18" s="1"/>
  <c r="S100" i="18" s="1"/>
  <c r="S101" i="18" s="1"/>
  <c r="S102" i="18" s="1"/>
  <c r="S103" i="18" s="1"/>
  <c r="S104" i="18" s="1"/>
  <c r="S105" i="18" s="1"/>
  <c r="S106" i="18" s="1"/>
  <c r="S107" i="18" s="1"/>
  <c r="S108" i="18" s="1"/>
  <c r="S109" i="18" s="1"/>
  <c r="S110" i="18" s="1"/>
  <c r="S111" i="18" s="1"/>
  <c r="S112" i="18" s="1"/>
  <c r="S113" i="18" s="1"/>
  <c r="S114" i="18" s="1"/>
  <c r="S115" i="18" s="1"/>
  <c r="S116" i="18" s="1"/>
  <c r="S117" i="18" s="1"/>
  <c r="S118" i="18" s="1"/>
  <c r="S119" i="18" s="1"/>
  <c r="S120" i="18" s="1"/>
  <c r="S121" i="18" s="1"/>
  <c r="S122" i="18" s="1"/>
  <c r="S123" i="18" s="1"/>
  <c r="S124" i="18" s="1"/>
  <c r="S125" i="18" s="1"/>
  <c r="S126" i="18" s="1"/>
  <c r="S127" i="18" s="1"/>
  <c r="S128" i="18" s="1"/>
  <c r="S129" i="18" s="1"/>
  <c r="S130" i="18" s="1"/>
  <c r="S131" i="18" s="1"/>
  <c r="S132" i="18" s="1"/>
  <c r="S133" i="18" s="1"/>
  <c r="S134" i="18" s="1"/>
  <c r="S135" i="18" s="1"/>
  <c r="S136" i="18" s="1"/>
  <c r="S137" i="18" s="1"/>
  <c r="S138" i="18" s="1"/>
  <c r="S139" i="18" s="1"/>
  <c r="S140" i="18" s="1"/>
  <c r="S141" i="18" s="1"/>
  <c r="S142" i="18" s="1"/>
  <c r="S143" i="18" s="1"/>
  <c r="S144" i="18" s="1"/>
  <c r="S145" i="18" s="1"/>
  <c r="S146" i="18" s="1"/>
  <c r="S147" i="18" s="1"/>
  <c r="S148" i="18" s="1"/>
  <c r="S149" i="18" s="1"/>
  <c r="S150" i="18" s="1"/>
  <c r="S151" i="18" s="1"/>
  <c r="S152" i="18" s="1"/>
  <c r="S153" i="18" s="1"/>
  <c r="S154" i="18" s="1"/>
  <c r="S155" i="18" s="1"/>
  <c r="S156" i="18" s="1"/>
  <c r="S157" i="18" s="1"/>
  <c r="S158" i="18" s="1"/>
  <c r="S159" i="18" s="1"/>
  <c r="S160" i="18" s="1"/>
  <c r="S161" i="18" s="1"/>
  <c r="S162" i="18" s="1"/>
  <c r="S163" i="18" s="1"/>
  <c r="S164" i="18" s="1"/>
  <c r="S165" i="18" s="1"/>
  <c r="S166" i="18" s="1"/>
  <c r="S167" i="18" s="1"/>
  <c r="S168" i="18" s="1"/>
  <c r="S169" i="18" s="1"/>
  <c r="S170" i="18" s="1"/>
  <c r="S171" i="18" s="1"/>
  <c r="S172" i="18" s="1"/>
  <c r="S173" i="18" s="1"/>
  <c r="S174" i="18" s="1"/>
  <c r="S175" i="18" s="1"/>
  <c r="S176" i="18" s="1"/>
  <c r="S177" i="18" s="1"/>
  <c r="S178" i="18" s="1"/>
  <c r="S179" i="18" s="1"/>
  <c r="S180" i="18" s="1"/>
  <c r="S181" i="18" s="1"/>
  <c r="S182" i="18" s="1"/>
  <c r="S183" i="18" s="1"/>
  <c r="S184" i="18" s="1"/>
  <c r="S185" i="18" s="1"/>
  <c r="S186" i="18" s="1"/>
  <c r="S187" i="18" s="1"/>
  <c r="S188" i="18" s="1"/>
  <c r="S189" i="18" s="1"/>
  <c r="S190" i="18" s="1"/>
  <c r="S191" i="18" s="1"/>
  <c r="S192" i="18" s="1"/>
  <c r="S193" i="18" s="1"/>
  <c r="S194" i="18" s="1"/>
  <c r="S195" i="18" s="1"/>
  <c r="S196" i="18" s="1"/>
  <c r="S197" i="18" s="1"/>
  <c r="S198" i="18" s="1"/>
  <c r="S199" i="18" s="1"/>
  <c r="S200" i="18" s="1"/>
  <c r="S201" i="18" s="1"/>
  <c r="S202" i="18" s="1"/>
  <c r="S203" i="18" s="1"/>
  <c r="S204" i="18" s="1"/>
  <c r="S205" i="18" s="1"/>
  <c r="S206" i="18" s="1"/>
  <c r="S207" i="18" s="1"/>
  <c r="S208" i="18" s="1"/>
  <c r="S209" i="18" s="1"/>
  <c r="S210" i="18" s="1"/>
  <c r="S211" i="18" s="1"/>
  <c r="S212" i="18" s="1"/>
  <c r="S213" i="18" s="1"/>
  <c r="S214" i="18" s="1"/>
  <c r="S215" i="18" s="1"/>
  <c r="S216" i="18" s="1"/>
  <c r="S217" i="18" s="1"/>
  <c r="S218" i="18" s="1"/>
  <c r="S219" i="18" s="1"/>
  <c r="S220" i="18" s="1"/>
  <c r="S221" i="18" s="1"/>
  <c r="S222" i="18" s="1"/>
  <c r="S223" i="18" s="1"/>
  <c r="S224" i="18" s="1"/>
  <c r="S225" i="18" s="1"/>
  <c r="S226" i="18" s="1"/>
  <c r="S227" i="18" s="1"/>
  <c r="S228" i="18" s="1"/>
  <c r="S229" i="18" s="1"/>
  <c r="S230" i="18" s="1"/>
  <c r="S231" i="18" s="1"/>
  <c r="S232" i="18" s="1"/>
  <c r="S233" i="18" s="1"/>
  <c r="S234" i="18" s="1"/>
  <c r="S235" i="18" s="1"/>
  <c r="S236" i="18" s="1"/>
  <c r="S237" i="18" s="1"/>
  <c r="S238" i="18" s="1"/>
  <c r="S239" i="18" s="1"/>
  <c r="S240" i="18" s="1"/>
  <c r="S241" i="18" s="1"/>
  <c r="S242" i="18" s="1"/>
  <c r="S243" i="18" s="1"/>
  <c r="S244" i="18" s="1"/>
  <c r="S245" i="18" s="1"/>
  <c r="S246" i="18" s="1"/>
  <c r="S247" i="18" s="1"/>
  <c r="S248" i="18" s="1"/>
  <c r="S249" i="18" s="1"/>
  <c r="S250" i="18" s="1"/>
  <c r="S251" i="18" s="1"/>
  <c r="S252" i="18" s="1"/>
  <c r="S253" i="18" s="1"/>
  <c r="S254" i="18" s="1"/>
  <c r="S255" i="18" s="1"/>
  <c r="S256" i="18" s="1"/>
  <c r="S257" i="18" s="1"/>
  <c r="S258" i="18" s="1"/>
  <c r="S259" i="18" s="1"/>
  <c r="S260" i="18" s="1"/>
  <c r="S261" i="18" s="1"/>
  <c r="S262" i="18" s="1"/>
  <c r="S263" i="18" s="1"/>
  <c r="S264" i="18" s="1"/>
  <c r="S265" i="18" s="1"/>
  <c r="S266" i="18" s="1"/>
  <c r="S267" i="18" s="1"/>
  <c r="S268" i="18" s="1"/>
  <c r="S269" i="18" s="1"/>
  <c r="S270" i="18" s="1"/>
  <c r="S271" i="18" s="1"/>
  <c r="S272" i="18" s="1"/>
  <c r="S273" i="18" s="1"/>
  <c r="S274" i="18" s="1"/>
  <c r="S275" i="18" s="1"/>
  <c r="S276" i="18" s="1"/>
  <c r="S277" i="18" s="1"/>
  <c r="S278" i="18" s="1"/>
  <c r="S279" i="18" s="1"/>
  <c r="S280" i="18" s="1"/>
  <c r="S281" i="18" s="1"/>
  <c r="S282" i="18" s="1"/>
  <c r="S283" i="18" s="1"/>
  <c r="S284" i="18" s="1"/>
  <c r="S285" i="18" s="1"/>
  <c r="S286" i="18" s="1"/>
  <c r="S287" i="18" s="1"/>
  <c r="S288" i="18" s="1"/>
  <c r="S289" i="18" s="1"/>
  <c r="S290" i="18" s="1"/>
  <c r="S291" i="18" s="1"/>
  <c r="S292" i="18" s="1"/>
  <c r="S293" i="18" s="1"/>
  <c r="S294" i="18" s="1"/>
  <c r="S295" i="18" s="1"/>
  <c r="S296" i="18" s="1"/>
  <c r="S297" i="18" s="1"/>
  <c r="S298" i="18" s="1"/>
  <c r="S299" i="18" s="1"/>
  <c r="S300" i="18" s="1"/>
  <c r="S301" i="18" s="1"/>
  <c r="S302" i="18" s="1"/>
  <c r="S303" i="18" s="1"/>
  <c r="S304" i="18" s="1"/>
  <c r="S305" i="18" s="1"/>
  <c r="S306" i="18" s="1"/>
  <c r="S307" i="18" s="1"/>
  <c r="S308" i="18" s="1"/>
  <c r="S309" i="18" s="1"/>
  <c r="S310" i="18" s="1"/>
  <c r="S311" i="18" s="1"/>
  <c r="S312" i="18" s="1"/>
  <c r="S313" i="18" s="1"/>
  <c r="S314" i="18" s="1"/>
  <c r="S315" i="18" s="1"/>
  <c r="S316" i="18" s="1"/>
  <c r="S317" i="18" s="1"/>
  <c r="S318" i="18" s="1"/>
  <c r="S319" i="18" s="1"/>
  <c r="S320" i="18" s="1"/>
  <c r="S321" i="18" s="1"/>
  <c r="S322" i="18" s="1"/>
  <c r="S323" i="18" s="1"/>
  <c r="S324" i="18" s="1"/>
  <c r="S325" i="18" s="1"/>
  <c r="S326" i="18" s="1"/>
  <c r="S327" i="18" s="1"/>
  <c r="S328" i="18" s="1"/>
  <c r="S329" i="18" s="1"/>
  <c r="S330" i="18" s="1"/>
  <c r="S331" i="18" s="1"/>
  <c r="S332" i="18" s="1"/>
  <c r="S333" i="18" s="1"/>
  <c r="S334" i="18" s="1"/>
  <c r="S335" i="18" s="1"/>
  <c r="S336" i="18" s="1"/>
  <c r="S337" i="18" s="1"/>
  <c r="S338" i="18" s="1"/>
  <c r="S339" i="18" s="1"/>
  <c r="S340" i="18" s="1"/>
  <c r="S341" i="18" s="1"/>
  <c r="S342" i="18" s="1"/>
  <c r="S343" i="18" s="1"/>
  <c r="S344" i="18" s="1"/>
  <c r="S345" i="18" s="1"/>
  <c r="S346" i="18" s="1"/>
  <c r="S347" i="18" s="1"/>
  <c r="S348" i="18" s="1"/>
  <c r="S349" i="18" s="1"/>
  <c r="S350" i="18" s="1"/>
  <c r="S351" i="18" s="1"/>
  <c r="S352" i="18" s="1"/>
  <c r="S353" i="18" s="1"/>
  <c r="S354" i="18" s="1"/>
  <c r="S355" i="18" s="1"/>
  <c r="S356" i="18" s="1"/>
  <c r="S357" i="18" s="1"/>
  <c r="S358" i="18" s="1"/>
  <c r="S359" i="18" s="1"/>
  <c r="S360" i="18" s="1"/>
  <c r="S361" i="18" s="1"/>
  <c r="S362" i="18" s="1"/>
  <c r="S363" i="18" s="1"/>
  <c r="S364" i="18" s="1"/>
  <c r="S365" i="18" s="1"/>
  <c r="S366" i="18" s="1"/>
  <c r="S367" i="18" s="1"/>
  <c r="S368" i="18" s="1"/>
  <c r="S369" i="18" s="1"/>
  <c r="S370" i="18" s="1"/>
  <c r="S371" i="18" s="1"/>
  <c r="S372" i="18" s="1"/>
  <c r="S373" i="18" s="1"/>
  <c r="S374" i="18" s="1"/>
  <c r="S375" i="18" s="1"/>
  <c r="S376" i="18" s="1"/>
  <c r="S377" i="18" s="1"/>
  <c r="S378" i="18" s="1"/>
  <c r="S379" i="18" s="1"/>
  <c r="S380" i="18" s="1"/>
  <c r="S381" i="18" s="1"/>
  <c r="S382" i="18" s="1"/>
  <c r="S383" i="18" s="1"/>
  <c r="S384" i="18" s="1"/>
  <c r="S385" i="18" s="1"/>
  <c r="S386" i="18" s="1"/>
  <c r="S387" i="18" s="1"/>
  <c r="S388" i="18" s="1"/>
  <c r="S389" i="18" s="1"/>
  <c r="S390" i="18" s="1"/>
  <c r="S391" i="18" s="1"/>
  <c r="S392" i="18" s="1"/>
  <c r="S393" i="18" s="1"/>
  <c r="S394" i="18" s="1"/>
  <c r="S395" i="18" s="1"/>
  <c r="S396" i="18" s="1"/>
  <c r="S397" i="18" s="1"/>
  <c r="S398" i="18" s="1"/>
  <c r="S399" i="18" s="1"/>
  <c r="S400" i="18" s="1"/>
  <c r="S401" i="18" s="1"/>
  <c r="S402" i="18" s="1"/>
  <c r="S403" i="18" s="1"/>
  <c r="S404" i="18" s="1"/>
  <c r="S405" i="18" s="1"/>
  <c r="S406" i="18" s="1"/>
  <c r="S407" i="18" s="1"/>
  <c r="S408" i="18" s="1"/>
  <c r="S409" i="18" s="1"/>
  <c r="S410" i="18" s="1"/>
  <c r="S411" i="18" s="1"/>
  <c r="S412" i="18" s="1"/>
  <c r="S413" i="18" s="1"/>
  <c r="S414" i="18" s="1"/>
  <c r="S415" i="18" s="1"/>
  <c r="S416" i="18" s="1"/>
  <c r="S417" i="18" s="1"/>
  <c r="S418" i="18" s="1"/>
  <c r="S419" i="18" s="1"/>
  <c r="S420" i="18" s="1"/>
  <c r="S421" i="18" s="1"/>
  <c r="S422" i="18" s="1"/>
  <c r="S423" i="18" s="1"/>
  <c r="S424" i="18" s="1"/>
  <c r="S425" i="18" s="1"/>
  <c r="S426" i="18" s="1"/>
  <c r="S427" i="18" s="1"/>
  <c r="S428" i="18" s="1"/>
  <c r="S429" i="18" s="1"/>
  <c r="S430" i="18" s="1"/>
  <c r="S431" i="18" s="1"/>
  <c r="S432" i="18" s="1"/>
  <c r="S433" i="18" s="1"/>
  <c r="S434" i="18" s="1"/>
  <c r="S435" i="18" s="1"/>
  <c r="S436" i="18" s="1"/>
  <c r="S437" i="18" s="1"/>
  <c r="S438" i="18" s="1"/>
  <c r="S439" i="18" s="1"/>
  <c r="S440" i="18" s="1"/>
  <c r="S441" i="18" s="1"/>
  <c r="S442" i="18" s="1"/>
  <c r="S443" i="18" s="1"/>
  <c r="S444" i="18" s="1"/>
  <c r="C229" i="12"/>
  <c r="C230" i="12"/>
  <c r="C231" i="12"/>
  <c r="C232" i="12"/>
  <c r="C233" i="12"/>
  <c r="C234" i="12"/>
  <c r="C235" i="12"/>
  <c r="C236" i="12"/>
  <c r="C237" i="12"/>
  <c r="C238" i="12"/>
  <c r="C239" i="12"/>
  <c r="N229" i="12"/>
  <c r="N230" i="12"/>
  <c r="N231" i="12"/>
  <c r="N232" i="12"/>
  <c r="N233" i="12"/>
  <c r="N234" i="12"/>
  <c r="N235" i="12"/>
  <c r="N236" i="12"/>
  <c r="N237" i="12"/>
  <c r="N238" i="12"/>
  <c r="N239" i="12"/>
  <c r="Q229" i="12"/>
  <c r="Q230" i="12"/>
  <c r="Q231" i="12"/>
  <c r="Q232" i="12"/>
  <c r="Q233" i="12"/>
  <c r="Q234" i="12"/>
  <c r="Q235" i="12"/>
  <c r="Q236" i="12"/>
  <c r="Q237" i="12"/>
  <c r="Q238" i="12"/>
  <c r="Q239" i="12"/>
  <c r="R229" i="12"/>
  <c r="R230" i="12"/>
  <c r="R231" i="12"/>
  <c r="R232" i="12"/>
  <c r="R233" i="12"/>
  <c r="R234" i="12"/>
  <c r="R235" i="12"/>
  <c r="R236" i="12"/>
  <c r="R237" i="12"/>
  <c r="R238" i="12"/>
  <c r="R239" i="12"/>
  <c r="Y229" i="12"/>
  <c r="Y230" i="12"/>
  <c r="Y231" i="12"/>
  <c r="Y232" i="12"/>
  <c r="Y233" i="12"/>
  <c r="Y234" i="12"/>
  <c r="Y235" i="12"/>
  <c r="Y236" i="12"/>
  <c r="Y237" i="12"/>
  <c r="Y238" i="12"/>
  <c r="Y239" i="12"/>
  <c r="AB229" i="12"/>
  <c r="AB230" i="12"/>
  <c r="AB231" i="12"/>
  <c r="AB232" i="12"/>
  <c r="AB233" i="12"/>
  <c r="AB234" i="12"/>
  <c r="AB235" i="12"/>
  <c r="AB236" i="12"/>
  <c r="AB237" i="12"/>
  <c r="AB238" i="12"/>
  <c r="AB239" i="12"/>
  <c r="N630" i="9"/>
  <c r="N631" i="9"/>
  <c r="N632" i="9"/>
  <c r="AC631" i="9"/>
  <c r="AC632" i="9"/>
  <c r="S631" i="9"/>
  <c r="S632" i="9"/>
  <c r="R631" i="9"/>
  <c r="R632" i="9"/>
  <c r="C631" i="9"/>
  <c r="C632" i="9"/>
  <c r="O631" i="9"/>
  <c r="O632" i="9"/>
  <c r="C103" i="5"/>
  <c r="N103" i="5"/>
  <c r="Q103" i="5"/>
  <c r="R103" i="5"/>
  <c r="AB103" i="5"/>
  <c r="C104" i="5"/>
  <c r="N104" i="5"/>
  <c r="Q104" i="5"/>
  <c r="R104" i="5"/>
  <c r="AB104" i="5"/>
  <c r="C105" i="5"/>
  <c r="N105" i="5"/>
  <c r="Q105" i="5"/>
  <c r="R105" i="5"/>
  <c r="AB105" i="5"/>
  <c r="O566" i="8"/>
  <c r="AC566" i="8"/>
  <c r="C630" i="9"/>
  <c r="O630" i="9"/>
  <c r="R630" i="9"/>
  <c r="S630" i="9"/>
  <c r="AC630" i="9"/>
  <c r="L2" i="16" l="1"/>
  <c r="H2" i="16" s="1"/>
  <c r="C8" i="16"/>
  <c r="C6" i="16"/>
  <c r="G17" i="16" s="1"/>
  <c r="J7" i="16"/>
  <c r="J9" i="16"/>
  <c r="G9" i="16"/>
  <c r="C9" i="16"/>
  <c r="C7" i="16" a="1"/>
  <c r="C7" i="16" l="1"/>
  <c r="C29" i="16" s="1"/>
  <c r="AC565" i="8" l="1"/>
  <c r="O565" i="8"/>
  <c r="O556" i="8"/>
  <c r="O563" i="8"/>
  <c r="O564" i="8"/>
  <c r="AC556" i="8"/>
  <c r="AC563" i="8"/>
  <c r="AC564" i="8"/>
  <c r="N623" i="9"/>
  <c r="N624" i="9"/>
  <c r="N625" i="9"/>
  <c r="N626" i="9"/>
  <c r="N629" i="9"/>
  <c r="AC623" i="9"/>
  <c r="AC624" i="9"/>
  <c r="AC625" i="9"/>
  <c r="AC626" i="9"/>
  <c r="S623" i="9"/>
  <c r="S624" i="9"/>
  <c r="S625" i="9"/>
  <c r="S626" i="9"/>
  <c r="R623" i="9"/>
  <c r="R624" i="9"/>
  <c r="R625" i="9"/>
  <c r="R626" i="9"/>
  <c r="O623" i="9"/>
  <c r="O624" i="9"/>
  <c r="O625" i="9"/>
  <c r="O626" i="9"/>
  <c r="C623" i="9"/>
  <c r="C624" i="9"/>
  <c r="C625" i="9"/>
  <c r="C626" i="9"/>
  <c r="AC629" i="9"/>
  <c r="S629" i="9"/>
  <c r="R629" i="9"/>
  <c r="O629" i="9"/>
  <c r="C629" i="9"/>
  <c r="C116" i="5"/>
  <c r="N116" i="5"/>
  <c r="Q116" i="5"/>
  <c r="R116" i="5"/>
  <c r="AB116" i="5"/>
  <c r="O523" i="8" l="1"/>
  <c r="AC523" i="8"/>
  <c r="O524" i="8"/>
  <c r="AC524" i="8"/>
  <c r="O506" i="8"/>
  <c r="AC506" i="8"/>
  <c r="O507" i="8"/>
  <c r="AC507" i="8"/>
  <c r="O508" i="8"/>
  <c r="AC508" i="8"/>
  <c r="O497" i="8"/>
  <c r="AC497" i="8"/>
  <c r="O496" i="8"/>
  <c r="AC496" i="8"/>
  <c r="O491" i="8"/>
  <c r="AC491" i="8"/>
  <c r="O492" i="8"/>
  <c r="AC492" i="8"/>
  <c r="O493" i="8"/>
  <c r="AC493" i="8"/>
  <c r="O488" i="8"/>
  <c r="AC488" i="8"/>
  <c r="O489" i="8"/>
  <c r="AC489" i="8"/>
  <c r="O477" i="8"/>
  <c r="AC477" i="8"/>
  <c r="O478" i="8"/>
  <c r="AC478" i="8"/>
  <c r="AC547" i="8"/>
  <c r="AC548" i="8"/>
  <c r="O547" i="8"/>
  <c r="O548" i="8"/>
  <c r="O555" i="8"/>
  <c r="AC555" i="8"/>
  <c r="O554" i="8" l="1"/>
  <c r="AC554" i="8"/>
  <c r="O553" i="8"/>
  <c r="AC553" i="8"/>
  <c r="O552" i="8"/>
  <c r="AC552" i="8"/>
  <c r="O551" i="8"/>
  <c r="AC551" i="8"/>
  <c r="O550" i="8"/>
  <c r="AC550" i="8"/>
  <c r="O549" i="8"/>
  <c r="AC549" i="8"/>
  <c r="O519" i="8" l="1"/>
  <c r="AC519" i="8"/>
  <c r="O520" i="8"/>
  <c r="AC520" i="8"/>
  <c r="AC628" i="9"/>
  <c r="S628" i="9"/>
  <c r="R628" i="9"/>
  <c r="O628" i="9"/>
  <c r="C628" i="9"/>
  <c r="N628" i="9"/>
  <c r="AC627" i="9" l="1"/>
  <c r="S627" i="9"/>
  <c r="R627" i="9"/>
  <c r="O627" i="9"/>
  <c r="J5" i="16" s="1"/>
  <c r="C627" i="9"/>
  <c r="N627" i="9"/>
  <c r="J22" i="16" s="1"/>
  <c r="C269" i="3"/>
  <c r="N269" i="3"/>
  <c r="Q269" i="3"/>
  <c r="R269" i="3"/>
  <c r="AB269" i="3"/>
  <c r="C270" i="3"/>
  <c r="N270" i="3"/>
  <c r="Q270" i="3"/>
  <c r="R270" i="3"/>
  <c r="AB270" i="3"/>
  <c r="C271" i="3"/>
  <c r="N271" i="3"/>
  <c r="Q271" i="3"/>
  <c r="R271" i="3"/>
  <c r="AB271" i="3"/>
  <c r="C272" i="3"/>
  <c r="N272" i="3"/>
  <c r="Q272" i="3"/>
  <c r="R272" i="3"/>
  <c r="AB272" i="3"/>
  <c r="C273" i="3"/>
  <c r="N273" i="3"/>
  <c r="Q273" i="3"/>
  <c r="R273" i="3"/>
  <c r="AB273" i="3"/>
  <c r="C274" i="3"/>
  <c r="N274" i="3"/>
  <c r="Q274" i="3"/>
  <c r="R274" i="3"/>
  <c r="AB274" i="3"/>
  <c r="C275" i="3"/>
  <c r="N275" i="3"/>
  <c r="Q275" i="3"/>
  <c r="R275" i="3"/>
  <c r="AB275" i="3"/>
  <c r="C267" i="3" l="1"/>
  <c r="N267" i="3"/>
  <c r="Q267" i="3"/>
  <c r="R267" i="3"/>
  <c r="AB267" i="3"/>
  <c r="C276" i="3"/>
  <c r="N276" i="3"/>
  <c r="Q276" i="3"/>
  <c r="R276" i="3"/>
  <c r="AB276" i="3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AC622" i="9"/>
  <c r="S622" i="9"/>
  <c r="R622" i="9"/>
  <c r="O622" i="9"/>
  <c r="C622" i="9"/>
  <c r="N622" i="9"/>
  <c r="AC621" i="9"/>
  <c r="S621" i="9"/>
  <c r="R621" i="9"/>
  <c r="O621" i="9"/>
  <c r="C621" i="9"/>
  <c r="N621" i="9"/>
  <c r="AC620" i="9"/>
  <c r="S620" i="9"/>
  <c r="R620" i="9"/>
  <c r="O620" i="9"/>
  <c r="C620" i="9"/>
  <c r="N620" i="9"/>
  <c r="AC619" i="9" l="1"/>
  <c r="S619" i="9"/>
  <c r="R619" i="9"/>
  <c r="O619" i="9"/>
  <c r="C619" i="9"/>
  <c r="N619" i="9"/>
  <c r="AC618" i="9" l="1"/>
  <c r="S618" i="9"/>
  <c r="R618" i="9"/>
  <c r="O618" i="9"/>
  <c r="C618" i="9"/>
  <c r="N618" i="9"/>
  <c r="AC617" i="9" l="1"/>
  <c r="S617" i="9"/>
  <c r="R617" i="9"/>
  <c r="O617" i="9"/>
  <c r="C617" i="9"/>
  <c r="N617" i="9"/>
  <c r="C268" i="3"/>
  <c r="Q268" i="3"/>
  <c r="R268" i="3"/>
  <c r="AB268" i="3"/>
  <c r="N268" i="3"/>
  <c r="O546" i="8" l="1"/>
  <c r="AC546" i="8"/>
  <c r="O545" i="8"/>
  <c r="AC545" i="8"/>
  <c r="N615" i="9"/>
  <c r="N616" i="9"/>
  <c r="C615" i="9"/>
  <c r="C616" i="9"/>
  <c r="O615" i="9"/>
  <c r="O616" i="9"/>
  <c r="R615" i="9"/>
  <c r="R616" i="9"/>
  <c r="S615" i="9"/>
  <c r="S616" i="9"/>
  <c r="AC615" i="9"/>
  <c r="AC616" i="9"/>
  <c r="C113" i="5" l="1"/>
  <c r="C114" i="5"/>
  <c r="C115" i="5"/>
  <c r="N113" i="5"/>
  <c r="N114" i="5"/>
  <c r="N115" i="5"/>
  <c r="Q113" i="5"/>
  <c r="Q114" i="5"/>
  <c r="Q115" i="5"/>
  <c r="R113" i="5"/>
  <c r="R114" i="5"/>
  <c r="R115" i="5"/>
  <c r="AB113" i="5"/>
  <c r="AB114" i="5"/>
  <c r="AB115" i="5"/>
  <c r="AC614" i="9" l="1"/>
  <c r="S614" i="9"/>
  <c r="R614" i="9"/>
  <c r="O614" i="9"/>
  <c r="C614" i="9"/>
  <c r="N614" i="9"/>
  <c r="AC613" i="9"/>
  <c r="S613" i="9"/>
  <c r="R613" i="9"/>
  <c r="O613" i="9"/>
  <c r="C613" i="9"/>
  <c r="N613" i="9"/>
  <c r="O544" i="8"/>
  <c r="AC544" i="8"/>
  <c r="O543" i="8"/>
  <c r="AC543" i="8"/>
  <c r="C190" i="17"/>
  <c r="Q190" i="17"/>
  <c r="R190" i="17"/>
  <c r="Y190" i="17"/>
  <c r="AB190" i="17"/>
  <c r="Y188" i="17"/>
  <c r="Y5" i="17"/>
  <c r="Y6" i="17"/>
  <c r="Y7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Y51" i="17"/>
  <c r="Y52" i="17"/>
  <c r="Y53" i="17"/>
  <c r="Y54" i="17"/>
  <c r="Y55" i="17"/>
  <c r="Y56" i="17"/>
  <c r="Y57" i="17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Y111" i="17"/>
  <c r="Y112" i="17"/>
  <c r="Y113" i="17"/>
  <c r="Y114" i="17"/>
  <c r="Y115" i="17"/>
  <c r="Y116" i="17"/>
  <c r="Y117" i="17"/>
  <c r="Y118" i="17"/>
  <c r="Y119" i="17"/>
  <c r="Y120" i="17"/>
  <c r="Y121" i="17"/>
  <c r="Y122" i="17"/>
  <c r="Y123" i="17"/>
  <c r="Y124" i="17"/>
  <c r="Y125" i="17"/>
  <c r="Y126" i="17"/>
  <c r="Y127" i="17"/>
  <c r="Y128" i="17"/>
  <c r="Y129" i="17"/>
  <c r="Y130" i="17"/>
  <c r="Y131" i="17"/>
  <c r="Y132" i="17"/>
  <c r="Y133" i="17"/>
  <c r="Y134" i="17"/>
  <c r="Y135" i="17"/>
  <c r="Y136" i="17"/>
  <c r="Y137" i="17"/>
  <c r="Y138" i="17"/>
  <c r="Y139" i="17"/>
  <c r="Y140" i="17"/>
  <c r="Y141" i="17"/>
  <c r="Y142" i="17"/>
  <c r="Y143" i="17"/>
  <c r="Y144" i="17"/>
  <c r="Y145" i="17"/>
  <c r="Y146" i="17"/>
  <c r="Y147" i="17"/>
  <c r="Y148" i="17"/>
  <c r="Y149" i="17"/>
  <c r="Y150" i="17"/>
  <c r="Y151" i="17"/>
  <c r="Y152" i="17"/>
  <c r="Y153" i="17"/>
  <c r="Y154" i="17"/>
  <c r="Y155" i="17"/>
  <c r="Y156" i="17"/>
  <c r="Y157" i="17"/>
  <c r="Y158" i="17"/>
  <c r="Y159" i="17"/>
  <c r="Y160" i="17"/>
  <c r="Y161" i="17"/>
  <c r="Y162" i="17"/>
  <c r="Y163" i="17"/>
  <c r="Y164" i="17"/>
  <c r="Y165" i="17"/>
  <c r="Y166" i="17"/>
  <c r="Y167" i="17"/>
  <c r="Y168" i="17"/>
  <c r="Y169" i="17"/>
  <c r="Y170" i="17"/>
  <c r="Y171" i="17"/>
  <c r="Y172" i="17"/>
  <c r="Y173" i="17"/>
  <c r="Y174" i="17"/>
  <c r="Y175" i="17"/>
  <c r="Y176" i="17"/>
  <c r="Y177" i="17"/>
  <c r="Y178" i="17"/>
  <c r="Y179" i="17"/>
  <c r="Y180" i="17"/>
  <c r="Y181" i="17"/>
  <c r="Y182" i="17"/>
  <c r="Y183" i="17"/>
  <c r="Y184" i="17"/>
  <c r="Y185" i="17"/>
  <c r="Y186" i="17"/>
  <c r="Y187" i="17"/>
  <c r="Y189" i="17"/>
  <c r="AB266" i="3"/>
  <c r="R266" i="3"/>
  <c r="Q266" i="3"/>
  <c r="C266" i="3"/>
  <c r="N266" i="3"/>
  <c r="C188" i="17"/>
  <c r="C189" i="17"/>
  <c r="Q188" i="17"/>
  <c r="Q189" i="17"/>
  <c r="R188" i="17"/>
  <c r="R189" i="17"/>
  <c r="AB188" i="17"/>
  <c r="AB189" i="17"/>
  <c r="AB231" i="3"/>
  <c r="R231" i="3"/>
  <c r="Q231" i="3"/>
  <c r="N231" i="3"/>
  <c r="C231" i="3"/>
  <c r="AB232" i="3"/>
  <c r="R232" i="3"/>
  <c r="Q232" i="3"/>
  <c r="N232" i="3"/>
  <c r="C232" i="3"/>
  <c r="Y225" i="12"/>
  <c r="Y5" i="12"/>
  <c r="Y6" i="12"/>
  <c r="Y7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Y98" i="12"/>
  <c r="Y99" i="12"/>
  <c r="Y100" i="12"/>
  <c r="Y101" i="12"/>
  <c r="Y102" i="12"/>
  <c r="Y103" i="12"/>
  <c r="Y104" i="12"/>
  <c r="Y105" i="12"/>
  <c r="Y106" i="12"/>
  <c r="Y107" i="12"/>
  <c r="Y108" i="12"/>
  <c r="Y109" i="12"/>
  <c r="Y110" i="12"/>
  <c r="Y111" i="12"/>
  <c r="Y112" i="12"/>
  <c r="Y113" i="12"/>
  <c r="Y114" i="12"/>
  <c r="Y115" i="12"/>
  <c r="Y116" i="12"/>
  <c r="Y117" i="12"/>
  <c r="Y118" i="12"/>
  <c r="Y119" i="12"/>
  <c r="Y120" i="12"/>
  <c r="Y121" i="12"/>
  <c r="Y122" i="12"/>
  <c r="Y123" i="12"/>
  <c r="Y124" i="12"/>
  <c r="Y125" i="12"/>
  <c r="Y126" i="12"/>
  <c r="Y127" i="12"/>
  <c r="Y128" i="12"/>
  <c r="Y129" i="12"/>
  <c r="Y130" i="12"/>
  <c r="Y131" i="12"/>
  <c r="Y132" i="12"/>
  <c r="Y133" i="12"/>
  <c r="Y134" i="12"/>
  <c r="Y135" i="12"/>
  <c r="Y136" i="12"/>
  <c r="Y137" i="12"/>
  <c r="Y138" i="12"/>
  <c r="Y139" i="12"/>
  <c r="Y140" i="12"/>
  <c r="Y141" i="12"/>
  <c r="Y142" i="12"/>
  <c r="Y143" i="12"/>
  <c r="Y144" i="12"/>
  <c r="Y145" i="12"/>
  <c r="Y146" i="12"/>
  <c r="Y147" i="12"/>
  <c r="Y148" i="12"/>
  <c r="Y149" i="12"/>
  <c r="Y150" i="12"/>
  <c r="Y151" i="12"/>
  <c r="Y152" i="12"/>
  <c r="Y153" i="12"/>
  <c r="Y154" i="12"/>
  <c r="Y155" i="12"/>
  <c r="Y156" i="12"/>
  <c r="Y157" i="12"/>
  <c r="Y158" i="12"/>
  <c r="Y159" i="12"/>
  <c r="Y160" i="12"/>
  <c r="Y161" i="12"/>
  <c r="Y162" i="12"/>
  <c r="Y163" i="12"/>
  <c r="Y164" i="12"/>
  <c r="Y165" i="12"/>
  <c r="Y166" i="12"/>
  <c r="Y167" i="12"/>
  <c r="Y168" i="12"/>
  <c r="Y169" i="12"/>
  <c r="Y170" i="12"/>
  <c r="Y171" i="12"/>
  <c r="Y172" i="12"/>
  <c r="Y173" i="12"/>
  <c r="Y174" i="12"/>
  <c r="Y175" i="12"/>
  <c r="Y176" i="12"/>
  <c r="Y177" i="12"/>
  <c r="Y178" i="12"/>
  <c r="Y179" i="12"/>
  <c r="Y180" i="12"/>
  <c r="Y181" i="12"/>
  <c r="Y182" i="12"/>
  <c r="Y183" i="12"/>
  <c r="Y184" i="12"/>
  <c r="Y185" i="12"/>
  <c r="Y186" i="12"/>
  <c r="Y187" i="12"/>
  <c r="Y188" i="12"/>
  <c r="Y189" i="12"/>
  <c r="Y190" i="12"/>
  <c r="Y191" i="12"/>
  <c r="Y192" i="12"/>
  <c r="Y193" i="12"/>
  <c r="Y194" i="12"/>
  <c r="Y195" i="12"/>
  <c r="Y196" i="12"/>
  <c r="Y197" i="12"/>
  <c r="Y198" i="12"/>
  <c r="Y199" i="12"/>
  <c r="Y200" i="12"/>
  <c r="Y201" i="12"/>
  <c r="Y202" i="12"/>
  <c r="Y203" i="12"/>
  <c r="Y204" i="12"/>
  <c r="Y205" i="12"/>
  <c r="Y206" i="12"/>
  <c r="Y207" i="12"/>
  <c r="Y208" i="12"/>
  <c r="Y209" i="12"/>
  <c r="Y210" i="12"/>
  <c r="Y211" i="12"/>
  <c r="Y212" i="12"/>
  <c r="Y213" i="12"/>
  <c r="Y214" i="12"/>
  <c r="Y215" i="12"/>
  <c r="Y216" i="12"/>
  <c r="Y217" i="12"/>
  <c r="Y218" i="12"/>
  <c r="Y219" i="12"/>
  <c r="Y220" i="12"/>
  <c r="Y221" i="12"/>
  <c r="Y222" i="12"/>
  <c r="Y223" i="12"/>
  <c r="Y224" i="12"/>
  <c r="Y226" i="12"/>
  <c r="Y227" i="12"/>
  <c r="Y228" i="12"/>
  <c r="C228" i="12"/>
  <c r="N228" i="12"/>
  <c r="Q228" i="12"/>
  <c r="R228" i="12"/>
  <c r="AB228" i="12"/>
  <c r="C223" i="12"/>
  <c r="C224" i="12"/>
  <c r="C225" i="12"/>
  <c r="C226" i="12"/>
  <c r="C227" i="12"/>
  <c r="N223" i="12"/>
  <c r="N224" i="12"/>
  <c r="N225" i="12"/>
  <c r="N226" i="12"/>
  <c r="N227" i="12"/>
  <c r="Q223" i="12"/>
  <c r="Q224" i="12"/>
  <c r="Q225" i="12"/>
  <c r="Q226" i="12"/>
  <c r="Q227" i="12"/>
  <c r="R223" i="12"/>
  <c r="R224" i="12"/>
  <c r="R225" i="12"/>
  <c r="R226" i="12"/>
  <c r="R227" i="12"/>
  <c r="AB223" i="12"/>
  <c r="AB224" i="12"/>
  <c r="AB225" i="12"/>
  <c r="AB226" i="12"/>
  <c r="AB227" i="12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121" i="17"/>
  <c r="Q122" i="17"/>
  <c r="Q123" i="17"/>
  <c r="Q124" i="17"/>
  <c r="Q125" i="17"/>
  <c r="Q126" i="17"/>
  <c r="Q127" i="17"/>
  <c r="Q128" i="17"/>
  <c r="Q129" i="17"/>
  <c r="Q130" i="17"/>
  <c r="Q131" i="17"/>
  <c r="Q132" i="17"/>
  <c r="Q133" i="17"/>
  <c r="Q134" i="17"/>
  <c r="Q135" i="17"/>
  <c r="Q136" i="17"/>
  <c r="Q137" i="17"/>
  <c r="Q138" i="17"/>
  <c r="Q139" i="17"/>
  <c r="Q140" i="17"/>
  <c r="Q141" i="17"/>
  <c r="Q142" i="17"/>
  <c r="Q143" i="17"/>
  <c r="Q144" i="17"/>
  <c r="Q145" i="17"/>
  <c r="Q146" i="17"/>
  <c r="Q147" i="17"/>
  <c r="Q148" i="17"/>
  <c r="Q149" i="17"/>
  <c r="Q150" i="17"/>
  <c r="Q151" i="17"/>
  <c r="Q152" i="17"/>
  <c r="Q153" i="17"/>
  <c r="Q154" i="17"/>
  <c r="Q155" i="17"/>
  <c r="Q156" i="17"/>
  <c r="Q157" i="17"/>
  <c r="Q158" i="17"/>
  <c r="Q159" i="17"/>
  <c r="Q160" i="17"/>
  <c r="Q161" i="17"/>
  <c r="Q162" i="17"/>
  <c r="Q163" i="17"/>
  <c r="Q164" i="17"/>
  <c r="Q165" i="17"/>
  <c r="Q166" i="17"/>
  <c r="Q167" i="17"/>
  <c r="Q168" i="17"/>
  <c r="Q169" i="17"/>
  <c r="Q170" i="17"/>
  <c r="Q171" i="17"/>
  <c r="Q172" i="17"/>
  <c r="Q173" i="17"/>
  <c r="Q174" i="17"/>
  <c r="Q175" i="17"/>
  <c r="Q176" i="17"/>
  <c r="Q177" i="17"/>
  <c r="Q178" i="17"/>
  <c r="Q179" i="17"/>
  <c r="Q180" i="17"/>
  <c r="Q181" i="17"/>
  <c r="Q182" i="17"/>
  <c r="Q183" i="17"/>
  <c r="Q184" i="17"/>
  <c r="Q185" i="17"/>
  <c r="Q186" i="17"/>
  <c r="Q187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AB6" i="17"/>
  <c r="AB7" i="17"/>
  <c r="AB8" i="17"/>
  <c r="AB9" i="17"/>
  <c r="AB10" i="17"/>
  <c r="AB11" i="17"/>
  <c r="AB12" i="17"/>
  <c r="AB13" i="17"/>
  <c r="AB14" i="17"/>
  <c r="AB15" i="17"/>
  <c r="AB16" i="17"/>
  <c r="AB17" i="17"/>
  <c r="AB18" i="17"/>
  <c r="AB19" i="17"/>
  <c r="AB20" i="17"/>
  <c r="AB21" i="17"/>
  <c r="AB22" i="17"/>
  <c r="AB23" i="17"/>
  <c r="AB24" i="17"/>
  <c r="AB25" i="17"/>
  <c r="AB26" i="17"/>
  <c r="AB27" i="17"/>
  <c r="AB28" i="17"/>
  <c r="AB29" i="17"/>
  <c r="AB30" i="17"/>
  <c r="AB31" i="17"/>
  <c r="AB32" i="17"/>
  <c r="AB33" i="17"/>
  <c r="AB34" i="17"/>
  <c r="AB35" i="17"/>
  <c r="AB36" i="17"/>
  <c r="AB37" i="17"/>
  <c r="AB38" i="17"/>
  <c r="AB39" i="17"/>
  <c r="AB40" i="17"/>
  <c r="AB41" i="17"/>
  <c r="AB42" i="17"/>
  <c r="AB43" i="17"/>
  <c r="AB44" i="17"/>
  <c r="AB45" i="17"/>
  <c r="AB46" i="17"/>
  <c r="AB47" i="17"/>
  <c r="AB48" i="17"/>
  <c r="AB49" i="17"/>
  <c r="AB50" i="17"/>
  <c r="AB51" i="17"/>
  <c r="AB52" i="17"/>
  <c r="AB53" i="17"/>
  <c r="AB54" i="17"/>
  <c r="AB55" i="17"/>
  <c r="AB56" i="17"/>
  <c r="AB57" i="17"/>
  <c r="AB58" i="17"/>
  <c r="AB59" i="17"/>
  <c r="AB60" i="17"/>
  <c r="AB61" i="17"/>
  <c r="AB62" i="17"/>
  <c r="AB63" i="17"/>
  <c r="AB64" i="17"/>
  <c r="AB65" i="17"/>
  <c r="AB66" i="17"/>
  <c r="AB67" i="17"/>
  <c r="AB68" i="17"/>
  <c r="AB69" i="17"/>
  <c r="AB70" i="17"/>
  <c r="AB71" i="17"/>
  <c r="AB72" i="17"/>
  <c r="AB73" i="17"/>
  <c r="AB74" i="17"/>
  <c r="AB75" i="17"/>
  <c r="AB76" i="17"/>
  <c r="AB77" i="17"/>
  <c r="AB78" i="17"/>
  <c r="AB79" i="17"/>
  <c r="AB80" i="17"/>
  <c r="AB81" i="17"/>
  <c r="AB82" i="17"/>
  <c r="AB83" i="17"/>
  <c r="AB84" i="17"/>
  <c r="AB85" i="17"/>
  <c r="AB86" i="17"/>
  <c r="AB87" i="17"/>
  <c r="AB88" i="17"/>
  <c r="AB89" i="17"/>
  <c r="AB90" i="17"/>
  <c r="AB91" i="17"/>
  <c r="AB92" i="17"/>
  <c r="AB93" i="17"/>
  <c r="AB94" i="17"/>
  <c r="AB95" i="17"/>
  <c r="AB96" i="17"/>
  <c r="AB97" i="17"/>
  <c r="AB98" i="17"/>
  <c r="AB99" i="17"/>
  <c r="AB100" i="17"/>
  <c r="AB101" i="17"/>
  <c r="AB102" i="17"/>
  <c r="AB103" i="17"/>
  <c r="AB104" i="17"/>
  <c r="AB105" i="17"/>
  <c r="AB106" i="17"/>
  <c r="AB107" i="17"/>
  <c r="AB108" i="17"/>
  <c r="AB109" i="17"/>
  <c r="AB110" i="17"/>
  <c r="AB111" i="17"/>
  <c r="AB112" i="17"/>
  <c r="AB113" i="17"/>
  <c r="AB114" i="17"/>
  <c r="AB115" i="17"/>
  <c r="AB116" i="17"/>
  <c r="AB117" i="17"/>
  <c r="AB118" i="17"/>
  <c r="AB119" i="17"/>
  <c r="AB120" i="17"/>
  <c r="AB121" i="17"/>
  <c r="AB122" i="17"/>
  <c r="AB123" i="17"/>
  <c r="AB124" i="17"/>
  <c r="AB125" i="17"/>
  <c r="AB126" i="17"/>
  <c r="AB127" i="17"/>
  <c r="AB128" i="17"/>
  <c r="AB129" i="17"/>
  <c r="AB130" i="17"/>
  <c r="AB131" i="17"/>
  <c r="AB132" i="17"/>
  <c r="AB133" i="17"/>
  <c r="AB134" i="17"/>
  <c r="AB135" i="17"/>
  <c r="AB136" i="17"/>
  <c r="AB137" i="17"/>
  <c r="AB138" i="17"/>
  <c r="AB139" i="17"/>
  <c r="AB140" i="17"/>
  <c r="AB141" i="17"/>
  <c r="AB142" i="17"/>
  <c r="AB143" i="17"/>
  <c r="AB144" i="17"/>
  <c r="AB145" i="17"/>
  <c r="AB146" i="17"/>
  <c r="AB147" i="17"/>
  <c r="AB148" i="17"/>
  <c r="AB149" i="17"/>
  <c r="AB150" i="17"/>
  <c r="AB151" i="17"/>
  <c r="AB152" i="17"/>
  <c r="AB153" i="17"/>
  <c r="AB154" i="17"/>
  <c r="AB155" i="17"/>
  <c r="AB156" i="17"/>
  <c r="AB157" i="17"/>
  <c r="AB158" i="17"/>
  <c r="AB159" i="17"/>
  <c r="AB160" i="17"/>
  <c r="AB161" i="17"/>
  <c r="AB162" i="17"/>
  <c r="AB163" i="17"/>
  <c r="AB164" i="17"/>
  <c r="AB165" i="17"/>
  <c r="AB166" i="17"/>
  <c r="AB167" i="17"/>
  <c r="AB168" i="17"/>
  <c r="AB169" i="17"/>
  <c r="AB170" i="17"/>
  <c r="AB171" i="17"/>
  <c r="AB172" i="17"/>
  <c r="AB173" i="17"/>
  <c r="AB174" i="17"/>
  <c r="AB175" i="17"/>
  <c r="AB176" i="17"/>
  <c r="AB177" i="17"/>
  <c r="AB178" i="17"/>
  <c r="AB179" i="17"/>
  <c r="AB180" i="17"/>
  <c r="AB181" i="17"/>
  <c r="AB182" i="17"/>
  <c r="AB183" i="17"/>
  <c r="AB184" i="17"/>
  <c r="AB185" i="17"/>
  <c r="AB186" i="17"/>
  <c r="AB187" i="17"/>
  <c r="C5" i="17"/>
  <c r="AB5" i="17"/>
  <c r="R5" i="17"/>
  <c r="Q5" i="17"/>
  <c r="S5" i="17" s="1"/>
  <c r="S6" i="17" l="1"/>
  <c r="S7" i="17" s="1"/>
  <c r="S8" i="17" s="1"/>
  <c r="S9" i="17" s="1"/>
  <c r="S10" i="17" s="1"/>
  <c r="S11" i="17" s="1"/>
  <c r="S12" i="17" s="1"/>
  <c r="S13" i="17" s="1"/>
  <c r="S14" i="17" s="1"/>
  <c r="S15" i="17" s="1"/>
  <c r="S16" i="17" s="1"/>
  <c r="S17" i="17" s="1"/>
  <c r="S18" i="17" s="1"/>
  <c r="S19" i="17" s="1"/>
  <c r="S20" i="17" s="1"/>
  <c r="S21" i="17" s="1"/>
  <c r="S22" i="17" s="1"/>
  <c r="S23" i="17" s="1"/>
  <c r="S24" i="17" s="1"/>
  <c r="S25" i="17" s="1"/>
  <c r="S26" i="17" s="1"/>
  <c r="S27" i="17" s="1"/>
  <c r="S28" i="17" s="1"/>
  <c r="S29" i="17" s="1"/>
  <c r="S30" i="17" s="1"/>
  <c r="S31" i="17" s="1"/>
  <c r="S32" i="17" s="1"/>
  <c r="S33" i="17" s="1"/>
  <c r="S34" i="17" s="1"/>
  <c r="S35" i="17" s="1"/>
  <c r="S36" i="17" s="1"/>
  <c r="S37" i="17" s="1"/>
  <c r="S38" i="17" s="1"/>
  <c r="S39" i="17" s="1"/>
  <c r="S40" i="17" s="1"/>
  <c r="S41" i="17" s="1"/>
  <c r="S42" i="17" s="1"/>
  <c r="S43" i="17" s="1"/>
  <c r="S44" i="17" s="1"/>
  <c r="S45" i="17" s="1"/>
  <c r="S46" i="17" s="1"/>
  <c r="S47" i="17" s="1"/>
  <c r="S48" i="17" s="1"/>
  <c r="S49" i="17" s="1"/>
  <c r="S50" i="17" s="1"/>
  <c r="S51" i="17" s="1"/>
  <c r="S52" i="17" s="1"/>
  <c r="S53" i="17" s="1"/>
  <c r="S54" i="17" s="1"/>
  <c r="S55" i="17" s="1"/>
  <c r="S56" i="17" s="1"/>
  <c r="S57" i="17" s="1"/>
  <c r="S58" i="17" s="1"/>
  <c r="S59" i="17" s="1"/>
  <c r="S60" i="17" s="1"/>
  <c r="S61" i="17" s="1"/>
  <c r="S62" i="17" s="1"/>
  <c r="S63" i="17" s="1"/>
  <c r="S64" i="17" s="1"/>
  <c r="S65" i="17" s="1"/>
  <c r="S66" i="17" s="1"/>
  <c r="S67" i="17" s="1"/>
  <c r="S68" i="17" s="1"/>
  <c r="S69" i="17" s="1"/>
  <c r="S70" i="17" s="1"/>
  <c r="S71" i="17" s="1"/>
  <c r="S72" i="17" s="1"/>
  <c r="S73" i="17" s="1"/>
  <c r="S74" i="17" s="1"/>
  <c r="S75" i="17" s="1"/>
  <c r="S76" i="17" s="1"/>
  <c r="S77" i="17" s="1"/>
  <c r="S78" i="17" s="1"/>
  <c r="S79" i="17" s="1"/>
  <c r="S80" i="17" s="1"/>
  <c r="S81" i="17" s="1"/>
  <c r="S82" i="17" s="1"/>
  <c r="S83" i="17" s="1"/>
  <c r="S84" i="17" s="1"/>
  <c r="S85" i="17" s="1"/>
  <c r="S86" i="17" s="1"/>
  <c r="S87" i="17" s="1"/>
  <c r="S88" i="17" s="1"/>
  <c r="S89" i="17" s="1"/>
  <c r="S90" i="17" s="1"/>
  <c r="S91" i="17" s="1"/>
  <c r="S92" i="17" s="1"/>
  <c r="S93" i="17" s="1"/>
  <c r="S94" i="17" s="1"/>
  <c r="S95" i="17" s="1"/>
  <c r="S96" i="17" s="1"/>
  <c r="S97" i="17" s="1"/>
  <c r="S98" i="17" s="1"/>
  <c r="S99" i="17" s="1"/>
  <c r="S100" i="17" s="1"/>
  <c r="S101" i="17" s="1"/>
  <c r="S102" i="17" s="1"/>
  <c r="S103" i="17" s="1"/>
  <c r="S104" i="17" s="1"/>
  <c r="S105" i="17" s="1"/>
  <c r="S106" i="17" s="1"/>
  <c r="S107" i="17" s="1"/>
  <c r="S108" i="17" s="1"/>
  <c r="S109" i="17" s="1"/>
  <c r="S110" i="17" s="1"/>
  <c r="S111" i="17" s="1"/>
  <c r="S112" i="17" s="1"/>
  <c r="S113" i="17" s="1"/>
  <c r="S114" i="17" s="1"/>
  <c r="S115" i="17" s="1"/>
  <c r="S116" i="17" s="1"/>
  <c r="S117" i="17" s="1"/>
  <c r="S118" i="17" s="1"/>
  <c r="S119" i="17" s="1"/>
  <c r="S120" i="17" s="1"/>
  <c r="S121" i="17" s="1"/>
  <c r="S122" i="17" s="1"/>
  <c r="S123" i="17" s="1"/>
  <c r="S124" i="17" s="1"/>
  <c r="S125" i="17" s="1"/>
  <c r="S126" i="17" s="1"/>
  <c r="S127" i="17" s="1"/>
  <c r="S128" i="17" s="1"/>
  <c r="S129" i="17" s="1"/>
  <c r="S130" i="17" s="1"/>
  <c r="S131" i="17" s="1"/>
  <c r="S132" i="17" s="1"/>
  <c r="S133" i="17" s="1"/>
  <c r="S134" i="17" s="1"/>
  <c r="S135" i="17" s="1"/>
  <c r="S136" i="17" s="1"/>
  <c r="S137" i="17" s="1"/>
  <c r="S138" i="17" s="1"/>
  <c r="S139" i="17" s="1"/>
  <c r="S140" i="17" s="1"/>
  <c r="S141" i="17" s="1"/>
  <c r="S142" i="17" s="1"/>
  <c r="S143" i="17" s="1"/>
  <c r="S144" i="17" s="1"/>
  <c r="S145" i="17" s="1"/>
  <c r="S146" i="17" s="1"/>
  <c r="S147" i="17" s="1"/>
  <c r="S148" i="17" s="1"/>
  <c r="S149" i="17" s="1"/>
  <c r="S150" i="17" s="1"/>
  <c r="S151" i="17" s="1"/>
  <c r="S152" i="17" s="1"/>
  <c r="S153" i="17" s="1"/>
  <c r="S154" i="17" s="1"/>
  <c r="S155" i="17" s="1"/>
  <c r="S156" i="17" s="1"/>
  <c r="S157" i="17" s="1"/>
  <c r="S158" i="17" s="1"/>
  <c r="S159" i="17" s="1"/>
  <c r="S160" i="17" s="1"/>
  <c r="S161" i="17" s="1"/>
  <c r="S162" i="17" s="1"/>
  <c r="S163" i="17" s="1"/>
  <c r="S164" i="17" s="1"/>
  <c r="S165" i="17" s="1"/>
  <c r="S166" i="17" s="1"/>
  <c r="S167" i="17" s="1"/>
  <c r="S168" i="17" s="1"/>
  <c r="S169" i="17" s="1"/>
  <c r="S170" i="17" s="1"/>
  <c r="S171" i="17" s="1"/>
  <c r="S172" i="17" s="1"/>
  <c r="S173" i="17" s="1"/>
  <c r="S174" i="17" s="1"/>
  <c r="S175" i="17" s="1"/>
  <c r="S176" i="17" s="1"/>
  <c r="S177" i="17" s="1"/>
  <c r="S178" i="17" s="1"/>
  <c r="S179" i="17" s="1"/>
  <c r="S180" i="17" s="1"/>
  <c r="S181" i="17" s="1"/>
  <c r="S182" i="17" s="1"/>
  <c r="S183" i="17" s="1"/>
  <c r="S184" i="17" s="1"/>
  <c r="S185" i="17" s="1"/>
  <c r="S186" i="17" s="1"/>
  <c r="S187" i="17" s="1"/>
  <c r="S188" i="17" s="1"/>
  <c r="S189" i="17" s="1"/>
  <c r="S190" i="17" s="1"/>
  <c r="S191" i="17" s="1"/>
  <c r="S192" i="17" s="1"/>
  <c r="S193" i="17" s="1"/>
  <c r="S194" i="17" s="1"/>
  <c r="S195" i="17" s="1"/>
  <c r="S196" i="17" s="1"/>
  <c r="S197" i="17" s="1"/>
  <c r="S198" i="17" s="1"/>
  <c r="S199" i="17" s="1"/>
  <c r="S200" i="17" s="1"/>
  <c r="S201" i="17" s="1"/>
  <c r="S202" i="17" s="1"/>
  <c r="S203" i="17" s="1"/>
  <c r="S204" i="17" s="1"/>
  <c r="S205" i="17" s="1"/>
  <c r="S206" i="17" s="1"/>
  <c r="S207" i="17" s="1"/>
  <c r="S208" i="17" s="1"/>
  <c r="S209" i="17" s="1"/>
  <c r="S210" i="17" s="1"/>
  <c r="S211" i="17" s="1"/>
  <c r="S212" i="17" s="1"/>
  <c r="S213" i="17" s="1"/>
  <c r="S214" i="17" s="1"/>
  <c r="S215" i="17" s="1"/>
  <c r="S216" i="17" s="1"/>
  <c r="S217" i="17" s="1"/>
  <c r="S218" i="17" s="1"/>
  <c r="S219" i="17" s="1"/>
  <c r="S220" i="17" s="1"/>
  <c r="S221" i="17" s="1"/>
  <c r="S222" i="17" s="1"/>
  <c r="S223" i="17" s="1"/>
  <c r="S224" i="17" s="1"/>
  <c r="S225" i="17" s="1"/>
  <c r="S226" i="17" s="1"/>
  <c r="S227" i="17" s="1"/>
  <c r="S228" i="17" s="1"/>
  <c r="S229" i="17" s="1"/>
  <c r="N612" i="9"/>
  <c r="C612" i="9"/>
  <c r="O612" i="9"/>
  <c r="R612" i="9"/>
  <c r="S612" i="9"/>
  <c r="AC612" i="9"/>
  <c r="N611" i="9"/>
  <c r="C611" i="9"/>
  <c r="O611" i="9"/>
  <c r="R611" i="9"/>
  <c r="S611" i="9"/>
  <c r="AC611" i="9"/>
  <c r="N610" i="9"/>
  <c r="C610" i="9"/>
  <c r="O610" i="9"/>
  <c r="R610" i="9"/>
  <c r="S610" i="9"/>
  <c r="AC610" i="9"/>
  <c r="AB265" i="3" l="1"/>
  <c r="R265" i="3"/>
  <c r="Q265" i="3"/>
  <c r="N265" i="3"/>
  <c r="C265" i="3"/>
  <c r="AB264" i="3" l="1"/>
  <c r="R264" i="3"/>
  <c r="Q264" i="3"/>
  <c r="N264" i="3"/>
  <c r="C264" i="3"/>
  <c r="O534" i="8"/>
  <c r="O535" i="8"/>
  <c r="AC534" i="8"/>
  <c r="AC535" i="8"/>
  <c r="O530" i="8"/>
  <c r="AC530" i="8"/>
  <c r="O531" i="8"/>
  <c r="AC531" i="8"/>
  <c r="O401" i="8" l="1"/>
  <c r="AC401" i="8"/>
  <c r="O402" i="8"/>
  <c r="AC402" i="8"/>
  <c r="O389" i="8"/>
  <c r="AC389" i="8"/>
  <c r="O390" i="8"/>
  <c r="AC390" i="8"/>
  <c r="O391" i="8"/>
  <c r="AC391" i="8"/>
  <c r="O481" i="8" l="1"/>
  <c r="AC481" i="8"/>
  <c r="O482" i="8"/>
  <c r="AC482" i="8"/>
  <c r="O542" i="8" l="1"/>
  <c r="AC542" i="8"/>
  <c r="O541" i="8"/>
  <c r="AC541" i="8"/>
  <c r="O540" i="8"/>
  <c r="AC540" i="8"/>
  <c r="O537" i="8"/>
  <c r="AC537" i="8"/>
  <c r="N609" i="9"/>
  <c r="C609" i="9"/>
  <c r="O609" i="9"/>
  <c r="R609" i="9"/>
  <c r="S609" i="9"/>
  <c r="AC609" i="9"/>
  <c r="O527" i="8"/>
  <c r="AC527" i="8"/>
  <c r="O528" i="8"/>
  <c r="AC528" i="8"/>
  <c r="N608" i="9"/>
  <c r="C608" i="9"/>
  <c r="O608" i="9"/>
  <c r="R608" i="9"/>
  <c r="S608" i="9"/>
  <c r="AC608" i="9"/>
  <c r="N607" i="9"/>
  <c r="C607" i="9"/>
  <c r="O607" i="9"/>
  <c r="R607" i="9"/>
  <c r="S607" i="9"/>
  <c r="AC607" i="9"/>
  <c r="O536" i="8" l="1"/>
  <c r="AC536" i="8"/>
  <c r="H25" i="16"/>
  <c r="N606" i="9"/>
  <c r="C606" i="9"/>
  <c r="O606" i="9"/>
  <c r="R606" i="9"/>
  <c r="S606" i="9"/>
  <c r="AC606" i="9"/>
  <c r="C28" i="16" l="1"/>
  <c r="C32" i="16"/>
  <c r="C30" i="16"/>
  <c r="J31" i="16"/>
  <c r="G31" i="16"/>
  <c r="C31" i="16"/>
  <c r="J29" i="16"/>
  <c r="J27" i="16"/>
  <c r="J42" i="16"/>
  <c r="C263" i="3" l="1"/>
  <c r="N263" i="3"/>
  <c r="Q263" i="3"/>
  <c r="R263" i="3"/>
  <c r="AB263" i="3"/>
  <c r="C5" i="3"/>
  <c r="N5" i="3"/>
  <c r="Q5" i="3"/>
  <c r="S5" i="3" s="1"/>
  <c r="R5" i="3"/>
  <c r="AB5" i="3"/>
  <c r="C6" i="3"/>
  <c r="N6" i="3"/>
  <c r="R6" i="3"/>
  <c r="AB6" i="3"/>
  <c r="C7" i="3"/>
  <c r="N7" i="3"/>
  <c r="Q7" i="3"/>
  <c r="AB7" i="3"/>
  <c r="C8" i="3"/>
  <c r="N8" i="3"/>
  <c r="Q8" i="3"/>
  <c r="R8" i="3"/>
  <c r="AB8" i="3"/>
  <c r="C9" i="3"/>
  <c r="N9" i="3"/>
  <c r="Q9" i="3"/>
  <c r="R9" i="3"/>
  <c r="AB9" i="3"/>
  <c r="C10" i="3"/>
  <c r="N10" i="3"/>
  <c r="Q10" i="3"/>
  <c r="R10" i="3"/>
  <c r="AB10" i="3"/>
  <c r="C11" i="3"/>
  <c r="N11" i="3"/>
  <c r="Q11" i="3"/>
  <c r="R11" i="3"/>
  <c r="AB11" i="3"/>
  <c r="C12" i="3"/>
  <c r="N12" i="3"/>
  <c r="Q12" i="3"/>
  <c r="R12" i="3"/>
  <c r="AB12" i="3"/>
  <c r="C15" i="3"/>
  <c r="N15" i="3"/>
  <c r="Q15" i="3"/>
  <c r="R15" i="3"/>
  <c r="AB15" i="3"/>
  <c r="C16" i="3"/>
  <c r="N16" i="3"/>
  <c r="Q16" i="3"/>
  <c r="R16" i="3"/>
  <c r="AB16" i="3"/>
  <c r="C17" i="3"/>
  <c r="N17" i="3"/>
  <c r="Q17" i="3"/>
  <c r="R17" i="3"/>
  <c r="AB17" i="3"/>
  <c r="C18" i="3"/>
  <c r="N18" i="3"/>
  <c r="Q18" i="3"/>
  <c r="R18" i="3"/>
  <c r="AB18" i="3"/>
  <c r="C19" i="3"/>
  <c r="N19" i="3"/>
  <c r="Q19" i="3"/>
  <c r="R19" i="3"/>
  <c r="AB19" i="3"/>
  <c r="C20" i="3"/>
  <c r="N20" i="3"/>
  <c r="Q20" i="3"/>
  <c r="R20" i="3"/>
  <c r="AB20" i="3"/>
  <c r="C21" i="3"/>
  <c r="N21" i="3"/>
  <c r="Q21" i="3"/>
  <c r="R21" i="3"/>
  <c r="AB21" i="3"/>
  <c r="C22" i="3"/>
  <c r="N22" i="3"/>
  <c r="Q22" i="3"/>
  <c r="R22" i="3"/>
  <c r="AB22" i="3"/>
  <c r="C23" i="3"/>
  <c r="N23" i="3"/>
  <c r="Q23" i="3"/>
  <c r="R23" i="3"/>
  <c r="AB23" i="3"/>
  <c r="C24" i="3"/>
  <c r="N24" i="3"/>
  <c r="Q24" i="3"/>
  <c r="R24" i="3"/>
  <c r="AB24" i="3"/>
  <c r="C25" i="3"/>
  <c r="N25" i="3"/>
  <c r="Q25" i="3"/>
  <c r="R25" i="3"/>
  <c r="AB25" i="3"/>
  <c r="C26" i="3"/>
  <c r="N26" i="3"/>
  <c r="Q26" i="3"/>
  <c r="R26" i="3"/>
  <c r="AB26" i="3"/>
  <c r="C27" i="3"/>
  <c r="N27" i="3"/>
  <c r="Q27" i="3"/>
  <c r="R27" i="3"/>
  <c r="AB27" i="3"/>
  <c r="C28" i="3"/>
  <c r="N28" i="3"/>
  <c r="Q28" i="3"/>
  <c r="R28" i="3"/>
  <c r="AB28" i="3"/>
  <c r="C29" i="3"/>
  <c r="N29" i="3"/>
  <c r="Q29" i="3"/>
  <c r="R29" i="3"/>
  <c r="AB29" i="3"/>
  <c r="C30" i="3"/>
  <c r="N30" i="3"/>
  <c r="Q30" i="3"/>
  <c r="R30" i="3"/>
  <c r="AB30" i="3"/>
  <c r="C31" i="3"/>
  <c r="N31" i="3"/>
  <c r="Q31" i="3"/>
  <c r="R31" i="3"/>
  <c r="AB31" i="3"/>
  <c r="C32" i="3"/>
  <c r="N32" i="3"/>
  <c r="Q32" i="3"/>
  <c r="R32" i="3"/>
  <c r="AB32" i="3"/>
  <c r="C33" i="3"/>
  <c r="N33" i="3"/>
  <c r="Q33" i="3"/>
  <c r="R33" i="3"/>
  <c r="AB33" i="3"/>
  <c r="C34" i="3"/>
  <c r="N34" i="3"/>
  <c r="Q34" i="3"/>
  <c r="R34" i="3"/>
  <c r="AB34" i="3"/>
  <c r="C35" i="3"/>
  <c r="N35" i="3"/>
  <c r="Q35" i="3"/>
  <c r="R35" i="3"/>
  <c r="AB35" i="3"/>
  <c r="C36" i="3"/>
  <c r="N36" i="3"/>
  <c r="Q36" i="3"/>
  <c r="R36" i="3"/>
  <c r="AB36" i="3"/>
  <c r="C37" i="3"/>
  <c r="N37" i="3"/>
  <c r="Q37" i="3"/>
  <c r="R37" i="3"/>
  <c r="AB37" i="3"/>
  <c r="C38" i="3"/>
  <c r="N38" i="3"/>
  <c r="Q38" i="3"/>
  <c r="R38" i="3"/>
  <c r="AB38" i="3"/>
  <c r="C39" i="3"/>
  <c r="N39" i="3"/>
  <c r="Q39" i="3"/>
  <c r="R39" i="3"/>
  <c r="AB39" i="3"/>
  <c r="C40" i="3"/>
  <c r="N40" i="3"/>
  <c r="Q40" i="3"/>
  <c r="R40" i="3"/>
  <c r="AB40" i="3"/>
  <c r="C41" i="3"/>
  <c r="N41" i="3"/>
  <c r="Q41" i="3"/>
  <c r="R41" i="3"/>
  <c r="AB41" i="3"/>
  <c r="C42" i="3"/>
  <c r="N42" i="3"/>
  <c r="Q42" i="3"/>
  <c r="R42" i="3"/>
  <c r="AB42" i="3"/>
  <c r="C43" i="3"/>
  <c r="N43" i="3"/>
  <c r="Q43" i="3"/>
  <c r="R43" i="3"/>
  <c r="AB43" i="3"/>
  <c r="C44" i="3"/>
  <c r="N44" i="3"/>
  <c r="Q44" i="3"/>
  <c r="R44" i="3"/>
  <c r="AB44" i="3"/>
  <c r="C45" i="3"/>
  <c r="N45" i="3"/>
  <c r="Q45" i="3"/>
  <c r="R45" i="3"/>
  <c r="AB45" i="3"/>
  <c r="C46" i="3"/>
  <c r="N46" i="3"/>
  <c r="Q46" i="3"/>
  <c r="R46" i="3"/>
  <c r="AB46" i="3"/>
  <c r="C47" i="3"/>
  <c r="N47" i="3"/>
  <c r="Q47" i="3"/>
  <c r="R47" i="3"/>
  <c r="AB47" i="3"/>
  <c r="C48" i="3"/>
  <c r="N48" i="3"/>
  <c r="Q48" i="3"/>
  <c r="R48" i="3"/>
  <c r="AB48" i="3"/>
  <c r="C49" i="3"/>
  <c r="N49" i="3"/>
  <c r="Q49" i="3"/>
  <c r="R49" i="3"/>
  <c r="AB49" i="3"/>
  <c r="C50" i="3"/>
  <c r="N50" i="3"/>
  <c r="Q50" i="3"/>
  <c r="R50" i="3"/>
  <c r="AB50" i="3"/>
  <c r="C51" i="3"/>
  <c r="N51" i="3"/>
  <c r="Q51" i="3"/>
  <c r="R51" i="3"/>
  <c r="AB51" i="3"/>
  <c r="C52" i="3"/>
  <c r="N52" i="3"/>
  <c r="Q52" i="3"/>
  <c r="R52" i="3"/>
  <c r="AB52" i="3"/>
  <c r="C53" i="3"/>
  <c r="N53" i="3"/>
  <c r="Q53" i="3"/>
  <c r="R53" i="3"/>
  <c r="AB53" i="3"/>
  <c r="C54" i="3"/>
  <c r="N54" i="3"/>
  <c r="Q54" i="3"/>
  <c r="R54" i="3"/>
  <c r="AB54" i="3"/>
  <c r="C55" i="3"/>
  <c r="N55" i="3"/>
  <c r="Q55" i="3"/>
  <c r="R55" i="3"/>
  <c r="AB55" i="3"/>
  <c r="C56" i="3"/>
  <c r="N56" i="3"/>
  <c r="Q56" i="3"/>
  <c r="R56" i="3"/>
  <c r="AB56" i="3"/>
  <c r="C57" i="3"/>
  <c r="N57" i="3"/>
  <c r="Q57" i="3"/>
  <c r="R57" i="3"/>
  <c r="AB57" i="3"/>
  <c r="C58" i="3"/>
  <c r="N58" i="3"/>
  <c r="Q58" i="3"/>
  <c r="R58" i="3"/>
  <c r="AB58" i="3"/>
  <c r="C59" i="3"/>
  <c r="N59" i="3"/>
  <c r="Q59" i="3"/>
  <c r="R59" i="3"/>
  <c r="AB59" i="3"/>
  <c r="C60" i="3"/>
  <c r="N60" i="3"/>
  <c r="Q60" i="3"/>
  <c r="R60" i="3"/>
  <c r="AB60" i="3"/>
  <c r="C61" i="3"/>
  <c r="N61" i="3"/>
  <c r="Q61" i="3"/>
  <c r="R61" i="3"/>
  <c r="AB61" i="3"/>
  <c r="C62" i="3"/>
  <c r="N62" i="3"/>
  <c r="Q62" i="3"/>
  <c r="R62" i="3"/>
  <c r="AB62" i="3"/>
  <c r="C63" i="3"/>
  <c r="N63" i="3"/>
  <c r="Q63" i="3"/>
  <c r="R63" i="3"/>
  <c r="AB63" i="3"/>
  <c r="C64" i="3"/>
  <c r="N64" i="3"/>
  <c r="Q64" i="3"/>
  <c r="R64" i="3"/>
  <c r="AB64" i="3"/>
  <c r="C65" i="3"/>
  <c r="N65" i="3"/>
  <c r="Q65" i="3"/>
  <c r="R65" i="3"/>
  <c r="AB65" i="3"/>
  <c r="C66" i="3"/>
  <c r="N66" i="3"/>
  <c r="Q66" i="3"/>
  <c r="R66" i="3"/>
  <c r="AB66" i="3"/>
  <c r="C67" i="3"/>
  <c r="N67" i="3"/>
  <c r="Q67" i="3"/>
  <c r="R67" i="3"/>
  <c r="AB67" i="3"/>
  <c r="C68" i="3"/>
  <c r="N68" i="3"/>
  <c r="Q68" i="3"/>
  <c r="R68" i="3"/>
  <c r="AB68" i="3"/>
  <c r="C69" i="3"/>
  <c r="N69" i="3"/>
  <c r="Q69" i="3"/>
  <c r="R69" i="3"/>
  <c r="AB69" i="3"/>
  <c r="C70" i="3"/>
  <c r="N70" i="3"/>
  <c r="Q70" i="3"/>
  <c r="R70" i="3"/>
  <c r="AB70" i="3"/>
  <c r="C71" i="3"/>
  <c r="N71" i="3"/>
  <c r="Q71" i="3"/>
  <c r="R71" i="3"/>
  <c r="AB71" i="3"/>
  <c r="C72" i="3"/>
  <c r="N72" i="3"/>
  <c r="Q72" i="3"/>
  <c r="R72" i="3"/>
  <c r="AB72" i="3"/>
  <c r="C73" i="3"/>
  <c r="N73" i="3"/>
  <c r="Q73" i="3"/>
  <c r="R73" i="3"/>
  <c r="AB73" i="3"/>
  <c r="C74" i="3"/>
  <c r="N74" i="3"/>
  <c r="Q74" i="3"/>
  <c r="R74" i="3"/>
  <c r="AB74" i="3"/>
  <c r="C75" i="3"/>
  <c r="N75" i="3"/>
  <c r="Q75" i="3"/>
  <c r="R75" i="3"/>
  <c r="AB75" i="3"/>
  <c r="C76" i="3"/>
  <c r="N76" i="3"/>
  <c r="Q76" i="3"/>
  <c r="R76" i="3"/>
  <c r="AB76" i="3"/>
  <c r="C77" i="3"/>
  <c r="N77" i="3"/>
  <c r="Q77" i="3"/>
  <c r="R77" i="3"/>
  <c r="AB77" i="3"/>
  <c r="C78" i="3"/>
  <c r="N78" i="3"/>
  <c r="Q78" i="3"/>
  <c r="R78" i="3"/>
  <c r="AB78" i="3"/>
  <c r="C79" i="3"/>
  <c r="N79" i="3"/>
  <c r="Q79" i="3"/>
  <c r="R79" i="3"/>
  <c r="AB79" i="3"/>
  <c r="C80" i="3"/>
  <c r="N80" i="3"/>
  <c r="Q80" i="3"/>
  <c r="R80" i="3"/>
  <c r="AB80" i="3"/>
  <c r="C81" i="3"/>
  <c r="N81" i="3"/>
  <c r="Q81" i="3"/>
  <c r="R81" i="3"/>
  <c r="AB81" i="3"/>
  <c r="C82" i="3"/>
  <c r="N82" i="3"/>
  <c r="Q82" i="3"/>
  <c r="R82" i="3"/>
  <c r="AB82" i="3"/>
  <c r="C83" i="3"/>
  <c r="N83" i="3"/>
  <c r="Q83" i="3"/>
  <c r="R83" i="3"/>
  <c r="AB83" i="3"/>
  <c r="C84" i="3"/>
  <c r="N84" i="3"/>
  <c r="Q84" i="3"/>
  <c r="R84" i="3"/>
  <c r="AB84" i="3"/>
  <c r="C85" i="3"/>
  <c r="N85" i="3"/>
  <c r="Q85" i="3"/>
  <c r="R85" i="3"/>
  <c r="AB85" i="3"/>
  <c r="C86" i="3"/>
  <c r="N86" i="3"/>
  <c r="Q86" i="3"/>
  <c r="R86" i="3"/>
  <c r="AB86" i="3"/>
  <c r="C87" i="3"/>
  <c r="N87" i="3"/>
  <c r="Q87" i="3"/>
  <c r="R87" i="3"/>
  <c r="AB87" i="3"/>
  <c r="C88" i="3"/>
  <c r="N88" i="3"/>
  <c r="Q88" i="3"/>
  <c r="R88" i="3"/>
  <c r="AB88" i="3"/>
  <c r="C89" i="3"/>
  <c r="N89" i="3"/>
  <c r="Q89" i="3"/>
  <c r="R89" i="3"/>
  <c r="AB89" i="3"/>
  <c r="C90" i="3"/>
  <c r="N90" i="3"/>
  <c r="Q90" i="3"/>
  <c r="R90" i="3"/>
  <c r="AB90" i="3"/>
  <c r="C91" i="3"/>
  <c r="N91" i="3"/>
  <c r="Q91" i="3"/>
  <c r="R91" i="3"/>
  <c r="AB91" i="3"/>
  <c r="C92" i="3"/>
  <c r="N92" i="3"/>
  <c r="Q92" i="3"/>
  <c r="R92" i="3"/>
  <c r="AB92" i="3"/>
  <c r="C93" i="3"/>
  <c r="N93" i="3"/>
  <c r="Q93" i="3"/>
  <c r="R93" i="3"/>
  <c r="AB93" i="3"/>
  <c r="C94" i="3"/>
  <c r="N94" i="3"/>
  <c r="Q94" i="3"/>
  <c r="R94" i="3"/>
  <c r="AB94" i="3"/>
  <c r="C95" i="3"/>
  <c r="N95" i="3"/>
  <c r="Q95" i="3"/>
  <c r="R95" i="3"/>
  <c r="AB95" i="3"/>
  <c r="C96" i="3"/>
  <c r="N96" i="3"/>
  <c r="Q96" i="3"/>
  <c r="R96" i="3"/>
  <c r="AB96" i="3"/>
  <c r="C97" i="3"/>
  <c r="N97" i="3"/>
  <c r="Q97" i="3"/>
  <c r="R97" i="3"/>
  <c r="AB97" i="3"/>
  <c r="C98" i="3"/>
  <c r="N98" i="3"/>
  <c r="Q98" i="3"/>
  <c r="R98" i="3"/>
  <c r="AB98" i="3"/>
  <c r="C99" i="3"/>
  <c r="N99" i="3"/>
  <c r="Q99" i="3"/>
  <c r="R99" i="3"/>
  <c r="AB99" i="3"/>
  <c r="C100" i="3"/>
  <c r="N100" i="3"/>
  <c r="Q100" i="3"/>
  <c r="R100" i="3"/>
  <c r="AB100" i="3"/>
  <c r="C101" i="3"/>
  <c r="N101" i="3"/>
  <c r="Q101" i="3"/>
  <c r="R101" i="3"/>
  <c r="AB101" i="3"/>
  <c r="C102" i="3"/>
  <c r="N102" i="3"/>
  <c r="Q102" i="3"/>
  <c r="R102" i="3"/>
  <c r="AB102" i="3"/>
  <c r="C103" i="3"/>
  <c r="N103" i="3"/>
  <c r="Q103" i="3"/>
  <c r="R103" i="3"/>
  <c r="AB103" i="3"/>
  <c r="C104" i="3"/>
  <c r="N104" i="3"/>
  <c r="Q104" i="3"/>
  <c r="R104" i="3"/>
  <c r="AB104" i="3"/>
  <c r="C105" i="3"/>
  <c r="N105" i="3"/>
  <c r="Q105" i="3"/>
  <c r="R105" i="3"/>
  <c r="AB105" i="3"/>
  <c r="C106" i="3"/>
  <c r="N106" i="3"/>
  <c r="Q106" i="3"/>
  <c r="R106" i="3"/>
  <c r="AB106" i="3"/>
  <c r="C107" i="3"/>
  <c r="N107" i="3"/>
  <c r="Q107" i="3"/>
  <c r="R107" i="3"/>
  <c r="AB107" i="3"/>
  <c r="C108" i="3"/>
  <c r="N108" i="3"/>
  <c r="Q108" i="3"/>
  <c r="R108" i="3"/>
  <c r="AB108" i="3"/>
  <c r="C109" i="3"/>
  <c r="N109" i="3"/>
  <c r="Q109" i="3"/>
  <c r="R109" i="3"/>
  <c r="AB109" i="3"/>
  <c r="C110" i="3"/>
  <c r="N110" i="3"/>
  <c r="Q110" i="3"/>
  <c r="R110" i="3"/>
  <c r="AB110" i="3"/>
  <c r="C111" i="3"/>
  <c r="N111" i="3"/>
  <c r="Q111" i="3"/>
  <c r="R111" i="3"/>
  <c r="AB111" i="3"/>
  <c r="C112" i="3"/>
  <c r="N112" i="3"/>
  <c r="Q112" i="3"/>
  <c r="R112" i="3"/>
  <c r="AB112" i="3"/>
  <c r="C113" i="3"/>
  <c r="N113" i="3"/>
  <c r="Q113" i="3"/>
  <c r="R113" i="3"/>
  <c r="AB113" i="3"/>
  <c r="C114" i="3"/>
  <c r="N114" i="3"/>
  <c r="Q114" i="3"/>
  <c r="R114" i="3"/>
  <c r="AB114" i="3"/>
  <c r="C115" i="3"/>
  <c r="N115" i="3"/>
  <c r="Q115" i="3"/>
  <c r="R115" i="3"/>
  <c r="AB115" i="3"/>
  <c r="C116" i="3"/>
  <c r="N116" i="3"/>
  <c r="Q116" i="3"/>
  <c r="R116" i="3"/>
  <c r="AB116" i="3"/>
  <c r="C117" i="3"/>
  <c r="N117" i="3"/>
  <c r="Q117" i="3"/>
  <c r="R117" i="3"/>
  <c r="AB117" i="3"/>
  <c r="C118" i="3"/>
  <c r="N118" i="3"/>
  <c r="Q118" i="3"/>
  <c r="R118" i="3"/>
  <c r="AB118" i="3"/>
  <c r="C119" i="3"/>
  <c r="N119" i="3"/>
  <c r="Q119" i="3"/>
  <c r="R119" i="3"/>
  <c r="AB119" i="3"/>
  <c r="C120" i="3"/>
  <c r="N120" i="3"/>
  <c r="Q120" i="3"/>
  <c r="R120" i="3"/>
  <c r="AB120" i="3"/>
  <c r="C121" i="3"/>
  <c r="N121" i="3"/>
  <c r="Q121" i="3"/>
  <c r="R121" i="3"/>
  <c r="AB121" i="3"/>
  <c r="C122" i="3"/>
  <c r="N122" i="3"/>
  <c r="Q122" i="3"/>
  <c r="R122" i="3"/>
  <c r="AB122" i="3"/>
  <c r="C123" i="3"/>
  <c r="N123" i="3"/>
  <c r="Q123" i="3"/>
  <c r="R123" i="3"/>
  <c r="AB123" i="3"/>
  <c r="C124" i="3"/>
  <c r="N124" i="3"/>
  <c r="Q124" i="3"/>
  <c r="R124" i="3"/>
  <c r="AB124" i="3"/>
  <c r="C125" i="3"/>
  <c r="N125" i="3"/>
  <c r="Q125" i="3"/>
  <c r="R125" i="3"/>
  <c r="AB125" i="3"/>
  <c r="C126" i="3"/>
  <c r="N126" i="3"/>
  <c r="Q126" i="3"/>
  <c r="R126" i="3"/>
  <c r="AB126" i="3"/>
  <c r="C127" i="3"/>
  <c r="N127" i="3"/>
  <c r="Q127" i="3"/>
  <c r="R127" i="3"/>
  <c r="AB127" i="3"/>
  <c r="C128" i="3"/>
  <c r="N128" i="3"/>
  <c r="Q128" i="3"/>
  <c r="R128" i="3"/>
  <c r="AB128" i="3"/>
  <c r="C129" i="3"/>
  <c r="N129" i="3"/>
  <c r="Q129" i="3"/>
  <c r="R129" i="3"/>
  <c r="AB129" i="3"/>
  <c r="C130" i="3"/>
  <c r="N130" i="3"/>
  <c r="Q130" i="3"/>
  <c r="R130" i="3"/>
  <c r="AB130" i="3"/>
  <c r="C131" i="3"/>
  <c r="N131" i="3"/>
  <c r="Q131" i="3"/>
  <c r="R131" i="3"/>
  <c r="AB131" i="3"/>
  <c r="C132" i="3"/>
  <c r="N132" i="3"/>
  <c r="Q132" i="3"/>
  <c r="R132" i="3"/>
  <c r="AB132" i="3"/>
  <c r="C133" i="3"/>
  <c r="N133" i="3"/>
  <c r="Q133" i="3"/>
  <c r="R133" i="3"/>
  <c r="AB133" i="3"/>
  <c r="C134" i="3"/>
  <c r="N134" i="3"/>
  <c r="Q134" i="3"/>
  <c r="R134" i="3"/>
  <c r="AB134" i="3"/>
  <c r="C135" i="3"/>
  <c r="N135" i="3"/>
  <c r="Q135" i="3"/>
  <c r="R135" i="3"/>
  <c r="AB135" i="3"/>
  <c r="C136" i="3"/>
  <c r="N136" i="3"/>
  <c r="Q136" i="3"/>
  <c r="R136" i="3"/>
  <c r="AB136" i="3"/>
  <c r="C137" i="3"/>
  <c r="N137" i="3"/>
  <c r="Q137" i="3"/>
  <c r="R137" i="3"/>
  <c r="AB137" i="3"/>
  <c r="C138" i="3"/>
  <c r="N138" i="3"/>
  <c r="Q138" i="3"/>
  <c r="R138" i="3"/>
  <c r="AB138" i="3"/>
  <c r="C139" i="3"/>
  <c r="N139" i="3"/>
  <c r="Q139" i="3"/>
  <c r="R139" i="3"/>
  <c r="AB139" i="3"/>
  <c r="C140" i="3"/>
  <c r="N140" i="3"/>
  <c r="Q140" i="3"/>
  <c r="R140" i="3"/>
  <c r="AB140" i="3"/>
  <c r="C141" i="3"/>
  <c r="N141" i="3"/>
  <c r="Q141" i="3"/>
  <c r="R141" i="3"/>
  <c r="AB141" i="3"/>
  <c r="C142" i="3"/>
  <c r="N142" i="3"/>
  <c r="Q142" i="3"/>
  <c r="R142" i="3"/>
  <c r="AB142" i="3"/>
  <c r="C143" i="3"/>
  <c r="N143" i="3"/>
  <c r="Q143" i="3"/>
  <c r="R143" i="3"/>
  <c r="AB143" i="3"/>
  <c r="C144" i="3"/>
  <c r="N144" i="3"/>
  <c r="Q144" i="3"/>
  <c r="R144" i="3"/>
  <c r="AB144" i="3"/>
  <c r="C145" i="3"/>
  <c r="N145" i="3"/>
  <c r="Q145" i="3"/>
  <c r="R145" i="3"/>
  <c r="AB145" i="3"/>
  <c r="C146" i="3"/>
  <c r="N146" i="3"/>
  <c r="Q146" i="3"/>
  <c r="R146" i="3"/>
  <c r="AB146" i="3"/>
  <c r="C147" i="3"/>
  <c r="N147" i="3"/>
  <c r="Q147" i="3"/>
  <c r="R147" i="3"/>
  <c r="AB147" i="3"/>
  <c r="C148" i="3"/>
  <c r="N148" i="3"/>
  <c r="Q148" i="3"/>
  <c r="R148" i="3"/>
  <c r="AB148" i="3"/>
  <c r="C149" i="3"/>
  <c r="N149" i="3"/>
  <c r="Q149" i="3"/>
  <c r="R149" i="3"/>
  <c r="AB149" i="3"/>
  <c r="C150" i="3"/>
  <c r="N150" i="3"/>
  <c r="Q150" i="3"/>
  <c r="R150" i="3"/>
  <c r="AB150" i="3"/>
  <c r="C151" i="3"/>
  <c r="N151" i="3"/>
  <c r="Q151" i="3"/>
  <c r="R151" i="3"/>
  <c r="AB151" i="3"/>
  <c r="C152" i="3"/>
  <c r="N152" i="3"/>
  <c r="Q152" i="3"/>
  <c r="R152" i="3"/>
  <c r="AB152" i="3"/>
  <c r="C153" i="3"/>
  <c r="N153" i="3"/>
  <c r="Q153" i="3"/>
  <c r="R153" i="3"/>
  <c r="AB153" i="3"/>
  <c r="C154" i="3"/>
  <c r="N154" i="3"/>
  <c r="Q154" i="3"/>
  <c r="R154" i="3"/>
  <c r="AB154" i="3"/>
  <c r="C155" i="3"/>
  <c r="N155" i="3"/>
  <c r="Q155" i="3"/>
  <c r="R155" i="3"/>
  <c r="AB155" i="3"/>
  <c r="C156" i="3"/>
  <c r="N156" i="3"/>
  <c r="Q156" i="3"/>
  <c r="R156" i="3"/>
  <c r="AB156" i="3"/>
  <c r="C157" i="3"/>
  <c r="N157" i="3"/>
  <c r="Q157" i="3"/>
  <c r="R157" i="3"/>
  <c r="AB157" i="3"/>
  <c r="C158" i="3"/>
  <c r="N158" i="3"/>
  <c r="Q158" i="3"/>
  <c r="R158" i="3"/>
  <c r="AB158" i="3"/>
  <c r="C159" i="3"/>
  <c r="N159" i="3"/>
  <c r="Q159" i="3"/>
  <c r="R159" i="3"/>
  <c r="AB159" i="3"/>
  <c r="C160" i="3"/>
  <c r="N160" i="3"/>
  <c r="Q160" i="3"/>
  <c r="R160" i="3"/>
  <c r="AB160" i="3"/>
  <c r="C161" i="3"/>
  <c r="N161" i="3"/>
  <c r="Q161" i="3"/>
  <c r="R161" i="3"/>
  <c r="AB161" i="3"/>
  <c r="C162" i="3"/>
  <c r="N162" i="3"/>
  <c r="Q162" i="3"/>
  <c r="R162" i="3"/>
  <c r="AB162" i="3"/>
  <c r="C163" i="3"/>
  <c r="N163" i="3"/>
  <c r="Q163" i="3"/>
  <c r="R163" i="3"/>
  <c r="AB163" i="3"/>
  <c r="C164" i="3"/>
  <c r="N164" i="3"/>
  <c r="Q164" i="3"/>
  <c r="R164" i="3"/>
  <c r="AB164" i="3"/>
  <c r="C165" i="3"/>
  <c r="N165" i="3"/>
  <c r="Q165" i="3"/>
  <c r="R165" i="3"/>
  <c r="AB165" i="3"/>
  <c r="C166" i="3"/>
  <c r="N166" i="3"/>
  <c r="Q166" i="3"/>
  <c r="R166" i="3"/>
  <c r="AB166" i="3"/>
  <c r="C167" i="3"/>
  <c r="N167" i="3"/>
  <c r="Q167" i="3"/>
  <c r="R167" i="3"/>
  <c r="AB167" i="3"/>
  <c r="C168" i="3"/>
  <c r="N168" i="3"/>
  <c r="Q168" i="3"/>
  <c r="R168" i="3"/>
  <c r="AB168" i="3"/>
  <c r="C169" i="3"/>
  <c r="N169" i="3"/>
  <c r="Q169" i="3"/>
  <c r="R169" i="3"/>
  <c r="AB169" i="3"/>
  <c r="C170" i="3"/>
  <c r="N170" i="3"/>
  <c r="Q170" i="3"/>
  <c r="R170" i="3"/>
  <c r="AB170" i="3"/>
  <c r="C171" i="3"/>
  <c r="N171" i="3"/>
  <c r="Q171" i="3"/>
  <c r="R171" i="3"/>
  <c r="AB171" i="3"/>
  <c r="C172" i="3"/>
  <c r="N172" i="3"/>
  <c r="Q172" i="3"/>
  <c r="R172" i="3"/>
  <c r="AB172" i="3"/>
  <c r="C173" i="3"/>
  <c r="N173" i="3"/>
  <c r="Q173" i="3"/>
  <c r="R173" i="3"/>
  <c r="AB173" i="3"/>
  <c r="C176" i="3"/>
  <c r="N176" i="3"/>
  <c r="Q176" i="3"/>
  <c r="R176" i="3"/>
  <c r="AB176" i="3"/>
  <c r="C177" i="3"/>
  <c r="N177" i="3"/>
  <c r="Q177" i="3"/>
  <c r="R177" i="3"/>
  <c r="AB177" i="3"/>
  <c r="C178" i="3"/>
  <c r="N178" i="3"/>
  <c r="Q178" i="3"/>
  <c r="R178" i="3"/>
  <c r="AB178" i="3"/>
  <c r="C179" i="3"/>
  <c r="N179" i="3"/>
  <c r="Q179" i="3"/>
  <c r="R179" i="3"/>
  <c r="AB179" i="3"/>
  <c r="C180" i="3"/>
  <c r="N180" i="3"/>
  <c r="Q180" i="3"/>
  <c r="R180" i="3"/>
  <c r="AB180" i="3"/>
  <c r="C181" i="3"/>
  <c r="N181" i="3"/>
  <c r="Q181" i="3"/>
  <c r="R181" i="3"/>
  <c r="AB181" i="3"/>
  <c r="C182" i="3"/>
  <c r="N182" i="3"/>
  <c r="Q182" i="3"/>
  <c r="R182" i="3"/>
  <c r="AB182" i="3"/>
  <c r="C183" i="3"/>
  <c r="N183" i="3"/>
  <c r="Q183" i="3"/>
  <c r="R183" i="3"/>
  <c r="AB183" i="3"/>
  <c r="C184" i="3"/>
  <c r="N184" i="3"/>
  <c r="Q184" i="3"/>
  <c r="R184" i="3"/>
  <c r="AB184" i="3"/>
  <c r="C185" i="3"/>
  <c r="N185" i="3"/>
  <c r="Q185" i="3"/>
  <c r="R185" i="3"/>
  <c r="AB185" i="3"/>
  <c r="C186" i="3"/>
  <c r="N186" i="3"/>
  <c r="Q186" i="3"/>
  <c r="R186" i="3"/>
  <c r="AB186" i="3"/>
  <c r="C187" i="3"/>
  <c r="N187" i="3"/>
  <c r="Q187" i="3"/>
  <c r="R187" i="3"/>
  <c r="AB187" i="3"/>
  <c r="C188" i="3"/>
  <c r="N188" i="3"/>
  <c r="Q188" i="3"/>
  <c r="R188" i="3"/>
  <c r="AB188" i="3"/>
  <c r="C189" i="3"/>
  <c r="N189" i="3"/>
  <c r="Q189" i="3"/>
  <c r="R189" i="3"/>
  <c r="AB189" i="3"/>
  <c r="C190" i="3"/>
  <c r="N190" i="3"/>
  <c r="Q190" i="3"/>
  <c r="R190" i="3"/>
  <c r="AB190" i="3"/>
  <c r="C191" i="3"/>
  <c r="N191" i="3"/>
  <c r="Q191" i="3"/>
  <c r="R191" i="3"/>
  <c r="AB191" i="3"/>
  <c r="C192" i="3"/>
  <c r="N192" i="3"/>
  <c r="Q192" i="3"/>
  <c r="R192" i="3"/>
  <c r="AB192" i="3"/>
  <c r="C193" i="3"/>
  <c r="N193" i="3"/>
  <c r="Q193" i="3"/>
  <c r="R193" i="3"/>
  <c r="AB193" i="3"/>
  <c r="C194" i="3"/>
  <c r="N194" i="3"/>
  <c r="Q194" i="3"/>
  <c r="R194" i="3"/>
  <c r="AB194" i="3"/>
  <c r="C195" i="3"/>
  <c r="N195" i="3"/>
  <c r="Q195" i="3"/>
  <c r="R195" i="3"/>
  <c r="AB195" i="3"/>
  <c r="C196" i="3"/>
  <c r="N196" i="3"/>
  <c r="Q196" i="3"/>
  <c r="R196" i="3"/>
  <c r="AB196" i="3"/>
  <c r="C197" i="3"/>
  <c r="N197" i="3"/>
  <c r="Q197" i="3"/>
  <c r="R197" i="3"/>
  <c r="AB197" i="3"/>
  <c r="C198" i="3"/>
  <c r="N198" i="3"/>
  <c r="Q198" i="3"/>
  <c r="R198" i="3"/>
  <c r="AB198" i="3"/>
  <c r="C201" i="3"/>
  <c r="N201" i="3"/>
  <c r="Q201" i="3"/>
  <c r="R201" i="3"/>
  <c r="AB201" i="3"/>
  <c r="C202" i="3"/>
  <c r="N202" i="3"/>
  <c r="Q202" i="3"/>
  <c r="R202" i="3"/>
  <c r="AB202" i="3"/>
  <c r="C203" i="3"/>
  <c r="N203" i="3"/>
  <c r="Q203" i="3"/>
  <c r="R203" i="3"/>
  <c r="AB203" i="3"/>
  <c r="C211" i="3"/>
  <c r="N211" i="3"/>
  <c r="Q211" i="3"/>
  <c r="R211" i="3"/>
  <c r="AB211" i="3"/>
  <c r="C212" i="3"/>
  <c r="N212" i="3"/>
  <c r="Q212" i="3"/>
  <c r="R212" i="3"/>
  <c r="AB212" i="3"/>
  <c r="C213" i="3"/>
  <c r="N213" i="3"/>
  <c r="Q213" i="3"/>
  <c r="R213" i="3"/>
  <c r="AB213" i="3"/>
  <c r="C214" i="3"/>
  <c r="N214" i="3"/>
  <c r="Q214" i="3"/>
  <c r="R214" i="3"/>
  <c r="AB214" i="3"/>
  <c r="C215" i="3"/>
  <c r="N215" i="3"/>
  <c r="Q215" i="3"/>
  <c r="R215" i="3"/>
  <c r="AB215" i="3"/>
  <c r="C216" i="3"/>
  <c r="N216" i="3"/>
  <c r="Q216" i="3"/>
  <c r="R216" i="3"/>
  <c r="AB216" i="3"/>
  <c r="C217" i="3"/>
  <c r="N217" i="3"/>
  <c r="Q217" i="3"/>
  <c r="R217" i="3"/>
  <c r="AB217" i="3"/>
  <c r="C218" i="3"/>
  <c r="N218" i="3"/>
  <c r="Q218" i="3"/>
  <c r="R218" i="3"/>
  <c r="AB218" i="3"/>
  <c r="C219" i="3"/>
  <c r="N219" i="3"/>
  <c r="Q219" i="3"/>
  <c r="R219" i="3"/>
  <c r="AB219" i="3"/>
  <c r="C220" i="3"/>
  <c r="N220" i="3"/>
  <c r="Q220" i="3"/>
  <c r="R220" i="3"/>
  <c r="AB220" i="3"/>
  <c r="C221" i="3"/>
  <c r="N221" i="3"/>
  <c r="Q221" i="3"/>
  <c r="R221" i="3"/>
  <c r="AB221" i="3"/>
  <c r="C222" i="3"/>
  <c r="N222" i="3"/>
  <c r="Q222" i="3"/>
  <c r="R222" i="3"/>
  <c r="AB222" i="3"/>
  <c r="C223" i="3"/>
  <c r="N223" i="3"/>
  <c r="Q223" i="3"/>
  <c r="R223" i="3"/>
  <c r="AB223" i="3"/>
  <c r="C224" i="3"/>
  <c r="N224" i="3"/>
  <c r="Q224" i="3"/>
  <c r="R224" i="3"/>
  <c r="AB224" i="3"/>
  <c r="C225" i="3"/>
  <c r="N225" i="3"/>
  <c r="Q225" i="3"/>
  <c r="R225" i="3"/>
  <c r="AB225" i="3"/>
  <c r="C226" i="3"/>
  <c r="N226" i="3"/>
  <c r="Q226" i="3"/>
  <c r="R226" i="3"/>
  <c r="AB226" i="3"/>
  <c r="C227" i="3"/>
  <c r="N227" i="3"/>
  <c r="Q227" i="3"/>
  <c r="R227" i="3"/>
  <c r="AB227" i="3"/>
  <c r="C228" i="3"/>
  <c r="N228" i="3"/>
  <c r="Q228" i="3"/>
  <c r="R228" i="3"/>
  <c r="AB228" i="3"/>
  <c r="C229" i="3"/>
  <c r="N229" i="3"/>
  <c r="Q229" i="3"/>
  <c r="R229" i="3"/>
  <c r="AB229" i="3"/>
  <c r="C230" i="3"/>
  <c r="N230" i="3"/>
  <c r="Q230" i="3"/>
  <c r="R230" i="3"/>
  <c r="AB230" i="3"/>
  <c r="C233" i="3"/>
  <c r="N233" i="3"/>
  <c r="Q233" i="3"/>
  <c r="R233" i="3"/>
  <c r="AB233" i="3"/>
  <c r="C234" i="3"/>
  <c r="N234" i="3"/>
  <c r="Q234" i="3"/>
  <c r="R234" i="3"/>
  <c r="AB234" i="3"/>
  <c r="C235" i="3"/>
  <c r="N235" i="3"/>
  <c r="Q235" i="3"/>
  <c r="R235" i="3"/>
  <c r="AB235" i="3"/>
  <c r="C236" i="3"/>
  <c r="N236" i="3"/>
  <c r="Q236" i="3"/>
  <c r="R236" i="3"/>
  <c r="AB236" i="3"/>
  <c r="C237" i="3"/>
  <c r="N237" i="3"/>
  <c r="Q237" i="3"/>
  <c r="R237" i="3"/>
  <c r="AB237" i="3"/>
  <c r="C238" i="3"/>
  <c r="N238" i="3"/>
  <c r="Q238" i="3"/>
  <c r="R238" i="3"/>
  <c r="AB238" i="3"/>
  <c r="C239" i="3"/>
  <c r="N239" i="3"/>
  <c r="Q239" i="3"/>
  <c r="R239" i="3"/>
  <c r="AB239" i="3"/>
  <c r="C240" i="3"/>
  <c r="N240" i="3"/>
  <c r="Q240" i="3"/>
  <c r="R240" i="3"/>
  <c r="AB240" i="3"/>
  <c r="C241" i="3"/>
  <c r="N241" i="3"/>
  <c r="Q241" i="3"/>
  <c r="R241" i="3"/>
  <c r="AB241" i="3"/>
  <c r="C242" i="3"/>
  <c r="N242" i="3"/>
  <c r="Q242" i="3"/>
  <c r="R242" i="3"/>
  <c r="AB242" i="3"/>
  <c r="C243" i="3"/>
  <c r="N243" i="3"/>
  <c r="Q243" i="3"/>
  <c r="R243" i="3"/>
  <c r="AB243" i="3"/>
  <c r="C244" i="3"/>
  <c r="N244" i="3"/>
  <c r="Q244" i="3"/>
  <c r="R244" i="3"/>
  <c r="AB244" i="3"/>
  <c r="C245" i="3"/>
  <c r="N245" i="3"/>
  <c r="Q245" i="3"/>
  <c r="R245" i="3"/>
  <c r="AB245" i="3"/>
  <c r="C246" i="3"/>
  <c r="N246" i="3"/>
  <c r="Q246" i="3"/>
  <c r="R246" i="3"/>
  <c r="AB246" i="3"/>
  <c r="C247" i="3"/>
  <c r="N247" i="3"/>
  <c r="Q247" i="3"/>
  <c r="R247" i="3"/>
  <c r="AB247" i="3"/>
  <c r="C248" i="3"/>
  <c r="N248" i="3"/>
  <c r="Q248" i="3"/>
  <c r="R248" i="3"/>
  <c r="AB248" i="3"/>
  <c r="C249" i="3"/>
  <c r="N249" i="3"/>
  <c r="Q249" i="3"/>
  <c r="R249" i="3"/>
  <c r="AB249" i="3"/>
  <c r="C250" i="3"/>
  <c r="N250" i="3"/>
  <c r="Q250" i="3"/>
  <c r="R250" i="3"/>
  <c r="AB250" i="3"/>
  <c r="C251" i="3"/>
  <c r="N251" i="3"/>
  <c r="Q251" i="3"/>
  <c r="R251" i="3"/>
  <c r="AB251" i="3"/>
  <c r="C252" i="3"/>
  <c r="N252" i="3"/>
  <c r="Q252" i="3"/>
  <c r="R252" i="3"/>
  <c r="AB252" i="3"/>
  <c r="C253" i="3"/>
  <c r="N253" i="3"/>
  <c r="Q253" i="3"/>
  <c r="R253" i="3"/>
  <c r="AB253" i="3"/>
  <c r="C254" i="3"/>
  <c r="N254" i="3"/>
  <c r="Q254" i="3"/>
  <c r="R254" i="3"/>
  <c r="AB254" i="3"/>
  <c r="C255" i="3"/>
  <c r="N255" i="3"/>
  <c r="Q255" i="3"/>
  <c r="R255" i="3"/>
  <c r="AB255" i="3"/>
  <c r="C256" i="3"/>
  <c r="N256" i="3"/>
  <c r="Q256" i="3"/>
  <c r="R256" i="3"/>
  <c r="AB256" i="3"/>
  <c r="C257" i="3"/>
  <c r="N257" i="3"/>
  <c r="Q257" i="3"/>
  <c r="R257" i="3"/>
  <c r="AB257" i="3"/>
  <c r="C258" i="3"/>
  <c r="N258" i="3"/>
  <c r="Q258" i="3"/>
  <c r="R258" i="3"/>
  <c r="AB258" i="3"/>
  <c r="C259" i="3"/>
  <c r="N259" i="3"/>
  <c r="Q259" i="3"/>
  <c r="R259" i="3"/>
  <c r="AB259" i="3"/>
  <c r="C260" i="3"/>
  <c r="N260" i="3"/>
  <c r="Q260" i="3"/>
  <c r="R260" i="3"/>
  <c r="AB260" i="3"/>
  <c r="C261" i="3"/>
  <c r="N261" i="3"/>
  <c r="Q261" i="3"/>
  <c r="R261" i="3"/>
  <c r="AB261" i="3"/>
  <c r="C262" i="3"/>
  <c r="N262" i="3"/>
  <c r="Q262" i="3"/>
  <c r="R262" i="3"/>
  <c r="AB262" i="3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Q452" i="7"/>
  <c r="Y452" i="7" s="1"/>
  <c r="Q453" i="7"/>
  <c r="Y453" i="7" s="1"/>
  <c r="Q454" i="7"/>
  <c r="Y454" i="7" s="1"/>
  <c r="Q455" i="7"/>
  <c r="Y455" i="7" s="1"/>
  <c r="Q456" i="7"/>
  <c r="Y456" i="7" s="1"/>
  <c r="Q457" i="7"/>
  <c r="Y457" i="7" s="1"/>
  <c r="Q458" i="7"/>
  <c r="Y458" i="7" s="1"/>
  <c r="Q459" i="7"/>
  <c r="Y459" i="7" s="1"/>
  <c r="Q460" i="7"/>
  <c r="Y460" i="7" s="1"/>
  <c r="Q461" i="7"/>
  <c r="Y461" i="7" s="1"/>
  <c r="Q462" i="7"/>
  <c r="Y462" i="7" s="1"/>
  <c r="Q463" i="7"/>
  <c r="Y463" i="7" s="1"/>
  <c r="Q464" i="7"/>
  <c r="Y464" i="7" s="1"/>
  <c r="Q465" i="7"/>
  <c r="Y465" i="7" s="1"/>
  <c r="Q466" i="7"/>
  <c r="Y466" i="7" s="1"/>
  <c r="Q467" i="7"/>
  <c r="Y467" i="7" s="1"/>
  <c r="Q468" i="7"/>
  <c r="Y468" i="7" s="1"/>
  <c r="Q469" i="7"/>
  <c r="Y469" i="7" s="1"/>
  <c r="Q470" i="7"/>
  <c r="Y470" i="7" s="1"/>
  <c r="Q471" i="7"/>
  <c r="Y471" i="7" s="1"/>
  <c r="Q472" i="7"/>
  <c r="Y472" i="7" s="1"/>
  <c r="Q473" i="7"/>
  <c r="Y473" i="7" s="1"/>
  <c r="Q474" i="7"/>
  <c r="Y474" i="7" s="1"/>
  <c r="Q475" i="7"/>
  <c r="Y475" i="7" s="1"/>
  <c r="Q476" i="7"/>
  <c r="Y476" i="7" s="1"/>
  <c r="Q477" i="7"/>
  <c r="Y477" i="7" s="1"/>
  <c r="Q478" i="7"/>
  <c r="Y478" i="7" s="1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AB452" i="7"/>
  <c r="AB453" i="7"/>
  <c r="AB454" i="7"/>
  <c r="AB455" i="7"/>
  <c r="AB456" i="7"/>
  <c r="AB457" i="7"/>
  <c r="AB458" i="7"/>
  <c r="AB459" i="7"/>
  <c r="AB460" i="7"/>
  <c r="AB461" i="7"/>
  <c r="AB462" i="7"/>
  <c r="AB463" i="7"/>
  <c r="AB464" i="7"/>
  <c r="AB465" i="7"/>
  <c r="AB466" i="7"/>
  <c r="AB467" i="7"/>
  <c r="AB468" i="7"/>
  <c r="AB469" i="7"/>
  <c r="AB470" i="7"/>
  <c r="AB471" i="7"/>
  <c r="AB472" i="7"/>
  <c r="AB473" i="7"/>
  <c r="AB474" i="7"/>
  <c r="AB475" i="7"/>
  <c r="AB476" i="7"/>
  <c r="AB477" i="7"/>
  <c r="AB478" i="7"/>
  <c r="C40" i="16"/>
  <c r="C39" i="16"/>
  <c r="B11" i="16"/>
  <c r="N605" i="9"/>
  <c r="G39" i="16" l="1"/>
  <c r="H27" i="16"/>
  <c r="I27" i="16"/>
  <c r="G27" i="16"/>
  <c r="S6" i="3"/>
  <c r="G5" i="16"/>
  <c r="H5" i="16"/>
  <c r="B6" i="16"/>
  <c r="I5" i="16"/>
  <c r="B33" i="16"/>
  <c r="S7" i="3" l="1"/>
  <c r="S8" i="3" s="1"/>
  <c r="S9" i="3" s="1"/>
  <c r="S10" i="3" s="1"/>
  <c r="S11" i="3" s="1"/>
  <c r="S12" i="3" s="1"/>
  <c r="S13" i="3" s="1"/>
  <c r="S14" i="3" s="1"/>
  <c r="S15" i="3" s="1"/>
  <c r="H24" i="16"/>
  <c r="G16" i="16"/>
  <c r="C605" i="9"/>
  <c r="O605" i="9"/>
  <c r="R605" i="9"/>
  <c r="S605" i="9"/>
  <c r="AC605" i="9"/>
  <c r="S16" i="3" l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S63" i="3" s="1"/>
  <c r="S64" i="3" s="1"/>
  <c r="S65" i="3" s="1"/>
  <c r="S66" i="3" s="1"/>
  <c r="S67" i="3" s="1"/>
  <c r="S68" i="3" s="1"/>
  <c r="S69" i="3" s="1"/>
  <c r="S70" i="3" s="1"/>
  <c r="S71" i="3" s="1"/>
  <c r="S72" i="3" s="1"/>
  <c r="S73" i="3" s="1"/>
  <c r="S74" i="3" s="1"/>
  <c r="S75" i="3" s="1"/>
  <c r="S76" i="3" s="1"/>
  <c r="S77" i="3" s="1"/>
  <c r="S78" i="3" s="1"/>
  <c r="S79" i="3" s="1"/>
  <c r="S80" i="3" s="1"/>
  <c r="S81" i="3" s="1"/>
  <c r="S82" i="3" s="1"/>
  <c r="S83" i="3" s="1"/>
  <c r="S84" i="3" s="1"/>
  <c r="S85" i="3" s="1"/>
  <c r="S86" i="3" s="1"/>
  <c r="S87" i="3" s="1"/>
  <c r="S88" i="3" s="1"/>
  <c r="S89" i="3" s="1"/>
  <c r="S90" i="3" s="1"/>
  <c r="S91" i="3" s="1"/>
  <c r="S92" i="3" s="1"/>
  <c r="S93" i="3" s="1"/>
  <c r="S94" i="3" s="1"/>
  <c r="S95" i="3" s="1"/>
  <c r="S96" i="3" s="1"/>
  <c r="S97" i="3" s="1"/>
  <c r="S98" i="3" s="1"/>
  <c r="S99" i="3" s="1"/>
  <c r="S100" i="3" s="1"/>
  <c r="S101" i="3" s="1"/>
  <c r="S102" i="3" s="1"/>
  <c r="S103" i="3" s="1"/>
  <c r="S104" i="3" s="1"/>
  <c r="S105" i="3" s="1"/>
  <c r="S106" i="3" s="1"/>
  <c r="S107" i="3" s="1"/>
  <c r="S108" i="3" s="1"/>
  <c r="S109" i="3" s="1"/>
  <c r="S110" i="3" s="1"/>
  <c r="S111" i="3" s="1"/>
  <c r="S112" i="3" s="1"/>
  <c r="S113" i="3" s="1"/>
  <c r="S114" i="3" s="1"/>
  <c r="S115" i="3" s="1"/>
  <c r="S116" i="3" s="1"/>
  <c r="S117" i="3" s="1"/>
  <c r="S118" i="3" s="1"/>
  <c r="S119" i="3" s="1"/>
  <c r="S120" i="3" s="1"/>
  <c r="S121" i="3" s="1"/>
  <c r="S122" i="3" s="1"/>
  <c r="S123" i="3" s="1"/>
  <c r="S124" i="3" s="1"/>
  <c r="S125" i="3" s="1"/>
  <c r="S126" i="3" s="1"/>
  <c r="S127" i="3" s="1"/>
  <c r="S128" i="3" s="1"/>
  <c r="S129" i="3" s="1"/>
  <c r="S130" i="3" s="1"/>
  <c r="S131" i="3" s="1"/>
  <c r="S132" i="3" s="1"/>
  <c r="S133" i="3" s="1"/>
  <c r="S134" i="3" s="1"/>
  <c r="S135" i="3" s="1"/>
  <c r="S136" i="3" s="1"/>
  <c r="S137" i="3" s="1"/>
  <c r="S138" i="3" s="1"/>
  <c r="S139" i="3" s="1"/>
  <c r="S140" i="3" s="1"/>
  <c r="S141" i="3" s="1"/>
  <c r="S142" i="3" s="1"/>
  <c r="S143" i="3" s="1"/>
  <c r="S144" i="3" s="1"/>
  <c r="S145" i="3" s="1"/>
  <c r="S146" i="3" s="1"/>
  <c r="S147" i="3" s="1"/>
  <c r="S148" i="3" s="1"/>
  <c r="S149" i="3" s="1"/>
  <c r="S150" i="3" s="1"/>
  <c r="S151" i="3" s="1"/>
  <c r="S152" i="3" s="1"/>
  <c r="S153" i="3" s="1"/>
  <c r="S154" i="3" s="1"/>
  <c r="S155" i="3" s="1"/>
  <c r="S156" i="3" s="1"/>
  <c r="S157" i="3" s="1"/>
  <c r="S158" i="3" s="1"/>
  <c r="S159" i="3" s="1"/>
  <c r="S160" i="3" s="1"/>
  <c r="S161" i="3" s="1"/>
  <c r="S162" i="3" s="1"/>
  <c r="S163" i="3" s="1"/>
  <c r="S164" i="3" s="1"/>
  <c r="S165" i="3" s="1"/>
  <c r="S166" i="3" s="1"/>
  <c r="S167" i="3" s="1"/>
  <c r="S168" i="3" s="1"/>
  <c r="S169" i="3" s="1"/>
  <c r="S170" i="3" s="1"/>
  <c r="S171" i="3" s="1"/>
  <c r="S172" i="3" s="1"/>
  <c r="S173" i="3" s="1"/>
  <c r="S174" i="3" s="1"/>
  <c r="S175" i="3" s="1"/>
  <c r="S176" i="3" s="1"/>
  <c r="S177" i="3" s="1"/>
  <c r="S178" i="3" s="1"/>
  <c r="S179" i="3" s="1"/>
  <c r="S180" i="3" s="1"/>
  <c r="S181" i="3" s="1"/>
  <c r="S182" i="3" s="1"/>
  <c r="S183" i="3" s="1"/>
  <c r="S184" i="3" s="1"/>
  <c r="S185" i="3" s="1"/>
  <c r="S186" i="3" s="1"/>
  <c r="S187" i="3" s="1"/>
  <c r="S188" i="3" s="1"/>
  <c r="S189" i="3" s="1"/>
  <c r="S190" i="3" s="1"/>
  <c r="S191" i="3" s="1"/>
  <c r="S192" i="3" s="1"/>
  <c r="S193" i="3" s="1"/>
  <c r="S194" i="3" s="1"/>
  <c r="S195" i="3" s="1"/>
  <c r="S196" i="3" s="1"/>
  <c r="S197" i="3" s="1"/>
  <c r="S198" i="3" s="1"/>
  <c r="S199" i="3" s="1"/>
  <c r="S200" i="3" s="1"/>
  <c r="S201" i="3" s="1"/>
  <c r="S202" i="3" l="1"/>
  <c r="S203" i="3" s="1"/>
  <c r="S204" i="3" s="1"/>
  <c r="S205" i="3" s="1"/>
  <c r="S206" i="3" s="1"/>
  <c r="S207" i="3" s="1"/>
  <c r="S208" i="3" s="1"/>
  <c r="S209" i="3" s="1"/>
  <c r="S210" i="3" s="1"/>
  <c r="S211" i="3" s="1"/>
  <c r="S212" i="3" s="1"/>
  <c r="S213" i="3" s="1"/>
  <c r="S214" i="3" s="1"/>
  <c r="S215" i="3" s="1"/>
  <c r="S216" i="3" s="1"/>
  <c r="S217" i="3" s="1"/>
  <c r="S218" i="3" s="1"/>
  <c r="S219" i="3" s="1"/>
  <c r="S220" i="3" s="1"/>
  <c r="S221" i="3" s="1"/>
  <c r="S222" i="3" s="1"/>
  <c r="S223" i="3" s="1"/>
  <c r="S224" i="3" s="1"/>
  <c r="S225" i="3" s="1"/>
  <c r="S226" i="3" s="1"/>
  <c r="S227" i="3" s="1"/>
  <c r="S228" i="3" s="1"/>
  <c r="S229" i="3" s="1"/>
  <c r="S230" i="3" s="1"/>
  <c r="S231" i="3" s="1"/>
  <c r="S232" i="3" s="1"/>
  <c r="S233" i="3" s="1"/>
  <c r="S234" i="3" s="1"/>
  <c r="S235" i="3" s="1"/>
  <c r="S236" i="3" s="1"/>
  <c r="S237" i="3" s="1"/>
  <c r="S238" i="3" s="1"/>
  <c r="S239" i="3" s="1"/>
  <c r="S240" i="3" s="1"/>
  <c r="S241" i="3" s="1"/>
  <c r="S242" i="3" s="1"/>
  <c r="S243" i="3" s="1"/>
  <c r="S244" i="3" s="1"/>
  <c r="S245" i="3" s="1"/>
  <c r="S246" i="3" s="1"/>
  <c r="S247" i="3" s="1"/>
  <c r="S248" i="3" s="1"/>
  <c r="S249" i="3" s="1"/>
  <c r="S250" i="3" s="1"/>
  <c r="S251" i="3" s="1"/>
  <c r="S252" i="3" s="1"/>
  <c r="S253" i="3" s="1"/>
  <c r="S254" i="3" s="1"/>
  <c r="S255" i="3" s="1"/>
  <c r="S256" i="3" s="1"/>
  <c r="S257" i="3" s="1"/>
  <c r="S258" i="3" s="1"/>
  <c r="S259" i="3" s="1"/>
  <c r="S260" i="3" s="1"/>
  <c r="S261" i="3" s="1"/>
  <c r="S262" i="3" s="1"/>
  <c r="S263" i="3" s="1"/>
  <c r="S264" i="3" s="1"/>
  <c r="S265" i="3" s="1"/>
  <c r="S266" i="3" s="1"/>
  <c r="S267" i="3" s="1"/>
  <c r="S268" i="3" s="1"/>
  <c r="S269" i="3" s="1"/>
  <c r="S270" i="3" s="1"/>
  <c r="S271" i="3" s="1"/>
  <c r="S272" i="3" s="1"/>
  <c r="S273" i="3" s="1"/>
  <c r="S274" i="3" s="1"/>
  <c r="S275" i="3" s="1"/>
  <c r="S276" i="3" s="1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Q435" i="7"/>
  <c r="Y435" i="7" s="1"/>
  <c r="Q436" i="7"/>
  <c r="Y436" i="7" s="1"/>
  <c r="Q437" i="7"/>
  <c r="Y437" i="7" s="1"/>
  <c r="Q438" i="7"/>
  <c r="Y438" i="7" s="1"/>
  <c r="Q439" i="7"/>
  <c r="Y439" i="7" s="1"/>
  <c r="Q440" i="7"/>
  <c r="Y440" i="7" s="1"/>
  <c r="Q441" i="7"/>
  <c r="Y441" i="7" s="1"/>
  <c r="Q442" i="7"/>
  <c r="Y442" i="7" s="1"/>
  <c r="Q443" i="7"/>
  <c r="Y443" i="7" s="1"/>
  <c r="Q444" i="7"/>
  <c r="Y444" i="7" s="1"/>
  <c r="Q445" i="7"/>
  <c r="Y445" i="7" s="1"/>
  <c r="Q446" i="7"/>
  <c r="Y446" i="7" s="1"/>
  <c r="Q447" i="7"/>
  <c r="Y447" i="7" s="1"/>
  <c r="Q448" i="7"/>
  <c r="Y448" i="7" s="1"/>
  <c r="Q449" i="7"/>
  <c r="Y449" i="7" s="1"/>
  <c r="Q450" i="7"/>
  <c r="Y450" i="7" s="1"/>
  <c r="Q451" i="7"/>
  <c r="Y451" i="7" s="1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AB435" i="7"/>
  <c r="AB436" i="7"/>
  <c r="AB437" i="7"/>
  <c r="AB438" i="7"/>
  <c r="AB439" i="7"/>
  <c r="AB440" i="7"/>
  <c r="AB441" i="7"/>
  <c r="AB442" i="7"/>
  <c r="AB443" i="7"/>
  <c r="AB444" i="7"/>
  <c r="AB445" i="7"/>
  <c r="AB446" i="7"/>
  <c r="AB447" i="7"/>
  <c r="AB448" i="7"/>
  <c r="AB449" i="7"/>
  <c r="AB450" i="7"/>
  <c r="AB451" i="7"/>
  <c r="N594" i="9"/>
  <c r="N595" i="9"/>
  <c r="N596" i="9"/>
  <c r="N597" i="9"/>
  <c r="N598" i="9"/>
  <c r="N599" i="9"/>
  <c r="N600" i="9"/>
  <c r="N601" i="9"/>
  <c r="N602" i="9"/>
  <c r="N603" i="9"/>
  <c r="N604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AC593" i="9"/>
  <c r="AC594" i="9"/>
  <c r="AC595" i="9"/>
  <c r="AC596" i="9"/>
  <c r="AC597" i="9"/>
  <c r="AC598" i="9"/>
  <c r="AC599" i="9"/>
  <c r="AC600" i="9"/>
  <c r="AC601" i="9"/>
  <c r="AC602" i="9"/>
  <c r="AC603" i="9"/>
  <c r="AC604" i="9"/>
  <c r="N593" i="9"/>
  <c r="O518" i="8"/>
  <c r="O521" i="8"/>
  <c r="O522" i="8"/>
  <c r="O525" i="8"/>
  <c r="O526" i="8"/>
  <c r="O529" i="8"/>
  <c r="O532" i="8"/>
  <c r="O533" i="8"/>
  <c r="AC518" i="8"/>
  <c r="AC521" i="8"/>
  <c r="AC522" i="8"/>
  <c r="AC525" i="8"/>
  <c r="AC526" i="8"/>
  <c r="AC529" i="8"/>
  <c r="AC532" i="8"/>
  <c r="AC533" i="8"/>
  <c r="S277" i="3" l="1"/>
  <c r="S278" i="3" s="1"/>
  <c r="S279" i="3" s="1"/>
  <c r="S280" i="3" s="1"/>
  <c r="S281" i="3" s="1"/>
  <c r="S282" i="3" s="1"/>
  <c r="S283" i="3" s="1"/>
  <c r="S284" i="3" s="1"/>
  <c r="S285" i="3" s="1"/>
  <c r="S286" i="3" l="1"/>
  <c r="S287" i="3" s="1"/>
  <c r="C102" i="5"/>
  <c r="C106" i="5"/>
  <c r="C107" i="5"/>
  <c r="C108" i="5"/>
  <c r="C109" i="5"/>
  <c r="C110" i="5"/>
  <c r="N102" i="5"/>
  <c r="N106" i="5"/>
  <c r="N107" i="5"/>
  <c r="N108" i="5"/>
  <c r="N109" i="5"/>
  <c r="N110" i="5"/>
  <c r="Q102" i="5"/>
  <c r="Q106" i="5"/>
  <c r="Q107" i="5"/>
  <c r="Q108" i="5"/>
  <c r="Q109" i="5"/>
  <c r="Q110" i="5"/>
  <c r="R102" i="5"/>
  <c r="R106" i="5"/>
  <c r="R107" i="5"/>
  <c r="R108" i="5"/>
  <c r="R109" i="5"/>
  <c r="R110" i="5"/>
  <c r="AB102" i="5"/>
  <c r="AB106" i="5"/>
  <c r="AB107" i="5"/>
  <c r="AB108" i="5"/>
  <c r="AB109" i="5"/>
  <c r="AB110" i="5"/>
  <c r="B36" i="6"/>
  <c r="B37" i="6"/>
  <c r="B38" i="6"/>
  <c r="N36" i="6"/>
  <c r="N37" i="6"/>
  <c r="N38" i="6"/>
  <c r="Q36" i="6"/>
  <c r="Q37" i="6"/>
  <c r="Q38" i="6"/>
  <c r="R36" i="6"/>
  <c r="R38" i="6"/>
  <c r="AB36" i="6"/>
  <c r="AB37" i="6"/>
  <c r="AB38" i="6"/>
  <c r="S288" i="3" l="1"/>
  <c r="S289" i="3" s="1"/>
  <c r="S290" i="3" s="1"/>
  <c r="S291" i="3" l="1"/>
  <c r="S292" i="3" s="1"/>
  <c r="S293" i="3" s="1"/>
  <c r="S294" i="3" l="1"/>
  <c r="S295" i="3" s="1"/>
  <c r="S296" i="3" s="1"/>
  <c r="S297" i="3" s="1"/>
  <c r="S298" i="3" s="1"/>
  <c r="S299" i="3" s="1"/>
  <c r="S300" i="3" s="1"/>
  <c r="S301" i="3" s="1"/>
  <c r="S302" i="3" s="1"/>
  <c r="S303" i="3" l="1"/>
  <c r="S304" i="3" s="1"/>
  <c r="S305" i="3" s="1"/>
  <c r="S306" i="3" s="1"/>
  <c r="S307" i="3" s="1"/>
  <c r="S308" i="3" s="1"/>
  <c r="S309" i="3" s="1"/>
  <c r="S310" i="3" s="1"/>
  <c r="S311" i="3" s="1"/>
  <c r="S312" i="3" s="1"/>
  <c r="S313" i="3" s="1"/>
  <c r="S314" i="3" s="1"/>
  <c r="S315" i="3" s="1"/>
  <c r="S316" i="3" s="1"/>
  <c r="S317" i="3" s="1"/>
  <c r="S318" i="3" s="1"/>
  <c r="S319" i="3" s="1"/>
  <c r="S320" i="3" s="1"/>
  <c r="S321" i="3" s="1"/>
  <c r="S322" i="3" s="1"/>
  <c r="S323" i="3" s="1"/>
  <c r="S324" i="3" s="1"/>
  <c r="S325" i="3" s="1"/>
  <c r="B45" i="15"/>
  <c r="S326" i="3" l="1"/>
  <c r="S327" i="3" s="1"/>
  <c r="D7" i="15"/>
  <c r="S328" i="3" l="1"/>
  <c r="S329" i="3" s="1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Q178" i="13"/>
  <c r="Q179" i="13"/>
  <c r="Q180" i="13"/>
  <c r="Q181" i="13"/>
  <c r="Q182" i="13"/>
  <c r="Q183" i="13"/>
  <c r="Q184" i="13"/>
  <c r="Q185" i="13"/>
  <c r="Q186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230" i="13"/>
  <c r="Q231" i="13"/>
  <c r="Q232" i="13"/>
  <c r="Q233" i="13"/>
  <c r="Q234" i="13"/>
  <c r="Q235" i="13"/>
  <c r="Q236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8" i="13"/>
  <c r="R99" i="13"/>
  <c r="R100" i="13"/>
  <c r="R101" i="13"/>
  <c r="R102" i="13"/>
  <c r="R103" i="13"/>
  <c r="R104" i="13"/>
  <c r="R105" i="13"/>
  <c r="R106" i="13"/>
  <c r="R107" i="13"/>
  <c r="R108" i="13"/>
  <c r="R109" i="13"/>
  <c r="R110" i="13"/>
  <c r="R111" i="13"/>
  <c r="R112" i="13"/>
  <c r="R113" i="13"/>
  <c r="R114" i="13"/>
  <c r="R115" i="13"/>
  <c r="R116" i="13"/>
  <c r="R117" i="13"/>
  <c r="R118" i="13"/>
  <c r="R119" i="13"/>
  <c r="R120" i="13"/>
  <c r="R121" i="13"/>
  <c r="R122" i="13"/>
  <c r="R123" i="13"/>
  <c r="R124" i="13"/>
  <c r="R125" i="13"/>
  <c r="R126" i="13"/>
  <c r="R127" i="13"/>
  <c r="R128" i="13"/>
  <c r="R129" i="13"/>
  <c r="R130" i="13"/>
  <c r="R131" i="13"/>
  <c r="R132" i="13"/>
  <c r="R133" i="13"/>
  <c r="R134" i="13"/>
  <c r="R135" i="13"/>
  <c r="R136" i="13"/>
  <c r="R137" i="13"/>
  <c r="R138" i="13"/>
  <c r="R139" i="13"/>
  <c r="R140" i="13"/>
  <c r="R141" i="13"/>
  <c r="R142" i="13"/>
  <c r="R143" i="13"/>
  <c r="R144" i="13"/>
  <c r="R145" i="13"/>
  <c r="R146" i="13"/>
  <c r="R147" i="13"/>
  <c r="R148" i="13"/>
  <c r="R149" i="13"/>
  <c r="R150" i="13"/>
  <c r="R151" i="13"/>
  <c r="R152" i="13"/>
  <c r="R153" i="13"/>
  <c r="R154" i="13"/>
  <c r="R155" i="13"/>
  <c r="R156" i="13"/>
  <c r="R157" i="13"/>
  <c r="R158" i="13"/>
  <c r="R159" i="13"/>
  <c r="R160" i="13"/>
  <c r="R161" i="13"/>
  <c r="R162" i="13"/>
  <c r="R163" i="13"/>
  <c r="R164" i="13"/>
  <c r="R165" i="13"/>
  <c r="R166" i="13"/>
  <c r="R167" i="13"/>
  <c r="R168" i="13"/>
  <c r="R169" i="13"/>
  <c r="R170" i="13"/>
  <c r="R171" i="13"/>
  <c r="R172" i="13"/>
  <c r="R173" i="13"/>
  <c r="R174" i="13"/>
  <c r="R175" i="13"/>
  <c r="R176" i="13"/>
  <c r="R177" i="13"/>
  <c r="R178" i="13"/>
  <c r="R179" i="13"/>
  <c r="R180" i="13"/>
  <c r="R181" i="13"/>
  <c r="R182" i="13"/>
  <c r="R183" i="13"/>
  <c r="R184" i="13"/>
  <c r="R185" i="13"/>
  <c r="R186" i="13"/>
  <c r="R187" i="13"/>
  <c r="R188" i="13"/>
  <c r="R189" i="13"/>
  <c r="R190" i="13"/>
  <c r="R191" i="13"/>
  <c r="R192" i="13"/>
  <c r="R193" i="13"/>
  <c r="R194" i="13"/>
  <c r="R195" i="13"/>
  <c r="R196" i="13"/>
  <c r="R197" i="13"/>
  <c r="R198" i="13"/>
  <c r="R199" i="13"/>
  <c r="R200" i="13"/>
  <c r="R201" i="13"/>
  <c r="R202" i="13"/>
  <c r="R203" i="13"/>
  <c r="R204" i="13"/>
  <c r="R205" i="13"/>
  <c r="R206" i="13"/>
  <c r="R207" i="13"/>
  <c r="R208" i="13"/>
  <c r="R209" i="13"/>
  <c r="R210" i="13"/>
  <c r="R211" i="13"/>
  <c r="R212" i="13"/>
  <c r="R213" i="13"/>
  <c r="R214" i="13"/>
  <c r="R215" i="13"/>
  <c r="R216" i="13"/>
  <c r="R217" i="13"/>
  <c r="R218" i="13"/>
  <c r="R219" i="13"/>
  <c r="R220" i="13"/>
  <c r="R221" i="13"/>
  <c r="R222" i="13"/>
  <c r="R223" i="13"/>
  <c r="R224" i="13"/>
  <c r="R225" i="13"/>
  <c r="R226" i="13"/>
  <c r="R227" i="13"/>
  <c r="R228" i="13"/>
  <c r="R229" i="13"/>
  <c r="R230" i="13"/>
  <c r="R231" i="13"/>
  <c r="R232" i="13"/>
  <c r="R233" i="13"/>
  <c r="R234" i="13"/>
  <c r="R235" i="13"/>
  <c r="R236" i="13"/>
  <c r="AB6" i="13"/>
  <c r="AB7" i="13"/>
  <c r="AB8" i="13"/>
  <c r="AB9" i="13"/>
  <c r="AB10" i="13"/>
  <c r="AB11" i="13"/>
  <c r="AB12" i="13"/>
  <c r="AB13" i="13"/>
  <c r="AB14" i="13"/>
  <c r="AB15" i="13"/>
  <c r="AB16" i="13"/>
  <c r="AB17" i="13"/>
  <c r="AB18" i="13"/>
  <c r="AB19" i="13"/>
  <c r="AB20" i="13"/>
  <c r="AB21" i="13"/>
  <c r="AB22" i="13"/>
  <c r="AB23" i="13"/>
  <c r="AB24" i="13"/>
  <c r="AB25" i="13"/>
  <c r="AB26" i="13"/>
  <c r="AB27" i="13"/>
  <c r="AB28" i="13"/>
  <c r="AB29" i="13"/>
  <c r="AB30" i="13"/>
  <c r="AB31" i="13"/>
  <c r="AB32" i="13"/>
  <c r="AB33" i="13"/>
  <c r="AB34" i="13"/>
  <c r="AB35" i="13"/>
  <c r="AB36" i="13"/>
  <c r="AB37" i="13"/>
  <c r="AB38" i="13"/>
  <c r="AB39" i="13"/>
  <c r="AB40" i="13"/>
  <c r="AB41" i="13"/>
  <c r="AB42" i="13"/>
  <c r="AB43" i="13"/>
  <c r="AB44" i="13"/>
  <c r="AB45" i="13"/>
  <c r="AB46" i="13"/>
  <c r="AB47" i="13"/>
  <c r="AB48" i="13"/>
  <c r="AB49" i="13"/>
  <c r="AB50" i="13"/>
  <c r="AB51" i="13"/>
  <c r="AB52" i="13"/>
  <c r="AB53" i="13"/>
  <c r="AB54" i="13"/>
  <c r="AB55" i="13"/>
  <c r="AB56" i="13"/>
  <c r="AB57" i="13"/>
  <c r="AB58" i="13"/>
  <c r="AB59" i="13"/>
  <c r="AB60" i="13"/>
  <c r="AB61" i="13"/>
  <c r="AB62" i="13"/>
  <c r="AB63" i="13"/>
  <c r="AB64" i="13"/>
  <c r="AB65" i="13"/>
  <c r="AB66" i="13"/>
  <c r="AB67" i="13"/>
  <c r="AB68" i="13"/>
  <c r="AB69" i="13"/>
  <c r="AB70" i="13"/>
  <c r="AB71" i="13"/>
  <c r="AB72" i="13"/>
  <c r="AB73" i="13"/>
  <c r="AB74" i="13"/>
  <c r="AB75" i="13"/>
  <c r="AB76" i="13"/>
  <c r="AB77" i="13"/>
  <c r="AB78" i="13"/>
  <c r="AB79" i="13"/>
  <c r="AB80" i="13"/>
  <c r="AB81" i="13"/>
  <c r="AB82" i="13"/>
  <c r="AB83" i="13"/>
  <c r="AB84" i="13"/>
  <c r="AB85" i="13"/>
  <c r="AB86" i="13"/>
  <c r="AB87" i="13"/>
  <c r="AB88" i="13"/>
  <c r="AB89" i="13"/>
  <c r="AB90" i="13"/>
  <c r="AB91" i="13"/>
  <c r="AB92" i="13"/>
  <c r="AB93" i="13"/>
  <c r="AB94" i="13"/>
  <c r="AB95" i="13"/>
  <c r="AB96" i="13"/>
  <c r="AB97" i="13"/>
  <c r="AB98" i="13"/>
  <c r="AB99" i="13"/>
  <c r="AB100" i="13"/>
  <c r="AB101" i="13"/>
  <c r="AB102" i="13"/>
  <c r="AB103" i="13"/>
  <c r="AB104" i="13"/>
  <c r="AB105" i="13"/>
  <c r="AB106" i="13"/>
  <c r="AB107" i="13"/>
  <c r="AB108" i="13"/>
  <c r="AB109" i="13"/>
  <c r="AB110" i="13"/>
  <c r="AB111" i="13"/>
  <c r="AB112" i="13"/>
  <c r="AB113" i="13"/>
  <c r="AB114" i="13"/>
  <c r="AB115" i="13"/>
  <c r="AB116" i="13"/>
  <c r="AB117" i="13"/>
  <c r="AB118" i="13"/>
  <c r="AB119" i="13"/>
  <c r="AB120" i="13"/>
  <c r="AB121" i="13"/>
  <c r="AB122" i="13"/>
  <c r="AB123" i="13"/>
  <c r="AB124" i="13"/>
  <c r="AB125" i="13"/>
  <c r="AB126" i="13"/>
  <c r="AB127" i="13"/>
  <c r="AB128" i="13"/>
  <c r="AB129" i="13"/>
  <c r="AB130" i="13"/>
  <c r="AB131" i="13"/>
  <c r="AB132" i="13"/>
  <c r="AB133" i="13"/>
  <c r="AB134" i="13"/>
  <c r="AB135" i="13"/>
  <c r="AB136" i="13"/>
  <c r="AB137" i="13"/>
  <c r="AB138" i="13"/>
  <c r="AB139" i="13"/>
  <c r="AB140" i="13"/>
  <c r="AB141" i="13"/>
  <c r="AB142" i="13"/>
  <c r="AB143" i="13"/>
  <c r="AB144" i="13"/>
  <c r="AB145" i="13"/>
  <c r="AB146" i="13"/>
  <c r="AB147" i="13"/>
  <c r="AB148" i="13"/>
  <c r="AB149" i="13"/>
  <c r="AB150" i="13"/>
  <c r="AB151" i="13"/>
  <c r="AB152" i="13"/>
  <c r="AB153" i="13"/>
  <c r="AB154" i="13"/>
  <c r="AB155" i="13"/>
  <c r="AB156" i="13"/>
  <c r="AB157" i="13"/>
  <c r="AB158" i="13"/>
  <c r="AB159" i="13"/>
  <c r="AB160" i="13"/>
  <c r="AB161" i="13"/>
  <c r="AB162" i="13"/>
  <c r="AB163" i="13"/>
  <c r="AB164" i="13"/>
  <c r="AB165" i="13"/>
  <c r="AB166" i="13"/>
  <c r="AB167" i="13"/>
  <c r="AB168" i="13"/>
  <c r="AB169" i="13"/>
  <c r="AB170" i="13"/>
  <c r="AB171" i="13"/>
  <c r="AB172" i="13"/>
  <c r="AB173" i="13"/>
  <c r="AB174" i="13"/>
  <c r="AB175" i="13"/>
  <c r="AB176" i="13"/>
  <c r="AB177" i="13"/>
  <c r="AB178" i="13"/>
  <c r="AB179" i="13"/>
  <c r="AB180" i="13"/>
  <c r="AB181" i="13"/>
  <c r="AB182" i="13"/>
  <c r="AB183" i="13"/>
  <c r="AB184" i="13"/>
  <c r="AB185" i="13"/>
  <c r="AB186" i="13"/>
  <c r="AB187" i="13"/>
  <c r="AB188" i="13"/>
  <c r="AB189" i="13"/>
  <c r="AB190" i="13"/>
  <c r="AB191" i="13"/>
  <c r="AB192" i="13"/>
  <c r="AB193" i="13"/>
  <c r="AB194" i="13"/>
  <c r="AB195" i="13"/>
  <c r="AB196" i="13"/>
  <c r="AB197" i="13"/>
  <c r="AB198" i="13"/>
  <c r="AB199" i="13"/>
  <c r="AB200" i="13"/>
  <c r="AB201" i="13"/>
  <c r="AB202" i="13"/>
  <c r="AB203" i="13"/>
  <c r="AB204" i="13"/>
  <c r="AB205" i="13"/>
  <c r="AB206" i="13"/>
  <c r="AB207" i="13"/>
  <c r="AB208" i="13"/>
  <c r="AB209" i="13"/>
  <c r="AB210" i="13"/>
  <c r="AB211" i="13"/>
  <c r="AB212" i="13"/>
  <c r="AB213" i="13"/>
  <c r="AB214" i="13"/>
  <c r="AB215" i="13"/>
  <c r="AB216" i="13"/>
  <c r="AB217" i="13"/>
  <c r="AB218" i="13"/>
  <c r="AB219" i="13"/>
  <c r="AB220" i="13"/>
  <c r="AB221" i="13"/>
  <c r="AB222" i="13"/>
  <c r="AB223" i="13"/>
  <c r="AB224" i="13"/>
  <c r="AB225" i="13"/>
  <c r="AB226" i="13"/>
  <c r="AB227" i="13"/>
  <c r="AB228" i="13"/>
  <c r="AB229" i="13"/>
  <c r="AB230" i="13"/>
  <c r="AB231" i="13"/>
  <c r="AB232" i="13"/>
  <c r="AB233" i="13"/>
  <c r="AB234" i="13"/>
  <c r="AB235" i="13"/>
  <c r="AB236" i="13"/>
  <c r="C5" i="13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AB5" i="13"/>
  <c r="R5" i="13"/>
  <c r="Q5" i="13"/>
  <c r="S5" i="13" s="1"/>
  <c r="N5" i="13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AB71" i="12"/>
  <c r="AB72" i="12"/>
  <c r="AB73" i="12"/>
  <c r="AB74" i="12"/>
  <c r="AB75" i="12"/>
  <c r="AB76" i="12"/>
  <c r="AB77" i="12"/>
  <c r="AB78" i="12"/>
  <c r="AB79" i="12"/>
  <c r="AB80" i="12"/>
  <c r="AB81" i="12"/>
  <c r="AB82" i="12"/>
  <c r="AB83" i="12"/>
  <c r="AB84" i="12"/>
  <c r="AB85" i="12"/>
  <c r="AB86" i="12"/>
  <c r="AB87" i="12"/>
  <c r="AB88" i="12"/>
  <c r="AB89" i="12"/>
  <c r="AB90" i="12"/>
  <c r="AB91" i="12"/>
  <c r="AB92" i="12"/>
  <c r="AB93" i="12"/>
  <c r="AB94" i="12"/>
  <c r="AB95" i="12"/>
  <c r="AB96" i="12"/>
  <c r="AB97" i="12"/>
  <c r="AB98" i="12"/>
  <c r="AB99" i="12"/>
  <c r="AB100" i="12"/>
  <c r="AB101" i="12"/>
  <c r="AB102" i="12"/>
  <c r="AB103" i="12"/>
  <c r="AB104" i="12"/>
  <c r="AB105" i="12"/>
  <c r="AB106" i="12"/>
  <c r="AB107" i="12"/>
  <c r="AB108" i="12"/>
  <c r="AB109" i="12"/>
  <c r="AB110" i="12"/>
  <c r="AB111" i="12"/>
  <c r="AB112" i="12"/>
  <c r="AB113" i="12"/>
  <c r="AB114" i="12"/>
  <c r="AB115" i="12"/>
  <c r="AB116" i="12"/>
  <c r="AB117" i="12"/>
  <c r="AB118" i="12"/>
  <c r="AB119" i="12"/>
  <c r="AB120" i="12"/>
  <c r="AB121" i="12"/>
  <c r="AB122" i="12"/>
  <c r="AB123" i="12"/>
  <c r="AB124" i="12"/>
  <c r="AB125" i="12"/>
  <c r="AB126" i="12"/>
  <c r="AB127" i="12"/>
  <c r="AB128" i="12"/>
  <c r="AB129" i="12"/>
  <c r="AB130" i="12"/>
  <c r="AB131" i="12"/>
  <c r="AB132" i="12"/>
  <c r="AB133" i="12"/>
  <c r="AB134" i="12"/>
  <c r="AB135" i="12"/>
  <c r="AB136" i="12"/>
  <c r="AB137" i="12"/>
  <c r="AB138" i="12"/>
  <c r="AB139" i="12"/>
  <c r="AB140" i="12"/>
  <c r="AB141" i="12"/>
  <c r="AB142" i="12"/>
  <c r="AB143" i="12"/>
  <c r="AB144" i="12"/>
  <c r="AB145" i="12"/>
  <c r="AB146" i="12"/>
  <c r="AB147" i="12"/>
  <c r="AB148" i="12"/>
  <c r="AB149" i="12"/>
  <c r="AB150" i="12"/>
  <c r="AB151" i="12"/>
  <c r="AB152" i="12"/>
  <c r="AB153" i="12"/>
  <c r="AB154" i="12"/>
  <c r="AB155" i="12"/>
  <c r="AB156" i="12"/>
  <c r="AB157" i="12"/>
  <c r="AB158" i="12"/>
  <c r="AB159" i="12"/>
  <c r="AB160" i="12"/>
  <c r="AB161" i="12"/>
  <c r="AB162" i="12"/>
  <c r="AB163" i="12"/>
  <c r="AB164" i="12"/>
  <c r="AB165" i="12"/>
  <c r="AB166" i="12"/>
  <c r="AB167" i="12"/>
  <c r="AB168" i="12"/>
  <c r="AB169" i="12"/>
  <c r="AB170" i="12"/>
  <c r="AB171" i="12"/>
  <c r="AB172" i="12"/>
  <c r="AB173" i="12"/>
  <c r="AB174" i="12"/>
  <c r="AB175" i="12"/>
  <c r="AB176" i="12"/>
  <c r="AB177" i="12"/>
  <c r="AB178" i="12"/>
  <c r="AB179" i="12"/>
  <c r="AB180" i="12"/>
  <c r="AB181" i="12"/>
  <c r="AB182" i="12"/>
  <c r="AB183" i="12"/>
  <c r="AB184" i="12"/>
  <c r="AB185" i="12"/>
  <c r="AB186" i="12"/>
  <c r="AB187" i="12"/>
  <c r="AB188" i="12"/>
  <c r="AB189" i="12"/>
  <c r="AB190" i="12"/>
  <c r="AB191" i="12"/>
  <c r="AB192" i="12"/>
  <c r="AB193" i="12"/>
  <c r="AB194" i="12"/>
  <c r="AB195" i="12"/>
  <c r="AB196" i="12"/>
  <c r="AB197" i="12"/>
  <c r="AB198" i="12"/>
  <c r="AB199" i="12"/>
  <c r="AB200" i="12"/>
  <c r="AB201" i="12"/>
  <c r="AB202" i="12"/>
  <c r="AB203" i="12"/>
  <c r="AB204" i="12"/>
  <c r="AB205" i="12"/>
  <c r="AB206" i="12"/>
  <c r="AB207" i="12"/>
  <c r="AB208" i="12"/>
  <c r="AB209" i="12"/>
  <c r="AB210" i="12"/>
  <c r="AB211" i="12"/>
  <c r="AB212" i="12"/>
  <c r="AB213" i="12"/>
  <c r="AB214" i="12"/>
  <c r="AB215" i="12"/>
  <c r="AB216" i="12"/>
  <c r="AB217" i="12"/>
  <c r="AB218" i="12"/>
  <c r="AB219" i="12"/>
  <c r="AB220" i="12"/>
  <c r="AB221" i="12"/>
  <c r="AB222" i="12"/>
  <c r="AB5" i="12"/>
  <c r="R5" i="12"/>
  <c r="Q5" i="12"/>
  <c r="S5" i="12" s="1"/>
  <c r="N5" i="12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B178" i="10"/>
  <c r="AB179" i="10"/>
  <c r="AB180" i="10"/>
  <c r="AB181" i="10"/>
  <c r="AB182" i="10"/>
  <c r="AB183" i="10"/>
  <c r="AB184" i="10"/>
  <c r="AB185" i="10"/>
  <c r="AB186" i="10"/>
  <c r="AB187" i="10"/>
  <c r="AB188" i="10"/>
  <c r="AB189" i="10"/>
  <c r="AB190" i="10"/>
  <c r="AB191" i="10"/>
  <c r="AB192" i="10"/>
  <c r="AB193" i="10"/>
  <c r="AB194" i="10"/>
  <c r="AB195" i="10"/>
  <c r="AB196" i="10"/>
  <c r="AB197" i="10"/>
  <c r="AB198" i="10"/>
  <c r="AB199" i="10"/>
  <c r="AB200" i="10"/>
  <c r="AB201" i="10"/>
  <c r="AB202" i="10"/>
  <c r="AB203" i="10"/>
  <c r="AB204" i="10"/>
  <c r="AB205" i="10"/>
  <c r="AB206" i="10"/>
  <c r="AB207" i="10"/>
  <c r="AB208" i="10"/>
  <c r="AB209" i="10"/>
  <c r="AB210" i="10"/>
  <c r="AB211" i="10"/>
  <c r="AB212" i="10"/>
  <c r="AB213" i="10"/>
  <c r="AB214" i="10"/>
  <c r="AB215" i="10"/>
  <c r="AB216" i="10"/>
  <c r="AB217" i="10"/>
  <c r="AB218" i="10"/>
  <c r="AB219" i="10"/>
  <c r="AB220" i="10"/>
  <c r="AB221" i="10"/>
  <c r="AB222" i="10"/>
  <c r="AB223" i="10"/>
  <c r="AB224" i="10"/>
  <c r="AB225" i="10"/>
  <c r="AB226" i="10"/>
  <c r="AB227" i="10"/>
  <c r="AB228" i="10"/>
  <c r="AB229" i="10"/>
  <c r="AB230" i="10"/>
  <c r="AB231" i="10"/>
  <c r="AB232" i="10"/>
  <c r="AB233" i="10"/>
  <c r="AB234" i="10"/>
  <c r="AB235" i="10"/>
  <c r="AB236" i="10"/>
  <c r="AB237" i="10"/>
  <c r="AB238" i="10"/>
  <c r="AB239" i="10"/>
  <c r="AB240" i="10"/>
  <c r="AB241" i="10"/>
  <c r="AB242" i="10"/>
  <c r="AB243" i="10"/>
  <c r="AB244" i="10"/>
  <c r="AB245" i="10"/>
  <c r="AB246" i="10"/>
  <c r="AB247" i="10"/>
  <c r="AB248" i="10"/>
  <c r="AB249" i="10"/>
  <c r="AB250" i="10"/>
  <c r="AB251" i="10"/>
  <c r="AB252" i="10"/>
  <c r="AB253" i="10"/>
  <c r="AB254" i="10"/>
  <c r="AB255" i="10"/>
  <c r="AB256" i="10"/>
  <c r="AB257" i="10"/>
  <c r="AB258" i="10"/>
  <c r="AB259" i="10"/>
  <c r="AB260" i="10"/>
  <c r="AB261" i="10"/>
  <c r="AB262" i="10"/>
  <c r="AB263" i="10"/>
  <c r="AB264" i="10"/>
  <c r="AB265" i="10"/>
  <c r="AB266" i="10"/>
  <c r="AB267" i="10"/>
  <c r="AB268" i="10"/>
  <c r="AB269" i="10"/>
  <c r="AB270" i="10"/>
  <c r="AB271" i="10"/>
  <c r="AB272" i="10"/>
  <c r="AB273" i="10"/>
  <c r="AB274" i="10"/>
  <c r="AB275" i="10"/>
  <c r="AB276" i="10"/>
  <c r="AB277" i="10"/>
  <c r="AB278" i="10"/>
  <c r="AB279" i="10"/>
  <c r="AB280" i="10"/>
  <c r="AB281" i="10"/>
  <c r="AB282" i="10"/>
  <c r="AB283" i="10"/>
  <c r="AB284" i="10"/>
  <c r="AB285" i="10"/>
  <c r="AB286" i="10"/>
  <c r="AB287" i="10"/>
  <c r="AB288" i="10"/>
  <c r="AB289" i="10"/>
  <c r="AB290" i="10"/>
  <c r="AB5" i="10"/>
  <c r="N5" i="10"/>
  <c r="S330" i="3" l="1"/>
  <c r="S331" i="3" s="1"/>
  <c r="S332" i="3" s="1"/>
  <c r="S333" i="3" s="1"/>
  <c r="S334" i="3" s="1"/>
  <c r="S335" i="3" s="1"/>
  <c r="S336" i="3" s="1"/>
  <c r="S337" i="3" s="1"/>
  <c r="S338" i="3" s="1"/>
  <c r="S339" i="3" s="1"/>
  <c r="S340" i="3" s="1"/>
  <c r="S341" i="3" s="1"/>
  <c r="S342" i="3" s="1"/>
  <c r="S6" i="12"/>
  <c r="S7" i="12" s="1"/>
  <c r="S8" i="12" s="1"/>
  <c r="S9" i="12" s="1"/>
  <c r="S10" i="12" s="1"/>
  <c r="S11" i="12" s="1"/>
  <c r="S12" i="12" s="1"/>
  <c r="S13" i="12" s="1"/>
  <c r="S14" i="12" s="1"/>
  <c r="S15" i="12" s="1"/>
  <c r="S16" i="12" s="1"/>
  <c r="S17" i="12" s="1"/>
  <c r="S18" i="12" s="1"/>
  <c r="S19" i="12" s="1"/>
  <c r="S20" i="12" s="1"/>
  <c r="S21" i="12" s="1"/>
  <c r="S22" i="12" s="1"/>
  <c r="S23" i="12" s="1"/>
  <c r="S24" i="12" s="1"/>
  <c r="S25" i="12" s="1"/>
  <c r="S26" i="12" s="1"/>
  <c r="S27" i="12" s="1"/>
  <c r="S28" i="12" s="1"/>
  <c r="S29" i="12" s="1"/>
  <c r="S30" i="12" s="1"/>
  <c r="S31" i="12" s="1"/>
  <c r="S32" i="12" s="1"/>
  <c r="S33" i="12" s="1"/>
  <c r="S34" i="12" s="1"/>
  <c r="S35" i="12" s="1"/>
  <c r="S36" i="12" s="1"/>
  <c r="S37" i="12" s="1"/>
  <c r="S38" i="12" s="1"/>
  <c r="S39" i="12" s="1"/>
  <c r="S40" i="12" s="1"/>
  <c r="S41" i="12" s="1"/>
  <c r="S42" i="12" s="1"/>
  <c r="S43" i="12" s="1"/>
  <c r="S44" i="12" s="1"/>
  <c r="S45" i="12" s="1"/>
  <c r="S46" i="12" s="1"/>
  <c r="S47" i="12" s="1"/>
  <c r="S48" i="12" s="1"/>
  <c r="S49" i="12" s="1"/>
  <c r="S50" i="12" s="1"/>
  <c r="S51" i="12" s="1"/>
  <c r="S52" i="12" s="1"/>
  <c r="S53" i="12" s="1"/>
  <c r="S54" i="12" s="1"/>
  <c r="S55" i="12" s="1"/>
  <c r="S56" i="12" s="1"/>
  <c r="S57" i="12" s="1"/>
  <c r="S58" i="12" s="1"/>
  <c r="S59" i="12" s="1"/>
  <c r="S60" i="12" s="1"/>
  <c r="S61" i="12" s="1"/>
  <c r="S62" i="12" s="1"/>
  <c r="S63" i="12" s="1"/>
  <c r="S64" i="12" s="1"/>
  <c r="S65" i="12" s="1"/>
  <c r="S66" i="12" s="1"/>
  <c r="S67" i="12" s="1"/>
  <c r="S68" i="12" s="1"/>
  <c r="S69" i="12" s="1"/>
  <c r="S70" i="12" s="1"/>
  <c r="S71" i="12" s="1"/>
  <c r="S72" i="12" s="1"/>
  <c r="S73" i="12" s="1"/>
  <c r="S74" i="12" s="1"/>
  <c r="S75" i="12" s="1"/>
  <c r="S76" i="12" s="1"/>
  <c r="S77" i="12" s="1"/>
  <c r="S78" i="12" s="1"/>
  <c r="S79" i="12" s="1"/>
  <c r="S80" i="12" s="1"/>
  <c r="S81" i="12" s="1"/>
  <c r="S82" i="12" s="1"/>
  <c r="S83" i="12" s="1"/>
  <c r="S84" i="12" s="1"/>
  <c r="S85" i="12" s="1"/>
  <c r="S86" i="12" s="1"/>
  <c r="S87" i="12" s="1"/>
  <c r="S88" i="12" s="1"/>
  <c r="S89" i="12" s="1"/>
  <c r="S90" i="12" s="1"/>
  <c r="S91" i="12" s="1"/>
  <c r="S92" i="12" s="1"/>
  <c r="S93" i="12" s="1"/>
  <c r="S94" i="12" s="1"/>
  <c r="S95" i="12" s="1"/>
  <c r="S96" i="12" s="1"/>
  <c r="S97" i="12" s="1"/>
  <c r="S98" i="12" s="1"/>
  <c r="S99" i="12" s="1"/>
  <c r="S100" i="12" s="1"/>
  <c r="S101" i="12" s="1"/>
  <c r="S102" i="12" s="1"/>
  <c r="S103" i="12" s="1"/>
  <c r="S104" i="12" s="1"/>
  <c r="S105" i="12" s="1"/>
  <c r="S106" i="12" s="1"/>
  <c r="S107" i="12" s="1"/>
  <c r="S108" i="12" s="1"/>
  <c r="S109" i="12" s="1"/>
  <c r="S110" i="12" s="1"/>
  <c r="S111" i="12" s="1"/>
  <c r="S112" i="12" s="1"/>
  <c r="S113" i="12" s="1"/>
  <c r="S114" i="12" s="1"/>
  <c r="S115" i="12" s="1"/>
  <c r="S116" i="12" s="1"/>
  <c r="S117" i="12" s="1"/>
  <c r="S118" i="12" s="1"/>
  <c r="S119" i="12" s="1"/>
  <c r="S120" i="12" s="1"/>
  <c r="S121" i="12" s="1"/>
  <c r="S122" i="12" s="1"/>
  <c r="S123" i="12" s="1"/>
  <c r="S124" i="12" s="1"/>
  <c r="S125" i="12" s="1"/>
  <c r="S126" i="12" s="1"/>
  <c r="S127" i="12" s="1"/>
  <c r="S128" i="12" s="1"/>
  <c r="S129" i="12" s="1"/>
  <c r="S130" i="12" s="1"/>
  <c r="S131" i="12" s="1"/>
  <c r="S132" i="12" s="1"/>
  <c r="S133" i="12" s="1"/>
  <c r="S134" i="12" s="1"/>
  <c r="S135" i="12" s="1"/>
  <c r="S136" i="12" s="1"/>
  <c r="S137" i="12" s="1"/>
  <c r="S138" i="12" s="1"/>
  <c r="S139" i="12" s="1"/>
  <c r="S140" i="12" s="1"/>
  <c r="S141" i="12" s="1"/>
  <c r="S142" i="12" s="1"/>
  <c r="S143" i="12" s="1"/>
  <c r="S144" i="12" s="1"/>
  <c r="S145" i="12" s="1"/>
  <c r="S146" i="12" s="1"/>
  <c r="S147" i="12" s="1"/>
  <c r="S148" i="12" s="1"/>
  <c r="S149" i="12" s="1"/>
  <c r="S150" i="12" s="1"/>
  <c r="S151" i="12" s="1"/>
  <c r="S152" i="12" s="1"/>
  <c r="S153" i="12" s="1"/>
  <c r="S154" i="12" s="1"/>
  <c r="S155" i="12" s="1"/>
  <c r="S156" i="12" s="1"/>
  <c r="S157" i="12" s="1"/>
  <c r="S158" i="12" s="1"/>
  <c r="S159" i="12" s="1"/>
  <c r="S160" i="12" s="1"/>
  <c r="S161" i="12" s="1"/>
  <c r="S162" i="12" s="1"/>
  <c r="S163" i="12" s="1"/>
  <c r="S164" i="12" s="1"/>
  <c r="S165" i="12" s="1"/>
  <c r="S166" i="12" s="1"/>
  <c r="S167" i="12" s="1"/>
  <c r="S168" i="12" s="1"/>
  <c r="S169" i="12" s="1"/>
  <c r="S170" i="12" s="1"/>
  <c r="S171" i="12" s="1"/>
  <c r="S172" i="12" s="1"/>
  <c r="S173" i="12" s="1"/>
  <c r="S174" i="12" s="1"/>
  <c r="S175" i="12" s="1"/>
  <c r="S176" i="12" s="1"/>
  <c r="S177" i="12" s="1"/>
  <c r="S178" i="12" s="1"/>
  <c r="S179" i="12" s="1"/>
  <c r="S180" i="12" s="1"/>
  <c r="S181" i="12" s="1"/>
  <c r="S182" i="12" s="1"/>
  <c r="S183" i="12" s="1"/>
  <c r="S184" i="12" s="1"/>
  <c r="S185" i="12" s="1"/>
  <c r="S186" i="12" s="1"/>
  <c r="S187" i="12" s="1"/>
  <c r="S188" i="12" s="1"/>
  <c r="S189" i="12" s="1"/>
  <c r="S190" i="12" s="1"/>
  <c r="S191" i="12" s="1"/>
  <c r="S192" i="12" s="1"/>
  <c r="S193" i="12" s="1"/>
  <c r="S194" i="12" s="1"/>
  <c r="S195" i="12" s="1"/>
  <c r="S196" i="12" s="1"/>
  <c r="S197" i="12" s="1"/>
  <c r="S198" i="12" s="1"/>
  <c r="S199" i="12" s="1"/>
  <c r="S200" i="12" s="1"/>
  <c r="S201" i="12" s="1"/>
  <c r="S202" i="12" s="1"/>
  <c r="S203" i="12" s="1"/>
  <c r="S204" i="12" s="1"/>
  <c r="S205" i="12" s="1"/>
  <c r="S206" i="12" s="1"/>
  <c r="S207" i="12" s="1"/>
  <c r="S208" i="12" s="1"/>
  <c r="S209" i="12" s="1"/>
  <c r="S210" i="12" s="1"/>
  <c r="S211" i="12" s="1"/>
  <c r="S212" i="12" s="1"/>
  <c r="S213" i="12" s="1"/>
  <c r="S214" i="12" s="1"/>
  <c r="S215" i="12" s="1"/>
  <c r="S216" i="12" s="1"/>
  <c r="S217" i="12" s="1"/>
  <c r="S218" i="12" s="1"/>
  <c r="S219" i="12" s="1"/>
  <c r="S220" i="12" s="1"/>
  <c r="S221" i="12" s="1"/>
  <c r="S222" i="12" s="1"/>
  <c r="S223" i="12" s="1"/>
  <c r="S224" i="12" s="1"/>
  <c r="S225" i="12" s="1"/>
  <c r="S226" i="12" s="1"/>
  <c r="S227" i="12" s="1"/>
  <c r="S228" i="12" s="1"/>
  <c r="S229" i="12" s="1"/>
  <c r="S230" i="12" s="1"/>
  <c r="S231" i="12" s="1"/>
  <c r="S232" i="12" s="1"/>
  <c r="S233" i="12" s="1"/>
  <c r="S234" i="12" s="1"/>
  <c r="S235" i="12" s="1"/>
  <c r="S236" i="12" s="1"/>
  <c r="S237" i="12" s="1"/>
  <c r="S238" i="12" s="1"/>
  <c r="S239" i="12" s="1"/>
  <c r="S240" i="12" s="1"/>
  <c r="S241" i="12" s="1"/>
  <c r="S242" i="12" s="1"/>
  <c r="S243" i="12" s="1"/>
  <c r="S244" i="12" s="1"/>
  <c r="S245" i="12" s="1"/>
  <c r="S246" i="12" s="1"/>
  <c r="S247" i="12" s="1"/>
  <c r="S248" i="12" s="1"/>
  <c r="S249" i="12" s="1"/>
  <c r="S250" i="12" s="1"/>
  <c r="S251" i="12" s="1"/>
  <c r="S252" i="12" s="1"/>
  <c r="S253" i="12" s="1"/>
  <c r="S254" i="12" s="1"/>
  <c r="S255" i="12" s="1"/>
  <c r="S256" i="12" s="1"/>
  <c r="S257" i="12" s="1"/>
  <c r="S258" i="12" s="1"/>
  <c r="S259" i="12" s="1"/>
  <c r="S260" i="12" s="1"/>
  <c r="S261" i="12" s="1"/>
  <c r="S262" i="12" s="1"/>
  <c r="S263" i="12" s="1"/>
  <c r="S264" i="12" s="1"/>
  <c r="S265" i="12" s="1"/>
  <c r="S266" i="12" s="1"/>
  <c r="S267" i="12" s="1"/>
  <c r="S268" i="12" s="1"/>
  <c r="S269" i="12" s="1"/>
  <c r="S270" i="12" s="1"/>
  <c r="S271" i="12" s="1"/>
  <c r="S6" i="13"/>
  <c r="S7" i="13" s="1"/>
  <c r="S8" i="13" s="1"/>
  <c r="S9" i="13" s="1"/>
  <c r="S10" i="13" s="1"/>
  <c r="S11" i="13" s="1"/>
  <c r="S12" i="13" s="1"/>
  <c r="S13" i="13" s="1"/>
  <c r="S14" i="13" s="1"/>
  <c r="S15" i="13" s="1"/>
  <c r="S16" i="13" s="1"/>
  <c r="S17" i="13" s="1"/>
  <c r="S18" i="13" s="1"/>
  <c r="S19" i="13" s="1"/>
  <c r="S20" i="13" s="1"/>
  <c r="S21" i="13" s="1"/>
  <c r="S22" i="13" s="1"/>
  <c r="S23" i="13" s="1"/>
  <c r="S24" i="13" s="1"/>
  <c r="S25" i="13" s="1"/>
  <c r="S26" i="13" s="1"/>
  <c r="S27" i="13" s="1"/>
  <c r="S28" i="13" s="1"/>
  <c r="S29" i="13" s="1"/>
  <c r="S30" i="13" s="1"/>
  <c r="S31" i="13" s="1"/>
  <c r="S32" i="13" s="1"/>
  <c r="S33" i="13" s="1"/>
  <c r="S34" i="13" s="1"/>
  <c r="S35" i="13" s="1"/>
  <c r="S36" i="13" s="1"/>
  <c r="S37" i="13" s="1"/>
  <c r="S38" i="13" s="1"/>
  <c r="S39" i="13" s="1"/>
  <c r="S40" i="13" s="1"/>
  <c r="S41" i="13" s="1"/>
  <c r="S42" i="13" s="1"/>
  <c r="S43" i="13" s="1"/>
  <c r="S44" i="13" s="1"/>
  <c r="S45" i="13" s="1"/>
  <c r="S46" i="13" s="1"/>
  <c r="S47" i="13" s="1"/>
  <c r="S48" i="13" s="1"/>
  <c r="S49" i="13" s="1"/>
  <c r="S50" i="13" s="1"/>
  <c r="S51" i="13" s="1"/>
  <c r="S52" i="13" s="1"/>
  <c r="S53" i="13" s="1"/>
  <c r="S54" i="13" s="1"/>
  <c r="S55" i="13" s="1"/>
  <c r="S56" i="13" s="1"/>
  <c r="S57" i="13" s="1"/>
  <c r="S58" i="13" s="1"/>
  <c r="S59" i="13" s="1"/>
  <c r="S60" i="13" s="1"/>
  <c r="S61" i="13" s="1"/>
  <c r="S62" i="13" s="1"/>
  <c r="S63" i="13" s="1"/>
  <c r="S64" i="13" s="1"/>
  <c r="S65" i="13" s="1"/>
  <c r="S66" i="13" s="1"/>
  <c r="S67" i="13" s="1"/>
  <c r="S68" i="13" s="1"/>
  <c r="S69" i="13" s="1"/>
  <c r="S70" i="13" s="1"/>
  <c r="S71" i="13" s="1"/>
  <c r="S72" i="13" s="1"/>
  <c r="S73" i="13" s="1"/>
  <c r="S74" i="13" s="1"/>
  <c r="S75" i="13" s="1"/>
  <c r="S76" i="13" s="1"/>
  <c r="S77" i="13" s="1"/>
  <c r="S78" i="13" s="1"/>
  <c r="S79" i="13" s="1"/>
  <c r="S80" i="13" s="1"/>
  <c r="S81" i="13" s="1"/>
  <c r="S82" i="13" s="1"/>
  <c r="S83" i="13" s="1"/>
  <c r="S84" i="13" s="1"/>
  <c r="S85" i="13" s="1"/>
  <c r="S86" i="13" s="1"/>
  <c r="S87" i="13" s="1"/>
  <c r="S88" i="13" s="1"/>
  <c r="S89" i="13" s="1"/>
  <c r="S90" i="13" s="1"/>
  <c r="S91" i="13" s="1"/>
  <c r="S92" i="13" s="1"/>
  <c r="S93" i="13" s="1"/>
  <c r="S94" i="13" s="1"/>
  <c r="S95" i="13" s="1"/>
  <c r="S96" i="13" s="1"/>
  <c r="S97" i="13" s="1"/>
  <c r="S98" i="13" s="1"/>
  <c r="S99" i="13" s="1"/>
  <c r="S100" i="13" s="1"/>
  <c r="S101" i="13" s="1"/>
  <c r="S102" i="13" s="1"/>
  <c r="S103" i="13" s="1"/>
  <c r="S104" i="13" s="1"/>
  <c r="S105" i="13" s="1"/>
  <c r="S106" i="13" s="1"/>
  <c r="S107" i="13" s="1"/>
  <c r="S108" i="13" s="1"/>
  <c r="S109" i="13" s="1"/>
  <c r="S110" i="13" s="1"/>
  <c r="S111" i="13" s="1"/>
  <c r="S112" i="13" s="1"/>
  <c r="S113" i="13" s="1"/>
  <c r="S114" i="13" s="1"/>
  <c r="S115" i="13" s="1"/>
  <c r="S116" i="13" s="1"/>
  <c r="S117" i="13" s="1"/>
  <c r="S118" i="13" s="1"/>
  <c r="S119" i="13" s="1"/>
  <c r="S120" i="13" s="1"/>
  <c r="S121" i="13" s="1"/>
  <c r="S122" i="13" s="1"/>
  <c r="S123" i="13" s="1"/>
  <c r="S124" i="13" s="1"/>
  <c r="S125" i="13" s="1"/>
  <c r="S126" i="13" s="1"/>
  <c r="S127" i="13" s="1"/>
  <c r="S128" i="13" s="1"/>
  <c r="S129" i="13" s="1"/>
  <c r="S130" i="13" s="1"/>
  <c r="S131" i="13" s="1"/>
  <c r="S132" i="13" s="1"/>
  <c r="S133" i="13" s="1"/>
  <c r="S134" i="13" s="1"/>
  <c r="S135" i="13" s="1"/>
  <c r="S136" i="13" s="1"/>
  <c r="S137" i="13" s="1"/>
  <c r="S138" i="13" s="1"/>
  <c r="S139" i="13" s="1"/>
  <c r="S140" i="13" s="1"/>
  <c r="S141" i="13" s="1"/>
  <c r="S142" i="13" s="1"/>
  <c r="S143" i="13" s="1"/>
  <c r="S144" i="13" s="1"/>
  <c r="S145" i="13" s="1"/>
  <c r="S146" i="13" s="1"/>
  <c r="S147" i="13" s="1"/>
  <c r="S148" i="13" s="1"/>
  <c r="S149" i="13" s="1"/>
  <c r="S150" i="13" s="1"/>
  <c r="S151" i="13" s="1"/>
  <c r="S152" i="13" s="1"/>
  <c r="S153" i="13" s="1"/>
  <c r="S154" i="13" s="1"/>
  <c r="S155" i="13" s="1"/>
  <c r="S156" i="13" s="1"/>
  <c r="S157" i="13" s="1"/>
  <c r="S158" i="13" s="1"/>
  <c r="S159" i="13" s="1"/>
  <c r="S160" i="13" s="1"/>
  <c r="S161" i="13" s="1"/>
  <c r="S162" i="13" s="1"/>
  <c r="S163" i="13" s="1"/>
  <c r="S164" i="13" s="1"/>
  <c r="S165" i="13" s="1"/>
  <c r="S166" i="13" s="1"/>
  <c r="S167" i="13" s="1"/>
  <c r="S168" i="13" s="1"/>
  <c r="S169" i="13" s="1"/>
  <c r="S170" i="13" s="1"/>
  <c r="S171" i="13" s="1"/>
  <c r="S172" i="13" s="1"/>
  <c r="S173" i="13" s="1"/>
  <c r="S174" i="13" s="1"/>
  <c r="S175" i="13" s="1"/>
  <c r="S176" i="13" s="1"/>
  <c r="S177" i="13" s="1"/>
  <c r="S178" i="13" s="1"/>
  <c r="S179" i="13" s="1"/>
  <c r="S180" i="13" s="1"/>
  <c r="S181" i="13" s="1"/>
  <c r="S182" i="13" s="1"/>
  <c r="S183" i="13" s="1"/>
  <c r="S184" i="13" s="1"/>
  <c r="S185" i="13" s="1"/>
  <c r="S186" i="13" s="1"/>
  <c r="S187" i="13" s="1"/>
  <c r="S188" i="13" s="1"/>
  <c r="S189" i="13" s="1"/>
  <c r="S190" i="13" s="1"/>
  <c r="S191" i="13" s="1"/>
  <c r="S192" i="13" s="1"/>
  <c r="S193" i="13" s="1"/>
  <c r="S194" i="13" s="1"/>
  <c r="S195" i="13" s="1"/>
  <c r="S196" i="13" s="1"/>
  <c r="S197" i="13" s="1"/>
  <c r="S198" i="13" s="1"/>
  <c r="S199" i="13" s="1"/>
  <c r="S200" i="13" s="1"/>
  <c r="S201" i="13" s="1"/>
  <c r="S202" i="13" s="1"/>
  <c r="S203" i="13" s="1"/>
  <c r="S204" i="13" s="1"/>
  <c r="S205" i="13" s="1"/>
  <c r="S206" i="13" s="1"/>
  <c r="S207" i="13" s="1"/>
  <c r="S208" i="13" s="1"/>
  <c r="S209" i="13" s="1"/>
  <c r="S210" i="13" s="1"/>
  <c r="S211" i="13" s="1"/>
  <c r="S212" i="13" s="1"/>
  <c r="S213" i="13" s="1"/>
  <c r="S214" i="13" s="1"/>
  <c r="S215" i="13" s="1"/>
  <c r="S216" i="13" s="1"/>
  <c r="S217" i="13" s="1"/>
  <c r="S218" i="13" s="1"/>
  <c r="S219" i="13" s="1"/>
  <c r="S220" i="13" s="1"/>
  <c r="S221" i="13" s="1"/>
  <c r="S222" i="13" s="1"/>
  <c r="S223" i="13" s="1"/>
  <c r="S224" i="13" s="1"/>
  <c r="S225" i="13" s="1"/>
  <c r="S226" i="13" s="1"/>
  <c r="S227" i="13" s="1"/>
  <c r="S228" i="13" s="1"/>
  <c r="S229" i="13" s="1"/>
  <c r="S230" i="13" s="1"/>
  <c r="S231" i="13" s="1"/>
  <c r="S232" i="13" s="1"/>
  <c r="S233" i="13" s="1"/>
  <c r="S234" i="13" s="1"/>
  <c r="S235" i="13" s="1"/>
  <c r="S236" i="13" s="1"/>
  <c r="S237" i="13" s="1"/>
  <c r="S238" i="13" s="1"/>
  <c r="S239" i="13" s="1"/>
  <c r="S240" i="13" s="1"/>
  <c r="S241" i="13" s="1"/>
  <c r="S242" i="13" s="1"/>
  <c r="S243" i="13" s="1"/>
  <c r="S244" i="13" s="1"/>
  <c r="S245" i="13" s="1"/>
  <c r="S246" i="13" s="1"/>
  <c r="S247" i="13" s="1"/>
  <c r="S248" i="13" s="1"/>
  <c r="S249" i="13" s="1"/>
  <c r="S250" i="13" s="1"/>
  <c r="S251" i="13" s="1"/>
  <c r="S252" i="13" s="1"/>
  <c r="S253" i="13" s="1"/>
  <c r="S254" i="13" s="1"/>
  <c r="S255" i="13" s="1"/>
  <c r="S256" i="13" s="1"/>
  <c r="S257" i="13" s="1"/>
  <c r="S258" i="13" s="1"/>
  <c r="S259" i="13" s="1"/>
  <c r="S260" i="13" s="1"/>
  <c r="S261" i="13" s="1"/>
  <c r="S262" i="13" s="1"/>
  <c r="S263" i="13" s="1"/>
  <c r="S264" i="13" s="1"/>
  <c r="S265" i="13" s="1"/>
  <c r="S266" i="13" s="1"/>
  <c r="I60" i="15"/>
  <c r="H59" i="15"/>
  <c r="H60" i="15"/>
  <c r="G60" i="15"/>
  <c r="F59" i="15"/>
  <c r="P59" i="15"/>
  <c r="P60" i="15"/>
  <c r="O59" i="15"/>
  <c r="O60" i="15"/>
  <c r="N60" i="15"/>
  <c r="M59" i="15"/>
  <c r="L59" i="15"/>
  <c r="L60" i="15"/>
  <c r="J59" i="15"/>
  <c r="J60" i="15"/>
  <c r="I59" i="15"/>
  <c r="G59" i="15"/>
  <c r="E59" i="15"/>
  <c r="E58" i="15"/>
  <c r="N59" i="15"/>
  <c r="F60" i="15"/>
  <c r="E60" i="15"/>
  <c r="M60" i="15"/>
  <c r="K60" i="15"/>
  <c r="K59" i="15"/>
  <c r="I65" i="15"/>
  <c r="H64" i="15"/>
  <c r="G64" i="15"/>
  <c r="G65" i="15"/>
  <c r="F64" i="15"/>
  <c r="P64" i="15"/>
  <c r="P65" i="15"/>
  <c r="E65" i="15"/>
  <c r="N65" i="15"/>
  <c r="M65" i="15"/>
  <c r="L64" i="15"/>
  <c r="K65" i="15"/>
  <c r="I64" i="15"/>
  <c r="H65" i="15"/>
  <c r="O65" i="15"/>
  <c r="N64" i="15"/>
  <c r="M64" i="15"/>
  <c r="J65" i="15"/>
  <c r="F65" i="15"/>
  <c r="E63" i="15"/>
  <c r="E64" i="15"/>
  <c r="O64" i="15"/>
  <c r="L65" i="15"/>
  <c r="K64" i="15"/>
  <c r="J64" i="15"/>
  <c r="E69" i="15"/>
  <c r="P69" i="15"/>
  <c r="E68" i="15"/>
  <c r="N69" i="15"/>
  <c r="L69" i="15"/>
  <c r="K69" i="15"/>
  <c r="H69" i="15"/>
  <c r="H70" i="15"/>
  <c r="F69" i="15"/>
  <c r="F70" i="15"/>
  <c r="E70" i="15"/>
  <c r="P70" i="15"/>
  <c r="O69" i="15"/>
  <c r="K70" i="15"/>
  <c r="J69" i="15"/>
  <c r="J70" i="15"/>
  <c r="O70" i="15"/>
  <c r="N70" i="15"/>
  <c r="M69" i="15"/>
  <c r="M70" i="15"/>
  <c r="I69" i="15"/>
  <c r="I70" i="15"/>
  <c r="G69" i="15"/>
  <c r="L70" i="15"/>
  <c r="G70" i="15"/>
  <c r="S343" i="3" l="1"/>
  <c r="S344" i="3" s="1"/>
  <c r="N68" i="15"/>
  <c r="N71" i="15" s="1"/>
  <c r="P63" i="15"/>
  <c r="P66" i="15" s="1"/>
  <c r="O63" i="15"/>
  <c r="O66" i="15" s="1"/>
  <c r="R65" i="15"/>
  <c r="Q65" i="15"/>
  <c r="N58" i="15"/>
  <c r="N61" i="15" s="1"/>
  <c r="O58" i="15"/>
  <c r="O61" i="15" s="1"/>
  <c r="E61" i="15"/>
  <c r="M63" i="15"/>
  <c r="M66" i="15" s="1"/>
  <c r="R59" i="15"/>
  <c r="Q59" i="15"/>
  <c r="P58" i="15"/>
  <c r="P61" i="15" s="1"/>
  <c r="E71" i="15"/>
  <c r="N63" i="15"/>
  <c r="N66" i="15" s="1"/>
  <c r="R64" i="15"/>
  <c r="Q64" i="15"/>
  <c r="P68" i="15"/>
  <c r="P71" i="15" s="1"/>
  <c r="M58" i="15"/>
  <c r="M61" i="15" s="1"/>
  <c r="M68" i="15"/>
  <c r="M71" i="15" s="1"/>
  <c r="Q69" i="15"/>
  <c r="R69" i="15"/>
  <c r="E66" i="15"/>
  <c r="F63" i="15" s="1"/>
  <c r="F66" i="15" s="1"/>
  <c r="G63" i="15" s="1"/>
  <c r="G66" i="15" s="1"/>
  <c r="H63" i="15" s="1"/>
  <c r="H66" i="15" s="1"/>
  <c r="I63" i="15" s="1"/>
  <c r="I66" i="15" s="1"/>
  <c r="J63" i="15" s="1"/>
  <c r="J66" i="15" s="1"/>
  <c r="K63" i="15" s="1"/>
  <c r="K66" i="15" s="1"/>
  <c r="L63" i="15" s="1"/>
  <c r="L66" i="15" s="1"/>
  <c r="O68" i="15"/>
  <c r="O71" i="15" s="1"/>
  <c r="R60" i="15"/>
  <c r="Q60" i="15"/>
  <c r="R70" i="15"/>
  <c r="Q70" i="15"/>
  <c r="N18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AC153" i="9"/>
  <c r="AC154" i="9"/>
  <c r="AC155" i="9"/>
  <c r="AC156" i="9"/>
  <c r="AC157" i="9"/>
  <c r="AC158" i="9"/>
  <c r="AC159" i="9"/>
  <c r="AC160" i="9"/>
  <c r="AC161" i="9"/>
  <c r="AC162" i="9"/>
  <c r="AC163" i="9"/>
  <c r="AC164" i="9"/>
  <c r="AC165" i="9"/>
  <c r="AC166" i="9"/>
  <c r="AC167" i="9"/>
  <c r="AC168" i="9"/>
  <c r="AC169" i="9"/>
  <c r="AC170" i="9"/>
  <c r="AC171" i="9"/>
  <c r="AC172" i="9"/>
  <c r="AC173" i="9"/>
  <c r="AC174" i="9"/>
  <c r="AC175" i="9"/>
  <c r="AC176" i="9"/>
  <c r="AC177" i="9"/>
  <c r="AC178" i="9"/>
  <c r="AC179" i="9"/>
  <c r="AC180" i="9"/>
  <c r="AC181" i="9"/>
  <c r="AC182" i="9"/>
  <c r="AC183" i="9"/>
  <c r="AC184" i="9"/>
  <c r="AC185" i="9"/>
  <c r="AC186" i="9"/>
  <c r="AC187" i="9"/>
  <c r="AC188" i="9"/>
  <c r="AC189" i="9"/>
  <c r="AC190" i="9"/>
  <c r="AC191" i="9"/>
  <c r="AC192" i="9"/>
  <c r="AC193" i="9"/>
  <c r="AC194" i="9"/>
  <c r="AC195" i="9"/>
  <c r="AC196" i="9"/>
  <c r="AC197" i="9"/>
  <c r="AC198" i="9"/>
  <c r="AC199" i="9"/>
  <c r="AC200" i="9"/>
  <c r="AC201" i="9"/>
  <c r="AC202" i="9"/>
  <c r="AC203" i="9"/>
  <c r="AC204" i="9"/>
  <c r="AC205" i="9"/>
  <c r="AC206" i="9"/>
  <c r="AC207" i="9"/>
  <c r="AC208" i="9"/>
  <c r="AC209" i="9"/>
  <c r="AC210" i="9"/>
  <c r="AC211" i="9"/>
  <c r="AC212" i="9"/>
  <c r="AC213" i="9"/>
  <c r="AC214" i="9"/>
  <c r="AC215" i="9"/>
  <c r="AC216" i="9"/>
  <c r="AC217" i="9"/>
  <c r="AC218" i="9"/>
  <c r="AC219" i="9"/>
  <c r="AC220" i="9"/>
  <c r="AC221" i="9"/>
  <c r="AC222" i="9"/>
  <c r="AC223" i="9"/>
  <c r="AC224" i="9"/>
  <c r="AC225" i="9"/>
  <c r="AC226" i="9"/>
  <c r="AC227" i="9"/>
  <c r="AC228" i="9"/>
  <c r="AC229" i="9"/>
  <c r="AC230" i="9"/>
  <c r="AC231" i="9"/>
  <c r="AC232" i="9"/>
  <c r="AC233" i="9"/>
  <c r="AC234" i="9"/>
  <c r="AC235" i="9"/>
  <c r="AC236" i="9"/>
  <c r="AC237" i="9"/>
  <c r="AC238" i="9"/>
  <c r="AC239" i="9"/>
  <c r="AC240" i="9"/>
  <c r="AC241" i="9"/>
  <c r="AC242" i="9"/>
  <c r="AC243" i="9"/>
  <c r="AC244" i="9"/>
  <c r="AC245" i="9"/>
  <c r="AC246" i="9"/>
  <c r="AC247" i="9"/>
  <c r="AC248" i="9"/>
  <c r="AC249" i="9"/>
  <c r="AC250" i="9"/>
  <c r="AC251" i="9"/>
  <c r="AC252" i="9"/>
  <c r="AC253" i="9"/>
  <c r="AC254" i="9"/>
  <c r="AC255" i="9"/>
  <c r="AC256" i="9"/>
  <c r="AC257" i="9"/>
  <c r="AC258" i="9"/>
  <c r="AC259" i="9"/>
  <c r="AC260" i="9"/>
  <c r="AC261" i="9"/>
  <c r="AC262" i="9"/>
  <c r="AC263" i="9"/>
  <c r="AC264" i="9"/>
  <c r="AC265" i="9"/>
  <c r="AC266" i="9"/>
  <c r="AC267" i="9"/>
  <c r="AC268" i="9"/>
  <c r="AC269" i="9"/>
  <c r="AC270" i="9"/>
  <c r="AC271" i="9"/>
  <c r="AC272" i="9"/>
  <c r="AC273" i="9"/>
  <c r="AC274" i="9"/>
  <c r="AC275" i="9"/>
  <c r="AC276" i="9"/>
  <c r="AC277" i="9"/>
  <c r="AC278" i="9"/>
  <c r="AC279" i="9"/>
  <c r="AC280" i="9"/>
  <c r="AC281" i="9"/>
  <c r="AC282" i="9"/>
  <c r="AC283" i="9"/>
  <c r="AC284" i="9"/>
  <c r="AC285" i="9"/>
  <c r="AC286" i="9"/>
  <c r="AC287" i="9"/>
  <c r="AC288" i="9"/>
  <c r="AC289" i="9"/>
  <c r="AC290" i="9"/>
  <c r="AC291" i="9"/>
  <c r="AC292" i="9"/>
  <c r="AC293" i="9"/>
  <c r="AC294" i="9"/>
  <c r="AC295" i="9"/>
  <c r="AC296" i="9"/>
  <c r="AC297" i="9"/>
  <c r="AC298" i="9"/>
  <c r="AC299" i="9"/>
  <c r="AC300" i="9"/>
  <c r="AC301" i="9"/>
  <c r="AC302" i="9"/>
  <c r="AC303" i="9"/>
  <c r="AC304" i="9"/>
  <c r="AC305" i="9"/>
  <c r="AC306" i="9"/>
  <c r="AC307" i="9"/>
  <c r="AC308" i="9"/>
  <c r="AC309" i="9"/>
  <c r="AC310" i="9"/>
  <c r="AC311" i="9"/>
  <c r="AC312" i="9"/>
  <c r="AC313" i="9"/>
  <c r="AC314" i="9"/>
  <c r="AC315" i="9"/>
  <c r="AC316" i="9"/>
  <c r="AC317" i="9"/>
  <c r="AC318" i="9"/>
  <c r="AC319" i="9"/>
  <c r="AC320" i="9"/>
  <c r="AC321" i="9"/>
  <c r="AC322" i="9"/>
  <c r="AC323" i="9"/>
  <c r="AC324" i="9"/>
  <c r="AC325" i="9"/>
  <c r="AC326" i="9"/>
  <c r="AC327" i="9"/>
  <c r="AC328" i="9"/>
  <c r="AC329" i="9"/>
  <c r="AC330" i="9"/>
  <c r="AC331" i="9"/>
  <c r="AC332" i="9"/>
  <c r="AC333" i="9"/>
  <c r="AC334" i="9"/>
  <c r="AC335" i="9"/>
  <c r="AC336" i="9"/>
  <c r="AC337" i="9"/>
  <c r="AC338" i="9"/>
  <c r="AC339" i="9"/>
  <c r="AC340" i="9"/>
  <c r="AC341" i="9"/>
  <c r="AC342" i="9"/>
  <c r="AC343" i="9"/>
  <c r="AC344" i="9"/>
  <c r="AC345" i="9"/>
  <c r="AC346" i="9"/>
  <c r="AC347" i="9"/>
  <c r="AC348" i="9"/>
  <c r="AC349" i="9"/>
  <c r="AC350" i="9"/>
  <c r="AC351" i="9"/>
  <c r="AC352" i="9"/>
  <c r="AC353" i="9"/>
  <c r="AC354" i="9"/>
  <c r="AC355" i="9"/>
  <c r="AC356" i="9"/>
  <c r="AC357" i="9"/>
  <c r="AC358" i="9"/>
  <c r="AC359" i="9"/>
  <c r="AC360" i="9"/>
  <c r="AC361" i="9"/>
  <c r="AC362" i="9"/>
  <c r="AC363" i="9"/>
  <c r="AC364" i="9"/>
  <c r="AC365" i="9"/>
  <c r="AC366" i="9"/>
  <c r="AC367" i="9"/>
  <c r="AC368" i="9"/>
  <c r="AC369" i="9"/>
  <c r="AC370" i="9"/>
  <c r="AC371" i="9"/>
  <c r="AC372" i="9"/>
  <c r="AC373" i="9"/>
  <c r="AC374" i="9"/>
  <c r="AC375" i="9"/>
  <c r="AC376" i="9"/>
  <c r="AC377" i="9"/>
  <c r="AC378" i="9"/>
  <c r="AC379" i="9"/>
  <c r="AC380" i="9"/>
  <c r="AC381" i="9"/>
  <c r="AC382" i="9"/>
  <c r="AC383" i="9"/>
  <c r="AC384" i="9"/>
  <c r="AC385" i="9"/>
  <c r="AC386" i="9"/>
  <c r="AC387" i="9"/>
  <c r="AC388" i="9"/>
  <c r="AC389" i="9"/>
  <c r="AC390" i="9"/>
  <c r="AC391" i="9"/>
  <c r="AC392" i="9"/>
  <c r="AC393" i="9"/>
  <c r="AC394" i="9"/>
  <c r="AC395" i="9"/>
  <c r="AC396" i="9"/>
  <c r="AC397" i="9"/>
  <c r="AC398" i="9"/>
  <c r="AC399" i="9"/>
  <c r="AC400" i="9"/>
  <c r="AC401" i="9"/>
  <c r="AC402" i="9"/>
  <c r="AC403" i="9"/>
  <c r="AC404" i="9"/>
  <c r="AC405" i="9"/>
  <c r="AC406" i="9"/>
  <c r="AC407" i="9"/>
  <c r="AC408" i="9"/>
  <c r="AC409" i="9"/>
  <c r="AC410" i="9"/>
  <c r="AC411" i="9"/>
  <c r="AC412" i="9"/>
  <c r="AC413" i="9"/>
  <c r="AC414" i="9"/>
  <c r="AC415" i="9"/>
  <c r="AC416" i="9"/>
  <c r="AC417" i="9"/>
  <c r="AC418" i="9"/>
  <c r="AC419" i="9"/>
  <c r="AC420" i="9"/>
  <c r="AC421" i="9"/>
  <c r="AC422" i="9"/>
  <c r="AC423" i="9"/>
  <c r="AC424" i="9"/>
  <c r="AC425" i="9"/>
  <c r="AC426" i="9"/>
  <c r="AC427" i="9"/>
  <c r="AC428" i="9"/>
  <c r="AC429" i="9"/>
  <c r="AC430" i="9"/>
  <c r="AC431" i="9"/>
  <c r="AC432" i="9"/>
  <c r="AC433" i="9"/>
  <c r="AC434" i="9"/>
  <c r="AC435" i="9"/>
  <c r="AC436" i="9"/>
  <c r="AC437" i="9"/>
  <c r="AC438" i="9"/>
  <c r="AC439" i="9"/>
  <c r="AC440" i="9"/>
  <c r="AC441" i="9"/>
  <c r="AC442" i="9"/>
  <c r="AC443" i="9"/>
  <c r="AC444" i="9"/>
  <c r="AC445" i="9"/>
  <c r="AC446" i="9"/>
  <c r="AC447" i="9"/>
  <c r="AC448" i="9"/>
  <c r="AC449" i="9"/>
  <c r="AC450" i="9"/>
  <c r="AC451" i="9"/>
  <c r="AC452" i="9"/>
  <c r="AC453" i="9"/>
  <c r="AC454" i="9"/>
  <c r="AC455" i="9"/>
  <c r="AC456" i="9"/>
  <c r="AC457" i="9"/>
  <c r="AC458" i="9"/>
  <c r="AC459" i="9"/>
  <c r="AC460" i="9"/>
  <c r="AC461" i="9"/>
  <c r="AC462" i="9"/>
  <c r="AC463" i="9"/>
  <c r="AC464" i="9"/>
  <c r="AC465" i="9"/>
  <c r="AC466" i="9"/>
  <c r="AC467" i="9"/>
  <c r="AC468" i="9"/>
  <c r="AC469" i="9"/>
  <c r="AC470" i="9"/>
  <c r="AC471" i="9"/>
  <c r="AC472" i="9"/>
  <c r="AC473" i="9"/>
  <c r="AC474" i="9"/>
  <c r="AC475" i="9"/>
  <c r="AC476" i="9"/>
  <c r="AC477" i="9"/>
  <c r="AC478" i="9"/>
  <c r="AC479" i="9"/>
  <c r="AC480" i="9"/>
  <c r="AC481" i="9"/>
  <c r="AC482" i="9"/>
  <c r="AC483" i="9"/>
  <c r="AC484" i="9"/>
  <c r="AC485" i="9"/>
  <c r="AC486" i="9"/>
  <c r="AC487" i="9"/>
  <c r="AC488" i="9"/>
  <c r="AC489" i="9"/>
  <c r="AC490" i="9"/>
  <c r="AC491" i="9"/>
  <c r="AC492" i="9"/>
  <c r="AC493" i="9"/>
  <c r="AC494" i="9"/>
  <c r="AC495" i="9"/>
  <c r="AC496" i="9"/>
  <c r="AC497" i="9"/>
  <c r="AC498" i="9"/>
  <c r="AC499" i="9"/>
  <c r="AC500" i="9"/>
  <c r="AC501" i="9"/>
  <c r="AC502" i="9"/>
  <c r="AC503" i="9"/>
  <c r="AC504" i="9"/>
  <c r="AC505" i="9"/>
  <c r="AC506" i="9"/>
  <c r="AC507" i="9"/>
  <c r="AC508" i="9"/>
  <c r="AC509" i="9"/>
  <c r="AC510" i="9"/>
  <c r="AC511" i="9"/>
  <c r="AC512" i="9"/>
  <c r="AC513" i="9"/>
  <c r="AC514" i="9"/>
  <c r="AC515" i="9"/>
  <c r="AC516" i="9"/>
  <c r="AC517" i="9"/>
  <c r="AC518" i="9"/>
  <c r="AC519" i="9"/>
  <c r="AC520" i="9"/>
  <c r="AC521" i="9"/>
  <c r="AC522" i="9"/>
  <c r="AC523" i="9"/>
  <c r="AC524" i="9"/>
  <c r="AC525" i="9"/>
  <c r="AC526" i="9"/>
  <c r="AC527" i="9"/>
  <c r="AC528" i="9"/>
  <c r="AC529" i="9"/>
  <c r="AC530" i="9"/>
  <c r="AC531" i="9"/>
  <c r="AC532" i="9"/>
  <c r="AC533" i="9"/>
  <c r="AC534" i="9"/>
  <c r="AC535" i="9"/>
  <c r="AC536" i="9"/>
  <c r="AC537" i="9"/>
  <c r="AC538" i="9"/>
  <c r="AC539" i="9"/>
  <c r="AC540" i="9"/>
  <c r="AC541" i="9"/>
  <c r="AC542" i="9"/>
  <c r="AC543" i="9"/>
  <c r="AC544" i="9"/>
  <c r="AC545" i="9"/>
  <c r="AC546" i="9"/>
  <c r="AC547" i="9"/>
  <c r="AC548" i="9"/>
  <c r="AC549" i="9"/>
  <c r="AC550" i="9"/>
  <c r="AC551" i="9"/>
  <c r="AC552" i="9"/>
  <c r="AC553" i="9"/>
  <c r="AC554" i="9"/>
  <c r="AC555" i="9"/>
  <c r="AC556" i="9"/>
  <c r="AC557" i="9"/>
  <c r="AC558" i="9"/>
  <c r="AC559" i="9"/>
  <c r="AC560" i="9"/>
  <c r="AC561" i="9"/>
  <c r="AC562" i="9"/>
  <c r="AC563" i="9"/>
  <c r="AC564" i="9"/>
  <c r="AC565" i="9"/>
  <c r="AC566" i="9"/>
  <c r="AC567" i="9"/>
  <c r="AC568" i="9"/>
  <c r="AC569" i="9"/>
  <c r="AC570" i="9"/>
  <c r="AC571" i="9"/>
  <c r="AC572" i="9"/>
  <c r="AC573" i="9"/>
  <c r="AC574" i="9"/>
  <c r="AC575" i="9"/>
  <c r="AC576" i="9"/>
  <c r="AC577" i="9"/>
  <c r="AC578" i="9"/>
  <c r="AC579" i="9"/>
  <c r="AC580" i="9"/>
  <c r="AC581" i="9"/>
  <c r="AC582" i="9"/>
  <c r="AC583" i="9"/>
  <c r="AC584" i="9"/>
  <c r="AC585" i="9"/>
  <c r="AC586" i="9"/>
  <c r="AC587" i="9"/>
  <c r="AC588" i="9"/>
  <c r="AC589" i="9"/>
  <c r="AC590" i="9"/>
  <c r="AC591" i="9"/>
  <c r="AC592" i="9"/>
  <c r="F58" i="15" l="1"/>
  <c r="Q63" i="15"/>
  <c r="R66" i="15"/>
  <c r="Q66" i="15"/>
  <c r="R63" i="15"/>
  <c r="F68" i="15"/>
  <c r="C5" i="9"/>
  <c r="AC5" i="9"/>
  <c r="P54" i="15" s="1"/>
  <c r="S5" i="9"/>
  <c r="R5" i="9"/>
  <c r="T5" i="9" s="1"/>
  <c r="T6" i="9" s="1"/>
  <c r="T7" i="9" s="1"/>
  <c r="T8" i="9" s="1"/>
  <c r="T9" i="9" s="1"/>
  <c r="T10" i="9" s="1"/>
  <c r="T11" i="9" s="1"/>
  <c r="T12" i="9" s="1"/>
  <c r="T13" i="9" s="1"/>
  <c r="T14" i="9" s="1"/>
  <c r="T15" i="9" s="1"/>
  <c r="T16" i="9" s="1"/>
  <c r="T17" i="9" s="1"/>
  <c r="T18" i="9" s="1"/>
  <c r="T19" i="9" s="1"/>
  <c r="T20" i="9" s="1"/>
  <c r="T21" i="9" s="1"/>
  <c r="T22" i="9" s="1"/>
  <c r="T23" i="9" s="1"/>
  <c r="T24" i="9" s="1"/>
  <c r="T25" i="9" s="1"/>
  <c r="T26" i="9" s="1"/>
  <c r="T27" i="9" s="1"/>
  <c r="T28" i="9" s="1"/>
  <c r="T29" i="9" s="1"/>
  <c r="T30" i="9" s="1"/>
  <c r="T31" i="9" s="1"/>
  <c r="T32" i="9" s="1"/>
  <c r="T33" i="9" s="1"/>
  <c r="T34" i="9" s="1"/>
  <c r="T35" i="9" s="1"/>
  <c r="T36" i="9" s="1"/>
  <c r="T37" i="9" s="1"/>
  <c r="T38" i="9" s="1"/>
  <c r="T39" i="9" s="1"/>
  <c r="T40" i="9" s="1"/>
  <c r="T41" i="9" s="1"/>
  <c r="T42" i="9" s="1"/>
  <c r="T43" i="9" s="1"/>
  <c r="T44" i="9" s="1"/>
  <c r="T45" i="9" s="1"/>
  <c r="T46" i="9" s="1"/>
  <c r="T47" i="9" s="1"/>
  <c r="T48" i="9" s="1"/>
  <c r="T49" i="9" s="1"/>
  <c r="T50" i="9" s="1"/>
  <c r="T51" i="9" s="1"/>
  <c r="T52" i="9" s="1"/>
  <c r="T53" i="9" s="1"/>
  <c r="T54" i="9" s="1"/>
  <c r="T55" i="9" s="1"/>
  <c r="T56" i="9" s="1"/>
  <c r="T57" i="9" s="1"/>
  <c r="T58" i="9" s="1"/>
  <c r="T59" i="9" s="1"/>
  <c r="T60" i="9" s="1"/>
  <c r="T61" i="9" s="1"/>
  <c r="T62" i="9" s="1"/>
  <c r="T63" i="9" s="1"/>
  <c r="T64" i="9" s="1"/>
  <c r="T65" i="9" s="1"/>
  <c r="T66" i="9" s="1"/>
  <c r="T67" i="9" s="1"/>
  <c r="T68" i="9" s="1"/>
  <c r="T69" i="9" s="1"/>
  <c r="T70" i="9" s="1"/>
  <c r="T71" i="9" s="1"/>
  <c r="T72" i="9" s="1"/>
  <c r="T73" i="9" s="1"/>
  <c r="T74" i="9" s="1"/>
  <c r="T75" i="9" s="1"/>
  <c r="T76" i="9" s="1"/>
  <c r="T77" i="9" s="1"/>
  <c r="T78" i="9" s="1"/>
  <c r="T79" i="9" s="1"/>
  <c r="T80" i="9" s="1"/>
  <c r="T81" i="9" s="1"/>
  <c r="T82" i="9" s="1"/>
  <c r="T83" i="9" s="1"/>
  <c r="T84" i="9" s="1"/>
  <c r="T85" i="9" s="1"/>
  <c r="T86" i="9" s="1"/>
  <c r="T87" i="9" s="1"/>
  <c r="T88" i="9" s="1"/>
  <c r="T89" i="9" s="1"/>
  <c r="T90" i="9" s="1"/>
  <c r="T91" i="9" s="1"/>
  <c r="T92" i="9" s="1"/>
  <c r="T93" i="9" s="1"/>
  <c r="T94" i="9" s="1"/>
  <c r="T95" i="9" s="1"/>
  <c r="T96" i="9" s="1"/>
  <c r="T97" i="9" s="1"/>
  <c r="T98" i="9" s="1"/>
  <c r="T99" i="9" s="1"/>
  <c r="T100" i="9" s="1"/>
  <c r="T101" i="9" s="1"/>
  <c r="T102" i="9" s="1"/>
  <c r="T103" i="9" s="1"/>
  <c r="T104" i="9" s="1"/>
  <c r="T105" i="9" s="1"/>
  <c r="T106" i="9" s="1"/>
  <c r="T107" i="9" s="1"/>
  <c r="T108" i="9" s="1"/>
  <c r="T109" i="9" s="1"/>
  <c r="T110" i="9" s="1"/>
  <c r="T111" i="9" s="1"/>
  <c r="T112" i="9" s="1"/>
  <c r="T113" i="9" s="1"/>
  <c r="T114" i="9" s="1"/>
  <c r="T115" i="9" s="1"/>
  <c r="T116" i="9" s="1"/>
  <c r="T117" i="9" s="1"/>
  <c r="T118" i="9" s="1"/>
  <c r="T119" i="9" s="1"/>
  <c r="T120" i="9" s="1"/>
  <c r="T121" i="9" s="1"/>
  <c r="T122" i="9" s="1"/>
  <c r="T123" i="9" s="1"/>
  <c r="T124" i="9" s="1"/>
  <c r="T125" i="9" s="1"/>
  <c r="T126" i="9" s="1"/>
  <c r="T127" i="9" s="1"/>
  <c r="T128" i="9" s="1"/>
  <c r="T129" i="9" s="1"/>
  <c r="T130" i="9" s="1"/>
  <c r="T131" i="9" s="1"/>
  <c r="T132" i="9" s="1"/>
  <c r="T133" i="9" s="1"/>
  <c r="T134" i="9" s="1"/>
  <c r="T135" i="9" s="1"/>
  <c r="T136" i="9" s="1"/>
  <c r="T137" i="9" s="1"/>
  <c r="T138" i="9" s="1"/>
  <c r="T139" i="9" s="1"/>
  <c r="T140" i="9" s="1"/>
  <c r="T141" i="9" s="1"/>
  <c r="T142" i="9" s="1"/>
  <c r="T143" i="9" s="1"/>
  <c r="T144" i="9" s="1"/>
  <c r="T145" i="9" s="1"/>
  <c r="T146" i="9" s="1"/>
  <c r="T147" i="9" s="1"/>
  <c r="T148" i="9" s="1"/>
  <c r="T149" i="9" s="1"/>
  <c r="T150" i="9" s="1"/>
  <c r="T151" i="9" s="1"/>
  <c r="T152" i="9" s="1"/>
  <c r="T153" i="9" s="1"/>
  <c r="T154" i="9" s="1"/>
  <c r="T155" i="9" s="1"/>
  <c r="T156" i="9" s="1"/>
  <c r="T157" i="9" s="1"/>
  <c r="T158" i="9" s="1"/>
  <c r="T159" i="9" s="1"/>
  <c r="T160" i="9" s="1"/>
  <c r="T161" i="9" s="1"/>
  <c r="T162" i="9" s="1"/>
  <c r="T163" i="9" s="1"/>
  <c r="T164" i="9" s="1"/>
  <c r="T165" i="9" s="1"/>
  <c r="T166" i="9" s="1"/>
  <c r="T167" i="9" s="1"/>
  <c r="T168" i="9" s="1"/>
  <c r="T169" i="9" s="1"/>
  <c r="T170" i="9" s="1"/>
  <c r="T171" i="9" s="1"/>
  <c r="T172" i="9" s="1"/>
  <c r="T173" i="9" s="1"/>
  <c r="T174" i="9" s="1"/>
  <c r="T175" i="9" s="1"/>
  <c r="T176" i="9" s="1"/>
  <c r="T177" i="9" s="1"/>
  <c r="T178" i="9" s="1"/>
  <c r="T179" i="9" s="1"/>
  <c r="T180" i="9" s="1"/>
  <c r="T181" i="9" s="1"/>
  <c r="T182" i="9" s="1"/>
  <c r="T183" i="9" s="1"/>
  <c r="T184" i="9" s="1"/>
  <c r="T185" i="9" s="1"/>
  <c r="T186" i="9" s="1"/>
  <c r="T187" i="9" s="1"/>
  <c r="T188" i="9" s="1"/>
  <c r="T189" i="9" s="1"/>
  <c r="T190" i="9" s="1"/>
  <c r="T191" i="9" s="1"/>
  <c r="T192" i="9" s="1"/>
  <c r="T193" i="9" s="1"/>
  <c r="T194" i="9" s="1"/>
  <c r="T195" i="9" s="1"/>
  <c r="T196" i="9" s="1"/>
  <c r="T197" i="9" s="1"/>
  <c r="T198" i="9" s="1"/>
  <c r="T199" i="9" s="1"/>
  <c r="T200" i="9" s="1"/>
  <c r="T201" i="9" s="1"/>
  <c r="T202" i="9" s="1"/>
  <c r="T203" i="9" s="1"/>
  <c r="T204" i="9" s="1"/>
  <c r="T205" i="9" s="1"/>
  <c r="T206" i="9" s="1"/>
  <c r="T207" i="9" s="1"/>
  <c r="T208" i="9" s="1"/>
  <c r="T209" i="9" s="1"/>
  <c r="T210" i="9" s="1"/>
  <c r="T211" i="9" s="1"/>
  <c r="T212" i="9" s="1"/>
  <c r="T213" i="9" s="1"/>
  <c r="T214" i="9" s="1"/>
  <c r="T215" i="9" s="1"/>
  <c r="T216" i="9" s="1"/>
  <c r="T217" i="9" s="1"/>
  <c r="T218" i="9" s="1"/>
  <c r="T219" i="9" s="1"/>
  <c r="T220" i="9" s="1"/>
  <c r="T221" i="9" s="1"/>
  <c r="T222" i="9" s="1"/>
  <c r="T223" i="9" s="1"/>
  <c r="T224" i="9" s="1"/>
  <c r="T225" i="9" s="1"/>
  <c r="T226" i="9" s="1"/>
  <c r="T227" i="9" s="1"/>
  <c r="T228" i="9" s="1"/>
  <c r="T229" i="9" s="1"/>
  <c r="T230" i="9" s="1"/>
  <c r="T231" i="9" s="1"/>
  <c r="T232" i="9" s="1"/>
  <c r="T233" i="9" s="1"/>
  <c r="T234" i="9" s="1"/>
  <c r="T235" i="9" s="1"/>
  <c r="T236" i="9" s="1"/>
  <c r="T237" i="9" s="1"/>
  <c r="T238" i="9" s="1"/>
  <c r="T239" i="9" s="1"/>
  <c r="T240" i="9" s="1"/>
  <c r="T241" i="9" s="1"/>
  <c r="T242" i="9" s="1"/>
  <c r="T243" i="9" s="1"/>
  <c r="T244" i="9" s="1"/>
  <c r="T245" i="9" s="1"/>
  <c r="T246" i="9" s="1"/>
  <c r="T247" i="9" s="1"/>
  <c r="T248" i="9" s="1"/>
  <c r="T249" i="9" s="1"/>
  <c r="T250" i="9" s="1"/>
  <c r="T251" i="9" s="1"/>
  <c r="T252" i="9" s="1"/>
  <c r="T253" i="9" s="1"/>
  <c r="T254" i="9" s="1"/>
  <c r="T255" i="9" s="1"/>
  <c r="T256" i="9" s="1"/>
  <c r="T257" i="9" s="1"/>
  <c r="T258" i="9" s="1"/>
  <c r="T259" i="9" s="1"/>
  <c r="T260" i="9" s="1"/>
  <c r="T261" i="9" s="1"/>
  <c r="T262" i="9" s="1"/>
  <c r="T263" i="9" s="1"/>
  <c r="T264" i="9" s="1"/>
  <c r="T265" i="9" s="1"/>
  <c r="T266" i="9" s="1"/>
  <c r="T267" i="9" s="1"/>
  <c r="T268" i="9" s="1"/>
  <c r="T269" i="9" s="1"/>
  <c r="T270" i="9" s="1"/>
  <c r="T271" i="9" s="1"/>
  <c r="T272" i="9" s="1"/>
  <c r="T273" i="9" s="1"/>
  <c r="T274" i="9" s="1"/>
  <c r="T275" i="9" s="1"/>
  <c r="T276" i="9" s="1"/>
  <c r="T277" i="9" s="1"/>
  <c r="T278" i="9" s="1"/>
  <c r="T279" i="9" s="1"/>
  <c r="T280" i="9" s="1"/>
  <c r="T281" i="9" s="1"/>
  <c r="T282" i="9" s="1"/>
  <c r="T283" i="9" s="1"/>
  <c r="T284" i="9" s="1"/>
  <c r="T285" i="9" s="1"/>
  <c r="T286" i="9" s="1"/>
  <c r="T287" i="9" s="1"/>
  <c r="T288" i="9" s="1"/>
  <c r="T289" i="9" s="1"/>
  <c r="T290" i="9" s="1"/>
  <c r="T291" i="9" s="1"/>
  <c r="T292" i="9" s="1"/>
  <c r="T293" i="9" s="1"/>
  <c r="T294" i="9" s="1"/>
  <c r="T295" i="9" s="1"/>
  <c r="T296" i="9" s="1"/>
  <c r="T297" i="9" s="1"/>
  <c r="T298" i="9" s="1"/>
  <c r="T299" i="9" s="1"/>
  <c r="T300" i="9" s="1"/>
  <c r="T301" i="9" s="1"/>
  <c r="T302" i="9" s="1"/>
  <c r="T303" i="9" s="1"/>
  <c r="T304" i="9" s="1"/>
  <c r="T305" i="9" s="1"/>
  <c r="T306" i="9" s="1"/>
  <c r="T307" i="9" s="1"/>
  <c r="T308" i="9" s="1"/>
  <c r="T309" i="9" s="1"/>
  <c r="T310" i="9" s="1"/>
  <c r="T311" i="9" s="1"/>
  <c r="T312" i="9" s="1"/>
  <c r="T313" i="9" s="1"/>
  <c r="T314" i="9" s="1"/>
  <c r="T315" i="9" s="1"/>
  <c r="T316" i="9" s="1"/>
  <c r="T317" i="9" s="1"/>
  <c r="T318" i="9" s="1"/>
  <c r="T319" i="9" s="1"/>
  <c r="T320" i="9" s="1"/>
  <c r="T321" i="9" s="1"/>
  <c r="T322" i="9" s="1"/>
  <c r="T323" i="9" s="1"/>
  <c r="T324" i="9" s="1"/>
  <c r="T325" i="9" s="1"/>
  <c r="T326" i="9" s="1"/>
  <c r="T327" i="9" s="1"/>
  <c r="T328" i="9" s="1"/>
  <c r="T329" i="9" s="1"/>
  <c r="T330" i="9" s="1"/>
  <c r="T331" i="9" s="1"/>
  <c r="T332" i="9" s="1"/>
  <c r="T333" i="9" s="1"/>
  <c r="T334" i="9" s="1"/>
  <c r="T335" i="9" s="1"/>
  <c r="T336" i="9" s="1"/>
  <c r="T337" i="9" s="1"/>
  <c r="T338" i="9" s="1"/>
  <c r="T339" i="9" s="1"/>
  <c r="T340" i="9" s="1"/>
  <c r="T341" i="9" s="1"/>
  <c r="T342" i="9" s="1"/>
  <c r="T343" i="9" s="1"/>
  <c r="T344" i="9" s="1"/>
  <c r="T345" i="9" s="1"/>
  <c r="T346" i="9" s="1"/>
  <c r="T347" i="9" s="1"/>
  <c r="T348" i="9" s="1"/>
  <c r="T349" i="9" s="1"/>
  <c r="T350" i="9" s="1"/>
  <c r="T351" i="9" s="1"/>
  <c r="T352" i="9" s="1"/>
  <c r="T353" i="9" s="1"/>
  <c r="T354" i="9" s="1"/>
  <c r="T355" i="9" s="1"/>
  <c r="T356" i="9" s="1"/>
  <c r="T357" i="9" s="1"/>
  <c r="T358" i="9" s="1"/>
  <c r="T359" i="9" s="1"/>
  <c r="T360" i="9" s="1"/>
  <c r="T361" i="9" s="1"/>
  <c r="T362" i="9" s="1"/>
  <c r="T363" i="9" s="1"/>
  <c r="T364" i="9" s="1"/>
  <c r="T365" i="9" s="1"/>
  <c r="T366" i="9" s="1"/>
  <c r="T367" i="9" s="1"/>
  <c r="T368" i="9" s="1"/>
  <c r="T369" i="9" s="1"/>
  <c r="T370" i="9" s="1"/>
  <c r="T371" i="9" s="1"/>
  <c r="T372" i="9" s="1"/>
  <c r="T373" i="9" s="1"/>
  <c r="T374" i="9" s="1"/>
  <c r="T375" i="9" s="1"/>
  <c r="T376" i="9" s="1"/>
  <c r="T377" i="9" s="1"/>
  <c r="T378" i="9" s="1"/>
  <c r="T379" i="9" s="1"/>
  <c r="T380" i="9" s="1"/>
  <c r="T381" i="9" s="1"/>
  <c r="T382" i="9" s="1"/>
  <c r="T383" i="9" s="1"/>
  <c r="T384" i="9" s="1"/>
  <c r="T385" i="9" s="1"/>
  <c r="T386" i="9" s="1"/>
  <c r="T387" i="9" s="1"/>
  <c r="T388" i="9" s="1"/>
  <c r="T389" i="9" s="1"/>
  <c r="T390" i="9" s="1"/>
  <c r="T391" i="9" s="1"/>
  <c r="T392" i="9" s="1"/>
  <c r="T393" i="9" s="1"/>
  <c r="T394" i="9" s="1"/>
  <c r="T395" i="9" s="1"/>
  <c r="T396" i="9" s="1"/>
  <c r="T397" i="9" s="1"/>
  <c r="T398" i="9" s="1"/>
  <c r="T399" i="9" s="1"/>
  <c r="T400" i="9" s="1"/>
  <c r="T401" i="9" s="1"/>
  <c r="T402" i="9" s="1"/>
  <c r="T403" i="9" s="1"/>
  <c r="T404" i="9" s="1"/>
  <c r="T405" i="9" s="1"/>
  <c r="T406" i="9" s="1"/>
  <c r="T407" i="9" s="1"/>
  <c r="T408" i="9" s="1"/>
  <c r="T409" i="9" s="1"/>
  <c r="T410" i="9" s="1"/>
  <c r="T411" i="9" s="1"/>
  <c r="T412" i="9" s="1"/>
  <c r="T413" i="9" s="1"/>
  <c r="T414" i="9" s="1"/>
  <c r="T415" i="9" s="1"/>
  <c r="T416" i="9" s="1"/>
  <c r="T417" i="9" s="1"/>
  <c r="T418" i="9" s="1"/>
  <c r="T419" i="9" s="1"/>
  <c r="T420" i="9" s="1"/>
  <c r="T421" i="9" s="1"/>
  <c r="T422" i="9" s="1"/>
  <c r="T423" i="9" s="1"/>
  <c r="T424" i="9" s="1"/>
  <c r="T425" i="9" s="1"/>
  <c r="T426" i="9" s="1"/>
  <c r="T427" i="9" s="1"/>
  <c r="T428" i="9" s="1"/>
  <c r="T429" i="9" s="1"/>
  <c r="T430" i="9" s="1"/>
  <c r="T431" i="9" s="1"/>
  <c r="T432" i="9" s="1"/>
  <c r="T433" i="9" s="1"/>
  <c r="T434" i="9" s="1"/>
  <c r="T435" i="9" s="1"/>
  <c r="T436" i="9" s="1"/>
  <c r="T437" i="9" s="1"/>
  <c r="T438" i="9" s="1"/>
  <c r="T439" i="9" s="1"/>
  <c r="T440" i="9" s="1"/>
  <c r="T441" i="9" s="1"/>
  <c r="T442" i="9" s="1"/>
  <c r="T443" i="9" s="1"/>
  <c r="T444" i="9" s="1"/>
  <c r="T445" i="9" s="1"/>
  <c r="T446" i="9" s="1"/>
  <c r="T447" i="9" s="1"/>
  <c r="T448" i="9" s="1"/>
  <c r="T449" i="9" s="1"/>
  <c r="T450" i="9" s="1"/>
  <c r="T451" i="9" s="1"/>
  <c r="T452" i="9" s="1"/>
  <c r="T453" i="9" s="1"/>
  <c r="T454" i="9" s="1"/>
  <c r="T455" i="9" s="1"/>
  <c r="T456" i="9" s="1"/>
  <c r="T457" i="9" s="1"/>
  <c r="T458" i="9" s="1"/>
  <c r="T459" i="9" s="1"/>
  <c r="T460" i="9" s="1"/>
  <c r="T461" i="9" s="1"/>
  <c r="T462" i="9" s="1"/>
  <c r="T463" i="9" s="1"/>
  <c r="T464" i="9" s="1"/>
  <c r="T465" i="9" s="1"/>
  <c r="T466" i="9" s="1"/>
  <c r="T467" i="9" s="1"/>
  <c r="T468" i="9" s="1"/>
  <c r="T469" i="9" s="1"/>
  <c r="T470" i="9" s="1"/>
  <c r="T471" i="9" s="1"/>
  <c r="T472" i="9" s="1"/>
  <c r="T473" i="9" s="1"/>
  <c r="T474" i="9" s="1"/>
  <c r="T475" i="9" s="1"/>
  <c r="T476" i="9" s="1"/>
  <c r="T477" i="9" s="1"/>
  <c r="T478" i="9" s="1"/>
  <c r="T479" i="9" s="1"/>
  <c r="T480" i="9" s="1"/>
  <c r="T481" i="9" s="1"/>
  <c r="T482" i="9" s="1"/>
  <c r="T483" i="9" s="1"/>
  <c r="T484" i="9" s="1"/>
  <c r="T485" i="9" s="1"/>
  <c r="T486" i="9" s="1"/>
  <c r="T487" i="9" s="1"/>
  <c r="T488" i="9" s="1"/>
  <c r="T489" i="9" s="1"/>
  <c r="T490" i="9" s="1"/>
  <c r="T491" i="9" s="1"/>
  <c r="T492" i="9" s="1"/>
  <c r="T493" i="9" s="1"/>
  <c r="T494" i="9" s="1"/>
  <c r="T495" i="9" s="1"/>
  <c r="T496" i="9" s="1"/>
  <c r="T497" i="9" s="1"/>
  <c r="T498" i="9" s="1"/>
  <c r="T499" i="9" s="1"/>
  <c r="T500" i="9" s="1"/>
  <c r="T501" i="9" s="1"/>
  <c r="T502" i="9" s="1"/>
  <c r="T503" i="9" s="1"/>
  <c r="T504" i="9" s="1"/>
  <c r="T505" i="9" s="1"/>
  <c r="T506" i="9" s="1"/>
  <c r="T507" i="9" s="1"/>
  <c r="T508" i="9" s="1"/>
  <c r="T509" i="9" s="1"/>
  <c r="T510" i="9" s="1"/>
  <c r="T511" i="9" s="1"/>
  <c r="T512" i="9" s="1"/>
  <c r="T513" i="9" s="1"/>
  <c r="T514" i="9" s="1"/>
  <c r="T515" i="9" s="1"/>
  <c r="T516" i="9" s="1"/>
  <c r="T517" i="9" s="1"/>
  <c r="T518" i="9" s="1"/>
  <c r="T519" i="9" s="1"/>
  <c r="T520" i="9" s="1"/>
  <c r="T521" i="9" s="1"/>
  <c r="T522" i="9" s="1"/>
  <c r="T523" i="9" s="1"/>
  <c r="T524" i="9" s="1"/>
  <c r="T525" i="9" s="1"/>
  <c r="T526" i="9" s="1"/>
  <c r="T527" i="9" s="1"/>
  <c r="T528" i="9" s="1"/>
  <c r="T529" i="9" s="1"/>
  <c r="T530" i="9" s="1"/>
  <c r="T531" i="9" s="1"/>
  <c r="T532" i="9" s="1"/>
  <c r="T533" i="9" s="1"/>
  <c r="T534" i="9" s="1"/>
  <c r="T535" i="9" s="1"/>
  <c r="T536" i="9" s="1"/>
  <c r="T537" i="9" s="1"/>
  <c r="T538" i="9" s="1"/>
  <c r="T539" i="9" s="1"/>
  <c r="T540" i="9" s="1"/>
  <c r="T541" i="9" s="1"/>
  <c r="T542" i="9" s="1"/>
  <c r="T543" i="9" s="1"/>
  <c r="T544" i="9" s="1"/>
  <c r="T545" i="9" s="1"/>
  <c r="T546" i="9" s="1"/>
  <c r="T547" i="9" s="1"/>
  <c r="T548" i="9" s="1"/>
  <c r="T549" i="9" s="1"/>
  <c r="T550" i="9" s="1"/>
  <c r="T551" i="9" s="1"/>
  <c r="T552" i="9" s="1"/>
  <c r="T553" i="9" s="1"/>
  <c r="T554" i="9" s="1"/>
  <c r="T555" i="9" s="1"/>
  <c r="T556" i="9" s="1"/>
  <c r="T557" i="9" s="1"/>
  <c r="T558" i="9" s="1"/>
  <c r="T559" i="9" s="1"/>
  <c r="T560" i="9" s="1"/>
  <c r="T561" i="9" s="1"/>
  <c r="T562" i="9" s="1"/>
  <c r="T563" i="9" s="1"/>
  <c r="T564" i="9" s="1"/>
  <c r="T565" i="9" s="1"/>
  <c r="T566" i="9" s="1"/>
  <c r="T567" i="9" s="1"/>
  <c r="T568" i="9" s="1"/>
  <c r="T569" i="9" s="1"/>
  <c r="T570" i="9" s="1"/>
  <c r="T571" i="9" s="1"/>
  <c r="T572" i="9" s="1"/>
  <c r="T573" i="9" s="1"/>
  <c r="T574" i="9" s="1"/>
  <c r="T575" i="9" s="1"/>
  <c r="T576" i="9" s="1"/>
  <c r="T577" i="9" s="1"/>
  <c r="T578" i="9" s="1"/>
  <c r="T579" i="9" s="1"/>
  <c r="T580" i="9" s="1"/>
  <c r="T581" i="9" s="1"/>
  <c r="T582" i="9" s="1"/>
  <c r="T583" i="9" s="1"/>
  <c r="T584" i="9" s="1"/>
  <c r="T585" i="9" s="1"/>
  <c r="T586" i="9" s="1"/>
  <c r="T587" i="9" s="1"/>
  <c r="T588" i="9" s="1"/>
  <c r="T589" i="9" s="1"/>
  <c r="T590" i="9" s="1"/>
  <c r="T591" i="9" s="1"/>
  <c r="T592" i="9" s="1"/>
  <c r="T593" i="9" s="1"/>
  <c r="T594" i="9" s="1"/>
  <c r="T595" i="9" s="1"/>
  <c r="T596" i="9" s="1"/>
  <c r="T597" i="9" s="1"/>
  <c r="T598" i="9" s="1"/>
  <c r="T599" i="9" s="1"/>
  <c r="T600" i="9" s="1"/>
  <c r="T601" i="9" s="1"/>
  <c r="T602" i="9" s="1"/>
  <c r="T603" i="9" s="1"/>
  <c r="T604" i="9" s="1"/>
  <c r="T605" i="9" s="1"/>
  <c r="T606" i="9" s="1"/>
  <c r="T607" i="9" s="1"/>
  <c r="T608" i="9" s="1"/>
  <c r="T609" i="9" s="1"/>
  <c r="T610" i="9" s="1"/>
  <c r="T611" i="9" s="1"/>
  <c r="T612" i="9" s="1"/>
  <c r="T613" i="9" s="1"/>
  <c r="T614" i="9" s="1"/>
  <c r="T615" i="9" s="1"/>
  <c r="T616" i="9" s="1"/>
  <c r="T617" i="9" s="1"/>
  <c r="T618" i="9" s="1"/>
  <c r="T619" i="9" s="1"/>
  <c r="T620" i="9" s="1"/>
  <c r="T621" i="9" s="1"/>
  <c r="T622" i="9" s="1"/>
  <c r="T623" i="9" s="1"/>
  <c r="T624" i="9" s="1"/>
  <c r="T625" i="9" s="1"/>
  <c r="T626" i="9" s="1"/>
  <c r="T627" i="9" s="1"/>
  <c r="T628" i="9" s="1"/>
  <c r="T629" i="9" s="1"/>
  <c r="T630" i="9" s="1"/>
  <c r="T631" i="9" s="1"/>
  <c r="T632" i="9" s="1"/>
  <c r="T633" i="9" s="1"/>
  <c r="T634" i="9" s="1"/>
  <c r="T635" i="9" s="1"/>
  <c r="T636" i="9" s="1"/>
  <c r="T637" i="9" s="1"/>
  <c r="T638" i="9" s="1"/>
  <c r="T639" i="9" s="1"/>
  <c r="T640" i="9" s="1"/>
  <c r="T641" i="9" s="1"/>
  <c r="T642" i="9" s="1"/>
  <c r="T643" i="9" s="1"/>
  <c r="T644" i="9" s="1"/>
  <c r="T645" i="9" s="1"/>
  <c r="T646" i="9" s="1"/>
  <c r="T647" i="9" s="1"/>
  <c r="T648" i="9" s="1"/>
  <c r="T649" i="9" s="1"/>
  <c r="T650" i="9" s="1"/>
  <c r="T651" i="9" s="1"/>
  <c r="T652" i="9" s="1"/>
  <c r="T653" i="9" s="1"/>
  <c r="T654" i="9" s="1"/>
  <c r="T655" i="9" s="1"/>
  <c r="T656" i="9" s="1"/>
  <c r="T657" i="9" s="1"/>
  <c r="T658" i="9" s="1"/>
  <c r="T659" i="9" s="1"/>
  <c r="T660" i="9" s="1"/>
  <c r="T661" i="9" s="1"/>
  <c r="T662" i="9" s="1"/>
  <c r="T663" i="9" s="1"/>
  <c r="T664" i="9" s="1"/>
  <c r="T665" i="9" s="1"/>
  <c r="T666" i="9" s="1"/>
  <c r="T667" i="9" s="1"/>
  <c r="T668" i="9" s="1"/>
  <c r="T669" i="9" s="1"/>
  <c r="T670" i="9" s="1"/>
  <c r="T671" i="9" s="1"/>
  <c r="T672" i="9" s="1"/>
  <c r="T673" i="9" s="1"/>
  <c r="T674" i="9" s="1"/>
  <c r="T675" i="9" s="1"/>
  <c r="T676" i="9" s="1"/>
  <c r="T677" i="9" s="1"/>
  <c r="T678" i="9" s="1"/>
  <c r="T679" i="9" s="1"/>
  <c r="T680" i="9" s="1"/>
  <c r="T681" i="9" s="1"/>
  <c r="T682" i="9" s="1"/>
  <c r="T683" i="9" s="1"/>
  <c r="T684" i="9" s="1"/>
  <c r="T685" i="9" s="1"/>
  <c r="T686" i="9" s="1"/>
  <c r="T687" i="9" s="1"/>
  <c r="T688" i="9" s="1"/>
  <c r="T689" i="9" s="1"/>
  <c r="T690" i="9" s="1"/>
  <c r="T691" i="9" s="1"/>
  <c r="T692" i="9" s="1"/>
  <c r="T693" i="9" s="1"/>
  <c r="T694" i="9" s="1"/>
  <c r="T695" i="9" s="1"/>
  <c r="T696" i="9" s="1"/>
  <c r="T697" i="9" s="1"/>
  <c r="T698" i="9" s="1"/>
  <c r="T699" i="9" s="1"/>
  <c r="T700" i="9" s="1"/>
  <c r="T701" i="9" s="1"/>
  <c r="T702" i="9" s="1"/>
  <c r="T703" i="9" s="1"/>
  <c r="T704" i="9" s="1"/>
  <c r="T705" i="9" s="1"/>
  <c r="T706" i="9" s="1"/>
  <c r="T707" i="9" s="1"/>
  <c r="T708" i="9" s="1"/>
  <c r="T709" i="9" s="1"/>
  <c r="T710" i="9" s="1"/>
  <c r="T711" i="9" s="1"/>
  <c r="T712" i="9" s="1"/>
  <c r="T713" i="9" s="1"/>
  <c r="T714" i="9" s="1"/>
  <c r="T715" i="9" s="1"/>
  <c r="T716" i="9" s="1"/>
  <c r="T717" i="9" s="1"/>
  <c r="T718" i="9" s="1"/>
  <c r="T719" i="9" s="1"/>
  <c r="T720" i="9" s="1"/>
  <c r="T721" i="9" s="1"/>
  <c r="T722" i="9" s="1"/>
  <c r="T723" i="9" s="1"/>
  <c r="T724" i="9" s="1"/>
  <c r="T725" i="9" s="1"/>
  <c r="T726" i="9" s="1"/>
  <c r="T727" i="9" s="1"/>
  <c r="T728" i="9" s="1"/>
  <c r="T729" i="9" s="1"/>
  <c r="T730" i="9" s="1"/>
  <c r="T731" i="9" s="1"/>
  <c r="T732" i="9" s="1"/>
  <c r="T733" i="9" s="1"/>
  <c r="T734" i="9" s="1"/>
  <c r="T735" i="9" s="1"/>
  <c r="T736" i="9" s="1"/>
  <c r="T737" i="9" s="1"/>
  <c r="T738" i="9" s="1"/>
  <c r="T739" i="9" s="1"/>
  <c r="T740" i="9" s="1"/>
  <c r="T741" i="9" s="1"/>
  <c r="T742" i="9" s="1"/>
  <c r="T743" i="9" s="1"/>
  <c r="T744" i="9" s="1"/>
  <c r="T745" i="9" s="1"/>
  <c r="T746" i="9" s="1"/>
  <c r="T747" i="9" s="1"/>
  <c r="T748" i="9" s="1"/>
  <c r="T749" i="9" s="1"/>
  <c r="T750" i="9" s="1"/>
  <c r="T751" i="9" s="1"/>
  <c r="T752" i="9" s="1"/>
  <c r="T753" i="9" s="1"/>
  <c r="T754" i="9" s="1"/>
  <c r="T755" i="9" s="1"/>
  <c r="T756" i="9" s="1"/>
  <c r="T757" i="9" s="1"/>
  <c r="T758" i="9" s="1"/>
  <c r="T759" i="9" s="1"/>
  <c r="T760" i="9" s="1"/>
  <c r="T761" i="9" s="1"/>
  <c r="T762" i="9" s="1"/>
  <c r="T763" i="9" s="1"/>
  <c r="T764" i="9" s="1"/>
  <c r="T765" i="9" s="1"/>
  <c r="T766" i="9" s="1"/>
  <c r="T767" i="9" s="1"/>
  <c r="T768" i="9" s="1"/>
  <c r="O5" i="9"/>
  <c r="T769" i="9" l="1"/>
  <c r="T770" i="9" s="1"/>
  <c r="F71" i="15"/>
  <c r="K55" i="15"/>
  <c r="I54" i="15"/>
  <c r="J55" i="15"/>
  <c r="I55" i="15"/>
  <c r="G54" i="15"/>
  <c r="F55" i="15"/>
  <c r="E54" i="15"/>
  <c r="G55" i="15"/>
  <c r="E53" i="15"/>
  <c r="N54" i="15"/>
  <c r="M54" i="15"/>
  <c r="N55" i="15"/>
  <c r="K54" i="15"/>
  <c r="L55" i="15"/>
  <c r="H54" i="15"/>
  <c r="O54" i="15"/>
  <c r="P55" i="15"/>
  <c r="P53" i="15" s="1"/>
  <c r="P56" i="15" s="1"/>
  <c r="O55" i="15"/>
  <c r="L54" i="15"/>
  <c r="J54" i="15"/>
  <c r="H55" i="15"/>
  <c r="F54" i="15"/>
  <c r="E55" i="15"/>
  <c r="M55" i="15"/>
  <c r="F61" i="15"/>
  <c r="P32" i="15" l="1"/>
  <c r="P37" i="15" s="1"/>
  <c r="O31" i="15"/>
  <c r="E30" i="15"/>
  <c r="O32" i="15"/>
  <c r="O37" i="15" s="1"/>
  <c r="N32" i="15"/>
  <c r="N37" i="15" s="1"/>
  <c r="M31" i="15"/>
  <c r="K32" i="15"/>
  <c r="K37" i="15" s="1"/>
  <c r="H32" i="15"/>
  <c r="H37" i="15" s="1"/>
  <c r="F31" i="15"/>
  <c r="F36" i="15" s="1"/>
  <c r="P31" i="15"/>
  <c r="M32" i="15"/>
  <c r="M37" i="15" s="1"/>
  <c r="L31" i="15"/>
  <c r="I31" i="15"/>
  <c r="I36" i="15" s="1"/>
  <c r="H31" i="15"/>
  <c r="H36" i="15" s="1"/>
  <c r="G31" i="15"/>
  <c r="G36" i="15" s="1"/>
  <c r="F32" i="15"/>
  <c r="F37" i="15" s="1"/>
  <c r="N31" i="15"/>
  <c r="L32" i="15"/>
  <c r="L37" i="15" s="1"/>
  <c r="K31" i="15"/>
  <c r="J31" i="15"/>
  <c r="J36" i="15" s="1"/>
  <c r="I32" i="15"/>
  <c r="I37" i="15" s="1"/>
  <c r="G32" i="15"/>
  <c r="G37" i="15" s="1"/>
  <c r="E32" i="15"/>
  <c r="E31" i="15"/>
  <c r="J32" i="15"/>
  <c r="J37" i="15" s="1"/>
  <c r="O53" i="15"/>
  <c r="O56" i="15" s="1"/>
  <c r="G58" i="15"/>
  <c r="R55" i="15"/>
  <c r="Q55" i="15"/>
  <c r="M53" i="15"/>
  <c r="M56" i="15" s="1"/>
  <c r="N53" i="15"/>
  <c r="N56" i="15" s="1"/>
  <c r="R54" i="15"/>
  <c r="Q54" i="15"/>
  <c r="E56" i="15"/>
  <c r="F53" i="15" s="1"/>
  <c r="F56" i="15" s="1"/>
  <c r="G53" i="15" s="1"/>
  <c r="G56" i="15" s="1"/>
  <c r="H53" i="15" s="1"/>
  <c r="H56" i="15" s="1"/>
  <c r="I53" i="15" s="1"/>
  <c r="I56" i="15" s="1"/>
  <c r="J53" i="15" s="1"/>
  <c r="J56" i="15" s="1"/>
  <c r="K53" i="15" s="1"/>
  <c r="K56" i="15" s="1"/>
  <c r="L53" i="15" s="1"/>
  <c r="L56" i="15" s="1"/>
  <c r="G68" i="15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92" i="8"/>
  <c r="O393" i="8"/>
  <c r="O394" i="8"/>
  <c r="O395" i="8"/>
  <c r="O396" i="8"/>
  <c r="O397" i="8"/>
  <c r="O398" i="8"/>
  <c r="O399" i="8"/>
  <c r="O400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9" i="8"/>
  <c r="O480" i="8"/>
  <c r="O483" i="8"/>
  <c r="O484" i="8"/>
  <c r="O485" i="8"/>
  <c r="O486" i="8"/>
  <c r="O487" i="8"/>
  <c r="O490" i="8"/>
  <c r="O494" i="8"/>
  <c r="O495" i="8"/>
  <c r="O498" i="8"/>
  <c r="O499" i="8"/>
  <c r="O500" i="8"/>
  <c r="O501" i="8"/>
  <c r="O502" i="8"/>
  <c r="O503" i="8"/>
  <c r="O504" i="8"/>
  <c r="O505" i="8"/>
  <c r="O509" i="8"/>
  <c r="O510" i="8"/>
  <c r="O511" i="8"/>
  <c r="O512" i="8"/>
  <c r="O513" i="8"/>
  <c r="O514" i="8"/>
  <c r="O515" i="8"/>
  <c r="O516" i="8"/>
  <c r="O517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2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157" i="8"/>
  <c r="AC158" i="8"/>
  <c r="AC159" i="8"/>
  <c r="AC160" i="8"/>
  <c r="AC161" i="8"/>
  <c r="AC162" i="8"/>
  <c r="AC163" i="8"/>
  <c r="AC164" i="8"/>
  <c r="AC165" i="8"/>
  <c r="AC166" i="8"/>
  <c r="AC167" i="8"/>
  <c r="AC168" i="8"/>
  <c r="AC169" i="8"/>
  <c r="AC170" i="8"/>
  <c r="AC171" i="8"/>
  <c r="AC172" i="8"/>
  <c r="AC173" i="8"/>
  <c r="AC174" i="8"/>
  <c r="AC175" i="8"/>
  <c r="AC176" i="8"/>
  <c r="AC177" i="8"/>
  <c r="AC178" i="8"/>
  <c r="AC179" i="8"/>
  <c r="AC180" i="8"/>
  <c r="AC181" i="8"/>
  <c r="AC182" i="8"/>
  <c r="AC183" i="8"/>
  <c r="AC184" i="8"/>
  <c r="AC185" i="8"/>
  <c r="AC186" i="8"/>
  <c r="AC187" i="8"/>
  <c r="AC188" i="8"/>
  <c r="AC189" i="8"/>
  <c r="AC190" i="8"/>
  <c r="AC191" i="8"/>
  <c r="AC192" i="8"/>
  <c r="AC193" i="8"/>
  <c r="AC194" i="8"/>
  <c r="AC195" i="8"/>
  <c r="AC196" i="8"/>
  <c r="AC197" i="8"/>
  <c r="AC198" i="8"/>
  <c r="AC199" i="8"/>
  <c r="AC200" i="8"/>
  <c r="AC201" i="8"/>
  <c r="AC202" i="8"/>
  <c r="AC203" i="8"/>
  <c r="AC204" i="8"/>
  <c r="AC205" i="8"/>
  <c r="AC206" i="8"/>
  <c r="AC207" i="8"/>
  <c r="AC208" i="8"/>
  <c r="AC209" i="8"/>
  <c r="AC210" i="8"/>
  <c r="AC211" i="8"/>
  <c r="AC212" i="8"/>
  <c r="AC213" i="8"/>
  <c r="AC214" i="8"/>
  <c r="AC215" i="8"/>
  <c r="AC216" i="8"/>
  <c r="AC217" i="8"/>
  <c r="AC218" i="8"/>
  <c r="AC219" i="8"/>
  <c r="AC220" i="8"/>
  <c r="AC221" i="8"/>
  <c r="AC222" i="8"/>
  <c r="AC223" i="8"/>
  <c r="AC224" i="8"/>
  <c r="AC225" i="8"/>
  <c r="AC226" i="8"/>
  <c r="AC227" i="8"/>
  <c r="AC228" i="8"/>
  <c r="AC229" i="8"/>
  <c r="AC230" i="8"/>
  <c r="AC231" i="8"/>
  <c r="AC232" i="8"/>
  <c r="AC233" i="8"/>
  <c r="AC234" i="8"/>
  <c r="AC235" i="8"/>
  <c r="AC236" i="8"/>
  <c r="AC237" i="8"/>
  <c r="AC238" i="8"/>
  <c r="AC239" i="8"/>
  <c r="AC240" i="8"/>
  <c r="AC241" i="8"/>
  <c r="AC242" i="8"/>
  <c r="AC243" i="8"/>
  <c r="AC244" i="8"/>
  <c r="AC245" i="8"/>
  <c r="AC246" i="8"/>
  <c r="AC247" i="8"/>
  <c r="AC248" i="8"/>
  <c r="AC249" i="8"/>
  <c r="AC250" i="8"/>
  <c r="AC251" i="8"/>
  <c r="AC252" i="8"/>
  <c r="AC253" i="8"/>
  <c r="AC254" i="8"/>
  <c r="AC255" i="8"/>
  <c r="AC256" i="8"/>
  <c r="AC257" i="8"/>
  <c r="AC258" i="8"/>
  <c r="AC259" i="8"/>
  <c r="AC260" i="8"/>
  <c r="AC261" i="8"/>
  <c r="AC262" i="8"/>
  <c r="AC263" i="8"/>
  <c r="AC264" i="8"/>
  <c r="AC265" i="8"/>
  <c r="AC266" i="8"/>
  <c r="AC267" i="8"/>
  <c r="AC268" i="8"/>
  <c r="AC269" i="8"/>
  <c r="AC270" i="8"/>
  <c r="AC271" i="8"/>
  <c r="AC272" i="8"/>
  <c r="AC273" i="8"/>
  <c r="AC274" i="8"/>
  <c r="AC275" i="8"/>
  <c r="AC276" i="8"/>
  <c r="AC277" i="8"/>
  <c r="AC278" i="8"/>
  <c r="AC279" i="8"/>
  <c r="AC280" i="8"/>
  <c r="AC281" i="8"/>
  <c r="AC282" i="8"/>
  <c r="AC283" i="8"/>
  <c r="AC284" i="8"/>
  <c r="AC285" i="8"/>
  <c r="AC286" i="8"/>
  <c r="AC287" i="8"/>
  <c r="AC288" i="8"/>
  <c r="AC289" i="8"/>
  <c r="AC290" i="8"/>
  <c r="AC291" i="8"/>
  <c r="AC292" i="8"/>
  <c r="AC293" i="8"/>
  <c r="AC294" i="8"/>
  <c r="AC295" i="8"/>
  <c r="AC296" i="8"/>
  <c r="AC297" i="8"/>
  <c r="AC298" i="8"/>
  <c r="AC299" i="8"/>
  <c r="AC300" i="8"/>
  <c r="AC301" i="8"/>
  <c r="AC302" i="8"/>
  <c r="AC303" i="8"/>
  <c r="AC304" i="8"/>
  <c r="AC305" i="8"/>
  <c r="AC306" i="8"/>
  <c r="AC307" i="8"/>
  <c r="AC308" i="8"/>
  <c r="AC309" i="8"/>
  <c r="AC310" i="8"/>
  <c r="AC311" i="8"/>
  <c r="AC312" i="8"/>
  <c r="AC313" i="8"/>
  <c r="AC314" i="8"/>
  <c r="AC315" i="8"/>
  <c r="AC316" i="8"/>
  <c r="AC317" i="8"/>
  <c r="AC318" i="8"/>
  <c r="AC319" i="8"/>
  <c r="AC320" i="8"/>
  <c r="AC321" i="8"/>
  <c r="AC322" i="8"/>
  <c r="AC323" i="8"/>
  <c r="AC324" i="8"/>
  <c r="AC325" i="8"/>
  <c r="AC326" i="8"/>
  <c r="AC327" i="8"/>
  <c r="AC328" i="8"/>
  <c r="AC329" i="8"/>
  <c r="AC330" i="8"/>
  <c r="AC331" i="8"/>
  <c r="AC332" i="8"/>
  <c r="AC333" i="8"/>
  <c r="AC334" i="8"/>
  <c r="AC335" i="8"/>
  <c r="AC336" i="8"/>
  <c r="AC337" i="8"/>
  <c r="AC338" i="8"/>
  <c r="AC339" i="8"/>
  <c r="AC340" i="8"/>
  <c r="AC341" i="8"/>
  <c r="AC342" i="8"/>
  <c r="AC343" i="8"/>
  <c r="AC344" i="8"/>
  <c r="AC345" i="8"/>
  <c r="AC346" i="8"/>
  <c r="AC347" i="8"/>
  <c r="AC348" i="8"/>
  <c r="AC349" i="8"/>
  <c r="AC350" i="8"/>
  <c r="AC351" i="8"/>
  <c r="AC352" i="8"/>
  <c r="AC353" i="8"/>
  <c r="AC354" i="8"/>
  <c r="AC355" i="8"/>
  <c r="AC356" i="8"/>
  <c r="AC357" i="8"/>
  <c r="AC358" i="8"/>
  <c r="AC359" i="8"/>
  <c r="AC360" i="8"/>
  <c r="AC361" i="8"/>
  <c r="AC362" i="8"/>
  <c r="AC363" i="8"/>
  <c r="AC364" i="8"/>
  <c r="AC365" i="8"/>
  <c r="AC366" i="8"/>
  <c r="AC367" i="8"/>
  <c r="AC368" i="8"/>
  <c r="AC369" i="8"/>
  <c r="AC370" i="8"/>
  <c r="AC371" i="8"/>
  <c r="AC372" i="8"/>
  <c r="AC373" i="8"/>
  <c r="AC374" i="8"/>
  <c r="AC375" i="8"/>
  <c r="AC376" i="8"/>
  <c r="AC377" i="8"/>
  <c r="AC378" i="8"/>
  <c r="AC379" i="8"/>
  <c r="AC380" i="8"/>
  <c r="AC381" i="8"/>
  <c r="AC382" i="8"/>
  <c r="AC383" i="8"/>
  <c r="AC384" i="8"/>
  <c r="AC385" i="8"/>
  <c r="AC386" i="8"/>
  <c r="AC387" i="8"/>
  <c r="AC388" i="8"/>
  <c r="AC392" i="8"/>
  <c r="AC393" i="8"/>
  <c r="AC394" i="8"/>
  <c r="AC395" i="8"/>
  <c r="AC396" i="8"/>
  <c r="AC397" i="8"/>
  <c r="AC398" i="8"/>
  <c r="AC399" i="8"/>
  <c r="AC400" i="8"/>
  <c r="AC403" i="8"/>
  <c r="AC404" i="8"/>
  <c r="AC405" i="8"/>
  <c r="AC406" i="8"/>
  <c r="AC407" i="8"/>
  <c r="AC408" i="8"/>
  <c r="AC409" i="8"/>
  <c r="AC410" i="8"/>
  <c r="AC411" i="8"/>
  <c r="AC412" i="8"/>
  <c r="AC413" i="8"/>
  <c r="AC414" i="8"/>
  <c r="AC415" i="8"/>
  <c r="AC416" i="8"/>
  <c r="AC417" i="8"/>
  <c r="AC418" i="8"/>
  <c r="AC419" i="8"/>
  <c r="AC420" i="8"/>
  <c r="AC421" i="8"/>
  <c r="AC422" i="8"/>
  <c r="AC423" i="8"/>
  <c r="AC424" i="8"/>
  <c r="AC425" i="8"/>
  <c r="AC426" i="8"/>
  <c r="AC427" i="8"/>
  <c r="AC428" i="8"/>
  <c r="AC429" i="8"/>
  <c r="AC430" i="8"/>
  <c r="AC431" i="8"/>
  <c r="AC432" i="8"/>
  <c r="AC433" i="8"/>
  <c r="AC434" i="8"/>
  <c r="AC435" i="8"/>
  <c r="AC436" i="8"/>
  <c r="AC437" i="8"/>
  <c r="AC438" i="8"/>
  <c r="AC439" i="8"/>
  <c r="AC440" i="8"/>
  <c r="AC441" i="8"/>
  <c r="AC442" i="8"/>
  <c r="AC443" i="8"/>
  <c r="AC444" i="8"/>
  <c r="AC445" i="8"/>
  <c r="AC446" i="8"/>
  <c r="AC447" i="8"/>
  <c r="AC448" i="8"/>
  <c r="AC449" i="8"/>
  <c r="AC450" i="8"/>
  <c r="AC451" i="8"/>
  <c r="AC452" i="8"/>
  <c r="AC453" i="8"/>
  <c r="AC454" i="8"/>
  <c r="AC455" i="8"/>
  <c r="AC456" i="8"/>
  <c r="AC457" i="8"/>
  <c r="AC458" i="8"/>
  <c r="AC459" i="8"/>
  <c r="AC460" i="8"/>
  <c r="AC461" i="8"/>
  <c r="AC462" i="8"/>
  <c r="AC463" i="8"/>
  <c r="AC464" i="8"/>
  <c r="AC465" i="8"/>
  <c r="AC466" i="8"/>
  <c r="AC467" i="8"/>
  <c r="AC468" i="8"/>
  <c r="AC469" i="8"/>
  <c r="AC470" i="8"/>
  <c r="AC471" i="8"/>
  <c r="AC472" i="8"/>
  <c r="AC473" i="8"/>
  <c r="AC474" i="8"/>
  <c r="AC475" i="8"/>
  <c r="AC476" i="8"/>
  <c r="AC479" i="8"/>
  <c r="AC480" i="8"/>
  <c r="AC483" i="8"/>
  <c r="AC484" i="8"/>
  <c r="AC485" i="8"/>
  <c r="AC486" i="8"/>
  <c r="AC487" i="8"/>
  <c r="AC490" i="8"/>
  <c r="AC494" i="8"/>
  <c r="AC495" i="8"/>
  <c r="AC498" i="8"/>
  <c r="AC499" i="8"/>
  <c r="AC500" i="8"/>
  <c r="AC501" i="8"/>
  <c r="AC502" i="8"/>
  <c r="AC503" i="8"/>
  <c r="AC504" i="8"/>
  <c r="AC505" i="8"/>
  <c r="AC509" i="8"/>
  <c r="AC510" i="8"/>
  <c r="AC511" i="8"/>
  <c r="AC512" i="8"/>
  <c r="AC513" i="8"/>
  <c r="AC514" i="8"/>
  <c r="AC515" i="8"/>
  <c r="AC516" i="8"/>
  <c r="AC517" i="8"/>
  <c r="AC5" i="8"/>
  <c r="T5" i="8"/>
  <c r="O5" i="8"/>
  <c r="T6" i="8" l="1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T54" i="8" s="1"/>
  <c r="T55" i="8" s="1"/>
  <c r="T56" i="8" s="1"/>
  <c r="T57" i="8" s="1"/>
  <c r="T58" i="8" s="1"/>
  <c r="T59" i="8" s="1"/>
  <c r="T60" i="8" s="1"/>
  <c r="T61" i="8" s="1"/>
  <c r="T62" i="8" s="1"/>
  <c r="T63" i="8" s="1"/>
  <c r="T64" i="8" s="1"/>
  <c r="T65" i="8" s="1"/>
  <c r="T66" i="8" s="1"/>
  <c r="T67" i="8" s="1"/>
  <c r="T68" i="8" s="1"/>
  <c r="T69" i="8" s="1"/>
  <c r="T70" i="8" s="1"/>
  <c r="T71" i="8" s="1"/>
  <c r="T72" i="8" s="1"/>
  <c r="T73" i="8" s="1"/>
  <c r="T74" i="8" s="1"/>
  <c r="T75" i="8" s="1"/>
  <c r="T76" i="8" s="1"/>
  <c r="T77" i="8" s="1"/>
  <c r="T78" i="8" s="1"/>
  <c r="T79" i="8" s="1"/>
  <c r="T80" i="8" s="1"/>
  <c r="T81" i="8" s="1"/>
  <c r="T82" i="8" s="1"/>
  <c r="T83" i="8" s="1"/>
  <c r="T84" i="8" s="1"/>
  <c r="T85" i="8" s="1"/>
  <c r="T86" i="8" s="1"/>
  <c r="T87" i="8" s="1"/>
  <c r="T88" i="8" s="1"/>
  <c r="T89" i="8" s="1"/>
  <c r="T90" i="8" s="1"/>
  <c r="T91" i="8" s="1"/>
  <c r="T92" i="8" s="1"/>
  <c r="T93" i="8" s="1"/>
  <c r="T94" i="8" s="1"/>
  <c r="T95" i="8" s="1"/>
  <c r="T96" i="8" s="1"/>
  <c r="T97" i="8" s="1"/>
  <c r="T98" i="8" s="1"/>
  <c r="T99" i="8" s="1"/>
  <c r="T100" i="8" s="1"/>
  <c r="T101" i="8" s="1"/>
  <c r="T102" i="8" s="1"/>
  <c r="T103" i="8" s="1"/>
  <c r="T104" i="8" s="1"/>
  <c r="T105" i="8" s="1"/>
  <c r="T106" i="8" s="1"/>
  <c r="T107" i="8" s="1"/>
  <c r="T108" i="8" s="1"/>
  <c r="T109" i="8" s="1"/>
  <c r="T110" i="8" s="1"/>
  <c r="T111" i="8" s="1"/>
  <c r="T112" i="8" s="1"/>
  <c r="T113" i="8" s="1"/>
  <c r="T114" i="8" s="1"/>
  <c r="T115" i="8" s="1"/>
  <c r="T116" i="8" s="1"/>
  <c r="T117" i="8" s="1"/>
  <c r="T118" i="8" s="1"/>
  <c r="T119" i="8" s="1"/>
  <c r="T120" i="8" s="1"/>
  <c r="T121" i="8" s="1"/>
  <c r="T122" i="8" s="1"/>
  <c r="T123" i="8" s="1"/>
  <c r="T124" i="8" s="1"/>
  <c r="T125" i="8" s="1"/>
  <c r="T126" i="8" s="1"/>
  <c r="T127" i="8" s="1"/>
  <c r="T128" i="8" s="1"/>
  <c r="T129" i="8" s="1"/>
  <c r="T130" i="8" s="1"/>
  <c r="T131" i="8" s="1"/>
  <c r="T132" i="8" s="1"/>
  <c r="T133" i="8" s="1"/>
  <c r="T134" i="8" s="1"/>
  <c r="T135" i="8" s="1"/>
  <c r="T136" i="8" s="1"/>
  <c r="T137" i="8" s="1"/>
  <c r="T138" i="8" s="1"/>
  <c r="T139" i="8" s="1"/>
  <c r="T140" i="8" s="1"/>
  <c r="T141" i="8" s="1"/>
  <c r="T142" i="8" s="1"/>
  <c r="T143" i="8" s="1"/>
  <c r="T144" i="8" s="1"/>
  <c r="T145" i="8" s="1"/>
  <c r="T146" i="8" s="1"/>
  <c r="T147" i="8" s="1"/>
  <c r="T148" i="8" s="1"/>
  <c r="T149" i="8" s="1"/>
  <c r="T150" i="8" s="1"/>
  <c r="T151" i="8" s="1"/>
  <c r="T152" i="8" s="1"/>
  <c r="T153" i="8" s="1"/>
  <c r="T154" i="8" s="1"/>
  <c r="T155" i="8" s="1"/>
  <c r="T156" i="8" s="1"/>
  <c r="T157" i="8" s="1"/>
  <c r="T158" i="8" s="1"/>
  <c r="T159" i="8" s="1"/>
  <c r="T160" i="8" s="1"/>
  <c r="T161" i="8" s="1"/>
  <c r="T162" i="8" s="1"/>
  <c r="T163" i="8" s="1"/>
  <c r="T164" i="8" s="1"/>
  <c r="T165" i="8" s="1"/>
  <c r="T166" i="8" s="1"/>
  <c r="T167" i="8" s="1"/>
  <c r="T168" i="8" s="1"/>
  <c r="T169" i="8" s="1"/>
  <c r="T170" i="8" s="1"/>
  <c r="T171" i="8" s="1"/>
  <c r="T172" i="8" s="1"/>
  <c r="T173" i="8" s="1"/>
  <c r="T174" i="8" s="1"/>
  <c r="T175" i="8" s="1"/>
  <c r="T176" i="8" s="1"/>
  <c r="T177" i="8" s="1"/>
  <c r="T178" i="8" s="1"/>
  <c r="T179" i="8" s="1"/>
  <c r="T180" i="8" s="1"/>
  <c r="T181" i="8" s="1"/>
  <c r="T182" i="8" s="1"/>
  <c r="T183" i="8" s="1"/>
  <c r="T184" i="8" s="1"/>
  <c r="T185" i="8" s="1"/>
  <c r="T186" i="8" s="1"/>
  <c r="T187" i="8" s="1"/>
  <c r="T188" i="8" s="1"/>
  <c r="T189" i="8" s="1"/>
  <c r="T190" i="8" s="1"/>
  <c r="T191" i="8" s="1"/>
  <c r="T192" i="8" s="1"/>
  <c r="T193" i="8" s="1"/>
  <c r="T194" i="8" s="1"/>
  <c r="T195" i="8" s="1"/>
  <c r="T196" i="8" s="1"/>
  <c r="T197" i="8" s="1"/>
  <c r="T198" i="8" s="1"/>
  <c r="T199" i="8" s="1"/>
  <c r="T200" i="8" s="1"/>
  <c r="T201" i="8" s="1"/>
  <c r="T202" i="8" s="1"/>
  <c r="T203" i="8" s="1"/>
  <c r="T204" i="8" s="1"/>
  <c r="T205" i="8" s="1"/>
  <c r="T206" i="8" s="1"/>
  <c r="T207" i="8" s="1"/>
  <c r="T208" i="8" s="1"/>
  <c r="T209" i="8" s="1"/>
  <c r="T210" i="8" s="1"/>
  <c r="T211" i="8" s="1"/>
  <c r="T212" i="8" s="1"/>
  <c r="T213" i="8" s="1"/>
  <c r="T214" i="8" s="1"/>
  <c r="T215" i="8" s="1"/>
  <c r="T216" i="8" s="1"/>
  <c r="T217" i="8" s="1"/>
  <c r="T218" i="8" s="1"/>
  <c r="T219" i="8" s="1"/>
  <c r="T220" i="8" s="1"/>
  <c r="T221" i="8" s="1"/>
  <c r="T222" i="8" s="1"/>
  <c r="T223" i="8" s="1"/>
  <c r="T224" i="8" s="1"/>
  <c r="T225" i="8" s="1"/>
  <c r="T226" i="8" s="1"/>
  <c r="T227" i="8" s="1"/>
  <c r="T228" i="8" s="1"/>
  <c r="T229" i="8" s="1"/>
  <c r="T230" i="8" s="1"/>
  <c r="T231" i="8" s="1"/>
  <c r="T232" i="8" s="1"/>
  <c r="T233" i="8" s="1"/>
  <c r="T234" i="8" s="1"/>
  <c r="T235" i="8" s="1"/>
  <c r="T236" i="8" s="1"/>
  <c r="T237" i="8" s="1"/>
  <c r="T238" i="8" s="1"/>
  <c r="T239" i="8" s="1"/>
  <c r="T240" i="8" s="1"/>
  <c r="T241" i="8" s="1"/>
  <c r="T242" i="8" s="1"/>
  <c r="T243" i="8" s="1"/>
  <c r="T244" i="8" s="1"/>
  <c r="T245" i="8" s="1"/>
  <c r="T246" i="8" s="1"/>
  <c r="T247" i="8" s="1"/>
  <c r="T248" i="8" s="1"/>
  <c r="T249" i="8" s="1"/>
  <c r="T250" i="8" s="1"/>
  <c r="T251" i="8" s="1"/>
  <c r="T252" i="8" s="1"/>
  <c r="T253" i="8" s="1"/>
  <c r="T254" i="8" s="1"/>
  <c r="T255" i="8" s="1"/>
  <c r="T256" i="8" s="1"/>
  <c r="T257" i="8" s="1"/>
  <c r="T258" i="8" s="1"/>
  <c r="T259" i="8" s="1"/>
  <c r="T260" i="8" s="1"/>
  <c r="T261" i="8" s="1"/>
  <c r="T262" i="8" s="1"/>
  <c r="T263" i="8" s="1"/>
  <c r="T264" i="8" s="1"/>
  <c r="T265" i="8" s="1"/>
  <c r="T266" i="8" s="1"/>
  <c r="T267" i="8" s="1"/>
  <c r="T268" i="8" s="1"/>
  <c r="T269" i="8" s="1"/>
  <c r="T270" i="8" s="1"/>
  <c r="T271" i="8" s="1"/>
  <c r="T272" i="8" s="1"/>
  <c r="T273" i="8" s="1"/>
  <c r="T274" i="8" s="1"/>
  <c r="T275" i="8" s="1"/>
  <c r="T276" i="8" s="1"/>
  <c r="T277" i="8" s="1"/>
  <c r="T278" i="8" s="1"/>
  <c r="T279" i="8" s="1"/>
  <c r="T280" i="8" s="1"/>
  <c r="T281" i="8" s="1"/>
  <c r="T282" i="8" s="1"/>
  <c r="T283" i="8" s="1"/>
  <c r="T284" i="8" s="1"/>
  <c r="T285" i="8" s="1"/>
  <c r="T286" i="8" s="1"/>
  <c r="T287" i="8" s="1"/>
  <c r="T288" i="8" s="1"/>
  <c r="T289" i="8" s="1"/>
  <c r="T290" i="8" s="1"/>
  <c r="T291" i="8" s="1"/>
  <c r="T292" i="8" s="1"/>
  <c r="T293" i="8" s="1"/>
  <c r="T294" i="8" s="1"/>
  <c r="T295" i="8" s="1"/>
  <c r="T296" i="8" s="1"/>
  <c r="T297" i="8" s="1"/>
  <c r="T298" i="8" s="1"/>
  <c r="T299" i="8" s="1"/>
  <c r="T300" i="8" s="1"/>
  <c r="T301" i="8" s="1"/>
  <c r="T302" i="8" s="1"/>
  <c r="T303" i="8" s="1"/>
  <c r="T304" i="8" s="1"/>
  <c r="T305" i="8" s="1"/>
  <c r="T306" i="8" s="1"/>
  <c r="T307" i="8" s="1"/>
  <c r="T308" i="8" s="1"/>
  <c r="T309" i="8" s="1"/>
  <c r="T310" i="8" s="1"/>
  <c r="T311" i="8" s="1"/>
  <c r="T312" i="8" s="1"/>
  <c r="T313" i="8" s="1"/>
  <c r="T314" i="8" s="1"/>
  <c r="T315" i="8" s="1"/>
  <c r="T316" i="8" s="1"/>
  <c r="T317" i="8" s="1"/>
  <c r="T318" i="8" s="1"/>
  <c r="T319" i="8" s="1"/>
  <c r="T320" i="8" s="1"/>
  <c r="T321" i="8" s="1"/>
  <c r="T322" i="8" s="1"/>
  <c r="T323" i="8" s="1"/>
  <c r="T324" i="8" s="1"/>
  <c r="T325" i="8" s="1"/>
  <c r="T326" i="8" s="1"/>
  <c r="T327" i="8" s="1"/>
  <c r="T328" i="8" s="1"/>
  <c r="T329" i="8" s="1"/>
  <c r="T330" i="8" s="1"/>
  <c r="T331" i="8" s="1"/>
  <c r="T332" i="8" s="1"/>
  <c r="T333" i="8" s="1"/>
  <c r="T334" i="8" s="1"/>
  <c r="T335" i="8" s="1"/>
  <c r="T336" i="8" s="1"/>
  <c r="T337" i="8" s="1"/>
  <c r="T338" i="8" s="1"/>
  <c r="T339" i="8" s="1"/>
  <c r="T340" i="8" s="1"/>
  <c r="T341" i="8" s="1"/>
  <c r="T342" i="8" s="1"/>
  <c r="T343" i="8" s="1"/>
  <c r="T344" i="8" s="1"/>
  <c r="T345" i="8" s="1"/>
  <c r="T346" i="8" s="1"/>
  <c r="T347" i="8" s="1"/>
  <c r="T348" i="8" s="1"/>
  <c r="T349" i="8" s="1"/>
  <c r="T350" i="8" s="1"/>
  <c r="T351" i="8" s="1"/>
  <c r="T352" i="8" s="1"/>
  <c r="T353" i="8" s="1"/>
  <c r="T354" i="8" s="1"/>
  <c r="T355" i="8" s="1"/>
  <c r="T356" i="8" s="1"/>
  <c r="T357" i="8" s="1"/>
  <c r="T358" i="8" s="1"/>
  <c r="T359" i="8" s="1"/>
  <c r="T360" i="8" s="1"/>
  <c r="T361" i="8" s="1"/>
  <c r="T362" i="8" s="1"/>
  <c r="T363" i="8" s="1"/>
  <c r="T364" i="8" s="1"/>
  <c r="T365" i="8" s="1"/>
  <c r="T366" i="8" s="1"/>
  <c r="T367" i="8" s="1"/>
  <c r="T368" i="8" s="1"/>
  <c r="T369" i="8" s="1"/>
  <c r="T370" i="8" s="1"/>
  <c r="T371" i="8" s="1"/>
  <c r="T372" i="8" s="1"/>
  <c r="T373" i="8" s="1"/>
  <c r="T374" i="8" s="1"/>
  <c r="T375" i="8" s="1"/>
  <c r="T376" i="8" s="1"/>
  <c r="T377" i="8" s="1"/>
  <c r="T378" i="8" s="1"/>
  <c r="T379" i="8" s="1"/>
  <c r="T380" i="8" s="1"/>
  <c r="T381" i="8" s="1"/>
  <c r="T382" i="8" s="1"/>
  <c r="T383" i="8" s="1"/>
  <c r="T384" i="8" s="1"/>
  <c r="T385" i="8" s="1"/>
  <c r="T386" i="8" s="1"/>
  <c r="T387" i="8" s="1"/>
  <c r="T388" i="8" s="1"/>
  <c r="T389" i="8" s="1"/>
  <c r="T390" i="8" s="1"/>
  <c r="T391" i="8" s="1"/>
  <c r="T392" i="8" s="1"/>
  <c r="T393" i="8" s="1"/>
  <c r="T394" i="8" s="1"/>
  <c r="T395" i="8" s="1"/>
  <c r="T396" i="8" s="1"/>
  <c r="T397" i="8" s="1"/>
  <c r="T398" i="8" s="1"/>
  <c r="T399" i="8" s="1"/>
  <c r="T400" i="8" s="1"/>
  <c r="T401" i="8" s="1"/>
  <c r="T402" i="8" s="1"/>
  <c r="T403" i="8" s="1"/>
  <c r="T404" i="8" s="1"/>
  <c r="T405" i="8" s="1"/>
  <c r="T406" i="8" s="1"/>
  <c r="T407" i="8" s="1"/>
  <c r="T408" i="8" s="1"/>
  <c r="T409" i="8" s="1"/>
  <c r="T410" i="8" s="1"/>
  <c r="T411" i="8" s="1"/>
  <c r="T412" i="8" s="1"/>
  <c r="T413" i="8" s="1"/>
  <c r="T414" i="8" s="1"/>
  <c r="T415" i="8" s="1"/>
  <c r="T416" i="8" s="1"/>
  <c r="T417" i="8" s="1"/>
  <c r="T418" i="8" s="1"/>
  <c r="T419" i="8" s="1"/>
  <c r="T420" i="8" s="1"/>
  <c r="T421" i="8" s="1"/>
  <c r="T422" i="8" s="1"/>
  <c r="T423" i="8" s="1"/>
  <c r="T424" i="8" s="1"/>
  <c r="T425" i="8" s="1"/>
  <c r="T426" i="8" s="1"/>
  <c r="T427" i="8" s="1"/>
  <c r="T428" i="8" s="1"/>
  <c r="T429" i="8" s="1"/>
  <c r="T430" i="8" s="1"/>
  <c r="T431" i="8" s="1"/>
  <c r="T432" i="8" s="1"/>
  <c r="T433" i="8" s="1"/>
  <c r="T434" i="8" s="1"/>
  <c r="T435" i="8" s="1"/>
  <c r="T436" i="8" s="1"/>
  <c r="T437" i="8" s="1"/>
  <c r="T438" i="8" s="1"/>
  <c r="T439" i="8" s="1"/>
  <c r="T440" i="8" s="1"/>
  <c r="T441" i="8" s="1"/>
  <c r="T442" i="8" s="1"/>
  <c r="T443" i="8" s="1"/>
  <c r="T444" i="8" s="1"/>
  <c r="T445" i="8" s="1"/>
  <c r="T446" i="8" s="1"/>
  <c r="T447" i="8" s="1"/>
  <c r="T448" i="8" s="1"/>
  <c r="T449" i="8" s="1"/>
  <c r="T450" i="8" s="1"/>
  <c r="T451" i="8" s="1"/>
  <c r="T452" i="8" s="1"/>
  <c r="T453" i="8" s="1"/>
  <c r="T454" i="8" s="1"/>
  <c r="T455" i="8" s="1"/>
  <c r="T456" i="8" s="1"/>
  <c r="T457" i="8" s="1"/>
  <c r="T458" i="8" s="1"/>
  <c r="T459" i="8" s="1"/>
  <c r="T460" i="8" s="1"/>
  <c r="T461" i="8" s="1"/>
  <c r="T462" i="8" s="1"/>
  <c r="T463" i="8" s="1"/>
  <c r="T464" i="8" s="1"/>
  <c r="T465" i="8" s="1"/>
  <c r="T466" i="8" s="1"/>
  <c r="T467" i="8" s="1"/>
  <c r="T468" i="8" s="1"/>
  <c r="T469" i="8" s="1"/>
  <c r="T470" i="8" s="1"/>
  <c r="T471" i="8" s="1"/>
  <c r="T472" i="8" s="1"/>
  <c r="T473" i="8" s="1"/>
  <c r="T474" i="8" s="1"/>
  <c r="T475" i="8" s="1"/>
  <c r="T476" i="8" s="1"/>
  <c r="T477" i="8" s="1"/>
  <c r="T478" i="8" s="1"/>
  <c r="T479" i="8" s="1"/>
  <c r="T480" i="8" s="1"/>
  <c r="T481" i="8" s="1"/>
  <c r="T482" i="8" s="1"/>
  <c r="T483" i="8" s="1"/>
  <c r="T484" i="8" s="1"/>
  <c r="T485" i="8" s="1"/>
  <c r="T486" i="8" s="1"/>
  <c r="T487" i="8" s="1"/>
  <c r="T488" i="8" s="1"/>
  <c r="T489" i="8" s="1"/>
  <c r="T490" i="8" s="1"/>
  <c r="T491" i="8" s="1"/>
  <c r="T492" i="8" s="1"/>
  <c r="T493" i="8" s="1"/>
  <c r="T494" i="8" s="1"/>
  <c r="T495" i="8" s="1"/>
  <c r="T496" i="8" s="1"/>
  <c r="T497" i="8" s="1"/>
  <c r="T498" i="8" s="1"/>
  <c r="T499" i="8" s="1"/>
  <c r="T500" i="8" s="1"/>
  <c r="T501" i="8" s="1"/>
  <c r="T502" i="8" s="1"/>
  <c r="T503" i="8" s="1"/>
  <c r="T504" i="8" s="1"/>
  <c r="T505" i="8" s="1"/>
  <c r="T506" i="8" s="1"/>
  <c r="T507" i="8" s="1"/>
  <c r="T508" i="8" s="1"/>
  <c r="T509" i="8" s="1"/>
  <c r="T510" i="8" s="1"/>
  <c r="T511" i="8" s="1"/>
  <c r="T512" i="8" s="1"/>
  <c r="T513" i="8" s="1"/>
  <c r="T514" i="8" s="1"/>
  <c r="T515" i="8" s="1"/>
  <c r="T516" i="8" s="1"/>
  <c r="T517" i="8" s="1"/>
  <c r="T518" i="8" s="1"/>
  <c r="T519" i="8" s="1"/>
  <c r="T520" i="8" s="1"/>
  <c r="T521" i="8" s="1"/>
  <c r="T522" i="8" s="1"/>
  <c r="T523" i="8" s="1"/>
  <c r="T524" i="8" s="1"/>
  <c r="T525" i="8" s="1"/>
  <c r="T526" i="8" s="1"/>
  <c r="T527" i="8" s="1"/>
  <c r="T528" i="8" s="1"/>
  <c r="T529" i="8" s="1"/>
  <c r="T530" i="8" s="1"/>
  <c r="T531" i="8" s="1"/>
  <c r="T532" i="8" s="1"/>
  <c r="T533" i="8" s="1"/>
  <c r="T534" i="8" s="1"/>
  <c r="T535" i="8" s="1"/>
  <c r="T536" i="8" s="1"/>
  <c r="T537" i="8" s="1"/>
  <c r="T538" i="8" s="1"/>
  <c r="T539" i="8" s="1"/>
  <c r="T540" i="8" s="1"/>
  <c r="T541" i="8" s="1"/>
  <c r="T542" i="8" s="1"/>
  <c r="T543" i="8" s="1"/>
  <c r="T544" i="8" s="1"/>
  <c r="T545" i="8" s="1"/>
  <c r="T546" i="8" s="1"/>
  <c r="T547" i="8" s="1"/>
  <c r="T548" i="8" s="1"/>
  <c r="T549" i="8" s="1"/>
  <c r="T550" i="8" s="1"/>
  <c r="T551" i="8" s="1"/>
  <c r="T552" i="8" s="1"/>
  <c r="T553" i="8" s="1"/>
  <c r="T554" i="8" s="1"/>
  <c r="T555" i="8" s="1"/>
  <c r="T556" i="8" s="1"/>
  <c r="T557" i="8" s="1"/>
  <c r="T558" i="8" s="1"/>
  <c r="T559" i="8" s="1"/>
  <c r="P30" i="15"/>
  <c r="P36" i="15"/>
  <c r="K36" i="15"/>
  <c r="L50" i="15"/>
  <c r="K49" i="15"/>
  <c r="K50" i="15"/>
  <c r="J49" i="15"/>
  <c r="I49" i="15"/>
  <c r="I50" i="15"/>
  <c r="G49" i="15"/>
  <c r="F50" i="15"/>
  <c r="E50" i="15"/>
  <c r="E49" i="15"/>
  <c r="L49" i="15"/>
  <c r="J50" i="15"/>
  <c r="H49" i="15"/>
  <c r="H50" i="15"/>
  <c r="G50" i="15"/>
  <c r="F49" i="15"/>
  <c r="M49" i="15"/>
  <c r="P49" i="15"/>
  <c r="O49" i="15"/>
  <c r="O50" i="15"/>
  <c r="N50" i="15"/>
  <c r="P50" i="15"/>
  <c r="E48" i="15"/>
  <c r="N49" i="15"/>
  <c r="M50" i="15"/>
  <c r="N30" i="15"/>
  <c r="N36" i="15"/>
  <c r="M30" i="15"/>
  <c r="M36" i="15"/>
  <c r="G71" i="15"/>
  <c r="G61" i="15"/>
  <c r="R56" i="15"/>
  <c r="Q56" i="15"/>
  <c r="E35" i="15"/>
  <c r="E33" i="15"/>
  <c r="Q53" i="15"/>
  <c r="O30" i="15"/>
  <c r="O36" i="15"/>
  <c r="R53" i="15"/>
  <c r="E36" i="15"/>
  <c r="R31" i="15"/>
  <c r="Q31" i="15"/>
  <c r="L36" i="15"/>
  <c r="E37" i="15"/>
  <c r="R32" i="15"/>
  <c r="Q32" i="15"/>
  <c r="T560" i="8" l="1"/>
  <c r="T561" i="8" s="1"/>
  <c r="T562" i="8" s="1"/>
  <c r="T563" i="8" s="1"/>
  <c r="T564" i="8" s="1"/>
  <c r="T565" i="8" s="1"/>
  <c r="T566" i="8" s="1"/>
  <c r="T567" i="8" s="1"/>
  <c r="T568" i="8" s="1"/>
  <c r="T569" i="8" s="1"/>
  <c r="T570" i="8" s="1"/>
  <c r="T571" i="8" s="1"/>
  <c r="O48" i="15"/>
  <c r="O51" i="15" s="1"/>
  <c r="P48" i="15"/>
  <c r="P51" i="15" s="1"/>
  <c r="H58" i="15"/>
  <c r="H68" i="15"/>
  <c r="F30" i="15"/>
  <c r="E38" i="15"/>
  <c r="M33" i="15"/>
  <c r="M38" i="15" s="1"/>
  <c r="M35" i="15"/>
  <c r="R37" i="15"/>
  <c r="Q37" i="15"/>
  <c r="O33" i="15"/>
  <c r="O38" i="15" s="1"/>
  <c r="O35" i="15"/>
  <c r="N33" i="15"/>
  <c r="N38" i="15" s="1"/>
  <c r="N35" i="15"/>
  <c r="E51" i="15"/>
  <c r="R36" i="15"/>
  <c r="Q36" i="15"/>
  <c r="R49" i="15"/>
  <c r="Q49" i="15"/>
  <c r="N48" i="15"/>
  <c r="N51" i="15" s="1"/>
  <c r="R50" i="15"/>
  <c r="Q50" i="15"/>
  <c r="P33" i="15"/>
  <c r="P35" i="15"/>
  <c r="T572" i="8" l="1"/>
  <c r="T573" i="8" s="1"/>
  <c r="T574" i="8" s="1"/>
  <c r="T575" i="8" s="1"/>
  <c r="T576" i="8" s="1"/>
  <c r="T577" i="8" s="1"/>
  <c r="T578" i="8" s="1"/>
  <c r="T579" i="8" s="1"/>
  <c r="T580" i="8" s="1"/>
  <c r="T581" i="8" s="1"/>
  <c r="T582" i="8" s="1"/>
  <c r="T583" i="8" s="1"/>
  <c r="T584" i="8" s="1"/>
  <c r="P38" i="15"/>
  <c r="F33" i="15"/>
  <c r="F35" i="15"/>
  <c r="H71" i="15"/>
  <c r="F48" i="15"/>
  <c r="H61" i="15"/>
  <c r="U682" i="9" l="1"/>
  <c r="U788" i="9" s="1"/>
  <c r="T585" i="8"/>
  <c r="T586" i="8" s="1"/>
  <c r="T587" i="8" s="1"/>
  <c r="F51" i="15"/>
  <c r="I68" i="15"/>
  <c r="G30" i="15"/>
  <c r="F38" i="15"/>
  <c r="I58" i="15"/>
  <c r="T588" i="8" l="1"/>
  <c r="T589" i="8" s="1"/>
  <c r="T590" i="8" s="1"/>
  <c r="T591" i="8" s="1"/>
  <c r="T592" i="8" s="1"/>
  <c r="T593" i="8" s="1"/>
  <c r="T594" i="8" s="1"/>
  <c r="T595" i="8" s="1"/>
  <c r="T596" i="8" s="1"/>
  <c r="T597" i="8" s="1"/>
  <c r="T598" i="8" s="1"/>
  <c r="T599" i="8" s="1"/>
  <c r="T600" i="8" s="1"/>
  <c r="T601" i="8" s="1"/>
  <c r="T602" i="8" s="1"/>
  <c r="T603" i="8" s="1"/>
  <c r="T604" i="8" s="1"/>
  <c r="T605" i="8" s="1"/>
  <c r="T606" i="8" s="1"/>
  <c r="T607" i="8" s="1"/>
  <c r="T608" i="8" s="1"/>
  <c r="T609" i="8" s="1"/>
  <c r="T610" i="8" s="1"/>
  <c r="T611" i="8" s="1"/>
  <c r="T612" i="8" s="1"/>
  <c r="T613" i="8" s="1"/>
  <c r="I61" i="15"/>
  <c r="G35" i="15"/>
  <c r="G33" i="15"/>
  <c r="I71" i="15"/>
  <c r="G48" i="15"/>
  <c r="T614" i="8" l="1"/>
  <c r="T615" i="8" s="1"/>
  <c r="T616" i="8" s="1"/>
  <c r="T617" i="8" s="1"/>
  <c r="T618" i="8" s="1"/>
  <c r="J68" i="15"/>
  <c r="J71" i="15" s="1"/>
  <c r="K68" i="15" s="1"/>
  <c r="H30" i="15"/>
  <c r="G38" i="15"/>
  <c r="G51" i="15"/>
  <c r="J58" i="15"/>
  <c r="J61" i="15" s="1"/>
  <c r="K58" i="15" s="1"/>
  <c r="T619" i="8" l="1"/>
  <c r="T620" i="8" s="1"/>
  <c r="T621" i="8" s="1"/>
  <c r="T622" i="8" s="1"/>
  <c r="T623" i="8" s="1"/>
  <c r="H48" i="15"/>
  <c r="H33" i="15"/>
  <c r="H35" i="15"/>
  <c r="K61" i="15"/>
  <c r="L58" i="15" s="1"/>
  <c r="L61" i="15" s="1"/>
  <c r="K71" i="15"/>
  <c r="L68" i="15" s="1"/>
  <c r="L71" i="15" s="1"/>
  <c r="T624" i="8" l="1"/>
  <c r="T625" i="8" s="1"/>
  <c r="T626" i="8" s="1"/>
  <c r="T627" i="8" s="1"/>
  <c r="T628" i="8" s="1"/>
  <c r="T629" i="8" s="1"/>
  <c r="T630" i="8" s="1"/>
  <c r="T631" i="8" s="1"/>
  <c r="T632" i="8" s="1"/>
  <c r="R58" i="15"/>
  <c r="Q58" i="15"/>
  <c r="R68" i="15"/>
  <c r="Q68" i="15"/>
  <c r="Q61" i="15"/>
  <c r="R61" i="15"/>
  <c r="I30" i="15"/>
  <c r="H38" i="15"/>
  <c r="Q71" i="15"/>
  <c r="R71" i="15"/>
  <c r="H51" i="15"/>
  <c r="T633" i="8" l="1"/>
  <c r="T634" i="8" s="1"/>
  <c r="T635" i="8" s="1"/>
  <c r="T636" i="8" s="1"/>
  <c r="T637" i="8" s="1"/>
  <c r="T638" i="8" s="1"/>
  <c r="T639" i="8" s="1"/>
  <c r="T640" i="8" s="1"/>
  <c r="T641" i="8" s="1"/>
  <c r="T642" i="8" s="1"/>
  <c r="T643" i="8" s="1"/>
  <c r="T644" i="8" s="1"/>
  <c r="T645" i="8" s="1"/>
  <c r="T646" i="8" s="1"/>
  <c r="T647" i="8" s="1"/>
  <c r="T648" i="8" s="1"/>
  <c r="T649" i="8" s="1"/>
  <c r="T650" i="8" s="1"/>
  <c r="T651" i="8" s="1"/>
  <c r="T652" i="8" s="1"/>
  <c r="T653" i="8" s="1"/>
  <c r="T654" i="8" s="1"/>
  <c r="T655" i="8" s="1"/>
  <c r="T656" i="8" s="1"/>
  <c r="T657" i="8" s="1"/>
  <c r="T658" i="8" s="1"/>
  <c r="T659" i="8" s="1"/>
  <c r="T660" i="8" s="1"/>
  <c r="T661" i="8" s="1"/>
  <c r="T662" i="8" s="1"/>
  <c r="T663" i="8" s="1"/>
  <c r="T664" i="8" s="1"/>
  <c r="T665" i="8" s="1"/>
  <c r="T666" i="8" s="1"/>
  <c r="T667" i="8" s="1"/>
  <c r="T668" i="8" s="1"/>
  <c r="T669" i="8" s="1"/>
  <c r="T670" i="8" s="1"/>
  <c r="T671" i="8" s="1"/>
  <c r="T672" i="8" s="1"/>
  <c r="T673" i="8" s="1"/>
  <c r="T674" i="8" s="1"/>
  <c r="T675" i="8" s="1"/>
  <c r="T676" i="8" s="1"/>
  <c r="T677" i="8" s="1"/>
  <c r="T678" i="8" s="1"/>
  <c r="T679" i="8" s="1"/>
  <c r="T680" i="8" s="1"/>
  <c r="T681" i="8" s="1"/>
  <c r="T682" i="8" s="1"/>
  <c r="T683" i="8" s="1"/>
  <c r="T684" i="8" s="1"/>
  <c r="T685" i="8" s="1"/>
  <c r="T686" i="8" s="1"/>
  <c r="T687" i="8" s="1"/>
  <c r="T688" i="8" s="1"/>
  <c r="T689" i="8" s="1"/>
  <c r="T690" i="8" s="1"/>
  <c r="T691" i="8" s="1"/>
  <c r="T692" i="8" s="1"/>
  <c r="I48" i="15"/>
  <c r="I35" i="15"/>
  <c r="I33" i="15"/>
  <c r="T693" i="8" l="1"/>
  <c r="T694" i="8" s="1"/>
  <c r="T695" i="8" s="1"/>
  <c r="T696" i="8" s="1"/>
  <c r="T697" i="8" s="1"/>
  <c r="T698" i="8" s="1"/>
  <c r="T699" i="8" s="1"/>
  <c r="T700" i="8" s="1"/>
  <c r="T701" i="8" s="1"/>
  <c r="T702" i="8" s="1"/>
  <c r="T703" i="8" s="1"/>
  <c r="T704" i="8" s="1"/>
  <c r="T705" i="8" s="1"/>
  <c r="T706" i="8" s="1"/>
  <c r="T707" i="8" s="1"/>
  <c r="T708" i="8" s="1"/>
  <c r="T709" i="8" s="1"/>
  <c r="T710" i="8" s="1"/>
  <c r="T711" i="8" s="1"/>
  <c r="T712" i="8" s="1"/>
  <c r="T713" i="8" s="1"/>
  <c r="T714" i="8" s="1"/>
  <c r="T715" i="8" s="1"/>
  <c r="T716" i="8" s="1"/>
  <c r="T717" i="8" s="1"/>
  <c r="T718" i="8" s="1"/>
  <c r="T719" i="8" s="1"/>
  <c r="T720" i="8" s="1"/>
  <c r="T721" i="8" s="1"/>
  <c r="T722" i="8" s="1"/>
  <c r="T723" i="8" s="1"/>
  <c r="J30" i="15"/>
  <c r="I38" i="15"/>
  <c r="I51" i="15"/>
  <c r="J48" i="15" l="1"/>
  <c r="J51" i="15" s="1"/>
  <c r="K48" i="15" s="1"/>
  <c r="J35" i="15"/>
  <c r="J33" i="15"/>
  <c r="K30" i="15" s="1"/>
  <c r="K33" i="15" l="1"/>
  <c r="K35" i="15"/>
  <c r="J38" i="15"/>
  <c r="K51" i="15"/>
  <c r="L48" i="15" s="1"/>
  <c r="L51" i="15" s="1"/>
  <c r="M48" i="15" s="1"/>
  <c r="M51" i="15" s="1"/>
  <c r="K38" i="15" l="1"/>
  <c r="L30" i="15"/>
  <c r="R48" i="15"/>
  <c r="Q48" i="15"/>
  <c r="Q51" i="15"/>
  <c r="R51" i="15"/>
  <c r="L35" i="15" l="1"/>
  <c r="L33" i="15"/>
  <c r="Q30" i="15"/>
  <c r="R30" i="15"/>
  <c r="L38" i="15" l="1"/>
  <c r="Q33" i="15"/>
  <c r="R33" i="15"/>
  <c r="Q35" i="15"/>
  <c r="R35" i="15"/>
  <c r="R38" i="15" l="1"/>
  <c r="Q38" i="15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2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AB382" i="7"/>
  <c r="AB383" i="7"/>
  <c r="AB384" i="7"/>
  <c r="AB385" i="7"/>
  <c r="AB386" i="7"/>
  <c r="AB387" i="7"/>
  <c r="AB388" i="7"/>
  <c r="AB389" i="7"/>
  <c r="AB390" i="7"/>
  <c r="AB391" i="7"/>
  <c r="AB392" i="7"/>
  <c r="AB393" i="7"/>
  <c r="AB394" i="7"/>
  <c r="AB395" i="7"/>
  <c r="AB396" i="7"/>
  <c r="AB397" i="7"/>
  <c r="AB398" i="7"/>
  <c r="AB399" i="7"/>
  <c r="AB400" i="7"/>
  <c r="AB401" i="7"/>
  <c r="AB402" i="7"/>
  <c r="AB403" i="7"/>
  <c r="AB404" i="7"/>
  <c r="AB405" i="7"/>
  <c r="AB406" i="7"/>
  <c r="AB407" i="7"/>
  <c r="AB408" i="7"/>
  <c r="AB409" i="7"/>
  <c r="AB410" i="7"/>
  <c r="AB411" i="7"/>
  <c r="AB412" i="7"/>
  <c r="AB413" i="7"/>
  <c r="AB414" i="7"/>
  <c r="AB415" i="7"/>
  <c r="AB416" i="7"/>
  <c r="AB417" i="7"/>
  <c r="AB418" i="7"/>
  <c r="AB419" i="7"/>
  <c r="AB420" i="7"/>
  <c r="AB421" i="7"/>
  <c r="AB422" i="7"/>
  <c r="AB423" i="7"/>
  <c r="AB424" i="7"/>
  <c r="AB425" i="7"/>
  <c r="AB426" i="7"/>
  <c r="AB427" i="7"/>
  <c r="AB428" i="7"/>
  <c r="AB429" i="7"/>
  <c r="AB430" i="7"/>
  <c r="AB431" i="7"/>
  <c r="AB432" i="7"/>
  <c r="AB433" i="7"/>
  <c r="AB434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Q6" i="7"/>
  <c r="Y6" i="7" s="1"/>
  <c r="Q7" i="7"/>
  <c r="Y7" i="7" s="1"/>
  <c r="Q8" i="7"/>
  <c r="Y8" i="7" s="1"/>
  <c r="Q9" i="7"/>
  <c r="Y9" i="7" s="1"/>
  <c r="Q10" i="7"/>
  <c r="Y10" i="7" s="1"/>
  <c r="Q11" i="7"/>
  <c r="Y11" i="7" s="1"/>
  <c r="Q12" i="7"/>
  <c r="Y12" i="7" s="1"/>
  <c r="Q13" i="7"/>
  <c r="Y13" i="7" s="1"/>
  <c r="Q14" i="7"/>
  <c r="Y14" i="7" s="1"/>
  <c r="Q15" i="7"/>
  <c r="Y15" i="7" s="1"/>
  <c r="Q16" i="7"/>
  <c r="Y16" i="7" s="1"/>
  <c r="Q17" i="7"/>
  <c r="Y17" i="7" s="1"/>
  <c r="Q18" i="7"/>
  <c r="Y18" i="7" s="1"/>
  <c r="Q19" i="7"/>
  <c r="Y19" i="7" s="1"/>
  <c r="Q20" i="7"/>
  <c r="Y20" i="7" s="1"/>
  <c r="Q21" i="7"/>
  <c r="Y21" i="7" s="1"/>
  <c r="Q22" i="7"/>
  <c r="Y22" i="7" s="1"/>
  <c r="Q23" i="7"/>
  <c r="Y23" i="7" s="1"/>
  <c r="Q24" i="7"/>
  <c r="Y24" i="7" s="1"/>
  <c r="Q25" i="7"/>
  <c r="Y25" i="7" s="1"/>
  <c r="Q26" i="7"/>
  <c r="Y26" i="7" s="1"/>
  <c r="Q27" i="7"/>
  <c r="Y27" i="7" s="1"/>
  <c r="Q28" i="7"/>
  <c r="Y28" i="7" s="1"/>
  <c r="Q29" i="7"/>
  <c r="Y29" i="7" s="1"/>
  <c r="Q30" i="7"/>
  <c r="Y30" i="7" s="1"/>
  <c r="Q31" i="7"/>
  <c r="Y31" i="7" s="1"/>
  <c r="Q32" i="7"/>
  <c r="Y32" i="7" s="1"/>
  <c r="Q33" i="7"/>
  <c r="Y33" i="7" s="1"/>
  <c r="Q34" i="7"/>
  <c r="Y34" i="7" s="1"/>
  <c r="Q35" i="7"/>
  <c r="Y35" i="7" s="1"/>
  <c r="Q36" i="7"/>
  <c r="Y36" i="7" s="1"/>
  <c r="Q37" i="7"/>
  <c r="Y37" i="7" s="1"/>
  <c r="Q38" i="7"/>
  <c r="Y38" i="7" s="1"/>
  <c r="Q39" i="7"/>
  <c r="Y39" i="7" s="1"/>
  <c r="Q40" i="7"/>
  <c r="Y40" i="7" s="1"/>
  <c r="Q41" i="7"/>
  <c r="Y41" i="7" s="1"/>
  <c r="Q42" i="7"/>
  <c r="Y42" i="7" s="1"/>
  <c r="Q43" i="7"/>
  <c r="Y43" i="7" s="1"/>
  <c r="Q44" i="7"/>
  <c r="Y44" i="7" s="1"/>
  <c r="Q45" i="7"/>
  <c r="Y45" i="7" s="1"/>
  <c r="Q46" i="7"/>
  <c r="Y46" i="7" s="1"/>
  <c r="Q47" i="7"/>
  <c r="Y47" i="7" s="1"/>
  <c r="Q48" i="7"/>
  <c r="Y48" i="7" s="1"/>
  <c r="Q49" i="7"/>
  <c r="Y49" i="7" s="1"/>
  <c r="Q50" i="7"/>
  <c r="Y50" i="7" s="1"/>
  <c r="Q51" i="7"/>
  <c r="Y51" i="7" s="1"/>
  <c r="Q52" i="7"/>
  <c r="Y52" i="7" s="1"/>
  <c r="Q53" i="7"/>
  <c r="Y53" i="7" s="1"/>
  <c r="Q54" i="7"/>
  <c r="Y54" i="7" s="1"/>
  <c r="Q55" i="7"/>
  <c r="Y55" i="7" s="1"/>
  <c r="Q56" i="7"/>
  <c r="Y56" i="7" s="1"/>
  <c r="Q57" i="7"/>
  <c r="Y57" i="7" s="1"/>
  <c r="Q58" i="7"/>
  <c r="Y58" i="7" s="1"/>
  <c r="Q59" i="7"/>
  <c r="Y59" i="7" s="1"/>
  <c r="Q60" i="7"/>
  <c r="Y60" i="7" s="1"/>
  <c r="Q61" i="7"/>
  <c r="Y61" i="7" s="1"/>
  <c r="Q62" i="7"/>
  <c r="Y62" i="7" s="1"/>
  <c r="Q63" i="7"/>
  <c r="Y63" i="7" s="1"/>
  <c r="Q64" i="7"/>
  <c r="Y64" i="7" s="1"/>
  <c r="Q65" i="7"/>
  <c r="Y65" i="7" s="1"/>
  <c r="Q66" i="7"/>
  <c r="Y66" i="7" s="1"/>
  <c r="Q67" i="7"/>
  <c r="Y67" i="7" s="1"/>
  <c r="Q68" i="7"/>
  <c r="Y68" i="7" s="1"/>
  <c r="Q69" i="7"/>
  <c r="Y69" i="7" s="1"/>
  <c r="Q70" i="7"/>
  <c r="Y70" i="7" s="1"/>
  <c r="Q71" i="7"/>
  <c r="Y71" i="7" s="1"/>
  <c r="Q72" i="7"/>
  <c r="Y72" i="7" s="1"/>
  <c r="Q73" i="7"/>
  <c r="Y73" i="7" s="1"/>
  <c r="Q74" i="7"/>
  <c r="Y74" i="7" s="1"/>
  <c r="Q75" i="7"/>
  <c r="Y75" i="7" s="1"/>
  <c r="Q76" i="7"/>
  <c r="Y76" i="7" s="1"/>
  <c r="Q77" i="7"/>
  <c r="Y77" i="7" s="1"/>
  <c r="Q78" i="7"/>
  <c r="Y78" i="7" s="1"/>
  <c r="Q79" i="7"/>
  <c r="Y79" i="7" s="1"/>
  <c r="Q80" i="7"/>
  <c r="Y80" i="7" s="1"/>
  <c r="Q81" i="7"/>
  <c r="Y81" i="7" s="1"/>
  <c r="Q82" i="7"/>
  <c r="Y82" i="7" s="1"/>
  <c r="Q83" i="7"/>
  <c r="Y83" i="7" s="1"/>
  <c r="Q84" i="7"/>
  <c r="Y84" i="7" s="1"/>
  <c r="Q85" i="7"/>
  <c r="Y85" i="7" s="1"/>
  <c r="Q86" i="7"/>
  <c r="Y86" i="7" s="1"/>
  <c r="Q87" i="7"/>
  <c r="Y87" i="7" s="1"/>
  <c r="Q88" i="7"/>
  <c r="Y88" i="7" s="1"/>
  <c r="Q89" i="7"/>
  <c r="Y89" i="7" s="1"/>
  <c r="Q90" i="7"/>
  <c r="Y90" i="7" s="1"/>
  <c r="Q91" i="7"/>
  <c r="Y91" i="7" s="1"/>
  <c r="Q92" i="7"/>
  <c r="Y92" i="7" s="1"/>
  <c r="Q93" i="7"/>
  <c r="Y93" i="7" s="1"/>
  <c r="Q94" i="7"/>
  <c r="Y94" i="7" s="1"/>
  <c r="Q95" i="7"/>
  <c r="Y95" i="7" s="1"/>
  <c r="Q96" i="7"/>
  <c r="Y96" i="7" s="1"/>
  <c r="Q97" i="7"/>
  <c r="Y97" i="7" s="1"/>
  <c r="Q98" i="7"/>
  <c r="Y98" i="7" s="1"/>
  <c r="Q99" i="7"/>
  <c r="Y99" i="7" s="1"/>
  <c r="Q100" i="7"/>
  <c r="Y100" i="7" s="1"/>
  <c r="Q101" i="7"/>
  <c r="Y101" i="7" s="1"/>
  <c r="Q102" i="7"/>
  <c r="Y102" i="7" s="1"/>
  <c r="Q103" i="7"/>
  <c r="Y103" i="7" s="1"/>
  <c r="Q104" i="7"/>
  <c r="Y104" i="7" s="1"/>
  <c r="Q105" i="7"/>
  <c r="Y105" i="7" s="1"/>
  <c r="Q106" i="7"/>
  <c r="Y106" i="7" s="1"/>
  <c r="Q107" i="7"/>
  <c r="Y107" i="7" s="1"/>
  <c r="Q108" i="7"/>
  <c r="Y108" i="7" s="1"/>
  <c r="Q109" i="7"/>
  <c r="Y109" i="7" s="1"/>
  <c r="Q110" i="7"/>
  <c r="Y110" i="7" s="1"/>
  <c r="Q111" i="7"/>
  <c r="Y111" i="7" s="1"/>
  <c r="Q112" i="7"/>
  <c r="Y112" i="7" s="1"/>
  <c r="Q113" i="7"/>
  <c r="Y113" i="7" s="1"/>
  <c r="Q114" i="7"/>
  <c r="Y114" i="7" s="1"/>
  <c r="Q115" i="7"/>
  <c r="Y115" i="7" s="1"/>
  <c r="Q116" i="7"/>
  <c r="Y116" i="7" s="1"/>
  <c r="Q117" i="7"/>
  <c r="Y117" i="7" s="1"/>
  <c r="Q118" i="7"/>
  <c r="Y118" i="7" s="1"/>
  <c r="Q119" i="7"/>
  <c r="Y119" i="7" s="1"/>
  <c r="Q120" i="7"/>
  <c r="Y120" i="7" s="1"/>
  <c r="Q121" i="7"/>
  <c r="Y121" i="7" s="1"/>
  <c r="Q122" i="7"/>
  <c r="Y122" i="7" s="1"/>
  <c r="Q123" i="7"/>
  <c r="Y123" i="7" s="1"/>
  <c r="Q124" i="7"/>
  <c r="Y124" i="7" s="1"/>
  <c r="Q125" i="7"/>
  <c r="Y125" i="7" s="1"/>
  <c r="Q126" i="7"/>
  <c r="Y126" i="7" s="1"/>
  <c r="Q127" i="7"/>
  <c r="Y127" i="7" s="1"/>
  <c r="Q128" i="7"/>
  <c r="Y128" i="7" s="1"/>
  <c r="Q129" i="7"/>
  <c r="Y129" i="7" s="1"/>
  <c r="Q130" i="7"/>
  <c r="Y130" i="7" s="1"/>
  <c r="Q131" i="7"/>
  <c r="Y131" i="7" s="1"/>
  <c r="Q132" i="7"/>
  <c r="Y132" i="7" s="1"/>
  <c r="Q133" i="7"/>
  <c r="Y133" i="7" s="1"/>
  <c r="Q134" i="7"/>
  <c r="Y134" i="7" s="1"/>
  <c r="Q135" i="7"/>
  <c r="Y135" i="7" s="1"/>
  <c r="Q136" i="7"/>
  <c r="Y136" i="7" s="1"/>
  <c r="Q137" i="7"/>
  <c r="Y137" i="7" s="1"/>
  <c r="Q138" i="7"/>
  <c r="Y138" i="7" s="1"/>
  <c r="Q139" i="7"/>
  <c r="Y139" i="7" s="1"/>
  <c r="Q140" i="7"/>
  <c r="Y140" i="7" s="1"/>
  <c r="Q141" i="7"/>
  <c r="Y141" i="7" s="1"/>
  <c r="Q142" i="7"/>
  <c r="Y142" i="7" s="1"/>
  <c r="Q143" i="7"/>
  <c r="Y143" i="7" s="1"/>
  <c r="Q144" i="7"/>
  <c r="Y144" i="7" s="1"/>
  <c r="Q145" i="7"/>
  <c r="Y145" i="7" s="1"/>
  <c r="Q146" i="7"/>
  <c r="Y146" i="7" s="1"/>
  <c r="Q147" i="7"/>
  <c r="Y147" i="7" s="1"/>
  <c r="Q148" i="7"/>
  <c r="Y148" i="7" s="1"/>
  <c r="Q149" i="7"/>
  <c r="Y149" i="7" s="1"/>
  <c r="Q150" i="7"/>
  <c r="Y150" i="7" s="1"/>
  <c r="Q151" i="7"/>
  <c r="Y151" i="7" s="1"/>
  <c r="Q152" i="7"/>
  <c r="Y152" i="7" s="1"/>
  <c r="Q153" i="7"/>
  <c r="Y153" i="7" s="1"/>
  <c r="Q154" i="7"/>
  <c r="Y154" i="7" s="1"/>
  <c r="Q155" i="7"/>
  <c r="Y155" i="7" s="1"/>
  <c r="Q156" i="7"/>
  <c r="Y156" i="7" s="1"/>
  <c r="Q157" i="7"/>
  <c r="Y157" i="7" s="1"/>
  <c r="Q158" i="7"/>
  <c r="Y158" i="7" s="1"/>
  <c r="Q159" i="7"/>
  <c r="Y159" i="7" s="1"/>
  <c r="Q160" i="7"/>
  <c r="Y160" i="7" s="1"/>
  <c r="Q161" i="7"/>
  <c r="Y161" i="7" s="1"/>
  <c r="Q162" i="7"/>
  <c r="Y162" i="7" s="1"/>
  <c r="Q163" i="7"/>
  <c r="Y163" i="7" s="1"/>
  <c r="Q164" i="7"/>
  <c r="Y164" i="7" s="1"/>
  <c r="Q165" i="7"/>
  <c r="Y165" i="7" s="1"/>
  <c r="Q166" i="7"/>
  <c r="Y166" i="7" s="1"/>
  <c r="Q167" i="7"/>
  <c r="Y167" i="7" s="1"/>
  <c r="Q168" i="7"/>
  <c r="Y168" i="7" s="1"/>
  <c r="Q169" i="7"/>
  <c r="Y169" i="7" s="1"/>
  <c r="Q170" i="7"/>
  <c r="Y170" i="7" s="1"/>
  <c r="Q171" i="7"/>
  <c r="Y171" i="7" s="1"/>
  <c r="Q172" i="7"/>
  <c r="Y172" i="7" s="1"/>
  <c r="Q173" i="7"/>
  <c r="Y173" i="7" s="1"/>
  <c r="Q174" i="7"/>
  <c r="Y174" i="7" s="1"/>
  <c r="Q175" i="7"/>
  <c r="Y175" i="7" s="1"/>
  <c r="Q176" i="7"/>
  <c r="Y176" i="7" s="1"/>
  <c r="Q177" i="7"/>
  <c r="Y177" i="7" s="1"/>
  <c r="Q178" i="7"/>
  <c r="Y178" i="7" s="1"/>
  <c r="Q179" i="7"/>
  <c r="Y179" i="7" s="1"/>
  <c r="Q180" i="7"/>
  <c r="Y180" i="7" s="1"/>
  <c r="Q181" i="7"/>
  <c r="Y181" i="7" s="1"/>
  <c r="Q182" i="7"/>
  <c r="Y182" i="7" s="1"/>
  <c r="Q183" i="7"/>
  <c r="Y183" i="7" s="1"/>
  <c r="Q184" i="7"/>
  <c r="Y184" i="7" s="1"/>
  <c r="Q185" i="7"/>
  <c r="Y185" i="7" s="1"/>
  <c r="Q186" i="7"/>
  <c r="Y186" i="7" s="1"/>
  <c r="Q187" i="7"/>
  <c r="Y187" i="7" s="1"/>
  <c r="Q188" i="7"/>
  <c r="Y188" i="7" s="1"/>
  <c r="Q189" i="7"/>
  <c r="Y189" i="7" s="1"/>
  <c r="Q190" i="7"/>
  <c r="Y190" i="7" s="1"/>
  <c r="Q191" i="7"/>
  <c r="Y191" i="7" s="1"/>
  <c r="Q192" i="7"/>
  <c r="Y192" i="7" s="1"/>
  <c r="Q193" i="7"/>
  <c r="Y193" i="7" s="1"/>
  <c r="Q194" i="7"/>
  <c r="Y194" i="7" s="1"/>
  <c r="Q195" i="7"/>
  <c r="Y195" i="7" s="1"/>
  <c r="Q196" i="7"/>
  <c r="Y196" i="7" s="1"/>
  <c r="Q197" i="7"/>
  <c r="Y197" i="7" s="1"/>
  <c r="Q198" i="7"/>
  <c r="Y198" i="7" s="1"/>
  <c r="Q199" i="7"/>
  <c r="Y199" i="7" s="1"/>
  <c r="Q200" i="7"/>
  <c r="Y200" i="7" s="1"/>
  <c r="Q201" i="7"/>
  <c r="Y201" i="7" s="1"/>
  <c r="Q202" i="7"/>
  <c r="Y202" i="7" s="1"/>
  <c r="Q203" i="7"/>
  <c r="Y203" i="7" s="1"/>
  <c r="Q204" i="7"/>
  <c r="Y204" i="7" s="1"/>
  <c r="Q205" i="7"/>
  <c r="Y205" i="7" s="1"/>
  <c r="Q206" i="7"/>
  <c r="Y206" i="7" s="1"/>
  <c r="Q207" i="7"/>
  <c r="Y207" i="7" s="1"/>
  <c r="Q208" i="7"/>
  <c r="Y208" i="7" s="1"/>
  <c r="Q209" i="7"/>
  <c r="Y209" i="7" s="1"/>
  <c r="Q210" i="7"/>
  <c r="Y210" i="7" s="1"/>
  <c r="Q211" i="7"/>
  <c r="Y211" i="7" s="1"/>
  <c r="Q212" i="7"/>
  <c r="Y212" i="7" s="1"/>
  <c r="Q213" i="7"/>
  <c r="Y213" i="7" s="1"/>
  <c r="Q214" i="7"/>
  <c r="Y214" i="7" s="1"/>
  <c r="Q215" i="7"/>
  <c r="Y215" i="7" s="1"/>
  <c r="Q216" i="7"/>
  <c r="Y216" i="7" s="1"/>
  <c r="Q217" i="7"/>
  <c r="Y217" i="7" s="1"/>
  <c r="Q218" i="7"/>
  <c r="Y218" i="7" s="1"/>
  <c r="Q219" i="7"/>
  <c r="Y219" i="7" s="1"/>
  <c r="Q220" i="7"/>
  <c r="Y220" i="7" s="1"/>
  <c r="Q221" i="7"/>
  <c r="Y221" i="7" s="1"/>
  <c r="Q222" i="7"/>
  <c r="Y222" i="7" s="1"/>
  <c r="Q223" i="7"/>
  <c r="Y223" i="7" s="1"/>
  <c r="Q224" i="7"/>
  <c r="Y224" i="7" s="1"/>
  <c r="Q225" i="7"/>
  <c r="Y225" i="7" s="1"/>
  <c r="Q226" i="7"/>
  <c r="Y226" i="7" s="1"/>
  <c r="Q227" i="7"/>
  <c r="Y227" i="7" s="1"/>
  <c r="Q228" i="7"/>
  <c r="Y228" i="7" s="1"/>
  <c r="Q229" i="7"/>
  <c r="Y229" i="7" s="1"/>
  <c r="Q230" i="7"/>
  <c r="Y230" i="7" s="1"/>
  <c r="Q231" i="7"/>
  <c r="Y231" i="7" s="1"/>
  <c r="Q232" i="7"/>
  <c r="Y232" i="7" s="1"/>
  <c r="Q233" i="7"/>
  <c r="Y233" i="7" s="1"/>
  <c r="Q234" i="7"/>
  <c r="Y234" i="7" s="1"/>
  <c r="Q235" i="7"/>
  <c r="Y235" i="7" s="1"/>
  <c r="Q236" i="7"/>
  <c r="Y236" i="7" s="1"/>
  <c r="Q237" i="7"/>
  <c r="Y237" i="7" s="1"/>
  <c r="Q238" i="7"/>
  <c r="Y238" i="7" s="1"/>
  <c r="Q239" i="7"/>
  <c r="Y239" i="7" s="1"/>
  <c r="Q240" i="7"/>
  <c r="Y240" i="7" s="1"/>
  <c r="Q241" i="7"/>
  <c r="Y241" i="7" s="1"/>
  <c r="Q242" i="7"/>
  <c r="Y242" i="7" s="1"/>
  <c r="Q243" i="7"/>
  <c r="Y243" i="7" s="1"/>
  <c r="Q244" i="7"/>
  <c r="Y244" i="7" s="1"/>
  <c r="Q245" i="7"/>
  <c r="Y245" i="7" s="1"/>
  <c r="Q246" i="7"/>
  <c r="Y246" i="7" s="1"/>
  <c r="Q247" i="7"/>
  <c r="Y247" i="7" s="1"/>
  <c r="Q248" i="7"/>
  <c r="Y248" i="7" s="1"/>
  <c r="Q249" i="7"/>
  <c r="Y249" i="7" s="1"/>
  <c r="Q250" i="7"/>
  <c r="Y250" i="7" s="1"/>
  <c r="Q251" i="7"/>
  <c r="Y251" i="7" s="1"/>
  <c r="Q252" i="7"/>
  <c r="Y252" i="7" s="1"/>
  <c r="Q253" i="7"/>
  <c r="Y253" i="7" s="1"/>
  <c r="Q254" i="7"/>
  <c r="Y254" i="7" s="1"/>
  <c r="Q255" i="7"/>
  <c r="Y255" i="7" s="1"/>
  <c r="Q256" i="7"/>
  <c r="Y256" i="7" s="1"/>
  <c r="Q257" i="7"/>
  <c r="Y257" i="7" s="1"/>
  <c r="Q258" i="7"/>
  <c r="Y258" i="7" s="1"/>
  <c r="Q259" i="7"/>
  <c r="Y259" i="7" s="1"/>
  <c r="Q260" i="7"/>
  <c r="Y260" i="7" s="1"/>
  <c r="Q261" i="7"/>
  <c r="Y261" i="7" s="1"/>
  <c r="Q262" i="7"/>
  <c r="Y262" i="7" s="1"/>
  <c r="Q263" i="7"/>
  <c r="Y263" i="7" s="1"/>
  <c r="Q264" i="7"/>
  <c r="Y264" i="7" s="1"/>
  <c r="Q265" i="7"/>
  <c r="Y265" i="7" s="1"/>
  <c r="Q266" i="7"/>
  <c r="Y266" i="7" s="1"/>
  <c r="Q267" i="7"/>
  <c r="Y267" i="7" s="1"/>
  <c r="Q268" i="7"/>
  <c r="Y268" i="7" s="1"/>
  <c r="Q269" i="7"/>
  <c r="Y269" i="7" s="1"/>
  <c r="Q270" i="7"/>
  <c r="Y270" i="7" s="1"/>
  <c r="Q271" i="7"/>
  <c r="Y271" i="7" s="1"/>
  <c r="Q272" i="7"/>
  <c r="Y272" i="7" s="1"/>
  <c r="Q273" i="7"/>
  <c r="Y273" i="7" s="1"/>
  <c r="Q274" i="7"/>
  <c r="Y274" i="7" s="1"/>
  <c r="Q275" i="7"/>
  <c r="Y275" i="7" s="1"/>
  <c r="Q276" i="7"/>
  <c r="Y276" i="7" s="1"/>
  <c r="Q277" i="7"/>
  <c r="Y277" i="7" s="1"/>
  <c r="Q278" i="7"/>
  <c r="Y278" i="7" s="1"/>
  <c r="Q279" i="7"/>
  <c r="Y279" i="7" s="1"/>
  <c r="Q280" i="7"/>
  <c r="Y280" i="7" s="1"/>
  <c r="Q281" i="7"/>
  <c r="Y281" i="7" s="1"/>
  <c r="Q282" i="7"/>
  <c r="Y282" i="7" s="1"/>
  <c r="Q283" i="7"/>
  <c r="Y283" i="7" s="1"/>
  <c r="Q284" i="7"/>
  <c r="Y284" i="7" s="1"/>
  <c r="Q285" i="7"/>
  <c r="Y285" i="7" s="1"/>
  <c r="Q286" i="7"/>
  <c r="Y286" i="7" s="1"/>
  <c r="Q287" i="7"/>
  <c r="Y287" i="7" s="1"/>
  <c r="Q288" i="7"/>
  <c r="Y288" i="7" s="1"/>
  <c r="Q289" i="7"/>
  <c r="Y289" i="7" s="1"/>
  <c r="Q290" i="7"/>
  <c r="Y290" i="7" s="1"/>
  <c r="Q291" i="7"/>
  <c r="Y291" i="7" s="1"/>
  <c r="Q292" i="7"/>
  <c r="Y292" i="7" s="1"/>
  <c r="Q293" i="7"/>
  <c r="Y293" i="7" s="1"/>
  <c r="Q294" i="7"/>
  <c r="Y294" i="7" s="1"/>
  <c r="Q295" i="7"/>
  <c r="Y295" i="7" s="1"/>
  <c r="Q296" i="7"/>
  <c r="Y296" i="7" s="1"/>
  <c r="Q297" i="7"/>
  <c r="Y297" i="7" s="1"/>
  <c r="Q298" i="7"/>
  <c r="Y298" i="7" s="1"/>
  <c r="Q299" i="7"/>
  <c r="Y299" i="7" s="1"/>
  <c r="Q300" i="7"/>
  <c r="Y300" i="7" s="1"/>
  <c r="Q301" i="7"/>
  <c r="Y301" i="7" s="1"/>
  <c r="Q302" i="7"/>
  <c r="Y302" i="7" s="1"/>
  <c r="Q303" i="7"/>
  <c r="Y303" i="7" s="1"/>
  <c r="Q304" i="7"/>
  <c r="Y304" i="7" s="1"/>
  <c r="Q305" i="7"/>
  <c r="Y305" i="7" s="1"/>
  <c r="Q306" i="7"/>
  <c r="Y306" i="7" s="1"/>
  <c r="Q307" i="7"/>
  <c r="Y307" i="7" s="1"/>
  <c r="Q308" i="7"/>
  <c r="Y308" i="7" s="1"/>
  <c r="Q309" i="7"/>
  <c r="Y309" i="7" s="1"/>
  <c r="Q310" i="7"/>
  <c r="Y310" i="7" s="1"/>
  <c r="Q311" i="7"/>
  <c r="Y311" i="7" s="1"/>
  <c r="Q312" i="7"/>
  <c r="Y312" i="7" s="1"/>
  <c r="Q313" i="7"/>
  <c r="Y313" i="7" s="1"/>
  <c r="Q314" i="7"/>
  <c r="Y314" i="7" s="1"/>
  <c r="Q315" i="7"/>
  <c r="Y315" i="7" s="1"/>
  <c r="Q316" i="7"/>
  <c r="Y316" i="7" s="1"/>
  <c r="Q317" i="7"/>
  <c r="Y317" i="7" s="1"/>
  <c r="Q318" i="7"/>
  <c r="Y318" i="7" s="1"/>
  <c r="Q319" i="7"/>
  <c r="Y319" i="7" s="1"/>
  <c r="Q320" i="7"/>
  <c r="Y320" i="7" s="1"/>
  <c r="Q321" i="7"/>
  <c r="Y321" i="7" s="1"/>
  <c r="Q322" i="7"/>
  <c r="Y322" i="7" s="1"/>
  <c r="Q323" i="7"/>
  <c r="Y323" i="7" s="1"/>
  <c r="Q324" i="7"/>
  <c r="Y324" i="7" s="1"/>
  <c r="Q325" i="7"/>
  <c r="Y325" i="7" s="1"/>
  <c r="Q326" i="7"/>
  <c r="Y326" i="7" s="1"/>
  <c r="Q327" i="7"/>
  <c r="Y327" i="7" s="1"/>
  <c r="Q328" i="7"/>
  <c r="Y328" i="7" s="1"/>
  <c r="Q329" i="7"/>
  <c r="Y329" i="7" s="1"/>
  <c r="Q330" i="7"/>
  <c r="Y330" i="7" s="1"/>
  <c r="Q331" i="7"/>
  <c r="Y331" i="7" s="1"/>
  <c r="Q332" i="7"/>
  <c r="Y332" i="7" s="1"/>
  <c r="Q333" i="7"/>
  <c r="Y333" i="7" s="1"/>
  <c r="Q334" i="7"/>
  <c r="Y334" i="7" s="1"/>
  <c r="Q335" i="7"/>
  <c r="Y335" i="7" s="1"/>
  <c r="Q336" i="7"/>
  <c r="Y336" i="7" s="1"/>
  <c r="Q337" i="7"/>
  <c r="Y337" i="7" s="1"/>
  <c r="Q338" i="7"/>
  <c r="Y338" i="7" s="1"/>
  <c r="Q339" i="7"/>
  <c r="Y339" i="7" s="1"/>
  <c r="Q340" i="7"/>
  <c r="Y340" i="7" s="1"/>
  <c r="Q341" i="7"/>
  <c r="Y341" i="7" s="1"/>
  <c r="Q342" i="7"/>
  <c r="Y342" i="7" s="1"/>
  <c r="Q343" i="7"/>
  <c r="Y343" i="7" s="1"/>
  <c r="Q344" i="7"/>
  <c r="Y344" i="7" s="1"/>
  <c r="Q345" i="7"/>
  <c r="Y345" i="7" s="1"/>
  <c r="Q346" i="7"/>
  <c r="Y346" i="7" s="1"/>
  <c r="Q347" i="7"/>
  <c r="Y347" i="7" s="1"/>
  <c r="Q348" i="7"/>
  <c r="Y348" i="7" s="1"/>
  <c r="Q349" i="7"/>
  <c r="Y349" i="7" s="1"/>
  <c r="Q350" i="7"/>
  <c r="Y350" i="7" s="1"/>
  <c r="Q351" i="7"/>
  <c r="Y351" i="7" s="1"/>
  <c r="Q352" i="7"/>
  <c r="Y352" i="7" s="1"/>
  <c r="Q353" i="7"/>
  <c r="Y353" i="7" s="1"/>
  <c r="Q354" i="7"/>
  <c r="Y354" i="7" s="1"/>
  <c r="Q355" i="7"/>
  <c r="Y355" i="7" s="1"/>
  <c r="Q356" i="7"/>
  <c r="Y356" i="7" s="1"/>
  <c r="Q357" i="7"/>
  <c r="Y357" i="7" s="1"/>
  <c r="Q358" i="7"/>
  <c r="Y358" i="7" s="1"/>
  <c r="Q359" i="7"/>
  <c r="Y359" i="7" s="1"/>
  <c r="Q360" i="7"/>
  <c r="Y360" i="7" s="1"/>
  <c r="Q361" i="7"/>
  <c r="Y361" i="7" s="1"/>
  <c r="Q362" i="7"/>
  <c r="Y362" i="7" s="1"/>
  <c r="Q363" i="7"/>
  <c r="Y363" i="7" s="1"/>
  <c r="Q364" i="7"/>
  <c r="Y364" i="7" s="1"/>
  <c r="Q365" i="7"/>
  <c r="Y365" i="7" s="1"/>
  <c r="Q366" i="7"/>
  <c r="Y366" i="7" s="1"/>
  <c r="Q367" i="7"/>
  <c r="Y367" i="7" s="1"/>
  <c r="Q368" i="7"/>
  <c r="Y368" i="7" s="1"/>
  <c r="Q369" i="7"/>
  <c r="Y369" i="7" s="1"/>
  <c r="Q370" i="7"/>
  <c r="Y370" i="7" s="1"/>
  <c r="Q371" i="7"/>
  <c r="Y371" i="7" s="1"/>
  <c r="Q372" i="7"/>
  <c r="Y372" i="7" s="1"/>
  <c r="Q373" i="7"/>
  <c r="Y373" i="7" s="1"/>
  <c r="Q374" i="7"/>
  <c r="Y374" i="7" s="1"/>
  <c r="Q375" i="7"/>
  <c r="Y375" i="7" s="1"/>
  <c r="Q376" i="7"/>
  <c r="Y376" i="7" s="1"/>
  <c r="Q377" i="7"/>
  <c r="Y377" i="7" s="1"/>
  <c r="Q378" i="7"/>
  <c r="Y378" i="7" s="1"/>
  <c r="Q379" i="7"/>
  <c r="Y379" i="7" s="1"/>
  <c r="Q380" i="7"/>
  <c r="Y380" i="7" s="1"/>
  <c r="Q381" i="7"/>
  <c r="Y381" i="7" s="1"/>
  <c r="Q382" i="7"/>
  <c r="Y382" i="7" s="1"/>
  <c r="Q383" i="7"/>
  <c r="Y383" i="7" s="1"/>
  <c r="Q384" i="7"/>
  <c r="Y384" i="7" s="1"/>
  <c r="Q385" i="7"/>
  <c r="Y385" i="7" s="1"/>
  <c r="Q386" i="7"/>
  <c r="Y386" i="7" s="1"/>
  <c r="Q387" i="7"/>
  <c r="Y387" i="7" s="1"/>
  <c r="Q388" i="7"/>
  <c r="Y388" i="7" s="1"/>
  <c r="Q389" i="7"/>
  <c r="Y389" i="7" s="1"/>
  <c r="Q390" i="7"/>
  <c r="Y390" i="7" s="1"/>
  <c r="Q391" i="7"/>
  <c r="Y391" i="7" s="1"/>
  <c r="Q392" i="7"/>
  <c r="Y392" i="7" s="1"/>
  <c r="Q393" i="7"/>
  <c r="Y393" i="7" s="1"/>
  <c r="Q394" i="7"/>
  <c r="Y394" i="7" s="1"/>
  <c r="Q395" i="7"/>
  <c r="Y395" i="7" s="1"/>
  <c r="Q396" i="7"/>
  <c r="Y396" i="7" s="1"/>
  <c r="Q397" i="7"/>
  <c r="Y397" i="7" s="1"/>
  <c r="Q398" i="7"/>
  <c r="Y398" i="7" s="1"/>
  <c r="Q399" i="7"/>
  <c r="Y399" i="7" s="1"/>
  <c r="Q400" i="7"/>
  <c r="Y400" i="7" s="1"/>
  <c r="Q401" i="7"/>
  <c r="Y401" i="7" s="1"/>
  <c r="Q402" i="7"/>
  <c r="Y402" i="7" s="1"/>
  <c r="Q403" i="7"/>
  <c r="Y403" i="7" s="1"/>
  <c r="Q404" i="7"/>
  <c r="Y404" i="7" s="1"/>
  <c r="Q405" i="7"/>
  <c r="Y405" i="7" s="1"/>
  <c r="Q406" i="7"/>
  <c r="Y406" i="7" s="1"/>
  <c r="Q407" i="7"/>
  <c r="Y407" i="7" s="1"/>
  <c r="Q408" i="7"/>
  <c r="Y408" i="7" s="1"/>
  <c r="Q409" i="7"/>
  <c r="Y409" i="7" s="1"/>
  <c r="Q410" i="7"/>
  <c r="Y410" i="7" s="1"/>
  <c r="Q411" i="7"/>
  <c r="Y411" i="7" s="1"/>
  <c r="Q412" i="7"/>
  <c r="Y412" i="7" s="1"/>
  <c r="Q413" i="7"/>
  <c r="Y413" i="7" s="1"/>
  <c r="Q414" i="7"/>
  <c r="Y414" i="7" s="1"/>
  <c r="Q415" i="7"/>
  <c r="Y415" i="7" s="1"/>
  <c r="Q416" i="7"/>
  <c r="Y416" i="7" s="1"/>
  <c r="Q417" i="7"/>
  <c r="Y417" i="7" s="1"/>
  <c r="Q418" i="7"/>
  <c r="Y418" i="7" s="1"/>
  <c r="Q419" i="7"/>
  <c r="Y419" i="7" s="1"/>
  <c r="Q420" i="7"/>
  <c r="Y420" i="7" s="1"/>
  <c r="Q421" i="7"/>
  <c r="Y421" i="7" s="1"/>
  <c r="Q422" i="7"/>
  <c r="Y422" i="7" s="1"/>
  <c r="Q423" i="7"/>
  <c r="Y423" i="7" s="1"/>
  <c r="Q424" i="7"/>
  <c r="Y424" i="7" s="1"/>
  <c r="Q425" i="7"/>
  <c r="Y425" i="7" s="1"/>
  <c r="Q426" i="7"/>
  <c r="Y426" i="7" s="1"/>
  <c r="Q427" i="7"/>
  <c r="Y427" i="7" s="1"/>
  <c r="Q428" i="7"/>
  <c r="Y428" i="7" s="1"/>
  <c r="Q429" i="7"/>
  <c r="Y429" i="7" s="1"/>
  <c r="Q430" i="7"/>
  <c r="Y430" i="7" s="1"/>
  <c r="Q431" i="7"/>
  <c r="Y431" i="7" s="1"/>
  <c r="Q432" i="7"/>
  <c r="Y432" i="7" s="1"/>
  <c r="Q433" i="7"/>
  <c r="Y433" i="7" s="1"/>
  <c r="Q434" i="7"/>
  <c r="Y434" i="7" s="1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5" i="7"/>
  <c r="N5" i="7"/>
  <c r="Q5" i="7"/>
  <c r="Y5" i="7" s="1"/>
  <c r="R5" i="7"/>
  <c r="AB5" i="7"/>
  <c r="S5" i="7" l="1"/>
  <c r="P27" i="15"/>
  <c r="O26" i="15"/>
  <c r="E25" i="15"/>
  <c r="L26" i="15"/>
  <c r="J26" i="15"/>
  <c r="G26" i="15"/>
  <c r="F27" i="15"/>
  <c r="O27" i="15"/>
  <c r="N26" i="15"/>
  <c r="M26" i="15"/>
  <c r="L27" i="15"/>
  <c r="I26" i="15"/>
  <c r="I27" i="15"/>
  <c r="G27" i="15"/>
  <c r="E27" i="15"/>
  <c r="N27" i="15"/>
  <c r="K27" i="15"/>
  <c r="H26" i="15"/>
  <c r="F26" i="15"/>
  <c r="P26" i="15"/>
  <c r="M27" i="15"/>
  <c r="K26" i="15"/>
  <c r="H27" i="15"/>
  <c r="E26" i="15"/>
  <c r="J27" i="15"/>
  <c r="S6" i="7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S32" i="7" s="1"/>
  <c r="S33" i="7" s="1"/>
  <c r="S34" i="7" s="1"/>
  <c r="S35" i="7" s="1"/>
  <c r="S36" i="7" s="1"/>
  <c r="S37" i="7" s="1"/>
  <c r="S38" i="7" s="1"/>
  <c r="S39" i="7" s="1"/>
  <c r="S40" i="7" s="1"/>
  <c r="S41" i="7" s="1"/>
  <c r="S42" i="7" s="1"/>
  <c r="S43" i="7" s="1"/>
  <c r="S44" i="7" s="1"/>
  <c r="S45" i="7" s="1"/>
  <c r="S46" i="7" s="1"/>
  <c r="S47" i="7" s="1"/>
  <c r="S48" i="7" s="1"/>
  <c r="S49" i="7" s="1"/>
  <c r="S50" i="7" s="1"/>
  <c r="S51" i="7" s="1"/>
  <c r="S52" i="7" s="1"/>
  <c r="S53" i="7" s="1"/>
  <c r="S54" i="7" s="1"/>
  <c r="S55" i="7" s="1"/>
  <c r="S56" i="7" s="1"/>
  <c r="S57" i="7" s="1"/>
  <c r="S58" i="7" s="1"/>
  <c r="S59" i="7" s="1"/>
  <c r="S60" i="7" s="1"/>
  <c r="S61" i="7" s="1"/>
  <c r="S62" i="7" s="1"/>
  <c r="S63" i="7" s="1"/>
  <c r="S64" i="7" s="1"/>
  <c r="S65" i="7" s="1"/>
  <c r="S66" i="7" s="1"/>
  <c r="S67" i="7" s="1"/>
  <c r="S68" i="7" s="1"/>
  <c r="S69" i="7" s="1"/>
  <c r="S70" i="7" s="1"/>
  <c r="S71" i="7" s="1"/>
  <c r="S72" i="7" s="1"/>
  <c r="S73" i="7" s="1"/>
  <c r="S74" i="7" s="1"/>
  <c r="S75" i="7" s="1"/>
  <c r="S76" i="7" s="1"/>
  <c r="S77" i="7" s="1"/>
  <c r="S78" i="7" s="1"/>
  <c r="S79" i="7" s="1"/>
  <c r="S80" i="7" s="1"/>
  <c r="S81" i="7" s="1"/>
  <c r="S82" i="7" s="1"/>
  <c r="S83" i="7" s="1"/>
  <c r="S84" i="7" s="1"/>
  <c r="S85" i="7" s="1"/>
  <c r="S86" i="7" s="1"/>
  <c r="S87" i="7" s="1"/>
  <c r="S88" i="7" s="1"/>
  <c r="S89" i="7" s="1"/>
  <c r="S90" i="7" s="1"/>
  <c r="S91" i="7" s="1"/>
  <c r="S92" i="7" s="1"/>
  <c r="S93" i="7" s="1"/>
  <c r="S94" i="7" s="1"/>
  <c r="S95" i="7" s="1"/>
  <c r="S96" i="7" s="1"/>
  <c r="S97" i="7" s="1"/>
  <c r="S98" i="7" s="1"/>
  <c r="S99" i="7" s="1"/>
  <c r="S100" i="7" s="1"/>
  <c r="S101" i="7" s="1"/>
  <c r="S102" i="7" s="1"/>
  <c r="S103" i="7" s="1"/>
  <c r="S104" i="7" s="1"/>
  <c r="S105" i="7" s="1"/>
  <c r="S106" i="7" s="1"/>
  <c r="S107" i="7" s="1"/>
  <c r="S108" i="7" s="1"/>
  <c r="S109" i="7" s="1"/>
  <c r="S110" i="7" s="1"/>
  <c r="S111" i="7" s="1"/>
  <c r="S112" i="7" s="1"/>
  <c r="S113" i="7" s="1"/>
  <c r="S114" i="7" s="1"/>
  <c r="S115" i="7" s="1"/>
  <c r="S116" i="7" s="1"/>
  <c r="S117" i="7" s="1"/>
  <c r="S118" i="7" s="1"/>
  <c r="S119" i="7" s="1"/>
  <c r="S120" i="7" s="1"/>
  <c r="S121" i="7" s="1"/>
  <c r="S122" i="7" s="1"/>
  <c r="S123" i="7" s="1"/>
  <c r="S124" i="7" s="1"/>
  <c r="S125" i="7" s="1"/>
  <c r="S126" i="7" s="1"/>
  <c r="S127" i="7" s="1"/>
  <c r="S128" i="7" s="1"/>
  <c r="S129" i="7" s="1"/>
  <c r="S130" i="7" s="1"/>
  <c r="S131" i="7" s="1"/>
  <c r="S132" i="7" s="1"/>
  <c r="S133" i="7" s="1"/>
  <c r="S134" i="7" s="1"/>
  <c r="S135" i="7" s="1"/>
  <c r="S136" i="7" s="1"/>
  <c r="S137" i="7" s="1"/>
  <c r="S138" i="7" s="1"/>
  <c r="S139" i="7" s="1"/>
  <c r="S140" i="7" s="1"/>
  <c r="S141" i="7" s="1"/>
  <c r="S142" i="7" s="1"/>
  <c r="S143" i="7" s="1"/>
  <c r="S144" i="7" s="1"/>
  <c r="S145" i="7" s="1"/>
  <c r="S146" i="7" s="1"/>
  <c r="S147" i="7" s="1"/>
  <c r="S148" i="7" s="1"/>
  <c r="S149" i="7" s="1"/>
  <c r="S150" i="7" s="1"/>
  <c r="S151" i="7" s="1"/>
  <c r="S152" i="7" s="1"/>
  <c r="S153" i="7" s="1"/>
  <c r="S154" i="7" s="1"/>
  <c r="S155" i="7" s="1"/>
  <c r="S156" i="7" s="1"/>
  <c r="S157" i="7" s="1"/>
  <c r="S158" i="7" s="1"/>
  <c r="S159" i="7" s="1"/>
  <c r="S160" i="7" s="1"/>
  <c r="S161" i="7" s="1"/>
  <c r="S162" i="7" s="1"/>
  <c r="S163" i="7" s="1"/>
  <c r="S164" i="7" s="1"/>
  <c r="S165" i="7" s="1"/>
  <c r="S166" i="7" s="1"/>
  <c r="S167" i="7" s="1"/>
  <c r="S168" i="7" s="1"/>
  <c r="S169" i="7" s="1"/>
  <c r="S170" i="7" s="1"/>
  <c r="S171" i="7" s="1"/>
  <c r="S172" i="7" s="1"/>
  <c r="S173" i="7" s="1"/>
  <c r="S174" i="7" s="1"/>
  <c r="S175" i="7" s="1"/>
  <c r="S176" i="7" s="1"/>
  <c r="S177" i="7" s="1"/>
  <c r="S178" i="7" s="1"/>
  <c r="S179" i="7" s="1"/>
  <c r="S180" i="7" s="1"/>
  <c r="S181" i="7" s="1"/>
  <c r="S182" i="7" s="1"/>
  <c r="S183" i="7" s="1"/>
  <c r="S184" i="7" s="1"/>
  <c r="S185" i="7" s="1"/>
  <c r="S186" i="7" s="1"/>
  <c r="S187" i="7" s="1"/>
  <c r="S188" i="7" s="1"/>
  <c r="S189" i="7" s="1"/>
  <c r="S190" i="7" s="1"/>
  <c r="S191" i="7" s="1"/>
  <c r="S192" i="7" s="1"/>
  <c r="S193" i="7" s="1"/>
  <c r="S194" i="7" s="1"/>
  <c r="S195" i="7" s="1"/>
  <c r="S196" i="7" s="1"/>
  <c r="S197" i="7" s="1"/>
  <c r="S198" i="7" s="1"/>
  <c r="S199" i="7" s="1"/>
  <c r="S200" i="7" s="1"/>
  <c r="S201" i="7" s="1"/>
  <c r="S202" i="7" s="1"/>
  <c r="S203" i="7" s="1"/>
  <c r="S204" i="7" s="1"/>
  <c r="S205" i="7" s="1"/>
  <c r="S206" i="7" s="1"/>
  <c r="S207" i="7" s="1"/>
  <c r="S208" i="7" s="1"/>
  <c r="S209" i="7" s="1"/>
  <c r="S210" i="7" s="1"/>
  <c r="S211" i="7" s="1"/>
  <c r="S212" i="7" s="1"/>
  <c r="S213" i="7" s="1"/>
  <c r="S214" i="7" s="1"/>
  <c r="S215" i="7" s="1"/>
  <c r="S216" i="7" s="1"/>
  <c r="S217" i="7" s="1"/>
  <c r="S218" i="7" s="1"/>
  <c r="S219" i="7" s="1"/>
  <c r="S220" i="7" s="1"/>
  <c r="S221" i="7" s="1"/>
  <c r="S222" i="7" s="1"/>
  <c r="S223" i="7" s="1"/>
  <c r="S224" i="7" s="1"/>
  <c r="S225" i="7" s="1"/>
  <c r="S226" i="7" s="1"/>
  <c r="S227" i="7" s="1"/>
  <c r="S228" i="7" s="1"/>
  <c r="S229" i="7" s="1"/>
  <c r="S230" i="7" s="1"/>
  <c r="S231" i="7" s="1"/>
  <c r="S232" i="7" s="1"/>
  <c r="S233" i="7" s="1"/>
  <c r="S234" i="7" s="1"/>
  <c r="S235" i="7" s="1"/>
  <c r="S236" i="7" s="1"/>
  <c r="S237" i="7" s="1"/>
  <c r="S238" i="7" s="1"/>
  <c r="S239" i="7" s="1"/>
  <c r="S240" i="7" s="1"/>
  <c r="S241" i="7" s="1"/>
  <c r="S242" i="7" s="1"/>
  <c r="S243" i="7" s="1"/>
  <c r="S244" i="7" s="1"/>
  <c r="S245" i="7" s="1"/>
  <c r="S246" i="7" s="1"/>
  <c r="S247" i="7" s="1"/>
  <c r="S248" i="7" s="1"/>
  <c r="S249" i="7" s="1"/>
  <c r="S250" i="7" s="1"/>
  <c r="S251" i="7" s="1"/>
  <c r="S252" i="7" s="1"/>
  <c r="S253" i="7" s="1"/>
  <c r="S254" i="7" s="1"/>
  <c r="S255" i="7" s="1"/>
  <c r="S256" i="7" s="1"/>
  <c r="S257" i="7" s="1"/>
  <c r="S258" i="7" s="1"/>
  <c r="S259" i="7" s="1"/>
  <c r="S260" i="7" s="1"/>
  <c r="S261" i="7" s="1"/>
  <c r="S262" i="7" s="1"/>
  <c r="S263" i="7" s="1"/>
  <c r="S264" i="7" s="1"/>
  <c r="S265" i="7" s="1"/>
  <c r="S266" i="7" s="1"/>
  <c r="S267" i="7" s="1"/>
  <c r="S268" i="7" s="1"/>
  <c r="S269" i="7" s="1"/>
  <c r="S270" i="7" s="1"/>
  <c r="S271" i="7" s="1"/>
  <c r="S272" i="7" s="1"/>
  <c r="S273" i="7" s="1"/>
  <c r="S274" i="7" s="1"/>
  <c r="S275" i="7" s="1"/>
  <c r="S276" i="7" s="1"/>
  <c r="S277" i="7" s="1"/>
  <c r="S278" i="7" s="1"/>
  <c r="S279" i="7" s="1"/>
  <c r="S280" i="7" s="1"/>
  <c r="S281" i="7" s="1"/>
  <c r="S282" i="7" s="1"/>
  <c r="S283" i="7" s="1"/>
  <c r="S284" i="7" s="1"/>
  <c r="S285" i="7" s="1"/>
  <c r="S286" i="7" s="1"/>
  <c r="S287" i="7" s="1"/>
  <c r="S288" i="7" s="1"/>
  <c r="S289" i="7" s="1"/>
  <c r="S290" i="7" s="1"/>
  <c r="S291" i="7" s="1"/>
  <c r="S292" i="7" s="1"/>
  <c r="S293" i="7" s="1"/>
  <c r="S294" i="7" s="1"/>
  <c r="S295" i="7" s="1"/>
  <c r="S296" i="7" s="1"/>
  <c r="S297" i="7" s="1"/>
  <c r="S298" i="7" s="1"/>
  <c r="S299" i="7" s="1"/>
  <c r="S300" i="7" s="1"/>
  <c r="S301" i="7" s="1"/>
  <c r="S302" i="7" s="1"/>
  <c r="S303" i="7" s="1"/>
  <c r="S304" i="7" s="1"/>
  <c r="S305" i="7" s="1"/>
  <c r="S306" i="7" s="1"/>
  <c r="S307" i="7" s="1"/>
  <c r="S308" i="7" s="1"/>
  <c r="S309" i="7" s="1"/>
  <c r="S310" i="7" s="1"/>
  <c r="S311" i="7" s="1"/>
  <c r="S312" i="7" s="1"/>
  <c r="S313" i="7" s="1"/>
  <c r="S314" i="7" s="1"/>
  <c r="S315" i="7" s="1"/>
  <c r="S316" i="7" s="1"/>
  <c r="S317" i="7" s="1"/>
  <c r="S318" i="7" s="1"/>
  <c r="S319" i="7" s="1"/>
  <c r="S320" i="7" s="1"/>
  <c r="S321" i="7" s="1"/>
  <c r="S322" i="7" s="1"/>
  <c r="S323" i="7" s="1"/>
  <c r="S324" i="7" s="1"/>
  <c r="S325" i="7" s="1"/>
  <c r="S326" i="7" s="1"/>
  <c r="S327" i="7" s="1"/>
  <c r="S328" i="7" s="1"/>
  <c r="S329" i="7" s="1"/>
  <c r="S330" i="7" s="1"/>
  <c r="S331" i="7" s="1"/>
  <c r="S332" i="7" s="1"/>
  <c r="S333" i="7" s="1"/>
  <c r="S334" i="7" s="1"/>
  <c r="S335" i="7" s="1"/>
  <c r="S336" i="7" s="1"/>
  <c r="S337" i="7" s="1"/>
  <c r="S338" i="7" s="1"/>
  <c r="S339" i="7" s="1"/>
  <c r="S340" i="7" s="1"/>
  <c r="S341" i="7" s="1"/>
  <c r="S342" i="7" s="1"/>
  <c r="S343" i="7" s="1"/>
  <c r="S344" i="7" s="1"/>
  <c r="S345" i="7" s="1"/>
  <c r="S346" i="7" s="1"/>
  <c r="S347" i="7" s="1"/>
  <c r="S348" i="7" s="1"/>
  <c r="S349" i="7" s="1"/>
  <c r="S350" i="7" s="1"/>
  <c r="S351" i="7" s="1"/>
  <c r="S352" i="7" s="1"/>
  <c r="S353" i="7" s="1"/>
  <c r="S354" i="7" s="1"/>
  <c r="S355" i="7" s="1"/>
  <c r="S356" i="7" s="1"/>
  <c r="S357" i="7" s="1"/>
  <c r="S358" i="7" s="1"/>
  <c r="S359" i="7" s="1"/>
  <c r="S360" i="7" s="1"/>
  <c r="S361" i="7" s="1"/>
  <c r="S362" i="7" s="1"/>
  <c r="S363" i="7" s="1"/>
  <c r="S364" i="7" s="1"/>
  <c r="S365" i="7" s="1"/>
  <c r="S366" i="7" s="1"/>
  <c r="S367" i="7" s="1"/>
  <c r="S368" i="7" s="1"/>
  <c r="S369" i="7" s="1"/>
  <c r="S370" i="7" s="1"/>
  <c r="S371" i="7" s="1"/>
  <c r="S372" i="7" s="1"/>
  <c r="S373" i="7" s="1"/>
  <c r="S374" i="7" s="1"/>
  <c r="S375" i="7" s="1"/>
  <c r="S376" i="7" s="1"/>
  <c r="S377" i="7" s="1"/>
  <c r="S378" i="7" s="1"/>
  <c r="S379" i="7" s="1"/>
  <c r="S380" i="7" s="1"/>
  <c r="S381" i="7" s="1"/>
  <c r="S382" i="7" s="1"/>
  <c r="S383" i="7" s="1"/>
  <c r="S384" i="7" s="1"/>
  <c r="S385" i="7" s="1"/>
  <c r="S386" i="7" s="1"/>
  <c r="S387" i="7" s="1"/>
  <c r="S388" i="7" s="1"/>
  <c r="S389" i="7" s="1"/>
  <c r="S390" i="7" s="1"/>
  <c r="S391" i="7" s="1"/>
  <c r="S392" i="7" s="1"/>
  <c r="S393" i="7" s="1"/>
  <c r="S394" i="7" s="1"/>
  <c r="S395" i="7" s="1"/>
  <c r="S396" i="7" s="1"/>
  <c r="S397" i="7" s="1"/>
  <c r="S398" i="7" s="1"/>
  <c r="S399" i="7" s="1"/>
  <c r="S400" i="7" s="1"/>
  <c r="S401" i="7" s="1"/>
  <c r="S402" i="7" s="1"/>
  <c r="S403" i="7" s="1"/>
  <c r="S404" i="7" s="1"/>
  <c r="S405" i="7" s="1"/>
  <c r="S406" i="7" s="1"/>
  <c r="S407" i="7" s="1"/>
  <c r="S408" i="7" s="1"/>
  <c r="S409" i="7" s="1"/>
  <c r="S410" i="7" s="1"/>
  <c r="S411" i="7" s="1"/>
  <c r="S412" i="7" s="1"/>
  <c r="S413" i="7" s="1"/>
  <c r="S414" i="7" s="1"/>
  <c r="S415" i="7" s="1"/>
  <c r="S416" i="7" s="1"/>
  <c r="S417" i="7" s="1"/>
  <c r="S418" i="7" s="1"/>
  <c r="S419" i="7" s="1"/>
  <c r="S420" i="7" s="1"/>
  <c r="S421" i="7" s="1"/>
  <c r="S422" i="7" s="1"/>
  <c r="S423" i="7" s="1"/>
  <c r="S424" i="7" s="1"/>
  <c r="S425" i="7" s="1"/>
  <c r="S426" i="7" s="1"/>
  <c r="S427" i="7" s="1"/>
  <c r="S428" i="7" s="1"/>
  <c r="S429" i="7" s="1"/>
  <c r="S430" i="7" s="1"/>
  <c r="S431" i="7" s="1"/>
  <c r="S432" i="7" s="1"/>
  <c r="S433" i="7" s="1"/>
  <c r="S434" i="7" s="1"/>
  <c r="S435" i="7" s="1"/>
  <c r="S436" i="7" s="1"/>
  <c r="S437" i="7" s="1"/>
  <c r="S438" i="7" s="1"/>
  <c r="S439" i="7" s="1"/>
  <c r="S440" i="7" s="1"/>
  <c r="S441" i="7" s="1"/>
  <c r="S442" i="7" s="1"/>
  <c r="S443" i="7" s="1"/>
  <c r="S444" i="7" s="1"/>
  <c r="S445" i="7" s="1"/>
  <c r="S446" i="7" s="1"/>
  <c r="S447" i="7" s="1"/>
  <c r="S448" i="7" s="1"/>
  <c r="S449" i="7" s="1"/>
  <c r="S450" i="7" s="1"/>
  <c r="S451" i="7" s="1"/>
  <c r="S452" i="7" s="1"/>
  <c r="S453" i="7" s="1"/>
  <c r="S454" i="7" s="1"/>
  <c r="S455" i="7" s="1"/>
  <c r="S456" i="7" s="1"/>
  <c r="S457" i="7" s="1"/>
  <c r="S458" i="7" s="1"/>
  <c r="S459" i="7" s="1"/>
  <c r="S460" i="7" s="1"/>
  <c r="S461" i="7" s="1"/>
  <c r="S462" i="7" s="1"/>
  <c r="S463" i="7" s="1"/>
  <c r="S464" i="7" s="1"/>
  <c r="S465" i="7" s="1"/>
  <c r="S466" i="7" s="1"/>
  <c r="S467" i="7" s="1"/>
  <c r="S468" i="7" s="1"/>
  <c r="S469" i="7" s="1"/>
  <c r="S470" i="7" s="1"/>
  <c r="S471" i="7" s="1"/>
  <c r="S472" i="7" s="1"/>
  <c r="S473" i="7" s="1"/>
  <c r="S474" i="7" s="1"/>
  <c r="S475" i="7" s="1"/>
  <c r="S476" i="7" s="1"/>
  <c r="S477" i="7" s="1"/>
  <c r="S478" i="7" s="1"/>
  <c r="S479" i="7" s="1"/>
  <c r="S480" i="7" s="1"/>
  <c r="S481" i="7" s="1"/>
  <c r="S482" i="7" s="1"/>
  <c r="S483" i="7" s="1"/>
  <c r="S484" i="7" s="1"/>
  <c r="S485" i="7" s="1"/>
  <c r="S486" i="7" s="1"/>
  <c r="S487" i="7" s="1"/>
  <c r="S488" i="7" s="1"/>
  <c r="S489" i="7" s="1"/>
  <c r="S490" i="7" s="1"/>
  <c r="S491" i="7" s="1"/>
  <c r="S492" i="7" s="1"/>
  <c r="S493" i="7" s="1"/>
  <c r="S494" i="7" s="1"/>
  <c r="S495" i="7" s="1"/>
  <c r="S496" i="7" s="1"/>
  <c r="S497" i="7" s="1"/>
  <c r="S498" i="7" s="1"/>
  <c r="S499" i="7" s="1"/>
  <c r="S500" i="7" s="1"/>
  <c r="S501" i="7" s="1"/>
  <c r="S502" i="7" s="1"/>
  <c r="S503" i="7" s="1"/>
  <c r="S504" i="7" s="1"/>
  <c r="S505" i="7" s="1"/>
  <c r="S506" i="7" s="1"/>
  <c r="S507" i="7" s="1"/>
  <c r="S508" i="7" s="1"/>
  <c r="S509" i="7" s="1"/>
  <c r="S510" i="7" s="1"/>
  <c r="S511" i="7" s="1"/>
  <c r="S512" i="7" s="1"/>
  <c r="S513" i="7" s="1"/>
  <c r="S514" i="7" s="1"/>
  <c r="S515" i="7" s="1"/>
  <c r="S516" i="7" s="1"/>
  <c r="S517" i="7" s="1"/>
  <c r="S518" i="7" s="1"/>
  <c r="S519" i="7" s="1"/>
  <c r="S520" i="7" s="1"/>
  <c r="S521" i="7" s="1"/>
  <c r="S522" i="7" s="1"/>
  <c r="S523" i="7" s="1"/>
  <c r="S524" i="7" s="1"/>
  <c r="S525" i="7" s="1"/>
  <c r="S526" i="7" s="1"/>
  <c r="S527" i="7" s="1"/>
  <c r="S528" i="7" s="1"/>
  <c r="S529" i="7" s="1"/>
  <c r="S530" i="7" s="1"/>
  <c r="S531" i="7" s="1"/>
  <c r="S532" i="7" s="1"/>
  <c r="S533" i="7" s="1"/>
  <c r="S534" i="7" s="1"/>
  <c r="S535" i="7" s="1"/>
  <c r="S536" i="7" s="1"/>
  <c r="S537" i="7" s="1"/>
  <c r="S538" i="7" s="1"/>
  <c r="S539" i="7" s="1"/>
  <c r="S540" i="7" s="1"/>
  <c r="S541" i="7" s="1"/>
  <c r="S542" i="7" s="1"/>
  <c r="S543" i="7" s="1"/>
  <c r="S544" i="7" s="1"/>
  <c r="S545" i="7" s="1"/>
  <c r="S546" i="7" s="1"/>
  <c r="S547" i="7" s="1"/>
  <c r="S548" i="7" s="1"/>
  <c r="S549" i="7" s="1"/>
  <c r="S550" i="7" s="1"/>
  <c r="S551" i="7" s="1"/>
  <c r="S552" i="7" s="1"/>
  <c r="S553" i="7" s="1"/>
  <c r="S554" i="7" s="1"/>
  <c r="S555" i="7" s="1"/>
  <c r="S556" i="7" s="1"/>
  <c r="S557" i="7" s="1"/>
  <c r="S558" i="7" s="1"/>
  <c r="S559" i="7" s="1"/>
  <c r="S560" i="7" s="1"/>
  <c r="S561" i="7" s="1"/>
  <c r="S562" i="7" s="1"/>
  <c r="S563" i="7" s="1"/>
  <c r="S564" i="7" s="1"/>
  <c r="S565" i="7" s="1"/>
  <c r="S566" i="7" s="1"/>
  <c r="S567" i="7" s="1"/>
  <c r="S568" i="7" s="1"/>
  <c r="S569" i="7" s="1"/>
  <c r="S570" i="7" s="1"/>
  <c r="S571" i="7" s="1"/>
  <c r="S572" i="7" s="1"/>
  <c r="S573" i="7" s="1"/>
  <c r="S574" i="7" s="1"/>
  <c r="S575" i="7" s="1"/>
  <c r="S576" i="7" s="1"/>
  <c r="S577" i="7" s="1"/>
  <c r="S578" i="7" s="1"/>
  <c r="S579" i="7" s="1"/>
  <c r="S580" i="7" s="1"/>
  <c r="S581" i="7" s="1"/>
  <c r="S582" i="7" s="1"/>
  <c r="S583" i="7" s="1"/>
  <c r="S584" i="7" s="1"/>
  <c r="S585" i="7" s="1"/>
  <c r="S586" i="7" s="1"/>
  <c r="S587" i="7" s="1"/>
  <c r="S588" i="7" s="1"/>
  <c r="S589" i="7" s="1"/>
  <c r="S590" i="7" s="1"/>
  <c r="S591" i="7" s="1"/>
  <c r="S726" i="7" l="1"/>
  <c r="S592" i="7"/>
  <c r="S593" i="7" s="1"/>
  <c r="S594" i="7" s="1"/>
  <c r="S595" i="7" s="1"/>
  <c r="S596" i="7" s="1"/>
  <c r="S597" i="7" s="1"/>
  <c r="S598" i="7" s="1"/>
  <c r="S599" i="7" s="1"/>
  <c r="S600" i="7" s="1"/>
  <c r="S601" i="7" s="1"/>
  <c r="S602" i="7" s="1"/>
  <c r="S603" i="7" s="1"/>
  <c r="S604" i="7" s="1"/>
  <c r="S605" i="7" s="1"/>
  <c r="S606" i="7" s="1"/>
  <c r="S607" i="7" s="1"/>
  <c r="S608" i="7" s="1"/>
  <c r="S609" i="7" s="1"/>
  <c r="S610" i="7" s="1"/>
  <c r="S611" i="7" s="1"/>
  <c r="S612" i="7" s="1"/>
  <c r="S613" i="7" s="1"/>
  <c r="P25" i="15"/>
  <c r="P28" i="15" s="1"/>
  <c r="O25" i="15"/>
  <c r="M25" i="15"/>
  <c r="N25" i="15"/>
  <c r="Q26" i="15"/>
  <c r="R26" i="15"/>
  <c r="R27" i="15"/>
  <c r="Q27" i="15"/>
  <c r="E28" i="15"/>
  <c r="F25" i="15" s="1"/>
  <c r="F28" i="15" s="1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N5" i="6"/>
  <c r="Q5" i="6"/>
  <c r="S5" i="6" s="1"/>
  <c r="R5" i="6"/>
  <c r="AB5" i="6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5" i="5"/>
  <c r="Q5" i="5"/>
  <c r="S5" i="5" s="1"/>
  <c r="R5" i="5"/>
  <c r="AB5" i="5"/>
  <c r="S725" i="7" l="1"/>
  <c r="S614" i="7"/>
  <c r="S615" i="7" s="1"/>
  <c r="S616" i="7" s="1"/>
  <c r="S617" i="7" s="1"/>
  <c r="S618" i="7" s="1"/>
  <c r="S619" i="7" s="1"/>
  <c r="S620" i="7" s="1"/>
  <c r="S621" i="7" s="1"/>
  <c r="S622" i="7" s="1"/>
  <c r="S623" i="7" s="1"/>
  <c r="S624" i="7" s="1"/>
  <c r="S625" i="7" s="1"/>
  <c r="S626" i="7" s="1"/>
  <c r="S627" i="7" s="1"/>
  <c r="S628" i="7" s="1"/>
  <c r="S629" i="7" s="1"/>
  <c r="S630" i="7" s="1"/>
  <c r="S631" i="7" s="1"/>
  <c r="S632" i="7" s="1"/>
  <c r="S633" i="7" s="1"/>
  <c r="S634" i="7" s="1"/>
  <c r="S635" i="7" s="1"/>
  <c r="S636" i="7" s="1"/>
  <c r="S637" i="7" s="1"/>
  <c r="S638" i="7" s="1"/>
  <c r="S639" i="7" s="1"/>
  <c r="S640" i="7" s="1"/>
  <c r="S641" i="7" s="1"/>
  <c r="S642" i="7" s="1"/>
  <c r="S643" i="7" s="1"/>
  <c r="S644" i="7" s="1"/>
  <c r="S6" i="5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S122" i="5" s="1"/>
  <c r="S123" i="5" s="1"/>
  <c r="S124" i="5" s="1"/>
  <c r="S125" i="5" s="1"/>
  <c r="S126" i="5" s="1"/>
  <c r="S127" i="5" s="1"/>
  <c r="S128" i="5" s="1"/>
  <c r="S129" i="5" s="1"/>
  <c r="S130" i="5" s="1"/>
  <c r="S131" i="5" s="1"/>
  <c r="S132" i="5" s="1"/>
  <c r="S133" i="5" s="1"/>
  <c r="S134" i="5" s="1"/>
  <c r="S135" i="5" s="1"/>
  <c r="S136" i="5" s="1"/>
  <c r="S137" i="5" s="1"/>
  <c r="S138" i="5" s="1"/>
  <c r="S139" i="5" s="1"/>
  <c r="S140" i="5" s="1"/>
  <c r="S141" i="5" s="1"/>
  <c r="S142" i="5" s="1"/>
  <c r="S143" i="5" s="1"/>
  <c r="S144" i="5" s="1"/>
  <c r="S145" i="5" s="1"/>
  <c r="S146" i="5" s="1"/>
  <c r="S147" i="5" s="1"/>
  <c r="S148" i="5" s="1"/>
  <c r="G25" i="15"/>
  <c r="G28" i="15" s="1"/>
  <c r="H25" i="15" s="1"/>
  <c r="H28" i="15" s="1"/>
  <c r="I25" i="15" s="1"/>
  <c r="I28" i="15" s="1"/>
  <c r="J25" i="15" s="1"/>
  <c r="P17" i="15"/>
  <c r="J17" i="15"/>
  <c r="N16" i="15"/>
  <c r="H16" i="15"/>
  <c r="E15" i="15"/>
  <c r="O17" i="15"/>
  <c r="I17" i="15"/>
  <c r="M16" i="15"/>
  <c r="G16" i="15"/>
  <c r="I16" i="15"/>
  <c r="N17" i="15"/>
  <c r="H17" i="15"/>
  <c r="L16" i="15"/>
  <c r="F16" i="15"/>
  <c r="P16" i="15"/>
  <c r="M17" i="15"/>
  <c r="G17" i="15"/>
  <c r="K16" i="15"/>
  <c r="E17" i="15"/>
  <c r="K17" i="15"/>
  <c r="L17" i="15"/>
  <c r="F17" i="15"/>
  <c r="J16" i="15"/>
  <c r="E16" i="15"/>
  <c r="O16" i="15"/>
  <c r="P22" i="15"/>
  <c r="J22" i="15"/>
  <c r="O21" i="15"/>
  <c r="I21" i="15"/>
  <c r="E20" i="15"/>
  <c r="O22" i="15"/>
  <c r="I22" i="15"/>
  <c r="N21" i="15"/>
  <c r="H21" i="15"/>
  <c r="P21" i="15"/>
  <c r="E21" i="15"/>
  <c r="N22" i="15"/>
  <c r="H22" i="15"/>
  <c r="M21" i="15"/>
  <c r="G21" i="15"/>
  <c r="K22" i="15"/>
  <c r="M22" i="15"/>
  <c r="G22" i="15"/>
  <c r="L21" i="15"/>
  <c r="F21" i="15"/>
  <c r="J21" i="15"/>
  <c r="L22" i="15"/>
  <c r="F22" i="15"/>
  <c r="K21" i="15"/>
  <c r="E22" i="15"/>
  <c r="S6" i="6"/>
  <c r="S7" i="6" s="1"/>
  <c r="S8" i="6" s="1"/>
  <c r="S9" i="6" s="1"/>
  <c r="S10" i="6" s="1"/>
  <c r="S11" i="6" s="1"/>
  <c r="S12" i="6" s="1"/>
  <c r="S13" i="6" s="1"/>
  <c r="S14" i="6" s="1"/>
  <c r="S15" i="6" s="1"/>
  <c r="S16" i="6" s="1"/>
  <c r="S17" i="6" s="1"/>
  <c r="S18" i="6" s="1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S38" i="6" s="1"/>
  <c r="S39" i="6" s="1"/>
  <c r="S40" i="6" s="1"/>
  <c r="S668" i="7" l="1"/>
  <c r="S669" i="7" s="1"/>
  <c r="S670" i="7" s="1"/>
  <c r="S671" i="7" s="1"/>
  <c r="S672" i="7" s="1"/>
  <c r="S673" i="7" s="1"/>
  <c r="S674" i="7" s="1"/>
  <c r="S675" i="7" s="1"/>
  <c r="S676" i="7" s="1"/>
  <c r="S677" i="7" s="1"/>
  <c r="S678" i="7" s="1"/>
  <c r="S679" i="7" s="1"/>
  <c r="S680" i="7" s="1"/>
  <c r="S681" i="7" s="1"/>
  <c r="S682" i="7" s="1"/>
  <c r="S683" i="7" s="1"/>
  <c r="S684" i="7" s="1"/>
  <c r="S685" i="7" s="1"/>
  <c r="S686" i="7" s="1"/>
  <c r="S687" i="7" s="1"/>
  <c r="S688" i="7" s="1"/>
  <c r="S689" i="7" s="1"/>
  <c r="S690" i="7" s="1"/>
  <c r="S645" i="7"/>
  <c r="S646" i="7" s="1"/>
  <c r="S647" i="7" s="1"/>
  <c r="S648" i="7" s="1"/>
  <c r="S649" i="7" s="1"/>
  <c r="S650" i="7" s="1"/>
  <c r="S651" i="7" s="1"/>
  <c r="S652" i="7" s="1"/>
  <c r="S653" i="7" s="1"/>
  <c r="S654" i="7" s="1"/>
  <c r="S655" i="7" s="1"/>
  <c r="S656" i="7" s="1"/>
  <c r="S657" i="7" s="1"/>
  <c r="S658" i="7" s="1"/>
  <c r="S659" i="7" s="1"/>
  <c r="S660" i="7" s="1"/>
  <c r="S661" i="7" s="1"/>
  <c r="S662" i="7" s="1"/>
  <c r="S663" i="7" s="1"/>
  <c r="S664" i="7" s="1"/>
  <c r="S665" i="7" s="1"/>
  <c r="S666" i="7" s="1"/>
  <c r="S667" i="7" s="1"/>
  <c r="S714" i="7"/>
  <c r="S715" i="7" s="1"/>
  <c r="S716" i="7" s="1"/>
  <c r="S717" i="7" s="1"/>
  <c r="S718" i="7" s="1"/>
  <c r="S719" i="7" s="1"/>
  <c r="S720" i="7" s="1"/>
  <c r="S721" i="7" s="1"/>
  <c r="S722" i="7" s="1"/>
  <c r="S723" i="7" s="1"/>
  <c r="S724" i="7" s="1"/>
  <c r="S691" i="7"/>
  <c r="S692" i="7" s="1"/>
  <c r="S693" i="7" s="1"/>
  <c r="S694" i="7" s="1"/>
  <c r="S695" i="7" s="1"/>
  <c r="S696" i="7" s="1"/>
  <c r="S697" i="7" s="1"/>
  <c r="S698" i="7" s="1"/>
  <c r="S699" i="7" s="1"/>
  <c r="S700" i="7" s="1"/>
  <c r="S701" i="7" s="1"/>
  <c r="S702" i="7" s="1"/>
  <c r="S703" i="7" s="1"/>
  <c r="S704" i="7" s="1"/>
  <c r="S705" i="7" s="1"/>
  <c r="S706" i="7" s="1"/>
  <c r="S707" i="7" s="1"/>
  <c r="S708" i="7" s="1"/>
  <c r="S709" i="7" s="1"/>
  <c r="S710" i="7" s="1"/>
  <c r="S711" i="7" s="1"/>
  <c r="S712" i="7" s="1"/>
  <c r="S713" i="7" s="1"/>
  <c r="E42" i="15"/>
  <c r="S41" i="6"/>
  <c r="S42" i="6" s="1"/>
  <c r="S43" i="6" s="1"/>
  <c r="S44" i="6" s="1"/>
  <c r="J28" i="15"/>
  <c r="R21" i="15"/>
  <c r="P20" i="15"/>
  <c r="P23" i="15" s="1"/>
  <c r="R22" i="15"/>
  <c r="O15" i="15"/>
  <c r="R17" i="15"/>
  <c r="Q17" i="15"/>
  <c r="E23" i="15"/>
  <c r="F20" i="15" s="1"/>
  <c r="R16" i="15"/>
  <c r="E18" i="15"/>
  <c r="O20" i="15"/>
  <c r="Q21" i="15"/>
  <c r="M20" i="15"/>
  <c r="N20" i="15"/>
  <c r="P15" i="15"/>
  <c r="P18" i="15" s="1"/>
  <c r="N15" i="15"/>
  <c r="Q22" i="15"/>
  <c r="Q16" i="15"/>
  <c r="M15" i="15"/>
  <c r="K25" i="15" l="1"/>
  <c r="F15" i="15"/>
  <c r="K28" i="15" l="1"/>
  <c r="L25" i="15" s="1"/>
  <c r="Q25" i="15" s="1"/>
  <c r="F23" i="15"/>
  <c r="F18" i="15"/>
  <c r="M43" i="15"/>
  <c r="R25" i="15" l="1"/>
  <c r="L28" i="15"/>
  <c r="M28" i="15" s="1"/>
  <c r="N28" i="15" s="1"/>
  <c r="O28" i="15" s="1"/>
  <c r="G15" i="15"/>
  <c r="L44" i="15"/>
  <c r="K44" i="15"/>
  <c r="J44" i="15"/>
  <c r="L43" i="15"/>
  <c r="F43" i="15"/>
  <c r="N43" i="15"/>
  <c r="P44" i="15"/>
  <c r="I44" i="15"/>
  <c r="E44" i="15"/>
  <c r="K43" i="15"/>
  <c r="E43" i="15"/>
  <c r="F44" i="15"/>
  <c r="G43" i="15"/>
  <c r="O44" i="15"/>
  <c r="H44" i="15"/>
  <c r="P43" i="15"/>
  <c r="J43" i="15"/>
  <c r="M44" i="15"/>
  <c r="N44" i="15"/>
  <c r="G44" i="15"/>
  <c r="O43" i="15"/>
  <c r="I43" i="15"/>
  <c r="H43" i="15"/>
  <c r="G20" i="15"/>
  <c r="Q28" i="15" l="1"/>
  <c r="R28" i="15"/>
  <c r="R44" i="15"/>
  <c r="R43" i="15"/>
  <c r="E45" i="15"/>
  <c r="R12" i="15"/>
  <c r="Q12" i="15"/>
  <c r="P42" i="15"/>
  <c r="P45" i="15" s="1"/>
  <c r="O42" i="15"/>
  <c r="O45" i="15" s="1"/>
  <c r="E13" i="15"/>
  <c r="N42" i="15"/>
  <c r="N45" i="15" s="1"/>
  <c r="G23" i="15"/>
  <c r="R11" i="15"/>
  <c r="Q11" i="15"/>
  <c r="G18" i="15"/>
  <c r="F10" i="15" l="1"/>
  <c r="F42" i="15" s="1"/>
  <c r="O13" i="15"/>
  <c r="P13" i="15"/>
  <c r="H20" i="15"/>
  <c r="H15" i="15"/>
  <c r="N13" i="15"/>
  <c r="F45" i="15" l="1"/>
  <c r="H23" i="15"/>
  <c r="H18" i="15"/>
  <c r="F13" i="15"/>
  <c r="G10" i="15" l="1"/>
  <c r="G42" i="15" s="1"/>
  <c r="I20" i="15"/>
  <c r="I15" i="15"/>
  <c r="G45" i="15" l="1"/>
  <c r="I23" i="15"/>
  <c r="I18" i="15"/>
  <c r="G13" i="15"/>
  <c r="H10" i="15" l="1"/>
  <c r="H42" i="15" s="1"/>
  <c r="J20" i="15"/>
  <c r="J15" i="15"/>
  <c r="J23" i="15" l="1"/>
  <c r="K20" i="15" s="1"/>
  <c r="H45" i="15"/>
  <c r="H13" i="15"/>
  <c r="J18" i="15"/>
  <c r="I10" i="15" l="1"/>
  <c r="I42" i="15" s="1"/>
  <c r="I45" i="15" s="1"/>
  <c r="K15" i="15"/>
  <c r="K23" i="15"/>
  <c r="L20" i="15" l="1"/>
  <c r="K18" i="15"/>
  <c r="L15" i="15" s="1"/>
  <c r="Q15" i="15" s="1"/>
  <c r="I13" i="15"/>
  <c r="J10" i="15" l="1"/>
  <c r="J42" i="15" s="1"/>
  <c r="J45" i="15" s="1"/>
  <c r="L23" i="15"/>
  <c r="R20" i="15"/>
  <c r="Q20" i="15"/>
  <c r="R15" i="15"/>
  <c r="L18" i="15"/>
  <c r="M18" i="15" s="1"/>
  <c r="N18" i="15" s="1"/>
  <c r="O18" i="15" s="1"/>
  <c r="M23" i="15" l="1"/>
  <c r="N23" i="15" s="1"/>
  <c r="O23" i="15" s="1"/>
  <c r="R18" i="15"/>
  <c r="Q18" i="15"/>
  <c r="J13" i="15"/>
  <c r="K10" i="15" l="1"/>
  <c r="K42" i="15" s="1"/>
  <c r="K45" i="15" s="1"/>
  <c r="Q23" i="15"/>
  <c r="R23" i="15"/>
  <c r="K13" i="15" l="1"/>
  <c r="L10" i="15" s="1"/>
  <c r="L42" i="15" l="1"/>
  <c r="L45" i="15" s="1"/>
  <c r="L13" i="15"/>
  <c r="M10" i="15" l="1"/>
  <c r="M42" i="15" l="1"/>
  <c r="M13" i="15"/>
  <c r="R10" i="15"/>
  <c r="Q10" i="15"/>
  <c r="Q13" i="15" l="1"/>
  <c r="R13" i="15"/>
  <c r="M45" i="15"/>
  <c r="R45" i="15" s="1"/>
  <c r="R4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tc={7EF6E35F-AEBF-43F0-BBEC-E2F1C4CBB93E}</author>
    <author>tc={A6BE60BE-8C08-4E23-93CB-4E88D645FD47}</author>
    <author>tc={3DBBC010-1B02-4AD4-B72A-96A1672DC87F}</author>
    <author>tc={67B71F65-47F8-4E8F-9182-44C0AE200809}</author>
    <author>tc={9D61ACD8-56C2-4DF9-9EAD-10C24F8DDD2E}</author>
    <author>tc={87371A8D-F045-43AA-A9D7-C095B0EF00F1}</author>
    <author>tc={7CBAB787-2765-4D14-A1C0-0852ABA3F4F1}</author>
    <author>tc={E9405175-7729-42E2-9A3C-CA29726F5865}</author>
    <author>tc={5FD1788B-C667-4518-AAC6-DFF1595A73B2}</author>
    <author>tc={A22247B2-5591-4BF1-8C57-AE3C58A11C2F}</author>
    <author>tc={FD94350D-3F3D-41EE-B83C-7C928D67872B}</author>
    <author>tc={0C5751E4-9086-4502-AC8A-ACC36D48788F}</author>
    <author>tc={3B649DA6-0A94-4F85-9532-2D1232F1E3F5}</author>
    <author>tc={F07876F7-B3E4-413C-B7BD-686158BC524D}</author>
    <author>tc={750A2E43-B34D-4869-A293-A7FBA6A32E02}</author>
  </authors>
  <commentList>
    <comment ref="L3233" authorId="0" shapeId="0" xr:uid="{7EF6E35F-AEBF-43F0-BBEC-E2F1C4CBB93E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10.50 comision</t>
      </text>
    </comment>
    <comment ref="L3234" authorId="1" shapeId="0" xr:uid="{A6BE60BE-8C08-4E23-93CB-4E88D645FD47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10.50 comision</t>
      </text>
    </comment>
    <comment ref="L3235" authorId="2" shapeId="0" xr:uid="{3DBBC010-1B02-4AD4-B72A-96A1672DC87F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10.50 comision</t>
      </text>
    </comment>
    <comment ref="L3246" authorId="3" shapeId="0" xr:uid="{67B71F65-47F8-4E8F-9182-44C0AE200809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10.50 comision</t>
      </text>
    </comment>
    <comment ref="L3247" authorId="4" shapeId="0" xr:uid="{9D61ACD8-56C2-4DF9-9EAD-10C24F8DDD2E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10.50 comision</t>
      </text>
    </comment>
    <comment ref="L3248" authorId="5" shapeId="0" xr:uid="{87371A8D-F045-43AA-A9D7-C095B0EF00F1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10.50 comision</t>
      </text>
    </comment>
    <comment ref="L3268" authorId="6" shapeId="0" xr:uid="{7CBAB787-2765-4D14-A1C0-0852ABA3F4F1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1,250.80 
12.70 comision</t>
      </text>
    </comment>
    <comment ref="L3269" authorId="7" shapeId="0" xr:uid="{E9405175-7729-42E2-9A3C-CA29726F5865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1,250.80 
12.70 comision</t>
      </text>
    </comment>
    <comment ref="L3270" authorId="8" shapeId="0" xr:uid="{5FD1788B-C667-4518-AAC6-DFF1595A73B2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1,250.80 
12.70 comision</t>
      </text>
    </comment>
    <comment ref="L3287" authorId="9" shapeId="0" xr:uid="{A22247B2-5591-4BF1-8C57-AE3C58A11C2F}">
      <text>
        <t>[Threaded comment]
Your version of Excel allows you to read this threaded comment; however, any edits to it will get removed if the file is opened in a newer version of Excel. Learn more: https://go.microsoft.com/fwlink/?linkid=870924
Comment:
    236.54
10.50 comision</t>
      </text>
    </comment>
    <comment ref="L3288" authorId="10" shapeId="0" xr:uid="{FD94350D-3F3D-41EE-B83C-7C928D67872B}">
      <text>
        <t>[Threaded comment]
Your version of Excel allows you to read this threaded comment; however, any edits to it will get removed if the file is opened in a newer version of Excel. Learn more: https://go.microsoft.com/fwlink/?linkid=870924
Comment:
    236.54
10.50 comision</t>
      </text>
    </comment>
    <comment ref="L3289" authorId="11" shapeId="0" xr:uid="{0C5751E4-9086-4502-AC8A-ACC36D48788F}">
      <text>
        <t>[Threaded comment]
Your version of Excel allows you to read this threaded comment; however, any edits to it will get removed if the file is opened in a newer version of Excel. Learn more: https://go.microsoft.com/fwlink/?linkid=870924
Comment:
    236.54
10.50 comision</t>
      </text>
    </comment>
    <comment ref="L3290" authorId="12" shapeId="0" xr:uid="{3B649DA6-0A94-4F85-9532-2D1232F1E3F5}">
      <text>
        <t>[Threaded comment]
Your version of Excel allows you to read this threaded comment; however, any edits to it will get removed if the file is opened in a newer version of Excel. Learn more: https://go.microsoft.com/fwlink/?linkid=870924
Comment:
    236.54
10.50 comision</t>
      </text>
    </comment>
    <comment ref="L3291" authorId="13" shapeId="0" xr:uid="{F07876F7-B3E4-413C-B7BD-686158BC524D}">
      <text>
        <t>[Threaded comment]
Your version of Excel allows you to read this threaded comment; however, any edits to it will get removed if the file is opened in a newer version of Excel. Learn more: https://go.microsoft.com/fwlink/?linkid=870924
Comment:
    236.54
10.50 comision</t>
      </text>
    </comment>
    <comment ref="L3292" authorId="14" shapeId="0" xr:uid="{750A2E43-B34D-4869-A293-A7FBA6A32E02}">
      <text>
        <t>[Threaded comment]
Your version of Excel allows you to read this threaded comment; however, any edits to it will get removed if the file is opened in a newer version of Excel. Learn more: https://go.microsoft.com/fwlink/?linkid=870924
Comment:
    236.54
10.50 comision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tc={DD756786-BC6E-49C6-83E4-F540E2D4B25D}</author>
  </authors>
  <commentList>
    <comment ref="R735" authorId="0" shapeId="0" xr:uid="{DD756786-BC6E-49C6-83E4-F540E2D4B25D}">
      <text>
        <t>[Threaded comment]
Your version of Excel allows you to read this threaded comment; however, any edits to it will get removed if the file is opened in a newer version of Excel. Learn more: https://go.microsoft.com/fwlink/?linkid=870924
Comment:
    Devolvió a Elías 50.00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tc={3B7D34E8-398B-486A-A4FB-B5AED1FD12AE}</author>
  </authors>
  <commentList>
    <comment ref="M633" authorId="0" shapeId="0" xr:uid="{3B7D34E8-398B-486A-A4FB-B5AED1FD12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de celular
170.00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DA31B0-C762-41F6-850D-0D4B37306D2D}" keepAlive="1" name="Consulta - Clientes_Proveedores" description="Conexión a la consulta 'Clientes_Proveedores' en el libro." type="5" refreshedVersion="8" background="1" saveData="1">
    <dbPr connection="Provider=Microsoft.Mashup.OleDb.1;Data Source=$Workbook$;Location=Clientes_Proveedores;Extended Properties=&quot;&quot;" command="SELECT * FROM [Clientes_Proveedor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<sst xmlns="http://schemas.openxmlformats.org/spreadsheetml/2006/main" count="63921" uniqueCount="8051">
  <si>
    <t>Ruc / Dni</t>
  </si>
  <si>
    <t>Razon Social</t>
  </si>
  <si>
    <t>Tipo de Cuenta de Abono</t>
  </si>
  <si>
    <t>Cuenta de Abono</t>
  </si>
  <si>
    <t>Tipo</t>
  </si>
  <si>
    <t>Tipo de Documento</t>
  </si>
  <si>
    <t>CODIGO</t>
  </si>
  <si>
    <t>CONDEMAYTA LARICO JHONY SIXTO</t>
  </si>
  <si>
    <t>A</t>
  </si>
  <si>
    <t>54098986373057</t>
  </si>
  <si>
    <t>Otros</t>
  </si>
  <si>
    <t>00</t>
  </si>
  <si>
    <t>GARCIA ROJAS PABLO ORLANDO</t>
  </si>
  <si>
    <t>19196726647081</t>
  </si>
  <si>
    <t>Factura</t>
  </si>
  <si>
    <t>01</t>
  </si>
  <si>
    <t>CAPARACHIN BALDEON TEODOMIRO</t>
  </si>
  <si>
    <t>19119554137052</t>
  </si>
  <si>
    <t>Recibo por Honorarios</t>
  </si>
  <si>
    <t>02</t>
  </si>
  <si>
    <t>QUISPE QUISPE AQUINO</t>
  </si>
  <si>
    <t>Boleta de Venta</t>
  </si>
  <si>
    <t>03</t>
  </si>
  <si>
    <t>MAMANI ALATA RAUL</t>
  </si>
  <si>
    <t>28531684509020</t>
  </si>
  <si>
    <t>Boleto de compañía de aviación comercial</t>
  </si>
  <si>
    <t>05</t>
  </si>
  <si>
    <t>RIOS PALOMINO ANA MARIA</t>
  </si>
  <si>
    <t>28532089455056</t>
  </si>
  <si>
    <t>Nota de crédito</t>
  </si>
  <si>
    <t>07</t>
  </si>
  <si>
    <t>VALENCIA HUARCA ZENON HUBERT</t>
  </si>
  <si>
    <t>215-96351746-0-91</t>
  </si>
  <si>
    <t>Nota de débito</t>
  </si>
  <si>
    <t>08</t>
  </si>
  <si>
    <t>GARCIA SULLCA RODOLFO</t>
  </si>
  <si>
    <t>19115653544059</t>
  </si>
  <si>
    <t>Guía de remisión - Remitente</t>
  </si>
  <si>
    <t>09</t>
  </si>
  <si>
    <t>VALENCIA GONZALES ROBERTO HIPOLITO</t>
  </si>
  <si>
    <t>Recibo por Arrendamiento</t>
  </si>
  <si>
    <t>10</t>
  </si>
  <si>
    <t>CHAVEZ PINTO PEDRO PABLO</t>
  </si>
  <si>
    <t>21516382877056</t>
  </si>
  <si>
    <t>Ticket o cinta emitido por máquina registradora</t>
  </si>
  <si>
    <t>12</t>
  </si>
  <si>
    <t>CHACO SANTA CRUZ MARIA FILOMENA</t>
  </si>
  <si>
    <t>21531946176059</t>
  </si>
  <si>
    <t>Documento emitido por bancos, instituciones financieras, crediticias y de seguros que se encuentren bajo el control de la Superintendencia de Banca y Seguros</t>
  </si>
  <si>
    <t>13</t>
  </si>
  <si>
    <t>CHANI CASTRO LUCIO PABLO</t>
  </si>
  <si>
    <t>21520491727010</t>
  </si>
  <si>
    <t>Recibo por servicios públicos</t>
  </si>
  <si>
    <t>14</t>
  </si>
  <si>
    <t>LINARES RIVEROS MIGUEL ANGEL</t>
  </si>
  <si>
    <t>Planilla de Movilidad</t>
  </si>
  <si>
    <t>PLM</t>
  </si>
  <si>
    <t>AVALOS COAQUIRA PEDRO</t>
  </si>
  <si>
    <t>21578269400095</t>
  </si>
  <si>
    <t>Liquidacion de Gastos</t>
  </si>
  <si>
    <t>LIQ</t>
  </si>
  <si>
    <t>UGARTE MENDOZA GREGORIO NACIANSENO</t>
  </si>
  <si>
    <t>21593913327041</t>
  </si>
  <si>
    <t>Nota de Salida</t>
  </si>
  <si>
    <t>NS</t>
  </si>
  <si>
    <t>SOTO TINTA JUAN CARLOS</t>
  </si>
  <si>
    <t>Utilidades</t>
  </si>
  <si>
    <t>DU</t>
  </si>
  <si>
    <t>LLACHO TACO VIVIANA</t>
  </si>
  <si>
    <t>21592095804060</t>
  </si>
  <si>
    <t>Sin documento</t>
  </si>
  <si>
    <t>SD</t>
  </si>
  <si>
    <t>ARIAS CASANI FRANCISCO EDUARDO</t>
  </si>
  <si>
    <t>21500499539080</t>
  </si>
  <si>
    <t>Documento Provisional</t>
  </si>
  <si>
    <t>CC</t>
  </si>
  <si>
    <t>BUSTAMANTE HERRERA NESTOR MOISES</t>
  </si>
  <si>
    <t>21517179589015</t>
  </si>
  <si>
    <t>Orden de Compra</t>
  </si>
  <si>
    <t>OC</t>
  </si>
  <si>
    <t>VELA ARBILDO WILSON HUMBERTO</t>
  </si>
  <si>
    <t>Declaracion jurada - Gastos</t>
  </si>
  <si>
    <t>DJ</t>
  </si>
  <si>
    <t>COASACA CARDENAS FROILAN</t>
  </si>
  <si>
    <t>21534473287097</t>
  </si>
  <si>
    <t>XX</t>
  </si>
  <si>
    <t>QUISPE JARITA DANILA ELIZABETH</t>
  </si>
  <si>
    <t>Entregas a Rendir</t>
  </si>
  <si>
    <t>ER</t>
  </si>
  <si>
    <t>VILCA ESPIRILLA MARTHA</t>
  </si>
  <si>
    <t>21506357297007</t>
  </si>
  <si>
    <t>Prestamos Bancarios</t>
  </si>
  <si>
    <t>PR</t>
  </si>
  <si>
    <t>QUISPE DE LA CRUZ MANUEL</t>
  </si>
  <si>
    <t>19134327398037</t>
  </si>
  <si>
    <t>Planilla de Remuneraciones</t>
  </si>
  <si>
    <t>PLR</t>
  </si>
  <si>
    <t>CRISTOBAL CARHUACHIN LEONCIO JOSE</t>
  </si>
  <si>
    <t>21505806046088</t>
  </si>
  <si>
    <t>Planilla de Remuneraciones Finanzas</t>
  </si>
  <si>
    <t>PLRF</t>
  </si>
  <si>
    <t>OLAZABAL VALDIVIA PAUL</t>
  </si>
  <si>
    <t>RAMOS MUÑOZ GILMAR JULIO</t>
  </si>
  <si>
    <t>VALDERRAMA COPARA MACARENA DEL CARMEN</t>
  </si>
  <si>
    <t>21503258585095</t>
  </si>
  <si>
    <t>ALARCON ZAIRA ABRAHAM JESUS</t>
  </si>
  <si>
    <t>21534204448043</t>
  </si>
  <si>
    <t xml:space="preserve">MAMANI MAMANI JUSTO ANGEL </t>
  </si>
  <si>
    <t>PALOMINO DAVILA MARCOS ANTONIO</t>
  </si>
  <si>
    <t>19123269984032</t>
  </si>
  <si>
    <t>SANCHEZ ANTIL EVELYN</t>
  </si>
  <si>
    <t>ARIAS GOMEZ YDELSA MILAGROS</t>
  </si>
  <si>
    <t>ROSAS PANDURO JHOEL MARCO</t>
  </si>
  <si>
    <t>CASAVILCA DE LA CRUZ WALTER</t>
  </si>
  <si>
    <t>19179778398037</t>
  </si>
  <si>
    <t>AYQUI NINA NATHALY ROSARIO</t>
  </si>
  <si>
    <t>CONTRERAS MARTINEZ ANGELICA</t>
  </si>
  <si>
    <t>Beatriz Machaca Sucasaire</t>
  </si>
  <si>
    <t>SORIA CRISTOBAL LORENA IVANKA</t>
  </si>
  <si>
    <t>C</t>
  </si>
  <si>
    <t>1918950310070</t>
  </si>
  <si>
    <t>TOLEDO HUILLCA EDWIN WHALMOR</t>
  </si>
  <si>
    <t>CASQUINA QUIRITA GEYOMINA LUZMA</t>
  </si>
  <si>
    <t>HUALPA PERALTA PATRICIA MILAGROS</t>
  </si>
  <si>
    <t>VILLA FLORES BRIAN PABLO</t>
  </si>
  <si>
    <t>21594259410020</t>
  </si>
  <si>
    <t>GÜERE POMA SISAN</t>
  </si>
  <si>
    <t>19101301140082</t>
  </si>
  <si>
    <t>APAZA MENDOZA GIAN FRANCO</t>
  </si>
  <si>
    <t>21596550617071</t>
  </si>
  <si>
    <t>FARFAN RIEGA YESENIA ELIZABETH</t>
  </si>
  <si>
    <t>21597503266042</t>
  </si>
  <si>
    <t>VILCA BANDA IBETH MARLENI</t>
  </si>
  <si>
    <t>PUMA QUISPE DARWIN</t>
  </si>
  <si>
    <t>Willy Bladimir Chaucha Chata</t>
  </si>
  <si>
    <t>CABRERA CCAPATINTA YANETH</t>
  </si>
  <si>
    <t>JEREZ JOSE RAFAEL</t>
  </si>
  <si>
    <t>MOLITALIA S.A.</t>
  </si>
  <si>
    <t>RANSA COMERCIAL S A</t>
  </si>
  <si>
    <t>ALICORP SAA</t>
  </si>
  <si>
    <t>AEI S.R.L.</t>
  </si>
  <si>
    <t>CORPORACION PERUANA DE PRODUCTOS QUIMICOS S.A. CPPQ S.A</t>
  </si>
  <si>
    <t>SGS DEL PERU S.A.C.</t>
  </si>
  <si>
    <t>1930253467071</t>
  </si>
  <si>
    <t>PETROLEOS DEL PERU PETROPERU SA</t>
  </si>
  <si>
    <t>FCA NAC DE ACUMULADORES ETNA S.A.</t>
  </si>
  <si>
    <t>MOVITECNICA S A</t>
  </si>
  <si>
    <t>MOLY-COP ADESUR S.A</t>
  </si>
  <si>
    <t>2150006578170</t>
  </si>
  <si>
    <t>INCA TOPS S.A</t>
  </si>
  <si>
    <t>2150019552011</t>
  </si>
  <si>
    <t>FAB DE CHOCOLATES LA IBERICA S.A.</t>
  </si>
  <si>
    <t>ALIMENTOS PROCESADOS S.A.</t>
  </si>
  <si>
    <t>2150003871017</t>
  </si>
  <si>
    <t>TRANSPORTES ANGEL IBARCENA S.A.C.</t>
  </si>
  <si>
    <t>METALURGICA QUIMICA S.A.C.</t>
  </si>
  <si>
    <t>ALFRED H KNIGHT DEL PERU SOCIEDAD ANONIMA CERRADA-ALFRED H KNIGHT
DEL PERU S.A.C.</t>
  </si>
  <si>
    <t>RECOLSA S A</t>
  </si>
  <si>
    <t xml:space="preserve">AGENCIAS RANSA S A
</t>
  </si>
  <si>
    <t>STIERLIFT S.A.</t>
  </si>
  <si>
    <t>1931321135097</t>
  </si>
  <si>
    <t>GRUAS S.A.</t>
  </si>
  <si>
    <t>1921314265003</t>
  </si>
  <si>
    <t>RACIONALIZACION EMPRESARIAL SA</t>
  </si>
  <si>
    <t>FABRICA MARSAR S.R.L.</t>
  </si>
  <si>
    <t>IGLESIA ADVENTISTA DEL SEPTIMO DIA</t>
  </si>
  <si>
    <t>COOPERATIVA MINERA SANTIAGO DE ANANEA LIMITADA</t>
  </si>
  <si>
    <t>POWER S.A.C.</t>
  </si>
  <si>
    <t>EMPRESA YURA SRL</t>
  </si>
  <si>
    <t>L Y B NEGOCIOS Y REPRESENTACIONES SAC</t>
  </si>
  <si>
    <t>ALIMENTOS Y SERVICIOS AGROPECUARIOS SRL.</t>
  </si>
  <si>
    <t>CENTRAL AZUCARERA CHUCARAPI PAMPA BLANCA S.A.</t>
  </si>
  <si>
    <t>RECTIFICACIONES SALAS SRL</t>
  </si>
  <si>
    <t>SUPERINTENDENCIA NACIONAL DE ADUANAS Y DE ADMINISTRACION
TRIBUTARIA - SUNAT</t>
  </si>
  <si>
    <t>SERVICIO NACIONAL DE SANIDAD AGRARIA</t>
  </si>
  <si>
    <t>COMANDO SOCIEDAD ANONIMA CERRADA</t>
  </si>
  <si>
    <t>WELLCO PERUANA S.A.</t>
  </si>
  <si>
    <t>1910028848092</t>
  </si>
  <si>
    <t>UNIVERSIDAD DE SAN MARTIN DE PORRES</t>
  </si>
  <si>
    <t>ADRA PERU</t>
  </si>
  <si>
    <t>UNIVERSIDAD CATOLICA DE SANTA MARIA</t>
  </si>
  <si>
    <t>TECNIFLOW S.A.C.</t>
  </si>
  <si>
    <t>TRANSFORMADORA DE ALIMENTOS AMERICA S.A.C.</t>
  </si>
  <si>
    <t>ASOCIACION TECSUP N° 2</t>
  </si>
  <si>
    <t>DANPER TRUJILLO S.A.C</t>
  </si>
  <si>
    <t>5700028098092</t>
  </si>
  <si>
    <t>DIRECCION REGIONAL DE SALUD TACNA</t>
  </si>
  <si>
    <t>TALMA SERVICIOS AEROPORTUARIOS S.A.</t>
  </si>
  <si>
    <t xml:space="preserve"> COOPERATIVA MINERA EL DORADO DE ANANEA LTDA</t>
  </si>
  <si>
    <t>TRANSPORTES DE CARGA LIMA SUR S.R.L.</t>
  </si>
  <si>
    <t>CONSTRUCTORA MECH SRL</t>
  </si>
  <si>
    <t>TRACTO CAMIONES USA S.A.C.</t>
  </si>
  <si>
    <t>INNOVA AMBIENTAL S.A.</t>
  </si>
  <si>
    <t>MANPOWER PERU S.A.</t>
  </si>
  <si>
    <t>CODIRESA S.A.C.</t>
  </si>
  <si>
    <t>2152165105063</t>
  </si>
  <si>
    <t>MANPOWER PROFESSIONAL SERVICES S.A.</t>
  </si>
  <si>
    <t>CAMPOSOL S.A.</t>
  </si>
  <si>
    <t>CORPORACION ACEROS AREQUIPA S.A</t>
  </si>
  <si>
    <t>LIDER CRUZ E.I.R.L.</t>
  </si>
  <si>
    <t>2151058414066</t>
  </si>
  <si>
    <t>TRANSPORTES HAGEMSA S.A.C.</t>
  </si>
  <si>
    <t>TRANSPORTES CORPORATIVOS S.A.</t>
  </si>
  <si>
    <t>GYA CONSTRUCCIONES S.A.C.</t>
  </si>
  <si>
    <t>EMPRESA SIDERURGICA DEL PERU S.A.A.</t>
  </si>
  <si>
    <t>COOPERATIVA MINERA SAN ANTONIO DE ANANEA LTDA</t>
  </si>
  <si>
    <t>COOPERATIVA MINERA HALCON DE ORO DE ANANEA LIMITADA</t>
  </si>
  <si>
    <t>COOPERATIVA MINERA ESTRELLA DE ORO DE ANANEA LIMITADA</t>
  </si>
  <si>
    <t>D.C.R. MINERIA Y CONSTRUCCION S.A.C.</t>
  </si>
  <si>
    <t>2151562944028</t>
  </si>
  <si>
    <t>CONCESIONARIOS AUTORIZADOS S.A.C.</t>
  </si>
  <si>
    <t>LO JUSTO S.A.C.</t>
  </si>
  <si>
    <t>PROGRAMA DE DESARROLLO DE SANIDAD AGROPE</t>
  </si>
  <si>
    <t>TECNO FAST S.A.C.</t>
  </si>
  <si>
    <t>GRANJA RINCONADA DEL SUR S.A.</t>
  </si>
  <si>
    <t>2151437656093</t>
  </si>
  <si>
    <t>FLORES &amp; FERNANDEZ S.R.L.</t>
  </si>
  <si>
    <t>TRANSPORTES PEREDA S.R.L.</t>
  </si>
  <si>
    <t>EMP.DE ADMIN. DE INFRAEST. ELECTRICA S.A</t>
  </si>
  <si>
    <t>CORPORACION ENERJET SOCIEDAD ANONIMA - CORPORACION ENERJET S.A.</t>
  </si>
  <si>
    <t>EMPRESA DE TRANSPORTES DE CARGA COSISE S.A.C.</t>
  </si>
  <si>
    <t>1911572496096</t>
  </si>
  <si>
    <t>CARGO TRANSPORT S.A.C.</t>
  </si>
  <si>
    <t>TRANSPORTES LINEA S.A.</t>
  </si>
  <si>
    <t>COOPERATIVA MINERA LIMATA LIMITADA</t>
  </si>
  <si>
    <t>AUTOS DEL SUR S.A.C.</t>
  </si>
  <si>
    <t>CYNKAT S.A.C.</t>
  </si>
  <si>
    <t>1949840730011</t>
  </si>
  <si>
    <t>VALMET S.A.C.</t>
  </si>
  <si>
    <t>ALSUR PERU S.A.C.</t>
  </si>
  <si>
    <t>B</t>
  </si>
  <si>
    <t>00931000000927711044</t>
  </si>
  <si>
    <t>AQP NEGOCIOS GENERALES S.A.</t>
  </si>
  <si>
    <t>ROHA CONSTRUCCION Y MINERIA S.A.C.</t>
  </si>
  <si>
    <t>G &amp; R MAQUINAS S.A.C.</t>
  </si>
  <si>
    <t>TECNICA SOCIEDAD ANONIMA CERRADA</t>
  </si>
  <si>
    <t>SANTA URSULA SERVICIOS DE SALUD E.I.R.L.</t>
  </si>
  <si>
    <t>IZA RACING S.A.C.</t>
  </si>
  <si>
    <t>EMPRESA CONSERVADORA AMBIENTAL DEL SUR E.I.R.L. - ECA SUR E.I.R.L.</t>
  </si>
  <si>
    <t>GRUPO INDUSTRIAL DEL PERU E.I.R.L.</t>
  </si>
  <si>
    <t>DIAGROQUIMSUR E.I.R.L.</t>
  </si>
  <si>
    <t>CALAVERA TATTOO E.I.R.L.</t>
  </si>
  <si>
    <t>CONSULTORIA &amp; MONITOREO PERU S.A.C.</t>
  </si>
  <si>
    <t>REENCAUCHADORA INDESUR E.I.R.L.</t>
  </si>
  <si>
    <t>2152263725024</t>
  </si>
  <si>
    <t>SEGUMAS E.I.R.L.</t>
  </si>
  <si>
    <t>2151958326086</t>
  </si>
  <si>
    <t>LIVIGUI PERU S.A.C.</t>
  </si>
  <si>
    <t>GRACOS TRUCK S.R.L.</t>
  </si>
  <si>
    <t>21500364500078</t>
  </si>
  <si>
    <t>TRANSPORTES Y SERVICIOS AREOS S.A.C.</t>
  </si>
  <si>
    <t>2152014089049</t>
  </si>
  <si>
    <t>INVERSIONES NEGMARGS S.R.L.</t>
  </si>
  <si>
    <t>J. CH. COMERCIALIZADORA DE RESIDUOS SOLIDOS S.R.L.</t>
  </si>
  <si>
    <t>MATIZADOS ZELITA AQP E.I.R.L.</t>
  </si>
  <si>
    <t>RIFUSE SANEAMIENTO AMBIENTAL S.R.L.</t>
  </si>
  <si>
    <t>2151922364034</t>
  </si>
  <si>
    <t>INVERSIONES BERMARC E.I.R.L.</t>
  </si>
  <si>
    <t>ASOCIACION DE AYUDA AL NINO QUEMADO</t>
  </si>
  <si>
    <t>19321303883072</t>
  </si>
  <si>
    <t>MINERA TITAN DEL PERU SRL</t>
  </si>
  <si>
    <t>TRAVICO PERU S.A.C.</t>
  </si>
  <si>
    <t>1932288191039</t>
  </si>
  <si>
    <t>R&amp;C INGENIEROS CONSULTORES Y CONSTRUCTORES SRL</t>
  </si>
  <si>
    <t>CONSTRUCTORA GALAXIA S.A.C.</t>
  </si>
  <si>
    <t>PRO ECOLOGIA S.R.L.</t>
  </si>
  <si>
    <t>TRANSCEANIL E.I.R.L.</t>
  </si>
  <si>
    <t>CORP.ELECTROMECANICA EN ING.Y CONSTR.SAC</t>
  </si>
  <si>
    <t>JOSE ANTONIO ANGULO DELGADO E.I.R.L.</t>
  </si>
  <si>
    <t>2151763150012</t>
  </si>
  <si>
    <t>TRANSP.ALQUILER EQUIPOS Y MAQ.PESADA S.A.C.</t>
  </si>
  <si>
    <t>LA FERIA DEL SUR S.A.C.</t>
  </si>
  <si>
    <t>2152373940007</t>
  </si>
  <si>
    <t>ASOCIACION NEW HOPE PERU</t>
  </si>
  <si>
    <t>MOLINO ARROCERO MONTERRICO E.I.R.L.</t>
  </si>
  <si>
    <t>INVERSIONES MILENIUM S.R.L.</t>
  </si>
  <si>
    <t>MADE S.C.R.L.</t>
  </si>
  <si>
    <t>2159876790070</t>
  </si>
  <si>
    <t>SCOMAR S.R.L</t>
  </si>
  <si>
    <t>TRANSPORTES JIRENA S.A.C.</t>
  </si>
  <si>
    <t>2151533817016</t>
  </si>
  <si>
    <t>E QUELLE E.I.R.L.</t>
  </si>
  <si>
    <t>2152017548088</t>
  </si>
  <si>
    <t>HISPANICA DISTRIBUCIONES S.R.L.</t>
  </si>
  <si>
    <t>SERVICENTROS MIGUEL GRAU S.R.L.</t>
  </si>
  <si>
    <t>INDUSTRIA DEL REENCAUCHE S.A.C.</t>
  </si>
  <si>
    <t>ALIMENTOS BALANCEADOS DEL PERU S.A.C.</t>
  </si>
  <si>
    <t>HERCO COMBUSTIBLES S.A.</t>
  </si>
  <si>
    <t>ENVAK S.A.C.</t>
  </si>
  <si>
    <t>FLSMIDTH S.A.C.</t>
  </si>
  <si>
    <t>1932346793078</t>
  </si>
  <si>
    <t>CORPORACION PERUANA DE RESTAURANTES S.A.C.</t>
  </si>
  <si>
    <t>REALIPERU S.A.C</t>
  </si>
  <si>
    <t>CORPORACION DINA E HIJOS S.R.L.</t>
  </si>
  <si>
    <t>COMIMTEL SOCIEDAD ANONIMA CERRADA</t>
  </si>
  <si>
    <t>RCA TECNICOS S.A.C.</t>
  </si>
  <si>
    <t>CORPORACION BIOTEC S.A.C</t>
  </si>
  <si>
    <t>BMP CONSULTING S.A.C.</t>
  </si>
  <si>
    <t>CAMPO LIMPIO</t>
  </si>
  <si>
    <t>1931550161091</t>
  </si>
  <si>
    <t>ALTO QUEMADO MINING COMPANY S.A.C.</t>
  </si>
  <si>
    <t>CORPORACION MEDIOAMBIENTAL AMPCO PERU SOCIEDAD ANONIMA CERRADA
- CM AMPCO PERU S.A.C</t>
  </si>
  <si>
    <t>PRAXIS ECOLOGY S.A.C.</t>
  </si>
  <si>
    <t>1911620754051</t>
  </si>
  <si>
    <t>AEROPUERTOS DEL PERU S.A.</t>
  </si>
  <si>
    <t>MUNDO LIMPIO SOCIEDAD ANONIMA CERRADA</t>
  </si>
  <si>
    <t>BIOLAB &amp; INMUNOMED DEL PERU SAC</t>
  </si>
  <si>
    <t>SIGSO CONSULTORES LABORALES S.A.C.</t>
  </si>
  <si>
    <t>00300900300076410483</t>
  </si>
  <si>
    <t>MEGA PESCA S.A.</t>
  </si>
  <si>
    <t>5401937993030</t>
  </si>
  <si>
    <t>TUBERIAS Y GEOSISTEMAS DEL PERU SA - TUBERIAS Y GEOS S.A.</t>
  </si>
  <si>
    <t>2151897218033</t>
  </si>
  <si>
    <t>INDUSTRIAS IGGAM S.A.C.</t>
  </si>
  <si>
    <t>SERVICIOS INTEGRALES SAHUANAY S.A.C.</t>
  </si>
  <si>
    <t>c</t>
  </si>
  <si>
    <t>1912160674088</t>
  </si>
  <si>
    <t>TEMA LITOCLEAN S.A.C.</t>
  </si>
  <si>
    <t>H-E PARTS INTERNATIONAL PERU S.A.C</t>
  </si>
  <si>
    <t>CBB PERU S.A.</t>
  </si>
  <si>
    <t>Q´OMER SOCIEDAD ANONIMA CERRADA - Q´OMER S.A.C.</t>
  </si>
  <si>
    <t xml:space="preserve">GRAYSIL CONTRATISTAS S.A.C. </t>
  </si>
  <si>
    <t>COSTEÑO ALIMENTOS S.A.C.</t>
  </si>
  <si>
    <t>RESITER PERU S.A.C.</t>
  </si>
  <si>
    <t>1942068501048</t>
  </si>
  <si>
    <t>IDELCOM S.A.C</t>
  </si>
  <si>
    <t>AEROPUERTOS ANDINOS DEL PERU S.A.</t>
  </si>
  <si>
    <t>1931901863036</t>
  </si>
  <si>
    <t>APMINAC PULPERA S.A.</t>
  </si>
  <si>
    <t xml:space="preserve"> 2152334152009</t>
  </si>
  <si>
    <t>COMERCIAL IMFESUR E.I.R.L.</t>
  </si>
  <si>
    <t>EFIMERA ARQUITECTOS E.I.R.L.</t>
  </si>
  <si>
    <t>LA JOYA MINING SOCIEDAD ANONIMA CERRADA</t>
  </si>
  <si>
    <t>2152247139089</t>
  </si>
  <si>
    <t>NARMETAL S.A.C.</t>
  </si>
  <si>
    <t>ESTACION DE SERVICIOS PEDREGAL SUR S.R.L</t>
  </si>
  <si>
    <t>TRANSPORTES RIVERITA E.I.R.L.</t>
  </si>
  <si>
    <t>1912432902066</t>
  </si>
  <si>
    <t>MULTI SERVICIOS ANGEL ALBERTO E.I.R.L.</t>
  </si>
  <si>
    <t>1912256311019</t>
  </si>
  <si>
    <t>IMOERGO E.I.R.L.</t>
  </si>
  <si>
    <t>00301101304224798043</t>
  </si>
  <si>
    <t>NOBEX AGROINDUSTRIAL S.A.</t>
  </si>
  <si>
    <t>GLOBAL PERLA´S CAR S.A.C.</t>
  </si>
  <si>
    <t>1912282353069</t>
  </si>
  <si>
    <t>PISOS POLIMERICOS Y CEMENTICIOS S.A.C. - POLCEM S.A.C</t>
  </si>
  <si>
    <t>INGENIERIA SERVICIOS Y SOLUCIONES APLICADAS ISSA PERU S.A.C.</t>
  </si>
  <si>
    <t>ALTERNAINGENIEROS ASOCIADOS S.A.C</t>
  </si>
  <si>
    <t>COMPAÑÍA DE INGENIERIA ESPECIALIZADA S.A.C.</t>
  </si>
  <si>
    <t>ALCA COMPANY S.A.C.</t>
  </si>
  <si>
    <t>VERISURE PERU S.A.C.</t>
  </si>
  <si>
    <t>CONTRATISTAS E INGENIEROS AMERICANA E.I.R.L.</t>
  </si>
  <si>
    <t>00342000300370503977</t>
  </si>
  <si>
    <t>SANTOS CHAVARRIA VEGA E.I.R.L.</t>
  </si>
  <si>
    <t>INVESTIGACION Y DESARROLLO DE SOLUCIONES INFORMATICAS E.I.R.L.</t>
  </si>
  <si>
    <t>00320000300509540631</t>
  </si>
  <si>
    <t>HOSTINGROUP S.A.C.</t>
  </si>
  <si>
    <t>KANAY S.A.C.</t>
  </si>
  <si>
    <t>1932469516004</t>
  </si>
  <si>
    <t>SOLUCIONES LOGISTICAS MEJGHIM E.I.R.L.</t>
  </si>
  <si>
    <t>01135800010005288991</t>
  </si>
  <si>
    <t>LABORATORIOS CLINICOS MULTIPLES S.A.C.</t>
  </si>
  <si>
    <t>A &amp; D PROYECTOS Y CONSTRUCCIONES S.A.C.</t>
  </si>
  <si>
    <t>TRANSHOST S.A.C.</t>
  </si>
  <si>
    <t>01134100010004501456</t>
  </si>
  <si>
    <t>INVERSIONES TIRES EBEN-EZER S.R.L.</t>
  </si>
  <si>
    <t>INGENIERIA Y CONSTRUCCIONES METALICAS DEL PERU SAC</t>
  </si>
  <si>
    <t>ISC INGENIERIA DEL SUR S.A.C.</t>
  </si>
  <si>
    <t>GYTRES S.A.C.</t>
  </si>
  <si>
    <t>DISPONIBLE S.A.C</t>
  </si>
  <si>
    <t>TACONSER E.I.R.L.</t>
  </si>
  <si>
    <t>2152103001051</t>
  </si>
  <si>
    <t>EMPRESA DE TRANSPORTES DANTE HUGO PINTO LOPEZ E.I.R.L.</t>
  </si>
  <si>
    <t>21504920216011</t>
  </si>
  <si>
    <t xml:space="preserve">TAPICENTER TORRES HERMANOS S.R.L. </t>
  </si>
  <si>
    <t>2152199948011</t>
  </si>
  <si>
    <t xml:space="preserve">J&amp;R FAST CARGO E.I.R.L. </t>
  </si>
  <si>
    <t>TRANSPORTES MARVIGIAN E.I.R.L.</t>
  </si>
  <si>
    <t>00943200000941262068</t>
  </si>
  <si>
    <t>MEDICAL RESOURCES E.I.R.L.</t>
  </si>
  <si>
    <t>CONASI S.A.C.</t>
  </si>
  <si>
    <t>CARNICO ARENCIO E.I.R.L.</t>
  </si>
  <si>
    <t>C &amp; A INVERS S.R.L.</t>
  </si>
  <si>
    <t>METAL MECANICA INDUSTRIAL AQUINO E.I.R.L.</t>
  </si>
  <si>
    <t>LABCORP S.A.C</t>
  </si>
  <si>
    <t>RECPER SOCIEDAD ANONIMA CERRADA - RECPER S.A.C.</t>
  </si>
  <si>
    <t>1912548233026</t>
  </si>
  <si>
    <t>INVERSIONES FIVA S.A.C.</t>
  </si>
  <si>
    <t>AGRICOLA ALSUR CUSCO S.A.C</t>
  </si>
  <si>
    <t>HAM CRIOGENICA PERU S.A.C.</t>
  </si>
  <si>
    <t>MILNER INVERSIONES Y SERVICIOS EMPRESA INDIVIDUAL DE RESPONSABILIDAD LIMITADA - MILINSER E.I.R.L.</t>
  </si>
  <si>
    <t>MUNABI E.I.R.L.</t>
  </si>
  <si>
    <t>BEST SECURITY SYSTEMS SAC</t>
  </si>
  <si>
    <t>RECICLA RECUPERA UN MUNDO VERDE S.A.C. - RREMVER S.A.C.</t>
  </si>
  <si>
    <t>ASIA TELECOMUNICACIONES S.A.C.</t>
  </si>
  <si>
    <t>SERVICIOS ESPECIALIZADOS TAWA E.I.R.L. - SERVICIOS TAWA E.I.R.L.</t>
  </si>
  <si>
    <t>METALMARK S.A.</t>
  </si>
  <si>
    <t>GYGA CONSULTING S.A.C.</t>
  </si>
  <si>
    <t>MULTISERVICIOS VEVAS SOCIEDAD ANONIMA CERRADA - MULTISERVICIOS VEVAS S.A.C.</t>
  </si>
  <si>
    <t>SAN FRANCISCO JR SAC</t>
  </si>
  <si>
    <t>80300200222515900158</t>
  </si>
  <si>
    <t>ENOBRAS SERVICIOS GENERALES S.A.C.</t>
  </si>
  <si>
    <t>CCRV INGENIEROS S.A.C.</t>
  </si>
  <si>
    <t>HIDRAULIC SISTEM CRANE S.A.C</t>
  </si>
  <si>
    <t>CHINA RAILWAY N° 10 ENGINEERING GROUP CO., LTD SUCURSAL DEL PERU</t>
  </si>
  <si>
    <t>INVERSIONES W.J.M. S.A.C.</t>
  </si>
  <si>
    <t>PETROLL SUR II S.R.L.</t>
  </si>
  <si>
    <t>TRANSPORTES UNIDEST S.A.C.</t>
  </si>
  <si>
    <t>21535293237030</t>
  </si>
  <si>
    <t>IMPORTACIONES Y TRANSPORTES ALONDRA S.A.C.</t>
  </si>
  <si>
    <t>1912548158068</t>
  </si>
  <si>
    <t>OPERADOR LOGISTICO CHUQUE HNOS S.A.C.</t>
  </si>
  <si>
    <t>TRANSETAL UNION S.A.C.</t>
  </si>
  <si>
    <t>SIKACON SOCIEDAD COMERCIAL DE RESPONSABILIDAD LIMITADA - SIKACON S.R.L.</t>
  </si>
  <si>
    <t>GRUPO TRANSPORTES SIVER S.A.C.</t>
  </si>
  <si>
    <t>1919395560044</t>
  </si>
  <si>
    <t>INGENIERIA DE PROYECTOS AMBIENTALES SOCIEDAD ANONIMA CERRADA</t>
  </si>
  <si>
    <t>TRANSPORTES CARLOS KAYRO E.I.R.L.</t>
  </si>
  <si>
    <t>2152446419018</t>
  </si>
  <si>
    <t>AUTORIDAD PARA LA RECONSTRUCCIÓN CON CAMBIOS</t>
  </si>
  <si>
    <t>BIM SELVA S.R.L.</t>
  </si>
  <si>
    <t>MONECO SOCIEDAD ANONIMA CERRADA</t>
  </si>
  <si>
    <t>CENTRO DE INSPECCIONES TECNICO VEHICULARES GRUPO J &amp; J  SAC</t>
  </si>
  <si>
    <t>1118300020147870000</t>
  </si>
  <si>
    <t>COOPERATIVA MINERA COMIG DE ANANEA LIMITADA</t>
  </si>
  <si>
    <t>VOLVO ENGINE AQP EIRL</t>
  </si>
  <si>
    <t>TRANSPORTE &amp; NEGOCIACIONES BENDEZU S.A.C.</t>
  </si>
  <si>
    <t>1912467144045</t>
  </si>
  <si>
    <t>DISERGO SOCIEDAD ANONIMA CERRADA - DISERGO S.A.C.</t>
  </si>
  <si>
    <t>CHATARRA METALES SOCIEDAD ANONIMA CERRADA - CHAME S.A.C.</t>
  </si>
  <si>
    <t>MULTITRAN S.R.L.</t>
  </si>
  <si>
    <t>CENTRO DE INSPECCIONES TECNICAS DEL SUR S.A.C.</t>
  </si>
  <si>
    <t>2152589370068</t>
  </si>
  <si>
    <t>RESIDUOS MAYTA DEL SUR S.A.C.</t>
  </si>
  <si>
    <t>80300100228968600176</t>
  </si>
  <si>
    <t>SP TRANSPORT LOGISTIC SOCIEDAD ANONIMA CERRADA - SP TRANSPORT LOGISTIC S.A.C.</t>
  </si>
  <si>
    <t>KIKAI &amp; SABISU S.A.C.</t>
  </si>
  <si>
    <t>1942433625069</t>
  </si>
  <si>
    <t>GRUPO LIDER AQP SOCIEDAD ANONIMA CERRADA</t>
  </si>
  <si>
    <t>2152480946075</t>
  </si>
  <si>
    <t>TRENTO MULTISERVICIOS S.R.L.</t>
  </si>
  <si>
    <t>2159394738057</t>
  </si>
  <si>
    <t>DINAMICA MASIVA SOCIEDAD ANONIMA CERRADA</t>
  </si>
  <si>
    <t>00330000300148836318</t>
  </si>
  <si>
    <t>ESTACION DE SERVICIOS MI GRIFO S.R.L. - ESTACION MG S.R.L</t>
  </si>
  <si>
    <t>LA ROCA SUPER CONCRETOS SOCIEDAD ANONIMA</t>
  </si>
  <si>
    <t xml:space="preserve">BALANZAS WARTON SRL </t>
  </si>
  <si>
    <t>2159971082015</t>
  </si>
  <si>
    <t>COMERCIO SERVICIOS E INVERSIONES YANCE E.I.R.L.</t>
  </si>
  <si>
    <t>CARAL SOLUCIONES ENERGETICAS S.A.C.</t>
  </si>
  <si>
    <t>VIVEMAS INMOBILIARIAY CONSTRUCCION S.A.C.</t>
  </si>
  <si>
    <t>CORPORACION ELCONSUR SOCIEDAD ANONIMA CERRADA</t>
  </si>
  <si>
    <t>VERTICALIA SOCIEDAD ANONIMA CERRADA</t>
  </si>
  <si>
    <t>INVERSIONES TLI PERU S.A.C.</t>
  </si>
  <si>
    <t>ECO-MISTI S.A.C.</t>
  </si>
  <si>
    <t>2158750966010</t>
  </si>
  <si>
    <t>B-TAPCHEZ CONSULTORES HSEC E.I.R.L.</t>
  </si>
  <si>
    <t>01122600020035425686</t>
  </si>
  <si>
    <t>SOLIDARIO A &amp; Z S.A.C.</t>
  </si>
  <si>
    <t>ANTILLA COPPER SOCIEDAD ANONIMA</t>
  </si>
  <si>
    <t xml:space="preserve">VICTORIA MEDICAL S.A.C. </t>
  </si>
  <si>
    <t>CFC GROUP S.A.C.</t>
  </si>
  <si>
    <t>2152584647060</t>
  </si>
  <si>
    <t>TO-SAFETY PRODUCTS S.A.C.</t>
  </si>
  <si>
    <t>1932532921059</t>
  </si>
  <si>
    <t>TGM AREQUIPA E.I.R.L.</t>
  </si>
  <si>
    <t>2152606822051</t>
  </si>
  <si>
    <t>KONTROL R &amp; M PERU S.A.C.</t>
  </si>
  <si>
    <t xml:space="preserve">360 GPS S.A.C. </t>
  </si>
  <si>
    <t>1942568258098</t>
  </si>
  <si>
    <t>KANUN GLASS S.C.R.L.</t>
  </si>
  <si>
    <t>80300700277148400147</t>
  </si>
  <si>
    <t>BOTTLES PERU E.I.R.L.</t>
  </si>
  <si>
    <t>2159716658075</t>
  </si>
  <si>
    <t>PROVEEDORES METALICOS S.A.C.</t>
  </si>
  <si>
    <t>DISTRIBUIDORA Y PROVEEDORA SALAS VALDIVIA SOCIEDAD COMERCIAL DE
RESPONSABILIDAD LIMITADA</t>
  </si>
  <si>
    <t>SERCIA E.I.R.L.</t>
  </si>
  <si>
    <t>BADAJOZ Y CIA S.A.C.</t>
  </si>
  <si>
    <t>2159847998041</t>
  </si>
  <si>
    <t>Sergio Gutierrez Huaman</t>
  </si>
  <si>
    <t>LONCCOS Y CCALAS S.A.C.</t>
  </si>
  <si>
    <t>2152653274063</t>
  </si>
  <si>
    <t>SERVICIOS MINEROS HERRERA S.R.L.</t>
  </si>
  <si>
    <t>VALERIANOS PASTELERIA FINA E.I.R.L.</t>
  </si>
  <si>
    <t>ENVASES Y SOLUCIONES LOGISTICAS W &amp; R S.A.C.</t>
  </si>
  <si>
    <t>1912673797048</t>
  </si>
  <si>
    <t>DISTRIBUIDORA FERRETERA VENCOR E.I.R.L.</t>
  </si>
  <si>
    <t>2158088689043</t>
  </si>
  <si>
    <t>ENCARGA TOTAL S.A.C.</t>
  </si>
  <si>
    <t>AMC AQP VENTAS &amp; SERVICIOS GENERALES S.R.L.</t>
  </si>
  <si>
    <t>CORPORACION TECNOLOGICA Y SALUD S.A.C.</t>
  </si>
  <si>
    <t>01122000010015410911</t>
  </si>
  <si>
    <t>AID MARANGANI S.A.C.</t>
  </si>
  <si>
    <t>2154272409061</t>
  </si>
  <si>
    <t>RESIGRALE S.R.L.</t>
  </si>
  <si>
    <t>CONSTRUCTORA Y SUPERVISION AMERICANA DE PROYECTOS ESPECIALES DE CALIDAD S.A.C.</t>
  </si>
  <si>
    <t>TRANSPORTES PACORI J &amp; G E.I.R.L.</t>
  </si>
  <si>
    <t>ALEACIONES FERROSAS Y METALICAS S.A.C.</t>
  </si>
  <si>
    <t>AGROINVERSIONES BARTES E.I.R.L.</t>
  </si>
  <si>
    <t>EMPRESA LOGISTICA GIAN POOL E.I.R.L.</t>
  </si>
  <si>
    <t>2159929071062</t>
  </si>
  <si>
    <t>EMBOTELLADORA GRACO S.A.C.</t>
  </si>
  <si>
    <t>1919855316044</t>
  </si>
  <si>
    <t>TRANSPORTES EXPRESS HUADEY E.I.R.L.</t>
  </si>
  <si>
    <t>INEC INGENIEROS E.I.R.L.</t>
  </si>
  <si>
    <t>HOUSE RUMI IMPORT E.I.R.L.</t>
  </si>
  <si>
    <t>REPUESTOS ELIBEM IMPORTACIONES S.R.L.</t>
  </si>
  <si>
    <t>FF AQP E.I.R.L.</t>
  </si>
  <si>
    <t>2519923807025</t>
  </si>
  <si>
    <t>DISTRIBUCIONES ACEROS EZEQUIEL E.I.R.L.</t>
  </si>
  <si>
    <t>2159857679029</t>
  </si>
  <si>
    <t>TRANSPORTES ALBERTO MAMANI E.I.R.L.</t>
  </si>
  <si>
    <t>21578272753082</t>
  </si>
  <si>
    <t>Y &amp; B BUSINESS COMPANY S.A.C.</t>
  </si>
  <si>
    <t>2154712700046</t>
  </si>
  <si>
    <t>JKL PROYECTOS E INVERSIONES MULTIPLES E.I.R.L.</t>
  </si>
  <si>
    <t>.</t>
  </si>
  <si>
    <t>BIRRAK 360 S.A.C.</t>
  </si>
  <si>
    <t>TRANSPORTES VIAL DEL SUR E.I.R.L.</t>
  </si>
  <si>
    <t>21573928679027</t>
  </si>
  <si>
    <t>CONSTRUCTORA DEMARK S.A.C.</t>
  </si>
  <si>
    <t>TRANSPORTES CEPSA S.A.C.</t>
  </si>
  <si>
    <t>VULCANO EXTINTORES Y SEGURIDAD E.I.R.L.</t>
  </si>
  <si>
    <t>2159716378047</t>
  </si>
  <si>
    <t>EUROAMERICAN MOTORS R &amp; K E.I.R.L.</t>
  </si>
  <si>
    <t xml:space="preserve">HERLIZ CONFECCIONES E.I.R.L. </t>
  </si>
  <si>
    <t>1919413473084</t>
  </si>
  <si>
    <t>H &amp; S CARGO EXPRESS S.A.C.</t>
  </si>
  <si>
    <t>1919876970071</t>
  </si>
  <si>
    <t>ADMING 32 LOGISTICA Y SOLUCIONES AUTOMOTRICES S.A.C.</t>
  </si>
  <si>
    <t>FIXER TELECOMUNICACIONES S.A.C.</t>
  </si>
  <si>
    <t>25101541403005</t>
  </si>
  <si>
    <t>ALI MEDIC E.I.R.L.</t>
  </si>
  <si>
    <t>GPSFOX S.A.C</t>
  </si>
  <si>
    <t>TRANSPORTES GUSANITO E.I.R.L.</t>
  </si>
  <si>
    <t>2159886433074</t>
  </si>
  <si>
    <t>MGM MONTACARGAS &amp; GRUAS S.A.C.</t>
  </si>
  <si>
    <t>1949895632076</t>
  </si>
  <si>
    <t>AREQUIPA VIA EXPRESS S.A.C.</t>
  </si>
  <si>
    <t>AWT CARGO S.A.C.</t>
  </si>
  <si>
    <t>CLUB PREMIUM AUTOMOTRIZ S.R.L.</t>
  </si>
  <si>
    <t>21576946562094</t>
  </si>
  <si>
    <t xml:space="preserve">INVERSIONES LIVER GROUP E.I.R.L. </t>
  </si>
  <si>
    <t>CARE ECOEXPORT E.I.R.L.</t>
  </si>
  <si>
    <t>GRUPO ALCA COMPANY S.A.C.</t>
  </si>
  <si>
    <t>1919912076078</t>
  </si>
  <si>
    <t>SOLUCIONES LOGISTICAS SIGMA7 S.A.C.</t>
  </si>
  <si>
    <t>2159961978054</t>
  </si>
  <si>
    <t>TRANSCARGO JHONCITO S.A.C.</t>
  </si>
  <si>
    <t>2159934155015</t>
  </si>
  <si>
    <t>TRANSPORTES &amp; IMPORTACIONES JMGLOBAL LOGISTICA E.I.R.L.</t>
  </si>
  <si>
    <t>CARROCERIAS METALICAS HNOS. PACCO S.A.C.</t>
  </si>
  <si>
    <t>CENTRO DE MATIZADOS EMMANUEL S.R.L.</t>
  </si>
  <si>
    <t>CONSORCIO VIAL LA YARADA</t>
  </si>
  <si>
    <t>GRUPO ECOLOGICA S.A.C.</t>
  </si>
  <si>
    <t>CONSORCIO VIAL MARJANI</t>
  </si>
  <si>
    <t>TRANSPORTES ARAGON ZAVALA E.I.R.L.</t>
  </si>
  <si>
    <t>CORPORACION ACEROS AREQUIPA S.A.</t>
  </si>
  <si>
    <t>BLAXTEEL SAC</t>
  </si>
  <si>
    <t>DISTRIBUIDORA TOTAL SAFETY E.I.R.L.</t>
  </si>
  <si>
    <t>2159933832052</t>
  </si>
  <si>
    <t>DOMINIONPERU SOLUCIONES Y SERVICIOS S.A.C.</t>
  </si>
  <si>
    <t>UNIVERSIDAD TECNOLOGICA DEL PERU S.A.C. O UTP S.A.C.</t>
  </si>
  <si>
    <t>SYNERGO CAP S.A.C.</t>
  </si>
  <si>
    <t>GRUPO DE GESTION C SOCIEDAD ANONIMA - GRUPO DE GESTION C S.A.</t>
  </si>
  <si>
    <t>SOLUCIONES DE INFORMACION NEXTSOFT S.A.C.</t>
  </si>
  <si>
    <t>2151725155024</t>
  </si>
  <si>
    <t>CENTRO DE ESTUDIOS DE MARKETING Y NEGOCIOS APEM S.A.C.</t>
  </si>
  <si>
    <t xml:space="preserve">EMPRESA DE TRANSPORTES MANN S.A.C. </t>
  </si>
  <si>
    <t>19406668771030</t>
  </si>
  <si>
    <t>IMPORTACIONES A &amp; TE S.R.L.</t>
  </si>
  <si>
    <t>21576764643038</t>
  </si>
  <si>
    <t>ALQUIMODUL S.A.C.</t>
  </si>
  <si>
    <t>BIXPRO S.A.C.</t>
  </si>
  <si>
    <t>2157890954020</t>
  </si>
  <si>
    <t>ELECMIN S.A.C.</t>
  </si>
  <si>
    <t>EMPRESA DE TRANSPORTES Y SERVICIOS GENERALES KONNI S.R.L</t>
  </si>
  <si>
    <t>1912164651060</t>
  </si>
  <si>
    <t>SAMA LAB E.I.R.L.</t>
  </si>
  <si>
    <t>LUVOG S.A.C.</t>
  </si>
  <si>
    <t>FERSEIND PERU S.A.C.</t>
  </si>
  <si>
    <t>2152453794013</t>
  </si>
  <si>
    <t>TIENDAS LA 90 E.I.R.L.</t>
  </si>
  <si>
    <t>2154218312028</t>
  </si>
  <si>
    <t>ARENAS QUENAYA ADA MASSIEL</t>
  </si>
  <si>
    <t>LADRILLERA EL DIAMANTE S.A.C.</t>
  </si>
  <si>
    <t>P &amp; P CONSULTORES Y EJECUTORES S.R.L.</t>
  </si>
  <si>
    <t>ENVASES CAROLINA S.A.C.</t>
  </si>
  <si>
    <t>VOESTALPINE HIGH PERFORMANCE METALS DEL PERU S.A.</t>
  </si>
  <si>
    <t>1930003060009</t>
  </si>
  <si>
    <t>EQUIFAX PERU S.A.</t>
  </si>
  <si>
    <t>ESTRONGER E.I.R.L.</t>
  </si>
  <si>
    <t>VARGAS LUQUE ORESTES</t>
  </si>
  <si>
    <t>MENDOZA PILCO YONY BETTY</t>
  </si>
  <si>
    <t>40503218673072</t>
  </si>
  <si>
    <t>MALVEX DEL PERU S.A.</t>
  </si>
  <si>
    <t>MEXICHEM PERU S.A.</t>
  </si>
  <si>
    <t>SUPO SARAYASI VALENTIN BERNARDINO</t>
  </si>
  <si>
    <t>21516722223030</t>
  </si>
  <si>
    <t>MARIOS MUELLES S.A.C.</t>
  </si>
  <si>
    <t>QUERALES RIVERO ELVIS ENRIQUE</t>
  </si>
  <si>
    <t>PESQUERA DIAMANTE S.A.</t>
  </si>
  <si>
    <t>ACTIVA SERVICIOS GASTRONOMICOS S.R.L.</t>
  </si>
  <si>
    <t>TALLERES LUCAS PERÚ S.A.C.</t>
  </si>
  <si>
    <t>1919282785002</t>
  </si>
  <si>
    <t>CONSORCIO PUENTES DEL NORTE</t>
  </si>
  <si>
    <t>HG TRANSPORTE LOGISTICA S.A.C.</t>
  </si>
  <si>
    <t>INVERSIONES CORPORATIVAS FLORES HERMANOS S.A.C.</t>
  </si>
  <si>
    <t>CARMEN INMUEBLES S.A.</t>
  </si>
  <si>
    <t>TORRES CARDENAS MARIA LIDIA</t>
  </si>
  <si>
    <t>19102444157044</t>
  </si>
  <si>
    <t>AQAMBIENTA S.A.C.</t>
  </si>
  <si>
    <t>FIERROS CENTER &amp; METALES INDUSTRIALES SOCIEDAD ANONIMA CERRADA-FICEMIN S.A.C.</t>
  </si>
  <si>
    <t>AUTOPROYECT E.I.R.L.</t>
  </si>
  <si>
    <t>PFOCCO ZUNIGA YASMINA</t>
  </si>
  <si>
    <t>TRANSERVIS ENVIOS S.A.C.</t>
  </si>
  <si>
    <t>LIVISSI CONSTRUCCIONES E.I.R.L.</t>
  </si>
  <si>
    <t>SKY HIGH SOCIEDAD ANONIMA CERRADA - SKY HIGH S.A.C.</t>
  </si>
  <si>
    <t>2152174861008</t>
  </si>
  <si>
    <t>REALM HUAMANI ENGINEERS S.A.C.</t>
  </si>
  <si>
    <t>COAQUIRA PAUCAR MARK FRANK</t>
  </si>
  <si>
    <t>TU SEMILLA E.I.R.L.</t>
  </si>
  <si>
    <t>BANDA QUISPE CESAR CLAUDIO</t>
  </si>
  <si>
    <t>OLVA COURIER S.A.C.</t>
  </si>
  <si>
    <t>COMERCIALIZACION Y SERVICIOS EL EDEN S.A.C.</t>
  </si>
  <si>
    <t>SHALOM EMPRESARIAL S.A.C.</t>
  </si>
  <si>
    <t>MINIMARKET LAS BERMUDAS E.I.R.L.</t>
  </si>
  <si>
    <t>DISTRIBUCIONES PASO SEGURO B &amp; A E.I.R.L.</t>
  </si>
  <si>
    <t>COMPAÑIA FOOD RETAIL S.A.C.</t>
  </si>
  <si>
    <t>AREQUIPA EXPRESO MARVISUR EIRL</t>
  </si>
  <si>
    <t>AZ ARQUITECTOS E.I.R.L.</t>
  </si>
  <si>
    <t>EMPRESA DE TRANSPORTES LAGUNA E.I.R.L.</t>
  </si>
  <si>
    <t>DRIVEN CAPITAL S.A.C.S.</t>
  </si>
  <si>
    <t>00320000300601285733</t>
  </si>
  <si>
    <t>HUAMANI MAMANI HUBER ANTHONY</t>
  </si>
  <si>
    <t>2153605456063</t>
  </si>
  <si>
    <t>TJM EQUIPOS Y CONSTRUCCION S.C.R.L.</t>
  </si>
  <si>
    <t>COESTI S.A.</t>
  </si>
  <si>
    <t>VARIOS (MASIVO)</t>
  </si>
  <si>
    <t>LATINOAMERICANA EIR LTDA</t>
  </si>
  <si>
    <t>FLORES AMPUERO SILVIA REBECA</t>
  </si>
  <si>
    <t>TITO MAMANI EVA</t>
  </si>
  <si>
    <t>R &amp; R CONSULTORIAS Y ASESORIAS EIRL</t>
  </si>
  <si>
    <t>MAYUGO EDUCATION SOCIEDAD ANONIMA CERRADA</t>
  </si>
  <si>
    <t>LA POSITIVA VIDA SEGUROS Y REASEGUROS</t>
  </si>
  <si>
    <t>SEAL</t>
  </si>
  <si>
    <t>SEDAPAL</t>
  </si>
  <si>
    <t>TELEFONICA DEL PERU SAA</t>
  </si>
  <si>
    <t>LUZ DEL SUR S.A.A.</t>
  </si>
  <si>
    <t>CHOPERS DISTRIBUCIONES E.I.R.L.</t>
  </si>
  <si>
    <t>AMERICA MOVIL PERU S.A.C.</t>
  </si>
  <si>
    <t>PLASTIGESA E.I.R.L.</t>
  </si>
  <si>
    <t>SEDAPAR S.A.</t>
  </si>
  <si>
    <t>CASA CROWN S.A.C.</t>
  </si>
  <si>
    <t>AGUILAR CHOQUEVILCA DANIEL EDWARD</t>
  </si>
  <si>
    <t>FUMISERVIS SOLUCIONES J &amp; E E.I.R.L.</t>
  </si>
  <si>
    <t>ORGANIZACION IBEROAMERICANA DE SEGURIDAD</t>
  </si>
  <si>
    <t>INVERSIONES Y ARTICULOS PUBLICITARIOS R &amp; E S.A.C.</t>
  </si>
  <si>
    <t>IMPORTADORA CITSA SAC</t>
  </si>
  <si>
    <t>GRUPO GODPRO E.I.R.L.</t>
  </si>
  <si>
    <t>CRC CONSULTORES Y ASOCIADOS S.A.C</t>
  </si>
  <si>
    <t>ACEROS COMERCIALES S C R L</t>
  </si>
  <si>
    <t>ALTO IMPACTO PUBLICIDAD S.R.L.</t>
  </si>
  <si>
    <t>RAM'D S.A.C.</t>
  </si>
  <si>
    <t>HUALLA SANCHEZ GUSTAVO PAUL</t>
  </si>
  <si>
    <t>GROUP DISUR PERU E.I.R.L.</t>
  </si>
  <si>
    <t>GRUPO LAMH S.R.L.</t>
  </si>
  <si>
    <t>MARNIC MARKETING CONSULTING E.I.R.L.</t>
  </si>
  <si>
    <t>HIDROFLUID SERVICE SOCIEDAD ANONIMA CERRADA - HIDROFLUID SERVICE SAC</t>
  </si>
  <si>
    <t>GRUPO RIVIERA CC E.I.R.L.</t>
  </si>
  <si>
    <t>GRUPO MD LIDER CRUZ S.A.C.</t>
  </si>
  <si>
    <t>IGNITE LABS S.A.C.</t>
  </si>
  <si>
    <t>00320000300632467033</t>
  </si>
  <si>
    <t>CONSTRUCTORA MULTIPROM INGINEERING Y CONSTRUCTION S.A.C.</t>
  </si>
  <si>
    <t>SERVICIOS EMPRESARIALES DE CERTIFICACION S.A.C.</t>
  </si>
  <si>
    <t>NUÑONCA MARAÑON NOEMI</t>
  </si>
  <si>
    <t>NEGOCIACIONES ABBYCORP E.I.R.L.</t>
  </si>
  <si>
    <t>AROSTEGUI ABARCA CELIZ MAURO</t>
  </si>
  <si>
    <t>MAVI PLASTIC EIRL</t>
  </si>
  <si>
    <t>PUBLICIDAD DIGITAL PERU E.I.R.L. - PD PERU E.I.R.L.</t>
  </si>
  <si>
    <t>SERVICIOS AUTOMOTRICES FALCAR SOCIEDAD COMERCIAL DE RESPONSABILIDAD LIMITADA - FALCAR S.R.L.</t>
  </si>
  <si>
    <t>EDTSA GROUP S.A.C.</t>
  </si>
  <si>
    <t>NARVAEZ PACHECO JUAN SERGIO</t>
  </si>
  <si>
    <t>LA POSITIVA SEGUROS Y REASEGUROS S.A.A.</t>
  </si>
  <si>
    <t>DERTEANO HORMAECHE ALFONSO</t>
  </si>
  <si>
    <t xml:space="preserve">LEON CORNEJO NAYSHA FABIOLA       </t>
  </si>
  <si>
    <t xml:space="preserve">MURILLO CALSIN JORDAN EDHER FRANKLIN                                                                </t>
  </si>
  <si>
    <t xml:space="preserve">QUEQUE ANCO ALONSO MIGUEL                                                                           </t>
  </si>
  <si>
    <t xml:space="preserve">BEGAZO ARISPE CESAR JAVIER                                                                          </t>
  </si>
  <si>
    <t>MARTINEZ MARTINEZ ALEXANDRA MIRTHA</t>
  </si>
  <si>
    <t>ZAMATA QUISPE GABINA</t>
  </si>
  <si>
    <t>PACHECO BELLIDO BERNIDO</t>
  </si>
  <si>
    <t>MAMANI MAMANI JUSTO ANGEL</t>
  </si>
  <si>
    <t>TUNQUIPA HUAMANI VERONICA</t>
  </si>
  <si>
    <t>FERNANDEZ ARCE GUSTAVO WILFREDO</t>
  </si>
  <si>
    <t>ALVAREZ CRUZ MATHIAS ANDERSON</t>
  </si>
  <si>
    <t>HUARSOCA COAQUIRA WILSON AMERICO</t>
  </si>
  <si>
    <t>ROQUE BORDIJUELA GROVER</t>
  </si>
  <si>
    <t xml:space="preserve">RIOS MEDINA RUBEN                                                                                   </t>
  </si>
  <si>
    <t xml:space="preserve">LEDESMA GRANADOS CESAR ARMANDO                                                                      </t>
  </si>
  <si>
    <t xml:space="preserve">CHIPA PEÑA GREGORIO                                                                                 </t>
  </si>
  <si>
    <t xml:space="preserve">TARAZONA VEGA BELI TEOBALDO                                                                         </t>
  </si>
  <si>
    <t xml:space="preserve">ALVAREZ CRUZ MATHIAS ANDERSON                                                                       </t>
  </si>
  <si>
    <t xml:space="preserve">ROQUE BORDIJUELA GROVER                                                                             </t>
  </si>
  <si>
    <t xml:space="preserve">TAIPE SARAZA CHRISTIAN DANIEL                                                                       </t>
  </si>
  <si>
    <t>ORDOÑEZ STOJKIC JELKA FERNANDA</t>
  </si>
  <si>
    <t>MANRIQUE BELTRAN ROSIO SILVIA</t>
  </si>
  <si>
    <t>RAMOS ATAUCURI YERSON ANTONIO</t>
  </si>
  <si>
    <t>QUISPE LUQUE PLACIDO LUIS</t>
  </si>
  <si>
    <t>CHALLCO CONDORI ALONSO CARLOS</t>
  </si>
  <si>
    <t>LEON CORNEJO NAYSHA FABIOLA</t>
  </si>
  <si>
    <t>SILVA COLOMA FRANKLYN MANUEL</t>
  </si>
  <si>
    <t>ARCATA QUINO JESUS WILLY</t>
  </si>
  <si>
    <t>MEDINA ESTOFANERO VANESSA JASMIN</t>
  </si>
  <si>
    <t>ESTOFANERO CONCHA ROCIO VIOLETA</t>
  </si>
  <si>
    <t>SONAPO CORONADO LIZ</t>
  </si>
  <si>
    <t>AUTOMOTRIZ CISNE S.R.L.</t>
  </si>
  <si>
    <t>M &amp; MOTORS SERVICIOS GENERALES E.I.R.L.</t>
  </si>
  <si>
    <t>SACA CHALLCO RENEE</t>
  </si>
  <si>
    <t>MITSUI AUTO FINANCE PERU S.A.</t>
  </si>
  <si>
    <t>OTROS</t>
  </si>
  <si>
    <t>MUNICIPALIDAD PROVINCIAL DE AREQUIPA</t>
  </si>
  <si>
    <t>UNIVERSIDAD CATOLICA SAN PABLO</t>
  </si>
  <si>
    <t>ASIRI MARKET RESEARCH INSIGHTS E.I.R.L.</t>
  </si>
  <si>
    <t>01117500020094843579</t>
  </si>
  <si>
    <t>GRUPO HUAMCO PERU S.A.C.</t>
  </si>
  <si>
    <t>1941467879058</t>
  </si>
  <si>
    <t>AGUILAR SHAREBA ELVIS</t>
  </si>
  <si>
    <t>ALMANZA TICONA FERNANDO ALONZO</t>
  </si>
  <si>
    <t>ALCCA SALDIVAR ANGEL</t>
  </si>
  <si>
    <t>21599131630055</t>
  </si>
  <si>
    <t>AMADO FARFAN VANNESSA DANNIELLA</t>
  </si>
  <si>
    <t>21591877091036</t>
  </si>
  <si>
    <t>ANCO VILCA ROLANDO JOSUE</t>
  </si>
  <si>
    <t>APAZA QUISPE EUCLIDES ALALI</t>
  </si>
  <si>
    <t>AQUINO COLQUEHUANCA ADAMS ANDRER</t>
  </si>
  <si>
    <t>AQUINO COLQUEHUANCA JESUS ALBERTO</t>
  </si>
  <si>
    <t>21596871721018</t>
  </si>
  <si>
    <t>ARPITA QUISPE MIGUEL ANGEL</t>
  </si>
  <si>
    <t>ASILLO CCALLO WALTER</t>
  </si>
  <si>
    <t>21531097706020</t>
  </si>
  <si>
    <t>AYALA ARROYO FRANK ANTHONY</t>
  </si>
  <si>
    <t>BALAREZO ARAUJO BRYAN DANIEL</t>
  </si>
  <si>
    <t>BALDEON ALARCON EDUARDO WILFREDO</t>
  </si>
  <si>
    <t>19103857943010</t>
  </si>
  <si>
    <t>BENGOA HITME KELLY SUZETT</t>
  </si>
  <si>
    <t>21502457155070</t>
  </si>
  <si>
    <t>BOLAÑOS VALDEZ REBECA</t>
  </si>
  <si>
    <t>21528240302054</t>
  </si>
  <si>
    <t>BUSTAMANTE GIL EYDER</t>
  </si>
  <si>
    <t>BUSTAMANTE GIL IMER</t>
  </si>
  <si>
    <t>19193001540048</t>
  </si>
  <si>
    <t>BUSTAMANTE GIL OMERO</t>
  </si>
  <si>
    <t>BUSTAMANTE GIL RUBEN</t>
  </si>
  <si>
    <t>21594236716097</t>
  </si>
  <si>
    <t>BUSTAMANTE MONTEZA ALEXANDER</t>
  </si>
  <si>
    <t>CALDERON BARRERA MARCOS GUILLERMO</t>
  </si>
  <si>
    <t>CAÑA ERNESTO ALEJANDRO</t>
  </si>
  <si>
    <t>21592744501009</t>
  </si>
  <si>
    <t>CARRASCO MOLLO MARIA DE LOS ANGELES</t>
  </si>
  <si>
    <t>21570196077023</t>
  </si>
  <si>
    <t>CARREÑO LABERIAN FRANCO FABIAN</t>
  </si>
  <si>
    <t>19102092606043</t>
  </si>
  <si>
    <t>CASTILLO TAPIA PAMELA PRICILA</t>
  </si>
  <si>
    <t>21596289827046</t>
  </si>
  <si>
    <t>CASTRO CISNEROS RUHT GLORIA</t>
  </si>
  <si>
    <t>CAYLLAHUA LOAYZA MARCO ANTONIO</t>
  </si>
  <si>
    <t>21593795987015</t>
  </si>
  <si>
    <t>CCANCCAPA MAQUE DANY EVER</t>
  </si>
  <si>
    <t>21599190004019</t>
  </si>
  <si>
    <t>CCAMA GUTIERREZ JUNIOR ALEXANDER</t>
  </si>
  <si>
    <t>21590654597094</t>
  </si>
  <si>
    <t>CCAPA CRUZ CAROLINA LIZVET</t>
  </si>
  <si>
    <t>CHINCHAY CORAS FREDY</t>
  </si>
  <si>
    <t>CONDORI CARPIO RAUL FELIX</t>
  </si>
  <si>
    <t>CORASPE CAÑA DIEGO ANTONIO</t>
  </si>
  <si>
    <t>CRISTOBAL GOBEA ELCIAS JOSE</t>
  </si>
  <si>
    <t>CRUZ QUISPE GREGORY RAYLE</t>
  </si>
  <si>
    <t>21533975108086</t>
  </si>
  <si>
    <t>CRUZ RODRIGUEZ EFRAIN</t>
  </si>
  <si>
    <t>CUELLAR CRUZ VERONICA</t>
  </si>
  <si>
    <t>DELGADILLO MORALES JUAN DIEGO</t>
  </si>
  <si>
    <t>DELGADILLO MORALES JUAN DIEGO BAJA</t>
  </si>
  <si>
    <t>DIAZ CARDENAS SERGIO RODRIGO</t>
  </si>
  <si>
    <t>ESPINOZA LOPEZ ALEX HERMINIO</t>
  </si>
  <si>
    <t>19104346784089</t>
  </si>
  <si>
    <t>FAJARDO RUGELES ABEL DAVID</t>
  </si>
  <si>
    <t>21594669706060</t>
  </si>
  <si>
    <t>FLORES AGUILAR HILLARY</t>
  </si>
  <si>
    <t>FLORES DANTAS JORGE</t>
  </si>
  <si>
    <t>GIL FERNANDEZ YOBER</t>
  </si>
  <si>
    <t>GONZALES ARIZALA ELIAS DAVID</t>
  </si>
  <si>
    <t>GONZALES HERRERA CARMEN CECILIA</t>
  </si>
  <si>
    <t>GONZALO CHAMBILLA ANA ABIGAIL</t>
  </si>
  <si>
    <t>38598145468002</t>
  </si>
  <si>
    <t>GRANDE SUASACA ROBERT ALEX</t>
  </si>
  <si>
    <t>25178425801012</t>
  </si>
  <si>
    <t>GUEDEZ CEDEÑO EFRAIN ANTONIO</t>
  </si>
  <si>
    <t>GUIZADO PORRAS RONALD ENRIQUE</t>
  </si>
  <si>
    <t>19105546365087</t>
  </si>
  <si>
    <t>GUTIERREZ ARAGON KARLY LIZ</t>
  </si>
  <si>
    <t>21572054264080</t>
  </si>
  <si>
    <t>HUAMAN RIOS JUSTO DIEGO</t>
  </si>
  <si>
    <t>19104618576026</t>
  </si>
  <si>
    <t>HUAMANI HUAMANI NAYDA</t>
  </si>
  <si>
    <t>21594129957059</t>
  </si>
  <si>
    <t>Trabajador</t>
  </si>
  <si>
    <t>HUANUCO ORTEGA CRISTIAN MANUEL</t>
  </si>
  <si>
    <t>19104374314098</t>
  </si>
  <si>
    <t>INOUE GUEVARA JOSE GABRIEL</t>
  </si>
  <si>
    <t>JAVA SAAVEDRA KITMAN VICENTE</t>
  </si>
  <si>
    <t>19132382244036</t>
  </si>
  <si>
    <t>JIBAJA RONDON VALERIA NICOLLE</t>
  </si>
  <si>
    <t>38505496632020</t>
  </si>
  <si>
    <t>LAZARTE AGUIRRE CRISSLEY</t>
  </si>
  <si>
    <t>21538751182003</t>
  </si>
  <si>
    <t>LAZO CHAVEZ DEREK ENRIQUE</t>
  </si>
  <si>
    <t>LEON WILLIAN JOHAN</t>
  </si>
  <si>
    <t>19171957415055</t>
  </si>
  <si>
    <t>LLERENA PACHECO KARLA</t>
  </si>
  <si>
    <t>LLERENA URDAY BRANDON LUIS</t>
  </si>
  <si>
    <t>LOAYZA MEDINA MARYMAR ELYZABETH</t>
  </si>
  <si>
    <t>MAMANI JACINTO EDGAR</t>
  </si>
  <si>
    <t>MAMANI LIMACHE DIEGO ARMANDO</t>
  </si>
  <si>
    <t>19138621215027</t>
  </si>
  <si>
    <t>MÁRQUEZ AVILA FERNANDO JESÚS</t>
  </si>
  <si>
    <t>21596160446059</t>
  </si>
  <si>
    <t>MOLLEAPAZA FRANCIA NELSON JESUS</t>
  </si>
  <si>
    <t>MOLLER CUTIRE ALEJANDRA MICHELLE</t>
  </si>
  <si>
    <t>MONTEZA BUSTAMANTE JUBER</t>
  </si>
  <si>
    <t>21519235224015</t>
  </si>
  <si>
    <t>MONTEZA BUSTAMANTE NEIVER</t>
  </si>
  <si>
    <t>21536419327094</t>
  </si>
  <si>
    <t>ONOFRE HUAMANCHOQUE CELESTINA</t>
  </si>
  <si>
    <t>ORTIZ MARIÑO ANDREA ESTELA</t>
  </si>
  <si>
    <t>OVIEDO LOPEZ FIORELLA ANABEL</t>
  </si>
  <si>
    <t>PACO PAUCCARA ELIAS GUSTAVO</t>
  </si>
  <si>
    <t>21597745475097</t>
  </si>
  <si>
    <t>PACORI VILCA LUIS ALBERTO</t>
  </si>
  <si>
    <t>PAREDES GOMEZ KARINA MILAGROS</t>
  </si>
  <si>
    <t>PAREDES MONTESINO CINTHIA KARINA</t>
  </si>
  <si>
    <t>21523436836067</t>
  </si>
  <si>
    <t>PARI LARICO GISELA TRINIDAD</t>
  </si>
  <si>
    <t>21506314172047</t>
  </si>
  <si>
    <t>PARI LARICO SUSAN ELIZABETH</t>
  </si>
  <si>
    <t>PAUCAR LLALLIRE EZEQUIEL MARTIN</t>
  </si>
  <si>
    <t>PEREYRA ORTEGA SERGIO JUAN ALFONSO</t>
  </si>
  <si>
    <t>PEREZ JAEN MARCO ANTONIO</t>
  </si>
  <si>
    <t>PINEDA CAYAMA OSCAR JAVIER</t>
  </si>
  <si>
    <t>POMA ALVAREZ GABRIELA</t>
  </si>
  <si>
    <t>PONCE FEBRES GLEEN STEV</t>
  </si>
  <si>
    <t>21596340416047</t>
  </si>
  <si>
    <t>PORTERO TOMAS ROCKY LEONIDAS</t>
  </si>
  <si>
    <t>21506048581073</t>
  </si>
  <si>
    <t>PRIETO ALCCA EBERT</t>
  </si>
  <si>
    <t>21591771321099</t>
  </si>
  <si>
    <t>PRIETO ALCCA RAUL</t>
  </si>
  <si>
    <t>PRIETO ROJAS INOCENCIO</t>
  </si>
  <si>
    <t>21592924388012</t>
  </si>
  <si>
    <t>QUEQUE ANCO JORGE LUIS</t>
  </si>
  <si>
    <t>21537153808095</t>
  </si>
  <si>
    <t>QUISPE ARVIRI EDWIN LUCIO</t>
  </si>
  <si>
    <t>21504067736020</t>
  </si>
  <si>
    <t>QUISPE CCAPA NELSON GREGORIO</t>
  </si>
  <si>
    <t>21596199323028</t>
  </si>
  <si>
    <t>QUISPE OROPEZA RODRIGO ALEXANDER</t>
  </si>
  <si>
    <t>QUISPE PRIETO HEFER</t>
  </si>
  <si>
    <t>21590747768006</t>
  </si>
  <si>
    <t>QUISPE PRIETO JOEL GERALDO</t>
  </si>
  <si>
    <t>QUISPE PRIETO WILBER</t>
  </si>
  <si>
    <t>21537890375001</t>
  </si>
  <si>
    <t>RAMIREZ QUISPE DEIVID RUSBEL</t>
  </si>
  <si>
    <t>RAMIREZ FLORES KARINA ALEXANDRA</t>
  </si>
  <si>
    <t>21507214815088</t>
  </si>
  <si>
    <t>RAMOS RIVAS ROY MARCIAL</t>
  </si>
  <si>
    <t>21590704600003</t>
  </si>
  <si>
    <t>REYES ANDRADE JOHN KEVIN</t>
  </si>
  <si>
    <t>19193078082062</t>
  </si>
  <si>
    <t>RODRIGUEZ GALLEGOS ALISON NATIVIDAD</t>
  </si>
  <si>
    <t>21595427356063</t>
  </si>
  <si>
    <t>ROSPIGLIOSI MANRIQUE NATALIA SOMMER</t>
  </si>
  <si>
    <t>21504066855030</t>
  </si>
  <si>
    <t>ROJAS VEGA GENESIS MILAGROS</t>
  </si>
  <si>
    <t>SALCEDO CASTRO KAROL RAQUEL</t>
  </si>
  <si>
    <t>SALCEDO SALCEDO IBANES IVAN</t>
  </si>
  <si>
    <t>SALCEDO SALCEDO RONALD DONATO</t>
  </si>
  <si>
    <t>21572438200094</t>
  </si>
  <si>
    <t>SALCEDO SALCEDO RONALD RONALDIÑO</t>
  </si>
  <si>
    <t>21572438732031</t>
  </si>
  <si>
    <t>SERRANO VILLACA JUDITH STEFANY DEL PILAR</t>
  </si>
  <si>
    <t>21500552592069</t>
  </si>
  <si>
    <t>SALICIO HUAYANAY KISSEL PIAZZOLI</t>
  </si>
  <si>
    <t>SILVA MURILLO MARIA DEL ROSARIO</t>
  </si>
  <si>
    <t>SUPO SUPO ALLISON LISSET</t>
  </si>
  <si>
    <t>SUYO PRIETO ROSA RAFAELA</t>
  </si>
  <si>
    <t>21506831558059</t>
  </si>
  <si>
    <t>TAGLE LAZARTE JUAN BENJY</t>
  </si>
  <si>
    <t>21596801643032</t>
  </si>
  <si>
    <t>TARIFA MAMANI JUAN JESUS</t>
  </si>
  <si>
    <t>21594318638046</t>
  </si>
  <si>
    <t>TERAN CHACON JHOAN ENRIQUE</t>
  </si>
  <si>
    <t>TICONA CANCHA LEO ANDRE</t>
  </si>
  <si>
    <t>TUNQUIPA CHUQUIRIMAY LUIS FRANCISCO</t>
  </si>
  <si>
    <t>21502757444092</t>
  </si>
  <si>
    <t>UMPIRE DIAZ KIMBERLY AMALIA SOFIA</t>
  </si>
  <si>
    <t>VELA CRUZ JOSEPH ALBERTH</t>
  </si>
  <si>
    <t>19472357029006</t>
  </si>
  <si>
    <t>ZAPANA OQUENDO MONICA NATALI</t>
  </si>
  <si>
    <t>GARCIA CHACNAMA JHONNY JERRY</t>
  </si>
  <si>
    <t>ALCCA QUISPE THALIA JACKELINE</t>
  </si>
  <si>
    <t>TRIMAX APC INVERSIONES E.I.R.L.</t>
  </si>
  <si>
    <t>CRUZ HUARACHA CARMEN</t>
  </si>
  <si>
    <t>MULTISERVICIOS NUESTRA SRA. DE LOURDES E.I.R.L.</t>
  </si>
  <si>
    <t>GROUP LUMIMART PERU E.I.R.L.</t>
  </si>
  <si>
    <t>MAGMA PERU E.I.R.L.</t>
  </si>
  <si>
    <t>GRUPO GARCIA TOLEDO S.A.C.</t>
  </si>
  <si>
    <t>NEGOCIACIONES MULTIPLES D.E.M. &amp; LAS GEMELITAS S.C.R.L.</t>
  </si>
  <si>
    <t>CCALLPA S.A.C.</t>
  </si>
  <si>
    <t>HIPERMERCADOS TOTTUS S.A</t>
  </si>
  <si>
    <t>COVISUR S.A.</t>
  </si>
  <si>
    <t>RUTAS DE LIMA S.A.C.</t>
  </si>
  <si>
    <t>DISTRIBUCIONES Y MULTISERVICIOS COROPUNA E.I.R.L.</t>
  </si>
  <si>
    <t>FEMACO S.R.L.</t>
  </si>
  <si>
    <t>AZUL SOSTENIBLE S.A.C BIC</t>
  </si>
  <si>
    <t>FLORES &amp; BANDA ABOGADOS S.A.C.</t>
  </si>
  <si>
    <t>PULSO CORPORACION MEDICA S.A.C.</t>
  </si>
  <si>
    <t>SERVICIOS GENERALES H Y M LA COLINA AQP E.I.R.L.</t>
  </si>
  <si>
    <t>QUISPE GUTIERREZ EUFRACIA</t>
  </si>
  <si>
    <t>NEUMA CENTER AMAZON S.A.C.</t>
  </si>
  <si>
    <t>CIFREN E.I.R.L.</t>
  </si>
  <si>
    <t>JOSE MARCELO REPRESENTACIONES E.I.R.L.</t>
  </si>
  <si>
    <t>VALENCIA GUTIERREZ ZOILA VIRGINIA</t>
  </si>
  <si>
    <t>RODRIGUEZ CCOMPI NATTY</t>
  </si>
  <si>
    <t>REPUESTOS Y MAQUINARIAS S.A.</t>
  </si>
  <si>
    <t>PARI RODRIGUEZ KAROL LICET</t>
  </si>
  <si>
    <t>AGREGADOS DARWIN E.I.R.L.</t>
  </si>
  <si>
    <t>TRANSPORTES HERMAN S.R.L.</t>
  </si>
  <si>
    <t>GUZMAN ZUÑIGA KATHIA DANIELA</t>
  </si>
  <si>
    <t>DE LA CRUZ SOLIER ALDO RONALDO</t>
  </si>
  <si>
    <t>RECICLADORA LAS LOMAS E.I.R.L.</t>
  </si>
  <si>
    <t>LARICO APAZA NANCY ROSSMARY</t>
  </si>
  <si>
    <t>TRELLES MAMANI ELMER</t>
  </si>
  <si>
    <t>REVOLLO BUSTINZA JORGE LUIS</t>
  </si>
  <si>
    <t>DISTRIBUIDORA AREQUIPA MAJES E.I.R.L.</t>
  </si>
  <si>
    <t>REPUESTOS NUEVA ERA E.I.R.L.</t>
  </si>
  <si>
    <t>G Y A MULTISERVICIOS EL TREBOL S.R.L.</t>
  </si>
  <si>
    <t>REMINSUR S.R.L.</t>
  </si>
  <si>
    <t>CONCESIONARIA PERUANA DE VIAS-COVINCA S.A.</t>
  </si>
  <si>
    <t>MELENDEZ CHALLCO ALBERTO</t>
  </si>
  <si>
    <t>GRUPO EMPRESARIAL MDM E.I.R.L.</t>
  </si>
  <si>
    <t>NO ESPECIFICADO</t>
  </si>
  <si>
    <t>MONTENEGRO LOPEZ EMILIANO ALCIDES</t>
  </si>
  <si>
    <t>MARQUEZ RAMOS RAMIRO</t>
  </si>
  <si>
    <t>CUADROS AHUMADA JUSTINA</t>
  </si>
  <si>
    <t>ABARCA APFATA MIGUEL ANGEL</t>
  </si>
  <si>
    <t>ALVARADO ALAMA ADRIAN</t>
  </si>
  <si>
    <t>APAZA CASTRO LUIS ALFREDO</t>
  </si>
  <si>
    <t>AYMA PURHUAYA MARITZA JUANA</t>
  </si>
  <si>
    <t>CARDENAS MAYTA MARCO ANTONIO</t>
  </si>
  <si>
    <t>QUISPE HUISACAYNA DANIEL JULINHO</t>
  </si>
  <si>
    <t>SOLIS FLORIDO ESTEBAN MIGUEL</t>
  </si>
  <si>
    <t>TINUCO TORRES ROMARIO</t>
  </si>
  <si>
    <t>VELASQUEZ CONDORI JOEL JONATHAN</t>
  </si>
  <si>
    <t>VIZA CACERES WAY BRIAN</t>
  </si>
  <si>
    <t>PAUCCARA CONDORI ALFREDO JULIAN</t>
  </si>
  <si>
    <t>21598849098067</t>
  </si>
  <si>
    <t>SERVICONSTRUYE S.A.C.</t>
  </si>
  <si>
    <t>GRIFOS PEBSA S.A.</t>
  </si>
  <si>
    <t>JLU REPRESENTACIONES E.I.R.L.</t>
  </si>
  <si>
    <t>JAHUIRA CALDERON HELGA DANITZA</t>
  </si>
  <si>
    <t>ZONA ESPECIAL DE DESARROLLO ZED MATARANI</t>
  </si>
  <si>
    <t>TURISMO INTERNACIONAL PALOMINO S.A.C.</t>
  </si>
  <si>
    <t>MAKRO SUPERMAYORISTA S.A.</t>
  </si>
  <si>
    <t>GONZALES CABRERA JUAN MIGUEL</t>
  </si>
  <si>
    <t>KEROS AQP E.I.R.L.</t>
  </si>
  <si>
    <t>RODRIGUEZ PUTAPAÑA JUAN LUIS</t>
  </si>
  <si>
    <t>VEMINS SERVICIOS GASTRONOMICOS E.I.R.L.</t>
  </si>
  <si>
    <t>CARRETERA ANDINA DEL SUR S.A.C.</t>
  </si>
  <si>
    <t>GUEVARA PEREZ MARIA</t>
  </si>
  <si>
    <t>ORDOÑEZ CORNEJO SERGIO RAUL</t>
  </si>
  <si>
    <t>YEPEZ RAMOS KAROLL MARILIA</t>
  </si>
  <si>
    <t>PACIFICO COMPAÑIA DE SEGUROS Y REASEGUROS</t>
  </si>
  <si>
    <t>CONCESIONARIA VIAL DEL PERU S.A</t>
  </si>
  <si>
    <t>PROVIAS NACIONAL</t>
  </si>
  <si>
    <t>R.E.T. &amp; SAN S.R.L.</t>
  </si>
  <si>
    <t>YATACO FLORES JUAN DE DIOS</t>
  </si>
  <si>
    <t>MOROCCO HUANCA DORIS</t>
  </si>
  <si>
    <t>HURTADO HUAMAN CARMINA AUDELIA</t>
  </si>
  <si>
    <t>PERUVIAN GROUP FREDAL S.A.C</t>
  </si>
  <si>
    <t>MENDEZ MAMANI EDUARDO VICTOR GABRIEL</t>
  </si>
  <si>
    <t>GRUPO TERAN S.A.C</t>
  </si>
  <si>
    <t>LA POSITIVA S.A. ENTIDAD PRESTADORA DE SALUD</t>
  </si>
  <si>
    <t>SALCEDO ARMUTO DE DELGADO BENIGNA</t>
  </si>
  <si>
    <t>LOGAL GROUP AQP S.R.L.</t>
  </si>
  <si>
    <t>ALEXANDER COMPUTER S.R.L. - ALECOM S.R.L.</t>
  </si>
  <si>
    <t>LLAMO FLORES CARLOS MANUEL</t>
  </si>
  <si>
    <t>MAQUERA NAVEZ OSCAR NICANOR</t>
  </si>
  <si>
    <t>RODRIGUEZ ROJAS WILDER CARLOS</t>
  </si>
  <si>
    <t>GENOVEZ BERNO ESTEFANI ADRIANA</t>
  </si>
  <si>
    <t>CONDORI SUPO PABLO VIRGILIO</t>
  </si>
  <si>
    <t>21532293299089</t>
  </si>
  <si>
    <t>BANCO DE CREDITO DEL PERU</t>
  </si>
  <si>
    <t>RAMIREZ CARDENAS ARMANDO ANGEL</t>
  </si>
  <si>
    <t>CABANA VALDIVIA DAVID SALOMON</t>
  </si>
  <si>
    <t>SERVICENTRO SANTA MARTHA E.I.R.LTDA.</t>
  </si>
  <si>
    <t>SANCHEZ ORMACHEA MAGDALENA RAISA</t>
  </si>
  <si>
    <t>LAZARTE QUISPE ELVIS WALDIR</t>
  </si>
  <si>
    <t>CHAHUA CACERES JEAN PIERRE</t>
  </si>
  <si>
    <t>FACTORING PRESTAMYPE S.A.C.</t>
  </si>
  <si>
    <t>CAMERO CARNERO DANIELA ESTHER</t>
  </si>
  <si>
    <t>MOLINA CHAVEZ SALVADOR JOAQUIN</t>
  </si>
  <si>
    <t>ALCCA SALDIVAR DANIEL</t>
  </si>
  <si>
    <t>A &amp; M SOLUCIONES E.I.R.L.</t>
  </si>
  <si>
    <t>PAUCAR PRADO ALEXIS LORENZO</t>
  </si>
  <si>
    <t>HINOSTROZA RAMIREZ JOEL ALEXANDER</t>
  </si>
  <si>
    <t>SAFECON PERU E.I.R.L.</t>
  </si>
  <si>
    <t>HUILLCA CCONISLLA JOSE CARLOS</t>
  </si>
  <si>
    <t>VASQUEZ ASTOCONDOR TONY BAKER</t>
  </si>
  <si>
    <t>E &amp; M SEÑALIZACIONES S.A.C.</t>
  </si>
  <si>
    <t>FONBIENES PERU EMPRESA ADMINISTRADORA DE FONDOS COLECTIVOS S.A.</t>
  </si>
  <si>
    <t>CORPORACION INDUSTRIAL CES S.A.C.</t>
  </si>
  <si>
    <t>TRANSPORTES EXPRESS Y TURISMO JEAN BUSS S.C.R.L.</t>
  </si>
  <si>
    <t>MAMANI PACCO ERICK ROMULO</t>
  </si>
  <si>
    <t>HARET CORPORACIÓN CHALHUAYANI E.I.R.L.</t>
  </si>
  <si>
    <t>ESPINOZA BRITTO TRADING PERU E.I.R.L.</t>
  </si>
  <si>
    <t>LIBRERIAS PANDORA E.I.R.L.</t>
  </si>
  <si>
    <t>CHAVEZ PINO JOSE FRANCISCO</t>
  </si>
  <si>
    <t>CORONEL CCASANI DAVID KILLER</t>
  </si>
  <si>
    <t>FLORES CLAVIJO ANGEL ALFONSO</t>
  </si>
  <si>
    <t>GOMEZ TTITO NICK ALEXSANDRO</t>
  </si>
  <si>
    <t>HUANUCO ORTEGA JACK MANUEL</t>
  </si>
  <si>
    <t>HUAMANI HUAMANI MARY LUZ</t>
  </si>
  <si>
    <t>HUAYTA MAMANI YENS ALEJANDRO</t>
  </si>
  <si>
    <t>LEÓN CHAVEZ JOHAN JOEL</t>
  </si>
  <si>
    <t>QUINTANILLA RIVERA HEBER FREDLET</t>
  </si>
  <si>
    <t>SUPO QUISPE RONALD HUMBERTO</t>
  </si>
  <si>
    <t>VASQUEZ MACHACA ERICK JOEL</t>
  </si>
  <si>
    <t>CONSA HUAYTAPUMA AGUSTIN</t>
  </si>
  <si>
    <t>HANCO ZELA BRAYAN GUSTAVO</t>
  </si>
  <si>
    <t>ROMERO CAMA ROXANA</t>
  </si>
  <si>
    <t>ESTRELLA GOLD PERU S.A.C.</t>
  </si>
  <si>
    <t>SANCHEZ RICO INGENIERIA Y CONSTRUCCION S.A.C.</t>
  </si>
  <si>
    <t>H &amp; P MANGUERAS Y CONEXIONES S.A.C.</t>
  </si>
  <si>
    <t>FLORES FLORES DOLORES MARIA</t>
  </si>
  <si>
    <t>ELIBEM IMPORT E.I.R.L.</t>
  </si>
  <si>
    <t>GASOLINERA LA PARCELA 45 S.A.C.</t>
  </si>
  <si>
    <t>BCP SOLES</t>
  </si>
  <si>
    <t>ITEM</t>
  </si>
  <si>
    <t>PORTAFOLIO</t>
  </si>
  <si>
    <t>TIPO DE R.</t>
  </si>
  <si>
    <t>FECHA</t>
  </si>
  <si>
    <t>RESPONSABLE</t>
  </si>
  <si>
    <t>TIPO DE MOV.</t>
  </si>
  <si>
    <t>DESTINATARIO</t>
  </si>
  <si>
    <t>TIPO DE DOCUMENTO</t>
  </si>
  <si>
    <t>SERIE</t>
  </si>
  <si>
    <t>NUMERO</t>
  </si>
  <si>
    <t>DESCRIPCIÓN / ACTIVIDAD</t>
  </si>
  <si>
    <t>N° OPERACIÓN</t>
  </si>
  <si>
    <t>MONEDA</t>
  </si>
  <si>
    <t>PARCIAL</t>
  </si>
  <si>
    <t xml:space="preserve">MONTO </t>
  </si>
  <si>
    <t>ABONO</t>
  </si>
  <si>
    <t>RETIRO</t>
  </si>
  <si>
    <t>SALDO</t>
  </si>
  <si>
    <t>VB° (1)</t>
  </si>
  <si>
    <t>VB° (2)</t>
  </si>
  <si>
    <t>CONSTANCIA (LINK)</t>
  </si>
  <si>
    <t>NOTA 1</t>
  </si>
  <si>
    <t>NOTA 2</t>
  </si>
  <si>
    <t>NOTA 3</t>
  </si>
  <si>
    <t>NOTA 4</t>
  </si>
  <si>
    <t>NOTA 5</t>
  </si>
  <si>
    <t>PERIODO</t>
  </si>
  <si>
    <t>R</t>
  </si>
  <si>
    <t>Elias</t>
  </si>
  <si>
    <t>Saldo Inicial - Ejercicio 2024</t>
  </si>
  <si>
    <t>-</t>
  </si>
  <si>
    <t>BCP</t>
  </si>
  <si>
    <t>EGRESO</t>
  </si>
  <si>
    <t>Impuesto ITF</t>
  </si>
  <si>
    <t>OK</t>
  </si>
  <si>
    <t xml:space="preserve">Judith </t>
  </si>
  <si>
    <t>F012</t>
  </si>
  <si>
    <t>OC 001 – N° 001696 Residuos Aprovechables</t>
  </si>
  <si>
    <t>DANPER TRUJILLO S.A.C.</t>
  </si>
  <si>
    <t>F012-6999</t>
  </si>
  <si>
    <t>INGRESO</t>
  </si>
  <si>
    <t>FE01</t>
  </si>
  <si>
    <t>BCO.CITI0030396316</t>
  </si>
  <si>
    <t xml:space="preserve">GYTRES S.A.C. </t>
  </si>
  <si>
    <t>FE01-424</t>
  </si>
  <si>
    <t>FE05</t>
  </si>
  <si>
    <t>DE ALEACIONES FERROSAS</t>
  </si>
  <si>
    <t>FE05-116</t>
  </si>
  <si>
    <t>VARIOS MOLY-COP ADESUR</t>
  </si>
  <si>
    <t>FE01-488
FE01-490</t>
  </si>
  <si>
    <t>FE02</t>
  </si>
  <si>
    <t>FE02-160</t>
  </si>
  <si>
    <t>Varios</t>
  </si>
  <si>
    <t>TRAN.CTAS.TERC.BM</t>
  </si>
  <si>
    <t>D</t>
  </si>
  <si>
    <t>Hilmer Nayra</t>
  </si>
  <si>
    <t>003- N° 000507</t>
  </si>
  <si>
    <t>003- N° 000508</t>
  </si>
  <si>
    <t>Alfonso Arenas Neyra</t>
  </si>
  <si>
    <t>003- N° 000509</t>
  </si>
  <si>
    <t>Jesús Cieza Ochoa</t>
  </si>
  <si>
    <t>003- N° 000511</t>
  </si>
  <si>
    <t>003- N° 000519</t>
  </si>
  <si>
    <t>003- N° 000513</t>
  </si>
  <si>
    <t>Leonor Bustinza</t>
  </si>
  <si>
    <t>003- N° 000514</t>
  </si>
  <si>
    <t>Adelmar Cruzada Burgos</t>
  </si>
  <si>
    <t>003- N° 000515</t>
  </si>
  <si>
    <t>De transportes jirena</t>
  </si>
  <si>
    <t>FE01-275</t>
  </si>
  <si>
    <t>PROV TLC 000246</t>
  </si>
  <si>
    <t xml:space="preserve">VARIOS </t>
  </si>
  <si>
    <t>F001</t>
  </si>
  <si>
    <t>F102</t>
  </si>
  <si>
    <t>E001</t>
  </si>
  <si>
    <t>F865</t>
  </si>
  <si>
    <t>COES020558226979</t>
  </si>
  <si>
    <t>COESTI</t>
  </si>
  <si>
    <t>F865-0140474</t>
  </si>
  <si>
    <t>F865-0140463</t>
  </si>
  <si>
    <t>BCO.SCOT</t>
  </si>
  <si>
    <t>FE01-487
FE01-492</t>
  </si>
  <si>
    <t>Disposicion residuos peligrosos - 06.01.2025</t>
  </si>
  <si>
    <t>PROV TLC 000247</t>
  </si>
  <si>
    <t xml:space="preserve">Ana </t>
  </si>
  <si>
    <t>DETR.MASIVA 7111887292</t>
  </si>
  <si>
    <t xml:space="preserve">SUNAT </t>
  </si>
  <si>
    <t>Liquidacion de Beneficios Sociales - CANA NN ERNESTO ALEJANDRO</t>
  </si>
  <si>
    <t>CANA NN ERNESTO ALEJANDRO</t>
  </si>
  <si>
    <t>Liquidacion de Beneficios Sociales - VELA CRUZ JOSEPH ALBERTH</t>
  </si>
  <si>
    <t>RH E001-485, RQ.GH.123 Asesoría formulación del sistema disciplinario en coordinación</t>
  </si>
  <si>
    <t>E001-485</t>
  </si>
  <si>
    <t>COM.CCE PRO 000247</t>
  </si>
  <si>
    <t>FN01-28143515</t>
  </si>
  <si>
    <t>COMIS PAGO DETRACCION</t>
  </si>
  <si>
    <t>FN01-28133023</t>
  </si>
  <si>
    <t>0000000479 METALURGICA</t>
  </si>
  <si>
    <t>FE01-479</t>
  </si>
  <si>
    <t>Verónica Capatinta Castillo</t>
  </si>
  <si>
    <t>001- N° 003972</t>
  </si>
  <si>
    <t>Alquiler Alm Huaranguillo2 Ener25</t>
  </si>
  <si>
    <t>F002</t>
  </si>
  <si>
    <t>F002-1483, RQ.COM.221 transporte tercerizado para el carguío de chatarra metálica</t>
  </si>
  <si>
    <t>EMPRESA DE TRANSPORTES DE CARGA COSISE S</t>
  </si>
  <si>
    <t>F002-1483</t>
  </si>
  <si>
    <t>Saldo E001-787, RQ.COM.216 Servicio de tranasporte de fardos de Noils de Inca Tops</t>
  </si>
  <si>
    <t>TRANSPORTES NEGOCIACIONES BENDEZU S.A.C</t>
  </si>
  <si>
    <t>E001-787</t>
  </si>
  <si>
    <t>F002-1924, RQ.OPE.812 compra de batería para la unidad FOTÓN BKK-849</t>
  </si>
  <si>
    <t>F002-1924</t>
  </si>
  <si>
    <t>F865-0141105</t>
  </si>
  <si>
    <t>Elías</t>
  </si>
  <si>
    <t>PAGO DETRAC 7167801788</t>
  </si>
  <si>
    <t>RANS000001077397  - OC 001 - N° 0001703</t>
  </si>
  <si>
    <t>RANSA COMERCIAL S.A.</t>
  </si>
  <si>
    <t>F001-65627</t>
  </si>
  <si>
    <t>Imer</t>
  </si>
  <si>
    <t>IZI*SULU 1</t>
  </si>
  <si>
    <t>FN01-28167251</t>
  </si>
  <si>
    <t>001- N° 004020</t>
  </si>
  <si>
    <t>001- N° 004022</t>
  </si>
  <si>
    <t>001- N° 004023</t>
  </si>
  <si>
    <t>001- N° 004042</t>
  </si>
  <si>
    <t>DE EMPRESA CONSERVADOR</t>
  </si>
  <si>
    <t>FE02-167</t>
  </si>
  <si>
    <t>Entregas a Rendir - Imer Bustamante Gil</t>
  </si>
  <si>
    <t>Caja Arequipa - Juber Monteza - Cuota 27</t>
  </si>
  <si>
    <t>FFF1</t>
  </si>
  <si>
    <t>FFF1-000090 Servicio de Internet Enero 2025</t>
  </si>
  <si>
    <t xml:space="preserve">FFF1-000090 </t>
  </si>
  <si>
    <t>E001-180, RQ.GER.043 Servicio de evaluación psicolaboral (Eduardo Vizcardo Alarcon)</t>
  </si>
  <si>
    <t>R R CONSULTORIAS Y ASESORIAS EIRL</t>
  </si>
  <si>
    <t>E001-180</t>
  </si>
  <si>
    <t>E001-312 Servicio de Internet mes de Enero 2025 - FIXER TELECOMUNICACIONES S.A.C</t>
  </si>
  <si>
    <t>ARO SANO CRISTHIAN JUNIOR</t>
  </si>
  <si>
    <t>E001-312</t>
  </si>
  <si>
    <t>Devolucion - transferencia indebida - Op 2039413</t>
  </si>
  <si>
    <t>Jose Pata Quispe</t>
  </si>
  <si>
    <t>001- N° 004066</t>
  </si>
  <si>
    <t>Jose Acrota Huayta</t>
  </si>
  <si>
    <t>001- N° 004026</t>
  </si>
  <si>
    <t>Lidia Gonzales Chambi</t>
  </si>
  <si>
    <t>001- N° 004070</t>
  </si>
  <si>
    <t>F001-1629, RQ.GER.044 02 licencias para curso virtual de Gerencia de Análisis de Costos</t>
  </si>
  <si>
    <t>MAYUGO EDUCATION SAC</t>
  </si>
  <si>
    <t>F001-1629</t>
  </si>
  <si>
    <t>PROV TLC 000248</t>
  </si>
  <si>
    <t>VARIOS FLSMIDTH S.A.C.</t>
  </si>
  <si>
    <t>FE01-457
FE01-458</t>
  </si>
  <si>
    <t>DE CORPORACION DINA E</t>
  </si>
  <si>
    <t>001- N° 004067</t>
  </si>
  <si>
    <t>FE02-171</t>
  </si>
  <si>
    <t>FE05-45</t>
  </si>
  <si>
    <t>Pago detrac 7217149602</t>
  </si>
  <si>
    <t>PROV TLC 12</t>
  </si>
  <si>
    <t>FF03</t>
  </si>
  <si>
    <t>Tramite de Copia Literal 09.01.2025 - SUNARP</t>
  </si>
  <si>
    <t>F040</t>
  </si>
  <si>
    <t>POSI020558226979 / SCTR SALUD-EPS</t>
  </si>
  <si>
    <t>LA POSITIVA SOLES</t>
  </si>
  <si>
    <t>F040- 00473371</t>
  </si>
  <si>
    <t>OC 001 – N° 001709 Residuos Aprovechables</t>
  </si>
  <si>
    <t>TUBERIAS Y GEOSISTEMAS DEL PERU S.A</t>
  </si>
  <si>
    <t>FF03-1541</t>
  </si>
  <si>
    <t>RQ.OPE.857 Entregas a rendir - ER-001-0022025</t>
  </si>
  <si>
    <t>FN01-28275555</t>
  </si>
  <si>
    <t>PROV TLC 16</t>
  </si>
  <si>
    <t>Liquidacion de Beneficios - SALCEDO SALCEDO RONALD RONALDINO</t>
  </si>
  <si>
    <t>SALCEDO SALCEDO RONALD RONALDINO</t>
  </si>
  <si>
    <t>Liquidacion de Beneficios - SALCEDO SALCEDO RONALD DONATO</t>
  </si>
  <si>
    <t>Disposicion residuos no aprovechables - 13.01.2025</t>
  </si>
  <si>
    <t>SEDA000002524954</t>
  </si>
  <si>
    <t>SEDAPAR</t>
  </si>
  <si>
    <t>001-57939153</t>
  </si>
  <si>
    <t>FE21</t>
  </si>
  <si>
    <t>VERI000001503275</t>
  </si>
  <si>
    <t>VERISURE PERU SAC</t>
  </si>
  <si>
    <t>FE21-20121</t>
  </si>
  <si>
    <t>S001</t>
  </si>
  <si>
    <t>SOC0000000564036</t>
  </si>
  <si>
    <t>SOC ELEC SUR OESTE</t>
  </si>
  <si>
    <t>S001-28197936</t>
  </si>
  <si>
    <t>ENTE000979510320</t>
  </si>
  <si>
    <t>S105</t>
  </si>
  <si>
    <t>SEDA000004222565</t>
  </si>
  <si>
    <t>S105-19753784</t>
  </si>
  <si>
    <t>Envases y Soluciones Logística W&amp;R(Lima)</t>
  </si>
  <si>
    <t>001- N° 003861</t>
  </si>
  <si>
    <t>001- N° 004075</t>
  </si>
  <si>
    <t>E020000173 CORPORACION</t>
  </si>
  <si>
    <t>FE02-173</t>
  </si>
  <si>
    <t>002- N° 000641</t>
  </si>
  <si>
    <t>Clientes Varios</t>
  </si>
  <si>
    <t>001- N° 004077</t>
  </si>
  <si>
    <t>FE02-174</t>
  </si>
  <si>
    <t>Eliza Centeno Sanchez</t>
  </si>
  <si>
    <t>DEPOSITO AG 989437</t>
  </si>
  <si>
    <t>001- N° 004080</t>
  </si>
  <si>
    <t>Miguel Angel Huanuco Ruchasa</t>
  </si>
  <si>
    <t>002- N° 000698</t>
  </si>
  <si>
    <t>PROV TLC 17</t>
  </si>
  <si>
    <t>F100</t>
  </si>
  <si>
    <t>Reposición - Caja Conductores - 2025 / RCO-01</t>
  </si>
  <si>
    <t>RCO-01</t>
  </si>
  <si>
    <t xml:space="preserve">Elías </t>
  </si>
  <si>
    <t>Liquidacion de Beneficios - QUISPE ARVIRI EDWIN LUCIO</t>
  </si>
  <si>
    <t>F867</t>
  </si>
  <si>
    <t>F867-0140698</t>
  </si>
  <si>
    <t>F865-0142235</t>
  </si>
  <si>
    <t>OC 001 – N° 001715 Residuos Aprovechables</t>
  </si>
  <si>
    <t>F012-6980</t>
  </si>
  <si>
    <t>OC 001 – N° 001714 Residuos Aprovechables</t>
  </si>
  <si>
    <t>COM.CCE PRO 000017</t>
  </si>
  <si>
    <t>DE CORPORMEDIOAMBIENT</t>
  </si>
  <si>
    <t>FE02-152</t>
  </si>
  <si>
    <t>Cesar Oyos Portal</t>
  </si>
  <si>
    <t>001- N° 003988</t>
  </si>
  <si>
    <t>001- N° 003996</t>
  </si>
  <si>
    <t>001- N° 003998</t>
  </si>
  <si>
    <t>F136</t>
  </si>
  <si>
    <t>F136-9090 Combustible</t>
  </si>
  <si>
    <t>ESTACION DE SERVICIOS MI GRIFO S.R.L.</t>
  </si>
  <si>
    <t>F136-9090</t>
  </si>
  <si>
    <t xml:space="preserve">BCP </t>
  </si>
  <si>
    <t>PAGOS AFP INTEGRA</t>
  </si>
  <si>
    <t>AFP INTEGRA</t>
  </si>
  <si>
    <t>DETR.MASIVA 7316845602</t>
  </si>
  <si>
    <t>PAGOS AFP PRIMA</t>
  </si>
  <si>
    <t>AFP PRIMA</t>
  </si>
  <si>
    <t>PROV TLC 18</t>
  </si>
  <si>
    <t>PAGOS AFP HABITAT</t>
  </si>
  <si>
    <t>AFP HABITAT</t>
  </si>
  <si>
    <t>PAGOS AFP PROFUTUR</t>
  </si>
  <si>
    <t>AFP PROFUTURO</t>
  </si>
  <si>
    <t>E001-131 RQ.GH.129 Capacitación tema "Comunicación efectiva"</t>
  </si>
  <si>
    <t>NAYSHA FABIOLA LEON CORNEJO</t>
  </si>
  <si>
    <t>E001-131</t>
  </si>
  <si>
    <t>Disposicion residuos no aprovechables - 14.01.2025</t>
  </si>
  <si>
    <t>FE02-161</t>
  </si>
  <si>
    <t>BCO.BBVA99999999999999</t>
  </si>
  <si>
    <t>FE02-176</t>
  </si>
  <si>
    <t>OC 001 – N° 001719 Residuos Aprovechables</t>
  </si>
  <si>
    <t>F012-7082</t>
  </si>
  <si>
    <t>DE KANAY S.A.C.</t>
  </si>
  <si>
    <t>FE01-408</t>
  </si>
  <si>
    <t>MANT TD ADIC NEG</t>
  </si>
  <si>
    <t>FN01-28691588</t>
  </si>
  <si>
    <t>E010000466 CUENTA GENE</t>
  </si>
  <si>
    <t>FE01-466</t>
  </si>
  <si>
    <t>001- N° 004083</t>
  </si>
  <si>
    <t>001- N° 004090</t>
  </si>
  <si>
    <t>Disposicion residuos no aprovechables - 16.01.2025</t>
  </si>
  <si>
    <t>S106</t>
  </si>
  <si>
    <t>S106-00601719</t>
  </si>
  <si>
    <t>SOC0000000352931</t>
  </si>
  <si>
    <t>S001-28198089</t>
  </si>
  <si>
    <t>S9AA</t>
  </si>
  <si>
    <t>TDPC000605276769</t>
  </si>
  <si>
    <t>MOVISTAR-TELEFONICA</t>
  </si>
  <si>
    <t>S9AA-64766093</t>
  </si>
  <si>
    <t>LUZ0000000967816</t>
  </si>
  <si>
    <t>FALTA PAGAR UNA FACTURA</t>
  </si>
  <si>
    <t>LUZ DEL SUR SAA</t>
  </si>
  <si>
    <t>S002-66903117
S002-65549447</t>
  </si>
  <si>
    <t>RQ.OPE.878 Entregas a rendir/ ER-001-0012025</t>
  </si>
  <si>
    <t>FE05-121</t>
  </si>
  <si>
    <t>FE05-120</t>
  </si>
  <si>
    <t>FE05-118</t>
  </si>
  <si>
    <t>FE05-122</t>
  </si>
  <si>
    <t>RQ.SSO.182 compra de cinta antideslizante para colocar en las gradas (03)</t>
  </si>
  <si>
    <t>DISTRIBUIDORA TOTAL SAFETY EIRL</t>
  </si>
  <si>
    <t>F001-497</t>
  </si>
  <si>
    <t>RQ.LOG.227 Entregas a rendir/ ER-001-0052025</t>
  </si>
  <si>
    <t>0000000497 GRANJA RINC</t>
  </si>
  <si>
    <t>FE01-497</t>
  </si>
  <si>
    <t>PAGO VISA</t>
  </si>
  <si>
    <t>PROV TLC 19</t>
  </si>
  <si>
    <t>Cambio de soles a dolares TC: 3.749</t>
  </si>
  <si>
    <t>GESTION Y TRANSPORTE DE RESIDUOS SAC</t>
  </si>
  <si>
    <t>E001-747, RQ.OPE.863 por transporte de residuos</t>
  </si>
  <si>
    <t>TRANSPORTES UNIDEST SAC</t>
  </si>
  <si>
    <t>E001-747</t>
  </si>
  <si>
    <t>Compartamos Financiera - Cuota 27</t>
  </si>
  <si>
    <t>F002-17996 - RQ.OPE.817 mantenimiento preventivo de la camioneta Maxus VBW-889</t>
  </si>
  <si>
    <t>TRENTO MULTISERVICIOS SOCIEDAD COMERCIAL</t>
  </si>
  <si>
    <t>F002-17996</t>
  </si>
  <si>
    <t>Adelanto de Sueldo - Enero 2025 - LEON NN WILLIAN JOHAN</t>
  </si>
  <si>
    <t>LEON NN WILLIAN JOHAN</t>
  </si>
  <si>
    <t>Adelanto de Sueldo - Enero 2025 - PONCE FEBRES GLEEN STEV</t>
  </si>
  <si>
    <t>Adelanto de Sueldo - Enero 2024 - MÁRQUEZ AVILA FERNANDO JESÚS</t>
  </si>
  <si>
    <t>Adelanto de Sueldo - Enero 2025 - CRISSLEY LAZARTE AGUIRRE</t>
  </si>
  <si>
    <t>CRISSLEY LAZARTE AGUIRRE</t>
  </si>
  <si>
    <t>Adelanto de Sueldo - Enero 2025 - QUEQUE ANCO JORGE LUIS</t>
  </si>
  <si>
    <t>E001-451, RQ.SIG.021, Servicio de Actualización de la matriz de Requisitos Legales</t>
  </si>
  <si>
    <t>E001-451</t>
  </si>
  <si>
    <t>E001-110, RQ.SSO.188 Actualización de los mapas de riesgos de las instalaciones.</t>
  </si>
  <si>
    <t>MURILLO CALSIN JORDAN EDHER FRANKLIN</t>
  </si>
  <si>
    <t>E001-110</t>
  </si>
  <si>
    <t>Adelanto de Sueldo - Enero 2025 - ROSPIGLIOSI MANRIQUE NATALIA SOMMER</t>
  </si>
  <si>
    <t>DE TECNIFLOW SAC</t>
  </si>
  <si>
    <t>FE01-484</t>
  </si>
  <si>
    <t>FE05-112</t>
  </si>
  <si>
    <t>E020000180 CORPORACION</t>
  </si>
  <si>
    <t>FE02-180</t>
  </si>
  <si>
    <t>002- N° 000703</t>
  </si>
  <si>
    <t>DEPOSITO EFECTIVO</t>
  </si>
  <si>
    <t>FE02-168</t>
  </si>
  <si>
    <t xml:space="preserve">RQ.LOG.230  Compra de útiles </t>
  </si>
  <si>
    <t>CHOPERS DISTRIBUCIONES E.I.R.L</t>
  </si>
  <si>
    <t>F001-175851</t>
  </si>
  <si>
    <t>Oscar Alfredo Monterola Huayani</t>
  </si>
  <si>
    <t>DEPOSITO AG 991183</t>
  </si>
  <si>
    <t>001- N° 004069</t>
  </si>
  <si>
    <t>F865-0143182</t>
  </si>
  <si>
    <t>PROV TLC 000250</t>
  </si>
  <si>
    <t>Liquidacion de Beneficios Sociales - GONZALO CHAMBILLA ANA ABIGAIL</t>
  </si>
  <si>
    <t>F865-0143100</t>
  </si>
  <si>
    <t>OC 001 – N° 001723 Residuos Aprovechables</t>
  </si>
  <si>
    <t>F012-7084</t>
  </si>
  <si>
    <t>OC 001 – N° 001722 Residuos Aprovechables</t>
  </si>
  <si>
    <t>F012-7083</t>
  </si>
  <si>
    <t>CONTRERAS PIMENTEL MAGDALENA</t>
  </si>
  <si>
    <t>002- N° 000701</t>
  </si>
  <si>
    <t>Devolución - RQ.OPE.878 Entregas a rendir/ ER-001-0012025</t>
  </si>
  <si>
    <t>Hugo Rodriguez Barreda</t>
  </si>
  <si>
    <t>001- N° 003442</t>
  </si>
  <si>
    <t xml:space="preserve">Fernando Marquez Avila </t>
  </si>
  <si>
    <t>TRANSF.BCO.INTERBANK</t>
  </si>
  <si>
    <t>EMBARGOEC002760647 / Expediente Coactivo N° 033845-S-2024-SUTRAN/06.4.4-EC - Referencia: EC002760647</t>
  </si>
  <si>
    <t>https://gytres-my.sharepoint.com/:b:/p/finanzas/EehPK2XutWdLr1rcrEIG5uUB7Z_ZgNLemcqzAu_Yymi3fw?e=IyQqOv</t>
  </si>
  <si>
    <t>Financiera Confianza - 104-009773582-1 Cuota (18-21)</t>
  </si>
  <si>
    <t>PINTO QUISPE HERON EDGARD</t>
  </si>
  <si>
    <t>F002-1545, RQ.COM.233 por el servicio de transporte de envases vacíos de Chala hacia lima</t>
  </si>
  <si>
    <t>F002-1545</t>
  </si>
  <si>
    <t>DE MOVITECNICA SA</t>
  </si>
  <si>
    <t>FE01-502</t>
  </si>
  <si>
    <t>001- N° 004097</t>
  </si>
  <si>
    <t>Scomar S.R.L</t>
  </si>
  <si>
    <t>001- N° 001184</t>
  </si>
  <si>
    <t>0100000501 UNIVERSIDAD</t>
  </si>
  <si>
    <t>FE01-501</t>
  </si>
  <si>
    <t>E001-322 Servicio de Internet mes de Enero 2025 - FIXER TELECOMUNICACIONES S.A.C</t>
  </si>
  <si>
    <t xml:space="preserve">E001-322 </t>
  </si>
  <si>
    <t>F135</t>
  </si>
  <si>
    <t>F135-6228 Combustible</t>
  </si>
  <si>
    <t>F135-6228</t>
  </si>
  <si>
    <t>F136-9164 Combustible</t>
  </si>
  <si>
    <t>F136-9164</t>
  </si>
  <si>
    <t>F015</t>
  </si>
  <si>
    <t>CLAR000003358327</t>
  </si>
  <si>
    <t>CLARO</t>
  </si>
  <si>
    <t>F015-00268720</t>
  </si>
  <si>
    <t>SB01</t>
  </si>
  <si>
    <t>TELE000915030176</t>
  </si>
  <si>
    <t>SB01-513808883</t>
  </si>
  <si>
    <t>E001-1197, RQ.SSO.154 Monitoreo Ocupacional</t>
  </si>
  <si>
    <t>MONECO S.A.C.</t>
  </si>
  <si>
    <t>E001-1197</t>
  </si>
  <si>
    <t>COM.CCE PRO 000026</t>
  </si>
  <si>
    <t>PROV TLC 26</t>
  </si>
  <si>
    <t>Roxana Merma Mayhua</t>
  </si>
  <si>
    <t>001- N° 004103</t>
  </si>
  <si>
    <t>001- N° 004016</t>
  </si>
  <si>
    <t>001- N° 004029</t>
  </si>
  <si>
    <t>001- N° 004035</t>
  </si>
  <si>
    <t>DEPOSITO AG 997856</t>
  </si>
  <si>
    <t>002- N° 000704</t>
  </si>
  <si>
    <t>BCO.CITI0030711541</t>
  </si>
  <si>
    <t>FE01-465
FE01-470</t>
  </si>
  <si>
    <t>FE02-169</t>
  </si>
  <si>
    <t>FE02-179</t>
  </si>
  <si>
    <t>FE02-178</t>
  </si>
  <si>
    <t>FE02-172</t>
  </si>
  <si>
    <t>COM.CCE PRO 000251</t>
  </si>
  <si>
    <t>RH E001-23, RQ.GH.132 Capacitación sobre Manejo del estrés y resolución de conflictos.</t>
  </si>
  <si>
    <t>BEGAZO ARISPE CESAR JAVIER</t>
  </si>
  <si>
    <t>E001-23</t>
  </si>
  <si>
    <t>Devolucion pago en exceso FE01419</t>
  </si>
  <si>
    <t>RH E001-22, RQ.GH.133 Aplicación de evaluaciones psicolaborales a 15 colaboradores</t>
  </si>
  <si>
    <t>E001-22</t>
  </si>
  <si>
    <t>RQ.COM.234 Entregas a rendir - ER-001-0032025</t>
  </si>
  <si>
    <t>PROV TLC 000251</t>
  </si>
  <si>
    <t>F003</t>
  </si>
  <si>
    <t>VARIOS INCA TOPS S.A.</t>
  </si>
  <si>
    <t>FE01-464
FE01-480</t>
  </si>
  <si>
    <t>LAPO020558226979/ SEG.VIDA-SCTR PENSION-VIDA LEY</t>
  </si>
  <si>
    <t>F040-00603522</t>
  </si>
  <si>
    <t>FE05-123</t>
  </si>
  <si>
    <t>Maria Belen Labra Conza</t>
  </si>
  <si>
    <t>001- N° 004102</t>
  </si>
  <si>
    <t xml:space="preserve">Devolución RQ.OPE.751 - Entregas a rendir </t>
  </si>
  <si>
    <t>Juan Gallardo</t>
  </si>
  <si>
    <t>001- N° 004109</t>
  </si>
  <si>
    <t>Inicial (50%) F001-7381 IMPLEMENTACIÓN NEXTSIS - ERP , Licencia de uso</t>
  </si>
  <si>
    <t>SOLUCIONES DE INFORMACION NEXTSOFT S.A.C</t>
  </si>
  <si>
    <t>F001-7381</t>
  </si>
  <si>
    <t>001- N° 004114</t>
  </si>
  <si>
    <t>001- N° 004113</t>
  </si>
  <si>
    <t>PROV TLC 000252</t>
  </si>
  <si>
    <t>Devolucion de Ingreso - Nota de salida: 001- N° 004109 - REF OP: 1604910</t>
  </si>
  <si>
    <t>GALLARDO ZAVALETA JUAN JOSE</t>
  </si>
  <si>
    <t>OC 001 – N° 001735 Residuos Aprovechables</t>
  </si>
  <si>
    <t>F012-7081</t>
  </si>
  <si>
    <t>Detr.masiva 7514165467</t>
  </si>
  <si>
    <t>Reposición - Caja Conductores - 2025 / RCO-02</t>
  </si>
  <si>
    <t>RCO-02</t>
  </si>
  <si>
    <t>F864</t>
  </si>
  <si>
    <t>F864-0125580</t>
  </si>
  <si>
    <t>SUNA002307230533</t>
  </si>
  <si>
    <t>SUNAFIL</t>
  </si>
  <si>
    <t>SUNA002307230532</t>
  </si>
  <si>
    <t>F864-0125559</t>
  </si>
  <si>
    <t>Disposicion residuos no aprovechables - 29.01.2025</t>
  </si>
  <si>
    <t>Valorización de RCD</t>
  </si>
  <si>
    <t>E001-1011</t>
  </si>
  <si>
    <t>PROV TLC 000253</t>
  </si>
  <si>
    <t>PROV TLC 36</t>
  </si>
  <si>
    <t>RQ.OPE.903 Entregas a rendir/ER-001-0042025</t>
  </si>
  <si>
    <t>E001-1058, RQ.COM.232 Programa especializado en Director de ventas - Escuela de Marketing APEM</t>
  </si>
  <si>
    <t>E001-1058</t>
  </si>
  <si>
    <t>COM.CCE PRO 000036</t>
  </si>
  <si>
    <t>FE01-495
FE01-496
FE02-162
FE02-163</t>
  </si>
  <si>
    <t>DE H E PARTS INTERNATI</t>
  </si>
  <si>
    <t>FE01-521</t>
  </si>
  <si>
    <t>OC 001 – N° 001743 Residuos Aprovechables</t>
  </si>
  <si>
    <t>F012-7085</t>
  </si>
  <si>
    <t>valorización de RCD</t>
  </si>
  <si>
    <t>DE ANTILLA COPPER SOCI</t>
  </si>
  <si>
    <t>FE01-528</t>
  </si>
  <si>
    <t>FE05-124</t>
  </si>
  <si>
    <t>Eber Prieto Alcca</t>
  </si>
  <si>
    <t>001- N° 004030</t>
  </si>
  <si>
    <t>001- N° 004031</t>
  </si>
  <si>
    <t>F001-1717, RQ.LOG.174 Recarga de agua 20 lts (20606541580)</t>
  </si>
  <si>
    <t>SANCHEZ TORRES ROSA ISMELDA</t>
  </si>
  <si>
    <t>F001-1717</t>
  </si>
  <si>
    <t>ENTR.EFEC. 0810061</t>
  </si>
  <si>
    <t>001- N° 004129</t>
  </si>
  <si>
    <t>FE01-522
FE01-523</t>
  </si>
  <si>
    <t>001- N° 004126</t>
  </si>
  <si>
    <t>001- N° 004120</t>
  </si>
  <si>
    <t>José Antonio Lima Escalante</t>
  </si>
  <si>
    <t>001- N° 004127</t>
  </si>
  <si>
    <t>001- N° 004121</t>
  </si>
  <si>
    <t>PAGO IMPUES 7531984930</t>
  </si>
  <si>
    <t>PAGO IMPUES 7531986289</t>
  </si>
  <si>
    <t>COM.MANTENIM</t>
  </si>
  <si>
    <t>0        0</t>
  </si>
  <si>
    <t>ENVIO.EST.CTA</t>
  </si>
  <si>
    <t>Planilla de Rem. Ene25 (1)</t>
  </si>
  <si>
    <t>PROV TLC 37</t>
  </si>
  <si>
    <t>F865-0145086</t>
  </si>
  <si>
    <t>F867-0144135</t>
  </si>
  <si>
    <t>Disposicion residuos no aprovechables - 02.02.2025</t>
  </si>
  <si>
    <t>Devolución de ER-001-0032025 - RQ.COM.234 - Entregas a rendir</t>
  </si>
  <si>
    <t>OC 001 – N° 001749 Residuos Aprovechables</t>
  </si>
  <si>
    <t>METALURGICA - QUIMICA SAC</t>
  </si>
  <si>
    <t>F002-755</t>
  </si>
  <si>
    <t>Cambio de Dolares a Soles TC 3.722</t>
  </si>
  <si>
    <t>FE02-183</t>
  </si>
  <si>
    <t>FE02-186</t>
  </si>
  <si>
    <t>000FE01416 MINERA TITA</t>
  </si>
  <si>
    <t>FE01-416</t>
  </si>
  <si>
    <t>DEPOSITO AG 990475</t>
  </si>
  <si>
    <t>001- N° 004130</t>
  </si>
  <si>
    <t>FE02-187</t>
  </si>
  <si>
    <t xml:space="preserve"> Kathia Daniela Guzman</t>
  </si>
  <si>
    <t>Venta de residuos - Convenio</t>
  </si>
  <si>
    <t>E020000188 CORPORACION</t>
  </si>
  <si>
    <t>FE02-188</t>
  </si>
  <si>
    <t>FE02-184</t>
  </si>
  <si>
    <t>Derecho de posesión por terreno ubicado en las Bermudas San Jose La Joya Sector B Lte. R1 659858 M2</t>
  </si>
  <si>
    <t>INCACUTIPA MUNUICO JAVIER</t>
  </si>
  <si>
    <t>Alquiler Alm Huaranguillo2 Feb25</t>
  </si>
  <si>
    <t>FF01</t>
  </si>
  <si>
    <t>RQ.OPE.902 adquisición de bolsas para el área de operaciones RQ.LOG.222</t>
  </si>
  <si>
    <t>FF01-00011791</t>
  </si>
  <si>
    <t>Alquiler de equipo de sonido del día 24/01/2025 para capacitación de residuos de envases agroquímico</t>
  </si>
  <si>
    <t>RH E001-145</t>
  </si>
  <si>
    <t>FE02-182</t>
  </si>
  <si>
    <t>Rep. - Caja Chica AQP - RC 001-001_2025</t>
  </si>
  <si>
    <t>Caja Arequipa - Juber Monteza - Cuota 28</t>
  </si>
  <si>
    <t>F136-9355 Combustible</t>
  </si>
  <si>
    <t>F136-9355</t>
  </si>
  <si>
    <t>F135-6417 Combustible</t>
  </si>
  <si>
    <t>F135-6417</t>
  </si>
  <si>
    <t>E001-201, RQ.OPE.908 Mnto. correctivo (soldadura de extensión de uñas) del montacargas de Villa Esperanza</t>
  </si>
  <si>
    <t>E001-201</t>
  </si>
  <si>
    <t>Disposicion residuos no aprovechables - 05.02.2025</t>
  </si>
  <si>
    <t>Alberto Caballero Huanuco</t>
  </si>
  <si>
    <t>001- N° 004110</t>
  </si>
  <si>
    <t>DEPOSITO AG 995758</t>
  </si>
  <si>
    <t>FE01-556</t>
  </si>
  <si>
    <t>PROV TLC 000255</t>
  </si>
  <si>
    <t>FA21</t>
  </si>
  <si>
    <t>E001-334  Servicio de Internet mes de Febrero 2025 - FIXER TELECOMUNICACIONES S.A.C</t>
  </si>
  <si>
    <t>E001-334</t>
  </si>
  <si>
    <t>Disposicion residuos no aprovechables - 06.02.2025</t>
  </si>
  <si>
    <t>002- N° 000705</t>
  </si>
  <si>
    <t>S001-28701751</t>
  </si>
  <si>
    <t>POSI020558226979/ SCTR SALUD-EPS</t>
  </si>
  <si>
    <t>F040-00485844</t>
  </si>
  <si>
    <t>F040-00614700</t>
  </si>
  <si>
    <t>001- N° 004108</t>
  </si>
  <si>
    <t>001- N° 004111</t>
  </si>
  <si>
    <t>DE GRUPO DE GESTION C</t>
  </si>
  <si>
    <t>FE01-509</t>
  </si>
  <si>
    <t>001- N° 004122</t>
  </si>
  <si>
    <t>001- N° 004128</t>
  </si>
  <si>
    <t>001- N° 004138</t>
  </si>
  <si>
    <t>0000000518 GRANJA RINC</t>
  </si>
  <si>
    <t>FE01-513
FE01-514
FE01-515 
FE01-516
FE01-517
FE01-518</t>
  </si>
  <si>
    <t>E010000486 FLSMIDTH S.</t>
  </si>
  <si>
    <t>FE01-486</t>
  </si>
  <si>
    <t>FE05-125</t>
  </si>
  <si>
    <t>Paul Olazabal Valdivia</t>
  </si>
  <si>
    <t>001- N° 004142</t>
  </si>
  <si>
    <t>Reposición - Caja Conductores - 2025 / RCO-03</t>
  </si>
  <si>
    <t>RCO-03</t>
  </si>
  <si>
    <t>RQ.GH.137 Entregas a rendir / ER-001-0062025</t>
  </si>
  <si>
    <t>COMEC002760647</t>
  </si>
  <si>
    <t>001- N° 004147</t>
  </si>
  <si>
    <t>002- N° 000673</t>
  </si>
  <si>
    <t>002- N° 000713</t>
  </si>
  <si>
    <t>Disposicion residuos no aprovechables - 10.02.2025</t>
  </si>
  <si>
    <t>PROV TLC 000256</t>
  </si>
  <si>
    <t>002- N° 000712</t>
  </si>
  <si>
    <t>COM.CCE PRO 000048</t>
  </si>
  <si>
    <t>FFF1-000107 Servicio de Internet Febrero 2025</t>
  </si>
  <si>
    <t>FFF1-000107</t>
  </si>
  <si>
    <t>F8650145752</t>
  </si>
  <si>
    <t>F005</t>
  </si>
  <si>
    <t>F005-87, RQ.SSO.194 Desratización y desinsectación en el almacén 03</t>
  </si>
  <si>
    <t>F005-87</t>
  </si>
  <si>
    <t>DETR.MASIVA 7557671751</t>
  </si>
  <si>
    <t>PROV TLC 48</t>
  </si>
  <si>
    <t>001- N° 004146</t>
  </si>
  <si>
    <t>S001-28701598</t>
  </si>
  <si>
    <t>EQUI020558226979</t>
  </si>
  <si>
    <t>FACTURAS DEL 2024</t>
  </si>
  <si>
    <t>F001-980820</t>
  </si>
  <si>
    <t>F001-996182</t>
  </si>
  <si>
    <t>F001-1004496</t>
  </si>
  <si>
    <t>FE22</t>
  </si>
  <si>
    <t>FE22-14392</t>
  </si>
  <si>
    <t>001-58228012</t>
  </si>
  <si>
    <t>RQ.OPE.930 Entregas a rendir - ER-001-0112025</t>
  </si>
  <si>
    <t>Entr.efec. 0579099</t>
  </si>
  <si>
    <t>FE02-192</t>
  </si>
  <si>
    <t>PROV TLC 50</t>
  </si>
  <si>
    <t>OC 001 – N° 001766 Residuos Aprovechables</t>
  </si>
  <si>
    <t>RXH E001-36, RQ.GH.143 Asesoría elaboración de la escala salarial</t>
  </si>
  <si>
    <t>E001-36</t>
  </si>
  <si>
    <t>E001-4511, RQ.OPE.925 por transporte de residuos</t>
  </si>
  <si>
    <t>EMPRESA DE TRANSPORTES Y SERVICIOS GENER</t>
  </si>
  <si>
    <t>E001-4511</t>
  </si>
  <si>
    <t>E001-122, RQ.COM.238 Servicio tercerizado por carguío de Papel Craft.</t>
  </si>
  <si>
    <t>E001-122</t>
  </si>
  <si>
    <t>RQ.OPE.931 Entregas a rendir/ ER-001-0072025</t>
  </si>
  <si>
    <t>FE01-510</t>
  </si>
  <si>
    <t>De empresa conservador</t>
  </si>
  <si>
    <t>FE02-190</t>
  </si>
  <si>
    <t>Alfredo Enrique Salcedo</t>
  </si>
  <si>
    <t>001- N° 004154</t>
  </si>
  <si>
    <t>FE01-503
FE01-504
FE01-505</t>
  </si>
  <si>
    <t>E010000506 DOMINIONPER</t>
  </si>
  <si>
    <t>FE01-506</t>
  </si>
  <si>
    <t>WILBER QUISPE PRIETO</t>
  </si>
  <si>
    <t>Devolución- RQ.OPE.903 Entregas a rendir/ER-001-0042025</t>
  </si>
  <si>
    <t>S106-0002273087</t>
  </si>
  <si>
    <t>S002</t>
  </si>
  <si>
    <t>S002-68259519</t>
  </si>
  <si>
    <t>002- N° 000715</t>
  </si>
  <si>
    <t>0200000175 MOLY-COP AD</t>
  </si>
  <si>
    <t>FE02-175</t>
  </si>
  <si>
    <t>DE POWER SAC</t>
  </si>
  <si>
    <t>FE01-544</t>
  </si>
  <si>
    <t>Disposicion residuos no aprovechables - 13.02.2025</t>
  </si>
  <si>
    <t>RQ.GH.144 Entregas a rendir/ ER-001-0092025</t>
  </si>
  <si>
    <t>F013</t>
  </si>
  <si>
    <t>RQ.OPE.926 Adquisición de insumos / materiales para el área de operaciones. (plastico film)</t>
  </si>
  <si>
    <t>GLOBAL PERLA S CAR SAC.</t>
  </si>
  <si>
    <t>F013-31909</t>
  </si>
  <si>
    <t>RQ.GH.145 Entregas a rendir/ ER-001-0102025</t>
  </si>
  <si>
    <t>Adelanto 50% E001-670, RQ.SSO.199 compra EPPs pantalones y mamelucos. / OC 004-000141</t>
  </si>
  <si>
    <t>HERLIZ CONFECCIONES EIRL</t>
  </si>
  <si>
    <t>Adelanto 50% E001-671, RQ.SSO.199 compra EPPs polos / OC 004-000142</t>
  </si>
  <si>
    <t>E001-671</t>
  </si>
  <si>
    <t>OC 001 – N° 001770 Residuos Aprovechables</t>
  </si>
  <si>
    <t>F012-7167</t>
  </si>
  <si>
    <t>E001-3873, RQ.SSO.204 compra de sillas ergonómicas para el personal faltante</t>
  </si>
  <si>
    <t>LUVOG SAC</t>
  </si>
  <si>
    <t>E001-3873</t>
  </si>
  <si>
    <t>000000000000543 METALU</t>
  </si>
  <si>
    <t>FE01-543</t>
  </si>
  <si>
    <t>000FE01498 CARGO TRANS</t>
  </si>
  <si>
    <t>FE01-498</t>
  </si>
  <si>
    <t>Arcadio Pucho Cama</t>
  </si>
  <si>
    <t>001- N° 004156</t>
  </si>
  <si>
    <t>00FE01-254 ALFRED H. K</t>
  </si>
  <si>
    <t>FE01-524</t>
  </si>
  <si>
    <t>DE SCOMAR SRL</t>
  </si>
  <si>
    <t>FE02-191</t>
  </si>
  <si>
    <t>Ruben Humberto Queque Huanca</t>
  </si>
  <si>
    <t>001- N° 004161</t>
  </si>
  <si>
    <t>DE SAMA OCUPACIONAL EI</t>
  </si>
  <si>
    <t>FE01-563</t>
  </si>
  <si>
    <t>FE05-119</t>
  </si>
  <si>
    <t>FN01-29401050</t>
  </si>
  <si>
    <t xml:space="preserve">F136-9449 Combustible </t>
  </si>
  <si>
    <t xml:space="preserve"> F136-9449</t>
  </si>
  <si>
    <t>RQ.OPE.935 Entregas a rendir - ER-001-0122025</t>
  </si>
  <si>
    <t>PAGO DETRAC 7560383396</t>
  </si>
  <si>
    <t>Disposicion residuos no aprovechables - 17.02.2025</t>
  </si>
  <si>
    <t>F8640128057</t>
  </si>
  <si>
    <t>F8640128049</t>
  </si>
  <si>
    <t>TELE000915030176 / 915030176</t>
  </si>
  <si>
    <t>SB01-0520109127</t>
  </si>
  <si>
    <t>TRAN.CTAS.TERC.HK</t>
  </si>
  <si>
    <t>FE02-193</t>
  </si>
  <si>
    <t>FE01-564</t>
  </si>
  <si>
    <t>FE02-166</t>
  </si>
  <si>
    <t>A 193 2469516 0</t>
  </si>
  <si>
    <t>F001-13435</t>
  </si>
  <si>
    <t>COM.CCE PRO 000257</t>
  </si>
  <si>
    <t>ok</t>
  </si>
  <si>
    <t>FN01-29478733</t>
  </si>
  <si>
    <t>PROV TLC 000257</t>
  </si>
  <si>
    <t>RQ.LOG.245 Entregas a rendir/ ER-001-0152025</t>
  </si>
  <si>
    <t>Devolución de ER-001-0052025 - RQ.LOG.227 - Entregas a rendir</t>
  </si>
  <si>
    <t>FN01-29773782</t>
  </si>
  <si>
    <t>PACI020558226979</t>
  </si>
  <si>
    <t>PACIFICO SEGUROS</t>
  </si>
  <si>
    <t>F050-01716976</t>
  </si>
  <si>
    <t>COMERCIALIZADORA EVER LUIS S.A.C.</t>
  </si>
  <si>
    <t>002- N° 000719</t>
  </si>
  <si>
    <t>ECOMILAN EMPRESA INDIVIDUAL DE RESPONSABILIDAD LIMITADA.</t>
  </si>
  <si>
    <t>001- N° 004169</t>
  </si>
  <si>
    <t>02-0000196 LADRILLERA</t>
  </si>
  <si>
    <t>FE02-196</t>
  </si>
  <si>
    <t>F040-00609322</t>
  </si>
  <si>
    <t>E001-396, RQ.LOG.251, para poder realizar la compra de las herramientas y equipos</t>
  </si>
  <si>
    <t>CASA CROWN SAC</t>
  </si>
  <si>
    <t>E001-396</t>
  </si>
  <si>
    <t>F040-00482204</t>
  </si>
  <si>
    <t>Adelanto de sueldo Febrero 2025 - VELASQUEZ CONDORI JOEL JONATHAN</t>
  </si>
  <si>
    <t>RQ.SSO.208 Autorización VUCE - Unidades de transporte Carlos Kayro: VAY858, C5I741 y V8C809/ER-001-0252025</t>
  </si>
  <si>
    <t>VANNESSA DANNIELLA AMADO FARFAN</t>
  </si>
  <si>
    <t>RQ.GH.139 Entregas a rendir/ ER-001-0142025</t>
  </si>
  <si>
    <t>Adelanto de sueldo Febrero 2025 - GUIZADO PORRAS RONALD ENRIQUE</t>
  </si>
  <si>
    <t>Adelanto de sueldo Febrero 2025 - PRIETO ALCCA EBERT</t>
  </si>
  <si>
    <t>Adelanto de sueldo Febrero 2025 - LEON NN WILLIAN JOHAN</t>
  </si>
  <si>
    <t>Adelanto de sueldo Febrero 2025 - HUANUCO ORTEGA CRISTIAN MANUEL</t>
  </si>
  <si>
    <t>Adelanto de sueldo Febrero 2025 - PONCE FEBRES GLEEN STEV</t>
  </si>
  <si>
    <t>Adelanto de sueldo Febrero 2025 - CRISSLEY LAZARTE AGUIRRE</t>
  </si>
  <si>
    <t>E001-395, RQ.LOG.251, para poder realizar la compra de las herramientas y equipos</t>
  </si>
  <si>
    <t>E001-395</t>
  </si>
  <si>
    <t>Compartamos Financiera - Cuota 28</t>
  </si>
  <si>
    <t>E001-98, RQ.SSO.200 para la confección de 48 camisas para el personal administrativo (blancas y plomas)</t>
  </si>
  <si>
    <t>GUERE POMA SISAN</t>
  </si>
  <si>
    <t>E001-98</t>
  </si>
  <si>
    <t>F001-23074, RQ.LOG.251, para poder realizar la compra de las herramientas y equipos</t>
  </si>
  <si>
    <t>F001-23074</t>
  </si>
  <si>
    <t>PROV TLC 000258</t>
  </si>
  <si>
    <t>Reposición - Caja Conductores - 2025 / RCO-04</t>
  </si>
  <si>
    <t>RCO-04</t>
  </si>
  <si>
    <t>Financiera Confianza - 104-009773582-1 Cuota (19-21)</t>
  </si>
  <si>
    <t>F152</t>
  </si>
  <si>
    <t>RQ.OPE.917, referente a mantenimiento preventivo de la unidad HINO V9R-903</t>
  </si>
  <si>
    <t>CONCESIONARIOS AUTORIZADOS S.A.C</t>
  </si>
  <si>
    <t>F152-0025749</t>
  </si>
  <si>
    <t>RH E001-17, RQ.GER.052 Servicio de levantamiento topográfico</t>
  </si>
  <si>
    <t>RH E001-17</t>
  </si>
  <si>
    <t>RQ.OPE.949 Entregas a rendir - ER-001-0132025</t>
  </si>
  <si>
    <t>RQ.OPE.950 Entregas a rendir/ ER-001-0082025</t>
  </si>
  <si>
    <t>OC 001 – N° 001776 Residuos Aprovechables</t>
  </si>
  <si>
    <t>F002-767</t>
  </si>
  <si>
    <t>002- N° 000718</t>
  </si>
  <si>
    <t>002- N° 000722</t>
  </si>
  <si>
    <t>Florian</t>
  </si>
  <si>
    <t>DETR.MASIVA 7564660235</t>
  </si>
  <si>
    <t>F8640128977</t>
  </si>
  <si>
    <t>F002-1640, RQ.COM.251, por el servicio de transporte de 92 IBC's hacia Lima.</t>
  </si>
  <si>
    <t>F002-1640</t>
  </si>
  <si>
    <t>E001-879, RQ.LOG.236 insumos de limpieza</t>
  </si>
  <si>
    <t>E001-879</t>
  </si>
  <si>
    <t>F8670146808</t>
  </si>
  <si>
    <t>F001-1983, RQ.SSO.206 compra de capotines y botas para la lluvia para realizar actividades operati</t>
  </si>
  <si>
    <t>SHALOM DISTRIBUCIONES LOGISTICAS EIRL</t>
  </si>
  <si>
    <t>F001-1983</t>
  </si>
  <si>
    <t>E001-168, RQ.OPE.951 por descarga de residuos</t>
  </si>
  <si>
    <t>E001-168</t>
  </si>
  <si>
    <t>FN01-29842795</t>
  </si>
  <si>
    <t>DE ENVASES CAROLINA SA</t>
  </si>
  <si>
    <t>FE02-200</t>
  </si>
  <si>
    <t>E001-969</t>
  </si>
  <si>
    <t>E001-346 Servicio de Internet mes de Febrero 2025 - FIXER TELECOMUNICACIONES S.A.C</t>
  </si>
  <si>
    <t xml:space="preserve">E001-346 </t>
  </si>
  <si>
    <t>Angel Hancco Pineda</t>
  </si>
  <si>
    <t>001- N° 004185</t>
  </si>
  <si>
    <t>FE01-549
FE01-550</t>
  </si>
  <si>
    <t>FE01-559</t>
  </si>
  <si>
    <t>E001-3211, RQ.OPE.945 por transporte de residuos</t>
  </si>
  <si>
    <t>E001-3211</t>
  </si>
  <si>
    <t>F002 - 18416 - Mantenimiento preventivo - BKK-849 - RQ.OPE.966</t>
  </si>
  <si>
    <t>F002 - 18416</t>
  </si>
  <si>
    <t>E001-31, RQ.LOG.255 compra de materiales usados para tarrajeado de oficina en Almacén Villa Esperanz</t>
  </si>
  <si>
    <t>TIENDAS LA NOVENTA E.I.R.L.</t>
  </si>
  <si>
    <t>E001-31</t>
  </si>
  <si>
    <t>ENTR.EFEC. 0262095</t>
  </si>
  <si>
    <t>FE01-561</t>
  </si>
  <si>
    <t>FE01-575</t>
  </si>
  <si>
    <t>002- N° 000720</t>
  </si>
  <si>
    <t>002- N° 000721</t>
  </si>
  <si>
    <t>001- N° 004163</t>
  </si>
  <si>
    <t>001- N° 004175</t>
  </si>
  <si>
    <t>001- N° 004186</t>
  </si>
  <si>
    <t>0000499000 CORP.ELECTR</t>
  </si>
  <si>
    <t>FE01-499</t>
  </si>
  <si>
    <t>Disposicion residuos no aprovechables - 24.02.2025 (01)</t>
  </si>
  <si>
    <t>Disposicion residuos no aprovechables - 24.02.2025 (02)</t>
  </si>
  <si>
    <t>Wilfredo Narvaez Ccallme</t>
  </si>
  <si>
    <t>001- N° 004178</t>
  </si>
  <si>
    <t>001- N° 004187</t>
  </si>
  <si>
    <t>Disposicion residuos no aprovechables - 24.02.2025 (03)</t>
  </si>
  <si>
    <t>PROV TLC 57</t>
  </si>
  <si>
    <t>DETR.MASIVA 7567460218</t>
  </si>
  <si>
    <t>OC 001 – N° 001784 Residuos Aprovechables</t>
  </si>
  <si>
    <t>F012-7168</t>
  </si>
  <si>
    <t>FN01-29938910</t>
  </si>
  <si>
    <t>001- N° 004197</t>
  </si>
  <si>
    <t>FE01-547</t>
  </si>
  <si>
    <t>Juan Ponce Vasquez</t>
  </si>
  <si>
    <t>001- N° 004158</t>
  </si>
  <si>
    <t>E001-2203, RQ.SSO.211 Recarga extintor 9kg</t>
  </si>
  <si>
    <t>FUMISERVIS SOLUCIONES J E EIRL</t>
  </si>
  <si>
    <t>E001-2203</t>
  </si>
  <si>
    <t>Disposicion residuos no aprovechables - 26.02.2025</t>
  </si>
  <si>
    <t>RQ.STI.072 Revisión y diagnóstico de 09 laptops y 05 pc's</t>
  </si>
  <si>
    <t>RH E001-1263</t>
  </si>
  <si>
    <t>OC 001 – N° 001785 Residuos Aprovechables</t>
  </si>
  <si>
    <t>VOESTALPINE HIGH PERFORMANCE METALS DEL</t>
  </si>
  <si>
    <t>PROV TLC 59</t>
  </si>
  <si>
    <t>FE02-185
FE01-539</t>
  </si>
  <si>
    <t>FE02-198</t>
  </si>
  <si>
    <t>ENTR.EFEC. 0543480</t>
  </si>
  <si>
    <t>FE02-194</t>
  </si>
  <si>
    <t>FE05-132</t>
  </si>
  <si>
    <t>FE05-133</t>
  </si>
  <si>
    <t>FE05-130</t>
  </si>
  <si>
    <t>02-0000199 LADRILLERA</t>
  </si>
  <si>
    <t>FE02-199</t>
  </si>
  <si>
    <t>FP60</t>
  </si>
  <si>
    <t>FP60-00001852 Pasaje Lima - Arequipa</t>
  </si>
  <si>
    <t>FP60-00001852</t>
  </si>
  <si>
    <t>OC 001 – N° 001800 Residuos Aprovechables</t>
  </si>
  <si>
    <t>F012-7169</t>
  </si>
  <si>
    <t>E001-30,RQ.OPE.972 servicio de reparación  de caja del montacargas del montacargas de Villa Esperanz</t>
  </si>
  <si>
    <t>E001-30</t>
  </si>
  <si>
    <t>DE RECOLEC RAMBISHO EI</t>
  </si>
  <si>
    <t>001- N° 004206</t>
  </si>
  <si>
    <t>FE01-567
FE01-568</t>
  </si>
  <si>
    <t>FE02-201</t>
  </si>
  <si>
    <t>DEVOL. PAGO 000061</t>
  </si>
  <si>
    <t>000000000000565 METALU</t>
  </si>
  <si>
    <t>FE01-565</t>
  </si>
  <si>
    <t>DEPOSITO AG 985878</t>
  </si>
  <si>
    <t>001- N° 004202</t>
  </si>
  <si>
    <t>Gilmar Apaza Quispe</t>
  </si>
  <si>
    <t>001- N° 004207</t>
  </si>
  <si>
    <t>FN01-30022058</t>
  </si>
  <si>
    <t>RQ.SSO.215 Inducción de personal para el ingreso a Pesquera Diamante.</t>
  </si>
  <si>
    <t>F001-39630</t>
  </si>
  <si>
    <t>RQ.SSO.213 Entregas a rendir - ER-001-0162025</t>
  </si>
  <si>
    <t>FA01</t>
  </si>
  <si>
    <t>Impresión de 50 Kit de Cuaderno Corporativo/ Inversiones y Articulos Publicitarios - Cot N 001</t>
  </si>
  <si>
    <t>INVERSIONES Y ARTICULOS PUBLICITARIOS R</t>
  </si>
  <si>
    <t>FA01-00000068</t>
  </si>
  <si>
    <t>Saldo E001-670, RQ.SSO.199 compra EPPs pantalones y mamelucos. / OC 004-000141</t>
  </si>
  <si>
    <t>E001-670</t>
  </si>
  <si>
    <t>PAGO IMPUES 7568750652</t>
  </si>
  <si>
    <t>SUNA002307240532</t>
  </si>
  <si>
    <t>SUNA002307240533</t>
  </si>
  <si>
    <t>E001-3741, RQ.COM.257 por el servicio de transporte para disposición final de residuos no aprovechab</t>
  </si>
  <si>
    <t>E001-3741</t>
  </si>
  <si>
    <t>F8650149176</t>
  </si>
  <si>
    <t>F8670148068</t>
  </si>
  <si>
    <t>DETR.MASIVA 7569127186</t>
  </si>
  <si>
    <t>HABER TLC 61/ Planilla Feb2025</t>
  </si>
  <si>
    <t>Regularizacion ITF</t>
  </si>
  <si>
    <t>FE01-511
FE01-512
FE01-529</t>
  </si>
  <si>
    <t>BALDERA AMAYA VIKY MAGALLY</t>
  </si>
  <si>
    <t>001- N° 004208</t>
  </si>
  <si>
    <t>FE02-202</t>
  </si>
  <si>
    <t>COM.CCE PRO 000062</t>
  </si>
  <si>
    <t>FN01-30120949</t>
  </si>
  <si>
    <t>PROV TLC 62</t>
  </si>
  <si>
    <t>E001-104,RQ.LOG.262 compra e instalación de mayólicas y otros materiales</t>
  </si>
  <si>
    <t xml:space="preserve">GAITAN ESPERILLA CARLOS ALEJANDRO </t>
  </si>
  <si>
    <t>E001-104</t>
  </si>
  <si>
    <t>F001-7932, RQ.STI.073 Compra de toners para fotocopiadora Konica Minolta y Canon C250iF.</t>
  </si>
  <si>
    <t>F001-7932</t>
  </si>
  <si>
    <t>COM.CCE PRO 000063</t>
  </si>
  <si>
    <t>S9AA-65920124</t>
  </si>
  <si>
    <t>RQ.GH.150 Entregas a rendir/ ER-001-0182025</t>
  </si>
  <si>
    <t>HABER TLC 68</t>
  </si>
  <si>
    <t>HABER TLC 66</t>
  </si>
  <si>
    <t>Caja Arequipa - Juber Monteza - Cuota 29</t>
  </si>
  <si>
    <t>Rep. - Caja Chica AQP - RC 001-002_2025</t>
  </si>
  <si>
    <t>PROV TLC 63</t>
  </si>
  <si>
    <t>FF16</t>
  </si>
  <si>
    <t>001- N° 004191</t>
  </si>
  <si>
    <t>001- N° 004200</t>
  </si>
  <si>
    <t>001- N° 004205</t>
  </si>
  <si>
    <t>001- N° 004214</t>
  </si>
  <si>
    <t>FE05-128</t>
  </si>
  <si>
    <t>FE05-127</t>
  </si>
  <si>
    <t>FE05-126</t>
  </si>
  <si>
    <t>FN01-30131594</t>
  </si>
  <si>
    <t>OC 001 – N° 001810 Residuos Aprovechables</t>
  </si>
  <si>
    <t>F001-66419</t>
  </si>
  <si>
    <t>E001-357 Servicio de Internet mes de Marzo 2025 - FIXER TELECOMUNICACIONES S.A.C.</t>
  </si>
  <si>
    <t>E001-357</t>
  </si>
  <si>
    <t>F012-7282</t>
  </si>
  <si>
    <t>Disposicion residuos peligrosos</t>
  </si>
  <si>
    <t>F002 - 18499,RQ.OPE.907 Referente a mantenimiento preventivo(cambio de aceite y filtros) de la unida</t>
  </si>
  <si>
    <t>RQ.OPE.981 Entregas a rendir - ER-001-0232025</t>
  </si>
  <si>
    <t>Disposicion residuos no aprovechables - 04.03.2025</t>
  </si>
  <si>
    <t>DETR.MASIVA 7571848687</t>
  </si>
  <si>
    <t>E001-33, RQ.OPE.980, referente a la compra de repuestos de caja del montacargas de Villa Esperanza</t>
  </si>
  <si>
    <t>E001-33</t>
  </si>
  <si>
    <t>PROV TLC 69</t>
  </si>
  <si>
    <t>E020000205 CORPORACION</t>
  </si>
  <si>
    <t>FE02-205</t>
  </si>
  <si>
    <t>ENTR.EFEC. 0864269</t>
  </si>
  <si>
    <t>FE02-204</t>
  </si>
  <si>
    <t>Devolución RQ.GH.137 Entregas a rendir / ER-001-0062025</t>
  </si>
  <si>
    <t>Reintegro - RQ.GH.144 Entregas a Rendir - ER-001-0092025</t>
  </si>
  <si>
    <t>Reintegro - RQ.GH.145 Entregas a Rendir - ER-001-0102025</t>
  </si>
  <si>
    <t>Reintegro - RQ.GH.139 Entregas a rendir - ER-001-0142025</t>
  </si>
  <si>
    <t>F001-3573, RQ.LOG.261 actualizado con la lista de materiales completa para el tarrajeado de oficinas y garita d</t>
  </si>
  <si>
    <t>IMPORTADORA CITSA S.A.C.</t>
  </si>
  <si>
    <t>F001-3573</t>
  </si>
  <si>
    <t>Saldo 50% E001-671, RQ.SSO.199 compra EPPs polos / OC 004-000142</t>
  </si>
  <si>
    <t>RH E001-15, RQ.GER.053 Gestiones de empresa</t>
  </si>
  <si>
    <t>LEDESMA GRANADOS CESAR ARMANDO</t>
  </si>
  <si>
    <t>RH E001- 235, RQ.GER.054 Asesoría en el desarrollo de un sistema de información de costos</t>
  </si>
  <si>
    <t>RIOS MEDINA RUBEN</t>
  </si>
  <si>
    <t>F002-1649, RQ.OPE.961 por transporte de residuos</t>
  </si>
  <si>
    <t>F002-1649</t>
  </si>
  <si>
    <t>E001-693, RQ.SSO.199 compra EPPs pantalones y mamelucos. / OC 004-000141</t>
  </si>
  <si>
    <t>E001-693</t>
  </si>
  <si>
    <t>BCO.CITI0031373242</t>
  </si>
  <si>
    <t>FE01-532</t>
  </si>
  <si>
    <t>RQ.SSO.213 Entregas a rendir/  ER-001-0162025</t>
  </si>
  <si>
    <t>RQ.SSO.216 Inducción que debera dar el trabajador Anthony Huamani (Modulo 2)</t>
  </si>
  <si>
    <t>F001-39862</t>
  </si>
  <si>
    <t>F015-00273334</t>
  </si>
  <si>
    <t>Disposicion residuos no aprovechables - 06.03.2025</t>
  </si>
  <si>
    <t>RQ.LOG.263 Entregas a rendir / ER-001-0222025</t>
  </si>
  <si>
    <t>F013-32983, RQ.OPE.926 en referencia para la adquisición de insumos / materiales</t>
  </si>
  <si>
    <t>F013-32983</t>
  </si>
  <si>
    <t>RQ.GH.153 Entregas a rendir/ ER-001-0192025</t>
  </si>
  <si>
    <t>F002-18508,RQ.OPE.969, referente a mantenimiento preventivo(cambio de aceite y filtros) de la unidad</t>
  </si>
  <si>
    <t>F002-18508</t>
  </si>
  <si>
    <t>OC 001 – N° 001812 Residuos Aprovechables</t>
  </si>
  <si>
    <t>F012-7283</t>
  </si>
  <si>
    <t>PROV TLC 70</t>
  </si>
  <si>
    <t>F8640130611</t>
  </si>
  <si>
    <t>F8650150351</t>
  </si>
  <si>
    <t>Alquiler Alm Huaranguillo2 Mar25</t>
  </si>
  <si>
    <t>FE01-569</t>
  </si>
  <si>
    <t>FN01-30225567</t>
  </si>
  <si>
    <t>RH E001- 3 - Mantenimiento correctivo VBB840 - RQ.OPE.765</t>
  </si>
  <si>
    <t>TARAZONA VEGA BELI TEOBALDO</t>
  </si>
  <si>
    <t>RH E001- 3</t>
  </si>
  <si>
    <t>F015-00273333</t>
  </si>
  <si>
    <t>RQ.COM.268 Y RQ.COM.269 Entregas a rendir/ ER-001-0172025</t>
  </si>
  <si>
    <t>F001 - 00009346 -Mantenimiento Correctivo V9R903 - RQ.OPE.933</t>
  </si>
  <si>
    <t xml:space="preserve">F001 - 00009346 </t>
  </si>
  <si>
    <t>SERVICIO DE VALORIZACION DE RESIDUOS SOLIDOS
PELIGROSOS</t>
  </si>
  <si>
    <t>FIERROS CENTER &amp; METALES INDUSTRIALES S.</t>
  </si>
  <si>
    <t>F001-00000031</t>
  </si>
  <si>
    <t>PROV TLC 71</t>
  </si>
  <si>
    <t>DETR.MASIVA 7574114179</t>
  </si>
  <si>
    <t>Reposición - Caja Conductores - 2025 / RCO-05</t>
  </si>
  <si>
    <t>002- N° 000729</t>
  </si>
  <si>
    <t>Disposicion residuos no aprovechables - 10.03.2025</t>
  </si>
  <si>
    <t>E001-1007</t>
  </si>
  <si>
    <t>Olga Carnavaray Pretel</t>
  </si>
  <si>
    <t>001- N° 004230</t>
  </si>
  <si>
    <t>E001-12</t>
  </si>
  <si>
    <t>FE05-134</t>
  </si>
  <si>
    <t>OC 001 – N° 001818 Residuos Aprovechables</t>
  </si>
  <si>
    <t>F012-7284</t>
  </si>
  <si>
    <t>PROV TLC 72</t>
  </si>
  <si>
    <t>FE05-135</t>
  </si>
  <si>
    <t>DE COMANDO SOCIEDAD AN</t>
  </si>
  <si>
    <t>FE01-554</t>
  </si>
  <si>
    <t>DE MEGA PESCA SOCIEDAD</t>
  </si>
  <si>
    <t>E001-19</t>
  </si>
  <si>
    <t xml:space="preserve">Devolución- Entregas a rendir   RQ.OPE.903 ER-001-0042025 /RQ.OPE.931 ER-001-0072025 /RQ.OPE.950 ER-001-0082025 </t>
  </si>
  <si>
    <t>ER-001-0042025
ER-001-0072025
ER-001-0082025</t>
  </si>
  <si>
    <t>RQ.SSO.220 Inducción de personal para el ingreso a Pesquera Diamante.</t>
  </si>
  <si>
    <t>FE23</t>
  </si>
  <si>
    <t>FE23-17585</t>
  </si>
  <si>
    <t>F313</t>
  </si>
  <si>
    <t>ALICSU1000036719</t>
  </si>
  <si>
    <t>ALICORP S.A.A.</t>
  </si>
  <si>
    <t>F313-6010</t>
  </si>
  <si>
    <t>F001-7289, RQ.LOG.267 Palas carboneras (03) y RQ.OPE.986 Palas carboneras (03)</t>
  </si>
  <si>
    <t>F001-7289</t>
  </si>
  <si>
    <t>S001-29207019</t>
  </si>
  <si>
    <t>F313-6011</t>
  </si>
  <si>
    <t>F313-6012</t>
  </si>
  <si>
    <t>001- N° 004224</t>
  </si>
  <si>
    <t>001- N° 004237</t>
  </si>
  <si>
    <t>0010000015 CORPORACION</t>
  </si>
  <si>
    <t>E001-15</t>
  </si>
  <si>
    <t>Disposicion residuos no aprovechables - 12.03.2025</t>
  </si>
  <si>
    <t>Impresión de 50 Kit de Cuaderno Corporativo</t>
  </si>
  <si>
    <t>0000000555 DANPER TRUJ</t>
  </si>
  <si>
    <t>FE01-555</t>
  </si>
  <si>
    <t>FE02-189</t>
  </si>
  <si>
    <t>RQ.STI.074 Servicio técnico para mantenimiento correctivo de laptop de Coord. SIG</t>
  </si>
  <si>
    <t>E001-377</t>
  </si>
  <si>
    <t>Disposicion residuos no aprovechables - 13.03.2025</t>
  </si>
  <si>
    <t>Disposicion residuos no aprovechables - 12.03.2025 (2)</t>
  </si>
  <si>
    <t>COM.CCE PRO 000076 -PRO TLC 76</t>
  </si>
  <si>
    <t>FN01-30882587</t>
  </si>
  <si>
    <t>Disposicion residuos no aprovechables - 13.03.2025(02)</t>
  </si>
  <si>
    <t>Disposicion residuos no aprovechables - 13.03.2025 (2)</t>
  </si>
  <si>
    <t>F8650151925</t>
  </si>
  <si>
    <t>F8650151883</t>
  </si>
  <si>
    <t>PROV TLC 76</t>
  </si>
  <si>
    <t>001- N° 004236</t>
  </si>
  <si>
    <t>Juan Mamani Gallegos</t>
  </si>
  <si>
    <t>001- N° 004240</t>
  </si>
  <si>
    <t>RH E001-28, RQ.GH.155 respecto a la elaboración del diccionario de competencias para GYTRES</t>
  </si>
  <si>
    <t>RH E001-28</t>
  </si>
  <si>
    <t>F001-1017, RQ.SSO.219 compra de polos personalizados para personal de limpieza.</t>
  </si>
  <si>
    <t>GRUPO GODPRO EIRL</t>
  </si>
  <si>
    <t>F001-1017</t>
  </si>
  <si>
    <t>E001-1, RQ.SSO.213 para el servicio de capacitación externa de IPERC</t>
  </si>
  <si>
    <t>CRC CONSULTORES Y ASOCIADOS SAC</t>
  </si>
  <si>
    <t>E001-1</t>
  </si>
  <si>
    <t>PROV TLC 77</t>
  </si>
  <si>
    <t>Alquiler almacen Arequipa (1) - Jun-24 / Jul-24</t>
  </si>
  <si>
    <t>Adelanto de sueldo Marzo 2025 - PONCE FEBRES GLEEN STEV</t>
  </si>
  <si>
    <t>Judith</t>
  </si>
  <si>
    <t>F016</t>
  </si>
  <si>
    <t>RQ.COM.244 para la elaboración de un contenedor metálico para cliente FLSmidth.</t>
  </si>
  <si>
    <t>ACEROS COMERCIALES S.R.L</t>
  </si>
  <si>
    <t>F016-116797</t>
  </si>
  <si>
    <t>Adelanto de sueldo Marzo 2025 - ALVARADO ALAMA ADRIAN</t>
  </si>
  <si>
    <t>REINTEGRO ER-001-0202025 , RQ.LOG.269 Entregas a rendir</t>
  </si>
  <si>
    <t>Adelanto de sueldo Marzo 2025 - QUEQUE ANCO JORGE LUIS</t>
  </si>
  <si>
    <t>Adelanto de sueldo Marzo 2025 - LEON NN WILLIAN JOHAN</t>
  </si>
  <si>
    <t>Adelanto de sueldo Marzo 2025 - CRISSLEY LAZARTE AGUIRRE</t>
  </si>
  <si>
    <t>E001-460, RQ.SIG.23 servicio de actualización mensual de la matriz de requisitos legales.</t>
  </si>
  <si>
    <t>E001-460</t>
  </si>
  <si>
    <t>Disposicion residuos no aprovechables - 17.03.2025</t>
  </si>
  <si>
    <t>Disposicion residuos no aprovechables - 14.03.2025</t>
  </si>
  <si>
    <t>FFF1-000129, Servicio de Internet Marzo 2025</t>
  </si>
  <si>
    <t>FFF1-000129</t>
  </si>
  <si>
    <t>Adelanto de sueldo Marzo 2025 - HUANUCO ORTEGA CRISTIAN MANUEL</t>
  </si>
  <si>
    <t>FE01-578
FE01-580
FE01-581</t>
  </si>
  <si>
    <t>000000000000203 METALU</t>
  </si>
  <si>
    <t>FE02-203</t>
  </si>
  <si>
    <t>001- N° 004215</t>
  </si>
  <si>
    <t>E001-3764, RQ.OPE.994 por transporte de residuos</t>
  </si>
  <si>
    <t>E001-3764</t>
  </si>
  <si>
    <t>FN01-30551921 O 
FN01-30553065</t>
  </si>
  <si>
    <t>E001-127, RQ.OPE.1003 por transporte de residuos</t>
  </si>
  <si>
    <t>E001-127</t>
  </si>
  <si>
    <t>Compartamos Financiera - Cuota 29</t>
  </si>
  <si>
    <t>RQ.STI.077, Servicio técnico de mantenimiento correctivo para fotocopiadora Konica Minolta c224</t>
  </si>
  <si>
    <t>F001-7994</t>
  </si>
  <si>
    <t>Disposicion residuos no aprovechables - 18.03.2025 y 19.03.2025</t>
  </si>
  <si>
    <t>E001-2795, RQ.SIG.24 Elaboración del Buzón de Denuncias del Comité de Hostigamiento Sexual</t>
  </si>
  <si>
    <t>ALTO IMPACTO PUBLICIDAD SRL</t>
  </si>
  <si>
    <t>E001-2795</t>
  </si>
  <si>
    <t>RQ.COM.279 por la compra de un cilindro metálico para el servicio de TALMA</t>
  </si>
  <si>
    <t>RECPER SOCIEDAD ANONIMA CERRADA - RECPER</t>
  </si>
  <si>
    <t>E001-5541</t>
  </si>
  <si>
    <t>Disposicion residuos no aprovechables - 18.03.2025(01)</t>
  </si>
  <si>
    <t>DE UNIVERSIDAD TECNOLO</t>
  </si>
  <si>
    <t>FE01-507
FE01-508</t>
  </si>
  <si>
    <t>E001-29</t>
  </si>
  <si>
    <t>Préstamo aprobado por Gerencia</t>
  </si>
  <si>
    <t>FN01-30756070</t>
  </si>
  <si>
    <t>DETR.MASIVA 7582652719</t>
  </si>
  <si>
    <t>001- N° 004133</t>
  </si>
  <si>
    <t>001- N° 004144</t>
  </si>
  <si>
    <t>Disposicion residuos no aprovechables - 20.03.2025</t>
  </si>
  <si>
    <t>Disposicion residuos no aprovechables - 19.03.2025</t>
  </si>
  <si>
    <t>TDPC000605276769 / 605276769</t>
  </si>
  <si>
    <t>S9AA-67066289</t>
  </si>
  <si>
    <t>Cambio dólares a soles TC: 3.61</t>
  </si>
  <si>
    <t>001- N° 004225</t>
  </si>
  <si>
    <t>001- N° 004226</t>
  </si>
  <si>
    <t>001- N° 004229</t>
  </si>
  <si>
    <t>FE02-207</t>
  </si>
  <si>
    <t>COM.CCE PRO 000078</t>
  </si>
  <si>
    <t>FN01-30799573</t>
  </si>
  <si>
    <t>S106-0003935844</t>
  </si>
  <si>
    <t>S002-69619855</t>
  </si>
  <si>
    <t>E001-367 Servicio de Internet mes de Marzo 2025 - FIXER TELECOMUNICACIONES S.A.C</t>
  </si>
  <si>
    <t>E001-367</t>
  </si>
  <si>
    <t xml:space="preserve">SOC0000000564036 </t>
  </si>
  <si>
    <t>S001-29206866</t>
  </si>
  <si>
    <t>F004</t>
  </si>
  <si>
    <t>F004-4611 RAM'D S.A.C. - Galones de aceite (02)</t>
  </si>
  <si>
    <t xml:space="preserve">F004-4611 </t>
  </si>
  <si>
    <t>001-58494881</t>
  </si>
  <si>
    <t>FDX1</t>
  </si>
  <si>
    <t>FDX1-146, RQ.OPE.1014 Sprays para etiquetado de sacas (20612094862) Centro de Matizados Emmanuel</t>
  </si>
  <si>
    <t>CAHUANA CARBAJAL JHON ADERLY</t>
  </si>
  <si>
    <t>FDX1-146</t>
  </si>
  <si>
    <t>FDX1-147 RQ.COM.244 Elaboración de contender metálico (20612094862) Centro Matizados Emmanuel</t>
  </si>
  <si>
    <t xml:space="preserve">FDX1-147 </t>
  </si>
  <si>
    <t>E001-4505, RQ.OPE.948 servicio de cochera carga y descarga de montacargas UNICARRIERS</t>
  </si>
  <si>
    <t>E001-4505</t>
  </si>
  <si>
    <t>TELE000915030176/ 915030176</t>
  </si>
  <si>
    <t>SB01-0526492956</t>
  </si>
  <si>
    <t>PROV TLC 78</t>
  </si>
  <si>
    <t>Alquiler almacen Arequipa (1) - Agos-24 a Nov-24</t>
  </si>
  <si>
    <t>LAPO020558226979 /SEG.VIDA-SCTR PENSION-VIDA LEY</t>
  </si>
  <si>
    <t>F040-00629327</t>
  </si>
  <si>
    <t>F040-00496180</t>
  </si>
  <si>
    <t>RQ.OPE.1015 Entregas a rendir - ER-001-0242025</t>
  </si>
  <si>
    <t>0200000197 MOLY-COP AD</t>
  </si>
  <si>
    <t>FE02-197</t>
  </si>
  <si>
    <t>Reintegro RQ.GH.153 Entregas a rendir/ ER-001-0192025</t>
  </si>
  <si>
    <t>Reintegro RQ.GH.150 Entregas a rendir/ ER-001-0182025</t>
  </si>
  <si>
    <t>BCO.CITI0031581591</t>
  </si>
  <si>
    <t>FE01-562</t>
  </si>
  <si>
    <t>FE01-585
FE01-586</t>
  </si>
  <si>
    <t>E001-18</t>
  </si>
  <si>
    <t>00000000FE01584 CARGO</t>
  </si>
  <si>
    <t>FE01-584</t>
  </si>
  <si>
    <t>FN01-30838061</t>
  </si>
  <si>
    <t xml:space="preserve">FDX1-148,RQ.COM.282 por el servicio de acondicionamiento de cilindros de metal y compra de materiale - Matizados Emmanuel </t>
  </si>
  <si>
    <t>FDX1-148</t>
  </si>
  <si>
    <t>E001-3046,RQ.OPE.1026 insumos para el mantenimiento preventivo del montacargas de Villa Esperanza</t>
  </si>
  <si>
    <t>E001-3046</t>
  </si>
  <si>
    <t>F8650153158</t>
  </si>
  <si>
    <t>F8670152179</t>
  </si>
  <si>
    <t>Financiera Confianza - 104-009773582-1 Cuota (20-21)</t>
  </si>
  <si>
    <t>F002-1669, RQ.OPE.995 por transporte de residuos</t>
  </si>
  <si>
    <t>F002-1669</t>
  </si>
  <si>
    <t>DETR.MASIVA 7586120137</t>
  </si>
  <si>
    <t>PROV TLC 79</t>
  </si>
  <si>
    <t>Andres Condori Lipa</t>
  </si>
  <si>
    <t>001- N° 004266</t>
  </si>
  <si>
    <t>F313-6114</t>
  </si>
  <si>
    <t>F313-6121</t>
  </si>
  <si>
    <t>F313-6112</t>
  </si>
  <si>
    <t>F331</t>
  </si>
  <si>
    <t>F313-6113</t>
  </si>
  <si>
    <t>F313-6119</t>
  </si>
  <si>
    <t>F313-6115</t>
  </si>
  <si>
    <t>OC 001 – N° 001839 Residuos Aprovechables</t>
  </si>
  <si>
    <t>F012-7320</t>
  </si>
  <si>
    <t>F313-6122</t>
  </si>
  <si>
    <t>F313-6120</t>
  </si>
  <si>
    <t>F313-6123</t>
  </si>
  <si>
    <t>F313-6116</t>
  </si>
  <si>
    <t>F313-6118</t>
  </si>
  <si>
    <t>F313-6111</t>
  </si>
  <si>
    <t>F313-6117</t>
  </si>
  <si>
    <t>Reposición - Caja Conductores - 2025 / RCO-06</t>
  </si>
  <si>
    <t>RCO-06</t>
  </si>
  <si>
    <t>De envases carolina sa</t>
  </si>
  <si>
    <t>001- N° 004269</t>
  </si>
  <si>
    <t>ENTR.EFEC. 0528289</t>
  </si>
  <si>
    <t>E001-25</t>
  </si>
  <si>
    <t>001- N° 004270</t>
  </si>
  <si>
    <t>OC 001 – N° 001858 Residuos Aprovechables</t>
  </si>
  <si>
    <t>F012-7321</t>
  </si>
  <si>
    <t>RH E001-18, RQ.GER.056 Adelanto por elaboración de expediente de remodelación de oficinas varias</t>
  </si>
  <si>
    <t>RH E001-18</t>
  </si>
  <si>
    <t>PROV TLC 81</t>
  </si>
  <si>
    <t>001- N° 004271</t>
  </si>
  <si>
    <t>FN01-30934819</t>
  </si>
  <si>
    <t>DETR.MASIVA 7589166999</t>
  </si>
  <si>
    <t>FE01-571 / FE01-572 / FE01-573 / FE01-576</t>
  </si>
  <si>
    <t>Marisol Reyna Del Pino Ortega</t>
  </si>
  <si>
    <t>001- N° 004276</t>
  </si>
  <si>
    <t xml:space="preserve">	Cirila Puma Chambi</t>
  </si>
  <si>
    <t>ENTR.EFEC. 0912716</t>
  </si>
  <si>
    <t>001- N° 004189</t>
  </si>
  <si>
    <t>DEPOSITO AG 994326</t>
  </si>
  <si>
    <t>001- N° 004277</t>
  </si>
  <si>
    <t>E001-672, RQ.OPE.1006, referente a impresión de check list de montacargas</t>
  </si>
  <si>
    <t>E001-672</t>
  </si>
  <si>
    <t>Disposicion residuos no aprovechables - 26.03.2025</t>
  </si>
  <si>
    <t>E001-608, RQ.OPE.1022 por transporte de residuos</t>
  </si>
  <si>
    <t>TRANSPORTES ALBERTO MAMANI EIRL</t>
  </si>
  <si>
    <t>E001-608</t>
  </si>
  <si>
    <t>Rep. - Caja Chica AQP - RC 001-003_2025</t>
  </si>
  <si>
    <t>F021</t>
  </si>
  <si>
    <t>RQ.LOG.272=RQ.COM.296 por la compra de materiales y mano de obra como adelanto de la fabricación de contenedores metálicos para chatarra metálica // COTIZACION CT 006-0406526</t>
  </si>
  <si>
    <t>F021-00106078</t>
  </si>
  <si>
    <t>F136-9840 Combustible</t>
  </si>
  <si>
    <t>F136-9840</t>
  </si>
  <si>
    <t>001- N° 004275</t>
  </si>
  <si>
    <t>0100000577 MOLY-COP AD</t>
  </si>
  <si>
    <t>FE01-577</t>
  </si>
  <si>
    <t>ENTR.EFEC. 0158209</t>
  </si>
  <si>
    <t>ENTR.EFEC. 0158414</t>
  </si>
  <si>
    <t>E001-4534, RQ.OPE.948 servicio de cochera carga y descarga de montacargas UNICARRIERS</t>
  </si>
  <si>
    <t>E001-4534</t>
  </si>
  <si>
    <t>F001-50 SERVICIO DE VALORIZACION DE RESIDUOS SOLIDOS PELIGROSOS</t>
  </si>
  <si>
    <t xml:space="preserve">F001-0000050 </t>
  </si>
  <si>
    <t>F001-1012207</t>
  </si>
  <si>
    <t>E001-800, RQ.STI.078 Servicio técnico de mantenimiento correctivo para fotocopiadora Canon c250</t>
  </si>
  <si>
    <t>ACOSTA DE URRUTIA SHILA GISSEL</t>
  </si>
  <si>
    <t>E001-800</t>
  </si>
  <si>
    <t>F8650154433</t>
  </si>
  <si>
    <t>F8650154450</t>
  </si>
  <si>
    <t>F001-15822, RQ.SSO.214 para la compra de Epps para servicio en Pesquera Diamante</t>
  </si>
  <si>
    <t>FERSEIND PERU SOCIEDAD ANONIMA CERRADA</t>
  </si>
  <si>
    <t>F001-15822</t>
  </si>
  <si>
    <t>PROV TLC 82</t>
  </si>
  <si>
    <t>F001-2107, RQ.OPE.1028 insumos para el kit antiderrame de la flota vehicular</t>
  </si>
  <si>
    <t>F001-2107</t>
  </si>
  <si>
    <t xml:space="preserve">RQ.SSO.212, OC 004-000150 compra de jeans para el personal (20492269264) Yunkatex Moda </t>
  </si>
  <si>
    <t>DELGADO DELGADO BRITALDO SIMON</t>
  </si>
  <si>
    <t>E001-528</t>
  </si>
  <si>
    <t>F001-996, RQ.SSO.225 para la compra de Epp's Básicos y adicionales</t>
  </si>
  <si>
    <t>GROUP DISUR PERU EIRL</t>
  </si>
  <si>
    <t>F001-996</t>
  </si>
  <si>
    <t>RQ.SSO.205, OC 004-000146 confección de chalecos naranjas de seguridad</t>
  </si>
  <si>
    <t>E001-728</t>
  </si>
  <si>
    <t>RQ.SSO.205, OC 004-000147 confección de chalecos naranjas de seguridad</t>
  </si>
  <si>
    <t>E001-729</t>
  </si>
  <si>
    <t>F001-2108, RQ.SSO.209 insumos que se utilizaron del kit antiderrame</t>
  </si>
  <si>
    <t>F001-2108</t>
  </si>
  <si>
    <t>RQ.GH.165 Entregas a rendir</t>
  </si>
  <si>
    <t>F001-2105, RQ.SSO.223 para la compra de bloqueador solar y frascos de 50 ml.</t>
  </si>
  <si>
    <t>F001-2105</t>
  </si>
  <si>
    <t>F001-1001, RQ.SSO.225 para la compra de Epp's Básicos y adicionales</t>
  </si>
  <si>
    <t>F001-1001</t>
  </si>
  <si>
    <t>F001-2106, RQ.SSO.222 para la compra de señalética de piso mojado</t>
  </si>
  <si>
    <t>F001-2106</t>
  </si>
  <si>
    <t>F015-00281848</t>
  </si>
  <si>
    <t>E001-35</t>
  </si>
  <si>
    <t>FE01-557</t>
  </si>
  <si>
    <t>FE01-553</t>
  </si>
  <si>
    <t>000000000000036 METALU</t>
  </si>
  <si>
    <t>E001-34</t>
  </si>
  <si>
    <t>FF02-3</t>
  </si>
  <si>
    <t>FF05-1</t>
  </si>
  <si>
    <t>E001-37</t>
  </si>
  <si>
    <t>002- N° 000736</t>
  </si>
  <si>
    <t>FE01-587</t>
  </si>
  <si>
    <t>E001-16</t>
  </si>
  <si>
    <t>001- N° 004247</t>
  </si>
  <si>
    <t>E001-13</t>
  </si>
  <si>
    <t>FE01-552</t>
  </si>
  <si>
    <t>FI01-14461828</t>
  </si>
  <si>
    <t>RQ.LOG.276 para la reparación de portón principal ubicado en almacén Huaranguillo //CT-005-0506204</t>
  </si>
  <si>
    <t>F016-0117692</t>
  </si>
  <si>
    <t>Disposicion residuos no aprovechables - 31.03.2025</t>
  </si>
  <si>
    <t>S5AA</t>
  </si>
  <si>
    <t>TDPC000606124324</t>
  </si>
  <si>
    <t>S5AA-0068855304</t>
  </si>
  <si>
    <t>OC 001 – N° 001874 Residuos Aprovechables</t>
  </si>
  <si>
    <t>F012-7322</t>
  </si>
  <si>
    <t>CLAR000003358327 / 03358327</t>
  </si>
  <si>
    <t>F015-281847</t>
  </si>
  <si>
    <t>RQ.COM.292 por la fabricación de contenedores para nuestro cliente Moly-Cop La Joya. /CT-005-0506200</t>
  </si>
  <si>
    <t>F016-117691</t>
  </si>
  <si>
    <t>E001-1279, RQ.OPE.1039 por transporte de residuos</t>
  </si>
  <si>
    <t>E001-1279</t>
  </si>
  <si>
    <t>PAGO IMPUES 7593292523</t>
  </si>
  <si>
    <t>Disposicion residuos no aprovechables - 31.03.2025 (01)</t>
  </si>
  <si>
    <t>PROV TLC 84</t>
  </si>
  <si>
    <t>Ludick Begazo Valer</t>
  </si>
  <si>
    <t>001- N° 004289</t>
  </si>
  <si>
    <t>COM.CCE PRO 000088</t>
  </si>
  <si>
    <t>FN01-31118618</t>
  </si>
  <si>
    <t>F313-6148</t>
  </si>
  <si>
    <t>FN01-31110149</t>
  </si>
  <si>
    <t>F313-6149</t>
  </si>
  <si>
    <t>RQ.LOG.275 Entregas a rendir ER-001-0212025</t>
  </si>
  <si>
    <t>F313-6147</t>
  </si>
  <si>
    <t>Disposicion residuos no aprovechables - 01.04.2025</t>
  </si>
  <si>
    <t>F313-6145</t>
  </si>
  <si>
    <t>PROV TLC 88</t>
  </si>
  <si>
    <t>F052</t>
  </si>
  <si>
    <t>F313-6146</t>
  </si>
  <si>
    <t>HABER TLC 87 / Planilla de Rem. Mar25 (1)</t>
  </si>
  <si>
    <t>DETR.MASIVA 7594804770</t>
  </si>
  <si>
    <t>HABER TLC 89 / Planilla de Rem. Mar25 (2)</t>
  </si>
  <si>
    <t>FF01-10</t>
  </si>
  <si>
    <t>ENTREGA C/CHEQUES FUE</t>
  </si>
  <si>
    <t>E001-48</t>
  </si>
  <si>
    <t>001- N° 004292</t>
  </si>
  <si>
    <t>001- N° 004294</t>
  </si>
  <si>
    <t>001- N° 004295</t>
  </si>
  <si>
    <t>DE ORGANIZACION IBEROA// Devolución RQ.SSO.220 Inducción de personal para el ingreso a Pesquera Diamante. OP 1197206</t>
  </si>
  <si>
    <t>Disposicion residuos no aprovechables - 02.04.2025</t>
  </si>
  <si>
    <t>E001-2821 RQ.SIG.26 referente a la elaboración del Buzón de Denuncias del Comité de Hostigamiento Sexual</t>
  </si>
  <si>
    <t>E001-2821</t>
  </si>
  <si>
    <t>RQ.LOG.279 Entregas a rendir - ER-001-0272025</t>
  </si>
  <si>
    <t>RQ.OPE.1053 Entregas a rendir/ ER-001-0262025</t>
  </si>
  <si>
    <t xml:space="preserve"> E001-30,RQ.OPE.972 servicio de reparación  de caja del montacargas</t>
  </si>
  <si>
    <t>F8640133436</t>
  </si>
  <si>
    <t>F8640133442</t>
  </si>
  <si>
    <t>001- N° 004287</t>
  </si>
  <si>
    <t>001FE0200000206 MOLY-C</t>
  </si>
  <si>
    <t>FE02-206</t>
  </si>
  <si>
    <t>001- N° 004297</t>
  </si>
  <si>
    <t>001- N° 004298</t>
  </si>
  <si>
    <t>COM.CCE PRO 000090</t>
  </si>
  <si>
    <t>F313-6180</t>
  </si>
  <si>
    <t>E001-380 Servicio de Internet mes de Abril 2025 - FIXER TELECOMUNICACIONES S.A.C</t>
  </si>
  <si>
    <t>E001-380</t>
  </si>
  <si>
    <t>F313-6179</t>
  </si>
  <si>
    <t>F313-6183</t>
  </si>
  <si>
    <t>F313-6181</t>
  </si>
  <si>
    <t>F135-7223 Combustible</t>
  </si>
  <si>
    <t xml:space="preserve">F135-7223 </t>
  </si>
  <si>
    <t>F136-9894 Combustible</t>
  </si>
  <si>
    <t>F136-9894</t>
  </si>
  <si>
    <t>F313-6178</t>
  </si>
  <si>
    <t>F313-6182</t>
  </si>
  <si>
    <t>E001-350, RQ.COM.289 RETROEXCAVADORA PARA SERVICIO EN DANPER</t>
  </si>
  <si>
    <t>INVERSIONES CORPORATIVAS FLORES HERMANOS SAC</t>
  </si>
  <si>
    <t>E001-350</t>
  </si>
  <si>
    <t>PROV TLC 90</t>
  </si>
  <si>
    <t>F020000006 CORPORACION</t>
  </si>
  <si>
    <t>FF02-6</t>
  </si>
  <si>
    <t>001- N° 004293</t>
  </si>
  <si>
    <t xml:space="preserve">	Sergio Gutierrez Huaman</t>
  </si>
  <si>
    <t>001- N° 004301</t>
  </si>
  <si>
    <t>001- N° 004299</t>
  </si>
  <si>
    <t>001- N° 004300</t>
  </si>
  <si>
    <t>FN01-31207049</t>
  </si>
  <si>
    <t>FF01-10712,RQ.OPE.1059 herramientas manuales para el personal (20601111242) H&amp;L maniobras EIRL</t>
  </si>
  <si>
    <t>FF01-10712</t>
  </si>
  <si>
    <t>F040-00637086</t>
  </si>
  <si>
    <t xml:space="preserve">F001-23629,RQ.LOG.251, para poder realizar la compra de las herramientas y equipos solicitados por (10413461761) Daniel Aguilar Choquevilca  </t>
  </si>
  <si>
    <t>F001-23629</t>
  </si>
  <si>
    <t>F040-00501651</t>
  </si>
  <si>
    <t xml:space="preserve">F001-23628, RQ.OPE.1059 compra de herramientas manuales para el personal de GYTRES S.A.C. (10413461761) Daniel Aguilar Choquevilca </t>
  </si>
  <si>
    <t>F001-23628</t>
  </si>
  <si>
    <t>PACI020558226979/ 06 VIDA MN</t>
  </si>
  <si>
    <t>F050-01754310</t>
  </si>
  <si>
    <t>RQ.OPE.1056 Mantenimiento preventivo de la unidad HINO 500 V9R-903.</t>
  </si>
  <si>
    <t>F152-0026094</t>
  </si>
  <si>
    <t>E001-273, E001-274, RQ.OPE.1040 mantenimiento correctivo de la unidad BKK-849</t>
  </si>
  <si>
    <t>CLUB PREMIUM AUTOMOTRIZ SRL</t>
  </si>
  <si>
    <t>E001-273
E001-274</t>
  </si>
  <si>
    <t>DETR.MASIVA 7597463129</t>
  </si>
  <si>
    <t>RH E001-15,RQ.COM.296 por la fabricación de contenedores metálicos rígidos</t>
  </si>
  <si>
    <t>TAIPE SARAZA CHRISTIAN DANIEL</t>
  </si>
  <si>
    <t>RH E001-15</t>
  </si>
  <si>
    <t>RH E001-16,RQ.COM.296 por la fabricación de contenedores metálicos rígidos</t>
  </si>
  <si>
    <t>RH E001-16</t>
  </si>
  <si>
    <t>Caja Arequipa - Juber Monteza - Cuota 30</t>
  </si>
  <si>
    <t>F040-00501704</t>
  </si>
  <si>
    <t>Devolución OP 158209 OP 158414 del 27.03, venta que no se concretó de comercial</t>
  </si>
  <si>
    <t>ACO RODRIGUEZ ROMULO ERNESTO</t>
  </si>
  <si>
    <t>E001-3793, RQ.OPE.1060 por transporte de residuos</t>
  </si>
  <si>
    <t>E001-3793</t>
  </si>
  <si>
    <t xml:space="preserve">Alquiler Alm Huaranguillo2 Abr25 </t>
  </si>
  <si>
    <t>E001-4088, RQ.STI.070 Compra de equipos y accesorios para oficinas.pdf</t>
  </si>
  <si>
    <t>E001-4088</t>
  </si>
  <si>
    <t>FF02-2</t>
  </si>
  <si>
    <t>FE02-208</t>
  </si>
  <si>
    <t>E001-20</t>
  </si>
  <si>
    <t>E001-44</t>
  </si>
  <si>
    <t>E001-40</t>
  </si>
  <si>
    <t>E001-41</t>
  </si>
  <si>
    <t>E001-43</t>
  </si>
  <si>
    <t>E001-42</t>
  </si>
  <si>
    <t>E001-21</t>
  </si>
  <si>
    <t>DE INVERSIONES MILENIU</t>
  </si>
  <si>
    <t>FF01-15</t>
  </si>
  <si>
    <t>002- N° 000751</t>
  </si>
  <si>
    <t>ER-001-0282025 RQ.SSO.219 ,RQ.SSO.221, RQ.SSO.226, RQ.SSO.217 - Entregas a rendir</t>
  </si>
  <si>
    <t>Alquiler almacen Arequipa (1) - Dic-24</t>
  </si>
  <si>
    <t>PROV TLC 91</t>
  </si>
  <si>
    <t>001- N° 004305</t>
  </si>
  <si>
    <t>Reintegro RQ.LOG.263 Entregas a rendir/ ER-001-0222025</t>
  </si>
  <si>
    <t>ER-001-0222025</t>
  </si>
  <si>
    <t>F313-6195</t>
  </si>
  <si>
    <t>Reintegro RQ.LOG.275 Entregas a rendir/ ER-001-0212025</t>
  </si>
  <si>
    <t>ER-001-0212025</t>
  </si>
  <si>
    <t>FN01-31301994</t>
  </si>
  <si>
    <t>F313-6196</t>
  </si>
  <si>
    <t>F313-6198</t>
  </si>
  <si>
    <t>F313-6194</t>
  </si>
  <si>
    <t>F8650156120</t>
  </si>
  <si>
    <t>F8670155112</t>
  </si>
  <si>
    <t>F313-6193</t>
  </si>
  <si>
    <t>F313-6197</t>
  </si>
  <si>
    <t>Disposicion residuos no aprovechables - 09.04.2025</t>
  </si>
  <si>
    <t>LAPO020558226979 / SEG.VIDA-SCTR PENSION-VIDA LEY</t>
  </si>
  <si>
    <t>F040-00638474</t>
  </si>
  <si>
    <t>DETR.MASIVA 7600438623</t>
  </si>
  <si>
    <t>Disposicion residuos no aprovechables - 08.04.2025</t>
  </si>
  <si>
    <t>PROV TLC 92</t>
  </si>
  <si>
    <t>E001-38, RQ.OPE.1057 mantenimiento correctivo de la unidad FOTÓN VBB-840</t>
  </si>
  <si>
    <t>E001-38</t>
  </si>
  <si>
    <t>compra de pasajes aéreos</t>
  </si>
  <si>
    <t>MARNIC MARKETING CONSULTING E.IR.L.</t>
  </si>
  <si>
    <t>E001-1707</t>
  </si>
  <si>
    <t>F002 - 18973,RQ.OPE.1063 referente a mantenimiento preventivo(cambio de aceite y filtros) de la cami</t>
  </si>
  <si>
    <t>F002 - 18973</t>
  </si>
  <si>
    <t>E001-157, RQ.OPE.1064 mantenimiento correctivo de la STOCA del Almacén Encalada - Santa Anita</t>
  </si>
  <si>
    <t>HIDROFLUID SERVICE S.A.C</t>
  </si>
  <si>
    <t>E001-157</t>
  </si>
  <si>
    <t>001- N° 004315</t>
  </si>
  <si>
    <t>FF01-24</t>
  </si>
  <si>
    <t>RET. VENTANILLA</t>
  </si>
  <si>
    <t>0010000050 PESQUERA DI</t>
  </si>
  <si>
    <t>E001-50</t>
  </si>
  <si>
    <t>0000FE010000448 TECNO</t>
  </si>
  <si>
    <t>FE01-448</t>
  </si>
  <si>
    <t>E00100000031000 CORP.E</t>
  </si>
  <si>
    <t>BCO.CITI0031947514</t>
  </si>
  <si>
    <t>FE01-591</t>
  </si>
  <si>
    <t>TRANSF OTRA CUENTA</t>
  </si>
  <si>
    <t>E001-32</t>
  </si>
  <si>
    <t>FF05-7</t>
  </si>
  <si>
    <t>E001-14</t>
  </si>
  <si>
    <t>FF02-8</t>
  </si>
  <si>
    <t>001- N° 004321</t>
  </si>
  <si>
    <t>Contrato de Alquiler - Almacen Arequipa (2) - Mayo / Diciembre 2024</t>
  </si>
  <si>
    <t>BOLANOS VALDEZ REBECA</t>
  </si>
  <si>
    <t>PROV TLC 93</t>
  </si>
  <si>
    <t xml:space="preserve">Judtih </t>
  </si>
  <si>
    <t>F8640134658</t>
  </si>
  <si>
    <t>F8650157558</t>
  </si>
  <si>
    <t>DETR.MASIVA 7602928509</t>
  </si>
  <si>
    <t>SUNAT</t>
  </si>
  <si>
    <t>E001-39 , RQ.OPE.1069 mantenimiento correctivo de la unidad FOTÓN VBB-840</t>
  </si>
  <si>
    <t>E001-39</t>
  </si>
  <si>
    <t>Disposicion residuos no aprovechables - 11.04.2025</t>
  </si>
  <si>
    <t>FFF1-000154, Servicio de Internet Abril 2025</t>
  </si>
  <si>
    <t>FFF1-000154</t>
  </si>
  <si>
    <t>FN01-31379756</t>
  </si>
  <si>
    <t>COM.CCE PRO 000093</t>
  </si>
  <si>
    <t>FN01-31394115</t>
  </si>
  <si>
    <t>FF05-9</t>
  </si>
  <si>
    <t>TRANSF.BCO.BBVA</t>
  </si>
  <si>
    <t>FF01-13</t>
  </si>
  <si>
    <t>FF05-4</t>
  </si>
  <si>
    <t>FF05-8</t>
  </si>
  <si>
    <t>FF05-6</t>
  </si>
  <si>
    <t>E001-467, RQ.SIG.27 servicio de actualización mensual de la matriz de requisitos legales</t>
  </si>
  <si>
    <t>E001-467</t>
  </si>
  <si>
    <t>E001-4548 - ALOJAMIENTO EN HAB INDIVIDUAL (IN: 14/04/25 OUT: 25/04/25) - Consultor</t>
  </si>
  <si>
    <t>E001-129, RQ.COM.299 referente al servicio tercerizado para el carguío de papel kraft hacia Lima.</t>
  </si>
  <si>
    <t>E001-129</t>
  </si>
  <si>
    <t>E001-3800, RQ.OPE.1067 por transporte de residuos</t>
  </si>
  <si>
    <t>E001-3800</t>
  </si>
  <si>
    <t>F002-4203, RQ.OPE.993 compra de 04 neumáticos de la unidad HINO V9R-903</t>
  </si>
  <si>
    <t>GRUPO MD LIDER CRUZ SAC</t>
  </si>
  <si>
    <t>F002-4203</t>
  </si>
  <si>
    <t>Reposición - Caja Conductores - 2025 / RCO-07</t>
  </si>
  <si>
    <t>RCO-07</t>
  </si>
  <si>
    <t>RQ.OPE.1076 Entregas a rendir - ER-001-0602025</t>
  </si>
  <si>
    <t>Entregas a rendir</t>
  </si>
  <si>
    <t>001- N° 004327</t>
  </si>
  <si>
    <t>001- N° 004308</t>
  </si>
  <si>
    <t>001- N° 004314</t>
  </si>
  <si>
    <t>FF02-7</t>
  </si>
  <si>
    <t>FF01-11</t>
  </si>
  <si>
    <t>FF0100000016000 CARMEN</t>
  </si>
  <si>
    <t>FF01-16</t>
  </si>
  <si>
    <t>COM.CCE PRO 000094</t>
  </si>
  <si>
    <t>FN01-31493887</t>
  </si>
  <si>
    <t>FN01-31598334</t>
  </si>
  <si>
    <t>FN01-31455661</t>
  </si>
  <si>
    <t>F313-6230</t>
  </si>
  <si>
    <t>F313-6228</t>
  </si>
  <si>
    <t>RQ.LOG.284 Entregas a rendir</t>
  </si>
  <si>
    <t>ER-001-0312025</t>
  </si>
  <si>
    <t>F135-7345 Combustible</t>
  </si>
  <si>
    <t>F135-7345</t>
  </si>
  <si>
    <t>F313-6231</t>
  </si>
  <si>
    <t>F136-9991 Combustible</t>
  </si>
  <si>
    <t>F136-9991</t>
  </si>
  <si>
    <t>DETR.MASIVA 7606288962</t>
  </si>
  <si>
    <t>Disposicion residuos no aprovechables - 16.04.2025</t>
  </si>
  <si>
    <t>F313-6229</t>
  </si>
  <si>
    <t>F313-6232</t>
  </si>
  <si>
    <t>F313-6226</t>
  </si>
  <si>
    <t>F313-6227</t>
  </si>
  <si>
    <t>DETR.MASIVA 7606267370</t>
  </si>
  <si>
    <t>PROV TLC 94</t>
  </si>
  <si>
    <t>E001-1716 ELABORACION DE PLAN ESTRATEGICO, DIAGNOSTICO ORGANIZACIONAL (adelanto) RQ.GER.064</t>
  </si>
  <si>
    <t>E001-1716</t>
  </si>
  <si>
    <t>Reposicion - Caja Chica AQP - RC 001-004_2025</t>
  </si>
  <si>
    <t>Compartamos Financiera - Cuota 30</t>
  </si>
  <si>
    <t>SB01-0532989532</t>
  </si>
  <si>
    <t>Adelanto de sueldo Abril 2025 - QUEQUE ANCO JORGE LUIS</t>
  </si>
  <si>
    <t>Adelanto de sueldo Abril 2025 - LEON NN WILLIAN JOHAN</t>
  </si>
  <si>
    <t>E001-511, RQ.COM.303 por el servicio de transporte de residuos aprovechables de Alicorp.</t>
  </si>
  <si>
    <t>E001-511</t>
  </si>
  <si>
    <t>Adelanto de sueldo Abril 2025 - VIZA CACERES WAY BRIAN</t>
  </si>
  <si>
    <t>S001-29714126</t>
  </si>
  <si>
    <t>Adelanto de sueldo Abril 2025 - HUANUCO ORTEGA CRISTIAN MANUEL</t>
  </si>
  <si>
    <t>Adelanto de sueldo Abril 2025 - ALVARADO ALAMA ADRIAN</t>
  </si>
  <si>
    <t>Adelanto de sueldo Abril 2025 - CRISSLEY LAZARTE AGUIRRE</t>
  </si>
  <si>
    <t>S001-29714066</t>
  </si>
  <si>
    <t>E001-265, RQ.COM.296 por la fabricación de contenedores metálicos rígidos</t>
  </si>
  <si>
    <t>E001-265</t>
  </si>
  <si>
    <t>Disposicion residuos no aprovechables - 21.04.2025</t>
  </si>
  <si>
    <t>S105-58049</t>
  </si>
  <si>
    <t>S106-0005595813</t>
  </si>
  <si>
    <t>FF01-19</t>
  </si>
  <si>
    <t>002- N° 000743</t>
  </si>
  <si>
    <t>COMPLEJO TURISTICO D</t>
  </si>
  <si>
    <t xml:space="preserve">	Juan Ponce Vasquez</t>
  </si>
  <si>
    <t>FF05-11</t>
  </si>
  <si>
    <t>F8640135419</t>
  </si>
  <si>
    <t>F8650158516</t>
  </si>
  <si>
    <t>Disposicion residuos no aprovechables - 22.04.2025</t>
  </si>
  <si>
    <t>Disposicion residuos no aprovechables - 24.04.2025</t>
  </si>
  <si>
    <t>RQ.OPE.1086 Entregas a rendir</t>
  </si>
  <si>
    <t>ER-001-0302025</t>
  </si>
  <si>
    <t>Disposicion residuos no aprovechables - 23.04.2025</t>
  </si>
  <si>
    <t>FE24</t>
  </si>
  <si>
    <t>FE24-1118</t>
  </si>
  <si>
    <t>E001-391 Servicio de Internet mes de Abril 2025 - FIXER TELECOMUNICACIONES S.A.C</t>
  </si>
  <si>
    <t>E001-391</t>
  </si>
  <si>
    <t>000FF02-11 EMPRESA SID</t>
  </si>
  <si>
    <t>FF02-11</t>
  </si>
  <si>
    <t>000FF02-12 EMPRESA SID</t>
  </si>
  <si>
    <t>FF02-12</t>
  </si>
  <si>
    <t>000FF02-10 EMPRESA SID</t>
  </si>
  <si>
    <t>FF02-10</t>
  </si>
  <si>
    <t>001- N° 004341</t>
  </si>
  <si>
    <t>E001-38
E001-39</t>
  </si>
  <si>
    <t>FF05-10</t>
  </si>
  <si>
    <t>FF05-12</t>
  </si>
  <si>
    <t>FF05-13</t>
  </si>
  <si>
    <t>E001-267, RQ.COM.292 fabricación de contenedores para nuestro cliente Moly-Cop La Joya.</t>
  </si>
  <si>
    <t>E001-267</t>
  </si>
  <si>
    <t>FDX1-232, RQ.COM.292 por la fabricación de contenedores para nuestro cliente Moly-Cop La Joya. (2061</t>
  </si>
  <si>
    <t>FDX1-232</t>
  </si>
  <si>
    <t>RQ.OPE.1089 Entregas a rendir</t>
  </si>
  <si>
    <t>PROV TLC 96</t>
  </si>
  <si>
    <t>0000000020 GRANJA RINC</t>
  </si>
  <si>
    <t>FF01-20
FF01-25</t>
  </si>
  <si>
    <t>0010FF010000021 PESQUE</t>
  </si>
  <si>
    <t>FF01-21</t>
  </si>
  <si>
    <t>001- N° 004351</t>
  </si>
  <si>
    <t>001E00100000052 MOLY-C</t>
  </si>
  <si>
    <t>E001-52</t>
  </si>
  <si>
    <t>F135-7453 Combustible</t>
  </si>
  <si>
    <t>F135-7453</t>
  </si>
  <si>
    <t>E001-1, RQ.COM.292 Fabricación de contenedores</t>
  </si>
  <si>
    <t>CONSTRUCTORA MULTIPROM INGINEERING Y CONSTRUCTION SAC</t>
  </si>
  <si>
    <t>PAGO IMPUES 7615025531</t>
  </si>
  <si>
    <t>001- N° 004153</t>
  </si>
  <si>
    <t>001- N° 004162</t>
  </si>
  <si>
    <t>001- N° 004309</t>
  </si>
  <si>
    <t>FF02-15</t>
  </si>
  <si>
    <t>001- N° 004311</t>
  </si>
  <si>
    <t>ENTR.EFEC. 0065208</t>
  </si>
  <si>
    <t>001- N° 004383</t>
  </si>
  <si>
    <t>001- N° 004357</t>
  </si>
  <si>
    <t>000000000215237 VOESTA //Devolución pago  FF16-1736, OP.1113558 26/02</t>
  </si>
  <si>
    <t>Devolución</t>
  </si>
  <si>
    <t>Justo Condori Lipa</t>
  </si>
  <si>
    <t>001- N° 004358</t>
  </si>
  <si>
    <t>Brian Viza Caceres</t>
  </si>
  <si>
    <t>001- N° 004359</t>
  </si>
  <si>
    <t>FN01-31978920</t>
  </si>
  <si>
    <t>F313-6263</t>
  </si>
  <si>
    <t>F313-6262</t>
  </si>
  <si>
    <t>F313-6265</t>
  </si>
  <si>
    <t>F313-6261</t>
  </si>
  <si>
    <t>F313-6267</t>
  </si>
  <si>
    <t>F313-6266</t>
  </si>
  <si>
    <t>RQ.OPE.1096 Entregas a rendir / ER-001-0382025</t>
  </si>
  <si>
    <t>ER-001-0382025</t>
  </si>
  <si>
    <t>DETR.MASIVA 7615620919</t>
  </si>
  <si>
    <t>F313-6264</t>
  </si>
  <si>
    <t>PROV TLC 97</t>
  </si>
  <si>
    <t>FF02-9</t>
  </si>
  <si>
    <t>FF02-4</t>
  </si>
  <si>
    <t>RONALD GUIZADO</t>
  </si>
  <si>
    <t>TRAN.CTAS.TERC.BM / Devolución entregas a rendir 2024 - OPERACIONES</t>
  </si>
  <si>
    <t xml:space="preserve">TRAN.CTAS.TERC.HK/ Devolución E001-796, de pago detracción </t>
  </si>
  <si>
    <t>0000000032 GRANJA RINC</t>
  </si>
  <si>
    <t>FF01-26
FF01-27
FF01-28
FF01-29
FF01-30
FF01-31
FF01-32
FF01-33</t>
  </si>
  <si>
    <t>F8670158438</t>
  </si>
  <si>
    <t>FF01-12521, RQ.OPE.1025 en referencia a la compra de strech film</t>
  </si>
  <si>
    <t>FF01-12521</t>
  </si>
  <si>
    <t>F8650159470</t>
  </si>
  <si>
    <t>001- N° 004355</t>
  </si>
  <si>
    <t>FF02-21</t>
  </si>
  <si>
    <t>002- N° 000763</t>
  </si>
  <si>
    <t>FF01-52</t>
  </si>
  <si>
    <t>000000000E00151 FLSMID</t>
  </si>
  <si>
    <t>E001-51</t>
  </si>
  <si>
    <t>Disposicion residuos no aprovechables - 29.04.2025</t>
  </si>
  <si>
    <t>F001-154, RQ.COM.316 Transporte tercerizado para carguio de residuos aprovechables</t>
  </si>
  <si>
    <t>F001-154</t>
  </si>
  <si>
    <t>RH E001-37, RQ.GH.181 asesoría elaboración de la escala salarial.</t>
  </si>
  <si>
    <t>RH E001-37</t>
  </si>
  <si>
    <t>Entregas a rendir - Día del trabajador/ ER-001-0292025</t>
  </si>
  <si>
    <t>ER-001-0292025</t>
  </si>
  <si>
    <t>Reposición - Caja Conductores - 2025 / RCO-08</t>
  </si>
  <si>
    <t>RCO-08</t>
  </si>
  <si>
    <t>002- N° 000764</t>
  </si>
  <si>
    <t>FF05-16</t>
  </si>
  <si>
    <t>FF05-14</t>
  </si>
  <si>
    <t>TRAN.CTAS.TERC.BM / Devolución entregas a rendir ER-001-0262025 - RQ.OPE.1053</t>
  </si>
  <si>
    <t>ER-001-0262025</t>
  </si>
  <si>
    <t>HABER TLC 100 / Planilla de Rem. Abr25 (1)</t>
  </si>
  <si>
    <t>PROV TLC 99</t>
  </si>
  <si>
    <t>E001-132, RQ.COM.313 carguío de vidrio desde almacén Villa Esperanza hasta Lima</t>
  </si>
  <si>
    <t>E001-132</t>
  </si>
  <si>
    <t>CLAR000003358327 / F01500287518</t>
  </si>
  <si>
    <t>F015-00287518</t>
  </si>
  <si>
    <t>E001-384, RQ.LOG.288 Recarga de agua para almacén Arequipa</t>
  </si>
  <si>
    <t>E001-384</t>
  </si>
  <si>
    <t>E001-367 , RQ.LOG.288 Recarga de agua para almacén Arequipa</t>
  </si>
  <si>
    <t>Disposicion residuos no aprovechables - 02.05.2025</t>
  </si>
  <si>
    <t>Disposicion residuos no aprovechables - 02.05.2025 (1)</t>
  </si>
  <si>
    <t>CLAR000003358327 / F015-00287519</t>
  </si>
  <si>
    <t>FF01-35
FF01-36</t>
  </si>
  <si>
    <t>FF02-23</t>
  </si>
  <si>
    <t xml:space="preserve">	BALDERA AMAYA VIKY MAGALLY</t>
  </si>
  <si>
    <t>002- N° 000766</t>
  </si>
  <si>
    <t>E001-46</t>
  </si>
  <si>
    <t>002- N° 000742</t>
  </si>
  <si>
    <t>001- N° 004335</t>
  </si>
  <si>
    <t>F020000026 CORPORACION</t>
  </si>
  <si>
    <t>FF02-26</t>
  </si>
  <si>
    <t>F313-6279</t>
  </si>
  <si>
    <t>F313-6283</t>
  </si>
  <si>
    <t>COM.CCE PRO 000101</t>
  </si>
  <si>
    <t>F313-6278</t>
  </si>
  <si>
    <t>F313-6284</t>
  </si>
  <si>
    <t>F313-6282</t>
  </si>
  <si>
    <t>E001-1637, RQ.OPE.1068 referente a lavado y engrase del montacargas de Villa Esperanza</t>
  </si>
  <si>
    <t>CARMEN CRUZ HUARACHA</t>
  </si>
  <si>
    <t>E001-1637</t>
  </si>
  <si>
    <t>Disposicion residuos no aprovechables - 05.05.2025</t>
  </si>
  <si>
    <t>F313-6280</t>
  </si>
  <si>
    <t>F313-6285</t>
  </si>
  <si>
    <t>F313-6281</t>
  </si>
  <si>
    <t>PAGO IMPUES 7620282187</t>
  </si>
  <si>
    <t>RH E001-20 - ADELANTO POR ELABORACIÓN DE ANTEPROYECTO DE CENTRO DE MANEJO DE RESIDUOS SOLIDOS</t>
  </si>
  <si>
    <t>RH E001-20</t>
  </si>
  <si>
    <t>F8670159159</t>
  </si>
  <si>
    <t>F313-6277</t>
  </si>
  <si>
    <t>RH E001-19 ELABORACIÓN DE EXPEDIENTE DE REMODELACIÓN DE OFICINAS VARIAS</t>
  </si>
  <si>
    <t>RH E001-19</t>
  </si>
  <si>
    <t>PAGO IMPUES 7620279794</t>
  </si>
  <si>
    <t>F8650160391</t>
  </si>
  <si>
    <t xml:space="preserve">TRANFERENCIA CCE </t>
  </si>
  <si>
    <t>ALSUR PERU SAC</t>
  </si>
  <si>
    <t>F002-624</t>
  </si>
  <si>
    <t>DETR.MASIVA 7620384205</t>
  </si>
  <si>
    <t>PAGO IMPUES 7620278834</t>
  </si>
  <si>
    <t>PROV TLC 101</t>
  </si>
  <si>
    <t>FF02-27</t>
  </si>
  <si>
    <t>001- N° 004385</t>
  </si>
  <si>
    <t>Miguel Abarca Afata</t>
  </si>
  <si>
    <t>001- N° 004368</t>
  </si>
  <si>
    <t>E001-405 Servicio de Internet mes de Mayo 2025 - FIXER TELECOMUNICACIONES S.A.C</t>
  </si>
  <si>
    <t>E001-405</t>
  </si>
  <si>
    <t>F135-7597 Combustible</t>
  </si>
  <si>
    <t>F135-7597</t>
  </si>
  <si>
    <t>F136-10219 Combustible</t>
  </si>
  <si>
    <t>F136-10219</t>
  </si>
  <si>
    <t>F002-19253, RQ.OPE.1114 Mantenimiento preventivo de la unidad FOTÓN BKK-849</t>
  </si>
  <si>
    <t>F002-19253</t>
  </si>
  <si>
    <t>RQ.SSO.218 Entregas a rendir/ ER-001-0332025</t>
  </si>
  <si>
    <t>MOLINA CHAVEZ SALVADOR</t>
  </si>
  <si>
    <t>ER-001-0332025</t>
  </si>
  <si>
    <t>FA02</t>
  </si>
  <si>
    <t>Adelanto 50% OC 004-153 ,RQ.SSO.231 EPP básicos RQ.SSO.232 EPPs adicionales</t>
  </si>
  <si>
    <t>SKY HIGH SOCIEDAD ANONIMA CERRADA</t>
  </si>
  <si>
    <t>FA02-1123</t>
  </si>
  <si>
    <t>Caja Arequipa - Juber Monteza - Cuota 31</t>
  </si>
  <si>
    <t>001- N° 004332</t>
  </si>
  <si>
    <t>001- N° 004361</t>
  </si>
  <si>
    <t>001- N° 004365</t>
  </si>
  <si>
    <t>RH E001-26, RQ.LOG.295 Servicio de desatoramiento en el almacen 3</t>
  </si>
  <si>
    <t>RH E001-26</t>
  </si>
  <si>
    <t>001-58775686
001-59049417</t>
  </si>
  <si>
    <t>RQ.COM.317 por el servicio de homologación anual con Alicorp</t>
  </si>
  <si>
    <t>SERVICIOS EMPRESARIALES DE CERTIFICACION</t>
  </si>
  <si>
    <t>F001-0002457</t>
  </si>
  <si>
    <t>DETR.MASIVA 7622911249</t>
  </si>
  <si>
    <t>Disposicion residuos no aprovechables - 06.05.2025</t>
  </si>
  <si>
    <t>Contrato de Alquiler - Almacen La Joya - Mayo / Diciembre 2024</t>
  </si>
  <si>
    <t>FF02-22</t>
  </si>
  <si>
    <t>FF02-20</t>
  </si>
  <si>
    <t>F020000029 CORPORACION</t>
  </si>
  <si>
    <t>FF02-29</t>
  </si>
  <si>
    <t>FF02-19</t>
  </si>
  <si>
    <t>FF02-25</t>
  </si>
  <si>
    <t>FF02-30</t>
  </si>
  <si>
    <t>FF02-18</t>
  </si>
  <si>
    <t>FF02-24</t>
  </si>
  <si>
    <t>Carlos Calcina Mamani</t>
  </si>
  <si>
    <t>001- N° 004393</t>
  </si>
  <si>
    <t>F865-0160914</t>
  </si>
  <si>
    <t>F865-0160908</t>
  </si>
  <si>
    <t>PROV TLC 102</t>
  </si>
  <si>
    <t>PROV TLC 103</t>
  </si>
  <si>
    <t>FF07-2</t>
  </si>
  <si>
    <t>001- N° 004397</t>
  </si>
  <si>
    <t>VARIOS UNIVERSIDAD CAT</t>
  </si>
  <si>
    <t>FF01-12
FF01-23</t>
  </si>
  <si>
    <t>DE LIVIGUI PERU SAC</t>
  </si>
  <si>
    <t>FF01-18</t>
  </si>
  <si>
    <t>FF07-3</t>
  </si>
  <si>
    <t>FF02-17</t>
  </si>
  <si>
    <t>E001-4660, RQ.OPE.1041 por descarga de residuos</t>
  </si>
  <si>
    <t>E001-4660</t>
  </si>
  <si>
    <t>PAGO DETRAC 7623768793</t>
  </si>
  <si>
    <t>RQ.OPE.1123 Entregas a rendir /ER-001-0342025</t>
  </si>
  <si>
    <t>ER-001-0342025</t>
  </si>
  <si>
    <t>PAGO DETRAC 7623777352</t>
  </si>
  <si>
    <t>PAGO DETRAC 7623776332</t>
  </si>
  <si>
    <t>Disposicion residuos no aprovechables - 07.05.2025</t>
  </si>
  <si>
    <t>E001-3821, RQ.COM.318 Servicio de transporte para DF de residuos no peligrosos de Celicon</t>
  </si>
  <si>
    <t>E001-3821</t>
  </si>
  <si>
    <t>PAGO DETRAC 7623766465</t>
  </si>
  <si>
    <t>Alquiler Alm Huaranguillo2 May25</t>
  </si>
  <si>
    <t>FF07-5</t>
  </si>
  <si>
    <t>FF07-4</t>
  </si>
  <si>
    <t>F313-6299</t>
  </si>
  <si>
    <t>F313-6301</t>
  </si>
  <si>
    <t>F313-6297</t>
  </si>
  <si>
    <t>Disposicion residuos no aprovechables - 09.05.2025</t>
  </si>
  <si>
    <t>F313-6300</t>
  </si>
  <si>
    <t>Disposicion residuos no aprovechables - 08.05.2025</t>
  </si>
  <si>
    <t>F313-6298</t>
  </si>
  <si>
    <t>Innova Ambiental S.A. - Disposicion residuos no aprovechables</t>
  </si>
  <si>
    <t>RH E001- 19, DIAGNOSTICO EMPRESARIAL INTEGRAL</t>
  </si>
  <si>
    <t>RH E001- 19</t>
  </si>
  <si>
    <t>E001-666, RQ.COM.293 revisión, reparación y mantenimiento de balanzas que se necesita en Almacén 1</t>
  </si>
  <si>
    <t>BALANZAS WARTON SRL</t>
  </si>
  <si>
    <t>E001-666</t>
  </si>
  <si>
    <t>E001-2, RQ.LOG.296 Servicio de soldadura</t>
  </si>
  <si>
    <t>NUNONCA MARANON NOEMI</t>
  </si>
  <si>
    <t>E001-2</t>
  </si>
  <si>
    <t>E001-1, RQ.LOG.296 Servicio de soldadura</t>
  </si>
  <si>
    <t>E001-3, RQ.LOG.296 Servicio de soldadura</t>
  </si>
  <si>
    <t>E001-3</t>
  </si>
  <si>
    <t>Disposicion residuos peligrosos - 08.05.2025</t>
  </si>
  <si>
    <t>Disposicion residuos RCD - 09.05.2025</t>
  </si>
  <si>
    <t>PROV TLC 104</t>
  </si>
  <si>
    <t>ENTR.EFEC. 0016867</t>
  </si>
  <si>
    <t>0000000048 GRANJA RINC</t>
  </si>
  <si>
    <t>FF01-47
FF01-48</t>
  </si>
  <si>
    <t>FF01-55</t>
  </si>
  <si>
    <t>FF02-28</t>
  </si>
  <si>
    <t>000000000FF0143 STIERL</t>
  </si>
  <si>
    <t>FF01-43</t>
  </si>
  <si>
    <t>Devolución RQ.LOG.284 Entregas a rendir -  AGUA</t>
  </si>
  <si>
    <t>RQ.LOG.301 Entregas a rendir/ ER-001-0372025</t>
  </si>
  <si>
    <t>ER-001-0372025</t>
  </si>
  <si>
    <t>FFF1-000181, Servicio de Internet Mayo 2025</t>
  </si>
  <si>
    <t>FFF1-000181</t>
  </si>
  <si>
    <t>E001-1174</t>
  </si>
  <si>
    <t>Saldo 50% OC 004-153 ,RQ.SSO.231 EPP básicos RQ.SSO.232 EPPs adicionales</t>
  </si>
  <si>
    <t>DETR.MASIVA 7625420842</t>
  </si>
  <si>
    <t>PROV TLC 105</t>
  </si>
  <si>
    <t>F601</t>
  </si>
  <si>
    <t>001- N° 004406</t>
  </si>
  <si>
    <t>001- N° 004407</t>
  </si>
  <si>
    <t>001- N° 004325</t>
  </si>
  <si>
    <t>DE 191-2495575-0</t>
  </si>
  <si>
    <t>E001-28
E001-54 
E001-55
FF05-15</t>
  </si>
  <si>
    <t>001- N° 004411</t>
  </si>
  <si>
    <t>H &amp; R SERVICIOS E INGENIERIA E.I.R.L.</t>
  </si>
  <si>
    <t>001- N° 004408</t>
  </si>
  <si>
    <t>E001-402, RQ.LOG.298 recarga de agua.</t>
  </si>
  <si>
    <t>E001-402</t>
  </si>
  <si>
    <t>S001-30222675</t>
  </si>
  <si>
    <t>FE25</t>
  </si>
  <si>
    <t>FE25-12096</t>
  </si>
  <si>
    <t>S001-30222735</t>
  </si>
  <si>
    <t>F864-0138448</t>
  </si>
  <si>
    <t>F867-0160575</t>
  </si>
  <si>
    <t>DE COMIMTEL SAC</t>
  </si>
  <si>
    <t>FF01-17
FF01-37
FF01-38</t>
  </si>
  <si>
    <t>001- N° 004395</t>
  </si>
  <si>
    <t>001- N° 004399</t>
  </si>
  <si>
    <t>ENTR.EFEC. 0766176</t>
  </si>
  <si>
    <t>FF01-34</t>
  </si>
  <si>
    <t>001- N° 004412</t>
  </si>
  <si>
    <t>FF02-31</t>
  </si>
  <si>
    <t>E001-134, RQ.OPE.1139 por transporte de residuos</t>
  </si>
  <si>
    <t>E001-134</t>
  </si>
  <si>
    <t>Disposicion residuos no aprovechables - 13.05.2025</t>
  </si>
  <si>
    <t>Reposición - Caja Conductores - 2025 / RCO-09</t>
  </si>
  <si>
    <t>RCO-09</t>
  </si>
  <si>
    <t>Aniversario de la empresa 2025 - Entregas a rendir</t>
  </si>
  <si>
    <t>ER-001-0322025</t>
  </si>
  <si>
    <t>000FF02-37 EMPRESA SID</t>
  </si>
  <si>
    <t>FF02-37</t>
  </si>
  <si>
    <t>FF02-38</t>
  </si>
  <si>
    <t xml:space="preserve">TRAN.CTAS.TERC.BM / Devolución entregas a rendir </t>
  </si>
  <si>
    <t>ER-001-0282025</t>
  </si>
  <si>
    <t>TRAN.CTAS.TERC.BM / Devolución entregas a rendir 2024</t>
  </si>
  <si>
    <t>COM.CCE PRO 000106</t>
  </si>
  <si>
    <t>FN01-32464171</t>
  </si>
  <si>
    <t>F313-6324</t>
  </si>
  <si>
    <t>S106-000727094</t>
  </si>
  <si>
    <t>S105-124201</t>
  </si>
  <si>
    <t>F313-6323</t>
  </si>
  <si>
    <t>F313-6321</t>
  </si>
  <si>
    <t>F313-6325</t>
  </si>
  <si>
    <t>F313-6322</t>
  </si>
  <si>
    <t>F313-6327</t>
  </si>
  <si>
    <t>F313-6328</t>
  </si>
  <si>
    <t>F313-6326</t>
  </si>
  <si>
    <t>SB01-0539540161</t>
  </si>
  <si>
    <t>PROV TLC 106</t>
  </si>
  <si>
    <t>0000000057 GRANJA RINC</t>
  </si>
  <si>
    <t>FF01-56
FF01-57
FF01-58</t>
  </si>
  <si>
    <t>FF01-41</t>
  </si>
  <si>
    <t>FN01-32740807</t>
  </si>
  <si>
    <t>Pago Cts caja piura</t>
  </si>
  <si>
    <t xml:space="preserve">Pago Cts caja aqp </t>
  </si>
  <si>
    <t>FF01-50</t>
  </si>
  <si>
    <t>001- N° 004413</t>
  </si>
  <si>
    <t>FF02-39</t>
  </si>
  <si>
    <t>FF02-33</t>
  </si>
  <si>
    <t>FF02-32</t>
  </si>
  <si>
    <t>F001-01022366</t>
  </si>
  <si>
    <t>F001-01032039</t>
  </si>
  <si>
    <t>DETR.MASIVA 7630875208</t>
  </si>
  <si>
    <t>F865-0162711</t>
  </si>
  <si>
    <t>F865-0162688</t>
  </si>
  <si>
    <t>F006</t>
  </si>
  <si>
    <t>MAF0020558226979</t>
  </si>
  <si>
    <t>MAF</t>
  </si>
  <si>
    <t>F006-00158055</t>
  </si>
  <si>
    <t>CTS TLC 109</t>
  </si>
  <si>
    <t>Reposicion de caja AQP</t>
  </si>
  <si>
    <t>Devolucion de deposito indebido OP: 16867</t>
  </si>
  <si>
    <t>HUANCAHUIRE VEGA RUTH KAROL</t>
  </si>
  <si>
    <t>Devolucion de transferencia indebida - OP: 1415067</t>
  </si>
  <si>
    <t>I Y M RIVESPINO E.I.R.L.</t>
  </si>
  <si>
    <t>FN01-32824982</t>
  </si>
  <si>
    <t xml:space="preserve">Imer </t>
  </si>
  <si>
    <t>MULTI ENVASES AUCCAISE S.A.C</t>
  </si>
  <si>
    <t>002- N° 000779</t>
  </si>
  <si>
    <t>001- N° 004421</t>
  </si>
  <si>
    <t>001- N° 004419</t>
  </si>
  <si>
    <t>002- N° 000765</t>
  </si>
  <si>
    <t>Disposicion residuos no peligrosos - 19.05.2025</t>
  </si>
  <si>
    <t>E001-415 Servicio de Internet mes de Mayo 2025 - FIXER TELECOMUNICACIONES S.A.C</t>
  </si>
  <si>
    <t>E001-415</t>
  </si>
  <si>
    <t>E001-472, RQ.SIG.029 servicio de actualización mensual de la matriz de requisitos legales</t>
  </si>
  <si>
    <t>E001-472</t>
  </si>
  <si>
    <t>Adelanto de sueldo Mayo 2025 - VIZA CACERES WAY BRIAN</t>
  </si>
  <si>
    <t>Adelanto de sueldo Mayo 2025 - LEON NN WILLIAN JOHAN</t>
  </si>
  <si>
    <t>Adelanto de sueldo Mayo 2025 -QUEQUE ANCO JORGE LUIS</t>
  </si>
  <si>
    <t>Compartamos Financiera - Cuota 31</t>
  </si>
  <si>
    <t>Disposicion residuos no aprovechables - 19.05.2025</t>
  </si>
  <si>
    <t>PROV TLC 111</t>
  </si>
  <si>
    <t>F01500293332</t>
  </si>
  <si>
    <t>Disposicion residuos no aprovechables - 21.05.2025</t>
  </si>
  <si>
    <t>F006-41155, RQ.OPE.1119 mantenimiento preventivo(Cambio de aceite y filtros) de la unidad VBB-840</t>
  </si>
  <si>
    <t>NEGOCIACIONES ABBYCORP EIRL</t>
  </si>
  <si>
    <t>F006-41155</t>
  </si>
  <si>
    <t>RQ.OPE.1160 Entregas a rendir/ ER-001-0352025</t>
  </si>
  <si>
    <t>ER-001-0352025</t>
  </si>
  <si>
    <t>F01500287519</t>
  </si>
  <si>
    <t>Disposicion residuos no aprovechables - 20.05.2025</t>
  </si>
  <si>
    <t>F136-10386 Combustible</t>
  </si>
  <si>
    <t>F136-10386</t>
  </si>
  <si>
    <t>F135-7754 Combustible</t>
  </si>
  <si>
    <t>F135-7754</t>
  </si>
  <si>
    <t>Liquidacion de Beneficios Sociales - MÁRQUEZ AVILA FERNANDO JESÚS</t>
  </si>
  <si>
    <t>FF01-89</t>
  </si>
  <si>
    <t>FF05-18</t>
  </si>
  <si>
    <t>FF05-23</t>
  </si>
  <si>
    <t>FF05-24</t>
  </si>
  <si>
    <t>FF05-19</t>
  </si>
  <si>
    <t>FF05-26</t>
  </si>
  <si>
    <t>F001-479, RQ.OPE.1161 mantenimiento correctivo de la unidad BKL-739</t>
  </si>
  <si>
    <t>F001-479</t>
  </si>
  <si>
    <t>F01500293331</t>
  </si>
  <si>
    <t>F313-6372</t>
  </si>
  <si>
    <t>F313-6368</t>
  </si>
  <si>
    <t>F313-6367</t>
  </si>
  <si>
    <t>F313-6370</t>
  </si>
  <si>
    <t>F313-6369</t>
  </si>
  <si>
    <t>EB01-88, RQ.LOG.304 compra de camisetas por encargo de Gerencia (20608172085) MYKIMI EIRL</t>
  </si>
  <si>
    <t>EB01-88</t>
  </si>
  <si>
    <t>F313-6371</t>
  </si>
  <si>
    <t>F313-6373</t>
  </si>
  <si>
    <t>Liquidacion de Beneficios Sociales - DLUZNIEWSKI RODRIGUEZ JULIO CESAR</t>
  </si>
  <si>
    <t>DLUZNIEWSKI RODRIGUEZ JULIO CESAR</t>
  </si>
  <si>
    <t>PROV TLC 112</t>
  </si>
  <si>
    <t>De antilla copper soci</t>
  </si>
  <si>
    <t>FF01-85</t>
  </si>
  <si>
    <t>0FF010000000045 INCA T</t>
  </si>
  <si>
    <t>FF01-45</t>
  </si>
  <si>
    <t>Timoteo Chaucha Chata</t>
  </si>
  <si>
    <t>001- N° 004432</t>
  </si>
  <si>
    <t>00000000FF01046 ASOCIA</t>
  </si>
  <si>
    <t>FF01-46</t>
  </si>
  <si>
    <t>FF02-16</t>
  </si>
  <si>
    <t>RQ.STI.086 Y RQ.STI.087 Compra de cartuchos y mantenimiento Konica Minolta</t>
  </si>
  <si>
    <t>F001-8265
F001-8257</t>
  </si>
  <si>
    <t>DETR.MASIVA 7638072361 / autodetracciones</t>
  </si>
  <si>
    <t>Constatacion Notarial para redisuos de Danper</t>
  </si>
  <si>
    <t>F001-16143</t>
  </si>
  <si>
    <t>PROV TLC 117</t>
  </si>
  <si>
    <t>DETR.MASIVA 7638162065</t>
  </si>
  <si>
    <t>IMPUESTO ITF</t>
  </si>
  <si>
    <t>FN01-32992663</t>
  </si>
  <si>
    <t xml:space="preserve">001- N° 004418	</t>
  </si>
  <si>
    <t>001- N° 004448</t>
  </si>
  <si>
    <t>001- N° 004436</t>
  </si>
  <si>
    <t>FF05-27</t>
  </si>
  <si>
    <t>Aurelio Zuñiga Zuñiga</t>
  </si>
  <si>
    <t>001- N° 004437</t>
  </si>
  <si>
    <t>F313-6396</t>
  </si>
  <si>
    <t>F313-6393</t>
  </si>
  <si>
    <t>F313-6394</t>
  </si>
  <si>
    <t>F313-6392</t>
  </si>
  <si>
    <t>Devolución por entregas a rendir - Dia del trabajador/ ER-001-0292025</t>
  </si>
  <si>
    <t>F313-6391</t>
  </si>
  <si>
    <t>F313-6395</t>
  </si>
  <si>
    <t>F867-0162950</t>
  </si>
  <si>
    <t>F865-0164008</t>
  </si>
  <si>
    <t>001- N° 004435</t>
  </si>
  <si>
    <t>FF02-40</t>
  </si>
  <si>
    <t>0100000040 UNIVERSIDAD</t>
  </si>
  <si>
    <t>FF01-40</t>
  </si>
  <si>
    <t>001- N° 004440</t>
  </si>
  <si>
    <t>F313-6390</t>
  </si>
  <si>
    <t>F001-15, RQ.OPE.1018 recarga de gas de aire acondicionado de la unidad VBB-840</t>
  </si>
  <si>
    <t>F001-15</t>
  </si>
  <si>
    <t>RH E001-29, E001-30, E001-31- RQ.GH.190 implementación de procedimientos de capacitación y desarrollo, elaboración del reglamento</t>
  </si>
  <si>
    <t>RH E001-29
RH E001-30
RH E001-31</t>
  </si>
  <si>
    <t>F002-19575, RQ.OPE.1166 mantenimiento preventivo(Cambio de aceite y filtros) de la unidad VDJ-872</t>
  </si>
  <si>
    <t>F002-19575</t>
  </si>
  <si>
    <t>PROV TLC 118</t>
  </si>
  <si>
    <t>Maritza</t>
  </si>
  <si>
    <t>DETR.MASIVA 7640990483</t>
  </si>
  <si>
    <t>Cambio de Soles a Dolares TC: 3.649</t>
  </si>
  <si>
    <t>FN01-33065811</t>
  </si>
  <si>
    <t>DE AZ ARQUITECTOS EIRL</t>
  </si>
  <si>
    <t>FF01-99</t>
  </si>
  <si>
    <t>0100000070 UNIVERSIDAD</t>
  </si>
  <si>
    <t>FF01-70</t>
  </si>
  <si>
    <t>Cirila Puma Chambi</t>
  </si>
  <si>
    <t>ENTR.EFEC. 0120714</t>
  </si>
  <si>
    <t>001- N° 004403</t>
  </si>
  <si>
    <t>002- N° 000783</t>
  </si>
  <si>
    <t>Armando Herrera Tantayana</t>
  </si>
  <si>
    <t>001- N° 004453</t>
  </si>
  <si>
    <t xml:space="preserve">RQ.OPE.1170 compra de baterías para unidad HINO 500 (10295590934) Eva Tito Mamani </t>
  </si>
  <si>
    <t>F002-00002152</t>
  </si>
  <si>
    <t>Disposicion residuos peligrosos - 29.05.2025</t>
  </si>
  <si>
    <t>0000000074 GRANJA RINC</t>
  </si>
  <si>
    <t>FF01-73
FF01-74</t>
  </si>
  <si>
    <t>FF02-44</t>
  </si>
  <si>
    <t>FF02-45</t>
  </si>
  <si>
    <t>FF02-42</t>
  </si>
  <si>
    <t>F302</t>
  </si>
  <si>
    <t>F302-122451</t>
  </si>
  <si>
    <t>RQ.OPE.1179 renovación de inspección técnica (Peligrosos y no peligrosos) de la unidad BKK-849</t>
  </si>
  <si>
    <t>CENTRO DE INSPECCIONES TECNICAS DEL SUR</t>
  </si>
  <si>
    <t>F001-35842
F001-35843</t>
  </si>
  <si>
    <t>Disposicion residuos no aprovechables - 30.05.2025</t>
  </si>
  <si>
    <t>FA02-1333, RQ.OPE.1118 compra de conos de seguridad para la flota vehicular</t>
  </si>
  <si>
    <t>FA02-1333</t>
  </si>
  <si>
    <t>E001-176, RQ.OPE.1175 por transporte de residuos</t>
  </si>
  <si>
    <t>EMPRESA DE TRANSPORTES LAGUNA EIRL</t>
  </si>
  <si>
    <t>E001-176</t>
  </si>
  <si>
    <t>RH E001- 20 Elaboración del plan estratégico Parte 1</t>
  </si>
  <si>
    <t>ENTR.EFEC. 0830205</t>
  </si>
  <si>
    <t>00000000FF02-49 EMPRES</t>
  </si>
  <si>
    <t>FF02-49</t>
  </si>
  <si>
    <t>FF01-71
FF01-77</t>
  </si>
  <si>
    <t>DE INDUSTRIA DEL REENC</t>
  </si>
  <si>
    <t>FF01-14</t>
  </si>
  <si>
    <t>DEPOSITO AG 986317</t>
  </si>
  <si>
    <t>COM.CCE PRO 000120</t>
  </si>
  <si>
    <t>S9AA-0069309475</t>
  </si>
  <si>
    <t>F004-2647, RQ.COM.325 Merchandising para las ferias y capacitaciones en Junio por el Día del Medio a</t>
  </si>
  <si>
    <t>F004-2647</t>
  </si>
  <si>
    <t>DETR.MASIVA 7643542614</t>
  </si>
  <si>
    <t>TRANFERENCIA CCE</t>
  </si>
  <si>
    <t>F0031698
F0031699</t>
  </si>
  <si>
    <t>PAGO IMPUES 7643310781</t>
  </si>
  <si>
    <t>E001-723, E001-725 Impresión de 600 certificados 180gr tamaño A4</t>
  </si>
  <si>
    <t>E001-723
E001-725</t>
  </si>
  <si>
    <t>PROV TLC 120</t>
  </si>
  <si>
    <t>HABER TLC 121 /Planilla de Rem. May25 (1)</t>
  </si>
  <si>
    <t>00000000FF02-35 EMPRES</t>
  </si>
  <si>
    <t>FF02-35</t>
  </si>
  <si>
    <t xml:space="preserve">001- N° 004456	</t>
  </si>
  <si>
    <t>002- N° 000767</t>
  </si>
  <si>
    <t>002- N° 000772</t>
  </si>
  <si>
    <t>Ff0100000078000 carmen</t>
  </si>
  <si>
    <t>FF01-78</t>
  </si>
  <si>
    <t>COM.CCE PRO 000122</t>
  </si>
  <si>
    <t>RQ.OPE.1188 Entregas a rendir</t>
  </si>
  <si>
    <t>E001-2546,RQ.COM.325 Adelanto - Merchandising para las ferias y capacitaciones en Junio por el Día del Medio Am</t>
  </si>
  <si>
    <t>PUBLICIDAD DIGITAL PERU E.I.R.L.</t>
  </si>
  <si>
    <t>E001-2546</t>
  </si>
  <si>
    <t>F8640141459</t>
  </si>
  <si>
    <t>PROV TLC 122</t>
  </si>
  <si>
    <t>F8650165181</t>
  </si>
  <si>
    <t>F136-10502 Combustible</t>
  </si>
  <si>
    <t>F136-10502</t>
  </si>
  <si>
    <t>RQ.OPE.1190 Renovación de inspección técnica de la unidad V9R-903</t>
  </si>
  <si>
    <t>F001-00035937</t>
  </si>
  <si>
    <t>Disposicion residuos no aprovechables 03.06.2025</t>
  </si>
  <si>
    <t>FE26</t>
  </si>
  <si>
    <t>FE26-10638</t>
  </si>
  <si>
    <t>RQ.OPE.1160 - Reposicion de entregas a rendir - ER-001-0352025</t>
  </si>
  <si>
    <t>Disposicion residuos no aprovechables - 02.06.2025</t>
  </si>
  <si>
    <t>Saldo E001-2546, RQ.COM.325 para la compra de Merchandising para las ferias y capacitaciones en Juni</t>
  </si>
  <si>
    <t>Caja Arequipa - Juber Monteza - Cuota 32</t>
  </si>
  <si>
    <t>FF01-63
FF01-64
FF01-65
FF01-66</t>
  </si>
  <si>
    <t>0000000080 GRANJA RINC</t>
  </si>
  <si>
    <t>FF01-80
FF01-81
FF01-82
FF01-83
FF01-84</t>
  </si>
  <si>
    <t>002- N° 000788</t>
  </si>
  <si>
    <t>001- N° 004469</t>
  </si>
  <si>
    <t>Disposicion residuos no aprovechables 05.06.2025</t>
  </si>
  <si>
    <t>F136-00010509 Combustible</t>
  </si>
  <si>
    <t>F136-00010509</t>
  </si>
  <si>
    <t>E001-429 Servicio de Internet mes de Junio 2025 - FIXER TELECOMUNICACIONES S.A.C</t>
  </si>
  <si>
    <t>E001-429</t>
  </si>
  <si>
    <t>RQ.LOG.313 Entregas a rendir / ER-001-0452025</t>
  </si>
  <si>
    <t>ER-001-0452025</t>
  </si>
  <si>
    <t>A 215 2497851 0</t>
  </si>
  <si>
    <t>FFF1-000203, Servicio de Internet Junio 2025</t>
  </si>
  <si>
    <t>FFF1-000203</t>
  </si>
  <si>
    <t>F001-482, RQ.OPE.1183 referente a Mantenimiento Preventivo de la unidad BKL-739</t>
  </si>
  <si>
    <t>F001-482</t>
  </si>
  <si>
    <t>F135-00007894 Combustible</t>
  </si>
  <si>
    <t>F135-00007894</t>
  </si>
  <si>
    <t>F001-483, RQ.OPE.1183 referente a Mantenimiento Preventivo de la unidad BKL-739</t>
  </si>
  <si>
    <t>F001-483</t>
  </si>
  <si>
    <t>E001-4302 - RQ.STI.089 - 01 PC completa para el trabajador Emiliano Montenegro</t>
  </si>
  <si>
    <t xml:space="preserve">E001-4302 </t>
  </si>
  <si>
    <t>PROV TLC 125</t>
  </si>
  <si>
    <t>Rodrigo Mauricio Luque Nina</t>
  </si>
  <si>
    <t>001- N° 004478</t>
  </si>
  <si>
    <t>FF01-67
FF01-68</t>
  </si>
  <si>
    <t>000000000000061 COMPAS</t>
  </si>
  <si>
    <t>F8650165759</t>
  </si>
  <si>
    <t>Alquiler Alm Huaranguillo2 Jun25</t>
  </si>
  <si>
    <t>RQ.OPE.1189 renovación de inspección técnica de la unidad BKL-739</t>
  </si>
  <si>
    <t>F001-00036014
F001-00036013</t>
  </si>
  <si>
    <t>F8650165760</t>
  </si>
  <si>
    <t>FF02</t>
  </si>
  <si>
    <t>000000000000053 METALU</t>
  </si>
  <si>
    <t>FF02-53</t>
  </si>
  <si>
    <t>FF01-91</t>
  </si>
  <si>
    <t>001- N° 004481</t>
  </si>
  <si>
    <t>001- N° 004473</t>
  </si>
  <si>
    <t>Natalia Rospigliosi</t>
  </si>
  <si>
    <t>Devolucion de prestamo - 31.12.2024</t>
  </si>
  <si>
    <t>00000000ff02-54 empres</t>
  </si>
  <si>
    <t>FF02-54</t>
  </si>
  <si>
    <t>Disposicion residuos no aprovechables 06.06.2025</t>
  </si>
  <si>
    <t>RQ.COM.338 Entregas a rendir, merchandising para Feria de Alsur / ER-001-0422025</t>
  </si>
  <si>
    <t>ER-001-0422025</t>
  </si>
  <si>
    <t>RQ.LOG.308 Entregas a rendir , compra de útiles /ER-001-0442025</t>
  </si>
  <si>
    <t>ER-001-0442025</t>
  </si>
  <si>
    <t>OC: Nro. 00000152 - Residuos Aprovechables</t>
  </si>
  <si>
    <t>E001-1322</t>
  </si>
  <si>
    <t>Disposicion residuos no peligrosos 09.06.2025</t>
  </si>
  <si>
    <t>Detr.masiva 7647411779</t>
  </si>
  <si>
    <t>001- N° 004455</t>
  </si>
  <si>
    <t>001- N° 004470</t>
  </si>
  <si>
    <t>001- N° 004484</t>
  </si>
  <si>
    <t>FF02-58</t>
  </si>
  <si>
    <t>FF02-46</t>
  </si>
  <si>
    <t>RQ.OPE.1210 Entregas a rendir</t>
  </si>
  <si>
    <t>F002-19737, RQ.OPE.1201 Mantenimiento Preventivo(cambio de aceite y filtros) de la unidad BKL-739</t>
  </si>
  <si>
    <t>F002-19737</t>
  </si>
  <si>
    <t>E001 1682 - RQ.OPE.1199 - Lavado y engrase Montacarga</t>
  </si>
  <si>
    <t>E001 1682</t>
  </si>
  <si>
    <t>F152 N° 0026653 - RQ.OPE.1180 - HINO V9R-903 - Mantenimiento vehicular (Preventivo)</t>
  </si>
  <si>
    <t xml:space="preserve">F152 N° 0026653 </t>
  </si>
  <si>
    <t>Prov tlc 126</t>
  </si>
  <si>
    <t>FF01-79
FF01-93</t>
  </si>
  <si>
    <t>ENTR.EFEC. 0305797</t>
  </si>
  <si>
    <t>001- N° 004446</t>
  </si>
  <si>
    <t>001- N° 004449</t>
  </si>
  <si>
    <t>001- N° 004451</t>
  </si>
  <si>
    <t>001- N° 004482</t>
  </si>
  <si>
    <t>FF02-48</t>
  </si>
  <si>
    <t>001- N° 004483</t>
  </si>
  <si>
    <t>FF02-47</t>
  </si>
  <si>
    <t>RQ.GH.194 Entregas a rendir - Día del padre y los cumpleaños del mes -ER-001-0392025</t>
  </si>
  <si>
    <t>ER-001-0392025</t>
  </si>
  <si>
    <t>RQ.LOG.306 - Reabastecimiento de insumos de limpieza y proteccion.</t>
  </si>
  <si>
    <t>F004-117985</t>
  </si>
  <si>
    <t>E001-4319 - RQ.STI.091 - 01 Laptop para el Jefe de Operaciones con protector de teclado y mouse pad</t>
  </si>
  <si>
    <t>E001-4319</t>
  </si>
  <si>
    <t>F001-00003036 - RQ.OPE.1181 - Lavado de camioneta VBW889</t>
  </si>
  <si>
    <t>SERVICIOS AUTOMOTRICES FALCAR SRL</t>
  </si>
  <si>
    <t>F001-00003036</t>
  </si>
  <si>
    <t>001- N° 004493</t>
  </si>
  <si>
    <t>001- N° 004485</t>
  </si>
  <si>
    <t>FF02-60</t>
  </si>
  <si>
    <t>FF02-59</t>
  </si>
  <si>
    <t>Liquidacion de Beneficios Sociales - ROSPIGLIOSI MANRIQUE NATALIA SOMMER</t>
  </si>
  <si>
    <t>F313-6445</t>
  </si>
  <si>
    <t>F313-6446</t>
  </si>
  <si>
    <t>F313-6447</t>
  </si>
  <si>
    <t>F313-6448</t>
  </si>
  <si>
    <t>F313-6449</t>
  </si>
  <si>
    <t>F313-6451</t>
  </si>
  <si>
    <t>F313-6450</t>
  </si>
  <si>
    <t>F313-6452</t>
  </si>
  <si>
    <t>F313-6454</t>
  </si>
  <si>
    <t>F313-6453</t>
  </si>
  <si>
    <t>F313-6455</t>
  </si>
  <si>
    <t>F313-6457</t>
  </si>
  <si>
    <t>F313-6456</t>
  </si>
  <si>
    <t>ER-001-0402025 - RQ.OPE.1220 - Recolección y transporte de residuos aprovechables Campo Limpio Pisco</t>
  </si>
  <si>
    <t>ER-001-0402025</t>
  </si>
  <si>
    <t>Disposición de residuos peligrosos 12.06.2025</t>
  </si>
  <si>
    <t>F867-0165424
F864-0143089</t>
  </si>
  <si>
    <t>Internet Santa Anita - Junio 2025</t>
  </si>
  <si>
    <t>S99A-070410182</t>
  </si>
  <si>
    <t>ER-001-0332025 - Devolucion - RQ.SSO.218 Entregas a rendir</t>
  </si>
  <si>
    <t>F001-00002120 - RQ.OPE.1181 (TAPICENTER TORRES HERMANOS S.R.L. - 20558627299)</t>
  </si>
  <si>
    <t>TORRES PARICAHUA FELIX</t>
  </si>
  <si>
    <t>F001-00002120</t>
  </si>
  <si>
    <t>DETR.MASIVA 7648607459</t>
  </si>
  <si>
    <t>VARIOS ALEACIONES FERR</t>
  </si>
  <si>
    <t>FF05-28
FF05-30
FF05-31</t>
  </si>
  <si>
    <t>FF05</t>
  </si>
  <si>
    <t>BCO.CITI0033053742</t>
  </si>
  <si>
    <t>FF01-72</t>
  </si>
  <si>
    <t>ER-001-0412025 - RQ.COM.292/323/328 - Compra de materiales para fabricacion de contenedores</t>
  </si>
  <si>
    <t>ER-001-0412025</t>
  </si>
  <si>
    <t>E001-3235 - RQ.OPE.1165 - Mantenimiento (preventivo) - Montacarga</t>
  </si>
  <si>
    <t>E001-3235</t>
  </si>
  <si>
    <t>E001-650 - RQ.OPE.1208 - Adelanto mantenimiento de 2 transpaletas hidraulicas.</t>
  </si>
  <si>
    <t>EDTSA GROUP SAC</t>
  </si>
  <si>
    <t>E001-650</t>
  </si>
  <si>
    <t>Reposicion - Caja Chica AQP - RC 001-005_2025</t>
  </si>
  <si>
    <t>FF01-102</t>
  </si>
  <si>
    <t>001- N° 004501</t>
  </si>
  <si>
    <t>001- N° 004500</t>
  </si>
  <si>
    <t>De industria del reenc</t>
  </si>
  <si>
    <t>FF01-101</t>
  </si>
  <si>
    <t>F010000088 talma servi</t>
  </si>
  <si>
    <t>FF01-88</t>
  </si>
  <si>
    <t>001- N° 004507</t>
  </si>
  <si>
    <t>001- N° 004505</t>
  </si>
  <si>
    <t>002- N° 000795</t>
  </si>
  <si>
    <t>002- N° 000794</t>
  </si>
  <si>
    <t>RQ.SSO.230 - OC 004-161 - EPP adicionales</t>
  </si>
  <si>
    <t>IMER</t>
  </si>
  <si>
    <t>RQ.OPE.1216 Mantenimiento prev. cambio de fajas delanteras y revisión del freno de motor, unidad V9R-903</t>
  </si>
  <si>
    <t>F152- 0026715</t>
  </si>
  <si>
    <t>Disposicion residuos no aprovechables 13.06.2025</t>
  </si>
  <si>
    <t>Disposicion residuos no peligrosos 17.06.2025</t>
  </si>
  <si>
    <t>E001-497, RQ.OPE.1195 por transporte de residuos para descarga en almacen 03, cliente: Alicorp</t>
  </si>
  <si>
    <t>16.06 Ugarte Mendoza Gregorio Nacianseno - E001-497, RQ.OPE.1195 por transporte de residuos para descarga en almacen 03, cliente Alicorp.pdf</t>
  </si>
  <si>
    <t>E001-497</t>
  </si>
  <si>
    <t>ER-001-0432025 - RQ.GH.196 - Entregas a rendir - Compartir que se realiza en sede Lima</t>
  </si>
  <si>
    <t>ER-001-0432025</t>
  </si>
  <si>
    <t>RQ.STI.092 - Mantenimiento de software de laptop (10802636143)</t>
  </si>
  <si>
    <t>16.06 Narvaez Pacheco Juan Sergio - RQ.STI.092 - Mantenimiento de software de laptop (10802636143).pdf</t>
  </si>
  <si>
    <t>E001-423</t>
  </si>
  <si>
    <t>Disposicion residuos no peligrosos 13.06.2025</t>
  </si>
  <si>
    <t>FN01</t>
  </si>
  <si>
    <t>00000000FF02-62 EMPRES</t>
  </si>
  <si>
    <t>FF02-62</t>
  </si>
  <si>
    <t>FF05-20
FF05-25
FF05-33</t>
  </si>
  <si>
    <t>PROV TLC 133</t>
  </si>
  <si>
    <t>17.06 Proveedores 20250617 (1).pdf</t>
  </si>
  <si>
    <t>Adelanto de Remuneracion - Junio 2025</t>
  </si>
  <si>
    <t>17.06 Viza Caceres Way Brian - Adelanto de Remuneracion - Junio 2025.pdf</t>
  </si>
  <si>
    <t>17.06 Leon Willian Johan - Adelanto de Remuneraciones - Junio 2025.pdf</t>
  </si>
  <si>
    <t>17.06 Ponce Febres Gleen Stev - Adelanto de Remuneraciones - Junio 2025.pdf</t>
  </si>
  <si>
    <t>17.06 Queque Anco Jorge Luis - Adelanto de Remuneraciones - Junio 2025.pdf</t>
  </si>
  <si>
    <t>17.06 Supo Quispe Ronald Humberto - Adelanto de Remuneraciones - Junio 2025.pdf</t>
  </si>
  <si>
    <t>F136-10626 - Combustible</t>
  </si>
  <si>
    <t>17.06 Estacion de Servicios Mi Grifo S.R.L. - F136-10626 - Combustible.pdf</t>
  </si>
  <si>
    <t>F136-10626</t>
  </si>
  <si>
    <t>F135-8037 - Combustible</t>
  </si>
  <si>
    <t>17.06 Estacion de Servicios Mi Grifo S.R.L. - F135-8037 - Combustible.pdf</t>
  </si>
  <si>
    <t>F135-8037</t>
  </si>
  <si>
    <t>FA02-001539, RQ.OPE.1115 Accesorios vehiculares, compra de eslingas y ratchet.</t>
  </si>
  <si>
    <t>17.06 Sky High S.A.C. - FA02-001539, RQ.OPE.1115 Accesorios vehiculares, compra de eslingas y ratchet..pdf</t>
  </si>
  <si>
    <t>FA02-001539</t>
  </si>
  <si>
    <t>17.06 Coesti - F8640143945 - F8670166460.pdf</t>
  </si>
  <si>
    <t>F864-0143945
F867-0166460</t>
  </si>
  <si>
    <t>E001-1761 - Elaboracion de plan estrategico</t>
  </si>
  <si>
    <t>17.06 Marnic Marketing Consulting E.I.R.L. - E001-1761 - Elaboracion de plan estrategico.pdf</t>
  </si>
  <si>
    <t>FF02-63</t>
  </si>
  <si>
    <t>Envases Carolina S.a.C.</t>
  </si>
  <si>
    <t>001- N° 004511</t>
  </si>
  <si>
    <t xml:space="preserve">PENDIENTE </t>
  </si>
  <si>
    <t>PENDIENTE</t>
  </si>
  <si>
    <t>Luz Marina Vilca Mamani</t>
  </si>
  <si>
    <t>001- N° 004519</t>
  </si>
  <si>
    <t>001- N° 004515</t>
  </si>
  <si>
    <t>Jose Luis Ramirez Quispe</t>
  </si>
  <si>
    <t>001- N° 004514</t>
  </si>
  <si>
    <t>001- N° 004420</t>
  </si>
  <si>
    <t>001- N° 004452</t>
  </si>
  <si>
    <t>001- N° 004518</t>
  </si>
  <si>
    <t>Agua - Junio 2025</t>
  </si>
  <si>
    <t>18.06 Sedapal - S106-8960873.pdf</t>
  </si>
  <si>
    <t>S106-8960873</t>
  </si>
  <si>
    <t>Luz - Junio 2025</t>
  </si>
  <si>
    <t>18.06 Luz del Sur - S105-190557.pdf</t>
  </si>
  <si>
    <t>S105-190557</t>
  </si>
  <si>
    <t>E001-438 Servicio de Internet mes de Junio 2025 - FIXER TELECOMUNICACIONES S.A.C</t>
  </si>
  <si>
    <t>18.06 Aro Sano Cristhian Junior - E001-438 Servicio de Internet mes de Junio 2025 - FIXER TELECOMUNICACIONES S.A.C.pdf</t>
  </si>
  <si>
    <t>E001-438</t>
  </si>
  <si>
    <t>Luz - Mayo 2025</t>
  </si>
  <si>
    <t>18.06 Seal - S001-30732500.pdf</t>
  </si>
  <si>
    <t>S001-30732500</t>
  </si>
  <si>
    <t>18.06 Seal - S001-30732440.pdf</t>
  </si>
  <si>
    <t>S001-30732440</t>
  </si>
  <si>
    <t>Agua - Mayo 2025</t>
  </si>
  <si>
    <t>18.06 Sedapar - 001-59332947.pdf</t>
  </si>
  <si>
    <t>001-59332947</t>
  </si>
  <si>
    <t>18.06 Paco Pauccara Elias Gustavo - Reposicion de caja AQP.pdf</t>
  </si>
  <si>
    <t>Compartamos Financiera - Cuota 32</t>
  </si>
  <si>
    <t>001- N° 004508</t>
  </si>
  <si>
    <t>001- N° 004521</t>
  </si>
  <si>
    <t>001- N° 004523</t>
  </si>
  <si>
    <t>Disposición de residuos no peligrosos 19-06-2025</t>
  </si>
  <si>
    <t>19.06 Innova Ambiental S.A. - Disposición de residuos no peligrosos 19-06-2025.pdf</t>
  </si>
  <si>
    <t>Disposición de residuos no peligrosos y peligrosos 19-06-2025</t>
  </si>
  <si>
    <t>19.06 Innova Ambiental S.A. - Disposición de residuos no peligrosos y peligrosos 19-06-2025.pdf</t>
  </si>
  <si>
    <t xml:space="preserve">RQ.LOG.318 - OS 005-643 - Acondicionamiento de construcción de primer nivel en La Joya. / Trans. Machaca Alvarez Elizabeth Roxana </t>
  </si>
  <si>
    <t>19.06 Machaca Alvarez Elizabeth Roxana - RQ.LOG.318 - OS 005-643 - Acondicionamiento de construcción de primer nivel en La Joya.pdf</t>
  </si>
  <si>
    <t>MACHACA ALVAREZ ELIZABETH ROXANA</t>
  </si>
  <si>
    <t>RQ.LOG.318 - OS 005-643 - Acondicionamiento de construcción de primer nivel en La Joya.</t>
  </si>
  <si>
    <t>19.06 Equifax - 20558226979.pdf</t>
  </si>
  <si>
    <t>F001-1041465</t>
  </si>
  <si>
    <t>19.06 Innova Ambiental S.A. - Disposición de residuos no peligrosos 19-06-2025 (2).pdf</t>
  </si>
  <si>
    <t>19.06 Alicorp S.A.A. - F313-6492.pdf</t>
  </si>
  <si>
    <t>F313-6492</t>
  </si>
  <si>
    <t>19.06 Alicorp S.A.A. - F313-6493.pdf</t>
  </si>
  <si>
    <t>F313-6493</t>
  </si>
  <si>
    <t>19.06 Alicorp S.A.A. - F313-6494.pdf</t>
  </si>
  <si>
    <t>F313-6494</t>
  </si>
  <si>
    <t>19.06 Alicorp S.A.A. - F313-6495.pdf</t>
  </si>
  <si>
    <t>F313-6495</t>
  </si>
  <si>
    <t>19.06 Alicorp S.A.A. - F313-6496.pdf</t>
  </si>
  <si>
    <t>F313-6496</t>
  </si>
  <si>
    <t>19.06 Alicorp S.A.A. - F313-6497.pdf</t>
  </si>
  <si>
    <t>F313-6497</t>
  </si>
  <si>
    <t>PROV TLC 134</t>
  </si>
  <si>
    <t>19.06 Proveedores 20250619 (2).pdf</t>
  </si>
  <si>
    <t>DETR.MASIVA 7653151659</t>
  </si>
  <si>
    <t>Cambio de Soles a Dolares</t>
  </si>
  <si>
    <t>19.06 Cambio de Soles a Dolares TC. 3.5990 (1).pdf</t>
  </si>
  <si>
    <t>19.06 Cambio de Soles a Dolares TC. 3.6070 (2).pdf</t>
  </si>
  <si>
    <t>0FF010000000105 INCA T</t>
  </si>
  <si>
    <t>FF01-105</t>
  </si>
  <si>
    <t>001- N° 004526</t>
  </si>
  <si>
    <t>00000000FF05-34 ALEACI</t>
  </si>
  <si>
    <t>FF05-34</t>
  </si>
  <si>
    <t>001- N° 004534</t>
  </si>
  <si>
    <t>001- N° 004531</t>
  </si>
  <si>
    <t>Disposición de residuos no peligrosos 20-06-2025</t>
  </si>
  <si>
    <t>20.06 Innova Ambiental S.A. - Disposición de residuos no peligrosos 20-06-2025.pdf</t>
  </si>
  <si>
    <t>F809- 00367435 (Soat - BKL-739) / F809- 00367430 (Soat - BKK-849) (LA POSITIVA SEGUROS Y REASEGUROS S.A. - 20100210909)</t>
  </si>
  <si>
    <t>20.06 Carnero Rodriguez Juana Maria - F809- 00367435 (Soat - BKL-739) F809- 00367430 (Soat - BKK-849).pdf</t>
  </si>
  <si>
    <t>CARNERO RODRIGUEZ JUANA MARIA</t>
  </si>
  <si>
    <t>F809- 00367435
 F809- 00367430</t>
  </si>
  <si>
    <t>F809</t>
  </si>
  <si>
    <t>PROV TLC 135</t>
  </si>
  <si>
    <t>20.06 Proveedores 20250620 (1).pdf</t>
  </si>
  <si>
    <t>RQ.SSO.245 - OC 004-163 - Jeans corporativos Varon</t>
  </si>
  <si>
    <t>20.06 Delgado Delgado Britaldo Simon - RQ.SSO.245 - OC 004-163 - Jeans corporativos Varon.pdf</t>
  </si>
  <si>
    <t>Alquiler Oficinas y Almacén Arequipa - Enero 2025</t>
  </si>
  <si>
    <t>20.06 Bustamante Gil Imer - Alquiler Oficinas y Almacén Arequipa - Enero 2025.pdf</t>
  </si>
  <si>
    <t>Reposición - Caja Conductores - 2025 / RCO-10</t>
  </si>
  <si>
    <t>20.06 Pari Larico Gisela Trinidad - Reposición - Caja Conductores - 2025.pdf</t>
  </si>
  <si>
    <t>RCO-10</t>
  </si>
  <si>
    <t>Entr.efec. 0430611</t>
  </si>
  <si>
    <t>FF01-92</t>
  </si>
  <si>
    <t>FF01-110</t>
  </si>
  <si>
    <t>001- N° 004489</t>
  </si>
  <si>
    <t>001- N° 004496</t>
  </si>
  <si>
    <t>Orlando Queque Huanca</t>
  </si>
  <si>
    <t>001- N° 004527</t>
  </si>
  <si>
    <t>001- N° 004528</t>
  </si>
  <si>
    <t>FF02-74</t>
  </si>
  <si>
    <t>FF05-37</t>
  </si>
  <si>
    <t>FF02-72</t>
  </si>
  <si>
    <t>FF02-61</t>
  </si>
  <si>
    <t>001- N° 004530</t>
  </si>
  <si>
    <t>FF02-75</t>
  </si>
  <si>
    <t>RQ.LOG.323 - OC 004-166 - Reabastecimiento de insumos de limpieza en Arequipa y La Joya.</t>
  </si>
  <si>
    <t>24.06 Urday Montes Magaly del Carmen - RQ.LOG.323 - OC 004-166 - Reabastecimiento de insumos de limpieza en Arequipa y La Joya..pdf</t>
  </si>
  <si>
    <t>URDAY MONTES MAGALY DEL CARMEN</t>
  </si>
  <si>
    <t>RQ.LOG.324 - Conos de seguridad de 75 cm</t>
  </si>
  <si>
    <t>24.06 Global Perla s Car S.A.C. - RQ.LOG.324 - Conos de seguridad de 75 cm.pdf</t>
  </si>
  <si>
    <t>F004-118349</t>
  </si>
  <si>
    <t>RQ.OPE.1158 - renovación de inspección técnica de la camioneta MAXUS VBW-889</t>
  </si>
  <si>
    <t>24.06 Centro de inspecciones tecnicas del Sur - RQ.OPE.1158 - renovación de inspección técnica de la camioneta MAXUS VBW-889.pdf</t>
  </si>
  <si>
    <t>F001-00036342</t>
  </si>
  <si>
    <t>Reposicion - Caja Chica AQP - RC 001-006_2025</t>
  </si>
  <si>
    <t>24.06 Paco Pauccara Elias Gustavo - Reposicion - Caja Chica AQP - RC 001-006_2025.pdf</t>
  </si>
  <si>
    <t>Trio movistar - Voz / Internet / TV Satelital</t>
  </si>
  <si>
    <t>24.06 Movistar - S5AA-71193322.pdf</t>
  </si>
  <si>
    <t>S5AA-71193322</t>
  </si>
  <si>
    <t>Combustible</t>
  </si>
  <si>
    <t>24.06 Coesti - F865-169533 F865-169531.pdf</t>
  </si>
  <si>
    <t>F865-169533
F865-169531</t>
  </si>
  <si>
    <t>RQ.SSO.246 - Induccion requerida para que personal pueda ingresar a las instalaciones Alicorp</t>
  </si>
  <si>
    <t>24.06 Serviconstruye S.A.C. - RQ.SSO.246 - Induccion requerida para que personal pueda ingresar a las instalaciones Alicorp.pdf</t>
  </si>
  <si>
    <t>M365 Business Standard 01.05.2025 - 31.05.2025</t>
  </si>
  <si>
    <t>24.06 Claro - F015-299687.pdf</t>
  </si>
  <si>
    <t>F015-299687</t>
  </si>
  <si>
    <t>25.06 Alicorp - F313-6491.pdf</t>
  </si>
  <si>
    <t>F313-6491</t>
  </si>
  <si>
    <t>25.06 Alicorp - F313-6487.pdf</t>
  </si>
  <si>
    <t>F313-6487</t>
  </si>
  <si>
    <t>25.06 Alicorp - F313-6488.pdf</t>
  </si>
  <si>
    <t>F313-6488</t>
  </si>
  <si>
    <t>25.06 Alicorp - F313-6489.pdf</t>
  </si>
  <si>
    <t>F313-6489</t>
  </si>
  <si>
    <t>25.06 Alicorp - F313-6486.pdf</t>
  </si>
  <si>
    <t>F313-6486</t>
  </si>
  <si>
    <t>25.06 Alicorp - F313-6490.pdf</t>
  </si>
  <si>
    <t>F313-6490</t>
  </si>
  <si>
    <t>Telefonos corporativos 1077.55</t>
  </si>
  <si>
    <t>25.06 Claro - SB01-546172223.pdf</t>
  </si>
  <si>
    <t>SB01-546172223</t>
  </si>
  <si>
    <t>25.06 Claro - F015-299687.pdf</t>
  </si>
  <si>
    <t>Valorizacion de RCD - Taconser Molycop Santa Anita</t>
  </si>
  <si>
    <t>25.06 Birrak 360 S.A.C. - Valorizacion de RCD - Taconser Molycop Santa Anita.pdf</t>
  </si>
  <si>
    <t>Cambio de Soles a Dolares TC.3.586</t>
  </si>
  <si>
    <t>25.06 Cambio de Soles a Dolares TC. 3.5860.pdf</t>
  </si>
  <si>
    <t>Proveedores 20250625 (1)</t>
  </si>
  <si>
    <t>25.06 Proveedores 20250625 (1).pdf</t>
  </si>
  <si>
    <t>Detr.masiva 7655417656</t>
  </si>
  <si>
    <t>Com.cce pro 000140</t>
  </si>
  <si>
    <t>Comis pago detraccion</t>
  </si>
  <si>
    <t>00000000FF02-80 EMPRES</t>
  </si>
  <si>
    <t>FF02-80</t>
  </si>
  <si>
    <t>001- N° 004545</t>
  </si>
  <si>
    <t>ENTR.EFEC. 0916444</t>
  </si>
  <si>
    <t>001- N° 004454</t>
  </si>
  <si>
    <t>FF01-117</t>
  </si>
  <si>
    <t>001FF0200000051 MOLY-C</t>
  </si>
  <si>
    <t>FF02-51</t>
  </si>
  <si>
    <t>000000100000124 univer</t>
  </si>
  <si>
    <t>FF01-124</t>
  </si>
  <si>
    <t>RQ.OPE.1209 - Mantenimiento vehicular (Preventivo) - VBB840</t>
  </si>
  <si>
    <t>26.06 Elvis Enrique Querales Rivero RQ.OPE.1209 - Mantenimiento vehicular (Preventivo) - VBB840.pdf</t>
  </si>
  <si>
    <t>E001-745 - RQ.OPE.1240 - Impresión de Check List para la flota vehicular</t>
  </si>
  <si>
    <t>26.06 Nestor Moises Bustamante Herrera - E001-745 - RQ.OPE.1240 - Impresión de Check List para la flota.pdf</t>
  </si>
  <si>
    <t>E001-745</t>
  </si>
  <si>
    <t>E001-660 - RQ.OPE.1208 - Mantenimiento de 2 transpaletas hidraulicas.</t>
  </si>
  <si>
    <t>26.06 EDTSA Group S.A.C. - E001-660 - RQ.OPE.1208 - Mantenimiento de 2 transpaletas hidraulicas..pdf</t>
  </si>
  <si>
    <t>E001-660</t>
  </si>
  <si>
    <t>26.06 Claro - F01500299686.pdf</t>
  </si>
  <si>
    <t>F015-299686</t>
  </si>
  <si>
    <t>Proveedores 20250626 (1)</t>
  </si>
  <si>
    <t>26.06 Proveedores 20250630.pdf</t>
  </si>
  <si>
    <t>COM.CCE PRO 000142</t>
  </si>
  <si>
    <t>Tran.ctas.terc.bm</t>
  </si>
  <si>
    <t>FF05-35
FF05-36
FF05-38
FF05-39</t>
  </si>
  <si>
    <t>De corpormedioambient</t>
  </si>
  <si>
    <t>FF02-55
FF02-56
FF02-57</t>
  </si>
  <si>
    <t>001- N° 004553</t>
  </si>
  <si>
    <t>001- N° 004551</t>
  </si>
  <si>
    <t>00000000FF05-40 ALEACI</t>
  </si>
  <si>
    <t>FF05-40</t>
  </si>
  <si>
    <t>001- N° 004554</t>
  </si>
  <si>
    <t>FF02-81</t>
  </si>
  <si>
    <t>Informe del procedimiento y medios técnicos empleados en neutralización y/o destrucción de los IQBF</t>
  </si>
  <si>
    <t>E001-296 - RQ.OPE.1250 - Impresión de sticker vinil</t>
  </si>
  <si>
    <t>Disposición de residuos no peligrosos y peligrosos 30-06-2025</t>
  </si>
  <si>
    <t>E001-481 - RQ.GH.199 Compartir de bienvenida organizado por Gerencia el dia 23.06.2025 (20610156445)</t>
  </si>
  <si>
    <t>E001-481</t>
  </si>
  <si>
    <t>Proveedores 20250627 (1)</t>
  </si>
  <si>
    <t>COM.CCE PRO 000143</t>
  </si>
  <si>
    <t>FF02-84</t>
  </si>
  <si>
    <t>001- N° 004562</t>
  </si>
  <si>
    <t>Waldir ccolque espirilla</t>
  </si>
  <si>
    <t>001- N° 004547</t>
  </si>
  <si>
    <t>DEVOL. PAGO 000146</t>
  </si>
  <si>
    <t>HABER TLC 147</t>
  </si>
  <si>
    <t>E001-45 - RQ.OPE.1209 - Mantenimiento Preventivo(Cambio de los componentes de dirección) VBB-840</t>
  </si>
  <si>
    <t>E001-45</t>
  </si>
  <si>
    <t>E001-44 - RQ.OPE.1209 - Mantenimiento vehicular (Preventivo) - VBB840</t>
  </si>
  <si>
    <t>IA para la industria: Prediccion de fallas y optimizacion del mantenimiento - Nelson G. Quispe Ccapa</t>
  </si>
  <si>
    <t>HABER TLC 146</t>
  </si>
  <si>
    <t>ENTR.EFEC. 0690377 - Transferencia de BBVA Soles  a BCP Soles</t>
  </si>
  <si>
    <t>Elias Paco</t>
  </si>
  <si>
    <t>Prestamo Elias Paco</t>
  </si>
  <si>
    <t>E001- 22 - Elaboración del plan estratégico Parte 2</t>
  </si>
  <si>
    <t>https://gytres-my.sharepoint.com/:b:/p/finanzas/ES0gITywKqhGqwenJjO94ckBm4vXkuMbikoEhHlXtBPOpA?e=okxWGt</t>
  </si>
  <si>
    <t>E001- 22</t>
  </si>
  <si>
    <t>https://gytres-my.sharepoint.com/:b:/p/finanzas/Edy1NEYKsblLg5dCB7-mxa4BcLbWK1GHnE3470WFWfBPwg?e=2tsXUY</t>
  </si>
  <si>
    <t>F313-6528</t>
  </si>
  <si>
    <t>https://gytres-my.sharepoint.com/:b:/p/finanzas/EdjqAcs67hBNookCwyF0Ih0B3OnrxOlzlqeZZsa5Kx7Bug?e=v4DAri</t>
  </si>
  <si>
    <t>F313-6529</t>
  </si>
  <si>
    <t>https://gytres-my.sharepoint.com/:b:/p/finanzas/Ef0tQb1R0jtJoe5p2QJBOm0BfTmhpegWfWSvxDs-DSZZTA?e=avvycj</t>
  </si>
  <si>
    <t>F313-6526</t>
  </si>
  <si>
    <t>https://gytres-my.sharepoint.com/:b:/p/finanzas/EfOuGt0bZ5JJoPWhjlTEq4UBqtwyYfLH0dbciS9sa8bPFA?e=pS3WKZ</t>
  </si>
  <si>
    <t>F313-6521</t>
  </si>
  <si>
    <t>https://gytres-my.sharepoint.com/:b:/p/finanzas/ET_YN7QJscJFtXw33OjCklUB73JrEv3whpU5enoC0vGvaw?e=OWWyOV</t>
  </si>
  <si>
    <t>F313-6527</t>
  </si>
  <si>
    <t>https://gytres-my.sharepoint.com/:b:/p/finanzas/EcI40gjI-llKlMsJix0AdX8BHIzRPMg61fyOXNINP-LCww?e=U7n4Yd</t>
  </si>
  <si>
    <t>F313-6524</t>
  </si>
  <si>
    <t>https://gytres-my.sharepoint.com/:b:/p/finanzas/EbPHUljP-vtFl4eoWLv9fqoBVNFXfHItNl8nL9l1ClftrQ?e=rCUX2W</t>
  </si>
  <si>
    <t>F313-6522</t>
  </si>
  <si>
    <t>https://gytres-my.sharepoint.com/:b:/p/finanzas/EaKLZ7sj13FIi0sOPIcKcrABHbSi2wNNdeJOq86-1unNDw?e=8hiNAb</t>
  </si>
  <si>
    <t>F313-6523</t>
  </si>
  <si>
    <t>https://gytres-my.sharepoint.com/:b:/p/finanzas/ESenmR85XIJAmWfBs890t2MBbXITipxQa_s49G6qZhn-Sg?e=AMrdOr</t>
  </si>
  <si>
    <t>F313-6532</t>
  </si>
  <si>
    <t>https://gytres-my.sharepoint.com/:b:/p/finanzas/EQ3SycwoL0dCk2tkQwN0OI0BBwhHHapdU29fiByYEl5OuQ?e=8k4DOi</t>
  </si>
  <si>
    <t>F313-6530</t>
  </si>
  <si>
    <t>https://gytres-my.sharepoint.com/:b:/p/finanzas/EYvBqMkQMHlJqnKJeIIcjHQBVumFafecoTSVMgaQMQzSfQ?e=oFQwJT</t>
  </si>
  <si>
    <t>F313-6531</t>
  </si>
  <si>
    <t>https://gytres-my.sharepoint.com/:b:/p/finanzas/EcYYpL9fGDBJo54JyXlzO3QBbJgTPDf0lTu186pNX2dcuw?e=yWypAo</t>
  </si>
  <si>
    <t>COMIS TRANSFERENCIA INTERBANCARIA</t>
  </si>
  <si>
    <t>Proveedores 20250701 (1)</t>
  </si>
  <si>
    <t>https://gytres-my.sharepoint.com/:b:/p/finanzas/ETdKWL6JWJNIh7RVRlVeYZsBb_UT-yys1F3RXlRltVbqKw?e=3CpBQv</t>
  </si>
  <si>
    <t>DETR.MASIVA 7656901927</t>
  </si>
  <si>
    <t>Detraccion</t>
  </si>
  <si>
    <t>FTR1</t>
  </si>
  <si>
    <t>F135-8176 Combustible</t>
  </si>
  <si>
    <t>https://gytres-my.sharepoint.com/:b:/p/finanzas/ESQqwfuOpeBDlXlOMLF9xzEBouSagw66EyMXrtjPO3cD0A?e=gMQz9K</t>
  </si>
  <si>
    <t>F136-10726 Combustible</t>
  </si>
  <si>
    <t>https://gytres-my.sharepoint.com/:b:/p/finanzas/EUGtjqE7wAlMjwCID8BbWogB0YpCYWisTm-rGb3I1VZJxA?e=h6CZPp</t>
  </si>
  <si>
    <t>Planilla de Rem. Jun25 (3)</t>
  </si>
  <si>
    <t>BCPS</t>
  </si>
  <si>
    <t>Regularizacion itf</t>
  </si>
  <si>
    <t>Transferencia de Interbank a BCP Soles</t>
  </si>
  <si>
    <t>TRAN.CTAS.TERC.BM - Villa Esperanza - Junio 2025</t>
  </si>
  <si>
    <t>Dominga Chupa Huali</t>
  </si>
  <si>
    <t>Lisbeth Mamani Soncco</t>
  </si>
  <si>
    <t>Yovana Aquino Huichi</t>
  </si>
  <si>
    <t>Eddy Pérez Chocano</t>
  </si>
  <si>
    <t>Alfonzo Arenazas Neyra</t>
  </si>
  <si>
    <t>Claudia Imata Leiva</t>
  </si>
  <si>
    <t>Quintin Ali Ancco</t>
  </si>
  <si>
    <t>Flora Almiron Marquez</t>
  </si>
  <si>
    <t>Prestamo Elias Paco 02.07.2025</t>
  </si>
  <si>
    <t>https://gytres-my.sharepoint.com/:b:/p/finanzas/Ee71I6EeMg1Hoki4FALXWoYBs65n-YflvE3bbHe7XB6LQQ?e=cmldJV</t>
  </si>
  <si>
    <t>F313-6525</t>
  </si>
  <si>
    <t>F001-00000492 - RQ.OPE.1234 - Mantenimiento Preventivo V9R-903.</t>
  </si>
  <si>
    <t>https://gytres-my.sharepoint.com/:b:/p/finanzas/EZLWh-95nyNErkUaojgn2KsBSA6UEbzRIvCeeXWt3tcq7Q?e=sTs9IW</t>
  </si>
  <si>
    <t>F001-492</t>
  </si>
  <si>
    <t>F001-00000493 - RQ.OPE.1234 - Mantenimiento Preventivo V9R-903.</t>
  </si>
  <si>
    <t>https://gytres-my.sharepoint.com/:b:/p/finanzas/EYZKdOxFU2hEhY3KFA0Ae1QBU3ylg-vd3O3zMmcWtWnx7w?e=j53eN3</t>
  </si>
  <si>
    <t>F001-493</t>
  </si>
  <si>
    <t>Disposición de residuos no peligrosos y peligrosos 02-07-2025.</t>
  </si>
  <si>
    <t>https://gytres-my.sharepoint.com/:b:/p/finanzas/EV3PN6kmEBVMo3EkCcuZyYgB99QbKEQ4UpmiO_2zeRSNdw?e=IfegRc</t>
  </si>
  <si>
    <t>RQ.COM.348 - Servicio de EMO preocupacional solicitado por cliente COSAPI - 20455823880</t>
  </si>
  <si>
    <t>https://gytres-my.sharepoint.com/:b:/p/finanzas/EX50_h85NVRLmPzGSLQK3QQBLUAFlNRyuX0WCdeHv-f_Yg?e=5kG9e2</t>
  </si>
  <si>
    <t>PULSO CORPORACION MEDICA SOCIEDAD ANONIM</t>
  </si>
  <si>
    <t>Proveedores 20250702 (2)</t>
  </si>
  <si>
    <t>https://gytres-my.sharepoint.com/:b:/p/finanzas/EUT_KXymnaFKglK1Me0RanABN9Goph7zo6R8mRXB4ZNxbQ?e=nhQGw1</t>
  </si>
  <si>
    <t>Com.cce pro 000152</t>
  </si>
  <si>
    <t>FF02-85</t>
  </si>
  <si>
    <t>001ff0200000052 moly-c</t>
  </si>
  <si>
    <t>FF02-52</t>
  </si>
  <si>
    <t>FF02-77</t>
  </si>
  <si>
    <t>FF02-79</t>
  </si>
  <si>
    <t>001- N° 004571</t>
  </si>
  <si>
    <t>FF02-82</t>
  </si>
  <si>
    <t>Miguel Escobar Perea</t>
  </si>
  <si>
    <t>001- N° 004570</t>
  </si>
  <si>
    <t>Jose Villanueva Villanueva</t>
  </si>
  <si>
    <t>001- N° 004575</t>
  </si>
  <si>
    <t>FE27</t>
  </si>
  <si>
    <t>Servicio de monitoreo 01.07.2025 a 31.07.2025</t>
  </si>
  <si>
    <t>https://gytres-my.sharepoint.com/:b:/p/finanzas/EYowrdMUp8JMtRxv6MFsOwkBoUVfJoBq2DV9rjp1_czrfg?e=1KcUI2</t>
  </si>
  <si>
    <t>FE27-23159</t>
  </si>
  <si>
    <t>https://gytres-my.sharepoint.com/:b:/p/finanzas/EZfm4Higg6hHhLk6BoEoRBgBPhiYVutvzVI63afhuawofg?e=vDA1Hv</t>
  </si>
  <si>
    <t>F865-171296
F865-170648
F865-170630</t>
  </si>
  <si>
    <t>Proveedores 20250703 (1)</t>
  </si>
  <si>
    <t>https://gytres-my.sharepoint.com/:b:/p/finanzas/EY-bdbvp5ktBs8H5T-mF1owBzpwhdeztKo9dVUcjDqAt1A?e=pYKcGi</t>
  </si>
  <si>
    <t>Devolucion - Prestamo Elias Paco 01.07.2025</t>
  </si>
  <si>
    <t>Devolucion - Prestamo Elias Paco 02.07.2025</t>
  </si>
  <si>
    <t>Com.cce pro 000153</t>
  </si>
  <si>
    <t>FF01-118
FF01-132</t>
  </si>
  <si>
    <t>FF05-43</t>
  </si>
  <si>
    <t>FF02-69</t>
  </si>
  <si>
    <t>FF02-64</t>
  </si>
  <si>
    <t>FF02-66</t>
  </si>
  <si>
    <t>FF02-65</t>
  </si>
  <si>
    <t>FF02-70</t>
  </si>
  <si>
    <t>FF02-67</t>
  </si>
  <si>
    <t>FF02-68</t>
  </si>
  <si>
    <t>F010000103 TALMA SERVI</t>
  </si>
  <si>
    <t>FF01-103</t>
  </si>
  <si>
    <t>Caja Arequipa - Juber Monteza - Cuota 33</t>
  </si>
  <si>
    <t>Entregas a rendir - RQ.LOG.329 - ER-001-0462025 - Recarga de bidon de agua mineral _ 20 Ltrs</t>
  </si>
  <si>
    <t>Reposicion de caja conductores - Viáticos para la semana / JUAN TARIFA  RCO-11</t>
  </si>
  <si>
    <t>PAGO DETRAC 7657793691</t>
  </si>
  <si>
    <t>FF07</t>
  </si>
  <si>
    <t>Cambio de Dolares a Soles TC. 3.556</t>
  </si>
  <si>
    <t>https://gytres-my.sharepoint.com/:b:/p/finanzas/EWOy-T4IeHFKkRTz5A_UQZkBo1cX4zxdYZFaQQZZmRbMKw?e=s8CxkW</t>
  </si>
  <si>
    <t>https://gytres-my.sharepoint.com/:b:/p/finanzas/ERqplNV5F2lCrPY47y6Ksk8BjYxlTKdaE7-VBzRA2pSGSw?e=lYuO2n</t>
  </si>
  <si>
    <t>https://gytres-my.sharepoint.com/:b:/p/finanzas/EQeWZ7ZlD_RPvhVTfzW98YoBxbED06ZHkQR5YKhEAwit4g?e=6hlp1h</t>
  </si>
  <si>
    <t>https://gytres-my.sharepoint.com/:b:/p/finanzas/EfMGbU5FANJImWRGKYzw_UUBI8I1C0JltNXeTdoQPk4EbA?e=hpljtV</t>
  </si>
  <si>
    <t>https://gytres-my.sharepoint.com/:b:/p/finanzas/EbVDZ7qGZahKomsdBGk-bb0BChoCoW98zleeY3h2NW49Ew?e=VtXgir</t>
  </si>
  <si>
    <t>https://gytres-my.sharepoint.com/:b:/p/finanzas/EWT0GtjFci1HttwUSRj6qaoB1dkiwPi7wFcqzt8j6bHqXQ?e=js4AYC</t>
  </si>
  <si>
    <t>E001-454 - Servicio de Internet mes de Julio 2025 - FIXER TELECOMUNICACIONES S.A.C</t>
  </si>
  <si>
    <t>https://gytres-my.sharepoint.com/:b:/p/finanzas/ES0gS_g60o5PtbkEcgkJrEMBs8sxfIXX4RkvjrZMIW19Xw?e=t1XTJG</t>
  </si>
  <si>
    <t>Utilidades Periodo 2024 - FAJARDO RUGELES ABEL DAVID - 003314131</t>
  </si>
  <si>
    <t>Utilidades Periodo 2024 - CCANCCAPA MAQUE DANY EVER - 74600892</t>
  </si>
  <si>
    <t>Utilidades Periodo 2024 - PORTERO TOMAS ROCKY LEONIDAS - 72700001</t>
  </si>
  <si>
    <t>Utilidades Periodo 2024 - ESPINOZA LOPEZ ALEX HERMINIO - 75419679</t>
  </si>
  <si>
    <t>Utilidades Periodo 2024 - ALCCA SALDIVAR ANGEL - 73238347</t>
  </si>
  <si>
    <t>Utilidades Periodo 2024 - CASTILLO TAPIA PAMELA PRICILA - 73880313</t>
  </si>
  <si>
    <t>Utilidades Periodo 2024 - GUIZADO PORRAS RONALD ENRIQUE - 70666331</t>
  </si>
  <si>
    <t>Utilidades Periodo 2024 - LEON WILLIAN JOHAN - 001829028</t>
  </si>
  <si>
    <t>Utilidades Periodo 2024 - SERRANO VILLACA JUDITH STEFANY DEL PILAR - 71311214</t>
  </si>
  <si>
    <t>Utilidades Periodo 2024 - ROSPIGLIOSI MANRIQUE NATALIA SOMMER - 72531546</t>
  </si>
  <si>
    <t>Utilidades Periodo 2024 - HUANUCO ORTEGA CRISTIAN MANUEL - 45921913</t>
  </si>
  <si>
    <t>Utilidades Periodo 2024 - VELA CRUZ JOSEPH ALBERTH - 72813674</t>
  </si>
  <si>
    <t>Utilidades Periodo 2024 - PAREDES MONTESINO CINTHIA KARINA - 71496013</t>
  </si>
  <si>
    <t>Utilidades Periodo 2024 - REYES ANDRADE JOHN KEVIN - 47557239</t>
  </si>
  <si>
    <t>Utilidades Periodo 2024 - CARRASCO MOLLO MARIA DE LOS ANGELES - 71787683</t>
  </si>
  <si>
    <t>Utilidades Periodo 2024 - BALDEON ALARCON EDUARDO WILFREDO - 44211654</t>
  </si>
  <si>
    <t>BALDEON ALARCON ADUARDO WILFREDO</t>
  </si>
  <si>
    <t>Utilidades Periodo 2024 - ASILLO CCALLO WALTER - 40192097</t>
  </si>
  <si>
    <t>Utilidades Periodo 2024 - RAMIREZ FLORES KARINA ALEXANDRA - 72725225</t>
  </si>
  <si>
    <t>Utilidades Periodo 2024 - TUNQUIPA CHUQUIRIMAY LUIS FRANCISCO - 71786852</t>
  </si>
  <si>
    <t>Utilidades Periodo 2024 - BENGOA HITME KELLY SUZETT - 74078793</t>
  </si>
  <si>
    <t>Utilidades Periodo 2024 - HUAMAN RIOS JUSTO DIEGO - 42857058</t>
  </si>
  <si>
    <t>Utilidades Periodo 2024 - AMADO FARFAN VANNESSA DANNIELLA - 72169020</t>
  </si>
  <si>
    <t>Utilidades Periodo 2024 - QUISPE CCAPA NELSON GREGORIO - 72537561</t>
  </si>
  <si>
    <t>Utilidades Periodo 2024 - JIBAJA RONDON VALERIA NICOLLE - 72302392</t>
  </si>
  <si>
    <t>Utilidades Periodo 2024 - GUTIERREZ ARAGON KARLY LIZ - 43814375</t>
  </si>
  <si>
    <t>Utilidades Periodo 2024 - SALCEDO SALCEDO RONALD RONALDIÑO - 74392568</t>
  </si>
  <si>
    <t>Utilidades Periodo 2024 - LAZARTE AGUIRRE CRISSLEY - 80355193</t>
  </si>
  <si>
    <t>Utilidades Periodo 2024 - QUISPE PRIETO HEFER - 73530159</t>
  </si>
  <si>
    <t>HEFER QUISPE PRIETO</t>
  </si>
  <si>
    <t>Utilidades Periodo 2024 - SALCEDO SALCEDO RONALD DONATO - 76393011</t>
  </si>
  <si>
    <t>Utilidades Periodo 2024 - CAÑA ERNESTO ALEJANDRO - 003080300</t>
  </si>
  <si>
    <t>Utilidades Periodo 2024 - RODRIGUEZ GALLEGOS ALISON NATIVIDAD - 72728100</t>
  </si>
  <si>
    <t>Utilidades Periodo 2024 - QUISPE PRIETO WILBER - 46126507</t>
  </si>
  <si>
    <t>Utilidades Periodo 2024 - SUYO PRIETO ROSA RAFAELA - 72682665</t>
  </si>
  <si>
    <t>Utilidades Periodo 2024 - CRUZ QUISPE GREGORY RAYLE - 44468346</t>
  </si>
  <si>
    <t>Utilidades Periodo 2024 - MÁRQUEZ AVILA FERNANDO JESÚS - 71979355</t>
  </si>
  <si>
    <t>Utilidades Periodo 2024 - PRIETO ROJAS INOCENCIO - 24800480</t>
  </si>
  <si>
    <t>Utilidades Periodo 2024 - RAMOS RIVAS ROY MARCIAL - 73195103</t>
  </si>
  <si>
    <t>ROY MARCIAL RAMOS RIVAS</t>
  </si>
  <si>
    <t>Utilidades Periodo 2024 - CARREÑO LABERIAN FRANCO FABIAN - 75424672</t>
  </si>
  <si>
    <t>CARRENO LABERIAN FRANCO FABIAN</t>
  </si>
  <si>
    <t>Utilidades Periodo 2024 - GONZALO CHAMBILLA ANA ABIGAIL - 70211580</t>
  </si>
  <si>
    <t>Utilidades Periodo 2024 - AQUINO COLQUEHUANCA JESUS ALBERTO - 48164743</t>
  </si>
  <si>
    <t>Utilidades Periodo 2024 - HUAMANI MAMANI HUBER ANTHONY - 73605563</t>
  </si>
  <si>
    <t>Utilidades Periodo 2024 - CCAMA GUTIERREZ JUNIOR ALEXANDER - 70198916</t>
  </si>
  <si>
    <t xml:space="preserve">CCAMA GUTIERREZ JUNIOR ALEXANDER
</t>
  </si>
  <si>
    <t>Utilidades Periodo 2024 - QUISPE ARVIRI EDWIN LUCIO - 46809818</t>
  </si>
  <si>
    <t>Utilidades Periodo 2024 - TARIFA MAMANI JUAN JESUS - 80454870</t>
  </si>
  <si>
    <t>Utilidades Periodo 2024 - PACO PAUCCARA ELIAS GUSTAVO - 72144092</t>
  </si>
  <si>
    <t>Utilidades Periodo 2024 - BUSTAMANTE GIL RUBEN - 73444362</t>
  </si>
  <si>
    <t>Utilidades Periodo 2024 - QUEQUE ANCO JORGE LUIS - 48536654</t>
  </si>
  <si>
    <t>Utilidades Periodo 2024 - MONTEZA BUSTAMANTE NEIVER - 78803424</t>
  </si>
  <si>
    <t>Utilidades Periodo 2024 - PRIETO ALCCA EBERT - 47760988</t>
  </si>
  <si>
    <t>Utilidades Periodo 2024 - MAMANI LIMACHE DIEGO ARMANDO - 72450429</t>
  </si>
  <si>
    <t>Utilidades Periodo 2024 - MONTEZA BUSTAMANTE JUBER - 47461440</t>
  </si>
  <si>
    <t>Utilidades Periodo 2024 - PARI LARICO GISELA TRINIDAD - 72131384</t>
  </si>
  <si>
    <t>Utilidades Periodo 2024 - PONCE FEBRES GLEEN STEV - 44314304</t>
  </si>
  <si>
    <t>Utilidades Periodo 2024 - TAGLE LAZARTE JUAN BENJY - 48362717</t>
  </si>
  <si>
    <t xml:space="preserve"> Liquidación de Beneficios Sociales - Karina Ramírez</t>
  </si>
  <si>
    <t>PROV TLC 154</t>
  </si>
  <si>
    <t>https://gytres-my.sharepoint.com/:b:/p/finanzas/Eb_vbeaQ8BtCutbEnO_zwIoBthTU3_DO01BHnxKNA6JAQg?e=7nsdr9</t>
  </si>
  <si>
    <t>COM.CCE PRO 000154</t>
  </si>
  <si>
    <t>00000000FF02-86 EMPRES</t>
  </si>
  <si>
    <t>Salvador Molina</t>
  </si>
  <si>
    <t>Devolucion de entregas a rendir - ER-001-0442025</t>
  </si>
  <si>
    <t>Devolucion de entregas a rendir - ER-001-0412025</t>
  </si>
  <si>
    <t>0000000106 DANPER TRUJ</t>
  </si>
  <si>
    <t>DE GESTION Y TRANSPORT</t>
  </si>
  <si>
    <t>Disposición de residuos no peligrosos y peligrosos 08-07-2025</t>
  </si>
  <si>
    <t>Alquiler Alm Huaranguillo2 Jul25</t>
  </si>
  <si>
    <t>Utilidades Periodo 2024 - CAYLLAHUA LOAYZA MARCO ANTONIO - 46799833</t>
  </si>
  <si>
    <t>F001-494, RQ.OPE.1246 Mantenimiento preventivo (Revisión y reparación del pedal del embrague BKK-849</t>
  </si>
  <si>
    <t>https://gytres-my.sharepoint.com/:b:/p/finanzas/EcmYzZLzB8ZCt95Q1VfMj5kBrEFzYCP4br61Db-EihFJ-w?e=h4w3fa</t>
  </si>
  <si>
    <t>F001-495, RQ.OPE.1246 Mantenimiento preventivo (Revisión y reparación del pedal del embrague BKK-849</t>
  </si>
  <si>
    <t>https://gytres-my.sharepoint.com/:b:/p/finanzas/Ec26qUycvARAtNa9YyYTMwUBYYU0H2LW4BDrDwm2Ye-GRQ?e=cb2Qih</t>
  </si>
  <si>
    <t>https://gytres-my.sharepoint.com/:b:/p/finanzas/EeL8nlVepTBBuKxFuwYxC9UB7BxKI6nzIgttnYqGkJ3J1w?e=G36Iyf</t>
  </si>
  <si>
    <t>Proveedores 20250709 (1)</t>
  </si>
  <si>
    <t>https://gytres-my.sharepoint.com/:b:/p/finanzas/EQ9tj1158xBGukeR-gt2BgAB_vIFunDdGIX9AWDhOKb66g?e=1hNuaV</t>
  </si>
  <si>
    <t>E001-416, RQ.OPE.1007 Monitoreo GPS de la unidad HINO V9R-903. (Anual) - 20609580292</t>
  </si>
  <si>
    <t>https://gytres-my.sharepoint.com/:b:/p/finanzas/EaFIX_ZZHNBCldNkfRuS8qwBINUDIs3t-0-7e41tgOmBXw?e=sDiXue</t>
  </si>
  <si>
    <t>E001-1 , Asesoria legal en temas empresariales - mes Julio 2025 - 20613747096</t>
  </si>
  <si>
    <t>https://gytres-my.sharepoint.com/:b:/p/finanzas/EfyvJN2DI3FEsBwkgII5ZvkBBqHuJmpQLzvhFamSM5j7PA?e=zyHjKv</t>
  </si>
  <si>
    <t>FLORES Y BANDA ABOGADOS S.A.C.</t>
  </si>
  <si>
    <t>RQ.OPE.1274 Entregas a rendir - ER-001-0472025</t>
  </si>
  <si>
    <t>https://gytres-my.sharepoint.com/:b:/p/finanzas/Ed21vX6A6mFCuJYeJgb0EcwBEWo6BgxRTuaaPogIBtsUMA?e=hvtmM5</t>
  </si>
  <si>
    <t>saldo 50% RQ.SSO.230 - OC 004-161 - EPP adicionales</t>
  </si>
  <si>
    <t>https://gytres-my.sharepoint.com/:b:/p/finanzas/EYkn4DGcIntGuRbIKhDGEjMB4x64EWyTOXfH6U5A1yzcNQ?e=hyR3mp</t>
  </si>
  <si>
    <t>Emiliano</t>
  </si>
  <si>
    <t>DETR.MASIVA 7659088343</t>
  </si>
  <si>
    <t>0010FF010000131 PESQUE</t>
  </si>
  <si>
    <t>Pablo José Maldonado Villena</t>
  </si>
  <si>
    <t>ENTR.EFEC. 0402335</t>
  </si>
  <si>
    <t>BCO.CITI0033568275</t>
  </si>
  <si>
    <t>Karol Pari</t>
  </si>
  <si>
    <t>Devolucion de entregas a rendir - ER-001-0392025</t>
  </si>
  <si>
    <t>Devolucion de entregas a rendir - ER-001-0432025</t>
  </si>
  <si>
    <t>Liquidación de Beneficios Sociales - Daniel Alcca Saldivar</t>
  </si>
  <si>
    <t>https://gytres-my.sharepoint.com/:b:/p/finanzas/Eaxx4qbgty5KiVy9YRuLmJABudY4H5dAsRONHrvFTJeesg?e=H3QJPs</t>
  </si>
  <si>
    <t>Liquidación de Beneficios Sociales - Angel Alcca</t>
  </si>
  <si>
    <t>https://gytres-my.sharepoint.com/:b:/p/finanzas/EVR9JE3x2tNGms9SQ7JxRH4BEG-tI8-JazeaZrLvl-1UWA?e=KpbIyH</t>
  </si>
  <si>
    <t>RQ.LOG.333 Relleno de piedra chancada para las unidades vehiculares en almacen 1.</t>
  </si>
  <si>
    <t>https://gytres-my.sharepoint.com/:b:/p/finanzas/ETIkn8AqIs9Llfn4QlhGk-0Bp3IXr1j-n_9YyMUUOjfj-w?e=qKJBAT</t>
  </si>
  <si>
    <t>RQ.COM.355 Banners de nuestros procesos para la visita de Inca Tops</t>
  </si>
  <si>
    <t>https://gytres-my.sharepoint.com/:b:/p/finanzas/Efa7c6CZoLtBkVOz92c2GV8BihTHaoK3SeCQNLETjYK7Ow?e=eoHhvt</t>
  </si>
  <si>
    <t>RQ.LOG.332 Entregas a rendir - ER-001-0482025</t>
  </si>
  <si>
    <t>https://gytres-my.sharepoint.com/:b:/p/finanzas/EaMAblVC0BNGgcSPW_8Fbq8BuRmz-QzEcweOTlv-1UPp2g?e=5PSguZ</t>
  </si>
  <si>
    <t>E001-60,RQ.OPE.1275 Curso especializado de gestion sostenible de residuos hospitalarios (20606109963)  - AZUL SOSTENIBLE S.A.C BIC</t>
  </si>
  <si>
    <t>https://gytres-my.sharepoint.com/:b:/p/finanzas/ERNStyRwOSRKhsW_wbMxe5kBB7Y1SuvgRgN-zyElvaOGJg?e=IGa97p</t>
  </si>
  <si>
    <t>Adelanto de sueldo - Julio 2025</t>
  </si>
  <si>
    <t>https://gytres-my.sharepoint.com/:b:/p/finanzas/ESu7GYurbUpNr1T2Q7kPm7cBudLMlCJSRPfmrY4FABHFJg?e=NFSdTv</t>
  </si>
  <si>
    <t>E001-1303, RQ.STI.093 Servicio técnico de mantenimiento de hardware y software de 2 laptops y 1 PC.</t>
  </si>
  <si>
    <t>https://gytres-my.sharepoint.com/:b:/p/finanzas/EV5BdNmkzhRBnVYIG24P05oBsdVZZBSQ9DlxYzJn7v_k6A?e=3Japd3</t>
  </si>
  <si>
    <t>DETR.MASIVA 7659425042</t>
  </si>
  <si>
    <t>Proveedores 20250711 (1)</t>
  </si>
  <si>
    <t>https://gytres-my.sharepoint.com/:b:/p/finanzas/Efu65i-8-LRPsXtvhGXzcAkBArC3CDLHDXRhMxDN0FtnYA?e=5geoCA</t>
  </si>
  <si>
    <t>Disposicion residuos no peligrosos y peligrosos 14.07.2025 y 15.07.2025</t>
  </si>
  <si>
    <t>https://gytres-my.sharepoint.com/:b:/p/finanzas/EbzLGtXK9HpKvCa97bgQA2gB48HaM4eKDmZibDmaAnICXw?e=aQUna1</t>
  </si>
  <si>
    <t>F809-378395, RQ.OPE.1283 Adquisición de SOAT para la unidad  FOTÓN VEI-822 (camión nuevo)</t>
  </si>
  <si>
    <t>https://gytres-my.sharepoint.com/:b:/p/finanzas/ETa1QVU1WeVFrwB59bSk-SMBJYZoJGCis2iawSD06SKmzA?e=QXhWaw</t>
  </si>
  <si>
    <t>F001-500, RQ.OPE.1197 Mantenimiento Preventivo (Inspección y/o mnto. de frenos) de la unidad BKK-849</t>
  </si>
  <si>
    <t>https://gytres-my.sharepoint.com/:b:/p/finanzas/EYf-76KARN1JlU19sWUXHH8B3a6oM6UMqqPjXHrDJneYlA?e=YQLDIQ</t>
  </si>
  <si>
    <t>F001-499, RQ.OPE.1197 Mantenimiento Preventivo (Inspección y/o mnto. de frenos) de la unidad BKK-849</t>
  </si>
  <si>
    <t>https://gytres-my.sharepoint.com/:b:/p/finanzas/EVkYPQtc2khOhV8FSTk_4BIB1DBMS7Js0cfbTb0HWov1cA?e=UJBLmg</t>
  </si>
  <si>
    <t>https://gytres-my.sharepoint.com/:b:/p/finanzas/ERpEVP5YV9tPmb5CYXDdiYkBDa7RzerWnyj4c4CguHOmLQ</t>
  </si>
  <si>
    <t>https://gytres-my.sharepoint.com/:b:/p/finanzas/EaQa2_BTlNVLjSi8IvNjV8kBfNSphiz1an4rEAtIHaa7dQ?e=2O3phM</t>
  </si>
  <si>
    <t>https://gytres-my.sharepoint.com/:b:/p/finanzas/EXwntOhJC_pOgtTWoU9SGO4Ba6u4Xqb0piNtI0s9oAJ9yQ?e=GheJi0</t>
  </si>
  <si>
    <t>https://gytres-my.sharepoint.com/:b:/p/finanzas/ETiiE73u_H5JuKUcYRAxh3IBBrj7KKTYh-TyvXK_58haWg?e=Ihiuhy</t>
  </si>
  <si>
    <t>https://gytres-my.sharepoint.com/:b:/p/finanzas/EcJg5jkDhYhNlmBwT7mQIcABUOE8W0PDTpPljZaLRl9wLA?e=HQLngC</t>
  </si>
  <si>
    <t>https://gytres-my.sharepoint.com/:b:/p/finanzas/Ef4me-Y9OwBAr1pyL-v7b-0BgINwDTKwEd5OFsgmTaVacw?e=5csRFK</t>
  </si>
  <si>
    <t>https://gytres-my.sharepoint.com/:b:/p/finanzas/EUbPL0kvHIVLsUCIEkjfL3IBj7BbkkjLB_vpaQkgejhF9Q?e=waao8n</t>
  </si>
  <si>
    <t>Proveedores 20250711 (2)</t>
  </si>
  <si>
    <t>https://gytres-my.sharepoint.com/:b:/p/finanzas/EfNaI3p0-7pDqQU2bhtSOdYBUCCSYc4Jl6OXV3Gu5oxrEQ?e=locboe</t>
  </si>
  <si>
    <t>Reposicion de caja conductores - Viáticos para la semana / LEON NN WILLIAN JOHAN RCO-12</t>
  </si>
  <si>
    <t>https://gytres-my.sharepoint.com/:b:/p/finanzas/EcDzhgnQdIRIu81K1Mnc9jAB76jAyHj0UFmDC4kbdxa3gA?e=Vcbu8N</t>
  </si>
  <si>
    <t>DETR.MASIVA 7659861939</t>
  </si>
  <si>
    <t>RQ.OPE.1289 - ER-001-0492025 - Entregas a rendir</t>
  </si>
  <si>
    <t>https://gytres-my.sharepoint.com/:b:/p/finanzas/ESPKRgte6UxFqb9CofVb4MwB1rhBUvh9RvPInIXqAtvQ5g?e=7VXhHP</t>
  </si>
  <si>
    <t>E001-1458, RQ.LOG.334 Instalación de gabinete para acomodar los cableados de internet y cámaras SSOM</t>
  </si>
  <si>
    <t>https://gytres-my.sharepoint.com/:b:/p/finanzas/ER2Kl5i49LJFgYhAbW5HuAYBvT8_lM17i91LKI1p1BgOYA?e=zFtnxF</t>
  </si>
  <si>
    <t>00000000FF02-93 EMPRES</t>
  </si>
  <si>
    <t>F001-1671 Res. Aprovechables</t>
  </si>
  <si>
    <t>https://gytres-my.sharepoint.com/:b:/p/finanzas/EeKVjjMytAhKjc2xapQr8E8Bu0vvM3wMQYb392YWDCRApw?e=rASRAw</t>
  </si>
  <si>
    <t>E001-33, RQ.OPE.1281 por transporte de residuos</t>
  </si>
  <si>
    <t>https://gytres-my.sharepoint.com/:b:/p/finanzas/EUFN34AEuJJLqtrIojQuKg4BlDOKdAERz5IPKm3NvS_qbg?e=qqgG3g</t>
  </si>
  <si>
    <t>https://gytres-my.sharepoint.com/:b:/p/finanzas/EbcfUgkGs_xDihOh7Mb8MJoBZTXXew8vZCs55GoZUl6-sQ?e=hY2Sao</t>
  </si>
  <si>
    <t>E001-739, RQ.COM.292 fabricación de contenedores, cliente Moly-Cop La Joya</t>
  </si>
  <si>
    <t>https://gytres-my.sharepoint.com/:b:/p/finanzas/Ec5oXlW6Gp5KpQOSWMO41g4Brs2VY6xGLTI4hxN1bJTEdQ?e=152mmi</t>
  </si>
  <si>
    <t>GratificacionesJul25 (1)</t>
  </si>
  <si>
    <t>Proveedores 20250715 (2)</t>
  </si>
  <si>
    <t>https://gytres-my.sharepoint.com/:b:/p/finanzas/ET_Tz6jEuKdDqeilsznbgWABxnI9JB8-ETeV5BVHzZ63uQ?e=Di9Vzf</t>
  </si>
  <si>
    <t>https://gytres-my.sharepoint.com/:b:/p/finanzas/EWndMGJcPyhLnoHM7R0VtVQBI8JdmE3D2Q4Z-cNft0FNSA?e=mUS0cg</t>
  </si>
  <si>
    <t>FFF1-000230, Servicio de Internet Julio 2025</t>
  </si>
  <si>
    <t>https://gytres-my.sharepoint.com/:b:/p/finanzas/ESCh8Xm4KBZMvIcbVf5UvbwBKTXQr9gnKeTJP-5To9vRzQ?e=yb2WIm</t>
  </si>
  <si>
    <t>COM.CCE PRO 000166</t>
  </si>
  <si>
    <t>Luz -Junio / Alm. 03 Yanahuara</t>
  </si>
  <si>
    <t>https://gytres-my.sharepoint.com/:b:/p/finanzas/EcbbNOWI2UZEkRmi21xPAAABvPKJhd87BZjnao2uypb3hw?e=LtYsBo</t>
  </si>
  <si>
    <t>Luz -Junio/ Alm. 01 Sachaca</t>
  </si>
  <si>
    <t>https://gytres-my.sharepoint.com/:b:/p/finanzas/EUgQnI2WQKNDrmpGFxgaoagBJXy_x9SgJEHBx62wMY-2Sw?e=h17jaN</t>
  </si>
  <si>
    <t>Luz - Julio / Alm. Lima</t>
  </si>
  <si>
    <t>https://gytres-my.sharepoint.com/:b:/p/finanzas/EfyVBjtPXylLh4aRCQf63AkBWXqP3htQCk1__hvsdpMtPQ?e=q7lQZN</t>
  </si>
  <si>
    <t>Reposición - Caja Conductores - 2025 / RCO-13</t>
  </si>
  <si>
    <t>https://gytres-my.sharepoint.com/:b:/p/finanzas/EcBYUfVMHyJNplE_tqsnbBUB3FD4xdhQUru_uWqU93A1SA?e=ETVRrP</t>
  </si>
  <si>
    <t>F002-20256, RQ.OPE.1280 mantenimiento preventivo de la unidad FOTÓN VDJ-872</t>
  </si>
  <si>
    <t>https://gytres-my.sharepoint.com/:b:/p/finanzas/EQ9O9YjIXDpBsnOpJguGOdgB23Om86G8WAwq41nMG0YXrA?e=dYtd9N</t>
  </si>
  <si>
    <t>F136-10996 Combustible</t>
  </si>
  <si>
    <t>https://gytres-my.sharepoint.com/:b:/p/finanzas/ESF7lJzaxOBFk23g4EUGfhEBKmzdTvL_H7INwMlZAVctwg?e=eYaJdA</t>
  </si>
  <si>
    <t>F135-8336 Combustible</t>
  </si>
  <si>
    <t>https://gytres-my.sharepoint.com/:b:/p/finanzas/EfKdUQkQ1M9Lv9Y7CbVrtVQBNMAXLzC96oG3WuPq3jk6jA?e=bs0Ohf</t>
  </si>
  <si>
    <t>Proveedores 20250716 (1)</t>
  </si>
  <si>
    <t>https://gytres-my.sharepoint.com/:b:/p/finanzas/EXgRYJVeMshDuwbCH_jOEpABDlt43RKb2NCicmBNKcKs5w?e=apkcxa</t>
  </si>
  <si>
    <t>Compartamos Financiera - Cuota 33</t>
  </si>
  <si>
    <t>https://gytres-my.sharepoint.com/:b:/p/finanzas/ETqj7eI-ehVBtDj2TYjS8wwBh8f-1DNW4ATmwXx9doYEiQ?e=rof9F8</t>
  </si>
  <si>
    <t>E001-3617, RQ.SSO.243 saneamiento en almacén 01 y 02</t>
  </si>
  <si>
    <t>https://gytres-my.sharepoint.com/:b:/p/finanzas/EZdNZcMNugNBrJtk-2mOAlgBe8kK-HWjxBIOycsdZedOYQ?e=FlsX07</t>
  </si>
  <si>
    <t>Reposición - Caja Conductores - 2025 / RCO-14</t>
  </si>
  <si>
    <t>https://gytres-my.sharepoint.com/:b:/p/finanzas/EemIwWax0bFBuXtSnNWhmA8BPSKupapcEohsSPOuhIzMJA?e=otbFO3</t>
  </si>
  <si>
    <t>Proveedores 20250717 (1)</t>
  </si>
  <si>
    <t>https://gytres-my.sharepoint.com/:b:/p/finanzas/EU4mXceL2YlNhQS6-KjrxjoB_JV8p8mzX54ZM5LW3RDHeQ?e=hWtwfy</t>
  </si>
  <si>
    <t>E001-462 - Servicio de Internet mes de Julio 2025 - FIXER TELECOMUNICACIONES S.A.C</t>
  </si>
  <si>
    <t>https://gytres-my.sharepoint.com/:b:/p/finanzas/EViNYOzgVfJJvnc8rI-LGsoBRYSwDlB_pLd2YpO_Y1UXsg?e=jfeMOk</t>
  </si>
  <si>
    <t>https://gytres-my.sharepoint.com/:b:/p/finanzas/EeKEnL-wbw9GoXpIWVlB2SoBNLgpHOyh_PuN6YF8gfA2Wg?e=AeK4vJ</t>
  </si>
  <si>
    <t>https://gytres-my.sharepoint.com/:b:/p/finanzas/EbymtcBe_olEg_AMEOyfJp4BtsKR4IAX8wbwWtkzQSRJ0Q?e=bGY6wf</t>
  </si>
  <si>
    <t>https://gytres-my.sharepoint.com/:b:/p/finanzas/EYwD84Nu_2NLgWRlCKRXSIkBg2aQ_N3DtAV8IfH4idFLVQ?e=eBYjvy</t>
  </si>
  <si>
    <t>https://gytres-my.sharepoint.com/:b:/p/finanzas/Ed1P_Znj-U9DoCDUENW0HDIBZrx4oC-4AQyDO8p4ySxfCQ?e=hm6GGK</t>
  </si>
  <si>
    <t>0FF010000000127 INCA T</t>
  </si>
  <si>
    <t>BCO.CITI0033714645</t>
  </si>
  <si>
    <t>DE INGENIERIA SERVICIO</t>
  </si>
  <si>
    <t>F809-381043, RQ.OPE.1300 renovación de SOAT para la unidad VDJ-872 /  B G ASESORES COMERCIALES S.A.C</t>
  </si>
  <si>
    <t>https://gytres-my.sharepoint.com/:b:/p/finanzas/ERwS3KS_2jVBl_nebjk9HjYBi_PRl2FlTvloIn1Go6RCNQ?e=h6LIVU</t>
  </si>
  <si>
    <t>Disposicion residuos peligrosos y no peligrosos 17- 18.07.2025</t>
  </si>
  <si>
    <t>https://gytres-my.sharepoint.com/:b:/p/finanzas/EYWYVbSjW5xEkpHkDJxqFnQB7MNhzZaUog9C1CH0EAZ1Xw?e=eaVRP9</t>
  </si>
  <si>
    <t>Accesorios vehiculares BKK-849 Cifren (20609629739)</t>
  </si>
  <si>
    <t>https://gytres-my.sharepoint.com/:b:/p/finanzas/ESdUaCTIqkZOh0iR4XuTwggBYTp6OEIx9XMOv4540oJtGg?e=1yhgU3</t>
  </si>
  <si>
    <t>Proveedores 20250718 (1)</t>
  </si>
  <si>
    <t>https://gytres-my.sharepoint.com/:b:/p/finanzas/EVEdjYx4cwFNkRBrbxL3c64BM8mMT2yMLScMcrTDFz5mNg?e=IZxmeP</t>
  </si>
  <si>
    <t>Cambio de Soles a Dolares TC 3.58</t>
  </si>
  <si>
    <t>https://gytres-my.sharepoint.com/:b:/p/finanzas/EaDui8dv0HxKkBb-DlLw0PEBeltyw-l3rHg9de2lw8cflA?e=MOQdqh</t>
  </si>
  <si>
    <t>DETR.MASIVA 7663711490</t>
  </si>
  <si>
    <t>0100000168 UNIVERSIDAD</t>
  </si>
  <si>
    <t>https://gytres-my.sharepoint.com/:b:/p/finanzas/EWa8rwlGHNREs-q1BjpoWawBGCl1WWwSegWYwtuxmD3BYA?e=x9bocf</t>
  </si>
  <si>
    <t>SEG.VIDA-SCTR PENSION-VIDA LEY</t>
  </si>
  <si>
    <t>https://gytres-my.sharepoint.com/:b:/p/finanzas/EeWgLTGiW7RCplg9h9xD5agBi3V205zwqY7FSdoySlARDg?e=ltcAeY</t>
  </si>
  <si>
    <t>SCTR SALUD-EPS</t>
  </si>
  <si>
    <t>https://gytres-my.sharepoint.com/:b:/p/finanzas/Ef8MFJpSlzlPtXaQX6smSdQBWNSec1lognpJiuS6pf0Xzw?e=gNWCLu</t>
  </si>
  <si>
    <t>Adelanto de sueldo Julio 2025 - VIZA CACERES WAY BRIAN</t>
  </si>
  <si>
    <t>https://gytres-my.sharepoint.com/:b:/p/finanzas/EbsvCiTBAr9OrXR5H3uGRIsBDmMoQdCuLcVmQab7cbJ__g?e=MW55Kp</t>
  </si>
  <si>
    <t>RQ.OPE.1263 Cotiz. 1018632 Servicio de GPS para la camioneta MAXUS VBW-889</t>
  </si>
  <si>
    <t>https://gytres-my.sharepoint.com/:b:/p/finanzas/EUipaGOclIFFtCKm78ZO95ABzCSr4wUSyVoldQv9TuhCSg?e=iVDOEo</t>
  </si>
  <si>
    <t>03 PAGO POR CODIGO SOLES</t>
  </si>
  <si>
    <t>https://gytres-my.sharepoint.com/:b:/p/finanzas/EakeQk5n5l1InG28Delx76IBnTg_Dn41mHLY-UaW4gwDeQ?e=Pdmhob</t>
  </si>
  <si>
    <t>E001-328, RQ.OPE.1184 Mantenimiento Preventivo de la unidad BKL-739</t>
  </si>
  <si>
    <t>https://gytres-my.sharepoint.com/:b:/p/finanzas/Ed-oO-RIyZ5JuuDlooCbbTYBr7CUauLybFeFcLu1mkQqLw?e=4jiXDa</t>
  </si>
  <si>
    <t>E001-327, RQ.OPE.1184 Mantenimiento Preventivo de la unidad BKL-739</t>
  </si>
  <si>
    <t>https://gytres-my.sharepoint.com/:b:/p/finanzas/EW8YE8GkxvZIqXZInU130LgBE6H1kagwiR4p-fp74LQheg?e=xcOniD</t>
  </si>
  <si>
    <t>https://gytres-my.sharepoint.com/:b:/p/finanzas/EbVpie9k2oNLo36mDGsvRw0Bswu76BVDJSII8bGwj2YCfA?e=CzmBJA</t>
  </si>
  <si>
    <t>https://gytres-my.sharepoint.com/:b:/p/finanzas/EVOO9fWE1tlOiUTjGxpIgmwBHvgDa69AqZRoHWQ9N6bt_g?e=DX4wgf</t>
  </si>
  <si>
    <t>De movitecnica sa</t>
  </si>
  <si>
    <t>RQ.SSO.257 - ER-001-0502025 permisos que requiere la nueva unidad vehicular VEI822</t>
  </si>
  <si>
    <t>https://gytres-my.sharepoint.com/:b:/p/finanzas/EeC6sDlLix5Gl-uGoTTqJvEBgerMNtWnaCLYXoIqr0DYvA?e=7sqHri</t>
  </si>
  <si>
    <t>F001-16709, RQ.COM.357 Constatación notarial por la destrucción de productos. (Cliente: Servicios Co</t>
  </si>
  <si>
    <t>https://gytres-my.sharepoint.com/:b:/p/finanzas/EY2HOplLVkhImd4NJ92sCIAB2ewLO2TGaCjfrizIMrwZyQ?e=va17SL</t>
  </si>
  <si>
    <t>REVISAR RUC DE PROV. PARA CANCELAR SIST</t>
  </si>
  <si>
    <t>Adto. RQ.SSO.253 Confección de polos de algodón para personal operativo de Lima y tener en stock. / OC 004-000169</t>
  </si>
  <si>
    <t>https://gytres-my.sharepoint.com/:b:/p/finanzas/EdgRt2X1VuFDpi3V9T7W-WkBmIh4CEWEFWvn5UjwlBXuBg?e=75dh8N</t>
  </si>
  <si>
    <t>0000000149 GRANJA RINC</t>
  </si>
  <si>
    <t>TRANSF.BCO.SCOTIABANK</t>
  </si>
  <si>
    <t>Proveedores 20250724 (1)</t>
  </si>
  <si>
    <t>https://gytres-my.sharepoint.com/:b:/p/finanzas/EUsI9u2cd_5IsFxtWj8ga9kBdy1_kQSGzgDoYyUzPRF_JA?e=TwNvFn</t>
  </si>
  <si>
    <t>https://gytres-my.sharepoint.com/:b:/p/finanzas/EXE89gS_Ao1NhOT956lIl8MBZSe0TUx3OgjgpGodKmSzxA?e=O0WJba</t>
  </si>
  <si>
    <t>https://gytres-my.sharepoint.com/:b:/p/finanzas/ETQOugWCPCtLrVbrL5PCM0ABHKKmGH73zAVoZg4sVyKq5A?e=sFtVRR</t>
  </si>
  <si>
    <t>https://gytres-my.sharepoint.com/:b:/p/finanzas/ERF9fxwqonpHjRzLnVq0IKYBTbCF3JKYtv7zFrOtjkQ2nA?e=GRLfvI</t>
  </si>
  <si>
    <t>https://gytres-my.sharepoint.com/:b:/p/finanzas/EQgv_srxGrZOvs-uZuBlLtQB4SUCvx8O-2uSWqMPJYwlXw?e=RVNsU1</t>
  </si>
  <si>
    <t>https://gytres-my.sharepoint.com/:b:/p/finanzas/EfF12wf4yKFPoijv1ZRLWfgBMBw_hw33LaOoh2xXS8T41A?e=LB7q1r</t>
  </si>
  <si>
    <t>https://gytres-my.sharepoint.com/:b:/p/finanzas/EZNYuhg_OThIkrsnhuQC9WIBVWlVzaHX8qnFu63vcSBW5w?e=G3n90l</t>
  </si>
  <si>
    <t>Adelanto de sueldo Julio 2025 - MONTENEGRO LOPEZ EMILIANO ALCIDES</t>
  </si>
  <si>
    <t>https://gytres-my.sharepoint.com/:b:/p/finanzas/EdnPyEcvgUdBjkb74mq3GhIBiK6k_RO_7c9XJeCyFZbMCw?e=dXxETC</t>
  </si>
  <si>
    <t>https://gytres-my.sharepoint.com/:b:/p/finanzas/EXDSpPi-EENJoXXM3IGbbZQB1RBmR4yWOa4lTzDCelT1dg?e=0muYeB</t>
  </si>
  <si>
    <t>000000000FF0190 TECNO</t>
  </si>
  <si>
    <t>FF0100000129000 CORP.E</t>
  </si>
  <si>
    <t>F050</t>
  </si>
  <si>
    <t xml:space="preserve">06 VIDA MN / Pacifico seguros </t>
  </si>
  <si>
    <t>https://gytres-my.sharepoint.com/:b:/p/finanzas/EXMY7RT2TCBJsgqz_HCNjNwBWNFzH3niNGNc93BPwHgBNg?e=hdwPS5</t>
  </si>
  <si>
    <t>https://gytres-my.sharepoint.com/:b:/p/finanzas/EfVB_8IB7j1DhWTMgL1jIVwBc0w_46pHa3_08LDqGaBUzg?e=CEA2jL</t>
  </si>
  <si>
    <t>REVISAR COMPROBANTE</t>
  </si>
  <si>
    <t>E001-221, RQ.OPE.1169 Reforzado y soldadura de las uñas del montacargas de Villa Esperanza.</t>
  </si>
  <si>
    <t>https://gytres-my.sharepoint.com/:b:/p/finanzas/EXn8uQm3VrFMtPjOTtBex_cB0IXKerv3d8MvSW2hAGvDYg?e=pamo8H</t>
  </si>
  <si>
    <t>RQ.OPE.1317 Adelanto - Mantenimiento de ruedas y frenos de la unidad VBB-840</t>
  </si>
  <si>
    <t>https://gytres-my.sharepoint.com/:b:/p/finanzas/EXn8uQm3VrFMtPjOTtBex_cB0IXKerv3d8MvSW2hAGvDYg?e=1C6UeN</t>
  </si>
  <si>
    <t>Proveedores 20250725 (1)</t>
  </si>
  <si>
    <t>https://gytres-my.sharepoint.com/:b:/p/finanzas/EUCqxH-PLAhJmUcDOT-MznYBDvMNYxvYcN9E35otjKc3_A?e=CRotBR</t>
  </si>
  <si>
    <t>F001-14701 Disposicion</t>
  </si>
  <si>
    <t>https://gytres-my.sharepoint.com/:b:/p/finanzas/EZnDEfvgBvBDk7GIry-QFgwBy6MO1qG6MxUNcWCOBjyoKQ?e=Vufqey</t>
  </si>
  <si>
    <t>E001-2370, RQ.OPE.1269 Servicio alquiler de montacarga</t>
  </si>
  <si>
    <t>https://gytres-my.sharepoint.com/:b:/p/finanzas/ETG8yQfogK9NiYRbAA9Ads8B_dNtT252rU7rnHPEcwqbTA?e=btUesj</t>
  </si>
  <si>
    <t>COM.CCE PRO 000172</t>
  </si>
  <si>
    <t>DETR.MASIVA 7666114943</t>
  </si>
  <si>
    <t>DE LONCCOS Y CCALAS S</t>
  </si>
  <si>
    <t>FF0100000176000 CARMEN</t>
  </si>
  <si>
    <t>Cambio de Soles a Dolares TC 3.569</t>
  </si>
  <si>
    <t>RQ.SSO.261 Inducción de personal para el ingreso a Pesquera Diamante - Ruben Bustamante</t>
  </si>
  <si>
    <t xml:space="preserve">
1169327</t>
  </si>
  <si>
    <t>https://gytres-my.sharepoint.com/:b:/p/finanzas/EUVD0C-ju-BLtstiIaaDvHIByPevx0WEokmLw5EoJMKpXw?e=ucTnQz</t>
  </si>
  <si>
    <t xml:space="preserve">One drive - Logística  - Junio </t>
  </si>
  <si>
    <t>https://gytres-my.sharepoint.com/:b:/p/finanzas/EZKlf8X6A2tHiKeGpu8jinABMQoCtZ5tQXJ3YBH1elzhqw?e=XrFXL6</t>
  </si>
  <si>
    <t>Correo Corporativo - Junio</t>
  </si>
  <si>
    <t>https://gytres-my.sharepoint.com/:b:/p/finanzas/Eddg0luLZNFHnmOY8HRkvcsBxPrc11w7tmpI3lAIHgdy3w?e=T60UkE</t>
  </si>
  <si>
    <t>Proveedores 20250730 (1) / Prov tlc 175</t>
  </si>
  <si>
    <t>https://gytres-my.sharepoint.com/:b:/p/finanzas/Ea_yL2Xqw6BKooS_hyG-njABPuyp_GTPlTXIreSJUuySew?e=3AXzFx</t>
  </si>
  <si>
    <t>Bco.scot</t>
  </si>
  <si>
    <t>PRESTAMYPE</t>
  </si>
  <si>
    <t>DE FACTORING PRESTAMYP</t>
  </si>
  <si>
    <t xml:space="preserve">GYTRES </t>
  </si>
  <si>
    <t>DEVOL. PAGO 000177</t>
  </si>
  <si>
    <t>Saldo E001-49 - RQ.OPE.1317 Mantenimiento de ruedas y frenos de la unidad VBB-840</t>
  </si>
  <si>
    <t>https://gytres-my.sharepoint.com/:b:/p/finanzas/ERNL0SwH4vVEsncscistbjwBtLX7lnAVqfcIKVS4dMsREw?e=PIMUSP</t>
  </si>
  <si>
    <t>E001-48 - RQ.OPE.1317 Mantenimiento de ruedas y frenos de la unidad VBB-840</t>
  </si>
  <si>
    <t>https://gytres-my.sharepoint.com/:b:/p/finanzas/EcUQ_hw3nQVKimAqOWJcbC0B96KL8VvwfcM8TMz2-ZAyIA?e=zlldY0</t>
  </si>
  <si>
    <t xml:space="preserve">Agua - Julio 2025 / Lima </t>
  </si>
  <si>
    <t>https://gytres-my.sharepoint.com/:b:/p/finanzas/EdDKe9OB6gVMuS4uw-99040BkwqjGMeEbu0xWdf4pJgpjQ?e=Lc75ko</t>
  </si>
  <si>
    <t>REV. COMPROBANTE</t>
  </si>
  <si>
    <t>Factura 15924, RQ.STI.094 Dominio gytres.com</t>
  </si>
  <si>
    <t>https://gytres-my.sharepoint.com/:b:/p/finanzas/ERIVzWZsrcxDqNCMCphSZEgB98VqgyPIiWes3F6bb99aWw?e=PXRZWy</t>
  </si>
  <si>
    <t>Alquiler Oficinas y Almacén Arequipa - Febrero 2025</t>
  </si>
  <si>
    <t>https://gytres-my.sharepoint.com/:b:/p/finanzas/EcUmL1S9BqhHs5qENfCAIuABo57Pf3Db_Ckj4KP5oEVnaw?e=1xIbVA</t>
  </si>
  <si>
    <t>Contrato de Alquiler</t>
  </si>
  <si>
    <t>https://gytres-my.sharepoint.com/:b:/p/finanzas/ERaPlAH_77lOvDbq48M9pNUBxe2ksoa7m1WohNQa64bBWA?e=E57g1b</t>
  </si>
  <si>
    <t>Proveedores 20250730 (1) / Prov tlc 176</t>
  </si>
  <si>
    <t>https://gytres-my.sharepoint.com/:b:/p/finanzas/EaIsWpHH-IxAk5uoO3R8u6ABqF_jc1jEFpcYOQ-HrR-Erg?e=ibVLTp</t>
  </si>
  <si>
    <t>Planilla de Rem. Jul25</t>
  </si>
  <si>
    <t>PLR07</t>
  </si>
  <si>
    <t>FI01</t>
  </si>
  <si>
    <t>REGULARIZACION ITF</t>
  </si>
  <si>
    <t>FF0100000130000 CORP.E</t>
  </si>
  <si>
    <t>BCR-BANCO CONTINENTA</t>
  </si>
  <si>
    <t xml:space="preserve">One drive - Gregeory  - Junio </t>
  </si>
  <si>
    <t>https://gytres-my.sharepoint.com/:b:/p/finanzas/EW6dZpQxQd9Mu5wTEq4qEwQBsiijuA6-fIqfTWilIRfk9w?e=vf06mM</t>
  </si>
  <si>
    <t>https://gytres-my.sharepoint.com/:b:/p/finanzas/EcGqCkDZBTJOtk7SU1UCJgcBpdsfC5_Se7EVCGY8eqcliA?e=PySroa</t>
  </si>
  <si>
    <t>Liquidacion de Beneficios Sociales - Salvador Molina</t>
  </si>
  <si>
    <t>https://gytres-my.sharepoint.com/:b:/p/finanzas/EaewcqsqIXxMpwY2_ocu7DYBb8Ixns_eBENBeKgmw_w6Tg?e=sG8NwO</t>
  </si>
  <si>
    <t>RQ.LOG.338 Entregas a rendir- ER-001-0512025 Recarga de Agua e Insumos de Limpieza</t>
  </si>
  <si>
    <t>https://gytres-my.sharepoint.com/:b:/p/finanzas/ESH4nMTVCltCht1tyk6PO2wBarF7mGpY30Q67T7wure0JQ?e=LXMDVC</t>
  </si>
  <si>
    <t>Planilla de Rem. Jul25 (2) /Willian Leon</t>
  </si>
  <si>
    <t>Proveedores 20250801 (1)</t>
  </si>
  <si>
    <t>https://gytres-my.sharepoint.com/:b:/p/finanzas/EVxPZhi4oP5Hh94iH7XMuV4BFzdPnC9nk82ncvWvOxAXqw?e=yMRYdN</t>
  </si>
  <si>
    <t>Proveedores 20250801 (2)</t>
  </si>
  <si>
    <t>https://gytres-my.sharepoint.com/:b:/p/finanzas/EQvDoNFsWBVDq5YFXQOu6KABOLkjYeJc3tCYNDv6VPIk9w?e=jf0ut2</t>
  </si>
  <si>
    <t>RQ.SSO.262 pago de inducción de Alicorp (Romario y Nelson)</t>
  </si>
  <si>
    <t>https://gytres-my.sharepoint.com/:b:/p/finanzas/EZWfXtGWMTFEjG5fKfiTOc0B-1IUXvHK8hZAvifnoFXfRA?e=gkCa4Y</t>
  </si>
  <si>
    <t>Detr.masiva 7667488496</t>
  </si>
  <si>
    <t>0000000ff02-107 empres</t>
  </si>
  <si>
    <t>De scomar srl</t>
  </si>
  <si>
    <t>Disposicion residuos no aprovechables 04.08.2025 al 06.08.2025</t>
  </si>
  <si>
    <t>https://gytres-my.sharepoint.com/:b:/p/finanzas/EYJkMCKawy5LvyEsWSEJJ7ABg6eDvrh1tgnh4xeipM6agQ?e=GZhmUn</t>
  </si>
  <si>
    <t>RQ.LOG.339 Relleno de piso con piedra Chancada en Almacén Yanahuara / MAMANI MAMANI JULIO CESAR</t>
  </si>
  <si>
    <t>https://gytres-my.sharepoint.com/:b:/p/finanzas/ESH4nMTVCltCht1tyk6PO2wBarF7mGpY30Q67T7wure0JQ?e=MrCcLt</t>
  </si>
  <si>
    <t>Caja Arequipa - Juber Monteza - Cuota 34</t>
  </si>
  <si>
    <t>https://gytres-my.sharepoint.com/:b:/p/finanzas/EfrycmZFrVdOpxVoJYFO7pYB9NB_a0x5F8ReKJvl94tGWw?e=zQEsme</t>
  </si>
  <si>
    <t>https://gytres-my.sharepoint.com/:b:/p/finanzas/EcGqCkDZBTJOtk7SU1UCJgcBpdsfC5_Se7EVCGY8eqcliA?e=35gMEz</t>
  </si>
  <si>
    <t>RQ.OPE.1314 Mantenimiento preventivo de la unidad V9R-903</t>
  </si>
  <si>
    <t>https://gytres-my.sharepoint.com/:b:/p/finanzas/EYF5jDLSfLpJjQIxQOlvytoBnyFJ394QlFsaCZ-0do-DGQ?e=gGsQLJ</t>
  </si>
  <si>
    <t>RQ.COM.363 EMO para personal Wilber Quispe para ingreso a Southern cliente COSAPI</t>
  </si>
  <si>
    <t>https://gytres-my.sharepoint.com/:b:/p/finanzas/EbxzvbFS-aVOrpHnPBV24M8BZQ6V0vob9taBuJQSCgmYug?e=ZQBqZx</t>
  </si>
  <si>
    <t>Saldo RQ.LOG.318 , OS 005-643 - Acondicionamiento de construcción de primer nivel en La Joya.</t>
  </si>
  <si>
    <t>https://gytres-my.sharepoint.com/:b:/p/finanzas/ESUx7VsBQ7ZIrdLGZdRv_joBQbBWGiCFR__pMG42kvaZDw?e=lp67Eo</t>
  </si>
  <si>
    <t>Reposición - Caja Conductores - 2025 /  RCO-15</t>
  </si>
  <si>
    <t>https://gytres-my.sharepoint.com/:b:/p/finanzas/EV4zXFTLM-dNp7iSaeRduhEBlbzPoZP6JrcrZnjGI7ZnfA?e=Ijg0bw</t>
  </si>
  <si>
    <t>E001-478 - Servicio de Internet mes de Agosto 2025 - FIXER TELECOMUNICACIONES S.A.C</t>
  </si>
  <si>
    <t>https://gytres-my.sharepoint.com/:b:/p/finanzas/EYJZsGNX7FRKtLq0Ix9LL_QBUQp5OJ-iKH-LdnYUxyWfxg?e=QiTSPf</t>
  </si>
  <si>
    <t>RQ.OPE.1334 ER-001-0522025 Entregas a rendir</t>
  </si>
  <si>
    <t>https://gytres-my.sharepoint.com/:b:/p/finanzas/Eb4h2B85APhDtRRXniiWLiIBY66jd_y7SR8wzU5_XvsyGw?e=fanrHM</t>
  </si>
  <si>
    <t>F809-386030, RQ.OPE.1315 Renovación de SOAT de la unidad V9R-903</t>
  </si>
  <si>
    <t>https://gytres-my.sharepoint.com/:b:/p/finanzas/EYbA-1suCclAsL3mXFL2AFQBNBktLhpbJDWlnn7AWf-JwA?e=z8PKAf</t>
  </si>
  <si>
    <t>Agua - Julio 2025</t>
  </si>
  <si>
    <t>https://gytres-my.sharepoint.com/:b:/p/finanzas/ERjYATttOPhBlKwuHVVMCqwB9pCUbLpL6rolaJUR7ZpeOA?e=D62CPx</t>
  </si>
  <si>
    <t>REVISAR DOC</t>
  </si>
  <si>
    <t xml:space="preserve">Comubstible </t>
  </si>
  <si>
    <t>https://gytres-my.sharepoint.com/:b:/p/finanzas/EabTOhIGWoROihYXw60bdaUBxnTF3JyvJMl2Fygf8Y3aAA?e=KeFjIT</t>
  </si>
  <si>
    <t>Saldo 50% RQ.SSO.253 - OC 004-000169  compra de epps (Polos operativo)</t>
  </si>
  <si>
    <t>https://gytres-my.sharepoint.com/:b:/p/finanzas/EQ9e0gT-BvRMpG6QXHqwT_4BdjUwB_1erDTCyWgP1nMDBA?e=FRBbXd</t>
  </si>
  <si>
    <t>Adelanto 50% - OC 004-171 RQ.SSO.266 RQ.SSO.263 Epps casacas y camisas</t>
  </si>
  <si>
    <t>https://gytres-my.sharepoint.com/:b:/p/finanzas/ET7C6JSFpzZLh_5vQUwOEx0BwN__oUScbmqct8AdQDyY-Q?e=gSDxTr</t>
  </si>
  <si>
    <t>E001-419 RQ.COM.344 - Transporte de fardos noils</t>
  </si>
  <si>
    <t>https://gytres-my.sharepoint.com/:b:/p/finanzas/EVP6dup6_TZAtl-PZPz63n0B1-I_860a8ewBjjSMU1KNCw?e=SH4BvO</t>
  </si>
  <si>
    <t>Proveedores 20250805 (1)</t>
  </si>
  <si>
    <t>https://gytres-my.sharepoint.com/:b:/p/finanzas/EQc_uIVEiIlBtw7Q_C_kcjIB8fjmuEbDm_i3ETr1VaPk6Q?e=NujdHu</t>
  </si>
  <si>
    <t>Detr.masiva 7668290818</t>
  </si>
  <si>
    <t>Varios flsmidth s.a.c.</t>
  </si>
  <si>
    <t>Jesús Almanza Mamani</t>
  </si>
  <si>
    <t>Alisson Rodriguez</t>
  </si>
  <si>
    <t>RQ.OPE.1337 Entregas a rendir ER-001-0532025</t>
  </si>
  <si>
    <t>https://gytres-my.sharepoint.com/:b:/p/finanzas/EcE62y32NPpHsJdHDEmjEnEBENL6a0w3BNd-Us63p6sDwQ?e=g1pivQ</t>
  </si>
  <si>
    <t>F135-8620 Combustible</t>
  </si>
  <si>
    <t>https://gytres-my.sharepoint.com/:b:/p/finanzas/ERFza163a4ZNunSk7cXNfysB4QFz4EAT5XzuEX53npbC1A?e=UYQuZi</t>
  </si>
  <si>
    <t>F136-11207 Combustible</t>
  </si>
  <si>
    <t>https://gytres-my.sharepoint.com/:b:/p/finanzas/Eeotk-48Z0pNjFvhn9VzBHoBzlP_9bIoi_ddEb08O0uvvw?e=6h81kp</t>
  </si>
  <si>
    <t>Varios aleaciones ferr</t>
  </si>
  <si>
    <t>TRAN.CTAS.TERC.BM - Villa Esperanza - Julio 2025</t>
  </si>
  <si>
    <t>Marco Cardenas</t>
  </si>
  <si>
    <t>Barbara Camala Puma</t>
  </si>
  <si>
    <t>Nelson Llanque</t>
  </si>
  <si>
    <t>Varios universidad cat</t>
  </si>
  <si>
    <t>Adto. E001-182 RQ.OPE.1328 por transporte de residuos (20606259116) Teran / transf. A Jhonny Chacnama</t>
  </si>
  <si>
    <t>https://gytres-my.sharepoint.com/:b:/p/finanzas/EVuq0IO6KBRGiDiUB3nQPMoBX4_GLgsfpzBEzNX_wLOhFg?e=oveVrE</t>
  </si>
  <si>
    <t>Saldo E001- 182 RQ.OPE.1328 transporte de residuos</t>
  </si>
  <si>
    <t>PEDIR AUTODETRACCION</t>
  </si>
  <si>
    <t>Liquidacion de Beneficios Sociales-HUAMANI MAMANI ANTHONY</t>
  </si>
  <si>
    <t>Liquidacion de Beneficios Sociales - CCAMA G. JUNIOR</t>
  </si>
  <si>
    <t>Liquidacion de Beneficios Sociales - SOLIS FLORIDO ESTEBAN MIGUEL</t>
  </si>
  <si>
    <t>Liquidacion de Beneficios Sociales - HEFER QUISPE</t>
  </si>
  <si>
    <t>Liquidacion de Beneficios Sociales - VIZA CACERES</t>
  </si>
  <si>
    <t>Liquidacion de Beneficios Sociales - ABARCA APFATA</t>
  </si>
  <si>
    <t>https://gytres-my.sharepoint.com/:b:/p/finanzas/ES0ucArVteVDqctWFHwLkM0BkofSukz-7l7kuOHQ1MmURA?e=MWcEFG</t>
  </si>
  <si>
    <t>https://gytres-my.sharepoint.com/:b:/p/finanzas/EZR_lR2Ei1FIkoBzg-aXPPwBcdAix6PIDCjuKJk5pbp4Wg?e=ZQWOlr</t>
  </si>
  <si>
    <t>https://gytres-my.sharepoint.com/:b:/p/finanzas/EYaa6zR3yQFEr99WbEV4M9oByDlqUPQePM97tsw65KRg4A?e=cS3sx2</t>
  </si>
  <si>
    <t>https://gytres-my.sharepoint.com/:b:/p/finanzas/EURGXA0SEINHjoHaXFsQ6pQBoLlWqSfIb1GfV-dZFG_umg?e=IyUlL4</t>
  </si>
  <si>
    <t>https://gytres-my.sharepoint.com/:b:/p/finanzas/EVxFHMsNCCNAvOQwkZrb5BcBUoTdEr8zMkfVgsDCg2ljMw?e=bThWun</t>
  </si>
  <si>
    <t>F001-8555 RQ.STI.099 Mant. impresora Konica Minolt</t>
  </si>
  <si>
    <t>https://gytres-my.sharepoint.com/:b:/p/finanzas/EeYA-rJhfc1BrBXiaVeYKzcBDkPkRLAy441B6TohyJCnUQ?e=P7xhS9</t>
  </si>
  <si>
    <t>Proveedores 20250808 (2)</t>
  </si>
  <si>
    <t>https://gytres-my.sharepoint.com/:b:/p/finanzas/EWQZ4G4uYxJFqqBvbQ4P0hMBRMEKdLD4G4gPsyH7YDoTXA?e=uL5kJu</t>
  </si>
  <si>
    <t xml:space="preserve">E001-4465 RQ.STI.098 Compra de laptops y accesorios </t>
  </si>
  <si>
    <t>https://gytres-my.sharepoint.com/:b:/p/finanzas/ET87oTGKdcxEhkeZ__KckA4BTPH4Hz3GBq5aQWJPvOn_jg?e=GRn06Y</t>
  </si>
  <si>
    <t>https://gytres-my.sharepoint.com/:b:/p/finanzas/EUKyCrDvWX9Kt9GBpll-rTABnoayIxd2JUtsOLoMpZny3A?e=dwO7Dx</t>
  </si>
  <si>
    <t>Proveedores 20250808 (1)</t>
  </si>
  <si>
    <t>https://gytres-my.sharepoint.com/:b:/p/finanzas/Ee6nrhdf0PNLkXqDfmTWOFYB_N0-gSdFRUErDPwAFLgtFw?e=sHlZ0b</t>
  </si>
  <si>
    <t>Com.cce pro 000185</t>
  </si>
  <si>
    <t>FE28</t>
  </si>
  <si>
    <t>Servicio de monitoreo 01.08.2025 a 31.08.2025</t>
  </si>
  <si>
    <t>https://gytres-my.sharepoint.com/:b:/p/finanzas/EUCnU3GsGLBEjY-WahKcFqQByCt4tN5Sp6dWVXwXAPM8hw?e=sQi2p6</t>
  </si>
  <si>
    <t>https://gytres-my.sharepoint.com/:b:/p/finanzas/EdNj9wkniY5PsG8EioW0l5YBvDpKAOxVXN2z3Z-FgYRUjg?e=fPuv84</t>
  </si>
  <si>
    <t>Proveedores 20250811 (1)</t>
  </si>
  <si>
    <t>https://gytres-my.sharepoint.com/:b:/p/finanzas/Ebn6lqDmIddElpxx3ZcUgZABbc5BHwqO5OROP_kppzQ_1w?e=1WFoSI</t>
  </si>
  <si>
    <t>E001-2243 RE.OPE.1198 por descarga de residuos</t>
  </si>
  <si>
    <t>https://gytres-my.sharepoint.com/:b:/p/finanzas/EXK4ykgfHO9Okki6AJCuKnkBJ9hx6l2AO-eH325__TBCcQ?e=cRQI4v</t>
  </si>
  <si>
    <t>Adelanto de remuneracion - Agosto 2025</t>
  </si>
  <si>
    <t>https://gytres-my.sharepoint.com/:b:/p/finanzas/EVgV4p73_o5MsLiMF1qS8poBi32KJCsy5kND-vO6w7PlIg?e=GiPRhJ</t>
  </si>
  <si>
    <t>RQ.STI.097 Compra de tintas Lima</t>
  </si>
  <si>
    <t>https://gytres-my.sharepoint.com/:b:/p/finanzas/Eap7gWOb045GmDgpFCD606oBW4D8tx9lfkVm8giG-K3mLg?e=RLrE2P</t>
  </si>
  <si>
    <t>Proveedores 20250812 (1)</t>
  </si>
  <si>
    <t>https://gytres-my.sharepoint.com/:b:/p/finanzas/EUMAe4DG0NVCq0qNNxXv_R0Bms6K8dEHPYtXv03C8eOSSg?e=LTS5Sh</t>
  </si>
  <si>
    <t>Entregas a rendir - RQ.GH.225 - ER-001-0542025</t>
  </si>
  <si>
    <t>https://gytres-my.sharepoint.com/:b:/p/finanzas/EXNmtPkX8P1BnTCUXbGtu38BNFEJ4Vmd9CunQFY-MYn0gA?e=9V7sg8</t>
  </si>
  <si>
    <t xml:space="preserve">Luz -Julio / Alm. Sachaca </t>
  </si>
  <si>
    <t>https://gytres-my.sharepoint.com/:b:/p/finanzas/EaYYWjiqKJFHugLcimtNn4gBVETyX_V2I3TuEWPwi2w-zA?e=dEu4cw</t>
  </si>
  <si>
    <t>Luz -Julio / Alm. Yanahura</t>
  </si>
  <si>
    <t>https://gytres-my.sharepoint.com/:b:/p/finanzas/EVPOKNxguFFGo4GBW1Z-54cBElCUFQlLS2u4-qR_h3KrMQ?e=HbmvZl</t>
  </si>
  <si>
    <t>Disposicion residuos no aprovechables 12.08.2025 al 14.08.2025</t>
  </si>
  <si>
    <t>Alquiler Alm Huaranguillo2 Agos25</t>
  </si>
  <si>
    <t>RQ.COM.370 Servicio de EMO preocupacional COSAPI
Joel Velasquez</t>
  </si>
  <si>
    <t>F001-14701 Saldo Disposicion</t>
  </si>
  <si>
    <t>https://gytres-my.sharepoint.com/:b:/p/finanzas/EbBdS0vsivVAm4QM0VkpAsoBItF1ldC3-WOiq8MlK9j2cQ?e=hBvkAy</t>
  </si>
  <si>
    <t>E001-32, E001-34, E001-35, E001-36, RQ.GH.222 serv.selección de personal y evaluación psicológico</t>
  </si>
  <si>
    <t>https://gytres-my.sharepoint.com/:b:/p/finanzas/Ec52s8htxyZKvkVTsLQnKY4B5gMd4mDKdeI1Civmfo0XXw?e=0T4yb0</t>
  </si>
  <si>
    <t>https://gytres-my.sharepoint.com/:b:/p/finanzas/Ec52s8htxyZKvkVTsLQnKY4B5gMd4mDKdeI1Civmfo0XXw?e=e8JIjO</t>
  </si>
  <si>
    <t xml:space="preserve">Elias </t>
  </si>
  <si>
    <t>PAGO DETRAC 7669950931</t>
  </si>
  <si>
    <t>DETR.MASIVA 7670153092</t>
  </si>
  <si>
    <t>DETR.MASIVA 7669943184</t>
  </si>
  <si>
    <t>RQ.SSO.271 Inducciones para Pesquera Diamante (Juan Tarifa, Nelson Quispe , Diego Mamani )</t>
  </si>
  <si>
    <t>https://gytres-my.sharepoint.com/:b:/p/finanzas/EZXdpIUuy8FAqda-v-utuhEBslP3YX-pjTDZyd0FxLQJsg?e=j1BN0Z</t>
  </si>
  <si>
    <t>FFF1-000255 , Servicio de Internet Agosto 2025</t>
  </si>
  <si>
    <t>https://gytres-my.sharepoint.com/:b:/p/finanzas/EQL5tFLmqsJDtfURw5UhVMIBE1yikGHoXRm6Y1XD-gZqAw?e=L7t3Qz</t>
  </si>
  <si>
    <t>Teléfono fijo trio - Julio /Arequipa 2</t>
  </si>
  <si>
    <t>FA01-00001005 , RQ.OPE.1261 implementación de medidas de seguridad para el camión VDJ-872</t>
  </si>
  <si>
    <t>https://gytres-my.sharepoint.com/:b:/p/finanzas/EfbqWtpG4npAo0wyIVN7vpYBK_cDVfsaPdV2QgE3FQSTXg?e=Th3qbd</t>
  </si>
  <si>
    <t>ER-001-0552025 Servicio a Caylloma  RQ.OPE.1365</t>
  </si>
  <si>
    <t>https://gytres-my.sharepoint.com/:b:/p/finanzas/EZ6wUMXju5NHqNywZrorvroBhKmDM49NdSHfuaiC8iADCg?e=ZGrpBl</t>
  </si>
  <si>
    <t>00000000FF05-55 ALEACI</t>
  </si>
  <si>
    <t>DE PULSO CORPORACION M</t>
  </si>
  <si>
    <t>ER-001-0562025 Entregas a rendir RQ.GH.223</t>
  </si>
  <si>
    <t>https://gytres-my.sharepoint.com/:b:/p/finanzas/EUqsQgTvBLlPrrLN4ahpv1oBx74MhmYy4Ro6WRUwjnuMhQ?e=yyH21l</t>
  </si>
  <si>
    <t>https://gytres-my.sharepoint.com/:b:/p/finanzas/ESTwP7Ra-1tMlT2aNKXkrDgB0rXc3qmzhaJo5PkFyGmgVw?e=TshBGP</t>
  </si>
  <si>
    <t>https://gytres-my.sharepoint.com/:b:/p/finanzas/EbMovywbT8tDmzTu6TaggRwBLYA99-_0U-5d7z8Biv7fSA?e=W8zjSa</t>
  </si>
  <si>
    <t>https://gytres-my.sharepoint.com/:b:/p/finanzas/EcUSiUrSo_RLtHpyHd3yYKUB7yUyKdHvtgDZcGAZgZKDhw?e=05RUCo</t>
  </si>
  <si>
    <t>https://gytres-my.sharepoint.com/:b:/p/finanzas/EbroLtpS9jVAqohLpq4WHi0BkNYklhlhTykgqaTEf-ujyw?e=ZNlirI</t>
  </si>
  <si>
    <t>https://gytres-my.sharepoint.com/:b:/p/finanzas/ERabzRHM6ttBg_rh3jEwUdwBL-2FPB7DR9wpNgtMdXM_yQ?e=i1Jnby</t>
  </si>
  <si>
    <t>Proveedores 20250814 (1)</t>
  </si>
  <si>
    <t>https://gytres-my.sharepoint.com/:b:/p/finanzas/EfPqodLOm0pDvxl3VaXOyg0B0EfrMSxUFIi_bZwb9wUX8g?e=ClAB79</t>
  </si>
  <si>
    <t xml:space="preserve">Combustible </t>
  </si>
  <si>
    <t>https://gytres-my.sharepoint.com/:b:/p/finanzas/EV9ZJn7wL15FkRs0s7Hsf2MB0dNA6kqkq21MTMTsWeLv7w?e=opka8R</t>
  </si>
  <si>
    <t>Cambio de Soles a Dolares TC 3.585</t>
  </si>
  <si>
    <t>Compartamos Financiera - Cuota 34</t>
  </si>
  <si>
    <t>https://gytres-my.sharepoint.com/:b:/p/finanzas/EaqQ5FgKgpdGmS--Ugk_0D4BvW271Q6XbGZG_pYA4rvt5g?e=HyII6z</t>
  </si>
  <si>
    <t>E001-179 - RQ.STI.102 Mantenimiento de biométrico</t>
  </si>
  <si>
    <t>https://gytres-my.sharepoint.com/:b:/p/finanzas/ESxdaPwYAiZDuAQc0OXyLzABAbl7HKALkFTr8Yp659A6rQ?e=AdhpOy</t>
  </si>
  <si>
    <t>Mant td adic neg</t>
  </si>
  <si>
    <t>De sanchez rico ingeni</t>
  </si>
  <si>
    <t>Adelanto de sueldo Agosto 2025</t>
  </si>
  <si>
    <t>https://gytres-my.sharepoint.com/:b:/p/finanzas/ER51wOADRX9Lp9UeNRZlqiMBSJjqIBBZ31yYYLmmU-G3lQ?e=lNPSmL</t>
  </si>
  <si>
    <t>https://gytres-my.sharepoint.com/:b:/p/finanzas/ER175OW-nLlBvAmNA9WZmNIB1ZMpQd071S3kvftdZOBi4Q?e=7H9TbJ</t>
  </si>
  <si>
    <t>Adelanto de sueldo Agosto 2025 - HUANUCO ORTEGA CR</t>
  </si>
  <si>
    <t>https://gytres-my.sharepoint.com/:b:/p/finanzas/EQB4al8Xx_NKqJ-oiZLd5JwBM08yMJfXXGeDM8rE1URA6g?e=N7W88I</t>
  </si>
  <si>
    <t>https://gytres-my.sharepoint.com/:b:/p/finanzas/EVm_WN8l681Nu0xzP_SYs2oBbPZjEm7Hz-KDjGh6youXZg?e=CwAugJ</t>
  </si>
  <si>
    <t>RQ.SSO.272 - ER-001-0572025 pago de inducciones - Pesquera Diamante</t>
  </si>
  <si>
    <t>https://gytres-my.sharepoint.com/:b:/p/finanzas/EYtgxSc58VZEiJf5nZCHKxABmrcEOxL9s39e6uzjytAzRw?e=So7VCS</t>
  </si>
  <si>
    <t>valorización de RCD - Ficha de servicio: 002-1125</t>
  </si>
  <si>
    <t>https://gytres-my.sharepoint.com/:b:/p/finanzas/EQ49Yy577w9AnmtloifxmRgBrqEzJlQRoZSTYAtd1wZAgQ?e=ZEpDqj</t>
  </si>
  <si>
    <t>Liquidacion de Beneficios Sociales-QUISPE HUISACA</t>
  </si>
  <si>
    <t>RQ.SSO.241 - F005-1220,F005-1192</t>
  </si>
  <si>
    <t>https://gytres-my.sharepoint.com/:b:/p/finanzas/EZVvbFUxZstGmGUX8L3gmfEB9WJB2xOrh4XCrkJvHcvyDw?e=nWuLWy</t>
  </si>
  <si>
    <t>Reposición - Caja Conductores - 2025 /  RCO-16</t>
  </si>
  <si>
    <t>https://gytres-my.sharepoint.com/:b:/p/finanzas/EZdPlbg25gZDvzoz6F0e5T4BTNUnxD5P04_-aS7kc9Vwtg?e=jFQ7Op</t>
  </si>
  <si>
    <t>F001-49553, RQ.OPE.1335 compra de neumáticos delanteros(02 und) para la unidad BKK-849</t>
  </si>
  <si>
    <t>https://gytres-my.sharepoint.com/:b:/p/finanzas/EeffQjDky0ZCp4_gz6zMoUIBBnmruH12hCX8ioyYiRuo8g?e=kgatcj</t>
  </si>
  <si>
    <t>Detr.masiva 7672238571 / autodetracciones</t>
  </si>
  <si>
    <t>valorización de RCD - Ficha de servicio: 002-1126</t>
  </si>
  <si>
    <t>https://gytres-my.sharepoint.com/:b:/p/finanzas/EeIwlRLLGS1NisQgzilLeKoB3UVmEaRKIg1_3jj4mAMfEw?e=lfecVv</t>
  </si>
  <si>
    <t>Reposición - Caja Conductores - 2025 / RCO-17</t>
  </si>
  <si>
    <t>https://gytres-my.sharepoint.com/:b:/p/finanzas/Eatxy4DT5mdBscZG_Zkq4TwBmAuwEmfMqDc6RoFb-qePkA?e=XesKmf</t>
  </si>
  <si>
    <t>RQ.COM.372 Adquisición de bandeja antiderrames de aceite usado solicitado por cliente COSAPI</t>
  </si>
  <si>
    <t>https://gytres-my.sharepoint.com/:b:/p/finanzas/EZBu-czXt1BMq2hV4MXfwOEBpHdhBlIqF76LUPtyMiym-g?e=PL6HRh</t>
  </si>
  <si>
    <t>Luz - Agosto /Lima</t>
  </si>
  <si>
    <t>https://gytres-my.sharepoint.com/:b:/p/finanzas/EVevQvIS0TtBni3nClulwPoB3wLqc3Uh_MwlwM2LkNzq3Q?e=uSphRN</t>
  </si>
  <si>
    <t>Agua - Agosto 2025/ Lima</t>
  </si>
  <si>
    <t>https://gytres-my.sharepoint.com/:b:/p/finanzas/EU1KWHmXPZlEhLCil60pww0Bsmr78-jpVDYy8v8A6dVRHQ?e=nMAPdy</t>
  </si>
  <si>
    <t>A02-1962 FA02-2138, RQ.SSO.248 Compra de Epps</t>
  </si>
  <si>
    <t>https://gytres-my.sharepoint.com/:b:/p/finanzas/EZKDJYjtdzNOvUJ5bwu7UgIBpBpLseI0KDSGZHu32lTLGQ?e=rIjKwn</t>
  </si>
  <si>
    <t>E001-2 asesoria legal Agosto</t>
  </si>
  <si>
    <t>https://gytres-my.sharepoint.com/:b:/p/finanzas/EYRrLN8OD6RCjy7TPazKlGoBTOBW003wp7NbDZgRC_cVag?e=lKcFYQ</t>
  </si>
  <si>
    <t>Adelanto de sueldo Agosto 2025 - CRISSLEY LAZARTE</t>
  </si>
  <si>
    <t>https://gytres-my.sharepoint.com/:b:/p/finanzas/Eb5IIDb46QtJgCL65IW1QrYBKHDMGgxjck7YdGoCdT0gEA?e=MtBlrG</t>
  </si>
  <si>
    <t>Disposicion residuos no aprovechables 19.08.2025 al 21.08.2025</t>
  </si>
  <si>
    <t>https://gytres-my.sharepoint.com/:b:/p/finanzas/EYs0giwBP9dBhbnaO3gCc1IBZSwQKEONrMuxE1UciOjebw?e=YuAyqh</t>
  </si>
  <si>
    <t>De transportes pereda</t>
  </si>
  <si>
    <t>Leon Lopez Quispe</t>
  </si>
  <si>
    <t>RQ.COM.373 - EMO para personal conductor - COSAPI
Brayan Gustavo Hanco Zela</t>
  </si>
  <si>
    <t>https://gytres-my.sharepoint.com/:b:/p/finanzas/EUcXgAEt0MNDs7zrgfbTq7MBcefOotmm6fSBu4Eaf2SWGg?e=mJfEfH</t>
  </si>
  <si>
    <t>ER-001-0582025 Entregas a rendir RQ.GH.226</t>
  </si>
  <si>
    <t>https://gytres-my.sharepoint.com/:b:/p/finanzas/ETxr1R9vod5Dhnp-aBJ1kB0BN01IG_zKiPhb3ZPVT9vjuQ?e=eQikbf</t>
  </si>
  <si>
    <t>RQ.COM.373 - EMO para personal conductor - COSAPI
Walter Asillo</t>
  </si>
  <si>
    <t>https://gytres-my.sharepoint.com/:b:/p/finanzas/EZE-pK0CC7BLr6QRtg1bDewB9UEoV679FlIxZlmzbovqTg?e=tBL4Ks</t>
  </si>
  <si>
    <t>valorización de RCD  21/08 y 22/08 
FS 002-1128 ;  FS 002-1127</t>
  </si>
  <si>
    <t>https://gytres-my.sharepoint.com/:b:/p/finanzas/EVueozZlChhCjvXkm2RY-lIBKMPbMNJhU0jnFnoahbZ62A?e=aDYkfZ</t>
  </si>
  <si>
    <t>E001-692 RQ.OPE.1364</t>
  </si>
  <si>
    <t>https://gytres-my.sharepoint.com/:b:/p/finanzas/ESJOBDYuyGdIm_PFgBYajAkBTqRsqUyjRTstjxVjJZSSuw?e=arChBp</t>
  </si>
  <si>
    <t>E001-1522, RQ.SSO.273 Curso de materiales peligros</t>
  </si>
  <si>
    <t>https://gytres-my.sharepoint.com/:b:/p/finanzas/EQu_jU_Ldy5EpnnUaU4guUcBJN7Lr8eMyOIgCxiNKv8ceA?e=NmiIoN</t>
  </si>
  <si>
    <t>Pago detrac 7673718565</t>
  </si>
  <si>
    <t>Bco.citi0034327132</t>
  </si>
  <si>
    <t>ER-001-0592025 Entregas a rendir RQ.OPE.1346</t>
  </si>
  <si>
    <t>Proveedores 20250821 (1)</t>
  </si>
  <si>
    <t>RQ.SSO.275 pago de induccion de Alicorp
(Augusto, Brandon, Brayan, Jose Carlos, Tonny, Walter, Joel)</t>
  </si>
  <si>
    <t>Regularizacion de Disposiciones - Junio - Agosto</t>
  </si>
  <si>
    <t>Proveedores 20250821 (2)</t>
  </si>
  <si>
    <t>Detr.masiva 7674385795</t>
  </si>
  <si>
    <t>Transf.bco.interbank</t>
  </si>
  <si>
    <t xml:space="preserve">Nelson </t>
  </si>
  <si>
    <t xml:space="preserve">TRAN.CTAS.TERC.BM/ Devolución ER Nelson </t>
  </si>
  <si>
    <t>Devolucion de ingreso según OP 2256751</t>
  </si>
  <si>
    <t>Adelanto - RQ.SIG.033 - Calibración de Balanza 1 y 2</t>
  </si>
  <si>
    <t>E001-486 - Servicio de Internet mes de Agosto 2025 - FIXER TELECOMUNICACIONES S.A.C</t>
  </si>
  <si>
    <t>RQ.OPE.1316 renovación de inspección técnica (peligrosos y no peligrosos) de la unidad VDJ-872</t>
  </si>
  <si>
    <t>E001-542, RQ.OPE.1375 transporte de residuos</t>
  </si>
  <si>
    <t>Ff0100000202000 carmen</t>
  </si>
  <si>
    <t>Saldo RQ.SIG.033 - Calibración de Balanza 1 y 2</t>
  </si>
  <si>
    <t>F001-8608 - RQ.STI.103 tóners para fotocopiadora Konica Minolta c224</t>
  </si>
  <si>
    <t>Proveedores 20250825 (1)</t>
  </si>
  <si>
    <t>Proveedores 20250825 (2)</t>
  </si>
  <si>
    <t>Adto. F005-1563 implementación de la unidad VDJ-872</t>
  </si>
  <si>
    <t>E001-756 , RQ.OPE.1380 Por mantenimiento de balanza</t>
  </si>
  <si>
    <t xml:space="preserve">Lineas corporativas - Julio/ Alm. Sachaca </t>
  </si>
  <si>
    <t>BCP DOLARES</t>
  </si>
  <si>
    <t>FF02-28568, RQ.OPE.784 mantenimiento preventivo de la unidad Fotón VBB-840</t>
  </si>
  <si>
    <t>FF02-28568</t>
  </si>
  <si>
    <t>PROV TLC 14</t>
  </si>
  <si>
    <t>F001-0000299</t>
  </si>
  <si>
    <t>COM.CCE PRO 000014</t>
  </si>
  <si>
    <t>FN01-28309030</t>
  </si>
  <si>
    <t>MAF PERU</t>
  </si>
  <si>
    <t>F006-140177</t>
  </si>
  <si>
    <t>F001-300</t>
  </si>
  <si>
    <t>NO SE PUEDE CANCELAR, MONTO EXCEDE</t>
  </si>
  <si>
    <t>Varios moly-cop adesur</t>
  </si>
  <si>
    <t>FE01-474
FE01-475
FE01-481
FE01-482
FE01-483</t>
  </si>
  <si>
    <t>Prov tlc 27</t>
  </si>
  <si>
    <t>LA P020558226979</t>
  </si>
  <si>
    <t>LA POSITIVA DOLARES</t>
  </si>
  <si>
    <t>F040-00422105</t>
  </si>
  <si>
    <t>TLC MANT</t>
  </si>
  <si>
    <t>0     0</t>
  </si>
  <si>
    <t>Prov tlc 33</t>
  </si>
  <si>
    <t>F002-15290
F002-15294
F002-15331</t>
  </si>
  <si>
    <t>FE01-530
FE01-531</t>
  </si>
  <si>
    <t>Prov tlc 49</t>
  </si>
  <si>
    <t>F002-15364
F002-15365
F002-15375
F002-15385</t>
  </si>
  <si>
    <t>PROV TLC 51</t>
  </si>
  <si>
    <t>VARIOS</t>
  </si>
  <si>
    <t>COM.CCE PRO 000051</t>
  </si>
  <si>
    <t>F006-00144858
F006-00144859</t>
  </si>
  <si>
    <t>PROV TLC 58</t>
  </si>
  <si>
    <t>F002-15425
F002-15441
F002-15477
F002-15468
F002-15489
F002-15457</t>
  </si>
  <si>
    <t>Pasaje Aéreo Consultor Financiero - LIM/AQP/LIM</t>
  </si>
  <si>
    <t>E001-765</t>
  </si>
  <si>
    <t>F040-00430463</t>
  </si>
  <si>
    <t>TLC 002JA9 MANT FEB</t>
  </si>
  <si>
    <t>FE01-533
FE01-534
FE01-535</t>
  </si>
  <si>
    <t>RIMA020558226979</t>
  </si>
  <si>
    <t>RIMAC SEGUROS</t>
  </si>
  <si>
    <t>PROV TLC 65</t>
  </si>
  <si>
    <t>F002-15496
F002-15511
F002-15512
F002-15515
F002-15513</t>
  </si>
  <si>
    <t>PROV TLC 75</t>
  </si>
  <si>
    <t>F002-15539
F002-15540
F002-15533 
F002-15544
F002-15556
F002-15557</t>
  </si>
  <si>
    <t>F006-00148881</t>
  </si>
  <si>
    <t>PROV TLC 80</t>
  </si>
  <si>
    <t xml:space="preserve">NO SE PUEDE CANCELAR, MONTO MAYOR </t>
  </si>
  <si>
    <t>COM.CCE PRO 000080</t>
  </si>
  <si>
    <t>FN01-30924417</t>
  </si>
  <si>
    <t>FE01-579
FE01-583</t>
  </si>
  <si>
    <t>F001-42854, RQ.OPE.689 transpaleta manual para almacén Huaranguillo</t>
  </si>
  <si>
    <t>F001-42854</t>
  </si>
  <si>
    <t>F040-00438849</t>
  </si>
  <si>
    <t>FI01-14461881</t>
  </si>
  <si>
    <t>PROV TLC 86</t>
  </si>
  <si>
    <t>RQ.OPE.1057 referente a mantenimiento correctivo de la unidad FOTÓN VBB-840</t>
  </si>
  <si>
    <t>FF02-29771</t>
  </si>
  <si>
    <t>F006-00155043</t>
  </si>
  <si>
    <t>PROV TLC 95</t>
  </si>
  <si>
    <t>COM.CCE PRO 000095</t>
  </si>
  <si>
    <t>FN01-31810356</t>
  </si>
  <si>
    <t>F040-00444761</t>
  </si>
  <si>
    <t>001FF0100000001 MOLY-C</t>
  </si>
  <si>
    <t>FF01-1</t>
  </si>
  <si>
    <t>PROV TLC 98</t>
  </si>
  <si>
    <t>TLC 002JA9 MANT ABR</t>
  </si>
  <si>
    <t>001FF0100000009 MOLY-C</t>
  </si>
  <si>
    <t>FF01-9</t>
  </si>
  <si>
    <t>FF20</t>
  </si>
  <si>
    <t>Adelanto - Compra de camion - 7TN</t>
  </si>
  <si>
    <t>FF20-1025</t>
  </si>
  <si>
    <t>Adelanto - Compra de camion - 18TN</t>
  </si>
  <si>
    <t>FF18</t>
  </si>
  <si>
    <t>RQ.OPE.1119 Mantenimiento preventivo(Cambio de aceite y filtros) de la unidad VBB-840 /Cotizacion 004-129658</t>
  </si>
  <si>
    <t>FF18-33903</t>
  </si>
  <si>
    <t>F040-00450160</t>
  </si>
  <si>
    <t>FF19</t>
  </si>
  <si>
    <t>Saldo FF19-8148, RQ.OPE.1116 mantenimiento correctivo de la unidad FOTÓN BKL-739</t>
  </si>
  <si>
    <t xml:space="preserve"> FF19-8148</t>
  </si>
  <si>
    <t>E001-44 - Adelanto servicio de mentoria de desarrollo empresarial</t>
  </si>
  <si>
    <t>RQ.OPE.1116 referente al mantenimiento correctivo de la unidad FOTÓN BKL-739</t>
  </si>
  <si>
    <t>PROV TLC 110</t>
  </si>
  <si>
    <t>F002-15908
F002-15939
F002-15916
F002-15934
F002-15903
F002-15904</t>
  </si>
  <si>
    <t>NO CUADRA MONTO POR 0.30</t>
  </si>
  <si>
    <t>NO DEJA CANCELAR, MONTOS MAYORES</t>
  </si>
  <si>
    <t>La p020558226979</t>
  </si>
  <si>
    <t>F040-00452571</t>
  </si>
  <si>
    <t>PROV TLC 113</t>
  </si>
  <si>
    <t>Furgon para FOTON 9TN y Rampa hidráulica de 1TN</t>
  </si>
  <si>
    <t>RQ.GER.065 Pago cuota licencia anual software IDSI - Mes Mayo 2025</t>
  </si>
  <si>
    <t>INVESTIGACION Y DESARROLLO DE SOLUCIONES INFORMATICAS EIRL</t>
  </si>
  <si>
    <t xml:space="preserve">
F001-0000338</t>
  </si>
  <si>
    <t>Cambio dólares a soles TC: 3.649</t>
  </si>
  <si>
    <t>FONB00000177793A</t>
  </si>
  <si>
    <t>FONBIENES PERU EAFC S.A.</t>
  </si>
  <si>
    <t>FF01-54
FF01-59</t>
  </si>
  <si>
    <t>A 215 0006578 1</t>
  </si>
  <si>
    <t>MOLY-COP ADESUR S.A.</t>
  </si>
  <si>
    <t>F002-15981</t>
  </si>
  <si>
    <t>Adelanto Cotización Nota venta - 25078Chevrolet Montaña</t>
  </si>
  <si>
    <t>Prov tlc 127</t>
  </si>
  <si>
    <t>Prov tlc 128</t>
  </si>
  <si>
    <t>Prov tlc 129</t>
  </si>
  <si>
    <t>F002-16104
F002-16224
F002-16109</t>
  </si>
  <si>
    <t>CAMION FOTON - BJ1126VGPFG-F2 - AñoModelo2026 -FOTON- 9 Ton - COLOR BLANCO - VIN LVBV6PDB2TW085470</t>
  </si>
  <si>
    <t>Proveedores 20250625 (2)</t>
  </si>
  <si>
    <t>Com.cce pro 000141</t>
  </si>
  <si>
    <t>FF01-97
FF01-98</t>
  </si>
  <si>
    <t>Tlc 002ja9 mant jun</t>
  </si>
  <si>
    <t>Proveedores 20250627 (2)</t>
  </si>
  <si>
    <t>Com.cce pro 000144</t>
  </si>
  <si>
    <t>Envio.est.cta</t>
  </si>
  <si>
    <t>Com.mantenim</t>
  </si>
  <si>
    <t>Proveedores 20250702 (1)</t>
  </si>
  <si>
    <t>Com.cce pro 000150</t>
  </si>
  <si>
    <t>A 215 2148867 0</t>
  </si>
  <si>
    <t>Seguro de flota vehicular 2 de 6</t>
  </si>
  <si>
    <t>F001-374, CORPORACION INDUSTRIAL CES S.A.C RAMPA HIDRAULICA DE 1TN DE 2.20M X 1.70M</t>
  </si>
  <si>
    <t>Seguro de flota vehicula - Responsabilidad civil  3 de 6</t>
  </si>
  <si>
    <t>Cambio de dólares a soles TC 3.537</t>
  </si>
  <si>
    <t>BCPD</t>
  </si>
  <si>
    <t>Proveedores 20250710 (1)</t>
  </si>
  <si>
    <t>Proveedores 20250715 (1)</t>
  </si>
  <si>
    <t>Cambio de Dolares a Soles TC 3.553</t>
  </si>
  <si>
    <t>De factoring prestamyp</t>
  </si>
  <si>
    <t>De gestion y transport</t>
  </si>
  <si>
    <t xml:space="preserve">MAF0020558226979 / Cuota 58 </t>
  </si>
  <si>
    <t>https://gytres-my.sharepoint.com/:b:/p/finanzas/EdMNVJmWm2ZMlwU0ZtBQGRYBa0bv46ZwYzWaT0spDlHbSg?e=Lac83e</t>
  </si>
  <si>
    <t>Tlc 002ja9 mant jul</t>
  </si>
  <si>
    <t>Proveedores 20250730 (1) / Prov tlc 174</t>
  </si>
  <si>
    <t>Proveedores 20250730 /  Prov tlc 173</t>
  </si>
  <si>
    <t xml:space="preserve">BANA HOSTING </t>
  </si>
  <si>
    <t xml:space="preserve">INVOICE 2127851, RQ.STI.094 Hosting gytres.com/ Gregory Cruz </t>
  </si>
  <si>
    <t>Cambio de Dolares a Soles TC 3.584</t>
  </si>
  <si>
    <t>Seguro de flota vehicular 3 de 6</t>
  </si>
  <si>
    <t>Seguro de flota vehicula - Responsabilidad civil  4 de 6</t>
  </si>
  <si>
    <t>Proveedores 20250813 (1)</t>
  </si>
  <si>
    <t>MAF0020558226979 / Cuota 59</t>
  </si>
  <si>
    <t>INTERBANK SOLES</t>
  </si>
  <si>
    <t>ABONO TRANSFERENCIA - JCH COMERCIALIZADORA DE RESIDU</t>
  </si>
  <si>
    <t>FE01-491</t>
  </si>
  <si>
    <t>ITF</t>
  </si>
  <si>
    <t>ABONO PROVEEDORES - FABRICA DE CHOCOLAT</t>
  </si>
  <si>
    <t>FE01-449
FE01-450
FE01-451</t>
  </si>
  <si>
    <t>GR 006000081 NP QH 1001017906</t>
  </si>
  <si>
    <t>MUNICIPALIDAD PROVINCIAL DE AR</t>
  </si>
  <si>
    <t>GR 006000090 NP QH 1001019636</t>
  </si>
  <si>
    <t>GR 006000070 NP QH 1001016189</t>
  </si>
  <si>
    <t>GR 006000075 NP QH 1001016802</t>
  </si>
  <si>
    <t>GR 006000079 NP QH 1001017513</t>
  </si>
  <si>
    <t>GR 006000083 NP QH 1001018537</t>
  </si>
  <si>
    <t>GR 006000071 NP QH 1001016116</t>
  </si>
  <si>
    <t>GR 006000069 NP QH 1001016010</t>
  </si>
  <si>
    <t>GR 006000078 NP QH 1001016830</t>
  </si>
  <si>
    <t>GR 006000073 NP QH 1001016546</t>
  </si>
  <si>
    <t>GR 006000086 NP QH 1001019145</t>
  </si>
  <si>
    <t>GR 006000077 NP QH 1001017096</t>
  </si>
  <si>
    <t>GR 006000082 NP QH 1001018393</t>
  </si>
  <si>
    <t>GR 006000080 NP QH 1001017792</t>
  </si>
  <si>
    <t>GR 006000095 NP QH 1001019688</t>
  </si>
  <si>
    <t>OPERACION: 0919816</t>
  </si>
  <si>
    <t>Alquiler almacen Arequipa (1) - May-24</t>
  </si>
  <si>
    <t>N/D JUDICIALES</t>
  </si>
  <si>
    <t>N/D I-BANC + COM.O/C</t>
  </si>
  <si>
    <t>FABRICA DE CHOCOLAT</t>
  </si>
  <si>
    <t>FE01-476
FE01-477
FE01-478</t>
  </si>
  <si>
    <t>FACTURAS DE DIC 2024</t>
  </si>
  <si>
    <t>ITF DEV RET</t>
  </si>
  <si>
    <t>.POWER</t>
  </si>
  <si>
    <t>FE01-526
FE01-527</t>
  </si>
  <si>
    <t>JCH COMERCIALIZADORA DE RESIDU</t>
  </si>
  <si>
    <t>FE01-373</t>
  </si>
  <si>
    <t>FE01-545</t>
  </si>
  <si>
    <t>OPERACION: 0892768</t>
  </si>
  <si>
    <t>Transf ALQUI</t>
  </si>
  <si>
    <t>FE01-546</t>
  </si>
  <si>
    <t>F200</t>
  </si>
  <si>
    <t>SIGSO CONSULTORES LABORALES</t>
  </si>
  <si>
    <t>F200-14987</t>
  </si>
  <si>
    <t>F200-14959</t>
  </si>
  <si>
    <t xml:space="preserve">Servicios de Enero </t>
  </si>
  <si>
    <t>GYTRES BCP</t>
  </si>
  <si>
    <t>F200-15020</t>
  </si>
  <si>
    <t>FE01-536
FE01-537
FE01-538</t>
  </si>
  <si>
    <t>F200-15113</t>
  </si>
  <si>
    <t>F200-15085</t>
  </si>
  <si>
    <t>FE01-582</t>
  </si>
  <si>
    <t>Servicios de Febrero</t>
  </si>
  <si>
    <t>F200-15125</t>
  </si>
  <si>
    <t>ABONO TRANSFERENCIA</t>
  </si>
  <si>
    <t>E001-24</t>
  </si>
  <si>
    <t>F200-15152</t>
  </si>
  <si>
    <t>CARGO TRANSFERENCIA</t>
  </si>
  <si>
    <t>F200-15440</t>
  </si>
  <si>
    <t>FF01-6</t>
  </si>
  <si>
    <t>Servicios de Marzo</t>
  </si>
  <si>
    <t>PAGO DE SERVICIOS</t>
  </si>
  <si>
    <t>F313-6207</t>
  </si>
  <si>
    <t>F313-6204</t>
  </si>
  <si>
    <t>F313-6203</t>
  </si>
  <si>
    <t>F313-6206</t>
  </si>
  <si>
    <t>SOLO REGISTRE 590</t>
  </si>
  <si>
    <t>E001-1051</t>
  </si>
  <si>
    <t>ITF / OPERACION: 8047691</t>
  </si>
  <si>
    <t>ABONO PROVEEDORES</t>
  </si>
  <si>
    <t>FE01-588
FE01-589
FE01-590</t>
  </si>
  <si>
    <t>F313-6205</t>
  </si>
  <si>
    <t>F200-15277</t>
  </si>
  <si>
    <t>F200-15246</t>
  </si>
  <si>
    <t>F100-10597</t>
  </si>
  <si>
    <t>F200-15384</t>
  </si>
  <si>
    <t>F200-15313</t>
  </si>
  <si>
    <t>F200-15335</t>
  </si>
  <si>
    <t>F200-15341</t>
  </si>
  <si>
    <t>FF01-2
FF01-3
FF01-4</t>
  </si>
  <si>
    <t>FF01-42</t>
  </si>
  <si>
    <t>F200-15484</t>
  </si>
  <si>
    <t>F200-15466</t>
  </si>
  <si>
    <t>OPERACION: 1002150</t>
  </si>
  <si>
    <t>OPERACION: 1007651</t>
  </si>
  <si>
    <t>FF01-76</t>
  </si>
  <si>
    <t>FF01-75</t>
  </si>
  <si>
    <t>F200-15413</t>
  </si>
  <si>
    <t xml:space="preserve">	ITF I-BANC E // N/D I-BANC + COM.O/C</t>
  </si>
  <si>
    <t>F200-15547</t>
  </si>
  <si>
    <t>F200-15555</t>
  </si>
  <si>
    <t>F200-15521</t>
  </si>
  <si>
    <t>OPERACION: 1005146</t>
  </si>
  <si>
    <t>BCP-00001658 /CHEQUE</t>
  </si>
  <si>
    <t>FF01-87</t>
  </si>
  <si>
    <t>COOPERATIVA MINERA ESTRELLA DE</t>
  </si>
  <si>
    <t>FF01-86</t>
  </si>
  <si>
    <t>ITF I-BANC E // IBK A BCP</t>
  </si>
  <si>
    <t xml:space="preserve">Servicios de Abril </t>
  </si>
  <si>
    <t>FF01-60
FF01-61
FF01-62</t>
  </si>
  <si>
    <t>SIGSO</t>
  </si>
  <si>
    <t>F100-10937</t>
  </si>
  <si>
    <t>Pago de Factura F100-11027</t>
  </si>
  <si>
    <t>F100-11027</t>
  </si>
  <si>
    <t>FF01-108</t>
  </si>
  <si>
    <t xml:space="preserve">RQ.LOG.325 DINAMICA MASIVA </t>
  </si>
  <si>
    <t>https://gytres-my.sharepoint.com/:b:/p/finanzas/EQacCGA4FjBAmw1odHSJLN4BpmJv-Xni5jI2AhzyfrDb3A?e=59nJde</t>
  </si>
  <si>
    <t>DINAMICA MASIVA</t>
  </si>
  <si>
    <t>OC 004167</t>
  </si>
  <si>
    <t xml:space="preserve"> RQ.LOG.326 compra e instalación de muebles de melamina LOGAL GROUP AQP</t>
  </si>
  <si>
    <t>A &amp; M SOLUCIONES</t>
  </si>
  <si>
    <t>ABONO TRANSFERENCIA / JCH COMERCIALIZADORA DE RESIDU</t>
  </si>
  <si>
    <t>ITB</t>
  </si>
  <si>
    <t>ITBS</t>
  </si>
  <si>
    <t>ITF OPERACION: 0126747</t>
  </si>
  <si>
    <t>CARGO TRANSFERENCIA / CRECE NEGOCIOS</t>
  </si>
  <si>
    <t xml:space="preserve">CRECE NEGOCIOS </t>
  </si>
  <si>
    <t>RQ.SSO.258 Induccion seguridad</t>
  </si>
  <si>
    <t>ALICORP SAA-RECAUDACION</t>
  </si>
  <si>
    <t>RQ.SSO.267 Induccion MolyCop Lima</t>
  </si>
  <si>
    <t>RQ.SSO.268 Induccion MolyCop Walter Asilo</t>
  </si>
  <si>
    <t>RQ.SSO.274 Induccion MolyCop</t>
  </si>
  <si>
    <t xml:space="preserve">	ITF I-BANC E</t>
  </si>
  <si>
    <t>BBVA SOLES</t>
  </si>
  <si>
    <t>R20121393736EMPRESA YURA SRL</t>
  </si>
  <si>
    <t>FE01-493</t>
  </si>
  <si>
    <t>FE01-500</t>
  </si>
  <si>
    <t>R20565347099HAM CRIOGENICA PERU SAC</t>
  </si>
  <si>
    <t>FE01-61</t>
  </si>
  <si>
    <t>COMISION DE MANTENIMIENTO</t>
  </si>
  <si>
    <t>BBVA</t>
  </si>
  <si>
    <t>COMISION POR RETENCION JUD/ADM</t>
  </si>
  <si>
    <t>FB20-20502943</t>
  </si>
  <si>
    <t>FB20-20673136</t>
  </si>
  <si>
    <t>FB21-21111080</t>
  </si>
  <si>
    <t>563 </t>
  </si>
  <si>
    <t>FB21-21551579</t>
  </si>
  <si>
    <t>INGRESO EN EFECTIVO G EFECTIVO REDE</t>
  </si>
  <si>
    <t>562 </t>
  </si>
  <si>
    <t>FF07-1</t>
  </si>
  <si>
    <t>561 </t>
  </si>
  <si>
    <t>560 </t>
  </si>
  <si>
    <t>559 </t>
  </si>
  <si>
    <t>558 </t>
  </si>
  <si>
    <t>556 </t>
  </si>
  <si>
    <t>FE01-566</t>
  </si>
  <si>
    <t>FF07-1 BANCA AUTOMATIC</t>
  </si>
  <si>
    <t>554 </t>
  </si>
  <si>
    <t>552 </t>
  </si>
  <si>
    <t>550 </t>
  </si>
  <si>
    <t>571 </t>
  </si>
  <si>
    <t>FB21-21998860</t>
  </si>
  <si>
    <t>Imer Bustamante</t>
  </si>
  <si>
    <t>RETIRO EN EFECTIVO CON TARJETA Y CLAVE</t>
  </si>
  <si>
    <t>569 </t>
  </si>
  <si>
    <t>R20517932346TUBERIAS Y GEOSISTEMAS DEPB</t>
  </si>
  <si>
    <t>567 </t>
  </si>
  <si>
    <t>FE01-574</t>
  </si>
  <si>
    <t>R20340584237CAMPOSOL SA PB</t>
  </si>
  <si>
    <t>FE01-560</t>
  </si>
  <si>
    <t>REPOSICION TJ. DEBITO / 4910</t>
  </si>
  <si>
    <t>F001-100</t>
  </si>
  <si>
    <t>FB22-22442303</t>
  </si>
  <si>
    <t>RETIRO EN EFECTIVO CON TARJETA Y CLAVE - Transferencia de BBVA Soles  a BCP Soles</t>
  </si>
  <si>
    <t>BBVAS</t>
  </si>
  <si>
    <t>MIGUEL ANGEL CRISTOBAL CALDERON</t>
  </si>
  <si>
    <t>BANCO DE LA NACION</t>
  </si>
  <si>
    <t/>
  </si>
  <si>
    <t>NOT.ABON</t>
  </si>
  <si>
    <t>ENT.EFEC</t>
  </si>
  <si>
    <t>NOT.CARG</t>
  </si>
  <si>
    <t>FGD1</t>
  </si>
  <si>
    <t>515</t>
  </si>
  <si>
    <t>186</t>
  </si>
  <si>
    <t>28</t>
  </si>
  <si>
    <t>24</t>
  </si>
  <si>
    <t>35</t>
  </si>
  <si>
    <t>30</t>
  </si>
  <si>
    <t>AREQUIPA SOLES</t>
  </si>
  <si>
    <t>ENTREGADO</t>
  </si>
  <si>
    <t>Compra de torta, gaseosas y vasos que se planea hacer en sede Lima por el cumpleaños del colaborador Ronald Guizado. (Devolucion  001-12029)</t>
  </si>
  <si>
    <t>Gregory Cruz</t>
  </si>
  <si>
    <t>Devolucion de gastos (OP. 001-11988 - 2024)</t>
  </si>
  <si>
    <t>Rosa Suyo</t>
  </si>
  <si>
    <t>Recojo de documentos, guías, fichas y manifiestos de Olva sede Parra - 30.12.2024</t>
  </si>
  <si>
    <t>F491-00000512</t>
  </si>
  <si>
    <t>Recojo de documentos (manifiestos, guias, fichas) de olva parra 06.01.2025</t>
  </si>
  <si>
    <t>F491-00000523</t>
  </si>
  <si>
    <t>Recojo de encomienda(manifiestos, guias,fichas) enviado el 06.01.2025</t>
  </si>
  <si>
    <t>F491-00000525</t>
  </si>
  <si>
    <t>Planilla de movilidad por traslado de personal para recojo de encomienda CC 001-00186</t>
  </si>
  <si>
    <t>PL 003-0087/2025</t>
  </si>
  <si>
    <t>Anthony Huamani</t>
  </si>
  <si>
    <t>Planilla de movilidad 23.12.2024</t>
  </si>
  <si>
    <t>PL 003-0376/2024</t>
  </si>
  <si>
    <t>Planilla de movilidad 24.12.2024</t>
  </si>
  <si>
    <t>PL 003-0377/2024</t>
  </si>
  <si>
    <t>Planilla de movilidad 26.12.2024</t>
  </si>
  <si>
    <t>PL 003-0378/2024</t>
  </si>
  <si>
    <t>Planilla de movilidad 27.12.2024</t>
  </si>
  <si>
    <t>PL 003-0379/2024</t>
  </si>
  <si>
    <t>Planilla de movilidad 30/12/2024</t>
  </si>
  <si>
    <t>PL 003-0380/2024</t>
  </si>
  <si>
    <t>Planilla de movilidad 02.01.2025</t>
  </si>
  <si>
    <t>PL 003-0381/2024</t>
  </si>
  <si>
    <t>Planilla de movilidad 03.01.2025</t>
  </si>
  <si>
    <t>PL 003-0382/2024</t>
  </si>
  <si>
    <t>Diego Mamani</t>
  </si>
  <si>
    <t>Planilla de movilidad por traslado para visita técnica en Plastisur</t>
  </si>
  <si>
    <t>PL 003-0001/2025</t>
  </si>
  <si>
    <t>Transferencia interna de fondos (Devolucion 001-11992 - 2024)</t>
  </si>
  <si>
    <t>Devolución por rendición de gastos por traslado para visita técnica a Plastisur</t>
  </si>
  <si>
    <t>Roy Ramos</t>
  </si>
  <si>
    <t>Planilla de movilidad por traslado de personal para entregar documentos a varias empresas</t>
  </si>
  <si>
    <t>PL 003-0384/2024</t>
  </si>
  <si>
    <t>Traslado del personal de lima por actividad navideña en Arequipa</t>
  </si>
  <si>
    <t>PL 003-0369/2024</t>
  </si>
  <si>
    <t>Entrega de manifiestos y firma - AMPCO y retorno al almacén Huaranguillo</t>
  </si>
  <si>
    <t>PL 003-0386/2024</t>
  </si>
  <si>
    <t>Daniela Camero</t>
  </si>
  <si>
    <t>Balanza - servicio que trajeron de La Joya a Aceros AQP</t>
  </si>
  <si>
    <t>FE02-15212</t>
  </si>
  <si>
    <t>FE02-15217</t>
  </si>
  <si>
    <t>FE02-15218</t>
  </si>
  <si>
    <t>FE02-15224</t>
  </si>
  <si>
    <t>Recojo de teléfono del área comercial por encargo de Gerencia</t>
  </si>
  <si>
    <t>F271-3630</t>
  </si>
  <si>
    <t>Juan Benji Tagle Lazarte</t>
  </si>
  <si>
    <t>Planilla de movilidad por retorno de venta hacia domicilio del trabajador</t>
  </si>
  <si>
    <t>PL 003-0002/2025</t>
  </si>
  <si>
    <t>Devolución por rendición de gastos (Devolución 001-12004)</t>
  </si>
  <si>
    <t>Fernando Márquez</t>
  </si>
  <si>
    <t>Devolución de rendición de gastos (OP. 001-12002 / 001-11990 / 001-11984 / 001-11961 / 001-11941 / 001-11940)</t>
  </si>
  <si>
    <t>Bocaditos para compartir por la charla de hombres</t>
  </si>
  <si>
    <t>0001-145</t>
  </si>
  <si>
    <t>Gleen Ponce</t>
  </si>
  <si>
    <t>Consumo por actividad del personal - carguío de chatarra</t>
  </si>
  <si>
    <t>F001-4922</t>
  </si>
  <si>
    <t>Llanta imponchable</t>
  </si>
  <si>
    <t>E001-73</t>
  </si>
  <si>
    <t>Caja de panetón TOTTUS por solicitud por parte del area de Gerencia para donacion a la comisaria de San José</t>
  </si>
  <si>
    <t>FA25-2291050</t>
  </si>
  <si>
    <t xml:space="preserve">Recojo de documentos Olva Courier </t>
  </si>
  <si>
    <t>CC 001-00187</t>
  </si>
  <si>
    <t xml:space="preserve">Ebert Prieto </t>
  </si>
  <si>
    <t>Planilla de movilidad por entrega de certificados y documentos</t>
  </si>
  <si>
    <t>PL 003-0004/2025</t>
  </si>
  <si>
    <t>Bocaditos para reunión de presupuesto</t>
  </si>
  <si>
    <t>001-000146</t>
  </si>
  <si>
    <t xml:space="preserve">Vanessa Amado </t>
  </si>
  <si>
    <t>Compra de fotochecks para personal, para ingreso a empresas</t>
  </si>
  <si>
    <t>F001-00003926</t>
  </si>
  <si>
    <t>Bocaditos para reunión de escala salarial</t>
  </si>
  <si>
    <t>001-147</t>
  </si>
  <si>
    <t>Compra de comida para perro</t>
  </si>
  <si>
    <t>FF63-00500727</t>
  </si>
  <si>
    <t xml:space="preserve">Compra de fotochecks para personal, para ingreso a empresas </t>
  </si>
  <si>
    <t>Bocaditos - Reunión resultados de evaluación psico laboral</t>
  </si>
  <si>
    <t>001-000148</t>
  </si>
  <si>
    <t>Embudo - Traspaso de aceite en empresa Campo Sol - RQ.LOG.223</t>
  </si>
  <si>
    <t>002-004150</t>
  </si>
  <si>
    <t>Transporte - Compra de zapatos de seguridad RQ.SSO.172</t>
  </si>
  <si>
    <t>F002-811092</t>
  </si>
  <si>
    <t>Planilla de movilidad 06.01.2025 / 15.01.2025</t>
  </si>
  <si>
    <t>PL 003-0005/2025</t>
  </si>
  <si>
    <t>Bocaditos - Cumpleaños Sr. Imer</t>
  </si>
  <si>
    <t>001-000149</t>
  </si>
  <si>
    <t>Planilla de movilidad 17.01.2025 - Transporte Almacen Gytres - Senati - Almacen Gytres</t>
  </si>
  <si>
    <t>PL 003-0006/2025</t>
  </si>
  <si>
    <t>F904-6165</t>
  </si>
  <si>
    <t>F201-4818</t>
  </si>
  <si>
    <t>FA60-28205</t>
  </si>
  <si>
    <t>Prestamo Interno</t>
  </si>
  <si>
    <t>Elaboracion de 45 tamales - Bocaditos - Cumpleaños Sr. Imer</t>
  </si>
  <si>
    <t>E001-10</t>
  </si>
  <si>
    <t>Planilla de movilidad 17.01.2025 - Av. Ejercito / Miraflores / Almacen Huaranguillo</t>
  </si>
  <si>
    <t>PL 003-0007/2025</t>
  </si>
  <si>
    <t>Compartir en Villa Esperanza - Actividad de Carguio de RRSS</t>
  </si>
  <si>
    <t>F001-5039</t>
  </si>
  <si>
    <t>Planilla de movilidad 20.01.2025 - Librería Ordoñez / Mariscal Castilla / Librería Ordoñez / Almacen Huaranguillo</t>
  </si>
  <si>
    <t>PL 003-0008/2025</t>
  </si>
  <si>
    <t>Planilla de movilidad 06.01.2025</t>
  </si>
  <si>
    <t>PL 003-0009/2025</t>
  </si>
  <si>
    <t>Planilla de movilidad 07.01.2025</t>
  </si>
  <si>
    <t>PL 003-0010/2025</t>
  </si>
  <si>
    <t>Planilla de movilidad 09.01.2025</t>
  </si>
  <si>
    <t>PL 003-0011/2025</t>
  </si>
  <si>
    <t>Planilla de movilidad 13.01.2025</t>
  </si>
  <si>
    <t>PL 003-0012/2025</t>
  </si>
  <si>
    <t>Planilla de movilidad 14.01.2025</t>
  </si>
  <si>
    <t>PL 003-0013/2025</t>
  </si>
  <si>
    <t>Planilla de movilidad 15.01.2025</t>
  </si>
  <si>
    <t>PL 003-0014/2025</t>
  </si>
  <si>
    <t>Recojo de documentos (manifiestos, guias, fichas) de olva</t>
  </si>
  <si>
    <t>F491-556</t>
  </si>
  <si>
    <t>RQ.STI.067 / RQ.STI.068 / Transporte</t>
  </si>
  <si>
    <t>PL 003-0017/2025
001-771
001-772</t>
  </si>
  <si>
    <t>Planilla de movilidad 21.01.2025 - Almacen Huaranguillo / Hospital Goyeneche (Atencion medica Benjy Tagle)</t>
  </si>
  <si>
    <t>PL 003-0015/2025</t>
  </si>
  <si>
    <t>Papitas / Inka 3L / Otros - Bocaditos para reunion grupal por evaluaciones psicolaborales</t>
  </si>
  <si>
    <t>001-1586</t>
  </si>
  <si>
    <t>Jugo 3l / Galleta / Piqueo - Compartir Villa Esperanza por ingreso nuevo personal o entrega de mochilas</t>
  </si>
  <si>
    <t>001-398</t>
  </si>
  <si>
    <t>Planilla de movilidad 27.01.2025</t>
  </si>
  <si>
    <t>PL 003-0016/2025</t>
  </si>
  <si>
    <t>Materiales - Colocar Banner de Campo Limpio</t>
  </si>
  <si>
    <t>001-4080</t>
  </si>
  <si>
    <t>Materiales - Instalacion de Banner - Capacitacion de Campo Limpio</t>
  </si>
  <si>
    <t>001-4079</t>
  </si>
  <si>
    <t>Capacitacion de Supervisores - Desayuno 23.01.2025</t>
  </si>
  <si>
    <t>001-150</t>
  </si>
  <si>
    <t>Nelson Quispe</t>
  </si>
  <si>
    <t>Recogedor</t>
  </si>
  <si>
    <t>E001-5202</t>
  </si>
  <si>
    <t>Peaje - Entrega de montacargas en Villa Esperanza</t>
  </si>
  <si>
    <t>F214-1935921</t>
  </si>
  <si>
    <t>F211-2205859</t>
  </si>
  <si>
    <t>Lavado de camioneta VBW889 23.01.2025</t>
  </si>
  <si>
    <t>E001-583</t>
  </si>
  <si>
    <t>Lavado de camioneta VBW889 17.01.2025</t>
  </si>
  <si>
    <t>E001-715</t>
  </si>
  <si>
    <t>Devolucion - RQ.STI.067 / RQ.STI.068 / Transporte (Devolucion OP. 001-12063)</t>
  </si>
  <si>
    <t>Planilla de movilidad 16.01.2025</t>
  </si>
  <si>
    <t>PL 003-0018/2025</t>
  </si>
  <si>
    <t>Planilla de movilidad 17.01.2025</t>
  </si>
  <si>
    <t>PL 003-0019/2025</t>
  </si>
  <si>
    <t>Planilla de movilidad 21.01.2025</t>
  </si>
  <si>
    <t>PL 003-0020/2025</t>
  </si>
  <si>
    <t>Planilla de movilidad 23.01.2025</t>
  </si>
  <si>
    <t>PL 003-0021/2025</t>
  </si>
  <si>
    <t>Planilla de movilidad 24.01.2025</t>
  </si>
  <si>
    <t>PL 003-0022/2025</t>
  </si>
  <si>
    <t>Planilla de movilidad 29.01.2025</t>
  </si>
  <si>
    <t>PL 003-0023/2025</t>
  </si>
  <si>
    <t>Planilla de movilidad 30.01.2025</t>
  </si>
  <si>
    <t>PL 003-0024/2025</t>
  </si>
  <si>
    <t>PL 003-0025/2025</t>
  </si>
  <si>
    <t>Movilidad - Entrega de Documentos Cargo Transport</t>
  </si>
  <si>
    <t>PL 003-0086/2025</t>
  </si>
  <si>
    <t>F001-5167</t>
  </si>
  <si>
    <t>Recojo de documentos, guías, fichas y manifiestos de Olva sede Parra CC-001-0092</t>
  </si>
  <si>
    <t>PL 003-0088/2025</t>
  </si>
  <si>
    <t>RQ.OPE.765 - Elaboracion de estructuras de reforzamiento para la barra de las puertas de la carroceria</t>
  </si>
  <si>
    <t>FE02-37788</t>
  </si>
  <si>
    <t>Alimentacio - Carguio de residuos peligrosos y supervision de manejo de montacargas - Villa Esperanza</t>
  </si>
  <si>
    <t>001-995</t>
  </si>
  <si>
    <t>Capacitacion NextSoft - Implementacion</t>
  </si>
  <si>
    <t>001-151</t>
  </si>
  <si>
    <t>Driza 3/8" - Enfardar sacas</t>
  </si>
  <si>
    <t>E001-1856</t>
  </si>
  <si>
    <t>Planilla de movilidad 06.02.2025</t>
  </si>
  <si>
    <t>PL 003-0026/2025</t>
  </si>
  <si>
    <t>Peajes Uchumayo - Atencion medica para personal de Villa esperanza (Angel Flores)</t>
  </si>
  <si>
    <t>F213-1666667 / F212-1647660</t>
  </si>
  <si>
    <t>PL 003-0027/2025</t>
  </si>
  <si>
    <t>Planilla de movilidad 28.01.2025</t>
  </si>
  <si>
    <t>PL 003-0028/2025</t>
  </si>
  <si>
    <t>PL 003-0029/2025</t>
  </si>
  <si>
    <t>Planilla de movilidad 31.01.2025</t>
  </si>
  <si>
    <t>PL 003-0030/2025</t>
  </si>
  <si>
    <t>Planilla de movilidad 04.02.2025</t>
  </si>
  <si>
    <t>PL 003-0031/2025</t>
  </si>
  <si>
    <t>PL 003-0032/2025</t>
  </si>
  <si>
    <t>Judith Serrano</t>
  </si>
  <si>
    <t>Devolucion de Prestamo Interno</t>
  </si>
  <si>
    <t>RQ.OPE.921 - Servicio de alineamiento y balanceo</t>
  </si>
  <si>
    <t>Lavado a solicitud de Gerencia</t>
  </si>
  <si>
    <t>E001-612</t>
  </si>
  <si>
    <t>PL 003-0033/2025</t>
  </si>
  <si>
    <t>Planilla de movilidad 03.02.2025</t>
  </si>
  <si>
    <t>PL 003-0034/2025</t>
  </si>
  <si>
    <t>Parqueo San Camilo y Mariscal Castilla CC-001-0094</t>
  </si>
  <si>
    <t>PL 003-0035/2025</t>
  </si>
  <si>
    <t>Reparacion de mueble de melamine - RQ.LOG.238 - CC-001-0095</t>
  </si>
  <si>
    <t>RXH E001-15 / F001-465 / PL 003-0039/2025</t>
  </si>
  <si>
    <t>Polos y Buzos (Servicio de Alsur Cusco)</t>
  </si>
  <si>
    <t>002-520</t>
  </si>
  <si>
    <t>Tramite Notaria Linares / Transporte - CC-001-0096</t>
  </si>
  <si>
    <t>PL 003-0043/2025</t>
  </si>
  <si>
    <t>Valeria Jibaja</t>
  </si>
  <si>
    <t>Compra de Driza Polipropileno Trenza Blanca 3/8" - CC-001-0097</t>
  </si>
  <si>
    <t>E001-7063</t>
  </si>
  <si>
    <t>Fotochecks en Pvc Completos</t>
  </si>
  <si>
    <t>F001-3983</t>
  </si>
  <si>
    <t>Geraldyn Ramos</t>
  </si>
  <si>
    <t>Transporte - Compra de zapatos de seguridad RQ.SSO.198</t>
  </si>
  <si>
    <t>F002-822211</t>
  </si>
  <si>
    <t>RQ.OPE.932 - Servicio tecnico cambio de Bateria 6x4 volt</t>
  </si>
  <si>
    <t>E001-601</t>
  </si>
  <si>
    <t>RQ.LOG.243 - Envio de Epps - Lima</t>
  </si>
  <si>
    <t>F207-269607</t>
  </si>
  <si>
    <t>Transporte - Deposito de dinero a proveedores CC-001-0097</t>
  </si>
  <si>
    <t>PL 003-0036/2025</t>
  </si>
  <si>
    <t>RQ.OPE.886 - Escoba y Recogedor</t>
  </si>
  <si>
    <t>E001-5290</t>
  </si>
  <si>
    <t>Visita tecnica a SENATI (Puno y Juliaca)</t>
  </si>
  <si>
    <t>F313-364131 / F311-1703170 / F411-1054996 / F412-1018268</t>
  </si>
  <si>
    <t>Encomienda / Recojo de documentos / Movilidad ovalo mariscal castilla / Retorno Almacen - CC-001-0098</t>
  </si>
  <si>
    <t>PL 003-0085/2025 / F352-76174</t>
  </si>
  <si>
    <t>Transporte para pago de cuota "Mi Banco"</t>
  </si>
  <si>
    <t>PL 003-0037/2025</t>
  </si>
  <si>
    <t>Refaccion y instalacion de parachoque posterior - BKK849</t>
  </si>
  <si>
    <t>F001-70</t>
  </si>
  <si>
    <t>Servicio de disposicion de residuos - Innova La Joya (Ida y Vuelta)</t>
  </si>
  <si>
    <t>F211-2235615 / F213-1677846</t>
  </si>
  <si>
    <t>Servicio Danper 13.02.2025</t>
  </si>
  <si>
    <t>F211-2231306 / F214-1959472</t>
  </si>
  <si>
    <t>Servicio Molycop 12.02.2025</t>
  </si>
  <si>
    <t>F214-1958263</t>
  </si>
  <si>
    <t>Limpieza de cabezal - Impresora Epson L5190 (GH) - RQ.STI.071 - CC-001-0099</t>
  </si>
  <si>
    <t>BV 001-8206 / PL 003-0038/2025</t>
  </si>
  <si>
    <t>Regularizacion de documentos - UCSM - Alimentos procesados S.A.</t>
  </si>
  <si>
    <t>PL 003-0039/2025</t>
  </si>
  <si>
    <t>RQ.SSO.210 - Cebo mantequilla de mani - Cebo de atun CC-001-0100</t>
  </si>
  <si>
    <t>FA66-18285 / PL 003-0040/2025</t>
  </si>
  <si>
    <t>RQ.SSO.203 - Toallas de aseo, sandalias de ducha - CC-001-0101</t>
  </si>
  <si>
    <t>0001-936 / 0001-20188</t>
  </si>
  <si>
    <t>Planilla de movilidad 27.02.2025</t>
  </si>
  <si>
    <t>PL 003-0041/2025</t>
  </si>
  <si>
    <t>Olva Courier - Envio de documentos Alquimodul y Dominion</t>
  </si>
  <si>
    <t>F553-00004359</t>
  </si>
  <si>
    <t>Recojo de documentos, guías, fichas y manifiestos de Olva sede Parra a Santa Anita CC-001-0102</t>
  </si>
  <si>
    <t>F549-13275</t>
  </si>
  <si>
    <t>Planilla de movilidad 28.02.2025</t>
  </si>
  <si>
    <t>PL 003-0042/2025</t>
  </si>
  <si>
    <t>Cartulina Hilo - Certificados Administracion</t>
  </si>
  <si>
    <t>F003-92648</t>
  </si>
  <si>
    <t>Planilla de movilidad 17.02.2025</t>
  </si>
  <si>
    <t>PL 003-0044/2025</t>
  </si>
  <si>
    <t>Planilla de movilidad 21.02.2025 / CC-001-0103</t>
  </si>
  <si>
    <t>PL 003-0045/2025</t>
  </si>
  <si>
    <t>RQ.LOG.242 - Comida para can de Villa Esperanza</t>
  </si>
  <si>
    <t>DEV</t>
  </si>
  <si>
    <t>CC-001-0104</t>
  </si>
  <si>
    <t>RQ.LOG.262 - Transporte materiales para enchapado de 4to piso CC-001-00105</t>
  </si>
  <si>
    <t>PL 003-0067/2025</t>
  </si>
  <si>
    <t>Facturas Varias</t>
  </si>
  <si>
    <t>FE01-33866 / F211-2235945 / F001-33899 / E001-1205 / BV 001-1430 / F002-2526 / F40P-18617 / F002-20799</t>
  </si>
  <si>
    <t>Transporte para atencion de SCTR - Daniel Alcca - CC-001-0106</t>
  </si>
  <si>
    <t>PL 003-0048/2025</t>
  </si>
  <si>
    <t>Compra de pegamento - Terocal - Indicacion por Sr. Imer - CC-001-0107</t>
  </si>
  <si>
    <t>BV 001-4111</t>
  </si>
  <si>
    <t>Documentos pendientes 2024 - Fernando M.</t>
  </si>
  <si>
    <t>BV 001-3970 / F003-922 / F002-3599</t>
  </si>
  <si>
    <t>Planilla de movilidad 05.03.2025</t>
  </si>
  <si>
    <t>PL 003-0046/2025</t>
  </si>
  <si>
    <t>Peaje para Villa esperanza - Verificar material metalico (barras)</t>
  </si>
  <si>
    <t>F213-1679998 / F212-16611111</t>
  </si>
  <si>
    <t>Almuerzo para personal que realizo cargio de residuos no peligrosos y no aprovechables 7 ton - RCD - 40ton - FS 001-4157 / 001-4158 / 001-4163</t>
  </si>
  <si>
    <t>F004-1075</t>
  </si>
  <si>
    <t>Visita tecnica a Pesquera Diamante</t>
  </si>
  <si>
    <t>F113-371120 / F112-455328</t>
  </si>
  <si>
    <t>PL 003-0047/2025</t>
  </si>
  <si>
    <t>Facturas Varias - Natalia R.</t>
  </si>
  <si>
    <t>F001-5189 / F001-5190 / F129-30159 / F129-30160 / 001-22682</t>
  </si>
  <si>
    <t>Torta para cumpleaños de sede Lima - RQ.GH.138</t>
  </si>
  <si>
    <t>FW01-726</t>
  </si>
  <si>
    <t>Planilla de movilidad 14.02.2025</t>
  </si>
  <si>
    <t>PL 003-0049/2025</t>
  </si>
  <si>
    <t>Compra para limpieza de baño del 4to piso - Visita de Consultor Externo 04.03.2025</t>
  </si>
  <si>
    <t>001-4109</t>
  </si>
  <si>
    <t>Comparir con personal de Villa Esperanza</t>
  </si>
  <si>
    <t>F001-5427</t>
  </si>
  <si>
    <t>Envio de estoka</t>
  </si>
  <si>
    <t>F207-271851</t>
  </si>
  <si>
    <t>RQ.LOG.249 - Enchufe</t>
  </si>
  <si>
    <t>E001-255</t>
  </si>
  <si>
    <t>RQ.LOG.259 - Galones de thinner / Disco</t>
  </si>
  <si>
    <t>001-4110</t>
  </si>
  <si>
    <t>RQ.LOG.259 - Clavo de madera / Pegamento Africano</t>
  </si>
  <si>
    <t>F001-2020</t>
  </si>
  <si>
    <t>Servicio de estacionamiento</t>
  </si>
  <si>
    <t>F004-3353</t>
  </si>
  <si>
    <t>RQ.LOG.242 - Ricocan (Comida de perro)</t>
  </si>
  <si>
    <t>FF41-500344</t>
  </si>
  <si>
    <t>RQ.LOG.260 - Servicio de lavado de ropa de trabajo</t>
  </si>
  <si>
    <t>EB01-7</t>
  </si>
  <si>
    <t>RQ.LOG.266 - 2 Aguas 8L</t>
  </si>
  <si>
    <t>001-6401</t>
  </si>
  <si>
    <t>Lavado completo del vehiculo VBW-889</t>
  </si>
  <si>
    <t>E001-776</t>
  </si>
  <si>
    <t>Planilla de movilidad 06.03.2025</t>
  </si>
  <si>
    <t>PL 003-0050/2025</t>
  </si>
  <si>
    <t>Planilla de movilidad 07.02.2025</t>
  </si>
  <si>
    <t>PL 003-0051/2025</t>
  </si>
  <si>
    <t>Planilla de movilidad 10.02.2025</t>
  </si>
  <si>
    <t>PL 003-0052/2025</t>
  </si>
  <si>
    <t>Planilla de movilidad 11.02.2025</t>
  </si>
  <si>
    <t>PL 003-0053/2025</t>
  </si>
  <si>
    <t>Planilla de movilidad 12.02.2025</t>
  </si>
  <si>
    <t>PL 003-0054/2025</t>
  </si>
  <si>
    <t>Planilla de movilidad 13.02.2025</t>
  </si>
  <si>
    <t>PL 003-0055/2025</t>
  </si>
  <si>
    <t>PL 003-0056/2025</t>
  </si>
  <si>
    <t>PL 003-0057/2025</t>
  </si>
  <si>
    <t>Planilla de movilidad 18.02.2025</t>
  </si>
  <si>
    <t>PL 003-0058/2025</t>
  </si>
  <si>
    <t>Planilla de movilidad 19.02.2025</t>
  </si>
  <si>
    <t>PL 003-0059/2025</t>
  </si>
  <si>
    <t>Planilla de movilidad 20.02.2025</t>
  </si>
  <si>
    <t>PL 003-0060/2025</t>
  </si>
  <si>
    <t>Planilla de movilidad 24.02.2025</t>
  </si>
  <si>
    <t>PL 003-0061/2025</t>
  </si>
  <si>
    <t>Planilla de movilidad 25.02.2025</t>
  </si>
  <si>
    <t>PL 003-0062/2025</t>
  </si>
  <si>
    <t>Planilla de movilidad 26.02.2025</t>
  </si>
  <si>
    <t>PL 003-0063/2025</t>
  </si>
  <si>
    <t>RQ.OPE.985 - Mantenimiento Preventivo y cambio de aceite de dos motobombas</t>
  </si>
  <si>
    <t>E001-344</t>
  </si>
  <si>
    <t>Transporte de Plaza Vea (Av. Marina) hasta Sachaca</t>
  </si>
  <si>
    <t>PL 003-0064/2025</t>
  </si>
  <si>
    <t>Para envio de sobre a Tacna - Megapesca</t>
  </si>
  <si>
    <t>F508-29171</t>
  </si>
  <si>
    <t>Bocaditos para despedida de consultor Cesar L.</t>
  </si>
  <si>
    <t>FA25-2801286 / E001-3</t>
  </si>
  <si>
    <t>EB01-65</t>
  </si>
  <si>
    <t>RQ.LOG.252 - Mini Drill 130W</t>
  </si>
  <si>
    <t>FF03-1438</t>
  </si>
  <si>
    <t>RQ.LOG.259 - Cola Teknocola Ultra / Laca Blanca / Lijar Granate</t>
  </si>
  <si>
    <t>F003-43392</t>
  </si>
  <si>
    <t>Transporte para atencion de Gisel Pari - Emergencia Essalud</t>
  </si>
  <si>
    <t>PL 003-0065/2025</t>
  </si>
  <si>
    <t>Juber Monteza</t>
  </si>
  <si>
    <t>Caja para cosas personal - Retorno Lima / Arequipa</t>
  </si>
  <si>
    <t>FX61-122</t>
  </si>
  <si>
    <t>RQ.STI.075 - Servicio tecnico de mantenimiento y movilidad</t>
  </si>
  <si>
    <t>CC-001-0108</t>
  </si>
  <si>
    <t>Lavado de Vehiculo VBW889</t>
  </si>
  <si>
    <t>E001-784</t>
  </si>
  <si>
    <t>Planilla de movilidad 13.03.2025</t>
  </si>
  <si>
    <t>PL 003-0066/2025</t>
  </si>
  <si>
    <t>PL 003-0069/2025</t>
  </si>
  <si>
    <t>Inspeccion Tecnica VBW889 - RQ.OPE.992</t>
  </si>
  <si>
    <t>F001-34269</t>
  </si>
  <si>
    <t>Transporte para compra de insumos de limpieza</t>
  </si>
  <si>
    <t>PL 003-0068/2025</t>
  </si>
  <si>
    <t>Balanza - Venta de plastico - Transporte tercerizado - Cosise</t>
  </si>
  <si>
    <t>F002-129083 / F002-129082</t>
  </si>
  <si>
    <t>Balanza - Venta de Chatarra</t>
  </si>
  <si>
    <t>FE02-15545</t>
  </si>
  <si>
    <t>Estacionamiento VBW889 - RQ.LOG.261</t>
  </si>
  <si>
    <t>F004-3406</t>
  </si>
  <si>
    <t>Balanza - Venta de alambron - Transportes y  Servicios Areos</t>
  </si>
  <si>
    <t>FE02-15785</t>
  </si>
  <si>
    <t>FE02-15784</t>
  </si>
  <si>
    <t>FE02-15783</t>
  </si>
  <si>
    <t>Devolucion - RQ.STI.075 - Servicio tecnico de mantenimiento y movilidad</t>
  </si>
  <si>
    <t>Devolucion - RQ.LOG.242 - Comida para can de Villa Esperanza</t>
  </si>
  <si>
    <t>Carguio de alambron y viruta metalica en unidad tercera de 30Ton - Bebidas y pastel</t>
  </si>
  <si>
    <t>F001-5438</t>
  </si>
  <si>
    <t>Spray para etiquetados de sacas - RQ.OPE.1005</t>
  </si>
  <si>
    <t>001-4129 / 001-4128</t>
  </si>
  <si>
    <t>Recojo de polos, pantalones (Shalom) - Movilidad - CC-001-0109</t>
  </si>
  <si>
    <t>F207-273520 / PL 003-0079/2025</t>
  </si>
  <si>
    <t>PL 003-0070/2025</t>
  </si>
  <si>
    <t>Planilla de movilidad 03.03.2025</t>
  </si>
  <si>
    <t>PL 003-0071/2025</t>
  </si>
  <si>
    <t>Planilla de movilidad 04.03.2025</t>
  </si>
  <si>
    <t>PL 003-0072/2025</t>
  </si>
  <si>
    <t>PL 003-0073/2025</t>
  </si>
  <si>
    <t>PL 003-0074/2025</t>
  </si>
  <si>
    <t>Planilla de movilidad 07.03.2025</t>
  </si>
  <si>
    <t>PL 003-0075/2025</t>
  </si>
  <si>
    <t>Visita Tecnica y Supervision - Pesquera Diamante</t>
  </si>
  <si>
    <t>F112-458531 / F114-1020197</t>
  </si>
  <si>
    <t>Transporte de Almacen Huaranguillo - BCP - Almacen Huaranguillo - Pago de cuota Compartamos F.</t>
  </si>
  <si>
    <t>PL 003-0076/2025</t>
  </si>
  <si>
    <t>Planilla de movilidad 20.03.2025</t>
  </si>
  <si>
    <t>PL 003-0077/2025</t>
  </si>
  <si>
    <t>Planilla de movilidad 18.03.2025</t>
  </si>
  <si>
    <t>PL 003-0078/2026</t>
  </si>
  <si>
    <t xml:space="preserve">Alojamiento mecánico Lima, reparación y mnto. De montacarga </t>
  </si>
  <si>
    <t>BV 002-2900</t>
  </si>
  <si>
    <t>Combustible para montacargas (mantenimiento)</t>
  </si>
  <si>
    <t>FA05-80543</t>
  </si>
  <si>
    <t>RQ.COM.284 - Pistola para pintar sacas (01)</t>
  </si>
  <si>
    <t>F001-00023401</t>
  </si>
  <si>
    <t xml:space="preserve">Balanza -Carguio de residuos peligrosos - Transporte tercerizado </t>
  </si>
  <si>
    <t>F002-129539</t>
  </si>
  <si>
    <t xml:space="preserve">Compra de galletas para capacitación de Nextsoft </t>
  </si>
  <si>
    <t>BV 001-155</t>
  </si>
  <si>
    <t>RQ.STI.079 Tinta Negra, cian, magenta y amarillo Impresora Epson L6171 (Lima) CC-001-0110</t>
  </si>
  <si>
    <t>E001-286</t>
  </si>
  <si>
    <t>Mantenimiento preventivo de Montacarga (Compra filtro de aire)</t>
  </si>
  <si>
    <t>E001-3041</t>
  </si>
  <si>
    <t>RQ.COM.244 - Materiales contenedor metálico para nuestro cliente FLSmidth.</t>
  </si>
  <si>
    <t>E001-260 / F006-35732 / FE01-5927</t>
  </si>
  <si>
    <t>RQ.OPE.1005 - Pintura spray negro / Verde / Rojo</t>
  </si>
  <si>
    <t>FDX1-145</t>
  </si>
  <si>
    <t>F002-128391 / F002-128387 / F002-128457 /F002-128455 / F002-128451 / F002-128448 / F002-128393 / E001-681 / E001-3038 / E001-885 / F003-39399 / 001-1097 / F213-1679488 / F211-2238018</t>
  </si>
  <si>
    <t>Alison Rodriguez</t>
  </si>
  <si>
    <t>Planilla de movilidad 24.03.2025 CC-001-0111</t>
  </si>
  <si>
    <t>PL 003-0080/2025</t>
  </si>
  <si>
    <t>Planilla de movilidad 25.03.2025</t>
  </si>
  <si>
    <t>PL 003-0081/2025</t>
  </si>
  <si>
    <t>Encomienda de polos / Taxi CC-001-0112</t>
  </si>
  <si>
    <t>F399-176 / PL 003-0085/2026</t>
  </si>
  <si>
    <t>Planilla de movilidad 26.03.2025</t>
  </si>
  <si>
    <t>PL 003-0082/2026</t>
  </si>
  <si>
    <t>Planilla de movilidad 28.03.2025</t>
  </si>
  <si>
    <t>PL 003-0083/2026</t>
  </si>
  <si>
    <t>PL 003-0084/2026</t>
  </si>
  <si>
    <t>RQ.LOG.276 - Compra de plancha metalica (Logistica)</t>
  </si>
  <si>
    <t>F013-93084</t>
  </si>
  <si>
    <t>Movilidad - Almacen Gytres a Plastisur ida y retorno - CC-001-0113</t>
  </si>
  <si>
    <t>PL 003-0101/2025</t>
  </si>
  <si>
    <t>Movilidad - Almacen Gytres a Ovalo de Volvo ida y retorno CC-001-0114</t>
  </si>
  <si>
    <t>PL 003-0089/2025</t>
  </si>
  <si>
    <t>RQ.STI.080 - Entrega de laptop al tecnico - Recojo de laptop</t>
  </si>
  <si>
    <t>CC-001-0115</t>
  </si>
  <si>
    <t>Servicio Granja Rinconada del Sur - Planilla de Movilidad 18.03.2025</t>
  </si>
  <si>
    <t>F211-2277055 / PL 003-00129/2025</t>
  </si>
  <si>
    <t>Servicio Alquimodul - Taller san lucas</t>
  </si>
  <si>
    <t>FE01-34204 / FE01-34199</t>
  </si>
  <si>
    <t>Envio de encomienda por Olva C. (Manifiestos y guias para FICEMIN)</t>
  </si>
  <si>
    <t>F549-13416</t>
  </si>
  <si>
    <t>Planilla de movilidad 10.03.2025</t>
  </si>
  <si>
    <t>PL 003-0090/2025</t>
  </si>
  <si>
    <t>Planilla de movilidad 11.03.2025</t>
  </si>
  <si>
    <t>PL 003-0091/2025</t>
  </si>
  <si>
    <t>Planilla de movilidad 12.03.2025</t>
  </si>
  <si>
    <t>PL 003-0092/2025</t>
  </si>
  <si>
    <t>PL 003-0093/2025</t>
  </si>
  <si>
    <t>Planilla de movilidad 14.03.2025</t>
  </si>
  <si>
    <t>PL 003-0094/2025</t>
  </si>
  <si>
    <t>Planilla de movilidad 17.03.2025</t>
  </si>
  <si>
    <t>PL 003-0095/2025</t>
  </si>
  <si>
    <t>Planilla de movilidad 19.03.2025</t>
  </si>
  <si>
    <t>PL 003-0096/2025</t>
  </si>
  <si>
    <t>PL 003-0097/2025</t>
  </si>
  <si>
    <t>Planilla de movilidad 21.03.2025</t>
  </si>
  <si>
    <t>PL 003-0098/2025</t>
  </si>
  <si>
    <t>Karina Ramirez</t>
  </si>
  <si>
    <t>Dulces para capacitacion SIG - RQ.SIG.025 - CC-001-0116</t>
  </si>
  <si>
    <t>F001-134</t>
  </si>
  <si>
    <t>Almacen Huaranguillo - BCP (Ovalo Quiñones)</t>
  </si>
  <si>
    <t>PL 003-0099/2025</t>
  </si>
  <si>
    <t>Almacen Huaranguillo - Sabandia (Livigui)</t>
  </si>
  <si>
    <t>PL 003-0100/2025</t>
  </si>
  <si>
    <t>Balanzas por venta de chatarra NS: 001- N° 004296</t>
  </si>
  <si>
    <t>FE02-16000 / FE02-15999 / FE02-15998 / FE02-16003</t>
  </si>
  <si>
    <t>Recojo de documentos - Olva Parra</t>
  </si>
  <si>
    <t>CC-001-0116</t>
  </si>
  <si>
    <t>Disco de madera 4.5</t>
  </si>
  <si>
    <t>F001-828</t>
  </si>
  <si>
    <t>Plastico Stretch Film</t>
  </si>
  <si>
    <t>F004-112335</t>
  </si>
  <si>
    <t>Compra de muestras - RQ.OPE.1025</t>
  </si>
  <si>
    <t>F013-34128</t>
  </si>
  <si>
    <t>FF01-00012326</t>
  </si>
  <si>
    <t>PL 003-0102/2025</t>
  </si>
  <si>
    <t>Planilla de movilidad 02.04.2025</t>
  </si>
  <si>
    <t>PL 003-0103/2025</t>
  </si>
  <si>
    <t>Envio de documentos a Almacen Santa Anita (Lima)</t>
  </si>
  <si>
    <t>F500-34550</t>
  </si>
  <si>
    <t>Movilidad Gytres a Muñoz Najar - RQ.STI.070 - CC-001-0118</t>
  </si>
  <si>
    <t>PL 003-0105/2025</t>
  </si>
  <si>
    <t>Planilla de movilidad 07.04.2025</t>
  </si>
  <si>
    <t>PL 003-0104/2025</t>
  </si>
  <si>
    <t>Planilla de movilidad 03.04.2025 / 04.04.2025</t>
  </si>
  <si>
    <t>PL 003-0106/2025</t>
  </si>
  <si>
    <t>Balanza - Recoleccion y transporte de Residuos no peligrosos con restos metalicos - FS: 001-4338</t>
  </si>
  <si>
    <t>F002-130201 / F002-130202</t>
  </si>
  <si>
    <t>RQ.COM.292 - RQ.SSO.224 - RQ.COM.264 - CC-001-0119</t>
  </si>
  <si>
    <t>F001-4125
F001-4124</t>
  </si>
  <si>
    <t>Reposicion de Peso - Cliente Celicom FS 001-4329 04.04.2025 - Recoleccion de residuos no peligrosos (Restos Metalicos)</t>
  </si>
  <si>
    <t>F002-130354</t>
  </si>
  <si>
    <t>Planilla de movilidad 24.03.2025</t>
  </si>
  <si>
    <t>PL 003-0107/2025</t>
  </si>
  <si>
    <t>PL 003-0108/2025</t>
  </si>
  <si>
    <t>Planilla de movilidad 27.03.2025</t>
  </si>
  <si>
    <t>PL 003-0109/2025</t>
  </si>
  <si>
    <t>PL 003-0110/2025</t>
  </si>
  <si>
    <t>Planilla de movilidad 31.03.2025</t>
  </si>
  <si>
    <t>PL 003-0111/2025</t>
  </si>
  <si>
    <t>Filtro de aceite y refrigerante verde - Planilla de movilidad 28.03.2025</t>
  </si>
  <si>
    <t>E001-3056 / PL 003-0131/2025</t>
  </si>
  <si>
    <t>Pines para identificacion del CIFHS - CC-001-0120</t>
  </si>
  <si>
    <t>F001-5819 / F001-4126</t>
  </si>
  <si>
    <t>Carguio de chatarra todo el dia, coordinado con el area comercial</t>
  </si>
  <si>
    <t>F001-5715</t>
  </si>
  <si>
    <t>Planilla de movilidad 10.04.2025</t>
  </si>
  <si>
    <t>PL 003-0112/2025</t>
  </si>
  <si>
    <t>Planilla de movilidad 04.04.2025</t>
  </si>
  <si>
    <t>PL 003-0113/2025</t>
  </si>
  <si>
    <t>Almuerzo en supervision de servicio a Pesquera Diamante</t>
  </si>
  <si>
    <t>E001-2420</t>
  </si>
  <si>
    <t>Peaje a almacen Villa Esperanza -CC-001-0121</t>
  </si>
  <si>
    <t>F212-1702341</t>
  </si>
  <si>
    <t>Compra de dos tortas para compartir en Lima - RQ.GH.164</t>
  </si>
  <si>
    <t>FW01-824</t>
  </si>
  <si>
    <t>Envio de documentos - Almacen Santa Anita / Alquimodul  / Pesquera Diamante</t>
  </si>
  <si>
    <t>F553-4655</t>
  </si>
  <si>
    <t>Vuelto - Cancelacion de ultima cuota (21) - Financiera Confianza S.A.A.</t>
  </si>
  <si>
    <t>Balanzas recoleccion y transporte de residuos no peligrosos con restos metalicos FS: 001-4329</t>
  </si>
  <si>
    <t>F002-130149 / F002-130148</t>
  </si>
  <si>
    <t>Planilla de movilidad 11.04.2025</t>
  </si>
  <si>
    <t>PL 003-0114/2025</t>
  </si>
  <si>
    <t>Planilla de movilidad 01.04.2025</t>
  </si>
  <si>
    <t>PL 003-0115/2025</t>
  </si>
  <si>
    <t>Planilla de movilidad 03.04.2025</t>
  </si>
  <si>
    <t>PL 003-0116/2025</t>
  </si>
  <si>
    <t>PL 003-0117/2025</t>
  </si>
  <si>
    <t>PL 003-0118/2025</t>
  </si>
  <si>
    <t>Planilla de movilidad 08.04.2025</t>
  </si>
  <si>
    <t>PL 003-0119/2025</t>
  </si>
  <si>
    <t>Planilla de movilidad 09.04.2025</t>
  </si>
  <si>
    <t>PL 003-0120/2025</t>
  </si>
  <si>
    <t>PL 003-0121/2025</t>
  </si>
  <si>
    <t>PL 003-0122/2025</t>
  </si>
  <si>
    <t>Balanza - Venta de chatarra metalica a Sider Peru 11-04-2025</t>
  </si>
  <si>
    <t>F002-130520</t>
  </si>
  <si>
    <t>Planilla de movilidad - Transporte de personal para apertura de peso - Venta SIDER</t>
  </si>
  <si>
    <t>PL 003-0123/2025</t>
  </si>
  <si>
    <t>Planilla de movilidad - Transporte de personal para visita tecnica a Lider Constructora</t>
  </si>
  <si>
    <t>PL 003-0124/2025</t>
  </si>
  <si>
    <t>RQ.GER.057 - RQ.STI.081</t>
  </si>
  <si>
    <t>RXH E001-1279 / RXH E001-1280</t>
  </si>
  <si>
    <t>Planilla de movilidad 15.04.2025</t>
  </si>
  <si>
    <t>PL 003-0125/2025</t>
  </si>
  <si>
    <t xml:space="preserve">Compra de paq. Bolsas plásticas (02), para envío de muestras de barrido hacia Lima </t>
  </si>
  <si>
    <t>BV 001-000156</t>
  </si>
  <si>
    <t>PL 003-0126/2025</t>
  </si>
  <si>
    <t xml:space="preserve">Compra Te filtrantes para asesor </t>
  </si>
  <si>
    <t>CC-001-0122</t>
  </si>
  <si>
    <t>PL 003-0127/2025</t>
  </si>
  <si>
    <t>Compartir organizado por Gerencia para presentacion de consultor Oscar</t>
  </si>
  <si>
    <t>FA01-30325 / FA57-15742 / PL 003-0128/2025</t>
  </si>
  <si>
    <t>Almuerzo de confraternidad - Administracion</t>
  </si>
  <si>
    <t>F001-8371</t>
  </si>
  <si>
    <t>Plancha Galva - RQ.COM.292 (Adicional 1 contenedor)</t>
  </si>
  <si>
    <t>F016-118530</t>
  </si>
  <si>
    <t xml:space="preserve"> RQ.LOG.286 - CC-001-0123</t>
  </si>
  <si>
    <t>FA05-1665902</t>
  </si>
  <si>
    <t>Rep. - Caja Chica AQP - RC 001-004_2025</t>
  </si>
  <si>
    <t>Facturas varias - Planilla de movilidad 07.04.2025 / 08.04.2025 / 10.04.2025</t>
  </si>
  <si>
    <t>F001-67424 / E001-833 / PL 003-0129/2025</t>
  </si>
  <si>
    <t>Donacion de baterias a Comisaria de pampa de camarones - Se entrego solo 170.00 - CFI.D24-03-0287</t>
  </si>
  <si>
    <t>FFF1-8214</t>
  </si>
  <si>
    <t xml:space="preserve">RQ.LOG.287 - Comba y cincel - Almacen Villa Esperanza - CC-001-0123 </t>
  </si>
  <si>
    <t>F001-883</t>
  </si>
  <si>
    <t>Planilla de movilidad 22.04.2025</t>
  </si>
  <si>
    <t>PL 003-0130/2025</t>
  </si>
  <si>
    <t>Balanzas por verificación merma en Parque Industrial - Venta de chatarra
Cliente: Wilfredo Narvaez</t>
  </si>
  <si>
    <t>E001-93</t>
  </si>
  <si>
    <t>PL 003-0134/2025</t>
  </si>
  <si>
    <t>Entrega de documentos</t>
  </si>
  <si>
    <t>Planilla de movilidad 23.04.2025</t>
  </si>
  <si>
    <t>PL 003-0132/2025</t>
  </si>
  <si>
    <t>Planilla de movilidad 24.04.2025</t>
  </si>
  <si>
    <t>PL 003-0145/2025</t>
  </si>
  <si>
    <t>PL 003-0146/2025</t>
  </si>
  <si>
    <t>RQ.COM.306 Compra de estampado de bolsas de tocuyo/ Movilidad 24.04.2025</t>
  </si>
  <si>
    <t>F004-2522
PL 003-0136/2025</t>
  </si>
  <si>
    <t>Envio de documentos - Almacen Santa Anita</t>
  </si>
  <si>
    <t>F553-4741</t>
  </si>
  <si>
    <t>Planilla de movilidad 25.04.2025</t>
  </si>
  <si>
    <t>PL 003-0147/2025</t>
  </si>
  <si>
    <t>Jorge Queque</t>
  </si>
  <si>
    <t>Inspeccion Tecnica V9R-903 - RQ.OPE.1054</t>
  </si>
  <si>
    <t>F001-35177</t>
  </si>
  <si>
    <t>Venta de chatarra metalica NS: 001-4336 - Sider Peru</t>
  </si>
  <si>
    <t>PL 003-0133/2025
F213-1725985
F002-130739</t>
  </si>
  <si>
    <t>Servicio tecnico y mantenimiento de motobomba - RQ.OPE.1101</t>
  </si>
  <si>
    <t>E001-1190</t>
  </si>
  <si>
    <t>Combustible para motobomba - Servicio FLSmidth - Limpieza de PTAR</t>
  </si>
  <si>
    <t>F23R-16565</t>
  </si>
  <si>
    <t>Alimentacion - Carguio de chatarra (viruta) en unidad tercerizada</t>
  </si>
  <si>
    <t>F001-5773
F001-5881</t>
  </si>
  <si>
    <t>Capacitacion de Planeamiento estrategico</t>
  </si>
  <si>
    <t>0001-159
0001-158</t>
  </si>
  <si>
    <t>Planilla de movilidad 14.04.2025</t>
  </si>
  <si>
    <t>PL 003-0139/2025</t>
  </si>
  <si>
    <t>PL 003-0140/2025</t>
  </si>
  <si>
    <t>Planilla de movilidad 16.04.2025</t>
  </si>
  <si>
    <t>PL 003-0141/2025</t>
  </si>
  <si>
    <t>Planilla de movilidad 21.04.2025</t>
  </si>
  <si>
    <t>PL 003-0142/2025</t>
  </si>
  <si>
    <t>PL 003-0143/2025</t>
  </si>
  <si>
    <t>PL 003-0144/2025</t>
  </si>
  <si>
    <t>Envio de documentos a Trujillo</t>
  </si>
  <si>
    <t>F207-278981
PL 003-0137/2025</t>
  </si>
  <si>
    <t>Pilas AAA - RQ.STI.083</t>
  </si>
  <si>
    <t>CC-001-0124</t>
  </si>
  <si>
    <t>Movilidad para depositos y compras</t>
  </si>
  <si>
    <t>PL 003-0138/2025</t>
  </si>
  <si>
    <t>Pesaje para venta de vidrio</t>
  </si>
  <si>
    <t>FE02-16211
F002-131055</t>
  </si>
  <si>
    <t>Llaves duplicadas de cerradura</t>
  </si>
  <si>
    <t>0001-17885</t>
  </si>
  <si>
    <t>Jhonny Garcia</t>
  </si>
  <si>
    <t>RQ.LOG.291 - Llave de ducha acrilico</t>
  </si>
  <si>
    <t>F001-890</t>
  </si>
  <si>
    <t>Pesaje de RCD (Celicon)</t>
  </si>
  <si>
    <t>F002-131388
F002-131389</t>
  </si>
  <si>
    <t>Planilla de movilidad 28.04.2025</t>
  </si>
  <si>
    <t>PL 003-0148/2025</t>
  </si>
  <si>
    <t>Pesaje de RCD (Celicon) - FS: 001-4438</t>
  </si>
  <si>
    <t>F002-131287
F002-131290
F002-131289</t>
  </si>
  <si>
    <t>Planilla de movilidad 14.04.2025 / 23.04.2025</t>
  </si>
  <si>
    <t>PL 003-0135/2025
PL 003-0149/2025</t>
  </si>
  <si>
    <t>Planilla de movilidad 29.04.2025</t>
  </si>
  <si>
    <t>PL 003-0150/2025</t>
  </si>
  <si>
    <t>PL 003-0151/2025</t>
  </si>
  <si>
    <t>Brocas de metal y pegamento</t>
  </si>
  <si>
    <t>Ok</t>
  </si>
  <si>
    <t>0001-4168</t>
  </si>
  <si>
    <t>RQ.OPE.1028 Bolsas</t>
  </si>
  <si>
    <t>FF01-12352</t>
  </si>
  <si>
    <t>RQ.LOG.292 - Barra de construccion - CC-001-0125</t>
  </si>
  <si>
    <t>FA26-1334881
BV 0001-6089</t>
  </si>
  <si>
    <t>Pago de facturas varias</t>
  </si>
  <si>
    <t>FE33-1493
F213-1727383
F212-1707833</t>
  </si>
  <si>
    <t>PL 003-0152/2025</t>
  </si>
  <si>
    <t>PL 003-0153/2025</t>
  </si>
  <si>
    <t>PL 003-0154/2025</t>
  </si>
  <si>
    <t>PL 003-0155/2025</t>
  </si>
  <si>
    <t>PL 003-0156/2025</t>
  </si>
  <si>
    <t>RQ.LOG.293 canastas - CC-001-0126</t>
  </si>
  <si>
    <t>F720-41300
FA23-13795</t>
  </si>
  <si>
    <t>Planilla de movilidad 07.05.2025</t>
  </si>
  <si>
    <t>PL 003-0159/2025</t>
  </si>
  <si>
    <t>Planilla de movilidad 08.05.2025 - CC-001-0127</t>
  </si>
  <si>
    <t>PL 003-0219/2025</t>
  </si>
  <si>
    <t>Planilla de movilidad 08.05.2025</t>
  </si>
  <si>
    <t>PL 003-0160/2025</t>
  </si>
  <si>
    <t xml:space="preserve">RQ.GH.182 Compartir Moly Cop - La Joya </t>
  </si>
  <si>
    <t>CC-001-0128</t>
  </si>
  <si>
    <t xml:space="preserve">Compra de aceite hidráulico para montacarga </t>
  </si>
  <si>
    <t>E001-3142</t>
  </si>
  <si>
    <t>E001-859</t>
  </si>
  <si>
    <t>Planilla de movilidad 09.05.2025</t>
  </si>
  <si>
    <t>PL 003-0161/2025</t>
  </si>
  <si>
    <t xml:space="preserve">Facturas varias - Planillas de movilidad 08.04.2025 </t>
  </si>
  <si>
    <t>F002-131590/F002-131600/F002-131605/F002-131583/F553-4837/PL 003-157/PL003-158</t>
  </si>
  <si>
    <t>RQ.LOG.300 servicio de reparación de cerrajería en Almacén 03.</t>
  </si>
  <si>
    <t>RH E001-278</t>
  </si>
  <si>
    <t>Compra de torta, platos y cucharas, para compartir por despedida de practicante de Ssoma</t>
  </si>
  <si>
    <t>BV 0001-2320/
BV 0001-922</t>
  </si>
  <si>
    <t>Wafer - Gaseosa - CC-001-0129</t>
  </si>
  <si>
    <t>BV 001-000160</t>
  </si>
  <si>
    <t>Cinta Aislante - RQ.LOG.305</t>
  </si>
  <si>
    <t>F001-906</t>
  </si>
  <si>
    <t>Rep. - Caja Chica AQP</t>
  </si>
  <si>
    <t>RQ.GH.185 - Detalles dia de la madre -CC-001-0130</t>
  </si>
  <si>
    <t>0001-302
FX01-625
F019-135</t>
  </si>
  <si>
    <t>Taxi para recojo de chip - Av. Ejercito - CC-001-0131</t>
  </si>
  <si>
    <t>PL 003-0165/2025</t>
  </si>
  <si>
    <t>Transporte para recojo de documentos Olva - CC-001-0132</t>
  </si>
  <si>
    <t>PL 003-241/2025</t>
  </si>
  <si>
    <t>Balanza</t>
  </si>
  <si>
    <t>F002-131632</t>
  </si>
  <si>
    <t>FE02-16263</t>
  </si>
  <si>
    <t xml:space="preserve">Devolucion - Compra Te filtrantes para asesor </t>
  </si>
  <si>
    <t>Almuerzo Jefes de area y Consultor Oscar - Movilidad restaurante Sulu</t>
  </si>
  <si>
    <t>F002-2668
PL 003-0159/2025</t>
  </si>
  <si>
    <t>F213-1748275
F212-1728523
F001-6145</t>
  </si>
  <si>
    <t>Planilla de movilidad 21.05.2025 - Entrega de documentos Aqp</t>
  </si>
  <si>
    <t>PL 003-0162/2025</t>
  </si>
  <si>
    <t>Planilla de movilidad 19.05.2025</t>
  </si>
  <si>
    <t>PL 003-0163/2025</t>
  </si>
  <si>
    <t>Facturas varias</t>
  </si>
  <si>
    <t>F553-4905
F002-19477</t>
  </si>
  <si>
    <t>Disco de corte 4" y 7" - Panel Led - Enfardador de sacos + Pasajes - CC-001-0133</t>
  </si>
  <si>
    <t>F001-217
E001-450
PL 003-236/2025</t>
  </si>
  <si>
    <t>RQ.COM.326 - Promart Homecenter + Movilidad - CC-001-0134</t>
  </si>
  <si>
    <t>FA26-1312836
PL 003-0181 (1) /2025</t>
  </si>
  <si>
    <t>Planilla de movilidad - 04.04.2025</t>
  </si>
  <si>
    <t>PL 003-0164/2025</t>
  </si>
  <si>
    <t>Recojo de chip del trabajador Jorge Queque</t>
  </si>
  <si>
    <t>F126-29209</t>
  </si>
  <si>
    <t>Visita a Villa Esperanza  - Capacitacion e inspeccion</t>
  </si>
  <si>
    <t>F001-6250</t>
  </si>
  <si>
    <t>Planilla de movilidad - 26.05.2025</t>
  </si>
  <si>
    <t>PL 003-0166/2025</t>
  </si>
  <si>
    <t>PL 003-0167/2025</t>
  </si>
  <si>
    <t>Alimentacion para can</t>
  </si>
  <si>
    <t>E001-139
PL 003-0168/2025</t>
  </si>
  <si>
    <t>RQ.OPE.1124 - Movilidad para Mariscal Castilla - CC-001-0135</t>
  </si>
  <si>
    <t>F001-1014
PL 003-239/2025</t>
  </si>
  <si>
    <t>Planilla de movilidad - 05.05.2025</t>
  </si>
  <si>
    <t>PL 003-0169/2025</t>
  </si>
  <si>
    <t>Planilla de movilidad - 06.05.2025</t>
  </si>
  <si>
    <t>PL 003-0170/2025</t>
  </si>
  <si>
    <t>Planilla de movilidad - 07.05.2025</t>
  </si>
  <si>
    <t>PL 003-0171/2025</t>
  </si>
  <si>
    <t>Planilla de movilidad - 08.05.2025</t>
  </si>
  <si>
    <t>PL 003-0172/2025</t>
  </si>
  <si>
    <t>Planilla de movilidad - 09.05.2025</t>
  </si>
  <si>
    <t>PL 003-0173/2025</t>
  </si>
  <si>
    <t>Planilla de movilidad - 12.05.2025</t>
  </si>
  <si>
    <t>PL 003-0174/2025</t>
  </si>
  <si>
    <t>Planilla de movilidad - 14.05.2025</t>
  </si>
  <si>
    <t>PL 003-0175/2025</t>
  </si>
  <si>
    <t>Planilla de movilidad - 16.05.2025</t>
  </si>
  <si>
    <t>PL 003-0176/2025</t>
  </si>
  <si>
    <t>Planilla de movilidad - 19.05.2025</t>
  </si>
  <si>
    <t>PL 003-0177/2025</t>
  </si>
  <si>
    <t>Planilla de movilidad - 24.05.2025 / 26.05.2025</t>
  </si>
  <si>
    <t>PL 003-0178/2025</t>
  </si>
  <si>
    <t>Planilla de movilidad - 27.05.2025</t>
  </si>
  <si>
    <t>PL 003-0179/2025</t>
  </si>
  <si>
    <t>FF03-19048
F021-13083</t>
  </si>
  <si>
    <t>E001-156
E001-12267
FE01-11081
F001-16113</t>
  </si>
  <si>
    <t>Papel Kraft  - CC-001-0136</t>
  </si>
  <si>
    <t>BV 001-001065</t>
  </si>
  <si>
    <t>RQ.SSO.233 - Zapatos de Seguridad</t>
  </si>
  <si>
    <t>F003-2773</t>
  </si>
  <si>
    <t>Planilla de movilidad - 20.05.2025</t>
  </si>
  <si>
    <t>PL 003-0180/2025</t>
  </si>
  <si>
    <t>Movilidad para depositos a personal - CC-001-0137</t>
  </si>
  <si>
    <t>PL 003-215/2025</t>
  </si>
  <si>
    <t xml:space="preserve">Compartir en Villa Esperanza - Actividad de Carguio de alambron y viruta </t>
  </si>
  <si>
    <t>F001-00006306</t>
  </si>
  <si>
    <t xml:space="preserve">Envío de encomienda por Shalom (Epp's) a Lima </t>
  </si>
  <si>
    <t>F207-283349</t>
  </si>
  <si>
    <t>Planilla de movilidad - 02.06.2025</t>
  </si>
  <si>
    <t>PL 003-0188/2025</t>
  </si>
  <si>
    <t>PL 003-0181/2025</t>
  </si>
  <si>
    <t>Planilla de movilidad - 21.05.2025</t>
  </si>
  <si>
    <t>PL 003-0182/2025</t>
  </si>
  <si>
    <t>Planilla de movilidad - 23.05.2025</t>
  </si>
  <si>
    <t>PL 003-0183/2025</t>
  </si>
  <si>
    <t>PL 003-0184/2025</t>
  </si>
  <si>
    <t>PL 003-0185/2025</t>
  </si>
  <si>
    <t>Planilla de movilidad - 29.05.2025</t>
  </si>
  <si>
    <t>PL 003-0186/2025</t>
  </si>
  <si>
    <t>Planilla de movilidad - 30.05.2025</t>
  </si>
  <si>
    <t>PL 003-0187/2025</t>
  </si>
  <si>
    <t>PL 003-0189/2025</t>
  </si>
  <si>
    <t>Planilla de movilidad - 03.06.2025</t>
  </si>
  <si>
    <t>PL 003-0190/2025</t>
  </si>
  <si>
    <t>Planilla de movilidad - 04.06.2025</t>
  </si>
  <si>
    <t>PL 003-0191/2025</t>
  </si>
  <si>
    <t>Movilidad para depositos a proveedores - CC-001-0138</t>
  </si>
  <si>
    <t>PL 003-0204/2025</t>
  </si>
  <si>
    <t>Gastos para despedida Natalia (GH) - CC-001-0139</t>
  </si>
  <si>
    <t xml:space="preserve">FQ01-2583/ FQ01-2584/PL 003-226/2025/PL 003-227/2025 </t>
  </si>
  <si>
    <t>Planilla de movilidad - 05.06.2025</t>
  </si>
  <si>
    <t>PL 003-0192/2025</t>
  </si>
  <si>
    <t xml:space="preserve">Compra spray negro para almacén 03 </t>
  </si>
  <si>
    <t>BV 001-008319</t>
  </si>
  <si>
    <t>Traslados para compra de útiles / x reg. + liq x cochera - CC-001-0140</t>
  </si>
  <si>
    <t>PL 003-208/2025</t>
  </si>
  <si>
    <t>Planilla de movilidad - 10.06.2025</t>
  </si>
  <si>
    <t>F001-52364</t>
  </si>
  <si>
    <t>RQ.STI.091 - Compra de accesorios para equipo de cómputo  - CC-001-0141</t>
  </si>
  <si>
    <t>E001-2160</t>
  </si>
  <si>
    <t>Presentes por el día del Padre - donación a PNP y movilidad - CC-001-0142</t>
  </si>
  <si>
    <t>FX01-656
F001-1541</t>
  </si>
  <si>
    <t>traslados para envíos de documentos y Vivero Sachaca - CC-001-0143</t>
  </si>
  <si>
    <t>PL 003-223/2025</t>
  </si>
  <si>
    <t xml:space="preserve">RQ.COM.323 - 2 spray cya </t>
  </si>
  <si>
    <t>BV 0001-8318</t>
  </si>
  <si>
    <t>PL 003-0194/2025</t>
  </si>
  <si>
    <t xml:space="preserve">RQ.COM.340 - Toldo 3x3 feria del medio ambiente Alsur </t>
  </si>
  <si>
    <t>FA26-01429573</t>
  </si>
  <si>
    <t>Formateo de laptop de Gerencia y traslados</t>
  </si>
  <si>
    <t>CC-001-0145</t>
  </si>
  <si>
    <t>Planilla de movilidad - 11.06.2025</t>
  </si>
  <si>
    <t>PL 003-0197/2025</t>
  </si>
  <si>
    <t>Soldadura de radiador VDJ872</t>
  </si>
  <si>
    <t>BV 002-000372</t>
  </si>
  <si>
    <t>PL 003-198/2025
PL 003-199/2025
PL 003-200/2025
PL 003-201/2025
PL 003-202/2025</t>
  </si>
  <si>
    <t>PL 003-195/2025
PL 003-196/2025</t>
  </si>
  <si>
    <t>4 almuerzos - Feria Ambiental de residuos Alsur</t>
  </si>
  <si>
    <t>F001-00005118</t>
  </si>
  <si>
    <t>Planilla de movilidad - 12.06.2025</t>
  </si>
  <si>
    <t>PL 003-203/2025</t>
  </si>
  <si>
    <t xml:space="preserve">Facturas varias </t>
  </si>
  <si>
    <t>RH E001-237
E001-2103</t>
  </si>
  <si>
    <t>Planilla de movilidad 02.06.2025</t>
  </si>
  <si>
    <t>PL 003-204/2025</t>
  </si>
  <si>
    <t>Planilla de movilidad 03.06.2025</t>
  </si>
  <si>
    <t>PL 003-205/2025</t>
  </si>
  <si>
    <t>Planilla de movilidad 04.06.2025</t>
  </si>
  <si>
    <t>PL 003-206/2025</t>
  </si>
  <si>
    <t>Planilla de movilidad 06.06.2025</t>
  </si>
  <si>
    <t>PL 003-207/2025</t>
  </si>
  <si>
    <t xml:space="preserve">Devolucion - RQ.GH.182 Compartir Moly Cop - La Joya </t>
  </si>
  <si>
    <t>Pollos y jugos - Compartir de Gerencia - CC-001-0146</t>
  </si>
  <si>
    <t>001-21501</t>
  </si>
  <si>
    <t>Planilla de movilidad 09.06.2025</t>
  </si>
  <si>
    <t>PL 003-209/2025</t>
  </si>
  <si>
    <t>Planilla de movilidad 10.06.2025</t>
  </si>
  <si>
    <t>PL 003-210/2025</t>
  </si>
  <si>
    <t>Planilla de movilidad 11.06.2025</t>
  </si>
  <si>
    <t>PL 003-211/2025</t>
  </si>
  <si>
    <t>Planilla de movilidad 12.06.2025</t>
  </si>
  <si>
    <t>PL 003-212/2025</t>
  </si>
  <si>
    <t>Planilla de movilidad 13.06.2025</t>
  </si>
  <si>
    <t>PL 003-213/2025</t>
  </si>
  <si>
    <t>Planilla de movilidad 16.06.2025</t>
  </si>
  <si>
    <t>PL 003-214/2025</t>
  </si>
  <si>
    <t>F006-005383/E001-2705/F549-00013788</t>
  </si>
  <si>
    <t>Envío de encomienda por Olva (Pesquera el Diamante)</t>
  </si>
  <si>
    <t>CC-001-0147</t>
  </si>
  <si>
    <t>Traslados para buscar nuevos proveedores, insumos de limpieza, otros - CC-001-0148</t>
  </si>
  <si>
    <t>PL 003-240/2025</t>
  </si>
  <si>
    <t>Balanzas</t>
  </si>
  <si>
    <t>FE02-16345
FE02-16487</t>
  </si>
  <si>
    <t>Planilla de movilidad 19.06.2025</t>
  </si>
  <si>
    <t>PL 003-216/2025</t>
  </si>
  <si>
    <t>PL 003-217/2025/F002-133154</t>
  </si>
  <si>
    <t>Traslado para pagos a proveedores CC-001-0149</t>
  </si>
  <si>
    <t>PL 003-220/2025</t>
  </si>
  <si>
    <t>Traslado y envío de EPPS a Lima - CC-001-0150</t>
  </si>
  <si>
    <t>F207-285896
PL 003-237/2025</t>
  </si>
  <si>
    <t>F207</t>
  </si>
  <si>
    <t>Devolución - Envío de encomienda por Olva (Pesquera el Diamante) CC-001-0147</t>
  </si>
  <si>
    <t>Traslados para activación de SCTR - Clínica Sanna
CC-001-0151</t>
  </si>
  <si>
    <t>PL 003-222/2025</t>
  </si>
  <si>
    <t>Planilla de movilidad 23.06.2025</t>
  </si>
  <si>
    <t>PL 003-221/2025</t>
  </si>
  <si>
    <t>PL 003-218/2025 /
F553-00005189</t>
  </si>
  <si>
    <t>F553</t>
  </si>
  <si>
    <t>E001-306/ E001-921/ F001-070114</t>
  </si>
  <si>
    <t>Planilla de movilidad 20.05.2025</t>
  </si>
  <si>
    <t>PL 003-224/2025</t>
  </si>
  <si>
    <t>F549-13862/
PL 003-225/2025</t>
  </si>
  <si>
    <t>F549</t>
  </si>
  <si>
    <t>PL 003-226/2025</t>
  </si>
  <si>
    <t>Planilla de movilidad 20.06.2025</t>
  </si>
  <si>
    <t>PL 003-227/2025</t>
  </si>
  <si>
    <t>PL 003-228/2025</t>
  </si>
  <si>
    <t>Planilla de movilidad 18.06.2025</t>
  </si>
  <si>
    <t>PL 003-229/2025</t>
  </si>
  <si>
    <t>Planilla de movilidad 17.06.2025</t>
  </si>
  <si>
    <t>PL 003-230/2025</t>
  </si>
  <si>
    <t>Carguio de chatarra 16.05.2025 -  La Joya</t>
  </si>
  <si>
    <t>F001-6514</t>
  </si>
  <si>
    <t>RQ.LOG.319 - Elaboración de Rótulos para Identificación de Domicilio en la Joya</t>
  </si>
  <si>
    <t>E001-289</t>
  </si>
  <si>
    <t>F549-13874/F207-286505/ PL 003-231/20205</t>
  </si>
  <si>
    <t>Venta de Residuos - Responsable Valeria J.</t>
  </si>
  <si>
    <t>FF02-83</t>
  </si>
  <si>
    <t>Traslado para depósitos de pagos RXH Junio - CC-001-0151</t>
  </si>
  <si>
    <t>PL 003-234/2025</t>
  </si>
  <si>
    <t>Escaneo de documentos / CC-001-152</t>
  </si>
  <si>
    <t>CC-001-0152</t>
  </si>
  <si>
    <t>FVT1</t>
  </si>
  <si>
    <t>Combustible 25/06 Placa: V9C-193</t>
  </si>
  <si>
    <t>FVT1-39254</t>
  </si>
  <si>
    <t>Planilla de movilidad 27.06.2025</t>
  </si>
  <si>
    <t>PL 003-231/2025</t>
  </si>
  <si>
    <t>Planilla de movilidad 26.06.2025</t>
  </si>
  <si>
    <t>PL 003-232/2025</t>
  </si>
  <si>
    <t>Planilla de movilidad 25.06.2025</t>
  </si>
  <si>
    <t>PL 003-233/2025</t>
  </si>
  <si>
    <t>Planilla de movilidad 24.06.2025</t>
  </si>
  <si>
    <t>PL 003-235/2025</t>
  </si>
  <si>
    <t>Refrigerio para reunion de gerencia con el area de operaciones</t>
  </si>
  <si>
    <t>FA55-12503
PL 003-238/2025</t>
  </si>
  <si>
    <t xml:space="preserve">PARI RODRIGUEZ KAROL LICETH </t>
  </si>
  <si>
    <t>FA55</t>
  </si>
  <si>
    <t>Devolucion de entregas a rendir - ER-001-0342025 - Angel Allca</t>
  </si>
  <si>
    <t>E001-927
F002-20048</t>
  </si>
  <si>
    <t>CC001</t>
  </si>
  <si>
    <t xml:space="preserve">Almuerzo para melaminero </t>
  </si>
  <si>
    <t>CC-001-0153</t>
  </si>
  <si>
    <t>hizo devolución</t>
  </si>
  <si>
    <t>Planilla de movilidad 27-30.06.2025</t>
  </si>
  <si>
    <t>PL 003-245/2025 
PL 003-244/2025</t>
  </si>
  <si>
    <t>Envio de encomienda por Olva C. -CC001-154</t>
  </si>
  <si>
    <t>CC-001-0154</t>
  </si>
  <si>
    <t>Envio de encomienda por Olva C.</t>
  </si>
  <si>
    <t xml:space="preserve">Karol Yepez </t>
  </si>
  <si>
    <t>FA18</t>
  </si>
  <si>
    <t>Bocaditos para reunión con áreas - CC-001-0155</t>
  </si>
  <si>
    <t>CC-001-0155</t>
  </si>
  <si>
    <t>F001-6607
F001-947</t>
  </si>
  <si>
    <t>Cambio de caja de electricidad en SSOMA</t>
  </si>
  <si>
    <t>Planilla de movilidad 07.07.2025</t>
  </si>
  <si>
    <t>Planilla de movilidad 04.07.2025</t>
  </si>
  <si>
    <t>Planilla de movilidad 08.07.2025</t>
  </si>
  <si>
    <t>Driza</t>
  </si>
  <si>
    <t>1.3 debe JHONY (Cambio)</t>
  </si>
  <si>
    <t>F410</t>
  </si>
  <si>
    <t>Perilla de dormitorio</t>
  </si>
  <si>
    <t>Planilla de movilidad 09.07.2025</t>
  </si>
  <si>
    <t>Recojo de rotulos - Comercial - Logo organigrama / Compra de puntero de zapatos</t>
  </si>
  <si>
    <t>Bandeja HDPE - RQ.COM.353</t>
  </si>
  <si>
    <t>Traslado - Gytres a Olva C.</t>
  </si>
  <si>
    <t>Envio de documentos (Manifiestos de Minsur) por Olva C. / Movilidad de Gytres a Olva C. / CC-001-171</t>
  </si>
  <si>
    <t>Envio de documentos</t>
  </si>
  <si>
    <t>Planilla de movilidad 11.07.2025</t>
  </si>
  <si>
    <t>Alineamiento computarizado HINO VBB-840</t>
  </si>
  <si>
    <t>Traslado de taller a Almacen Sachaca (Av. Peru) / CC-001-172</t>
  </si>
  <si>
    <t>Traslado entrega de muestra a Balanza Warton CC 001-173</t>
  </si>
  <si>
    <t xml:space="preserve">Preparación de 60 tamales </t>
  </si>
  <si>
    <t>Compra de botellas de agua para la reunion con Inca Tops</t>
  </si>
  <si>
    <t>Recojo de EPP's (SSOMA) y pago de encomienda CC 01-176</t>
  </si>
  <si>
    <t>Recojo de EPP's (SSOMA) y pago de encomienda</t>
  </si>
  <si>
    <t>F399</t>
  </si>
  <si>
    <t>Reposicion - Caja Chica AQP - RC 001-009_2025</t>
  </si>
  <si>
    <t>Planilla de movilidad 15.07.2025</t>
  </si>
  <si>
    <t>Taxi ida y vuelta para trasladar personal Asiri - CC - 001-177</t>
  </si>
  <si>
    <t>Planilla de movilidad 16.07.2025</t>
  </si>
  <si>
    <t>refrigerio para capacitación dictada por Consultor externo y Gerencia. CC-001-178</t>
  </si>
  <si>
    <t>Planilla de movilidad 22.07.2025 y 30.07.2025</t>
  </si>
  <si>
    <t>Planilla de movilidad 30.06.2025</t>
  </si>
  <si>
    <t>Planilla de movilidad 01.07.2025</t>
  </si>
  <si>
    <t>Planilla de movilidad 02.07.2025</t>
  </si>
  <si>
    <t>Planilla de movilidad 10.07.2025</t>
  </si>
  <si>
    <t>Planilla de movilidad 14.07.2025</t>
  </si>
  <si>
    <t>Planilla de movilidad 17.07.2025</t>
  </si>
  <si>
    <t>Planilla de movilidad 18.07.2025</t>
  </si>
  <si>
    <t>Planilla de movilidad 21.07.2025</t>
  </si>
  <si>
    <t>Planilla de movilidad 22.07.2025</t>
  </si>
  <si>
    <t xml:space="preserve">Compartir en Villa Esperanza </t>
  </si>
  <si>
    <t>Taxi Almacén Sachaca - BCP  para pago de RxH
CC 001-181</t>
  </si>
  <si>
    <t xml:space="preserve">Sergio Ordoñez </t>
  </si>
  <si>
    <t>Traslados visita a capinterias para reconocimiento de procesos CC001-182</t>
  </si>
  <si>
    <t xml:space="preserve">Incentivo Jorge: Bisteck montado y dos cafes </t>
  </si>
  <si>
    <t>Envio de documentos - Almacen Santa Anita para entrega a AMPCO CC-001-184</t>
  </si>
  <si>
    <t>Traslados para cotizaciones de herramientas para alm., nuevos proveedor de epps  - CC 001-186</t>
  </si>
  <si>
    <t>Compra de chip entel (ruben bust.), movilidad y carga de chip  CC-001-187</t>
  </si>
  <si>
    <t>Traslados a Clinica SANNA - CC 001-188</t>
  </si>
  <si>
    <t>Traslados para compra de laptops y accesorios CC 001-189</t>
  </si>
  <si>
    <t>Recojo doc. De Olva  CC 001-190</t>
  </si>
  <si>
    <t>F214</t>
  </si>
  <si>
    <t>F211</t>
  </si>
  <si>
    <t>F212</t>
  </si>
  <si>
    <t>F213</t>
  </si>
  <si>
    <t xml:space="preserve"> </t>
  </si>
  <si>
    <t xml:space="preserve">almuerzo </t>
  </si>
  <si>
    <t>FA05</t>
  </si>
  <si>
    <t>RQ.LOG.337 comida de perro</t>
  </si>
  <si>
    <t xml:space="preserve">Comida de gato </t>
  </si>
  <si>
    <t>cinta doble contacto</t>
  </si>
  <si>
    <t>gaseosa por apoyo de operarios</t>
  </si>
  <si>
    <t>planilla de movilidad 12.06.2025</t>
  </si>
  <si>
    <t>planilla de movilidad 27.06.2025</t>
  </si>
  <si>
    <t xml:space="preserve">Jorge Queque </t>
  </si>
  <si>
    <t>Planilla de movilidad 25.07.2025</t>
  </si>
  <si>
    <t>Planilla de movilidad 30.07.2025</t>
  </si>
  <si>
    <t>Planilla de movilidad 01.08.2025</t>
  </si>
  <si>
    <t>Planilla de movilidad 04.08.2025</t>
  </si>
  <si>
    <t>Planilla de movilidad 05.08.2025</t>
  </si>
  <si>
    <t>Planilla de movilidad 07.08.2025</t>
  </si>
  <si>
    <t>Planilla de movilidad 08.08.2025</t>
  </si>
  <si>
    <t xml:space="preserve">RQ.STI.097 - Compra de base para laptop y protector de teclado (Grgeory Cruz) yape </t>
  </si>
  <si>
    <t>Devolución CC 001-124 Pilas RQ.STI.083 (pasados por finanzas liq,sti.011)</t>
  </si>
  <si>
    <t xml:space="preserve">Compra e instalacion de extintores (Ebert) </t>
  </si>
  <si>
    <t>Maritza Ayma</t>
  </si>
  <si>
    <t>Premios para charla contabilidad : Finanzas personales</t>
  </si>
  <si>
    <t>Traslados para entregas de documentos 13.08.2025</t>
  </si>
  <si>
    <t>Envio de encomienda a Lima por Olva - CC 001-193</t>
  </si>
  <si>
    <t>Recojo y envío de doc en Olva, depósitos, servicios varios CC 001 - 194</t>
  </si>
  <si>
    <t>Traslados a Clinica SANNA  - CC 001-192</t>
  </si>
  <si>
    <t>Recojo de banner, elaboración de enmicados CC 001-195</t>
  </si>
  <si>
    <t>Balanzas - Villa Esperanza - Junio 2025</t>
  </si>
  <si>
    <t>Pesaje carguio de Chatarra metálica en Villa Esperanza 
Cliente: Siderurgica del Perú
NS: 001- N° 004546</t>
  </si>
  <si>
    <t>Pesaje papel kraft
NS: 001- N° 004845</t>
  </si>
  <si>
    <t>Balanzas - Villa Esperanza - Julio  2025</t>
  </si>
  <si>
    <t>Pesaje venta residuos aprovechables (chatarra)
Cliente: Empresa Siderurgica
FS: 001-4606</t>
  </si>
  <si>
    <t>Pesaje venta residuos aprovechables (vidrio)
Cliente: Santos Chavarria
FS: 001-4636</t>
  </si>
  <si>
    <t>Pesaje residuos peligrosos 
Cliente: Alfredo Salcedo
FS: 001-4644</t>
  </si>
  <si>
    <t>F114</t>
  </si>
  <si>
    <t>F111</t>
  </si>
  <si>
    <t>Heber Quintanilla</t>
  </si>
  <si>
    <t>Efectivo</t>
  </si>
  <si>
    <t>Debe Vanessa OP 129</t>
  </si>
  <si>
    <t>Debe Nelson OP 342</t>
  </si>
  <si>
    <t>Debe Diego OP433</t>
  </si>
  <si>
    <t>Debo Jhonny OP 598</t>
  </si>
  <si>
    <t>Total Efectivo</t>
  </si>
  <si>
    <t xml:space="preserve">  </t>
  </si>
  <si>
    <t>FINANZAS SOLES</t>
  </si>
  <si>
    <t>S/N</t>
  </si>
  <si>
    <t>Lidia González Chambi</t>
  </si>
  <si>
    <t>Venta de Residuos - Responsable Daniela C.</t>
  </si>
  <si>
    <t>001- N° 004053</t>
  </si>
  <si>
    <t>Jorge Luis Queque Anco</t>
  </si>
  <si>
    <t>RQ.OPE.807 - LIQ.OPE.059  - Acuerdo con patrullero para seguridad de la carga en transporte de carga Lima - Arequipa por manifestantes en el trayecto.</t>
  </si>
  <si>
    <t>RQ.OPE.807</t>
  </si>
  <si>
    <t>LIQ.OPE.062 - Impresión de manifiestos para disposicion de residuos peligrosos</t>
  </si>
  <si>
    <t>Gabino Tito Ccollana</t>
  </si>
  <si>
    <t>001- N° 004058</t>
  </si>
  <si>
    <t>Natalia Sommer Rospigliosi Manrique</t>
  </si>
  <si>
    <t>LIQ.GH.015 - Tamales de Pollo / 25 platos de torta / Vasos descartables / Tenedores / Azucar</t>
  </si>
  <si>
    <t>Ernesto Charca Manrique</t>
  </si>
  <si>
    <t>001- N° 004059</t>
  </si>
  <si>
    <t>Imer Bustamante Gil</t>
  </si>
  <si>
    <t>Gastos de Gerencia</t>
  </si>
  <si>
    <t>Fernando Jesus Marquez Avila</t>
  </si>
  <si>
    <t>Devolucion - LIQ.OPE.058 - RQ.OPE.810 - Servicio de recoleccion, transporte de residuos peligrosos (isotanques con aguas de desecho) de almacen Villa Esperanza hasta Chilca - Proveedor: Luis Apaza Mendoza - C. 001084/2024</t>
  </si>
  <si>
    <t>RQ.OPE.840 - LIQ.OPE.064 - Descarga de residuos no aprovechables de unidad VBB-840 (Pesos por encima de lo manipulable por el personal)</t>
  </si>
  <si>
    <t>RQ.OPE.840</t>
  </si>
  <si>
    <t>María Elena</t>
  </si>
  <si>
    <t>001- N° 004061</t>
  </si>
  <si>
    <t>LIQ.OPE.061 - RQ.OPE.820 - Servicio de transporte de Arequipa a Chilca de residuos no aprovechables - Proveedor: Empresa Transportes Aragon Zabala E.I.R.L.</t>
  </si>
  <si>
    <t>EMPRESA TRANSPORTES ARAGON ZABALA E.I.R.L.</t>
  </si>
  <si>
    <t>RQ.OPE.820</t>
  </si>
  <si>
    <t>LIQ.OPE.052 - RQ.OPE.723 - Servicio de transporte de residuos no aprovechables desde almacen Villa Esperanza hasta Chilca - Proveedor: Arturo Urquizo / Unidest S.A.C.</t>
  </si>
  <si>
    <t>ARTURO URQUIZO / UNIDEST S.A.C.</t>
  </si>
  <si>
    <t>RQ.OPE.723</t>
  </si>
  <si>
    <t>Oscar Mamani Hincahuanaco</t>
  </si>
  <si>
    <t>001- N° 004063</t>
  </si>
  <si>
    <t xml:space="preserve">ESTIBADORES - LIQ.GH.016 - Apoyo en carguio de lena en Almacen N°03  - 05 personas </t>
  </si>
  <si>
    <t>RQ.GH.126</t>
  </si>
  <si>
    <t>LIQ.OPE.066 - Compra de residuos aprovechables (Sacas Big bag) para acondicionamiento de residuos peligrosos y no aprovechables - Proveedor: Belen Labra</t>
  </si>
  <si>
    <t>BELEN LABRA</t>
  </si>
  <si>
    <t>Alquiler - Almacen Arequipa (2) - BOLAÑOS VALDEZ REBECA - Periodo Mayo 2024</t>
  </si>
  <si>
    <t>Alquiler - Almacen La Joya - BOLAÑOS VALDEZ REBECA - Periodo Mayo 2024</t>
  </si>
  <si>
    <t>Alquiler - Almacen Arequipa (1) - BUSTAMANTE GIL IMER - Periodo Mayo 2024</t>
  </si>
  <si>
    <t>Kendal Ramírez</t>
  </si>
  <si>
    <t>003- N° 000518</t>
  </si>
  <si>
    <t>Alex Neyra Begazo</t>
  </si>
  <si>
    <t>003- N° 000520</t>
  </si>
  <si>
    <t>Oscar Rubio López</t>
  </si>
  <si>
    <t>003- N° 000516</t>
  </si>
  <si>
    <t>003- N° 000517</t>
  </si>
  <si>
    <t>Neiver Monteza Bustamante</t>
  </si>
  <si>
    <t>Gastos de Villa Esperanza (Diciembre 2024): Recarga agua de pozo (4) / Recarga agua potable (1) / Balanza KM 48</t>
  </si>
  <si>
    <t>001- N° 004071</t>
  </si>
  <si>
    <t>Alison Natividad Rodriguez Gallegos</t>
  </si>
  <si>
    <t>LIQ.COM.048 - RQ.COM.222 - Envio de obsequios a Huaral - Cliente Campo Limpio (Rafael Valdiviezo) / Envio de obsequios a JLBR - Cliente Granja Rinconada del sur (Rolando Ccori) / Envio de obsequios a San Isidro Lima - Cliente Campo Limpio (Mario Ojeda)</t>
  </si>
  <si>
    <t>RQ.COM.222</t>
  </si>
  <si>
    <t>LIQ.OPE.065 - RQ.OPE.834 - Disposicion de residuos no aprovechables</t>
  </si>
  <si>
    <t>RQ.OPE.834</t>
  </si>
  <si>
    <t>Gregory Rayle Cruz Quispe</t>
  </si>
  <si>
    <t>LIQ.GER.009 - Wafer / Galletas Cream Craker / Azucar Rubia - Proveedor: Eufracia Quispe Gutierrez</t>
  </si>
  <si>
    <t>EUFRACIA QUISPE GUTIERREZ</t>
  </si>
  <si>
    <t>Venta de cargador de celular - Salcedo Salcedo Ronald Ronaldiño</t>
  </si>
  <si>
    <t>Valeria Nicolle Jibaja Rondón</t>
  </si>
  <si>
    <t>Compra de Residuos Aprovechables - OC 001 – N° 001713</t>
  </si>
  <si>
    <t>PLASTICOS Y METALICOS S.A.C.</t>
  </si>
  <si>
    <t>001 – N° 001713</t>
  </si>
  <si>
    <t>001- N° 002847</t>
  </si>
  <si>
    <t>Daniela Camero Carnero</t>
  </si>
  <si>
    <t>Compra de Residuos Aprovechables - OC 001 – N° 001688</t>
  </si>
  <si>
    <t>EMPRESA YURA S.R.L.</t>
  </si>
  <si>
    <t>001 – N° 001688</t>
  </si>
  <si>
    <t>Gastos de Gerencia - 13.01.2025</t>
  </si>
  <si>
    <t>LIQ.COM.049 - RQ.COM.177 - Servicio de pintado de 50 adoquines en color amarillo - Proveedor: Ebert Prieto Alcca</t>
  </si>
  <si>
    <t>EBERT PRIETO ALCCA</t>
  </si>
  <si>
    <t>RQ.COM.177</t>
  </si>
  <si>
    <t>LIQ.COM.052 - RQ.COM.226 - Servicio de transporte para el cargio de 2TN de leña suelta desde almacen 3 hasta JLBR - Cerro Colorado - Proveedor: Juan Alberto Carlos Ccallo</t>
  </si>
  <si>
    <t>JUAN ALBERTO CARLOS CCALLO</t>
  </si>
  <si>
    <t>RQ.COM.226</t>
  </si>
  <si>
    <t>LIQ.COM.050 - RQ.COM.223 - Servicio de transporte para el cargio de 5TN de leña suleta desde almacen 3 hasta Los Olivos (Mariano Melgar) - Proveedor: Juan Alberto Carlos Ccallo</t>
  </si>
  <si>
    <t>RQ.COM.223</t>
  </si>
  <si>
    <t>LIQ.COM.051 - RQ.COM.224 - Servicio de transporte para el carguio de 2TN de chatarra metalica desde almacen 3 para venta en Aceros Arequipa  - Proveedor: Juan Alberto Carlos Ccallo</t>
  </si>
  <si>
    <t>RQ.COM.224</t>
  </si>
  <si>
    <t>001- N° 003892</t>
  </si>
  <si>
    <t>001- N° 004028</t>
  </si>
  <si>
    <t>Venta de Residuos - Responsable Valeria J. (001- N° 004087)</t>
  </si>
  <si>
    <t>001- N° 004177</t>
  </si>
  <si>
    <t>001- N° 004088</t>
  </si>
  <si>
    <t>Juan Quispe Calderón</t>
  </si>
  <si>
    <t>001- N° 004089</t>
  </si>
  <si>
    <t>Sergio Gutiérrez Huamán</t>
  </si>
  <si>
    <t>Balanza - Venta de NS: 001- N° 004075</t>
  </si>
  <si>
    <t>Balanza - Venta de NS: 001- N° 003988</t>
  </si>
  <si>
    <t>Balanza - Venta de NS: 001- N° 003996</t>
  </si>
  <si>
    <t>Balanza - Venta de NS: 001- N° 003998</t>
  </si>
  <si>
    <t>Balanza - Venta de NS: 001- N° 004016</t>
  </si>
  <si>
    <t>Balanza - Venta de NS: 001- N° 004029</t>
  </si>
  <si>
    <t>Balanza - Venta de NS: 001- N° 004035</t>
  </si>
  <si>
    <t>Balanza - Venta de NS: 001- N° 004080</t>
  </si>
  <si>
    <t>LIQ.LOG.028 - RQ.LOG.229 - Cable UTP 5E / Cinta aislante 3M / Pernos con tarugo / Pernos de fijacion a las camaras - Proveedor: Juan J. Enciso M.</t>
  </si>
  <si>
    <t>JUAN J. ENCISO M.</t>
  </si>
  <si>
    <t>RQ.LOG.229</t>
  </si>
  <si>
    <t>LIQ.LOG.026 - RQ.LOG.228 - Pistola Trupper para manguera / Reduccion (acople para manguera) / Abrazadera de 1" - Proveedor: Anthony Huamani Mamani</t>
  </si>
  <si>
    <t>ANTHONY HUAMANI MAMANI</t>
  </si>
  <si>
    <t>RQ.LOG.228</t>
  </si>
  <si>
    <t>LIQ.GH.017 - RQ.GH.125 - Torta pequeña / Gaseosas / Paquete de servilletas /  Vela de cumpleaños / Caja de fosforos - Proveedor: Varios</t>
  </si>
  <si>
    <t>RQ.GH.125</t>
  </si>
  <si>
    <t>LIQ.GH.018 - RQ.GH.128 - Apoyo en recoleccion de residuos aprovechables (envases vacios) en chincha / Apoyo en recoleccion de residuos aprovechables (Alambron, madera y sacas vacias) en Tralsa - Proveedor: Varios</t>
  </si>
  <si>
    <t>RQ.GH.128</t>
  </si>
  <si>
    <t>LIQ.LOG.027 - RQ.SSO.161 - Envio de encomienda de polos y pantalones desde la ciudad de Lima hasta Arequipa - Proveedor: Fernando Marquez Avila</t>
  </si>
  <si>
    <t>FERNANDO JESUS MARQUEZ AVILA</t>
  </si>
  <si>
    <t>RQ.SSO.161</t>
  </si>
  <si>
    <t>001- N° 004074</t>
  </si>
  <si>
    <t>Prestamo Interno - Caja AQP</t>
  </si>
  <si>
    <t>001- N° 003853</t>
  </si>
  <si>
    <t>001- N° 003982</t>
  </si>
  <si>
    <t>Vannessa Daniella Amado Farfan</t>
  </si>
  <si>
    <t>Compra de platitos para compartir de torta - Imer B.</t>
  </si>
  <si>
    <t>Socrates Condori Chambilla</t>
  </si>
  <si>
    <t>003- N° 000521</t>
  </si>
  <si>
    <t>Oscar Rubio Lopez</t>
  </si>
  <si>
    <t>003- N° 000522</t>
  </si>
  <si>
    <t>003- N° 000523</t>
  </si>
  <si>
    <t>Juan Carlos Miramira Mamani</t>
  </si>
  <si>
    <t>003- N° 000524</t>
  </si>
  <si>
    <t>Blas Huanca Ancco</t>
  </si>
  <si>
    <t>003- N° 000525</t>
  </si>
  <si>
    <t>003- N° 000526</t>
  </si>
  <si>
    <t>003- N° 000527</t>
  </si>
  <si>
    <t>Carmen Cruz Huaracha</t>
  </si>
  <si>
    <t>003- N° 000528</t>
  </si>
  <si>
    <t>003- N° 000529</t>
  </si>
  <si>
    <t>Karina Cruz Paniagua</t>
  </si>
  <si>
    <t>Pago por el servicio de Agua del 01.12.2024 al 31.12.2024 (50.00)</t>
  </si>
  <si>
    <t>Alquiler Almacen Lima - Diciembre 2024</t>
  </si>
  <si>
    <t>QUISPE CASTRO CIRILO</t>
  </si>
  <si>
    <t>LIQ.LOG.017 - RQ.LOG.188 - Rastrillos metalicos - Proveedor: Fernando Jesus Marquez Avila</t>
  </si>
  <si>
    <t>RQ.LOG.188</t>
  </si>
  <si>
    <t>LIQ.LOG.023 - RQ.LOG.212 - Compra de 2kg. de azucar rubia para donacion - Proveedor: Fernando Jesus Marquez Avila</t>
  </si>
  <si>
    <t>RQ.LOG.212</t>
  </si>
  <si>
    <t>LIQ.OPE.067 - RQ.OPE.894 - Servicio de transporte de residuos peligrosos desde almacen Villa Eperanza hasta almacen de Chilca - Proveedor: Jonathan Suazo Alania</t>
  </si>
  <si>
    <t>JONATHAN SUAZO ALANIA</t>
  </si>
  <si>
    <t>RQ.OPE.894</t>
  </si>
  <si>
    <t>001- N° 004106</t>
  </si>
  <si>
    <t>001- N° 003595</t>
  </si>
  <si>
    <t>001- N° 004010</t>
  </si>
  <si>
    <t>001- N° 004094</t>
  </si>
  <si>
    <t>LIQ.GH.019 - Apoyo en elaboracion de Ficha de entrevista - Proveedor: Ana Lucia Nuñoncca</t>
  </si>
  <si>
    <t>ANA LUCIA NUÑONCCA</t>
  </si>
  <si>
    <t>CONCRETOS SUPERMIX SOCIEDAD ANONIMA - CONCRETOS SUPERMIX S.A.</t>
  </si>
  <si>
    <t>001- N° 004115</t>
  </si>
  <si>
    <t>001- N° 004112</t>
  </si>
  <si>
    <t>001- N° 004105</t>
  </si>
  <si>
    <t>Diego Armando Mamani Limache</t>
  </si>
  <si>
    <t>LIQ.COM.054 - RQ.COM.231 - Transporte de envases vacios de Campo Limpio (Pampa Baja) - Proveedor: Alex Flores Rodriguez</t>
  </si>
  <si>
    <t>ALEX FLORES RODRIGUEZ</t>
  </si>
  <si>
    <t>RQ.COM.231</t>
  </si>
  <si>
    <t>Junior Ccama Gutierrez</t>
  </si>
  <si>
    <t>001- N° 003957</t>
  </si>
  <si>
    <t>Diego Mamani Limache</t>
  </si>
  <si>
    <t>001- N° 003871</t>
  </si>
  <si>
    <t>001- N° 004117</t>
  </si>
  <si>
    <t>Alquiler - Almacen Arequipa (2) - BOLAÑOS VALDEZ REBECA - Periodo Junio 2024</t>
  </si>
  <si>
    <t>Alquiler - Almacen Arequipa (2) - BOLAÑOS VALDEZ REBECA - Periodo Julio 2024</t>
  </si>
  <si>
    <t>Alquiler - Almacen Arequipa (2) - BOLAÑOS VALDEZ REBECA - Periodo Agosto 2024</t>
  </si>
  <si>
    <t>Felipa Supo Quispe</t>
  </si>
  <si>
    <t>001- N° 004125</t>
  </si>
  <si>
    <t>LIQ.LOG.029 - RQ.LOG.237 - Modificacion de mueble de melamine para las areas de logistica y SIG - Proveedor: Wilson Huarsoca Coaquira</t>
  </si>
  <si>
    <t>WILSON HUARSOCA COAQUIRA</t>
  </si>
  <si>
    <t>RQ.LOG.237</t>
  </si>
  <si>
    <t>LIQ.COM.055 - RQ.COM.236 - Servicio de transporte de 900kg de botellas PET para cliente Maria Belen Labra (Variante de Uchumayo) - Proveedor: Gregorio Ugarte Mendoza</t>
  </si>
  <si>
    <t>GREGORIO UGARTE MENDOZA</t>
  </si>
  <si>
    <t>RQ.COM.236</t>
  </si>
  <si>
    <t>Gleen Stev Ponce Febres</t>
  </si>
  <si>
    <t>LIQ.OPE.068 - Apoyo al personal de balanza por ajuste de peso (Servicio Iberica)</t>
  </si>
  <si>
    <t>Pago de RXH - Enero 2025 - Apaza Castro Luis Alfredo ( 1,172.00 ) / Ramos Ala Geraldyn ( 480.00 ) / Mamani Ticona Jhon Yuber ( 1,446.00 ) / Vilca Amanqui Franklin Edgar ( 1,300.00 ) / Flores Clavijo Angel Alfonzo ( 1,239.00 ) / Dluznyewsky Rodriguez Julio Cesar ( 1,501.00 ) / Camero Carnero Daniela ( 1,128.00 ) / Velasquez Condori Joel Jonathan ( 1,080.00 ) / Vizcardo Alarcón Eduardo Pedro ( 1,360.00 )</t>
  </si>
  <si>
    <t>Luz Berlinda Sonco Vargas</t>
  </si>
  <si>
    <t>003- N° 000530</t>
  </si>
  <si>
    <t>Graciano Chila Valeriano</t>
  </si>
  <si>
    <t>003- N° 000531</t>
  </si>
  <si>
    <t>003- N° 000532</t>
  </si>
  <si>
    <t>003- N° 000533</t>
  </si>
  <si>
    <t>003- N° 000534</t>
  </si>
  <si>
    <t>003- N° 000535</t>
  </si>
  <si>
    <t>003- N° 000536</t>
  </si>
  <si>
    <t>003- N° 000537</t>
  </si>
  <si>
    <t>Felicitas Vilca de Laura</t>
  </si>
  <si>
    <t>003- N° 000538</t>
  </si>
  <si>
    <t>003- N° 000539</t>
  </si>
  <si>
    <t>Florentino Ccanchilla Zamata</t>
  </si>
  <si>
    <t>003- N° 000540</t>
  </si>
  <si>
    <t>Andersson Ccanchulla Villacencio</t>
  </si>
  <si>
    <t>003- N° 000541</t>
  </si>
  <si>
    <t>003- N° 000542</t>
  </si>
  <si>
    <t>Gastos de Villa Esperanza (Enero 2025)</t>
  </si>
  <si>
    <t>LIQ.GH.020 - Apoyo en actividades diarias del area de Gestion Humana - Proveedor: Jhaide Incarroca Merma</t>
  </si>
  <si>
    <t>JHAIDE INCARROCA MERMA</t>
  </si>
  <si>
    <t>LIQ.COM.056 - RQ.COM.238 - Servicio de transporte de residuos aprovechables (papel kraft) desde Almacen Villa Esperanza hacia Lima (cliente Miguel Huanuco) - Proveedor: Apaza Mendoza Gian Franco</t>
  </si>
  <si>
    <t>RQ.COM.238</t>
  </si>
  <si>
    <t>LIQ.LOG.030 - RQ.LOG.239 - Instalacion de luz electrica en Almacen Villa Esperanza - Proveedor: Eddy M. Perez C.</t>
  </si>
  <si>
    <t>EDDY M. PEREZ C.</t>
  </si>
  <si>
    <t>RQ.LOG.239</t>
  </si>
  <si>
    <t>LIQ.OPE.071 - RQ.OPE.916 - Compra de sacas para acondicionamiento de residuos</t>
  </si>
  <si>
    <t>RQ.OPE.916</t>
  </si>
  <si>
    <t>001- N° 004132</t>
  </si>
  <si>
    <t>Paulino Clemente Roque Laura</t>
  </si>
  <si>
    <t>001- N° 004134</t>
  </si>
  <si>
    <t>LIQ.COM.057 - RQ.COM.235 - Mano de obra por descarga de 1000 cajas Metal Prent - Proveedor: Alberto Caballero</t>
  </si>
  <si>
    <t>ALBERTO CABALLERO</t>
  </si>
  <si>
    <t>RQ.COM.235</t>
  </si>
  <si>
    <t>Víctor Hugo Zegarra Zegarra</t>
  </si>
  <si>
    <t>001- N° 004140</t>
  </si>
  <si>
    <t>Balanza - Venta de NS: 001- N° 004120</t>
  </si>
  <si>
    <t>001- N° 004141</t>
  </si>
  <si>
    <t>LIQ.GH.021 - Apoyo en carguio de residuos a unidades tercerizadas en la ciudad de Cusco (3 dias)</t>
  </si>
  <si>
    <t>LIQ.GH.021</t>
  </si>
  <si>
    <t>LIQ.OPE.072 - RQ.OPE.910 - Servicio de transporte de residuos aprovechables (madera y chatarra metalica liviana) desde Cusco hacia almacen en Arequipa - Proveedor: Grupo Lider AQP S.A.C.</t>
  </si>
  <si>
    <t>RQ.OPE.910</t>
  </si>
  <si>
    <t>LIQ.OPE.073 - RQ.OPE.912 - Servicio de traslado de residuos no aprovechables desde Alsur Cusco hasta almacen Huaranguillo (Arequipa) - Proveedor: Transportes Carlos Kayro E.I.R.L.</t>
  </si>
  <si>
    <t>RQ.OPE.912</t>
  </si>
  <si>
    <t>LIQ.OPE.074 - RQ.OPE.912 - Servicio de traslado de residuos no aprovechables desde almacen Huaranguillo hacia el relleno de seguridad La Joya - Proveedor: Transportes Carlos Kayro E.I.R.L.</t>
  </si>
  <si>
    <t>LIQ.GH.022 - Apertura de historia clinica en posta medica de San Jose - La Joya / Consulta medica y curacion de herida en la posta medica / Medicamentos (Angel Flores Clavijo)</t>
  </si>
  <si>
    <t>LIQ.GH.022</t>
  </si>
  <si>
    <t>Devolucion - Prestamo Interno - Caja AQP</t>
  </si>
  <si>
    <t>Compra de residuos Aprovechables - OC 001-N° 0001725</t>
  </si>
  <si>
    <t>001 - N° 0001725</t>
  </si>
  <si>
    <t>001- N° 004151</t>
  </si>
  <si>
    <t>RQ.OPE.925 - LIQ.OPE.075 - Servicio de transporte de residuos no aprovechables desde Villa Esperanza hacia Chilca - disposicion Innova Ambiental - Proveedor: Empresa de Transporte y Servicios Generales KONNI</t>
  </si>
  <si>
    <t>EMPRESA DE TRANSPORTES Y SERVICIOS GENERALES KONNI</t>
  </si>
  <si>
    <t>LIQ.OPE.075</t>
  </si>
  <si>
    <t>LIQ.OPE.076 - Detergente para limpieza en almacen VE (2kg.)</t>
  </si>
  <si>
    <t>LIQ.OPE.076</t>
  </si>
  <si>
    <t>RQ.COM.237 - LIQ.COM.060 - Balanza por el pesaje de chatarra cargada en Villa Esperanza</t>
  </si>
  <si>
    <t>RQ.COM.237</t>
  </si>
  <si>
    <t>RQ.COM.240 - LIQ.COM.059 - Servicio de mantenimiento de tinas metalicas: Redificacion de puertas y laterales, pintado, soldadura y rotulado de logo - Proveedor: Gerardo C.</t>
  </si>
  <si>
    <t>GERARDO C.</t>
  </si>
  <si>
    <t>RQ.COM.240</t>
  </si>
  <si>
    <t>001- N° 004155</t>
  </si>
  <si>
    <t>LIQ.GH.024 - RQ.GH.148 - Apoyo en segregacion de carton y descarga de IBCs (Almacen 1) (4) / Apoyo en segregacion de carton (Almacen 1) (5) / Apoyo en clasificacion de sacos big bag (Almacen 3) (22)</t>
  </si>
  <si>
    <t>RQ.GH.148</t>
  </si>
  <si>
    <t>Luis Alberto Huamani Sonco</t>
  </si>
  <si>
    <t>001- N° 004159</t>
  </si>
  <si>
    <t>Movimiento Anulado</t>
  </si>
  <si>
    <t>LIQ.COM.063 - RQ.COM.246 - Recoleccion de residuos aprovechables de la empresa Campo Limpio en sede Tarapoto (Transporte y mano de obra) - Proveedor: Eduen Burga</t>
  </si>
  <si>
    <t>EDUEN BURGA</t>
  </si>
  <si>
    <t>RQ.COM.246</t>
  </si>
  <si>
    <t>001- N° 004166</t>
  </si>
  <si>
    <t xml:space="preserve">LIQ.GH.025 - RQ.GH.147 - Apoyo en recoleccion de residuos aprovechables Cuzco </t>
  </si>
  <si>
    <t>RQ.GH.147</t>
  </si>
  <si>
    <t>LIQ.COM.058 - Desayuno / Almuerzo (2 personas)</t>
  </si>
  <si>
    <t>LIQ.COM.058</t>
  </si>
  <si>
    <t>001- N° 004157</t>
  </si>
  <si>
    <t>LIQ.OPE.078 - RQ.OPE.941 - Transporte de residuos de Villa Esperanza a Chilca (Almacen de Marco) para posteriormente ser dispuestos en Innova Ambiental. Tipo de residuo: Peligrosos. Cantidad aproximada a cargar: 1,700.00kg. - Proveedor: Expresso JJ Arequipa Express S.R.L.</t>
  </si>
  <si>
    <t>EXPRESO JJ AREQUIPA EXPRESS S.R.L.</t>
  </si>
  <si>
    <t>RQ.OPE.941</t>
  </si>
  <si>
    <t>Gastos de gerencia - Sin motivo ni sustento</t>
  </si>
  <si>
    <t>(2 )LIQ.GH.024 - RQ.GH.148 - Apoyo en segregacion de carton y descarga de IBCs (Almacen 1) (4) / Apoyo en segregacion de carton (Almacen 1) (5) / Apoyo en clasificacion de sacos big bag (Almacen 3) (22)</t>
  </si>
  <si>
    <t>LUCIA ALVAREZ QUILLA</t>
  </si>
  <si>
    <t>Magda Limachi Mamani</t>
  </si>
  <si>
    <t>001- N° 004170</t>
  </si>
  <si>
    <t>LIQ.COM.065 - RQ.COM.249 - Mano de obra para compra de residuos en Alsur Cusco</t>
  </si>
  <si>
    <t>RQ.COM.249</t>
  </si>
  <si>
    <t>LIQ.LOG.033 - RQ.LOG.241 - Fabricacion de estructura metalica para acondicionamiento de leña. El servicio incluye el soldado, lijado y pintado de cada estructura - Proveedor: Gerardo C.</t>
  </si>
  <si>
    <t>RQ.LOG.241</t>
  </si>
  <si>
    <t>LIQ.LOG.032 - RQ.LOG.250 - Compra de cubos de arena para el estucado y tarrajeado de garita de seguridad en Villa Esperanza - Proveedor: Tiendas la 90 E.I.R.L.</t>
  </si>
  <si>
    <t>RQ.LOG.250</t>
  </si>
  <si>
    <t>LIQ.COM.062 - RQ.COM.245 - Transporte de 248 pallets y 165 marcos de madera desde Almacen Huaranguillo hacia Pedregal - Proveedor: Juan Reynaldo Curipaco</t>
  </si>
  <si>
    <t>JUAN REYNALDO CURIPACO</t>
  </si>
  <si>
    <t>RQ.COM.245</t>
  </si>
  <si>
    <t>LIQ.COM.061 - RQ.COM.243 - Servicio de transporte de 300 pallets de madera desde almacen N°3 - Huaranguillo hasta el Pedregal (Se descargo en 2 puntos según el area de ventas) - Proveedor: Jonnathan Suazo Alania</t>
  </si>
  <si>
    <t>JONNATHAN SUAZO ALANIA</t>
  </si>
  <si>
    <t>RQ.COM.243</t>
  </si>
  <si>
    <t>Compra de residuos Aprovechables - OC 001 - N° 0001780</t>
  </si>
  <si>
    <t>CACERES JIMENEZ JUDITH</t>
  </si>
  <si>
    <t>001 - N° 0001780</t>
  </si>
  <si>
    <t>Compra de residuos Aprovechables - OC 001 - N° 0001779</t>
  </si>
  <si>
    <t>001 - N° 0001779</t>
  </si>
  <si>
    <t>Compra de residuos Aprovechables - OC 001 - N° 0001588</t>
  </si>
  <si>
    <t>001 - N° 0001588</t>
  </si>
  <si>
    <t>001- N° 004168</t>
  </si>
  <si>
    <t>Devolucion - 001- N° 004087 - OP44 (001- N° 004177)</t>
  </si>
  <si>
    <t>(001- N° 004177)</t>
  </si>
  <si>
    <t>Juan Llanos Carpio</t>
  </si>
  <si>
    <t>001- N° 004176</t>
  </si>
  <si>
    <t>001- N° 004183</t>
  </si>
  <si>
    <t>Balanza - Venta de NS: 001- N° 004183</t>
  </si>
  <si>
    <t>Paolo Josue Cuadros Ogufco</t>
  </si>
  <si>
    <t>001- N° 004184</t>
  </si>
  <si>
    <t>Balanza - Venta de NS: 001- N° 004133</t>
  </si>
  <si>
    <t>Balanza - Venta de NS: 001- N° 004144</t>
  </si>
  <si>
    <t>Balanza - Venta de NS: 001- N° 004153</t>
  </si>
  <si>
    <t>Balanza - Venta de NS: 001- N° 004162</t>
  </si>
  <si>
    <t>Balanza - Venta de NS: 001- N° 004170</t>
  </si>
  <si>
    <t>001- N° 004181</t>
  </si>
  <si>
    <t>Pago de Mi Banco - Deuda no conocida.</t>
  </si>
  <si>
    <t>001- N° 003748</t>
  </si>
  <si>
    <t>001- N° 003783</t>
  </si>
  <si>
    <t>LIQ.OPE.081 - Apoyo operativo en relleno Innova Ambiental La Joya -  07/02/2025</t>
  </si>
  <si>
    <t>LIQ.OPE.081</t>
  </si>
  <si>
    <t>LIQ.COM.067 - Comision por servicio de residuos peligrosos a H-E PARTS (FS 001-3098 de 2024 / Peso: 1,210 Kg.) / Comision por servicio de residuos peligrosos a H-E PARTS (FS 001-3898 de 2024 / Peso: 1,800 Kg.) - Proveedor: Percy  Yucra</t>
  </si>
  <si>
    <t>PERCY YUCRA</t>
  </si>
  <si>
    <t>LIQ.COM.067</t>
  </si>
  <si>
    <t>LIQ.COM.068 - RQ.COM.201 - Imanes para selección de chatarra de acero inoxidable, cobre, aluminio entre otros metales de valor para uso de almacenes, supervisores y area de venta - Proveedor: Andrea Condori</t>
  </si>
  <si>
    <t>ANDREA CONDORI</t>
  </si>
  <si>
    <t>RQ.COM.201</t>
  </si>
  <si>
    <t>Geraldyn Ramos Ala</t>
  </si>
  <si>
    <t>LIQ.OPE.079 - RQ.OPE.946 - Servicio de transporte de residuos aprovechables (botas y chatarra metalica), no aprovechables y peligrosos (aceite en desuso) , epps envases, desde Alsur Peru Cusco hacia almacen Huaranguillo - Proveedor: Grupo Lider AQP S.A.C.</t>
  </si>
  <si>
    <t>GRUPO LIDER AQP S.A.C.</t>
  </si>
  <si>
    <t>RQ.OPE.946</t>
  </si>
  <si>
    <t>LIQ.LOG.031 - Elaboracion de parantes metalicos de 1.5 metros de altura para instalacion de reflectores - Proveedor: Fernando Jesus Marquez Avila</t>
  </si>
  <si>
    <t>RQ.LOG.240</t>
  </si>
  <si>
    <t>LIQ.COM.072 - RQ.COM.258 - Sacas Big Bag de Polipropileno para suministrarle a nuestro cliente TACONSER / Envio de las sacas Big Bag de polipropileno de Huachipa a Santa Anita (Lima) - Proveedor: NE</t>
  </si>
  <si>
    <t>NE</t>
  </si>
  <si>
    <t>RQ.COM.258</t>
  </si>
  <si>
    <t>LIQ.COM.066 - RQ.COM.252 - Compra de gaseosas para nuestro cliente Antilla Copper por apoyo en la gestion del servicio. La compra fue realizada por el Sr. Juan Tarifa - Proveedor: NE</t>
  </si>
  <si>
    <t>RQ.COM.252</t>
  </si>
  <si>
    <t>001- N° 004195</t>
  </si>
  <si>
    <t>QOMER SAC</t>
  </si>
  <si>
    <t>001- N° 004196</t>
  </si>
  <si>
    <t>001- N° 004198</t>
  </si>
  <si>
    <t xml:space="preserve">LIQ.COM.071 - RQ.COM.253 -Transporte de residuos peligrosos con restos metálicos de Celicon Ingenieros S.A.C. hacia Almacén Huaranguillo 
Proveedor: Walter Mamani </t>
  </si>
  <si>
    <t>RQ.COM.253</t>
  </si>
  <si>
    <t>001- N° 004032</t>
  </si>
  <si>
    <t>001- N° 004203</t>
  </si>
  <si>
    <t>Pago personal por fuera (RH) - Febrero 2025</t>
  </si>
  <si>
    <t>Anulado</t>
  </si>
  <si>
    <t>001- N° 004188</t>
  </si>
  <si>
    <t>001- N° 004209</t>
  </si>
  <si>
    <t>001- N° 004210</t>
  </si>
  <si>
    <t>LIQ.COM.064 - RQ.COM.250 - Legalizacion de Hoja</t>
  </si>
  <si>
    <t>NOTARIA BOLIVAR</t>
  </si>
  <si>
    <t>RQ.COM.250</t>
  </si>
  <si>
    <t>LIQ.COM.073 - RQ.COM.260 - Transporte y recoleccion de residuos aprovechables provenientes de Alsur (Cusco) hacia la ciudad del Cusco para su venta a Ecomilan - Proveedor: Transportes Carlos Kayro E.I.R.L.</t>
  </si>
  <si>
    <t>RQ.COM.260</t>
  </si>
  <si>
    <t>Nelson Gregorio Quispe Ccapa</t>
  </si>
  <si>
    <t>Pago a personal de lavado (se realizo el lavado del camarote de la unidad VBB-840) - Proveedor: NE</t>
  </si>
  <si>
    <t>LIQ.OPE.070</t>
  </si>
  <si>
    <t>Compra de residuos Aprovechables - OC 001 - N° 0001769</t>
  </si>
  <si>
    <t>001 - N° 0001769</t>
  </si>
  <si>
    <t>LIQ.OPE.080 - RQ.OPE.979 -Descarga y carga de 02 tinas metálicas vacías de unidad FOTON BKL-739
Moly-Cop Adesur S.A. (La Joya)</t>
  </si>
  <si>
    <t>EMILIO CABANA</t>
  </si>
  <si>
    <t>RQ.OPE.979</t>
  </si>
  <si>
    <t>LIQ.COM.074  - RQ.COM.265 - Servicio de transporte para cargar 2 Ton de leña desde almacen Huaranguillo hasta Mariano Melgar - Los Olivos (350.00) / Mano de obra para descarga de leña (160.00)- Proveedor: NE</t>
  </si>
  <si>
    <t>RQ.COM.265</t>
  </si>
  <si>
    <t>LIQ.GH.027 - Pago por los dias laborados en Marzo 2025</t>
  </si>
  <si>
    <t>EDUARDO VIZCARDO</t>
  </si>
  <si>
    <t>LIQ.GH.027</t>
  </si>
  <si>
    <t>Daniel Casos Sucapuca</t>
  </si>
  <si>
    <t>003- N° 000543</t>
  </si>
  <si>
    <t>003- N° 000544</t>
  </si>
  <si>
    <t>003- N° 000545</t>
  </si>
  <si>
    <t>Edwin Mesco Villavicencio</t>
  </si>
  <si>
    <t>003- N° 000546</t>
  </si>
  <si>
    <t>Ely Kayra Salcedo</t>
  </si>
  <si>
    <t>003- N° 000547</t>
  </si>
  <si>
    <t>003- N° 000548</t>
  </si>
  <si>
    <t>Hilda Obregón Tapia</t>
  </si>
  <si>
    <t>003- N° 000549</t>
  </si>
  <si>
    <t>Kendal Ramirez</t>
  </si>
  <si>
    <t>003- N° 000550</t>
  </si>
  <si>
    <t>Hipolito Suni Gutierrez</t>
  </si>
  <si>
    <t>003- N° 000551</t>
  </si>
  <si>
    <t>EDWARD NEIL BERRIO DIAZ</t>
  </si>
  <si>
    <t>003- N° 000552</t>
  </si>
  <si>
    <t>Julio Bustinza Guzman</t>
  </si>
  <si>
    <t>003- N° 000553</t>
  </si>
  <si>
    <t>003- N° 000554</t>
  </si>
  <si>
    <t>003- N° 000555</t>
  </si>
  <si>
    <t>Pruden Huaya Mesa</t>
  </si>
  <si>
    <t>003- N° 000556</t>
  </si>
  <si>
    <t>003- N° 000557</t>
  </si>
  <si>
    <t>Recarga de agua de pozo (2)</t>
  </si>
  <si>
    <t>Orestes Vargas Luque</t>
  </si>
  <si>
    <t>001- N° 004218</t>
  </si>
  <si>
    <t>LIQ.COM.070 - RQ.COM.254 - Desayuno de personal</t>
  </si>
  <si>
    <t>RQ.COM.254</t>
  </si>
  <si>
    <t>001- N° 004217</t>
  </si>
  <si>
    <t>Giancarlo Urday Valencia</t>
  </si>
  <si>
    <t>001- N° 004221</t>
  </si>
  <si>
    <t>LIQ.OPE.082 - Apoyo Operativo Cena - Dia 03.03.2025</t>
  </si>
  <si>
    <t>LIQ.OPE.082</t>
  </si>
  <si>
    <t>LIQ.LOG.036 - RQ.LOG.265 - Servicio de tarrajeado oficina villa esperanza - Proveedor: Graciano Chila Valeriano</t>
  </si>
  <si>
    <t>GRACIANO CHILA VALERIANO</t>
  </si>
  <si>
    <t>RQ.LOG.265</t>
  </si>
  <si>
    <t>LIQ.LOG.035 - RQ.LOG.262 - Servicio de picado del cuarto piso del Almacen Huaranguillo para poder enchapar con las nuevas mayolicas - Proveedor: Javier Delgadillo</t>
  </si>
  <si>
    <t>JAVIER DELGADILLO</t>
  </si>
  <si>
    <t>RQ.LOG.262</t>
  </si>
  <si>
    <t>001- N° 004223</t>
  </si>
  <si>
    <t>Pago por el servicio de Agua del 01.01.2025 al 31.01.2025 (50.00)</t>
  </si>
  <si>
    <t>LIQ.COM.075 - RQ.COM.266 - Mano de obra para el servicio de recoleccion de residuos no aprovechables en Alsur Cusco - Proveedor: NE</t>
  </si>
  <si>
    <t>LIQ.COM.075</t>
  </si>
  <si>
    <t>LIQ.GH.026 - RQ.GH.151 - Detalles para cumpleaños - Febrero 2025 - Proveedor: NE</t>
  </si>
  <si>
    <t>LIQ.GH.026</t>
  </si>
  <si>
    <t>LIQ.GH.023 - Curacion de la herida del trabajador Angel Flores en la posta de San Jose - Proveedor: NE</t>
  </si>
  <si>
    <t>LIQ.GH.023</t>
  </si>
  <si>
    <t>LIQ.GH.029 - Apoyo en el area de Gestion Humana y entrevista con el personal Operativo - Proveedor: Katherine Rios</t>
  </si>
  <si>
    <t>KHATERINE RIOS</t>
  </si>
  <si>
    <t>LIQ.GH.029</t>
  </si>
  <si>
    <t>LIQ.GH.028 - Pago por dias laborados como operario de almacen - Proveedor: Hilton Ipashima</t>
  </si>
  <si>
    <t>HILTON IPASHIMA</t>
  </si>
  <si>
    <t>LIQ.GH.028</t>
  </si>
  <si>
    <t>Juber Monteza Bustamante</t>
  </si>
  <si>
    <t>Ticket de embarque - Juber Bustamante</t>
  </si>
  <si>
    <t>JUBER MONTEZA</t>
  </si>
  <si>
    <t>LIQ.COM.076 - Almuerzo de personal - Proveedor: NE</t>
  </si>
  <si>
    <t>LIQ.COM.076</t>
  </si>
  <si>
    <t>Alquiler - Almacen Arequipa (2) - BOLAÑOS VALDEZ REBECA - Periodo Septiembre / Octubre 2024</t>
  </si>
  <si>
    <t>LIQ.OPE.083 - RQ.OPE.1000 - Transporte de residuos aprovechables hacia almacen Villa Esperanza para su descarga y regreso a MolyCop para devolucion de tinas vacias / Transporte de residuos no aprovechables desde Villa Esperanza hacia almacen N3 para su descarga - Proveedor: Sucapuca Gonzales Juan Wilson</t>
  </si>
  <si>
    <t>SUCAPUCA GONZALES JUAN WILSON</t>
  </si>
  <si>
    <t>RQ.OPE.1000</t>
  </si>
  <si>
    <t>Balanza - Venta de NS: 001- N° 004239</t>
  </si>
  <si>
    <t>Balanza - Venta de NS: 001- N° 004215</t>
  </si>
  <si>
    <t>Compra de residuos Aprovechables - OC 001 - N° 0001826</t>
  </si>
  <si>
    <t>001 - N° 0001826</t>
  </si>
  <si>
    <t>LIQ.COM.078 - RQ.COM.277 - Vehiculo baranda para cargio de 9 ibcs y 24 cilindros desde Huaranguillo hacia Mariscal Castilla - Proveedor: NE</t>
  </si>
  <si>
    <t>RQ.COM.277</t>
  </si>
  <si>
    <t>LIQ.COM.077 - RQ.COM.276 - Vehiculo baranda para carguio de 2.5 Ton de leña desde Huaranguillo hacia Peruarbo JLBYR - Proveedor: NE</t>
  </si>
  <si>
    <t>RQ.COM.276</t>
  </si>
  <si>
    <t>LIQ.OPE.084 - RQ.OPE.1003 - Servicio de transporte de residuos peligrosos y no aprovechables hasta el almacen de Marco en Chilca - Lima - Proveedor: Luis Apaza</t>
  </si>
  <si>
    <t>LUIS APAZA</t>
  </si>
  <si>
    <t>RQ.OPE.1003</t>
  </si>
  <si>
    <t>Compra de residuos Aprovechables - OC 001 - N° 0001817</t>
  </si>
  <si>
    <t>001 - N° 0001817</t>
  </si>
  <si>
    <t>001- N° 004233</t>
  </si>
  <si>
    <t>001- N° 004241</t>
  </si>
  <si>
    <t>Orlando Ruben Ortiz Chirinos</t>
  </si>
  <si>
    <t>001- N° 004235</t>
  </si>
  <si>
    <t>001- N° 004242</t>
  </si>
  <si>
    <t>Anyela Flores Larico</t>
  </si>
  <si>
    <t>001- N° 004243</t>
  </si>
  <si>
    <t>001- N° 004244</t>
  </si>
  <si>
    <t>LIQ.COM.079 - RQ.COM.278 - Mano de obra para selección de residuos de Campo Limpio en Santa Anita - Lima</t>
  </si>
  <si>
    <t>RQ.COM.278</t>
  </si>
  <si>
    <t>LIQ.STI.009 - RQ.STI.076 - Mantenimiento correctivo de software de laptop - Proveedor: Edwin Whalmor Toledo Huillca</t>
  </si>
  <si>
    <t>EDWIN WHALMOR TOLEDO HUILLCA</t>
  </si>
  <si>
    <t>RQ.STI.076</t>
  </si>
  <si>
    <t>LIQ.STI.008 - RQ.STI.076 - Recuperacion de archivos Onedrive- Proveedor: Percy Arturo Llerena Rios</t>
  </si>
  <si>
    <t>PERCY ARTURO LLERENA RIOS</t>
  </si>
  <si>
    <t>001- N° 004238</t>
  </si>
  <si>
    <t>001- N° 004239</t>
  </si>
  <si>
    <t>001- N° 004248</t>
  </si>
  <si>
    <t>001- N° 004249</t>
  </si>
  <si>
    <t>LIQ.COM.081 - Balanza para pesaje de leña gruesa desde almacén Villa Esperanza hacia Arequipa para venta - Proveedor: NE</t>
  </si>
  <si>
    <t>LIQ.COM.081</t>
  </si>
  <si>
    <t>LIQ.COM.080 - RQ.COM.244 - Fabricacion de contenedor metalico amarillo para chatarra pesada - Proveedor: Gerardo Tapara</t>
  </si>
  <si>
    <t>GERARDO TAPARA</t>
  </si>
  <si>
    <t>RQ.COM.244</t>
  </si>
  <si>
    <t>Luz Ysabel Quispe Quispe.</t>
  </si>
  <si>
    <t>001- N° 004253</t>
  </si>
  <si>
    <t>LIQ.COM.085 - RQ.COM.282 Mano de obra para limpieza y pintado de cilindros metálicos cerrados, delivery para transporte de pinturas Mariscal a Gytres AQP</t>
  </si>
  <si>
    <t>LIQ.COM.085</t>
  </si>
  <si>
    <t>001- N° 004256</t>
  </si>
  <si>
    <t>001- N° 004257</t>
  </si>
  <si>
    <t>001- N° 004258</t>
  </si>
  <si>
    <t xml:space="preserve">LIQ.OPE.085/ RQ.OPE.990 Descarga y carga de montacarga realizar actividades en almacén Villa Esperanza </t>
  </si>
  <si>
    <t>LIQ.OPE.085</t>
  </si>
  <si>
    <t xml:space="preserve">LIQ.COM.082 - RQ.COM.244 Adicional por modificaciones solicitadas por Gerencia </t>
  </si>
  <si>
    <t xml:space="preserve">Marcos Choque Loayza </t>
  </si>
  <si>
    <t>LIQ.COM.082</t>
  </si>
  <si>
    <t>LIQ.COM.083 - RQ.COM.244 Servicio transporte de materiales desde Aceros Comerciales hasta almacén N°03</t>
  </si>
  <si>
    <t>LIQ.COM.083</t>
  </si>
  <si>
    <t xml:space="preserve">LIQ.COM.084  -RQ.COM.244 Compra de grilletes de izaje 1" - elaboracion de contendor </t>
  </si>
  <si>
    <t>LIQ.COM.084</t>
  </si>
  <si>
    <t xml:space="preserve">LIQ.GH.030 - Segregación de sacos en almacén, autorizado por Gerencia </t>
  </si>
  <si>
    <t>Luis Alberto Mamani Sonco</t>
  </si>
  <si>
    <t>LIQ.GH.030</t>
  </si>
  <si>
    <t>Compra de residuos Aprovechables - OC 001 - N° 0001838</t>
  </si>
  <si>
    <t>MAMANI TARIFA VICTOR RAUL</t>
  </si>
  <si>
    <t>001 - N° 0001838</t>
  </si>
  <si>
    <t>LIQ.COM.087 - RQ.COM.281 - Sacado de puentes superiores y cortado de IBC en horario nocturno - Proveedor: Varios</t>
  </si>
  <si>
    <t>RQ.COM.281</t>
  </si>
  <si>
    <t>LIQ.COM.086 - Gaseosa de 1.5litros Kola Escocesa para cliente Cooperativa Minera Comig de Ananea Limitada - Proveedor: Varios</t>
  </si>
  <si>
    <t>LIQ.COM.086</t>
  </si>
  <si>
    <t>RQ.SSO.199 - LIQ.SSO.004 - Servicio de encomienda Palomino para el envio de epps (mamelucos y pantalones)</t>
  </si>
  <si>
    <t>RQ.SSO.199</t>
  </si>
  <si>
    <t>001- N° 004251</t>
  </si>
  <si>
    <t>001- N° 004268</t>
  </si>
  <si>
    <t>LIQ.OPE.088 - RQ.OPE.1027 - Recoleccion y transporte de residuos Aprovechables - No Peligroso (Alambron) - Arequipa / La Joya - Proveedor:  Juan Wilson Sucapuca Gonzales</t>
  </si>
  <si>
    <t>JUAN WILSON SUCAPUCA GONZALES</t>
  </si>
  <si>
    <t>RQ.OPE.1027</t>
  </si>
  <si>
    <t>LIQ.OPE.086 - Abastecimiento de GLP para montacargas UNICARRIERS - Proveedor: NE</t>
  </si>
  <si>
    <t>LIQ.OPE.086</t>
  </si>
  <si>
    <t>RQ.OPE.948 - LIQ.OPE.087 - Carguio de montacargas en Km. 48 - Proveedor: Emilio Cabanillas</t>
  </si>
  <si>
    <t>EMILIO CABANILLAS</t>
  </si>
  <si>
    <t>RQ.OPE.948</t>
  </si>
  <si>
    <t>Donacion PNP - En favor de Comisaria de Pampa de Camarones para bateria de Vehiculo - Cesar Ivan Condori Zeballos</t>
  </si>
  <si>
    <t>001- N° 004273</t>
  </si>
  <si>
    <t>LIQ.LOG.037 - RQ.LOG.272 - Fabricacion de 3 contenedores metalicos para chatarra metalica - Proveedor: Luis Fernando Taipe Saraza</t>
  </si>
  <si>
    <t>LUIS FERNANDO TAIPE SARAZA</t>
  </si>
  <si>
    <t>RQ.LOG.272</t>
  </si>
  <si>
    <t>Gastos de Recoleccion - NS: 002- N° 000719</t>
  </si>
  <si>
    <t>001- N° 004278</t>
  </si>
  <si>
    <t>001- N° 004272</t>
  </si>
  <si>
    <t>LIQ.LOG.038 - RQ.LOG.276 - Servicio de doblado de plancha metalica para reparacion de porton metalico</t>
  </si>
  <si>
    <t>RQ.LOG.276</t>
  </si>
  <si>
    <t>Compra de residuos Aprovechables - OC 001 - N° 0001873</t>
  </si>
  <si>
    <t>CCAMA CCALLA MARCELINO</t>
  </si>
  <si>
    <t>001 - N° 0001873</t>
  </si>
  <si>
    <t>Compra de residuos Aprovechables - OC 001 - N° 0001872</t>
  </si>
  <si>
    <t>001 - N° 0001872</t>
  </si>
  <si>
    <t>LIQ.OPE.089 - RQ.OPE.948 - Descarga de montacargas en el Km48. - Proveedor: Emilio Cabanillas</t>
  </si>
  <si>
    <t>LIQ.OPE.090 - Compra de GLP para montacargas - Proveedor: Corporacion Andina del Gas</t>
  </si>
  <si>
    <t>CORPORACION ANDINA DEL GAS</t>
  </si>
  <si>
    <t>LIQ.OPE.090</t>
  </si>
  <si>
    <t>001- N° 004280</t>
  </si>
  <si>
    <t>Recibo pendiente de regularizar - Fernando M.</t>
  </si>
  <si>
    <t>LIQ.OPE.091</t>
  </si>
  <si>
    <t>LIQ.OPE.092 - Impresión de manifiestos de Residuos Peligrosos y otros para disposicion en relleno de seguridad - Impresión en librería realizado en Aeropuertos del Peru (Ayacucho) - Proveedor: NE</t>
  </si>
  <si>
    <t>LIQ.OPE.092</t>
  </si>
  <si>
    <t>001- N° 004285</t>
  </si>
  <si>
    <t>001- N° 004286</t>
  </si>
  <si>
    <t>Gastos de Gerencia - Alfombras</t>
  </si>
  <si>
    <t>Pago personal por fuera (RH) - Marzo 2025</t>
  </si>
  <si>
    <t>Crissley Lazarte Aguirre</t>
  </si>
  <si>
    <t>001- N° 004284</t>
  </si>
  <si>
    <t>001- N° 004283</t>
  </si>
  <si>
    <t>001- N° 004291</t>
  </si>
  <si>
    <t>003- N° 000558</t>
  </si>
  <si>
    <t>003- N° 000559</t>
  </si>
  <si>
    <t>003- N° 000560</t>
  </si>
  <si>
    <t>Olger Cornejo</t>
  </si>
  <si>
    <t>003- N° 000561</t>
  </si>
  <si>
    <t>003- N° 000562</t>
  </si>
  <si>
    <t>Wily Mayta Flores</t>
  </si>
  <si>
    <t>003- N° 000563</t>
  </si>
  <si>
    <t>003- N° 000564</t>
  </si>
  <si>
    <t>003- N° 000565</t>
  </si>
  <si>
    <t>003- N° 000566</t>
  </si>
  <si>
    <t>Darwin Franks Chalco Mansilla</t>
  </si>
  <si>
    <t>003- N° 000567</t>
  </si>
  <si>
    <t>003- N° 000568</t>
  </si>
  <si>
    <t>Llenada de pozo de agua (4) - Almacen Villa Esperanza</t>
  </si>
  <si>
    <t>Balanza KM 48</t>
  </si>
  <si>
    <t>LIQ.COM.089 - RQ.COM.294 - Servicio de transporte de 300 parihuelas desde almacen N°3 hasta el distrito de Pedregal, la descarga se realizo al dia siguiente a primera hora en los 2 puntos indicados por el area de ventas - Proveedor: Jonathan Suazo Alania</t>
  </si>
  <si>
    <t>RQ.COM.294</t>
  </si>
  <si>
    <t>LIQ.GH.031 - RQ.GH.167 - Apoyo en descarga manual de residuos peligrosos y no aprovechables a montacarguista de unidad tercerizada - Proveedor: NE</t>
  </si>
  <si>
    <t>RQ.GH.167</t>
  </si>
  <si>
    <t>001- N° 004290</t>
  </si>
  <si>
    <t>LIQ.COM.088 - Apoyo por papeleta de transito - Daniela Camero Carnero</t>
  </si>
  <si>
    <t>LIQ.COM.088</t>
  </si>
  <si>
    <t>Bonificacion Comercial - FE01-375 / FE01-416 /PE 001-3242</t>
  </si>
  <si>
    <t>LIQ.COM.090 - RQ.COM.297 - Maquinaria para carguio de residuo no peligroso en Km 48.</t>
  </si>
  <si>
    <t>RQ.COM.297</t>
  </si>
  <si>
    <t>Jhonny Garcia Chacnama</t>
  </si>
  <si>
    <t>LIQ.OPE.094 - RQ.OPE.1062 - Servicio de recoleccion de transporte de residuos aprovechables - Moly-cop (La Joya) / Almacen Villa Esperanza - Proveedor: Juan Succapuca</t>
  </si>
  <si>
    <t>JUAN SUCCAPUCA</t>
  </si>
  <si>
    <t>RQ.OPE.1062</t>
  </si>
  <si>
    <t>LIQ.LOG.040 - RQ.LOG.277 - Materiales para instalacion de gasfiteria en almacen Villa Esperanza - Proveedor: Ferreteria Jesus</t>
  </si>
  <si>
    <t>FERRETERIA JESUS</t>
  </si>
  <si>
    <t>RQ.LOG.277</t>
  </si>
  <si>
    <t>001- N° 004313</t>
  </si>
  <si>
    <t>LIQ.OPE.093 - Mantenimiento correctivo BKK-849</t>
  </si>
  <si>
    <t>LIQ.OPE.093</t>
  </si>
  <si>
    <t>LIQ.GH.032 - RQ.GH.170 - Apoyo en recoleccion de residuos aprovechables y no aprovechables (Alsur Cusco) - Proveedor: Jorge Queque</t>
  </si>
  <si>
    <t>JORGE QUEQUE</t>
  </si>
  <si>
    <t>RQ.GH.170</t>
  </si>
  <si>
    <t>001- N° 004194</t>
  </si>
  <si>
    <t>001- N° 004212</t>
  </si>
  <si>
    <t>001- N° 004320</t>
  </si>
  <si>
    <t>001- N° 004319</t>
  </si>
  <si>
    <t>Compra de residuos Aprovechables - OC 001 - N° 0001905</t>
  </si>
  <si>
    <t>CCORI HUAMANI HERNAN</t>
  </si>
  <si>
    <t>001 - N° 0001905</t>
  </si>
  <si>
    <t>A Y M TRANSPORTES</t>
  </si>
  <si>
    <t>LIQ.COM.103</t>
  </si>
  <si>
    <t>Molina Chavez Salvador</t>
  </si>
  <si>
    <t>LIQ.LOG.039 - RQ.LOG.281 - Servicio de fabricacion de techo metalico aluzinc TR4</t>
  </si>
  <si>
    <t>CRITIAN TAIPE SARAZA</t>
  </si>
  <si>
    <t>RQ.LOG.281</t>
  </si>
  <si>
    <t>001- N° 004323</t>
  </si>
  <si>
    <t>LIQ.COM.092 - RQ.COM.302 - Maquinaria grua para carguio de chatarra 30Ton - Proveedor: NE</t>
  </si>
  <si>
    <t>RQ.COM.302</t>
  </si>
  <si>
    <t>LIQ.COM.091 - RQ.COM.301 - Apoyo en montacargas - Proveedor: NE</t>
  </si>
  <si>
    <t>RQ.COM.301</t>
  </si>
  <si>
    <t>Karina Ramirez Flores</t>
  </si>
  <si>
    <t>LIQ.SIG.002 - Impresión de 20 hojas a color aproximadamente - Proveedor: Librería Catito</t>
  </si>
  <si>
    <t>LIBRERÍA CATITO</t>
  </si>
  <si>
    <t>LIQ.SIG.002</t>
  </si>
  <si>
    <t>LIQ.LOG.041 - RQ.LOG.283 - Servicio de autolavado de camioneta VBW889 / Servicio de autolavado BDQ-458 - Proveedor: NE</t>
  </si>
  <si>
    <t>RQ.LOG.283</t>
  </si>
  <si>
    <t>RQ.COM.192 - LIQ.COM.023 - Maquinaria de carga y descarga de vidrio en desuso - Proveedor: Santos Chavarria Vega</t>
  </si>
  <si>
    <t>SANTOS CHAVARRIA VEGA</t>
  </si>
  <si>
    <t>RQ.COM.192</t>
  </si>
  <si>
    <t>001- N° 004328</t>
  </si>
  <si>
    <t>001- N° 004333</t>
  </si>
  <si>
    <t>001- N° 004334</t>
  </si>
  <si>
    <t>LIQ.STI.010 - RQ.STI.082 - Mantenimiento de software de PC - Proveedor: Percy Llerena Rios</t>
  </si>
  <si>
    <t>LIQ.STI.010</t>
  </si>
  <si>
    <t>LIQ.GH.034 - RQ.GH.175 - Apoyo en recoleccion de residuos aprovechables (Campo limpio Quilmana) - Proveedor: Jorge Queque</t>
  </si>
  <si>
    <t>RQ.GH.175</t>
  </si>
  <si>
    <t>LIQ.GH.033 - RQ.GH.174 - Apoyo en recoleccion de residuos aprovechables (Molycop Tralsa Callao) - Proveedor: Jorge Queque</t>
  </si>
  <si>
    <t>RQ.GH.174</t>
  </si>
  <si>
    <t>001- N° 004340</t>
  </si>
  <si>
    <t>ANULADO</t>
  </si>
  <si>
    <t>LIQ.OPE.096 - RQ.OPE.1088 - Carga y descarga de chatarra metalica en local - Proveedor: NE</t>
  </si>
  <si>
    <t>RQ.OPE.1088</t>
  </si>
  <si>
    <t>LIQ.OPE.097 - Cochera de unidad vehicular para ejecucion de servicio - Proveedor: NE</t>
  </si>
  <si>
    <t>VIZCARRA DELGADO DANIEL</t>
  </si>
  <si>
    <t>para balanzas</t>
  </si>
  <si>
    <t>LIQ.COM.094 - RQ.COM.310 Servicio tercerizado para recojo de merma por venta de chatarra metálica en Parque Industrial, Apipa - Cerro Colorado  - Proveedor: NE</t>
  </si>
  <si>
    <t>LIQ.COM.094</t>
  </si>
  <si>
    <t>LIQ.GH.035 - RQ.GH.178 - Acondicionamiento de residuos en almacen 3 / Taxi - Proveedor: NE</t>
  </si>
  <si>
    <t>RQ.GH.178</t>
  </si>
  <si>
    <t>LIQ.GH.036 - RQ.GH.179 - Acondicionamiento de residuos en almacen 3 - Proveedor: NE</t>
  </si>
  <si>
    <t>RQ.GH.179</t>
  </si>
  <si>
    <t>Gastos de Gerencia - Pago Alquiler de Lima y Gastos de Capacitación</t>
  </si>
  <si>
    <t>LIQ.COM.093 - RQ.COM.304 - Maquinaria grua para carguio de chatarra metalica para venta: Grua cap. 9Ton de izaje en Almacen Gytres Arequipa - Proveedor: NE</t>
  </si>
  <si>
    <t>RQ.COM.304</t>
  </si>
  <si>
    <t>001- N° 004350</t>
  </si>
  <si>
    <t>001- N° 004353</t>
  </si>
  <si>
    <t>LIQ.COM.095 - RQ.COM.314 - Agregado para disposicion final - Medida M3 para atencion cliente Celicon</t>
  </si>
  <si>
    <t>RQ.COM.314</t>
  </si>
  <si>
    <t>001- N° 004346</t>
  </si>
  <si>
    <t>LIQ.OPE.098 - RQ.OPE.1072 / RQ.OPE.1073 - Impresión de manifiestos para disposicion de residuos en innova Ambiental - Proveedor: NE</t>
  </si>
  <si>
    <t>RQ.OPE.1072
RQ.OPE.1073</t>
  </si>
  <si>
    <t>LIQ.COM.098 - RQ.COM.313 - Servicio de vehiculo en plataforma para carguio de vidrio desde almacen Huaranguillo - Proveedor: Luis Apaza</t>
  </si>
  <si>
    <t>RQ.COM.313</t>
  </si>
  <si>
    <t>001- N° 004360</t>
  </si>
  <si>
    <t>001- N° 004362</t>
  </si>
  <si>
    <t>LIQ.LOG.042 - Embalaje de encomienda de muestras del area comercial en transportes Moquegua para Plaza norte - Lima - Proveedor: NE</t>
  </si>
  <si>
    <t>LIQ.LOG.042</t>
  </si>
  <si>
    <t>LIQ.COM.097 - RQ.COM.308 - Recoleccion y transporte de residuos aprovechables (leña) para venta en Peru-arbor JLBYR - Proveedor: Transportes Carlos Kayro E.I.R.L.</t>
  </si>
  <si>
    <t>RQ.COM.308</t>
  </si>
  <si>
    <t>LIQ.COM.096 - RQ.COM.307 - Recoleccion y transporte de residuos aprovechables (leña) para venta en Mariano Melgar / Los Olivos - Proveedor: Transportes Carlos Kayro E.I.R.L.</t>
  </si>
  <si>
    <t>RQ.COM.307</t>
  </si>
  <si>
    <t>001- N° 004316</t>
  </si>
  <si>
    <t>001- N° 004317</t>
  </si>
  <si>
    <t xml:space="preserve">LIQ.COM.102 - RQ.COM.316 - Adelanto de transporte para camión furgón, para carguio de 80 cilindros de plásticos de Ayacucho a Lima </t>
  </si>
  <si>
    <t>Transervis S.A.C.</t>
  </si>
  <si>
    <t>RQ.COM.316</t>
  </si>
  <si>
    <t>LIQ.OPE.099 - Compra de gaseosas sin factura por cargio  y acondicionado de leña / Actividad realizada el dia 10.04.2025 - Compra autorizada por Gerencia - Proveedor: NE</t>
  </si>
  <si>
    <t>LIQ.OPE.099</t>
  </si>
  <si>
    <t>LIQ.COM.099 - RQ.COM.311 - Transporte y afirmado para disposicion Final - Proveedor:  NE</t>
  </si>
  <si>
    <t>RQ.COM.311</t>
  </si>
  <si>
    <t>LIQ.COM.100 - RQ.COM.293 - Compra de cabezal de segunda (Marca: T-Scale, Modelo: BWS) - Proveedor: Balanzas Warton S.R.L.</t>
  </si>
  <si>
    <t>BALANZAS WARTON S.R.L.</t>
  </si>
  <si>
    <t>RQ.COM.293</t>
  </si>
  <si>
    <t>LIQ.COM.101 - Bocaditos y gaseosa para la capacitacion: Declaracion en plataforma de SIGERSOL - Proveedor: NE</t>
  </si>
  <si>
    <t>LIQ.COM.101</t>
  </si>
  <si>
    <t>LIQ.OPE.101 - RQ.OPE.1102 - Cupo por personas terceras en zona externa de planta - Proveedor: NE</t>
  </si>
  <si>
    <t>RQ.OPE.1102</t>
  </si>
  <si>
    <t>LIQ.OPE.103 - RQ.OPE.1103 - Carguio de chatarra metalica a unidad tercerizada para venta - Proveedor: Emilio Cabana</t>
  </si>
  <si>
    <t>RQ.OPE.1103</t>
  </si>
  <si>
    <t>LIQ.OPE.102 - Renovacion de inspeccion tecnica (Pegatina de tercera placa en carroceria) - Proveedor: NE</t>
  </si>
  <si>
    <t>LIQ.OPE.102</t>
  </si>
  <si>
    <t>LIQ.OPE.100 - Pesaje de residuos no aprovechables para disposicion en innova Ambiental - Proveedor: NE</t>
  </si>
  <si>
    <t>LIQ.OPE.100</t>
  </si>
  <si>
    <t>LIQ.OPE.095 - Cable capot 3 metros / Candado - Proveedor: NE</t>
  </si>
  <si>
    <t>LIQ.OPE.095</t>
  </si>
  <si>
    <t>Pago personal por fuera (RH) - Abril 2025</t>
  </si>
  <si>
    <t>001- N° 004384</t>
  </si>
  <si>
    <t>LIQ.LOG.043 - RQ.LOG.286 - Compra de carne fresca para mascota de Almacen VE - Proveedor: NE</t>
  </si>
  <si>
    <t>RQ.LOG.286</t>
  </si>
  <si>
    <t>LIQ.OPE.104 - RQ.OPE.1109 - Transporte de residuos no aprovechables de Arequipa a almacen de Marco Chilca - Proveedor: Transportes Unidest S.A.C.</t>
  </si>
  <si>
    <t>RQ.OPE.1109</t>
  </si>
  <si>
    <t>LIQ.LOG.044 - RQ.LOG.294 - Recarga de Bidon de agua mineral 20Ltrs - Proveedor: NE</t>
  </si>
  <si>
    <t>RQ.LOG.294</t>
  </si>
  <si>
    <t>Venta de Residuos - Responsable Valeria J. - Villa Esperanza</t>
  </si>
  <si>
    <t>003- N° 000569</t>
  </si>
  <si>
    <t>Edy Perez Chocano</t>
  </si>
  <si>
    <t>003- N° 000570</t>
  </si>
  <si>
    <t>003- N° 000571</t>
  </si>
  <si>
    <t>Cecilio Morales Ollachica</t>
  </si>
  <si>
    <t>003- N° 000572</t>
  </si>
  <si>
    <t>Jesus Cieza Ochoa</t>
  </si>
  <si>
    <t>003- N° 000573</t>
  </si>
  <si>
    <t>Ronan Choque</t>
  </si>
  <si>
    <t>003- N° 000574</t>
  </si>
  <si>
    <t>Orlando Quispe Ticona</t>
  </si>
  <si>
    <t>003- N° 000575</t>
  </si>
  <si>
    <t>Guillermo Vera</t>
  </si>
  <si>
    <t>003- N° 000576</t>
  </si>
  <si>
    <t>003- N° 000577</t>
  </si>
  <si>
    <t>003- N° 000578</t>
  </si>
  <si>
    <t>003- N° 000579</t>
  </si>
  <si>
    <t>Benicia Curasi Florez</t>
  </si>
  <si>
    <t>003- N° 000580</t>
  </si>
  <si>
    <t>003- N° 000581</t>
  </si>
  <si>
    <t>Julio Machuca Vargas</t>
  </si>
  <si>
    <t>003- N° 000582</t>
  </si>
  <si>
    <t>003- N° 000583</t>
  </si>
  <si>
    <t>003- N° 000584</t>
  </si>
  <si>
    <t>003- N° 000585</t>
  </si>
  <si>
    <t>003- N° 000586</t>
  </si>
  <si>
    <t>Llenada de pozo de agua (5) - Almacen Villa Esperanza</t>
  </si>
  <si>
    <t>Compra de Agua</t>
  </si>
  <si>
    <t>001- N° 004322</t>
  </si>
  <si>
    <t>001- N° 004324</t>
  </si>
  <si>
    <t xml:space="preserve">	Paul Olazabal Valdivia</t>
  </si>
  <si>
    <t>001- N° 004394</t>
  </si>
  <si>
    <t>LIQ.COM.104 - RQ.COM.319 - Recolección, transporte y venta de residuos aprovechables (chatarra y aluminio) para descarga en Pachacutec y Via evitamiento</t>
  </si>
  <si>
    <t>RQ.COM.319</t>
  </si>
  <si>
    <t>Compra de residuos Aprovechables - OC 001 - N° 0001909</t>
  </si>
  <si>
    <t>001 - N° 0001909</t>
  </si>
  <si>
    <t>001- N° 004402</t>
  </si>
  <si>
    <t>001- N° 004400</t>
  </si>
  <si>
    <t>001- N° 004398</t>
  </si>
  <si>
    <t>LIQ.LOG.040 - RQ.LOG.276 Servicio de reparación de portón princial (soldadura y pintado de estructura metálica)</t>
  </si>
  <si>
    <t>LIQ.LOG.040</t>
  </si>
  <si>
    <t>LIQ.OPE.106 - RQ.OPE.1139 Recolección y transporte de residuos peligrosos de la Joya hacia almacén Marco (Chilca)</t>
  </si>
  <si>
    <t>LIQ.OPE.106</t>
  </si>
  <si>
    <t xml:space="preserve">LIQ.OPE.105 - Se realizó carga de batería de AUDI BDQ-458 </t>
  </si>
  <si>
    <t>LIQ.OPE.105</t>
  </si>
  <si>
    <t>Devolucion Venta de Facturas - FF07-2 / FF07-3 / FF07-4 / FF07-5 (RESIGRALE S.R.L.)</t>
  </si>
  <si>
    <t>001- N° 004416</t>
  </si>
  <si>
    <t>001- N° 004417</t>
  </si>
  <si>
    <t>Entregas a rendir - Excedente por entrega de dinero en venta de facturas</t>
  </si>
  <si>
    <t>001- N° 004349</t>
  </si>
  <si>
    <t>Pago por el servicio de Agua del 01.02.2025 al 28.02.2025 (50.00)
Pago por el servicio de Agua del 01.03.2025 al 31.03.2025 (50.00)</t>
  </si>
  <si>
    <t>Venta de Residuos - Responsable Imer Bustamante</t>
  </si>
  <si>
    <t>LIQ.COM.106 - RQ.COM.324 - Servicio de descarga con maquinaria para venta de vidrio en Lima (Precio 15.00 por tonelada) - 12.33Ton - Proveedor: NE</t>
  </si>
  <si>
    <t>RQ.COM.324</t>
  </si>
  <si>
    <t>LIQ.COM.105 - Servicio de pesaje en KM48 para la venta de chatarra a Sider Peru - Proveedor: NE</t>
  </si>
  <si>
    <t>LIQ.COM.105</t>
  </si>
  <si>
    <t>001- N° 004423</t>
  </si>
  <si>
    <t>Daniel Valdivia Chavez</t>
  </si>
  <si>
    <t>001- N° 004426</t>
  </si>
  <si>
    <t>001- N° 004425</t>
  </si>
  <si>
    <t>001- N° 004427</t>
  </si>
  <si>
    <t>Villa Esperanza</t>
  </si>
  <si>
    <t>003- N° 000587</t>
  </si>
  <si>
    <t>003- N° 000588</t>
  </si>
  <si>
    <t>003- N° 000589</t>
  </si>
  <si>
    <t>Compra de Residuos Aprovechables - OC 00000100</t>
  </si>
  <si>
    <t>CONTINENTAL S.A.C.</t>
  </si>
  <si>
    <t>OC 00000100</t>
  </si>
  <si>
    <t>LIQ.OPE.109 - RQ.OPE.1164 - Sacas de polipropileno - Adquisicion de sacas de 2tn - Proveedor: NE</t>
  </si>
  <si>
    <t>RQ.OPE.1164</t>
  </si>
  <si>
    <t>Compra de Residuos Aprovechables - OC 00000110</t>
  </si>
  <si>
    <t xml:space="preserve">CHACON DIAZ JEANETH JACQUELINE </t>
  </si>
  <si>
    <t>OC 00000110</t>
  </si>
  <si>
    <t>LIQ.COM.107 - RQ.COM.331 - Apoyo de montacargas - Proveedor: NE</t>
  </si>
  <si>
    <t>RQ.COM.331</t>
  </si>
  <si>
    <t>LIQ.OPE.107 - Auxilio mecanico - Proveedor: NE</t>
  </si>
  <si>
    <t>LIQ.OPE.107</t>
  </si>
  <si>
    <t>LIQ.OPE.112 - RQ.OPE.1164 - Sacas de polipropileno - Adquisicion de sacas de 2tn -(costo de envío ) Proveedor: NE</t>
  </si>
  <si>
    <t>LIQ.GH.037 - RQ.GH.185 - Chocolates paquete en forma de corazon - Proveedor: NE</t>
  </si>
  <si>
    <t>RQ.GH.185</t>
  </si>
  <si>
    <t>LIQ.LOG.046 - RQ.LOG.309 - Alimento canino (12kg) / Camote - Proveedor: NE</t>
  </si>
  <si>
    <t>RQ.LOG.309</t>
  </si>
  <si>
    <t>001- N° 004439</t>
  </si>
  <si>
    <t>001- N° 004430</t>
  </si>
  <si>
    <t>001- N° 004428</t>
  </si>
  <si>
    <t>LIQ.COM.109 - RQ.COM.330 - Pago por servicio de transporte de 4000 cajas desde almacen Huaranguillo hacia Lima - Proveedor: Transportes Pacori J &amp; G E.I.R.L.</t>
  </si>
  <si>
    <t>RQ.COM.330</t>
  </si>
  <si>
    <t>LIQ.OPE.113 - RQ.OPE.1175 - Adelanto por servicio de transporte desde almacen Villa Esperanza hacia almacen en Chilca - Proveedor: Empresa de transportes Laguna E.I.R.L.</t>
  </si>
  <si>
    <t>RQ.OPE.1175</t>
  </si>
  <si>
    <t xml:space="preserve">LIQ.OPE.114 - RQ.OPE.1177 - Alquiler de circulina para ingreso a DP World logística, en atención a Inca Tops </t>
  </si>
  <si>
    <t>RQ.OPE.1177</t>
  </si>
  <si>
    <t xml:space="preserve">LIQ.OPE.115 - RQ.OPE.1174 - Impresión de manifiestos, guías y otros para servicios y disposición de residuos </t>
  </si>
  <si>
    <t>RQ.OPE.1174</t>
  </si>
  <si>
    <t>LIQ.OPE.111 - Transporte para compra de baterías para Hino 500, para atención a Inca Tops S.A.</t>
  </si>
  <si>
    <t>LIQ.OPE.111</t>
  </si>
  <si>
    <t>LIQ.COM.108 - RQ.COM.332 - Chinches por 100 unds / Mano de obra por pintado de plataforma Hino / Mano de obra por descarga de cilindros y colocacion de arpillera - Proveedor: NE</t>
  </si>
  <si>
    <t>RQ.COM.332</t>
  </si>
  <si>
    <t>001- N° 004441</t>
  </si>
  <si>
    <t>001- N° 004450</t>
  </si>
  <si>
    <t>Pago de RXH - Mayo 2025</t>
  </si>
  <si>
    <t>LIQ.COM.111 - RQ.COM.333 Pago por compra de 20 pallets de madera para venta a MolyCop</t>
  </si>
  <si>
    <t>Marco Gárate</t>
  </si>
  <si>
    <t>LIQ.COM.111</t>
  </si>
  <si>
    <t xml:space="preserve">	INVERSIONES NEGMARGS S.R.L.</t>
  </si>
  <si>
    <t>001- N° 003978</t>
  </si>
  <si>
    <t>001- N° 004463</t>
  </si>
  <si>
    <t>LIQ.COM.110 - RQ.COM.334 Recolección, transporte y venta de residuos aprovechables (madera suelta).</t>
  </si>
  <si>
    <t>LIQ.COM.110</t>
  </si>
  <si>
    <t>LIQ.COM.112 - RQ.COM.335 Recolección, transporte y venta de residuos aprovechables (madera) de almacén Huaranguillo a los Olivos (Mariano Melgar)</t>
  </si>
  <si>
    <t>LIQ.COM.112</t>
  </si>
  <si>
    <t>001- N° 004468</t>
  </si>
  <si>
    <t>001- N° 004466</t>
  </si>
  <si>
    <t xml:space="preserve">LIQ.LOG.047 - RQ.LOG.297 Servicio de desatoramiento en Alm. 03 </t>
  </si>
  <si>
    <t xml:space="preserve">Jose Luis Velasquez Mamani </t>
  </si>
  <si>
    <t>LIQ.LOG.047</t>
  </si>
  <si>
    <t>003- N° 000590</t>
  </si>
  <si>
    <t>Idelfonso Brigas</t>
  </si>
  <si>
    <t>003- N° 000591</t>
  </si>
  <si>
    <t>Liz Canchari Mamani</t>
  </si>
  <si>
    <t>003- N° 000592</t>
  </si>
  <si>
    <t>003- N° 000593</t>
  </si>
  <si>
    <t>003- N° 000594</t>
  </si>
  <si>
    <t>003- N° 000595</t>
  </si>
  <si>
    <t>Cynthia Gutierrez Aragon</t>
  </si>
  <si>
    <t>003- N° 000596</t>
  </si>
  <si>
    <t>003- N° 000597</t>
  </si>
  <si>
    <t>003- N° 000598</t>
  </si>
  <si>
    <t>003- N° 000599</t>
  </si>
  <si>
    <t>003- N° 000600</t>
  </si>
  <si>
    <t>Alicia Huarca Saico</t>
  </si>
  <si>
    <t>003- N° 000601</t>
  </si>
  <si>
    <t>003- N° 000603</t>
  </si>
  <si>
    <t>003- N° 000604</t>
  </si>
  <si>
    <t>LIQ.OPE.116 - RQ.OPE.1191 - Adelanto por servicio de transportes de residuos peligrosos para disposición, Alm. Huaranguillo - Almacén Marco (Chilca)</t>
  </si>
  <si>
    <t>LIQ.OPE.116</t>
  </si>
  <si>
    <t>Pago de RXH - Diciembre 2024</t>
  </si>
  <si>
    <t>001- N° 004472</t>
  </si>
  <si>
    <t>LIQ.GH.039 - RQ.GH.193 Apoyo en carguío de envases vacíos de Campo Limpio (Pisco)</t>
  </si>
  <si>
    <t>LIQ.GH.039</t>
  </si>
  <si>
    <t>LIQ.GH.038 - RQ.GH.192 Apoyo en conducción de unidad vehicular HINO V9R-9003 para servicio en Inca Tops</t>
  </si>
  <si>
    <t>LIQ.GH.038</t>
  </si>
  <si>
    <t>Compra de Residuos Aprovechables - OC 00000148</t>
  </si>
  <si>
    <t>M&amp;P REPRESENTACIONES GENERALES S.A.C.</t>
  </si>
  <si>
    <t>OC 00000148</t>
  </si>
  <si>
    <t>LIQ.LOG.060 - RQ.LOG.314 - Instalación de timbre y toma corriente en almacén 03</t>
  </si>
  <si>
    <t>LIQ.LOG.060</t>
  </si>
  <si>
    <t>LIQ.COM.113 - Almuerzo (Gleen, Alison, Diego) por horario extendido en feria de medio ambiente de Alicorp</t>
  </si>
  <si>
    <t>LIQ.COM.113</t>
  </si>
  <si>
    <t xml:space="preserve">LIQ.COM.114 - RQ.COM.339 - Adelanto por servicio de transporte de 60-65 IBC's desde Alm. Huaranguillo y Villa Esperanza hacia Envases Carolina - Lima </t>
  </si>
  <si>
    <t>Transportes OLOCH S.A.C.</t>
  </si>
  <si>
    <t>LIQ.COM.114</t>
  </si>
  <si>
    <t xml:space="preserve">LIQ.COM.115 - RQ.COM.339 - Saldo por servicio de transporte de 60-65 IBC's desde Alm. Huaranguillo y Villa Esperanza hacia Envases Carolina - Lima </t>
  </si>
  <si>
    <t>LIQ.COM.115</t>
  </si>
  <si>
    <t>LIQ.COM.116 - RQ.COM.336 Compra de pallets de madera (20) , para venta a MolyCop</t>
  </si>
  <si>
    <t>Nicolás Vilca</t>
  </si>
  <si>
    <t>LIQ.COM.116</t>
  </si>
  <si>
    <t xml:space="preserve">LIQ.OPE.117 - RQ.OPE.1200 Cambio de tina de radiador </t>
  </si>
  <si>
    <t>LIQ.OPE.117</t>
  </si>
  <si>
    <t>001- N° 004487</t>
  </si>
  <si>
    <t>001- N° 004498</t>
  </si>
  <si>
    <t>001- N° 004499</t>
  </si>
  <si>
    <t>001- N° 004502</t>
  </si>
  <si>
    <t>LIQ.GH.040 - RQ.GH.182 - Plato de comida / Gaseosa</t>
  </si>
  <si>
    <t>RQ.GH.182</t>
  </si>
  <si>
    <t>001- N° 004459</t>
  </si>
  <si>
    <t xml:space="preserve">LIQ.GH.041 - RQ.GH.197 - Carguio de residuos en Campo Limpio - Ica </t>
  </si>
  <si>
    <t>LIQ.GH.041</t>
  </si>
  <si>
    <t>Compra de Residuos Aprovechables - OC 00000130</t>
  </si>
  <si>
    <t>OC 00000130</t>
  </si>
  <si>
    <t>Compra de Residuos Aprovechables - OC 00000112</t>
  </si>
  <si>
    <t>OC 00000112</t>
  </si>
  <si>
    <t>LIQ.COM.118 - RQ.COM.343 Selección de sacos de polipropileno de Alprosa</t>
  </si>
  <si>
    <t xml:space="preserve">Aydee Chumbes </t>
  </si>
  <si>
    <t>LIQ.COM.118</t>
  </si>
  <si>
    <t>Elber Medina Calderon</t>
  </si>
  <si>
    <t>001- N° 004513</t>
  </si>
  <si>
    <t>001- N° 004520</t>
  </si>
  <si>
    <t>001- N° 004524</t>
  </si>
  <si>
    <t xml:space="preserve">LIQ.COM.119 - RQ.COM.323 Adelanto de servicio de fabricación de 8 contenedores para área comercial </t>
  </si>
  <si>
    <t>LIQ.COM.119</t>
  </si>
  <si>
    <t>LIQ.LOG.061 - RQ.LOG.320 Construcción de plataforma en Almacen 03</t>
  </si>
  <si>
    <t xml:space="preserve">LIQ.LOG.061 </t>
  </si>
  <si>
    <t>LIQ.OPE.123 - RQ.OPE.1239  - Adelanto - transporte papel kraft</t>
  </si>
  <si>
    <t xml:space="preserve">Gian Franco Apaza Mendoza </t>
  </si>
  <si>
    <t>LIQ.OPE.123</t>
  </si>
  <si>
    <t>001- N° 004497</t>
  </si>
  <si>
    <t>LIQ.COM.120 - RQ.COM.346 - Compra de pallets (40)  aprovechables para venta  NS:001-4537</t>
  </si>
  <si>
    <t>LIQ.COM.120</t>
  </si>
  <si>
    <t>001- N° 004532</t>
  </si>
  <si>
    <t>001- N° 004533</t>
  </si>
  <si>
    <t>001- N° 004535</t>
  </si>
  <si>
    <t xml:space="preserve">LIQ.OPE.118 - Pago extra por movilización de unidad </t>
  </si>
  <si>
    <t>LIQ.OPE.118</t>
  </si>
  <si>
    <t>LIQ.OPE.121 - Apoyo de personal tercero para carguío de residuos peligrosos para disposición, MolyCop Santa Anita</t>
  </si>
  <si>
    <t>LIQ.OPE.121</t>
  </si>
  <si>
    <t xml:space="preserve">LIQ.OPE.119 - Apoyo de personal para disposición en relleno en Innova Ambiental 19/06 </t>
  </si>
  <si>
    <t>LIQ.OPE.119</t>
  </si>
  <si>
    <t>Inocencio Prieto Rojas</t>
  </si>
  <si>
    <t>001- N° 004540</t>
  </si>
  <si>
    <t xml:space="preserve">Henrry Cornejo Caceres	</t>
  </si>
  <si>
    <t>001- N° 004542</t>
  </si>
  <si>
    <t>001- N° 004536</t>
  </si>
  <si>
    <t>LIQ.OPE.120 - Compra de 1/4 de hidrolina Audi BDQ-458</t>
  </si>
  <si>
    <t>LIQ.OPE.120</t>
  </si>
  <si>
    <t xml:space="preserve">LIQ.COM.117 - RQ.COM.344 - Apoyo en montacargas, servicio de Inca Tops </t>
  </si>
  <si>
    <t>LIQ.COM.117</t>
  </si>
  <si>
    <t>RQ.OPE.1247 - LIQ.OPE.122 - Impresión de guias y manifiestos para disposicion de residuos - Proveedor: NE</t>
  </si>
  <si>
    <t>RQ.OPE.1247</t>
  </si>
  <si>
    <t xml:space="preserve">LIQ.GH.042 - Compra de materiales y bocaditos para despedida Natalia </t>
  </si>
  <si>
    <t>LIQ.GH.042</t>
  </si>
  <si>
    <t>001- N° 004557</t>
  </si>
  <si>
    <t>001- N° 004544</t>
  </si>
  <si>
    <t>001- N° 004560</t>
  </si>
  <si>
    <t>001- N° 004563</t>
  </si>
  <si>
    <t xml:space="preserve">LIQ.GH.043 - RQ.GH.202 - Apoyo en acondicionamiento de residuos en Almacén 03 </t>
  </si>
  <si>
    <t>LIQ.GH.043</t>
  </si>
  <si>
    <t>LIQ.GH.044 - RQ.GH.203 Reintegro de cuatro servicios de caja trampa en Moly Cop a ex trabajador - Franklin Vilca 31/12</t>
  </si>
  <si>
    <t>LIQ.GH.044</t>
  </si>
  <si>
    <t>Pago de RXH - Junio 2025</t>
  </si>
  <si>
    <t>LIQ.LOG.063 - Compra de jugos gloria</t>
  </si>
  <si>
    <t>LIQ.LOG.063</t>
  </si>
  <si>
    <t>LIQ.STI.012 - Mica de celular Moto G04</t>
  </si>
  <si>
    <t>LIQ.STI.012</t>
  </si>
  <si>
    <t>Reposicion equivalente a Epps - Colaborador: Daniel Alcca</t>
  </si>
  <si>
    <t>LOG</t>
  </si>
  <si>
    <t>LIQ.LOG.064 - Compra de almuerzo para el Sr. Jhonatan Lopez (Melaminero)</t>
  </si>
  <si>
    <t>LIQ.LOG.064</t>
  </si>
  <si>
    <t>OPE</t>
  </si>
  <si>
    <t>RQ.OPE.1233 - LIQ.OPE.126 - Curso de actualizacion de la normativa de transporte y transito terrestre</t>
  </si>
  <si>
    <t>RQ.OPE.1233</t>
  </si>
  <si>
    <t>LIQ.OPE.127 - Carga de bateria - Audi BDQ-458</t>
  </si>
  <si>
    <t>LIQ.OPE.127</t>
  </si>
  <si>
    <t>STI</t>
  </si>
  <si>
    <t>LIQ.STI.013 - Galletas para bocaditos de reunion administrativa</t>
  </si>
  <si>
    <t>LIQ.STI.013</t>
  </si>
  <si>
    <t>Compra de residuos aprovechables - OC Nro. 00000236</t>
  </si>
  <si>
    <t>OC Nro. 00000236</t>
  </si>
  <si>
    <t>001- N° 004574</t>
  </si>
  <si>
    <t>001- N° 004577</t>
  </si>
  <si>
    <t>Judith Stefany del Pilar Serrano Villaca</t>
  </si>
  <si>
    <t>001- N° 004566</t>
  </si>
  <si>
    <t>COM</t>
  </si>
  <si>
    <t>LIQ.COM.121 - Gastos por recoleccion de residuos en Campo Limpio Tarapoto - FC 001-3856 - Fecha de recoleccion: 03 de Julio - Proveedor: Eduen Burga</t>
  </si>
  <si>
    <t>LIQ.COM.121</t>
  </si>
  <si>
    <t>GH</t>
  </si>
  <si>
    <t>RQ.GH.205 - LIQ.GH.045 - Azucar - Caja de te filtrante - Proveedor: NE</t>
  </si>
  <si>
    <t>SIG</t>
  </si>
  <si>
    <t>Kevin Begazo Valer</t>
  </si>
  <si>
    <t>SANDOVAL TERNERO CARLOS ALBERTO</t>
  </si>
  <si>
    <t>CFI.D09-07-0556</t>
  </si>
  <si>
    <t>Balanza de Nota de salida 001-4589</t>
  </si>
  <si>
    <t>LIQ.OPE.128 - Soldadura de 3 puntos de las puertas de carrocería - BKL-739</t>
  </si>
  <si>
    <t>LIQ.OPE.124- Regulación de frenos - BKK-849</t>
  </si>
  <si>
    <t>LIQ.COM.122 - Servicio de transporte de envases vacios de plastico - Proveedor: Miguel Huanuco</t>
  </si>
  <si>
    <t>LIQ.COM.123 - RQ.COM.356 - Botellas de agua para reunion con Inca Tops - Proveedor: NE</t>
  </si>
  <si>
    <t>LIQ.GH.047 - Pasaje de Villa esperanza - Arequipa - Villa Esperanza / Almuerzo - Proveedor: NE</t>
  </si>
  <si>
    <t>LIQ.OPE.130 - Compra de gaseosas y otros para personal operativo / Traslado de personal de Inca Tops en unidad particular - Proveedor: NE</t>
  </si>
  <si>
    <t>LIQ.OPE.132 - RQ.OPE.1288 - FOTÓN VEI-822: Revisión técnica</t>
  </si>
  <si>
    <t xml:space="preserve">LIQ.GH.046  - Plato de staff de decoración roto - Aniversario Gytres </t>
  </si>
  <si>
    <t xml:space="preserve">LIQ.OPE.129 - RQ.OPE.1255 - Almacenaje de residuos aprovechables y no aprovechables en Almacén Marco por 3 meses </t>
  </si>
  <si>
    <t xml:space="preserve">LIQ.OPE.131 - RQ.OPE.1255 - Almacenaje de residuos aprovechables y no aprovechables en Almacén Marco por 3 meses </t>
  </si>
  <si>
    <t xml:space="preserve">Venta de equipo celular - Krisley Lazarte </t>
  </si>
  <si>
    <t>Julio Alvis Ccorpuma</t>
  </si>
  <si>
    <t>GER</t>
  </si>
  <si>
    <t>Asesoría contable - periodo Dic. 2024 - Junio 2025
Yamdery Calle Ciña / Alberto Gallegos</t>
  </si>
  <si>
    <t xml:space="preserve">GH </t>
  </si>
  <si>
    <t xml:space="preserve">LIQ.GH.048 - RQ.GH.210 - Apoyo en acondicionamiento de residuos en almacén 1,2y3 </t>
  </si>
  <si>
    <t>Compra de residuos Aprovechables - OC 001 - N° 00261</t>
  </si>
  <si>
    <t>Pago por el servicio de Agua del 01.04.2025 al 30.04.2025 (50.00)
Pago por el servicio de Agua del 01.05.2025 al 31.05.2025 (50.00)</t>
  </si>
  <si>
    <t>LIQ.GH.049 - RQ.GH.213 Personal tercero para apoyo en carguío de residuos los días 11 de julio en Alsur - Cusco y el 15 de julio en Campo Limpio - Ica.</t>
  </si>
  <si>
    <t>ADM</t>
  </si>
  <si>
    <t>Almuerzo de confraternidad - administración</t>
  </si>
  <si>
    <t xml:space="preserve">bocaditos de reunión administrativa (driven - ppto) </t>
  </si>
  <si>
    <t>LIQ.OPE.135 - RQ.OPE.1297 - Apoyo de personal que ha realizado el recojo , traslado y colocación de placas provisionales en unidad nueva de Lima</t>
  </si>
  <si>
    <t>LIQ.OPE.134 - RQ.OPE.1296 - Impresión de manifiestos de residuos peligrosos para disposición en Innova Ambiental.</t>
  </si>
  <si>
    <t xml:space="preserve">Emiliano Montenegro </t>
  </si>
  <si>
    <t>CON</t>
  </si>
  <si>
    <t>LIQ.CON.001 - Certificado vigencia poder GYTRES</t>
  </si>
  <si>
    <t>LIQ.OPE.133 Cambio de foco delantero VDJ-872</t>
  </si>
  <si>
    <t xml:space="preserve">LIQ.OPE.125 - RQ.OPE.1255 Almacenaje de residuos aprovechables y no aprovechables en Almacén Marco por 2 meses </t>
  </si>
  <si>
    <t>LOG.</t>
  </si>
  <si>
    <t>LIQ.LOG.065 - RQ.LOG.328 Compra e instalación de base de rotoplast en la Joya</t>
  </si>
  <si>
    <t>Dennis Bejarano Caytan</t>
  </si>
  <si>
    <t xml:space="preserve">LIQ.GER.013 - Compras para referigerio de reunión general con consultores de marketing </t>
  </si>
  <si>
    <t xml:space="preserve">LIQ.OPE.136  - Cambio de válvula de aire y revisión </t>
  </si>
  <si>
    <t xml:space="preserve">LIQ.COM.124 - RQ.COM.359 - Recolección y transporte de residuos aprovechables (vidrio) en una unidad tercerizada para descarga en la empresa Santos Chavarria </t>
  </si>
  <si>
    <t xml:space="preserve">LIQ.OPE.137 - Regulación de frenos BKK-849 </t>
  </si>
  <si>
    <t>ISABEL PACORI</t>
  </si>
  <si>
    <t xml:space="preserve">Recolección y transporte de residups aprovechables (cajas de cartón) para descarga en la Victoria 2721 Mexico Nicolas Ayllon </t>
  </si>
  <si>
    <t xml:space="preserve">Anthony Huamani </t>
  </si>
  <si>
    <t>Devolución de dinero entregado para gastos de planilla de movilidad - 2024</t>
  </si>
  <si>
    <t xml:space="preserve">Kathia Daniela Guzmán Zúñiga </t>
  </si>
  <si>
    <t xml:space="preserve">Pago de servicio de recolección , transporte y disposición de residuos biocontaminados ejecutado el día 26/06/2025 
PE 3648/ VAL. 3528 (sin IGV) 
Cliente: Kathia Daniela Guzmán Zúñiga </t>
  </si>
  <si>
    <t>Detección de problemas con aplicativo Gytes
Corección del problema detectado en el aplicativo Gytres</t>
  </si>
  <si>
    <t>LIQ.GH.050 - Reunión  y capacitación de urgencia con gerencia
Pasaje Villa Esperanza - Arequipa /ida y vuelta
Taxi terminal - Alm. Sachaca/ ida y vuelta</t>
  </si>
  <si>
    <t>Venta de Residuos - Responsable Valeria J. - Villa Esperanza - Julio 2025</t>
  </si>
  <si>
    <t xml:space="preserve">	Lisbeth Mamani Soncco</t>
  </si>
  <si>
    <t>Flavio Huaylla Huayhua</t>
  </si>
  <si>
    <t>Jose Carlos Huillca Cconislla</t>
  </si>
  <si>
    <t>Jenifer Florian Cabos</t>
  </si>
  <si>
    <t>Jesús Sieza Ochohua</t>
  </si>
  <si>
    <t>Juan Tarifa Mamani</t>
  </si>
  <si>
    <t>Gastos de Gerencia - No se tenia fecha</t>
  </si>
  <si>
    <t>Pago de RXH - Julio 2025</t>
  </si>
  <si>
    <t>PLRF07</t>
  </si>
  <si>
    <t>LIQ.OPE.139 - RQ.OPE.1323 - Impresión de manifiestos de residuos peligrosos para disposición en Innova Ambiental.</t>
  </si>
  <si>
    <t>LIQ.OPE.142 - RQ.OPE. 1340 - Transporte de personal, servicio La Iberica</t>
  </si>
  <si>
    <t>LIQ.OPE.140 - RQ.OPE.1336 - Compra de mataomsectos para limpieza de Hino</t>
  </si>
  <si>
    <t xml:space="preserve">LIQ.STI.017 - Chip prepago con recarga 30 días (Ruben Bustamante) </t>
  </si>
  <si>
    <t>Venta de llantas (06) - Cristhian Huanuco (Lima)</t>
  </si>
  <si>
    <t>LIQ.COM.128 - RQ.COM.369 - compra de sacas big bag de cap. 2 ton para suministrar a nuestro cliente Taconser E.I.R.L. (RCD) y envío desde Pte. Piedra - MolyCop (S.A.)</t>
  </si>
  <si>
    <t>Enrique Mamani Quispe</t>
  </si>
  <si>
    <t>William Choquepuma Carlos</t>
  </si>
  <si>
    <t xml:space="preserve">LIQ.STI.018 - Reparación de Laptop Lima </t>
  </si>
  <si>
    <t>Prestamo Interno - Jack Huanuco (Adelanto sueldo Agosto)</t>
  </si>
  <si>
    <t>COM.</t>
  </si>
  <si>
    <t xml:space="preserve">LIQ.COM.127 - RQ.COM.360 - Carguio de residuos aprovechables (leña) para venta, desde Alm. Yanahuara - Mariano Melgar - Los Olivos </t>
  </si>
  <si>
    <t xml:space="preserve">LIQ.OPE.138 - RQ.OPE.1339 - Almacenaje de residuos generales desde 15 junio al 15 de julio </t>
  </si>
  <si>
    <t xml:space="preserve">LIQ.COM.126 - RQ.COM.362 - Transporte y carguio de residuos aprovechables (leña) de alm. Yanahuara a Perú Arbor (JLBR) </t>
  </si>
  <si>
    <t>LIQ.STI.11 - RQ.STI.083 - (07) Pilas AA , (01) Pilas AA</t>
  </si>
  <si>
    <t>LIQ.STI.16 - RQ.STI.096 - Revisión de problema de acceso al administrador del aplicativo Gytres</t>
  </si>
  <si>
    <t xml:space="preserve">Descarga de residuos aprovechable (vidrio), para venta en  Lima , FS: 001-4636 , Cliente: Santos Chavarria </t>
  </si>
  <si>
    <t>Aurelio Cutipa Tupacyupanqui</t>
  </si>
  <si>
    <t>LIQ.OPE.143 - RQ.OPE.1362 - Impresión de guías y otros del día 31/07/2025 y 04/08/2025</t>
  </si>
  <si>
    <t>Venta de Residuos - Responsable Valeria J. - Villa Esperanza - Junio 2025</t>
  </si>
  <si>
    <t>Oscar Bellido Cardenas</t>
  </si>
  <si>
    <t>Llenada de pozo de agua (6) - Almacen Villa Esperanza - Junio 2025</t>
  </si>
  <si>
    <t>Compra de Agua (2) - Almacen Villa Esperanza - Junio 2025</t>
  </si>
  <si>
    <t>Llenada de pozo de agua (4) - Almacen Villa Esperanza- Julio 2025</t>
  </si>
  <si>
    <t>Compra de Agua (2) - Almacen Villa Esperanza - Julio 2025</t>
  </si>
  <si>
    <t xml:space="preserve">LIQ.COM.129 - RQ.COM.365 - Pintado de contenedor IBC - color rojo, rotulación "aceite usado" color blanco y rejilla de metal.  
Cliente: COSAPI </t>
  </si>
  <si>
    <t>LIQ.OPE.144 - Soldadura de carrocería lado delantero VDJ-872</t>
  </si>
  <si>
    <t xml:space="preserve">LIQ.LOG.066 - Enmicado de código yape para área de ventas </t>
  </si>
  <si>
    <t>Efectivo (Gerencia)</t>
  </si>
  <si>
    <t>Efectivo (Caja Fuerte)</t>
  </si>
  <si>
    <t>Debe Natalia OP 393</t>
  </si>
  <si>
    <t>Debe Gregory OP 354</t>
  </si>
  <si>
    <t>Debe Salvador OP 371</t>
  </si>
  <si>
    <t>25.07.2025</t>
  </si>
  <si>
    <t>Debe Alison OP 486</t>
  </si>
  <si>
    <t>Debe Karol OP 584</t>
  </si>
  <si>
    <t>GESTION Y TRANSPORTE DE RESIDUOS SOCIEDAD ANONIMA CERRADA - GYTRES S.A.C.
Av. David Suarez Villanueva Nro. 19 Arequipa - Arequipa - Sachaca</t>
  </si>
  <si>
    <t>Ciudad:</t>
  </si>
  <si>
    <t>Arequipa</t>
  </si>
  <si>
    <t>Fecha:</t>
  </si>
  <si>
    <t>La suma de:</t>
  </si>
  <si>
    <t>Destinatario:</t>
  </si>
  <si>
    <t>Tipo de Documento:</t>
  </si>
  <si>
    <t>Serie:</t>
  </si>
  <si>
    <t>Numero:</t>
  </si>
  <si>
    <t>Por concepto de:</t>
  </si>
  <si>
    <t>RESPONS. CAJA</t>
  </si>
  <si>
    <t xml:space="preserve">Judith Serrano V.  </t>
  </si>
  <si>
    <t>Entregado a:</t>
  </si>
  <si>
    <t>RECIBE</t>
  </si>
  <si>
    <t>CAJA OPERATIVA</t>
  </si>
  <si>
    <t>Elías Paco</t>
  </si>
  <si>
    <t>Gisela Pari</t>
  </si>
  <si>
    <t xml:space="preserve">Viaticos para viaje a Lima </t>
  </si>
  <si>
    <t>Juan Jesús Tarifa Mamani</t>
  </si>
  <si>
    <t>Viáticos para la semana</t>
  </si>
  <si>
    <t>Willian Johan León</t>
  </si>
  <si>
    <t>Edwin Lucio Quispe Arviri</t>
  </si>
  <si>
    <t>Ruben Bustamante Gil</t>
  </si>
  <si>
    <t>Movilidad: 11-12-24
Actividad: Recojo de documentos 
Ruta: Almacén - Molycop
Monto: S/ 8 ( Mototaxi )
Colaborador: Cristian Huánuco</t>
  </si>
  <si>
    <t>Ronald Enrique Guizado Porras</t>
  </si>
  <si>
    <t>Movilidad: 12-12-24
Actividad: Firma de Manifiestos
Ruta: Almacén - Molycop
Monto: S/ 8 ( Mototaxi )
Colaborador: Ronald Guizado</t>
  </si>
  <si>
    <t>Movilidad: 12-12-24
Actividad: Compras de Requerimientos
Ruta: Almacén - GlobalPC
Monto: S/ 8 ( Mototaxi )
Colaborador: Ronald Guizado</t>
  </si>
  <si>
    <t>Movilidad: 13-12-24
Actividad: Entrega de Documentos
Ruta:  Encalada - Molycop
Monto: S/ 8 ( Mototaxi )
Colaborador: Ronald Guizado</t>
  </si>
  <si>
    <t>Movilidad: 13-12-24
Actividad: Envío de Documentos
Ruta: Almacén - Olva
Monto: S/ 8 ( Mototaxi )
Colaborador: Ronald Guizado</t>
  </si>
  <si>
    <t>Movilidad: 19-12-24
Actividad: Dar Alcance a Unidad Tercera
Ruta:  Almacen - Pte Perales
Monto: S/ 8 ( Particular )
Colaborador: Julio Dluzniewski</t>
  </si>
  <si>
    <t>Movilidad: 20-12-24
Actividad: Firma de Manifiestos
Ruta: Almacén - Molycop
Monto: S/ 8 ( Mototaxi )
Colaborador: Cristian Huánuco</t>
  </si>
  <si>
    <t>Movilidad: 20-12-24
Actividad: Envío de Documentos
Ruta: Almacén - Olva
Monto: S/ 8 ( Mototaxi )
Colaborador: Ronald Guizado</t>
  </si>
  <si>
    <t>Movilidad: 23-12-24
Actividad: Recojo de documentos 
Ruta: Almacén - Av Huachipa 
Monto: S/ 10 ( Particular )
Colaborador: Julio Dluzniewski</t>
  </si>
  <si>
    <t>Movilidad: 23-12-24
Actividad: Entrega de Epps 
Ruta: Almacén - Molycop
Monto: S/ 8 ( Mototaxi )
Colaborador: Ronald Guizado</t>
  </si>
  <si>
    <t>Movilidad: 26-12-24
Actividad: Firma de Manifiestos
Ruta: Almacén - Molycop
Monto: S/ 8 ( Mototaxi )
Colaborador: Ronald Guizado</t>
  </si>
  <si>
    <t>Movilidad: 26-12-24
Actividad: Recojo de documentos 
Ruta: Almacén - Molycop
Monto: S/ 8 ( Mototaxi )
Colaborador: Ronald Guizado</t>
  </si>
  <si>
    <t>Movilidad: 27-12-24
Actividad: Envío de Documentos
Ruta: Almacén - Olva
Monto: S/ 8 ( Mototaxi )
Colaborador: Ronald Guizado</t>
  </si>
  <si>
    <t>Movilidad: 30-12-24
Actividad: Dar Alcance a Unidad
Ruta:  Almacen - Kanay Chilca
Monto: S/ 25 ( Particular )
Colaborador: Julio Dluzniewski</t>
  </si>
  <si>
    <t>Movilidad: 31-12-24
Actividad: Entrega de Epp's
Ruta:  Almacen - Molycop
Monto: S/ 8 ( Mototaxi )
Colaborador: Ronald Guizado</t>
  </si>
  <si>
    <t>Movilidad: 02-01-25
Actividad: Entrega de Epp's
Ruta:  Almacen - Molycop
Monto: S/ 8 ( Mototaxi )
Colaborador: Ronald Guizado</t>
  </si>
  <si>
    <t>Movilidad: 02-01-25
Actividad: Entrega Cajas de Agua
Ruta:  Óvalo Sta Anita - Molycop
Monto: S/ 10 ( Mototaxi )
Colaborador: Ronald Guizado</t>
  </si>
  <si>
    <t>Movilidad: 03-01-25
Actividad: Envío de Documentos
Ruta: Almacén - Olva
Monto: S/ 8 ( Mototaxi )
Colaborador: Ronald Guizado</t>
  </si>
  <si>
    <t>Junior Alexander Ccama Gutierrez</t>
  </si>
  <si>
    <t>Huber Anthony Huamani Mamani</t>
  </si>
  <si>
    <t>Reposición de caja de gastos de unidades vehiculares</t>
  </si>
  <si>
    <t>Movilidad: 06-01-25
Actividad: Recojo de Manifiestos
Ruta: Almacén - Kanay 
Monto: S/ 25 ( particular )
Colaborador: Willian León</t>
  </si>
  <si>
    <t>RCO</t>
  </si>
  <si>
    <t>Reposición - Caja de Conductores</t>
  </si>
  <si>
    <t>Viaticos para viaje a Ayacucho</t>
  </si>
  <si>
    <t>Movilidad: 06-01-25
Actividad: Recojo de Manifiestos
Ruta: Chilca - Seche Group
Monto: S/ 13 ( Mototaxi )
Colaborador: Willian Leó</t>
  </si>
  <si>
    <t>Movilidad: 07-01-25
Actividad: Entregar Manifiestos
Ruta: Almacén - Molycop
Monto: S/ 8 ( Mototaxi )
Colaborador: Cristian Huánuco</t>
  </si>
  <si>
    <t>Movilidad: 07-01-25
Actividad: Recojo de Manifiestos
Ruta: Almacén - Molycop
Monto: S/ 8 ( Mototaxi )
Colaborador: Cristian Huánuco</t>
  </si>
  <si>
    <t>Movilidad: 07-01-25
Actividad: Entrega de Documentos 
Ruta: Almacén - Envak
Monto: S/ 15 ( Particular )
Colaborador: Cristian Huánuco</t>
  </si>
  <si>
    <t>Movilidad: 07-01-25
Actividad: Recojo de Epps
Ruta: Molycop - Encalada
Monto: S/ 8 ( Mototaxi )
Colaborador: Ronald Guizado</t>
  </si>
  <si>
    <t>00398973</t>
  </si>
  <si>
    <t>Movilidad: 08-01-25
Actividad: Recojo de Documentos 
Ruta: Almacén - Envak
Monto: S/ 15 ( Particular )
Colaborador: Cristian Huánuco</t>
  </si>
  <si>
    <t>Movilidad: 08-01-25
Actividad: Firma de Documentos
Ruta: Almacén - Dina e Hijos ( Puente Piedra )
Monto: S/ 30 ( Particular / Mototaxi )
Colaborador: Cristian Huánuco</t>
  </si>
  <si>
    <t>Movilidad: 10-01-25
Actividad: Envío de Documentos
Ruta: Almacén - Olva
Monto: S/ 8 ( Mototaxi )
Colaborador: Ronald Guizado</t>
  </si>
  <si>
    <t>Movilidad: 15-01-25
Actividad: Entrega de Manifiestos
Ruta: Almacén - Molycop
Monto: S/ 8 ( Mototaxi )
Colaborador: Cristian Huánuco</t>
  </si>
  <si>
    <t>Movilidad: 17-01-25
Actividad: Envío de Documentos
Ruta: Encalada - Olva
Monto: S/ 8 ( Mototaxi )
Colaborador: Ronald Guizado</t>
  </si>
  <si>
    <t>Movilidad: 17-01-25
Actividad: Entrega Cajas de Agua
Ruta:  Óvalo Sta Anita - Molycop
Monto: S/ 10 ( Mototaxi )
Colaborador: Ronald Guizado</t>
  </si>
  <si>
    <t>Viaticos para viaje a Huambo</t>
  </si>
  <si>
    <t>Reposición de caja Lima</t>
  </si>
  <si>
    <t>Movilidad: 20-01-25
Actividad: Entrega de Epps
Ruta: Almacén - Molycop
Monto: S/ 8 ( Mototaxi )
Colaborador: Ronald Guizado</t>
  </si>
  <si>
    <t>Movilidad: 23-01-25
Actividad: Entrega de Manifiestos Para Firmar
Ruta: Almacén - Molycop
Monto: S/ 8 ( Mototaxi )
Colaborador: Cristian Huánuco</t>
  </si>
  <si>
    <t>Movilidad: 23-01-25
Actividad: Recojo de Manifiestos Firmados
Ruta: Almacén - Molycop
Monto: S/ 8 ( Mototaxi )
Colaborador: Cristian Huánuco</t>
  </si>
  <si>
    <t>Movilidad: 24-01-25
Actividad: Recojo de Epps
Ruta: Molycop - Encalada 
Monto: S/ 8 ( Mototaxi )
Colaborador: Ronald Guizado</t>
  </si>
  <si>
    <t>Movilidad: 24-01-25
Actividad: Entrega de Documentos
Ruta: Almacén - Molycop
Monto: S/ 8 ( Mototaxi )
Colaborador: Cristian Huánuco</t>
  </si>
  <si>
    <t>Movilidad: 24-01-25
Actividad: Envío de Documentos 
Ruta: Almacén - Olva
Monto: S/ 8 ( Mototaxi )
Colaborador: Ronald Guizado</t>
  </si>
  <si>
    <t>Movilidad: 30-01-25
Actividad: Compras de Requerimientos
Ruta: Almacén - GlobalPC
Monto: S/ 8 ( Mototaxi )
Colaborador: Ronald Guizado</t>
  </si>
  <si>
    <t>Movilidad: 31-01-25
Actividad: Entrega de documentos 
Ruta: Almacén - Molycop
Monto: S/ 8 ( Mototaxi )
Colaborador: Cristian Huánuco</t>
  </si>
  <si>
    <t>Movilidad: 31-01-25
Actividad: Entrega de Manifiestos para Firmar
Ruta: Almacén - Molycop
Monto: S/ 8 ( Mototaxi )
Colaborador: Cristian Huánuco</t>
  </si>
  <si>
    <t>Movilidad: 31-01-25
Actividad: Envío de Documentos 
Ruta: Almacén - Olva
Monto: S/ 8 ( Mototaxi )
Colaborador: Ronald Guizado</t>
  </si>
  <si>
    <t>Viáticos para viaje a Lima</t>
  </si>
  <si>
    <t>Viáticos para viaje a Tacna</t>
  </si>
  <si>
    <t>03110625</t>
  </si>
  <si>
    <t>Esteban Miguel Solis Florido</t>
  </si>
  <si>
    <t>Movilidad: 03-02-25
Actividad: Compras de Requerimientos
Ruta: Almacén - GlobalPC
Monto: S/ 8 ( Mototaxi )
Colaborador: Ronald Guizado</t>
  </si>
  <si>
    <t>Movilidad: 05-02-25
Actividad: Entrega de Epps
Ruta: Encalada - Molycop
Monto: S/ 8 ( Mototaxi )
Colaborador: Ronald Guizado</t>
  </si>
  <si>
    <t>Movilidad: 06-02-25
Actividad: Recojo de documentos 
Ruta: Almacén - Molycop
Monto: S/ 8 ( Mototaxi )
Colaborador: Cristian Huánuco</t>
  </si>
  <si>
    <t>Movilidad: 06-02-24
Actividad: Dar Alcance a Unidad
Ruta:  Almacen - Kanay Chilca
Monto: S/ 25 ( Particular )
Colaborador: Ronald Guizado</t>
  </si>
  <si>
    <t>Movilidad: 07-02-25
Actividad: Entrega de Manifiestos Para Firmar
Ruta: Almacén - Molycop
Monto: S/ 8 ( Mototaxi )
Colaborador: Cristian Huánuco</t>
  </si>
  <si>
    <t>Movilidad: 07-02-25
Actividad: Entrega de Documentos
Ruta: Almacén - Dina e Hijos ( Puente Piedra )
Monto: S/ 30 ( Particular / Mototaxi )
Colaborador: Ronald Guizado</t>
  </si>
  <si>
    <t>Movilidad: 10-02-25
Actividad: Entrega de Epps
Ruta: Encalada - Molycop
Monto: S/ 8 ( Mototaxi )
Colaborador: Ronald Guizado</t>
  </si>
  <si>
    <t>Movilidad: 14-02-25
Actividad: Envío de Documentos
Ruta: Almacén - Olva
Monto: S/ 8 ( Mototaxi )
Colaborador: Ronald Guizado</t>
  </si>
  <si>
    <t>Movilidad: 14-02-25
Actividad: Compras de Epps
Ruta: Almacén - Green SAC
Monto: S/ 8 ( Mototaxi )
Colaborador: Ronald Guizado</t>
  </si>
  <si>
    <t>Movilidad: 19-02-25
Actividad: Entrega Cajas de Agua
Ruta:  Óvalo Sta Anita - Molycop
Monto: S/ 10 ( Mototaxi )
Colaborador: Ronald Guizado</t>
  </si>
  <si>
    <t>Movilidad: 19-02-25
Actividad: Recojo de documentos 
Ruta: Almacén - Molycop
Monto: S/ 8 ( Mototaxi )
Colaborador: Aldo De la Cruz</t>
  </si>
  <si>
    <t>Movilidad: 21-02-24
Actividad: Dar Alcance a Unidad
Ruta:  Almacen - Kanay Chilca
Monto: S/ 25 ( Particular )
Colaborador: Aldo De la Cruz</t>
  </si>
  <si>
    <t>Movilidad: 24-02-25
Actividad: Recojo de documentos 
Ruta: Almacén - Molycop
Monto: S/ 8 ( Mototaxi )
Colaborador: Cristian Huanuco</t>
  </si>
  <si>
    <t>Movilidad: 24-02-25
Actividad: Entrega de Manifiestos para Firmar
Ruta: Almacén - Molycop
Monto: S/ 8 ( Mototaxi )
Colaborador: Ronald Guizado</t>
  </si>
  <si>
    <t>Movilidad: 24-02-25
Actividad: Envío de Documentos (Urgente)
Ruta: Encalada - Olva
Monto: S/ 8 ( Mototaxi )
Colaborador: Ronald Guizado</t>
  </si>
  <si>
    <t>Movilidad: 10-02-25
Actividad: Recojo de Llave
Ruta: Encalada - Molycop
Monto: S/ 8 ( Mototaxi )
Colaborador: Cristian Huánuco</t>
  </si>
  <si>
    <t>Movilidad: 18-02-05
Actividad: Recojo De Caja Enviada
Ruta: Almacén - Shalom
Monto: S/ 8 ( Mototaxi )
Colaborador: RonalD Guizado</t>
  </si>
  <si>
    <t>Movilidad: 05/ 02/25
Actividad:  dejar la unidad en la cochera 
Ruta: Cochera hospedaje ( Chilca)
Monto: S/7.00</t>
  </si>
  <si>
    <t xml:space="preserve"> Movilidad: 06/02/25
Actividad: recojer la unidad 
Ruta: hospedaje cochera (Chilca)
Monto: 8.00</t>
  </si>
  <si>
    <t xml:space="preserve">Movilidad: 07/ 02/25
Actividad:  recojer la unidad 
Ruta: almacén Encalada - Cochera ( santa Anita)
Monto: S/10.00 
En la mañana </t>
  </si>
  <si>
    <t xml:space="preserve"> Movilidad: 07/02/25
Actividad: dejar la unidad a la cochera 
Ruta: cochera almacén Encalada (santa Anita)
Monto: 7.00
En la tarde</t>
  </si>
  <si>
    <t>Movilidad: 20/ 02/25
Actividad:  a descansar en hospedaje 
Ruta: Cochera hospedaje ( ICA)
Monto: S/10.00</t>
  </si>
  <si>
    <t>Movilidad: 21/02/25
Actividad: recojer la unidad 
Ruta: hospedaje cochera (Ica)
Monto: 9.00</t>
  </si>
  <si>
    <t>Movilidad: 21/ 02/25
Actividad:  a dejar la unidad a la cochera  
Ruta: Cochera Almacén Encalada 
Monto: S/5.00</t>
  </si>
  <si>
    <t xml:space="preserve"> Movilidad: 24/02/25
Actividad: recojer la unidad 
Ruta: Almacén Encalada - cochera 
Monto: 6.00</t>
  </si>
  <si>
    <t>Movilidad: 27/02/25
Actividad: Retorno a Arequipa 
Ruta: Santa Anita - terminal (Lima)
Monto: 20.00</t>
  </si>
  <si>
    <t>Movilidad: 06-02-24
Actividad: Traslado de Personal
Ruta:  Cochera - Almacén
Monto: S/12 (Mototaxi)
Colaborador: Ronald Guizado</t>
  </si>
  <si>
    <t>Movilidad: 25-02-25
Actividad: Entrega de Sobre con documentos
Ruta: Almacén - Tecniflow
Monto: S/ 15 ( Particular / Mototaxi)
Colaborador: Aldo de la Cruz</t>
  </si>
  <si>
    <t>Movilidad: 27-02-25
Actividad: Recojo de Manifiestos Firmados
Ruta: Almacén - Molycop
Monto: S/ 8 ( Mototaxi )
Colaborador: Cristian Huanuco</t>
  </si>
  <si>
    <t>Movilidad: 28-02-25
Actividad: Recojo de Documentos ( Fichas )
Ruta: Almacén - Molycop
Monto: S/ 8 ( Mototaxi )
Colaborador: Cristian Huanuco</t>
  </si>
  <si>
    <t>Movilidad: 28-02-25
Actividad: Entrega de Manifiestos Para Firmar
Ruta: Almacén - Envases y Soluciones Logística
Monto: S/ 10 ( Particular )
Colaborador: Cristian Huánuco</t>
  </si>
  <si>
    <t>Movilidad: 25-02-25
Actividad: Entrega de Sobre con documentos
Ruta: Almacén - Molitalia (Pte Nuevo)
Monto: S/ 15 ( Particular )
Colaborador: Jack Huánuco</t>
  </si>
  <si>
    <t>Viáticos para viaje a Puno</t>
  </si>
  <si>
    <t>Viáticos para viaje a Talma</t>
  </si>
  <si>
    <t xml:space="preserve">	00200132</t>
  </si>
  <si>
    <t>Movilidad: 04-03-25
Actividad: Recojo de Manifiestos Firmados
Ruta: Almacén - Molycop
Monto: S/ 8 ( Mototaxi )
Colaborador: Ronald Guizado</t>
  </si>
  <si>
    <t>Movilidad: 04-03-25
Actividad: Entrega de Manifiestos para Firmarlos
Ruta: Almacén - FICEMIN ( Los Olivos )
Monto: S/ 20 ( Particular )
Colaborador: Aldo De la Cruz</t>
  </si>
  <si>
    <t>Movilidad: 06-03-25
Actividad: Entrega de EPP's 
Ruta: Almacén - Molycop
Monto: S/ 8 ( Mototaxi )
Colaborador: Ronald Guizado</t>
  </si>
  <si>
    <t>Movilidad: 07-03-25
Actividad: Envío de Documentos
Ruta: Encalada - Olva
Monto: S/ 8 ( Mototaxi )
Colaborador: Ronald Guizado</t>
  </si>
  <si>
    <t>Movilidad: 07-03-25
Actividad: Compras de EPP's
Ruta: Almacén - GlobalPC
Monto: S/ 8 ( Mototaxi )
Colaborador: Aldo De la Cruz</t>
  </si>
  <si>
    <t>Movilidad: 07-03-25
Actividad: Entrega Cajas de Agua
Ruta:  Óvalo Sta Anita - Molycop
Monto: S/ 10 ( Mototaxi )
Colaborador: Ronald Guizado</t>
  </si>
  <si>
    <t>Movilidad: 11-03-25
Actividad: Entrega de Manifiestos para Firmar
Ruta: Almacén - Molycop
Monto: S/ 8 ( Mototaxi )
Colaborador: Cristian Huánuco</t>
  </si>
  <si>
    <t>Movilidad: 12-03-25
Actividad: Entrega de EPP's 
Ruta: Almacén - Molycop
Monto: S/ 8 ( Mototaxi )
Colaborador: Ronald Guizado</t>
  </si>
  <si>
    <t>Movilidad: 13-03-25
Actividad: Entrega de Fichas
Ruta: Almacén - Molycop
Monto: S/ 8 ( Mototaxi )
Colaborador: Cristian Huanúoo</t>
  </si>
  <si>
    <t>Movilidad: 14-03-25
Actividad: Recojo de Manifiestos Firmados
Ruta: Almacén - Molycop
Monto: S/ 8 ( Mototaxi )
Colaborador: Ronald Guizado</t>
  </si>
  <si>
    <t>Movilidad: 14-03-25
Actividad: Envío de Documentos
Ruta: Encalada - Olva
Monto: S/ 8 ( Mototaxi )
Colaborador: Ronald Guizado</t>
  </si>
  <si>
    <t>Movilidad: 17-03-25
Actividad: Entrega de Documentos ( Fichas )
Ruta: Almacén - Molycop
Monto: S/ 8 ( Mototaxi )
Colaborador: Ronald Guizado</t>
  </si>
  <si>
    <t>Movilidad: 18-03-25
Actividad: Recojo de Manifiestos Firmardos
Ruta: Almacén - FICEMIN ( Los Olivos )
Monto: S/ 20 ( Particular )
Colaborador: Cristian Huanúco</t>
  </si>
  <si>
    <t>Movilidad: 18-03-25
Actividad: Entrega de EPP's 
Ruta: Almacén - Molycop
Monto: S/ 8 ( Mototaxi )
Colaborador: Aldo De la Cruz</t>
  </si>
  <si>
    <t>Movilidad: 19-03-25
Actividad: Entrega de Manifiestos para Firmar
Ruta: Almacén - Molycop
Monto: S/ 8 ( Mototaxi )
Colaborador: Ronald Guizado</t>
  </si>
  <si>
    <t>Movilidad: 20-03-25
Actividad: Recojo de Manifiestos Firmardos
Ruta: Almacén - Molycop
Monto: S/ 8 ( Mototaxi )
Colaborador: Aldo De la Cruz</t>
  </si>
  <si>
    <t>Movilidad: 21-03-25
Actividad: Recojo de Documentos ( Fichas )
Ruta: Almacén - Molycop
Monto: S/ 8 ( Mototaxi )
Colaborador: Ronald Guizado</t>
  </si>
  <si>
    <t>Movilidad: 21-03-25
Actividad: Envío de Documentos
Ruta: Encalada - Olva
Monto: S/ 8 ( Mototaxi )
Colaborador: Ronald Guizado</t>
  </si>
  <si>
    <t>Movilidad: 24-03-25
Actividad: Compra de EPP,s (Ferretería)
Ruta: Encalada - Mercado de Andahuaylas
Monto: S/6 Mototaxi )
Colaborador: Ronald Guizado</t>
  </si>
  <si>
    <t>Movilidad: 25-03-25
Actividad: Alcance de Unidad Tercera
Ruta: Encalada - El Agustino
Monto: S/ 12 ( Taxi )
Colaborador: Cristian Huánuco</t>
  </si>
  <si>
    <t>Movilidad: 25-03-25
Actividad: Alcance de Unidad Tercera
Ruta: Encalada - El Agustino
Monto: S/ 12 ( Taxi )
Colaborador: Jack Huánuco</t>
  </si>
  <si>
    <t>Movilidad: 26-03-25
Actividad: Entrega de Epps
Ruta: Encalada - Molycop
Monto: S/ 8 ( Mototaxi )
Colaborador: Cristian Huánuco</t>
  </si>
  <si>
    <t>Movilidad: 28-03-25
Actividad: Entrega Cajas de Agua
Ruta:  Óvalo Sta Anita - Molycop
Monto: S/ 10 ( Mototaxi )
Colaborador: Ronald Guizado</t>
  </si>
  <si>
    <t>Movilidad: 28-03-25
Actividad: Envío de Documentos
Ruta: Encalada - Olva
Monto: S/ 8 ( Mototaxi )
Colaborador: Aldo De la Cruz</t>
  </si>
  <si>
    <t>Movilidad: 31-03-25
Actividad: Entrega de Manifiestos para Firmar
Ruta: Almacén - Molycop
Monto: S/ 8 ( Mototaxi )
Colaborador: Cristian Huánuco</t>
  </si>
  <si>
    <t>Viáticos para viaje a Ayacucho</t>
  </si>
  <si>
    <t>Movilidad: 01-04-25
Actividad: Entrega de fichas
Ruta: Encalada - Molycop
Monto: S/ 8 ( Mototaxi )
Colaborador: Cristian Huánuco</t>
  </si>
  <si>
    <t>Movilidad: 01-04-25
Actividad: Recojo de Documentos
Ruta: Almacén - Olva
Monto: S/ 8 ( Mototaxi )
Colaborador: Ronald Guizado</t>
  </si>
  <si>
    <t>Movilidad: 02-04-25
Actividad: Recojo de Fichas Firmadas
Ruta: Almacén - Molycop
Monto: S/ 8 ( Mototaxi )
Colaborador: Jack Huánuco</t>
  </si>
  <si>
    <t>Movilidad: 02-04-25
Actividad: Envío de Documentos
Ruta: Encalada - Olva
Monto: S/ 8 ( Mototaxi )
Colaborador: Ronald Guizado</t>
  </si>
  <si>
    <t>Movilidad: 02-04-25
Actividad: Envío de Paquete (Silla)
Ruta: Encalada - Shaloon
Monto: S/ 10 ( Mototaxi )
Colaborador: Cristian Huánuco</t>
  </si>
  <si>
    <t>Movilidad: 03-04-25
Actividad: Entrega de Manifiestos para Firmar
Ruta: Almacén - FICEMIN (Los Olivos)
Monto: S/ 20 ( Particular )
Colaborador: Cristian Huánuco</t>
  </si>
  <si>
    <t>Movilidad: 04-04-25
Actividad: Compra y Entregas de Requerimiento
Ruta: Almacén - GlobalPC
Monto: S/ 12 ( Mototaxi )
Colaborador: Ronald Guizado</t>
  </si>
  <si>
    <t>Movilidad: 04-04-24
Actividad: Traslado de Personal
Ruta:  Almacén - Cusqueño ( Compartir )
Monto: S/15 ( Mototaxi x3 )
Colaborador: Ronald Guizado</t>
  </si>
  <si>
    <t>Movilidad: 04-04-25
Actividad: Recojo de Manifiestos firmados
Ruta: Almacén - Molycop 
Monto: S/8 ( Mototaxi )
Colaborador: Ronald Guizado.</t>
  </si>
  <si>
    <t>Movilidad: 07-04-25
Actividad: Transporte de Stocka al taller 
Ruta: Encalada - Hidrofluid Service 
Monto: S/ 12 ( Mototaxi )
Colaborador: Cristian Huánuco</t>
  </si>
  <si>
    <t>Movilidad: 08-04-25
Actividad: Verificación del mantenimiento de Stocka
Ruta: Encalada - Hidrofluid Service 
Monto: S/ 8 ( Mototaxi )
Colaborador: Cristian Huánuco</t>
  </si>
  <si>
    <t>Movilidad: 09-04-25
Actividad: Entrega de Manifiestos para Firmar
Ruta: Almacén - Molycop
Monto: S/8 ( Mototaxi )
Colaborador: Cristian Huánuco</t>
  </si>
  <si>
    <t>Movilidad: 11-04-25
Actividad: Recojo de Stocka del taller
Ruta: Hidrofluid Service - Molycop 
Monto: S/ 12 ( Mototaxi )
Colaborador: Cristian Huánuco</t>
  </si>
  <si>
    <t>Movilidad: 11-04-25
Actividad: Recojo y Transporte de 2da Stocka 
Ruta: Molycop - Encalada
Monto: S/ 12 ( Mototaxi )
Colaborador: Cristian Huánuco</t>
  </si>
  <si>
    <t>Movilidad: 11-04-25
Actividad: Envío de Documentos
Ruta: Encalada - Olva
Monto: S/8 ( Mototaxi )
Colaborador: Ronald Guizado</t>
  </si>
  <si>
    <t>Movilidad: 11-04-25
Actividad: Compras de EPP's
Ruta: Almacén - GlobalPC
Monto: S/ 8 ( Mototaxi )
Colaborador: Ronald Guizado</t>
  </si>
  <si>
    <t>Movilidad: 14-04-25
Actividad: Recojo de Manifiestos Firmados
Ruta: Almacén - Molycop
Monto: S/ 8 ( Mototaxi )
Colaborador: Cristian Huanuco</t>
  </si>
  <si>
    <t>Movilidad: 14-04-25
Actividad: Entrega de Manifiestos Para Firmar
Ruta: Almacén - Envases y Soluciones Logística
Monto: S/ 10 ( Particular )
Colaborador: Cristian Huánuco</t>
  </si>
  <si>
    <t>Movilidad: 15-04-25
Actividad: Entrega de EPP's 
Ruta: Encalada - Molycop
Monto: S/ 8 ( Mototaxi )
Colaborador: Ronald Guizado</t>
  </si>
  <si>
    <t>Movilidad: 16-04-25
Actividad: Alcance de Unidad ( Ruta Callao )
Ruta: Encalada - Evitamiento
Monto: S/ 10 ( Mototaxi )
Colaborador: Aldo de la Cruz</t>
  </si>
  <si>
    <t>Movilidad: 21-04-25
Actividad: Recojo de Manifiestos Firmados
Ruta: Almacén - Envases y Soluciones Logística
Monto: S/ 10 ( Particular )
Colaborador: Cristian Huánuco</t>
  </si>
  <si>
    <t>Movilidad: 21-04-25
Actividad: Entrega de EPP's 
Ruta: Encalada - Molycop
Monto: S/ 8 ( Mototaxi )
Colaborador: Ronald Guizado</t>
  </si>
  <si>
    <t>Movilidad: 23-04-25
Actividad: Entrega de Sobres de Documentos 
Ruta: Encalada - Molycop
Monto: S/ 8 ( Mototaxi )
Colaborador: Ronald Guizado</t>
  </si>
  <si>
    <t>Movilidad: 24-04-25
Actividad: Recojo de Manifiestos Firmardos
Ruta: Almacén - FICEMIN ( Los Olivos )
Monto: S/ 20 ( Particular )
Colaborador: Aldo De la Cruz</t>
  </si>
  <si>
    <t>Movilidad: 24-04-25
Actividad: Compra de Materiales para Oficina
Ruta: Almacén - Ate 
Monto: S/ 8 ( Particular )
Colaborador: Ronald Guizado</t>
  </si>
  <si>
    <t>Movilidad: 25-04-25
Actividad: Entrega de Fichas
Ruta: Encalada - Molycop
Monto: S/ 8 ( Mototaxi )
Colaborador: Cristian Huánuco</t>
  </si>
  <si>
    <t>Movilidad: 25-04-25
Actividad: Envío de Documentos
Ruta: Encalada - Olva
Monto: S/8 ( Mototaxi )
Colaborador: Ronald Guizado</t>
  </si>
  <si>
    <t>Reposición de Caja Lima</t>
  </si>
  <si>
    <t xml:space="preserve">Movilidad: 16/ 04/25
Actividad:  dejar la unidad a la cochera 
Ruta: Cochera - Almacén Encalada ( santa Anita)
Monto: S/12.00 </t>
  </si>
  <si>
    <t xml:space="preserve"> Movilidad: 17/04/25
Actividad: Recoger la unidad 
Ruta: Almacén Encalada - Cochera (santa Anita)
Monto: 13.00</t>
  </si>
  <si>
    <t>Movilidad: 29-04-25
Actividad: Entrega de Manifiestos para Firmar
Ruta: Almacén - Envases y Soluciones Logística
Monto: S/ 10 ( Particular )
Colaborador: Cristian Huánuco</t>
  </si>
  <si>
    <t>Movilidad: 30-04-25
Actividad: Entrega de Manifiestos para Firmar
Ruta: Almacén - Molycop
Monto: S/ 8 ( Mototaxi )
Colaborador: Cristian Huánuco</t>
  </si>
  <si>
    <t>Movilidad: 30-04-25
Actividad: Recojo de Fichas Firmadas
Ruta: Almacén - Molycop
Monto: S/ 8 ( Mototaxi )
Colaborador: Jack Huánuco</t>
  </si>
  <si>
    <t>Movilidad: 30-04-25
Actividad: Envío de Documentos 
Ruta: Almacén - Olva
Monto: S/ 8 ( Mototaxi )
Colaborador: Ronald Guizado</t>
  </si>
  <si>
    <t>Movilidad: 02-05-25
Actividad: Entrega de Epps
Ruta: Almacén - Molycop
Monto: S/ 8 ( Mototaxi )
Colaborador: Ronald Guizado</t>
  </si>
  <si>
    <t>Movilidad: 05-05-25
Actividad: Alcance de Unidad
Ruta: Almacén - Terminal Pesquero ( Callao )
Monto: S/ 30 ( Mototaxi y Particular )
Colaborador: Cristian Huanuco</t>
  </si>
  <si>
    <t>Movilidad: 05-05-25
Actividad: Compras de EPP's
Ruta: Almacén - GlobalPC
Monto: S/ 8 ( Mototaxi )
Colaborador: Ronald Guizado</t>
  </si>
  <si>
    <t>Movilidad: 07-05-25
Actividad: Entrega de Sobre con Documentos
Ruta:  Almacen - Aeropuertos Jorge Chavez Callao
Monto: S/ 18 ( Particular )
Colaborador: Cristian Huanuco</t>
  </si>
  <si>
    <t>Movilidad: 08-05-25
Actividad: Alcance de Unidad 
Ruta: Almacén - Pte Nuevo ( SJL )
Monto: S/ 15 ( Particular )
Colaborador: Cristian Huanuco</t>
  </si>
  <si>
    <t>Movilidad: 09-05-25
Actividad: Envío de Documentos 
Ruta: Almacén - Olva
Monto: S/ 8 ( Mototaxi )
Colaborador: Ronald Guizado</t>
  </si>
  <si>
    <t>Movilidad: 09-05-25
Actividad: Compras de EPP's
Ruta: Almacén - GlobalPC
Monto: S/ 8 ( Mototaxi )
Colaborador: Ronald Guizado</t>
  </si>
  <si>
    <t>Movilidad: 12-05-25
Actividad: Entrega de Manifiestos para Firmar
Ruta: Almacén - Molycop
Monto: S/ 8 ( Mototaxi )
Colaborador: Cristian Huánuco</t>
  </si>
  <si>
    <t>Movilidad: 12-05-25
Actividad: Recojo de Manifiestos Firmados
Ruta: Almacén - Molycop
Monto: S/ 8 ( Mototaxi )
Colaborador: Jack Huánuco</t>
  </si>
  <si>
    <t>Movilidad: 12-05-25
Actividad: Entrega de Fichas
Ruta: Almacén - Molycop
Monto: S/ 8 ( Mototaxi )
Colaborador: Aldo De la Cruz</t>
  </si>
  <si>
    <t>Movilidad: 13-05-25
Actividad: Entrega Cajas de Agua
Ruta:  Óvalo Sta Anita - Molycop
Monto: S/ 10 ( Mototaxi )
Colaborador: Ronald Guizado</t>
  </si>
  <si>
    <t>Movilidad: 14-05-25
Actividad: Recojo de Ticket Yancen
Ruta: Almacén - El Agustino
Monto: S/ 15 ( Particular )
Colaborador: Jack Huánuco</t>
  </si>
  <si>
    <t>Movilidad: 16-05-25
Actividad: Compras de EPP's
Ruta: Almacén - GlobalPC
Monto: S/ 8 ( Mototaxi )
Colaborador: Ronald Guizado</t>
  </si>
  <si>
    <t>Movilidad: 16-05-25
Actividad: Envío de Documentos 
Ruta: Almacén - Olva
Monto: S/ 8 ( Mototaxi )
Colaborador: Ronald Guizado</t>
  </si>
  <si>
    <t>Movilidad: 19-05-25
Actividad: Recojo de Manifiestos Firmados
Ruta: Almacén - Molycop
Monto: S/ 8 ( Mototaxi )
Colaborador: Aldo De la Cruz</t>
  </si>
  <si>
    <t>Movilidad: 19-05-25
Actividad: Entrega de Manifiestos para Firmar
Ruta: Almacén - Envases y Soluciones Logística
Monto: S/ 10 ( Particular )
Colaborador: Cristian Huánuco</t>
  </si>
  <si>
    <t>Movilidad: 20-05-25
Actividad: Recojo de Documentos para llevarlo Envases y Soluciones
Ruta: Almacén - Olva
Monto: S/ 8 ( Mototaxi )
Colaborador: Cristian Huánuco</t>
  </si>
  <si>
    <t>Movilidad: 20-05-25
Actividad: Entrega de Manifiestos para Firmar
Ruta: Almacén - Envases y Soluciones Logística
Monto: S/ 10 ( Particular )
Colaborador: Cristian Huánuco</t>
  </si>
  <si>
    <t>Movilidad: 20-05-24
Actividad: Llevar Laptop a Reparar
Ruta:  Almacen - Compuplaza Sta Anita 
Monto: S/ 10 ( Mototaxi )
Colaborador: Ronald Guizado</t>
  </si>
  <si>
    <t>Movilidad: 20-05-25
Actividad: Entrega de Manifiestos para Firmar
Ruta: Almacén - Molycop
Monto: S/ 8 ( Mototaxi )
Colaborador: Ronald Guizado</t>
  </si>
  <si>
    <t>Movilidad: 20-05-24
Actividad: Recojo Laptop Reparado
Ruta:  Almacen - Compuplaza Sta Anita 
Monto: S/ 10 ( Mototaxi )
Colaborador: Ronald Guizado</t>
  </si>
  <si>
    <t>Movilidad: 21-05-25
Actividad: Recojo Total de Manifiestos Firmados
Ruta: Almacén - Envases y Soluciones Logística
Monto: S/ 10 ( Particular )
Colaborador: Cristian Huánuco</t>
  </si>
  <si>
    <t>Movilidad: 21-05-25
Actividad: Entrega de Fichas
Ruta: Almacén - Molycop
Monto: S/ 8 ( Mototaxi )
Colaborador: Ronald Guizado</t>
  </si>
  <si>
    <t>Movilidad: 22-05-25
Actividad: Envío de Documentos Urgente (Juliaca)
Ruta: Almacén - Olva
Monto: S/ 8 ( Mototaxi )
Colaborador: Ronald Guizado</t>
  </si>
  <si>
    <t>Movilidad: 23-05-25
Actividad: Recojo de Fichas y Manifiestos
Ruta: Almacén - Molycop
Monto: S/ 8 ( Mototaxi )
Colaborador: Ronald Guizado</t>
  </si>
  <si>
    <t>Movilidad: 23-05-25
Actividad: Compras de EPP's
Ruta: Almacén - GlobalPC
Monto: S/ 8 ( Mototaxi )
Colaborador: Ronald Guizado</t>
  </si>
  <si>
    <t>Movilidad: 23-05-25
Actividad: Envío de Documentos 
Ruta: Almacén - Olva
Monto: S/ 8 ( Mototaxi )
Colaborador: Ronald Guizado</t>
  </si>
  <si>
    <t>Movilidad: 26-05-25
Actividad: Entrega de Manifiestos para Firmar
Ruta: Almacén - Molycop
Monto: S/ 8 ( Mototaxi )
Colaborador: Ronald Guizado</t>
  </si>
  <si>
    <t>Movilidad: 26-05-25
Actividad: Entrega de Manifiestos para Firmar
Ruta: Almacén - Envases y Soluciones Logística
Monto: S/ 10 ( Particular )
Colaborador: Cristian Huánuco</t>
  </si>
  <si>
    <t>Movilidad: 29-05-25
Actividad: Compra de Materiales para la Oficina
Ruta: Almacén - Ate
Monto: S/ 8 ( Particular )
Colaborador: Ronald Guizado</t>
  </si>
  <si>
    <t>Movilidad: 30-05-25
Actividad: Recojo de Manifiestos Firmados
Ruta: Almacén - Envases y Soluciones Logística
Monto: S/ 10 ( Particular )
Colaborador: Cristian Huánuco</t>
  </si>
  <si>
    <t>Movilidad: 30-05-25
Actividad: Compras de EPP's
Ruta: Almacén - GlobalPC
Monto: S/ 8 ( Mototaxi )
Colaborador: Ronald Guizado</t>
  </si>
  <si>
    <t>Movilidad: 30-05-25
Actividad: Envío de Documentos 
Ruta: Almacén - Olva
Monto: S/ 8 ( Mototaxi )
Colaborador: Ronald Guizado</t>
  </si>
  <si>
    <t>Movilidad: 02-06-25
Actividad: Entrega de Epps
Ruta: Almacén - Molycop
Monto: S/ 8 ( Mototaxi )
Colaborador: Ronald Guizado</t>
  </si>
  <si>
    <t>Movilidad: 04-06-25
Actividad: Entrega de Manifiestos para Firmar
Ruta: Almacén - Molycop
Monto: S/ 8 ( Mototaxi )
Colaborador: Ronald Guizado</t>
  </si>
  <si>
    <t>Movilidad: 06-06-25
Actividad: Recojo de Stocka para Reparación
Ruta: Molycop - Encalada
Monto: S/ 10 ( Mototaxi )
Colaborador: Cristian Huanuco</t>
  </si>
  <si>
    <t>Movilidad: 06-06-25
Actividad: Llevar Stocka para Reparación
Ruta: Almacén - Taller Metropolitana
Monto: S/ 10 ( Mototaxi )
Colaborador: Cristian Huanuco</t>
  </si>
  <si>
    <t>Movilidad: 06-06-25
Actividad: Recojo de Manifiestos Firmados
Ruta: Almacén - Molycop
Monto: S/ 8 ( Mototaxi )
Colaborador: Cristian Huanuco</t>
  </si>
  <si>
    <t>Movilidad: 06-06-25
Actividad: Alcance de Unidad 
Ruta: Almacén - Kanay SAC
Monto: S/ 25 ( Particular )
Colaborador: Ronald Guizado</t>
  </si>
  <si>
    <t>Movilidad: 09-06-25
Actividad: Llevar Stocka Nueva
Ruta: Almacén - Molycop
Monto: S/ 10 ( Mototaxi )
Colaborador: Cristian Huanuco</t>
  </si>
  <si>
    <t>Movilidad: 09-06-25
Actividad: Llevar Stocka de Cambio
Ruta: Taller - Encalada
Monto: S/ 10 ( Mototaxi )
Colaborador: Cristian Huanuco</t>
  </si>
  <si>
    <t>Movilidad: 10-06-25
Actividad: Entrega Cajas de Agua
Ruta:  Óvalo Sta Anita - Molycop
Monto: S/ 10 ( Mototaxi )
Colaborador: Cristian Huanuco</t>
  </si>
  <si>
    <t>Movilidad: 11-06-25
Actividad: Entrega de Epps
Ruta: Almacén - Molycop
Monto: S/ 8 ( Mototaxi )
Colaborador: Ronald Guizado</t>
  </si>
  <si>
    <t>Movilidad: 12-06-25
Actividad: Entrega de Manifiestos para Firmar
Ruta: Almacén - Molycop
Monto: S/ 8 ( Mototaxi )
Colaborador: Cristian Huanuco</t>
  </si>
  <si>
    <t>Movilidad: 13-06-25
Actividad: Entrega de Fichas
Ruta: Almacén - Molycop
Monto: S/ 8 ( Mototaxi )
Colaborador: Cristian Huanuco</t>
  </si>
  <si>
    <t>Movilidad: 13-06-25
Actividad: Compra de EPP's
Ruta: Almacén - GlobalPC
Monto: S/ 8 ( Mototaxi )
Colaborador: Ronald Guizado</t>
  </si>
  <si>
    <t>Movilidad: 13-06-25
Actividad: Recojo de Manifiestos Firmados
Ruta: Almacén - Molycop
Monto: S/ 8 ( Mototaxi )
Colaborador: Ronald Guizado</t>
  </si>
  <si>
    <t>Movilidad: 13-06-25
Actividad: Envío de Documentos 
Ruta: Almacén - Olva
Monto: S/ 8 ( Mototaxi )
Colaborador: Cristian Huanuco</t>
  </si>
  <si>
    <t>Movilidad: 16-06-25
Actividad: Entrega de Manifiestos para Firmar
Ruta: Almacén - Molycop
Monto: S/ 8 ( Mototaxi )
Colaborador: Cristian Huanuco</t>
  </si>
  <si>
    <t>Movilidad: 17-06-25
Actividad: Recojo de Manifiestos Firmados
Ruta: Almacén - Molycop
Monto: S/ 8 ( Mototaxi )
Colaborador: Ronald Guizado</t>
  </si>
  <si>
    <t>Movilidad: 17-06-25
Actividad: Compra de Film ( Urgente )
Ruta: Almacén - GlobalPC
Monto: S/ 8 ( Mototaxi )
Colaborador: Ronald Guizado</t>
  </si>
  <si>
    <t>Movilidad: 17-06-25
Actividad: Recojo de Paquete
Ruta: Almacén - Olva
Monto: S/ 8 ( Mototaxi )
Colaborador: Cristian Huanuco</t>
  </si>
  <si>
    <t>Movilidad: 17-06-25
Actividad: Recojo de RQ de Planta
Ruta: Almacén - GlobalPC
Monto: S/ 10 ( Mototaxi )
Colaborador: Ronald Guizado</t>
  </si>
  <si>
    <t>RCP</t>
  </si>
  <si>
    <t>Movilidad: 18-06-25
Actividad: Entrega de Manifiestos para Firmar
Ruta: Almacén - Envases y Soluciones Logística
Monto: S/ 10 ( Particular )
Colaborador: Aldo De la Cruz</t>
  </si>
  <si>
    <t>Movilidad: 19-06-25
Actividad: Supervision de Avance de Carrocería
Ruta: Almacén - SJL 
Monto: S/ 18 ( Particular - Mototaxi )
Colaborador: Aldo De la Cruz</t>
  </si>
  <si>
    <t>Movilidad: 19-06-25
Actividad: Recojo de Manifiestos
Ruta: Almacén - Molycop
Monto: S/ 8 ( Mototaxi )
Colaborador: Ronald Guizado</t>
  </si>
  <si>
    <t>Movilidad: 20-06-25
Actividad: Alcance de Unidad
Ruta: Almacén - Canta Callao ( Callao )
Monto: S/ 20 ( Particular )
Colaborador: Aldo De la Cruz</t>
  </si>
  <si>
    <t>Movilidad: 20-06-25
Actividad: Recojo de Fichas
Ruta: Almacén - Molycop
Monto: S/ 8 ( Mototaxi )
Colaborador: Cristian Huanuco</t>
  </si>
  <si>
    <t>Movilidad: 20-06-25
Actividad: Alcance de Unidad
Ruta: Almacén - El Agustino
Monto: S/ 10 ( Particular )
Colaborador: Cristian Huanuco</t>
  </si>
  <si>
    <t>Movilidad: 20-06-25
Actividad: Envío de Documentos 
Ruta: Almacén - Olva
Monto: S/ 8 ( Mototaxi )
Colaborador: Ronald Guizado</t>
  </si>
  <si>
    <t>Movilidad: 06/ 06/25
Actividad:  dejar la unidad a la cochera 
Ruta: Cochera - Almacén Encalada ( santa Anita)
Monto: S/7.00</t>
  </si>
  <si>
    <t>Movilidad: 07/ 06/25
Actividad:  recoger la unidad a la cochera 
Ruta:  Almacén Encalada - Cochera ( santa Anita)
Monto: S/8.00</t>
  </si>
  <si>
    <t>Movilidad: 23-06-25
Actividad: Recojo de Jeans Corporativo
Ruta: Almacén - Gamarra ( La Victoria )
Monto: S/ 18 ( Particular )
Colaborador: Aldo De la Cruz</t>
  </si>
  <si>
    <t>Movilidad: 23-06-25
Actividad: Entrega de Fichas
Ruta: Almacén - Molycop
Monto: S/ 8 ( Mototaxi )
Colaborador: Ronald Guizado</t>
  </si>
  <si>
    <t>Movilidad: 24-06-25
Actividad: Compra de EPP's ( Guantes )
Ruta: Almacén - GlobalPC
Monto: S/ 8 ( Mototaxi )
Colaborador: Ronald Guizado</t>
  </si>
  <si>
    <t>Movilidad: 24-06-25
Actividad: Recojo de Paquete 
Ruta: Almacén - Shaloon ( Sta Anita ) 
Monto: S/ 10 ( Mototaxi )
Colaborador: Ronald Guizado</t>
  </si>
  <si>
    <t>Movilidad: 24-06-25
Actividad: Recojo de RQ Conos de seguridad
Ruta: Almacén - GlobalPC
Monto: S/ 12 ( Mototaxi )
Colaborador: Ronald Guizado</t>
  </si>
  <si>
    <t>Movilidad: 25-06-25
Actividad: Recojo de Stocka de Cambio
Ruta: Almacén - Molycop
Monto: S/ 10 ( Mototaxi )
Colaborador: Cristian Huanuco</t>
  </si>
  <si>
    <t>Movilidad: 26-06-25
Actividad: Entrega de Sobres de Documentos
Ruta: Almacén - Molycop
Monto: S/ 8 ( Mototaxi )
Colaborador: Ronald Guizado</t>
  </si>
  <si>
    <t>Movilidad: 26-06-25
Actividad: Recojo de Fichas regularizadas
Ruta: Almacén - Molycop
Monto: S/ 8 ( Mototaxi )
Colaborador: Aldo De la Cruz</t>
  </si>
  <si>
    <t>Movilidad: 26-06-25
Actividad: Envío de Documentos 
Ruta: Almacén - Olva
Monto: S/ 8 ( Mototaxi )
Colaborador: Aldo De la Cruz</t>
  </si>
  <si>
    <t>Movilidad: 27-06-25
Actividad: Entrega de Manifiestos para Firmar 
Ruta: Almacén - Ficemin ( Los Olivos )
Monto: S/ 20 ( Particular )
Colaborador: Aldo De la Cruz</t>
  </si>
  <si>
    <t>Movilidad: 27-06-25
Actividad: Entrega de Manifiestos para Firmar
Ruta: Almacén - Magdalena
Monto: S/ 30 ( Colectivo y Particular )
Colaborador: Aldo De la Cruz</t>
  </si>
  <si>
    <t>Movilidad: 30-06-25
Actividad: Entrega de Manifiestos para Firmar
Ruta: Almacén - Envases y Soluciones Logística
Monto: S/ 10 ( Particular )
Colaborador: Aldo De la Cruz</t>
  </si>
  <si>
    <t>Movilidad: 30-06-25
Actividad: Entrega de Manifiestos para Firmar 
Ruta: Almacén - Ficemin ( Los Olivos )
Monto: S/ 20 ( Particular )
Colaborador: Aldo De la Cruz</t>
  </si>
  <si>
    <t>Movilidad: 30-06-25
Actividad: Recojo de Manifiestos Firmados
Ruta: Almacén - Envases y Soluciones Logística
Monto: S/ 10 ( Particular )
Colaborador: Aldo De la Cruz</t>
  </si>
  <si>
    <t>Devolución de saldo de Caja Operativa</t>
  </si>
  <si>
    <t>Planilla de movilidad</t>
  </si>
  <si>
    <t>Devolucion de caja conductor - Junior Ccama</t>
  </si>
  <si>
    <t>Devolucion de caja conductor - Miguel Solis</t>
  </si>
  <si>
    <t>Devolucion de caja supervisor - Anthony Huamani</t>
  </si>
  <si>
    <t>CAJA OPERATIVA 001 - Ruben Bustamante</t>
  </si>
  <si>
    <t>Ruben Bustamante</t>
  </si>
  <si>
    <t>MAXUS VBW-889</t>
  </si>
  <si>
    <t>Uchumayo - Servicio (Res. no aprovechables) - Flsmidth (Matarani)</t>
  </si>
  <si>
    <t>FOTON VDJ-872</t>
  </si>
  <si>
    <t>Matarani - Servicio (Res. no aprovechables) - Flsmidth (Matarani)</t>
  </si>
  <si>
    <t>Uchumayo - Servicio (Papel Kraft) - Granja Rinconada del Sur (Virgen de Chapi y Gloria III)</t>
  </si>
  <si>
    <t>Uchumayo - Servicio (Res. peligrosos) - MolyCop (La Joya) y Servicio (Res. peligrosos) - Camposol (Santa Rita)</t>
  </si>
  <si>
    <t>Uchumayo - Servicio (Res. no aprovechables) - MolyCop (la Joya)</t>
  </si>
  <si>
    <t>FOTON BKK-849</t>
  </si>
  <si>
    <t>ZED Matarani - Servicio (Res. no aprovechables) - Flsmidth (Matarani)</t>
  </si>
  <si>
    <t>El Eden (SRB PI) - Compra (Chatarra) - ALSUR (Arequipa)</t>
  </si>
  <si>
    <t>El Eden (SRB Km 48) - Servicio (Res. peligrosos) - Camposol (Santa Rita)</t>
  </si>
  <si>
    <t>ALSA - Servicio (Res. no aprovechables) - UCSM</t>
  </si>
  <si>
    <t>ALSA - Compra (Cartón) - RANSA</t>
  </si>
  <si>
    <t>ALSA - Compra (Madera) - RANSA</t>
  </si>
  <si>
    <t>Uchumayo - Servicio (Papel Kraft) - Granja Rinconada del Sur (Guadalupe I,II y III)</t>
  </si>
  <si>
    <t>Uchumayo - Transporte (Res. peligrosos) - Transportes Jirena S.A.C. - Villa Esperanza</t>
  </si>
  <si>
    <t>Uchumayo - Servicio (Papel Kraft) - Granja Rinconada del Sur (Granja Santa Teresa y San German)</t>
  </si>
  <si>
    <t>F112</t>
  </si>
  <si>
    <t>Matarani - Servicio (Res. peligrosos) - Flsmidth (Matarani)</t>
  </si>
  <si>
    <t>Uchumayo - Servicio (Res. peligrosos) - Flsmidth (Matarani)</t>
  </si>
  <si>
    <t>F113</t>
  </si>
  <si>
    <t>Matarani - Servicio (RS peligrosos) - FLsmith Matarani</t>
  </si>
  <si>
    <t>FT01</t>
  </si>
  <si>
    <t>Novaarecy - Compra (Cartón) - Lonccos y Ccalas</t>
  </si>
  <si>
    <t>Novaarecy - Compra (plástico) - Lonccos y Ccalas</t>
  </si>
  <si>
    <t>ZED Matarani - Servicio (Res. peligrosos) - Flsmidth (Matarani)</t>
  </si>
  <si>
    <t>Lavado e higienización</t>
  </si>
  <si>
    <t>Uchumayo - Servicio (Papel Kraft) - Granja Rinconada del Sur (Granja Renzo)</t>
  </si>
  <si>
    <t>Uchumayo - Compra (Chatarra metálica) - Granja Rinconada del Sur (P.A.B.)</t>
  </si>
  <si>
    <t>Uchumayo - Compra (Bolsa de papel, bolsa de aluminio y plástico) - Granja Rinconada del Sur (P.A.B.)</t>
  </si>
  <si>
    <t>Uchumayo - Servicio (Papel Kraft y filtros de agua) - Granja Rinconada del Sur (San Lucas &amp; Agua Guadalupe - La Joya)</t>
  </si>
  <si>
    <t>Uchumayo - Servicio (Res. peligrosos) - MolyCop (La Joya)</t>
  </si>
  <si>
    <t>ALSA - Compra (Leña) - Industria Iggam</t>
  </si>
  <si>
    <t>ALSA - Compra (Plástico) - Industrias Iggam</t>
  </si>
  <si>
    <t>ALSA - Compra (Cartón) - Industrias Iggam</t>
  </si>
  <si>
    <t>ALSA - Compra (Leña) - Industrias Iggam</t>
  </si>
  <si>
    <t>ALSA - Pesaje (Res. no aprovechables - NACH) - GYTRES</t>
  </si>
  <si>
    <t>ALSA - Pesaje (Res. peligrosos) - GYTRES</t>
  </si>
  <si>
    <t>Uchumayo - Servicio (RS peligrosos) - Moly Cop</t>
  </si>
  <si>
    <t>Uchumayo - Servicio (Res. aprovechables) - Moly Cop</t>
  </si>
  <si>
    <t>Uchumayo - Servicio (Papel Kraft) - Granja La Rinconada (Granja José María y José María 2)</t>
  </si>
  <si>
    <t>ALSA - Servicio (RS peligrosos) - HAM CRIOGENICA</t>
  </si>
  <si>
    <t>NOVAARECY E.I.R.L. - Compra (cartón) - Lonccos y Ccalas</t>
  </si>
  <si>
    <t>R.E.T &amp; SAN S.R.L.- Compra (sacos vacíos) - Alprosa</t>
  </si>
  <si>
    <t>ALSA - Servicio (Res. aprovechables) - UCSM</t>
  </si>
  <si>
    <t>Uchumayo - Servicio (Papel Kraft) - Granja Rinconada del Sur (José María I y II)</t>
  </si>
  <si>
    <t>Uchumayo - Servicio (Res. no aprovechables y peligrosos) - Moly-Cop (La Joya)</t>
  </si>
  <si>
    <t>Uchumayo - Compra (Viruta) - Moly-Cop (La Joya)</t>
  </si>
  <si>
    <t>El Eden SRB - Servicio (Res. no aprovechables) - METAQUIM</t>
  </si>
  <si>
    <t>El Eden SRB - Servicio (Res. peligrosos) - METAQUIM</t>
  </si>
  <si>
    <t>El Eden SRB - Compra (Chatarra y Vidrio) - METAQUIM</t>
  </si>
  <si>
    <t>El Eden - Servicio (Res. no aprovechables y peligrosos) - ALQUIMODUL</t>
  </si>
  <si>
    <t>Uchumayo - Servicio (Papel Kraft) - Granja Rinconada del Sur (Guadalupe IV y V)</t>
  </si>
  <si>
    <t>El Eden (SRB PI) - Compra (Plástico) - ALSUR (Arequipa)</t>
  </si>
  <si>
    <t>El Eden (SRB PI) - Servicio (Res. no aprovechables con elementos metálicos) - CELICON</t>
  </si>
  <si>
    <t>Uchumayo - Servicio (Res. no aprovechables y peligrosos) - Granja Rinconada del Sur (Almacén Central La Joya)</t>
  </si>
  <si>
    <t>Uchumayo - Servicio (Papel Kraft) - Granja Rinconada del Sur (Gloria 1 y 2)</t>
  </si>
  <si>
    <t>Novaarecy E.I.R.L.- Compra (Cartón) - Lonccos y Ccalas</t>
  </si>
  <si>
    <t>Novaarecy EIRL- Compra (Cartón) - Lonccos y Ccalas</t>
  </si>
  <si>
    <t>El Eden - Servicio (Res. no aprovechables) - Alquimodul</t>
  </si>
  <si>
    <t>El Eden - Compra (Vidrio)- ALSUR (Arequipa)</t>
  </si>
  <si>
    <t>El Eden - Compra (Hojalata) - ALSUR (Arequipa)</t>
  </si>
  <si>
    <t>Uchumayo - Servicio (Res. no aprovechables y peligrosos) - MolyCop (La Joya)</t>
  </si>
  <si>
    <t>Uchumayo - Compra (Res. aprovechables) - Granja Rinconada del Sur (P.A.B.)</t>
  </si>
  <si>
    <t>Las Lomas - Compra (Cartón) - Lonccos y Ccalas</t>
  </si>
  <si>
    <t>ALSA - Servicio (Res. peligrosos) - ALPROSA</t>
  </si>
  <si>
    <t>Matarani - Servicio (Res. no aprovechables) y Compra (Res. aprovechables) - Flsmidth (Matarani)</t>
  </si>
  <si>
    <t>Uchumayo - Servicio (Res. no aprovechables) y Compra (Res. aprovechables) - Flsmidth (Matarani)</t>
  </si>
  <si>
    <t>Uchumayo - Disposición (Res. no aprovechables) - Innova (La Joya)</t>
  </si>
  <si>
    <t>Uchumayo - Disposición (Res. no aprovechables) - Innova Ambiental (La Joya)</t>
  </si>
  <si>
    <t>Uchumayo - Servicio (Res. peligrosos) - Flsmidth (La Joya)</t>
  </si>
  <si>
    <t>Uchumayo - Servicio (Res. no aprovechables) y compra (Viruta) - MolyCop (La Joya)</t>
  </si>
  <si>
    <t>El Eden - Servicio (Res. no aprovechables) - ALQUIMODUL</t>
  </si>
  <si>
    <t>ALSA - Disposición (Res. no aprovechables) - GYTRES S.A.C</t>
  </si>
  <si>
    <t>El Eden - Servicio (Res. peligrosos) - Flsmidth (La Joya)</t>
  </si>
  <si>
    <t>Uchumayo - Servicio (Papel Kraft) - Granja Rinconada del Sur (Granja San Lucas)</t>
  </si>
  <si>
    <t>Uchumayo - Servicio (Papel Kraft) - Granja Rinconada del Sur (San German y Santa Teresa)</t>
  </si>
  <si>
    <t>Uchumayo - Servicio (Res. no aprovechables y sacas) - MolyCop (La Joya)</t>
  </si>
  <si>
    <t>ALSA - Servicio (Res. no aprovechables NACH) - La Iberica</t>
  </si>
  <si>
    <t>El Eden (SRB PI) - Servicio (Res. no aprovechables) - UCSM</t>
  </si>
  <si>
    <t>ALSA - Servicio (Res. peligrosos) - Industria del Reencauche</t>
  </si>
  <si>
    <t>Uchumayo - Servicio (Res. peligrosos) - MolyCop (La Joya) y Disposición (Res. peligrosos y biocontaminados) - Innova Ambiental (La Joya)</t>
  </si>
  <si>
    <t>Uchumayo - Transporte (Res. no aprovechables y peligrosos) - Celicon - Almacén Villa Esperanza</t>
  </si>
  <si>
    <t>Las Lomas - Compra (Plástico) - Lonccos y Ccalas</t>
  </si>
  <si>
    <t>ALSA - Compra (Cartón) - Lonccos y Ccalas</t>
  </si>
  <si>
    <t>Uchumayo - Servicio (Res. aprovechables) - Granja Rinconada del Sur (Almacén Central)</t>
  </si>
  <si>
    <t>Uchumayo - Compra (Sacas Rotas) - MolyCop (La Joya)</t>
  </si>
  <si>
    <t>Uchumayo - Servicio (Papel kraft) - Granja Rinconada del Sur (José María I y II)</t>
  </si>
  <si>
    <t>El Eden (SRB PI) - Compra (Chatarra Metálica), Servicio (Res. no aprovechables y peligrosos) - Alquimodul</t>
  </si>
  <si>
    <t>El Eden (SRB PI) - Servicio (Res. no aprovechables) - ALQUIMODUL</t>
  </si>
  <si>
    <t>Matarani - Compra (Viruta) - Flsmidth (Matarani)</t>
  </si>
  <si>
    <t>FOTON BKL-739</t>
  </si>
  <si>
    <t>Uchumayo - Transporte (Res. peligrosos - Asociación TECSUP) - Almacén Villa Esperanza</t>
  </si>
  <si>
    <t>Uchumayo - Servicio (Res. no aprovechables) y Compra (Viruta) - MolyCop (La Joya)</t>
  </si>
  <si>
    <t>ZED Matarani - Compra (Viruta) - Flsmidth (Matarani)</t>
  </si>
  <si>
    <t>El Eden (SRB PI) - Servicio (RAEE) - Asociación Tecsup</t>
  </si>
  <si>
    <t>El Eden (SRB PI) - Servicio (Res. peligrosos) - Asociación Tecsup</t>
  </si>
  <si>
    <t>Uchumayo - Servicio (Res. no aprovechables) - Flsmidth (La Joya) y Disposición (Res. peligrosos - Consorcio puentes del Norte) - Innova Ambiental (La Joya)</t>
  </si>
  <si>
    <t>Uchumayo - Servicio (Res. no aprovechables) - MolyCop (La Joya)</t>
  </si>
  <si>
    <t>El Eden (SRB km 48) - Servicio (Res. no aprovechables) - Flsmidth (La Joya)</t>
  </si>
  <si>
    <t>El Eden (SRB PI) - Servicio (Res. peligrosos) - ALSUR (Arequipa)</t>
  </si>
  <si>
    <t>El Eden (SRB PI) - Compra (Madera) - ALSUR (Arequipa)</t>
  </si>
  <si>
    <t>El Eden (SRB- Km 48) - Compra (Cartón) - Granja Rinconada del Sur (Gloria III)</t>
  </si>
  <si>
    <t>Uchumayo - Transporte (Res. peligrosos) y Servicio (Res. peligrosos) - ISSA (San José)</t>
  </si>
  <si>
    <t>Uchumayo - Transporte (NACH) y Compra (Envases vacíos) - Campo Limpio (La Joya) y Venta (Madera) - HORNO 48</t>
  </si>
  <si>
    <t>ALSA - Servicio (Res. no aprovechables) - Carmen Inmobiliaria (Teresa de Jesus)</t>
  </si>
  <si>
    <t>El Eden (SRB km 48) - Compra (Envases vacíos) - Campo Limpio (La Joya)</t>
  </si>
  <si>
    <t>El Eden (SRB km 48) - Venta (Leña) - Horno 48</t>
  </si>
  <si>
    <t>Uchumayo - Servicio (Res. no aprovechables) - CBB Perú S.A. (Matarani)</t>
  </si>
  <si>
    <t>Matarani - Servicio (Res. no aprovechables) - CBB Perú S.A. (Matarani)</t>
  </si>
  <si>
    <t>Uchumayo - Servicio (Res. no aprovechables) y Compra (Res. aprovechables) - Granja Rinconada del Sur (Almacén Central La Joya)</t>
  </si>
  <si>
    <t>Uchumayo - Compra (Chatarra y cartón) - MolyCop (La joya)</t>
  </si>
  <si>
    <t>Uchumayo - Traslado (Res. no aprovechables) - GYTRES (Villa Esperanza)</t>
  </si>
  <si>
    <t>El Eden (SRB KM 48) - Venta (Leña) - Horno 48</t>
  </si>
  <si>
    <t>ALSA - Venta (Aceite) - AMPCO</t>
  </si>
  <si>
    <t>Uchumayo - Servicio (Res. no aprovechables y peligrosos) - MolyCop (La Joya) y Venta (Leña) - Horno 48</t>
  </si>
  <si>
    <t>Uchumayo - Compra (Res. aprovechables) - Granja Rinconada del Sur (Almacén Central La Joya)</t>
  </si>
  <si>
    <t>Uchumayo - Venta (Pallets) y Compra (Madera) - MolyCop (La Joya)</t>
  </si>
  <si>
    <t>Uchumayo - Compra (Sacas) - MolyCop (La Joya) y Venta (Leña) - Horno 48</t>
  </si>
  <si>
    <t>Uchumayo - Transporte (Res. no aprovechables y peligrosos - Power) - GYTRES (Villa Esperanza)</t>
  </si>
  <si>
    <t>Uchumayo - Compra (Viruta) - MolyCop (La Joya)</t>
  </si>
  <si>
    <t>El Eden (SRB KM 48) - Servicio (Res. peligrosos) - Power</t>
  </si>
  <si>
    <t>El Eden (SRB KM 48) - Servicio (Res. no aprovechables) - Power</t>
  </si>
  <si>
    <t>Uchumayo - Servicio (Res. peligrosos) - Granja Rinconada del Sur (P.A.B.)</t>
  </si>
  <si>
    <t>Uchumayo - Servicio (Res. peligrosos) - MolyCop (La Joya) y Compra (Sacos con soya) - Granja Rinconada del Sur (P.A.B.)</t>
  </si>
  <si>
    <t>Uchumayo - Servicio (Res. peligrosos) - Movitecnica y Servicio (Res. no aprovechables) - MolyCop (La Joya)</t>
  </si>
  <si>
    <t>El Eden (SRB km 48) - Servicio (Res. peligrosos) - Movitecnica</t>
  </si>
  <si>
    <t>Uchumayo - Compra (Madera) - MolyCop (La Joya) y Venta (Leña) - Horno 48</t>
  </si>
  <si>
    <t>Uchumayo - Compra (Sacas) y Servicio (Res. peligrosos) - MolyCop (La Joya)</t>
  </si>
  <si>
    <t>ALSA - Servicio (Res. peligrosos) - UTP</t>
  </si>
  <si>
    <t>Uchumayo - Servicio (Res. no aprovechables) - Flsmidth (La Joya)</t>
  </si>
  <si>
    <t>B213</t>
  </si>
  <si>
    <t>Uchumayo - Disposición (Res. peligrosos - Compañía de Ingeniería Especializada S.A.C.) - Innova Ambiental (La Joya)</t>
  </si>
  <si>
    <t>El Eden (SRB KM 48) - Servicio (Res. no aprovechables) - UCSM</t>
  </si>
  <si>
    <t>El Eden (SRB KM 48) - Servicio (Res. no aprovechables) - Flsmidth (La Joya)</t>
  </si>
  <si>
    <t>El Eden (SRB PI) - Compra (Chatarra) - ALSUR</t>
  </si>
  <si>
    <t>ALSA - Servicio (Res. peligrosos - Compañía de Ingeniería Especializada S.A.C) - AAP</t>
  </si>
  <si>
    <t>Uchumayo - Servicio (RS generales) - La Rinconada</t>
  </si>
  <si>
    <t>Peaje</t>
  </si>
  <si>
    <t>Uchumayo - Servicio (RS no aprovechables) - Cosapi (Minera Tia Maria)</t>
  </si>
  <si>
    <t>SRB km 48 - Servicio (RS peligrosos) - Cosapi (Minera Tia Maria)</t>
  </si>
  <si>
    <t>ALSA - Servicio (RS generales) - UCSM</t>
  </si>
  <si>
    <t>Uchumayo - Servicio (RS generales) - Moly Cop</t>
  </si>
  <si>
    <t>Lavado de unidad</t>
  </si>
  <si>
    <t>lavado</t>
  </si>
  <si>
    <t>Alimentacion: Cenas (02) Tacna Colaboradores: Ruben Bustamante/ Hefer Quispe</t>
  </si>
  <si>
    <t>alimentacion</t>
  </si>
  <si>
    <t>Cochera Tacna</t>
  </si>
  <si>
    <t>cochera</t>
  </si>
  <si>
    <t>SRB km 48 - Servicio (RS peligrosos) - ISSA PSR Tacna</t>
  </si>
  <si>
    <t>Montalvo - Servicio (RS peligrosos) - ISSA PSR Tacna</t>
  </si>
  <si>
    <t>FH01</t>
  </si>
  <si>
    <t>El Fiscal - Servicio (RS peligrosos) - ISSA PSR Tacna</t>
  </si>
  <si>
    <t>Tomasiri - Servicio (RS peligrosos) - ISSA PSR Tacna</t>
  </si>
  <si>
    <t>Uchumayo - Servicio (RS peligrosos) - ISSA PSR Tacna</t>
  </si>
  <si>
    <t>SRB PI - Servicio (RS peligrosos) - ISSA Red</t>
  </si>
  <si>
    <t>ALSA - Servicio (RS peligrosos) - ISSA Red MOQUEGUA</t>
  </si>
  <si>
    <t>ALSA - Servicio (RS peligrosos) - ISSA RED ILO</t>
  </si>
  <si>
    <t>ALSA - Servicio (RS peligrosos) - ISSA Red TACNA</t>
  </si>
  <si>
    <t>02 HabitacionesResidencial Uruguay Tacna Colaboradores: Ruben Bustamante/ Hefer Quispe</t>
  </si>
  <si>
    <t>Alojamiento</t>
  </si>
  <si>
    <t>Alimentacion: Desayunos (02) Ruta Tacna - Ilo/ Colaboradores: Ruben Bustamante/ Hefer Quispe</t>
  </si>
  <si>
    <t>Alimentacion: Almuerzos (02) Punta de Bombon Colaboradores: Ruben Bustamante/ Hefer Quispe</t>
  </si>
  <si>
    <t>ILO Servicio (RS peligrosos) - combustible</t>
  </si>
  <si>
    <t>Uchumayo - Servicio (Papel Kraft) - Granja Rinconada (Granja Virgen de Chapi y Gloria III - La Joya)</t>
  </si>
  <si>
    <t>ALSA - Servicio (RSMNM) - UCSM</t>
  </si>
  <si>
    <t>SRB km 48 - Servicio (res. no aprovechables RSMNM) - compra (res. aprovechables)- Cosapi Tia Maria</t>
  </si>
  <si>
    <t>Uchumayo - Servicio (res. no aprovechables RSMNM) - compra (res. aprovechables)- Cosapi Tia Maria</t>
  </si>
  <si>
    <t>Uchumayo - Servicio (Papel Kraft)- Granja Rinconada del Sur (Guadalupe I,La Joya)</t>
  </si>
  <si>
    <t>Uchumayo - Disposición (RS generales) - Innova Ambiental</t>
  </si>
  <si>
    <t>Uchumayo - Disposición (RS generales) - UCSM</t>
  </si>
  <si>
    <t>Uchumayo - Capacitacion - Cosapi</t>
  </si>
  <si>
    <t>Uchumayo - Servicio (RS peligrosos) - FLsmith La Joya</t>
  </si>
  <si>
    <t>SRB km 48 - Servicio (RS peligrosos) - FLsmith La Joya</t>
  </si>
  <si>
    <t>SRB km 48 - Servicio (RS generales) - Cosapi</t>
  </si>
  <si>
    <t>Uchumayo - Servicio (RS generales) - Cosapi Tia Maria</t>
  </si>
  <si>
    <t>Uchumayo - Compra (Madera) - Flsmith La Joya</t>
  </si>
  <si>
    <t>Uchumayo - Compra (Madera) - FLsmith La Joya</t>
  </si>
  <si>
    <t>SRB km 48 - Compra (Madera) - FLsmith La Joya</t>
  </si>
  <si>
    <t>Uchumayo - Compra (cartón) - La Rinconada</t>
  </si>
  <si>
    <t>ALSA - Servicio (RS generales) - Carmen Inmobiliaria</t>
  </si>
  <si>
    <t>Uchumayo - Servicio (RS peligrosos) - FLsmith Matarani</t>
  </si>
  <si>
    <t>Uchumayo - Traslado - Villa Esperanza</t>
  </si>
  <si>
    <t>SRB km 48 - Servicio (Viruta) - FLsmith La Joya</t>
  </si>
  <si>
    <t>Uchumayo - Inducción - Cosapi</t>
  </si>
  <si>
    <t>Las Lomas - Compra (cartón) - Lonccos y Ccalas</t>
  </si>
  <si>
    <t>ALSA - Servicio (RS peligrosos) - HAM</t>
  </si>
  <si>
    <t>Lavado de la unidad</t>
  </si>
  <si>
    <t>Lavado</t>
  </si>
  <si>
    <t>Uchumayo - Compra (Viruta) - FLsmith La Joya</t>
  </si>
  <si>
    <t>SRB KM 48 - Compra (Viruta) - Flsmith La Joya</t>
  </si>
  <si>
    <t>SRB KM 48 - Compra (Madera) - FLsmith La Joya</t>
  </si>
  <si>
    <t>Uchumayo - Servicio (mantas) - Granja la Rinconada</t>
  </si>
  <si>
    <t>Uchumayo - Servicio (RS generales) - Pesquera Diamante</t>
  </si>
  <si>
    <t>Matarani - Servicio (RS generales) - Pesquera Diamante</t>
  </si>
  <si>
    <t>Uchumayo - Servicio (RS generales) - Stracon</t>
  </si>
  <si>
    <t>SRB km 48 - Servicio (RS generales) - Stracon</t>
  </si>
  <si>
    <t>SRB km 48 - Servicio (RS generales) - Cossapi</t>
  </si>
  <si>
    <t>SRB km 48 - Servicio (RS generales - COSAPI</t>
  </si>
  <si>
    <t>ZED MATARANI - Servicio (RS peligrosos) - FLsmith Matarani</t>
  </si>
  <si>
    <t>Uchumayo - Servicio (RS generales) - Cosapi</t>
  </si>
  <si>
    <t>SRB km 48 - Compra (Chatarra) - Cosapi</t>
  </si>
  <si>
    <t>Uchumayo - Disposición (RS generales) - Innova</t>
  </si>
  <si>
    <t>ALSA - Servicio (RS peligrosos) - Movitecnica</t>
  </si>
  <si>
    <t>Las Lomas - Compra(Plástico) - Lonccos y Ccalas</t>
  </si>
  <si>
    <t>Cta. Ruben Bustamante:</t>
  </si>
  <si>
    <t>CAJA OPERATIVA 002 - Junior Ccama</t>
  </si>
  <si>
    <t>Junior Ccama</t>
  </si>
  <si>
    <t>HINO V9R-903</t>
  </si>
  <si>
    <t>Uchumayo - Compra (Res. aprovechables)-Granja Rinconada del Sur (P.A.B.)</t>
  </si>
  <si>
    <t>Uchumayo - Servicio (Mantas) - Granja Rinconada del Sur (P.A.B.) y Compra (Alambrón) - MolyCop (La Joya)</t>
  </si>
  <si>
    <t>Uchumayo - Compra (Alambrón) - MolyCop (La Joya) y Compra (Madera) - Flsmidth (La Joya)</t>
  </si>
  <si>
    <t>Uchumayo - Compra (Viruta y madera)-MolyCop (La Joya)</t>
  </si>
  <si>
    <t>Uchumayo - Servicio (IBC´S peligrosos) -MolyCop (Reactivos - La Joya)</t>
  </si>
  <si>
    <t>El Eden - Compra (Madera) - Flsmidth (La Joya)</t>
  </si>
  <si>
    <t>El Eden - Compra ( Vidrio, plástico, hojalata, bidones) - ALSUR (Arequipa)</t>
  </si>
  <si>
    <t>El Eden - Servicio (Res. no aprovechables)-ALSUR (Arequipa)</t>
  </si>
  <si>
    <t>Uchumayo - Compra (Vidrio, hojalata y plástico duro) - Danper (Pedregal)</t>
  </si>
  <si>
    <t>Uchumayo - Compra (Cartón, plástico y hojalata) - Danper (Pedregal)</t>
  </si>
  <si>
    <t>Uchumayo - Servicio (IBC'S) y Compra (IBC'S)-MolyCop (Reactivos - La Joya)</t>
  </si>
  <si>
    <t>Uchumayo - Servicio (Envases vacíos)-SENASA (Pedregal)</t>
  </si>
  <si>
    <t>AAM - Compra (Vidrio, hojalata y plástico duro) - Danper (Pedregal)</t>
  </si>
  <si>
    <t>AAM - Compra (Cartón, plástico y hojalata) - Danper (Pedregal)</t>
  </si>
  <si>
    <t>ALSA - Venta (Plástico duro - jabas) - Sra. Belén Labra</t>
  </si>
  <si>
    <t>Uchumayo - Compra (Carton y hojalata) - Danper (Pedregal)</t>
  </si>
  <si>
    <t>Uchumayo - Recojo (Envases vacios) -Cesar Oyos (Pedregal)</t>
  </si>
  <si>
    <t>AAM - Compra (Carton y hojalata) - Danper (Pedregal)</t>
  </si>
  <si>
    <t>ALSA - Venta (Plástico duro - Jabas) - Belén Labra</t>
  </si>
  <si>
    <t>ALSA - Compra (Cartón) - AAP</t>
  </si>
  <si>
    <t>ALSA - Compra (Botella PET) - AAP</t>
  </si>
  <si>
    <t>Novaarecy - Compra (Madera - leña) - Industrias Iggam (Rio Seco)</t>
  </si>
  <si>
    <t>Uchumayo - Compra (Cartón, plástico, botella) - DANPER (Pedregal)</t>
  </si>
  <si>
    <t>Uchumayo - Compra (Cartón) - DANPER (Pedregal)</t>
  </si>
  <si>
    <t>Uchumayo - Compra (Alambrón y viruta) y Servicio (Res. no aprovechables) - MolyCop (La Joya)</t>
  </si>
  <si>
    <t>AAM - Compra (Cartón, plástico, botella) - DANPER (Pedregal)</t>
  </si>
  <si>
    <t>ALSA - Compra (Sacas en desuso de cemento y cuarzo) - Industrias Iggam</t>
  </si>
  <si>
    <t>AAM - Compra (Cartón) - DANPER (Pedregal)</t>
  </si>
  <si>
    <t>Uchumayo - Compra (Madera)- Flsmidth (Matarani) y Compra (AlambrÃ³n) - Moly-Cop (La Joya)</t>
  </si>
  <si>
    <t>Matarani - Compra (Madera)- Flsmidth (Matarani)</t>
  </si>
  <si>
    <t>Uchumayo - Servicio (Res. peligrosos) - Flsmidth (Matarani) y Servicio (IBC'S) - Moly-Cop (Reactivos - La Joya)</t>
  </si>
  <si>
    <t>Matarani - Compra (Madera) -Flsmidth (Matarani)</t>
  </si>
  <si>
    <t>Uchumayo - Compra (Madera) -Flsmidth (Matarani) y Compra (AlambrÃ³n) - Moly-Cop (La Joya)</t>
  </si>
  <si>
    <t>Uchumayo - Servicio (IBCÂ´S peligrosos)-Moly-Cop (La Joya)</t>
  </si>
  <si>
    <t>Uchumayo - Compra (Alambron, viruta y madera) - Moly-Cop (La Joya) y Disposicion (Res. peligrosos) - Innova Ambiental (La Joya)</t>
  </si>
  <si>
    <t>ZED Matarani - Compra (Madera)- Flsmidth (Matarani)</t>
  </si>
  <si>
    <t>ZED Matarani - Compra (Madera) -Flsmidth (Matarani)</t>
  </si>
  <si>
    <t>El Eden - Disposicion (Res. peligrosos) - Innova Ambiental (La Joya)</t>
  </si>
  <si>
    <t>Uchumayo - Compra (Alambron) - Moly-Cop (La Joya) y Disposicion (Res. peligrosos) - Innova Ambiental (La Joya)</t>
  </si>
  <si>
    <t>Uchumayo - Servicio (Res. no aprovechables) - Granja Rinconada del Sur (P.A.B.)</t>
  </si>
  <si>
    <t>Uchumayo - Compra (Viruta) y Servicio (Res. Peligrosos) - Flsmidth (La Joya)</t>
  </si>
  <si>
    <t>Uchumayo - Servicio (Res. peligrosos - aguas residuales) - Moly-Cop (La Joya)</t>
  </si>
  <si>
    <t>Uchumayo - Compra (Alambron y viruta) -Moly-Cop (La Joya) y Servicio (IBC'S peligrosos) - Moly-Cop (Reactivos - La Joya)</t>
  </si>
  <si>
    <t>El Eden - Servicio (Res. no aprovechables) - Granja Rinconada del Sur (P.A.B.)</t>
  </si>
  <si>
    <t>El Eden - Compra (Viruta) - Flsmidth (La Joya)</t>
  </si>
  <si>
    <t>El Eden - Servicio (Res. Peligrosos) - Flsmidth (La Joya)</t>
  </si>
  <si>
    <t>Uchumayo - Compra (Alambron y chatarra liviana) y Servicio (Res. no aprovechables) - Moly-Cop (La Joya)</t>
  </si>
  <si>
    <t>Uchumayo - Compra (Res. aprovechables - varios) - Granja Rinconada del Sur (Almacén Central La Joya)</t>
  </si>
  <si>
    <t>Uchumayo - Servicio (Mantas) - Granja Rinconada del Sur (P.A.B.) y Servicio (IBC'S peligrosos) - Moly-Cop (Reactivos - La Joya)</t>
  </si>
  <si>
    <t>Uchumayo - Compra (Viruta) - Flsmidth (Matarani) y Compra (Alambrón) - Moly-Cop (La Joya)</t>
  </si>
  <si>
    <t>Uchumayo - Compra (Alambron) y Servicio (Res. no aprovechables) - Moly-Cop (La Joya) y Compra (Cartón) - La Joya Mining S.A.C.</t>
  </si>
  <si>
    <t>Uchumayo - Compra (AlambrÃ³n) - Moly-Cop (La Joya)</t>
  </si>
  <si>
    <t>Uchumayo - Compra (Pallets) - Danper (Pedregal)</t>
  </si>
  <si>
    <t>Uchumayo - Compra (Plastico y hojalata) - Danper (Pedregal)</t>
  </si>
  <si>
    <t>AAM - Compra (Plastico y hojalata) - Danper (Pedregal)</t>
  </si>
  <si>
    <t>Uchumayo - Compra (Alambron) - MolyCop (La Joya)</t>
  </si>
  <si>
    <t>Uchumayo - Compra (Alambron) - MolyCop (La Joya), Compra (IBCÂ´S) - MolyCop (Reactivos - La Joya) y DisposiciÃ³n (Res. Peligrosos)</t>
  </si>
  <si>
    <t>Uchumayo - Compra (Alambron) - MolyCop (La Joya), Compra (IBCÂ´S) - MolyCop (Reactivos - La Joya), DisposiciÃ³n (Res. Peligrosos) y Transporte (Montacarga) - GYTRES</t>
  </si>
  <si>
    <t>Uchumayo - Compra (Res. aprovechables) - Danper (Pedregal)</t>
  </si>
  <si>
    <t>AAM - Compra (Plastico, botas, chatarra y hojalata) - Danper (Pedregal)</t>
  </si>
  <si>
    <t>Lavado e higienizaciÃ³n.</t>
  </si>
  <si>
    <t>Uchumayo - Servicio (Res. peligrosos) -Pesquera Diamante (Mollendo)</t>
  </si>
  <si>
    <t>Uchumayo - Compra (Viruta) - Flsmidth (La Joya)</t>
  </si>
  <si>
    <t>Uchumayo - Servicio (Res. peligrosos) y Compra (Alambron) - MolyCop (La Joya)</t>
  </si>
  <si>
    <t>Uchumayo - Servicio (Res. no aprovechables)-Pesquera Diamante (Mollendo)</t>
  </si>
  <si>
    <t>Tercerizado</t>
  </si>
  <si>
    <t>Matarani - Servicio (Res. no aprovechables)-Pesquera Diamante (Mollendo)</t>
  </si>
  <si>
    <t>ALSA - Disposición (Res. no aprovechables) - GYTRES</t>
  </si>
  <si>
    <t>Uchumayo - Compra (Alambrón) y Compra (IBC'S) - MolyCop (La Joya y Reactivos La Joya)</t>
  </si>
  <si>
    <t>Uchumayo - Compra (Alambron) - MolyCop (La Joya) y Servicio (mantas) - Granja Rinconada del Sur (P.A.B.)</t>
  </si>
  <si>
    <t>Uchumayo - Compra (Res. aprovechables) - Granja Rinconada del Sur (Almacén Central) y Compra (Alambron) - MolyCop (La Joya)</t>
  </si>
  <si>
    <t>Uchumayo - Transporte (Res. no aprovechables) - Villa Esperanza</t>
  </si>
  <si>
    <t>Uchumayo - Servicio (Agua residual) - MolyCop (Reactivos-La Joya) y Compra (Alambron) - MolyCop (La Joya)</t>
  </si>
  <si>
    <t>Uchumayo - Compra (Alambron y viruta) y Servicio (Res. peligrosos) - MolyCop (La Joya)</t>
  </si>
  <si>
    <t>Uchumayo - Compra (Alambron) y Servicio (Res. peligrosos) - MolyCop (La Joya)</t>
  </si>
  <si>
    <t>Uchumayo - Servicio (Mantas) - Granja Rinconada del sur (P.A.B.)</t>
  </si>
  <si>
    <t>Uchumayo - Compra (Alambron) - MolyCop (La Joya) y Compra (Viruta) - Flsmidth (La Joya) y Venta (Hojalata) - Sergio Gutierrez</t>
  </si>
  <si>
    <t>Uchumayo - DisposiciÃ³n (Res. no aprovechables - Mantas) - Innova Ambiental (La Joya)</t>
  </si>
  <si>
    <t>Uchumayo - Compra (AlambrÃ³n) - MolyCop (La Joya) y Compra (Viruta) - Flsmidth (Matarani)</t>
  </si>
  <si>
    <t>El Eden - DisposiciÃ³n (Res. no aprovechables - Mantas) - Innova Ambiental (La Joya)</t>
  </si>
  <si>
    <t>Uchumayo - Servicio (Mantas) - Granja Rinconada del Sur (P.A.B.) y disposición (Res. no aprovechables) - Innova Ambiental (La Joya)</t>
  </si>
  <si>
    <t>Uchumayo - Compra (Alambron, sacas e IBC's) - MolyCop (La Joya y Reactivos La Joya)</t>
  </si>
  <si>
    <t>ALSA - Servicio (RCD) -A&amp;Z Constructores</t>
  </si>
  <si>
    <t>Uchumayo - Compra (Alambron) - MolyCop (La Joya) y Compra (Sacos con soya) - Granja Rinconada del sur (P.A.B.)</t>
  </si>
  <si>
    <t>Uchumayo - Compra (Alambron y Chatarra)-MolyCop (La Joya)</t>
  </si>
  <si>
    <t>Uchumayo - Servicio (IBC'S) - MolyCop (La Joya)</t>
  </si>
  <si>
    <t>Uchumayo - Compra (Alambron y viruta) -MolyCop (La Joya) y Compra (IBC'S) - MolyCop (Reactivos - La Joya)</t>
  </si>
  <si>
    <t>Uchumayo - Compra (Viruta) - Flsmidth (La Joya) y Compra (AlambrÃ³n) - MolyCop (La Joya)</t>
  </si>
  <si>
    <t>Uchumayo - Compra (Alambron) y Compra (IBC'S) - MolyCop (La Joya y Reactivos La Joya)</t>
  </si>
  <si>
    <t>Uchumayo - Compra (Alambrón) - MolyCop (La Joya) y Disposición (Res. no aprovechables) - Innova Ambiental (La Joya)</t>
  </si>
  <si>
    <t>Uchumayo - Compra (Alambrón y viruta) -MolyCop (La Joya)</t>
  </si>
  <si>
    <t>El Eden - Disposicion (Res. no aprovechables)-Innova Ambiental</t>
  </si>
  <si>
    <t>ALSA - Servicio (Res. no aprovechables) -UCSM</t>
  </si>
  <si>
    <t>Uchumayo - Servicio (Res. peligrosos) - Flsmidth (La Joya) y Compra (Varios) - Granja Rinconada del Sur (Almacén Central La Joya)</t>
  </si>
  <si>
    <t>Uchumayo - Compra (Alambrón y cartón), Servicio (Res. no aprovechables) y Muestra (Laminilla) - MolyCop (La Joya)</t>
  </si>
  <si>
    <t>Uchumayo - Disposición (Res. no aprovechables - UCSM) - Innova Ambiental (La Joya) y Compra (Alambron) - MolyCop (La Joya)</t>
  </si>
  <si>
    <t>Uchumayo-compra (alambron)-molycop (la joya)</t>
  </si>
  <si>
    <t>Uchumayo - servicio (res. no aprovechables -RSMNM ) - Granjas del sur (La Joya)</t>
  </si>
  <si>
    <t>Uchumayo-Traslado de unidad de la joya a sachaca.</t>
  </si>
  <si>
    <t>ALSA - compra (res. chatarra) y (servicio cancelado) - Moly</t>
  </si>
  <si>
    <t>uchumayo-compra (alambron)-molycop (la joya)</t>
  </si>
  <si>
    <t>uchumayo-disposicion(res, no aprovechables)-Innova ambiental</t>
  </si>
  <si>
    <t>uchumayo-disposicion(-R, no aprovechables)-Innova ambiental</t>
  </si>
  <si>
    <t>uchumayo-servicio(no aprovechables)-pesquera diamante</t>
  </si>
  <si>
    <t>matarani-servicio(no aprovechables)-pesquera diamante</t>
  </si>
  <si>
    <t>uchumayo-disposicion(no aprovechables)-INNOVA</t>
  </si>
  <si>
    <t>uchumayo-disposicion (no aprovechables)-INNOVA</t>
  </si>
  <si>
    <t>Alsa - disposicion (res. no aprovechables) -Innova</t>
  </si>
  <si>
    <t>Alsa - servicio (res. no aprovechables) - UCSM</t>
  </si>
  <si>
    <t>matarani-servicio (no aprovechables)-pesquera diamante</t>
  </si>
  <si>
    <t>uchumayo-servicio (no aprovechables)-pesquera diamante</t>
  </si>
  <si>
    <t>matarani-servicio-(no aprovechables)-flsmith(matarani)</t>
  </si>
  <si>
    <t>TERCERIZADO</t>
  </si>
  <si>
    <t>matarani-servicio(no aprovechables)-flsmith(matarani)</t>
  </si>
  <si>
    <t>Zed Matarani - compra (res. aprovechables - viruta metÃ¡lica) - Flsmith (Matarani)</t>
  </si>
  <si>
    <t>Zed Matarani - servicio (RES. no aprovechables) - Flsmith(matarani)</t>
  </si>
  <si>
    <t>Uchumayo- compra (alambron)- Molycop (la joya)</t>
  </si>
  <si>
    <t>El Eden - compra (res. aprovechables viruta) -Flsmith(la joya)</t>
  </si>
  <si>
    <t>Walter Asillo</t>
  </si>
  <si>
    <t>Uchumayo-Compra (aprovechables)-Granja Rinconada del sur</t>
  </si>
  <si>
    <t>Uchumayo-Compra(aprovechables)-Granja Rinconada del sur</t>
  </si>
  <si>
    <t>Alsa-compra(aprovechables)-Aniquem</t>
  </si>
  <si>
    <t>Uchumayo-disposición(no aprovechables)- UCSM</t>
  </si>
  <si>
    <t>Uchumayo-Compra(aprovechables)- Granja Rinconada del sur</t>
  </si>
  <si>
    <t>Alsa-disposición(res. no aprovechables)- Innova</t>
  </si>
  <si>
    <t>Uchumayo-disposición (no aprovechables) - Innova</t>
  </si>
  <si>
    <t>Uchumayo-Compra(aprovechables)- Lonccos y ccala</t>
  </si>
  <si>
    <t>El Edén - compra (aprovechables) - Flsmidth</t>
  </si>
  <si>
    <t>Las Lomas- compra (aprovechables) - Lonccos y ccala</t>
  </si>
  <si>
    <t>CAJA OPERATIVA 003 - Juber Monteza</t>
  </si>
  <si>
    <t>Viáticos para viaje Lima</t>
  </si>
  <si>
    <t>FG01</t>
  </si>
  <si>
    <t>Camana - Disposición (Res. peligrosos) - KANAY S.A.C. (Chilca)</t>
  </si>
  <si>
    <t>F205</t>
  </si>
  <si>
    <t>Jahuay - Disposición (Res. peligrosos) - KANAY S.A.C. (Chilca)</t>
  </si>
  <si>
    <t xml:space="preserve">F603 </t>
  </si>
  <si>
    <t>Punta Negra - Disposición (Res. no aprovechables) - Innova Ambiental (Chilca)</t>
  </si>
  <si>
    <t>El Eden (KM 48) - Disposición (Res. peligrosos) - Kanay S.A.C. (Chilca)</t>
  </si>
  <si>
    <t>Alojamiento y cochera: Ocoña</t>
  </si>
  <si>
    <t>Alimentación: Cena (02) (Camana)</t>
  </si>
  <si>
    <t>Alimentación: Desayuno (02) - Atico</t>
  </si>
  <si>
    <t>Alimentación: Almuerzo (02)</t>
  </si>
  <si>
    <t>Alimentación: Cena (02) (Chilca)</t>
  </si>
  <si>
    <t>Cochera: Chilca</t>
  </si>
  <si>
    <t>Alojamiento: Chilca</t>
  </si>
  <si>
    <t>S/D</t>
  </si>
  <si>
    <t>Alimentación: Desayuno (02) - Chilca</t>
  </si>
  <si>
    <t>Alimentación: Almuerzo (02) - Chilca</t>
  </si>
  <si>
    <t>Alimentación: Cena (02) - Lima</t>
  </si>
  <si>
    <t>Alimentación: Desayuno (02)</t>
  </si>
  <si>
    <t>Alimentación: Almuerzo (02)- Lima</t>
  </si>
  <si>
    <t>Alimentación: Cena (02) - Santa Anita</t>
  </si>
  <si>
    <t>Alimentación: Desayuno (02) - Santa Anita</t>
  </si>
  <si>
    <t>Alimentación: Almuerzo (02) - Santa Anita</t>
  </si>
  <si>
    <t>Alimentación: Cena (02) Santa Anita</t>
  </si>
  <si>
    <t>Alimentación: Cena (02)</t>
  </si>
  <si>
    <t>F155</t>
  </si>
  <si>
    <t>Surco - Transporte (Madera y sacas vacías) - GYTRES</t>
  </si>
  <si>
    <t>F203</t>
  </si>
  <si>
    <t>Villa El Salvador - Transporte (Madera y sacas vacías) - GYTRES</t>
  </si>
  <si>
    <t>F103</t>
  </si>
  <si>
    <t>Cañete (Chilca) - Transporte (Madera y sacas vacías) - GYTRES</t>
  </si>
  <si>
    <t>F301</t>
  </si>
  <si>
    <t>Ica - Transporte (Madera y sacas vacías) - GYTRES</t>
  </si>
  <si>
    <t>A3NA1P325007852</t>
  </si>
  <si>
    <t>Nazca - Transporte (Madera y sacas vacías) - GYTRES</t>
  </si>
  <si>
    <t>A3YA1P325008743</t>
  </si>
  <si>
    <t>Yauca - Transporte (Madera y sacas vacías) - GYTRES</t>
  </si>
  <si>
    <t>Atico - Retorno de Unidad - GYTRES S.A.C.</t>
  </si>
  <si>
    <t>Camana - Retorno de Unidad - GYTRES S.A.C.</t>
  </si>
  <si>
    <t>Alimentación: Almuerzo (02) - Ica</t>
  </si>
  <si>
    <t>Cochera: Santa Anita</t>
  </si>
  <si>
    <t>Alimentación: Cenas (02) - Chala</t>
  </si>
  <si>
    <t>Alojamiento: Chala (02)</t>
  </si>
  <si>
    <t>Cochera: Chala</t>
  </si>
  <si>
    <t>Alimentación: Almuerzo (02) - Camana</t>
  </si>
  <si>
    <t xml:space="preserve">F211 </t>
  </si>
  <si>
    <t>Uchumayo - Disposición (Res. peligrosos) - KANAY S.A.C. (Chilca)</t>
  </si>
  <si>
    <t>F204</t>
  </si>
  <si>
    <t>F600</t>
  </si>
  <si>
    <t>Punta Negra - Transporte (res. aprovechables) - GYTRES</t>
  </si>
  <si>
    <t>Alimentación: Desayuno (02) - Pedregal</t>
  </si>
  <si>
    <t>Alimentación: Almuerzo (02) - Atico</t>
  </si>
  <si>
    <t>Alimentación: Cena (02) - Nazca</t>
  </si>
  <si>
    <t>Alojamiento: Ica (02)</t>
  </si>
  <si>
    <t>Cochera: Ica</t>
  </si>
  <si>
    <t>Alimentación: Almuerzo (02) -Chilca</t>
  </si>
  <si>
    <t>Lima Expresa (Monterrico) - Transporte (Madera, cable, RAEE) - GYTRES</t>
  </si>
  <si>
    <t>F201</t>
  </si>
  <si>
    <t>Villa El Salvador - Transporte (Madera, cable, RAEE) - GYTRES</t>
  </si>
  <si>
    <t>Chilca - Transporte (Madera, cable, RAEE) - GYTRES</t>
  </si>
  <si>
    <t xml:space="preserve">F302 </t>
  </si>
  <si>
    <t>Ica - Transporte (Madera, cable, RAEE) - GYTRES</t>
  </si>
  <si>
    <t>A3NA1P325010150</t>
  </si>
  <si>
    <t>Nazca - Transporte (Madera, cable, RAEE) - GYTRES</t>
  </si>
  <si>
    <t>A3YA1P325011746</t>
  </si>
  <si>
    <t>Yauca - Transporte (Madera, cable, RAEE) - GYTRES</t>
  </si>
  <si>
    <t>A3AT1P325010566</t>
  </si>
  <si>
    <t>Atico - Transporte (Madera, cable, RAEE) - GYTRES</t>
  </si>
  <si>
    <t>Camana - Transporte (Madera, cable, RAEE) - GYTRES</t>
  </si>
  <si>
    <t>F607</t>
  </si>
  <si>
    <t>Punta Negra - Disposición (Res. no aprovechables) - Innova (Chilca)</t>
  </si>
  <si>
    <t>FOTON VBB-840</t>
  </si>
  <si>
    <t>Villa el Salvador - Disposición (Res. no aprovechables) - Innova (Chilca)</t>
  </si>
  <si>
    <t>Alimentación: Cena (01) - Santa Anita</t>
  </si>
  <si>
    <t>Alimentación: Cena (01) - Palpa</t>
  </si>
  <si>
    <t xml:space="preserve">E001 </t>
  </si>
  <si>
    <t>Alojamiento: Palpa (01)</t>
  </si>
  <si>
    <t>Alimentación: Desayuno (01) - Santa Anita</t>
  </si>
  <si>
    <t>Alimentación: Almuerzo (01) - Santa Anita</t>
  </si>
  <si>
    <t>Alimentación: Cena (01) -Santa Anita</t>
  </si>
  <si>
    <t>EB01</t>
  </si>
  <si>
    <t>Alimentación: Desayuno (01) - Yauca</t>
  </si>
  <si>
    <t>Alimentación: Almuerzo (01) - Ocoña</t>
  </si>
  <si>
    <t>Alimentación Desayuno (01) - Santa Anita</t>
  </si>
  <si>
    <t>Alimentación: Almuerzo (01) - 28 de julio</t>
  </si>
  <si>
    <t>Alimentación Cena (01) - Ica</t>
  </si>
  <si>
    <t>Alimentación: Desayuno (01) - Camana</t>
  </si>
  <si>
    <t>Alimentación: Almuerzo (01) - Cruce la Joya</t>
  </si>
  <si>
    <t>Recicladora Las Lomas E.I.R.L - Compra (Plástico film) - Lonccos y Ccalas</t>
  </si>
  <si>
    <t>Uchumayo - Compra (IBC'S) - MolyCop (Reactivos - La Joya)</t>
  </si>
  <si>
    <t>Uchumayo - Transporte (Unidad vehicular) - GYTRES</t>
  </si>
  <si>
    <t>Uchumayo - Compra (Alambrón) - MolyCop (La Joya) y Compra (Madera y papel) - Granja Rinconada del Sur (P.A.B.)</t>
  </si>
  <si>
    <t>Uchumayo - Servicio (36 IBC'S) - MolyCop (Reactivos - La Joya)</t>
  </si>
  <si>
    <t>El Eden - Servicio (Res. no aprovechables) - Flsmidth (La Joya)</t>
  </si>
  <si>
    <t>Matarani - Compra (Madera) - Flsmidth (Matarani)</t>
  </si>
  <si>
    <t>ZED Matarani - Compra (Madera) - Flsmidth (Matarani)</t>
  </si>
  <si>
    <t>El Eden (KM 48) - Compra (Viruta MetÃ¡lica) - Flsmidth (La Joya)</t>
  </si>
  <si>
    <t>El Eden (KM 48) - Venta (Madera - LeÃ±a) - GYTRES (Villa Esperanza)</t>
  </si>
  <si>
    <t>AAM - Servicio (Lodos) - Danper (Pedregal)</t>
  </si>
  <si>
    <t>ALSA - Compra (Chatarra) - DCR Minería y construcción S.A.C.</t>
  </si>
  <si>
    <t>El Eden (KM 48) - Servicio (Res. peligrosos) - Flsmidth (La Joya)</t>
  </si>
  <si>
    <t>El Eden (KM 48) - Compra (Madera en desuso) - Flsmidth (La Joya)</t>
  </si>
  <si>
    <t>El Eden (KM 48) - Disposición (Res. no aprovechables) - Innova (La Joya)</t>
  </si>
  <si>
    <t>Uchumayo - Servicio (Transporte de fardos de lana) - Inca Tops S.A.</t>
  </si>
  <si>
    <t>Camana - Servicio (Transporte de fardos de lana) - Inca Tops S.A.</t>
  </si>
  <si>
    <t>Jahuay Chincha - Servicio (Transporte de fardos de lana) - Inca Tops S.A.</t>
  </si>
  <si>
    <t>F603</t>
  </si>
  <si>
    <t>Punta negra - Servicio (Transporte de fardos de lana) - Inca Tops S.A.</t>
  </si>
  <si>
    <t>F255</t>
  </si>
  <si>
    <t>Lima expresa - Servicio (Transporte de fardos de lana) - Inca Tops S.A.</t>
  </si>
  <si>
    <t>F156</t>
  </si>
  <si>
    <t>Lima Expresa - Transporte (Res. aprovechables) - GYTRES</t>
  </si>
  <si>
    <t>Villa El Salvador - Transporte (Res. aprovechables) - GYTRES</t>
  </si>
  <si>
    <t>Chilca - Transporte (Res. aprovechables) - GYTRES</t>
  </si>
  <si>
    <t>F304</t>
  </si>
  <si>
    <t>Ica - Transporte (Res. aprovechables) - GYTRES</t>
  </si>
  <si>
    <t>A3NA1P325020716</t>
  </si>
  <si>
    <t>Nazca - Transporte (Res. aprovechables) - GYTRES</t>
  </si>
  <si>
    <t>A3YA1P325022804</t>
  </si>
  <si>
    <t>Yauca - Transporte (Res. aprovechables) - GYTRES</t>
  </si>
  <si>
    <t>A3A11P325020580</t>
  </si>
  <si>
    <t>Atico - Transporte (Res. aprovechables) - GYTRES</t>
  </si>
  <si>
    <t>Camaná - Transporte (Res. aprovechables) - GYTRES</t>
  </si>
  <si>
    <t>Alimentación: Cena (Pedregal)</t>
  </si>
  <si>
    <t>Alojamiento: Ocoña</t>
  </si>
  <si>
    <t>Cochera: Ocoña</t>
  </si>
  <si>
    <t>Alimentación: Desayuno (Chala)</t>
  </si>
  <si>
    <t>Alimentación: Almuerzo (Nazca)</t>
  </si>
  <si>
    <t>Alimentación: Cena (Chilca)</t>
  </si>
  <si>
    <t>Alojamiento: Lurin - Lima</t>
  </si>
  <si>
    <t>Cochera: Lurin - Lima</t>
  </si>
  <si>
    <t>Alimentación: Desayuno (Callao)</t>
  </si>
  <si>
    <t>Alimentación: Almuerzo (Callao)</t>
  </si>
  <si>
    <t>Alimentación: Cena (Santa Anita)</t>
  </si>
  <si>
    <t>Alimentación: Desayuno (Santa Anita)</t>
  </si>
  <si>
    <t>Alimentación: Almuerzo (Lima)</t>
  </si>
  <si>
    <t>Alimentación: Cena (Ica)</t>
  </si>
  <si>
    <t>Alojamiento: Palpa</t>
  </si>
  <si>
    <t>Cochera: Palpa</t>
  </si>
  <si>
    <t>Alimentación: Desayuno (Yauca)</t>
  </si>
  <si>
    <t>Alimentación: Almuerzo (Ocoña)</t>
  </si>
  <si>
    <t>Alimentación: Cena (Cruce la Joya)</t>
  </si>
  <si>
    <t>El Eden (Parque Industrial) - Compra (Res. aprovechables) - ALSUR (Arequipa)</t>
  </si>
  <si>
    <t>Uchumayo - Compra (Alambrón y chatarra) y Servicio (IBC's) - MolyCop (La Joya y Reactivos - La Joya)</t>
  </si>
  <si>
    <t>FM02</t>
  </si>
  <si>
    <t>Jahuay - Servicio (Transporte de fardos de lana) - Inca Tops S.A.</t>
  </si>
  <si>
    <t>Punta Negra - Servicio (Transporte de fardos de lana) - Inca Tops S.A.</t>
  </si>
  <si>
    <t>Lima Expresa - Servicio (Transporte de fardos de lana) - Inca Tops S.A.</t>
  </si>
  <si>
    <t>Villa el salvador - Transporte (Res. aprovechables) - GYTRES</t>
  </si>
  <si>
    <t>F104</t>
  </si>
  <si>
    <t>F303</t>
  </si>
  <si>
    <t>A3AT1P325027882</t>
  </si>
  <si>
    <t>A3YA1P325031159</t>
  </si>
  <si>
    <t>A3NA1P325028506</t>
  </si>
  <si>
    <t>Camana - Transporte (Res. aprovechables) - GYTRES</t>
  </si>
  <si>
    <t>Uchumayo - Servicio (Res. peligrosos) - MolyCop (Reactivos - La Joya)</t>
  </si>
  <si>
    <t>Alimentación: Almuerzo (02) - KM 48</t>
  </si>
  <si>
    <t>Alimentación: Cena (02) - Chala</t>
  </si>
  <si>
    <t>Alimentación: Desayuno (02) - Lima</t>
  </si>
  <si>
    <t>Alimentación: Almuerzo (02) - Lima</t>
  </si>
  <si>
    <t>Alimentación: Desayuno (02) - Chala</t>
  </si>
  <si>
    <t>Alimentación: Almuerzo (02) - Ocoña</t>
  </si>
  <si>
    <t>F604</t>
  </si>
  <si>
    <t>Punta Negra - Transporte (Res. aprovechables - Sacas) - GYTRES</t>
  </si>
  <si>
    <t>Villa El Salvador - Transporte (Res. aprovechables - Sacas) - GYTRES</t>
  </si>
  <si>
    <t>Chilca - Transporte (Res. aprovechables - Sacas) - GYTRES</t>
  </si>
  <si>
    <t>Ica - Transporte (Res. aprovechables - Sacas) - GYTRES</t>
  </si>
  <si>
    <t>A3NA1P325030850</t>
  </si>
  <si>
    <t>Nazca - Transporte (Res. aprovechables - Sacas) - GYTRES</t>
  </si>
  <si>
    <t>A3YA1P325033609</t>
  </si>
  <si>
    <t>Yauca - Transporte (Res. aprovechables - Sacas) - GYTRES</t>
  </si>
  <si>
    <t>A3AT1P325029943</t>
  </si>
  <si>
    <t>Atico - Transporte (Res. aprovechables - Sacas) - GYTRES</t>
  </si>
  <si>
    <t>Camana - Transporte (Res. aprovechables - Sacas) - GYTRES</t>
  </si>
  <si>
    <t>ALSA - Compra (Cartón) - Aeropuertos Andinos</t>
  </si>
  <si>
    <t>ALSA - Compra (Botella PET) - Aeropuertos Andinos</t>
  </si>
  <si>
    <t>ALSA - Compra (Vidrio) - Aeropuertos Andinos</t>
  </si>
  <si>
    <t>Alimentación: Almuerzo (Cruce la Joya)</t>
  </si>
  <si>
    <t>Alimentación: Cena (Camaná)</t>
  </si>
  <si>
    <t>Alojamiento: Nazca</t>
  </si>
  <si>
    <t>Cochera: Nazca</t>
  </si>
  <si>
    <t>Alimentación: Desayuno (Ica)</t>
  </si>
  <si>
    <t>Alimentación: Almuerzo (Chilca)</t>
  </si>
  <si>
    <t>Alimentación: Cena Juber (Chilca)</t>
  </si>
  <si>
    <t>Alimentación: Desayuno (Chilca)</t>
  </si>
  <si>
    <t>Alimentación: Cena (Lima)</t>
  </si>
  <si>
    <t>Alimentación: Almuerzo (Santa Anita)</t>
  </si>
  <si>
    <t>Alojamiento: Chincha</t>
  </si>
  <si>
    <t>Cochera: Chincha</t>
  </si>
  <si>
    <t>Alimentación: Almuerzo (Chala)</t>
  </si>
  <si>
    <t>Alimentación: Cena (Cruce La Joya)</t>
  </si>
  <si>
    <t>Uchumayo - Traslado (Mantenimiento preventivo) - CONAUTO</t>
  </si>
  <si>
    <t>Matarani - Servicio (Res. no aprovechables) - CBB (Matarani)</t>
  </si>
  <si>
    <t>Uchumayo - Traslado de unidad para compra (Res. aprovechables) - Alicorp (Parque Industrial)</t>
  </si>
  <si>
    <t>Uchumayo - Servicio (IBC's) - MolyCop (Reactivos La Joya)</t>
  </si>
  <si>
    <t>El Eden (KM 48) - Compra (Viruta Metálica) - Flsmidth (La Joya)</t>
  </si>
  <si>
    <t>El Eden (KM 48) - Compra (Madera) - Flsmidth (La Joya)</t>
  </si>
  <si>
    <t>Uchumayo - servicio (res. peligrosos) - Flsmidth (Matarani)</t>
  </si>
  <si>
    <t>Matarani - servicio (res. peligrosos) - Flsmidth (Matarani)</t>
  </si>
  <si>
    <t>ZED Matarani - servicio (res. peligrosos) - Flsmidth (Matarani)</t>
  </si>
  <si>
    <t>Uchumayo - servicio (res. generales) - Alsur</t>
  </si>
  <si>
    <t>El EdÃ©n - servicio (RSMNM) - Flsmidth (La Joya)</t>
  </si>
  <si>
    <t>El Eden KM 48 - servicio (RS Peligrosos) -FLSMITH La Joya</t>
  </si>
  <si>
    <t xml:space="preserve">FE02 </t>
  </si>
  <si>
    <t>El Eden - KM 48 Compra: Viruta Metalica FLSMITH (La Joya)</t>
  </si>
  <si>
    <t>El Eden - KM 48 Venta: Madera (Leña)PanaderÃ­a - KM 48</t>
  </si>
  <si>
    <t>Uchumayo Disposición: RS Generales Innova la Joya</t>
  </si>
  <si>
    <t>Uchumayo Villa Esperanza - Arequipa servicio de Mantenimiento preventivo</t>
  </si>
  <si>
    <t>Uchumayo servicio: RS Generales (Disposición)</t>
  </si>
  <si>
    <t>Uchumayo Compra : RS aprovechable (Cartón, Plastico Leña) - Alicorp</t>
  </si>
  <si>
    <t>Uchumayo.servicio: Disposición RS Generales Alsur</t>
  </si>
  <si>
    <t>Uchumayo.Servicio RS aprovechable (Madera)Alsur</t>
  </si>
  <si>
    <t>Uchumayo - Servicio - La Rinconada del Sur</t>
  </si>
  <si>
    <t>El Eden - disposición (no aprovechables) -Innova (La Joya)</t>
  </si>
  <si>
    <t>lavado e higienización</t>
  </si>
  <si>
    <t>Uchumayo - servicio (res. aprovechables) - Alsur</t>
  </si>
  <si>
    <t>Uchumayo Arequipa - Villa Esperanza de Regreso</t>
  </si>
  <si>
    <t>Alza Compra: Cartón Aeropuertos Andinos</t>
  </si>
  <si>
    <t>Alza Compra: Botellas petAeropuertos Andinos</t>
  </si>
  <si>
    <t>Uchumayo - servicio (res. peligrosos) - Moly Cop (La Joya)</t>
  </si>
  <si>
    <t>Uchumayo servicio: IBC Peligrosos Moly COP la Joya</t>
  </si>
  <si>
    <t>Cta:</t>
  </si>
  <si>
    <t>CAJA OPERATIVA 004 - Willian León</t>
  </si>
  <si>
    <t>Willian León</t>
  </si>
  <si>
    <t>F602</t>
  </si>
  <si>
    <t>F218</t>
  </si>
  <si>
    <t>F611</t>
  </si>
  <si>
    <t>Villa el Salvador - Disposición (Res. Peligrosos) - KANAY (Chilca)</t>
  </si>
  <si>
    <t>Punta Negra - Disposición (Res. Peligrosos) - KANAY (Chilca)</t>
  </si>
  <si>
    <t>Villa el Salvador - Disposición (Res. peligrosos) - Kanay (Chilca)</t>
  </si>
  <si>
    <t>Punta Negra - Disposición (Res. peligrosos) - Kanay (Chilca)</t>
  </si>
  <si>
    <t>F208</t>
  </si>
  <si>
    <t>Negociaciones Abbycorp E.I.R.L - Lavado e higienización</t>
  </si>
  <si>
    <t>F206</t>
  </si>
  <si>
    <t>Viaticos para la semana</t>
  </si>
  <si>
    <t>Negociaciones Abbycorp E.I.R.L -Lavado e Higienizacion</t>
  </si>
  <si>
    <t>F226</t>
  </si>
  <si>
    <t>Villa El Salvador - Traslado (Res. no aprovechables) - Almacén Marco (Chilca)</t>
  </si>
  <si>
    <t>Punta Negra - Traslado (Res. no aprovechables) - Almacén Marco (Chilca)</t>
  </si>
  <si>
    <t>F605</t>
  </si>
  <si>
    <t>Balanza Josfel S.A.C. - Pesaje (Res. peligrosos) - GYTRES</t>
  </si>
  <si>
    <t>Negociaciones Abbycorp E.I.R.L. - Lavado e Higienizacion</t>
  </si>
  <si>
    <t>F228</t>
  </si>
  <si>
    <t>Balanza Carlos Torres - Disposición (Res. no aprovechables) - Innova (Chilca)</t>
  </si>
  <si>
    <t>Negociaciones Abbycorp E.I.R.L - Lavado e Higienizacion</t>
  </si>
  <si>
    <t>servicio Garlufak (Ayacucho)</t>
  </si>
  <si>
    <t>Punta Negra- Disposición (Res. peligrosos) - Kanay (Chilca)</t>
  </si>
  <si>
    <t>Villa El Salvador - Servicio(Res. peligrosos) - Talma Servicios Aeroportuarios S.A (Ayacucho)</t>
  </si>
  <si>
    <t>Chilca - Servicio(Res. peligrosos) - Talma Servicios Aeroportuarios S.A (Ayacucho)</t>
  </si>
  <si>
    <t>Punta Negra - Servicio (Res. peligrosos) - Talma Servicios Aeroportuarios S.A (Ayacucho)</t>
  </si>
  <si>
    <t>Jahuay - Servicio(Res. peligrosos) - Talma Servicios Aeroportuarios S.A (Ayacucho)</t>
  </si>
  <si>
    <t>F606</t>
  </si>
  <si>
    <t>Alojamiento: Hospedaje Correito - Lircay (Huancavelica) (02)</t>
  </si>
  <si>
    <t>FAY1</t>
  </si>
  <si>
    <t>Cochera: Aeropuertos Andinos del Perú (Ayacucho)</t>
  </si>
  <si>
    <t>Car Washington Perez - Lavado e Higienizacion de unidad (Ayacucho)</t>
  </si>
  <si>
    <t>Alojamiento: Rumichaca (Ayacucho) (02) - Multiservicios Larita</t>
  </si>
  <si>
    <t>Cochera: Rumichaca (Ayacucho) - Multiservicios Larita</t>
  </si>
  <si>
    <t>Negociaciones Abbycorp E.I.R.L - Lavado e Higienización</t>
  </si>
  <si>
    <t>Negociaciones Abbycorp E.I.R.L. - Lavado e Higienización</t>
  </si>
  <si>
    <t>F210</t>
  </si>
  <si>
    <t>030!9863</t>
  </si>
  <si>
    <t>F209</t>
  </si>
  <si>
    <t>Balanza Mikel - Disposición (Res. no aprovechables) - Innova (Chilca)</t>
  </si>
  <si>
    <t>Villa-disposición (peligrosos) Kanay (Chilca)</t>
  </si>
  <si>
    <t>Punta negra-disposición (peligrosos) Kanay (Chilca)</t>
  </si>
  <si>
    <t>Negociaciones Abbycorp E.I.R.L - lavado e Higienizacion de unidad</t>
  </si>
  <si>
    <t>Villa el Salvador - disposicion (RSMNM) - Innova (Chilca)</t>
  </si>
  <si>
    <t>Punta Negra - disposicion (RSMNM) - Innova (Chilca)</t>
  </si>
  <si>
    <t>Villa el Salvador - disposicion (peligrosos) - Kanay (chilca)</t>
  </si>
  <si>
    <t>Punta Negra - disposicion (peligrosos) Kanay (Chilca)</t>
  </si>
  <si>
    <t>Villa El Salvador - disposición (peligrosos) - Kanay (Chilca)</t>
  </si>
  <si>
    <t>Punta Negra - disposición (peligrosos) - Kanay ( Chilca)</t>
  </si>
  <si>
    <t>Villa El Salvador - disposición (res.generales) - Innova (Chilca)</t>
  </si>
  <si>
    <t>Punta negra - disposición (Res.generales) -Innova (Chilca)</t>
  </si>
  <si>
    <t>Villa-disposición (res.generales) innova (Chilca)</t>
  </si>
  <si>
    <t>punta negra-disposición (Res.generales) innova (Chilca)</t>
  </si>
  <si>
    <t>negociaciones Abbycorp E.I.R.L (Lavado e Higienizacion de unidad) Santa Anita (Lima)</t>
  </si>
  <si>
    <t>punta negra-disposición (peligrosos) Kanay (Chilca)</t>
  </si>
  <si>
    <t>Villa-disposición(peligrosos)Kanay(Chilca)</t>
  </si>
  <si>
    <t>Balanza Mikel(disposición de residuos peligrosos)</t>
  </si>
  <si>
    <t>Negociaciones Abbycorp E.I.R.L- Lavado e Higienizacion de unidad (Santa Anita) Lima</t>
  </si>
  <si>
    <t>Villa-disposición(res.generales)innova(Chilca)</t>
  </si>
  <si>
    <t>punta negra-disposición(Res.generales)innova(Chilca)</t>
  </si>
  <si>
    <t>Punta negra-disposición (Res.generales) innova (Chilca)</t>
  </si>
  <si>
    <t>Negociaciones Abbycorp E.I.R.L</t>
  </si>
  <si>
    <t>CAJA OPERATIVA 005 - Juan Tarifa</t>
  </si>
  <si>
    <t>Juan Tarifa</t>
  </si>
  <si>
    <t>Uchumayo - Compra (Viruta y cartón) y Servicio (Res. no aprovechables) - MolyCop (La Joya)</t>
  </si>
  <si>
    <t>Uchumayo - Servicio (Res. Peligrosos) - Flsmidth (Matarani) y AHK (Matarani)</t>
  </si>
  <si>
    <t>Matarani - Servicio (Res. Peligrosos) - Flsmidth (Matarani) y AHK (Matarani)</t>
  </si>
  <si>
    <t>Uchumayo - Compra (Caucho, cartón, chatarra, bidones y cilindros) - Granja Rinconada del Sur (Almacén Central)</t>
  </si>
  <si>
    <t>Uchumayo - Compra (Alambrón y viruta) - MolyCop (La Joya) y Servicio (IBC´S) - MolyCop (Reactivos - La Joya)</t>
  </si>
  <si>
    <t>ALSA - Servicio (Res. no aprovechables) y Compra (Madera) - Power</t>
  </si>
  <si>
    <t>ALSA - Servicio (Res. peligrosos) - Power</t>
  </si>
  <si>
    <t>ALSA - Compra (Cartón y plástico) - UCSM</t>
  </si>
  <si>
    <t>ALSA - Servicio (Res. no aprovechables) - UCSM (Torre Santa María)</t>
  </si>
  <si>
    <t>Novaarecy - Compra (Plástico) - Lonccos y Ccalas</t>
  </si>
  <si>
    <t>ZED Matarani - Servicio (Res. Peligrosos) - Flsmidth (Matarani)</t>
  </si>
  <si>
    <t>ZED Matarani - Servicio (Res. Peligrosos) - AHK (Matarani)</t>
  </si>
  <si>
    <t>ALSA - Servicio (Res. peligrosos) - Cargo Transport</t>
  </si>
  <si>
    <t>Viáticos para viaje a Abancay</t>
  </si>
  <si>
    <t>Servicentro Santa Martha - Abancay</t>
  </si>
  <si>
    <t>Uchumayo - Servicio (Res. no aprovechables) - Flsmidth (La Joya) y Servicio (Res. Peligrosos) - MolyCop (Reactivos - La Joya)</t>
  </si>
  <si>
    <t>F311</t>
  </si>
  <si>
    <t>Patahuasi - Servicio (Res. no aprovechables) - Antilla Copper (Abancay)</t>
  </si>
  <si>
    <t>F412</t>
  </si>
  <si>
    <t>Pichirhua - Servicio (Res. no aprovechables) - Antilla Copper (Abancay)</t>
  </si>
  <si>
    <t>F411</t>
  </si>
  <si>
    <t>F314</t>
  </si>
  <si>
    <t>El Edén - Servicio (Res. no aprovechables) - Flsmidth (La Joya)</t>
  </si>
  <si>
    <t>ALSA - Servicio (Res. peligrosos) - Power S.A.C.</t>
  </si>
  <si>
    <t>Alojamiento: Imata</t>
  </si>
  <si>
    <t>Cochera: Imata</t>
  </si>
  <si>
    <t>Alojamiento: Santa Rosa - Abancay</t>
  </si>
  <si>
    <t>Alojamiento: Anta (Cuzco)</t>
  </si>
  <si>
    <t>Cochera: Anta (Cuzco)</t>
  </si>
  <si>
    <t>Viáticos para viaje a Huambo</t>
  </si>
  <si>
    <t>Uchumayo - Compra (Alambron) - MolyCop (La Joya) y Servicio (Res. no aprovechables y RAEE) - Flsmidth (Matarani)</t>
  </si>
  <si>
    <t>Matarani - Servicio (Res. no aprovechables y RAEE) - Flsmidth (Matarani)</t>
  </si>
  <si>
    <t>Patahuasi - Servicio (Res. peligrosos) - Comando (Huambo)</t>
  </si>
  <si>
    <t>Uchumayo - Compra (Viruta y madera) y servicio (Res. no aprovechables) - MolyCop (La Joya)</t>
  </si>
  <si>
    <t>ZED Matarani - Servicio (Res. no aprovechables y RAEE) - Flsmidth (Matarani)</t>
  </si>
  <si>
    <t>Novaarecy - Compra (PlÃ¡stico film) - Lonccos y Ccalas</t>
  </si>
  <si>
    <t>Novaarecy - Compra (CartÃ³n en desuso) - Lonccos y Ccalas</t>
  </si>
  <si>
    <t>El EdÃ©n - Servicio ( Res. peligrosos) - Comando (Chivay)</t>
  </si>
  <si>
    <t>Lavado e higienizaciÃ³n</t>
  </si>
  <si>
    <t>AlimentaciÃ³n: Desayuno (02)</t>
  </si>
  <si>
    <t>AlimentaciÃ³n: Almuerzo (02)</t>
  </si>
  <si>
    <t>AlimentaciÃ³n: Cena: (02)</t>
  </si>
  <si>
    <t>Uchumayo - Compra (Viruta) - Flsmidth (La Joya) y Servicio (IBC'S) - MolyCop (Reactivos-La Joya)</t>
  </si>
  <si>
    <t>El Edén - Servicio (Res. peligrosos) - Metaquim</t>
  </si>
  <si>
    <t>El Edén - Compra (Viruta) - Flsmidth (La Joya)</t>
  </si>
  <si>
    <t>Se abasteció combustible al contado en ILO</t>
  </si>
  <si>
    <t>Uchumayo - Compra (Aprovechables) y Servicio (Res. no aprovechables)- Flsmidth (Matarani)</t>
  </si>
  <si>
    <t>Matarani - Compra (Aprovechables) y Servicio (Res. no aprovechables)- Flsmidth (Matarani)</t>
  </si>
  <si>
    <t>Uchumayo - Servicio (Res. peligrosos) - Mega Pesca y Servicio (Res. no aprovechables) - R&amp;C Ingenieros</t>
  </si>
  <si>
    <t>El Fiscal - Servicio (Res. peligrosos) - Mega Pesca y Servicio (Res. no aprovechables) - R&amp;C Ingenieros</t>
  </si>
  <si>
    <t>Montalvo - Servicio (Res. peligrosos) - Mega Pesca y Servicio (Res. no aprovechables) - R&amp;C Ingenieros</t>
  </si>
  <si>
    <t>Tomasiri - Servicio (Res. peligrosos) - Mega Pesca y Servicio (Res. no aprovechables) - R&amp;C Ingenieros</t>
  </si>
  <si>
    <t>ZED Matarani - Servicio (Res. no aprovechables)- Flsmidth (Matarani)</t>
  </si>
  <si>
    <t>RET &amp; SAN S.R.L. - Compra (Sacos) - Alprosa</t>
  </si>
  <si>
    <t>Novaarecy - Compra (Plástico film) - Lonccos y Ccalas</t>
  </si>
  <si>
    <t>Alojamiento: (02) (Punta de Bombón)</t>
  </si>
  <si>
    <t>Cochera: Punta de Bombón</t>
  </si>
  <si>
    <t>Se abasteció combustible en Abancay</t>
  </si>
  <si>
    <t>Uchumayo - Servicio (Res. no aprovechables) - Moly-Cop (La Joya) y Servicio (Res. no aprovechables) - Flsmidth (La Joya)</t>
  </si>
  <si>
    <t>F312</t>
  </si>
  <si>
    <t>Patahuasi - Servicio (Res. no aprovechables y peligrosos) - Antilla Copper (C.P. Kella)</t>
  </si>
  <si>
    <t>Pichirhua - Servicio (Res. no aprovechables y peligrosos) - Antilla Copper (C.P. Kella)</t>
  </si>
  <si>
    <t>Novaarecy - Compra (Plastico film) - Lonccos y Ccalas</t>
  </si>
  <si>
    <t>Alojamiento: Imata (02)</t>
  </si>
  <si>
    <t>Alimentación: Cena (02) - Imata</t>
  </si>
  <si>
    <t>Alojamiento: Santa Rosa (02)</t>
  </si>
  <si>
    <t>Cochera: Santa Rosa</t>
  </si>
  <si>
    <t>Alimentación: Cena(02)</t>
  </si>
  <si>
    <t>Alojamiento: Antabamba (02)</t>
  </si>
  <si>
    <t>Cochera : Antabamba</t>
  </si>
  <si>
    <t>Alojamiento: Oropesa - Cuzco (02)</t>
  </si>
  <si>
    <t>Cochera: Oropesa - Cuzco</t>
  </si>
  <si>
    <t>Uchumayo - Traslado (Res. no aprovechables y peligrosos) - Antilla Copper y Servicio (RAEE)- Moly-Cop (La Joya)</t>
  </si>
  <si>
    <t>Uchumayo - Compra (Chatarra y bolsas de papel) - Granja Rinconada del Sur (P.A.B.)</t>
  </si>
  <si>
    <t>El Eden - Servicio (Res. no aprovechables) - Antilla Copper (Abancay)</t>
  </si>
  <si>
    <t>El Eden - Servicio (Res. peligrosos) - Antilla Copper (Abancay)</t>
  </si>
  <si>
    <t>El Eden - Compra (Cartón) - ALSUR (Arequipa)</t>
  </si>
  <si>
    <t>El Eden - Compra (Plástico) - ALSUR (Arequipa)</t>
  </si>
  <si>
    <t>El Eden - Compra (Madera en desuso) - ALSUR (Arequipa)</t>
  </si>
  <si>
    <t>Uchumayo - Servicio (Res. no aprovechables) y Compra (Madera) - Moly-Cop (La Joya)</t>
  </si>
  <si>
    <t>Uchumayo - Servicio (Res. no aprovechables) y Compra (Cartón) - Flsmidth (La Joya)</t>
  </si>
  <si>
    <t>El Edén - Venta (Plástico film) - Cirila Puma</t>
  </si>
  <si>
    <t>El Edén - Compra (Inox) - ALSUR (Arequipa)</t>
  </si>
  <si>
    <t>El Edén - Servicio (Res. no aprovechables) y Compra (Cartón) - Flsmidth (La Joya)</t>
  </si>
  <si>
    <t>Uchumayo - Servicio (Mantas) - Granja Rinconada del Sur (P.A.B.)</t>
  </si>
  <si>
    <t>Uchumayo - Compra (Viruta) y Servicio (Res. peligrosos) - MolyCop (La Joya)</t>
  </si>
  <si>
    <t>ALSA - Venta (Plástico) - Cirila Puma</t>
  </si>
  <si>
    <t>ALSA - Servicio (RAEE) - Livigui</t>
  </si>
  <si>
    <t>ALSA - Servicio (Res. peligrosos) - Livigui</t>
  </si>
  <si>
    <t>El Edén - Servicio (Res. no aprovechables) - Alquimodul</t>
  </si>
  <si>
    <t>Uchumayo - Compra (Madera y chatarra) - Moly-Cop (La Joya) y Disposición (Res. no aprovechables) - Pesquera Diamante - Innova (La Joya)</t>
  </si>
  <si>
    <t>Uchumayo - Compra (Res. aprovechables) - Granja Rinconada del Sur (Almacén Central)</t>
  </si>
  <si>
    <t>Uchumayo - Compra (Madera) - Granja Rinconada del Sur (P.A.B.)</t>
  </si>
  <si>
    <t>ALSA - Pesaje (Res. no aprovechables) - GYTRES</t>
  </si>
  <si>
    <t>ALSA - Pesaje (RAEE) - Comimtel</t>
  </si>
  <si>
    <t>Uchumayo - Servicio (Res. no aprovechables) y Compra (AlambrÃ³n y cartÃ³n) - MolyCop (La Joya)</t>
  </si>
  <si>
    <t>Uchumayo - Compra (Viruta) - Flsmidth (Matarani)</t>
  </si>
  <si>
    <t>Las Lomas - Compra (CartÃ³n) - Lonccos y Ccalas</t>
  </si>
  <si>
    <t>Las Lomas - Compra (PlÃ¡stico film) - Lonccos y Ccalas</t>
  </si>
  <si>
    <t>Uchumayo - Compra (Madera) y Servicio (Res. peligrosos) - MolyCop (La Joya)</t>
  </si>
  <si>
    <t>Uchumayo - Compra (Res. aprovechables) - Granja Rinconada del Sur (AlmacÃ©n Central La Joya)</t>
  </si>
  <si>
    <t>Uchumayo - Compra (Chatarra metÃ¡lica) - MolyCop (La Joya)</t>
  </si>
  <si>
    <t>El EdÃ©n - Servicio (Res. no aprovechables) - Alquimodul</t>
  </si>
  <si>
    <t>El EdÃ©n -Servicio (Res. peligrosos) - Comando (Huambo)</t>
  </si>
  <si>
    <t>AlimentaciÃ³n: Cena (02)</t>
  </si>
  <si>
    <t>lavado e higienizacion</t>
  </si>
  <si>
    <t>Uchumayo - Compra (Madera) - MolyCop (La Joya)</t>
  </si>
  <si>
    <t>Uchumayo - Servicio (Res. no aprovechables) - Granja Rinconada del Sur (Almacén Central)</t>
  </si>
  <si>
    <t>Uchumayo - Servicio (Res. peligrosos) - Stierlift S.A. (La Joya)</t>
  </si>
  <si>
    <t>A3AY1P225020744</t>
  </si>
  <si>
    <t>Ayaviri - Servicio (Res. peligrosos) - Consorcio Puentes del Norte</t>
  </si>
  <si>
    <t>Patahuasi - Servicio (Res. peligrosos) - Consorcio Puentes del Norte</t>
  </si>
  <si>
    <t>Santa Lucia - Servicio (Res. peligrosos) - Consorcio Puentes del Norte</t>
  </si>
  <si>
    <t>El Edén - Servicio (Res. peligrosos) - Stierlift S.A. (La Joya)</t>
  </si>
  <si>
    <t>El Edén - Venta (Madera en desuso - leña) - Horno 48</t>
  </si>
  <si>
    <t>El Edén - Servicio (Res. peligrosos) - Consorcio Puentes del Norte</t>
  </si>
  <si>
    <t>Uchumayo - Compra (Cartón) - La Joya Mining</t>
  </si>
  <si>
    <t>Uchumayo - Servicio (Res. peligrosos) y Compra (Chatarra metálica) - MolyCop (La Joya)</t>
  </si>
  <si>
    <t>Uchumayo - Disposición (Res. biocontaminados - Calavera Tattoo) - Innova Ambiental (La Joya) y Venta (Leña) - Cristhian de la Flor (Horno 48)</t>
  </si>
  <si>
    <t>Uchumayo - Compra (Alambrón) y Servicio (RAEE) - MolyCop (La Joya) y Compra (Viruta) - Flsmidth (Matarani)</t>
  </si>
  <si>
    <t>El Edén (Km 48) - Venta (Leña) - Cristhian de la Flor (Horno 48)</t>
  </si>
  <si>
    <t>Las Lomas - Compra (Cascos) - Lonccos y Ccalas</t>
  </si>
  <si>
    <t>se abasteció combustible al contado en Abancay</t>
  </si>
  <si>
    <t>Patahuasi - Servicio (Res. no aprovechables) - Antilla Cooper (Abancay)</t>
  </si>
  <si>
    <t>Pichirhua - Servicio (Res. no aprovechables) - Antilla Cooper (Abancay)</t>
  </si>
  <si>
    <t>Uchumayo - Servicio (Res. no aprovechables) - Antilla Cooper (Abancay)</t>
  </si>
  <si>
    <t>Alojamiento: Curahuasi</t>
  </si>
  <si>
    <t>Cochera: Curahuasi</t>
  </si>
  <si>
    <t>Alimentación: Cena: (02)</t>
  </si>
  <si>
    <t>Cochera: Wilcuypata - Abancay</t>
  </si>
  <si>
    <t>Alojamiento: Abancay</t>
  </si>
  <si>
    <t>Uchumayo - Servicio (Res. peligrosos y no aprovechables) - Flsmidth (Matarani)</t>
  </si>
  <si>
    <t xml:space="preserve">F214 </t>
  </si>
  <si>
    <t>Matarani - Servicio (Res. peligrosos y no aprovechables) - Flsmidth (Matarani)</t>
  </si>
  <si>
    <t>ZED Matarani - Servicio (Res. peligrosos y no aprovechables) - Flsmidth (Matarani)</t>
  </si>
  <si>
    <t>Las Lomas - Compra (Plástico film) - Lonccos y Ccalas</t>
  </si>
  <si>
    <t>El Edén - Servicio (Res. aprovechables) - ALSUR (Arequipa)</t>
  </si>
  <si>
    <t>Lavado e higienizacion</t>
  </si>
  <si>
    <t>Uchumayo - Servicio (Res. no aprovechables) y Compra (Res. aprovechables) - Flsmidth (La Joya)</t>
  </si>
  <si>
    <t>El Edén - Servicio (Res. no aprovechables) y Compra (Res. aprovechables) - Flsmidth (La Joya)</t>
  </si>
  <si>
    <t>El Edén - Servicio (Res. peligrosos) - Flsmidth (La Joya)</t>
  </si>
  <si>
    <t>Uchumayo - Servicio (Res. no aprovechables) - CBB (Matarani)</t>
  </si>
  <si>
    <t>Uchumayo - Servicio y disposición (Res. peligrosos) - Livigui</t>
  </si>
  <si>
    <t>Uchumayo - Servicio (Res. no aprovechables) - Cosapi (Tía María) y Servicio (Res. no aprovechables) - MolyCop (La Joya)</t>
  </si>
  <si>
    <t>El Edén - Compra (Chatarra metálica) - ALSUR (Arequipa)</t>
  </si>
  <si>
    <t>El Edén - Servicio (Res. peligrosos) - Livigui</t>
  </si>
  <si>
    <t>El Edén - Servicio (Res. no aprovechables) - Cosapi (Tía María)</t>
  </si>
  <si>
    <t>Se abasteció combustible en el grifo de Abancay</t>
  </si>
  <si>
    <t>Pichirhua - - Servicio (Res. no aprovechables) - Antilla Cooper (Abancay)</t>
  </si>
  <si>
    <t>Uchumayo - Servicio (Res. no aprovechables) - Antilla Cooper (Abancay) y Disposición (Biocontaminados - Daniela Guzman Zuñiga) - Innova Ambiental (La Joya)</t>
  </si>
  <si>
    <t>Uchumayo - Servicio (Papel Kraft)- Granja Rinconada del Sur (Gloria I y II)</t>
  </si>
  <si>
    <t>Uchumayo - Servicio (Res. peligrosos) y Compra (Madera) - MolyCop (La Joya)</t>
  </si>
  <si>
    <t>ALSA - Servicio (Res. no aprovechables)- UCSM</t>
  </si>
  <si>
    <t>Alojamiento: Limatambo - Cusco (02)</t>
  </si>
  <si>
    <t>Cochera: Limatambo</t>
  </si>
  <si>
    <t>Alojamiento: Abancay (02)</t>
  </si>
  <si>
    <t>Cochera: Abancay</t>
  </si>
  <si>
    <t>Uchumayo - disposición (res. no aprovechables) - Innova y venta (res. aprovechables) - horno de km-48</t>
  </si>
  <si>
    <t>el Edén - venta de leña - horno de km-48</t>
  </si>
  <si>
    <t>Uchumayo - compra (aluminio) - granjas del sur</t>
  </si>
  <si>
    <t>las Lomas - compra (res. cartón y plástico) - Lonccos y Ccalas</t>
  </si>
  <si>
    <t>ALSA - servicio de residuos peligrosos - ISSA Perú Arequipa norte</t>
  </si>
  <si>
    <t>el Edén - servicio de residuos peligrosos - Kontrol R&amp;M PERÚ S.A.C.</t>
  </si>
  <si>
    <t>Navarro - higienizacion</t>
  </si>
  <si>
    <t>Uchumayo - traslado (res. peligrosos desde Sachaca - La Joya) - Gytres</t>
  </si>
  <si>
    <t>Uchumayo - venta (res. aprovechables-leña) - Cristian de la flor</t>
  </si>
  <si>
    <t>El Edén - venta de leña - Cristian de la flor</t>
  </si>
  <si>
    <t>El Edén - compra de frascos de vidrio - Alsur</t>
  </si>
  <si>
    <t>Viáticos para la semana (viaje a Abancay)</t>
  </si>
  <si>
    <t>las lomas - compra de cartón - Lonccos y Ccalas</t>
  </si>
  <si>
    <t>las lomas - compra de plástico - Lonccos y Ccalas</t>
  </si>
  <si>
    <t>Patahuasi - servicio de residuos no aprovechables - Antilla Cooper Abancay</t>
  </si>
  <si>
    <t>alimentación: cena (2)</t>
  </si>
  <si>
    <t>alojamiento:IMATA</t>
  </si>
  <si>
    <t>cochera: IMATA</t>
  </si>
  <si>
    <t>Pichirhua - servicio de residuos no aprovechables - Antilla Cooper Abancay</t>
  </si>
  <si>
    <t>peaje</t>
  </si>
  <si>
    <t>alimentación:desayuno (2)</t>
  </si>
  <si>
    <t>alimentación: almuerzo (2)</t>
  </si>
  <si>
    <t>alimentación: cena: (2)</t>
  </si>
  <si>
    <t>alojamiento: Santa Rosa</t>
  </si>
  <si>
    <t>cochera: Santa Rosa</t>
  </si>
  <si>
    <t>cochera: Oropesa - Cuzco</t>
  </si>
  <si>
    <t>alimentación: desayuno (2)</t>
  </si>
  <si>
    <t>alimentación:cena: (2)</t>
  </si>
  <si>
    <t>alojamiento:Oropesa - Cuzco</t>
  </si>
  <si>
    <t>alimentación:almuerzo (2)</t>
  </si>
  <si>
    <t>Uchumayo - servicio de residuos peligrosos y aprovechables - Moly-Cop</t>
  </si>
  <si>
    <t>El Eden - servicio de residuos RCD - UTP Planta Parra</t>
  </si>
  <si>
    <t>el Edén - servicio de RCD - UTP Planta Tacna y Arica</t>
  </si>
  <si>
    <t>Uchumayo - servicio de residuos no aprovechables - Moly-Cop</t>
  </si>
  <si>
    <t>el Edén - servicio de residuos no aprovechables - UCSM</t>
  </si>
  <si>
    <t>Uchumayo - disposición y servicio - Innova y Moly-Cop</t>
  </si>
  <si>
    <t>Uchumayo - servicio - granjas del sur</t>
  </si>
  <si>
    <t>ALSA - servicio de residuos no aprovechables - la Católica</t>
  </si>
  <si>
    <t>Uchumayo - disposición de residuos peligrosos - Innova</t>
  </si>
  <si>
    <t>el Edén - servicio de residuos peligrosos - TECSUP</t>
  </si>
  <si>
    <t>el Edén - servicio de RAEE - TECSUP</t>
  </si>
  <si>
    <t>Uchumayo - compra de alambron y madera - Moly-Cop</t>
  </si>
  <si>
    <t>Uchumayo - compra de alambron - Moly-Cop</t>
  </si>
  <si>
    <t>Uchumayo - compra (res. aprovechables) Moly-Cop / servicio (res. peligrosos) - Flsmidth (la Joya)</t>
  </si>
  <si>
    <t>el Eden - servicio de residuos peligrosos - flsmidth la Joya</t>
  </si>
  <si>
    <t>Uchumayo - disposición ( res. no aprovechables) - Innova</t>
  </si>
  <si>
    <t>Uchumayo - disposición (res. peligrosos y no aprovechables) - Innova (La Joya)</t>
  </si>
  <si>
    <t>CAJA OPERATIVA 006 - Miguel Solis</t>
  </si>
  <si>
    <t>Miguel Solis</t>
  </si>
  <si>
    <t>Uchumayo - Transporte (Madera, cable, RAEE) - GYTRES</t>
  </si>
  <si>
    <t>Uchumayo - Compra (Cartón) - Danper (Pedregal)</t>
  </si>
  <si>
    <t>Uchumayo - Compra (Envases vacíos)- Campo Limpio (Santa Rita)</t>
  </si>
  <si>
    <t>ALSA - Pesaje (RAEE) - GYTRES</t>
  </si>
  <si>
    <t>AAM - Compra (Cartón) - Danper Trujillo (Pedregal)</t>
  </si>
  <si>
    <t>El Eden - Compra (Envases vacíos)- Campo Limpio (Santa Rita)</t>
  </si>
  <si>
    <t>Uchumayo - Compra (Madera) -Flsmidth (La Joya)</t>
  </si>
  <si>
    <t>Uchumayo - Compra (Res. aprovechables) -Danper (Pedregal)</t>
  </si>
  <si>
    <t>El Eden - Compra (Madera) -Flsmidth (La Joya)</t>
  </si>
  <si>
    <t>AAM - Compra (Res. aprovechables) -Danper (Pedregal)</t>
  </si>
  <si>
    <t>Uchumayo - Compra (Madera y pallets de madera) - Danper (Pedregal)</t>
  </si>
  <si>
    <t>Uchumayo - Disposición (Res. no aprovechables) - Innova (La Joya) - ALSUR (Arequipa)</t>
  </si>
  <si>
    <t>Uchumayo - Transbordo (Res. no aprovechables) - GYTRES (Villa Esperanza)</t>
  </si>
  <si>
    <t>AAM - Compra (Madera y pallets de madera) - Danper (Pedregal)</t>
  </si>
  <si>
    <t>El Eden - Servicio (Res. no aprovechables) - Innova (La Joya) - ALSUR (Arequipa)</t>
  </si>
  <si>
    <t>El Eden - Compra (Madera y cartón) - ALSUR (Arequipa)</t>
  </si>
  <si>
    <t>Uchumayo - Disposición (Res. no aprovechables) - Innova (La joya)</t>
  </si>
  <si>
    <t>Uchumayo - Compra (Alambrón) - MolyCop (La Joya)</t>
  </si>
  <si>
    <t>Patahuasi - Servicio (Res. peligrosos) - Cooperativa Minera Comig de Ananea (San Antonio de Putina)</t>
  </si>
  <si>
    <t>Santa Lucia Puno - Servicio (Res. peligrosos) - Cooperativa Minera Comig de Ananea (San Antonio de Putina)</t>
  </si>
  <si>
    <t>Patahuasi -Servicio (Res. peligrosos) - Cooperativa Minera Comig de Ananea (San Antonio de Putina)</t>
  </si>
  <si>
    <t>El Eden - Compra (Res. no aprovechables) - ALSUR (Arequipa)</t>
  </si>
  <si>
    <t>ALSA - Disposición (Res. no aprovechables) - Innova (La joya)</t>
  </si>
  <si>
    <t>ALSA - Compra (Res. aprovechables) - Aeropuertos Andinos</t>
  </si>
  <si>
    <t>ALSA - disposición (res. peligrosos) - Cooperativa Minera Comig de Ananea (San Antonio de Putina)</t>
  </si>
  <si>
    <t>Alimentación: Cena (03)</t>
  </si>
  <si>
    <t>Alojamiento: 03 - Imata</t>
  </si>
  <si>
    <t>Cochera</t>
  </si>
  <si>
    <t>Alimentación: Desayuno (03)</t>
  </si>
  <si>
    <t>Alimentación: Almuerzo (03)</t>
  </si>
  <si>
    <t>Alojamiento: 03</t>
  </si>
  <si>
    <t>Alimentación: Almuerzo (03) - Pampa Cañahuas</t>
  </si>
  <si>
    <t>Uchumayo - Servicio (IBC'S) - MolyCop (Reactivos- La Joya)</t>
  </si>
  <si>
    <t>Uchumayo - Compra (IBC'S) - MolyCop (Reactivos- La Joya)</t>
  </si>
  <si>
    <t>AAM - Compra (Res. aprovechables) - Danper (Pedregal)</t>
  </si>
  <si>
    <t>ALSA - Servicio (RAEE) - Comimtel (Arequipa)</t>
  </si>
  <si>
    <t>Uchumayo - Servicio (IBC'S) - MolyCop (Reactivos - La Joya)</t>
  </si>
  <si>
    <t>Uchumayo - Compra y transporte (Res. aprovechables) - ALSUR (Arequipa)</t>
  </si>
  <si>
    <t>Uchumayo - Disposición (Res. peligrosos) - Innova (La Joya)</t>
  </si>
  <si>
    <t>El Eden - Disposición (Res. no aprovechables) - Innova (La Joya)</t>
  </si>
  <si>
    <t>ALSA - Servicio (Res. no aprovechables )- ISSA Perú (Arequipa)</t>
  </si>
  <si>
    <t>Uchumayo - Compra (Alambrón) - MolyCop (la Joya ) y Compra (Viruta) - Flsmidth (Matarani)</t>
  </si>
  <si>
    <t>Uchumayo - Compra (Alambrón) - MolyCop (La Joya) y Servicio (Papel Kraft) - Granja Rinconada del Sur (Guadalupe IV y V) y Disposición (Res. peligrosos) - Innova Ambiental (la Joya)</t>
  </si>
  <si>
    <t>Uchumayo - Traslado de unidad - GYTRES (Huaranguillo)</t>
  </si>
  <si>
    <t>Uchumayo - Compra (Res. aprovechables) - Granja Rinconada del Sur (Varios)</t>
  </si>
  <si>
    <t>ALSA - Compra (Res. aprovechables) - AAP (Arequipa)</t>
  </si>
  <si>
    <t>El Eden - Servicio (Res. aprovechables ) - ALSUR (Arequipa )</t>
  </si>
  <si>
    <t>Las Lomas - Venta (Plástico film) - Clemente Villalba</t>
  </si>
  <si>
    <t>Uchumayo - Disposición (Res. no aprovechables) - Innova Ambiental (La Joya )</t>
  </si>
  <si>
    <t>Uchumayo - Compra (IBC´S) - MolyCop (Reactivos - La Joya)</t>
  </si>
  <si>
    <t>Uchumayo - Compra (Envases vacíos) - Campo Limpio (Pampa Baja)</t>
  </si>
  <si>
    <t>Uchumayo - Compra (Res. aprovechables) - Granja Rinconada del Sur (Almacén Central - La Joya)</t>
  </si>
  <si>
    <t>El Eden - Disposición (Res. no aprovechables) - Innova Ambiental (La Joya )</t>
  </si>
  <si>
    <t>ALSA - Transporte (Res. peligrosos) - GYTRES (Villa Esperanza)</t>
  </si>
  <si>
    <t>Uchumayo - Disposición (Res. peligrosos) - Innova Ambiental (La Joya)</t>
  </si>
  <si>
    <t>ALSA - Disposición (Res. peligrosos) - Innova Ambiental (La Joya)</t>
  </si>
  <si>
    <t>Uchumayo - Servicio (Res. no aprovechables) - DANPER (Pedregal)</t>
  </si>
  <si>
    <t>Uchumayo - Compra (Envases vacíos) - Campo Limpio (Tacna)</t>
  </si>
  <si>
    <t>El Fiscal - Compra (Envases vacíos) - Campo Limpio (Tacna)</t>
  </si>
  <si>
    <t>Montalvo -Compra (Envases vacíos) - Campo Limpio (Tacna)</t>
  </si>
  <si>
    <t>Tomasiri - Compra (Envases vacíos) - Campo Limpio (Tacna)</t>
  </si>
  <si>
    <t>FV02</t>
  </si>
  <si>
    <t>FI02</t>
  </si>
  <si>
    <t>AAM - Servicio (Res. no aprovechables) - DANPER (Pedregal)</t>
  </si>
  <si>
    <t>Alojamiento: Tacna (03)</t>
  </si>
  <si>
    <t>Cochera: Tacna</t>
  </si>
  <si>
    <t>Uchumayo - Compra (Res. aprovechables) - Granja Rinconada del Sur (Almacén Central La Joya )</t>
  </si>
  <si>
    <t>Uchumayo - Traslado de unidad - GYTRES ( Villa Esperanza)</t>
  </si>
  <si>
    <t>Uchumayo - Compra (Alambrón, madera e IBC'S) y Servicio (IBC'S) - MolyCop (La Joya y Reactivos - La Joya)</t>
  </si>
  <si>
    <t>El Eden - Compra (Res. aprovechables) - ALSUR (Arequipa)</t>
  </si>
  <si>
    <t>El Eden - Servicio (Res. no aprovechables ) - ALSUR (Arequipa)</t>
  </si>
  <si>
    <t>Uchumayo - Servicio (Res. peligrosos) - CBB (Matarani )</t>
  </si>
  <si>
    <t>Matarani - Servicio (Res. peligrosos) - CBB (Matarani )</t>
  </si>
  <si>
    <t>Uchumayo - Compra (Residuos aprovechables) - Granja Rinconada del Sur (P.A.B.)</t>
  </si>
  <si>
    <t>Uchumayo - Compra (IBC's) - MolyCop (Reactivos - La Joya)</t>
  </si>
  <si>
    <t>El Eden - Venta (Plástico) - Pablo Villalba (Socabaya)</t>
  </si>
  <si>
    <t>El Eden - Venta (Jabas) - Pablo Maldonado (Sabandia)</t>
  </si>
  <si>
    <t>Uchumayo - Compra (Envases vacios) - Campo Limpio (Majes)</t>
  </si>
  <si>
    <t>Uchumayo - Servicio (IBC'S), Compra (IBC's) y Servicio (Res. peligrosos) - MolyCop (Reactivos - La Joya)</t>
  </si>
  <si>
    <t>AAM - Compra (Envases vacios) - Campo Limpio (Majes)</t>
  </si>
  <si>
    <t>uchumayo -compra (residuos- aprovechables) granja rinconada del sur (la joya)</t>
  </si>
  <si>
    <t>uchumayo -compra (residuos-aprovechables) granja rinconada del sur(la joya)</t>
  </si>
  <si>
    <t>uchumayo -servicio (recolección residuos- peligrosos) moly cop (la joya)</t>
  </si>
  <si>
    <t>uchumayo -servicio (recolección residuos-peligrosos) moly cop (la joya)</t>
  </si>
  <si>
    <t>Alsa- compra (residuos- aprovechables) livigui (sabandia)</t>
  </si>
  <si>
    <t>Alsa -compra (residuos- aprovechables carton) aeropuertos andinos (Arequipa)</t>
  </si>
  <si>
    <t>Alsa -compra (residuos-aprovechables botella pet) - aeropuertos andinos (Arequipa)</t>
  </si>
  <si>
    <t>Alsa -compra (residuos-aprovechables vidrio) - aeropuertos andinos (Arequipa)</t>
  </si>
  <si>
    <t>uchumayo -compra ( residuos-aprovechables madera) granja rinconada del sur-( la joya )</t>
  </si>
  <si>
    <t>uchumayo -compra ( residuos-aprovechables madera) granja rinconada del sur ( la joya)</t>
  </si>
  <si>
    <t>uchumayo -disposición (residuos- no aprovechables) innova ambiental ( la joya)</t>
  </si>
  <si>
    <t>uchumayo -compra (residuos-aprovechables chatarra metÃ¡lica )-granja rinconada del sur (la joya )</t>
  </si>
  <si>
    <t>uchumayo- traslado (residuos- aprovechables chatarra metÃ¡lica) gytres ( la joya)</t>
  </si>
  <si>
    <t>uchumayo - traslado (residuos-aprovechables chatarra metÃ¡lica )gytres (La joya )</t>
  </si>
  <si>
    <t>uchumayo-compra (residuos- aprovechables chatarra metÃ¡lica) granja rinconada del sur ( la joya )</t>
  </si>
  <si>
    <t>Camana - traslado y disposición (residuos -peligrosos)- kanay Chilca (lima)</t>
  </si>
  <si>
    <t>Jahuay - transporte y disposición (residuos-peligrosos) - kanay Chilca (lima)</t>
  </si>
  <si>
    <t>Punta negra - traslado( contenedores de residuos) - gytres santa anita ( lima)</t>
  </si>
  <si>
    <t>Villa el Salvador - compra (envases vacios) - Campo Limpio (chincha )</t>
  </si>
  <si>
    <t>Chilca - compra (envases vacios) - Campo Limpio (chincha )</t>
  </si>
  <si>
    <t>Ica- compra (envases vacios) - Campo Limpio (chincha )</t>
  </si>
  <si>
    <t>A3NA2P</t>
  </si>
  <si>
    <t>Nazca - transporte (residuos- aprovechables envases vacios) - Gytres (Arequipa )</t>
  </si>
  <si>
    <t>A3YA1P</t>
  </si>
  <si>
    <t>Yauca - transporte (residuos-aprovechables envases vacios) - Gytres (Arequipa)</t>
  </si>
  <si>
    <t>A3AT1P</t>
  </si>
  <si>
    <t>Atico - traslado (residuos - aprovechables envases vacios) - Gytres (Arequipa)</t>
  </si>
  <si>
    <t>Camana- traslado( residuos- aprovechables envases vacios) - Gytres (Arequipa )</t>
  </si>
  <si>
    <t>Uchumayo - traslado (residuos-aprovechables envases vacios) - gytres (Arequipa )</t>
  </si>
  <si>
    <t>Uchumayo - compra ( residuos-aprovechables) - Granja rinconada del sur (la joya )</t>
  </si>
  <si>
    <t>Uchumayo - compra (residuos-aprovechables) granja rinconada del sur (la joya)</t>
  </si>
  <si>
    <t>Uchumayo - servicio (res. peligrosos) -Flsmidth (la joya)</t>
  </si>
  <si>
    <t>Uchumayo - servicio (res. peligrosos) - Flsmidth (La joya)</t>
  </si>
  <si>
    <t>F5211</t>
  </si>
  <si>
    <t>Uchumayo - servicio (res. peligrosos) - MolyCop (Reactivos la Joya)</t>
  </si>
  <si>
    <t>Uchumayo - disposición (res. no aprovechables) - Innova ambiental (La Joya)</t>
  </si>
  <si>
    <t>RET - venta (res. aprovechables) - Anyela (Alto libertad)*</t>
  </si>
  <si>
    <t>La Molina- compra ( residuos- aprovechables envases vacios) - campo limpio ( chincha )</t>
  </si>
  <si>
    <t>El Eden- servicio( residuos- peligrosos) -Flsmidth (la joya)</t>
  </si>
  <si>
    <t>Alimentación: Desayuno (Atico)</t>
  </si>
  <si>
    <t>Alimentacion</t>
  </si>
  <si>
    <t>Alimentación: Almuerzo (Atico)</t>
  </si>
  <si>
    <t>Alimentación: Cena (Atico)</t>
  </si>
  <si>
    <t>Alojamiento: Atico</t>
  </si>
  <si>
    <t>cochera (Atico)</t>
  </si>
  <si>
    <t>Somys -lavado (unidad V9R-903)</t>
  </si>
  <si>
    <t>Alimentación: Desayuno (Lima)</t>
  </si>
  <si>
    <t>Alimentación Desayuno (Chincha)</t>
  </si>
  <si>
    <t>Alimentación: Almuerzo (Chincha)</t>
  </si>
  <si>
    <t>Cochera: Santa Anita ( Lima)</t>
  </si>
  <si>
    <t>Alimentación: cena (Ica)</t>
  </si>
  <si>
    <t>Alojamiento (Ica)</t>
  </si>
  <si>
    <t>Cochera (Ica)</t>
  </si>
  <si>
    <t>Alimentación: Desayuno (Camana)</t>
  </si>
  <si>
    <t>Devolución de caja - cese</t>
  </si>
  <si>
    <t>CAJA OPERATIVA 007 - Anthony Humani</t>
  </si>
  <si>
    <t>El Eden (SRB) - Servicio (Res. peligrosos) - Flsmidth (La Joya)</t>
  </si>
  <si>
    <t>Uchumayo - Servicio (Res. Peligrosos) y Compra (Alambrón) - MolyCop (La Joya) y Servicio (Res. Peligrosos) - Flsmidth (La Joya)</t>
  </si>
  <si>
    <t>Uchumayo - Servicio (Mantas) - Granja Rinconada del Sur (P.A.B.) y Compra (Envases vacíos) - Campo Limpio (La Joya)</t>
  </si>
  <si>
    <t>Uchumayo - Compra (Envases vacíos) - Campo Limpio (Pedregal)</t>
  </si>
  <si>
    <t>Uchumayo - Servicio (Res. no aprovechables) y Compra (Alambrón y viruta) - MolyCop (La Joya)</t>
  </si>
  <si>
    <t>Uchumayo - Servicio (Res. peligrosos) y Compra (Viruta) - Flsmidth (La Joya)</t>
  </si>
  <si>
    <t>El Eden (SRB) - Servicio (Res. Peligrosos) - Flsmidth (La Joya)</t>
  </si>
  <si>
    <t>El Eden (SRB) - Compra (Envases vacíos) - Campo Limpio (La Joya)</t>
  </si>
  <si>
    <t>ALSA - Compra (Viruta) - Flsmidth (La Joya)</t>
  </si>
  <si>
    <t>El Eden (SRB) - Servicio (Res. peligrosos y no aprovechables) - Alquimotul</t>
  </si>
  <si>
    <t>Uchumayo - Servicio (Res. no aprovechables y sacas rotas) - MolyCop (La Joya)</t>
  </si>
  <si>
    <t>Uchumayo - Servicio (Mantas) - Granja Rinconada del Sur (P.A.B.) y Compra (Madera) - Flsmidth (La Joya)</t>
  </si>
  <si>
    <t>Uchumayo - Compra (Chatarra) - Flsmidth (La Joya) y Compra (Chatarra y alambrón) - MolyCop (La Joya)</t>
  </si>
  <si>
    <t>Uchumayo -Servicio (Res. no aprovechables) y Compra (Alambrón, madera y viruta) - MolyCop (La Joya)</t>
  </si>
  <si>
    <t>El Eden (SRB) - Compra (Madera) - Flsmidth (La Joya)</t>
  </si>
  <si>
    <t>El Eden (SRB) - Compra (Chatarra) - Flsmidth (La Joya)</t>
  </si>
  <si>
    <t>Lavado e higienización.</t>
  </si>
  <si>
    <t>Uchumayo - Compra (Alambrón) - MolyCop (La Joya) y Servicio (Res. peligrosos) - Flsmidth (La Joya)</t>
  </si>
  <si>
    <t>Uchumayo - Transporte (Res. Peligrosos) - Flsmidth (La Joya) y Compra (Envases vacíos, caucho, cartón y chatarra) - Granja Rinconada del Sur (Almacén Central)</t>
  </si>
  <si>
    <t>Uchumayo - Servicio (Mantas) - Granja Rinconada del Sur (P.A.B.) y Compra (Alambrón y viruta) - MolyCop (La Joya)</t>
  </si>
  <si>
    <t>Uchumayo - Transporte (Res. Peligrosos) - GYTRES</t>
  </si>
  <si>
    <t>Uchumayo - Transporte de Personal y supervisión de actividades - GYTRES</t>
  </si>
  <si>
    <t>El Eden (SRB-Km48) - Pesaje (Res. Peligrosos) - GYTRES</t>
  </si>
  <si>
    <t>El Eden (SRB) - Servicio (Res. no aprovechables) - Alquimodul</t>
  </si>
  <si>
    <t>El Eden (SRB) - Servicio (Res. no aprovechables con elementos metálicos) - CELICON</t>
  </si>
  <si>
    <t>El Eden (SRB) - Compra (Vidrio) - ALSUR (Arequipa)</t>
  </si>
  <si>
    <t>El Eden (SRB) - Servicio (Res. no aprovechables) - ALSUR (Arequipa)</t>
  </si>
  <si>
    <t>Uchumayo - Disposición (Res. no aprovechables - Alsur Perú S.A. -Arequipa) - Innova Ambiental (La Joya)</t>
  </si>
  <si>
    <t>Uchumayo - Compra (Alambrón) -MolyCop (La Joya)</t>
  </si>
  <si>
    <t>ALSA - Pesaje (Res. peligrosos) - Disposición</t>
  </si>
  <si>
    <t>Uchumayo - Servicio (Res. peligrosos y no aprovechables) - Pesquera Diamante</t>
  </si>
  <si>
    <t>Matarani - Servicio (Res. peligrosos y no aprovechables) - Pesquera Diamante</t>
  </si>
  <si>
    <t>Uchumayo - Compra (Alambrón y viruta) - MolyCop (La Joya)</t>
  </si>
  <si>
    <t>ALSA - Servicio (Res. peligrosos) - Movitecnica</t>
  </si>
  <si>
    <t>ALSA - Transporte (Res. peligrosos) - GYTRES (Almacén Huaranguillo)</t>
  </si>
  <si>
    <t>ALSA - Transporte (Res. no aprovechables) - GYTRES (Almacén Huaranguillo)</t>
  </si>
  <si>
    <t>Alimentación: 02 gaseosas y 02 pasteles (Garita Moly-Cop)</t>
  </si>
  <si>
    <t>Uchumayo - Compra (Alambrón) - MolyCop (La Joya) y Compra (Res. aprovechables) - Granja Rinconada del Sur (P.A.B.)</t>
  </si>
  <si>
    <t>Uchumayo - Compra (Madera) - Flsmidth (La Joya)</t>
  </si>
  <si>
    <t>Uchumayo - Servicio (Res. peligrosos) y Compra (Sacas) - MolyCop (La Joya) y Servicio (Res. no aprovechables) - Flsmidth (L Joya)</t>
  </si>
  <si>
    <t>ALSA - Compra (Madera) - Flsmidth (La Joya)</t>
  </si>
  <si>
    <t>Alimentación: Gaseosa y pasteles</t>
  </si>
  <si>
    <t>Uchumayo - Compra (AlambrÃ³n) - MolyCop (La Joya)</t>
  </si>
  <si>
    <t>Uchumayo - Compra (Madera) - Danper (Pedregal)</t>
  </si>
  <si>
    <t>Uchumayo - Compra (AlambrÃ³n y viruta) - MolyCop (La Joya)</t>
  </si>
  <si>
    <t>AAM - Compra (Madera) - Danper (Pedregal)</t>
  </si>
  <si>
    <t>Uchumayo - Servicio (RAEE) - Grupo Gloria</t>
  </si>
  <si>
    <t>Uchumayo - Disposición (Res. no aprovechables) - ALSUR (Arequipa) - Innova Ambiental (La Joya)</t>
  </si>
  <si>
    <t>AAM - Servicio (RAEE) - Grupo Gloria</t>
  </si>
  <si>
    <t>Uchumayo - Servicio (Res. no aprovechables) y Compra (Alambrón) - MolyCop (La Joya)</t>
  </si>
  <si>
    <t>El Eden - Disposición (Res. no aprovechables) - Celicon y ALSUR (Cusco) - Innova Ambiental (La Joya)</t>
  </si>
  <si>
    <t>El Eden (SRB) - Compra (Chatarra metálica) - Flsmidth (La Joya)</t>
  </si>
  <si>
    <t>El Eden (SRB) - Compra (Cartón) - ALSUR (Arequipa)</t>
  </si>
  <si>
    <t>Uchumayo - Compra (Chatarra) - Flsmidth (La Joya) y Compra (IBC'S) - MolyCop (Reactivos La Joya)</t>
  </si>
  <si>
    <t>Uchumayo - Servicio (Res. peligrosos y PTAR) - Flsmidth (La Joya) y Compra (Alambrón) - MolyCop (La Joya)</t>
  </si>
  <si>
    <t>El Eden (SRB) - Compra (Cartón y papel) - ALSUR (Arequipa)</t>
  </si>
  <si>
    <t>El Eden (SRB)- Servicio Res. peligrosos) - Flsmidth (La Joya)</t>
  </si>
  <si>
    <t>FE001</t>
  </si>
  <si>
    <t>El Eden (SRB PI) - Compra (Vidrio) - ALSUR (Arequipa)</t>
  </si>
  <si>
    <t>El Eden (SRB PI) - Servicio (Res. no aprovechables) - Alquimodul</t>
  </si>
  <si>
    <t>F23R</t>
  </si>
  <si>
    <t>Combustible para la Motobomba - Servicio (PTAR) - Flsmidth (La Joya)</t>
  </si>
  <si>
    <t>RET &amp; SAN S.R.L. - Servicio (Res. peligrosos) - Tecno Fast</t>
  </si>
  <si>
    <t>Uchumayo - Servicio (Papel Kraft) - Granja Rinconada del Sur (Gloria I y Gloria II)</t>
  </si>
  <si>
    <t>Uchumayo - Servicio (Papel Kraft) - Granja Rinconada del Sur (Gloria III y Virgen de Chapi)</t>
  </si>
  <si>
    <t>Uchumayo - Servicio (Res. aprovechables y peligrosos) - MolyCop (La Joya)</t>
  </si>
  <si>
    <t>ALSA - Compra (Res. aprovechables) - Celicon</t>
  </si>
  <si>
    <t>Uchumayo - Compra (Madera y viruta) - MolyCop (La Joya)</t>
  </si>
  <si>
    <t>Uchumayo - Servicio (Papel kraft) - Granja Rinconada del Sur (Guadalupe 1,2 y 3)</t>
  </si>
  <si>
    <t>Uchumayo - Servicio (Res. no aprovechables y peligrosos) - Flsmidth (Matarani)</t>
  </si>
  <si>
    <t>Matarani - Servicio (Res. no aprovechables y peligrosos) - Flsmidth (Matarani)</t>
  </si>
  <si>
    <t>Uchumayo - Compra (Alambron) - MolyCop (La Joya) y Servicio (Res. no aprovechables) - Granja Rinconada del Sur (P.A.B.)</t>
  </si>
  <si>
    <t>Uchumayo - Disposición (RCD) - Innova Ambiental (La Joya)</t>
  </si>
  <si>
    <t>Uchumayo - Compra (Alambron y Chatarra) -MolyCop (La Joya)</t>
  </si>
  <si>
    <t>Uchumayo - servicio (papel Kraft) - Granja Rinconada (Granja San Germán y Santa Teresa - La Joya)</t>
  </si>
  <si>
    <t>Uchumayo - Disposición (RCD) - A&amp;Z Constructores - Innova Ambiental (La Joya)</t>
  </si>
  <si>
    <t>Uchumayo - Compra (Alambron y madera) -Moly cop (La joya) y Compra (Cartón) - La Joya Mining</t>
  </si>
  <si>
    <t>Uchumayo - Transporte de personal (Inspección en Moly Cop y villa esperanza, inventario de herramientas, control de formatos de orden y limpieza y capacitación, documentación SIG) - GYTRES (Villa Esperanza)</t>
  </si>
  <si>
    <t>Uchumayo - Compra (Alambrón) y Servicio (IBC'S) - MolyCop (La Joya y Reactivos-La Joya)</t>
  </si>
  <si>
    <t>El Eden (SRB KM 48) - Compra (Madera) - Flsmidth (La Joya)</t>
  </si>
  <si>
    <t>Uchumayo - Compra (Alambrón) MolyCop (La Joya) y Compra (Viruta Metálica) - Flsmidth (Matarani)</t>
  </si>
  <si>
    <t>Matarani - Compra (Viruta Metálica) - Flsmidth (Matarani)</t>
  </si>
  <si>
    <t>Uchumayo - Servicio (Res. no aprovechables y peligrosos) - Flsmidth (La Joya)</t>
  </si>
  <si>
    <t>Uchumayo - Transporte de personal (Capacitacion, practica manejo de extintores, inspección de herramientas SIG) - GYTRES (Villa Esperanza)</t>
  </si>
  <si>
    <t>Uchumayo - Servicio (Res. no aprovechabkes) y Compra (Alambron) - MolyCop (La Joya)</t>
  </si>
  <si>
    <t>ZED Matarani - Compra (Viruta Metálica) - Flsmidth (Matarani)</t>
  </si>
  <si>
    <t>El Eden (SRB KM 48) - Servicio (Res. peligrosos) - Flsmidth (La Joya)</t>
  </si>
  <si>
    <t>El Eden (SRB) - Compra (Plástico film color) - ALSUR (Arequipa)</t>
  </si>
  <si>
    <t>ALSA - Servicio (RAEE)- DCR Mineria</t>
  </si>
  <si>
    <t>Uchumayo - Servicio (Res. peligrosos) - Pesquera Diamante (Mollendo)</t>
  </si>
  <si>
    <t>Matarani - Servicio (Res. peligrosos) - Pesquera Diamante (Mollendo)</t>
  </si>
  <si>
    <t>Uchumayo - Servicio (Chatarra) - MolyCop (La Joya)</t>
  </si>
  <si>
    <t>El Eden (SRB KM 48) - Compra (Viruta) -Flsmidth (La Joya)</t>
  </si>
  <si>
    <t>Uchumayo - Compra (Res. Aprovechables) - Granja Rinconada del sur (Almacén Central)</t>
  </si>
  <si>
    <t>ALSA - Servicio (RCD) - UTP</t>
  </si>
  <si>
    <t>Uchumayo - Servicio (Res. no aprovechables) - Cosapi (Tía María)</t>
  </si>
  <si>
    <t>El Eden (SRB PI) - Servicio (Res. no aprovechables) - ALSUR (Arequipa)</t>
  </si>
  <si>
    <t>El Eden (SRB km48) Servicio (Res. no aprovechables) - Cosapi (Tía María)</t>
  </si>
  <si>
    <t>Abastecimiento de combustible - Cisterna</t>
  </si>
  <si>
    <t>Uchumayo - servicio (res. no Aprovechables) en Pesquera Diamante (Mollendo)</t>
  </si>
  <si>
    <t>Matarani - servicio (res. no Aprovechables) en Pesquera Diamante (Mollendo)</t>
  </si>
  <si>
    <t>Uchumayo - servicio (aprovechables) - Moly Cop (traslado de unidad)</t>
  </si>
  <si>
    <t>Uchumayo - servicio (saneamiento ambiental) - Flsmidth (La joya)</t>
  </si>
  <si>
    <t>Alsa - servicio ( res. no aprovechables) - Bembos (Yanahuara)</t>
  </si>
  <si>
    <t>compra de gaseosa - servicio en Flsmidth la joya</t>
  </si>
  <si>
    <t>Uchumayo - compra (res. aprovechables - alambron) - MolyCop (La Joya)</t>
  </si>
  <si>
    <t>VDJ-872</t>
  </si>
  <si>
    <t>Alimentos y servicios agropecuadrios - Servicio (res. no aprovechables) - UCSM</t>
  </si>
  <si>
    <t>Uchumayo - traslado de unidad vehicular de almacén (La Joya) a Almacén (Arequipa)</t>
  </si>
  <si>
    <t>Uchumayo - servicio (residuos peligrosos) - Stierlifth (km48.)</t>
  </si>
  <si>
    <t>ZED Matarani - compra (Res. aprovechables) servicio (res. peligrosos) - FLSmidth (Matarani)</t>
  </si>
  <si>
    <t>El Eden - servicio (residuos peligrosos) - Stierlifth (km48.)</t>
  </si>
  <si>
    <t>Devolucion de caja Operativa</t>
  </si>
  <si>
    <t>CAJA OPERATIVA 008 - Nelson Quispe</t>
  </si>
  <si>
    <t>Mantenimiento Correctivo: cambio de bombilla(luz baja)</t>
  </si>
  <si>
    <t>Reposición de caja de gastos de unidades vehiculares.</t>
  </si>
  <si>
    <t>MAXUS VBW-889: Mantenimiento preventivo ( Cambio del filtro de aire acondicionado)</t>
  </si>
  <si>
    <t>AUDI BDQ-458: Mantenimiento Correctivo (Cambio de Hidrolina de dirección)</t>
  </si>
  <si>
    <t>Mantenimiento Correctivo: Parchado de neumático</t>
  </si>
  <si>
    <t>MAXUS VBW-889: Compra de Insumos/Materiales
Cono de seguridad y forro de timón</t>
  </si>
  <si>
    <t>Mantenimiento Correctivo: Engrase del cardán</t>
  </si>
  <si>
    <t>Mantenimiento Correctivo: Servicio de inspección y/o mantenimiento de fusible de cabina.</t>
  </si>
  <si>
    <t>VDJ-872: Compra de Insumos/Materiales ( 01 balde urea de 20 LT)</t>
  </si>
  <si>
    <t>Mantenimiento Correctivo: Servicio de alineamiento</t>
  </si>
  <si>
    <t>Mantenimiento Correctivo: Regulación de frenos</t>
  </si>
  <si>
    <t>Mantenimiento Correctivo: Rotación de neumático delantero izquierdo por el repuesto.</t>
  </si>
  <si>
    <t>Mantenimiento Correctivo: Soldadura del seguro de la puerta de la carrocería</t>
  </si>
  <si>
    <t>Mantenimiento Correctivo: Servicio de revisión</t>
  </si>
  <si>
    <t>B001</t>
  </si>
  <si>
    <t>Mantenimiento Correctivo: Montar, desmontar Cardán y servicio de torno</t>
  </si>
  <si>
    <t>F042</t>
  </si>
  <si>
    <t>Accesorios Vehiculares: Compra de 01 balde de Urea de 20 Lt</t>
  </si>
  <si>
    <t>Accesorios Vehiculares: Compra de 04 candados</t>
  </si>
  <si>
    <t>Mantenimiento preventivo: engrase del vehículo</t>
  </si>
  <si>
    <t>Mantenimiento preventivo: Regulación de frenos</t>
  </si>
  <si>
    <t>Mantenimiento preventivo: Rotación de neumático</t>
  </si>
  <si>
    <t>FOTÓN VDJ-872: Mantenimiento preventivo ( Engrase del vehículo)</t>
  </si>
  <si>
    <t>Mantenimiento Correctivo mantenimiento de sensor de caja (retroceso)</t>
  </si>
  <si>
    <t>Mantenimiento preventivo: Engrase del vehículo</t>
  </si>
  <si>
    <t>Mantenimiento Correctivo: Rotación de neumático</t>
  </si>
  <si>
    <t>Mantenimiento Correctivo: Rotación de neumático.</t>
  </si>
  <si>
    <t>Mantenimiento Preventivo: Rotación de neumáticos delanteros.</t>
  </si>
  <si>
    <t>Mantenimiento preventivo (Revisión de presión de aire)</t>
  </si>
  <si>
    <t>Mantenimiento preventivo: Revisión de neumático</t>
  </si>
  <si>
    <t>Mantenimiento Correctivo: Cambio de llanta</t>
  </si>
  <si>
    <t>Mantenimiento Correctivo: Aplicación de pegamento para neumático.</t>
  </si>
  <si>
    <t>Accesorios Vehiculares: Compra de tubo redondo para gata</t>
  </si>
  <si>
    <t>Mantenimiento Correctivo: Servicio de reajuste y calibración de freno de mano.</t>
  </si>
  <si>
    <t>Accesorios Vehiculares: Compra de manguera corrugada, cable automotriz y cinta aislante</t>
  </si>
  <si>
    <t>FOTÓN VDJ-872: Accesorios Vehiculares (compra de faro placa led y pernos)</t>
  </si>
  <si>
    <t>Accesorios Vehiculares: FOTÓN VDJ-872( Servicio de instalación de luz de placa)</t>
  </si>
  <si>
    <t>Accesorios Vehiculares: FOTÓN VDJ-872(Compra de 1 balde de Urea)</t>
  </si>
  <si>
    <t>Mantenimiento Preventivo: Rotación de neumáticos.</t>
  </si>
  <si>
    <t>Mantenimiento preventivo: Servicio de alineamiento</t>
  </si>
  <si>
    <t>Accesorios Vehiculares: Compra de cinta reflectiva (3 metros)</t>
  </si>
  <si>
    <t>Mantenimiento preventivo: Diagnóstico del sistema de aire acondicionado</t>
  </si>
  <si>
    <t>Accesorios Vehiculares: Compra de 1 cono</t>
  </si>
  <si>
    <t>Mantenimiento preventivo: Rotación de neumático de repuesto</t>
  </si>
  <si>
    <t>FJ08</t>
  </si>
  <si>
    <t>Accesorios Vehiculares: Abastecimiento de Urea</t>
  </si>
  <si>
    <t>Accesorios Vehiculares: Compra de luz de placa</t>
  </si>
  <si>
    <t>Mantenimiento Correctivo: Cambio de luz de placa, cambio de faros y mantenimiento de fusibles</t>
  </si>
  <si>
    <t>Mantenimiento Correctivo: MAXUS VBW-889(cambio de focos)</t>
  </si>
  <si>
    <t>Mantenimiento preventivo: Rotación de neumático y cambio de guarda cámara</t>
  </si>
  <si>
    <t>Mantenimiento preventivo: Cambio de aceite y filtros</t>
  </si>
  <si>
    <t>Accesorios Vehiculares: Cambio del espejo panorámico</t>
  </si>
  <si>
    <t>FOTÓN VDJ-872: Accesorios Vehiculares (compra de foco NARVA)</t>
  </si>
  <si>
    <t>VDJ-872: Mantenimiento Correctivo (Cambio de foco delantero)</t>
  </si>
  <si>
    <t>MAXUS VBW-889: Accesorios Vehiculares (Compra de paleta de PARE/SIGA)</t>
  </si>
  <si>
    <t>FOTÓN VDJ-872: Accesorios Vehiculares (Sticker de señalización pesos y medidas)</t>
  </si>
  <si>
    <t>Accesorios Vehiculares: Compra de refrigerante</t>
  </si>
  <si>
    <t>VDJ-872: Mantenimiento preventivo (Engrase del vehículo)</t>
  </si>
  <si>
    <t>Accesorios Vehiculares: Compra de accesorios para pintado de carrocería</t>
  </si>
  <si>
    <t>Accesorios Vehiculares: Compra de 7 spray y cinta de 2 pulgadas</t>
  </si>
  <si>
    <t>Accesorios Vehiculares: Compra de 7 spray y cinta de 2 pulgadas.</t>
  </si>
  <si>
    <t>Accesorios Vehiculares: Compra de 10 spray de pintura, cinta de 2 pulgadas y 1 lija fierro</t>
  </si>
  <si>
    <t>FOTÓN BKK-849: Mantenimiento preventivo (engrase del vehículo)</t>
  </si>
  <si>
    <t>B004</t>
  </si>
  <si>
    <t>MAXUS VBW-889: Mantenimiento preventivo (regulación de frenos)</t>
  </si>
  <si>
    <t>FOTÓN VDJ-872: ACCESORIOS VEHICULARES (COMPRA DE UREA 20 LITROS)</t>
  </si>
  <si>
    <t>VDJ-872: Mantenimiento preventivo (Compra de líquido de freno)</t>
  </si>
  <si>
    <t>F105</t>
  </si>
  <si>
    <t>Accesorios Vehiculares: Compra de urea 6,67 Litros</t>
  </si>
  <si>
    <t>Mantenimiento Correctivo: Parchado de 2 llantas</t>
  </si>
  <si>
    <t>MAXUS VBW-889: Mantenimiento preventivo (mantenimiento de la llanta de repuesto)</t>
  </si>
  <si>
    <t>VBW-889: Accesorios Vehiculares (Compra de candado)</t>
  </si>
  <si>
    <t>Accesorios Vehiculares: Compra de 1 líquido de freno</t>
  </si>
  <si>
    <t>Mantenimiento Correctivo: Soldadura de la caja de herramientas</t>
  </si>
  <si>
    <t>FOTÓN VDJ-872: Accesorios Vehiculares (Compra de foco 12V)</t>
  </si>
  <si>
    <t>Accesorios Vehiculares: Compra de 1 Rodaje 6210-2RS</t>
  </si>
  <si>
    <t>Accesorios Vehiculares: Compra de rodaje 38TM06</t>
  </si>
  <si>
    <t>Accesorios Vehiculares: Compra de 1 foco de 24 v</t>
  </si>
  <si>
    <t>Accesorios Vehiculares: Retén de cigüeñal posterior</t>
  </si>
  <si>
    <t>Reposicion de caja</t>
  </si>
  <si>
    <t>Accesorios Vehiculares: Compra 7 spray de pintura para la carrocería</t>
  </si>
  <si>
    <t>Accesorios Vehiculares: Compra de cintas de cono</t>
  </si>
  <si>
    <t>Accesorios Vehiculares: Compra de imantados para sticker de codificación</t>
  </si>
  <si>
    <t>Accesorios Vehiculares: Compra de insumos de pintado</t>
  </si>
  <si>
    <t>Accesorios Vehiculares: Compra de soplete y base de pintura</t>
  </si>
  <si>
    <t>Accesorios Vehiculares: Compra de manguera, acople rápido, acople macho, acople hembra, abrazaderas y inflador dual.</t>
  </si>
  <si>
    <t>Accesorios Vehiculares: Compra de manguera y acople rápido espiga</t>
  </si>
  <si>
    <t>Mantenimiento Correctivo: Parchado de llanta</t>
  </si>
  <si>
    <t>Mantenimiento preventivo: Rotación de neumático posterior</t>
  </si>
  <si>
    <t>F043</t>
  </si>
  <si>
    <t>Mantenimiento Correctivo: Cambio de foco delantero</t>
  </si>
  <si>
    <t>FS04</t>
  </si>
  <si>
    <t>Accesorios Vehiculares: Abastecimiento de UREA</t>
  </si>
  <si>
    <t>Accesorios Vehiculares: Compra de base de pintura</t>
  </si>
  <si>
    <t>Accesorios Vehiculares: Cambio de foco de luz baja (lado derecho)</t>
  </si>
  <si>
    <t>CAJA OPERATIVA 009 - Ronald Guizado</t>
  </si>
  <si>
    <t>Ronald Guizado</t>
  </si>
  <si>
    <t>Pantalón de Trabajo talla 38</t>
  </si>
  <si>
    <t>002-2208</t>
  </si>
  <si>
    <t>SSOMA</t>
  </si>
  <si>
    <t>F764</t>
  </si>
  <si>
    <t>Compra de Martillo y Clavos para Cerco - Chilca</t>
  </si>
  <si>
    <t>002-2215</t>
  </si>
  <si>
    <t>Operaciones</t>
  </si>
  <si>
    <t>F352</t>
  </si>
  <si>
    <t>Envió de Documentos Olva</t>
  </si>
  <si>
    <t>002-2219</t>
  </si>
  <si>
    <t>Hoja Bond 1/2 Millar</t>
  </si>
  <si>
    <t>002-2221</t>
  </si>
  <si>
    <t>Reposición de Caja Chica</t>
  </si>
  <si>
    <t>002-2223</t>
  </si>
  <si>
    <t>Compra de Films para Planta</t>
  </si>
  <si>
    <t>002-2226</t>
  </si>
  <si>
    <t>Logística</t>
  </si>
  <si>
    <t>002-2228</t>
  </si>
  <si>
    <t>Administración</t>
  </si>
  <si>
    <t>Guantes de cuero Blanco (x6)</t>
  </si>
  <si>
    <t>002-2230</t>
  </si>
  <si>
    <t>Cargador para Celular (Corporativo Cristian)</t>
  </si>
  <si>
    <t>002-2233</t>
  </si>
  <si>
    <t>Sistemas y TI</t>
  </si>
  <si>
    <t>Imprimir Documentos (Chilca Cañete)</t>
  </si>
  <si>
    <t>002-2235</t>
  </si>
  <si>
    <t>002-2237</t>
  </si>
  <si>
    <t>Bidón Agua de 8L (x2)</t>
  </si>
  <si>
    <t>002-2243</t>
  </si>
  <si>
    <t xml:space="preserve">FW01 </t>
  </si>
  <si>
    <t>Torta (Cumpleaños Franco Carreño)</t>
  </si>
  <si>
    <t>002-2244</t>
  </si>
  <si>
    <t>002-2245</t>
  </si>
  <si>
    <t>Zapatos de Seguridad (x2)</t>
  </si>
  <si>
    <t>002-2246</t>
  </si>
  <si>
    <t>002-2253</t>
  </si>
  <si>
    <t>Reposición de Caja (Torta de Franco y Pasaje)</t>
  </si>
  <si>
    <t>002-2262</t>
  </si>
  <si>
    <t>F353</t>
  </si>
  <si>
    <t>002-2265</t>
  </si>
  <si>
    <t>002-2271</t>
  </si>
  <si>
    <t>002-2277</t>
  </si>
  <si>
    <t>Chaleco Naranja y Paños Absorbentes</t>
  </si>
  <si>
    <t>002-2279</t>
  </si>
  <si>
    <t>002-2284</t>
  </si>
  <si>
    <t>Envió de documentos Olva</t>
  </si>
  <si>
    <t>002-2288</t>
  </si>
  <si>
    <t>Guantes de Cuero Blanco x8</t>
  </si>
  <si>
    <t>002-2291</t>
  </si>
  <si>
    <t>002-2297</t>
  </si>
  <si>
    <t>Guantes de Cuero Blanco x7</t>
  </si>
  <si>
    <t>002-2298</t>
  </si>
  <si>
    <t>Reposición de Caja ( Bidón de Agua )</t>
  </si>
  <si>
    <t>002-2301</t>
  </si>
  <si>
    <t>FA03</t>
  </si>
  <si>
    <t>Hoja Bond 1/2 Millar x 2</t>
  </si>
  <si>
    <t>002-2309</t>
  </si>
  <si>
    <t>002-2314</t>
  </si>
  <si>
    <t>002-2316</t>
  </si>
  <si>
    <t>002-2319</t>
  </si>
  <si>
    <t>002-2323</t>
  </si>
  <si>
    <t>002-2328</t>
  </si>
  <si>
    <t>002-2329</t>
  </si>
  <si>
    <t>002-2333</t>
  </si>
  <si>
    <t>002-2336</t>
  </si>
  <si>
    <t>Guantes Badana Blanco x7 Tapones de oído x4</t>
  </si>
  <si>
    <t>002-2337</t>
  </si>
  <si>
    <t>Envió de Documentos Olva (Juliaca)</t>
  </si>
  <si>
    <t>002-2342</t>
  </si>
  <si>
    <t>Cambio de mica (Celular Corporativo planta)</t>
  </si>
  <si>
    <t>002-2343</t>
  </si>
  <si>
    <t>Guantes Badana Blanco x7</t>
  </si>
  <si>
    <t>002-2345</t>
  </si>
  <si>
    <t>002-2346</t>
  </si>
  <si>
    <t>Reposición de Caja Chica (Zapatos de Seguridad (x2))</t>
  </si>
  <si>
    <t>002-2351</t>
  </si>
  <si>
    <t>F561</t>
  </si>
  <si>
    <t>Hoja Bond 1/2 Millar x2</t>
  </si>
  <si>
    <t>002-2352</t>
  </si>
  <si>
    <t>002-2354</t>
  </si>
  <si>
    <t>002-2355</t>
  </si>
  <si>
    <t>002-2366</t>
  </si>
  <si>
    <t>002-2367</t>
  </si>
  <si>
    <t>002-2370</t>
  </si>
  <si>
    <t>002-2374</t>
  </si>
  <si>
    <t>002-2377</t>
  </si>
  <si>
    <t>002-2380</t>
  </si>
  <si>
    <t>002-2385</t>
  </si>
  <si>
    <t>002-2387</t>
  </si>
  <si>
    <t>3 Vidrios y 1 Silicona Para la Ventana</t>
  </si>
  <si>
    <t>002-2389</t>
  </si>
  <si>
    <t>Comercial</t>
  </si>
  <si>
    <t>002-2390</t>
  </si>
  <si>
    <t>01 Cera de piso y 100 Clavos 3/4 Para oficina</t>
  </si>
  <si>
    <t>002-2392</t>
  </si>
  <si>
    <t>002-2395</t>
  </si>
  <si>
    <t>002-2399</t>
  </si>
  <si>
    <t>Guantes Badana Blanco x12</t>
  </si>
  <si>
    <t>002-2403</t>
  </si>
  <si>
    <t>002-2406</t>
  </si>
  <si>
    <t>002-2413</t>
  </si>
  <si>
    <t>DOCUMENTO DE GESTIÓN ADMINISTRATIVA</t>
  </si>
  <si>
    <t>COD:</t>
  </si>
  <si>
    <t>ESTADO DE CUENTA - CAJAS Y BANCOS</t>
  </si>
  <si>
    <t>VERSIÓN:01</t>
  </si>
  <si>
    <t>ÁREA: FINANZAS</t>
  </si>
  <si>
    <t>EJERCICIO 2025</t>
  </si>
  <si>
    <t>FECHA:</t>
  </si>
  <si>
    <t>SEDE:</t>
  </si>
  <si>
    <t>TODAS</t>
  </si>
  <si>
    <t>ELABORADO POR:</t>
  </si>
  <si>
    <t>ELIAS GUSTAVO PACO PAUCCARA</t>
  </si>
  <si>
    <t>N°</t>
  </si>
  <si>
    <t>BANCO</t>
  </si>
  <si>
    <t>DETALLE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</si>
  <si>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</si>
  <si>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</si>
  <si>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</si>
  <si>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</si>
  <si>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</si>
  <si>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</si>
  <si>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</si>
  <si>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</si>
  <si>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</si>
  <si>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</si>
  <si>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</si>
  <si>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</si>
  <si>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TOTAL</t>
  </si>
  <si>
    <t>PROMEDIO</t>
  </si>
  <si>
    <t>BCP - SOLES</t>
  </si>
  <si>
    <t>SALDO INICIAL (Anterior)</t>
  </si>
  <si>
    <t>INGRESOS TOTALES</t>
  </si>
  <si>
    <t>EGRESOS TOTALES</t>
  </si>
  <si>
    <t>SALDO FINAL - BCP SOLES</t>
  </si>
  <si>
    <t>ITB - SOLES</t>
  </si>
  <si>
    <t>SALDO FINAL - INTERBANK SOLES</t>
  </si>
  <si>
    <t>BBVA - SOLES</t>
  </si>
  <si>
    <t>SALDO FINAL - BBVA SOLES</t>
  </si>
  <si>
    <t>BN - SOLES</t>
  </si>
  <si>
    <t>SALDO FINAL - BANCO DE LA NACION SOLES</t>
  </si>
  <si>
    <t>BCP - DOLARES</t>
  </si>
  <si>
    <t>SALDO FINAL - BCP DOLARES</t>
  </si>
  <si>
    <t>T.C.</t>
  </si>
  <si>
    <t>SALDO FINAL - BCP DOLARES (SOLES)</t>
  </si>
  <si>
    <t>RESUMEN</t>
  </si>
  <si>
    <t>AREQUIPA - SOLES</t>
  </si>
  <si>
    <t>SALDO FINAL - AREQUIPA SOLES</t>
  </si>
  <si>
    <t>FINANZAS - SOLES</t>
  </si>
  <si>
    <t>SALDO FINAL - FINANZAS SOLES</t>
  </si>
  <si>
    <t>OPE_001
Ruben Bustamante</t>
  </si>
  <si>
    <t>SALDO FINAL - OPE_001 SOLES</t>
  </si>
  <si>
    <t>OPE_002
Junior Ccama</t>
  </si>
  <si>
    <t>OPE_003
Juber Monteza</t>
  </si>
  <si>
    <t>SALDO FINAL - OPE_003 SOLES</t>
  </si>
  <si>
    <t>002-2419</t>
  </si>
  <si>
    <t>002-2425</t>
  </si>
  <si>
    <t>002-2384</t>
  </si>
  <si>
    <t>Traslados en bus desde la Joya hasta almacén - CC 001-183</t>
  </si>
  <si>
    <t>002-2412</t>
  </si>
  <si>
    <t>002-2427</t>
  </si>
  <si>
    <t>Revisión y reparación celular - roy ramos -CC 001-191</t>
  </si>
  <si>
    <t>LIQ.STI.019 - RQ.STI.101 - Revisión y reparación de celular MOTO G-04 (Roy Ramos)</t>
  </si>
  <si>
    <t>Gratificaciones</t>
  </si>
  <si>
    <t>GR</t>
  </si>
  <si>
    <t>GR07</t>
  </si>
  <si>
    <t>Proveedores 20250826 (1)</t>
  </si>
  <si>
    <t>Adto. 50% E001-744 - RQ.OPE.1259 Manto. de la tolva de la camioneta MAXUS VBW-889</t>
  </si>
  <si>
    <t>RQ.LOG.335 - F002-11547 Sillas plomas</t>
  </si>
  <si>
    <t>Combustible / pend. Por registrar ctb</t>
  </si>
  <si>
    <t>https://gytres-my.sharepoint.com/:b:/p/finanzas/ESHFqi9ah_RPjG9kZCOUFwIB4ZlHCcsVnfw_fPKvGF4OdQ?e=Afonja</t>
  </si>
  <si>
    <t>https://gytres-my.sharepoint.com/:b:/p/finanzas/Edbq9zvTMw1BnSFSlMKNpcUBCaRPyBXReUxkHRoveaS7cw?e=bh2eNj</t>
  </si>
  <si>
    <t>https://gytres-my.sharepoint.com/:b:/p/finanzas/EaVQjrQU_5ROlzTDmoqFKHIBPov60N6AduAHlWL6f1tFTQ?e=fmesJM</t>
  </si>
  <si>
    <t>https://gytres-my.sharepoint.com/:b:/p/finanzas/EYK7jH2gXA5LpIJyaNmUG9UBrkBVRaep45obCqpxnT4BzQ?e=3OlCY0</t>
  </si>
  <si>
    <t>https://gytres-my.sharepoint.com/:b:/p/finanzas/EQSLToN0dGNBt9mwjvY9OUIBZCuN5j8q0ZDuHLmyEQCXSw?e=EdlMQi</t>
  </si>
  <si>
    <t xml:space="preserve">RQ.OPE.1362 Impresiones doble cara a color </t>
  </si>
  <si>
    <t>https://gytres-my.sharepoint.com/:b:/p/finanzas/Ee6zVMDjbstJlo0D-0wDfCABfoi7vz2Na8lVNVoZExG1GA?e=ihiKZ5</t>
  </si>
  <si>
    <t>https://gytres-my.sharepoint.com/:b:/p/finanzas/EXM9r_8PjNxIgdQ1XFkdvz4BdPjXVa4SM8mkoMXSXs2oLQ?e=IK2TsQ</t>
  </si>
  <si>
    <t>https://gytres-my.sharepoint.com/:b:/p/finanzas/EbKfXafQbsdHiayBwqIkZU0B54jLgneHyVe8-xuEh0hV8Q?e=Wimv8M</t>
  </si>
  <si>
    <t>https://gytres-my.sharepoint.com/:b:/p/finanzas/ETWa4VT3nydKir-2YzsXTzsB0kV6Q0m3wkKdfyKNocklxA?e=kmZZ9s</t>
  </si>
  <si>
    <t>https://gytres-my.sharepoint.com/:b:/p/finanzas/EWOblCwhAxJAhhUYWDYvCi8BucKxLuyqf6mzxsCSISNfwA?e=gJJd3K</t>
  </si>
  <si>
    <t>https://gytres-my.sharepoint.com/:b:/p/finanzas/EXT64g1Cw_5LtBBdtYBD8EkBXDsVhM5K44L2vPDKt3o9lA?e=KzbD4M</t>
  </si>
  <si>
    <t>https://gytres-my.sharepoint.com/:b:/p/finanzas/EbPn4esk51xNpOlZeHQObwcB3G2RWeQGK-u5AJPWlkddMA?e=rQfv1c</t>
  </si>
  <si>
    <t>Reposicion - Caja Chica AQP - RC 001-001_2025</t>
  </si>
  <si>
    <t>Reposicion - Caja Chica AQP - RC 001-002_2025</t>
  </si>
  <si>
    <t>Reposicion - Caja Chica AQP - RC 001-003_2025</t>
  </si>
  <si>
    <t>RQ.SSO.278 - ER-001-0612025 pago de inducciones - Pesquera Diamante</t>
  </si>
  <si>
    <t>Cambio de Soles a Dolares TC 3.554</t>
  </si>
  <si>
    <t>Com.cce pro 000198</t>
  </si>
  <si>
    <t>Entr.efec. 0022331</t>
  </si>
  <si>
    <t>0000000ff02-120 empres</t>
  </si>
  <si>
    <t xml:space="preserve">Traslados para compra de Baldes rojos </t>
  </si>
  <si>
    <t>Juan Diego Perea Aranibar</t>
  </si>
  <si>
    <t>Servicentro Santa Martha - servicio de residuos no aprovechables - Antilla Cooper Abancay</t>
  </si>
  <si>
    <t>Reposición - Caja Conductores - 2025 / RCO-18</t>
  </si>
  <si>
    <t>Uchumayo - compra (alambron ) - Moly-Cop (La Joya)</t>
  </si>
  <si>
    <t>Uchumayo - servicio (NACH) - La Iberica</t>
  </si>
  <si>
    <t>Patahuasi - servicio (res. peligrosos) - Antilla Cooper Abancay</t>
  </si>
  <si>
    <t>Cena - Colaboradores: Juan y Luis - ruta: Arequipa - Abancay</t>
  </si>
  <si>
    <t>Alojamiento - IMATA - Colaboradores: Juan y Luis - ruta: Arequipa - Abancay</t>
  </si>
  <si>
    <t>Pichirhua - servicio (res. peligrosos) - Antilla Cooper Abancay</t>
  </si>
  <si>
    <t>Desayuno - Colaboradores: Juan y Luis - ruta: Arequipa - Abancay</t>
  </si>
  <si>
    <t>Almuerzo - Colaboradores: Juan y Luis - ruta: Arequipa - Abancay</t>
  </si>
  <si>
    <t>Alojamiento - Santa Rosa - Abancay - Colaboradores: Juan y Luis</t>
  </si>
  <si>
    <t>Cochera - Santa Rosa - Abancay</t>
  </si>
  <si>
    <t>Alojamiento - Cuzco - Colaboradores: Juan y Luis</t>
  </si>
  <si>
    <t>Desayuno - Colaboradores: Juan y Luis - ruta: Abancay - Arequipa</t>
  </si>
  <si>
    <t>Almuerzo - Colaboradores: Juan y Luis - ruta: Abancay - Arequipa.</t>
  </si>
  <si>
    <t>Cena - Colaboradores: Juan y Luis - ruta: Abancay - Arequipa</t>
  </si>
  <si>
    <t>Almuerzo - Colaboradores: Juan y Luis - ruta: Abancay - Arequipa</t>
  </si>
  <si>
    <t>El Eden - venta de leña - Cristian de la flor</t>
  </si>
  <si>
    <t>4057115340029</t>
  </si>
  <si>
    <t>EMPRESA DE TRANSPORTES PERU BUS S.A.</t>
  </si>
  <si>
    <t>SILVA ACHTAR ROGER KONRRAC</t>
  </si>
  <si>
    <t>EMP CAPLINA TRANSP TURISTIC INTERNAC SRL</t>
  </si>
  <si>
    <t>CRECE NEGOCIOS S.A.C.</t>
  </si>
  <si>
    <t>WIRELESS CONEXIÓN E.I.R.L.</t>
  </si>
  <si>
    <t>BERNAL TODCO LUIS ALBERTO</t>
  </si>
  <si>
    <t>MENDOZA SANCHEZ DEYSI</t>
  </si>
  <si>
    <t>Tran.ctas.terc.hk</t>
  </si>
  <si>
    <t>F135-8871 Combustible</t>
  </si>
  <si>
    <t>F136-11406 Combustible</t>
  </si>
  <si>
    <t>Cochera - Cusco</t>
  </si>
  <si>
    <t>Cta.</t>
  </si>
  <si>
    <t>APARECIA COMO CANCELADO EN EXCEL (DE COLOR VERDE, NOS E ENCONTRO MOVIMIENTO PARA ELIMINAR)</t>
  </si>
  <si>
    <t xml:space="preserve">LIQ.OPE.145 - RQ.OPE.1379 - Impresión de guías y manifiestos para disposición de residuos </t>
  </si>
  <si>
    <t>E001-214 - RQ.OPE.1313 accesorios vehiculares para la unidad VBB-840</t>
  </si>
  <si>
    <t>GARCIA RAMOS HOTMAR PEDRO</t>
  </si>
  <si>
    <t>Dinero entregado para gastos de planilla de movilidad - 2025</t>
  </si>
  <si>
    <t>F004-72 - RQ.OPE.1381 implementación de corta corriente de la unidad FOTÓN VDJ-872.</t>
  </si>
  <si>
    <t>F002-20805, RQ.OPE.1341 manto. preventivo(cambio de aceite y filtros) de la camioneta MAXUS VBW-889</t>
  </si>
  <si>
    <t xml:space="preserve">LIQ.GH.051 - RQ.GH.231 - Personal externo para carguío de envases vacíos - Campo Limpio (Ica) </t>
  </si>
  <si>
    <t>Saldo E001-744, RQ.OPE.1259 Manto. de la tolva de la camioneta MAXUS VBW-889</t>
  </si>
  <si>
    <t xml:space="preserve">RQ.LOG.349 - Compra de útiles y traslados </t>
  </si>
  <si>
    <t>Debo Jorge OP 601</t>
  </si>
  <si>
    <t>Planilla de movilidad 11.08.2025</t>
  </si>
  <si>
    <t>Planilla de movilidad 12.08.2025</t>
  </si>
  <si>
    <t>Planilla de movilidad 13.08.2025</t>
  </si>
  <si>
    <t>Planilla de movilidad 18.08.2025</t>
  </si>
  <si>
    <t>Planilla de movilidad 19.08.2025</t>
  </si>
  <si>
    <t>Planilla de movilidad 20.08.2025</t>
  </si>
  <si>
    <t>Planilla de movilidad 21.08.2025</t>
  </si>
  <si>
    <t>Planilla de movilidad 22.08.2025</t>
  </si>
  <si>
    <t>Planilla de movilidad 25.08.2025</t>
  </si>
  <si>
    <t>Planilla de movilidad 26.08.2025</t>
  </si>
  <si>
    <t>Planilla de movilidad 27.08.2025</t>
  </si>
  <si>
    <t>Traslados, para recojo de documentos de UCSM y Alprosa CC 001-196</t>
  </si>
  <si>
    <t>Traslados para recojo de documentos en Olva  - CC 001-197</t>
  </si>
  <si>
    <t xml:space="preserve">Compra de switch RQ.STI.105 - CC001- 198 </t>
  </si>
  <si>
    <t xml:space="preserve">Reposicion de caja AQP - por devolución finanzas </t>
  </si>
  <si>
    <t xml:space="preserve">Reposicion de caja AQP </t>
  </si>
  <si>
    <t xml:space="preserve">Gastos de Gerencia </t>
  </si>
  <si>
    <t xml:space="preserve">One drive - Gregory  - Julio </t>
  </si>
  <si>
    <t>Correo Corporativo - Julio</t>
  </si>
  <si>
    <t>Teléfono fijo trio - Agosto /Arequipa 2</t>
  </si>
  <si>
    <t>Tlc 002ja9 mant ago</t>
  </si>
  <si>
    <t>Disposicion residuos no aprovechables 28.08.2025 al 29.08.25</t>
  </si>
  <si>
    <t>Seguro de flota vehicular 4 de 6</t>
  </si>
  <si>
    <t>E001-48, RQ.GH.232 servicio de vigilancia médica del mes de julio y agosto</t>
  </si>
  <si>
    <t>Proveedores 20250828 (1)</t>
  </si>
  <si>
    <t>Deposito efectivo</t>
  </si>
  <si>
    <t>Pago impues 7677516473</t>
  </si>
  <si>
    <t>Pago impues 7677518790</t>
  </si>
  <si>
    <t>Uchumayo - Servicio (RS peligrosos) - Cosapi</t>
  </si>
  <si>
    <t>SRB km 48 - Servicio (RS peligrosos) - Cosapi</t>
  </si>
  <si>
    <t>RQ.SSO.279 pines para brigadas de emergencia - CCACYAVILCA VELASCO SEBASTIAN</t>
  </si>
  <si>
    <t>90 Tamales, para despedida de Ruben Bustamante</t>
  </si>
  <si>
    <t>LIQ.SIG.001 - Bocaditos para reunión</t>
  </si>
  <si>
    <t>Pago de RXH - Agosto 2025- 17200</t>
  </si>
  <si>
    <t>Debe Karol OP 686</t>
  </si>
  <si>
    <t>Devolución adelanto  -  Jack Huanuco (Adelanto sueldo Agosto)</t>
  </si>
  <si>
    <t>Planilla de Rem. Ago25 (1)</t>
  </si>
  <si>
    <t>Cambio de Dolares a Soles TC 3.524</t>
  </si>
  <si>
    <t>Ff0100000178000 corp.e</t>
  </si>
  <si>
    <t>0100000204 universidad</t>
  </si>
  <si>
    <t>De livigui peru sac</t>
  </si>
  <si>
    <t>Detr.masiva 7677796157</t>
  </si>
  <si>
    <t>Cambio de Dolares a Soles</t>
  </si>
  <si>
    <t>Reposición - Caja Conductores - 2025 / RCO-19</t>
  </si>
  <si>
    <t>E001-3443 , RQ.OPE.1385 referente al mantenimiento preventivo del montacargas de Villa Esperanza</t>
  </si>
  <si>
    <t>https://gytres-my.sharepoint.com/:b:/p/finanzas/EYio3Aa07EVDgXaabC_NRyEBArbOKPmX9XYFhaVLavniZg?e=baJhMR</t>
  </si>
  <si>
    <t>https://gytres-my.sharepoint.com/:b:/p/finanzas/EXRm4y2eoEZFnz6D6e8t8jYBnPM4HzgMUz-d2PGhLEd4gQ?e=mQUOuI</t>
  </si>
  <si>
    <t>https://gytres-my.sharepoint.com/:b:/p/finanzas/EY_CGk1pEMxOsDffABrpb4YBwMHQi_D_2m-GK8nGuBedrw?e=Pkneod</t>
  </si>
  <si>
    <t>https://gytres-my.sharepoint.com/:b:/p/finanzas/EWedMvXzmHJDmUfKRHNyb-cBuO4X3w5KHUlMiq-44UTj_g?e=38aHta</t>
  </si>
  <si>
    <t>https://gytres-my.sharepoint.com/:b:/p/finanzas/EZruCGGTr6NDqVJN2aFQyqkBIIw3_6jsI_gifHD8W0s5hw?e=FJj8YB</t>
  </si>
  <si>
    <t>https://gytres-my.sharepoint.com/:b:/p/finanzas/EVNDXi-_GwpMtnfoFr0OwooB5-E2WtE3qhbfelXPkNk3lw?e=bbpjFP</t>
  </si>
  <si>
    <t>https://gytres-my.sharepoint.com/:b:/p/finanzas/ERnYEO6s3LBArW1W8OPxF6MBf4DWHU9oAKWOs4mtq5buNQ?e=8Xcb91</t>
  </si>
  <si>
    <t>https://gytres-my.sharepoint.com/:b:/p/finanzas/EWAGcl-J-Y5HlbzK1lnltxMB_16KaXN1MRkWxMLnZKygdA?e=MtEJP2</t>
  </si>
  <si>
    <t>https://gytres-my.sharepoint.com/:b:/p/finanzas/EfnM1tDCvT1BomzGTmLv4-oBDTXaASU33U9Lpaff2Ni5dw?e=9l82zi</t>
  </si>
  <si>
    <t>https://gytres-my.sharepoint.com/:b:/p/finanzas/Eepr3bkdlRtAl93J7wbfBDsBg6O2KT_yLGZZv-DKJZbhOA?e=XULQgf</t>
  </si>
  <si>
    <t>https://gytres-my.sharepoint.com/:b:/p/finanzas/EWCp5-WmMJ5NktRf74TMa_8B5M5D2cV4-W4-NFwmpIHXPQ?e=b3QnAc</t>
  </si>
  <si>
    <t>https://gytres-my.sharepoint.com/:b:/p/finanzas/ERpzT78b0RxFrBp2rVyK8a4BMJ0hs2DN23sx9umSz1jcdA?e=mEUxJ7</t>
  </si>
  <si>
    <t>https://gytres-my.sharepoint.com/:b:/p/finanzas/EetO7m4afsJCgRVmjblsbioBiz9EorHupv5G5G9Gz1KboQ?e=GOb8VP</t>
  </si>
  <si>
    <t>https://gytres-my.sharepoint.com/:b:/p/finanzas/Eea3rSNG18lDmODkKE1YtZcBoFS-UKFhMU9Vj4_fply5xA?e=WKb33d</t>
  </si>
  <si>
    <t>Contraseña</t>
  </si>
  <si>
    <t>https://gytres-my.sharepoint.com/:b:/p/finanzas/EY67uFTKXwNMkXaKxWfCTWoB3TZngJl003LGWf5vspEMpg?e=Jyfb6T</t>
  </si>
  <si>
    <t>https://gytres-my.sharepoint.com/:b:/p/finanzas/EWCp5-WmMJ5NktRf74TMa_8B5M5D2cV4-W4-NFwmpIHXPQ?e=GyJ8EP</t>
  </si>
  <si>
    <t>https://gytres-my.sharepoint.com/:b:/p/finanzas/EXHZZpd88OVGgjsod4jO9RcBfe0KI4F5IA2qlIB3Kn4fTg?e=RXkUIw</t>
  </si>
  <si>
    <t>https://gytres-my.sharepoint.com/:b:/p/finanzas/EaMcke8vr9VEmi85TCVoHzIBpvmhwQMgU4GktRTP4Oa6Pg?e=BhqqEN</t>
  </si>
  <si>
    <t>https://gytres-my.sharepoint.com/:b:/p/finanzas/EVbpgNvWXatNosG_QkTVC1cBljMiWA0b1vCcU3Wi3uia6Q?e=smmtVP</t>
  </si>
  <si>
    <t>https://gytres-my.sharepoint.com/:b:/p/finanzas/EZFWN4BoS0xNnxzDgSbWi8IBpZ7_5bwmp02eqryDL5LoQA?e=Du8LGB</t>
  </si>
  <si>
    <t>https://gytres-my.sharepoint.com/:b:/p/finanzas/ERE79lrHH5JNvbFth2Y3_WoBRo2JT3CFbxH93ltBA804EQ?e=OUy4ON</t>
  </si>
  <si>
    <t>https://gytres-my.sharepoint.com/:b:/p/finanzas/ETk2gA_xNZJCtHtg33FmSScBNt-vQx_Ym01mfpktNr-8pg?e=R6c1Az</t>
  </si>
  <si>
    <t>https://gytres-my.sharepoint.com/:b:/p/finanzas/ES8uzMXyPxtHrUgt0QQyvz8BCB16moAzBT8TvSw66FrEfQ?e=yOOf4S</t>
  </si>
  <si>
    <t>https://gytres-my.sharepoint.com/:b:/p/finanzas/ETVHDqxrcBZOuY5zBEMaDigB0wiPPxXy0LyUFjPtn3q8mA?e=ei1PQs</t>
  </si>
  <si>
    <t>https://gytres-my.sharepoint.com/:b:/p/finanzas/ERykTMu_T5ZNoTH6J2DpIJ0B881J68PRs7MIGyBaCQUGFQ?e=hsBp89</t>
  </si>
  <si>
    <t>https://gytres-my.sharepoint.com/:b:/p/finanzas/EUnwJ3913hZKnMMnHo-ZLAsB05ZYwrL38ZAfxWpApwmdaQ?e=i3tktf</t>
  </si>
  <si>
    <t>https://gytres-my.sharepoint.com/:b:/p/finanzas/EUMTfXPWrHxHnLOLJW6itjIBuQZT2FjfRVrfuFnR6Dp-_g?e=wFMiZg</t>
  </si>
  <si>
    <t>https://gytres-my.sharepoint.com/:b:/p/finanzas/ETBEGj2ywodCnYT9hmrLp-EBcOzWrUO5OdpWpVybdQUdDQ?e=qMFhez</t>
  </si>
  <si>
    <t>https://gytres-my.sharepoint.com/:b:/p/finanzas/EWgNEDutKKVDl3lf7TV6xwcBtKiX_1wyH4_I0jVuqx0jog?e=9IcREr</t>
  </si>
  <si>
    <t>https://gytres-my.sharepoint.com/:b:/p/finanzas/Eb3QpdSAR8ZHvTINZbJoJIoBZpo5oYOC_dW0OmgdSCL0LA?e=ZTRX9O</t>
  </si>
  <si>
    <t>https://gytres-my.sharepoint.com/:b:/p/finanzas/EZx1M2dayLtFuu81McfxQnsBTIzIueuwbHXQgLz0Vw1NwA?e=Wcy478</t>
  </si>
  <si>
    <t>E001-1463,E001-1462,RQ.OPE.1382 referente a implementación de GPS a la unidad FOTÓN VEI-822</t>
  </si>
  <si>
    <t>combustible</t>
  </si>
  <si>
    <t xml:space="preserve">Recojo y compra de enmicadora </t>
  </si>
  <si>
    <t>Planilla de Rem. Ago25 (2)</t>
  </si>
  <si>
    <t>Essalud</t>
  </si>
  <si>
    <t>Onp</t>
  </si>
  <si>
    <t>5ta</t>
  </si>
  <si>
    <t>Redondeo</t>
  </si>
  <si>
    <t>Total</t>
  </si>
  <si>
    <t>Diferencia</t>
  </si>
  <si>
    <t xml:space="preserve"> ES07 </t>
  </si>
  <si>
    <t>De eleo arquitectura y</t>
  </si>
  <si>
    <t>TRAN.CTAS.TERC.BM/Préstamo para pago planilla agosto</t>
  </si>
  <si>
    <t>Devolucion - Prestamo Elias Paco 29.08.2025 
OP 4578477</t>
  </si>
  <si>
    <t>Reposicion - Caja Conductores - 2025 / RCO-20</t>
  </si>
  <si>
    <t>Envío de manifiestos a Cosapi (Santa Anita)</t>
  </si>
  <si>
    <t>Proveedores 20250901 (1)</t>
  </si>
  <si>
    <t xml:space="preserve">Safety pay cód. 972962 / compra de pasajes para viaje a Lima - Gleen Ponce y Diego Mamani </t>
  </si>
  <si>
    <t>Saldo 50% - OC 004-171 RQ.SSO.266 RQ.SSO.263 Epp</t>
  </si>
  <si>
    <t>Com.cce pro 000204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</si>
</sst>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 &quot;S/&quot;* #,##0.00_ ;_ &quot;S/&quot;* \-#,##0.00_ ;_ &quot;S/&quot;* &quot;-&quot;??_ ;_ @_ "/>
    <numFmt numFmtId="165" formatCode="000000"/>
    <numFmt numFmtId="166" formatCode="_-[$S/-280A]\ * #,##0.00_-;\-[$S/-280A]\ * #,##0.00_-;_-[$S/-280A]\ * &quot;-&quot;??_-;_-@_-"/>
    <numFmt numFmtId="167" formatCode="_-[$$-540A]* #,##0.00_ ;_-[$$-540A]* \-#,##0.00\ ;_-[$$-540A]* &quot;-&quot;??_ ;_-@_ "/>
    <numFmt numFmtId="168" formatCode="#,##0.000_ ;\-#,##0.000\ "/>
    <numFmt numFmtId="169" formatCode="_-[$$-80A]* #,##0.00_-;\-[$$-80A]* #,##0.00_-;_-[$$-80A]* &quot;-&quot;??_-;_-@_-"/>
    <numFmt numFmtId="170" formatCode="&quot;002 - &quot;000000"/>
    <numFmt numFmtId="171" formatCode="dd"/>
    <numFmt numFmtId="172" formatCode="mm"/>
    <numFmt numFmtId="173" formatCode="yyyy"/>
    <numFmt numFmtId="174" formatCode="_-* #,##0.000_-;\-* #,##0.000_-;_-* &quot;-&quot;??_-;_-@_-"/>
  </numFmts>
  <fonts count="6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</font>
    <font>
      <sz val="9"/>
      <color theme="1"/>
      <name val="Aptos Narrow"/>
      <family val="2"/>
      <scheme val="minor"/>
    </font>
    <font>
      <sz val="9"/>
      <color theme="1"/>
      <name val="Aptos Narrow"/>
      <family val="2"/>
    </font>
    <font>
      <b/>
      <sz val="18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9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b/>
      <sz val="9"/>
      <name val="Aptos Narrow"/>
      <family val="2"/>
    </font>
    <font>
      <sz val="8"/>
      <name val="Aptos Narrow"/>
      <family val="2"/>
      <scheme val="minor"/>
    </font>
    <font>
      <sz val="11"/>
      <color theme="1"/>
      <name val="Arial Nova"/>
      <family val="2"/>
    </font>
    <font>
      <sz val="10"/>
      <color theme="1"/>
      <name val="Arial Nova"/>
      <family val="2"/>
    </font>
    <font>
      <b/>
      <i/>
      <sz val="11"/>
      <color theme="0"/>
      <name val="Arial Nova"/>
      <family val="2"/>
    </font>
    <font>
      <i/>
      <sz val="9"/>
      <color theme="1"/>
      <name val="Arial Nova"/>
      <family val="2"/>
    </font>
    <font>
      <b/>
      <i/>
      <sz val="14"/>
      <color theme="1"/>
      <name val="Arial Nova"/>
      <family val="2"/>
    </font>
    <font>
      <b/>
      <i/>
      <sz val="12"/>
      <color theme="1"/>
      <name val="Arial Nova"/>
      <family val="2"/>
    </font>
    <font>
      <b/>
      <i/>
      <sz val="11"/>
      <color theme="1"/>
      <name val="Arial Nova"/>
      <family val="2"/>
    </font>
    <font>
      <b/>
      <sz val="9"/>
      <color theme="1"/>
      <name val="Arial Nova"/>
      <family val="2"/>
    </font>
    <font>
      <sz val="9"/>
      <color theme="1"/>
      <name val="Arial Nova"/>
      <family val="2"/>
    </font>
    <font>
      <b/>
      <sz val="9"/>
      <color theme="0"/>
      <name val="Arial Nova"/>
      <family val="2"/>
    </font>
    <font>
      <i/>
      <sz val="11"/>
      <name val="Arial Nova"/>
      <family val="2"/>
    </font>
    <font>
      <b/>
      <sz val="9"/>
      <name val="Arial Nova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</font>
    <font>
      <b/>
      <sz val="9"/>
      <color theme="1"/>
      <name val="Aptos Narrow"/>
      <family val="2"/>
      <scheme val="minor"/>
    </font>
    <font>
      <sz val="9"/>
      <color rgb="FFFF0000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  <font>
      <b/>
      <sz val="9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  <font>
      <sz val="9"/>
      <color theme="1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</fonts>
  <fills count="5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72B730"/>
        <bgColor rgb="FF92D050"/>
      </patternFill>
    </fill>
    <fill>
      <patternFill patternType="solid">
        <fgColor rgb="FF72B730"/>
        <bgColor rgb="FFC5E0B3"/>
      </patternFill>
    </fill>
    <fill>
      <patternFill patternType="solid">
        <fgColor rgb="FF72B730"/>
        <bgColor indexed="64"/>
      </patternFill>
    </fill>
    <fill>
      <patternFill patternType="solid">
        <fgColor rgb="FF11680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00B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11680F"/>
      </left>
      <right style="thin">
        <color rgb="FF11680F"/>
      </right>
      <top style="thin">
        <color rgb="FF11680F"/>
      </top>
      <bottom style="thin">
        <color rgb="FF11680F"/>
      </bottom>
      <diagonal/>
    </border>
    <border>
      <left style="thin">
        <color rgb="FF11680F"/>
      </left>
      <right/>
      <top style="thin">
        <color rgb="FF11680F"/>
      </top>
      <bottom style="thin">
        <color rgb="FF11680F"/>
      </bottom>
      <diagonal/>
    </border>
    <border>
      <left/>
      <right/>
      <top style="thin">
        <color rgb="FF11680F"/>
      </top>
      <bottom style="thin">
        <color rgb="FF11680F"/>
      </bottom>
      <diagonal/>
    </border>
    <border>
      <left/>
      <right style="thin">
        <color rgb="FF11680F"/>
      </right>
      <top style="thin">
        <color rgb="FF11680F"/>
      </top>
      <bottom style="thin">
        <color rgb="FF11680F"/>
      </bottom>
      <diagonal/>
    </border>
    <border>
      <left style="thin">
        <color rgb="FF0B7536"/>
      </left>
      <right style="thin">
        <color rgb="FF0B7536"/>
      </right>
      <top style="thin">
        <color rgb="FF0B7536"/>
      </top>
      <bottom/>
      <diagonal/>
    </border>
    <border>
      <left style="thin">
        <color rgb="FF0B7536"/>
      </left>
      <right style="thin">
        <color rgb="FF0B7536"/>
      </right>
      <top style="thin">
        <color rgb="FF0B7536"/>
      </top>
      <bottom style="thin">
        <color rgb="FF0B7536"/>
      </bottom>
      <diagonal/>
    </border>
    <border>
      <left style="thin">
        <color rgb="FF11680F"/>
      </left>
      <right style="thin">
        <color rgb="FF11680F"/>
      </right>
      <top style="thin">
        <color rgb="FF11680F"/>
      </top>
      <bottom/>
      <diagonal/>
    </border>
    <border>
      <left style="thin">
        <color rgb="FF11680F"/>
      </left>
      <right style="thin">
        <color rgb="FF11680F"/>
      </right>
      <top/>
      <bottom/>
      <diagonal/>
    </border>
    <border>
      <left/>
      <right style="thin">
        <color rgb="FF0B7536"/>
      </right>
      <top style="thin">
        <color rgb="FF0B7536"/>
      </top>
      <bottom style="thin">
        <color rgb="FF0B7536"/>
      </bottom>
      <diagonal/>
    </border>
    <border>
      <left style="thin">
        <color rgb="FF11680F"/>
      </left>
      <right style="thin">
        <color rgb="FF11680F"/>
      </right>
      <top/>
      <bottom style="thin">
        <color rgb="FF11680F"/>
      </bottom>
      <diagonal/>
    </border>
    <border>
      <left/>
      <right/>
      <top style="thin">
        <color rgb="FF11680F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/>
      <bottom style="medium">
        <color rgb="FFFF0000"/>
      </bottom>
      <diagonal/>
    </border>
  </borders>
  <cellStyleXfs count="48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2" applyNumberFormat="0" applyFill="0" applyAlignment="0" applyProtection="0"/>
    <xf numFmtId="0" fontId="30" fillId="0" borderId="13" applyNumberFormat="0" applyFill="0" applyAlignment="0" applyProtection="0"/>
    <xf numFmtId="0" fontId="31" fillId="0" borderId="14" applyNumberFormat="0" applyFill="0" applyAlignment="0" applyProtection="0"/>
    <xf numFmtId="0" fontId="31" fillId="0" borderId="0" applyNumberFormat="0" applyFill="0" applyBorder="0" applyAlignment="0" applyProtection="0"/>
    <xf numFmtId="0" fontId="32" fillId="19" borderId="0" applyNumberFormat="0" applyBorder="0" applyAlignment="0" applyProtection="0"/>
    <xf numFmtId="0" fontId="33" fillId="20" borderId="0" applyNumberFormat="0" applyBorder="0" applyAlignment="0" applyProtection="0"/>
    <xf numFmtId="0" fontId="34" fillId="21" borderId="0" applyNumberFormat="0" applyBorder="0" applyAlignment="0" applyProtection="0"/>
    <xf numFmtId="0" fontId="35" fillId="22" borderId="15" applyNumberFormat="0" applyAlignment="0" applyProtection="0"/>
    <xf numFmtId="0" fontId="36" fillId="23" borderId="16" applyNumberFormat="0" applyAlignment="0" applyProtection="0"/>
    <xf numFmtId="0" fontId="37" fillId="23" borderId="15" applyNumberFormat="0" applyAlignment="0" applyProtection="0"/>
    <xf numFmtId="0" fontId="38" fillId="0" borderId="17" applyNumberFormat="0" applyFill="0" applyAlignment="0" applyProtection="0"/>
    <xf numFmtId="0" fontId="39" fillId="24" borderId="18" applyNumberFormat="0" applyAlignment="0" applyProtection="0"/>
    <xf numFmtId="0" fontId="40" fillId="0" borderId="0" applyNumberFormat="0" applyFill="0" applyBorder="0" applyAlignment="0" applyProtection="0"/>
    <xf numFmtId="0" fontId="1" fillId="25" borderId="19" applyNumberFormat="0" applyFont="0" applyAlignment="0" applyProtection="0"/>
    <xf numFmtId="0" fontId="41" fillId="0" borderId="0" applyNumberFormat="0" applyFill="0" applyBorder="0" applyAlignment="0" applyProtection="0"/>
    <xf numFmtId="0" fontId="24" fillId="0" borderId="20" applyNumberFormat="0" applyFill="0" applyAlignment="0" applyProtection="0"/>
    <xf numFmtId="0" fontId="4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2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42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42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42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</cellStyleXfs>
  <cellXfs count="286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3" fillId="0" borderId="0" xfId="1" applyNumberFormat="1" applyFont="1" applyFill="1" applyAlignment="1">
      <alignment horizontal="center" vertical="center" wrapText="1"/>
    </xf>
    <xf numFmtId="43" fontId="3" fillId="0" borderId="0" xfId="1" applyFont="1" applyFill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43" fontId="3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3" fontId="3" fillId="0" borderId="0" xfId="1" applyFont="1" applyAlignment="1">
      <alignment horizontal="center" vertical="center" wrapText="1"/>
    </xf>
    <xf numFmtId="16" fontId="5" fillId="0" borderId="0" xfId="0" applyNumberFormat="1" applyFont="1" applyAlignment="1">
      <alignment horizontal="center" vertical="center" wrapText="1"/>
    </xf>
    <xf numFmtId="43" fontId="8" fillId="0" borderId="0" xfId="1" applyFont="1" applyFill="1" applyAlignment="1">
      <alignment horizontal="center" vertical="center" wrapText="1"/>
    </xf>
    <xf numFmtId="165" fontId="3" fillId="0" borderId="0" xfId="1" applyNumberFormat="1" applyFont="1" applyAlignment="1">
      <alignment horizontal="center" vertical="center" wrapText="1"/>
    </xf>
    <xf numFmtId="43" fontId="8" fillId="0" borderId="0" xfId="1" applyFont="1" applyAlignment="1">
      <alignment horizontal="center" vertical="center" wrapText="1"/>
    </xf>
    <xf numFmtId="43" fontId="3" fillId="0" borderId="0" xfId="1" applyFont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165" fontId="3" fillId="2" borderId="0" xfId="1" applyNumberFormat="1" applyFont="1" applyFill="1" applyAlignment="1">
      <alignment horizontal="center" vertical="center" wrapText="1"/>
    </xf>
    <xf numFmtId="165" fontId="3" fillId="3" borderId="0" xfId="1" applyNumberFormat="1" applyFont="1" applyFill="1" applyAlignment="1">
      <alignment horizontal="center" vertical="center" wrapText="1"/>
    </xf>
    <xf numFmtId="43" fontId="10" fillId="0" borderId="0" xfId="1" applyFont="1" applyFill="1" applyAlignment="1">
      <alignment horizontal="center" vertical="center" wrapText="1"/>
    </xf>
    <xf numFmtId="0" fontId="8" fillId="0" borderId="0" xfId="1" applyNumberFormat="1" applyFont="1" applyFill="1" applyAlignment="1">
      <alignment horizontal="center" vertical="center" wrapText="1"/>
    </xf>
    <xf numFmtId="0" fontId="7" fillId="0" borderId="0" xfId="2" applyNumberFormat="1"/>
    <xf numFmtId="0" fontId="9" fillId="0" borderId="0" xfId="2" applyNumberFormat="1" applyFont="1" applyAlignment="1">
      <alignment vertical="center"/>
    </xf>
    <xf numFmtId="43" fontId="10" fillId="0" borderId="0" xfId="1" applyFont="1" applyAlignment="1">
      <alignment horizontal="center" vertical="center" wrapText="1"/>
    </xf>
    <xf numFmtId="0" fontId="12" fillId="0" borderId="0" xfId="3" applyFont="1" applyProtection="1">
      <protection hidden="1"/>
    </xf>
    <xf numFmtId="0" fontId="19" fillId="0" borderId="1" xfId="0" applyFont="1" applyBorder="1" applyAlignment="1" applyProtection="1">
      <alignment horizontal="left" vertical="center"/>
      <protection hidden="1"/>
    </xf>
    <xf numFmtId="166" fontId="20" fillId="0" borderId="1" xfId="3" applyNumberFormat="1" applyFont="1" applyBorder="1" applyAlignment="1" applyProtection="1">
      <alignment vertical="center"/>
      <protection hidden="1"/>
    </xf>
    <xf numFmtId="0" fontId="20" fillId="0" borderId="1" xfId="0" applyFont="1" applyBorder="1" applyAlignment="1" applyProtection="1">
      <alignment horizontal="left" vertical="center"/>
      <protection hidden="1"/>
    </xf>
    <xf numFmtId="164" fontId="19" fillId="11" borderId="9" xfId="5" applyFont="1" applyFill="1" applyBorder="1" applyAlignment="1" applyProtection="1">
      <alignment horizontal="center" vertical="center" wrapText="1"/>
      <protection hidden="1"/>
    </xf>
    <xf numFmtId="44" fontId="21" fillId="8" borderId="9" xfId="6" applyFont="1" applyFill="1" applyBorder="1" applyAlignment="1" applyProtection="1">
      <alignment horizontal="center" vertical="center" wrapText="1"/>
      <protection hidden="1"/>
    </xf>
    <xf numFmtId="164" fontId="20" fillId="0" borderId="1" xfId="5" applyFont="1" applyFill="1" applyBorder="1" applyAlignment="1" applyProtection="1">
      <alignment vertical="center"/>
      <protection hidden="1"/>
    </xf>
    <xf numFmtId="169" fontId="20" fillId="0" borderId="1" xfId="3" applyNumberFormat="1" applyFont="1" applyBorder="1" applyAlignment="1" applyProtection="1">
      <alignment vertical="center"/>
      <protection hidden="1"/>
    </xf>
    <xf numFmtId="164" fontId="23" fillId="11" borderId="9" xfId="5" applyFont="1" applyFill="1" applyBorder="1" applyAlignment="1" applyProtection="1">
      <alignment horizontal="center" vertical="center" wrapText="1"/>
      <protection hidden="1"/>
    </xf>
    <xf numFmtId="169" fontId="19" fillId="12" borderId="9" xfId="5" applyNumberFormat="1" applyFont="1" applyFill="1" applyBorder="1" applyAlignment="1" applyProtection="1">
      <alignment horizontal="center" vertical="center" wrapText="1"/>
      <protection hidden="1"/>
    </xf>
    <xf numFmtId="168" fontId="19" fillId="12" borderId="9" xfId="1" applyNumberFormat="1" applyFont="1" applyFill="1" applyBorder="1" applyAlignment="1" applyProtection="1">
      <alignment horizontal="center" vertical="center" wrapText="1"/>
      <protection hidden="1"/>
    </xf>
    <xf numFmtId="167" fontId="19" fillId="12" borderId="9" xfId="5" applyNumberFormat="1" applyFont="1" applyFill="1" applyBorder="1" applyAlignment="1" applyProtection="1">
      <alignment horizontal="center" vertical="center" wrapText="1"/>
      <protection hidden="1"/>
    </xf>
    <xf numFmtId="44" fontId="20" fillId="0" borderId="1" xfId="6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24" fillId="0" borderId="0" xfId="0" applyFont="1" applyAlignment="1">
      <alignment horizontal="center" vertical="center"/>
    </xf>
    <xf numFmtId="0" fontId="27" fillId="12" borderId="1" xfId="0" applyFont="1" applyFill="1" applyBorder="1" applyAlignment="1" applyProtection="1">
      <alignment vertical="center"/>
      <protection hidden="1"/>
    </xf>
    <xf numFmtId="171" fontId="2" fillId="0" borderId="1" xfId="0" applyNumberFormat="1" applyFont="1" applyBorder="1" applyAlignment="1" applyProtection="1">
      <alignment horizontal="center" vertical="center"/>
      <protection hidden="1"/>
    </xf>
    <xf numFmtId="172" fontId="2" fillId="0" borderId="1" xfId="0" applyNumberFormat="1" applyFont="1" applyBorder="1" applyAlignment="1" applyProtection="1">
      <alignment horizontal="center" vertical="center"/>
      <protection hidden="1"/>
    </xf>
    <xf numFmtId="173" fontId="2" fillId="0" borderId="1" xfId="0" applyNumberFormat="1" applyFont="1" applyBorder="1" applyAlignment="1" applyProtection="1">
      <alignment horizontal="center" vertical="center"/>
      <protection hidden="1"/>
    </xf>
    <xf numFmtId="170" fontId="26" fillId="0" borderId="0" xfId="0" applyNumberFormat="1" applyFont="1" applyAlignment="1">
      <alignment horizontal="left" vertical="center"/>
    </xf>
    <xf numFmtId="0" fontId="2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43" fontId="3" fillId="2" borderId="0" xfId="1" applyFont="1" applyFill="1" applyAlignment="1">
      <alignment horizontal="center" vertical="center" wrapText="1"/>
    </xf>
    <xf numFmtId="165" fontId="3" fillId="13" borderId="0" xfId="1" applyNumberFormat="1" applyFont="1" applyFill="1" applyAlignment="1">
      <alignment horizontal="center" vertical="center" wrapText="1"/>
    </xf>
    <xf numFmtId="165" fontId="3" fillId="14" borderId="0" xfId="1" applyNumberFormat="1" applyFont="1" applyFill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4" fillId="18" borderId="0" xfId="0" applyFont="1" applyFill="1" applyAlignment="1">
      <alignment horizontal="center" vertical="center" wrapText="1"/>
    </xf>
    <xf numFmtId="0" fontId="3" fillId="0" borderId="0" xfId="1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3" fontId="43" fillId="2" borderId="0" xfId="1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43" fontId="5" fillId="2" borderId="0" xfId="1" applyFont="1" applyFill="1" applyAlignment="1">
      <alignment vertical="center"/>
    </xf>
    <xf numFmtId="43" fontId="43" fillId="2" borderId="21" xfId="1" applyFont="1" applyFill="1" applyBorder="1" applyAlignment="1">
      <alignment vertical="center"/>
    </xf>
    <xf numFmtId="0" fontId="7" fillId="0" borderId="0" xfId="2" applyNumberFormat="1" applyFill="1" applyAlignment="1">
      <alignment horizontal="center" vertical="center" wrapText="1"/>
    </xf>
    <xf numFmtId="43" fontId="8" fillId="0" borderId="0" xfId="1" applyFont="1" applyFill="1" applyAlignment="1">
      <alignment horizontal="left" vertical="center"/>
    </xf>
    <xf numFmtId="0" fontId="9" fillId="0" borderId="0" xfId="2" applyFont="1" applyAlignment="1">
      <alignment horizontal="left" vertical="center"/>
    </xf>
    <xf numFmtId="43" fontId="3" fillId="0" borderId="0" xfId="1" applyFont="1" applyFill="1" applyAlignment="1">
      <alignment horizontal="left" vertical="center"/>
    </xf>
    <xf numFmtId="43" fontId="7" fillId="0" borderId="0" xfId="2" applyNumberFormat="1" applyFill="1" applyAlignment="1">
      <alignment horizontal="left" vertical="center"/>
    </xf>
    <xf numFmtId="0" fontId="27" fillId="12" borderId="1" xfId="0" applyFont="1" applyFill="1" applyBorder="1" applyAlignment="1" applyProtection="1">
      <alignment horizontal="center" vertical="center"/>
      <protection hidden="1"/>
    </xf>
    <xf numFmtId="4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164" fontId="27" fillId="12" borderId="1" xfId="5" applyFont="1" applyFill="1" applyBorder="1" applyAlignment="1" applyProtection="1">
      <alignment vertical="center"/>
      <protection hidden="1"/>
    </xf>
    <xf numFmtId="43" fontId="3" fillId="18" borderId="0" xfId="1" applyFont="1" applyFill="1" applyAlignment="1">
      <alignment horizontal="center" vertical="center"/>
    </xf>
    <xf numFmtId="43" fontId="8" fillId="0" borderId="0" xfId="1" applyFont="1" applyAlignment="1">
      <alignment horizontal="left" vertical="center" wrapText="1"/>
    </xf>
    <xf numFmtId="43" fontId="3" fillId="0" borderId="0" xfId="1" applyFont="1" applyFill="1" applyAlignment="1">
      <alignment horizontal="left" vertical="center" wrapText="1"/>
    </xf>
    <xf numFmtId="0" fontId="0" fillId="0" borderId="0" xfId="0" applyAlignment="1">
      <alignment horizontal="left"/>
    </xf>
    <xf numFmtId="43" fontId="0" fillId="0" borderId="0" xfId="0" applyNumberFormat="1"/>
    <xf numFmtId="43" fontId="0" fillId="0" borderId="0" xfId="1" applyFont="1"/>
    <xf numFmtId="0" fontId="5" fillId="0" borderId="0" xfId="0" applyFont="1" applyAlignment="1">
      <alignment horizontal="center" vertical="center"/>
    </xf>
    <xf numFmtId="43" fontId="0" fillId="0" borderId="21" xfId="1" applyFont="1" applyBorder="1"/>
    <xf numFmtId="0" fontId="3" fillId="0" borderId="0" xfId="0" applyFont="1" applyAlignment="1">
      <alignment horizontal="left" vertical="center" wrapText="1"/>
    </xf>
    <xf numFmtId="43" fontId="3" fillId="2" borderId="0" xfId="1" applyFont="1" applyFill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3" fontId="10" fillId="2" borderId="0" xfId="1" applyFont="1" applyFill="1" applyAlignment="1">
      <alignment horizontal="center" vertical="center" wrapText="1"/>
    </xf>
    <xf numFmtId="0" fontId="8" fillId="2" borderId="0" xfId="1" applyNumberFormat="1" applyFont="1" applyFill="1" applyAlignment="1">
      <alignment horizontal="center" vertical="center" wrapText="1"/>
    </xf>
    <xf numFmtId="0" fontId="8" fillId="0" borderId="0" xfId="1" applyNumberFormat="1" applyFont="1" applyFill="1" applyBorder="1" applyAlignment="1">
      <alignment horizontal="center" vertical="center" wrapText="1"/>
    </xf>
    <xf numFmtId="43" fontId="3" fillId="0" borderId="0" xfId="1" applyFont="1" applyFill="1" applyBorder="1" applyAlignment="1">
      <alignment horizontal="center" vertical="center" wrapText="1"/>
    </xf>
    <xf numFmtId="43" fontId="3" fillId="0" borderId="0" xfId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2" applyNumberFormat="1" applyFont="1" applyFill="1" applyAlignment="1">
      <alignment horizontal="center" vertical="center" wrapText="1"/>
    </xf>
    <xf numFmtId="0" fontId="9" fillId="0" borderId="0" xfId="2" applyNumberFormat="1" applyFont="1"/>
    <xf numFmtId="0" fontId="9" fillId="0" borderId="0" xfId="1" applyNumberFormat="1" applyFont="1" applyFill="1" applyAlignment="1">
      <alignment horizontal="center" vertical="center" wrapText="1"/>
    </xf>
    <xf numFmtId="0" fontId="9" fillId="0" borderId="0" xfId="1" applyNumberFormat="1" applyFont="1" applyFill="1" applyBorder="1" applyAlignment="1">
      <alignment horizontal="center" vertical="center" wrapText="1"/>
    </xf>
    <xf numFmtId="43" fontId="9" fillId="0" borderId="0" xfId="2" applyNumberFormat="1" applyFont="1" applyFill="1" applyAlignment="1">
      <alignment horizontal="left" vertical="center"/>
    </xf>
    <xf numFmtId="0" fontId="9" fillId="0" borderId="0" xfId="2" applyFont="1" applyAlignment="1">
      <alignment horizontal="left"/>
    </xf>
    <xf numFmtId="43" fontId="9" fillId="0" borderId="0" xfId="2" applyNumberFormat="1" applyFont="1" applyFill="1" applyBorder="1" applyAlignment="1">
      <alignment horizontal="left" vertical="center"/>
    </xf>
    <xf numFmtId="165" fontId="3" fillId="0" borderId="24" xfId="1" applyNumberFormat="1" applyFont="1" applyFill="1" applyBorder="1" applyAlignment="1">
      <alignment horizontal="center" vertical="center" wrapText="1"/>
    </xf>
    <xf numFmtId="43" fontId="3" fillId="0" borderId="24" xfId="1" applyFont="1" applyFill="1" applyBorder="1" applyAlignment="1">
      <alignment horizontal="center" vertical="center"/>
    </xf>
    <xf numFmtId="43" fontId="3" fillId="0" borderId="24" xfId="1" applyFont="1" applyFill="1" applyBorder="1" applyAlignment="1">
      <alignment horizontal="center" vertical="center" wrapText="1"/>
    </xf>
    <xf numFmtId="16" fontId="5" fillId="0" borderId="24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  <xf numFmtId="43" fontId="3" fillId="0" borderId="24" xfId="1" applyFont="1" applyBorder="1" applyAlignment="1">
      <alignment horizontal="center" vertical="center" wrapText="1"/>
    </xf>
    <xf numFmtId="43" fontId="10" fillId="0" borderId="24" xfId="1" applyFont="1" applyFill="1" applyBorder="1" applyAlignment="1">
      <alignment horizontal="center" vertical="center" wrapText="1"/>
    </xf>
    <xf numFmtId="43" fontId="3" fillId="0" borderId="24" xfId="1" applyFont="1" applyFill="1" applyBorder="1" applyAlignment="1">
      <alignment horizontal="left" vertical="center"/>
    </xf>
    <xf numFmtId="0" fontId="8" fillId="0" borderId="24" xfId="1" applyNumberFormat="1" applyFont="1" applyFill="1" applyBorder="1" applyAlignment="1">
      <alignment horizontal="center" vertical="center" wrapText="1"/>
    </xf>
    <xf numFmtId="0" fontId="9" fillId="0" borderId="24" xfId="2" applyNumberFormat="1" applyFont="1" applyFill="1" applyBorder="1" applyAlignment="1">
      <alignment horizontal="center" vertical="center" wrapText="1"/>
    </xf>
    <xf numFmtId="43" fontId="10" fillId="0" borderId="0" xfId="1" applyFont="1" applyFill="1" applyBorder="1" applyAlignment="1">
      <alignment horizontal="center" vertical="center" wrapText="1"/>
    </xf>
    <xf numFmtId="43" fontId="45" fillId="2" borderId="0" xfId="1" applyFont="1" applyFill="1" applyAlignment="1">
      <alignment horizontal="center" vertical="center" wrapText="1"/>
    </xf>
    <xf numFmtId="0" fontId="0" fillId="2" borderId="0" xfId="0" applyFill="1"/>
    <xf numFmtId="0" fontId="8" fillId="0" borderId="0" xfId="1" applyNumberFormat="1" applyFont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43" fontId="8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2" applyNumberFormat="1" applyFont="1" applyAlignment="1">
      <alignment horizontal="center"/>
    </xf>
    <xf numFmtId="0" fontId="9" fillId="0" borderId="0" xfId="2" applyNumberFormat="1" applyFont="1" applyAlignment="1">
      <alignment horizontal="center" vertical="center"/>
    </xf>
    <xf numFmtId="0" fontId="8" fillId="0" borderId="0" xfId="1" applyNumberFormat="1" applyFont="1" applyAlignment="1">
      <alignment horizontal="center" vertical="center" wrapText="1"/>
    </xf>
    <xf numFmtId="43" fontId="4" fillId="0" borderId="0" xfId="1" applyFont="1" applyAlignment="1">
      <alignment horizontal="center" vertical="center" wrapText="1"/>
    </xf>
    <xf numFmtId="174" fontId="8" fillId="0" borderId="0" xfId="1" applyNumberFormat="1" applyFont="1" applyFill="1" applyAlignment="1">
      <alignment horizontal="center" vertical="center" wrapText="1"/>
    </xf>
    <xf numFmtId="165" fontId="3" fillId="0" borderId="0" xfId="1" applyNumberFormat="1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21" fillId="9" borderId="5" xfId="0" applyFont="1" applyFill="1" applyBorder="1" applyAlignment="1" applyProtection="1">
      <alignment horizontal="center" vertical="center" wrapText="1"/>
      <protection hidden="1"/>
    </xf>
    <xf numFmtId="0" fontId="21" fillId="9" borderId="6" xfId="0" applyFont="1" applyFill="1" applyBorder="1" applyAlignment="1" applyProtection="1">
      <alignment horizontal="center" vertical="center" wrapText="1"/>
      <protection hidden="1"/>
    </xf>
    <xf numFmtId="165" fontId="3" fillId="50" borderId="0" xfId="1" applyNumberFormat="1" applyFont="1" applyFill="1" applyAlignment="1">
      <alignment horizontal="center" vertical="center" wrapText="1"/>
    </xf>
    <xf numFmtId="43" fontId="3" fillId="50" borderId="0" xfId="1" applyFont="1" applyFill="1" applyAlignment="1">
      <alignment horizontal="center" vertical="center"/>
    </xf>
    <xf numFmtId="43" fontId="3" fillId="50" borderId="0" xfId="1" applyFont="1" applyFill="1" applyAlignment="1">
      <alignment horizontal="center" vertical="center" wrapText="1"/>
    </xf>
    <xf numFmtId="16" fontId="5" fillId="50" borderId="0" xfId="0" applyNumberFormat="1" applyFont="1" applyFill="1" applyAlignment="1">
      <alignment horizontal="center" vertical="center" wrapText="1"/>
    </xf>
    <xf numFmtId="0" fontId="5" fillId="50" borderId="0" xfId="0" applyFont="1" applyFill="1" applyAlignment="1">
      <alignment horizontal="center" vertical="center" wrapText="1"/>
    </xf>
    <xf numFmtId="0" fontId="4" fillId="50" borderId="0" xfId="0" applyFont="1" applyFill="1" applyAlignment="1">
      <alignment horizontal="center" vertical="center" wrapText="1"/>
    </xf>
    <xf numFmtId="0" fontId="5" fillId="50" borderId="0" xfId="0" applyFont="1" applyFill="1" applyAlignment="1">
      <alignment horizontal="left" vertical="center" wrapText="1"/>
    </xf>
    <xf numFmtId="0" fontId="3" fillId="50" borderId="0" xfId="0" applyFont="1" applyFill="1" applyAlignment="1">
      <alignment horizontal="center" vertical="center" wrapText="1"/>
    </xf>
    <xf numFmtId="43" fontId="10" fillId="50" borderId="0" xfId="1" applyFont="1" applyFill="1" applyAlignment="1">
      <alignment horizontal="center" vertical="center" wrapText="1"/>
    </xf>
    <xf numFmtId="0" fontId="0" fillId="50" borderId="0" xfId="0" applyFill="1"/>
    <xf numFmtId="165" fontId="3" fillId="51" borderId="0" xfId="1" applyNumberFormat="1" applyFont="1" applyFill="1" applyAlignment="1">
      <alignment horizontal="center" vertical="center" wrapText="1"/>
    </xf>
    <xf numFmtId="43" fontId="3" fillId="51" borderId="0" xfId="1" applyFont="1" applyFill="1" applyAlignment="1">
      <alignment horizontal="center" vertical="center"/>
    </xf>
    <xf numFmtId="43" fontId="3" fillId="51" borderId="0" xfId="1" applyFont="1" applyFill="1" applyAlignment="1">
      <alignment horizontal="center" vertical="center" wrapText="1"/>
    </xf>
    <xf numFmtId="16" fontId="5" fillId="51" borderId="0" xfId="0" applyNumberFormat="1" applyFont="1" applyFill="1" applyAlignment="1">
      <alignment horizontal="center" vertical="center" wrapText="1"/>
    </xf>
    <xf numFmtId="0" fontId="5" fillId="51" borderId="0" xfId="0" applyFont="1" applyFill="1" applyAlignment="1">
      <alignment horizontal="center" vertical="center" wrapText="1"/>
    </xf>
    <xf numFmtId="0" fontId="4" fillId="51" borderId="0" xfId="0" applyFont="1" applyFill="1" applyAlignment="1">
      <alignment horizontal="center" vertical="center" wrapText="1"/>
    </xf>
    <xf numFmtId="0" fontId="5" fillId="51" borderId="0" xfId="0" applyFont="1" applyFill="1" applyAlignment="1">
      <alignment horizontal="left" vertical="center" wrapText="1"/>
    </xf>
    <xf numFmtId="0" fontId="3" fillId="51" borderId="0" xfId="0" applyFont="1" applyFill="1" applyAlignment="1">
      <alignment horizontal="center" vertical="center" wrapText="1"/>
    </xf>
    <xf numFmtId="43" fontId="10" fillId="51" borderId="0" xfId="1" applyFont="1" applyFill="1" applyAlignment="1">
      <alignment horizontal="center" vertical="center" wrapText="1"/>
    </xf>
    <xf numFmtId="0" fontId="0" fillId="51" borderId="0" xfId="0" applyFill="1"/>
    <xf numFmtId="165" fontId="3" fillId="52" borderId="0" xfId="1" applyNumberFormat="1" applyFont="1" applyFill="1" applyAlignment="1">
      <alignment horizontal="center" vertical="center" wrapText="1"/>
    </xf>
    <xf numFmtId="43" fontId="3" fillId="52" borderId="0" xfId="1" applyFont="1" applyFill="1" applyAlignment="1">
      <alignment horizontal="center" vertical="center"/>
    </xf>
    <xf numFmtId="43" fontId="3" fillId="52" borderId="0" xfId="1" applyFont="1" applyFill="1" applyAlignment="1">
      <alignment horizontal="center" vertical="center" wrapText="1"/>
    </xf>
    <xf numFmtId="16" fontId="5" fillId="52" borderId="0" xfId="0" applyNumberFormat="1" applyFont="1" applyFill="1" applyAlignment="1">
      <alignment horizontal="center" vertical="center" wrapText="1"/>
    </xf>
    <xf numFmtId="0" fontId="5" fillId="52" borderId="0" xfId="0" applyFont="1" applyFill="1" applyAlignment="1">
      <alignment horizontal="center" vertical="center" wrapText="1"/>
    </xf>
    <xf numFmtId="0" fontId="4" fillId="52" borderId="0" xfId="0" applyFont="1" applyFill="1" applyAlignment="1">
      <alignment horizontal="center" vertical="center" wrapText="1"/>
    </xf>
    <xf numFmtId="0" fontId="5" fillId="52" borderId="0" xfId="0" applyFont="1" applyFill="1" applyAlignment="1">
      <alignment horizontal="left" vertical="center" wrapText="1"/>
    </xf>
    <xf numFmtId="0" fontId="3" fillId="52" borderId="0" xfId="0" applyFont="1" applyFill="1" applyAlignment="1">
      <alignment horizontal="center" vertical="center" wrapText="1"/>
    </xf>
    <xf numFmtId="43" fontId="10" fillId="52" borderId="0" xfId="1" applyFont="1" applyFill="1" applyAlignment="1">
      <alignment horizontal="center" vertical="center" wrapText="1"/>
    </xf>
    <xf numFmtId="0" fontId="0" fillId="52" borderId="0" xfId="0" applyFill="1"/>
    <xf numFmtId="165" fontId="46" fillId="0" borderId="0" xfId="1" applyNumberFormat="1" applyFont="1" applyFill="1" applyAlignment="1">
      <alignment horizontal="center" vertical="center" wrapText="1"/>
    </xf>
    <xf numFmtId="16" fontId="47" fillId="0" borderId="0" xfId="0" applyNumberFormat="1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7" fillId="0" borderId="0" xfId="0" applyFont="1" applyAlignment="1">
      <alignment horizontal="left" vertical="center" wrapText="1"/>
    </xf>
    <xf numFmtId="0" fontId="46" fillId="0" borderId="0" xfId="0" applyFont="1" applyAlignment="1">
      <alignment horizontal="center" vertical="center" wrapText="1"/>
    </xf>
    <xf numFmtId="43" fontId="46" fillId="0" borderId="0" xfId="1" applyFont="1" applyAlignment="1">
      <alignment horizontal="center" vertical="center" wrapText="1"/>
    </xf>
    <xf numFmtId="43" fontId="46" fillId="0" borderId="0" xfId="1" applyFont="1" applyFill="1" applyAlignment="1">
      <alignment horizontal="center" vertical="center" wrapText="1"/>
    </xf>
    <xf numFmtId="43" fontId="48" fillId="0" borderId="0" xfId="1" applyFont="1" applyFill="1" applyAlignment="1">
      <alignment horizontal="center" vertical="center" wrapText="1"/>
    </xf>
    <xf numFmtId="16" fontId="0" fillId="0" borderId="0" xfId="0" applyNumberFormat="1"/>
    <xf numFmtId="165" fontId="3" fillId="53" borderId="0" xfId="1" applyNumberFormat="1" applyFont="1" applyFill="1" applyAlignment="1">
      <alignment horizontal="center" vertical="center" wrapText="1"/>
    </xf>
    <xf numFmtId="43" fontId="3" fillId="53" borderId="0" xfId="1" applyFont="1" applyFill="1" applyAlignment="1">
      <alignment horizontal="center" vertical="center"/>
    </xf>
    <xf numFmtId="43" fontId="3" fillId="53" borderId="0" xfId="1" applyFont="1" applyFill="1" applyAlignment="1">
      <alignment horizontal="center" vertical="center" wrapText="1"/>
    </xf>
    <xf numFmtId="16" fontId="5" fillId="53" borderId="0" xfId="0" applyNumberFormat="1" applyFont="1" applyFill="1" applyAlignment="1">
      <alignment horizontal="center" vertical="center" wrapText="1"/>
    </xf>
    <xf numFmtId="0" fontId="5" fillId="53" borderId="0" xfId="0" applyFont="1" applyFill="1" applyAlignment="1">
      <alignment horizontal="center" vertical="center" wrapText="1"/>
    </xf>
    <xf numFmtId="0" fontId="4" fillId="53" borderId="0" xfId="0" applyFont="1" applyFill="1" applyAlignment="1">
      <alignment horizontal="center" vertical="center" wrapText="1"/>
    </xf>
    <xf numFmtId="0" fontId="5" fillId="53" borderId="0" xfId="0" applyFont="1" applyFill="1" applyAlignment="1">
      <alignment horizontal="left" vertical="center" wrapText="1"/>
    </xf>
    <xf numFmtId="0" fontId="3" fillId="53" borderId="0" xfId="0" applyFont="1" applyFill="1" applyAlignment="1">
      <alignment horizontal="center" vertical="center" wrapText="1"/>
    </xf>
    <xf numFmtId="43" fontId="10" fillId="53" borderId="0" xfId="1" applyFont="1" applyFill="1" applyAlignment="1">
      <alignment horizontal="center" vertical="center" wrapText="1"/>
    </xf>
    <xf numFmtId="0" fontId="0" fillId="53" borderId="0" xfId="0" applyFill="1"/>
    <xf numFmtId="0" fontId="5" fillId="50" borderId="23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43" fontId="49" fillId="0" borderId="0" xfId="1" applyFont="1" applyFill="1" applyAlignment="1">
      <alignment horizontal="center" vertical="center" wrapText="1"/>
    </xf>
    <xf numFmtId="165" fontId="50" fillId="0" borderId="0" xfId="1" applyNumberFormat="1" applyFont="1" applyFill="1" applyAlignment="1">
      <alignment horizontal="center" vertical="center" wrapText="1"/>
    </xf>
    <xf numFmtId="16" fontId="51" fillId="0" borderId="0" xfId="0" applyNumberFormat="1" applyFont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43" fontId="50" fillId="0" borderId="0" xfId="1" applyFont="1" applyAlignment="1">
      <alignment horizontal="center" vertical="center" wrapText="1"/>
    </xf>
    <xf numFmtId="43" fontId="50" fillId="0" borderId="0" xfId="1" applyFont="1" applyFill="1" applyAlignment="1">
      <alignment horizontal="center" vertical="center" wrapText="1"/>
    </xf>
    <xf numFmtId="165" fontId="3" fillId="54" borderId="0" xfId="1" applyNumberFormat="1" applyFont="1" applyFill="1" applyAlignment="1">
      <alignment horizontal="center" vertical="center" wrapText="1"/>
    </xf>
    <xf numFmtId="0" fontId="3" fillId="55" borderId="0" xfId="0" applyFont="1" applyFill="1" applyAlignment="1">
      <alignment horizontal="center" vertical="center" wrapText="1"/>
    </xf>
    <xf numFmtId="165" fontId="52" fillId="0" borderId="0" xfId="1" applyNumberFormat="1" applyFont="1" applyFill="1" applyAlignment="1">
      <alignment horizontal="center" vertical="center" wrapText="1"/>
    </xf>
    <xf numFmtId="16" fontId="53" fillId="0" borderId="0" xfId="0" applyNumberFormat="1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vertical="center" wrapText="1"/>
    </xf>
    <xf numFmtId="43" fontId="52" fillId="0" borderId="0" xfId="1" applyFont="1" applyAlignment="1">
      <alignment horizontal="center" vertical="center" wrapText="1"/>
    </xf>
    <xf numFmtId="43" fontId="52" fillId="0" borderId="0" xfId="1" applyFont="1" applyFill="1" applyAlignment="1">
      <alignment horizontal="center" vertical="center" wrapText="1"/>
    </xf>
    <xf numFmtId="43" fontId="54" fillId="0" borderId="0" xfId="1" applyFont="1" applyFill="1" applyAlignment="1">
      <alignment horizontal="center" vertical="center" wrapText="1"/>
    </xf>
    <xf numFmtId="43" fontId="52" fillId="0" borderId="0" xfId="1" applyFont="1" applyFill="1" applyAlignment="1">
      <alignment horizontal="left" vertical="center" wrapText="1"/>
    </xf>
    <xf numFmtId="0" fontId="8" fillId="0" borderId="0" xfId="1" applyNumberFormat="1" applyFont="1" applyFill="1" applyAlignment="1">
      <alignment horizontal="center" vertical="center"/>
    </xf>
    <xf numFmtId="0" fontId="55" fillId="0" borderId="0" xfId="0" applyFont="1" applyAlignment="1">
      <alignment horizontal="left" vertical="center" wrapText="1"/>
    </xf>
    <xf numFmtId="165" fontId="56" fillId="0" borderId="0" xfId="1" applyNumberFormat="1" applyFont="1" applyFill="1" applyAlignment="1">
      <alignment horizontal="center" vertical="center" wrapText="1"/>
    </xf>
    <xf numFmtId="16" fontId="57" fillId="0" borderId="0" xfId="0" applyNumberFormat="1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7" fillId="0" borderId="0" xfId="0" applyFont="1" applyAlignment="1">
      <alignment horizontal="left" vertical="center" wrapText="1"/>
    </xf>
    <xf numFmtId="0" fontId="56" fillId="0" borderId="0" xfId="0" applyFont="1" applyAlignment="1">
      <alignment horizontal="center" vertical="center" wrapText="1"/>
    </xf>
    <xf numFmtId="43" fontId="56" fillId="0" borderId="0" xfId="1" applyFont="1" applyAlignment="1">
      <alignment horizontal="center" vertical="center" wrapText="1"/>
    </xf>
    <xf numFmtId="43" fontId="56" fillId="0" borderId="0" xfId="1" applyFont="1" applyFill="1" applyAlignment="1">
      <alignment horizontal="center" vertical="center" wrapText="1"/>
    </xf>
    <xf numFmtId="43" fontId="58" fillId="0" borderId="0" xfId="1" applyFont="1" applyFill="1" applyAlignment="1">
      <alignment horizontal="center" vertical="center" wrapText="1"/>
    </xf>
    <xf numFmtId="43" fontId="56" fillId="0" borderId="0" xfId="1" applyFont="1" applyFill="1" applyAlignment="1">
      <alignment horizontal="left" vertical="center"/>
    </xf>
    <xf numFmtId="165" fontId="59" fillId="0" borderId="0" xfId="1" applyNumberFormat="1" applyFont="1" applyFill="1" applyAlignment="1">
      <alignment horizontal="center" vertical="center" wrapText="1"/>
    </xf>
    <xf numFmtId="16" fontId="60" fillId="0" borderId="0" xfId="0" applyNumberFormat="1" applyFont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43" fontId="59" fillId="0" borderId="0" xfId="1" applyFont="1" applyAlignment="1">
      <alignment horizontal="center" vertical="center" wrapText="1"/>
    </xf>
    <xf numFmtId="43" fontId="59" fillId="0" borderId="0" xfId="1" applyFont="1" applyFill="1" applyAlignment="1">
      <alignment horizontal="center" vertical="center" wrapText="1"/>
    </xf>
    <xf numFmtId="43" fontId="61" fillId="0" borderId="0" xfId="1" applyFont="1" applyFill="1" applyAlignment="1">
      <alignment horizontal="center" vertical="center" wrapText="1"/>
    </xf>
    <xf numFmtId="0" fontId="9" fillId="0" borderId="0" xfId="2" applyNumberFormat="1" applyFont="1" applyFill="1" applyBorder="1" applyAlignment="1">
      <alignment horizontal="center" vertical="center" wrapText="1"/>
    </xf>
    <xf numFmtId="43" fontId="8" fillId="0" borderId="0" xfId="1" applyFont="1" applyFill="1" applyBorder="1" applyAlignment="1">
      <alignment horizontal="left" vertical="center"/>
    </xf>
    <xf numFmtId="16" fontId="3" fillId="0" borderId="0" xfId="0" applyNumberFormat="1" applyFont="1" applyAlignment="1">
      <alignment horizontal="center" vertical="center" wrapText="1"/>
    </xf>
    <xf numFmtId="165" fontId="62" fillId="0" borderId="0" xfId="1" applyNumberFormat="1" applyFont="1" applyFill="1" applyAlignment="1">
      <alignment horizontal="center" vertical="center" wrapText="1"/>
    </xf>
    <xf numFmtId="16" fontId="6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3" fillId="0" borderId="0" xfId="0" applyFont="1" applyAlignment="1">
      <alignment horizontal="left" vertical="center" wrapText="1"/>
    </xf>
    <xf numFmtId="0" fontId="62" fillId="0" borderId="0" xfId="0" applyFont="1" applyAlignment="1">
      <alignment horizontal="center" vertical="center" wrapText="1"/>
    </xf>
    <xf numFmtId="43" fontId="62" fillId="0" borderId="0" xfId="1" applyFont="1" applyAlignment="1">
      <alignment horizontal="center" vertical="center" wrapText="1"/>
    </xf>
    <xf numFmtId="43" fontId="62" fillId="0" borderId="0" xfId="1" applyFont="1" applyFill="1" applyAlignment="1">
      <alignment horizontal="center" vertical="center" wrapText="1"/>
    </xf>
    <xf numFmtId="43" fontId="64" fillId="0" borderId="0" xfId="1" applyFont="1" applyFill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43" fontId="0" fillId="0" borderId="0" xfId="1" applyFont="1" applyAlignment="1">
      <alignment vertical="center"/>
    </xf>
    <xf numFmtId="43" fontId="0" fillId="0" borderId="0" xfId="0" applyNumberFormat="1" applyAlignment="1">
      <alignment vertical="center"/>
    </xf>
    <xf numFmtId="43" fontId="24" fillId="0" borderId="0" xfId="0" applyNumberFormat="1" applyFont="1"/>
    <xf numFmtId="0" fontId="19" fillId="12" borderId="1" xfId="0" applyFont="1" applyFill="1" applyBorder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center" vertical="center" wrapText="1"/>
      <protection hidden="1"/>
    </xf>
    <xf numFmtId="0" fontId="19" fillId="0" borderId="8" xfId="0" applyFont="1" applyBorder="1" applyAlignment="1" applyProtection="1">
      <alignment horizontal="center" vertical="center" wrapText="1"/>
      <protection hidden="1"/>
    </xf>
    <xf numFmtId="0" fontId="23" fillId="11" borderId="2" xfId="0" applyFont="1" applyFill="1" applyBorder="1" applyAlignment="1" applyProtection="1">
      <alignment horizontal="center" vertical="center"/>
      <protection hidden="1"/>
    </xf>
    <xf numFmtId="0" fontId="23" fillId="11" borderId="3" xfId="0" applyFont="1" applyFill="1" applyBorder="1" applyAlignment="1" applyProtection="1">
      <alignment horizontal="center" vertical="center"/>
      <protection hidden="1"/>
    </xf>
    <xf numFmtId="0" fontId="23" fillId="11" borderId="4" xfId="0" applyFont="1" applyFill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18" fillId="6" borderId="1" xfId="3" applyFont="1" applyFill="1" applyBorder="1" applyAlignment="1" applyProtection="1">
      <alignment horizontal="center" vertical="center" wrapText="1"/>
      <protection hidden="1"/>
    </xf>
    <xf numFmtId="0" fontId="13" fillId="0" borderId="1" xfId="3" applyFont="1" applyBorder="1" applyAlignment="1" applyProtection="1">
      <alignment horizontal="center" vertical="center"/>
      <protection hidden="1"/>
    </xf>
    <xf numFmtId="0" fontId="14" fillId="10" borderId="1" xfId="3" applyFont="1" applyFill="1" applyBorder="1" applyAlignment="1" applyProtection="1">
      <alignment horizontal="center" vertical="center" wrapText="1"/>
      <protection hidden="1"/>
    </xf>
    <xf numFmtId="0" fontId="15" fillId="4" borderId="1" xfId="4" applyFont="1" applyFill="1" applyBorder="1" applyAlignment="1" applyProtection="1">
      <alignment horizontal="center" vertical="center" wrapText="1"/>
      <protection hidden="1"/>
    </xf>
    <xf numFmtId="0" fontId="16" fillId="5" borderId="1" xfId="3" applyFont="1" applyFill="1" applyBorder="1" applyAlignment="1" applyProtection="1">
      <alignment horizontal="center" vertical="center" wrapText="1"/>
      <protection hidden="1"/>
    </xf>
    <xf numFmtId="0" fontId="17" fillId="5" borderId="1" xfId="3" applyFont="1" applyFill="1" applyBorder="1" applyAlignment="1" applyProtection="1">
      <alignment horizontal="center" vertical="center" wrapText="1"/>
      <protection hidden="1"/>
    </xf>
    <xf numFmtId="49" fontId="15" fillId="4" borderId="1" xfId="4" applyNumberFormat="1" applyFont="1" applyFill="1" applyBorder="1" applyAlignment="1" applyProtection="1">
      <alignment horizontal="center" vertical="center" wrapText="1"/>
      <protection hidden="1"/>
    </xf>
    <xf numFmtId="0" fontId="18" fillId="6" borderId="2" xfId="3" applyFont="1" applyFill="1" applyBorder="1" applyAlignment="1" applyProtection="1">
      <alignment horizontal="center" vertical="center" wrapText="1"/>
      <protection hidden="1"/>
    </xf>
    <xf numFmtId="0" fontId="18" fillId="6" borderId="3" xfId="3" applyFont="1" applyFill="1" applyBorder="1" applyAlignment="1" applyProtection="1">
      <alignment horizontal="center" vertical="center" wrapText="1"/>
      <protection hidden="1"/>
    </xf>
    <xf numFmtId="0" fontId="18" fillId="6" borderId="4" xfId="3" applyFont="1" applyFill="1" applyBorder="1" applyAlignment="1" applyProtection="1">
      <alignment horizontal="center" vertical="center" wrapText="1"/>
      <protection hidden="1"/>
    </xf>
    <xf numFmtId="0" fontId="22" fillId="7" borderId="1" xfId="3" applyFont="1" applyFill="1" applyBorder="1" applyAlignment="1" applyProtection="1">
      <alignment vertical="center"/>
      <protection hidden="1"/>
    </xf>
    <xf numFmtId="14" fontId="18" fillId="6" borderId="1" xfId="3" applyNumberFormat="1" applyFont="1" applyFill="1" applyBorder="1" applyAlignment="1" applyProtection="1">
      <alignment horizontal="center" vertical="center" wrapText="1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19" fillId="0" borderId="10" xfId="0" applyFont="1" applyBorder="1" applyAlignment="1" applyProtection="1">
      <alignment horizontal="center" vertical="center" wrapText="1"/>
      <protection hidden="1"/>
    </xf>
    <xf numFmtId="0" fontId="21" fillId="8" borderId="2" xfId="0" applyFont="1" applyFill="1" applyBorder="1" applyAlignment="1" applyProtection="1">
      <alignment horizontal="center" vertical="center"/>
      <protection hidden="1"/>
    </xf>
    <xf numFmtId="0" fontId="21" fillId="8" borderId="3" xfId="0" applyFont="1" applyFill="1" applyBorder="1" applyAlignment="1" applyProtection="1">
      <alignment horizontal="center" vertical="center"/>
      <protection hidden="1"/>
    </xf>
    <xf numFmtId="0" fontId="21" fillId="8" borderId="4" xfId="0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>
      <alignment horizontal="left" vertical="center"/>
    </xf>
    <xf numFmtId="0" fontId="43" fillId="2" borderId="21" xfId="0" applyFont="1" applyFill="1" applyBorder="1" applyAlignment="1">
      <alignment horizontal="left" vertical="center"/>
    </xf>
    <xf numFmtId="0" fontId="4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left" vertical="center" wrapText="1"/>
      <protection hidden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1" xfId="0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 wrapText="1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7" fillId="0" borderId="11" xfId="0" applyFont="1" applyBorder="1" applyAlignment="1">
      <alignment horizontal="center" vertical="center"/>
    </xf>
    <xf numFmtId="0" fontId="27" fillId="12" borderId="1" xfId="0" applyFont="1" applyFill="1" applyBorder="1" applyAlignment="1" applyProtection="1">
      <alignment horizontal="center" vertical="center"/>
      <protection hidden="1"/>
    </xf>
    <xf numFmtId="0" fontId="25" fillId="12" borderId="1" xfId="0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left" vertical="center" wrapText="1"/>
      <protection hidden="1"/>
    </xf>
    <xf numFmtId="170" fontId="25" fillId="0" borderId="1" xfId="0" applyNumberFormat="1" applyFont="1" applyBorder="1" applyAlignment="1" applyProtection="1">
      <alignment horizontal="center" vertical="center" wrapText="1"/>
      <protection hidden="1"/>
    </xf>
    <xf numFmtId="170" fontId="25" fillId="0" borderId="2" xfId="0" applyNumberFormat="1" applyFont="1" applyBorder="1" applyAlignment="1" applyProtection="1">
      <alignment horizontal="center" vertical="center" wrapText="1"/>
      <protection hidden="1"/>
    </xf>
    <xf numFmtId="170" fontId="25" fillId="0" borderId="3" xfId="0" applyNumberFormat="1" applyFont="1" applyBorder="1" applyAlignment="1" applyProtection="1">
      <alignment horizontal="center" vertical="center" wrapText="1"/>
      <protection hidden="1"/>
    </xf>
    <xf numFmtId="170" fontId="25" fillId="0" borderId="4" xfId="0" applyNumberFormat="1" applyFont="1" applyBorder="1" applyAlignment="1" applyProtection="1">
      <alignment horizontal="center" vertical="center" wrapText="1"/>
      <protection hidden="1"/>
    </xf>
  </cellXfs>
  <cellStyles count="48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urrency" xfId="6" builtinId="4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yperlink" xfId="2" builtinId="8"/>
    <cellStyle name="Input" xfId="15" builtinId="20" customBuiltin="1"/>
    <cellStyle name="Linked Cell" xfId="18" builtinId="24" customBuiltin="1"/>
    <cellStyle name="Moneda 2" xfId="5" xr:uid="{7708ABB4-AE7B-AB4A-BA5F-EF143914B280}"/>
    <cellStyle name="Neutral" xfId="14" builtinId="28" customBuiltin="1"/>
    <cellStyle name="Normal" xfId="0" builtinId="0"/>
    <cellStyle name="Normal 2 3" xfId="4" xr:uid="{8EE267D0-D4BC-7D42-98B4-80F2D8A9B3FF}"/>
    <cellStyle name="Normal 3 2 2" xfId="3" xr:uid="{521D3A5B-BD32-B540-B5B4-167F868C9C64}"/>
    <cellStyle name="Note" xfId="21" builtinId="10" customBuiltin="1"/>
    <cellStyle name="Output" xfId="16" builtinId="21" customBuiltin="1"/>
    <cellStyle name="Title" xfId="7" builtinId="15" customBuiltin="1"/>
    <cellStyle name="Total" xfId="23" builtinId="25" customBuiltin="1"/>
    <cellStyle name="Warning Text" xfId="20" builtinId="11" customBuiltin="1"/>
  </cellStyles>
  <dxfs count="623"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21" formatCode="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21" formatCode="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74" formatCode="_-* #,##0.000_-;\-* #,##0.0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21" formatCode="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165" formatCode="0000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5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207175</xdr:colOff>
      <xdr:row>1</xdr:row>
      <xdr:rowOff>100442</xdr:rowOff>
    </xdr:from>
    <xdr:to>
      <xdr:col>2</xdr:col>
      <xdr:colOff>733535</xdr:colOff>
      <xdr:row>4</xdr:row>
      <xdr:rowOff>88007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4A45B4-0B75-F344-A862-B6B5CC43F3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55" t="33826" r="11155" b="34596"/>
        <a:stretch/>
      </xdr:blipFill>
      <xdr:spPr>
        <a:xfrm>
          <a:off x="316658" y="188028"/>
          <a:ext cx="1621187" cy="5130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4140</xdr:colOff>
      <xdr:row>1</xdr:row>
      <xdr:rowOff>10612</xdr:rowOff>
    </xdr:from>
    <xdr:to>
      <xdr:col>2</xdr:col>
      <xdr:colOff>758407</xdr:colOff>
      <xdr:row>2</xdr:row>
      <xdr:rowOff>5954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BBFF0A-D695-4BD7-8E31-28710EBD0A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55" t="33826" r="11155" b="34596"/>
        <a:stretch/>
      </xdr:blipFill>
      <xdr:spPr>
        <a:xfrm>
          <a:off x="99390" y="201112"/>
          <a:ext cx="1782967" cy="557317"/>
        </a:xfrm>
        <a:prstGeom prst="rect">
          <a:avLst/>
        </a:prstGeom>
      </xdr:spPr>
    </xdr:pic>
    <xdr:clientData/>
  </xdr:twoCellAnchor>
  <xdr:oneCellAnchor>
    <xdr:from>
      <xdr:col>1</xdr:col>
      <xdr:colOff>4140</xdr:colOff>
      <xdr:row>23</xdr:row>
      <xdr:rowOff>10612</xdr:rowOff>
    </xdr:from>
    <xdr:ext cx="1781725" cy="558560"/>
    <xdr:pic>
      <xdr:nvPicPr>
        <xdr:cNvPr id="3" name="Imagen 2">
          <a:extLst>
            <a:ext uri="{FF2B5EF4-FFF2-40B4-BE49-F238E27FC236}">
              <a16:creationId xmlns:a16="http://schemas.microsoft.com/office/drawing/2014/main" id="{86979F1E-18D7-4C49-98EA-6FC08BED9B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55" t="33826" r="11155" b="34596"/>
        <a:stretch/>
      </xdr:blipFill>
      <xdr:spPr>
        <a:xfrm>
          <a:off x="99390" y="5782762"/>
          <a:ext cx="1781725" cy="5585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ytres-my.sharepoint.com/personal/finanzas_gytres_com/Documents/2025/BD/02.%20BD_Detracciones.xlsx" TargetMode="External"/><Relationship Id="rId1" Type="http://schemas.openxmlformats.org/officeDocument/2006/relationships/externalLinkPath" Target="BD/02.%20BD_Detrac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numletrasA.xlam" TargetMode="External"/><Relationship Id="rId1" Type="http://schemas.openxmlformats.org/officeDocument/2006/relationships/externalLinkPath" Target="file:///C:\Users\Admin\Downloads\numletrasA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nNb2gaEX0EKbhA6bDt_EcsDUYhsIaZJOp1IWqkNbyaMqQZppcHs2QZ9OcuyZaoWT" itemId="01OSW2A7KNOKEB2JZBUZEJCCW6NENFVRD2">
      <xxl21:absoluteUrl r:id="rId2"/>
    </xxl21:alternateUrls>
    <sheetNames>
      <sheetName val="BD_Detracciones"/>
      <sheetName val="02. BD_Detracciones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Hoja3"/>
      <sheetName val="numletrasA"/>
    </sheetNames>
    <definedNames>
      <definedName name="NumLetras"/>
    </definedNames>
    <sheetDataSet>
      <sheetData sheetId="0"/>
      <sheetData sheetId="1"/>
      <sheetData sheetId="2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lías Paco" id="{797D78BD-8ED5-4A4C-B2B6-061CBBEC5DF4}" userId="S::finanzas@gytres.com::e22bce1d-c8f6-49a4-953c-143a8969a9ab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CC602B9-5536-4EF4-B81C-0F253EBB2E54}" autoFormatId="16" applyNumberFormats="0" applyBorderFormats="0" applyFontFormats="0" applyPatternFormats="0" applyAlignmentFormats="0" applyWidthHeightFormats="0">
  <queryTableRefresh nextId="6">
    <queryTableFields count="5">
      <queryTableField id="1" name="Ruc / Dni" tableColumnId="1"/>
      <queryTableField id="2" name="Razon Social" tableColumnId="2"/>
      <queryTableField id="3" name="Tipo de Cuenta de Abono" tableColumnId="3"/>
      <queryTableField id="4" name="Cuenta de Abono" tableColumnId="4"/>
      <queryTableField id="5" name="Tip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3CC7B9-449D-4319-B783-F90F330AF592}" name="Clientes_Proveedores" displayName="Clientes_Proveedores" ref="A1:E802" tableType="queryTable" totalsRowShown="0">
  <autoFilter ref="A1:E802" xr:uid="{413CC7B9-449D-4319-B783-F90F330AF592}"/>
  <tableColumns count="5">
    <tableColumn id="1" xr3:uid="{6113C127-1F11-43F5-88CE-6A45C71BF884}" uniqueName="1" name="Ruc / Dni" queryTableFieldId="1"/>
    <tableColumn id="2" xr3:uid="{4126D503-0893-4AE3-9C17-1AA39560C78E}" uniqueName="2" name="Razon Social" queryTableFieldId="2" dataDxfId="622"/>
    <tableColumn id="3" xr3:uid="{169F7C55-58FB-42E1-9452-5FB46A20F64D}" uniqueName="3" name="Tipo de Cuenta de Abono" queryTableFieldId="3" dataDxfId="621"/>
    <tableColumn id="4" xr3:uid="{E296D681-B9B0-49F0-9934-E5FAA23481A5}" uniqueName="4" name="Cuenta de Abono" queryTableFieldId="4" dataDxfId="620"/>
    <tableColumn id="5" xr3:uid="{85DB96EF-28F0-46AF-A744-C34968EDCD37}" uniqueName="5" name="Tipo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39D4B2-117C-4FD6-A59C-652C94ED1EF2}" name="Tipo_Documento" displayName="Tipo_Documento" ref="G1:H27" totalsRowShown="0" headerRowDxfId="619" dataDxfId="618">
  <autoFilter ref="G1:H27" xr:uid="{3239D4B2-117C-4FD6-A59C-652C94ED1EF2}"/>
  <tableColumns count="2">
    <tableColumn id="1" xr3:uid="{F39F18C7-D6DA-45CF-8FD1-F365F1C51541}" name="Tipo de Documento" dataDxfId="617"/>
    <tableColumn id="2" xr3:uid="{06E66CAC-390D-4227-B2C5-793D1F01B842}" name="CODIGO" dataDxfId="616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3258C5C-4597-429A-A437-819EC03AD313}" name="BCP_Soles" displayName="BCP_Soles" ref="B4:AB3482" totalsRowShown="0" headerRowDxfId="615" dataDxfId="614">
  <autoFilter ref="B4:AB3482" xr:uid="{EA7D5B11-35C9-4844-86AB-E3BA3A957A89}"/>
  <tableColumns count="27">
    <tableColumn id="16" xr3:uid="{5CB4BFC0-FE4C-40D7-83F9-47BDF4463E4D}" name="ITEM" dataDxfId="613">
      <calculatedColumnFormula>IF(BCP_Soles[[#This Row],[TIPO DE R.]]="R",COUNTIFS($D$4:$D4,"R")+1,"")</calculatedColumnFormula>
    </tableColumn>
    <tableColumn id="17" xr3:uid="{4D3F16D6-0CA4-4450-BDB9-6FD955BD6EAC}" name="PORTAFOLIO" dataDxfId="612">
      <calculatedColumnFormula>"B-BCP - Soles"</calculatedColumnFormula>
    </tableColumn>
    <tableColumn id="18" xr3:uid="{3E810716-6A3E-4195-A451-8FD1A6B2BC1B}" name="TIPO DE R." dataDxfId="611"/>
    <tableColumn id="1" xr3:uid="{EFD31CA9-0A75-4E29-952C-B430DB4F334B}" name="FECHA" dataDxfId="610"/>
    <tableColumn id="2" xr3:uid="{81FFB87E-0C00-40B6-A60C-969CEBCEAFAF}" name="RESPONSABLE" dataDxfId="609"/>
    <tableColumn id="3" xr3:uid="{5FD8024D-F299-4ADF-B135-AC0F69B2F338}" name="TIPO DE MOV." dataDxfId="608"/>
    <tableColumn id="19" xr3:uid="{A33016CF-EAB4-4C9C-81B4-00BBC61F6263}" name="DESTINATARIO" dataDxfId="607"/>
    <tableColumn id="20" xr3:uid="{BFB30A1D-5C5E-4E6B-ADFF-6761E6A5BF5B}" name="TIPO DE DOCUMENTO" dataDxfId="606"/>
    <tableColumn id="21" xr3:uid="{4B175448-2894-490C-92B0-6DB99FA4072B}" name="SERIE" dataDxfId="605"/>
    <tableColumn id="22" xr3:uid="{73652561-001A-4909-AADE-0BF7C83488F8}" name="NUMERO" dataDxfId="604"/>
    <tableColumn id="9" xr3:uid="{2655EAD5-06C2-4EA3-AC29-348578C94ED2}" name="DESCRIPCIÓN / ACTIVIDAD" dataDxfId="603"/>
    <tableColumn id="10" xr3:uid="{A93D41C8-8156-44AD-9B83-A4095DC91080}" name="N° OPERACIÓN" dataDxfId="602"/>
    <tableColumn id="11" xr3:uid="{F97AACF6-1823-4214-8B19-1A54003842BE}" name="MONEDA" dataDxfId="601">
      <calculatedColumnFormula>"PEN"</calculatedColumnFormula>
    </tableColumn>
    <tableColumn id="24" xr3:uid="{025EE757-4D77-41F3-9CD5-D8CF0EC8BDC5}" name="PARCIAL" dataDxfId="600"/>
    <tableColumn id="12" xr3:uid="{878B3C58-736B-4258-9AFB-79E14E0AF810}" name="MONTO " dataDxfId="599"/>
    <tableColumn id="13" xr3:uid="{F49CF397-E672-45AA-80B2-E398692085F7}" name="ABONO" dataDxfId="598">
      <calculatedColumnFormula>+IF(OR($G5="SALDO",$G5="INGRESO"),$P5,0)</calculatedColumnFormula>
    </tableColumn>
    <tableColumn id="14" xr3:uid="{AE2FD90C-3C5B-490D-AE40-6F9D4B5F1730}" name="RETIRO" dataDxfId="597">
      <calculatedColumnFormula>+IF($G5="EGRESO",$P5,0)</calculatedColumnFormula>
    </tableColumn>
    <tableColumn id="15" xr3:uid="{1904ACE3-84D2-4843-8FC0-B66742E091E6}" name="SALDO" dataDxfId="596">
      <calculatedColumnFormula>IFERROR(IF(G5="SALDO",Q5,S4+Q5-R5),0)</calculatedColumnFormula>
    </tableColumn>
    <tableColumn id="25" xr3:uid="{0B4E9A12-D558-4D89-8B7D-1CF53E06E4C4}" name="VB° (1)" dataDxfId="595"/>
    <tableColumn id="26" xr3:uid="{D804F66F-D716-4FE8-964B-CE9129EE4BC1}" name="VB° (2)" dataDxfId="594"/>
    <tableColumn id="28" xr3:uid="{BDC00D73-0178-4085-A7AB-AB703E3BC480}" name="CONSTANCIA (LINK)" dataDxfId="593"/>
    <tableColumn id="7" xr3:uid="{850AF9FA-84EC-41CD-A078-6F87408D4A7F}" name="NOTA 1" dataDxfId="592">
      <calculatedColumnFormula>IFERROR(VLOOKUP(BCP_Soles[[#This Row],[DESTINATARIO]],CHOOSE({1,2},Clientes_Proveedores[Razon Social],Clientes_Proveedores[Ruc / Dni]),2,0),"")</calculatedColumnFormula>
    </tableColumn>
    <tableColumn id="8" xr3:uid="{7069A3DC-470F-418F-94F2-775E84399FBC}" name="NOTA 2" dataDxfId="591"/>
    <tableColumn id="29" xr3:uid="{29E59B58-34B8-4944-9EE1-A70136A8C405}" name="NOTA 3" dataDxfId="590"/>
    <tableColumn id="30" xr3:uid="{8EE1B71C-BA83-4346-A859-23A6D02B252B}" name="NOTA 4" dataDxfId="589"/>
    <tableColumn id="31" xr3:uid="{CA0E4483-EFEE-42BE-93C4-ACC6FEAF537E}" name="NOTA 5" dataDxfId="588"/>
    <tableColumn id="27" xr3:uid="{CA74CA39-0CD6-49BC-8C1C-9AE5FBE09F81}" name="PERIODO" dataDxfId="587">
      <calculatedColumnFormula>IF(BCP_Soles[[#This Row],[FECHA]]&gt;0,TEXT(BCP_Soles[[#This Row],[FECHA]],"mmmm"),0)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9BD6D5-F90F-453F-B1AA-77E30394807D}" name="BCP_Dolares" displayName="BCP_Dolares" ref="B4:AB344" totalsRowShown="0" headerRowDxfId="586" dataDxfId="585">
  <autoFilter ref="B4:AB344" xr:uid="{EA7D5B11-35C9-4844-86AB-E3BA3A957A89}"/>
  <tableColumns count="27">
    <tableColumn id="16" xr3:uid="{1ED58FD6-2C4C-4851-BC42-BCC4105C6ADF}" name="ITEM" dataDxfId="584">
      <calculatedColumnFormula>IF(BCP_Dolares[[#This Row],[TIPO DE R.]]="R",COUNTIFS($D$4:$D4,"R")+1,"")</calculatedColumnFormula>
    </tableColumn>
    <tableColumn id="17" xr3:uid="{B002644A-4F76-4153-A62C-B99A24EC8E7A}" name="PORTAFOLIO" dataDxfId="583">
      <calculatedColumnFormula>"B-BCP - Dolares"</calculatedColumnFormula>
    </tableColumn>
    <tableColumn id="18" xr3:uid="{0686BC89-CD6B-42D2-BA8E-6B1768557989}" name="TIPO DE R." dataDxfId="582"/>
    <tableColumn id="1" xr3:uid="{DAB164CB-5B7B-4A7C-8CF9-7A5F7E8DF10B}" name="FECHA" dataDxfId="581"/>
    <tableColumn id="2" xr3:uid="{C007CBBB-1F19-4A1E-BFEE-DCE116BF6B50}" name="RESPONSABLE" dataDxfId="580"/>
    <tableColumn id="3" xr3:uid="{A954AE9A-D0B2-451F-843A-312ACF3EB29A}" name="TIPO DE MOV." dataDxfId="579"/>
    <tableColumn id="19" xr3:uid="{8C1CF2B8-172B-4FFB-8383-858F27774554}" name="DESTINATARIO" dataDxfId="578"/>
    <tableColumn id="20" xr3:uid="{D8D0AF37-2741-44AA-9C3F-2752C3FD7E70}" name="TIPO DE DOCUMENTO" dataDxfId="577"/>
    <tableColumn id="21" xr3:uid="{4DC9878D-67EF-4831-B5DC-44538BE6EF77}" name="SERIE" dataDxfId="576"/>
    <tableColumn id="22" xr3:uid="{FDEAE3A0-8E85-47F4-8A13-B65048BAEBF4}" name="NUMERO" dataDxfId="575"/>
    <tableColumn id="9" xr3:uid="{2F34005C-F70D-4711-BBD2-DC3ADC3E1CB0}" name="DESCRIPCIÓN / ACTIVIDAD" dataDxfId="574"/>
    <tableColumn id="10" xr3:uid="{06DA0EE9-BEEC-4857-A7E0-F5BFE2C6BEB7}" name="N° OPERACIÓN" dataDxfId="573"/>
    <tableColumn id="11" xr3:uid="{3EF3AD1C-A826-4203-9CB0-A5B3DDCC8C47}" name="MONEDA" dataDxfId="572">
      <calculatedColumnFormula>"USD"</calculatedColumnFormula>
    </tableColumn>
    <tableColumn id="24" xr3:uid="{470D34EA-154C-4EC1-9926-69A5F34FFD95}" name="PARCIAL" dataDxfId="571"/>
    <tableColumn id="12" xr3:uid="{660CAFF8-B4C7-4773-B2CD-B9AE0587A5A8}" name="MONTO " dataDxfId="570"/>
    <tableColumn id="13" xr3:uid="{B201BC6A-39E8-47FF-A173-73A6CB6B1513}" name="ABONO" dataDxfId="569">
      <calculatedColumnFormula>+IF(OR($G5="SALDO",$G5="INGRESO"),$P5,0)</calculatedColumnFormula>
    </tableColumn>
    <tableColumn id="14" xr3:uid="{1BDECECF-E7BB-4DAA-B6F5-8D0570FE123B}" name="RETIRO" dataDxfId="568">
      <calculatedColumnFormula>+IF($G5="EGRESO",$P5,0)</calculatedColumnFormula>
    </tableColumn>
    <tableColumn id="15" xr3:uid="{1BA44F99-4C7B-4662-9078-48EF8F48E84E}" name="SALDO" dataDxfId="567">
      <calculatedColumnFormula>IFERROR(IF(G5="SALDO",Q5,S4+Q5-R5),0)</calculatedColumnFormula>
    </tableColumn>
    <tableColumn id="25" xr3:uid="{36BCAC76-4DF6-4548-BBE9-6BC8C84DD051}" name="VB° (1)" dataDxfId="566"/>
    <tableColumn id="26" xr3:uid="{281B7AFB-D691-43C0-848B-B82183F261AE}" name="VB° (2)" dataDxfId="565"/>
    <tableColumn id="28" xr3:uid="{CD14DFD2-1D0E-43C7-8757-797AF584C1F1}" name="CONSTANCIA (LINK)" dataDxfId="564"/>
    <tableColumn id="7" xr3:uid="{C148EB9E-A6C2-49B9-9674-284A16509C43}" name="NOTA 1" dataDxfId="563"/>
    <tableColumn id="8" xr3:uid="{C84D7E47-82FB-4604-8506-12A0280FBBCE}" name="NOTA 2" dataDxfId="562"/>
    <tableColumn id="27" xr3:uid="{C9D30900-D63B-4AE4-A6A3-92CCD7ED9CFA}" name="NOTA 3" dataDxfId="561"/>
    <tableColumn id="29" xr3:uid="{33406F60-9578-499B-8B64-17ECEBBEC852}" name="NOTA 4" dataDxfId="560"/>
    <tableColumn id="30" xr3:uid="{E633395C-D7F6-4D33-BFAB-99DC3239A18D}" name="NOTA 5" dataDxfId="559"/>
    <tableColumn id="31" xr3:uid="{DBC94268-0465-47D4-B118-A0AAD8575059}" name="PERIODO" dataDxfId="558">
      <calculatedColumnFormula>IF(BCP_Dolares[[#This Row],[FECHA]]&gt;0,TEXT(BCP_Dolares[[#This Row],[FECHA]],"mmmm"),0)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74350E-940C-4076-863A-02F10C767FD6}" name="Interbank_Soles" displayName="Interbank_Soles" ref="B4:AB148" totalsRowShown="0" headerRowDxfId="557" dataDxfId="556">
  <autoFilter ref="B4:AB148" xr:uid="{EA7D5B11-35C9-4844-86AB-E3BA3A957A89}">
    <filterColumn colId="6">
      <filters>
        <filter val="CRECE NEGOCIOS"/>
      </filters>
    </filterColumn>
  </autoFilter>
  <tableColumns count="27">
    <tableColumn id="16" xr3:uid="{826560D4-6D44-4E9D-AE29-816170A8681C}" name="ITEM" dataDxfId="555">
      <calculatedColumnFormula>IF(Interbank_Soles[[#This Row],[TIPO DE R.]]="R",COUNTIFS($D$4:$D4,"R")+1,"")</calculatedColumnFormula>
    </tableColumn>
    <tableColumn id="17" xr3:uid="{F25E1898-793E-4DAA-90FE-1CE8DDF282AD}" name="PORTAFOLIO" dataDxfId="554">
      <calculatedColumnFormula>"B-Interbank"</calculatedColumnFormula>
    </tableColumn>
    <tableColumn id="18" xr3:uid="{931509C4-A262-48F3-929A-388573244DA5}" name="TIPO DE R." dataDxfId="553"/>
    <tableColumn id="1" xr3:uid="{5B432951-C31A-4791-94F1-1ECF1DA260B4}" name="FECHA" dataDxfId="552"/>
    <tableColumn id="2" xr3:uid="{ACC5FFA4-8BDA-4168-864C-8293124F7242}" name="RESPONSABLE" dataDxfId="551"/>
    <tableColumn id="3" xr3:uid="{88C18FF3-DD77-4847-BB44-523872BEA4E8}" name="TIPO DE MOV." dataDxfId="550"/>
    <tableColumn id="19" xr3:uid="{DA366DDD-60FA-4E89-938C-1F7F783099EC}" name="DESTINATARIO" dataDxfId="549"/>
    <tableColumn id="20" xr3:uid="{864F095C-BE87-4962-BC36-F99D9B36B7C0}" name="TIPO DE DOCUMENTO" dataDxfId="548"/>
    <tableColumn id="21" xr3:uid="{309AA5CC-B9AF-4A06-8387-BF35A303C11F}" name="SERIE" dataDxfId="547"/>
    <tableColumn id="22" xr3:uid="{E1F29827-D468-4993-9D95-E2836470A66E}" name="NUMERO" dataDxfId="546"/>
    <tableColumn id="9" xr3:uid="{E6E90C5E-522B-4166-99E0-0C1EBC2762FF}" name="DESCRIPCIÓN / ACTIVIDAD" dataDxfId="545"/>
    <tableColumn id="10" xr3:uid="{6C6CA83A-D575-49FD-BC9E-3F5DC2831C69}" name="N° OPERACIÓN" dataDxfId="544"/>
    <tableColumn id="11" xr3:uid="{50EF029A-96DC-4C81-AE34-AEEE711A2587}" name="MONEDA" dataDxfId="543">
      <calculatedColumnFormula>"PEN"</calculatedColumnFormula>
    </tableColumn>
    <tableColumn id="24" xr3:uid="{27F29649-4596-43D4-9945-FD381D900BC1}" name="PARCIAL" dataDxfId="542"/>
    <tableColumn id="12" xr3:uid="{B4E7DAC2-B9BF-43DD-9E39-5EA66459AAA5}" name="MONTO " dataDxfId="541"/>
    <tableColumn id="13" xr3:uid="{A637820F-740A-49E7-A163-CD3E0AB80F2D}" name="ABONO" dataDxfId="540">
      <calculatedColumnFormula>+IF(OR($G5="SALDO",$G5="INGRESO"),$P5,0)</calculatedColumnFormula>
    </tableColumn>
    <tableColumn id="14" xr3:uid="{B033945E-6E00-473A-930C-96C838271961}" name="RETIRO" dataDxfId="539">
      <calculatedColumnFormula>+IF($G5="EGRESO",$P5,0)</calculatedColumnFormula>
    </tableColumn>
    <tableColumn id="15" xr3:uid="{2151215F-AB91-404A-A421-AABD41316AB4}" name="SALDO" dataDxfId="538">
      <calculatedColumnFormula>IFERROR(IF(G5="SALDO",Q5,S4+Q5-R5),0)</calculatedColumnFormula>
    </tableColumn>
    <tableColumn id="25" xr3:uid="{5086B1A2-FD18-42BC-A000-B5A095F3D29F}" name="VB° (1)" dataDxfId="537"/>
    <tableColumn id="26" xr3:uid="{B19F6CB3-F0F9-41E5-B0F2-E93620BB51DD}" name="VB° (2)" dataDxfId="536"/>
    <tableColumn id="28" xr3:uid="{DA097482-D578-43C2-A4E5-4428914AA727}" name="CONSTANCIA (LINK)" dataDxfId="535"/>
    <tableColumn id="31" xr3:uid="{2EFBA732-189F-4212-98CA-37DFE554FE16}" name="NOTA 1" dataDxfId="534"/>
    <tableColumn id="30" xr3:uid="{26348D34-4FA2-4D5F-BAFB-30EC580F8370}" name="NOTA 2" dataDxfId="533"/>
    <tableColumn id="29" xr3:uid="{03911927-97AB-4B88-9C24-00366FAEC83D}" name="NOTA 3" dataDxfId="532"/>
    <tableColumn id="8" xr3:uid="{0E4FF59F-CB00-40F3-BC8F-701613EEAFAC}" name="NOTA 4" dataDxfId="531"/>
    <tableColumn id="7" xr3:uid="{79C57258-E914-4021-ABD9-FFEA41779314}" name="NOTA 5" dataDxfId="530"/>
    <tableColumn id="27" xr3:uid="{8976D800-5AC3-4A17-903D-252FCEDBC5D9}" name="PERIODO" dataDxfId="529">
      <calculatedColumnFormula>IF(Interbank_Soles[[#This Row],[FECHA]]&gt;0,TEXT(Interbank_Soles[[#This Row],[FECHA]],"mmmm"),0)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55DDCA-4CF6-49E0-9EE5-E843AA6F4DE3}" name="Bbva_Soles" displayName="Bbva_Soles" ref="B4:AB44" totalsRowShown="0" headerRowDxfId="528" dataDxfId="527">
  <autoFilter ref="B4:AB44" xr:uid="{EA7D5B11-35C9-4844-86AB-E3BA3A957A89}"/>
  <tableColumns count="27">
    <tableColumn id="16" xr3:uid="{C80D4275-D4AD-4804-B43A-2ECB282BC915}" name="ITEM" dataDxfId="526">
      <calculatedColumnFormula>IF(Bbva_Soles[[#This Row],[TIPO DE R.]]="R",COUNTIFS($D$4:$D4,"R")+1,"")</calculatedColumnFormula>
    </tableColumn>
    <tableColumn id="17" xr3:uid="{44B2F5DD-415D-4319-9E91-BBC873CF3BA2}" name="PORTAFOLIO" dataDxfId="525">
      <calculatedColumnFormula>"B-BBVA"</calculatedColumnFormula>
    </tableColumn>
    <tableColumn id="18" xr3:uid="{984B99F5-A81D-4E78-96DD-07C978B1F440}" name="TIPO DE R." dataDxfId="524"/>
    <tableColumn id="1" xr3:uid="{12C3F206-6BAD-49CD-B9EA-7D5EB0455495}" name="FECHA" dataDxfId="523"/>
    <tableColumn id="2" xr3:uid="{B92B33B0-1152-49FC-A645-DB64E501FCD4}" name="RESPONSABLE" dataDxfId="522"/>
    <tableColumn id="3" xr3:uid="{0E38920B-A686-428B-9964-2BD0D594BC35}" name="TIPO DE MOV." dataDxfId="521"/>
    <tableColumn id="19" xr3:uid="{1EE08F51-D651-498E-B15B-B34C515B0B81}" name="DESTINATARIO" dataDxfId="520"/>
    <tableColumn id="20" xr3:uid="{79B20C24-7466-40FE-9ADF-7D03EA6F6FAB}" name="TIPO DE DOCUMENTO" dataDxfId="519"/>
    <tableColumn id="21" xr3:uid="{0836EC77-182E-439F-B09A-D0B902AEE28C}" name="SERIE" dataDxfId="518"/>
    <tableColumn id="22" xr3:uid="{4F4E8C21-1B40-4F9A-B767-88AF03DB80AB}" name="NUMERO" dataDxfId="517"/>
    <tableColumn id="9" xr3:uid="{E7463B82-B7A4-4738-BE15-7CF581C558F6}" name="DESCRIPCIÓN / ACTIVIDAD" dataDxfId="516"/>
    <tableColumn id="10" xr3:uid="{77485DB1-D93B-483E-98EC-B50628CB8A26}" name="N° OPERACIÓN" dataDxfId="515"/>
    <tableColumn id="11" xr3:uid="{068B6B35-B3D0-4B9C-96EF-806873D2377B}" name="MONEDA" dataDxfId="514">
      <calculatedColumnFormula>"PEN"</calculatedColumnFormula>
    </tableColumn>
    <tableColumn id="24" xr3:uid="{01A524C4-041C-4932-9B92-D1A354D28AC5}" name="PARCIAL" dataDxfId="513"/>
    <tableColumn id="12" xr3:uid="{13E83A98-56D7-4A9A-B549-80F168270201}" name="MONTO " dataDxfId="512"/>
    <tableColumn id="13" xr3:uid="{C36C90D3-E1A3-4996-8AAF-5651FDB3F3E4}" name="ABONO" dataDxfId="511">
      <calculatedColumnFormula>+IF(OR($G5="SALDO",$G5="INGRESO"),$P5,0)</calculatedColumnFormula>
    </tableColumn>
    <tableColumn id="14" xr3:uid="{F4C49F39-98DB-4B0B-B249-653F9B1EF586}" name="RETIRO" dataDxfId="510">
      <calculatedColumnFormula>+IF($G5="EGRESO",$P5,0)</calculatedColumnFormula>
    </tableColumn>
    <tableColumn id="15" xr3:uid="{F74D4675-F101-45AF-97A4-B1EB07FDBDD5}" name="SALDO" dataDxfId="509">
      <calculatedColumnFormula>IFERROR(IF(G5="SALDO",Q5,S4+Q5-R5),0)</calculatedColumnFormula>
    </tableColumn>
    <tableColumn id="25" xr3:uid="{CE99CA1B-34F8-4952-921A-DC14AE70F268}" name="VB° (1)" dataDxfId="508"/>
    <tableColumn id="26" xr3:uid="{F45C4D65-B8CE-4165-9ADE-9F0B70E2AFF3}" name="VB° (2)" dataDxfId="507"/>
    <tableColumn id="28" xr3:uid="{B7BD1D53-BE21-4AC9-8A70-C6EF9C35A163}" name="CONSTANCIA (LINK)" dataDxfId="506"/>
    <tableColumn id="31" xr3:uid="{09E54089-60F8-4B84-9CA8-370AA526F0F8}" name="NOTA 1" dataDxfId="505"/>
    <tableColumn id="30" xr3:uid="{F598E089-946D-4F6D-90CE-96500C23F478}" name="NOTA 2" dataDxfId="504"/>
    <tableColumn id="29" xr3:uid="{4F8C3D47-79C5-4C8B-8EF3-BFCFE1093378}" name="NOTA 3" dataDxfId="503"/>
    <tableColumn id="8" xr3:uid="{86BA53AC-28D1-4D09-8CCD-49E6B90E2500}" name="NOTA 4" dataDxfId="502"/>
    <tableColumn id="7" xr3:uid="{7621D49C-8244-48AC-AB2F-E55C0D5EDC0D}" name="NOTA 5" dataDxfId="501"/>
    <tableColumn id="27" xr3:uid="{A1FBCD9D-0581-49C8-87D3-B99986B24809}" name="PERIODO" dataDxfId="500">
      <calculatedColumnFormula>IF(Bbva_Soles[[#This Row],[FECHA]]&gt;0,TEXT(Bbva_Soles[[#This Row],[FECHA]],"mmmm"),0)</calculatedColumnFormula>
    </tableColumn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19FD10-89A1-414C-9427-6074ED95D667}" name="Banco_Nacion" displayName="Banco_Nacion" ref="B4:AB726" totalsRowShown="0" headerRowDxfId="499" dataDxfId="498">
  <autoFilter ref="B4:AB726" xr:uid="{EA7D5B11-35C9-4844-86AB-E3BA3A957A89}"/>
  <tableColumns count="27">
    <tableColumn id="16" xr3:uid="{9A617B2F-2841-439F-80FA-F39CABD56974}" name="ITEM" dataDxfId="497">
      <calculatedColumnFormula>IF(Banco_Nacion[[#This Row],[TIPO DE R.]]="R",COUNTIFS($D$4:$D4,"R")+1,"")</calculatedColumnFormula>
    </tableColumn>
    <tableColumn id="17" xr3:uid="{071B4A2F-4EF3-4793-9A5C-7F3CBB9A5DDF}" name="PORTAFOLIO" dataDxfId="496">
      <calculatedColumnFormula>"B-Banco de la Nacion"</calculatedColumnFormula>
    </tableColumn>
    <tableColumn id="18" xr3:uid="{51119AE1-BFA8-424A-A8C4-1CE17F026254}" name="TIPO DE R." dataDxfId="495"/>
    <tableColumn id="1" xr3:uid="{595ACBC1-CE87-4905-B4BE-9ACCAFA6C961}" name="FECHA" dataDxfId="494"/>
    <tableColumn id="2" xr3:uid="{56F2AA8D-98BC-47B6-B93F-9018FE4DB860}" name="RESPONSABLE" dataDxfId="493"/>
    <tableColumn id="3" xr3:uid="{721A313B-A2BC-43DD-8ED4-6E60F2B66AB9}" name="TIPO DE MOV." dataDxfId="492"/>
    <tableColumn id="19" xr3:uid="{69529C12-6604-426F-B84D-6B87D4890B3D}" name="DESTINATARIO" dataDxfId="491"/>
    <tableColumn id="20" xr3:uid="{60088861-54AA-42CA-865D-618D9871BF20}" name="TIPO DE DOCUMENTO" dataDxfId="490"/>
    <tableColumn id="21" xr3:uid="{32A59DC2-1CDC-424F-9CAA-FFDE9EAD9799}" name="SERIE" dataDxfId="489"/>
    <tableColumn id="22" xr3:uid="{4F58ECE1-26FF-486E-9472-6225CFAB2615}" name="NUMERO" dataDxfId="488"/>
    <tableColumn id="9" xr3:uid="{AFBBD48D-29D8-4E5F-B70F-259FBECA4241}" name="DESCRIPCIÓN / ACTIVIDAD" dataDxfId="487"/>
    <tableColumn id="10" xr3:uid="{F531E694-EDDA-4F58-AAC2-B8F9D82EB689}" name="N° OPERACIÓN" dataDxfId="486"/>
    <tableColumn id="11" xr3:uid="{0ECCB8A8-3A20-4DEE-959E-CCE0373FC045}" name="MONEDA" dataDxfId="485">
      <calculatedColumnFormula>"PEN"</calculatedColumnFormula>
    </tableColumn>
    <tableColumn id="24" xr3:uid="{5746DCAC-1CD6-4D53-B7F0-2F3663184925}" name="PARCIAL" dataDxfId="484"/>
    <tableColumn id="12" xr3:uid="{283A0EF5-480E-44B4-B48F-998B17E082A1}" name="MONTO " dataDxfId="483"/>
    <tableColumn id="13" xr3:uid="{AC11BEA4-4B72-4496-8C00-0455AA1E9DE4}" name="ABONO" dataDxfId="482">
      <calculatedColumnFormula>+IF(OR($G5="SALDO",$G5="INGRESO"),$P5,0)</calculatedColumnFormula>
    </tableColumn>
    <tableColumn id="14" xr3:uid="{0B7154B4-B7B6-4E8D-9E36-D2CE33A668DD}" name="RETIRO" dataDxfId="481">
      <calculatedColumnFormula>+IF($G5="EGRESO",$P5,0)</calculatedColumnFormula>
    </tableColumn>
    <tableColumn id="15" xr3:uid="{69CA2FE6-F713-4CF9-953D-040132DD6483}" name="SALDO" dataDxfId="480">
      <calculatedColumnFormula>IFERROR(IF(G5="SALDO",Q5,S4+Q5-R5),0)</calculatedColumnFormula>
    </tableColumn>
    <tableColumn id="25" xr3:uid="{30077F3E-B674-4224-8BCB-35A5AD8F4E98}" name="VB° (1)" dataDxfId="479"/>
    <tableColumn id="26" xr3:uid="{0B543006-D3CB-42A2-882B-D8CCF8F979AE}" name="VB° (2)" dataDxfId="478"/>
    <tableColumn id="28" xr3:uid="{C7E24AEC-7412-4333-8493-8E7FC1EE6FBA}" name="CONSTANCIA (LINK)" dataDxfId="477"/>
    <tableColumn id="31" xr3:uid="{752BD72D-F0A1-4A26-9ADF-85BD87FE5C2A}" name="NOTA 1" dataDxfId="476">
      <calculatedColumnFormula>IFERROR(VLOOKUP(Banco_Nacion[[#This Row],[RESPONSABLE]],Clientes_Proveedores[[Ruc / Dni]:[Razon Social]],2,0),"")</calculatedColumnFormula>
    </tableColumn>
    <tableColumn id="30" xr3:uid="{FA1798A1-BBDD-40C9-9A3D-FCDA34FE094F}" name="NOTA 2" dataDxfId="475">
      <calculatedColumnFormula>IF(Banco_Nacion[[#This Row],[TIPO DE MOV.]]="INGRESO",Banco_Nacion[[#This Row],[SERIE]]&amp;Banco_Nacion[[#This Row],[NUMERO]]&amp;Banco_Nacion[[#This Row],[RESPONSABLE]]&amp;Banco_Nacion[[#This Row],[MONTO ]],"")</calculatedColumnFormula>
    </tableColumn>
    <tableColumn id="29" xr3:uid="{3305E273-0A45-4868-A600-9AE06CAC67C1}" name="NOTA 3" dataDxfId="474">
      <calculatedColumnFormula>IF(Banco_Nacion[[#This Row],[ABONO]]&gt;0,"Por el cobro de Detraccion C.S. "&amp;(IFERROR(VLOOKUP(Banco_Nacion[[#This Row],[NOTA 2]],[1]!BD_Detracciones[[2]:[Numero Constancia]],4,0),""))&amp;" OP "&amp;Banco_Nacion[[#This Row],[N° OPERACIÓN]],"")</calculatedColumnFormula>
    </tableColumn>
    <tableColumn id="8" xr3:uid="{052F16FD-13C7-4645-BBA8-C59EEA6230B4}" name="NOTA 4" dataDxfId="473"/>
    <tableColumn id="7" xr3:uid="{A37EECD2-7D3E-4AB2-B051-F33F1632B260}" name="NOTA 5" dataDxfId="472"/>
    <tableColumn id="27" xr3:uid="{C56B26E6-97C7-4AB6-8899-1E581BE75BB0}" name="PERIODO" dataDxfId="471">
      <calculatedColumnFormula>IF(Banco_Nacion[[#This Row],[FECHA]]&gt;0,TEXT(Banco_Nacion[[#This Row],[FECHA]],"mmmm"),0)</calculatedColumnFormula>
    </tableColumn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558C39-9B66-4E3D-9BB5-C68FD906D734}" name="Caja_Arequipa" displayName="Caja_Arequipa" ref="B4:AC723" totalsRowShown="0" headerRowDxfId="470" dataDxfId="469">
  <autoFilter ref="B4:AC723" xr:uid="{C2558C39-9B66-4E3D-9BB5-C68FD906D734}"/>
  <tableColumns count="28">
    <tableColumn id="16" xr3:uid="{8BF795AD-B463-4232-91D7-B6EBA0015C0E}" name="ITEM" dataDxfId="468">
      <calculatedColumnFormula>IF(Caja_Arequipa[[#This Row],[TIPO DE R.]]="R",COUNTIFS($D$4:$D4,"R")+1,"")</calculatedColumnFormula>
    </tableColumn>
    <tableColumn id="17" xr3:uid="{7DF920BB-9ACD-4FE7-8D60-28EA67BCCCE5}" name="PORTAFOLIO" dataDxfId="467">
      <calculatedColumnFormula>"C-Tesoreria"</calculatedColumnFormula>
    </tableColumn>
    <tableColumn id="18" xr3:uid="{FC524487-321E-47F6-BAA3-E6F56B62D99A}" name="TIPO DE R." dataDxfId="466"/>
    <tableColumn id="1" xr3:uid="{60E3BAAB-6CB1-46E3-AB5D-C1F70CF51876}" name="FECHA" dataDxfId="465"/>
    <tableColumn id="2" xr3:uid="{BF229FF6-F06A-448E-9EEC-1595E4651DD9}" name="RESPONSABLE" dataDxfId="464"/>
    <tableColumn id="3" xr3:uid="{F7DF6F8A-720A-4F5E-8DC7-D668266B66BC}" name="TIPO DE MOV." dataDxfId="463"/>
    <tableColumn id="5" xr3:uid="{BCE04DB8-1D5F-4F92-9642-D5FB584231FC}" name="ENTREGADO" dataDxfId="462"/>
    <tableColumn id="19" xr3:uid="{4DBB4325-F46F-4C0F-891C-B61D4AECED98}" name="DESTINATARIO" dataDxfId="461"/>
    <tableColumn id="20" xr3:uid="{C6EB8BE2-52CE-4519-BB36-FAFB696F21FC}" name="TIPO DE DOCUMENTO" dataDxfId="460"/>
    <tableColumn id="21" xr3:uid="{9EE194D7-7F5E-4764-91C7-FAA874519777}" name="SERIE" dataDxfId="459"/>
    <tableColumn id="22" xr3:uid="{A5A52C28-EFA8-4DEE-B696-B89EC3A8E9C1}" name="NUMERO" dataDxfId="458"/>
    <tableColumn id="9" xr3:uid="{ED5ABBA0-8CAF-4FA2-963D-FB30B9367B50}" name="DESCRIPCIÓN / ACTIVIDAD" dataDxfId="457"/>
    <tableColumn id="10" xr3:uid="{EC9101F7-6887-4CFE-B37C-051E974C7056}" name="N° OPERACIÓN" dataDxfId="456">
      <calculatedColumnFormula>IF(Caja_Arequipa[[#This Row],[TIPO DE R.]]="R","001-"&amp;12002+B5,N4)</calculatedColumnFormula>
    </tableColumn>
    <tableColumn id="11" xr3:uid="{84F8C3BA-8EFE-4C86-8BA2-9BD877671585}" name="MONEDA" dataDxfId="455">
      <calculatedColumnFormula>"PEN"</calculatedColumnFormula>
    </tableColumn>
    <tableColumn id="24" xr3:uid="{60FC3315-1953-421E-9302-1D73AFB414F7}" name="PARCIAL" dataDxfId="454"/>
    <tableColumn id="12" xr3:uid="{7B503CF7-E4A1-425C-ACCD-D5970A8CB169}" name="MONTO " dataDxfId="453"/>
    <tableColumn id="13" xr3:uid="{9C786B3E-1B9C-4267-9339-9F6292F77079}" name="ABONO" dataDxfId="452">
      <calculatedColumnFormula>+IF(OR($G5="SALDO",$G5="INGRESO"),$Q5,0)</calculatedColumnFormula>
    </tableColumn>
    <tableColumn id="14" xr3:uid="{34FDD734-3C4F-46D4-B998-64134C849DAB}" name="RETIRO" dataDxfId="451">
      <calculatedColumnFormula>+IF($G5="EGRESO",$Q5,0)</calculatedColumnFormula>
    </tableColumn>
    <tableColumn id="15" xr3:uid="{9D2B72A7-E9FA-45E6-B9E2-4BFD2B75E21D}" name="SALDO" dataDxfId="450">
      <calculatedColumnFormula>IFERROR(IF(G5="SALDO",R5,T4+R5-S5),0)</calculatedColumnFormula>
    </tableColumn>
    <tableColumn id="25" xr3:uid="{5BED59EA-B952-4B19-8F90-44206EFE5C5A}" name="VB° (1)" dataDxfId="449"/>
    <tableColumn id="26" xr3:uid="{EF13CC51-C272-401B-ADA4-A232E038A93B}" name="VB° (2)" dataDxfId="448"/>
    <tableColumn id="28" xr3:uid="{796D3208-519C-46A7-B54F-997AFAA3BF9F}" name="CONSTANCIA (LINK)" dataDxfId="447"/>
    <tableColumn id="31" xr3:uid="{FFD10E7E-8BB6-40E2-A702-E1D8CD7B511D}" name="NOTA 1" dataDxfId="446"/>
    <tableColumn id="30" xr3:uid="{EDA4D529-361A-4C24-AF4A-DDE784E8C0F3}" name="NOTA 2" dataDxfId="445"/>
    <tableColumn id="29" xr3:uid="{7D5572DB-668A-4927-AADA-528BB4A0E635}" name="NOTA 3" dataDxfId="444"/>
    <tableColumn id="8" xr3:uid="{C13AD31D-AB6A-4D31-B8CB-1E15B747992D}" name="NOTA 4" dataDxfId="443"/>
    <tableColumn id="7" xr3:uid="{383ADCC9-8044-4701-A7F3-3F1B99F3AE87}" name="NOTA 5" dataDxfId="442"/>
    <tableColumn id="27" xr3:uid="{1634BEA4-F204-4336-8660-606FB1B177A4}" name="PERIODO" dataDxfId="441">
      <calculatedColumnFormula>IF(Caja_Arequipa[[#This Row],[FECHA]]&gt;0,TEXT(Caja_Arequipa[[#This Row],[FECHA]],"mmmm"),0)</calculatedColumnFormula>
    </tableColumn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EC2E9B-B491-4ADE-A720-DE8B4741E02B}" name="Caja_Finanzas" displayName="Caja_Finanzas" ref="B4:AC770" totalsRowShown="0" headerRowDxfId="440" dataDxfId="439">
  <autoFilter ref="B4:AC770" xr:uid="{EA7D5B11-35C9-4844-86AB-E3BA3A957A89}"/>
  <tableColumns count="28">
    <tableColumn id="16" xr3:uid="{C2402CEB-FE30-4056-82B7-169FB621939B}" name="ITEM" dataDxfId="438">
      <calculatedColumnFormula>IF(Caja_Finanzas[[#This Row],[TIPO DE R.]]="R",COUNTIFS($D$4:$D4,"R")+1,"")</calculatedColumnFormula>
    </tableColumn>
    <tableColumn id="17" xr3:uid="{7133C3A4-DA95-4B1D-B947-A45ADE0B890F}" name="PORTAFOLIO" dataDxfId="437">
      <calculatedColumnFormula>"C-Finanzas"</calculatedColumnFormula>
    </tableColumn>
    <tableColumn id="18" xr3:uid="{9E6D0133-E17B-4E46-B5C2-5B29AF26B914}" name="TIPO DE R." dataDxfId="436"/>
    <tableColumn id="1" xr3:uid="{42BA3610-EF33-4C44-84D7-C085912123CD}" name="FECHA" dataDxfId="435"/>
    <tableColumn id="2" xr3:uid="{D17B1175-5609-4F51-B900-495F359CA821}" name="RESPONSABLE" dataDxfId="434"/>
    <tableColumn id="3" xr3:uid="{5EDFCB21-AB68-44E2-BA93-87248B7B8283}" name="TIPO DE MOV." dataDxfId="433"/>
    <tableColumn id="5" xr3:uid="{533FEE01-BF81-450D-A42A-AE7B8F17EC08}" name="ENTREGADO" dataDxfId="432"/>
    <tableColumn id="19" xr3:uid="{282FB7E7-C4FA-47E0-BF81-E5A74BBEDA86}" name="DESTINATARIO" dataDxfId="431"/>
    <tableColumn id="20" xr3:uid="{E1AD1C45-0665-4BD3-BA56-5CFDBD6B704E}" name="TIPO DE DOCUMENTO" dataDxfId="430"/>
    <tableColumn id="21" xr3:uid="{E8BD4C63-ACD5-4264-87AD-554DA5E17505}" name="SERIE" dataDxfId="429"/>
    <tableColumn id="22" xr3:uid="{9F8C4194-4E8F-4E8A-8B0D-48833C363ED9}" name="NUMERO" dataDxfId="428"/>
    <tableColumn id="9" xr3:uid="{B0A06AF0-D5E4-4968-8BA1-043BE27C1EC5}" name="DESCRIPCIÓN / ACTIVIDAD" dataDxfId="427"/>
    <tableColumn id="10" xr3:uid="{6DBEC8BC-0083-48BD-8519-23AAA44E4875}" name="N° OPERACIÓN" dataDxfId="426">
      <calculatedColumnFormula>"CFI"&amp;".D"&amp;TEXT(Caja_Finanzas[[#This Row],[FECHA]],"DD-MM")&amp;"-"&amp;TEXT(Caja_Finanzas[[#This Row],[ITEM]],"0000")</calculatedColumnFormula>
    </tableColumn>
    <tableColumn id="11" xr3:uid="{5694E4BC-8387-4465-8071-71ACF9D48B01}" name="MONEDA" dataDxfId="425">
      <calculatedColumnFormula>"PEN"</calculatedColumnFormula>
    </tableColumn>
    <tableColumn id="24" xr3:uid="{28A13B9E-7CB7-45C3-89A8-011CCCA30B71}" name="PARCIAL" dataDxfId="424"/>
    <tableColumn id="12" xr3:uid="{77491D92-C279-4BA0-B4EE-D9294F072A8A}" name="MONTO " dataDxfId="423"/>
    <tableColumn id="13" xr3:uid="{E5599C13-5E73-4D85-9B80-1F7939AAC580}" name="ABONO" dataDxfId="422">
      <calculatedColumnFormula>+IF(OR($G5="SALDO",$G5="INGRESO"),$Q5,0)</calculatedColumnFormula>
    </tableColumn>
    <tableColumn id="14" xr3:uid="{E98F0BD3-A76C-4DA6-B4FE-3030CF7886E9}" name="RETIRO" dataDxfId="421">
      <calculatedColumnFormula>+IF($G5="EGRESO",$Q5,0)</calculatedColumnFormula>
    </tableColumn>
    <tableColumn id="15" xr3:uid="{CD9FA0C6-370C-4EFE-872A-5ACBBF75B2F4}" name="SALDO" dataDxfId="420">
      <calculatedColumnFormula>IFERROR(IF(G5="SALDO",R5,T4+R5-S5),0)</calculatedColumnFormula>
    </tableColumn>
    <tableColumn id="25" xr3:uid="{9B424867-D1C7-42C9-96A5-5B2F61A29777}" name="VB° (1)" dataDxfId="419"/>
    <tableColumn id="26" xr3:uid="{9ACBF863-AA90-449F-9C49-681D9BA56AD0}" name="VB° (2)" dataDxfId="418"/>
    <tableColumn id="28" xr3:uid="{999377C6-6EC1-4569-9F7E-BD45D2AFC5D4}" name="CONSTANCIA (LINK)" dataDxfId="417"/>
    <tableColumn id="7" xr3:uid="{79DC211D-2F16-4767-977A-AF5A434D7459}" name="NOTA 1" dataDxfId="416"/>
    <tableColumn id="8" xr3:uid="{1F0E96CA-E4F1-4885-B2F8-C6B72D481015}" name="NOTA 2" dataDxfId="415"/>
    <tableColumn id="29" xr3:uid="{E236B0E3-1DA0-479B-8C85-298F9F9EFB67}" name="NOTA 3" dataDxfId="414"/>
    <tableColumn id="30" xr3:uid="{AEAA703D-1ADD-40D3-94A2-AB1C2437EFFA}" name="NOTA 4" dataDxfId="413"/>
    <tableColumn id="31" xr3:uid="{A8868B16-7ABE-443A-984E-0CCBCFC62F6C}" name="NOTA 5" dataDxfId="412"/>
    <tableColumn id="27" xr3:uid="{40B5DF2E-850B-4A18-8F01-929399FF4CF7}" name="PERIODO" dataDxfId="411">
      <calculatedColumnFormula>IF(Caja_Finanzas[[#This Row],[FECHA]]&gt;0,TEXT(Caja_Finanzas[[#This Row],[FECHA]],"mmmm"),0)</calculatedColumnFormula>
    </tableColumn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3197B9D-027B-4FD5-BFB1-BCAB1C4096D0}" name="Caja_Operativa" displayName="Caja_Operativa" ref="B4:AB426" headerRowDxfId="410" dataDxfId="409">
  <autoFilter ref="B4:AB426" xr:uid="{EA7D5B11-35C9-4844-86AB-E3BA3A957A89}">
    <filterColumn colId="6">
      <filters>
        <filter val="BUSTAMANTE GIL RUBEN"/>
      </filters>
    </filterColumn>
  </autoFilter>
  <tableColumns count="27">
    <tableColumn id="16" xr3:uid="{117D55C4-97D8-4B32-9A2C-7E25D7052B64}" name="ITEM" dataDxfId="408" totalsRowDxfId="407">
      <calculatedColumnFormula>IF(Caja_Operativa[[#This Row],[TIPO DE R.]]="R",COUNTIFS($D$4:$D4,"R")+1,"")</calculatedColumnFormula>
    </tableColumn>
    <tableColumn id="17" xr3:uid="{E75736E1-BA3E-4B61-98FC-0A1E37A1F95F}" name="PORTAFOLIO" dataDxfId="406" totalsRowDxfId="405">
      <calculatedColumnFormula>"C-Operativa"</calculatedColumnFormula>
    </tableColumn>
    <tableColumn id="18" xr3:uid="{FE9B1F92-AF70-4529-9A3A-1FBD146FA3E5}" name="TIPO DE R." dataDxfId="404" totalsRowDxfId="403"/>
    <tableColumn id="1" xr3:uid="{E536B594-D73C-49A4-BE58-8637DB0CCE88}" name="FECHA" dataDxfId="402" totalsRowDxfId="401"/>
    <tableColumn id="2" xr3:uid="{4D44D00B-AA9D-4D42-A675-A913CC980417}" name="RESPONSABLE" dataDxfId="400" totalsRowDxfId="399"/>
    <tableColumn id="3" xr3:uid="{536D1D8E-731D-4AB8-BE2A-F714264F60DA}" name="TIPO DE MOV." dataDxfId="398" totalsRowDxfId="397"/>
    <tableColumn id="19" xr3:uid="{944CBB1E-6185-4B88-A365-BA1FEABE3435}" name="DESTINATARIO" dataDxfId="396" totalsRowDxfId="395"/>
    <tableColumn id="20" xr3:uid="{D01403CC-838A-41F0-9CF2-5520B84483CD}" name="TIPO DE DOCUMENTO" dataDxfId="394" totalsRowDxfId="393"/>
    <tableColumn id="21" xr3:uid="{1CA09B33-3571-413E-B2EF-4B33D4CD3E59}" name="SERIE" dataDxfId="392" totalsRowDxfId="391"/>
    <tableColumn id="22" xr3:uid="{C2A5BE4E-206E-4F1E-9D41-E738D408D154}" name="NUMERO" dataDxfId="390" totalsRowDxfId="389"/>
    <tableColumn id="9" xr3:uid="{0DA85B67-ADFF-4644-AAA0-9605E838A2C4}" name="DESCRIPCIÓN / ACTIVIDAD" dataDxfId="388" totalsRowDxfId="387"/>
    <tableColumn id="10" xr3:uid="{B14EF83E-E124-48D5-A006-3C1D5C10B4D9}" name="N° OPERACIÓN" dataDxfId="386" totalsRowDxfId="385"/>
    <tableColumn id="11" xr3:uid="{D7827D86-F457-470A-95D2-D021522370B0}" name="MONEDA" dataDxfId="384" totalsRowDxfId="383">
      <calculatedColumnFormula>"PEN"</calculatedColumnFormula>
    </tableColumn>
    <tableColumn id="24" xr3:uid="{B89CF2EC-6059-4D6E-902D-2201CEE000D4}" name="PARCIAL" dataDxfId="382" totalsRowDxfId="381"/>
    <tableColumn id="12" xr3:uid="{3105DB97-E308-4215-9699-402BCAB4BE38}" name="MONTO " dataDxfId="380" totalsRowDxfId="379"/>
    <tableColumn id="13" xr3:uid="{F3CC9949-1037-48AA-A8DE-72A73566C8C0}" name="ABONO" dataDxfId="378" totalsRowDxfId="377">
      <calculatedColumnFormula>+IF(OR($G5="SALDO",$G5="INGRESO"),$P5,0)</calculatedColumnFormula>
    </tableColumn>
    <tableColumn id="14" xr3:uid="{08B1F182-4BFF-4977-AB51-B5B42A2143DD}" name="RETIRO" dataDxfId="376" totalsRowDxfId="375">
      <calculatedColumnFormula>+IF($G5="EGRESO",$P5,0)</calculatedColumnFormula>
    </tableColumn>
    <tableColumn id="15" xr3:uid="{92A466FA-9B40-4B2F-B9E7-DB4E5FD57D92}" name="SALDO" dataDxfId="374" totalsRowDxfId="373">
      <calculatedColumnFormula>IFERROR(IF(G5="SALDO",Q5,S4+Q5-R5),0)</calculatedColumnFormula>
    </tableColumn>
    <tableColumn id="25" xr3:uid="{07D7877B-E951-465F-B246-358F2E7C5136}" name="VB° (1)" dataDxfId="372" totalsRowDxfId="371"/>
    <tableColumn id="26" xr3:uid="{DE927E23-B1BB-4FEB-BF96-39AE96DE512B}" name="VB° (2)" dataDxfId="370" totalsRowDxfId="369"/>
    <tableColumn id="28" xr3:uid="{C94CFF50-F6D0-4A53-B3C2-38B12CB5A6B1}" name="CONSTANCIA (LINK)" dataDxfId="368" totalsRowDxfId="367"/>
    <tableColumn id="7" xr3:uid="{93979BF3-C75C-4C79-8D93-9FC06224E0FE}" name="NOTA 1" dataDxfId="366" totalsRowDxfId="365"/>
    <tableColumn id="8" xr3:uid="{61D1E5DF-8D9C-4A92-ADC9-F39CF3D6AB35}" name="NOTA 2" dataDxfId="364" totalsRowDxfId="363"/>
    <tableColumn id="29" xr3:uid="{5D6737BD-1F34-4CCE-92C1-5803A6F9C7C9}" name="NOTA 3" dataDxfId="362" totalsRowDxfId="361"/>
    <tableColumn id="30" xr3:uid="{22EDD789-98DD-4DEC-8E1B-871B96DD6C2F}" name="NOTA 4" dataDxfId="360" totalsRowDxfId="359"/>
    <tableColumn id="31" xr3:uid="{DFDD7FB8-BDFA-4912-A357-E3C687E647E8}" name="NOTA 5" dataDxfId="358" totalsRowDxfId="357"/>
    <tableColumn id="27" xr3:uid="{11EEE31D-2F3B-4CF0-9064-E778A6FDA514}" name="PERIODO" dataDxfId="356" totalsRowDxfId="355">
      <calculatedColumnFormula>IF(Caja_Operativa[[#This Row],[FECHA]]&gt;0,TEXT(Caja_Operativa[[#This Row],[FECHA]],"mmmm"),0)</calculatedColumnFormula>
    </tableColumn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382366-0661-1F47-A5D8-5772FF791CBF}" name="C_Ope_001" displayName="C_Ope_001" ref="B4:AB409" totalsRowShown="0" headerRowDxfId="354" dataDxfId="353">
  <autoFilter ref="B4:AB409" xr:uid="{EA7D5B11-35C9-4844-86AB-E3BA3A957A89}"/>
  <tableColumns count="27">
    <tableColumn id="16" xr3:uid="{E8485865-F968-4F48-B725-BC25715C4C5B}" name="ITEM" dataDxfId="352">
      <calculatedColumnFormula>IF(C_Ope_001[[#This Row],[TIPO DE R.]]="R",COUNTIFS($D$4:$D4,"R")+1,"")</calculatedColumnFormula>
    </tableColumn>
    <tableColumn id="17" xr3:uid="{66B20FCD-8C32-D847-B291-A1801029FBC6}" name="PORTAFOLIO" dataDxfId="351">
      <calculatedColumnFormula>"C_Ope_001"</calculatedColumnFormula>
    </tableColumn>
    <tableColumn id="18" xr3:uid="{B10D4394-CCBA-E542-A4B2-1C6B00D33E10}" name="TIPO DE R." dataDxfId="350"/>
    <tableColumn id="1" xr3:uid="{918FE73F-3ED6-4F49-B4B8-E2543509BD9C}" name="FECHA" dataDxfId="349"/>
    <tableColumn id="2" xr3:uid="{50D1446A-B9E5-AC45-BF29-ACE0D6DE3AD1}" name="RESPONSABLE" dataDxfId="348"/>
    <tableColumn id="3" xr3:uid="{E1194C65-CAE8-7445-8F10-45357F44CB4A}" name="TIPO DE MOV." dataDxfId="347"/>
    <tableColumn id="19" xr3:uid="{65A88E0E-55AA-DA44-BB10-A99EAA396209}" name="DESTINATARIO" dataDxfId="346"/>
    <tableColumn id="20" xr3:uid="{24256941-8369-7B4F-BF45-6887C8CB8951}" name="TIPO DE DOCUMENTO" dataDxfId="345"/>
    <tableColumn id="21" xr3:uid="{88421882-80B2-D14C-8592-391E78129491}" name="SERIE" dataDxfId="344"/>
    <tableColumn id="22" xr3:uid="{79392EAB-F174-5F4E-9CB0-463AB629586D}" name="NUMERO" dataDxfId="343"/>
    <tableColumn id="9" xr3:uid="{92BC7319-7E41-8D46-B345-FE71423D09FA}" name="DESCRIPCIÓN / ACTIVIDAD" dataDxfId="342"/>
    <tableColumn id="10" xr3:uid="{2A1E3B7A-A177-8041-BC60-369B1DA91B00}" name="N° OPERACIÓN" dataDxfId="341"/>
    <tableColumn id="11" xr3:uid="{F5916FE6-DB65-FD4C-9949-F7529646CD55}" name="MONEDA" dataDxfId="340">
      <calculatedColumnFormula>"PEN"</calculatedColumnFormula>
    </tableColumn>
    <tableColumn id="24" xr3:uid="{7EA66EA9-1082-1846-9191-E15AFA5FE4A8}" name="PARCIAL" dataDxfId="339"/>
    <tableColumn id="12" xr3:uid="{6A4C70E0-1D3F-7849-8C81-A60C31F385B4}" name="MONTO " dataDxfId="338"/>
    <tableColumn id="13" xr3:uid="{E057A64A-4D1F-374E-A1F9-027A9259BA0B}" name="ABONO" dataDxfId="337">
      <calculatedColumnFormula>+IF(OR($G5="SALDO",$G5="INGRESO"),$P5,0)</calculatedColumnFormula>
    </tableColumn>
    <tableColumn id="14" xr3:uid="{3CE16B57-44C2-B34D-9252-F1E2207C4E72}" name="RETIRO" dataDxfId="336">
      <calculatedColumnFormula>+IF($G5="EGRESO",$P5,0)</calculatedColumnFormula>
    </tableColumn>
    <tableColumn id="15" xr3:uid="{38715D55-6A4D-C84E-9658-0EC54B456B26}" name="SALDO" dataDxfId="335">
      <calculatedColumnFormula>IFERROR(IF(G5="SALDO",Q5,S4+Q5-R5),0)</calculatedColumnFormula>
    </tableColumn>
    <tableColumn id="25" xr3:uid="{AE3CBFB0-AD03-9141-8068-2A99431A2268}" name="VB° (1)" dataDxfId="334"/>
    <tableColumn id="26" xr3:uid="{2485C931-F503-4540-94BC-5B263633E15C}" name="VB° (2)" dataDxfId="333"/>
    <tableColumn id="28" xr3:uid="{67811580-84F6-CE4C-8C47-04D0F6CA89B2}" name="CONSTANCIA (LINK)" dataDxfId="332"/>
    <tableColumn id="7" xr3:uid="{2F84873E-5BC5-9548-9488-AD45A2D0A35A}" name="NOTA 1" dataDxfId="331"/>
    <tableColumn id="8" xr3:uid="{37CF739A-E70A-684E-9EC2-096850DB557B}" name="NOTA 2" dataDxfId="330"/>
    <tableColumn id="29" xr3:uid="{A3AF97B1-838F-A24B-AD29-0F9FF1386FDF}" name="NOTA 3" dataDxfId="329">
      <calculatedColumnFormula>IFERROR(VLOOKUP(C_Ope_001[[#This Row],[NOTA 2]],Clientes_Proveedores[[Ruc / Dni]:[Razon Social]],2,0),"")</calculatedColumnFormula>
    </tableColumn>
    <tableColumn id="30" xr3:uid="{A3B1B8D8-E22A-7D47-8413-CE9EA040119D}" name="NOTA 4" dataDxfId="328"/>
    <tableColumn id="31" xr3:uid="{DB8F1365-67FC-5641-A2DB-7B34DC4CD137}" name="NOTA 5" dataDxfId="327"/>
    <tableColumn id="27" xr3:uid="{64C25699-BEF4-094F-8E2C-E641F6E3F2C3}" name="PERIODO" dataDxfId="326">
      <calculatedColumnFormula>IF(C_Ope_001[[#This Row],[FECHA]]&gt;0,TEXT(C_Ope_001[[#This Row],[FECHA]],"mmmm"),0)</calculatedColumnFormula>
    </tableColumn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1D8A1CC-E4AE-BF4F-9120-517AE7E02144}" name="C_Ope_002" displayName="C_Ope_002" ref="B4:AB271" totalsRowShown="0" headerRowDxfId="325" dataDxfId="324">
  <autoFilter ref="B4:AB271" xr:uid="{EA7D5B11-35C9-4844-86AB-E3BA3A957A89}"/>
  <tableColumns count="27">
    <tableColumn id="16" xr3:uid="{12C5D4FB-C531-C544-A121-86F93A6E3D53}" name="ITEM" dataDxfId="323">
      <calculatedColumnFormula>IF(C_Ope_002[[#This Row],[TIPO DE R.]]="R",COUNTIFS($D$4:$D4,"R")+1,"")</calculatedColumnFormula>
    </tableColumn>
    <tableColumn id="17" xr3:uid="{CDC0CE86-D38F-314E-A248-EA5CCBA9E7F9}" name="PORTAFOLIO" dataDxfId="322">
      <calculatedColumnFormula>"C_Ope_002"</calculatedColumnFormula>
    </tableColumn>
    <tableColumn id="18" xr3:uid="{69F3DB85-9B8B-9049-89E7-D760E1A4803F}" name="TIPO DE R." dataDxfId="321"/>
    <tableColumn id="1" xr3:uid="{463B6951-4DA7-0F41-BEA1-3309AC65C258}" name="FECHA" dataDxfId="320"/>
    <tableColumn id="2" xr3:uid="{0CEE8155-0E81-C145-A0DE-D5EF798CF3B9}" name="RESPONSABLE" dataDxfId="319"/>
    <tableColumn id="3" xr3:uid="{8BB5B7E4-D527-E54F-B2AA-8CDFCEE8F3F2}" name="TIPO DE MOV." dataDxfId="318"/>
    <tableColumn id="19" xr3:uid="{4FB6FB68-02A1-DF43-B72F-CD7894DEA5CD}" name="DESTINATARIO" dataDxfId="317"/>
    <tableColumn id="20" xr3:uid="{8CE24152-3505-C849-94F6-D677A46BFCAF}" name="TIPO DE DOCUMENTO" dataDxfId="316"/>
    <tableColumn id="21" xr3:uid="{E1086D1D-84B7-E746-ACE7-8A7283119E79}" name="SERIE" dataDxfId="315"/>
    <tableColumn id="22" xr3:uid="{3135EC2B-C060-3F49-9ADA-664FD152BC5B}" name="NUMERO" dataDxfId="314"/>
    <tableColumn id="9" xr3:uid="{E5FB535D-65C6-9641-A8FB-70284A7C9341}" name="DESCRIPCIÓN / ACTIVIDAD" dataDxfId="313"/>
    <tableColumn id="10" xr3:uid="{1699059A-53E8-D24C-8540-B614112EF231}" name="N° OPERACIÓN" dataDxfId="312"/>
    <tableColumn id="11" xr3:uid="{E88A05D0-4AF9-4B4C-A767-7B9887C87775}" name="MONEDA" dataDxfId="311">
      <calculatedColumnFormula>"PEN"</calculatedColumnFormula>
    </tableColumn>
    <tableColumn id="24" xr3:uid="{1BA23DB3-8EF5-8E42-960E-D9DD1AC422FD}" name="PARCIAL" dataDxfId="310"/>
    <tableColumn id="12" xr3:uid="{6A63AB1C-A6AD-5444-9048-73CFDF8A5104}" name="MONTO " dataDxfId="309"/>
    <tableColumn id="13" xr3:uid="{C12B188D-F898-A64E-BB32-1B16928873CA}" name="ABONO" dataDxfId="308">
      <calculatedColumnFormula>+IF(OR($G5="SALDO",$G5="INGRESO"),$P5,0)</calculatedColumnFormula>
    </tableColumn>
    <tableColumn id="14" xr3:uid="{38B853DF-8F96-7241-B4BB-7FA563CB1804}" name="RETIRO" dataDxfId="307">
      <calculatedColumnFormula>+IF($G5="EGRESO",$P5,0)</calculatedColumnFormula>
    </tableColumn>
    <tableColumn id="15" xr3:uid="{C5AD01F9-5A47-8141-8325-91B535554513}" name="SALDO" dataDxfId="306">
      <calculatedColumnFormula>IFERROR(IF(G5="SALDO",Q5,S4+Q5-R5),0)</calculatedColumnFormula>
    </tableColumn>
    <tableColumn id="25" xr3:uid="{F7B86AEA-5686-DC4B-A8E0-1F5702152AB5}" name="VB° (1)" dataDxfId="305"/>
    <tableColumn id="26" xr3:uid="{FBD604BB-14AB-3641-8265-52B794BF3FF1}" name="VB° (2)" dataDxfId="304"/>
    <tableColumn id="28" xr3:uid="{CAFD3893-BA6D-B04D-BB60-9E10EE693349}" name="CONSTANCIA (LINK)" dataDxfId="303"/>
    <tableColumn id="7" xr3:uid="{5FC0A044-5B14-FD45-BD80-78C1D2D3FE2E}" name="NOTA 1" dataDxfId="302"/>
    <tableColumn id="8" xr3:uid="{C417A14B-905F-A54D-A030-303DC2558E79}" name="NOTA 2" dataDxfId="301"/>
    <tableColumn id="29" xr3:uid="{BB055857-CEC0-544E-8F83-05D6DE69D0F8}" name="NOTA 3" dataDxfId="300">
      <calculatedColumnFormula>IFERROR(VLOOKUP(C_Ope_002[[#This Row],[NOTA 2]],Clientes_Proveedores[[Ruc / Dni]:[Razon Social]],2,0),"")</calculatedColumnFormula>
    </tableColumn>
    <tableColumn id="30" xr3:uid="{8FBD39C9-07D8-A545-83E1-57C2E646359E}" name="NOTA 4" dataDxfId="299"/>
    <tableColumn id="31" xr3:uid="{1A0A4BBD-F576-9D46-8536-EC9F9D8E507F}" name="NOTA 5" dataDxfId="298"/>
    <tableColumn id="27" xr3:uid="{2C679585-AB00-514C-959C-D3D8555AB234}" name="PERIODO" dataDxfId="297">
      <calculatedColumnFormula>IF(C_Ope_002[[#This Row],[FECHA]]&gt;0,TEXT(C_Ope_002[[#This Row],[FECHA]],"mmmm"),0)</calculatedColumnFormula>
    </tableColumn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0578C1-A787-8D4B-A612-A51B08275593}" name="C_Ope_003" displayName="C_Ope_003" ref="B4:AB266" totalsRowShown="0" headerRowDxfId="296" dataDxfId="295">
  <autoFilter ref="B4:AB266" xr:uid="{EA7D5B11-35C9-4844-86AB-E3BA3A957A89}"/>
  <tableColumns count="27">
    <tableColumn id="16" xr3:uid="{CD10FDD8-531A-3147-88FC-595E766C5FD6}" name="ITEM" dataDxfId="294">
      <calculatedColumnFormula>IF(C_Ope_003[[#This Row],[TIPO DE R.]]="R",COUNTIFS($D$4:$D4,"R")+1,"")</calculatedColumnFormula>
    </tableColumn>
    <tableColumn id="17" xr3:uid="{44EE1209-8051-0C44-8006-43CE8F66F814}" name="PORTAFOLIO" dataDxfId="293">
      <calculatedColumnFormula>"C_Ope_003"</calculatedColumnFormula>
    </tableColumn>
    <tableColumn id="18" xr3:uid="{16E5C0B1-CF52-BB4F-B26E-7B57FB2F58B6}" name="TIPO DE R." dataDxfId="292"/>
    <tableColumn id="1" xr3:uid="{9921F9FA-9292-514D-9949-CB0123488519}" name="FECHA" dataDxfId="291"/>
    <tableColumn id="2" xr3:uid="{EA7A8281-0EAF-0E4D-8A3A-CBEF6BAF47F3}" name="RESPONSABLE" dataDxfId="290"/>
    <tableColumn id="3" xr3:uid="{31E502FC-EB0F-5545-80A5-E0EEFD3C7F30}" name="TIPO DE MOV." dataDxfId="289"/>
    <tableColumn id="19" xr3:uid="{7D5C0AA7-7C95-724D-A024-CE055B411EEF}" name="DESTINATARIO" dataDxfId="288"/>
    <tableColumn id="20" xr3:uid="{A3F60A9D-5D5D-9B4B-BFF1-C7057A4B5125}" name="TIPO DE DOCUMENTO" dataDxfId="287"/>
    <tableColumn id="21" xr3:uid="{57F92E11-2B54-FA46-B884-37C417593E2C}" name="SERIE" dataDxfId="286"/>
    <tableColumn id="22" xr3:uid="{9CA634AC-3570-7B4C-9F76-7D49D0247D34}" name="NUMERO" dataDxfId="285"/>
    <tableColumn id="9" xr3:uid="{8657D443-A6F0-FC41-9B94-1DCCAEAE89B3}" name="DESCRIPCIÓN / ACTIVIDAD" dataDxfId="284"/>
    <tableColumn id="10" xr3:uid="{2CCA89E9-94FE-9C47-A484-240709DC8BDE}" name="N° OPERACIÓN" dataDxfId="283"/>
    <tableColumn id="11" xr3:uid="{C6439602-0206-4143-979C-0C696DB69D59}" name="MONEDA" dataDxfId="282">
      <calculatedColumnFormula>"PEN"</calculatedColumnFormula>
    </tableColumn>
    <tableColumn id="24" xr3:uid="{17BB7B4E-CF44-664C-B20B-59BCBC2889C1}" name="PARCIAL" dataDxfId="281"/>
    <tableColumn id="12" xr3:uid="{72C7BFCF-E83B-EC4C-A226-1D9C90F0E779}" name="MONTO " dataDxfId="280"/>
    <tableColumn id="13" xr3:uid="{CA01DE32-4B32-1748-9F19-C73314FE4B8E}" name="ABONO" dataDxfId="279">
      <calculatedColumnFormula>+IF(OR($G5="SALDO",$G5="INGRESO"),$P5,0)</calculatedColumnFormula>
    </tableColumn>
    <tableColumn id="14" xr3:uid="{25C3980D-AA62-DC48-85AD-1B81F8A5076E}" name="RETIRO" dataDxfId="278">
      <calculatedColumnFormula>+IF($G5="EGRESO",$P5,0)</calculatedColumnFormula>
    </tableColumn>
    <tableColumn id="15" xr3:uid="{481A36DE-6D6C-584D-BC4F-9482109AF4A3}" name="SALDO" dataDxfId="277">
      <calculatedColumnFormula>IFERROR(IF(G5="SALDO",Q5,S4+Q5-R5),0)</calculatedColumnFormula>
    </tableColumn>
    <tableColumn id="25" xr3:uid="{96B56412-523D-594D-BA35-35D9F1AC9F16}" name="VB° (1)" dataDxfId="276"/>
    <tableColumn id="26" xr3:uid="{630E3D63-6152-CA46-A2CC-E5A0751C5558}" name="VB° (2)" dataDxfId="275"/>
    <tableColumn id="28" xr3:uid="{2923EE43-15EE-8040-BA0E-9FC7EFA2FFA7}" name="CONSTANCIA (LINK)" dataDxfId="274"/>
    <tableColumn id="7" xr3:uid="{6948AD8D-3370-8E43-8A28-7A2EFC10EB68}" name="NOTA 1" dataDxfId="273"/>
    <tableColumn id="8" xr3:uid="{CDA9A84F-3304-0144-ABCF-20ABDEB87F2A}" name="NOTA 2" dataDxfId="272"/>
    <tableColumn id="29" xr3:uid="{7885FB47-0563-0E46-859D-5B3AD5AA2701}" name="NOTA 3" dataDxfId="271">
      <calculatedColumnFormula>IFERROR(VLOOKUP(C_Ope_003[[#This Row],[NOTA 2]],Clientes_Proveedores[[Ruc / Dni]:[Razon Social]],2,0),"")</calculatedColumnFormula>
    </tableColumn>
    <tableColumn id="30" xr3:uid="{A816C02D-D970-F042-ABE1-EEC3BDB14FF7}" name="NOTA 4" dataDxfId="270"/>
    <tableColumn id="31" xr3:uid="{D35BA4FC-28FD-1947-8CC1-134839FEE287}" name="NOTA 5" dataDxfId="269"/>
    <tableColumn id="27" xr3:uid="{55250F84-185D-4249-B59E-7B07B59A4FDB}" name="PERIODO" dataDxfId="268">
      <calculatedColumnFormula>IF(C_Ope_003[[#This Row],[FECHA]]&gt;0,TEXT(C_Ope_003[[#This Row],[FECHA]],"mmmm"),0)</calculatedColumnFormula>
    </tableColumn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166CAD9-B83D-4769-9897-F38121BA6718}" name="C_Ope_004" displayName="C_Ope_004" ref="B4:AB229" totalsRowShown="0" headerRowDxfId="267" dataDxfId="266">
  <autoFilter ref="B4:AB229" xr:uid="{EA7D5B11-35C9-4844-86AB-E3BA3A957A89}"/>
  <tableColumns count="27">
    <tableColumn id="16" xr3:uid="{974A8572-50E6-4327-A298-3525D070F165}" name="ITEM" dataDxfId="265">
      <calculatedColumnFormula>IF(C_Ope_004[[#This Row],[TIPO DE R.]]="R",COUNTIFS($D$4:$D4,"R")+1,"")</calculatedColumnFormula>
    </tableColumn>
    <tableColumn id="17" xr3:uid="{4473F360-5519-4147-9F13-10088E3B03EA}" name="PORTAFOLIO" dataDxfId="264">
      <calculatedColumnFormula>"C_Ope_004"</calculatedColumnFormula>
    </tableColumn>
    <tableColumn id="18" xr3:uid="{BE65C91B-D805-4074-B7A1-AB9AD8AC6A85}" name="TIPO DE R." dataDxfId="263"/>
    <tableColumn id="1" xr3:uid="{C8A698FE-ABEC-4B1E-A8B9-07582B8CCD94}" name="FECHA" dataDxfId="262"/>
    <tableColumn id="2" xr3:uid="{745034D7-5F5B-44E7-9D58-DADAD37CDB58}" name="RESPONSABLE" dataDxfId="261"/>
    <tableColumn id="3" xr3:uid="{E3E96E9A-CFCC-488B-8DE8-DA991BFBA309}" name="TIPO DE MOV." dataDxfId="260"/>
    <tableColumn id="19" xr3:uid="{F2C7A815-E7BD-4B36-9BBE-E47D7A8FBDE8}" name="DESTINATARIO" dataDxfId="259"/>
    <tableColumn id="20" xr3:uid="{A0ABDF02-1F0D-4FD9-9B25-F0A47F8273DF}" name="TIPO DE DOCUMENTO" dataDxfId="258"/>
    <tableColumn id="21" xr3:uid="{0BAF3B94-6BED-4FA1-A75A-BCDDECF42A62}" name="SERIE" dataDxfId="257"/>
    <tableColumn id="22" xr3:uid="{D4483E5B-34EC-423E-8CCD-BB639A5CD643}" name="NUMERO" dataDxfId="256"/>
    <tableColumn id="9" xr3:uid="{37169DDB-80DF-4D67-BD0A-1D936E40C8AD}" name="DESCRIPCIÓN / ACTIVIDAD" dataDxfId="255"/>
    <tableColumn id="10" xr3:uid="{CA592E7F-6E7A-4D07-8917-F1A610CA7F40}" name="N° OPERACIÓN" dataDxfId="254"/>
    <tableColumn id="11" xr3:uid="{B5F319A5-69A7-4177-A9B6-1327C14F81D9}" name="MONEDA" dataDxfId="253">
      <calculatedColumnFormula>"PEN"</calculatedColumnFormula>
    </tableColumn>
    <tableColumn id="24" xr3:uid="{AD3D6B41-8947-4BE1-B4B5-97D2E8771723}" name="PARCIAL" dataDxfId="252"/>
    <tableColumn id="12" xr3:uid="{9E921D7E-339C-4DFE-B301-64A34A57F0C1}" name="MONTO " dataDxfId="251"/>
    <tableColumn id="13" xr3:uid="{29BB35CA-F6DC-46BF-B243-5192E25ECEBB}" name="ABONO" dataDxfId="250">
      <calculatedColumnFormula>+IF(OR($G5="SALDO",$G5="INGRESO"),$P5,0)</calculatedColumnFormula>
    </tableColumn>
    <tableColumn id="14" xr3:uid="{71B923F3-07CD-4F5C-9F5B-164BC412642F}" name="RETIRO" dataDxfId="249">
      <calculatedColumnFormula>+IF($G5="EGRESO",$P5,0)</calculatedColumnFormula>
    </tableColumn>
    <tableColumn id="15" xr3:uid="{099B4BC5-3D02-4D25-AFA4-3F09D8643050}" name="SALDO" dataDxfId="248">
      <calculatedColumnFormula>IFERROR(IF(G5="SALDO",Q5,S4+Q5-R5),0)</calculatedColumnFormula>
    </tableColumn>
    <tableColumn id="25" xr3:uid="{8415D3C7-CDFC-45E7-B290-879A862DCE22}" name="VB° (1)" dataDxfId="247"/>
    <tableColumn id="26" xr3:uid="{5C5E3F6B-C816-4CE1-8E79-BBD806F51BD7}" name="VB° (2)" dataDxfId="246"/>
    <tableColumn id="28" xr3:uid="{BD4608BA-1816-40D6-8B21-D61A86EF7A4B}" name="CONSTANCIA (LINK)" dataDxfId="245"/>
    <tableColumn id="7" xr3:uid="{73925506-D3FA-4982-B705-61A8EAAEB279}" name="NOTA 1" dataDxfId="244"/>
    <tableColumn id="8" xr3:uid="{CC6F4C17-01BC-446D-A8B4-DBFFEB66090A}" name="NOTA 2" dataDxfId="243"/>
    <tableColumn id="29" xr3:uid="{C838EE8E-47D4-45F2-B312-B42F4A8122F0}" name="NOTA 3" dataDxfId="242">
      <calculatedColumnFormula>IFERROR(VLOOKUP(C_Ope_004[[#This Row],[NOTA 2]],Clientes_Proveedores[[Ruc / Dni]:[Razon Social]],2,0),"")</calculatedColumnFormula>
    </tableColumn>
    <tableColumn id="30" xr3:uid="{ABBE24CA-847E-4E74-9995-A886B1AD69A0}" name="NOTA 4" dataDxfId="241"/>
    <tableColumn id="31" xr3:uid="{3A4F839B-83B7-418E-9B68-CEB5AAAAFFCC}" name="NOTA 5" dataDxfId="240"/>
    <tableColumn id="27" xr3:uid="{719B725E-9771-422E-8E93-519C5FFA8F9F}" name="PERIODO" dataDxfId="239">
      <calculatedColumnFormula>IF(C_Ope_004[[#This Row],[FECHA]]&gt;0,TEXT(C_Ope_004[[#This Row],[FECHA]],"mmmm"),0)</calculatedColumnFormula>
    </tableColumn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F12324E-649E-4A0A-A73E-251A620F5C63}" name="C_Ope_005" displayName="C_Ope_005" ref="B4:AB444" totalsRowShown="0" headerRowDxfId="238" dataDxfId="237">
  <autoFilter ref="B4:AB444" xr:uid="{EA7D5B11-35C9-4844-86AB-E3BA3A957A89}"/>
  <tableColumns count="27">
    <tableColumn id="16" xr3:uid="{5886B412-9B46-47CA-891F-2E11EE7E391A}" name="ITEM" dataDxfId="236">
      <calculatedColumnFormula>IF(C_Ope_005[[#This Row],[TIPO DE R.]]="R",COUNTIFS($D$4:$D4,"R")+1,"")</calculatedColumnFormula>
    </tableColumn>
    <tableColumn id="17" xr3:uid="{758CEC37-6354-476E-A8EF-3EA83671300C}" name="PORTAFOLIO" dataDxfId="235">
      <calculatedColumnFormula>"C_Ope_005"</calculatedColumnFormula>
    </tableColumn>
    <tableColumn id="18" xr3:uid="{BF03E74A-C208-4392-B109-B8047E29203D}" name="TIPO DE R." dataDxfId="234"/>
    <tableColumn id="1" xr3:uid="{C50E6460-8575-4199-9FC2-002E972DB5B2}" name="FECHA" dataDxfId="233"/>
    <tableColumn id="2" xr3:uid="{480F0C4E-984C-4ADF-9753-59CB9C53189F}" name="RESPONSABLE" dataDxfId="232"/>
    <tableColumn id="3" xr3:uid="{B55571A2-938A-4A61-8066-A389E08793DA}" name="TIPO DE MOV." dataDxfId="231"/>
    <tableColumn id="19" xr3:uid="{763AADEF-63EE-4860-9CAD-2EC36EEFB9E2}" name="DESTINATARIO" dataDxfId="230"/>
    <tableColumn id="20" xr3:uid="{73A34D82-FB91-405C-9ECA-2394E19151E5}" name="TIPO DE DOCUMENTO" dataDxfId="229"/>
    <tableColumn id="21" xr3:uid="{3CAB50A5-6A04-4CB8-ABE7-3C46774E92DC}" name="SERIE" dataDxfId="228"/>
    <tableColumn id="22" xr3:uid="{FB3A73E9-1F08-4671-8F3D-4C9C401DD79D}" name="NUMERO" dataDxfId="227"/>
    <tableColumn id="9" xr3:uid="{3C6357ED-6183-4245-A5CD-98F35723C8AD}" name="DESCRIPCIÓN / ACTIVIDAD" dataDxfId="226"/>
    <tableColumn id="10" xr3:uid="{5BD51F65-6071-4A20-B08F-60F500B09897}" name="N° OPERACIÓN" dataDxfId="225"/>
    <tableColumn id="11" xr3:uid="{5B308AF5-F1C4-4DF4-B251-B9BCDE038CF7}" name="MONEDA" dataDxfId="224">
      <calculatedColumnFormula>"PEN"</calculatedColumnFormula>
    </tableColumn>
    <tableColumn id="24" xr3:uid="{438199C6-1C23-497C-BBC2-84221C508226}" name="PARCIAL" dataDxfId="223"/>
    <tableColumn id="12" xr3:uid="{98060DFE-A6DE-4843-9343-E6DA8E7C1281}" name="MONTO " dataDxfId="222"/>
    <tableColumn id="13" xr3:uid="{B367B01C-B1C5-49B4-81BF-2602D5C5C144}" name="ABONO" dataDxfId="221">
      <calculatedColumnFormula>+IF(OR($G5="SALDO",$G5="INGRESO"),$P5,0)</calculatedColumnFormula>
    </tableColumn>
    <tableColumn id="14" xr3:uid="{277FA9B6-1918-40C2-9577-288A70C0A6EB}" name="RETIRO" dataDxfId="220">
      <calculatedColumnFormula>+IF($G5="EGRESO",$P5,0)</calculatedColumnFormula>
    </tableColumn>
    <tableColumn id="15" xr3:uid="{45B51D59-0509-4115-95B9-D6C3B14FD513}" name="SALDO" dataDxfId="219">
      <calculatedColumnFormula>IFERROR(IF(G5="SALDO",Q5,S4+Q5-R5),0)</calculatedColumnFormula>
    </tableColumn>
    <tableColumn id="25" xr3:uid="{47837195-B855-4A0E-8A55-20A1FFC5DB91}" name="VB° (1)" dataDxfId="218"/>
    <tableColumn id="26" xr3:uid="{A49FEDC1-09C1-4B83-B06A-5582D402498F}" name="VB° (2)" dataDxfId="217"/>
    <tableColumn id="28" xr3:uid="{ADE072F9-34C1-473E-9757-D202D67EB78B}" name="CONSTANCIA (LINK)" dataDxfId="216"/>
    <tableColumn id="7" xr3:uid="{8B2E1858-58A4-4F45-AFD5-271FADDE023F}" name="NOTA 1" dataDxfId="215"/>
    <tableColumn id="8" xr3:uid="{ABC43C06-C0F4-43D8-AC5B-74895CCAAA8D}" name="NOTA 2" dataDxfId="214"/>
    <tableColumn id="29" xr3:uid="{AD0ED549-2564-40C7-8759-D4ECE492B05F}" name="NOTA 3" dataDxfId="213">
      <calculatedColumnFormula>IFERROR(VLOOKUP(C_Ope_005[[#This Row],[NOTA 2]],Clientes_Proveedores[[Ruc / Dni]:[Razon Social]],2,0),"")</calculatedColumnFormula>
    </tableColumn>
    <tableColumn id="30" xr3:uid="{E5550E13-CF3E-49B9-B675-28973FF058F7}" name="NOTA 4" dataDxfId="212"/>
    <tableColumn id="31" xr3:uid="{DB506588-8A5E-46A2-B1C2-EBC84B7BB6C3}" name="NOTA 5" dataDxfId="211"/>
    <tableColumn id="27" xr3:uid="{98B87084-EF1C-4CD3-B45E-4175939B34FC}" name="PERIODO" dataDxfId="210">
      <calculatedColumnFormula>IF(C_Ope_005[[#This Row],[FECHA]]&gt;0,TEXT(C_Ope_005[[#This Row],[FECHA]],"mmmm"),0)</calculatedColumnFormula>
    </tableColumn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8F16DDA-53CD-474F-A026-9AA5100E827C}" name="C_Ope_006" displayName="C_Ope_006" ref="B4:AB235" totalsRowShown="0" headerRowDxfId="209" dataDxfId="208">
  <autoFilter ref="B4:AB235" xr:uid="{EA7D5B11-35C9-4844-86AB-E3BA3A957A89}"/>
  <tableColumns count="27">
    <tableColumn id="16" xr3:uid="{464172A9-D3E6-EF4B-98F5-D0F1D2156220}" name="ITEM" dataDxfId="207">
      <calculatedColumnFormula>IF(C_Ope_006[[#This Row],[TIPO DE R.]]="R",COUNTIFS($D$4:$D4,"R")+1,"")</calculatedColumnFormula>
    </tableColumn>
    <tableColumn id="17" xr3:uid="{8D796604-D232-524B-A8F1-A645EBE5B6C2}" name="PORTAFOLIO" dataDxfId="206">
      <calculatedColumnFormula>"C_Ope_006"</calculatedColumnFormula>
    </tableColumn>
    <tableColumn id="18" xr3:uid="{C4242E4E-D4EF-F949-AA49-52DE0850E0C3}" name="TIPO DE R." dataDxfId="205"/>
    <tableColumn id="1" xr3:uid="{54628E08-7C9E-2244-8CB2-3202F7BF78BE}" name="FECHA" dataDxfId="204"/>
    <tableColumn id="2" xr3:uid="{0201491F-AB61-4C43-B28C-1773015F7C01}" name="RESPONSABLE" dataDxfId="203"/>
    <tableColumn id="3" xr3:uid="{3CCB1E60-8F8A-7D4F-AE27-09F699C527E1}" name="TIPO DE MOV." dataDxfId="202"/>
    <tableColumn id="19" xr3:uid="{1017336B-DD36-2A49-B6A4-1E54AF6655E3}" name="DESTINATARIO" dataDxfId="201"/>
    <tableColumn id="20" xr3:uid="{6EF4BD3B-C9B8-BB45-90BD-DD8BFB454345}" name="TIPO DE DOCUMENTO" dataDxfId="200"/>
    <tableColumn id="21" xr3:uid="{1C3F4759-04CA-A640-86E9-5C4CB7187A56}" name="SERIE" dataDxfId="199"/>
    <tableColumn id="22" xr3:uid="{7BD7F998-A23D-5942-BFE3-4D054C168515}" name="NUMERO" dataDxfId="198"/>
    <tableColumn id="9" xr3:uid="{A8967795-64AF-5D48-9377-0EE704EE8AB0}" name="DESCRIPCIÓN / ACTIVIDAD" dataDxfId="197"/>
    <tableColumn id="10" xr3:uid="{B9176D13-57D2-7847-AF76-BFC9E7682AF4}" name="N° OPERACIÓN" dataDxfId="196"/>
    <tableColumn id="11" xr3:uid="{4C966165-705B-3A47-A95F-F5EA7C8E4D30}" name="MONEDA" dataDxfId="195">
      <calculatedColumnFormula>"PEN"</calculatedColumnFormula>
    </tableColumn>
    <tableColumn id="24" xr3:uid="{0E25FD41-6129-9E44-96C0-B01A6E2488F5}" name="PARCIAL" dataDxfId="194"/>
    <tableColumn id="12" xr3:uid="{3966EFDF-C0B0-CC40-A2A0-3249683DF7CE}" name="MONTO " dataDxfId="193"/>
    <tableColumn id="13" xr3:uid="{DA2EDECD-7F28-1946-BAFA-4ACC2CEABA9A}" name="ABONO" dataDxfId="192">
      <calculatedColumnFormula>+IF(OR($G5="SALDO",$G5="INGRESO"),$P5,0)</calculatedColumnFormula>
    </tableColumn>
    <tableColumn id="14" xr3:uid="{1FFC52CA-E522-A542-8937-1D0EF812AA60}" name="RETIRO" dataDxfId="191">
      <calculatedColumnFormula>+IF($G5="EGRESO",$P5,0)</calculatedColumnFormula>
    </tableColumn>
    <tableColumn id="15" xr3:uid="{2F862BB1-9E47-C445-A5A8-AD4D0258ED04}" name="SALDO" dataDxfId="190">
      <calculatedColumnFormula>IFERROR(IF(G5="SALDO",Q5,S4+Q5-R5),0)</calculatedColumnFormula>
    </tableColumn>
    <tableColumn id="25" xr3:uid="{DE601363-49E8-8A4F-9F09-B197ADC4B730}" name="VB° (1)" dataDxfId="189"/>
    <tableColumn id="26" xr3:uid="{E1F12E74-5404-C941-9908-5B5DDEC6D0FA}" name="VB° (2)" dataDxfId="188"/>
    <tableColumn id="28" xr3:uid="{BC783D02-3254-3045-A6C4-253847F4670E}" name="CONSTANCIA (LINK)" dataDxfId="187"/>
    <tableColumn id="7" xr3:uid="{DC98DDE8-E4B6-E243-8A97-63610DF4CD00}" name="NOTA 1" dataDxfId="186"/>
    <tableColumn id="8" xr3:uid="{2A4242F6-47AE-2C4B-BAD3-400D5EFB26A4}" name="NOTA 2" dataDxfId="185"/>
    <tableColumn id="29" xr3:uid="{D8399667-456D-0044-A374-6C14FCF4B186}" name="NOTA 3" dataDxfId="184">
      <calculatedColumnFormula>IFERROR(VLOOKUP(C_Ope_006[[#This Row],[NOTA 2]],Clientes_Proveedores[[Ruc / Dni]:[Razon Social]],2,0),"")</calculatedColumnFormula>
    </tableColumn>
    <tableColumn id="30" xr3:uid="{82BF1F0E-817B-6942-B026-58958C288E1C}" name="NOTA 4" dataDxfId="183"/>
    <tableColumn id="31" xr3:uid="{31FD56E9-53A1-6648-A0B7-060B846984F8}" name="NOTA 5" dataDxfId="182"/>
    <tableColumn id="27" xr3:uid="{A35081F2-B6DE-1540-AF67-A952E1E00409}" name="PERIODO" dataDxfId="181">
      <calculatedColumnFormula>IF(C_Ope_006[[#This Row],[FECHA]]&gt;0,TEXT(C_Ope_006[[#This Row],[FECHA]],"mmmm"),0)</calculatedColumnFormula>
    </tableColumn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4994DC6-9528-8C45-AA16-5051A8DED5C7}" name="C_Ope_007" displayName="C_Ope_007" ref="B4:AB249" totalsRowShown="0" headerRowDxfId="180" dataDxfId="179">
  <autoFilter ref="B4:AB249" xr:uid="{EA7D5B11-35C9-4844-86AB-E3BA3A957A89}"/>
  <tableColumns count="27">
    <tableColumn id="16" xr3:uid="{CE6D02D2-2D5A-D848-8279-85BC1D9D519F}" name="ITEM" dataDxfId="178">
      <calculatedColumnFormula>IF(C_Ope_007[[#This Row],[TIPO DE R.]]="R",COUNTIFS($D$4:$D4,"R")+1,"")</calculatedColumnFormula>
    </tableColumn>
    <tableColumn id="17" xr3:uid="{3F090286-A4C9-964E-B40C-88C003259469}" name="PORTAFOLIO" dataDxfId="177">
      <calculatedColumnFormula>"C_Ope_007"</calculatedColumnFormula>
    </tableColumn>
    <tableColumn id="18" xr3:uid="{CDC52057-6A71-3D4E-955A-B648CB2943D9}" name="TIPO DE R." dataDxfId="176"/>
    <tableColumn id="1" xr3:uid="{9D81ECE0-F686-B04E-8B10-AFC51B7FBCB2}" name="FECHA" dataDxfId="175"/>
    <tableColumn id="2" xr3:uid="{909FDFEE-72F9-1A4C-92EC-AEC941EB33A1}" name="RESPONSABLE" dataDxfId="174"/>
    <tableColumn id="3" xr3:uid="{A608876F-942D-E04C-BBA2-0D542AFCC781}" name="TIPO DE MOV." dataDxfId="173"/>
    <tableColumn id="19" xr3:uid="{B9FD24FB-2229-1B44-A805-EE78C57009D9}" name="DESTINATARIO" dataDxfId="172"/>
    <tableColumn id="20" xr3:uid="{EAC7655D-A09B-9C49-8141-475A345D34B8}" name="TIPO DE DOCUMENTO" dataDxfId="171"/>
    <tableColumn id="21" xr3:uid="{2BAA8CA4-11F6-A642-8861-289AF3B8EC81}" name="SERIE" dataDxfId="170"/>
    <tableColumn id="22" xr3:uid="{911610EE-742C-3340-9A5E-4D9957AE99BC}" name="NUMERO" dataDxfId="169"/>
    <tableColumn id="9" xr3:uid="{50FB0498-6117-8E4C-823C-BE5E4A0D300D}" name="DESCRIPCIÓN / ACTIVIDAD" dataDxfId="168"/>
    <tableColumn id="10" xr3:uid="{760D82EE-66E7-4945-8FAA-28D9D50FAB21}" name="N° OPERACIÓN" dataDxfId="167"/>
    <tableColumn id="11" xr3:uid="{F3DA6AB8-A934-0947-9A7A-D7325BA3270F}" name="MONEDA" dataDxfId="166">
      <calculatedColumnFormula>"PEN"</calculatedColumnFormula>
    </tableColumn>
    <tableColumn id="24" xr3:uid="{F2E56035-DCA7-E942-ADD9-8CA947D72F4B}" name="PARCIAL" dataDxfId="165"/>
    <tableColumn id="12" xr3:uid="{314E65DA-3807-434B-9817-69E3ABFAA3DD}" name="MONTO " dataDxfId="164"/>
    <tableColumn id="13" xr3:uid="{CF6C2924-8A82-E24D-9321-85BFDE90DC64}" name="ABONO" dataDxfId="163">
      <calculatedColumnFormula>+IF(OR($G5="SALDO",$G5="INGRESO"),$P5,0)</calculatedColumnFormula>
    </tableColumn>
    <tableColumn id="14" xr3:uid="{8205646D-2564-5B4B-A80A-7C68F33E99F3}" name="RETIRO" dataDxfId="162">
      <calculatedColumnFormula>+IF($G5="EGRESO",$P5,0)</calculatedColumnFormula>
    </tableColumn>
    <tableColumn id="15" xr3:uid="{3ED408E6-F456-424F-B40E-18A7219DE9B3}" name="SALDO" dataDxfId="161">
      <calculatedColumnFormula>IFERROR(IF(G5="SALDO",Q5,S4+Q5-R5),0)</calculatedColumnFormula>
    </tableColumn>
    <tableColumn id="25" xr3:uid="{9E451E34-86D9-0341-81AA-4639801A5B16}" name="VB° (1)" dataDxfId="160"/>
    <tableColumn id="26" xr3:uid="{63711B52-0931-FB4D-8BD3-9322CE06D8B3}" name="VB° (2)" dataDxfId="159"/>
    <tableColumn id="28" xr3:uid="{87E2A27D-F3DF-CD4E-A34A-FB7F32703CC9}" name="CONSTANCIA (LINK)" dataDxfId="158"/>
    <tableColumn id="7" xr3:uid="{8A6632E6-ABAF-D04F-85B1-D593650B6290}" name="NOTA 1" dataDxfId="157"/>
    <tableColumn id="8" xr3:uid="{8562FECC-3F37-8D48-B84C-8DF75F4BF693}" name="NOTA 2" dataDxfId="156"/>
    <tableColumn id="29" xr3:uid="{404C1D8B-CAB7-BB4F-8D00-FCAF1D938DCB}" name="NOTA 3" dataDxfId="155">
      <calculatedColumnFormula>IFERROR(VLOOKUP(C_Ope_007[[#This Row],[NOTA 2]],Clientes_Proveedores[[Ruc / Dni]:[Razon Social]],2,0),"")</calculatedColumnFormula>
    </tableColumn>
    <tableColumn id="30" xr3:uid="{568013E1-1C43-594B-B52A-DB7180AD2D42}" name="NOTA 4" dataDxfId="154"/>
    <tableColumn id="31" xr3:uid="{A55A58A8-E13F-7C40-8CF8-07D5C3820678}" name="NOTA 5" dataDxfId="153"/>
    <tableColumn id="27" xr3:uid="{0D14B43D-39A4-EA4C-82B8-6076F982C135}" name="PERIODO" dataDxfId="152">
      <calculatedColumnFormula>IF(C_Ope_007[[#This Row],[FECHA]]&gt;0,TEXT(C_Ope_007[[#This Row],[FECHA]],"mmmm"),0)</calculatedColumnFormula>
    </tableColumn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EE5BFAD-13FB-4F62-9359-2DC8EB8F96B0}" name="C_Ope_008" displayName="C_Ope_008" ref="B4:AB117" totalsRowShown="0" headerRowDxfId="151" dataDxfId="150">
  <autoFilter ref="B4:AB117" xr:uid="{EA7D5B11-35C9-4844-86AB-E3BA3A957A89}"/>
  <tableColumns count="27">
    <tableColumn id="16" xr3:uid="{D12FCCD4-760B-4642-8039-90FE3A5F7E30}" name="ITEM" dataDxfId="149">
      <calculatedColumnFormula>IF(C_Ope_008[[#This Row],[TIPO DE R.]]="R",COUNTIFS($D$4:$D4,"R")+1,"")</calculatedColumnFormula>
    </tableColumn>
    <tableColumn id="17" xr3:uid="{251CABF3-6799-41B5-8774-C60C1D3E3A90}" name="PORTAFOLIO" dataDxfId="148">
      <calculatedColumnFormula>"C_Ope_008"</calculatedColumnFormula>
    </tableColumn>
    <tableColumn id="18" xr3:uid="{89A571D8-537E-4746-A22F-B369727FEEB1}" name="TIPO DE R." dataDxfId="147"/>
    <tableColumn id="1" xr3:uid="{B93E47F9-3C7E-4E4A-A475-F4148FD49E31}" name="FECHA" dataDxfId="146"/>
    <tableColumn id="2" xr3:uid="{87B3D0CD-E50D-4ABB-B2D2-CFD107B15974}" name="RESPONSABLE" dataDxfId="145"/>
    <tableColumn id="3" xr3:uid="{F4B51E35-BFF0-48B3-BEFA-7331C4A7952C}" name="TIPO DE MOV." dataDxfId="144"/>
    <tableColumn id="19" xr3:uid="{23ACB461-2232-4828-A187-42D8D6BC548B}" name="DESTINATARIO" dataDxfId="143"/>
    <tableColumn id="20" xr3:uid="{5BD8E6F5-5486-4F58-BC9D-883D8C60EF3D}" name="TIPO DE DOCUMENTO" dataDxfId="142"/>
    <tableColumn id="21" xr3:uid="{3D48E77F-C696-457E-9112-FF5867375008}" name="SERIE" dataDxfId="141"/>
    <tableColumn id="22" xr3:uid="{6726B7F6-E559-4021-B584-FBB4B2EFC9C5}" name="NUMERO" dataDxfId="140"/>
    <tableColumn id="9" xr3:uid="{CE857BAB-E089-4359-B814-5030439032DF}" name="DESCRIPCIÓN / ACTIVIDAD" dataDxfId="139"/>
    <tableColumn id="10" xr3:uid="{11D90F55-9F4F-40EC-886C-8961217103BD}" name="N° OPERACIÓN" dataDxfId="138"/>
    <tableColumn id="11" xr3:uid="{09DF452A-FF48-4BA4-9DF5-515F03EA4662}" name="MONEDA" dataDxfId="137">
      <calculatedColumnFormula>"PEN"</calculatedColumnFormula>
    </tableColumn>
    <tableColumn id="24" xr3:uid="{6281D09E-71CE-4899-AB0F-3C4329531F72}" name="PARCIAL" dataDxfId="136"/>
    <tableColumn id="12" xr3:uid="{7F673A16-8EAB-4378-9E8D-633CBD0A7365}" name="MONTO " dataDxfId="135"/>
    <tableColumn id="13" xr3:uid="{05D2B876-C021-4F2E-AD04-DA026917537F}" name="ABONO" dataDxfId="134">
      <calculatedColumnFormula>+IF(OR($G5="SALDO",$G5="INGRESO"),$P5,0)</calculatedColumnFormula>
    </tableColumn>
    <tableColumn id="14" xr3:uid="{055635D7-B42A-4739-840C-C8CAC01F8621}" name="RETIRO" dataDxfId="133">
      <calculatedColumnFormula>+IF($G5="EGRESO",$P5,0)</calculatedColumnFormula>
    </tableColumn>
    <tableColumn id="15" xr3:uid="{0C71DA18-0E1C-4FE0-B65B-5260B09B8E18}" name="SALDO" dataDxfId="132">
      <calculatedColumnFormula>IFERROR(IF(G5="SALDO",Q5,S4+Q5-R5),0)</calculatedColumnFormula>
    </tableColumn>
    <tableColumn id="25" xr3:uid="{7D4B356C-2BAF-4709-9A62-7C78CFC09D7D}" name="VB° (1)" dataDxfId="131"/>
    <tableColumn id="26" xr3:uid="{C0E55D38-B7BC-4155-B0EB-2F4065439504}" name="VB° (2)" dataDxfId="130"/>
    <tableColumn id="28" xr3:uid="{5830757D-A135-4072-8867-C98961556391}" name="CONSTANCIA (LINK)" dataDxfId="129"/>
    <tableColumn id="7" xr3:uid="{7CD87F74-0DDA-4CD5-BD4B-DCDEC5360BA3}" name="NOTA 1" dataDxfId="128"/>
    <tableColumn id="8" xr3:uid="{E9797273-C6A3-4F33-8982-E05523FF6BFF}" name="NOTA 2" dataDxfId="127"/>
    <tableColumn id="29" xr3:uid="{5760C11D-5C21-4935-94DC-9778C9AA2473}" name="NOTA 3" dataDxfId="126">
      <calculatedColumnFormula>IFERROR(VLOOKUP(C_Ope_008[[#This Row],[NOTA 2]],Clientes_Proveedores[[Ruc / Dni]:[Razon Social]],2,0),"")</calculatedColumnFormula>
    </tableColumn>
    <tableColumn id="30" xr3:uid="{5CFA2DB7-BE0A-4643-A667-B273221E85BC}" name="NOTA 4" dataDxfId="125"/>
    <tableColumn id="31" xr3:uid="{92225355-D17B-48A4-BB90-A71F662D7920}" name="NOTA 5" dataDxfId="124"/>
    <tableColumn id="27" xr3:uid="{784FDFAC-EC0E-4721-8089-7E238C33FAC1}" name="PERIODO" dataDxfId="123">
      <calculatedColumnFormula>IF(C_Ope_008[[#This Row],[FECHA]]&gt;0,TEXT(C_Ope_008[[#This Row],[FECHA]],"mmmm"),0)</calculatedColumnFormula>
    </tableColumn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CE350AC-EF2E-5142-9D25-B4BC4CB74CFB}" name="C_Ope_009" displayName="C_Ope_009" ref="B4:AB71" totalsRowShown="0" headerRowDxfId="122" dataDxfId="121">
  <autoFilter ref="B4:AB71" xr:uid="{EA7D5B11-35C9-4844-86AB-E3BA3A957A89}"/>
  <tableColumns count="27">
    <tableColumn id="16" xr3:uid="{46455D8F-FF40-534A-8C83-9A1DE3C7D108}" name="ITEM" dataDxfId="120">
      <calculatedColumnFormula>IF(C_Ope_009[[#This Row],[TIPO DE R.]]="R",COUNTIFS($D$4:$D4,"R")+1,"")</calculatedColumnFormula>
    </tableColumn>
    <tableColumn id="17" xr3:uid="{F471952D-5131-8847-A0AD-21BA99D4063F}" name="PORTAFOLIO" dataDxfId="119">
      <calculatedColumnFormula>"C_Ope_009"</calculatedColumnFormula>
    </tableColumn>
    <tableColumn id="18" xr3:uid="{9EC8CE42-428F-3C4F-9177-FD0EE306A58C}" name="TIPO DE R." dataDxfId="118"/>
    <tableColumn id="1" xr3:uid="{52D470C8-A01F-D448-A6FE-70F7213E265A}" name="FECHA" dataDxfId="117"/>
    <tableColumn id="2" xr3:uid="{FAED065D-D7C7-C640-B9FD-9F2F1DB57745}" name="RESPONSABLE" dataDxfId="116"/>
    <tableColumn id="3" xr3:uid="{C594AFE1-6919-C94D-9AF7-999214059CA8}" name="TIPO DE MOV." dataDxfId="115"/>
    <tableColumn id="19" xr3:uid="{03BB9A3F-B77B-A14D-8B89-AAF0E0F110C1}" name="DESTINATARIO" dataDxfId="114"/>
    <tableColumn id="20" xr3:uid="{CC47E5E5-4F25-7F49-8ABB-9D18BB973669}" name="TIPO DE DOCUMENTO" dataDxfId="113"/>
    <tableColumn id="21" xr3:uid="{F88AE5D6-B6ED-2748-80AA-97609A509185}" name="SERIE" dataDxfId="112"/>
    <tableColumn id="22" xr3:uid="{56AE2D2D-ACFC-E947-AACB-B01EA08A6709}" name="NUMERO" dataDxfId="111"/>
    <tableColumn id="9" xr3:uid="{D41CD1D6-AB2E-9F48-AE0F-355993E5D47D}" name="DESCRIPCIÓN / ACTIVIDAD" dataDxfId="110"/>
    <tableColumn id="10" xr3:uid="{9650F605-1738-374B-85B9-48BC022B7D32}" name="N° OPERACIÓN" dataDxfId="109"/>
    <tableColumn id="11" xr3:uid="{48174722-7E0E-4841-A0DC-8FDEE421BB7B}" name="MONEDA" dataDxfId="108">
      <calculatedColumnFormula>"PEN"</calculatedColumnFormula>
    </tableColumn>
    <tableColumn id="24" xr3:uid="{015D0A5D-1985-0649-BEB4-4109244E63B0}" name="PARCIAL" dataDxfId="107"/>
    <tableColumn id="12" xr3:uid="{672B0792-EAE9-6D46-8BED-7558A1099CAC}" name="MONTO " dataDxfId="106"/>
    <tableColumn id="13" xr3:uid="{C331052E-1DF4-974B-A8EC-92AA41562B2F}" name="ABONO" dataDxfId="105">
      <calculatedColumnFormula>+IF(OR($G5="SALDO",$G5="INGRESO"),$P5,0)</calculatedColumnFormula>
    </tableColumn>
    <tableColumn id="14" xr3:uid="{2C69C13D-2EDF-4543-862D-AB09B5A4CE97}" name="RETIRO" dataDxfId="104">
      <calculatedColumnFormula>+IF($G5="EGRESO",$P5,0)</calculatedColumnFormula>
    </tableColumn>
    <tableColumn id="15" xr3:uid="{81774661-A35A-2548-AE58-84EBBA23A93D}" name="SALDO" dataDxfId="103">
      <calculatedColumnFormula>IFERROR(IF(G5="SALDO",Q5,S4+Q5-R5),0)</calculatedColumnFormula>
    </tableColumn>
    <tableColumn id="25" xr3:uid="{36DF1980-0055-0747-ADD3-20A54BDC9457}" name="VB° (1)" dataDxfId="102"/>
    <tableColumn id="26" xr3:uid="{4D8CDB7C-07F4-0844-94FB-73F3F9ADFDF7}" name="VB° (2)" dataDxfId="101"/>
    <tableColumn id="28" xr3:uid="{D8D148B0-A0E3-3044-86F5-AD5E6AD92C8C}" name="CONSTANCIA (LINK)" dataDxfId="100"/>
    <tableColumn id="7" xr3:uid="{4DA7FFFE-23C3-E441-9502-CD0B99A49DD9}" name="NOTA 1" dataDxfId="99"/>
    <tableColumn id="8" xr3:uid="{3487656A-D603-7B46-B9EA-11EEBD10A55D}" name="NOTA 2" dataDxfId="98"/>
    <tableColumn id="29" xr3:uid="{6EF6F2A6-B1FC-CA4A-81AB-6DB8315A61C9}" name="NOTA 3" dataDxfId="97"/>
    <tableColumn id="30" xr3:uid="{8E6232E3-F04A-6D4A-A445-C0F22C44095B}" name="NOTA 4" dataDxfId="96"/>
    <tableColumn id="31" xr3:uid="{22E26A60-850D-B14F-9069-DA8B41B621BA}" name="NOTA 5" dataDxfId="95"/>
    <tableColumn id="27" xr3:uid="{8697748B-E946-7648-BB51-7C333121B4CC}" name="PERIODO" dataDxfId="94">
      <calculatedColumnFormula>IF(C_Ope_009[[#This Row],[FECHA]]&gt;0,TEXT(C_Ope_009[[#This Row],[FECHA]],"mmmm"),0)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233" dT="2025-08-18T16:12:19.81" personId="{797D78BD-8ED5-4A4C-B2B6-061CBBEC5DF4}" id="{7EF6E35F-AEBF-43F0-BBEC-E2F1C4CBB93E}">
    <text>590.00 
10.50 comision</text>
  </threadedComment>
  <threadedComment ref="L3234" dT="2025-08-18T16:12:19.81" personId="{797D78BD-8ED5-4A4C-B2B6-061CBBEC5DF4}" id="{A6BE60BE-8C08-4E23-93CB-4E88D645FD47}">
    <text>590.00 
10.50 comision</text>
  </threadedComment>
  <threadedComment ref="L3235" dT="2025-08-18T16:12:19.81" personId="{797D78BD-8ED5-4A4C-B2B6-061CBBEC5DF4}" id="{3DBBC010-1B02-4AD4-B72A-96A1672DC87F}">
    <text>590.00 
10.50 comision</text>
  </threadedComment>
  <threadedComment ref="L3246" dT="2025-08-18T16:12:19.81" personId="{797D78BD-8ED5-4A4C-B2B6-061CBBEC5DF4}" id="{67B71F65-47F8-4E8F-9182-44C0AE200809}">
    <text>590.00 
10.50 comision</text>
  </threadedComment>
  <threadedComment ref="L3247" dT="2025-08-18T16:12:19.81" personId="{797D78BD-8ED5-4A4C-B2B6-061CBBEC5DF4}" id="{9D61ACD8-56C2-4DF9-9EAD-10C24F8DDD2E}">
    <text>590.00 
10.50 comision</text>
  </threadedComment>
  <threadedComment ref="L3248" dT="2025-08-18T16:12:19.81" personId="{797D78BD-8ED5-4A4C-B2B6-061CBBEC5DF4}" id="{87371A8D-F045-43AA-A9D7-C095B0EF00F1}">
    <text>590.00 
10.50 comision</text>
  </threadedComment>
  <threadedComment ref="L3268" dT="2025-08-18T16:12:19.81" personId="{797D78BD-8ED5-4A4C-B2B6-061CBBEC5DF4}" id="{7CBAB787-2765-4D14-A1C0-0852ABA3F4F1}">
    <text>590.00 
1,250.80 
12.70 comision</text>
  </threadedComment>
  <threadedComment ref="L3269" dT="2025-08-18T16:12:19.81" personId="{797D78BD-8ED5-4A4C-B2B6-061CBBEC5DF4}" id="{E9405175-7729-42E2-9A3C-CA29726F5865}">
    <text>590.00 
1,250.80 
12.70 comision</text>
  </threadedComment>
  <threadedComment ref="L3270" dT="2025-08-18T16:12:19.81" personId="{797D78BD-8ED5-4A4C-B2B6-061CBBEC5DF4}" id="{5FD1788B-C667-4518-AAC6-DFF1595A73B2}">
    <text>590.00 
1,250.80 
12.70 comision</text>
  </threadedComment>
  <threadedComment ref="L3287" dT="2025-08-18T16:12:19.81" personId="{797D78BD-8ED5-4A4C-B2B6-061CBBEC5DF4}" id="{A22247B2-5591-4BF1-8C57-AE3C58A11C2F}">
    <text>236.54
10.50 comision</text>
  </threadedComment>
  <threadedComment ref="L3288" dT="2025-08-18T16:12:19.81" personId="{797D78BD-8ED5-4A4C-B2B6-061CBBEC5DF4}" id="{FD94350D-3F3D-41EE-B83C-7C928D67872B}">
    <text>236.54
10.50 comision</text>
  </threadedComment>
  <threadedComment ref="L3289" dT="2025-08-18T16:12:19.81" personId="{797D78BD-8ED5-4A4C-B2B6-061CBBEC5DF4}" id="{0C5751E4-9086-4502-AC8A-ACC36D48788F}">
    <text>236.54
10.50 comision</text>
  </threadedComment>
  <threadedComment ref="L3290" dT="2025-08-18T16:12:19.81" personId="{797D78BD-8ED5-4A4C-B2B6-061CBBEC5DF4}" id="{3B649DA6-0A94-4F85-9532-2D1232F1E3F5}">
    <text>236.54
10.50 comision</text>
  </threadedComment>
  <threadedComment ref="L3291" dT="2025-08-18T16:12:19.81" personId="{797D78BD-8ED5-4A4C-B2B6-061CBBEC5DF4}" id="{F07876F7-B3E4-413C-B7BD-686158BC524D}">
    <text>236.54
10.50 comision</text>
  </threadedComment>
  <threadedComment ref="L3292" dT="2025-08-18T16:12:19.81" personId="{797D78BD-8ED5-4A4C-B2B6-061CBBEC5DF4}" id="{750A2E43-B34D-4869-A293-A7FBA6A32E02}">
    <text>236.54
10.50 comision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735" dT="2025-06-27T16:40:30.68" personId="{797D78BD-8ED5-4A4C-B2B6-061CBBEC5DF4}" id="{DD756786-BC6E-49C6-83E4-F540E2D4B25D}">
    <text>Devolvió a Elías 50.00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633" dT="2025-07-15T15:13:25.49" personId="{797D78BD-8ED5-4A4C-B2B6-061CBBEC5DF4}" id="{3B7D34E8-398B-486A-A4FB-B5AED1FD12AE}">
    <text xml:space="preserve">Total de celular
170.00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/../../:b:/p/finanzas/EQ3SycwoL0dCk2tkQwN0OI0BBwhHHapdU29fiByYEl5OuQ%3fe=8k4DOi" TargetMode="External"/><Relationship Id="rId299" Type="http://schemas.openxmlformats.org/officeDocument/2006/relationships/hyperlink" Target="../../../../:b:/p/finanzas/EVueozZlChhCjvXkm2RY-lIBKMPbMNJhU0jnFnoahbZ62A?e=aDYkfZ" TargetMode="External"/><Relationship Id="rId21" Type="http://schemas.openxmlformats.org/officeDocument/2006/relationships/hyperlink" Target="../../../:b:/p/finanzas/Ec3kygww8JJHsgxNphz5PF8BRA5F_vPoME2bw1t97LzLow%3fe=jQ75R4" TargetMode="External"/><Relationship Id="rId63" Type="http://schemas.openxmlformats.org/officeDocument/2006/relationships/hyperlink" Target="../../../:b:/p/finanzas/EXgwMQc5uVtIpLgsvbX8XZ4BkFHxsQn-iPGyycMwQS6dmw%3fe=xpWO3Q" TargetMode="External"/><Relationship Id="rId159" Type="http://schemas.openxmlformats.org/officeDocument/2006/relationships/hyperlink" Target="../../../:b:/p/finanzas/ERwS3KS_2jVBl_nebjk9HjYBi_PRl2FlTvloIn1Go6RCNQ%3fe=h6LIVU" TargetMode="External"/><Relationship Id="rId324" Type="http://schemas.openxmlformats.org/officeDocument/2006/relationships/hyperlink" Target="../../../../:b:/p/finanzas/EY67uFTKXwNMkXaKxWfCTWoB3TZngJl003LGWf5vspEMpg?e=Jyfb6T" TargetMode="External"/><Relationship Id="rId170" Type="http://schemas.openxmlformats.org/officeDocument/2006/relationships/hyperlink" Target="../../../:b:/p/finanzas/EeC6sDlLix5Gl-uGoTTqJvEBgerMNtWnaCLYXoIqr0DYvA%3fe=7sqHri" TargetMode="External"/><Relationship Id="rId226" Type="http://schemas.openxmlformats.org/officeDocument/2006/relationships/hyperlink" Target="../../../:b:/p/finanzas/ERFza163a4ZNunSk7cXNfysB4QFz4EAT5XzuEX53npbC1A?e=UYQuZi" TargetMode="External"/><Relationship Id="rId268" Type="http://schemas.openxmlformats.org/officeDocument/2006/relationships/hyperlink" Target="../../../../:b:/p/finanzas/ERabzRHM6ttBg_rh3jEwUdwBL-2FPB7DR9wpNgtMdXM_yQ?e=i1Jnby" TargetMode="External"/><Relationship Id="rId32" Type="http://schemas.openxmlformats.org/officeDocument/2006/relationships/hyperlink" Target="../../../:b:/p/finanzas/EV10YeO6b4RMkLrIOtFrvzkBNhsvBnnnjVZPNLKPIxTonQ%3fe=ZmxGhR" TargetMode="External"/><Relationship Id="rId74" Type="http://schemas.openxmlformats.org/officeDocument/2006/relationships/hyperlink" Target="../../../:b:/p/finanzas/EUbPL0kvHIVLsUCIEkjfL3IBj7BbkkjLB_vpaQkgejhF9Q%3fe=waao8n" TargetMode="External"/><Relationship Id="rId128" Type="http://schemas.openxmlformats.org/officeDocument/2006/relationships/hyperlink" Target="../../../:b:/p/finanzas/Ec5oXlW6Gp5KpQOSWMO41g4Brs2VY6xGLTI4hxN1bJTEdQ%3fe=152mmi" TargetMode="External"/><Relationship Id="rId335" Type="http://schemas.openxmlformats.org/officeDocument/2006/relationships/hyperlink" Target="../../../../:b:/p/finanzas/EUnwJ3913hZKnMMnHo-ZLAsB05ZYwrL38ZAfxWpApwmdaQ?e=i3tktf" TargetMode="External"/><Relationship Id="rId5" Type="http://schemas.openxmlformats.org/officeDocument/2006/relationships/hyperlink" Target="../../../:b:/p/finanzas/EauVoXm4HWNJtNtF1vC7KocBtbqbdmStq7h3BLK8I0lqZA%3fe=R0aJEe" TargetMode="External"/><Relationship Id="rId181" Type="http://schemas.openxmlformats.org/officeDocument/2006/relationships/hyperlink" Target="../../../:b:/p/finanzas/EfF12wf4yKFPoijv1ZRLWfgBMBw_hw33LaOoh2xXS8T41A%3fe=LB7q1r" TargetMode="External"/><Relationship Id="rId237" Type="http://schemas.openxmlformats.org/officeDocument/2006/relationships/hyperlink" Target="../../../../:b:/p/finanzas/EehPK2XutWdLr1rcrEIG5uUB7Z_ZgNLemcqzAu_Yymi3fw?e=IyQqOv" TargetMode="External"/><Relationship Id="rId279" Type="http://schemas.openxmlformats.org/officeDocument/2006/relationships/hyperlink" Target="../../../../:b:/p/finanzas/EYs0giwBP9dBhbnaO3gCc1IBZSwQKEONrMuxE1UciOjebw?e=YuAyqh" TargetMode="External"/><Relationship Id="rId43" Type="http://schemas.openxmlformats.org/officeDocument/2006/relationships/hyperlink" Target="../../../:b:/p/finanzas/EZO8zEbOa_tMjtCqPQJO2s4BrdkhiYpVnZu83ty21gUbqw%3fe=a34Mk9" TargetMode="External"/><Relationship Id="rId139" Type="http://schemas.openxmlformats.org/officeDocument/2006/relationships/hyperlink" Target="../../../:b:/p/finanzas/Ed1P_Znj-U9DoCDUENW0HDIBZrx4oC-4AQyDO8p4ySxfCQ%3fe=hm6GGK" TargetMode="External"/><Relationship Id="rId290" Type="http://schemas.openxmlformats.org/officeDocument/2006/relationships/hyperlink" Target="../../../../:b:/p/finanzas/EQ49Yy577w9AnmtloifxmRgBrqEzJlQRoZSTYAtd1wZAgQ?e=ZEpDqj" TargetMode="External"/><Relationship Id="rId304" Type="http://schemas.openxmlformats.org/officeDocument/2006/relationships/hyperlink" Target="../../../../:b:/p/finanzas/EYK7jH2gXA5LpIJyaNmUG9UBrkBVRaep45obCqpxnT4BzQ?e=3OlCY0" TargetMode="External"/><Relationship Id="rId85" Type="http://schemas.openxmlformats.org/officeDocument/2006/relationships/hyperlink" Target="../../../:b:/p/finanzas/ESu7GYurbUpNr1T2Q7kPm7cBudLMlCJSRPfmrY4FABHFJg%3fe=NFSdTv" TargetMode="External"/><Relationship Id="rId150" Type="http://schemas.openxmlformats.org/officeDocument/2006/relationships/hyperlink" Target="../../../:b:/p/finanzas/EQ9O9YjIXDpBsnOpJguGOdgB23Om86G8WAwq41nMG0YXrA%3fe=dYtd9N" TargetMode="External"/><Relationship Id="rId192" Type="http://schemas.openxmlformats.org/officeDocument/2006/relationships/hyperlink" Target="../../../:b:/p/finanzas/EaewcqsqIXxMpwY2_ocu7DYBb8Ixns_eBENBeKgmw_w6Tg%3fe=sG8NwO" TargetMode="External"/><Relationship Id="rId206" Type="http://schemas.openxmlformats.org/officeDocument/2006/relationships/hyperlink" Target="../../../:b:/p/finanzas/EXn8uQm3VrFMtPjOTtBex_cB0IXKerv3d8MvSW2hAGvDYg?e=1C6UeN" TargetMode="External"/><Relationship Id="rId248" Type="http://schemas.openxmlformats.org/officeDocument/2006/relationships/hyperlink" Target="../../../../:b:/p/finanzas/EXNmtPkX8P1BnTCUXbGtu38BNFEJ4Vmd9CunQFY-MYn0gA?e=9V7sg8" TargetMode="External"/><Relationship Id="rId12" Type="http://schemas.openxmlformats.org/officeDocument/2006/relationships/hyperlink" Target="../../../:b:/p/finanzas/EW6YD1a87dJEpnLZmBzahEQBA46VX9lxrwh_pD20kP7KYA%3fe=sGjmri" TargetMode="External"/><Relationship Id="rId108" Type="http://schemas.openxmlformats.org/officeDocument/2006/relationships/hyperlink" Target="../../../:b:/p/finanzas/EV3PN6kmEBVMo3EkCcuZyYgB99QbKEQ4UpmiO_2zeRSNdw%3fe=IfegRc" TargetMode="External"/><Relationship Id="rId315" Type="http://schemas.openxmlformats.org/officeDocument/2006/relationships/hyperlink" Target="../../../../:b:/p/finanzas/EVNDXi-_GwpMtnfoFr0OwooB5-E2WtE3qhbfelXPkNk3lw?e=bbpjFP" TargetMode="External"/><Relationship Id="rId54" Type="http://schemas.openxmlformats.org/officeDocument/2006/relationships/hyperlink" Target="../../../:b:/p/finanzas/EW9wSQBp5uZDuJa4ygPfEXkBVo4DfvfWXyh_X2X8cuaKvw%3fe=d6Q9gK" TargetMode="External"/><Relationship Id="rId96" Type="http://schemas.openxmlformats.org/officeDocument/2006/relationships/hyperlink" Target="../../../:b:/p/finanzas/EeL8nlVepTBBuKxFuwYxC9UB7BxKI6nzIgttnYqGkJ3J1w%3fe=G36Iyf" TargetMode="External"/><Relationship Id="rId161" Type="http://schemas.openxmlformats.org/officeDocument/2006/relationships/hyperlink" Target="../../../:b:/p/finanzas/EeWgLTGiW7RCplg9h9xD5agBi3V205zwqY7FSdoySlARDg%3fe=ltcAeY" TargetMode="External"/><Relationship Id="rId217" Type="http://schemas.openxmlformats.org/officeDocument/2006/relationships/hyperlink" Target="../../../:b:/p/finanzas/EZnDEfvgBvBDk7GIry-QFgwBy6MO1qG6MxUNcWCOBjyoKQ?e=Vufqey" TargetMode="External"/><Relationship Id="rId259" Type="http://schemas.openxmlformats.org/officeDocument/2006/relationships/hyperlink" Target="../../../../:b:/p/finanzas/EQL5tFLmqsJDtfURw5UhVMIBE1yikGHoXRm6Y1XD-gZqAw?e=L7t3Qz" TargetMode="External"/><Relationship Id="rId23" Type="http://schemas.openxmlformats.org/officeDocument/2006/relationships/hyperlink" Target="../../../:b:/p/finanzas/EaF7-8TwnFdDiUMNk10emsYBQhsC8aCNZ9lEgtbp3cS6oQ%3fe=CJbVcn" TargetMode="External"/><Relationship Id="rId119" Type="http://schemas.openxmlformats.org/officeDocument/2006/relationships/hyperlink" Target="../../../:b:/p/finanzas/EaKLZ7sj13FIi0sOPIcKcrABHbSi2wNNdeJOq86-1unNDw%3fe=8hiNAb" TargetMode="External"/><Relationship Id="rId270" Type="http://schemas.openxmlformats.org/officeDocument/2006/relationships/hyperlink" Target="../../../../:b:/p/finanzas/EV9ZJn7wL15FkRs0s7Hsf2MB0dNA6kqkq21MTMTsWeLv7w?e=opka8R" TargetMode="External"/><Relationship Id="rId326" Type="http://schemas.openxmlformats.org/officeDocument/2006/relationships/hyperlink" Target="../../../../:b:/p/finanzas/EXHZZpd88OVGgjsod4jO9RcBfe0KI4F5IA2qlIB3Kn4fTg?e=RXkUIw" TargetMode="External"/><Relationship Id="rId65" Type="http://schemas.openxmlformats.org/officeDocument/2006/relationships/hyperlink" Target="../../../:b:/p/finanzas/ESCh8Xm4KBZMvIcbVf5UvbwBKTXQr9gnKeTJP-5To9vRzQ%3fe=yb2WIm" TargetMode="External"/><Relationship Id="rId130" Type="http://schemas.openxmlformats.org/officeDocument/2006/relationships/hyperlink" Target="../../../:b:/p/finanzas/EV5BdNmkzhRBnVYIG24P05oBsdVZZBSQ9DlxYzJn7v_k6A%3fe=3Japd3" TargetMode="External"/><Relationship Id="rId172" Type="http://schemas.openxmlformats.org/officeDocument/2006/relationships/hyperlink" Target="../../../:b:/p/finanzas/EdgRt2X1VuFDpi3V9T7W-WkBmIh4CEWEFWvn5UjwlBXuBg%3fe=75dh8N" TargetMode="External"/><Relationship Id="rId228" Type="http://schemas.openxmlformats.org/officeDocument/2006/relationships/hyperlink" Target="../../../:b:/p/finanzas/EVuq0IO6KBRGiDiUB3nQPMoBX4_GLgsfpzBEzNX_wLOhFg?e=oveVrE" TargetMode="External"/><Relationship Id="rId281" Type="http://schemas.openxmlformats.org/officeDocument/2006/relationships/hyperlink" Target="../../../../:b:/p/finanzas/EYRrLN8OD6RCjy7TPazKlGoBTOBW003wp7NbDZgRC_cVag?e=lKcFYQ" TargetMode="External"/><Relationship Id="rId337" Type="http://schemas.openxmlformats.org/officeDocument/2006/relationships/hyperlink" Target="../../../../:b:/p/finanzas/ETBEGj2ywodCnYT9hmrLp-EBcOzWrUO5OdpWpVybdQUdDQ?e=qMFhez" TargetMode="External"/><Relationship Id="rId34" Type="http://schemas.openxmlformats.org/officeDocument/2006/relationships/hyperlink" Target="../../../:b:/p/finanzas/EUU4B4OnFMhGrz8MQra5BJUB8vPJPDjxKbgzoWfxsv55Sg%3fe=LnHQHy" TargetMode="External"/><Relationship Id="rId76" Type="http://schemas.openxmlformats.org/officeDocument/2006/relationships/hyperlink" Target="../../../:b:/p/finanzas/EcJg5jkDhYhNlmBwT7mQIcABUOE8W0PDTpPljZaLRl9wLA%3fe=HQLngC" TargetMode="External"/><Relationship Id="rId141" Type="http://schemas.openxmlformats.org/officeDocument/2006/relationships/hyperlink" Target="../../../:b:/p/finanzas/EU4mXceL2YlNhQS6-KjrxjoB_JV8p8mzX54ZM5LW3RDHeQ%3fe=hWtwfy" TargetMode="External"/><Relationship Id="rId7" Type="http://schemas.openxmlformats.org/officeDocument/2006/relationships/hyperlink" Target="../../../:b:/p/finanzas/ERWXiVevk-pJsFe8IdVUkOwBbjK0GnuU3CnAObPnezGRpQ%3fe=rnBULw" TargetMode="External"/><Relationship Id="rId183" Type="http://schemas.openxmlformats.org/officeDocument/2006/relationships/hyperlink" Target="../../../:b:/p/finanzas/EYF5jDLSfLpJjQIxQOlvytoBnyFJ394QlFsaCZ-0do-DGQ%3fe=gGsQLJ" TargetMode="External"/><Relationship Id="rId239" Type="http://schemas.openxmlformats.org/officeDocument/2006/relationships/hyperlink" Target="../../../../:b:/p/finanzas/EUKyCrDvWX9Kt9GBpll-rTABnoayIxd2JUtsOLoMpZny3A?e=dwO7Dx" TargetMode="External"/><Relationship Id="rId250" Type="http://schemas.openxmlformats.org/officeDocument/2006/relationships/hyperlink" Target="../../../../:b:/p/finanzas/EaYYWjiqKJFHugLcimtNn4gBVETyX_V2I3TuEWPwi2w-zA?e=dEu4cw" TargetMode="External"/><Relationship Id="rId292" Type="http://schemas.openxmlformats.org/officeDocument/2006/relationships/hyperlink" Target="../../../../:b:/p/finanzas/EVm_WN8l681Nu0xzP_SYs2oBbPZjEm7Hz-KDjGh6youXZg?e=CwAugJ" TargetMode="External"/><Relationship Id="rId306" Type="http://schemas.openxmlformats.org/officeDocument/2006/relationships/hyperlink" Target="../../../../:b:/p/finanzas/EXM9r_8PjNxIgdQ1XFkdvz4BdPjXVa4SM8mkoMXSXs2oLQ?e=IK2TsQ" TargetMode="External"/><Relationship Id="rId45" Type="http://schemas.openxmlformats.org/officeDocument/2006/relationships/hyperlink" Target="../../../:b:/p/finanzas/EZeb2AtzlbNDpRwFUxdqTu4BtaXshS02RRelg-LA6sevmg%3fe=YeZ7ZC" TargetMode="External"/><Relationship Id="rId87" Type="http://schemas.openxmlformats.org/officeDocument/2006/relationships/hyperlink" Target="../../../:b:/p/finanzas/EaMAblVC0BNGgcSPW_8Fbq8BuRmz-QzEcweOTlv-1UPp2g%3fe=5PSguZ" TargetMode="External"/><Relationship Id="rId110" Type="http://schemas.openxmlformats.org/officeDocument/2006/relationships/hyperlink" Target="../../../:b:/p/finanzas/EZLWh-95nyNErkUaojgn2KsBSA6UEbzRIvCeeXWt3tcq7Q%3fe=sTs9IW" TargetMode="External"/><Relationship Id="rId152" Type="http://schemas.openxmlformats.org/officeDocument/2006/relationships/hyperlink" Target="../../../:b:/p/finanzas/EfyVBjtPXylLh4aRCQf63AkBWXqP3htQCk1__hvsdpMtPQ%3fe=q7lQZN" TargetMode="External"/><Relationship Id="rId194" Type="http://schemas.openxmlformats.org/officeDocument/2006/relationships/hyperlink" Target="../../../:b:/p/finanzas/EW6dZpQxQd9Mu5wTEq4qEwQBsiijuA6-fIqfTWilIRfk9w%3fe=vf06mM" TargetMode="External"/><Relationship Id="rId208" Type="http://schemas.openxmlformats.org/officeDocument/2006/relationships/hyperlink" Target="../../../:b:/p/finanzas/EfVB_8IB7j1DhWTMgL1jIVwBc0w_46pHa3_08LDqGaBUzg%3fe=CEA2jL" TargetMode="External"/><Relationship Id="rId261" Type="http://schemas.openxmlformats.org/officeDocument/2006/relationships/hyperlink" Target="../../../../:b:/p/finanzas/EZ6wUMXju5NHqNywZrorvroBhKmDM49NdSHfuaiC8iADCg?e=ZGrpBl" TargetMode="External"/><Relationship Id="rId14" Type="http://schemas.openxmlformats.org/officeDocument/2006/relationships/hyperlink" Target="../../../:b:/p/finanzas/Ec0L7CIEUp9DgoerKp0Hw0gBFZaTunPK-er0u1vlRy4SGw%3fe=YhaOvH" TargetMode="External"/><Relationship Id="rId35" Type="http://schemas.openxmlformats.org/officeDocument/2006/relationships/hyperlink" Target="../../../:b:/p/finanzas/EdCYmvzZEW1JmdWGStQfIJcB_GyB67wYC4FoREGVZE4DBg%3fe=LgD0qr" TargetMode="External"/><Relationship Id="rId56" Type="http://schemas.openxmlformats.org/officeDocument/2006/relationships/hyperlink" Target="../../../:b:/p/finanzas/EQuCO6bBfbdNqXyfrXsNyMQBTq7OV22Pd0h26QcnAomtBQ%3fe=q6cmsP" TargetMode="External"/><Relationship Id="rId77" Type="http://schemas.openxmlformats.org/officeDocument/2006/relationships/hyperlink" Target="../../../:b:/p/finanzas/ETiiE73u_H5JuKUcYRAxh3IBBrj7KKTYh-TyvXK_58haWg%3fe=Ihiuhy" TargetMode="External"/><Relationship Id="rId100" Type="http://schemas.openxmlformats.org/officeDocument/2006/relationships/hyperlink" Target="../../../:b:/p/finanzas/EWT0GtjFci1HttwUSRj6qaoB1dkiwPi7wFcqzt8j6bHqXQ%3fe=js4AYC" TargetMode="External"/><Relationship Id="rId282" Type="http://schemas.openxmlformats.org/officeDocument/2006/relationships/hyperlink" Target="../../../../:b:/p/finanzas/EZKDJYjtdzNOvUJ5bwu7UgIBpBpLseI0KDSGZHu32lTLGQ?e=rIjKwn" TargetMode="External"/><Relationship Id="rId317" Type="http://schemas.openxmlformats.org/officeDocument/2006/relationships/hyperlink" Target="../../../../:b:/p/finanzas/EWAGcl-J-Y5HlbzK1lnltxMB_16KaXN1MRkWxMLnZKygdA?e=MtEJP2" TargetMode="External"/><Relationship Id="rId338" Type="http://schemas.openxmlformats.org/officeDocument/2006/relationships/hyperlink" Target="../../../../:b:/p/finanzas/EWgNEDutKKVDl3lf7TV6xwcBtKiX_1wyH4_I0jVuqx0jog?e=9IcREr" TargetMode="External"/><Relationship Id="rId8" Type="http://schemas.openxmlformats.org/officeDocument/2006/relationships/hyperlink" Target="../../../:b:/p/finanzas/EWtUYr4Q2MpCja3xrqKp48IB9A42He78FGywWVlJ4nkYnA%3fe=aCWnjc" TargetMode="External"/><Relationship Id="rId98" Type="http://schemas.openxmlformats.org/officeDocument/2006/relationships/hyperlink" Target="../../../:b:/p/finanzas/EcmYzZLzB8ZCt95Q1VfMj5kBrEFzYCP4br61Db-EihFJ-w%3fe=h4w3fa" TargetMode="External"/><Relationship Id="rId121" Type="http://schemas.openxmlformats.org/officeDocument/2006/relationships/hyperlink" Target="../../../:b:/p/finanzas/EcI40gjI-llKlMsJix0AdX8BHIzRPMg61fyOXNINP-LCww%3fe=U7n4Yd" TargetMode="External"/><Relationship Id="rId142" Type="http://schemas.openxmlformats.org/officeDocument/2006/relationships/hyperlink" Target="../../../:b:/p/finanzas/EViNYOzgVfJJvnc8rI-LGsoBRYSwDlB_pLd2YpO_Y1UXsg%3fe=jfeMOk" TargetMode="External"/><Relationship Id="rId163" Type="http://schemas.openxmlformats.org/officeDocument/2006/relationships/hyperlink" Target="../../../:b:/p/finanzas/Ed-oO-RIyZ5JuuDlooCbbTYBr7CUauLybFeFcLu1mkQqLw%3fe=4jiXDa" TargetMode="External"/><Relationship Id="rId184" Type="http://schemas.openxmlformats.org/officeDocument/2006/relationships/hyperlink" Target="../../../:b:/p/finanzas/EcGqCkDZBTJOtk7SU1UCJgcBpdsfC5_Se7EVCGY8eqcliA%3fe=35gMEz" TargetMode="External"/><Relationship Id="rId219" Type="http://schemas.openxmlformats.org/officeDocument/2006/relationships/hyperlink" Target="../../../:b:/p/finanzas/ERjYATttOPhBlKwuHVVMCqwB9pCUbLpL6rolaJUR7ZpeOA?e=D62CPx" TargetMode="External"/><Relationship Id="rId230" Type="http://schemas.openxmlformats.org/officeDocument/2006/relationships/hyperlink" Target="../../../../:b:/p/finanzas/EVxFHMsNCCNAvOQwkZrb5BcBUoTdEr8zMkfVgsDCg2ljMw?e=bThWun" TargetMode="External"/><Relationship Id="rId251" Type="http://schemas.openxmlformats.org/officeDocument/2006/relationships/hyperlink" Target="../../../../:b:/p/finanzas/EbBdS0vsivVAm4QM0VkpAsoBItF1ldC3-WOiq8MlK9j2cQ?e=hBvkAy" TargetMode="External"/><Relationship Id="rId25" Type="http://schemas.openxmlformats.org/officeDocument/2006/relationships/hyperlink" Target="../../../:b:/p/finanzas/Ebc0pK5-um1CpRRsMJgd8wkBWxootfVpekJ6r5CpbKOUCg%3fe=0QaAfX" TargetMode="External"/><Relationship Id="rId46" Type="http://schemas.openxmlformats.org/officeDocument/2006/relationships/hyperlink" Target="../../../:b:/p/finanzas/EY2Jm4ngTLtPndbTCZlrSusBLh9DRXaleHbjHU1ECklzag%3fe=N1dZoP" TargetMode="External"/><Relationship Id="rId67" Type="http://schemas.openxmlformats.org/officeDocument/2006/relationships/hyperlink" Target="../../../:b:/p/finanzas/EbcfUgkGs_xDihOh7Mb8MJoBZTXXew8vZCs55GoZUl6-sQ%3fe=hY2Sao" TargetMode="External"/><Relationship Id="rId272" Type="http://schemas.openxmlformats.org/officeDocument/2006/relationships/hyperlink" Target="../../../../:b:/p/finanzas/EaqQ5FgKgpdGmS--Ugk_0D4BvW271Q6XbGZG_pYA4rvt5g?e=HyII6z" TargetMode="External"/><Relationship Id="rId293" Type="http://schemas.openxmlformats.org/officeDocument/2006/relationships/hyperlink" Target="../../../../:b:/p/finanzas/EQB4al8Xx_NKqJ-oiZLd5JwBM08yMJfXXGeDM8rE1URA6g?e=N7W88I" TargetMode="External"/><Relationship Id="rId307" Type="http://schemas.openxmlformats.org/officeDocument/2006/relationships/hyperlink" Target="../../../../:b:/p/finanzas/EbKfXafQbsdHiayBwqIkZU0B54jLgneHyVe8-xuEh0hV8Q?e=Wimv8M" TargetMode="External"/><Relationship Id="rId328" Type="http://schemas.openxmlformats.org/officeDocument/2006/relationships/hyperlink" Target="../../../../:b:/p/finanzas/EVbpgNvWXatNosG_QkTVC1cBljMiWA0b1vCcU3Wi3uia6Q?e=smmtVP" TargetMode="External"/><Relationship Id="rId88" Type="http://schemas.openxmlformats.org/officeDocument/2006/relationships/hyperlink" Target="../../../:b:/p/finanzas/Efa7c6CZoLtBkVOz92c2GV8BihTHaoK3SeCQNLETjYK7Ow%3fe=eoHhvt" TargetMode="External"/><Relationship Id="rId111" Type="http://schemas.openxmlformats.org/officeDocument/2006/relationships/hyperlink" Target="../../../:b:/p/finanzas/Ee71I6EeMg1Hoki4FALXWoYBs65n-YflvE3bbHe7XB6LQQ%3fe=cmldJV" TargetMode="External"/><Relationship Id="rId132" Type="http://schemas.openxmlformats.org/officeDocument/2006/relationships/hyperlink" Target="../../../:b:/p/finanzas/ES0gS_g60o5PtbkEcgkJrEMBs8sxfIXX4RkvjrZMIW19Xw%3fe=t1XTJG" TargetMode="External"/><Relationship Id="rId153" Type="http://schemas.openxmlformats.org/officeDocument/2006/relationships/hyperlink" Target="../../../:b:/p/finanzas/EUgQnI2WQKNDrmpGFxgaoagBJXy_x9SgJEHBx62wMY-2Sw%3fe=h17jaN" TargetMode="External"/><Relationship Id="rId174" Type="http://schemas.openxmlformats.org/officeDocument/2006/relationships/hyperlink" Target="../../../:b:/p/finanzas/EXE89gS_Ao1NhOT956lIl8MBZSe0TUx3OgjgpGodKmSzxA%3fe=O0WJba" TargetMode="External"/><Relationship Id="rId195" Type="http://schemas.openxmlformats.org/officeDocument/2006/relationships/hyperlink" Target="../../../:b:/p/finanzas/EaIsWpHH-IxAk5uoO3R8u6ABqF_jc1jEFpcYOQ-HrR-Erg%3fe=ibVLTp" TargetMode="External"/><Relationship Id="rId209" Type="http://schemas.openxmlformats.org/officeDocument/2006/relationships/hyperlink" Target="../../../:b:/p/finanzas/EXMY7RT2TCBJsgqz_HCNjNwBWNFzH3niNGNc93BPwHgBNg%3fe=hdwPS5" TargetMode="External"/><Relationship Id="rId220" Type="http://schemas.openxmlformats.org/officeDocument/2006/relationships/hyperlink" Target="../../../:b:/p/finanzas/EabTOhIGWoROihYXw60bdaUBxnTF3JyvJMl2Fygf8Y3aAA?e=KeFjIT" TargetMode="External"/><Relationship Id="rId241" Type="http://schemas.openxmlformats.org/officeDocument/2006/relationships/hyperlink" Target="../../../../:b:/p/finanzas/EUCnU3GsGLBEjY-WahKcFqQByCt4tN5Sp6dWVXwXAPM8hw?e=sQi2p6" TargetMode="External"/><Relationship Id="rId15" Type="http://schemas.openxmlformats.org/officeDocument/2006/relationships/hyperlink" Target="../../../:b:/p/finanzas/ESmNK8_zNx9GqBLS6ZqGtoIBOufwmhvKhzP_eYMLSuxeyA%3fe=phJ8yl" TargetMode="External"/><Relationship Id="rId36" Type="http://schemas.openxmlformats.org/officeDocument/2006/relationships/hyperlink" Target="../../../:b:/p/finanzas/EXrmHkIm8t1JoOeMvMHIdycBq0KgLwZGDLh-YzP2LBZBIg%3fe=bNyf6G" TargetMode="External"/><Relationship Id="rId57" Type="http://schemas.openxmlformats.org/officeDocument/2006/relationships/hyperlink" Target="../../../:b:/p/finanzas/Eb_xHWMeOAlDm99EzCQJo2wBzs_95X0UBnI7Nbld3jzrGA%3fe=edzbIn" TargetMode="External"/><Relationship Id="rId262" Type="http://schemas.openxmlformats.org/officeDocument/2006/relationships/hyperlink" Target="../../../../:b:/p/finanzas/EZ6wUMXju5NHqNywZrorvroBhKmDM49NdSHfuaiC8iADCg?e=ZGrpBl" TargetMode="External"/><Relationship Id="rId283" Type="http://schemas.openxmlformats.org/officeDocument/2006/relationships/hyperlink" Target="../../../../:b:/p/finanzas/EU1KWHmXPZlEhLCil60pww0Bsmr78-jpVDYy8v8A6dVRHQ?e=nMAPdy" TargetMode="External"/><Relationship Id="rId318" Type="http://schemas.openxmlformats.org/officeDocument/2006/relationships/hyperlink" Target="../../../../:b:/p/finanzas/EfnM1tDCvT1BomzGTmLv4-oBDTXaASU33U9Lpaff2Ni5dw?e=9l82zi" TargetMode="External"/><Relationship Id="rId339" Type="http://schemas.openxmlformats.org/officeDocument/2006/relationships/hyperlink" Target="../../../../:b:/p/finanzas/Eb3QpdSAR8ZHvTINZbJoJIoBZpo5oYOC_dW0OmgdSCL0LA?e=ZTRX9O" TargetMode="External"/><Relationship Id="rId78" Type="http://schemas.openxmlformats.org/officeDocument/2006/relationships/hyperlink" Target="../../../:b:/p/finanzas/EXwntOhJC_pOgtTWoU9SGO4Ba6u4Xqb0piNtI0s9oAJ9yQ%3fe=GheJi0" TargetMode="External"/><Relationship Id="rId99" Type="http://schemas.openxmlformats.org/officeDocument/2006/relationships/hyperlink" Target="../../../:b:/p/finanzas/ES0gS_g60o5PtbkEcgkJrEMBs8sxfIXX4RkvjrZMIW19Xw%3fe=t1XTJG" TargetMode="External"/><Relationship Id="rId101" Type="http://schemas.openxmlformats.org/officeDocument/2006/relationships/hyperlink" Target="../../../:b:/p/finanzas/EbVDZ7qGZahKomsdBGk-bb0BChoCoW98zleeY3h2NW49Ew%3fe=VtXgir" TargetMode="External"/><Relationship Id="rId122" Type="http://schemas.openxmlformats.org/officeDocument/2006/relationships/hyperlink" Target="../../../:b:/p/finanzas/ET_YN7QJscJFtXw33OjCklUB73JrEv3whpU5enoC0vGvaw%3fe=OWWyOV" TargetMode="External"/><Relationship Id="rId143" Type="http://schemas.openxmlformats.org/officeDocument/2006/relationships/hyperlink" Target="../../../:b:/p/finanzas/EeKEnL-wbw9GoXpIWVlB2SoBNLgpHOyh_PuN6YF8gfA2Wg%3fe=AeK4vJ" TargetMode="External"/><Relationship Id="rId164" Type="http://schemas.openxmlformats.org/officeDocument/2006/relationships/hyperlink" Target="../../../:b:/p/finanzas/EW8YE8GkxvZIqXZInU130LgBE6H1kagwiR4p-fp74LQheg%3fe=xcOniD" TargetMode="External"/><Relationship Id="rId185" Type="http://schemas.openxmlformats.org/officeDocument/2006/relationships/hyperlink" Target="../../../../:b:/p/finanzas/EfrycmZFrVdOpxVoJYFO7pYB9NB_a0x5F8ReKJvl94tGWw?e=zQEsme" TargetMode="External"/><Relationship Id="rId9" Type="http://schemas.openxmlformats.org/officeDocument/2006/relationships/hyperlink" Target="../../../:b:/p/finanzas/EV0jVU5nlztCvUM_DP7CNroBp5HRXOpxxz5ldqiPX5VhyA%3fe=lbrD5Q" TargetMode="External"/><Relationship Id="rId210" Type="http://schemas.openxmlformats.org/officeDocument/2006/relationships/hyperlink" Target="../../../:b:/p/finanzas/EbxzvbFS-aVOrpHnPBV24M8BZQ6V0vob9taBuJQSCgmYug%3fe=ZQBqZx" TargetMode="External"/><Relationship Id="rId26" Type="http://schemas.openxmlformats.org/officeDocument/2006/relationships/hyperlink" Target="../../../:b:/p/finanzas/EUODplUEwulJgJ7Nk8vOnTkBaart-xy0-LDeK2yi3tOheQ%3fe=6m5mbc" TargetMode="External"/><Relationship Id="rId231" Type="http://schemas.openxmlformats.org/officeDocument/2006/relationships/hyperlink" Target="../../../../:b:/p/finanzas/EYaa6zR3yQFEr99WbEV4M9oByDlqUPQePM97tsw65KRg4A?e=cS3sx2" TargetMode="External"/><Relationship Id="rId252" Type="http://schemas.openxmlformats.org/officeDocument/2006/relationships/hyperlink" Target="../../../../:b:/p/finanzas/Ec52s8htxyZKvkVTsLQnKY4B5gMd4mDKdeI1Civmfo0XXw?e=0T4yb0" TargetMode="External"/><Relationship Id="rId273" Type="http://schemas.openxmlformats.org/officeDocument/2006/relationships/hyperlink" Target="../../../../:b:/p/finanzas/ESxdaPwYAiZDuAQc0OXyLzABAbl7HKALkFTr8Yp659A6rQ?e=AdhpOy" TargetMode="External"/><Relationship Id="rId294" Type="http://schemas.openxmlformats.org/officeDocument/2006/relationships/hyperlink" Target="../../../../:b:/p/finanzas/ER175OW-nLlBvAmNA9WZmNIB1ZMpQd071S3kvftdZOBi4Q?e=7H9TbJ" TargetMode="External"/><Relationship Id="rId308" Type="http://schemas.openxmlformats.org/officeDocument/2006/relationships/hyperlink" Target="../../../../:b:/p/finanzas/EbPn4esk51xNpOlZeHQObwcB3G2RWeQGK-u5AJPWlkddMA?e=rQfv1c" TargetMode="External"/><Relationship Id="rId329" Type="http://schemas.openxmlformats.org/officeDocument/2006/relationships/hyperlink" Target="../../../../:b:/p/finanzas/EZFWN4BoS0xNnxzDgSbWi8IBpZ7_5bwmp02eqryDL5LoQA?e=Du8LGB" TargetMode="External"/><Relationship Id="rId47" Type="http://schemas.openxmlformats.org/officeDocument/2006/relationships/hyperlink" Target="../../../:b:/p/finanzas/EaGbfLWHBJhCi7dVoO3mQ38BmffdegdHpe_MTt4uOOYZyA%3fe=g3Op2T" TargetMode="External"/><Relationship Id="rId68" Type="http://schemas.openxmlformats.org/officeDocument/2006/relationships/hyperlink" Target="../../../:b:/p/finanzas/EUFN34AEuJJLqtrIojQuKg4BlDOKdAERz5IPKm3NvS_qbg%3fe=qqgG3g" TargetMode="External"/><Relationship Id="rId89" Type="http://schemas.openxmlformats.org/officeDocument/2006/relationships/hyperlink" Target="../../../:b:/p/finanzas/ETIkn8AqIs9Llfn4QlhGk-0Bp3IXr1j-n_9YyMUUOjfj-w%3fe=qKJBAT" TargetMode="External"/><Relationship Id="rId112" Type="http://schemas.openxmlformats.org/officeDocument/2006/relationships/hyperlink" Target="../../../:b:/p/finanzas/EUGtjqE7wAlMjwCID8BbWogB0YpCYWisTm-rGb3I1VZJxA%3fe=h6CZPp" TargetMode="External"/><Relationship Id="rId133" Type="http://schemas.openxmlformats.org/officeDocument/2006/relationships/hyperlink" Target="../../../:b:/p/finanzas/EZfm4Higg6hHhLk6BoEoRBgBPhiYVutvzVI63afhuawofg%3fe=vDA1Hv" TargetMode="External"/><Relationship Id="rId154" Type="http://schemas.openxmlformats.org/officeDocument/2006/relationships/hyperlink" Target="../../../:b:/p/finanzas/EcbbNOWI2UZEkRmi21xPAAABvPKJhd87BZjnao2uypb3hw%3fe=LtYsBo" TargetMode="External"/><Relationship Id="rId175" Type="http://schemas.openxmlformats.org/officeDocument/2006/relationships/hyperlink" Target="../../../:b:/p/finanzas/EdnPyEcvgUdBjkb74mq3GhIBiK6k_RO_7c9XJeCyFZbMCw%3fe=dXxETC" TargetMode="External"/><Relationship Id="rId340" Type="http://schemas.openxmlformats.org/officeDocument/2006/relationships/hyperlink" Target="../../../../:b:/p/finanzas/EZx1M2dayLtFuu81McfxQnsBTIzIueuwbHXQgLz0Vw1NwA?e=Wcy478" TargetMode="External"/><Relationship Id="rId196" Type="http://schemas.openxmlformats.org/officeDocument/2006/relationships/hyperlink" Target="../../../:b:/p/finanzas/ERaPlAH_77lOvDbq48M9pNUBxe2ksoa7m1WohNQa64bBWA%3fe=E57g1b" TargetMode="External"/><Relationship Id="rId200" Type="http://schemas.openxmlformats.org/officeDocument/2006/relationships/hyperlink" Target="../../../:b:/p/finanzas/EcUQ_hw3nQVKimAqOWJcbC0B96KL8VvwfcM8TMz2-ZAyIA%3fe=zlldY0" TargetMode="External"/><Relationship Id="rId16" Type="http://schemas.openxmlformats.org/officeDocument/2006/relationships/hyperlink" Target="../../../:b:/p/finanzas/EaUz-ZbFrCdPr_8EL9AU94kBZw9CJtAsM5ZOQ2blkMfK2g%3fe=b7Jx2P" TargetMode="External"/><Relationship Id="rId221" Type="http://schemas.openxmlformats.org/officeDocument/2006/relationships/hyperlink" Target="../../../:b:/p/finanzas/EQ9e0gT-BvRMpG6QXHqwT_4BdjUwB_1erDTCyWgP1nMDBA?e=FRBbXd" TargetMode="External"/><Relationship Id="rId242" Type="http://schemas.openxmlformats.org/officeDocument/2006/relationships/hyperlink" Target="../../../../:b:/p/finanzas/EdNj9wkniY5PsG8EioW0l5YBvDpKAOxVXN2z3Z-FgYRUjg?e=fPuv84" TargetMode="External"/><Relationship Id="rId263" Type="http://schemas.openxmlformats.org/officeDocument/2006/relationships/hyperlink" Target="../../../../:b:/p/finanzas/EUqsQgTvBLlPrrLN4ahpv1oBx74MhmYy4Ro6WRUwjnuMhQ?e=yyH21l" TargetMode="External"/><Relationship Id="rId284" Type="http://schemas.openxmlformats.org/officeDocument/2006/relationships/hyperlink" Target="../../../../:b:/p/finanzas/EVevQvIS0TtBni3nClulwPoB3wLqc3Uh_MwlwM2LkNzq3Q?e=uSphRN" TargetMode="External"/><Relationship Id="rId319" Type="http://schemas.openxmlformats.org/officeDocument/2006/relationships/hyperlink" Target="../../../../:b:/p/finanzas/Eepr3bkdlRtAl93J7wbfBDsBg6O2KT_yLGZZv-DKJZbhOA?e=XULQgf" TargetMode="External"/><Relationship Id="rId37" Type="http://schemas.openxmlformats.org/officeDocument/2006/relationships/hyperlink" Target="../../../:b:/p/finanzas/EUG1ETaFgQZJpJa1mb1qVDUBjts8rDWcW-sogiksx2GBFA%3fe=aXRYVa" TargetMode="External"/><Relationship Id="rId58" Type="http://schemas.openxmlformats.org/officeDocument/2006/relationships/hyperlink" Target="../../../:b:/p/finanzas/Ed5Fp0cM3EVIhltjy_ViXV0BW3acRN3p_G4epvwPQEoPAw%3fe=ompdpj" TargetMode="External"/><Relationship Id="rId79" Type="http://schemas.openxmlformats.org/officeDocument/2006/relationships/hyperlink" Target="../../../:b:/p/finanzas/EaQa2_BTlNVLjSi8IvNjV8kBfNSphiz1an4rEAtIHaa7dQ%3fe=2O3phM" TargetMode="External"/><Relationship Id="rId102" Type="http://schemas.openxmlformats.org/officeDocument/2006/relationships/hyperlink" Target="../../../:b:/p/finanzas/EfMGbU5FANJImWRGKYzw_UUBI8I1C0JltNXeTdoQPk4EbA%3fe=hpljtV" TargetMode="External"/><Relationship Id="rId123" Type="http://schemas.openxmlformats.org/officeDocument/2006/relationships/hyperlink" Target="../../../:b:/p/finanzas/EfOuGt0bZ5JJoPWhjlTEq4UBqtwyYfLH0dbciS9sa8bPFA%3fe=pS3WKZ" TargetMode="External"/><Relationship Id="rId144" Type="http://schemas.openxmlformats.org/officeDocument/2006/relationships/hyperlink" Target="../../../:b:/p/finanzas/EYwD84Nu_2NLgWRlCKRXSIkBg2aQ_N3DtAV8IfH4idFLVQ%3fe=eBYjvy" TargetMode="External"/><Relationship Id="rId330" Type="http://schemas.openxmlformats.org/officeDocument/2006/relationships/hyperlink" Target="../../../../:b:/p/finanzas/ERE79lrHH5JNvbFth2Y3_WoBRo2JT3CFbxH93ltBA804EQ?e=OUy4ON" TargetMode="External"/><Relationship Id="rId90" Type="http://schemas.openxmlformats.org/officeDocument/2006/relationships/hyperlink" Target="../../../:b:/p/finanzas/EVR9JE3x2tNGms9SQ7JxRH4BEG-tI8-JazeaZrLvl-1UWA%3fe=KpbIyH" TargetMode="External"/><Relationship Id="rId165" Type="http://schemas.openxmlformats.org/officeDocument/2006/relationships/hyperlink" Target="../../../:b:/p/finanzas/EbVpie9k2oNLo36mDGsvRw0Bswu76BVDJSII8bGwj2YCfA%3fe=CzmBJA" TargetMode="External"/><Relationship Id="rId186" Type="http://schemas.openxmlformats.org/officeDocument/2006/relationships/hyperlink" Target="../../../:b:/p/finanzas/ESH4nMTVCltCht1tyk6PO2wBarF7mGpY30Q67T7wure0JQ%3fe=MrCcLt" TargetMode="External"/><Relationship Id="rId211" Type="http://schemas.openxmlformats.org/officeDocument/2006/relationships/hyperlink" Target="../../../:b:/p/finanzas/ESUx7VsBQ7ZIrdLGZdRv_joBQbBWGiCFR__pMG42kvaZDw%3fe=lp67Eo" TargetMode="External"/><Relationship Id="rId232" Type="http://schemas.openxmlformats.org/officeDocument/2006/relationships/hyperlink" Target="../../../../:b:/p/finanzas/EURGXA0SEINHjoHaXFsQ6pQBoLlWqSfIb1GfV-dZFG_umg?e=IyUlL4" TargetMode="External"/><Relationship Id="rId253" Type="http://schemas.openxmlformats.org/officeDocument/2006/relationships/hyperlink" Target="../../../../:b:/p/finanzas/Ec52s8htxyZKvkVTsLQnKY4B5gMd4mDKdeI1Civmfo0XXw?e=e8JIjO" TargetMode="External"/><Relationship Id="rId274" Type="http://schemas.openxmlformats.org/officeDocument/2006/relationships/hyperlink" Target="../../../../:b:/p/finanzas/EfPqodLOm0pDvxl3VaXOyg0B0EfrMSxUFIi_bZwb9wUX8g?e=ClAB79" TargetMode="External"/><Relationship Id="rId295" Type="http://schemas.openxmlformats.org/officeDocument/2006/relationships/hyperlink" Target="../../../../:b:/p/finanzas/ER51wOADRX9Lp9UeNRZlqiMBSJjqIBBZ31yYYLmmU-G3lQ?e=lNPSmL" TargetMode="External"/><Relationship Id="rId309" Type="http://schemas.openxmlformats.org/officeDocument/2006/relationships/hyperlink" Target="../../../../:b:/p/finanzas/Edbq9zvTMw1BnSFSlMKNpcUBCaRPyBXReUxkHRoveaS7cw?e=bh2eNj" TargetMode="External"/><Relationship Id="rId27" Type="http://schemas.openxmlformats.org/officeDocument/2006/relationships/hyperlink" Target="../../../:b:/p/finanzas/Ea00an5s7PxHrhJB_qYWR9oBSkkB8pfVnjMRksYI2TV4jQ%3fe=d0zRTm" TargetMode="External"/><Relationship Id="rId48" Type="http://schemas.openxmlformats.org/officeDocument/2006/relationships/hyperlink" Target="../../../:b:/p/finanzas/EempEEV4Mb1FhpjyqP64ZR4BNJVfrGqXnYsbM-mBqzNsPg%3fe=AVegwT" TargetMode="External"/><Relationship Id="rId69" Type="http://schemas.openxmlformats.org/officeDocument/2006/relationships/hyperlink" Target="../../../:b:/p/finanzas/EeKVjjMytAhKjc2xapQr8E8Bu0vvM3wMQYb392YWDCRApw%3fe=rASRAw" TargetMode="External"/><Relationship Id="rId113" Type="http://schemas.openxmlformats.org/officeDocument/2006/relationships/hyperlink" Target="../../../:b:/p/finanzas/ESQqwfuOpeBDlXlOMLF9xzEBouSagw66EyMXrtjPO3cD0A%3fe=gMQz9K" TargetMode="External"/><Relationship Id="rId134" Type="http://schemas.openxmlformats.org/officeDocument/2006/relationships/hyperlink" Target="../../../:b:/p/finanzas/EYowrdMUp8JMtRxv6MFsOwkBoUVfJoBq2DV9rjp1_czrfg%3fe=1KcUI2" TargetMode="External"/><Relationship Id="rId320" Type="http://schemas.openxmlformats.org/officeDocument/2006/relationships/hyperlink" Target="../../../../:b:/p/finanzas/EWCp5-WmMJ5NktRf74TMa_8B5M5D2cV4-W4-NFwmpIHXPQ?e=b3QnAc" TargetMode="External"/><Relationship Id="rId80" Type="http://schemas.openxmlformats.org/officeDocument/2006/relationships/hyperlink" Target="../../../:b:/p/finanzas/EVkYPQtc2khOhV8FSTk_4BIB1DBMS7Js0cfbTb0HWov1cA%3fe=UJBLmg" TargetMode="External"/><Relationship Id="rId155" Type="http://schemas.openxmlformats.org/officeDocument/2006/relationships/hyperlink" Target="../../../:b:/p/finanzas/EVEdjYx4cwFNkRBrbxL3c64BM8mMT2yMLScMcrTDFz5mNg%3fe=IZxmeP" TargetMode="External"/><Relationship Id="rId176" Type="http://schemas.openxmlformats.org/officeDocument/2006/relationships/hyperlink" Target="../../../:b:/p/finanzas/EXDSpPi-EENJoXXM3IGbbZQB1RBmR4yWOa4lTzDCelT1dg%3fe=0muYeB" TargetMode="External"/><Relationship Id="rId197" Type="http://schemas.openxmlformats.org/officeDocument/2006/relationships/hyperlink" Target="../../../:b:/p/finanzas/EcUmL1S9BqhHs5qENfCAIuABo57Pf3Db_Ckj4KP5oEVnaw%3fe=1xIbVA" TargetMode="External"/><Relationship Id="rId341" Type="http://schemas.openxmlformats.org/officeDocument/2006/relationships/printerSettings" Target="../printerSettings/printerSettings2.bin"/><Relationship Id="rId201" Type="http://schemas.openxmlformats.org/officeDocument/2006/relationships/hyperlink" Target="../../../:b:/p/finanzas/ERNL0SwH4vVEsncscistbjwBtLX7lnAVqfcIKVS4dMsREw%3fe=PIMUSP" TargetMode="External"/><Relationship Id="rId222" Type="http://schemas.openxmlformats.org/officeDocument/2006/relationships/hyperlink" Target="../../../:b:/p/finanzas/ET7C6JSFpzZLh_5vQUwOEx0BwN__oUScbmqct8AdQDyY-Q?e=gSDxTr" TargetMode="External"/><Relationship Id="rId243" Type="http://schemas.openxmlformats.org/officeDocument/2006/relationships/hyperlink" Target="../../../../:b:/p/finanzas/Ebn6lqDmIddElpxx3ZcUgZABbc5BHwqO5OROP_kppzQ_1w?e=1WFoSI" TargetMode="External"/><Relationship Id="rId264" Type="http://schemas.openxmlformats.org/officeDocument/2006/relationships/hyperlink" Target="../../../../:b:/p/finanzas/ESTwP7Ra-1tMlT2aNKXkrDgB0rXc3qmzhaJo5PkFyGmgVw?e=TshBGP" TargetMode="External"/><Relationship Id="rId285" Type="http://schemas.openxmlformats.org/officeDocument/2006/relationships/hyperlink" Target="../../../../:b:/p/finanzas/EZBu-czXt1BMq2hV4MXfwOEBpHdhBlIqF76LUPtyMiym-g?e=PL6HRh" TargetMode="External"/><Relationship Id="rId17" Type="http://schemas.openxmlformats.org/officeDocument/2006/relationships/hyperlink" Target="../../../:b:/p/finanzas/EbTwwLA6HqNLgkizPTqTYPsBbmMx3OA9EiU1xhgZ8VBMPQ%3fe=hOjiLU" TargetMode="External"/><Relationship Id="rId38" Type="http://schemas.openxmlformats.org/officeDocument/2006/relationships/hyperlink" Target="../../../:b:/p/finanzas/Eeh1rCkQzXxMouODUqMHgLgB_-wQKa1GcpbPfk5Uakj8HQ%3fe=PInTIW" TargetMode="External"/><Relationship Id="rId59" Type="http://schemas.openxmlformats.org/officeDocument/2006/relationships/hyperlink" Target="../../../:b:/p/finanzas/EcGmKYJiQ8tHgfjtw_DD9bcBVNO_PS5G3gqU0E7mwdBD_g%3fe=d6XV7B" TargetMode="External"/><Relationship Id="rId103" Type="http://schemas.openxmlformats.org/officeDocument/2006/relationships/hyperlink" Target="../../../:b:/p/finanzas/EQeWZ7ZlD_RPvhVTfzW98YoBxbED06ZHkQR5YKhEAwit4g%3fe=6hlp1h" TargetMode="External"/><Relationship Id="rId124" Type="http://schemas.openxmlformats.org/officeDocument/2006/relationships/hyperlink" Target="../../../:b:/p/finanzas/Ef0tQb1R0jtJoe5p2QJBOm0BfTmhpegWfWSvxDs-DSZZTA%3fe=avvycj" TargetMode="External"/><Relationship Id="rId310" Type="http://schemas.openxmlformats.org/officeDocument/2006/relationships/hyperlink" Target="../../../../:b:/p/finanzas/EYio3Aa07EVDgXaabC_NRyEBArbOKPmX9XYFhaVLavniZg?e=baJhMR" TargetMode="External"/><Relationship Id="rId70" Type="http://schemas.openxmlformats.org/officeDocument/2006/relationships/hyperlink" Target="../../../:b:/p/finanzas/EWndMGJcPyhLnoHM7R0VtVQBI8JdmE3D2Q4Z-cNft0FNSA%3fe=mUS0cg" TargetMode="External"/><Relationship Id="rId91" Type="http://schemas.openxmlformats.org/officeDocument/2006/relationships/hyperlink" Target="../../../:b:/p/finanzas/Eaxx4qbgty5KiVy9YRuLmJABudY4H5dAsRONHrvFTJeesg%3fe=H3QJPs" TargetMode="External"/><Relationship Id="rId145" Type="http://schemas.openxmlformats.org/officeDocument/2006/relationships/hyperlink" Target="../../../:b:/p/finanzas/EXgRYJVeMshDuwbCH_jOEpABDlt43RKb2NCicmBNKcKs5w%3fe=apkcxa" TargetMode="External"/><Relationship Id="rId166" Type="http://schemas.openxmlformats.org/officeDocument/2006/relationships/hyperlink" Target="../../../:b:/p/finanzas/EVOO9fWE1tlOiUTjGxpIgmwBHvgDa69AqZRoHWQ9N6bt_g%3fe=DX4wgf" TargetMode="External"/><Relationship Id="rId187" Type="http://schemas.openxmlformats.org/officeDocument/2006/relationships/hyperlink" Target="../../../:b:/p/finanzas/EYJkMCKawy5LvyEsWSEJJ7ABg6eDvrh1tgnh4xeipM6agQ%3fe=GZhmUn" TargetMode="External"/><Relationship Id="rId331" Type="http://schemas.openxmlformats.org/officeDocument/2006/relationships/hyperlink" Target="../../../../:b:/p/finanzas/ETk2gA_xNZJCtHtg33FmSScBNt-vQx_Ym01mfpktNr-8pg?e=R6c1Az" TargetMode="External"/><Relationship Id="rId1" Type="http://schemas.openxmlformats.org/officeDocument/2006/relationships/hyperlink" Target="../../../:b:/p/finanzas/EY67ZzsvyXlFo1-Gwr_KBGIB8hmGqRqIJUlGyMNOsUruQw%3fe=qD4ypq" TargetMode="External"/><Relationship Id="rId212" Type="http://schemas.openxmlformats.org/officeDocument/2006/relationships/hyperlink" Target="../../../:b:/p/finanzas/EV4zXFTLM-dNp7iSaeRduhEBlbzPoZP6JrcrZnjGI7ZnfA%3fe=Ijg0bw" TargetMode="External"/><Relationship Id="rId233" Type="http://schemas.openxmlformats.org/officeDocument/2006/relationships/hyperlink" Target="../../../../:b:/p/finanzas/ES0ucArVteVDqctWFHwLkM0BkofSukz-7l7kuOHQ1MmURA?e=MWcEFG" TargetMode="External"/><Relationship Id="rId254" Type="http://schemas.openxmlformats.org/officeDocument/2006/relationships/hyperlink" Target="../../../../:b:/p/finanzas/Ec52s8htxyZKvkVTsLQnKY4B5gMd4mDKdeI1Civmfo0XXw?e=e8JIjO" TargetMode="External"/><Relationship Id="rId28" Type="http://schemas.openxmlformats.org/officeDocument/2006/relationships/hyperlink" Target="../../../:b:/p/finanzas/ERPpUcyvtuZPnYcDCeUH-_8BdLV1hUZQgIiwbkvw88DqFQ%3fe=r0vFsQ" TargetMode="External"/><Relationship Id="rId49" Type="http://schemas.openxmlformats.org/officeDocument/2006/relationships/hyperlink" Target="../../../:b:/p/finanzas/EXDijQsWUb1GqHME8Ne4zq4BGS3PCWOBmxzIlYM5I0X-FA%3fe=2edHCK" TargetMode="External"/><Relationship Id="rId114" Type="http://schemas.openxmlformats.org/officeDocument/2006/relationships/hyperlink" Target="../../../:b:/p/finanzas/ETdKWL6JWJNIh7RVRlVeYZsBb_UT-yys1F3RXlRltVbqKw%3fe=3CpBQv" TargetMode="External"/><Relationship Id="rId275" Type="http://schemas.openxmlformats.org/officeDocument/2006/relationships/hyperlink" Target="../../../../:b:/p/finanzas/EfPqodLOm0pDvxl3VaXOyg0B0EfrMSxUFIi_bZwb9wUX8g?e=ClAB79" TargetMode="External"/><Relationship Id="rId296" Type="http://schemas.openxmlformats.org/officeDocument/2006/relationships/hyperlink" Target="../../../../:b:/p/finanzas/EZKDJYjtdzNOvUJ5bwu7UgIBpBpLseI0KDSGZHu32lTLGQ?e=rIjKwn" TargetMode="External"/><Relationship Id="rId300" Type="http://schemas.openxmlformats.org/officeDocument/2006/relationships/hyperlink" Target="../../../../:b:/p/finanzas/ESJOBDYuyGdIm_PFgBYajAkBTqRsqUyjRTstjxVjJZSSuw?e=arChBp" TargetMode="External"/><Relationship Id="rId60" Type="http://schemas.openxmlformats.org/officeDocument/2006/relationships/hyperlink" Target="../../../:b:/p/finanzas/ERbdF5GttmZMh683fylYiakBmGFXibw5gZoGCBmZ_kphgw%3fe=dgYWLo" TargetMode="External"/><Relationship Id="rId81" Type="http://schemas.openxmlformats.org/officeDocument/2006/relationships/hyperlink" Target="../../../:b:/p/finanzas/EYf-76KARN1JlU19sWUXHH8B3a6oM6UMqqPjXHrDJneYlA%3fe=YQLDIQ" TargetMode="External"/><Relationship Id="rId135" Type="http://schemas.openxmlformats.org/officeDocument/2006/relationships/hyperlink" Target="../../../:b:/p/finanzas/EX50_h85NVRLmPzGSLQK3QQBLUAFlNRyuX0WCdeHv-f_Yg%3fe=5kG9e2" TargetMode="External"/><Relationship Id="rId156" Type="http://schemas.openxmlformats.org/officeDocument/2006/relationships/hyperlink" Target="../../../:b:/p/finanzas/ESdUaCTIqkZOh0iR4XuTwggBYTp6OEIx9XMOv4540oJtGg%3fe=1yhgU3" TargetMode="External"/><Relationship Id="rId177" Type="http://schemas.openxmlformats.org/officeDocument/2006/relationships/hyperlink" Target="../../../:b:/p/finanzas/ETQOugWCPCtLrVbrL5PCM0ABHKKmGH73zAVoZg4sVyKq5A%3fe=sFtVRR" TargetMode="External"/><Relationship Id="rId198" Type="http://schemas.openxmlformats.org/officeDocument/2006/relationships/hyperlink" Target="../../../:b:/p/finanzas/ERIVzWZsrcxDqNCMCphSZEgB98VqgyPIiWes3F6bb99aWw%3fe=PXRZWy" TargetMode="External"/><Relationship Id="rId321" Type="http://schemas.openxmlformats.org/officeDocument/2006/relationships/hyperlink" Target="../../../../:b:/p/finanzas/ERpzT78b0RxFrBp2rVyK8a4BMJ0hs2DN23sx9umSz1jcdA?e=mEUxJ7" TargetMode="External"/><Relationship Id="rId342" Type="http://schemas.openxmlformats.org/officeDocument/2006/relationships/vmlDrawing" Target="../drawings/vmlDrawing1.vml"/><Relationship Id="rId202" Type="http://schemas.openxmlformats.org/officeDocument/2006/relationships/hyperlink" Target="../../../:b:/p/finanzas/Ea_yL2Xqw6BKooS_hyG-njABPuyp_GTPlTXIreSJUuySew%3fe=3AXzFx" TargetMode="External"/><Relationship Id="rId223" Type="http://schemas.openxmlformats.org/officeDocument/2006/relationships/hyperlink" Target="../../../:b:/p/finanzas/EVP6dup6_TZAtl-PZPz63n0B1-I_860a8ewBjjSMU1KNCw?e=SH4BvO" TargetMode="External"/><Relationship Id="rId244" Type="http://schemas.openxmlformats.org/officeDocument/2006/relationships/hyperlink" Target="../../../../:b:/p/finanzas/EXK4ykgfHO9Okki6AJCuKnkBJ9hx6l2AO-eH325__TBCcQ?e=cRQI4v" TargetMode="External"/><Relationship Id="rId18" Type="http://schemas.openxmlformats.org/officeDocument/2006/relationships/hyperlink" Target="../../../:b:/p/finanzas/ETnEqIf9Z7pHrDR8DSL6aIQBuzaiFCwEOJubc1bk2N0cCw%3fe=djRBLb" TargetMode="External"/><Relationship Id="rId39" Type="http://schemas.openxmlformats.org/officeDocument/2006/relationships/hyperlink" Target="../../../:b:/p/finanzas/EbJJ5GShHs1LtBOsSd1z_YMBv8MYE-3qIeol5ztkEsIjag%3fe=cnkTKf" TargetMode="External"/><Relationship Id="rId265" Type="http://schemas.openxmlformats.org/officeDocument/2006/relationships/hyperlink" Target="../../../../:b:/p/finanzas/EbMovywbT8tDmzTu6TaggRwBLYA99-_0U-5d7z8Biv7fSA?e=W8zjSa" TargetMode="External"/><Relationship Id="rId286" Type="http://schemas.openxmlformats.org/officeDocument/2006/relationships/hyperlink" Target="../../../../:b:/p/finanzas/Eatxy4DT5mdBscZG_Zkq4TwBmAuwEmfMqDc6RoFb-qePkA?e=XesKmf" TargetMode="External"/><Relationship Id="rId50" Type="http://schemas.openxmlformats.org/officeDocument/2006/relationships/hyperlink" Target="../../../:b:/p/finanzas/EYqraFHudJZDurTP5miZ-bABAbM5n_SRqapKSi1HhEF3JQ%3fe=XE1JY3" TargetMode="External"/><Relationship Id="rId104" Type="http://schemas.openxmlformats.org/officeDocument/2006/relationships/hyperlink" Target="../../../:b:/p/finanzas/ERqplNV5F2lCrPY47y6Ksk8BjYxlTKdaE7-VBzRA2pSGSw%3fe=lYuO2n" TargetMode="External"/><Relationship Id="rId125" Type="http://schemas.openxmlformats.org/officeDocument/2006/relationships/hyperlink" Target="../../../:b:/p/finanzas/EdjqAcs67hBNookCwyF0Ih0B3OnrxOlzlqeZZsa5Kx7Bug%3fe=v4DAri" TargetMode="External"/><Relationship Id="rId146" Type="http://schemas.openxmlformats.org/officeDocument/2006/relationships/hyperlink" Target="../../../:b:/p/finanzas/ETqj7eI-ehVBtDj2TYjS8wwBh8f-1DNW4ATmwXx9doYEiQ%3fe=rof9F8" TargetMode="External"/><Relationship Id="rId167" Type="http://schemas.openxmlformats.org/officeDocument/2006/relationships/hyperlink" Target="../../../:b:/p/finanzas/EakeQk5n5l1InG28Delx76IBnTg_Dn41mHLY-UaW4gwDeQ%3fe=Pdmhob" TargetMode="External"/><Relationship Id="rId188" Type="http://schemas.openxmlformats.org/officeDocument/2006/relationships/hyperlink" Target="../../../:b:/p/finanzas/EZWfXtGWMTFEjG5fKfiTOc0B-1IUXvHK8hZAvifnoFXfRA%3fe=gkCa4Y" TargetMode="External"/><Relationship Id="rId311" Type="http://schemas.openxmlformats.org/officeDocument/2006/relationships/hyperlink" Target="../../../../:b:/p/finanzas/EXRm4y2eoEZFnz6D6e8t8jYBnPM4HzgMUz-d2PGhLEd4gQ?e=mQUOuI" TargetMode="External"/><Relationship Id="rId332" Type="http://schemas.openxmlformats.org/officeDocument/2006/relationships/hyperlink" Target="../../../../:b:/p/finanzas/ES8uzMXyPxtHrUgt0QQyvz8BCB16moAzBT8TvSw66FrEfQ?e=yOOf4S" TargetMode="External"/><Relationship Id="rId71" Type="http://schemas.openxmlformats.org/officeDocument/2006/relationships/hyperlink" Target="../../../:b:/p/finanzas/ER2Kl5i49LJFgYhAbW5HuAYBvT8_lM17i91LKI1p1BgOYA%3fe=zFtnxF" TargetMode="External"/><Relationship Id="rId92" Type="http://schemas.openxmlformats.org/officeDocument/2006/relationships/hyperlink" Target="../../../:b:/p/finanzas/EYkn4DGcIntGuRbIKhDGEjMB4x64EWyTOXfH6U5A1yzcNQ%3fe=hyR3mp" TargetMode="External"/><Relationship Id="rId213" Type="http://schemas.openxmlformats.org/officeDocument/2006/relationships/hyperlink" Target="../../../:b:/p/finanzas/EYJZsGNX7FRKtLq0Ix9LL_QBUQp5OJ-iKH-LdnYUxyWfxg%3fe=QiTSPf" TargetMode="External"/><Relationship Id="rId234" Type="http://schemas.openxmlformats.org/officeDocument/2006/relationships/hyperlink" Target="../../../../:b:/p/finanzas/EZR_lR2Ei1FIkoBzg-aXPPwBcdAix6PIDCjuKJk5pbp4Wg?e=ZQWOlr" TargetMode="External"/><Relationship Id="rId2" Type="http://schemas.openxmlformats.org/officeDocument/2006/relationships/hyperlink" Target="../../../:b:/p/finanzas/EWXcpFaZvLVLqrCfvSTE0rQBsV80XkQ8E3Pej4C3-GCPhA" TargetMode="External"/><Relationship Id="rId29" Type="http://schemas.openxmlformats.org/officeDocument/2006/relationships/hyperlink" Target="../../../:b:/p/finanzas/EW--tf_5thNLoupVZzeDDvMBnxxuTGjljvVuzVhq2C0k-g%3fe=K5pfqD" TargetMode="External"/><Relationship Id="rId255" Type="http://schemas.openxmlformats.org/officeDocument/2006/relationships/hyperlink" Target="../../../../:b:/p/finanzas/Ec52s8htxyZKvkVTsLQnKY4B5gMd4mDKdeI1Civmfo0XXw?e=e8JIjO" TargetMode="External"/><Relationship Id="rId276" Type="http://schemas.openxmlformats.org/officeDocument/2006/relationships/hyperlink" Target="../../../../:b:/p/finanzas/EZE-pK0CC7BLr6QRtg1bDewB9UEoV679FlIxZlmzbovqTg?e=tBL4Ks" TargetMode="External"/><Relationship Id="rId297" Type="http://schemas.openxmlformats.org/officeDocument/2006/relationships/hyperlink" Target="../../../../:b:/p/finanzas/EZKDJYjtdzNOvUJ5bwu7UgIBpBpLseI0KDSGZHu32lTLGQ?e=rIjKwn" TargetMode="External"/><Relationship Id="rId40" Type="http://schemas.openxmlformats.org/officeDocument/2006/relationships/hyperlink" Target="../../../:b:/p/finanzas/EbRh632mY3BKvaichqti1u8BBkp9Vc6BdGnQi2QxWI4DBg%3fe=3IVMfq" TargetMode="External"/><Relationship Id="rId115" Type="http://schemas.openxmlformats.org/officeDocument/2006/relationships/hyperlink" Target="../../../:b:/p/finanzas/EcYYpL9fGDBJo54JyXlzO3QBbJgTPDf0lTu186pNX2dcuw%3fe=yWypAo" TargetMode="External"/><Relationship Id="rId136" Type="http://schemas.openxmlformats.org/officeDocument/2006/relationships/hyperlink" Target="../../../:b:/p/finanzas/ERpEVP5YV9tPmb5CYXDdiYkBDa7RzerWnyj4c4CguHOmLQ" TargetMode="External"/><Relationship Id="rId157" Type="http://schemas.openxmlformats.org/officeDocument/2006/relationships/hyperlink" Target="../../../:b:/p/finanzas/EaDui8dv0HxKkBb-DlLw0PEBeltyw-l3rHg9de2lw8cflA%3fe=MOQdqh" TargetMode="External"/><Relationship Id="rId178" Type="http://schemas.openxmlformats.org/officeDocument/2006/relationships/hyperlink" Target="../../../:b:/p/finanzas/ERF9fxwqonpHjRzLnVq0IKYBTbCF3JKYtv7zFrOtjkQ2nA%3fe=GRLfvI" TargetMode="External"/><Relationship Id="rId301" Type="http://schemas.openxmlformats.org/officeDocument/2006/relationships/hyperlink" Target="../../../../:b:/p/finanzas/EQu_jU_Ldy5EpnnUaU4guUcBJN7Lr8eMyOIgCxiNKv8ceA?e=NmiIoN" TargetMode="External"/><Relationship Id="rId322" Type="http://schemas.openxmlformats.org/officeDocument/2006/relationships/hyperlink" Target="../../../../:b:/p/finanzas/EetO7m4afsJCgRVmjblsbioBiz9EorHupv5G5G9Gz1KboQ?e=GOb8VP" TargetMode="External"/><Relationship Id="rId343" Type="http://schemas.openxmlformats.org/officeDocument/2006/relationships/table" Target="../tables/table3.xml"/><Relationship Id="rId61" Type="http://schemas.openxmlformats.org/officeDocument/2006/relationships/hyperlink" Target="../../../:b:/p/finanzas/Ee-cPbzPawVAilD5yQgxxJ0Bff4TaWU8-Okd5W-zOnkdtA%3fe=oeLney" TargetMode="External"/><Relationship Id="rId82" Type="http://schemas.openxmlformats.org/officeDocument/2006/relationships/hyperlink" Target="../../../:b:/p/finanzas/ETa1QVU1WeVFrwB59bSk-SMBJYZoJGCis2iawSD06SKmzA%3fe=QXhWaw" TargetMode="External"/><Relationship Id="rId199" Type="http://schemas.openxmlformats.org/officeDocument/2006/relationships/hyperlink" Target="../../../:b:/p/finanzas/EdDKe9OB6gVMuS4uw-99040BkwqjGMeEbu0xWdf4pJgpjQ%3fe=Lc75ko" TargetMode="External"/><Relationship Id="rId203" Type="http://schemas.openxmlformats.org/officeDocument/2006/relationships/hyperlink" Target="../../../:b:/p/finanzas/Eddg0luLZNFHnmOY8HRkvcsBxPrc11w7tmpI3lAIHgdy3w%3fe=T60UkE" TargetMode="External"/><Relationship Id="rId19" Type="http://schemas.openxmlformats.org/officeDocument/2006/relationships/hyperlink" Target="../../../:b:/p/finanzas/ES0rH8vRLqJMnF8PrIfSTsEBZVPRWTusVodt-pnXtdJoIg%3fe=bMdq0M" TargetMode="External"/><Relationship Id="rId224" Type="http://schemas.openxmlformats.org/officeDocument/2006/relationships/hyperlink" Target="../../../:b:/p/finanzas/EQc_uIVEiIlBtw7Q_C_kcjIB8fjmuEbDm_i3ETr1VaPk6Q?e=NujdHu" TargetMode="External"/><Relationship Id="rId245" Type="http://schemas.openxmlformats.org/officeDocument/2006/relationships/hyperlink" Target="../../../../:b:/p/finanzas/EVgV4p73_o5MsLiMF1qS8poBi32KJCsy5kND-vO6w7PlIg?e=GiPRhJ" TargetMode="External"/><Relationship Id="rId266" Type="http://schemas.openxmlformats.org/officeDocument/2006/relationships/hyperlink" Target="../../../../:b:/p/finanzas/EcUSiUrSo_RLtHpyHd3yYKUB7yUyKdHvtgDZcGAZgZKDhw?e=05RUCo" TargetMode="External"/><Relationship Id="rId287" Type="http://schemas.openxmlformats.org/officeDocument/2006/relationships/hyperlink" Target="../../../../:b:/p/finanzas/EeIwlRLLGS1NisQgzilLeKoB3UVmEaRKIg1_3jj4mAMfEw?e=lfecVv" TargetMode="External"/><Relationship Id="rId30" Type="http://schemas.openxmlformats.org/officeDocument/2006/relationships/hyperlink" Target="../../../:b:/p/finanzas/ETyJNMom7shLthTvQMD8Md0BN6OEvHzM0JApdNxoTQ7vkQ%3fe=hVx25Y" TargetMode="External"/><Relationship Id="rId105" Type="http://schemas.openxmlformats.org/officeDocument/2006/relationships/hyperlink" Target="../../../:b:/p/finanzas/EWOy-T4IeHFKkRTz5A_UQZkBo1cX4zxdYZFaQQZZmRbMKw%3fe=s8CxkW" TargetMode="External"/><Relationship Id="rId126" Type="http://schemas.openxmlformats.org/officeDocument/2006/relationships/hyperlink" Target="../../../:b:/p/finanzas/Edy1NEYKsblLg5dCB7-mxa4BcLbWK1GHnE3470WFWfBPwg%3fe=2tsXUY" TargetMode="External"/><Relationship Id="rId147" Type="http://schemas.openxmlformats.org/officeDocument/2006/relationships/hyperlink" Target="../../../:b:/p/finanzas/EZdNZcMNugNBrJtk-2mOAlgBe8kK-HWjxBIOycsdZedOYQ%3fe=FlsX07" TargetMode="External"/><Relationship Id="rId168" Type="http://schemas.openxmlformats.org/officeDocument/2006/relationships/hyperlink" Target="../../../:b:/p/finanzas/EUipaGOclIFFtCKm78ZO95ABzCSr4wUSyVoldQv9TuhCSg%3fe=iVDOEo" TargetMode="External"/><Relationship Id="rId312" Type="http://schemas.openxmlformats.org/officeDocument/2006/relationships/hyperlink" Target="../../../../:b:/p/finanzas/EY_CGk1pEMxOsDffABrpb4YBwMHQi_D_2m-GK8nGuBedrw?e=Pkneod" TargetMode="External"/><Relationship Id="rId333" Type="http://schemas.openxmlformats.org/officeDocument/2006/relationships/hyperlink" Target="../../../../:b:/p/finanzas/ETVHDqxrcBZOuY5zBEMaDigB0wiPPxXy0LyUFjPtn3q8mA?e=ei1PQs" TargetMode="External"/><Relationship Id="rId51" Type="http://schemas.openxmlformats.org/officeDocument/2006/relationships/hyperlink" Target="../../../:b:/p/finanzas/ERWxYPzy-2ZOsNskGph2n6kBDaZv6Lr7zYvlACW_f2Pc_A%3fe=SqC30C" TargetMode="External"/><Relationship Id="rId72" Type="http://schemas.openxmlformats.org/officeDocument/2006/relationships/hyperlink" Target="../../../:b:/p/finanzas/ESPKRgte6UxFqb9CofVb4MwB1rhBUvh9RvPInIXqAtvQ5g%3fe=7VXhHP" TargetMode="External"/><Relationship Id="rId93" Type="http://schemas.openxmlformats.org/officeDocument/2006/relationships/hyperlink" Target="../../../:b:/p/finanzas/Ed21vX6A6mFCuJYeJgb0EcwBEWo6BgxRTuaaPogIBtsUMA%3fe=hvtmM5" TargetMode="External"/><Relationship Id="rId189" Type="http://schemas.openxmlformats.org/officeDocument/2006/relationships/hyperlink" Target="../../../:b:/p/finanzas/EQvDoNFsWBVDq5YFXQOu6KABOLkjYeJc3tCYNDv6VPIk9w%3fe=jf0ut2" TargetMode="External"/><Relationship Id="rId3" Type="http://schemas.openxmlformats.org/officeDocument/2006/relationships/hyperlink" Target="../../../:b:/p/finanzas/EdSzTolBwEdPgQOUUHPRVqMBduKEeEIrVVoJtCm0BDx7ig" TargetMode="External"/><Relationship Id="rId214" Type="http://schemas.openxmlformats.org/officeDocument/2006/relationships/hyperlink" Target="../../../:b:/p/finanzas/Eb4h2B85APhDtRRXniiWLiIBY66jd_y7SR8wzU5_XvsyGw%3fe=fanrHM" TargetMode="External"/><Relationship Id="rId235" Type="http://schemas.openxmlformats.org/officeDocument/2006/relationships/hyperlink" Target="../../../../:b:/p/finanzas/EeYA-rJhfc1BrBXiaVeYKzcBDkPkRLAy441B6TohyJCnUQ?e=P7xhS9" TargetMode="External"/><Relationship Id="rId256" Type="http://schemas.openxmlformats.org/officeDocument/2006/relationships/hyperlink" Target="../../../../:b:/p/finanzas/Ec52s8htxyZKvkVTsLQnKY4B5gMd4mDKdeI1Civmfo0XXw?e=e8JIjO" TargetMode="External"/><Relationship Id="rId277" Type="http://schemas.openxmlformats.org/officeDocument/2006/relationships/hyperlink" Target="../../../../:b:/p/finanzas/ETxr1R9vod5Dhnp-aBJ1kB0BN01IG_zKiPhb3ZPVT9vjuQ?e=eQikbf" TargetMode="External"/><Relationship Id="rId298" Type="http://schemas.openxmlformats.org/officeDocument/2006/relationships/hyperlink" Target="../../../../:b:/p/finanzas/EQ49Yy577w9AnmtloifxmRgBrqEzJlQRoZSTYAtd1wZAgQ?e=ZEpDqj" TargetMode="External"/><Relationship Id="rId116" Type="http://schemas.openxmlformats.org/officeDocument/2006/relationships/hyperlink" Target="../../../:b:/p/finanzas/EYvBqMkQMHlJqnKJeIIcjHQBVumFafecoTSVMgaQMQzSfQ%3fe=oFQwJT" TargetMode="External"/><Relationship Id="rId137" Type="http://schemas.openxmlformats.org/officeDocument/2006/relationships/hyperlink" Target="../../../:b:/p/finanzas/EY-bdbvp5ktBs8H5T-mF1owBzpwhdeztKo9dVUcjDqAt1A%3fe=pYKcGi" TargetMode="External"/><Relationship Id="rId158" Type="http://schemas.openxmlformats.org/officeDocument/2006/relationships/hyperlink" Target="../../../:b:/p/finanzas/EYWYVbSjW5xEkpHkDJxqFnQB7MNhzZaUog9C1CH0EAZ1Xw%3fe=eaVRP9" TargetMode="External"/><Relationship Id="rId302" Type="http://schemas.openxmlformats.org/officeDocument/2006/relationships/hyperlink" Target="../../../../:b:/p/finanzas/Edbq9zvTMw1BnSFSlMKNpcUBCaRPyBXReUxkHRoveaS7cw?e=bh2eNj" TargetMode="External"/><Relationship Id="rId323" Type="http://schemas.openxmlformats.org/officeDocument/2006/relationships/hyperlink" Target="../../../../:b:/p/finanzas/Eea3rSNG18lDmODkKE1YtZcBoFS-UKFhMU9Vj4_fply5xA?e=WKb33d" TargetMode="External"/><Relationship Id="rId344" Type="http://schemas.openxmlformats.org/officeDocument/2006/relationships/comments" Target="../comments1.xml"/><Relationship Id="rId20" Type="http://schemas.openxmlformats.org/officeDocument/2006/relationships/hyperlink" Target="../../../:b:/p/finanzas/EdxNS69asYlPk5ozvvPqMdYBRbwWr5wLKxPvHHykWd4Vdg%3fe=rq1tRr" TargetMode="External"/><Relationship Id="rId41" Type="http://schemas.openxmlformats.org/officeDocument/2006/relationships/hyperlink" Target="../../../:b:/p/finanzas/EdKlqB9oQghAg1EBmP4LvxABd3I1tCHRyBppQ1pzeu_xKQ%3fe=7slJmb" TargetMode="External"/><Relationship Id="rId62" Type="http://schemas.openxmlformats.org/officeDocument/2006/relationships/hyperlink" Target="../../../:b:/p/finanzas/EfsREUk6TKlMplXJR0rus_ABlteyTlKLjGiTttAfPWTsRQ%3fe=WBOHx5" TargetMode="External"/><Relationship Id="rId83" Type="http://schemas.openxmlformats.org/officeDocument/2006/relationships/hyperlink" Target="../../../:b:/p/finanzas/EbzLGtXK9HpKvCa97bgQA2gB48HaM4eKDmZibDmaAnICXw%3fe=aQUna1" TargetMode="External"/><Relationship Id="rId179" Type="http://schemas.openxmlformats.org/officeDocument/2006/relationships/hyperlink" Target="../../../:b:/p/finanzas/EQgv_srxGrZOvs-uZuBlLtQB4SUCvx8O-2uSWqMPJYwlXw%3fe=RVNsU1" TargetMode="External"/><Relationship Id="rId190" Type="http://schemas.openxmlformats.org/officeDocument/2006/relationships/hyperlink" Target="../../../:b:/p/finanzas/EVxPZhi4oP5Hh94iH7XMuV4BFzdPnC9nk82ncvWvOxAXqw%3fe=yMRYdN" TargetMode="External"/><Relationship Id="rId204" Type="http://schemas.openxmlformats.org/officeDocument/2006/relationships/hyperlink" Target="../../../:b:/p/finanzas/EZKlf8X6A2tHiKeGpu8jinABMQoCtZ5tQXJ3YBH1elzhqw%3fe=XrFXL6" TargetMode="External"/><Relationship Id="rId225" Type="http://schemas.openxmlformats.org/officeDocument/2006/relationships/hyperlink" Target="../../../:b:/p/finanzas/Eeotk-48Z0pNjFvhn9VzBHoBzlP_9bIoi_ddEb08O0uvvw?e=6h81kp" TargetMode="External"/><Relationship Id="rId246" Type="http://schemas.openxmlformats.org/officeDocument/2006/relationships/hyperlink" Target="../../../../:b:/p/finanzas/Eap7gWOb045GmDgpFCD606oBW4D8tx9lfkVm8giG-K3mLg?e=RLrE2P" TargetMode="External"/><Relationship Id="rId267" Type="http://schemas.openxmlformats.org/officeDocument/2006/relationships/hyperlink" Target="../../../../:b:/p/finanzas/EbroLtpS9jVAqohLpq4WHi0BkNYklhlhTykgqaTEf-ujyw?e=ZNlirI" TargetMode="External"/><Relationship Id="rId288" Type="http://schemas.openxmlformats.org/officeDocument/2006/relationships/hyperlink" Target="../../../../:b:/p/finanzas/EeffQjDky0ZCp4_gz6zMoUIBBnmruH12hCX8ioyYiRuo8g?e=kgatcj" TargetMode="External"/><Relationship Id="rId106" Type="http://schemas.openxmlformats.org/officeDocument/2006/relationships/hyperlink" Target="../../../:b:/p/finanzas/EYowrdMUp8JMtRxv6MFsOwkBoUVfJoBq2DV9rjp1_czrfg%3fe=1KcUI2" TargetMode="External"/><Relationship Id="rId127" Type="http://schemas.openxmlformats.org/officeDocument/2006/relationships/hyperlink" Target="../../../:b:/p/finanzas/ES0gITywKqhGqwenJjO94ckBm4vXkuMbikoEhHlXtBPOpA%3fe=okxWGt" TargetMode="External"/><Relationship Id="rId313" Type="http://schemas.openxmlformats.org/officeDocument/2006/relationships/hyperlink" Target="../../../../:b:/p/finanzas/EWedMvXzmHJDmUfKRHNyb-cBuO4X3w5KHUlMiq-44UTj_g?e=38aHta" TargetMode="External"/><Relationship Id="rId10" Type="http://schemas.openxmlformats.org/officeDocument/2006/relationships/hyperlink" Target="../../../:b:/p/finanzas/Ee6rpH16T1FAvmhoTJB5VhUBHsfqGbw9O7pKUwh7d7KLrg%3fe=dby5bD" TargetMode="External"/><Relationship Id="rId31" Type="http://schemas.openxmlformats.org/officeDocument/2006/relationships/hyperlink" Target="../../../:b:/p/finanzas/EVxlM6NHPidKkvqP3PaalwUBmlEXATxZJrt13C98FBHzdA%3fe=85ZFvO" TargetMode="External"/><Relationship Id="rId52" Type="http://schemas.openxmlformats.org/officeDocument/2006/relationships/hyperlink" Target="../../../:b:/p/finanzas/EWkOTRhkZYBHmZT43bgGFycByg_FZ5swJyGP0qAdXHvKOw%3fe=I3D4EP" TargetMode="External"/><Relationship Id="rId73" Type="http://schemas.openxmlformats.org/officeDocument/2006/relationships/hyperlink" Target="../../../:b:/p/finanzas/EcDzhgnQdIRIu81K1Mnc9jAB76jAyHj0UFmDC4kbdxa3gA%3fe=Vcbu8N" TargetMode="External"/><Relationship Id="rId94" Type="http://schemas.openxmlformats.org/officeDocument/2006/relationships/hyperlink" Target="../../../:b:/p/finanzas/EfyvJN2DI3FEsBwkgII5ZvkBBqHuJmpQLzvhFamSM5j7PA%3fe=zyHjKv" TargetMode="External"/><Relationship Id="rId148" Type="http://schemas.openxmlformats.org/officeDocument/2006/relationships/hyperlink" Target="../../../:b:/p/finanzas/ESF7lJzaxOBFk23g4EUGfhEBKmzdTvL_H7INwMlZAVctwg%3fe=eYaJdA" TargetMode="External"/><Relationship Id="rId169" Type="http://schemas.openxmlformats.org/officeDocument/2006/relationships/hyperlink" Target="../../../:b:/p/finanzas/EbsvCiTBAr9OrXR5H3uGRIsBDmMoQdCuLcVmQab7cbJ__g%3fe=MW55Kp" TargetMode="External"/><Relationship Id="rId334" Type="http://schemas.openxmlformats.org/officeDocument/2006/relationships/hyperlink" Target="../../../../:b:/p/finanzas/ERykTMu_T5ZNoTH6J2DpIJ0B881J68PRs7MIGyBaCQUGFQ?e=hsBp89" TargetMode="External"/><Relationship Id="rId4" Type="http://schemas.openxmlformats.org/officeDocument/2006/relationships/hyperlink" Target="../../../:b:/p/finanzas/EaKtCxc45ptAvmc2KLgrfywBREcdMDxwwmlEChyBtRd-iA%3fe=RGLpPH" TargetMode="External"/><Relationship Id="rId180" Type="http://schemas.openxmlformats.org/officeDocument/2006/relationships/hyperlink" Target="../../../:b:/p/finanzas/EfF12wf4yKFPoijv1ZRLWfgBMBw_hw33LaOoh2xXS8T41A%3fe=LB7q1r" TargetMode="External"/><Relationship Id="rId215" Type="http://schemas.openxmlformats.org/officeDocument/2006/relationships/hyperlink" Target="../../../:b:/p/finanzas/EYbA-1suCclAsL3mXFL2AFQBNBktLhpbJDWlnn7AWf-JwA%3fe=z8PKAf" TargetMode="External"/><Relationship Id="rId236" Type="http://schemas.openxmlformats.org/officeDocument/2006/relationships/hyperlink" Target="../../../../:b:/p/finanzas/EWQZ4G4uYxJFqqBvbQ4P0hMBRMEKdLD4G4gPsyH7YDoTXA?e=uL5kJu" TargetMode="External"/><Relationship Id="rId257" Type="http://schemas.openxmlformats.org/officeDocument/2006/relationships/hyperlink" Target="../../../../:b:/p/finanzas/EZXdpIUuy8FAqda-v-utuhEBslP3YX-pjTDZyd0FxLQJsg?e=j1BN0Z" TargetMode="External"/><Relationship Id="rId278" Type="http://schemas.openxmlformats.org/officeDocument/2006/relationships/hyperlink" Target="../../../../:b:/p/finanzas/EUcXgAEt0MNDs7zrgfbTq7MBcefOotmm6fSBu4Eaf2SWGg?e=mJfEfH" TargetMode="External"/><Relationship Id="rId303" Type="http://schemas.openxmlformats.org/officeDocument/2006/relationships/hyperlink" Target="../../../../:b:/p/finanzas/EaVQjrQU_5ROlzTDmoqFKHIBPov60N6AduAHlWL6f1tFTQ?e=fmesJM" TargetMode="External"/><Relationship Id="rId42" Type="http://schemas.openxmlformats.org/officeDocument/2006/relationships/hyperlink" Target="../../../:b:/p/finanzas/EZEfnAmw5KVCjNe5gPazVIcBbmQdzsZRCj4fcbnB7W4u4g%3fe=7ToF9o" TargetMode="External"/><Relationship Id="rId84" Type="http://schemas.openxmlformats.org/officeDocument/2006/relationships/hyperlink" Target="../../../:b:/p/finanzas/EV5BdNmkzhRBnVYIG24P05oBsdVZZBSQ9DlxYzJn7v_k6A%3fe=3Japd3" TargetMode="External"/><Relationship Id="rId138" Type="http://schemas.openxmlformats.org/officeDocument/2006/relationships/hyperlink" Target="../../../:b:/p/finanzas/EbymtcBe_olEg_AMEOyfJp4BtsKR4IAX8wbwWtkzQSRJ0Q%3fe=bGY6wf" TargetMode="External"/><Relationship Id="rId345" Type="http://schemas.microsoft.com/office/2017/10/relationships/threadedComment" Target="../threadedComments/threadedComment1.xml"/><Relationship Id="rId191" Type="http://schemas.openxmlformats.org/officeDocument/2006/relationships/hyperlink" Target="../../../:b:/p/finanzas/ESH4nMTVCltCht1tyk6PO2wBarF7mGpY30Q67T7wure0JQ%3fe=LXMDVC" TargetMode="External"/><Relationship Id="rId205" Type="http://schemas.openxmlformats.org/officeDocument/2006/relationships/hyperlink" Target="../../../:b:/p/finanzas/EUVD0C-ju-BLtstiIaaDvHIByPevx0WEokmLw5EoJMKpXw%3fe=ucTnQz" TargetMode="External"/><Relationship Id="rId247" Type="http://schemas.openxmlformats.org/officeDocument/2006/relationships/hyperlink" Target="../../../../:b:/p/finanzas/EUMAe4DG0NVCq0qNNxXv_R0Bms6K8dEHPYtXv03C8eOSSg?e=LTS5Sh" TargetMode="External"/><Relationship Id="rId107" Type="http://schemas.openxmlformats.org/officeDocument/2006/relationships/hyperlink" Target="../../../:b:/p/finanzas/EX50_h85NVRLmPzGSLQK3QQBLUAFlNRyuX0WCdeHv-f_Yg%3fe=5kG9e2" TargetMode="External"/><Relationship Id="rId289" Type="http://schemas.openxmlformats.org/officeDocument/2006/relationships/hyperlink" Target="../../../../:b:/p/finanzas/EZdPlbg25gZDvzoz6F0e5T4BTNUnxD5P04_-aS7kc9Vwtg?e=jFQ7Op" TargetMode="External"/><Relationship Id="rId11" Type="http://schemas.openxmlformats.org/officeDocument/2006/relationships/hyperlink" Target="../../../:b:/p/finanzas/EZxv5OVQ1tNGnd71-QlkkJkBWjCO9gA5_Kv7cG1D-2W_xA%3fe=Uvve89" TargetMode="External"/><Relationship Id="rId53" Type="http://schemas.openxmlformats.org/officeDocument/2006/relationships/hyperlink" Target="../../../:b:/p/finanzas/ES6LdIRb4itItsanrEKE1wABu5cUDz2KfmwVnqaegos5mw%3fe=HISbt8" TargetMode="External"/><Relationship Id="rId149" Type="http://schemas.openxmlformats.org/officeDocument/2006/relationships/hyperlink" Target="../../../:b:/p/finanzas/EfKdUQkQ1M9Lv9Y7CbVrtVQBNMAXLzC96oG3WuPq3jk6jA%3fe=bs0Ohf" TargetMode="External"/><Relationship Id="rId314" Type="http://schemas.openxmlformats.org/officeDocument/2006/relationships/hyperlink" Target="../../../../:b:/p/finanzas/EZruCGGTr6NDqVJN2aFQyqkBIIw3_6jsI_gifHD8W0s5hw?e=FJj8YB" TargetMode="External"/><Relationship Id="rId95" Type="http://schemas.openxmlformats.org/officeDocument/2006/relationships/hyperlink" Target="../../../:b:/p/finanzas/EaFIX_ZZHNBCldNkfRuS8qwBINUDIs3t-0-7e41tgOmBXw%3fe=sDiXue" TargetMode="External"/><Relationship Id="rId160" Type="http://schemas.openxmlformats.org/officeDocument/2006/relationships/hyperlink" Target="../../../:b:/p/finanzas/EWa8rwlGHNREs-q1BjpoWawBGCl1WWwSegWYwtuxmD3BYA%3fe=x9bocf" TargetMode="External"/><Relationship Id="rId216" Type="http://schemas.openxmlformats.org/officeDocument/2006/relationships/hyperlink" Target="../../../:b:/p/finanzas/EUCqxH-PLAhJmUcDOT-MznYBDvMNYxvYcN9E35otjKc3_A?e=CRotBR" TargetMode="External"/><Relationship Id="rId258" Type="http://schemas.openxmlformats.org/officeDocument/2006/relationships/hyperlink" Target="../../../../:b:/p/finanzas/EQL5tFLmqsJDtfURw5UhVMIBE1yikGHoXRm6Y1XD-gZqAw?e=L7t3Qz" TargetMode="External"/><Relationship Id="rId22" Type="http://schemas.openxmlformats.org/officeDocument/2006/relationships/hyperlink" Target="../../../:b:/p/finanzas/EQJ9pwr9UY5Mh7Gu01lL_fcBNJeYRUaORh6apG7p4louWw%3fe=0D3Lem" TargetMode="External"/><Relationship Id="rId64" Type="http://schemas.openxmlformats.org/officeDocument/2006/relationships/hyperlink" Target="../../../:b:/p/finanzas/ERpEVP5YV9tPmb5CYXDdiYkBDa7RzerWnyj4c4CguHOmLQ" TargetMode="External"/><Relationship Id="rId118" Type="http://schemas.openxmlformats.org/officeDocument/2006/relationships/hyperlink" Target="../../../:b:/p/finanzas/ESenmR85XIJAmWfBs890t2MBbXITipxQa_s49G6qZhn-Sg%3fe=AMrdOr" TargetMode="External"/><Relationship Id="rId325" Type="http://schemas.openxmlformats.org/officeDocument/2006/relationships/hyperlink" Target="../../../../:b:/p/finanzas/EWCp5-WmMJ5NktRf74TMa_8B5M5D2cV4-W4-NFwmpIHXPQ?e=GyJ8EP" TargetMode="External"/><Relationship Id="rId171" Type="http://schemas.openxmlformats.org/officeDocument/2006/relationships/hyperlink" Target="../../../:b:/p/finanzas/EY2HOplLVkhImd4NJ92sCIAB2ewLO2TGaCjfrizIMrwZyQ%3fe=va17SL" TargetMode="External"/><Relationship Id="rId227" Type="http://schemas.openxmlformats.org/officeDocument/2006/relationships/hyperlink" Target="../../../:b:/p/finanzas/EcE62y32NPpHsJdHDEmjEnEBENL6a0w3BNd-Us63p6sDwQ?e=g1pivQ" TargetMode="External"/><Relationship Id="rId269" Type="http://schemas.openxmlformats.org/officeDocument/2006/relationships/hyperlink" Target="../../../../:b:/p/finanzas/EfPqodLOm0pDvxl3VaXOyg0B0EfrMSxUFIi_bZwb9wUX8g?e=ClAB79" TargetMode="External"/><Relationship Id="rId33" Type="http://schemas.openxmlformats.org/officeDocument/2006/relationships/hyperlink" Target="../../../:b:/p/finanzas/ETzqk0qUSpRMhENP8D7zCZ4BvPvUUEHn6yOMY26ZqLMgPg%3fe=iYHrH2" TargetMode="External"/><Relationship Id="rId129" Type="http://schemas.openxmlformats.org/officeDocument/2006/relationships/hyperlink" Target="../../../:b:/p/finanzas/EUbPL0kvHIVLsUCIEkjfL3IBj7BbkkjLB_vpaQkgejhF9Q%3fe=waao8n" TargetMode="External"/><Relationship Id="rId280" Type="http://schemas.openxmlformats.org/officeDocument/2006/relationships/hyperlink" Target="../../../../:b:/p/finanzas/Eb5IIDb46QtJgCL65IW1QrYBKHDMGgxjck7YdGoCdT0gEA?e=MtBlrG" TargetMode="External"/><Relationship Id="rId336" Type="http://schemas.openxmlformats.org/officeDocument/2006/relationships/hyperlink" Target="../../../../:b:/p/finanzas/EUMTfXPWrHxHnLOLJW6itjIBuQZT2FjfRVrfuFnR6Dp-_g?e=wFMiZg" TargetMode="External"/><Relationship Id="rId75" Type="http://schemas.openxmlformats.org/officeDocument/2006/relationships/hyperlink" Target="../../../:b:/p/finanzas/Ef4me-Y9OwBAr1pyL-v7b-0BgINwDTKwEd5OFsgmTaVacw%3fe=5csRFK" TargetMode="External"/><Relationship Id="rId140" Type="http://schemas.openxmlformats.org/officeDocument/2006/relationships/hyperlink" Target="../../../:b:/p/finanzas/EemIwWax0bFBuXtSnNWhmA8BPSKupapcEohsSPOuhIzMJA%3fe=otbFO3" TargetMode="External"/><Relationship Id="rId182" Type="http://schemas.openxmlformats.org/officeDocument/2006/relationships/hyperlink" Target="../../../:b:/p/finanzas/EZNYuhg_OThIkrsnhuQC9WIBVWlVzaHX8qnFu63vcSBW5w%3fe=G3n90l" TargetMode="External"/><Relationship Id="rId6" Type="http://schemas.openxmlformats.org/officeDocument/2006/relationships/hyperlink" Target="../../../:b:/p/finanzas/EefbsmDs0DtLpe3VArWd8LAB75HnjUSHoJbR2J2sbyKCrQ%3fe=qLra8k" TargetMode="External"/><Relationship Id="rId238" Type="http://schemas.openxmlformats.org/officeDocument/2006/relationships/hyperlink" Target="../../../../:b:/p/finanzas/ET87oTGKdcxEhkeZ__KckA4BTPH4Hz3GBq5aQWJPvOn_jg?e=GRn06Y" TargetMode="External"/><Relationship Id="rId291" Type="http://schemas.openxmlformats.org/officeDocument/2006/relationships/hyperlink" Target="../../../../:b:/p/finanzas/EYtgxSc58VZEiJf5nZCHKxABmrcEOxL9s39e6uzjytAzRw?e=So7VCS" TargetMode="External"/><Relationship Id="rId305" Type="http://schemas.openxmlformats.org/officeDocument/2006/relationships/hyperlink" Target="../../../../:b:/p/finanzas/EXM9r_8PjNxIgdQ1XFkdvz4BdPjXVa4SM8mkoMXSXs2oLQ?e=IK2TsQ" TargetMode="External"/><Relationship Id="rId44" Type="http://schemas.openxmlformats.org/officeDocument/2006/relationships/hyperlink" Target="../../../:b:/p/finanzas/ESAjhhvlfuNBi4lyaXoq35MBR11V_FmdiE38jYVMKoDSvQ%3fe=rbAvWk" TargetMode="External"/><Relationship Id="rId86" Type="http://schemas.openxmlformats.org/officeDocument/2006/relationships/hyperlink" Target="../../../:b:/p/finanzas/ERNStyRwOSRKhsW_wbMxe5kBB7Y1SuvgRgN-zyElvaOGJg%3fe=IGa97p" TargetMode="External"/><Relationship Id="rId151" Type="http://schemas.openxmlformats.org/officeDocument/2006/relationships/hyperlink" Target="../../../:b:/p/finanzas/EcBYUfVMHyJNplE_tqsnbBUB3FD4xdhQUru_uWqU93A1SA%3fe=ETVRrP" TargetMode="External"/><Relationship Id="rId193" Type="http://schemas.openxmlformats.org/officeDocument/2006/relationships/hyperlink" Target="../../../:b:/p/finanzas/EcGqCkDZBTJOtk7SU1UCJgcBpdsfC5_Se7EVCGY8eqcliA%3fe=PySroa" TargetMode="External"/><Relationship Id="rId207" Type="http://schemas.openxmlformats.org/officeDocument/2006/relationships/hyperlink" Target="../../../:b:/p/finanzas/EXn8uQm3VrFMtPjOTtBex_cB0IXKerv3d8MvSW2hAGvDYg%3fe=pamo8H" TargetMode="External"/><Relationship Id="rId249" Type="http://schemas.openxmlformats.org/officeDocument/2006/relationships/hyperlink" Target="../../../../:b:/p/finanzas/EVPOKNxguFFGo4GBW1Z-54cBElCUFQlLS2u4-qR_h3KrMQ?e=HbmvZl" TargetMode="External"/><Relationship Id="rId13" Type="http://schemas.openxmlformats.org/officeDocument/2006/relationships/hyperlink" Target="../../../:b:/p/finanzas/EQqIS89zdYtGmXcnn86nOEcBd5alSI0Vc3hutkhxq7axIQ%3fe=jjsw1J" TargetMode="External"/><Relationship Id="rId109" Type="http://schemas.openxmlformats.org/officeDocument/2006/relationships/hyperlink" Target="../../../:b:/p/finanzas/EYZKdOxFU2hEhY3KFA0Ae1QBU3ylg-vd3O3zMmcWtWnx7w%3fe=j53eN3" TargetMode="External"/><Relationship Id="rId260" Type="http://schemas.openxmlformats.org/officeDocument/2006/relationships/hyperlink" Target="../../../../:b:/p/finanzas/EfbqWtpG4npAo0wyIVN7vpYBK_cDVfsaPdV2QgE3FQSTXg?e=Th3qbd" TargetMode="External"/><Relationship Id="rId316" Type="http://schemas.openxmlformats.org/officeDocument/2006/relationships/hyperlink" Target="../../../../:b:/p/finanzas/ERnYEO6s3LBArW1W8OPxF6MBf4DWHU9oAKWOs4mtq5buNQ?e=8Xcb91" TargetMode="External"/><Relationship Id="rId55" Type="http://schemas.openxmlformats.org/officeDocument/2006/relationships/hyperlink" Target="../../../:b:/p/finanzas/EbNIgTLyZ1JAlw8thcV3krkBMo-7pbNi77aKBAghqGLaoA%3fe=A7Fygu" TargetMode="External"/><Relationship Id="rId97" Type="http://schemas.openxmlformats.org/officeDocument/2006/relationships/hyperlink" Target="../../../:b:/p/finanzas/Ec26qUycvARAtNa9YyYTMwUBYYU0H2LW4BDrDwm2Ye-GRQ%3fe=cb2Qih" TargetMode="External"/><Relationship Id="rId120" Type="http://schemas.openxmlformats.org/officeDocument/2006/relationships/hyperlink" Target="../../../:b:/p/finanzas/EbPHUljP-vtFl4eoWLv9fqoBVNFXfHItNl8nL9l1ClftrQ%3fe=rCUX2W" TargetMode="External"/><Relationship Id="rId162" Type="http://schemas.openxmlformats.org/officeDocument/2006/relationships/hyperlink" Target="../../../:b:/p/finanzas/Ef8MFJpSlzlPtXaQX6smSdQBWNSec1lognpJiuS6pf0Xzw%3fe=gNWCLu" TargetMode="External"/><Relationship Id="rId218" Type="http://schemas.openxmlformats.org/officeDocument/2006/relationships/hyperlink" Target="../../../:b:/p/finanzas/ETG8yQfogK9NiYRbAA9Ads8B_dNtT252rU7rnHPEcwqbTA?e=btUesj" TargetMode="External"/><Relationship Id="rId271" Type="http://schemas.openxmlformats.org/officeDocument/2006/relationships/hyperlink" Target="../../../../:b:/p/finanzas/EV9ZJn7wL15FkRs0s7Hsf2MB0dNA6kqkq21MTMTsWeLv7w?e=opka8R" TargetMode="External"/><Relationship Id="rId24" Type="http://schemas.openxmlformats.org/officeDocument/2006/relationships/hyperlink" Target="../../../:b:/p/finanzas/EZWTm86v0g9DtZoIJ5dveIkBauwgyeRq1e8Suh1Kf2KKMA%3fe=HOl8wE" TargetMode="External"/><Relationship Id="rId66" Type="http://schemas.openxmlformats.org/officeDocument/2006/relationships/hyperlink" Target="../../../:b:/p/finanzas/Ec5oXlW6Gp5KpQOSWMO41g4Brs2VY6xGLTI4hxN1bJTEdQ%3fe=152mmi" TargetMode="External"/><Relationship Id="rId131" Type="http://schemas.openxmlformats.org/officeDocument/2006/relationships/hyperlink" Target="../../../:b:/p/finanzas/EeL8nlVepTBBuKxFuwYxC9UB7BxKI6nzIgttnYqGkJ3J1w%3fe=G36Iyf" TargetMode="External"/><Relationship Id="rId327" Type="http://schemas.openxmlformats.org/officeDocument/2006/relationships/hyperlink" Target="../../../../:b:/p/finanzas/EaMcke8vr9VEmi85TCVoHzIBpvmhwQMgU4GktRTP4Oa6Pg?e=BhqqEN" TargetMode="External"/><Relationship Id="rId173" Type="http://schemas.openxmlformats.org/officeDocument/2006/relationships/hyperlink" Target="../../../:b:/p/finanzas/EUsI9u2cd_5IsFxtWj8ga9kBdy1_kQSGzgDoYyUzPRF_JA%3fe=TwNvFn" TargetMode="External"/><Relationship Id="rId229" Type="http://schemas.openxmlformats.org/officeDocument/2006/relationships/hyperlink" Target="../../../:b:/p/finanzas/EVuq0IO6KBRGiDiUB3nQPMoBX4_GLgsfpzBEzNX_wLOhFg?e=oveVrE" TargetMode="External"/><Relationship Id="rId240" Type="http://schemas.openxmlformats.org/officeDocument/2006/relationships/hyperlink" Target="../../../../:b:/p/finanzas/Ee6nrhdf0PNLkXqDfmTWOFYB_N0-gSdFRUErDPwAFLgtFw?e=sHlZ0b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:b:/p/finanzas/EdMNVJmWm2ZMlwU0ZtBQGRYBa0bv46ZwYzWaT0spDlHbSg?e=Lac83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../../../../:b:/p/finanzas/EQacCGA4FjBAmw1odHSJLN4BpmJv-Xni5jI2AhzyfrDb3A?e=59nJd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4831-6459-E146-B335-DC4EE2AADBF4}">
  <sheetPr codeName="Hoja19">
    <tabColor rgb="FFFFFF00"/>
    <pageSetUpPr fitToPage="1"/>
  </sheetPr>
  <dimension ref="B1:R71"/>
  <sheetViews>
    <sheetView showGridLines="0" zoomScale="123" zoomScaleNormal="123" zoomScaleSheetLayoutView="100" workbookViewId="0">
      <selection activeCell="M25" sqref="M25"/>
    </sheetView>
  </sheetViews>
  <sheetFormatPr defaultColWidth="12.44140625" defaultRowHeight="13.8" x14ac:dyDescent="0.25"/>
  <cols>
    <col min="1" max="1" width="1.44140625" style="29" customWidth="1"/>
    <col min="2" max="3" width="14.21875" style="29" customWidth="1"/>
    <col min="4" max="4" width="22.44140625" style="29" customWidth="1"/>
    <col min="5" max="17" width="14.21875" style="29" customWidth="1"/>
    <col min="18" max="18" width="13" style="29" customWidth="1"/>
    <col min="19" max="19" width="13.109375" style="29" customWidth="1"/>
    <col min="20" max="16384" width="12.44140625" style="29"/>
  </cols>
  <sheetData>
    <row r="1" spans="2:18" ht="7.5" customHeight="1" x14ac:dyDescent="0.25"/>
    <row r="2" spans="2:18" ht="14.25" customHeight="1" x14ac:dyDescent="0.25">
      <c r="B2" s="247"/>
      <c r="C2" s="247"/>
      <c r="D2" s="248" t="s">
        <v>7821</v>
      </c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9" t="s">
        <v>7822</v>
      </c>
      <c r="R2" s="249"/>
    </row>
    <row r="3" spans="2:18" ht="14.25" customHeight="1" x14ac:dyDescent="0.25">
      <c r="B3" s="247"/>
      <c r="C3" s="247"/>
      <c r="D3" s="250" t="s">
        <v>7823</v>
      </c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49" t="s">
        <v>7824</v>
      </c>
      <c r="R3" s="249"/>
    </row>
    <row r="4" spans="2:18" ht="14.25" customHeight="1" x14ac:dyDescent="0.25">
      <c r="B4" s="247"/>
      <c r="C4" s="247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49" t="s">
        <v>7825</v>
      </c>
      <c r="R4" s="249"/>
    </row>
    <row r="5" spans="2:18" ht="15.75" customHeight="1" x14ac:dyDescent="0.25">
      <c r="B5" s="247"/>
      <c r="C5" s="247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2" t="s">
        <v>7826</v>
      </c>
      <c r="R5" s="252"/>
    </row>
    <row r="6" spans="2:18" ht="3.75" customHeight="1" x14ac:dyDescent="0.25"/>
    <row r="7" spans="2:18" ht="14.25" customHeight="1" x14ac:dyDescent="0.25">
      <c r="B7" s="246" t="s">
        <v>7827</v>
      </c>
      <c r="C7" s="256"/>
      <c r="D7" s="257">
        <f ca="1">TODAY()</f>
        <v>45965</v>
      </c>
      <c r="E7" s="257"/>
      <c r="F7" s="257"/>
      <c r="G7" s="246" t="s">
        <v>7828</v>
      </c>
      <c r="H7" s="246"/>
      <c r="I7" s="253" t="s">
        <v>7829</v>
      </c>
      <c r="J7" s="254"/>
      <c r="K7" s="255"/>
      <c r="L7" s="246" t="s">
        <v>7830</v>
      </c>
      <c r="M7" s="246"/>
      <c r="N7" s="246" t="s">
        <v>7831</v>
      </c>
      <c r="O7" s="246"/>
      <c r="P7" s="246"/>
      <c r="Q7" s="246"/>
      <c r="R7" s="246"/>
    </row>
    <row r="8" spans="2:18" ht="4.5" customHeight="1" x14ac:dyDescent="0.25"/>
    <row r="9" spans="2:18" ht="26.25" customHeight="1" x14ac:dyDescent="0.25">
      <c r="B9" s="133" t="s">
        <v>7832</v>
      </c>
      <c r="C9" s="133" t="s">
        <v>7833</v>
      </c>
      <c r="D9" s="133" t="s">
        <v>7834</v>
      </c>
      <c r="E9" s="133" t="s">
        <v>7835</v>
      </c>
      <c r="F9" s="134" t="s">
        <v>7836</v>
      </c>
      <c r="G9" s="134" t="s">
        <v>7837</v>
      </c>
      <c r="H9" s="134" t="s">
        <v>7838</v>
      </c>
      <c r="I9" s="134" t="s">
        <v>7839</v>
      </c>
      <c r="J9" s="134" t="s">
        <v>7840</v>
      </c>
      <c r="K9" s="134" t="s">
        <v>7841</v>
      </c>
      <c r="L9" s="134" t="s">
        <v>7842</v>
      </c>
      <c r="M9" s="134" t="s">
        <v>7843</v>
      </c>
      <c r="N9" s="134" t="s">
        <v>7844</v>
      </c>
      <c r="O9" s="134" t="s">
        <v>7845</v>
      </c>
      <c r="P9" s="134" t="s">
        <v>7846</v>
      </c>
      <c r="Q9" s="134" t="s">
        <v>7847</v>
      </c>
      <c r="R9" s="134" t="s">
        <v>7848</v>
      </c>
    </row>
    <row r="10" spans="2:18" ht="22.5" customHeight="1" x14ac:dyDescent="0.25">
      <c r="B10" s="238">
        <v>1</v>
      </c>
      <c r="C10" s="240" t="s">
        <v>7849</v>
      </c>
      <c r="D10" s="30" t="s">
        <v>7850</v>
      </c>
      <c r="E10" s="31">
        <f>SUMIFS(BCP_Soles[[MONTO ]],BCP_Soles[PERIODO],E9,BCP_Soles[TIPO DE MOV.],"SALDO")</f>
        <v>28733.200000000001</v>
      </c>
      <c r="F10" s="31">
        <f>IF(OR(F11&gt;0,F12&gt;0),E13,0)</f>
        <v>14314.210000000137</v>
      </c>
      <c r="G10" s="31">
        <f t="shared" ref="G10:P10" si="0">IF(OR(G11&gt;0,G12&gt;0),F13,0)</f>
        <v>10984.750000000175</v>
      </c>
      <c r="H10" s="31">
        <f t="shared" si="0"/>
        <v>105857.68000000017</v>
      </c>
      <c r="I10" s="31">
        <f t="shared" si="0"/>
        <v>63858.660000000265</v>
      </c>
      <c r="J10" s="31">
        <f t="shared" si="0"/>
        <v>36775.529999999853</v>
      </c>
      <c r="K10" s="31">
        <f t="shared" si="0"/>
        <v>426.43999999988591</v>
      </c>
      <c r="L10" s="31">
        <f t="shared" si="0"/>
        <v>3292.6099999996368</v>
      </c>
      <c r="M10" s="31">
        <f t="shared" si="0"/>
        <v>24392.859999999811</v>
      </c>
      <c r="N10" s="31">
        <f t="shared" si="0"/>
        <v>0</v>
      </c>
      <c r="O10" s="31">
        <f t="shared" si="0"/>
        <v>0</v>
      </c>
      <c r="P10" s="31">
        <f t="shared" si="0"/>
        <v>0</v>
      </c>
      <c r="Q10" s="31">
        <f>SUM(E10:P10)</f>
        <v>288635.93999999994</v>
      </c>
      <c r="R10" s="31">
        <f>SUM(E10:P10)/COUNTIFS(E10:P10,"&gt;"&amp;0)</f>
        <v>32070.659999999993</v>
      </c>
    </row>
    <row r="11" spans="2:18" ht="22.5" customHeight="1" x14ac:dyDescent="0.25">
      <c r="B11" s="239"/>
      <c r="C11" s="241"/>
      <c r="D11" s="32" t="s">
        <v>7851</v>
      </c>
      <c r="E11" s="31">
        <f>SUMIFS(BCP_Soles[[MONTO ]],BCP_Soles[PERIODO],E9,BCP_Soles[TIPO DE MOV.],"INGRESO")</f>
        <v>250850.62</v>
      </c>
      <c r="F11" s="31">
        <f>SUMIFS(BCP_Soles[[MONTO ]],BCP_Soles[PERIODO],F9,BCP_Soles[TIPO DE MOV.],"INGRESO")</f>
        <v>264266.39</v>
      </c>
      <c r="G11" s="31">
        <f>SUMIFS(BCP_Soles[[MONTO ]],BCP_Soles[PERIODO],G9,BCP_Soles[TIPO DE MOV.],"INGRESO")</f>
        <v>334143.92999999993</v>
      </c>
      <c r="H11" s="31">
        <f>SUMIFS(BCP_Soles[[MONTO ]],BCP_Soles[PERIODO],H9,BCP_Soles[TIPO DE MOV.],"INGRESO")</f>
        <v>300864.94999999995</v>
      </c>
      <c r="I11" s="31">
        <f>SUMIFS(BCP_Soles[[MONTO ]],BCP_Soles[PERIODO],I9,BCP_Soles[TIPO DE MOV.],"INGRESO")</f>
        <v>444165.87</v>
      </c>
      <c r="J11" s="31">
        <f>SUMIFS(BCP_Soles[[MONTO ]],BCP_Soles[PERIODO],J9,BCP_Soles[TIPO DE MOV.],"INGRESO")</f>
        <v>323585.25</v>
      </c>
      <c r="K11" s="31">
        <f>SUMIFS(BCP_Soles[[MONTO ]],BCP_Soles[PERIODO],K9,BCP_Soles[TIPO DE MOV.],"INGRESO")</f>
        <v>415747.3899999999</v>
      </c>
      <c r="L11" s="31">
        <f>SUMIFS(BCP_Soles[[MONTO ]],BCP_Soles[PERIODO],L9,BCP_Soles[TIPO DE MOV.],"INGRESO")</f>
        <v>296107.2300000001</v>
      </c>
      <c r="M11" s="31">
        <f>SUMIFS(BCP_Soles[[MONTO ]],BCP_Soles[PERIODO],M9,BCP_Soles[TIPO DE MOV.],"INGRESO")</f>
        <v>2396.52</v>
      </c>
      <c r="N11" s="31">
        <f>SUMIFS(BCP_Soles[[MONTO ]],BCP_Soles[PERIODO],N9,BCP_Soles[TIPO DE MOV.],"INGRESO")</f>
        <v>0</v>
      </c>
      <c r="O11" s="31">
        <f>SUMIFS(BCP_Soles[[MONTO ]],BCP_Soles[PERIODO],O9,BCP_Soles[TIPO DE MOV.],"INGRESO")</f>
        <v>0</v>
      </c>
      <c r="P11" s="31">
        <f>SUMIFS(BCP_Soles[[MONTO ]],BCP_Soles[PERIODO],P9,BCP_Soles[TIPO DE MOV.],"INGRESO")</f>
        <v>0</v>
      </c>
      <c r="Q11" s="31">
        <f t="shared" ref="Q11:Q12" si="1">SUM(E11:P11)</f>
        <v>2632128.1499999994</v>
      </c>
      <c r="R11" s="31">
        <f>SUM(E11:P11)/COUNTIFS(E11:P11,"&gt;"&amp;0)</f>
        <v>292458.68333333329</v>
      </c>
    </row>
    <row r="12" spans="2:18" ht="22.5" customHeight="1" x14ac:dyDescent="0.25">
      <c r="B12" s="239"/>
      <c r="C12" s="241"/>
      <c r="D12" s="32" t="s">
        <v>7852</v>
      </c>
      <c r="E12" s="31">
        <f>SUMIFS(BCP_Soles[[MONTO ]],BCP_Soles[PERIODO],E9,BCP_Soles[TIPO DE MOV.],"EGRESO")</f>
        <v>265269.60999999987</v>
      </c>
      <c r="F12" s="31">
        <f>SUMIFS(BCP_Soles[[MONTO ]],BCP_Soles[PERIODO],F9,BCP_Soles[TIPO DE MOV.],"EGRESO")</f>
        <v>267595.84999999998</v>
      </c>
      <c r="G12" s="31">
        <f>SUMIFS(BCP_Soles[[MONTO ]],BCP_Soles[PERIODO],G9,BCP_Soles[TIPO DE MOV.],"EGRESO")</f>
        <v>239270.99999999994</v>
      </c>
      <c r="H12" s="31">
        <f>SUMIFS(BCP_Soles[[MONTO ]],BCP_Soles[PERIODO],H9,BCP_Soles[TIPO DE MOV.],"EGRESO")</f>
        <v>342863.96999999986</v>
      </c>
      <c r="I12" s="31">
        <f>SUMIFS(BCP_Soles[[MONTO ]],BCP_Soles[PERIODO],I9,BCP_Soles[TIPO DE MOV.],"EGRESO")</f>
        <v>471249.00000000041</v>
      </c>
      <c r="J12" s="31">
        <f>SUMIFS(BCP_Soles[[MONTO ]],BCP_Soles[PERIODO],J9,BCP_Soles[TIPO DE MOV.],"EGRESO")</f>
        <v>359934.33999999997</v>
      </c>
      <c r="K12" s="31">
        <f>SUMIFS(BCP_Soles[[MONTO ]],BCP_Soles[PERIODO],K9,BCP_Soles[TIPO DE MOV.],"EGRESO")</f>
        <v>412881.22000000015</v>
      </c>
      <c r="L12" s="31">
        <f>SUMIFS(BCP_Soles[[MONTO ]],BCP_Soles[PERIODO],L9,BCP_Soles[TIPO DE MOV.],"EGRESO")</f>
        <v>275006.97999999992</v>
      </c>
      <c r="M12" s="31">
        <f>SUMIFS(BCP_Soles[[MONTO ]],BCP_Soles[PERIODO],M9,BCP_Soles[TIPO DE MOV.],"EGRESO")</f>
        <v>16902.940000000002</v>
      </c>
      <c r="N12" s="31">
        <f>SUMIFS(BCP_Soles[[MONTO ]],BCP_Soles[PERIODO],N9,BCP_Soles[TIPO DE MOV.],"EGRESO")</f>
        <v>0</v>
      </c>
      <c r="O12" s="31">
        <f>SUMIFS(BCP_Soles[[MONTO ]],BCP_Soles[PERIODO],O9,BCP_Soles[TIPO DE MOV.],"EGRESO")</f>
        <v>0</v>
      </c>
      <c r="P12" s="31">
        <f>SUMIFS(BCP_Soles[[MONTO ]],BCP_Soles[PERIODO],P9,BCP_Soles[TIPO DE MOV.],"EGRESO")</f>
        <v>0</v>
      </c>
      <c r="Q12" s="31">
        <f t="shared" si="1"/>
        <v>2650974.91</v>
      </c>
      <c r="R12" s="31">
        <f>SUM(E12:P12)/COUNTIFS(E12:P12,"&gt;"&amp;0)</f>
        <v>294552.7677777778</v>
      </c>
    </row>
    <row r="13" spans="2:18" ht="22.5" customHeight="1" x14ac:dyDescent="0.25">
      <c r="B13" s="245" t="s">
        <v>7853</v>
      </c>
      <c r="C13" s="245"/>
      <c r="D13" s="245"/>
      <c r="E13" s="33">
        <f>E10+E11-E12</f>
        <v>14314.210000000137</v>
      </c>
      <c r="F13" s="33">
        <f t="shared" ref="F13:P13" si="2">F10+F11-F12</f>
        <v>10984.750000000175</v>
      </c>
      <c r="G13" s="33">
        <f t="shared" si="2"/>
        <v>105857.68000000017</v>
      </c>
      <c r="H13" s="33">
        <f t="shared" si="2"/>
        <v>63858.660000000265</v>
      </c>
      <c r="I13" s="33">
        <f t="shared" si="2"/>
        <v>36775.529999999853</v>
      </c>
      <c r="J13" s="33">
        <f t="shared" si="2"/>
        <v>426.43999999988591</v>
      </c>
      <c r="K13" s="33">
        <f t="shared" si="2"/>
        <v>3292.6099999996368</v>
      </c>
      <c r="L13" s="33">
        <f t="shared" si="2"/>
        <v>24392.859999999811</v>
      </c>
      <c r="M13" s="33">
        <f t="shared" si="2"/>
        <v>9886.4399999998095</v>
      </c>
      <c r="N13" s="33">
        <f t="shared" si="2"/>
        <v>0</v>
      </c>
      <c r="O13" s="33">
        <f t="shared" si="2"/>
        <v>0</v>
      </c>
      <c r="P13" s="33">
        <f t="shared" si="2"/>
        <v>0</v>
      </c>
      <c r="Q13" s="33">
        <f>SUM(E13:P13)</f>
        <v>269789.17999999976</v>
      </c>
      <c r="R13" s="33">
        <f>SUM(E13:P13)/COUNTIFS(E13:P13,"&gt;"&amp;0)</f>
        <v>29976.57555555553</v>
      </c>
    </row>
    <row r="15" spans="2:18" ht="22.5" customHeight="1" x14ac:dyDescent="0.25">
      <c r="B15" s="238">
        <v>2</v>
      </c>
      <c r="C15" s="240" t="s">
        <v>7854</v>
      </c>
      <c r="D15" s="30" t="s">
        <v>7850</v>
      </c>
      <c r="E15" s="31">
        <f>SUMIFS(Interbank_Soles[[MONTO ]],Interbank_Soles[PERIODO],E9,Interbank_Soles[TIPO DE MOV.],"SALDO")</f>
        <v>6651.98</v>
      </c>
      <c r="F15" s="31">
        <f>IF(OR(F16&gt;0,F17&gt;0),E18,0)</f>
        <v>9400.41</v>
      </c>
      <c r="G15" s="31">
        <f t="shared" ref="G15:P15" si="3">IF(OR(G16&gt;0,G17&gt;0),F18,0)</f>
        <v>562.08000000000175</v>
      </c>
      <c r="H15" s="31">
        <f t="shared" si="3"/>
        <v>12976.960000000001</v>
      </c>
      <c r="I15" s="31">
        <f t="shared" si="3"/>
        <v>22485.33</v>
      </c>
      <c r="J15" s="31">
        <f t="shared" si="3"/>
        <v>9017.9199999999983</v>
      </c>
      <c r="K15" s="31">
        <f t="shared" si="3"/>
        <v>3471.6999999999971</v>
      </c>
      <c r="L15" s="31">
        <f t="shared" si="3"/>
        <v>7353.5199999999968</v>
      </c>
      <c r="M15" s="31">
        <f t="shared" si="3"/>
        <v>0</v>
      </c>
      <c r="N15" s="31">
        <f t="shared" si="3"/>
        <v>0</v>
      </c>
      <c r="O15" s="31">
        <f t="shared" si="3"/>
        <v>0</v>
      </c>
      <c r="P15" s="31">
        <f t="shared" si="3"/>
        <v>0</v>
      </c>
      <c r="Q15" s="31">
        <f>SUM(E15:P15)</f>
        <v>71919.899999999994</v>
      </c>
      <c r="R15" s="31">
        <f>SUM(E15:P15)/COUNTIFS(E15:P15,"&gt;"&amp;0)</f>
        <v>8989.9874999999993</v>
      </c>
    </row>
    <row r="16" spans="2:18" ht="22.5" customHeight="1" x14ac:dyDescent="0.25">
      <c r="B16" s="239"/>
      <c r="C16" s="241"/>
      <c r="D16" s="32" t="s">
        <v>7851</v>
      </c>
      <c r="E16" s="31">
        <f>SUMIFS(Interbank_Soles[[MONTO ]],Interbank_Soles[PERIODO],E9,Interbank_Soles[TIPO DE MOV.],"INGRESO")</f>
        <v>18283.73</v>
      </c>
      <c r="F16" s="31">
        <f>SUMIFS(Interbank_Soles[[MONTO ]],Interbank_Soles[PERIODO],F9,Interbank_Soles[TIPO DE MOV.],"INGRESO")</f>
        <v>6195.76</v>
      </c>
      <c r="G16" s="31">
        <f>SUMIFS(Interbank_Soles[[MONTO ]],Interbank_Soles[PERIODO],G9,Interbank_Soles[TIPO DE MOV.],"INGRESO")</f>
        <v>13630.31</v>
      </c>
      <c r="H16" s="31">
        <f>SUMIFS(Interbank_Soles[[MONTO ]],Interbank_Soles[PERIODO],H9,Interbank_Soles[TIPO DE MOV.],"INGRESO")</f>
        <v>13710.38</v>
      </c>
      <c r="I16" s="31">
        <f>SUMIFS(Interbank_Soles[[MONTO ]],Interbank_Soles[PERIODO],I9,Interbank_Soles[TIPO DE MOV.],"INGRESO")</f>
        <v>23209.739999999998</v>
      </c>
      <c r="J16" s="31">
        <f>SUMIFS(Interbank_Soles[[MONTO ]],Interbank_Soles[PERIODO],J9,Interbank_Soles[TIPO DE MOV.],"INGRESO")</f>
        <v>7846.03</v>
      </c>
      <c r="K16" s="31">
        <f>SUMIFS(Interbank_Soles[[MONTO ]],Interbank_Soles[PERIODO],K9,Interbank_Soles[TIPO DE MOV.],"INGRESO")</f>
        <v>8013.7</v>
      </c>
      <c r="L16" s="31">
        <f>SUMIFS(Interbank_Soles[[MONTO ]],Interbank_Soles[PERIODO],L9,Interbank_Soles[TIPO DE MOV.],"INGRESO")</f>
        <v>0</v>
      </c>
      <c r="M16" s="31">
        <f>SUMIFS(Interbank_Soles[[MONTO ]],Interbank_Soles[PERIODO],M9,Interbank_Soles[TIPO DE MOV.],"INGRESO")</f>
        <v>0</v>
      </c>
      <c r="N16" s="31">
        <f>SUMIFS(Interbank_Soles[[MONTO ]],Interbank_Soles[PERIODO],N9,Interbank_Soles[TIPO DE MOV.],"INGRESO")</f>
        <v>0</v>
      </c>
      <c r="O16" s="31">
        <f>SUMIFS(Interbank_Soles[[MONTO ]],Interbank_Soles[PERIODO],O9,Interbank_Soles[TIPO DE MOV.],"INGRESO")</f>
        <v>0</v>
      </c>
      <c r="P16" s="31">
        <f>SUMIFS(Interbank_Soles[[MONTO ]],Interbank_Soles[PERIODO],P9,Interbank_Soles[TIPO DE MOV.],"INGRESO")</f>
        <v>0</v>
      </c>
      <c r="Q16" s="31">
        <f t="shared" ref="Q16:Q17" si="4">SUM(E16:P16)</f>
        <v>90889.64999999998</v>
      </c>
      <c r="R16" s="31">
        <f>SUM(E16:P16)/COUNTIFS(E16:P16,"&gt;"&amp;0)</f>
        <v>12984.235714285711</v>
      </c>
    </row>
    <row r="17" spans="2:18" ht="22.5" customHeight="1" x14ac:dyDescent="0.25">
      <c r="B17" s="239"/>
      <c r="C17" s="241"/>
      <c r="D17" s="32" t="s">
        <v>7852</v>
      </c>
      <c r="E17" s="31">
        <f>SUMIFS(Interbank_Soles[[MONTO ]],Interbank_Soles[PERIODO],E9,Interbank_Soles[TIPO DE MOV.],"EGRESO")</f>
        <v>15535.3</v>
      </c>
      <c r="F17" s="31">
        <f>SUMIFS(Interbank_Soles[[MONTO ]],Interbank_Soles[PERIODO],F9,Interbank_Soles[TIPO DE MOV.],"EGRESO")</f>
        <v>15034.089999999998</v>
      </c>
      <c r="G17" s="31">
        <f>SUMIFS(Interbank_Soles[[MONTO ]],Interbank_Soles[PERIODO],G9,Interbank_Soles[TIPO DE MOV.],"EGRESO")</f>
        <v>1215.43</v>
      </c>
      <c r="H17" s="31">
        <f>SUMIFS(Interbank_Soles[[MONTO ]],Interbank_Soles[PERIODO],H9,Interbank_Soles[TIPO DE MOV.],"EGRESO")</f>
        <v>4202.0099999999993</v>
      </c>
      <c r="I17" s="31">
        <f>SUMIFS(Interbank_Soles[[MONTO ]],Interbank_Soles[PERIODO],I9,Interbank_Soles[TIPO DE MOV.],"EGRESO")</f>
        <v>36677.15</v>
      </c>
      <c r="J17" s="31">
        <f>SUMIFS(Interbank_Soles[[MONTO ]],Interbank_Soles[PERIODO],J9,Interbank_Soles[TIPO DE MOV.],"EGRESO")</f>
        <v>13392.25</v>
      </c>
      <c r="K17" s="31">
        <f>SUMIFS(Interbank_Soles[[MONTO ]],Interbank_Soles[PERIODO],K9,Interbank_Soles[TIPO DE MOV.],"EGRESO")</f>
        <v>4131.880000000001</v>
      </c>
      <c r="L17" s="31">
        <f>SUMIFS(Interbank_Soles[[MONTO ]],Interbank_Soles[PERIODO],L9,Interbank_Soles[TIPO DE MOV.],"EGRESO")</f>
        <v>7192.67</v>
      </c>
      <c r="M17" s="31">
        <f>SUMIFS(Interbank_Soles[[MONTO ]],Interbank_Soles[PERIODO],M9,Interbank_Soles[TIPO DE MOV.],"EGRESO")</f>
        <v>0</v>
      </c>
      <c r="N17" s="31">
        <f>SUMIFS(Interbank_Soles[[MONTO ]],Interbank_Soles[PERIODO],N9,Interbank_Soles[TIPO DE MOV.],"EGRESO")</f>
        <v>0</v>
      </c>
      <c r="O17" s="31">
        <f>SUMIFS(Interbank_Soles[[MONTO ]],Interbank_Soles[PERIODO],O9,Interbank_Soles[TIPO DE MOV.],"EGRESO")</f>
        <v>0</v>
      </c>
      <c r="P17" s="31">
        <f>SUMIFS(Interbank_Soles[[MONTO ]],Interbank_Soles[PERIODO],P9,Interbank_Soles[TIPO DE MOV.],"EGRESO")</f>
        <v>0</v>
      </c>
      <c r="Q17" s="31">
        <f t="shared" si="4"/>
        <v>97380.780000000013</v>
      </c>
      <c r="R17" s="31">
        <f>SUM(E17:P17)/COUNTIFS(E17:P17,"&gt;"&amp;0)</f>
        <v>12172.597500000002</v>
      </c>
    </row>
    <row r="18" spans="2:18" ht="22.5" customHeight="1" x14ac:dyDescent="0.25">
      <c r="B18" s="245" t="s">
        <v>7855</v>
      </c>
      <c r="C18" s="245"/>
      <c r="D18" s="245"/>
      <c r="E18" s="33">
        <f>E15+E16-E17</f>
        <v>9400.41</v>
      </c>
      <c r="F18" s="33">
        <f t="shared" ref="F18:P18" si="5">F15+F16-F17</f>
        <v>562.08000000000175</v>
      </c>
      <c r="G18" s="33">
        <f t="shared" si="5"/>
        <v>12976.960000000001</v>
      </c>
      <c r="H18" s="33">
        <f t="shared" si="5"/>
        <v>22485.33</v>
      </c>
      <c r="I18" s="33">
        <f t="shared" si="5"/>
        <v>9017.9199999999983</v>
      </c>
      <c r="J18" s="33">
        <f t="shared" si="5"/>
        <v>3471.6999999999971</v>
      </c>
      <c r="K18" s="33">
        <f t="shared" si="5"/>
        <v>7353.5199999999968</v>
      </c>
      <c r="L18" s="33">
        <f t="shared" si="5"/>
        <v>160.84999999999673</v>
      </c>
      <c r="M18" s="33">
        <f t="shared" si="5"/>
        <v>0</v>
      </c>
      <c r="N18" s="33">
        <f t="shared" si="5"/>
        <v>0</v>
      </c>
      <c r="O18" s="33">
        <f t="shared" si="5"/>
        <v>0</v>
      </c>
      <c r="P18" s="33">
        <f t="shared" si="5"/>
        <v>0</v>
      </c>
      <c r="Q18" s="33">
        <f>SUM(E18:P18)</f>
        <v>65428.77</v>
      </c>
      <c r="R18" s="33">
        <f>SUM(E18:P18)/COUNTIFS(E18:P18,"&gt;"&amp;0)</f>
        <v>8178.5962499999996</v>
      </c>
    </row>
    <row r="20" spans="2:18" ht="22.5" customHeight="1" x14ac:dyDescent="0.25">
      <c r="B20" s="238">
        <v>3</v>
      </c>
      <c r="C20" s="240" t="s">
        <v>7856</v>
      </c>
      <c r="D20" s="30" t="s">
        <v>7850</v>
      </c>
      <c r="E20" s="31">
        <f>SUMIFS(Bbva_Soles[[MONTO ]],Bbva_Soles[PERIODO],E9,Bbva_Soles[TIPO DE MOV.],"SALDO")</f>
        <v>1197.7</v>
      </c>
      <c r="F20" s="31">
        <f>IF(OR(F21&gt;0,F22&gt;0),E23,0)</f>
        <v>3637.55</v>
      </c>
      <c r="G20" s="31">
        <f t="shared" ref="G20:P20" si="6">IF(OR(G21&gt;0,G22&gt;0),F23,0)</f>
        <v>3382.55</v>
      </c>
      <c r="H20" s="31">
        <f t="shared" si="6"/>
        <v>3352.55</v>
      </c>
      <c r="I20" s="31">
        <f t="shared" si="6"/>
        <v>77223.05</v>
      </c>
      <c r="J20" s="31">
        <f t="shared" si="6"/>
        <v>41836.239999999998</v>
      </c>
      <c r="K20" s="31">
        <f t="shared" si="6"/>
        <v>42677.259999999995</v>
      </c>
      <c r="L20" s="31">
        <f t="shared" si="6"/>
        <v>4015.3299999999945</v>
      </c>
      <c r="M20" s="31">
        <f t="shared" si="6"/>
        <v>0</v>
      </c>
      <c r="N20" s="31">
        <f t="shared" si="6"/>
        <v>0</v>
      </c>
      <c r="O20" s="31">
        <f t="shared" si="6"/>
        <v>0</v>
      </c>
      <c r="P20" s="31">
        <f t="shared" si="6"/>
        <v>0</v>
      </c>
      <c r="Q20" s="31">
        <f>SUM(E20:P20)</f>
        <v>177322.22999999995</v>
      </c>
      <c r="R20" s="31">
        <f>SUM(E20:P20)/COUNTIFS(E20:P20,"&gt;"&amp;0)</f>
        <v>22165.278749999994</v>
      </c>
    </row>
    <row r="21" spans="2:18" ht="22.5" customHeight="1" x14ac:dyDescent="0.25">
      <c r="B21" s="239"/>
      <c r="C21" s="241"/>
      <c r="D21" s="32" t="s">
        <v>7851</v>
      </c>
      <c r="E21" s="31">
        <f>SUMIFS(Bbva_Soles[[MONTO ]],Bbva_Soles[PERIODO],E9,Bbva_Soles[TIPO DE MOV.],"INGRESO")</f>
        <v>2469.9</v>
      </c>
      <c r="F21" s="31">
        <f>SUMIFS(Bbva_Soles[[MONTO ]],Bbva_Soles[PERIODO],F9,Bbva_Soles[TIPO DE MOV.],"INGRESO")</f>
        <v>0</v>
      </c>
      <c r="G21" s="31">
        <f>SUMIFS(Bbva_Soles[[MONTO ]],Bbva_Soles[PERIODO],G9,Bbva_Soles[TIPO DE MOV.],"INGRESO")</f>
        <v>0</v>
      </c>
      <c r="H21" s="31">
        <f>SUMIFS(Bbva_Soles[[MONTO ]],Bbva_Soles[PERIODO],H9,Bbva_Soles[TIPO DE MOV.],"INGRESO")</f>
        <v>73904</v>
      </c>
      <c r="I21" s="31">
        <f>SUMIFS(Bbva_Soles[[MONTO ]],Bbva_Soles[PERIODO],I9,Bbva_Soles[TIPO DE MOV.],"INGRESO")</f>
        <v>4665.34</v>
      </c>
      <c r="J21" s="31">
        <f>SUMIFS(Bbva_Soles[[MONTO ]],Bbva_Soles[PERIODO],J9,Bbva_Soles[TIPO DE MOV.],"INGRESO")</f>
        <v>871.02</v>
      </c>
      <c r="K21" s="31">
        <f>SUMIFS(Bbva_Soles[[MONTO ]],Bbva_Soles[PERIODO],K9,Bbva_Soles[TIPO DE MOV.],"INGRESO")</f>
        <v>1370.12</v>
      </c>
      <c r="L21" s="31">
        <f>SUMIFS(Bbva_Soles[[MONTO ]],Bbva_Soles[PERIODO],L9,Bbva_Soles[TIPO DE MOV.],"INGRESO")</f>
        <v>2745.12</v>
      </c>
      <c r="M21" s="31">
        <f>SUMIFS(Bbva_Soles[[MONTO ]],Bbva_Soles[PERIODO],M9,Bbva_Soles[TIPO DE MOV.],"INGRESO")</f>
        <v>0</v>
      </c>
      <c r="N21" s="31">
        <f>SUMIFS(Bbva_Soles[[MONTO ]],Bbva_Soles[PERIODO],N9,Bbva_Soles[TIPO DE MOV.],"INGRESO")</f>
        <v>0</v>
      </c>
      <c r="O21" s="31">
        <f>SUMIFS(Bbva_Soles[[MONTO ]],Bbva_Soles[PERIODO],O9,Bbva_Soles[TIPO DE MOV.],"INGRESO")</f>
        <v>0</v>
      </c>
      <c r="P21" s="31">
        <f>SUMIFS(Bbva_Soles[[MONTO ]],Bbva_Soles[PERIODO],P9,Bbva_Soles[TIPO DE MOV.],"INGRESO")</f>
        <v>0</v>
      </c>
      <c r="Q21" s="31">
        <f t="shared" ref="Q21:Q22" si="7">SUM(E21:P21)</f>
        <v>86025.499999999985</v>
      </c>
      <c r="R21" s="31">
        <f>SUM(E21:P21)/COUNTIFS(E21:P21,"&gt;"&amp;0)</f>
        <v>14337.58333333333</v>
      </c>
    </row>
    <row r="22" spans="2:18" ht="22.5" customHeight="1" x14ac:dyDescent="0.25">
      <c r="B22" s="239"/>
      <c r="C22" s="241"/>
      <c r="D22" s="32" t="s">
        <v>7852</v>
      </c>
      <c r="E22" s="31">
        <f>SUMIFS(Bbva_Soles[[MONTO ]],Bbva_Soles[PERIODO],E9,Bbva_Soles[TIPO DE MOV.],"EGRESO")</f>
        <v>30.05</v>
      </c>
      <c r="F22" s="31">
        <f>SUMIFS(Bbva_Soles[[MONTO ]],Bbva_Soles[PERIODO],F9,Bbva_Soles[TIPO DE MOV.],"EGRESO")</f>
        <v>255</v>
      </c>
      <c r="G22" s="31">
        <f>SUMIFS(Bbva_Soles[[MONTO ]],Bbva_Soles[PERIODO],G9,Bbva_Soles[TIPO DE MOV.],"EGRESO")</f>
        <v>30</v>
      </c>
      <c r="H22" s="31">
        <f>SUMIFS(Bbva_Soles[[MONTO ]],Bbva_Soles[PERIODO],H9,Bbva_Soles[TIPO DE MOV.],"EGRESO")</f>
        <v>33.5</v>
      </c>
      <c r="I22" s="31">
        <f>SUMIFS(Bbva_Soles[[MONTO ]],Bbva_Soles[PERIODO],I9,Bbva_Soles[TIPO DE MOV.],"EGRESO")</f>
        <v>40052.15</v>
      </c>
      <c r="J22" s="31">
        <f>SUMIFS(Bbva_Soles[[MONTO ]],Bbva_Soles[PERIODO],J9,Bbva_Soles[TIPO DE MOV.],"EGRESO")</f>
        <v>30</v>
      </c>
      <c r="K22" s="31">
        <f>SUMIFS(Bbva_Soles[[MONTO ]],Bbva_Soles[PERIODO],K9,Bbva_Soles[TIPO DE MOV.],"EGRESO")</f>
        <v>40032.050000000003</v>
      </c>
      <c r="L22" s="31">
        <f>SUMIFS(Bbva_Soles[[MONTO ]],Bbva_Soles[PERIODO],L9,Bbva_Soles[TIPO DE MOV.],"EGRESO")</f>
        <v>0</v>
      </c>
      <c r="M22" s="31">
        <f>SUMIFS(Bbva_Soles[[MONTO ]],Bbva_Soles[PERIODO],M9,Bbva_Soles[TIPO DE MOV.],"EGRESO")</f>
        <v>0</v>
      </c>
      <c r="N22" s="31">
        <f>SUMIFS(Bbva_Soles[[MONTO ]],Bbva_Soles[PERIODO],N9,Bbva_Soles[TIPO DE MOV.],"EGRESO")</f>
        <v>0</v>
      </c>
      <c r="O22" s="31">
        <f>SUMIFS(Bbva_Soles[[MONTO ]],Bbva_Soles[PERIODO],O9,Bbva_Soles[TIPO DE MOV.],"EGRESO")</f>
        <v>0</v>
      </c>
      <c r="P22" s="31">
        <f>SUMIFS(Bbva_Soles[[MONTO ]],Bbva_Soles[PERIODO],P9,Bbva_Soles[TIPO DE MOV.],"EGRESO")</f>
        <v>0</v>
      </c>
      <c r="Q22" s="31">
        <f t="shared" si="7"/>
        <v>80462.75</v>
      </c>
      <c r="R22" s="31">
        <f>SUM(E22:P22)/COUNTIFS(E22:P22,"&gt;"&amp;0)</f>
        <v>11494.678571428571</v>
      </c>
    </row>
    <row r="23" spans="2:18" ht="22.5" customHeight="1" x14ac:dyDescent="0.25">
      <c r="B23" s="245" t="s">
        <v>7857</v>
      </c>
      <c r="C23" s="245"/>
      <c r="D23" s="245"/>
      <c r="E23" s="33">
        <f>E20+E21-E22</f>
        <v>3637.55</v>
      </c>
      <c r="F23" s="33">
        <f t="shared" ref="F23:P23" si="8">F20+F21-F22</f>
        <v>3382.55</v>
      </c>
      <c r="G23" s="33">
        <f t="shared" si="8"/>
        <v>3352.55</v>
      </c>
      <c r="H23" s="33">
        <f t="shared" si="8"/>
        <v>77223.05</v>
      </c>
      <c r="I23" s="33">
        <f t="shared" si="8"/>
        <v>41836.239999999998</v>
      </c>
      <c r="J23" s="33">
        <f>J20+J21-J22</f>
        <v>42677.259999999995</v>
      </c>
      <c r="K23" s="33">
        <f>K20+K21-K22</f>
        <v>4015.3299999999945</v>
      </c>
      <c r="L23" s="33">
        <f t="shared" si="8"/>
        <v>6760.4499999999944</v>
      </c>
      <c r="M23" s="33">
        <f t="shared" si="8"/>
        <v>0</v>
      </c>
      <c r="N23" s="33">
        <f t="shared" si="8"/>
        <v>0</v>
      </c>
      <c r="O23" s="33">
        <f t="shared" si="8"/>
        <v>0</v>
      </c>
      <c r="P23" s="33">
        <f t="shared" si="8"/>
        <v>0</v>
      </c>
      <c r="Q23" s="33">
        <f>SUM(E23:P23)</f>
        <v>182884.97999999998</v>
      </c>
      <c r="R23" s="33">
        <f>SUM(E23:P23)/COUNTIFS(E23:P23,"&gt;"&amp;0)</f>
        <v>22860.622499999998</v>
      </c>
    </row>
    <row r="25" spans="2:18" ht="22.5" customHeight="1" x14ac:dyDescent="0.25">
      <c r="B25" s="238">
        <v>4</v>
      </c>
      <c r="C25" s="240" t="s">
        <v>7858</v>
      </c>
      <c r="D25" s="30" t="s">
        <v>7850</v>
      </c>
      <c r="E25" s="31">
        <f>SUMIFS(Banco_Nacion[[MONTO ]],Banco_Nacion[PERIODO],E9,Banco_Nacion[TIPO DE MOV.],"SALDO")</f>
        <v>45894.010000000009</v>
      </c>
      <c r="F25" s="31">
        <f>IF(OR(F26&gt;0,F27&gt;0),E28,0)</f>
        <v>51881.010000000009</v>
      </c>
      <c r="G25" s="31">
        <f t="shared" ref="G25:P25" si="9">IF(OR(G26&gt;0,G27&gt;0),F28,0)</f>
        <v>42252.010000000009</v>
      </c>
      <c r="H25" s="31">
        <f t="shared" si="9"/>
        <v>28507.010000000009</v>
      </c>
      <c r="I25" s="31">
        <f t="shared" si="9"/>
        <v>40496.22</v>
      </c>
      <c r="J25" s="31">
        <f t="shared" si="9"/>
        <v>45268.22</v>
      </c>
      <c r="K25" s="31">
        <f t="shared" si="9"/>
        <v>48722.22</v>
      </c>
      <c r="L25" s="31">
        <f t="shared" si="9"/>
        <v>40789.22</v>
      </c>
      <c r="M25" s="31">
        <f t="shared" si="9"/>
        <v>0</v>
      </c>
      <c r="N25" s="31">
        <f t="shared" si="9"/>
        <v>0</v>
      </c>
      <c r="O25" s="31">
        <f t="shared" si="9"/>
        <v>0</v>
      </c>
      <c r="P25" s="31">
        <f t="shared" si="9"/>
        <v>0</v>
      </c>
      <c r="Q25" s="31">
        <f>SUM(E25:P25)</f>
        <v>343809.92000000004</v>
      </c>
      <c r="R25" s="31">
        <f>SUM(E25:P25)/COUNTIFS(E25:P25,"&gt;"&amp;0)</f>
        <v>42976.240000000005</v>
      </c>
    </row>
    <row r="26" spans="2:18" ht="22.5" customHeight="1" x14ac:dyDescent="0.25">
      <c r="B26" s="239"/>
      <c r="C26" s="241"/>
      <c r="D26" s="32" t="s">
        <v>7851</v>
      </c>
      <c r="E26" s="31">
        <f>SUMIFS(Banco_Nacion[[MONTO ]],Banco_Nacion[PERIODO],E9,Banco_Nacion[TIPO DE MOV.],"INGRESO")</f>
        <v>31086</v>
      </c>
      <c r="F26" s="31">
        <f>SUMIFS(Banco_Nacion[[MONTO ]],Banco_Nacion[PERIODO],F9,Banco_Nacion[TIPO DE MOV.],"INGRESO")</f>
        <v>22287</v>
      </c>
      <c r="G26" s="31">
        <f>SUMIFS(Banco_Nacion[[MONTO ]],Banco_Nacion[PERIODO],G9,Banco_Nacion[TIPO DE MOV.],"INGRESO")</f>
        <v>32210</v>
      </c>
      <c r="H26" s="31">
        <f>SUMIFS(Banco_Nacion[[MONTO ]],Banco_Nacion[PERIODO],H9,Banco_Nacion[TIPO DE MOV.],"INGRESO")</f>
        <v>47372.21</v>
      </c>
      <c r="I26" s="31">
        <f>SUMIFS(Banco_Nacion[[MONTO ]],Banco_Nacion[PERIODO],I9,Banco_Nacion[TIPO DE MOV.],"INGRESO")</f>
        <v>36246</v>
      </c>
      <c r="J26" s="31">
        <f>SUMIFS(Banco_Nacion[[MONTO ]],Banco_Nacion[PERIODO],J9,Banco_Nacion[TIPO DE MOV.],"INGRESO")</f>
        <v>31297</v>
      </c>
      <c r="K26" s="31">
        <f>SUMIFS(Banco_Nacion[[MONTO ]],Banco_Nacion[PERIODO],K9,Banco_Nacion[TIPO DE MOV.],"INGRESO")</f>
        <v>32182</v>
      </c>
      <c r="L26" s="31">
        <f>SUMIFS(Banco_Nacion[[MONTO ]],Banco_Nacion[PERIODO],L9,Banco_Nacion[TIPO DE MOV.],"INGRESO")</f>
        <v>20243</v>
      </c>
      <c r="M26" s="31">
        <f>SUMIFS(Banco_Nacion[[MONTO ]],Banco_Nacion[PERIODO],M9,Banco_Nacion[TIPO DE MOV.],"INGRESO")</f>
        <v>0</v>
      </c>
      <c r="N26" s="31">
        <f>SUMIFS(Banco_Nacion[[MONTO ]],Banco_Nacion[PERIODO],N9,Banco_Nacion[TIPO DE MOV.],"INGRESO")</f>
        <v>0</v>
      </c>
      <c r="O26" s="31">
        <f>SUMIFS(Banco_Nacion[[MONTO ]],Banco_Nacion[PERIODO],O9,Banco_Nacion[TIPO DE MOV.],"INGRESO")</f>
        <v>0</v>
      </c>
      <c r="P26" s="31">
        <f>SUMIFS(Banco_Nacion[[MONTO ]],Banco_Nacion[PERIODO],P9,Banco_Nacion[TIPO DE MOV.],"INGRESO")</f>
        <v>0</v>
      </c>
      <c r="Q26" s="31">
        <f t="shared" ref="Q26:Q27" si="10">SUM(E26:P26)</f>
        <v>252923.21</v>
      </c>
      <c r="R26" s="31">
        <f>SUM(E26:P26)/COUNTIFS(E26:P26,"&gt;"&amp;0)</f>
        <v>31615.401249999999</v>
      </c>
    </row>
    <row r="27" spans="2:18" ht="22.5" customHeight="1" x14ac:dyDescent="0.25">
      <c r="B27" s="239"/>
      <c r="C27" s="241"/>
      <c r="D27" s="32" t="s">
        <v>7852</v>
      </c>
      <c r="E27" s="31">
        <f>SUMIFS(Banco_Nacion[[MONTO ]],Banco_Nacion[PERIODO],E9,Banco_Nacion[TIPO DE MOV.],"EGRESO")</f>
        <v>25099</v>
      </c>
      <c r="F27" s="31">
        <f>SUMIFS(Banco_Nacion[[MONTO ]],Banco_Nacion[PERIODO],F9,Banco_Nacion[TIPO DE MOV.],"EGRESO")</f>
        <v>31916</v>
      </c>
      <c r="G27" s="31">
        <f>SUMIFS(Banco_Nacion[[MONTO ]],Banco_Nacion[PERIODO],G9,Banco_Nacion[TIPO DE MOV.],"EGRESO")</f>
        <v>45955</v>
      </c>
      <c r="H27" s="31">
        <f>SUMIFS(Banco_Nacion[[MONTO ]],Banco_Nacion[PERIODO],H9,Banco_Nacion[TIPO DE MOV.],"EGRESO")</f>
        <v>35383</v>
      </c>
      <c r="I27" s="31">
        <f>SUMIFS(Banco_Nacion[[MONTO ]],Banco_Nacion[PERIODO],I9,Banco_Nacion[TIPO DE MOV.],"EGRESO")</f>
        <v>31474</v>
      </c>
      <c r="J27" s="31">
        <f>SUMIFS(Banco_Nacion[[MONTO ]],Banco_Nacion[PERIODO],J9,Banco_Nacion[TIPO DE MOV.],"EGRESO")</f>
        <v>27843</v>
      </c>
      <c r="K27" s="31">
        <f>SUMIFS(Banco_Nacion[[MONTO ]],Banco_Nacion[PERIODO],K9,Banco_Nacion[TIPO DE MOV.],"EGRESO")</f>
        <v>40115</v>
      </c>
      <c r="L27" s="31">
        <f>SUMIFS(Banco_Nacion[[MONTO ]],Banco_Nacion[PERIODO],L9,Banco_Nacion[TIPO DE MOV.],"EGRESO")</f>
        <v>21650</v>
      </c>
      <c r="M27" s="31">
        <f>SUMIFS(Banco_Nacion[[MONTO ]],Banco_Nacion[PERIODO],M9,Banco_Nacion[TIPO DE MOV.],"EGRESO")</f>
        <v>0</v>
      </c>
      <c r="N27" s="31">
        <f>SUMIFS(Banco_Nacion[[MONTO ]],Banco_Nacion[PERIODO],N9,Banco_Nacion[TIPO DE MOV.],"EGRESO")</f>
        <v>0</v>
      </c>
      <c r="O27" s="31">
        <f>SUMIFS(Banco_Nacion[[MONTO ]],Banco_Nacion[PERIODO],O9,Banco_Nacion[TIPO DE MOV.],"EGRESO")</f>
        <v>0</v>
      </c>
      <c r="P27" s="31">
        <f>SUMIFS(Banco_Nacion[[MONTO ]],Banco_Nacion[PERIODO],P9,Banco_Nacion[TIPO DE MOV.],"EGRESO")</f>
        <v>0</v>
      </c>
      <c r="Q27" s="31">
        <f t="shared" si="10"/>
        <v>259435</v>
      </c>
      <c r="R27" s="31">
        <f>SUM(E27:P27)/COUNTIFS(E27:P27,"&gt;"&amp;0)</f>
        <v>32429.375</v>
      </c>
    </row>
    <row r="28" spans="2:18" ht="22.5" customHeight="1" x14ac:dyDescent="0.25">
      <c r="B28" s="245" t="s">
        <v>7859</v>
      </c>
      <c r="C28" s="245"/>
      <c r="D28" s="245"/>
      <c r="E28" s="33">
        <f>E25+E26-E27</f>
        <v>51881.010000000009</v>
      </c>
      <c r="F28" s="33">
        <f t="shared" ref="F28:P28" si="11">F25+F26-F27</f>
        <v>42252.010000000009</v>
      </c>
      <c r="G28" s="33">
        <f t="shared" si="11"/>
        <v>28507.010000000009</v>
      </c>
      <c r="H28" s="33">
        <f t="shared" si="11"/>
        <v>40496.22</v>
      </c>
      <c r="I28" s="33">
        <f t="shared" si="11"/>
        <v>45268.22</v>
      </c>
      <c r="J28" s="33">
        <f t="shared" si="11"/>
        <v>48722.22</v>
      </c>
      <c r="K28" s="33">
        <f t="shared" si="11"/>
        <v>40789.22</v>
      </c>
      <c r="L28" s="33">
        <f t="shared" si="11"/>
        <v>39382.22</v>
      </c>
      <c r="M28" s="33">
        <f t="shared" si="11"/>
        <v>0</v>
      </c>
      <c r="N28" s="33">
        <f t="shared" si="11"/>
        <v>0</v>
      </c>
      <c r="O28" s="33">
        <f t="shared" si="11"/>
        <v>0</v>
      </c>
      <c r="P28" s="33">
        <f t="shared" si="11"/>
        <v>0</v>
      </c>
      <c r="Q28" s="33">
        <f>SUM(E28:P28)</f>
        <v>337298.13</v>
      </c>
      <c r="R28" s="33">
        <f>SUM(E28:P28)/COUNTIFS(E28:P28,"&gt;"&amp;0)</f>
        <v>42162.266250000001</v>
      </c>
    </row>
    <row r="30" spans="2:18" ht="22.5" customHeight="1" x14ac:dyDescent="0.25">
      <c r="B30" s="238">
        <v>5</v>
      </c>
      <c r="C30" s="240" t="s">
        <v>7860</v>
      </c>
      <c r="D30" s="30" t="s">
        <v>7850</v>
      </c>
      <c r="E30" s="36">
        <f>SUMIFS(BCP_Dolares[[MONTO ]],BCP_Dolares[PERIODO],E9,BCP_Dolares[TIPO DE MOV.],"SALDO")</f>
        <v>471.82</v>
      </c>
      <c r="F30" s="36">
        <f>IF(OR(F31&gt;0,F32&gt;0),E33,0)</f>
        <v>7635.5799999999981</v>
      </c>
      <c r="G30" s="36">
        <f t="shared" ref="G30:P30" si="12">IF(OR(G31&gt;0,G32&gt;0),F33,0)</f>
        <v>17840.64</v>
      </c>
      <c r="H30" s="36">
        <f t="shared" si="12"/>
        <v>19884.140000000003</v>
      </c>
      <c r="I30" s="36">
        <f t="shared" si="12"/>
        <v>26380.470000000005</v>
      </c>
      <c r="J30" s="36">
        <f t="shared" si="12"/>
        <v>12244.080000000005</v>
      </c>
      <c r="K30" s="36">
        <f t="shared" si="12"/>
        <v>13402.760000000002</v>
      </c>
      <c r="L30" s="36">
        <f t="shared" si="12"/>
        <v>1390.9200000000019</v>
      </c>
      <c r="M30" s="36">
        <f t="shared" si="12"/>
        <v>0</v>
      </c>
      <c r="N30" s="36">
        <f t="shared" si="12"/>
        <v>0</v>
      </c>
      <c r="O30" s="36">
        <f t="shared" si="12"/>
        <v>0</v>
      </c>
      <c r="P30" s="36">
        <f t="shared" si="12"/>
        <v>0</v>
      </c>
      <c r="Q30" s="36">
        <f>SUM(E30:P30)</f>
        <v>99250.410000000018</v>
      </c>
      <c r="R30" s="36">
        <f>SUM(E30:P30)/COUNTIFS(E30:P30,"&gt;"&amp;0)</f>
        <v>12406.301250000002</v>
      </c>
    </row>
    <row r="31" spans="2:18" ht="22.5" customHeight="1" x14ac:dyDescent="0.25">
      <c r="B31" s="239"/>
      <c r="C31" s="241"/>
      <c r="D31" s="32" t="s">
        <v>7851</v>
      </c>
      <c r="E31" s="36">
        <f>SUMIFS(BCP_Dolares[[MONTO ]],BCP_Dolares[PERIODO],E9,BCP_Dolares[TIPO DE MOV.],"INGRESO")</f>
        <v>21496.16</v>
      </c>
      <c r="F31" s="36">
        <f>SUMIFS(BCP_Dolares[[MONTO ]],BCP_Dolares[PERIODO],F9,BCP_Dolares[TIPO DE MOV.],"INGRESO")</f>
        <v>13011.35</v>
      </c>
      <c r="G31" s="36">
        <f>SUMIFS(BCP_Dolares[[MONTO ]],BCP_Dolares[PERIODO],G9,BCP_Dolares[TIPO DE MOV.],"INGRESO")</f>
        <v>20701.43</v>
      </c>
      <c r="H31" s="36">
        <f>SUMIFS(BCP_Dolares[[MONTO ]],BCP_Dolares[PERIODO],H9,BCP_Dolares[TIPO DE MOV.],"INGRESO")</f>
        <v>12585.970000000001</v>
      </c>
      <c r="I31" s="36">
        <f>SUMIFS(BCP_Dolares[[MONTO ]],BCP_Dolares[PERIODO],I9,BCP_Dolares[TIPO DE MOV.],"INGRESO")</f>
        <v>18084.55</v>
      </c>
      <c r="J31" s="36">
        <f>SUMIFS(BCP_Dolares[[MONTO ]],BCP_Dolares[PERIODO],J9,BCP_Dolares[TIPO DE MOV.],"INGRESO")</f>
        <v>40710.239999999998</v>
      </c>
      <c r="K31" s="36">
        <f>SUMIFS(BCP_Dolares[[MONTO ]],BCP_Dolares[PERIODO],K9,BCP_Dolares[TIPO DE MOV.],"INGRESO")</f>
        <v>20558.05</v>
      </c>
      <c r="L31" s="36">
        <f>SUMIFS(BCP_Dolares[[MONTO ]],BCP_Dolares[PERIODO],L9,BCP_Dolares[TIPO DE MOV.],"INGRESO")</f>
        <v>18368.97</v>
      </c>
      <c r="M31" s="36">
        <f>SUMIFS(BCP_Dolares[[MONTO ]],BCP_Dolares[PERIODO],M9,BCP_Dolares[TIPO DE MOV.],"INGRESO")</f>
        <v>0</v>
      </c>
      <c r="N31" s="36">
        <f>SUMIFS(BCP_Dolares[[MONTO ]],BCP_Dolares[PERIODO],N9,BCP_Dolares[TIPO DE MOV.],"INGRESO")</f>
        <v>0</v>
      </c>
      <c r="O31" s="36">
        <f>SUMIFS(BCP_Dolares[[MONTO ]],BCP_Dolares[PERIODO],O9,BCP_Dolares[TIPO DE MOV.],"INGRESO")</f>
        <v>0</v>
      </c>
      <c r="P31" s="36">
        <f>SUMIFS(BCP_Dolares[[MONTO ]],BCP_Dolares[PERIODO],P9,BCP_Dolares[TIPO DE MOV.],"INGRESO")</f>
        <v>0</v>
      </c>
      <c r="Q31" s="36">
        <f t="shared" ref="Q31:Q32" si="13">SUM(E31:P31)</f>
        <v>165516.72</v>
      </c>
      <c r="R31" s="36">
        <f t="shared" ref="R31:R33" si="14">SUM(E31:P31)/COUNTIFS(E31:P31,"&gt;"&amp;0)</f>
        <v>20689.59</v>
      </c>
    </row>
    <row r="32" spans="2:18" ht="22.5" customHeight="1" x14ac:dyDescent="0.25">
      <c r="B32" s="239"/>
      <c r="C32" s="241"/>
      <c r="D32" s="32" t="s">
        <v>7852</v>
      </c>
      <c r="E32" s="36">
        <f>SUMIFS(BCP_Dolares[[MONTO ]],BCP_Dolares[PERIODO],E9,BCP_Dolares[TIPO DE MOV.],"EGRESO")</f>
        <v>14332.400000000001</v>
      </c>
      <c r="F32" s="36">
        <f>SUMIFS(BCP_Dolares[[MONTO ]],BCP_Dolares[PERIODO],F9,BCP_Dolares[TIPO DE MOV.],"EGRESO")</f>
        <v>2806.2899999999995</v>
      </c>
      <c r="G32" s="36">
        <f>SUMIFS(BCP_Dolares[[MONTO ]],BCP_Dolares[PERIODO],G9,BCP_Dolares[TIPO DE MOV.],"EGRESO")</f>
        <v>18657.929999999997</v>
      </c>
      <c r="H32" s="36">
        <f>SUMIFS(BCP_Dolares[[MONTO ]],BCP_Dolares[PERIODO],H9,BCP_Dolares[TIPO DE MOV.],"EGRESO")</f>
        <v>6089.6399999999994</v>
      </c>
      <c r="I32" s="36">
        <f>SUMIFS(BCP_Dolares[[MONTO ]],BCP_Dolares[PERIODO],I9,BCP_Dolares[TIPO DE MOV.],"EGRESO")</f>
        <v>32220.94</v>
      </c>
      <c r="J32" s="36">
        <f>SUMIFS(BCP_Dolares[[MONTO ]],BCP_Dolares[PERIODO],J9,BCP_Dolares[TIPO DE MOV.],"EGRESO")</f>
        <v>39551.560000000005</v>
      </c>
      <c r="K32" s="36">
        <f>SUMIFS(BCP_Dolares[[MONTO ]],BCP_Dolares[PERIODO],K9,BCP_Dolares[TIPO DE MOV.],"EGRESO")</f>
        <v>32569.889999999996</v>
      </c>
      <c r="L32" s="36">
        <f>SUMIFS(BCP_Dolares[[MONTO ]],BCP_Dolares[PERIODO],L9,BCP_Dolares[TIPO DE MOV.],"EGRESO")</f>
        <v>19275.97</v>
      </c>
      <c r="M32" s="36">
        <f>SUMIFS(BCP_Dolares[[MONTO ]],BCP_Dolares[PERIODO],M9,BCP_Dolares[TIPO DE MOV.],"EGRESO")</f>
        <v>0</v>
      </c>
      <c r="N32" s="36">
        <f>SUMIFS(BCP_Dolares[[MONTO ]],BCP_Dolares[PERIODO],N9,BCP_Dolares[TIPO DE MOV.],"EGRESO")</f>
        <v>0</v>
      </c>
      <c r="O32" s="36">
        <f>SUMIFS(BCP_Dolares[[MONTO ]],BCP_Dolares[PERIODO],O9,BCP_Dolares[TIPO DE MOV.],"EGRESO")</f>
        <v>0</v>
      </c>
      <c r="P32" s="36">
        <f>SUMIFS(BCP_Dolares[[MONTO ]],BCP_Dolares[PERIODO],P9,BCP_Dolares[TIPO DE MOV.],"EGRESO")</f>
        <v>0</v>
      </c>
      <c r="Q32" s="36">
        <f t="shared" si="13"/>
        <v>165504.62</v>
      </c>
      <c r="R32" s="36">
        <f t="shared" si="14"/>
        <v>20688.077499999999</v>
      </c>
    </row>
    <row r="33" spans="2:18" ht="22.5" customHeight="1" x14ac:dyDescent="0.25">
      <c r="B33" s="237" t="s">
        <v>7861</v>
      </c>
      <c r="C33" s="237"/>
      <c r="D33" s="237"/>
      <c r="E33" s="38">
        <f>E30+E31-E32</f>
        <v>7635.5799999999981</v>
      </c>
      <c r="F33" s="38">
        <f t="shared" ref="F33:P33" si="15">F30+F31-F32</f>
        <v>17840.64</v>
      </c>
      <c r="G33" s="38">
        <f t="shared" si="15"/>
        <v>19884.140000000003</v>
      </c>
      <c r="H33" s="38">
        <f t="shared" si="15"/>
        <v>26380.470000000005</v>
      </c>
      <c r="I33" s="38">
        <f t="shared" si="15"/>
        <v>12244.080000000005</v>
      </c>
      <c r="J33" s="38">
        <f t="shared" si="15"/>
        <v>13402.760000000002</v>
      </c>
      <c r="K33" s="38">
        <f t="shared" si="15"/>
        <v>1390.9200000000019</v>
      </c>
      <c r="L33" s="38">
        <f t="shared" si="15"/>
        <v>483.92000000000189</v>
      </c>
      <c r="M33" s="38">
        <f t="shared" si="15"/>
        <v>0</v>
      </c>
      <c r="N33" s="38">
        <f t="shared" si="15"/>
        <v>0</v>
      </c>
      <c r="O33" s="38">
        <f t="shared" si="15"/>
        <v>0</v>
      </c>
      <c r="P33" s="38">
        <f t="shared" si="15"/>
        <v>0</v>
      </c>
      <c r="Q33" s="38">
        <f>SUM(E33:P33)</f>
        <v>99262.510000000009</v>
      </c>
      <c r="R33" s="38">
        <f t="shared" si="14"/>
        <v>12407.813750000001</v>
      </c>
    </row>
    <row r="34" spans="2:18" ht="22.5" customHeight="1" x14ac:dyDescent="0.25">
      <c r="B34" s="237" t="s">
        <v>7862</v>
      </c>
      <c r="C34" s="237"/>
      <c r="D34" s="237"/>
      <c r="E34" s="39">
        <v>3.72</v>
      </c>
      <c r="F34" s="39">
        <v>3.6739999999999999</v>
      </c>
      <c r="G34" s="39">
        <v>3.6539999999999999</v>
      </c>
      <c r="H34" s="39">
        <v>3.673</v>
      </c>
      <c r="I34" s="39">
        <v>3.6960000000000002</v>
      </c>
      <c r="J34" s="39"/>
      <c r="K34" s="39"/>
      <c r="L34" s="39"/>
      <c r="M34" s="39"/>
      <c r="N34" s="39"/>
      <c r="O34" s="39"/>
      <c r="P34" s="39"/>
      <c r="Q34" s="40"/>
      <c r="R34" s="39"/>
    </row>
    <row r="35" spans="2:18" ht="22.5" customHeight="1" x14ac:dyDescent="0.25">
      <c r="B35" s="238">
        <v>5</v>
      </c>
      <c r="C35" s="240" t="s">
        <v>7860</v>
      </c>
      <c r="D35" s="30" t="s">
        <v>7850</v>
      </c>
      <c r="E35" s="35">
        <f>E30*E34</f>
        <v>1755.1704</v>
      </c>
      <c r="F35" s="35">
        <f t="shared" ref="F35:P35" si="16">F30*F34</f>
        <v>28053.120919999994</v>
      </c>
      <c r="G35" s="35">
        <f t="shared" si="16"/>
        <v>65189.698559999997</v>
      </c>
      <c r="H35" s="35">
        <f t="shared" si="16"/>
        <v>73034.446220000013</v>
      </c>
      <c r="I35" s="35">
        <f t="shared" si="16"/>
        <v>97502.217120000016</v>
      </c>
      <c r="J35" s="35">
        <f t="shared" si="16"/>
        <v>0</v>
      </c>
      <c r="K35" s="35">
        <f t="shared" si="16"/>
        <v>0</v>
      </c>
      <c r="L35" s="35">
        <f t="shared" si="16"/>
        <v>0</v>
      </c>
      <c r="M35" s="35">
        <f t="shared" si="16"/>
        <v>0</v>
      </c>
      <c r="N35" s="35">
        <f t="shared" si="16"/>
        <v>0</v>
      </c>
      <c r="O35" s="35">
        <f t="shared" si="16"/>
        <v>0</v>
      </c>
      <c r="P35" s="35">
        <f t="shared" si="16"/>
        <v>0</v>
      </c>
      <c r="Q35" s="31">
        <f>SUM(E35:P35)</f>
        <v>265534.65321999998</v>
      </c>
      <c r="R35" s="31">
        <f t="shared" ref="R35:R38" si="17">SUM(E35:P35)/COUNTIFS(E35:P35,"&gt;"&amp;0)</f>
        <v>53106.930643999993</v>
      </c>
    </row>
    <row r="36" spans="2:18" ht="22.5" customHeight="1" x14ac:dyDescent="0.25">
      <c r="B36" s="239"/>
      <c r="C36" s="241"/>
      <c r="D36" s="32" t="s">
        <v>7851</v>
      </c>
      <c r="E36" s="35">
        <f t="shared" ref="E36:P36" si="18">E31*E34</f>
        <v>79965.715200000006</v>
      </c>
      <c r="F36" s="35">
        <f t="shared" si="18"/>
        <v>47803.6999</v>
      </c>
      <c r="G36" s="35">
        <f t="shared" si="18"/>
        <v>75643.025219999996</v>
      </c>
      <c r="H36" s="35">
        <f t="shared" si="18"/>
        <v>46228.267810000005</v>
      </c>
      <c r="I36" s="35">
        <f t="shared" si="18"/>
        <v>66840.496799999994</v>
      </c>
      <c r="J36" s="35">
        <f t="shared" si="18"/>
        <v>0</v>
      </c>
      <c r="K36" s="35">
        <f t="shared" si="18"/>
        <v>0</v>
      </c>
      <c r="L36" s="35">
        <f t="shared" si="18"/>
        <v>0</v>
      </c>
      <c r="M36" s="35">
        <f t="shared" si="18"/>
        <v>0</v>
      </c>
      <c r="N36" s="35">
        <f t="shared" si="18"/>
        <v>0</v>
      </c>
      <c r="O36" s="35">
        <f t="shared" si="18"/>
        <v>0</v>
      </c>
      <c r="P36" s="35">
        <f t="shared" si="18"/>
        <v>0</v>
      </c>
      <c r="Q36" s="31">
        <f t="shared" ref="Q36:Q37" si="19">SUM(E36:P36)</f>
        <v>316481.20493000001</v>
      </c>
      <c r="R36" s="31">
        <f t="shared" si="17"/>
        <v>63296.240986000004</v>
      </c>
    </row>
    <row r="37" spans="2:18" ht="22.5" customHeight="1" x14ac:dyDescent="0.25">
      <c r="B37" s="239"/>
      <c r="C37" s="241"/>
      <c r="D37" s="32" t="s">
        <v>7852</v>
      </c>
      <c r="E37" s="35">
        <f t="shared" ref="E37:P37" si="20">E32*E34</f>
        <v>53316.528000000006</v>
      </c>
      <c r="F37" s="35">
        <f t="shared" si="20"/>
        <v>10310.309459999999</v>
      </c>
      <c r="G37" s="35">
        <f t="shared" si="20"/>
        <v>68176.076219999988</v>
      </c>
      <c r="H37" s="35">
        <f t="shared" si="20"/>
        <v>22367.247719999999</v>
      </c>
      <c r="I37" s="35">
        <f>I32*I34</f>
        <v>119088.59424000001</v>
      </c>
      <c r="J37" s="35">
        <f t="shared" si="20"/>
        <v>0</v>
      </c>
      <c r="K37" s="35">
        <f t="shared" si="20"/>
        <v>0</v>
      </c>
      <c r="L37" s="35">
        <f t="shared" si="20"/>
        <v>0</v>
      </c>
      <c r="M37" s="35">
        <f t="shared" si="20"/>
        <v>0</v>
      </c>
      <c r="N37" s="35">
        <f t="shared" si="20"/>
        <v>0</v>
      </c>
      <c r="O37" s="35">
        <f t="shared" si="20"/>
        <v>0</v>
      </c>
      <c r="P37" s="35">
        <f t="shared" si="20"/>
        <v>0</v>
      </c>
      <c r="Q37" s="31">
        <f t="shared" si="19"/>
        <v>273258.75563999999</v>
      </c>
      <c r="R37" s="31">
        <f t="shared" si="17"/>
        <v>54651.751127999996</v>
      </c>
    </row>
    <row r="38" spans="2:18" ht="22.5" customHeight="1" x14ac:dyDescent="0.25">
      <c r="B38" s="242" t="s">
        <v>7863</v>
      </c>
      <c r="C38" s="243"/>
      <c r="D38" s="244"/>
      <c r="E38" s="37">
        <f>E33*E34</f>
        <v>28404.357599999996</v>
      </c>
      <c r="F38" s="37">
        <f t="shared" ref="F38:P38" si="21">F33*F34</f>
        <v>65546.51135999999</v>
      </c>
      <c r="G38" s="37">
        <f t="shared" si="21"/>
        <v>72656.647560000012</v>
      </c>
      <c r="H38" s="37">
        <f t="shared" si="21"/>
        <v>96895.466310000018</v>
      </c>
      <c r="I38" s="37">
        <f t="shared" si="21"/>
        <v>45254.119680000025</v>
      </c>
      <c r="J38" s="37">
        <f t="shared" si="21"/>
        <v>0</v>
      </c>
      <c r="K38" s="37">
        <f>K33*K34</f>
        <v>0</v>
      </c>
      <c r="L38" s="37">
        <f t="shared" si="21"/>
        <v>0</v>
      </c>
      <c r="M38" s="37">
        <f t="shared" si="21"/>
        <v>0</v>
      </c>
      <c r="N38" s="37">
        <f t="shared" si="21"/>
        <v>0</v>
      </c>
      <c r="O38" s="37">
        <f t="shared" si="21"/>
        <v>0</v>
      </c>
      <c r="P38" s="37">
        <f t="shared" si="21"/>
        <v>0</v>
      </c>
      <c r="Q38" s="37">
        <f>SUM(E38:P38)</f>
        <v>308757.10251</v>
      </c>
      <c r="R38" s="37">
        <f t="shared" si="17"/>
        <v>61751.420502000001</v>
      </c>
    </row>
    <row r="41" spans="2:18" ht="26.25" customHeight="1" x14ac:dyDescent="0.25">
      <c r="B41" s="133" t="s">
        <v>7832</v>
      </c>
      <c r="C41" s="133"/>
      <c r="D41" s="133" t="s">
        <v>7834</v>
      </c>
      <c r="E41" s="133" t="s">
        <v>7835</v>
      </c>
      <c r="F41" s="134" t="s">
        <v>7836</v>
      </c>
      <c r="G41" s="134" t="s">
        <v>7837</v>
      </c>
      <c r="H41" s="134" t="s">
        <v>7838</v>
      </c>
      <c r="I41" s="134" t="s">
        <v>7839</v>
      </c>
      <c r="J41" s="134" t="s">
        <v>7840</v>
      </c>
      <c r="K41" s="134" t="s">
        <v>7841</v>
      </c>
      <c r="L41" s="134" t="s">
        <v>7842</v>
      </c>
      <c r="M41" s="134" t="s">
        <v>7843</v>
      </c>
      <c r="N41" s="134" t="s">
        <v>7844</v>
      </c>
      <c r="O41" s="134" t="s">
        <v>7845</v>
      </c>
      <c r="P41" s="134" t="s">
        <v>7846</v>
      </c>
      <c r="Q41" s="134" t="s">
        <v>7847</v>
      </c>
      <c r="R41" s="134" t="s">
        <v>7848</v>
      </c>
    </row>
    <row r="42" spans="2:18" ht="22.5" customHeight="1" x14ac:dyDescent="0.25">
      <c r="B42" s="238"/>
      <c r="C42" s="240" t="s">
        <v>7864</v>
      </c>
      <c r="D42" s="30" t="s">
        <v>7850</v>
      </c>
      <c r="E42" s="41">
        <f>E10+E15+E20+E25+E35</f>
        <v>84232.060400000017</v>
      </c>
      <c r="F42" s="41">
        <f t="shared" ref="F42:P42" si="22">F10+F15+F20+F25+F35</f>
        <v>107286.30092000013</v>
      </c>
      <c r="G42" s="41">
        <f t="shared" si="22"/>
        <v>122371.08856000018</v>
      </c>
      <c r="H42" s="41">
        <f t="shared" si="22"/>
        <v>223728.6462200002</v>
      </c>
      <c r="I42" s="41">
        <f t="shared" si="22"/>
        <v>301565.47712000029</v>
      </c>
      <c r="J42" s="41">
        <f t="shared" si="22"/>
        <v>132897.90999999986</v>
      </c>
      <c r="K42" s="41">
        <f t="shared" si="22"/>
        <v>95297.619999999879</v>
      </c>
      <c r="L42" s="41">
        <f t="shared" si="22"/>
        <v>55450.679999999629</v>
      </c>
      <c r="M42" s="41">
        <f t="shared" si="22"/>
        <v>24392.859999999811</v>
      </c>
      <c r="N42" s="41">
        <f t="shared" si="22"/>
        <v>0</v>
      </c>
      <c r="O42" s="41">
        <f t="shared" si="22"/>
        <v>0</v>
      </c>
      <c r="P42" s="41">
        <f t="shared" si="22"/>
        <v>0</v>
      </c>
      <c r="Q42" s="41">
        <v>86986.600000000268</v>
      </c>
      <c r="R42" s="41">
        <f t="shared" ref="R42:R45" si="23">SUM(E42:P42)/COUNTIFS(E42:P42,"&gt;"&amp;0)</f>
        <v>127469.18258000002</v>
      </c>
    </row>
    <row r="43" spans="2:18" ht="22.5" customHeight="1" x14ac:dyDescent="0.25">
      <c r="B43" s="239"/>
      <c r="C43" s="241"/>
      <c r="D43" s="32" t="s">
        <v>7851</v>
      </c>
      <c r="E43" s="41">
        <f t="shared" ref="E43:P44" si="24">E11+E16+E21+E26+E36</f>
        <v>382655.96519999998</v>
      </c>
      <c r="F43" s="41">
        <f t="shared" si="24"/>
        <v>340552.84990000003</v>
      </c>
      <c r="G43" s="41">
        <f t="shared" si="24"/>
        <v>455627.26521999994</v>
      </c>
      <c r="H43" s="41">
        <f t="shared" si="24"/>
        <v>482079.80780999997</v>
      </c>
      <c r="I43" s="41">
        <f t="shared" si="24"/>
        <v>575127.44680000003</v>
      </c>
      <c r="J43" s="41">
        <f t="shared" si="24"/>
        <v>363599.30000000005</v>
      </c>
      <c r="K43" s="41">
        <f t="shared" si="24"/>
        <v>457313.2099999999</v>
      </c>
      <c r="L43" s="41">
        <f t="shared" si="24"/>
        <v>319095.35000000009</v>
      </c>
      <c r="M43" s="41">
        <f t="shared" si="24"/>
        <v>2396.52</v>
      </c>
      <c r="N43" s="41">
        <f t="shared" si="24"/>
        <v>0</v>
      </c>
      <c r="O43" s="41">
        <f t="shared" si="24"/>
        <v>0</v>
      </c>
      <c r="P43" s="41">
        <f t="shared" si="24"/>
        <v>0</v>
      </c>
      <c r="Q43" s="41">
        <v>336931.89999999997</v>
      </c>
      <c r="R43" s="41">
        <f t="shared" si="23"/>
        <v>375383.07943666662</v>
      </c>
    </row>
    <row r="44" spans="2:18" ht="22.5" customHeight="1" x14ac:dyDescent="0.25">
      <c r="B44" s="258"/>
      <c r="C44" s="259"/>
      <c r="D44" s="32" t="s">
        <v>7852</v>
      </c>
      <c r="E44" s="41">
        <f t="shared" si="24"/>
        <v>359250.48799999984</v>
      </c>
      <c r="F44" s="41">
        <f t="shared" si="24"/>
        <v>325111.24946000002</v>
      </c>
      <c r="G44" s="41">
        <f t="shared" si="24"/>
        <v>354647.50621999992</v>
      </c>
      <c r="H44" s="41">
        <f t="shared" si="24"/>
        <v>404849.72771999985</v>
      </c>
      <c r="I44" s="41">
        <f t="shared" si="24"/>
        <v>698540.8942400004</v>
      </c>
      <c r="J44" s="41">
        <f t="shared" si="24"/>
        <v>401199.58999999997</v>
      </c>
      <c r="K44" s="41">
        <f t="shared" si="24"/>
        <v>497160.15000000014</v>
      </c>
      <c r="L44" s="41">
        <f t="shared" si="24"/>
        <v>303849.64999999991</v>
      </c>
      <c r="M44" s="41">
        <f t="shared" si="24"/>
        <v>16902.940000000002</v>
      </c>
      <c r="N44" s="41">
        <f t="shared" si="24"/>
        <v>0</v>
      </c>
      <c r="O44" s="41">
        <f t="shared" si="24"/>
        <v>0</v>
      </c>
      <c r="P44" s="41">
        <f t="shared" si="24"/>
        <v>0</v>
      </c>
      <c r="Q44" s="41">
        <v>333170.79999999993</v>
      </c>
      <c r="R44" s="41">
        <f t="shared" si="23"/>
        <v>373501.35507111106</v>
      </c>
    </row>
    <row r="45" spans="2:18" ht="22.5" customHeight="1" x14ac:dyDescent="0.25">
      <c r="B45" s="260" t="str">
        <f ca="1">"SALDO BANCOS - SOLES "&amp;TEXT(TODAY()-1,"DD/MM/YYYY")</f>
        <v>SALDO BANCOS - SOLES 03/11/2025</v>
      </c>
      <c r="C45" s="261"/>
      <c r="D45" s="262"/>
      <c r="E45" s="34">
        <f>E42+E43-E44</f>
        <v>107637.53760000016</v>
      </c>
      <c r="F45" s="34">
        <f t="shared" ref="F45:P45" si="25">F42+F43-F44</f>
        <v>122727.90136000013</v>
      </c>
      <c r="G45" s="34">
        <f t="shared" si="25"/>
        <v>223350.8475600002</v>
      </c>
      <c r="H45" s="34">
        <f t="shared" si="25"/>
        <v>300958.72631000029</v>
      </c>
      <c r="I45" s="34">
        <f t="shared" si="25"/>
        <v>178152.02967999992</v>
      </c>
      <c r="J45" s="34">
        <f t="shared" si="25"/>
        <v>95297.619999999937</v>
      </c>
      <c r="K45" s="34">
        <f t="shared" si="25"/>
        <v>55450.679999999702</v>
      </c>
      <c r="L45" s="34">
        <f t="shared" si="25"/>
        <v>70696.37999999983</v>
      </c>
      <c r="M45" s="34">
        <f t="shared" si="25"/>
        <v>9886.4399999998095</v>
      </c>
      <c r="N45" s="34">
        <f t="shared" si="25"/>
        <v>0</v>
      </c>
      <c r="O45" s="34">
        <f t="shared" si="25"/>
        <v>0</v>
      </c>
      <c r="P45" s="34">
        <f t="shared" si="25"/>
        <v>0</v>
      </c>
      <c r="Q45" s="34">
        <v>90747.700000000288</v>
      </c>
      <c r="R45" s="34">
        <f t="shared" si="23"/>
        <v>129350.90694555554</v>
      </c>
    </row>
    <row r="47" spans="2:18" ht="26.25" customHeight="1" x14ac:dyDescent="0.25">
      <c r="B47" s="133" t="s">
        <v>7832</v>
      </c>
      <c r="C47" s="133" t="s">
        <v>7833</v>
      </c>
      <c r="D47" s="133" t="s">
        <v>7834</v>
      </c>
      <c r="E47" s="133" t="s">
        <v>7835</v>
      </c>
      <c r="F47" s="134" t="s">
        <v>7836</v>
      </c>
      <c r="G47" s="134" t="s">
        <v>7837</v>
      </c>
      <c r="H47" s="134" t="s">
        <v>7838</v>
      </c>
      <c r="I47" s="134" t="s">
        <v>7839</v>
      </c>
      <c r="J47" s="134" t="s">
        <v>7840</v>
      </c>
      <c r="K47" s="134" t="s">
        <v>7841</v>
      </c>
      <c r="L47" s="134" t="s">
        <v>7842</v>
      </c>
      <c r="M47" s="134" t="s">
        <v>7843</v>
      </c>
      <c r="N47" s="134" t="s">
        <v>7844</v>
      </c>
      <c r="O47" s="134" t="s">
        <v>7845</v>
      </c>
      <c r="P47" s="134" t="s">
        <v>7846</v>
      </c>
      <c r="Q47" s="134" t="s">
        <v>7847</v>
      </c>
      <c r="R47" s="134" t="s">
        <v>7848</v>
      </c>
    </row>
    <row r="48" spans="2:18" ht="22.5" customHeight="1" x14ac:dyDescent="0.25">
      <c r="B48" s="238">
        <v>6</v>
      </c>
      <c r="C48" s="240" t="s">
        <v>7865</v>
      </c>
      <c r="D48" s="30" t="s">
        <v>7850</v>
      </c>
      <c r="E48" s="31">
        <f>SUMIFS(Caja_Arequipa[[MONTO ]],Caja_Arequipa[PERIODO],E9,Caja_Arequipa[TIPO DE MOV.],"SALDO")</f>
        <v>1054.0999999999999</v>
      </c>
      <c r="F48" s="31">
        <f>IF(OR(F49&gt;0,F50&gt;0),E51,0)</f>
        <v>87.799999999999727</v>
      </c>
      <c r="G48" s="31">
        <f t="shared" ref="G48" si="26">IF(OR(G49&gt;0,G50&gt;0),F51,0)</f>
        <v>166.80000000000064</v>
      </c>
      <c r="H48" s="31">
        <f t="shared" ref="H48" si="27">IF(OR(H49&gt;0,H50&gt;0),G51,0)</f>
        <v>1226.8000000000011</v>
      </c>
      <c r="I48" s="31">
        <f t="shared" ref="I48" si="28">IF(OR(I49&gt;0,I50&gt;0),H51,0)</f>
        <v>3102.0000000000018</v>
      </c>
      <c r="J48" s="31">
        <f t="shared" ref="J48" si="29">IF(OR(J49&gt;0,J50&gt;0),I51,0)</f>
        <v>503.20000000000255</v>
      </c>
      <c r="K48" s="31">
        <f t="shared" ref="K48" si="30">IF(OR(K49&gt;0,K50&gt;0),J51,0)</f>
        <v>1704.7000000000025</v>
      </c>
      <c r="L48" s="31">
        <f t="shared" ref="L48" si="31">IF(OR(L49&gt;0,L50&gt;0),K51,0)</f>
        <v>311.90000000000236</v>
      </c>
      <c r="M48" s="31">
        <f t="shared" ref="M48" si="32">IF(OR(M49&gt;0,M50&gt;0),L51,0)</f>
        <v>215.00000000000273</v>
      </c>
      <c r="N48" s="31">
        <f t="shared" ref="N48" si="33">IF(OR(N49&gt;0,N50&gt;0),M51,0)</f>
        <v>0</v>
      </c>
      <c r="O48" s="31">
        <f t="shared" ref="O48" si="34">IF(OR(O49&gt;0,O50&gt;0),N51,0)</f>
        <v>0</v>
      </c>
      <c r="P48" s="31">
        <f t="shared" ref="P48" si="35">IF(OR(P49&gt;0,P50&gt;0),O51,0)</f>
        <v>0</v>
      </c>
      <c r="Q48" s="31">
        <f>SUM(E48:P48)</f>
        <v>8372.3000000000138</v>
      </c>
      <c r="R48" s="31">
        <f t="shared" ref="R48:R51" si="36">SUM(E48:P48)/COUNTIFS(E48:P48,"&gt;"&amp;0)</f>
        <v>930.25555555555707</v>
      </c>
    </row>
    <row r="49" spans="2:18" ht="22.5" customHeight="1" x14ac:dyDescent="0.25">
      <c r="B49" s="239"/>
      <c r="C49" s="241"/>
      <c r="D49" s="32" t="s">
        <v>7851</v>
      </c>
      <c r="E49" s="31">
        <f>SUMIFS(Caja_Arequipa[[MONTO ]],Caja_Arequipa[PERIODO],E9,Caja_Arequipa[TIPO DE MOV.],"INGRESO")</f>
        <v>1487.5</v>
      </c>
      <c r="F49" s="31">
        <f>SUMIFS(Caja_Arequipa[[MONTO ]],Caja_Arequipa[PERIODO],F9,Caja_Arequipa[TIPO DE MOV.],"INGRESO")</f>
        <v>3547.3</v>
      </c>
      <c r="G49" s="31">
        <f>SUMIFS(Caja_Arequipa[[MONTO ]],Caja_Arequipa[PERIODO],G9,Caja_Arequipa[TIPO DE MOV.],"INGRESO")</f>
        <v>7352</v>
      </c>
      <c r="H49" s="31">
        <f>SUMIFS(Caja_Arequipa[[MONTO ]],Caja_Arequipa[PERIODO],H9,Caja_Arequipa[TIPO DE MOV.],"INGRESO")</f>
        <v>6368.3</v>
      </c>
      <c r="I49" s="31">
        <f>SUMIFS(Caja_Arequipa[[MONTO ]],Caja_Arequipa[PERIODO],I9,Caja_Arequipa[TIPO DE MOV.],"INGRESO")</f>
        <v>6467</v>
      </c>
      <c r="J49" s="31">
        <f>SUMIFS(Caja_Arequipa[[MONTO ]],Caja_Arequipa[PERIODO],J9,Caja_Arequipa[TIPO DE MOV.],"INGRESO")</f>
        <v>7669.3</v>
      </c>
      <c r="K49" s="31">
        <f>SUMIFS(Caja_Arequipa[[MONTO ]],Caja_Arequipa[PERIODO],K9,Caja_Arequipa[TIPO DE MOV.],"INGRESO")</f>
        <v>2702</v>
      </c>
      <c r="L49" s="31">
        <f>SUMIFS(Caja_Arequipa[[MONTO ]],Caja_Arequipa[PERIODO],L9,Caja_Arequipa[TIPO DE MOV.],"INGRESO")</f>
        <v>3570</v>
      </c>
      <c r="M49" s="31">
        <f>SUMIFS(Caja_Arequipa[[MONTO ]],Caja_Arequipa[PERIODO],M9,Caja_Arequipa[TIPO DE MOV.],"INGRESO")</f>
        <v>0</v>
      </c>
      <c r="N49" s="31">
        <f>SUMIFS(Caja_Arequipa[[MONTO ]],Caja_Arequipa[PERIODO],N9,Caja_Arequipa[TIPO DE MOV.],"INGRESO")</f>
        <v>0</v>
      </c>
      <c r="O49" s="31">
        <f>SUMIFS(Caja_Arequipa[[MONTO ]],Caja_Arequipa[PERIODO],O9,Caja_Arequipa[TIPO DE MOV.],"INGRESO")</f>
        <v>0</v>
      </c>
      <c r="P49" s="31">
        <f>SUMIFS(Caja_Arequipa[[MONTO ]],Caja_Arequipa[PERIODO],P9,Caja_Arequipa[TIPO DE MOV.],"INGRESO")</f>
        <v>0</v>
      </c>
      <c r="Q49" s="31">
        <f t="shared" ref="Q49:Q50" si="37">SUM(E49:P49)</f>
        <v>39163.4</v>
      </c>
      <c r="R49" s="31">
        <f t="shared" si="36"/>
        <v>4895.4250000000002</v>
      </c>
    </row>
    <row r="50" spans="2:18" ht="22.5" customHeight="1" x14ac:dyDescent="0.25">
      <c r="B50" s="239"/>
      <c r="C50" s="241"/>
      <c r="D50" s="32" t="s">
        <v>7852</v>
      </c>
      <c r="E50" s="31">
        <f>SUMIFS(Caja_Arequipa[[MONTO ]],Caja_Arequipa[PERIODO],E9,Caja_Arequipa[TIPO DE MOV.],"EGRESO")</f>
        <v>2453.8000000000002</v>
      </c>
      <c r="F50" s="31">
        <f>SUMIFS(Caja_Arequipa[[MONTO ]],Caja_Arequipa[PERIODO],F9,Caja_Arequipa[TIPO DE MOV.],"EGRESO")</f>
        <v>3468.2999999999993</v>
      </c>
      <c r="G50" s="31">
        <f>SUMIFS(Caja_Arequipa[[MONTO ]],Caja_Arequipa[PERIODO],G9,Caja_Arequipa[TIPO DE MOV.],"EGRESO")</f>
        <v>6292</v>
      </c>
      <c r="H50" s="31">
        <f>SUMIFS(Caja_Arequipa[[MONTO ]],Caja_Arequipa[PERIODO],H9,Caja_Arequipa[TIPO DE MOV.],"EGRESO")</f>
        <v>4493.0999999999995</v>
      </c>
      <c r="I50" s="31">
        <f>SUMIFS(Caja_Arequipa[[MONTO ]],Caja_Arequipa[PERIODO],I9,Caja_Arequipa[TIPO DE MOV.],"EGRESO")</f>
        <v>9065.7999999999993</v>
      </c>
      <c r="J50" s="31">
        <f>SUMIFS(Caja_Arequipa[[MONTO ]],Caja_Arequipa[PERIODO],J9,Caja_Arequipa[TIPO DE MOV.],"EGRESO")</f>
        <v>6467.8</v>
      </c>
      <c r="K50" s="31">
        <f>SUMIFS(Caja_Arequipa[[MONTO ]],Caja_Arequipa[PERIODO],K9,Caja_Arequipa[TIPO DE MOV.],"EGRESO")</f>
        <v>4094.8</v>
      </c>
      <c r="L50" s="31">
        <f>SUMIFS(Caja_Arequipa[[MONTO ]],Caja_Arequipa[PERIODO],L9,Caja_Arequipa[TIPO DE MOV.],"EGRESO")</f>
        <v>3666.8999999999996</v>
      </c>
      <c r="M50" s="31">
        <f>SUMIFS(Caja_Arequipa[[MONTO ]],Caja_Arequipa[PERIODO],M9,Caja_Arequipa[TIPO DE MOV.],"EGRESO")</f>
        <v>65</v>
      </c>
      <c r="N50" s="31">
        <f>SUMIFS(Caja_Arequipa[[MONTO ]],Caja_Arequipa[PERIODO],N9,Caja_Arequipa[TIPO DE MOV.],"EGRESO")</f>
        <v>0</v>
      </c>
      <c r="O50" s="31">
        <f>SUMIFS(Caja_Arequipa[[MONTO ]],Caja_Arequipa[PERIODO],O9,Caja_Arequipa[TIPO DE MOV.],"EGRESO")</f>
        <v>0</v>
      </c>
      <c r="P50" s="31">
        <f>SUMIFS(Caja_Arequipa[[MONTO ]],Caja_Arequipa[PERIODO],P9,Caja_Arequipa[TIPO DE MOV.],"EGRESO")</f>
        <v>0</v>
      </c>
      <c r="Q50" s="31">
        <f t="shared" si="37"/>
        <v>40067.5</v>
      </c>
      <c r="R50" s="31">
        <f t="shared" si="36"/>
        <v>4451.9444444444443</v>
      </c>
    </row>
    <row r="51" spans="2:18" ht="22.5" customHeight="1" x14ac:dyDescent="0.25">
      <c r="B51" s="245" t="s">
        <v>7866</v>
      </c>
      <c r="C51" s="245"/>
      <c r="D51" s="245"/>
      <c r="E51" s="33">
        <f>E48+E49-E50</f>
        <v>87.799999999999727</v>
      </c>
      <c r="F51" s="33">
        <f t="shared" ref="F51:P51" si="38">F48+F49-F50</f>
        <v>166.80000000000064</v>
      </c>
      <c r="G51" s="33">
        <f t="shared" si="38"/>
        <v>1226.8000000000011</v>
      </c>
      <c r="H51" s="33">
        <f t="shared" si="38"/>
        <v>3102.0000000000018</v>
      </c>
      <c r="I51" s="33">
        <f t="shared" si="38"/>
        <v>503.20000000000255</v>
      </c>
      <c r="J51" s="33">
        <f t="shared" si="38"/>
        <v>1704.7000000000025</v>
      </c>
      <c r="K51" s="33">
        <f t="shared" si="38"/>
        <v>311.90000000000236</v>
      </c>
      <c r="L51" s="33">
        <f t="shared" si="38"/>
        <v>215.00000000000273</v>
      </c>
      <c r="M51" s="33">
        <f t="shared" si="38"/>
        <v>150.00000000000273</v>
      </c>
      <c r="N51" s="33">
        <f t="shared" si="38"/>
        <v>0</v>
      </c>
      <c r="O51" s="33">
        <f t="shared" si="38"/>
        <v>0</v>
      </c>
      <c r="P51" s="33">
        <f t="shared" si="38"/>
        <v>0</v>
      </c>
      <c r="Q51" s="33">
        <f>SUM(E51:P51)</f>
        <v>7468.2000000000162</v>
      </c>
      <c r="R51" s="33">
        <f t="shared" si="36"/>
        <v>829.80000000000177</v>
      </c>
    </row>
    <row r="53" spans="2:18" ht="22.5" customHeight="1" x14ac:dyDescent="0.25">
      <c r="B53" s="238">
        <v>7</v>
      </c>
      <c r="C53" s="240" t="s">
        <v>7867</v>
      </c>
      <c r="D53" s="30" t="s">
        <v>7850</v>
      </c>
      <c r="E53" s="31">
        <f>SUMIFS(Caja_Finanzas[[MONTO ]],Caja_Finanzas[PERIODO],E9,Caja_Finanzas[TIPO DE MOV.],"SALDO")</f>
        <v>167.5</v>
      </c>
      <c r="F53" s="31">
        <f>IF(OR(F54&gt;0,F55&gt;0),E56,0)</f>
        <v>-1762.6999999999971</v>
      </c>
      <c r="G53" s="31">
        <f t="shared" ref="G53" si="39">IF(OR(G54&gt;0,G55&gt;0),F56,0)</f>
        <v>1689.8000000000102</v>
      </c>
      <c r="H53" s="31">
        <f t="shared" ref="H53" si="40">IF(OR(H54&gt;0,H55&gt;0),G56,0)</f>
        <v>13148.200000000026</v>
      </c>
      <c r="I53" s="31">
        <f t="shared" ref="I53" si="41">IF(OR(I54&gt;0,I55&gt;0),H56,0)</f>
        <v>23001.300000000032</v>
      </c>
      <c r="J53" s="31">
        <f t="shared" ref="J53" si="42">IF(OR(J54&gt;0,J55&gt;0),I56,0)</f>
        <v>6139.800000000032</v>
      </c>
      <c r="K53" s="31">
        <f t="shared" ref="K53" si="43">IF(OR(K54&gt;0,K55&gt;0),J56,0)</f>
        <v>11843.800000000025</v>
      </c>
      <c r="L53" s="31">
        <f t="shared" ref="L53" si="44">IF(OR(L54&gt;0,L55&gt;0),K56,0)</f>
        <v>26917.690000000035</v>
      </c>
      <c r="M53" s="31">
        <f t="shared" ref="M53" si="45">IF(OR(M54&gt;0,M55&gt;0),L56,0)</f>
        <v>0</v>
      </c>
      <c r="N53" s="31">
        <f t="shared" ref="N53" si="46">IF(OR(N54&gt;0,N55&gt;0),M56,0)</f>
        <v>0</v>
      </c>
      <c r="O53" s="31">
        <f t="shared" ref="O53" si="47">IF(OR(O54&gt;0,O55&gt;0),N56,0)</f>
        <v>0</v>
      </c>
      <c r="P53" s="31">
        <f t="shared" ref="P53" si="48">IF(OR(P54&gt;0,P55&gt;0),O56,0)</f>
        <v>0</v>
      </c>
      <c r="Q53" s="31">
        <f>SUM(E53:P53)</f>
        <v>81145.390000000159</v>
      </c>
      <c r="R53" s="31">
        <f t="shared" ref="R53:R56" si="49">SUM(E53:P53)/COUNTIFS(E53:P53,"&gt;"&amp;0)</f>
        <v>11592.198571428595</v>
      </c>
    </row>
    <row r="54" spans="2:18" ht="22.5" customHeight="1" x14ac:dyDescent="0.25">
      <c r="B54" s="239"/>
      <c r="C54" s="241"/>
      <c r="D54" s="32" t="s">
        <v>7851</v>
      </c>
      <c r="E54" s="31">
        <f>SUMIFS(Caja_Finanzas[[MONTO ]],Caja_Finanzas[PERIODO],E9,Caja_Finanzas[TIPO DE MOV.],"INGRESO")</f>
        <v>29749.9</v>
      </c>
      <c r="F54" s="31">
        <f>SUMIFS(Caja_Finanzas[[MONTO ]],Caja_Finanzas[PERIODO],F9,Caja_Finanzas[TIPO DE MOV.],"INGRESO")</f>
        <v>49194.700000000004</v>
      </c>
      <c r="G54" s="31">
        <f>SUMIFS(Caja_Finanzas[[MONTO ]],Caja_Finanzas[PERIODO],G9,Caja_Finanzas[TIPO DE MOV.],"INGRESO")</f>
        <v>69200.100000000006</v>
      </c>
      <c r="H54" s="31">
        <f>SUMIFS(Caja_Finanzas[[MONTO ]],Caja_Finanzas[PERIODO],H9,Caja_Finanzas[TIPO DE MOV.],"INGRESO")</f>
        <v>41183.800000000003</v>
      </c>
      <c r="I54" s="31">
        <f>SUMIFS(Caja_Finanzas[[MONTO ]],Caja_Finanzas[PERIODO],I9,Caja_Finanzas[TIPO DE MOV.],"INGRESO")</f>
        <v>71588.899999999994</v>
      </c>
      <c r="J54" s="31">
        <f>SUMIFS(Caja_Finanzas[[MONTO ]],Caja_Finanzas[PERIODO],J9,Caja_Finanzas[TIPO DE MOV.],"INGRESO")</f>
        <v>41580.299999999996</v>
      </c>
      <c r="K54" s="31">
        <f>SUMIFS(Caja_Finanzas[[MONTO ]],Caja_Finanzas[PERIODO],K9,Caja_Finanzas[TIPO DE MOV.],"INGRESO")</f>
        <v>36935.000000000007</v>
      </c>
      <c r="L54" s="31">
        <f>SUMIFS(Caja_Finanzas[[MONTO ]],Caja_Finanzas[PERIODO],L9,Caja_Finanzas[TIPO DE MOV.],"INGRESO")</f>
        <v>32975.099999999991</v>
      </c>
      <c r="M54" s="31">
        <f>SUMIFS(Caja_Finanzas[[MONTO ]],Caja_Finanzas[PERIODO],M9,Caja_Finanzas[TIPO DE MOV.],"INGRESO")</f>
        <v>0</v>
      </c>
      <c r="N54" s="31">
        <f>SUMIFS(Caja_Finanzas[[MONTO ]],Caja_Finanzas[PERIODO],N9,Caja_Finanzas[TIPO DE MOV.],"INGRESO")</f>
        <v>0</v>
      </c>
      <c r="O54" s="31">
        <f>SUMIFS(Caja_Finanzas[[MONTO ]],Caja_Finanzas[PERIODO],O9,Caja_Finanzas[TIPO DE MOV.],"INGRESO")</f>
        <v>0</v>
      </c>
      <c r="P54" s="31">
        <f>SUMIFS(Caja_Finanzas[[MONTO ]],Caja_Finanzas[PERIODO],P9,Caja_Finanzas[TIPO DE MOV.],"INGRESO")</f>
        <v>0</v>
      </c>
      <c r="Q54" s="31">
        <f t="shared" ref="Q54:Q55" si="50">SUM(E54:P54)</f>
        <v>372407.8</v>
      </c>
      <c r="R54" s="31">
        <f t="shared" si="49"/>
        <v>46550.974999999999</v>
      </c>
    </row>
    <row r="55" spans="2:18" ht="22.5" customHeight="1" x14ac:dyDescent="0.25">
      <c r="B55" s="239"/>
      <c r="C55" s="241"/>
      <c r="D55" s="32" t="s">
        <v>7852</v>
      </c>
      <c r="E55" s="31">
        <f>SUMIFS(Caja_Finanzas[[MONTO ]],Caja_Finanzas[PERIODO],E9,Caja_Finanzas[TIPO DE MOV.],"EGRESO")</f>
        <v>31680.1</v>
      </c>
      <c r="F55" s="31">
        <f>SUMIFS(Caja_Finanzas[[MONTO ]],Caja_Finanzas[PERIODO],F9,Caja_Finanzas[TIPO DE MOV.],"EGRESO")</f>
        <v>45742.2</v>
      </c>
      <c r="G55" s="31">
        <f>SUMIFS(Caja_Finanzas[[MONTO ]],Caja_Finanzas[PERIODO],G9,Caja_Finanzas[TIPO DE MOV.],"EGRESO")</f>
        <v>57741.7</v>
      </c>
      <c r="H55" s="31">
        <f>SUMIFS(Caja_Finanzas[[MONTO ]],Caja_Finanzas[PERIODO],H9,Caja_Finanzas[TIPO DE MOV.],"EGRESO")</f>
        <v>31330.699999999997</v>
      </c>
      <c r="I55" s="31">
        <f>SUMIFS(Caja_Finanzas[[MONTO ]],Caja_Finanzas[PERIODO],I9,Caja_Finanzas[TIPO DE MOV.],"EGRESO")</f>
        <v>88450.4</v>
      </c>
      <c r="J55" s="31">
        <f>SUMIFS(Caja_Finanzas[[MONTO ]],Caja_Finanzas[PERIODO],J9,Caja_Finanzas[TIPO DE MOV.],"EGRESO")</f>
        <v>35876.300000000003</v>
      </c>
      <c r="K55" s="31">
        <f>SUMIFS(Caja_Finanzas[[MONTO ]],Caja_Finanzas[PERIODO],K9,Caja_Finanzas[TIPO DE MOV.],"EGRESO")</f>
        <v>21861.109999999997</v>
      </c>
      <c r="L55" s="31">
        <f>SUMIFS(Caja_Finanzas[[MONTO ]],Caja_Finanzas[PERIODO],L9,Caja_Finanzas[TIPO DE MOV.],"EGRESO")</f>
        <v>56628</v>
      </c>
      <c r="M55" s="31">
        <f>SUMIFS(Caja_Finanzas[[MONTO ]],Caja_Finanzas[PERIODO],M9,Caja_Finanzas[TIPO DE MOV.],"EGRESO")</f>
        <v>0</v>
      </c>
      <c r="N55" s="31">
        <f>SUMIFS(Caja_Finanzas[[MONTO ]],Caja_Finanzas[PERIODO],N9,Caja_Finanzas[TIPO DE MOV.],"EGRESO")</f>
        <v>0</v>
      </c>
      <c r="O55" s="31">
        <f>SUMIFS(Caja_Finanzas[[MONTO ]],Caja_Finanzas[PERIODO],O9,Caja_Finanzas[TIPO DE MOV.],"EGRESO")</f>
        <v>0</v>
      </c>
      <c r="P55" s="31">
        <f>SUMIFS(Caja_Finanzas[[MONTO ]],Caja_Finanzas[PERIODO],P9,Caja_Finanzas[TIPO DE MOV.],"EGRESO")</f>
        <v>0</v>
      </c>
      <c r="Q55" s="31">
        <f t="shared" si="50"/>
        <v>369310.51</v>
      </c>
      <c r="R55" s="31">
        <f t="shared" si="49"/>
        <v>46163.813750000001</v>
      </c>
    </row>
    <row r="56" spans="2:18" ht="22.5" customHeight="1" x14ac:dyDescent="0.25">
      <c r="B56" s="245" t="s">
        <v>7868</v>
      </c>
      <c r="C56" s="245"/>
      <c r="D56" s="245"/>
      <c r="E56" s="33">
        <f>E53+E54-E55</f>
        <v>-1762.6999999999971</v>
      </c>
      <c r="F56" s="33">
        <f t="shared" ref="F56:P56" si="51">F53+F54-F55</f>
        <v>1689.8000000000102</v>
      </c>
      <c r="G56" s="33">
        <f t="shared" si="51"/>
        <v>13148.200000000026</v>
      </c>
      <c r="H56" s="33">
        <f t="shared" si="51"/>
        <v>23001.300000000032</v>
      </c>
      <c r="I56" s="33">
        <f t="shared" si="51"/>
        <v>6139.800000000032</v>
      </c>
      <c r="J56" s="33">
        <f t="shared" si="51"/>
        <v>11843.800000000025</v>
      </c>
      <c r="K56" s="33">
        <f t="shared" si="51"/>
        <v>26917.690000000035</v>
      </c>
      <c r="L56" s="33">
        <f t="shared" si="51"/>
        <v>3264.7900000000227</v>
      </c>
      <c r="M56" s="33">
        <f t="shared" si="51"/>
        <v>0</v>
      </c>
      <c r="N56" s="33">
        <f t="shared" si="51"/>
        <v>0</v>
      </c>
      <c r="O56" s="33">
        <f t="shared" si="51"/>
        <v>0</v>
      </c>
      <c r="P56" s="33">
        <f t="shared" si="51"/>
        <v>0</v>
      </c>
      <c r="Q56" s="33">
        <f>SUM(E56:P56)</f>
        <v>84242.680000000182</v>
      </c>
      <c r="R56" s="33">
        <f t="shared" si="49"/>
        <v>12034.668571428598</v>
      </c>
    </row>
    <row r="58" spans="2:18" ht="22.5" customHeight="1" x14ac:dyDescent="0.25">
      <c r="B58" s="238">
        <v>8</v>
      </c>
      <c r="C58" s="240" t="s">
        <v>7869</v>
      </c>
      <c r="D58" s="30" t="s">
        <v>7850</v>
      </c>
      <c r="E58" s="31">
        <f>SUMIFS(C_Ope_001[[MONTO ]],C_Ope_001[PERIODO],E47,C_Ope_001[TIPO DE MOV.],"SALDO")</f>
        <v>108.74</v>
      </c>
      <c r="F58" s="31">
        <f>IF(OR(F59&gt;0,F60&gt;0),E61,0)</f>
        <v>89.740000000000009</v>
      </c>
      <c r="G58" s="31">
        <f t="shared" ref="G58" si="52">IF(OR(G59&gt;0,G60&gt;0),F61,0)</f>
        <v>249.74</v>
      </c>
      <c r="H58" s="31">
        <f t="shared" ref="H58" si="53">IF(OR(H59&gt;0,H60&gt;0),G61,0)</f>
        <v>55.740000000000009</v>
      </c>
      <c r="I58" s="31">
        <f t="shared" ref="I58" si="54">IF(OR(I59&gt;0,I60&gt;0),H61,0)</f>
        <v>559.74</v>
      </c>
      <c r="J58" s="31">
        <f t="shared" ref="J58" si="55">IF(OR(J59&gt;0,J60&gt;0),I61,0)</f>
        <v>359.74</v>
      </c>
      <c r="K58" s="31">
        <f t="shared" ref="K58" si="56">IF(OR(K59&gt;0,K60&gt;0),J61,0)</f>
        <v>26.740000000000009</v>
      </c>
      <c r="L58" s="31">
        <f t="shared" ref="L58" si="57">IF(OR(L59&gt;0,L60&gt;0),K61,0)</f>
        <v>73.590000000000032</v>
      </c>
      <c r="M58" s="31">
        <f t="shared" ref="M58" si="58">IF(OR(M59&gt;0,M60&gt;0),L61,0)</f>
        <v>0</v>
      </c>
      <c r="N58" s="31">
        <f t="shared" ref="N58" si="59">IF(OR(N59&gt;0,N60&gt;0),M61,0)</f>
        <v>0</v>
      </c>
      <c r="O58" s="31">
        <f t="shared" ref="O58" si="60">IF(OR(O59&gt;0,O60&gt;0),N61,0)</f>
        <v>0</v>
      </c>
      <c r="P58" s="31">
        <f t="shared" ref="P58" si="61">IF(OR(P59&gt;0,P60&gt;0),O61,0)</f>
        <v>0</v>
      </c>
      <c r="Q58" s="31">
        <f>SUM(E58:P58)</f>
        <v>1523.77</v>
      </c>
      <c r="R58" s="31">
        <f t="shared" ref="R58:R61" si="62">SUM(E58:P58)/COUNTIFS(E58:P58,"&gt;"&amp;0)</f>
        <v>190.47125</v>
      </c>
    </row>
    <row r="59" spans="2:18" ht="22.5" customHeight="1" x14ac:dyDescent="0.25">
      <c r="B59" s="239"/>
      <c r="C59" s="241"/>
      <c r="D59" s="32" t="s">
        <v>7851</v>
      </c>
      <c r="E59" s="31">
        <f>SUMIFS(C_Ope_001[[MONTO ]],C_Ope_001[PERIODO],E47,C_Ope_001[TIPO DE MOV.],"INGRESO")</f>
        <v>460</v>
      </c>
      <c r="F59" s="31">
        <f>SUMIFS(C_Ope_001[[MONTO ]],C_Ope_001[PERIODO],F47,C_Ope_001[TIPO DE MOV.],"INGRESO")</f>
        <v>510</v>
      </c>
      <c r="G59" s="31">
        <f>SUMIFS(C_Ope_001[[MONTO ]],C_Ope_001[PERIODO],G47,C_Ope_001[TIPO DE MOV.],"INGRESO")</f>
        <v>240</v>
      </c>
      <c r="H59" s="31">
        <f>SUMIFS(C_Ope_001[[MONTO ]],C_Ope_001[PERIODO],H47,C_Ope_001[TIPO DE MOV.],"INGRESO")</f>
        <v>840</v>
      </c>
      <c r="I59" s="31">
        <f>SUMIFS(C_Ope_001[[MONTO ]],C_Ope_001[PERIODO],I47,C_Ope_001[TIPO DE MOV.],"INGRESO")</f>
        <v>300</v>
      </c>
      <c r="J59" s="31">
        <f>SUMIFS(C_Ope_001[[MONTO ]],C_Ope_001[PERIODO],J47,C_Ope_001[TIPO DE MOV.],"INGRESO")</f>
        <v>130</v>
      </c>
      <c r="K59" s="31">
        <f>SUMIFS(C_Ope_001[[MONTO ]],C_Ope_001[PERIODO],K47,C_Ope_001[TIPO DE MOV.],"INGRESO")</f>
        <v>980</v>
      </c>
      <c r="L59" s="31">
        <f>SUMIFS(C_Ope_001[[MONTO ]],C_Ope_001[PERIODO],L47,C_Ope_001[TIPO DE MOV.],"INGRESO")</f>
        <v>520</v>
      </c>
      <c r="M59" s="31">
        <f>SUMIFS(C_Ope_001[[MONTO ]],C_Ope_001[PERIODO],M47,C_Ope_001[TIPO DE MOV.],"INGRESO")</f>
        <v>0</v>
      </c>
      <c r="N59" s="31">
        <f>SUMIFS(C_Ope_001[[MONTO ]],C_Ope_001[PERIODO],N47,C_Ope_001[TIPO DE MOV.],"INGRESO")</f>
        <v>0</v>
      </c>
      <c r="O59" s="31">
        <f>SUMIFS(C_Ope_001[[MONTO ]],C_Ope_001[PERIODO],O47,C_Ope_001[TIPO DE MOV.],"INGRESO")</f>
        <v>0</v>
      </c>
      <c r="P59" s="31">
        <f>SUMIFS(C_Ope_001[[MONTO ]],C_Ope_001[PERIODO],P47,C_Ope_001[TIPO DE MOV.],"INGRESO")</f>
        <v>0</v>
      </c>
      <c r="Q59" s="31">
        <f t="shared" ref="Q59:Q60" si="63">SUM(E59:P59)</f>
        <v>3980</v>
      </c>
      <c r="R59" s="31">
        <f t="shared" si="62"/>
        <v>497.5</v>
      </c>
    </row>
    <row r="60" spans="2:18" ht="22.5" customHeight="1" x14ac:dyDescent="0.25">
      <c r="B60" s="239"/>
      <c r="C60" s="241"/>
      <c r="D60" s="32" t="s">
        <v>7852</v>
      </c>
      <c r="E60" s="31">
        <f>SUMIFS(C_Ope_001[[MONTO ]],C_Ope_001[PERIODO],E47,C_Ope_001[TIPO DE MOV.],"EGRESO")</f>
        <v>479</v>
      </c>
      <c r="F60" s="31">
        <f>SUMIFS(C_Ope_001[[MONTO ]],C_Ope_001[PERIODO],F47,C_Ope_001[TIPO DE MOV.],"EGRESO")</f>
        <v>350</v>
      </c>
      <c r="G60" s="31">
        <f>SUMIFS(C_Ope_001[[MONTO ]],C_Ope_001[PERIODO],G47,C_Ope_001[TIPO DE MOV.],"EGRESO")</f>
        <v>434</v>
      </c>
      <c r="H60" s="31">
        <f>SUMIFS(C_Ope_001[[MONTO ]],C_Ope_001[PERIODO],H47,C_Ope_001[TIPO DE MOV.],"EGRESO")</f>
        <v>336</v>
      </c>
      <c r="I60" s="31">
        <f>SUMIFS(C_Ope_001[[MONTO ]],C_Ope_001[PERIODO],I47,C_Ope_001[TIPO DE MOV.],"EGRESO")</f>
        <v>500</v>
      </c>
      <c r="J60" s="31">
        <f>SUMIFS(C_Ope_001[[MONTO ]],C_Ope_001[PERIODO],J47,C_Ope_001[TIPO DE MOV.],"EGRESO")</f>
        <v>463</v>
      </c>
      <c r="K60" s="31">
        <f>SUMIFS(C_Ope_001[[MONTO ]],C_Ope_001[PERIODO],K47,C_Ope_001[TIPO DE MOV.],"EGRESO")</f>
        <v>933.15</v>
      </c>
      <c r="L60" s="31">
        <f>SUMIFS(C_Ope_001[[MONTO ]],C_Ope_001[PERIODO],L47,C_Ope_001[TIPO DE MOV.],"EGRESO")</f>
        <v>572.11</v>
      </c>
      <c r="M60" s="31">
        <f>SUMIFS(C_Ope_001[[MONTO ]],C_Ope_001[PERIODO],M47,C_Ope_001[TIPO DE MOV.],"EGRESO")</f>
        <v>0</v>
      </c>
      <c r="N60" s="31">
        <f>SUMIFS(C_Ope_001[[MONTO ]],C_Ope_001[PERIODO],N47,C_Ope_001[TIPO DE MOV.],"EGRESO")</f>
        <v>0</v>
      </c>
      <c r="O60" s="31">
        <f>SUMIFS(C_Ope_001[[MONTO ]],C_Ope_001[PERIODO],O47,C_Ope_001[TIPO DE MOV.],"EGRESO")</f>
        <v>0</v>
      </c>
      <c r="P60" s="31">
        <f>SUMIFS(C_Ope_001[[MONTO ]],C_Ope_001[PERIODO],P47,C_Ope_001[TIPO DE MOV.],"EGRESO")</f>
        <v>0</v>
      </c>
      <c r="Q60" s="31">
        <f t="shared" si="63"/>
        <v>4067.26</v>
      </c>
      <c r="R60" s="31">
        <f t="shared" si="62"/>
        <v>508.40750000000003</v>
      </c>
    </row>
    <row r="61" spans="2:18" ht="22.5" customHeight="1" x14ac:dyDescent="0.25">
      <c r="B61" s="245" t="s">
        <v>7870</v>
      </c>
      <c r="C61" s="245"/>
      <c r="D61" s="245"/>
      <c r="E61" s="33">
        <f>E58+E59-E60</f>
        <v>89.740000000000009</v>
      </c>
      <c r="F61" s="33">
        <f t="shared" ref="F61:P61" si="64">F58+F59-F60</f>
        <v>249.74</v>
      </c>
      <c r="G61" s="33">
        <f t="shared" si="64"/>
        <v>55.740000000000009</v>
      </c>
      <c r="H61" s="33">
        <f t="shared" si="64"/>
        <v>559.74</v>
      </c>
      <c r="I61" s="33">
        <f t="shared" si="64"/>
        <v>359.74</v>
      </c>
      <c r="J61" s="33">
        <f t="shared" si="64"/>
        <v>26.740000000000009</v>
      </c>
      <c r="K61" s="33">
        <f t="shared" si="64"/>
        <v>73.590000000000032</v>
      </c>
      <c r="L61" s="33">
        <f t="shared" si="64"/>
        <v>21.480000000000018</v>
      </c>
      <c r="M61" s="33">
        <f t="shared" si="64"/>
        <v>0</v>
      </c>
      <c r="N61" s="33">
        <f t="shared" si="64"/>
        <v>0</v>
      </c>
      <c r="O61" s="33">
        <f t="shared" si="64"/>
        <v>0</v>
      </c>
      <c r="P61" s="33">
        <f t="shared" si="64"/>
        <v>0</v>
      </c>
      <c r="Q61" s="33">
        <f>SUM(E61:P61)</f>
        <v>1436.5100000000002</v>
      </c>
      <c r="R61" s="33">
        <f t="shared" si="62"/>
        <v>179.56375000000003</v>
      </c>
    </row>
    <row r="63" spans="2:18" ht="22.5" customHeight="1" x14ac:dyDescent="0.25">
      <c r="B63" s="238">
        <v>9</v>
      </c>
      <c r="C63" s="240" t="s">
        <v>7871</v>
      </c>
      <c r="D63" s="30" t="s">
        <v>7850</v>
      </c>
      <c r="E63" s="31">
        <f>SUMIFS(C_Ope_002[[MONTO ]],C_Ope_002[PERIODO],E47,C_Ope_002[TIPO DE MOV.],"SALDO")</f>
        <v>110.7</v>
      </c>
      <c r="F63" s="31">
        <f>IF(OR(F64&gt;0,F65&gt;0),E66,0)</f>
        <v>43.700000000000045</v>
      </c>
      <c r="G63" s="31">
        <f t="shared" ref="G63" si="65">IF(OR(G64&gt;0,G65&gt;0),F66,0)</f>
        <v>108.70000000000005</v>
      </c>
      <c r="H63" s="31">
        <f t="shared" ref="H63" si="66">IF(OR(H64&gt;0,H65&gt;0),G66,0)</f>
        <v>68.700000000000045</v>
      </c>
      <c r="I63" s="31">
        <f t="shared" ref="I63" si="67">IF(OR(I64&gt;0,I65&gt;0),H66,0)</f>
        <v>542.70000000000005</v>
      </c>
      <c r="J63" s="31">
        <f t="shared" ref="J63" si="68">IF(OR(J64&gt;0,J65&gt;0),I66,0)</f>
        <v>607.70000000000005</v>
      </c>
      <c r="K63" s="31">
        <f t="shared" ref="K63" si="69">IF(OR(K64&gt;0,K65&gt;0),J66,0)</f>
        <v>237.70000000000005</v>
      </c>
      <c r="L63" s="31">
        <f t="shared" ref="L63" si="70">IF(OR(L64&gt;0,L65&gt;0),K66,0)</f>
        <v>73.700000000000045</v>
      </c>
      <c r="M63" s="31">
        <f t="shared" ref="M63" si="71">IF(OR(M64&gt;0,M65&gt;0),L66,0)</f>
        <v>0</v>
      </c>
      <c r="N63" s="31">
        <f t="shared" ref="N63" si="72">IF(OR(N64&gt;0,N65&gt;0),M66,0)</f>
        <v>0</v>
      </c>
      <c r="O63" s="31">
        <f t="shared" ref="O63" si="73">IF(OR(O64&gt;0,O65&gt;0),N66,0)</f>
        <v>0</v>
      </c>
      <c r="P63" s="31">
        <f t="shared" ref="P63" si="74">IF(OR(P64&gt;0,P65&gt;0),O66,0)</f>
        <v>0</v>
      </c>
      <c r="Q63" s="31">
        <f>SUM(E63:P63)</f>
        <v>1793.6000000000004</v>
      </c>
      <c r="R63" s="31">
        <f t="shared" ref="R63:R65" si="75">SUM(E63:P63)/COUNTIFS(E63:P63,"&gt;"&amp;0)</f>
        <v>224.20000000000005</v>
      </c>
    </row>
    <row r="64" spans="2:18" ht="22.5" customHeight="1" x14ac:dyDescent="0.25">
      <c r="B64" s="239"/>
      <c r="C64" s="241"/>
      <c r="D64" s="32" t="s">
        <v>7851</v>
      </c>
      <c r="E64" s="31">
        <f>SUMIFS(C_Ope_002[[MONTO ]],C_Ope_002[PERIODO],E47,C_Ope_002[TIPO DE MOV.],"INGRESO")</f>
        <v>570</v>
      </c>
      <c r="F64" s="31">
        <f>SUMIFS(C_Ope_002[[MONTO ]],C_Ope_002[PERIODO],F47,C_Ope_002[TIPO DE MOV.],"INGRESO")</f>
        <v>660</v>
      </c>
      <c r="G64" s="31">
        <f>SUMIFS(C_Ope_002[[MONTO ]],C_Ope_002[PERIODO],G47,C_Ope_002[TIPO DE MOV.],"INGRESO")</f>
        <v>220</v>
      </c>
      <c r="H64" s="31">
        <f>SUMIFS(C_Ope_002[[MONTO ]],C_Ope_002[PERIODO],H47,C_Ope_002[TIPO DE MOV.],"INGRESO")</f>
        <v>570</v>
      </c>
      <c r="I64" s="31">
        <f>SUMIFS(C_Ope_002[[MONTO ]],C_Ope_002[PERIODO],I47,C_Ope_002[TIPO DE MOV.],"INGRESO")</f>
        <v>300</v>
      </c>
      <c r="J64" s="31">
        <f>SUMIFS(C_Ope_002[[MONTO ]],C_Ope_002[PERIODO],J47,C_Ope_002[TIPO DE MOV.],"INGRESO")</f>
        <v>0</v>
      </c>
      <c r="K64" s="31">
        <f>SUMIFS(C_Ope_002[[MONTO ]],C_Ope_002[PERIODO],K47,C_Ope_002[TIPO DE MOV.],"INGRESO")</f>
        <v>150</v>
      </c>
      <c r="L64" s="31">
        <f>SUMIFS(C_Ope_002[[MONTO ]],C_Ope_002[PERIODO],L47,C_Ope_002[TIPO DE MOV.],"INGRESO")</f>
        <v>150</v>
      </c>
      <c r="M64" s="31">
        <f>SUMIFS(C_Ope_002[[MONTO ]],C_Ope_002[PERIODO],M47,C_Ope_002[TIPO DE MOV.],"INGRESO")</f>
        <v>0</v>
      </c>
      <c r="N64" s="31">
        <f>SUMIFS(C_Ope_002[[MONTO ]],C_Ope_002[PERIODO],N47,C_Ope_002[TIPO DE MOV.],"INGRESO")</f>
        <v>0</v>
      </c>
      <c r="O64" s="31">
        <f>SUMIFS(C_Ope_002[[MONTO ]],C_Ope_002[PERIODO],O47,C_Ope_002[TIPO DE MOV.],"INGRESO")</f>
        <v>0</v>
      </c>
      <c r="P64" s="31">
        <f>SUMIFS(C_Ope_002[[MONTO ]],C_Ope_002[PERIODO],P47,C_Ope_002[TIPO DE MOV.],"INGRESO")</f>
        <v>0</v>
      </c>
      <c r="Q64" s="31">
        <f t="shared" ref="Q64:Q65" si="76">SUM(E64:P64)</f>
        <v>2620</v>
      </c>
      <c r="R64" s="31">
        <f t="shared" si="75"/>
        <v>374.28571428571428</v>
      </c>
    </row>
    <row r="65" spans="2:18" ht="22.5" customHeight="1" x14ac:dyDescent="0.25">
      <c r="B65" s="239"/>
      <c r="C65" s="241"/>
      <c r="D65" s="32" t="s">
        <v>7852</v>
      </c>
      <c r="E65" s="31">
        <f>SUMIFS(C_Ope_002[[MONTO ]],C_Ope_002[PERIODO],E47,C_Ope_002[TIPO DE MOV.],"EGRESO")</f>
        <v>637</v>
      </c>
      <c r="F65" s="31">
        <f>SUMIFS(C_Ope_002[[MONTO ]],C_Ope_002[PERIODO],F47,C_Ope_002[TIPO DE MOV.],"EGRESO")</f>
        <v>595</v>
      </c>
      <c r="G65" s="31">
        <f>SUMIFS(C_Ope_002[[MONTO ]],C_Ope_002[PERIODO],G47,C_Ope_002[TIPO DE MOV.],"EGRESO")</f>
        <v>260</v>
      </c>
      <c r="H65" s="31">
        <f>SUMIFS(C_Ope_002[[MONTO ]],C_Ope_002[PERIODO],H47,C_Ope_002[TIPO DE MOV.],"EGRESO")</f>
        <v>96</v>
      </c>
      <c r="I65" s="31">
        <f>SUMIFS(C_Ope_002[[MONTO ]],C_Ope_002[PERIODO],I47,C_Ope_002[TIPO DE MOV.],"EGRESO")</f>
        <v>235</v>
      </c>
      <c r="J65" s="31">
        <f>SUMIFS(C_Ope_002[[MONTO ]],C_Ope_002[PERIODO],J47,C_Ope_002[TIPO DE MOV.],"EGRESO")</f>
        <v>370</v>
      </c>
      <c r="K65" s="31">
        <f>SUMIFS(C_Ope_002[[MONTO ]],C_Ope_002[PERIODO],K47,C_Ope_002[TIPO DE MOV.],"EGRESO")</f>
        <v>314</v>
      </c>
      <c r="L65" s="31">
        <f>SUMIFS(C_Ope_002[[MONTO ]],C_Ope_002[PERIODO],L47,C_Ope_002[TIPO DE MOV.],"EGRESO")</f>
        <v>171.7</v>
      </c>
      <c r="M65" s="31">
        <f>SUMIFS(C_Ope_002[[MONTO ]],C_Ope_002[PERIODO],M47,C_Ope_002[TIPO DE MOV.],"EGRESO")</f>
        <v>0</v>
      </c>
      <c r="N65" s="31">
        <f>SUMIFS(C_Ope_002[[MONTO ]],C_Ope_002[PERIODO],N47,C_Ope_002[TIPO DE MOV.],"EGRESO")</f>
        <v>0</v>
      </c>
      <c r="O65" s="31">
        <f>SUMIFS(C_Ope_002[[MONTO ]],C_Ope_002[PERIODO],O47,C_Ope_002[TIPO DE MOV.],"EGRESO")</f>
        <v>0</v>
      </c>
      <c r="P65" s="31">
        <f>SUMIFS(C_Ope_002[[MONTO ]],C_Ope_002[PERIODO],P47,C_Ope_002[TIPO DE MOV.],"EGRESO")</f>
        <v>0</v>
      </c>
      <c r="Q65" s="31">
        <f t="shared" si="76"/>
        <v>2678.7</v>
      </c>
      <c r="R65" s="31">
        <f t="shared" si="75"/>
        <v>334.83749999999998</v>
      </c>
    </row>
    <row r="66" spans="2:18" ht="22.5" customHeight="1" x14ac:dyDescent="0.25">
      <c r="B66" s="245" t="s">
        <v>7870</v>
      </c>
      <c r="C66" s="245"/>
      <c r="D66" s="245"/>
      <c r="E66" s="33">
        <f>E63+E64-E65</f>
        <v>43.700000000000045</v>
      </c>
      <c r="F66" s="33">
        <f t="shared" ref="F66:P66" si="77">F63+F64-F65</f>
        <v>108.70000000000005</v>
      </c>
      <c r="G66" s="33">
        <f t="shared" si="77"/>
        <v>68.700000000000045</v>
      </c>
      <c r="H66" s="33">
        <f t="shared" si="77"/>
        <v>542.70000000000005</v>
      </c>
      <c r="I66" s="33">
        <f t="shared" si="77"/>
        <v>607.70000000000005</v>
      </c>
      <c r="J66" s="33">
        <f t="shared" si="77"/>
        <v>237.70000000000005</v>
      </c>
      <c r="K66" s="33">
        <f t="shared" si="77"/>
        <v>73.700000000000045</v>
      </c>
      <c r="L66" s="33">
        <f t="shared" si="77"/>
        <v>52.000000000000057</v>
      </c>
      <c r="M66" s="33">
        <f t="shared" si="77"/>
        <v>0</v>
      </c>
      <c r="N66" s="33">
        <f t="shared" si="77"/>
        <v>0</v>
      </c>
      <c r="O66" s="33">
        <f t="shared" si="77"/>
        <v>0</v>
      </c>
      <c r="P66" s="33">
        <f t="shared" si="77"/>
        <v>0</v>
      </c>
      <c r="Q66" s="33">
        <f>SUM(E66:P66)</f>
        <v>1734.9000000000003</v>
      </c>
      <c r="R66" s="33">
        <f>SUM(E66:P66)/COUNTIFS(E66:P66,"&gt;"&amp;0)</f>
        <v>216.86250000000004</v>
      </c>
    </row>
    <row r="68" spans="2:18" ht="22.5" customHeight="1" x14ac:dyDescent="0.25">
      <c r="B68" s="238">
        <v>10</v>
      </c>
      <c r="C68" s="240" t="s">
        <v>7872</v>
      </c>
      <c r="D68" s="30" t="s">
        <v>7850</v>
      </c>
      <c r="E68" s="31">
        <f>SUMIFS(C_Ope_003[[MONTO ]],C_Ope_003[PERIODO],E47,C_Ope_003[TIPO DE MOV.],"SALDO")</f>
        <v>187.65</v>
      </c>
      <c r="F68" s="31">
        <f>IF(OR(F69&gt;0,F70&gt;0),E71,0)</f>
        <v>187.65</v>
      </c>
      <c r="G68" s="31">
        <f t="shared" ref="G68" si="78">IF(OR(G69&gt;0,G70&gt;0),F71,0)</f>
        <v>206.85000000000036</v>
      </c>
      <c r="H68" s="31">
        <f t="shared" ref="H68" si="79">IF(OR(H69&gt;0,H70&gt;0),G71,0)</f>
        <v>81.850000000000364</v>
      </c>
      <c r="I68" s="31">
        <f t="shared" ref="I68" si="80">IF(OR(I69&gt;0,I70&gt;0),H71,0)</f>
        <v>660.95000000000039</v>
      </c>
      <c r="J68" s="31">
        <f t="shared" ref="J68" si="81">IF(OR(J69&gt;0,J70&gt;0),I71,0)</f>
        <v>410.05000000000018</v>
      </c>
      <c r="K68" s="31">
        <f t="shared" ref="K68" si="82">IF(OR(K69&gt;0,K70&gt;0),J71,0)</f>
        <v>88.750000000000227</v>
      </c>
      <c r="L68" s="31">
        <f t="shared" ref="L68" si="83">IF(OR(L69&gt;0,L70&gt;0),K71,0)</f>
        <v>23.750000000000227</v>
      </c>
      <c r="M68" s="31">
        <f t="shared" ref="M68" si="84">IF(OR(M69&gt;0,M70&gt;0),L71,0)</f>
        <v>0</v>
      </c>
      <c r="N68" s="31">
        <f t="shared" ref="N68" si="85">IF(OR(N69&gt;0,N70&gt;0),M71,0)</f>
        <v>0</v>
      </c>
      <c r="O68" s="31">
        <f t="shared" ref="O68" si="86">IF(OR(O69&gt;0,O70&gt;0),N71,0)</f>
        <v>0</v>
      </c>
      <c r="P68" s="31">
        <f t="shared" ref="P68" si="87">IF(OR(P69&gt;0,P70&gt;0),O71,0)</f>
        <v>0</v>
      </c>
      <c r="Q68" s="31">
        <f>SUM(E68:P68)</f>
        <v>1847.5000000000018</v>
      </c>
      <c r="R68" s="31">
        <f t="shared" ref="R68:R70" si="88">SUM(E68:P68)/COUNTIFS(E68:P68,"&gt;"&amp;0)</f>
        <v>230.93750000000023</v>
      </c>
    </row>
    <row r="69" spans="2:18" ht="22.5" customHeight="1" x14ac:dyDescent="0.25">
      <c r="B69" s="239"/>
      <c r="C69" s="241"/>
      <c r="D69" s="32" t="s">
        <v>7851</v>
      </c>
      <c r="E69" s="31">
        <f>SUMIFS(C_Ope_003[[MONTO ]],C_Ope_003[PERIODO],E47,C_Ope_003[TIPO DE MOV.],"INGRESO")</f>
        <v>0</v>
      </c>
      <c r="F69" s="31">
        <f>SUMIFS(C_Ope_003[[MONTO ]],C_Ope_003[PERIODO],F47,C_Ope_003[TIPO DE MOV.],"INGRESO")</f>
        <v>2500</v>
      </c>
      <c r="G69" s="31">
        <f>SUMIFS(C_Ope_003[[MONTO ]],C_Ope_003[PERIODO],G47,C_Ope_003[TIPO DE MOV.],"INGRESO")</f>
        <v>80</v>
      </c>
      <c r="H69" s="31">
        <f>SUMIFS(C_Ope_003[[MONTO ]],C_Ope_003[PERIODO],H47,C_Ope_003[TIPO DE MOV.],"INGRESO")</f>
        <v>1540</v>
      </c>
      <c r="I69" s="31">
        <f>SUMIFS(C_Ope_003[[MONTO ]],C_Ope_003[PERIODO],I47,C_Ope_003[TIPO DE MOV.],"INGRESO")</f>
        <v>400</v>
      </c>
      <c r="J69" s="31">
        <f>SUMIFS(C_Ope_003[[MONTO ]],C_Ope_003[PERIODO],J47,C_Ope_003[TIPO DE MOV.],"INGRESO")</f>
        <v>610</v>
      </c>
      <c r="K69" s="31">
        <f>SUMIFS(C_Ope_003[[MONTO ]],C_Ope_003[PERIODO],K47,C_Ope_003[TIPO DE MOV.],"INGRESO")</f>
        <v>110</v>
      </c>
      <c r="L69" s="31">
        <f>SUMIFS(C_Ope_003[[MONTO ]],C_Ope_003[PERIODO],L47,C_Ope_003[TIPO DE MOV.],"INGRESO")</f>
        <v>240</v>
      </c>
      <c r="M69" s="31">
        <f>SUMIFS(C_Ope_003[[MONTO ]],C_Ope_003[PERIODO],M47,C_Ope_003[TIPO DE MOV.],"INGRESO")</f>
        <v>0</v>
      </c>
      <c r="N69" s="31">
        <f>SUMIFS(C_Ope_003[[MONTO ]],C_Ope_003[PERIODO],N47,C_Ope_003[TIPO DE MOV.],"INGRESO")</f>
        <v>0</v>
      </c>
      <c r="O69" s="31">
        <f>SUMIFS(C_Ope_003[[MONTO ]],C_Ope_003[PERIODO],O47,C_Ope_003[TIPO DE MOV.],"INGRESO")</f>
        <v>0</v>
      </c>
      <c r="P69" s="31">
        <f>SUMIFS(C_Ope_003[[MONTO ]],C_Ope_003[PERIODO],P47,C_Ope_003[TIPO DE MOV.],"INGRESO")</f>
        <v>0</v>
      </c>
      <c r="Q69" s="31">
        <f t="shared" ref="Q69:Q70" si="89">SUM(E69:P69)</f>
        <v>5480</v>
      </c>
      <c r="R69" s="31">
        <f t="shared" si="88"/>
        <v>782.85714285714289</v>
      </c>
    </row>
    <row r="70" spans="2:18" ht="22.5" customHeight="1" x14ac:dyDescent="0.25">
      <c r="B70" s="239"/>
      <c r="C70" s="241"/>
      <c r="D70" s="32" t="s">
        <v>7852</v>
      </c>
      <c r="E70" s="31">
        <f>SUMIFS(C_Ope_003[[MONTO ]],C_Ope_003[PERIODO],E47,C_Ope_003[TIPO DE MOV.],"EGRESO")</f>
        <v>0</v>
      </c>
      <c r="F70" s="31">
        <f>SUMIFS(C_Ope_003[[MONTO ]],C_Ope_003[PERIODO],F47,C_Ope_003[TIPO DE MOV.],"EGRESO")</f>
        <v>2480.7999999999997</v>
      </c>
      <c r="G70" s="31">
        <f>SUMIFS(C_Ope_003[[MONTO ]],C_Ope_003[PERIODO],G47,C_Ope_003[TIPO DE MOV.],"EGRESO")</f>
        <v>205</v>
      </c>
      <c r="H70" s="31">
        <f>SUMIFS(C_Ope_003[[MONTO ]],C_Ope_003[PERIODO],H47,C_Ope_003[TIPO DE MOV.],"EGRESO")</f>
        <v>960.9</v>
      </c>
      <c r="I70" s="31">
        <f>SUMIFS(C_Ope_003[[MONTO ]],C_Ope_003[PERIODO],I47,C_Ope_003[TIPO DE MOV.],"EGRESO")</f>
        <v>650.90000000000009</v>
      </c>
      <c r="J70" s="31">
        <f>SUMIFS(C_Ope_003[[MONTO ]],C_Ope_003[PERIODO],J47,C_Ope_003[TIPO DE MOV.],"EGRESO")</f>
        <v>931.3</v>
      </c>
      <c r="K70" s="31">
        <f>SUMIFS(C_Ope_003[[MONTO ]],C_Ope_003[PERIODO],K47,C_Ope_003[TIPO DE MOV.],"EGRESO")</f>
        <v>175</v>
      </c>
      <c r="L70" s="31">
        <f>SUMIFS(C_Ope_003[[MONTO ]],C_Ope_003[PERIODO],L47,C_Ope_003[TIPO DE MOV.],"EGRESO")</f>
        <v>234</v>
      </c>
      <c r="M70" s="31">
        <f>SUMIFS(C_Ope_003[[MONTO ]],C_Ope_003[PERIODO],M47,C_Ope_003[TIPO DE MOV.],"EGRESO")</f>
        <v>0</v>
      </c>
      <c r="N70" s="31">
        <f>SUMIFS(C_Ope_003[[MONTO ]],C_Ope_003[PERIODO],N47,C_Ope_003[TIPO DE MOV.],"EGRESO")</f>
        <v>0</v>
      </c>
      <c r="O70" s="31">
        <f>SUMIFS(C_Ope_003[[MONTO ]],C_Ope_003[PERIODO],O47,C_Ope_003[TIPO DE MOV.],"EGRESO")</f>
        <v>0</v>
      </c>
      <c r="P70" s="31">
        <f>SUMIFS(C_Ope_003[[MONTO ]],C_Ope_003[PERIODO],P47,C_Ope_003[TIPO DE MOV.],"EGRESO")</f>
        <v>0</v>
      </c>
      <c r="Q70" s="31">
        <f t="shared" si="89"/>
        <v>5637.9000000000005</v>
      </c>
      <c r="R70" s="31">
        <f t="shared" si="88"/>
        <v>805.41428571428582</v>
      </c>
    </row>
    <row r="71" spans="2:18" ht="22.5" customHeight="1" x14ac:dyDescent="0.25">
      <c r="B71" s="245" t="s">
        <v>7873</v>
      </c>
      <c r="C71" s="245"/>
      <c r="D71" s="245"/>
      <c r="E71" s="33">
        <f>E68+E69-E70</f>
        <v>187.65</v>
      </c>
      <c r="F71" s="33">
        <f t="shared" ref="F71:P71" si="90">F68+F69-F70</f>
        <v>206.85000000000036</v>
      </c>
      <c r="G71" s="33">
        <f t="shared" si="90"/>
        <v>81.850000000000364</v>
      </c>
      <c r="H71" s="33">
        <f t="shared" si="90"/>
        <v>660.95000000000039</v>
      </c>
      <c r="I71" s="33">
        <f t="shared" si="90"/>
        <v>410.05000000000018</v>
      </c>
      <c r="J71" s="33">
        <f t="shared" si="90"/>
        <v>88.750000000000227</v>
      </c>
      <c r="K71" s="33">
        <f t="shared" si="90"/>
        <v>23.750000000000227</v>
      </c>
      <c r="L71" s="33">
        <f t="shared" si="90"/>
        <v>29.750000000000227</v>
      </c>
      <c r="M71" s="33">
        <f t="shared" si="90"/>
        <v>0</v>
      </c>
      <c r="N71" s="33">
        <f t="shared" si="90"/>
        <v>0</v>
      </c>
      <c r="O71" s="33">
        <f t="shared" si="90"/>
        <v>0</v>
      </c>
      <c r="P71" s="33">
        <f t="shared" si="90"/>
        <v>0</v>
      </c>
      <c r="Q71" s="33">
        <f>SUM(E71:P71)</f>
        <v>1689.600000000002</v>
      </c>
      <c r="R71" s="33">
        <f>SUM(E71:P71)/COUNTIFS(E71:P71,"&gt;"&amp;0)</f>
        <v>211.20000000000024</v>
      </c>
    </row>
  </sheetData>
  <mergeCells count="51">
    <mergeCell ref="B71:D71"/>
    <mergeCell ref="B61:D61"/>
    <mergeCell ref="B63:B65"/>
    <mergeCell ref="C63:C65"/>
    <mergeCell ref="B66:D66"/>
    <mergeCell ref="B68:B70"/>
    <mergeCell ref="C68:C70"/>
    <mergeCell ref="B53:B55"/>
    <mergeCell ref="C53:C55"/>
    <mergeCell ref="B56:D56"/>
    <mergeCell ref="B58:B60"/>
    <mergeCell ref="C58:C60"/>
    <mergeCell ref="B51:D51"/>
    <mergeCell ref="B42:B44"/>
    <mergeCell ref="C42:C44"/>
    <mergeCell ref="B45:D45"/>
    <mergeCell ref="B48:B50"/>
    <mergeCell ref="C48:C50"/>
    <mergeCell ref="L7:M7"/>
    <mergeCell ref="N7:R7"/>
    <mergeCell ref="B2:C5"/>
    <mergeCell ref="D2:P2"/>
    <mergeCell ref="Q2:R2"/>
    <mergeCell ref="D3:P4"/>
    <mergeCell ref="Q3:R3"/>
    <mergeCell ref="Q4:R4"/>
    <mergeCell ref="D5:P5"/>
    <mergeCell ref="Q5:R5"/>
    <mergeCell ref="G7:H7"/>
    <mergeCell ref="I7:K7"/>
    <mergeCell ref="B7:C7"/>
    <mergeCell ref="D7:F7"/>
    <mergeCell ref="B10:B12"/>
    <mergeCell ref="C10:C12"/>
    <mergeCell ref="B13:D13"/>
    <mergeCell ref="B28:D28"/>
    <mergeCell ref="B30:B32"/>
    <mergeCell ref="C30:C32"/>
    <mergeCell ref="B18:D18"/>
    <mergeCell ref="B15:B17"/>
    <mergeCell ref="C15:C17"/>
    <mergeCell ref="B20:B22"/>
    <mergeCell ref="C20:C22"/>
    <mergeCell ref="B23:D23"/>
    <mergeCell ref="B25:B27"/>
    <mergeCell ref="C25:C27"/>
    <mergeCell ref="B34:D34"/>
    <mergeCell ref="B35:B37"/>
    <mergeCell ref="C35:C37"/>
    <mergeCell ref="B38:D38"/>
    <mergeCell ref="B33:D33"/>
  </mergeCells>
  <printOptions horizontalCentered="1"/>
  <pageMargins left="0.23622047244094491" right="0.23622047244094491" top="0.55118110236220474" bottom="0.35433070866141736" header="0.31496062992125984" footer="0.31496062992125984"/>
  <pageSetup paperSize="9" scale="57" fitToHeight="0" orientation="landscape" r:id="rId1"/>
  <rowBreaks count="1" manualBreakCount="1">
    <brk id="46" min="1" max="1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F50E-1722-4A5F-9CE5-B8A24F8E150E}">
  <sheetPr codeName="Hoja1">
    <tabColor theme="8"/>
  </sheetPr>
  <dimension ref="A1:H802"/>
  <sheetViews>
    <sheetView showGridLines="0" workbookViewId="0">
      <selection activeCell="G17" sqref="G17"/>
    </sheetView>
  </sheetViews>
  <sheetFormatPr defaultColWidth="11.44140625" defaultRowHeight="14.4" x14ac:dyDescent="0.3"/>
  <cols>
    <col min="1" max="1" width="12.109375" bestFit="1" customWidth="1"/>
    <col min="2" max="2" width="81.109375" bestFit="1" customWidth="1"/>
    <col min="3" max="3" width="26" bestFit="1" customWidth="1"/>
    <col min="4" max="4" width="21.44140625" bestFit="1" customWidth="1"/>
    <col min="5" max="5" width="11" bestFit="1" customWidth="1"/>
    <col min="7" max="7" width="31.88671875" customWidth="1"/>
    <col min="8" max="8" width="13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s="10" t="s">
        <v>5</v>
      </c>
      <c r="H1" s="10" t="s">
        <v>6</v>
      </c>
    </row>
    <row r="2" spans="1:8" x14ac:dyDescent="0.3">
      <c r="A2">
        <v>10005208748</v>
      </c>
      <c r="B2" t="s">
        <v>7</v>
      </c>
      <c r="C2" t="s">
        <v>8</v>
      </c>
      <c r="D2" t="s">
        <v>9</v>
      </c>
      <c r="G2" s="11" t="s">
        <v>10</v>
      </c>
      <c r="H2" s="12" t="s">
        <v>11</v>
      </c>
    </row>
    <row r="3" spans="1:8" x14ac:dyDescent="0.3">
      <c r="A3">
        <v>10104340984</v>
      </c>
      <c r="B3" t="s">
        <v>12</v>
      </c>
      <c r="C3" t="s">
        <v>8</v>
      </c>
      <c r="D3" t="s">
        <v>13</v>
      </c>
      <c r="G3" s="11" t="s">
        <v>14</v>
      </c>
      <c r="H3" s="12" t="s">
        <v>15</v>
      </c>
    </row>
    <row r="4" spans="1:8" x14ac:dyDescent="0.3">
      <c r="A4">
        <v>10211014194</v>
      </c>
      <c r="B4" t="s">
        <v>16</v>
      </c>
      <c r="C4" t="s">
        <v>8</v>
      </c>
      <c r="D4" t="s">
        <v>17</v>
      </c>
      <c r="G4" s="11" t="s">
        <v>18</v>
      </c>
      <c r="H4" s="12" t="s">
        <v>19</v>
      </c>
    </row>
    <row r="5" spans="1:8" x14ac:dyDescent="0.3">
      <c r="A5">
        <v>10238587935</v>
      </c>
      <c r="B5" t="s">
        <v>20</v>
      </c>
      <c r="G5" s="11" t="s">
        <v>21</v>
      </c>
      <c r="H5" s="12" t="s">
        <v>22</v>
      </c>
    </row>
    <row r="6" spans="1:8" x14ac:dyDescent="0.3">
      <c r="A6">
        <v>10239605783</v>
      </c>
      <c r="B6" t="s">
        <v>23</v>
      </c>
      <c r="C6" t="s">
        <v>8</v>
      </c>
      <c r="D6" t="s">
        <v>24</v>
      </c>
      <c r="G6" s="11" t="s">
        <v>25</v>
      </c>
      <c r="H6" s="12" t="s">
        <v>26</v>
      </c>
    </row>
    <row r="7" spans="1:8" x14ac:dyDescent="0.3">
      <c r="A7">
        <v>10239948702</v>
      </c>
      <c r="B7" t="s">
        <v>27</v>
      </c>
      <c r="C7" t="s">
        <v>8</v>
      </c>
      <c r="D7" t="s">
        <v>28</v>
      </c>
      <c r="G7" s="11" t="s">
        <v>29</v>
      </c>
      <c r="H7" s="12" t="s">
        <v>30</v>
      </c>
    </row>
    <row r="8" spans="1:8" x14ac:dyDescent="0.3">
      <c r="A8">
        <v>10248125697</v>
      </c>
      <c r="B8" t="s">
        <v>31</v>
      </c>
      <c r="C8" t="s">
        <v>8</v>
      </c>
      <c r="D8" t="s">
        <v>32</v>
      </c>
      <c r="G8" s="11" t="s">
        <v>33</v>
      </c>
      <c r="H8" s="12" t="s">
        <v>34</v>
      </c>
    </row>
    <row r="9" spans="1:8" x14ac:dyDescent="0.3">
      <c r="A9">
        <v>10252011647</v>
      </c>
      <c r="B9" t="s">
        <v>35</v>
      </c>
      <c r="C9" t="s">
        <v>8</v>
      </c>
      <c r="D9" t="s">
        <v>36</v>
      </c>
      <c r="G9" s="11" t="s">
        <v>37</v>
      </c>
      <c r="H9" s="12" t="s">
        <v>38</v>
      </c>
    </row>
    <row r="10" spans="1:8" x14ac:dyDescent="0.3">
      <c r="A10">
        <v>10292501515</v>
      </c>
      <c r="B10" t="s">
        <v>39</v>
      </c>
      <c r="G10" s="11" t="s">
        <v>40</v>
      </c>
      <c r="H10" s="12" t="s">
        <v>41</v>
      </c>
    </row>
    <row r="11" spans="1:8" x14ac:dyDescent="0.3">
      <c r="A11">
        <v>10293345029</v>
      </c>
      <c r="B11" t="s">
        <v>42</v>
      </c>
      <c r="C11" t="s">
        <v>8</v>
      </c>
      <c r="D11" t="s">
        <v>43</v>
      </c>
      <c r="G11" s="11" t="s">
        <v>44</v>
      </c>
      <c r="H11" s="12" t="s">
        <v>45</v>
      </c>
    </row>
    <row r="12" spans="1:8" x14ac:dyDescent="0.3">
      <c r="A12">
        <v>10293559142</v>
      </c>
      <c r="B12" t="s">
        <v>46</v>
      </c>
      <c r="C12" t="s">
        <v>8</v>
      </c>
      <c r="D12" t="s">
        <v>47</v>
      </c>
      <c r="G12" s="11" t="s">
        <v>48</v>
      </c>
      <c r="H12" s="12" t="s">
        <v>49</v>
      </c>
    </row>
    <row r="13" spans="1:8" x14ac:dyDescent="0.3">
      <c r="A13">
        <v>10295171915</v>
      </c>
      <c r="B13" t="s">
        <v>50</v>
      </c>
      <c r="C13" t="s">
        <v>8</v>
      </c>
      <c r="D13" t="s">
        <v>51</v>
      </c>
      <c r="G13" s="11" t="s">
        <v>52</v>
      </c>
      <c r="H13" s="12" t="s">
        <v>53</v>
      </c>
    </row>
    <row r="14" spans="1:8" x14ac:dyDescent="0.3">
      <c r="A14">
        <v>10295259634</v>
      </c>
      <c r="B14" t="s">
        <v>54</v>
      </c>
      <c r="G14" s="11" t="s">
        <v>55</v>
      </c>
      <c r="H14" s="12" t="s">
        <v>56</v>
      </c>
    </row>
    <row r="15" spans="1:8" x14ac:dyDescent="0.3">
      <c r="A15">
        <v>10295329179</v>
      </c>
      <c r="B15" t="s">
        <v>57</v>
      </c>
      <c r="C15" t="s">
        <v>8</v>
      </c>
      <c r="D15" t="s">
        <v>58</v>
      </c>
      <c r="G15" s="11" t="s">
        <v>59</v>
      </c>
      <c r="H15" s="12" t="s">
        <v>60</v>
      </c>
    </row>
    <row r="16" spans="1:8" x14ac:dyDescent="0.3">
      <c r="A16">
        <v>10295492908</v>
      </c>
      <c r="B16" t="s">
        <v>61</v>
      </c>
      <c r="C16" t="s">
        <v>8</v>
      </c>
      <c r="D16" t="s">
        <v>62</v>
      </c>
      <c r="G16" s="11" t="s">
        <v>63</v>
      </c>
      <c r="H16" s="12" t="s">
        <v>64</v>
      </c>
    </row>
    <row r="17" spans="1:8" x14ac:dyDescent="0.3">
      <c r="A17">
        <v>10296056371</v>
      </c>
      <c r="B17" t="s">
        <v>65</v>
      </c>
      <c r="G17" s="11" t="s">
        <v>66</v>
      </c>
      <c r="H17" s="12" t="s">
        <v>67</v>
      </c>
    </row>
    <row r="18" spans="1:8" x14ac:dyDescent="0.3">
      <c r="A18">
        <v>10296102933</v>
      </c>
      <c r="B18" t="s">
        <v>68</v>
      </c>
      <c r="C18" t="s">
        <v>8</v>
      </c>
      <c r="D18" t="s">
        <v>69</v>
      </c>
      <c r="G18" s="11" t="s">
        <v>70</v>
      </c>
      <c r="H18" s="12" t="s">
        <v>71</v>
      </c>
    </row>
    <row r="19" spans="1:8" x14ac:dyDescent="0.3">
      <c r="A19">
        <v>10296335784</v>
      </c>
      <c r="B19" t="s">
        <v>72</v>
      </c>
      <c r="C19" t="s">
        <v>8</v>
      </c>
      <c r="D19" t="s">
        <v>73</v>
      </c>
      <c r="G19" s="11" t="s">
        <v>74</v>
      </c>
      <c r="H19" s="12" t="s">
        <v>75</v>
      </c>
    </row>
    <row r="20" spans="1:8" x14ac:dyDescent="0.3">
      <c r="A20">
        <v>10296695781</v>
      </c>
      <c r="B20" t="s">
        <v>76</v>
      </c>
      <c r="C20" t="s">
        <v>8</v>
      </c>
      <c r="D20" t="s">
        <v>77</v>
      </c>
      <c r="G20" s="11" t="s">
        <v>78</v>
      </c>
      <c r="H20" s="12" t="s">
        <v>79</v>
      </c>
    </row>
    <row r="21" spans="1:8" x14ac:dyDescent="0.3">
      <c r="A21">
        <v>10296919379</v>
      </c>
      <c r="B21" t="s">
        <v>80</v>
      </c>
      <c r="G21" s="11" t="s">
        <v>81</v>
      </c>
      <c r="H21" s="12" t="s">
        <v>82</v>
      </c>
    </row>
    <row r="22" spans="1:8" x14ac:dyDescent="0.3">
      <c r="A22">
        <v>10297259305</v>
      </c>
      <c r="B22" t="s">
        <v>83</v>
      </c>
      <c r="C22" t="s">
        <v>8</v>
      </c>
      <c r="D22" t="s">
        <v>84</v>
      </c>
      <c r="G22" s="11" t="s">
        <v>10</v>
      </c>
      <c r="H22" s="12" t="s">
        <v>85</v>
      </c>
    </row>
    <row r="23" spans="1:8" x14ac:dyDescent="0.3">
      <c r="A23">
        <v>10297318522</v>
      </c>
      <c r="B23" t="s">
        <v>86</v>
      </c>
      <c r="G23" s="11" t="s">
        <v>87</v>
      </c>
      <c r="H23" s="12" t="s">
        <v>88</v>
      </c>
    </row>
    <row r="24" spans="1:8" x14ac:dyDescent="0.3">
      <c r="A24">
        <v>10400399561</v>
      </c>
      <c r="B24" t="s">
        <v>89</v>
      </c>
      <c r="C24" t="s">
        <v>8</v>
      </c>
      <c r="D24" t="s">
        <v>90</v>
      </c>
      <c r="G24" s="11" t="s">
        <v>91</v>
      </c>
      <c r="H24" s="12" t="s">
        <v>92</v>
      </c>
    </row>
    <row r="25" spans="1:8" x14ac:dyDescent="0.3">
      <c r="A25">
        <v>10404437203</v>
      </c>
      <c r="B25" t="s">
        <v>93</v>
      </c>
      <c r="C25" t="s">
        <v>8</v>
      </c>
      <c r="D25" t="s">
        <v>94</v>
      </c>
      <c r="G25" s="11" t="s">
        <v>95</v>
      </c>
      <c r="H25" s="12" t="s">
        <v>96</v>
      </c>
    </row>
    <row r="26" spans="1:8" x14ac:dyDescent="0.3">
      <c r="A26">
        <v>10405211179</v>
      </c>
      <c r="B26" t="s">
        <v>97</v>
      </c>
      <c r="C26" t="s">
        <v>8</v>
      </c>
      <c r="D26" t="s">
        <v>98</v>
      </c>
      <c r="G26" s="11" t="s">
        <v>99</v>
      </c>
      <c r="H26" s="12" t="s">
        <v>100</v>
      </c>
    </row>
    <row r="27" spans="1:8" x14ac:dyDescent="0.3">
      <c r="A27">
        <v>10408722719</v>
      </c>
      <c r="B27" t="s">
        <v>101</v>
      </c>
      <c r="G27" s="11" t="s">
        <v>7882</v>
      </c>
      <c r="H27" s="12" t="s">
        <v>7883</v>
      </c>
    </row>
    <row r="28" spans="1:8" x14ac:dyDescent="0.3">
      <c r="A28">
        <v>10412061671</v>
      </c>
      <c r="B28" t="s">
        <v>102</v>
      </c>
    </row>
    <row r="29" spans="1:8" x14ac:dyDescent="0.3">
      <c r="A29">
        <v>10414240726</v>
      </c>
      <c r="B29" t="s">
        <v>103</v>
      </c>
      <c r="C29" t="s">
        <v>8</v>
      </c>
      <c r="D29" t="s">
        <v>104</v>
      </c>
    </row>
    <row r="30" spans="1:8" x14ac:dyDescent="0.3">
      <c r="A30">
        <v>10416031679</v>
      </c>
      <c r="B30" t="s">
        <v>105</v>
      </c>
      <c r="C30" t="s">
        <v>8</v>
      </c>
      <c r="D30" t="s">
        <v>106</v>
      </c>
    </row>
    <row r="31" spans="1:8" x14ac:dyDescent="0.3">
      <c r="A31">
        <v>10418721435</v>
      </c>
      <c r="B31" t="s">
        <v>107</v>
      </c>
    </row>
    <row r="32" spans="1:8" x14ac:dyDescent="0.3">
      <c r="A32">
        <v>10425371652</v>
      </c>
      <c r="B32" t="s">
        <v>108</v>
      </c>
      <c r="C32" t="s">
        <v>8</v>
      </c>
      <c r="D32" t="s">
        <v>109</v>
      </c>
    </row>
    <row r="33" spans="1:4" x14ac:dyDescent="0.3">
      <c r="A33">
        <v>10431690131</v>
      </c>
      <c r="B33" t="s">
        <v>110</v>
      </c>
    </row>
    <row r="34" spans="1:4" x14ac:dyDescent="0.3">
      <c r="A34">
        <v>10433499617</v>
      </c>
      <c r="B34" t="s">
        <v>111</v>
      </c>
    </row>
    <row r="35" spans="1:4" x14ac:dyDescent="0.3">
      <c r="A35">
        <v>10442345053</v>
      </c>
      <c r="B35" t="s">
        <v>112</v>
      </c>
    </row>
    <row r="36" spans="1:4" x14ac:dyDescent="0.3">
      <c r="A36">
        <v>10456105896</v>
      </c>
      <c r="B36" t="s">
        <v>113</v>
      </c>
      <c r="C36" t="s">
        <v>8</v>
      </c>
      <c r="D36" t="s">
        <v>114</v>
      </c>
    </row>
    <row r="37" spans="1:4" x14ac:dyDescent="0.3">
      <c r="A37">
        <v>10459427525</v>
      </c>
      <c r="B37" t="s">
        <v>115</v>
      </c>
    </row>
    <row r="38" spans="1:4" x14ac:dyDescent="0.3">
      <c r="A38">
        <v>10467247323</v>
      </c>
      <c r="B38" t="s">
        <v>116</v>
      </c>
    </row>
    <row r="39" spans="1:4" x14ac:dyDescent="0.3">
      <c r="A39">
        <v>10467395179</v>
      </c>
      <c r="B39" t="s">
        <v>117</v>
      </c>
    </row>
    <row r="40" spans="1:4" x14ac:dyDescent="0.3">
      <c r="A40">
        <v>10470065147</v>
      </c>
      <c r="B40" t="s">
        <v>118</v>
      </c>
      <c r="C40" t="s">
        <v>119</v>
      </c>
      <c r="D40" t="s">
        <v>120</v>
      </c>
    </row>
    <row r="41" spans="1:4" x14ac:dyDescent="0.3">
      <c r="A41">
        <v>10472750050</v>
      </c>
      <c r="B41" t="s">
        <v>121</v>
      </c>
    </row>
    <row r="42" spans="1:4" x14ac:dyDescent="0.3">
      <c r="A42">
        <v>10473036130</v>
      </c>
      <c r="B42" t="s">
        <v>122</v>
      </c>
    </row>
    <row r="43" spans="1:4" x14ac:dyDescent="0.3">
      <c r="A43">
        <v>10474223057</v>
      </c>
      <c r="B43" t="s">
        <v>123</v>
      </c>
    </row>
    <row r="44" spans="1:4" x14ac:dyDescent="0.3">
      <c r="A44">
        <v>10477573717</v>
      </c>
      <c r="B44" t="s">
        <v>124</v>
      </c>
      <c r="C44" t="s">
        <v>8</v>
      </c>
      <c r="D44" t="s">
        <v>125</v>
      </c>
    </row>
    <row r="45" spans="1:4" x14ac:dyDescent="0.3">
      <c r="A45">
        <v>10486253725</v>
      </c>
      <c r="B45" t="s">
        <v>126</v>
      </c>
      <c r="C45" t="s">
        <v>8</v>
      </c>
      <c r="D45" t="s">
        <v>127</v>
      </c>
    </row>
    <row r="46" spans="1:4" x14ac:dyDescent="0.3">
      <c r="A46">
        <v>10489531963</v>
      </c>
      <c r="B46" t="s">
        <v>128</v>
      </c>
      <c r="C46" t="s">
        <v>8</v>
      </c>
      <c r="D46" t="s">
        <v>129</v>
      </c>
    </row>
    <row r="47" spans="1:4" x14ac:dyDescent="0.3">
      <c r="A47">
        <v>10706063426</v>
      </c>
      <c r="B47" t="s">
        <v>130</v>
      </c>
      <c r="C47" t="s">
        <v>8</v>
      </c>
      <c r="D47" t="s">
        <v>131</v>
      </c>
    </row>
    <row r="48" spans="1:4" x14ac:dyDescent="0.3">
      <c r="A48">
        <v>10724403684</v>
      </c>
      <c r="B48" t="s">
        <v>132</v>
      </c>
    </row>
    <row r="49" spans="1:4" x14ac:dyDescent="0.3">
      <c r="A49">
        <v>10725676421</v>
      </c>
      <c r="B49" t="s">
        <v>133</v>
      </c>
    </row>
    <row r="50" spans="1:4" x14ac:dyDescent="0.3">
      <c r="A50">
        <v>10759298824</v>
      </c>
      <c r="B50" t="s">
        <v>134</v>
      </c>
    </row>
    <row r="51" spans="1:4" x14ac:dyDescent="0.3">
      <c r="A51">
        <v>10773375041</v>
      </c>
      <c r="B51" t="s">
        <v>135</v>
      </c>
    </row>
    <row r="52" spans="1:4" x14ac:dyDescent="0.3">
      <c r="A52">
        <v>15604373180</v>
      </c>
      <c r="B52" t="s">
        <v>136</v>
      </c>
    </row>
    <row r="53" spans="1:4" x14ac:dyDescent="0.3">
      <c r="A53">
        <v>20100035121</v>
      </c>
      <c r="B53" t="s">
        <v>137</v>
      </c>
    </row>
    <row r="54" spans="1:4" x14ac:dyDescent="0.3">
      <c r="A54">
        <v>20100039207</v>
      </c>
      <c r="B54" t="s">
        <v>138</v>
      </c>
    </row>
    <row r="55" spans="1:4" x14ac:dyDescent="0.3">
      <c r="A55">
        <v>20100055237</v>
      </c>
      <c r="B55" t="s">
        <v>139</v>
      </c>
    </row>
    <row r="56" spans="1:4" x14ac:dyDescent="0.3">
      <c r="A56">
        <v>20100072590</v>
      </c>
      <c r="B56" t="s">
        <v>140</v>
      </c>
    </row>
    <row r="57" spans="1:4" x14ac:dyDescent="0.3">
      <c r="A57">
        <v>20100073723</v>
      </c>
      <c r="B57" t="s">
        <v>141</v>
      </c>
    </row>
    <row r="58" spans="1:4" x14ac:dyDescent="0.3">
      <c r="A58">
        <v>20100114349</v>
      </c>
      <c r="B58" t="s">
        <v>142</v>
      </c>
      <c r="C58" t="s">
        <v>119</v>
      </c>
      <c r="D58" t="s">
        <v>143</v>
      </c>
    </row>
    <row r="59" spans="1:4" x14ac:dyDescent="0.3">
      <c r="A59">
        <v>20100128218</v>
      </c>
      <c r="B59" t="s">
        <v>144</v>
      </c>
    </row>
    <row r="60" spans="1:4" x14ac:dyDescent="0.3">
      <c r="A60">
        <v>20100165687</v>
      </c>
      <c r="B60" t="s">
        <v>145</v>
      </c>
    </row>
    <row r="61" spans="1:4" x14ac:dyDescent="0.3">
      <c r="A61">
        <v>20100172543</v>
      </c>
      <c r="B61" t="s">
        <v>146</v>
      </c>
    </row>
    <row r="62" spans="1:4" x14ac:dyDescent="0.3">
      <c r="A62">
        <v>20100192064</v>
      </c>
      <c r="B62" t="s">
        <v>147</v>
      </c>
      <c r="C62" t="s">
        <v>119</v>
      </c>
      <c r="D62" t="s">
        <v>148</v>
      </c>
    </row>
    <row r="63" spans="1:4" x14ac:dyDescent="0.3">
      <c r="A63">
        <v>20100199743</v>
      </c>
      <c r="B63" t="s">
        <v>149</v>
      </c>
      <c r="C63" t="s">
        <v>119</v>
      </c>
      <c r="D63" t="s">
        <v>150</v>
      </c>
    </row>
    <row r="64" spans="1:4" x14ac:dyDescent="0.3">
      <c r="A64">
        <v>20100211115</v>
      </c>
      <c r="B64" t="s">
        <v>151</v>
      </c>
    </row>
    <row r="65" spans="1:4" x14ac:dyDescent="0.3">
      <c r="A65">
        <v>20100226902</v>
      </c>
      <c r="B65" t="s">
        <v>152</v>
      </c>
      <c r="C65" t="s">
        <v>119</v>
      </c>
      <c r="D65" t="s">
        <v>153</v>
      </c>
    </row>
    <row r="66" spans="1:4" x14ac:dyDescent="0.3">
      <c r="A66">
        <v>20100227895</v>
      </c>
      <c r="B66" t="s">
        <v>154</v>
      </c>
    </row>
    <row r="67" spans="1:4" x14ac:dyDescent="0.3">
      <c r="A67">
        <v>20100235138</v>
      </c>
      <c r="B67" t="s">
        <v>155</v>
      </c>
    </row>
    <row r="68" spans="1:4" x14ac:dyDescent="0.3">
      <c r="A68">
        <v>20100247730</v>
      </c>
      <c r="B68" t="s">
        <v>156</v>
      </c>
    </row>
    <row r="69" spans="1:4" x14ac:dyDescent="0.3">
      <c r="A69">
        <v>20100248621</v>
      </c>
      <c r="B69" t="s">
        <v>157</v>
      </c>
    </row>
    <row r="70" spans="1:4" x14ac:dyDescent="0.3">
      <c r="A70">
        <v>20100255325</v>
      </c>
      <c r="B70" t="s">
        <v>158</v>
      </c>
    </row>
    <row r="71" spans="1:4" x14ac:dyDescent="0.3">
      <c r="A71">
        <v>20100383919</v>
      </c>
      <c r="B71" t="s">
        <v>159</v>
      </c>
      <c r="C71" t="s">
        <v>119</v>
      </c>
      <c r="D71" t="s">
        <v>160</v>
      </c>
    </row>
    <row r="72" spans="1:4" x14ac:dyDescent="0.3">
      <c r="A72">
        <v>20100384052</v>
      </c>
      <c r="B72" t="s">
        <v>161</v>
      </c>
      <c r="C72" t="s">
        <v>119</v>
      </c>
      <c r="D72" t="s">
        <v>162</v>
      </c>
    </row>
    <row r="73" spans="1:4" x14ac:dyDescent="0.3">
      <c r="A73">
        <v>20100814162</v>
      </c>
      <c r="B73" t="s">
        <v>163</v>
      </c>
    </row>
    <row r="74" spans="1:4" x14ac:dyDescent="0.3">
      <c r="A74">
        <v>20109022668</v>
      </c>
      <c r="B74" t="s">
        <v>164</v>
      </c>
    </row>
    <row r="75" spans="1:4" x14ac:dyDescent="0.3">
      <c r="A75">
        <v>20111157058</v>
      </c>
      <c r="B75" t="s">
        <v>165</v>
      </c>
    </row>
    <row r="76" spans="1:4" x14ac:dyDescent="0.3">
      <c r="A76">
        <v>20115133285</v>
      </c>
      <c r="B76" t="s">
        <v>166</v>
      </c>
    </row>
    <row r="77" spans="1:4" x14ac:dyDescent="0.3">
      <c r="A77">
        <v>20120858425</v>
      </c>
      <c r="B77" t="s">
        <v>167</v>
      </c>
    </row>
    <row r="78" spans="1:4" x14ac:dyDescent="0.3">
      <c r="A78">
        <v>20121393736</v>
      </c>
      <c r="B78" t="s">
        <v>168</v>
      </c>
    </row>
    <row r="79" spans="1:4" x14ac:dyDescent="0.3">
      <c r="A79">
        <v>20124923086</v>
      </c>
      <c r="B79" t="s">
        <v>169</v>
      </c>
    </row>
    <row r="80" spans="1:4" x14ac:dyDescent="0.3">
      <c r="A80">
        <v>20124952850</v>
      </c>
      <c r="B80" t="s">
        <v>170</v>
      </c>
    </row>
    <row r="81" spans="1:4" x14ac:dyDescent="0.3">
      <c r="A81">
        <v>20129854953</v>
      </c>
      <c r="B81" t="s">
        <v>171</v>
      </c>
    </row>
    <row r="82" spans="1:4" x14ac:dyDescent="0.3">
      <c r="A82">
        <v>20129957256</v>
      </c>
      <c r="B82" t="s">
        <v>172</v>
      </c>
    </row>
    <row r="83" spans="1:4" x14ac:dyDescent="0.3">
      <c r="A83">
        <v>20131312955</v>
      </c>
      <c r="B83" t="s">
        <v>173</v>
      </c>
    </row>
    <row r="84" spans="1:4" x14ac:dyDescent="0.3">
      <c r="A84">
        <v>20131373075</v>
      </c>
      <c r="B84" t="s">
        <v>174</v>
      </c>
    </row>
    <row r="85" spans="1:4" x14ac:dyDescent="0.3">
      <c r="A85">
        <v>20133208292</v>
      </c>
      <c r="B85" t="s">
        <v>175</v>
      </c>
    </row>
    <row r="86" spans="1:4" x14ac:dyDescent="0.3">
      <c r="A86">
        <v>20137976171</v>
      </c>
      <c r="B86" t="s">
        <v>176</v>
      </c>
      <c r="C86" t="s">
        <v>119</v>
      </c>
      <c r="D86" t="s">
        <v>177</v>
      </c>
    </row>
    <row r="87" spans="1:4" x14ac:dyDescent="0.3">
      <c r="A87">
        <v>20138149022</v>
      </c>
      <c r="B87" t="s">
        <v>178</v>
      </c>
    </row>
    <row r="88" spans="1:4" x14ac:dyDescent="0.3">
      <c r="A88">
        <v>20138861300</v>
      </c>
      <c r="B88" t="s">
        <v>179</v>
      </c>
    </row>
    <row r="89" spans="1:4" x14ac:dyDescent="0.3">
      <c r="A89">
        <v>20141637941</v>
      </c>
      <c r="B89" t="s">
        <v>180</v>
      </c>
    </row>
    <row r="90" spans="1:4" x14ac:dyDescent="0.3">
      <c r="A90">
        <v>20154639293</v>
      </c>
      <c r="B90" t="s">
        <v>181</v>
      </c>
    </row>
    <row r="91" spans="1:4" x14ac:dyDescent="0.3">
      <c r="A91">
        <v>20159554229</v>
      </c>
      <c r="B91" t="s">
        <v>182</v>
      </c>
    </row>
    <row r="92" spans="1:4" x14ac:dyDescent="0.3">
      <c r="A92">
        <v>20161541991</v>
      </c>
      <c r="B92" t="s">
        <v>183</v>
      </c>
    </row>
    <row r="93" spans="1:4" x14ac:dyDescent="0.3">
      <c r="A93">
        <v>20170040938</v>
      </c>
      <c r="B93" t="s">
        <v>184</v>
      </c>
      <c r="C93" t="s">
        <v>119</v>
      </c>
      <c r="D93" t="s">
        <v>185</v>
      </c>
    </row>
    <row r="94" spans="1:4" x14ac:dyDescent="0.3">
      <c r="A94">
        <v>20195189146</v>
      </c>
      <c r="B94" t="s">
        <v>186</v>
      </c>
    </row>
    <row r="95" spans="1:4" x14ac:dyDescent="0.3">
      <c r="A95">
        <v>20204621242</v>
      </c>
      <c r="B95" t="s">
        <v>187</v>
      </c>
    </row>
    <row r="96" spans="1:4" x14ac:dyDescent="0.3">
      <c r="A96">
        <v>20226909576</v>
      </c>
      <c r="B96" t="s">
        <v>188</v>
      </c>
    </row>
    <row r="97" spans="1:4" x14ac:dyDescent="0.3">
      <c r="A97">
        <v>20272859613</v>
      </c>
      <c r="B97" t="s">
        <v>189</v>
      </c>
    </row>
    <row r="98" spans="1:4" x14ac:dyDescent="0.3">
      <c r="A98">
        <v>20277722187</v>
      </c>
      <c r="B98" t="s">
        <v>190</v>
      </c>
    </row>
    <row r="99" spans="1:4" x14ac:dyDescent="0.3">
      <c r="A99">
        <v>20293774308</v>
      </c>
      <c r="B99" t="s">
        <v>191</v>
      </c>
    </row>
    <row r="100" spans="1:4" x14ac:dyDescent="0.3">
      <c r="A100">
        <v>20302891452</v>
      </c>
      <c r="B100" t="s">
        <v>192</v>
      </c>
    </row>
    <row r="101" spans="1:4" x14ac:dyDescent="0.3">
      <c r="A101">
        <v>20304289512</v>
      </c>
      <c r="B101" t="s">
        <v>193</v>
      </c>
    </row>
    <row r="102" spans="1:4" x14ac:dyDescent="0.3">
      <c r="A102">
        <v>20312192641</v>
      </c>
      <c r="B102" t="s">
        <v>194</v>
      </c>
      <c r="C102" t="s">
        <v>119</v>
      </c>
      <c r="D102" t="s">
        <v>195</v>
      </c>
    </row>
    <row r="103" spans="1:4" x14ac:dyDescent="0.3">
      <c r="A103">
        <v>20329545459</v>
      </c>
      <c r="B103" t="s">
        <v>196</v>
      </c>
    </row>
    <row r="104" spans="1:4" x14ac:dyDescent="0.3">
      <c r="A104">
        <v>20340584237</v>
      </c>
      <c r="B104" t="s">
        <v>197</v>
      </c>
    </row>
    <row r="105" spans="1:4" x14ac:dyDescent="0.3">
      <c r="A105">
        <v>20370146994</v>
      </c>
      <c r="B105" t="s">
        <v>198</v>
      </c>
    </row>
    <row r="106" spans="1:4" x14ac:dyDescent="0.3">
      <c r="A106">
        <v>20371310160</v>
      </c>
      <c r="B106" t="s">
        <v>199</v>
      </c>
      <c r="D106" t="s">
        <v>200</v>
      </c>
    </row>
    <row r="107" spans="1:4" x14ac:dyDescent="0.3">
      <c r="A107">
        <v>20371332210</v>
      </c>
      <c r="B107" t="s">
        <v>201</v>
      </c>
    </row>
    <row r="108" spans="1:4" x14ac:dyDescent="0.3">
      <c r="A108">
        <v>20379430377</v>
      </c>
      <c r="B108" t="s">
        <v>202</v>
      </c>
    </row>
    <row r="109" spans="1:4" x14ac:dyDescent="0.3">
      <c r="A109">
        <v>20392466275</v>
      </c>
      <c r="B109" t="s">
        <v>203</v>
      </c>
    </row>
    <row r="110" spans="1:4" x14ac:dyDescent="0.3">
      <c r="A110">
        <v>20402885549</v>
      </c>
      <c r="B110" t="s">
        <v>204</v>
      </c>
    </row>
    <row r="111" spans="1:4" x14ac:dyDescent="0.3">
      <c r="A111">
        <v>20406313213</v>
      </c>
      <c r="B111" t="s">
        <v>205</v>
      </c>
    </row>
    <row r="112" spans="1:4" x14ac:dyDescent="0.3">
      <c r="A112">
        <v>20406350178</v>
      </c>
      <c r="B112" t="s">
        <v>206</v>
      </c>
    </row>
    <row r="113" spans="1:4" x14ac:dyDescent="0.3">
      <c r="A113">
        <v>20406463614</v>
      </c>
      <c r="B113" t="s">
        <v>207</v>
      </c>
    </row>
    <row r="114" spans="1:4" x14ac:dyDescent="0.3">
      <c r="A114">
        <v>20412524218</v>
      </c>
      <c r="B114" t="s">
        <v>208</v>
      </c>
      <c r="C114" t="s">
        <v>119</v>
      </c>
      <c r="D114" t="s">
        <v>209</v>
      </c>
    </row>
    <row r="115" spans="1:4" x14ac:dyDescent="0.3">
      <c r="A115">
        <v>20413666130</v>
      </c>
      <c r="B115" t="s">
        <v>210</v>
      </c>
    </row>
    <row r="116" spans="1:4" x14ac:dyDescent="0.3">
      <c r="A116">
        <v>20413815071</v>
      </c>
      <c r="B116" t="s">
        <v>211</v>
      </c>
    </row>
    <row r="117" spans="1:4" x14ac:dyDescent="0.3">
      <c r="A117">
        <v>20414251561</v>
      </c>
      <c r="B117" t="s">
        <v>212</v>
      </c>
    </row>
    <row r="118" spans="1:4" x14ac:dyDescent="0.3">
      <c r="A118">
        <v>20417573705</v>
      </c>
      <c r="B118" t="s">
        <v>213</v>
      </c>
    </row>
    <row r="119" spans="1:4" x14ac:dyDescent="0.3">
      <c r="A119">
        <v>20419158462</v>
      </c>
      <c r="B119" t="s">
        <v>214</v>
      </c>
      <c r="C119" t="s">
        <v>119</v>
      </c>
      <c r="D119" t="s">
        <v>215</v>
      </c>
    </row>
    <row r="120" spans="1:4" x14ac:dyDescent="0.3">
      <c r="A120">
        <v>20422461311</v>
      </c>
      <c r="B120" t="s">
        <v>216</v>
      </c>
    </row>
    <row r="121" spans="1:4" x14ac:dyDescent="0.3">
      <c r="A121">
        <v>20424092941</v>
      </c>
      <c r="B121" t="s">
        <v>217</v>
      </c>
    </row>
    <row r="122" spans="1:4" x14ac:dyDescent="0.3">
      <c r="A122">
        <v>20425809882</v>
      </c>
      <c r="B122" t="s">
        <v>218</v>
      </c>
    </row>
    <row r="123" spans="1:4" x14ac:dyDescent="0.3">
      <c r="A123">
        <v>20429040583</v>
      </c>
      <c r="B123" t="s">
        <v>219</v>
      </c>
    </row>
    <row r="124" spans="1:4" x14ac:dyDescent="0.3">
      <c r="A124">
        <v>20429640939</v>
      </c>
      <c r="B124" t="s">
        <v>220</v>
      </c>
      <c r="C124" t="s">
        <v>119</v>
      </c>
      <c r="D124" t="s">
        <v>221</v>
      </c>
    </row>
    <row r="125" spans="1:4" x14ac:dyDescent="0.3">
      <c r="A125">
        <v>20432552072</v>
      </c>
      <c r="B125" t="s">
        <v>222</v>
      </c>
    </row>
    <row r="126" spans="1:4" x14ac:dyDescent="0.3">
      <c r="A126">
        <v>20438933272</v>
      </c>
      <c r="B126" t="s">
        <v>223</v>
      </c>
    </row>
    <row r="127" spans="1:4" x14ac:dyDescent="0.3">
      <c r="A127">
        <v>20448648193</v>
      </c>
      <c r="B127" t="s">
        <v>224</v>
      </c>
    </row>
    <row r="128" spans="1:4" x14ac:dyDescent="0.3">
      <c r="A128">
        <v>20454054271</v>
      </c>
      <c r="B128" t="s">
        <v>225</v>
      </c>
    </row>
    <row r="129" spans="1:4" x14ac:dyDescent="0.3">
      <c r="A129">
        <v>20454063423</v>
      </c>
      <c r="B129" t="s">
        <v>226</v>
      </c>
      <c r="C129" t="s">
        <v>119</v>
      </c>
      <c r="D129" t="s">
        <v>227</v>
      </c>
    </row>
    <row r="130" spans="1:4" x14ac:dyDescent="0.3">
      <c r="A130">
        <v>20454076673</v>
      </c>
      <c r="B130" t="s">
        <v>228</v>
      </c>
    </row>
    <row r="131" spans="1:4" x14ac:dyDescent="0.3">
      <c r="A131">
        <v>20454186002</v>
      </c>
      <c r="B131" t="s">
        <v>229</v>
      </c>
      <c r="C131" t="s">
        <v>230</v>
      </c>
      <c r="D131" t="s">
        <v>231</v>
      </c>
    </row>
    <row r="132" spans="1:4" x14ac:dyDescent="0.3">
      <c r="A132">
        <v>20454205660</v>
      </c>
      <c r="B132" t="s">
        <v>232</v>
      </c>
    </row>
    <row r="133" spans="1:4" x14ac:dyDescent="0.3">
      <c r="A133">
        <v>20454377011</v>
      </c>
      <c r="B133" t="s">
        <v>233</v>
      </c>
    </row>
    <row r="134" spans="1:4" x14ac:dyDescent="0.3">
      <c r="A134">
        <v>20454422253</v>
      </c>
      <c r="B134" t="s">
        <v>234</v>
      </c>
    </row>
    <row r="135" spans="1:4" x14ac:dyDescent="0.3">
      <c r="A135">
        <v>20454944543</v>
      </c>
      <c r="B135" t="s">
        <v>235</v>
      </c>
    </row>
    <row r="136" spans="1:4" x14ac:dyDescent="0.3">
      <c r="A136">
        <v>20455225044</v>
      </c>
      <c r="B136" t="s">
        <v>236</v>
      </c>
    </row>
    <row r="137" spans="1:4" x14ac:dyDescent="0.3">
      <c r="A137">
        <v>20455261431</v>
      </c>
      <c r="B137" t="s">
        <v>237</v>
      </c>
    </row>
    <row r="138" spans="1:4" x14ac:dyDescent="0.3">
      <c r="A138">
        <v>20455283915</v>
      </c>
      <c r="B138" t="s">
        <v>238</v>
      </c>
    </row>
    <row r="139" spans="1:4" x14ac:dyDescent="0.3">
      <c r="A139">
        <v>20455289522</v>
      </c>
      <c r="B139" t="s">
        <v>239</v>
      </c>
    </row>
    <row r="140" spans="1:4" x14ac:dyDescent="0.3">
      <c r="A140">
        <v>20455391131</v>
      </c>
      <c r="B140" t="s">
        <v>240</v>
      </c>
    </row>
    <row r="141" spans="1:4" x14ac:dyDescent="0.3">
      <c r="A141">
        <v>20455485461</v>
      </c>
      <c r="B141" t="s">
        <v>241</v>
      </c>
    </row>
    <row r="142" spans="1:4" x14ac:dyDescent="0.3">
      <c r="A142">
        <v>20455494967</v>
      </c>
      <c r="B142" t="s">
        <v>242</v>
      </c>
    </row>
    <row r="143" spans="1:4" x14ac:dyDescent="0.3">
      <c r="A143">
        <v>20455586063</v>
      </c>
      <c r="B143" t="s">
        <v>243</v>
      </c>
      <c r="D143" t="s">
        <v>244</v>
      </c>
    </row>
    <row r="144" spans="1:4" x14ac:dyDescent="0.3">
      <c r="A144">
        <v>20455731926</v>
      </c>
      <c r="B144" t="s">
        <v>245</v>
      </c>
      <c r="C144" t="s">
        <v>119</v>
      </c>
      <c r="D144" t="s">
        <v>246</v>
      </c>
    </row>
    <row r="145" spans="1:4" x14ac:dyDescent="0.3">
      <c r="A145">
        <v>20455825742</v>
      </c>
      <c r="B145" t="s">
        <v>247</v>
      </c>
    </row>
    <row r="146" spans="1:4" x14ac:dyDescent="0.3">
      <c r="A146">
        <v>20455833095</v>
      </c>
      <c r="B146" t="s">
        <v>248</v>
      </c>
      <c r="C146" t="s">
        <v>8</v>
      </c>
      <c r="D146" t="s">
        <v>249</v>
      </c>
    </row>
    <row r="147" spans="1:4" x14ac:dyDescent="0.3">
      <c r="A147">
        <v>20455932824</v>
      </c>
      <c r="B147" t="s">
        <v>250</v>
      </c>
      <c r="C147" t="s">
        <v>119</v>
      </c>
      <c r="D147" t="s">
        <v>251</v>
      </c>
    </row>
    <row r="148" spans="1:4" x14ac:dyDescent="0.3">
      <c r="A148">
        <v>20455933553</v>
      </c>
      <c r="B148" t="s">
        <v>252</v>
      </c>
    </row>
    <row r="149" spans="1:4" x14ac:dyDescent="0.3">
      <c r="A149">
        <v>20456012427</v>
      </c>
      <c r="B149" t="s">
        <v>253</v>
      </c>
    </row>
    <row r="150" spans="1:4" x14ac:dyDescent="0.3">
      <c r="A150">
        <v>20456123253</v>
      </c>
      <c r="B150" t="s">
        <v>254</v>
      </c>
    </row>
    <row r="151" spans="1:4" x14ac:dyDescent="0.3">
      <c r="A151">
        <v>20456147781</v>
      </c>
      <c r="B151" t="s">
        <v>255</v>
      </c>
      <c r="C151" t="s">
        <v>119</v>
      </c>
      <c r="D151" t="s">
        <v>256</v>
      </c>
    </row>
    <row r="152" spans="1:4" x14ac:dyDescent="0.3">
      <c r="A152">
        <v>20456424881</v>
      </c>
      <c r="B152" t="s">
        <v>257</v>
      </c>
    </row>
    <row r="153" spans="1:4" x14ac:dyDescent="0.3">
      <c r="A153">
        <v>20456565353</v>
      </c>
      <c r="B153" t="s">
        <v>258</v>
      </c>
      <c r="C153" t="s">
        <v>8</v>
      </c>
      <c r="D153" t="s">
        <v>259</v>
      </c>
    </row>
    <row r="154" spans="1:4" x14ac:dyDescent="0.3">
      <c r="A154">
        <v>20460352674</v>
      </c>
      <c r="B154" t="s">
        <v>260</v>
      </c>
    </row>
    <row r="155" spans="1:4" x14ac:dyDescent="0.3">
      <c r="A155">
        <v>20477893466</v>
      </c>
      <c r="B155" t="s">
        <v>261</v>
      </c>
      <c r="C155" t="s">
        <v>119</v>
      </c>
      <c r="D155" t="s">
        <v>262</v>
      </c>
    </row>
    <row r="156" spans="1:4" x14ac:dyDescent="0.3">
      <c r="A156">
        <v>20481475342</v>
      </c>
      <c r="B156" t="s">
        <v>263</v>
      </c>
    </row>
    <row r="157" spans="1:4" x14ac:dyDescent="0.3">
      <c r="A157">
        <v>20486238241</v>
      </c>
      <c r="B157" t="s">
        <v>264</v>
      </c>
    </row>
    <row r="158" spans="1:4" x14ac:dyDescent="0.3">
      <c r="A158">
        <v>20489968925</v>
      </c>
      <c r="B158" t="s">
        <v>265</v>
      </c>
    </row>
    <row r="159" spans="1:4" x14ac:dyDescent="0.3">
      <c r="A159">
        <v>20490439880</v>
      </c>
      <c r="B159" t="s">
        <v>266</v>
      </c>
    </row>
    <row r="160" spans="1:4" x14ac:dyDescent="0.3">
      <c r="A160">
        <v>20496535066</v>
      </c>
      <c r="B160" t="s">
        <v>267</v>
      </c>
    </row>
    <row r="161" spans="1:4" x14ac:dyDescent="0.3">
      <c r="A161">
        <v>20497262101</v>
      </c>
      <c r="B161" t="s">
        <v>268</v>
      </c>
      <c r="C161" t="s">
        <v>119</v>
      </c>
      <c r="D161" t="s">
        <v>269</v>
      </c>
    </row>
    <row r="162" spans="1:4" x14ac:dyDescent="0.3">
      <c r="A162">
        <v>20497953945</v>
      </c>
      <c r="B162" t="s">
        <v>270</v>
      </c>
    </row>
    <row r="163" spans="1:4" x14ac:dyDescent="0.3">
      <c r="A163">
        <v>20498041567</v>
      </c>
      <c r="B163" t="s">
        <v>271</v>
      </c>
      <c r="C163" t="s">
        <v>119</v>
      </c>
      <c r="D163" t="s">
        <v>272</v>
      </c>
    </row>
    <row r="164" spans="1:4" x14ac:dyDescent="0.3">
      <c r="A164">
        <v>20498046364</v>
      </c>
      <c r="B164" t="s">
        <v>273</v>
      </c>
    </row>
    <row r="165" spans="1:4" x14ac:dyDescent="0.3">
      <c r="A165">
        <v>20498063617</v>
      </c>
      <c r="B165" t="s">
        <v>274</v>
      </c>
    </row>
    <row r="166" spans="1:4" x14ac:dyDescent="0.3">
      <c r="A166">
        <v>20498185305</v>
      </c>
      <c r="B166" t="s">
        <v>275</v>
      </c>
    </row>
    <row r="167" spans="1:4" x14ac:dyDescent="0.3">
      <c r="A167">
        <v>20498218831</v>
      </c>
      <c r="B167" t="s">
        <v>276</v>
      </c>
      <c r="C167" t="s">
        <v>119</v>
      </c>
      <c r="D167" t="s">
        <v>277</v>
      </c>
    </row>
    <row r="168" spans="1:4" x14ac:dyDescent="0.3">
      <c r="A168">
        <v>20498309713</v>
      </c>
      <c r="B168" t="s">
        <v>278</v>
      </c>
    </row>
    <row r="169" spans="1:4" x14ac:dyDescent="0.3">
      <c r="A169">
        <v>20498311963</v>
      </c>
      <c r="B169" t="s">
        <v>279</v>
      </c>
      <c r="C169" t="s">
        <v>119</v>
      </c>
      <c r="D169" t="s">
        <v>280</v>
      </c>
    </row>
    <row r="170" spans="1:4" x14ac:dyDescent="0.3">
      <c r="A170">
        <v>20498380931</v>
      </c>
      <c r="B170" t="s">
        <v>281</v>
      </c>
      <c r="C170" t="s">
        <v>119</v>
      </c>
      <c r="D170" t="s">
        <v>282</v>
      </c>
    </row>
    <row r="171" spans="1:4" x14ac:dyDescent="0.3">
      <c r="A171">
        <v>20498441662</v>
      </c>
      <c r="B171" t="s">
        <v>283</v>
      </c>
    </row>
    <row r="172" spans="1:4" x14ac:dyDescent="0.3">
      <c r="A172">
        <v>20498452940</v>
      </c>
      <c r="B172" t="s">
        <v>284</v>
      </c>
    </row>
    <row r="173" spans="1:4" x14ac:dyDescent="0.3">
      <c r="A173">
        <v>20498459791</v>
      </c>
      <c r="B173" t="s">
        <v>285</v>
      </c>
    </row>
    <row r="174" spans="1:4" x14ac:dyDescent="0.3">
      <c r="A174">
        <v>20498513833</v>
      </c>
      <c r="B174" t="s">
        <v>286</v>
      </c>
    </row>
    <row r="175" spans="1:4" x14ac:dyDescent="0.3">
      <c r="A175">
        <v>20501458164</v>
      </c>
      <c r="B175" t="s">
        <v>287</v>
      </c>
    </row>
    <row r="176" spans="1:4" x14ac:dyDescent="0.3">
      <c r="A176">
        <v>20501534103</v>
      </c>
      <c r="B176" t="s">
        <v>288</v>
      </c>
    </row>
    <row r="177" spans="1:4" x14ac:dyDescent="0.3">
      <c r="A177">
        <v>20505675836</v>
      </c>
      <c r="B177" t="s">
        <v>289</v>
      </c>
      <c r="C177" t="s">
        <v>119</v>
      </c>
      <c r="D177" t="s">
        <v>290</v>
      </c>
    </row>
    <row r="178" spans="1:4" x14ac:dyDescent="0.3">
      <c r="A178">
        <v>20505897812</v>
      </c>
      <c r="B178" t="s">
        <v>291</v>
      </c>
    </row>
    <row r="179" spans="1:4" x14ac:dyDescent="0.3">
      <c r="A179">
        <v>20508430681</v>
      </c>
      <c r="B179" t="s">
        <v>292</v>
      </c>
    </row>
    <row r="180" spans="1:4" x14ac:dyDescent="0.3">
      <c r="A180">
        <v>20508597208</v>
      </c>
      <c r="B180" t="s">
        <v>293</v>
      </c>
    </row>
    <row r="181" spans="1:4" x14ac:dyDescent="0.3">
      <c r="A181">
        <v>20509128686</v>
      </c>
      <c r="B181" t="s">
        <v>294</v>
      </c>
    </row>
    <row r="182" spans="1:4" x14ac:dyDescent="0.3">
      <c r="A182">
        <v>20510460643</v>
      </c>
      <c r="B182" t="s">
        <v>295</v>
      </c>
    </row>
    <row r="183" spans="1:4" x14ac:dyDescent="0.3">
      <c r="A183">
        <v>20512356657</v>
      </c>
      <c r="B183" t="s">
        <v>296</v>
      </c>
    </row>
    <row r="184" spans="1:4" x14ac:dyDescent="0.3">
      <c r="A184">
        <v>20512573160</v>
      </c>
      <c r="B184" t="s">
        <v>297</v>
      </c>
    </row>
    <row r="185" spans="1:4" x14ac:dyDescent="0.3">
      <c r="A185">
        <v>20513294574</v>
      </c>
      <c r="B185" t="s">
        <v>298</v>
      </c>
      <c r="C185" t="s">
        <v>119</v>
      </c>
      <c r="D185" t="s">
        <v>299</v>
      </c>
    </row>
    <row r="186" spans="1:4" x14ac:dyDescent="0.3">
      <c r="A186">
        <v>20513696028</v>
      </c>
      <c r="B186" t="s">
        <v>300</v>
      </c>
    </row>
    <row r="187" spans="1:4" x14ac:dyDescent="0.3">
      <c r="A187">
        <v>20514133931</v>
      </c>
      <c r="B187" t="s">
        <v>301</v>
      </c>
    </row>
    <row r="188" spans="1:4" x14ac:dyDescent="0.3">
      <c r="A188">
        <v>20514429384</v>
      </c>
      <c r="B188" t="s">
        <v>302</v>
      </c>
      <c r="C188" t="s">
        <v>119</v>
      </c>
      <c r="D188" t="s">
        <v>303</v>
      </c>
    </row>
    <row r="189" spans="1:4" x14ac:dyDescent="0.3">
      <c r="A189">
        <v>20514513172</v>
      </c>
      <c r="B189" t="s">
        <v>304</v>
      </c>
    </row>
    <row r="190" spans="1:4" x14ac:dyDescent="0.3">
      <c r="A190">
        <v>20514657417</v>
      </c>
      <c r="B190" t="s">
        <v>305</v>
      </c>
    </row>
    <row r="191" spans="1:4" x14ac:dyDescent="0.3">
      <c r="A191">
        <v>20516933888</v>
      </c>
      <c r="B191" t="s">
        <v>306</v>
      </c>
    </row>
    <row r="192" spans="1:4" x14ac:dyDescent="0.3">
      <c r="A192">
        <v>20517035964</v>
      </c>
      <c r="B192" t="s">
        <v>307</v>
      </c>
      <c r="C192" t="s">
        <v>230</v>
      </c>
      <c r="D192" t="s">
        <v>308</v>
      </c>
    </row>
    <row r="193" spans="1:4" x14ac:dyDescent="0.3">
      <c r="A193">
        <v>20517355951</v>
      </c>
      <c r="B193" t="s">
        <v>309</v>
      </c>
      <c r="C193" t="s">
        <v>119</v>
      </c>
      <c r="D193" t="s">
        <v>310</v>
      </c>
    </row>
    <row r="194" spans="1:4" x14ac:dyDescent="0.3">
      <c r="A194">
        <v>20517932346</v>
      </c>
      <c r="B194" t="s">
        <v>311</v>
      </c>
      <c r="C194" t="s">
        <v>119</v>
      </c>
      <c r="D194" t="s">
        <v>312</v>
      </c>
    </row>
    <row r="195" spans="1:4" x14ac:dyDescent="0.3">
      <c r="A195">
        <v>20519212162</v>
      </c>
      <c r="B195" t="s">
        <v>313</v>
      </c>
    </row>
    <row r="196" spans="1:4" x14ac:dyDescent="0.3">
      <c r="A196">
        <v>20519354978</v>
      </c>
      <c r="B196" t="s">
        <v>314</v>
      </c>
      <c r="C196" t="s">
        <v>315</v>
      </c>
      <c r="D196" t="s">
        <v>316</v>
      </c>
    </row>
    <row r="197" spans="1:4" x14ac:dyDescent="0.3">
      <c r="A197">
        <v>20521268191</v>
      </c>
      <c r="B197" t="s">
        <v>317</v>
      </c>
    </row>
    <row r="198" spans="1:4" x14ac:dyDescent="0.3">
      <c r="A198">
        <v>20521817047</v>
      </c>
      <c r="B198" t="s">
        <v>318</v>
      </c>
    </row>
    <row r="199" spans="1:4" x14ac:dyDescent="0.3">
      <c r="A199">
        <v>20523573226</v>
      </c>
      <c r="B199" t="s">
        <v>319</v>
      </c>
    </row>
    <row r="200" spans="1:4" x14ac:dyDescent="0.3">
      <c r="A200">
        <v>20532452857</v>
      </c>
      <c r="B200" t="s">
        <v>320</v>
      </c>
    </row>
    <row r="201" spans="1:4" x14ac:dyDescent="0.3">
      <c r="A201">
        <v>20535943363</v>
      </c>
      <c r="B201" t="s">
        <v>321</v>
      </c>
    </row>
    <row r="202" spans="1:4" x14ac:dyDescent="0.3">
      <c r="A202">
        <v>20536727524</v>
      </c>
      <c r="B202" t="s">
        <v>322</v>
      </c>
    </row>
    <row r="203" spans="1:4" x14ac:dyDescent="0.3">
      <c r="A203">
        <v>20537921464</v>
      </c>
      <c r="B203" t="s">
        <v>323</v>
      </c>
      <c r="C203" t="s">
        <v>119</v>
      </c>
      <c r="D203" t="s">
        <v>324</v>
      </c>
    </row>
    <row r="204" spans="1:4" x14ac:dyDescent="0.3">
      <c r="A204">
        <v>20538501469</v>
      </c>
      <c r="B204" t="s">
        <v>325</v>
      </c>
    </row>
    <row r="205" spans="1:4" x14ac:dyDescent="0.3">
      <c r="A205">
        <v>20538593053</v>
      </c>
      <c r="B205" t="s">
        <v>326</v>
      </c>
      <c r="C205" t="s">
        <v>119</v>
      </c>
      <c r="D205" t="s">
        <v>327</v>
      </c>
    </row>
    <row r="206" spans="1:4" x14ac:dyDescent="0.3">
      <c r="A206">
        <v>20539387104</v>
      </c>
      <c r="B206" t="s">
        <v>328</v>
      </c>
      <c r="C206" t="s">
        <v>119</v>
      </c>
      <c r="D206" t="s">
        <v>329</v>
      </c>
    </row>
    <row r="207" spans="1:4" x14ac:dyDescent="0.3">
      <c r="A207">
        <v>20539539214</v>
      </c>
      <c r="B207" t="s">
        <v>330</v>
      </c>
    </row>
    <row r="208" spans="1:4" x14ac:dyDescent="0.3">
      <c r="A208">
        <v>20539610377</v>
      </c>
      <c r="B208" t="s">
        <v>331</v>
      </c>
    </row>
    <row r="209" spans="1:4" x14ac:dyDescent="0.3">
      <c r="A209">
        <v>20539627938</v>
      </c>
      <c r="B209" t="s">
        <v>332</v>
      </c>
      <c r="C209" t="s">
        <v>119</v>
      </c>
      <c r="D209" t="s">
        <v>333</v>
      </c>
    </row>
    <row r="210" spans="1:4" x14ac:dyDescent="0.3">
      <c r="A210">
        <v>20539677528</v>
      </c>
      <c r="B210" t="s">
        <v>334</v>
      </c>
    </row>
    <row r="211" spans="1:4" x14ac:dyDescent="0.3">
      <c r="A211">
        <v>20539681550</v>
      </c>
      <c r="B211" t="s">
        <v>335</v>
      </c>
    </row>
    <row r="212" spans="1:4" x14ac:dyDescent="0.3">
      <c r="A212">
        <v>20543323943</v>
      </c>
      <c r="B212" t="s">
        <v>336</v>
      </c>
      <c r="C212" t="s">
        <v>119</v>
      </c>
      <c r="D212" t="s">
        <v>337</v>
      </c>
    </row>
    <row r="213" spans="1:4" x14ac:dyDescent="0.3">
      <c r="A213">
        <v>20545479941</v>
      </c>
      <c r="B213" t="s">
        <v>338</v>
      </c>
      <c r="C213" t="s">
        <v>119</v>
      </c>
      <c r="D213" t="s">
        <v>339</v>
      </c>
    </row>
    <row r="214" spans="1:4" x14ac:dyDescent="0.3">
      <c r="A214">
        <v>20545577870</v>
      </c>
      <c r="B214" t="s">
        <v>340</v>
      </c>
      <c r="C214" t="s">
        <v>230</v>
      </c>
      <c r="D214" t="s">
        <v>341</v>
      </c>
    </row>
    <row r="215" spans="1:4" x14ac:dyDescent="0.3">
      <c r="A215">
        <v>20546090435</v>
      </c>
      <c r="B215" t="s">
        <v>342</v>
      </c>
    </row>
    <row r="216" spans="1:4" x14ac:dyDescent="0.3">
      <c r="A216">
        <v>20546153372</v>
      </c>
      <c r="B216" t="s">
        <v>343</v>
      </c>
      <c r="C216" t="s">
        <v>119</v>
      </c>
      <c r="D216" t="s">
        <v>344</v>
      </c>
    </row>
    <row r="217" spans="1:4" x14ac:dyDescent="0.3">
      <c r="A217">
        <v>20546412904</v>
      </c>
      <c r="B217" t="s">
        <v>345</v>
      </c>
    </row>
    <row r="218" spans="1:4" x14ac:dyDescent="0.3">
      <c r="A218">
        <v>20546530184</v>
      </c>
      <c r="B218" t="s">
        <v>346</v>
      </c>
    </row>
    <row r="219" spans="1:4" x14ac:dyDescent="0.3">
      <c r="A219">
        <v>20548600210</v>
      </c>
      <c r="B219" t="s">
        <v>347</v>
      </c>
    </row>
    <row r="220" spans="1:4" x14ac:dyDescent="0.3">
      <c r="A220">
        <v>20548863571</v>
      </c>
      <c r="B220" t="s">
        <v>348</v>
      </c>
    </row>
    <row r="221" spans="1:4" x14ac:dyDescent="0.3">
      <c r="A221">
        <v>20548938415</v>
      </c>
      <c r="B221" t="s">
        <v>349</v>
      </c>
    </row>
    <row r="222" spans="1:4" x14ac:dyDescent="0.3">
      <c r="A222">
        <v>20549068201</v>
      </c>
      <c r="B222" t="s">
        <v>350</v>
      </c>
    </row>
    <row r="223" spans="1:4" x14ac:dyDescent="0.3">
      <c r="A223">
        <v>20550703778</v>
      </c>
      <c r="B223" t="s">
        <v>351</v>
      </c>
      <c r="C223" t="s">
        <v>230</v>
      </c>
      <c r="D223" t="s">
        <v>352</v>
      </c>
    </row>
    <row r="224" spans="1:4" x14ac:dyDescent="0.3">
      <c r="A224">
        <v>20550891086</v>
      </c>
      <c r="B224" t="s">
        <v>353</v>
      </c>
    </row>
    <row r="225" spans="1:4" x14ac:dyDescent="0.3">
      <c r="A225">
        <v>20551520634</v>
      </c>
      <c r="B225" t="s">
        <v>354</v>
      </c>
      <c r="C225" t="s">
        <v>230</v>
      </c>
      <c r="D225" t="s">
        <v>355</v>
      </c>
    </row>
    <row r="226" spans="1:4" x14ac:dyDescent="0.3">
      <c r="A226">
        <v>20552024355</v>
      </c>
      <c r="B226" t="s">
        <v>356</v>
      </c>
    </row>
    <row r="227" spans="1:4" x14ac:dyDescent="0.3">
      <c r="A227">
        <v>20553255709</v>
      </c>
      <c r="B227" t="s">
        <v>357</v>
      </c>
      <c r="C227" t="s">
        <v>119</v>
      </c>
      <c r="D227" t="s">
        <v>358</v>
      </c>
    </row>
    <row r="228" spans="1:4" x14ac:dyDescent="0.3">
      <c r="A228">
        <v>20554299441</v>
      </c>
      <c r="B228" t="s">
        <v>359</v>
      </c>
      <c r="C228" t="s">
        <v>230</v>
      </c>
      <c r="D228" t="s">
        <v>360</v>
      </c>
    </row>
    <row r="229" spans="1:4" x14ac:dyDescent="0.3">
      <c r="A229">
        <v>20554454276</v>
      </c>
      <c r="B229" t="s">
        <v>361</v>
      </c>
    </row>
    <row r="230" spans="1:4" x14ac:dyDescent="0.3">
      <c r="A230">
        <v>20556348236</v>
      </c>
      <c r="B230" t="s">
        <v>362</v>
      </c>
    </row>
    <row r="231" spans="1:4" x14ac:dyDescent="0.3">
      <c r="A231">
        <v>20557091492</v>
      </c>
      <c r="B231" t="s">
        <v>363</v>
      </c>
      <c r="C231" t="s">
        <v>230</v>
      </c>
      <c r="D231" t="s">
        <v>364</v>
      </c>
    </row>
    <row r="232" spans="1:4" x14ac:dyDescent="0.3">
      <c r="A232">
        <v>20557876465</v>
      </c>
      <c r="B232" t="s">
        <v>365</v>
      </c>
    </row>
    <row r="233" spans="1:4" x14ac:dyDescent="0.3">
      <c r="A233">
        <v>20558144816</v>
      </c>
      <c r="B233" t="s">
        <v>366</v>
      </c>
    </row>
    <row r="234" spans="1:4" x14ac:dyDescent="0.3">
      <c r="A234">
        <v>20558203332</v>
      </c>
      <c r="B234" t="s">
        <v>367</v>
      </c>
    </row>
    <row r="235" spans="1:4" x14ac:dyDescent="0.3">
      <c r="A235">
        <v>20558226979</v>
      </c>
      <c r="B235" t="s">
        <v>368</v>
      </c>
    </row>
    <row r="236" spans="1:4" x14ac:dyDescent="0.3">
      <c r="A236">
        <v>20558320487</v>
      </c>
      <c r="B236" t="s">
        <v>369</v>
      </c>
    </row>
    <row r="237" spans="1:4" x14ac:dyDescent="0.3">
      <c r="A237">
        <v>20558353814</v>
      </c>
      <c r="B237" t="s">
        <v>370</v>
      </c>
      <c r="C237" t="s">
        <v>119</v>
      </c>
      <c r="D237" t="s">
        <v>371</v>
      </c>
    </row>
    <row r="238" spans="1:4" x14ac:dyDescent="0.3">
      <c r="A238">
        <v>20558378990</v>
      </c>
      <c r="B238" t="s">
        <v>372</v>
      </c>
      <c r="C238" t="s">
        <v>8</v>
      </c>
      <c r="D238" t="s">
        <v>373</v>
      </c>
    </row>
    <row r="239" spans="1:4" x14ac:dyDescent="0.3">
      <c r="A239">
        <v>20558627299</v>
      </c>
      <c r="B239" t="s">
        <v>374</v>
      </c>
      <c r="C239" t="s">
        <v>119</v>
      </c>
      <c r="D239" t="s">
        <v>375</v>
      </c>
    </row>
    <row r="240" spans="1:4" x14ac:dyDescent="0.3">
      <c r="A240">
        <v>20558698048</v>
      </c>
      <c r="B240" t="s">
        <v>376</v>
      </c>
    </row>
    <row r="241" spans="1:4" x14ac:dyDescent="0.3">
      <c r="A241">
        <v>20558740346</v>
      </c>
      <c r="B241" t="s">
        <v>377</v>
      </c>
      <c r="C241" t="s">
        <v>230</v>
      </c>
      <c r="D241" t="s">
        <v>378</v>
      </c>
    </row>
    <row r="242" spans="1:4" x14ac:dyDescent="0.3">
      <c r="A242">
        <v>20559075524</v>
      </c>
      <c r="B242" t="s">
        <v>379</v>
      </c>
    </row>
    <row r="243" spans="1:4" x14ac:dyDescent="0.3">
      <c r="A243">
        <v>20559124088</v>
      </c>
      <c r="B243" t="s">
        <v>380</v>
      </c>
    </row>
    <row r="244" spans="1:4" x14ac:dyDescent="0.3">
      <c r="A244">
        <v>20559141411</v>
      </c>
      <c r="B244" t="s">
        <v>381</v>
      </c>
    </row>
    <row r="245" spans="1:4" x14ac:dyDescent="0.3">
      <c r="A245">
        <v>20559271625</v>
      </c>
      <c r="B245" t="s">
        <v>382</v>
      </c>
    </row>
    <row r="246" spans="1:4" x14ac:dyDescent="0.3">
      <c r="A246">
        <v>20562856103</v>
      </c>
      <c r="B246" t="s">
        <v>383</v>
      </c>
    </row>
    <row r="247" spans="1:4" x14ac:dyDescent="0.3">
      <c r="A247">
        <v>20563260140</v>
      </c>
      <c r="B247" t="s">
        <v>384</v>
      </c>
    </row>
    <row r="248" spans="1:4" x14ac:dyDescent="0.3">
      <c r="A248">
        <v>20563371995</v>
      </c>
      <c r="B248" t="s">
        <v>385</v>
      </c>
      <c r="C248" t="s">
        <v>119</v>
      </c>
      <c r="D248" t="s">
        <v>386</v>
      </c>
    </row>
    <row r="249" spans="1:4" x14ac:dyDescent="0.3">
      <c r="A249">
        <v>20563784564</v>
      </c>
      <c r="B249" t="s">
        <v>387</v>
      </c>
    </row>
    <row r="250" spans="1:4" x14ac:dyDescent="0.3">
      <c r="A250">
        <v>20564022765</v>
      </c>
      <c r="B250" t="s">
        <v>388</v>
      </c>
    </row>
    <row r="251" spans="1:4" x14ac:dyDescent="0.3">
      <c r="A251">
        <v>20565347099</v>
      </c>
      <c r="B251" t="s">
        <v>389</v>
      </c>
    </row>
    <row r="252" spans="1:4" x14ac:dyDescent="0.3">
      <c r="A252">
        <v>20600111150</v>
      </c>
      <c r="B252" t="s">
        <v>390</v>
      </c>
    </row>
    <row r="253" spans="1:4" x14ac:dyDescent="0.3">
      <c r="A253">
        <v>20600179331</v>
      </c>
      <c r="B253" t="s">
        <v>391</v>
      </c>
    </row>
    <row r="254" spans="1:4" x14ac:dyDescent="0.3">
      <c r="A254">
        <v>20600398084</v>
      </c>
      <c r="B254" t="s">
        <v>392</v>
      </c>
    </row>
    <row r="255" spans="1:4" x14ac:dyDescent="0.3">
      <c r="A255">
        <v>20600608062</v>
      </c>
      <c r="B255" t="s">
        <v>393</v>
      </c>
    </row>
    <row r="256" spans="1:4" x14ac:dyDescent="0.3">
      <c r="A256">
        <v>20600790481</v>
      </c>
      <c r="B256" t="s">
        <v>394</v>
      </c>
    </row>
    <row r="257" spans="1:4" x14ac:dyDescent="0.3">
      <c r="A257">
        <v>20600847482</v>
      </c>
      <c r="B257" t="s">
        <v>395</v>
      </c>
    </row>
    <row r="258" spans="1:4" x14ac:dyDescent="0.3">
      <c r="A258">
        <v>20600849019</v>
      </c>
      <c r="B258" t="s">
        <v>396</v>
      </c>
    </row>
    <row r="259" spans="1:4" x14ac:dyDescent="0.3">
      <c r="A259">
        <v>20600849671</v>
      </c>
      <c r="B259" t="s">
        <v>397</v>
      </c>
    </row>
    <row r="260" spans="1:4" x14ac:dyDescent="0.3">
      <c r="A260">
        <v>20600871090</v>
      </c>
      <c r="B260" t="s">
        <v>398</v>
      </c>
    </row>
    <row r="261" spans="1:4" x14ac:dyDescent="0.3">
      <c r="A261">
        <v>20600910010</v>
      </c>
      <c r="B261" t="s">
        <v>399</v>
      </c>
      <c r="C261" t="s">
        <v>230</v>
      </c>
      <c r="D261" t="s">
        <v>400</v>
      </c>
    </row>
    <row r="262" spans="1:4" x14ac:dyDescent="0.3">
      <c r="A262">
        <v>20600931921</v>
      </c>
      <c r="B262" t="s">
        <v>401</v>
      </c>
    </row>
    <row r="263" spans="1:4" x14ac:dyDescent="0.3">
      <c r="A263">
        <v>20601014549</v>
      </c>
      <c r="B263" t="s">
        <v>402</v>
      </c>
    </row>
    <row r="264" spans="1:4" x14ac:dyDescent="0.3">
      <c r="A264">
        <v>20601067987</v>
      </c>
      <c r="B264" t="s">
        <v>403</v>
      </c>
    </row>
    <row r="265" spans="1:4" x14ac:dyDescent="0.3">
      <c r="A265">
        <v>20601116082</v>
      </c>
      <c r="B265" t="s">
        <v>404</v>
      </c>
    </row>
    <row r="266" spans="1:4" x14ac:dyDescent="0.3">
      <c r="A266">
        <v>20601119600</v>
      </c>
      <c r="B266" t="s">
        <v>405</v>
      </c>
    </row>
    <row r="267" spans="1:4" x14ac:dyDescent="0.3">
      <c r="A267">
        <v>20601223334</v>
      </c>
      <c r="B267" t="s">
        <v>406</v>
      </c>
    </row>
    <row r="268" spans="1:4" x14ac:dyDescent="0.3">
      <c r="A268">
        <v>20601279666</v>
      </c>
      <c r="B268" t="s">
        <v>407</v>
      </c>
      <c r="C268" t="s">
        <v>8</v>
      </c>
      <c r="D268" t="s">
        <v>408</v>
      </c>
    </row>
    <row r="269" spans="1:4" x14ac:dyDescent="0.3">
      <c r="A269">
        <v>20601399327</v>
      </c>
      <c r="B269" t="s">
        <v>409</v>
      </c>
      <c r="C269" t="s">
        <v>119</v>
      </c>
      <c r="D269" t="s">
        <v>410</v>
      </c>
    </row>
    <row r="270" spans="1:4" x14ac:dyDescent="0.3">
      <c r="A270">
        <v>20601456321</v>
      </c>
      <c r="B270" t="s">
        <v>411</v>
      </c>
    </row>
    <row r="271" spans="1:4" x14ac:dyDescent="0.3">
      <c r="A271">
        <v>20601537215</v>
      </c>
      <c r="B271" t="s">
        <v>412</v>
      </c>
    </row>
    <row r="272" spans="1:4" x14ac:dyDescent="0.3">
      <c r="A272">
        <v>20601769566</v>
      </c>
      <c r="B272" t="s">
        <v>413</v>
      </c>
    </row>
    <row r="273" spans="1:4" x14ac:dyDescent="0.3">
      <c r="A273">
        <v>20601883270</v>
      </c>
      <c r="B273" t="s">
        <v>414</v>
      </c>
      <c r="C273" t="s">
        <v>119</v>
      </c>
      <c r="D273" t="s">
        <v>415</v>
      </c>
    </row>
    <row r="274" spans="1:4" x14ac:dyDescent="0.3">
      <c r="A274">
        <v>20602059309</v>
      </c>
      <c r="B274" t="s">
        <v>416</v>
      </c>
    </row>
    <row r="275" spans="1:4" x14ac:dyDescent="0.3">
      <c r="A275">
        <v>20602075177</v>
      </c>
      <c r="B275" t="s">
        <v>417</v>
      </c>
      <c r="C275" t="s">
        <v>119</v>
      </c>
      <c r="D275" t="s">
        <v>418</v>
      </c>
    </row>
    <row r="276" spans="1:4" x14ac:dyDescent="0.3">
      <c r="A276">
        <v>20602114091</v>
      </c>
      <c r="B276" t="s">
        <v>419</v>
      </c>
    </row>
    <row r="277" spans="1:4" x14ac:dyDescent="0.3">
      <c r="A277">
        <v>20602152155</v>
      </c>
      <c r="B277" t="s">
        <v>420</v>
      </c>
    </row>
    <row r="278" spans="1:4" x14ac:dyDescent="0.3">
      <c r="A278">
        <v>20602177786</v>
      </c>
      <c r="B278" t="s">
        <v>421</v>
      </c>
    </row>
    <row r="279" spans="1:4" x14ac:dyDescent="0.3">
      <c r="A279">
        <v>20602191045</v>
      </c>
      <c r="B279" t="s">
        <v>422</v>
      </c>
      <c r="C279" t="s">
        <v>230</v>
      </c>
      <c r="D279" t="s">
        <v>423</v>
      </c>
    </row>
    <row r="280" spans="1:4" x14ac:dyDescent="0.3">
      <c r="A280">
        <v>20602438181</v>
      </c>
      <c r="B280" t="s">
        <v>424</v>
      </c>
    </row>
    <row r="281" spans="1:4" x14ac:dyDescent="0.3">
      <c r="A281">
        <v>20602441165</v>
      </c>
      <c r="B281" t="s">
        <v>425</v>
      </c>
    </row>
    <row r="282" spans="1:4" x14ac:dyDescent="0.3">
      <c r="A282">
        <v>20602456529</v>
      </c>
      <c r="B282" t="s">
        <v>426</v>
      </c>
      <c r="C282" t="s">
        <v>119</v>
      </c>
      <c r="D282" t="s">
        <v>427</v>
      </c>
    </row>
    <row r="283" spans="1:4" x14ac:dyDescent="0.3">
      <c r="A283">
        <v>20602462553</v>
      </c>
      <c r="B283" t="s">
        <v>428</v>
      </c>
    </row>
    <row r="284" spans="1:4" x14ac:dyDescent="0.3">
      <c r="A284">
        <v>20602462855</v>
      </c>
      <c r="B284" t="s">
        <v>429</v>
      </c>
    </row>
    <row r="285" spans="1:4" x14ac:dyDescent="0.3">
      <c r="A285">
        <v>20602463118</v>
      </c>
      <c r="B285" t="s">
        <v>430</v>
      </c>
    </row>
    <row r="286" spans="1:4" x14ac:dyDescent="0.3">
      <c r="A286">
        <v>20602484425</v>
      </c>
      <c r="B286" t="s">
        <v>431</v>
      </c>
      <c r="C286" t="s">
        <v>119</v>
      </c>
      <c r="D286" t="s">
        <v>432</v>
      </c>
    </row>
    <row r="287" spans="1:4" x14ac:dyDescent="0.3">
      <c r="A287">
        <v>20602499481</v>
      </c>
      <c r="B287" t="s">
        <v>433</v>
      </c>
      <c r="C287" t="s">
        <v>230</v>
      </c>
      <c r="D287" t="s">
        <v>434</v>
      </c>
    </row>
    <row r="288" spans="1:4" x14ac:dyDescent="0.3">
      <c r="A288">
        <v>20602593593</v>
      </c>
      <c r="B288" t="s">
        <v>435</v>
      </c>
    </row>
    <row r="289" spans="1:4" x14ac:dyDescent="0.3">
      <c r="A289">
        <v>20602751326</v>
      </c>
      <c r="B289" t="s">
        <v>436</v>
      </c>
      <c r="C289" t="s">
        <v>119</v>
      </c>
      <c r="D289" t="s">
        <v>437</v>
      </c>
    </row>
    <row r="290" spans="1:4" x14ac:dyDescent="0.3">
      <c r="A290">
        <v>20602778861</v>
      </c>
      <c r="B290" t="s">
        <v>438</v>
      </c>
      <c r="C290" t="s">
        <v>119</v>
      </c>
      <c r="D290" t="s">
        <v>439</v>
      </c>
    </row>
    <row r="291" spans="1:4" x14ac:dyDescent="0.3">
      <c r="A291">
        <v>20602810497</v>
      </c>
      <c r="B291" t="s">
        <v>440</v>
      </c>
      <c r="D291" t="s">
        <v>441</v>
      </c>
    </row>
    <row r="292" spans="1:4" x14ac:dyDescent="0.3">
      <c r="A292">
        <v>20602818161</v>
      </c>
      <c r="B292" t="s">
        <v>442</v>
      </c>
      <c r="C292" t="s">
        <v>230</v>
      </c>
      <c r="D292" t="s">
        <v>443</v>
      </c>
    </row>
    <row r="293" spans="1:4" x14ac:dyDescent="0.3">
      <c r="A293">
        <v>20602978274</v>
      </c>
      <c r="B293" t="s">
        <v>444</v>
      </c>
    </row>
    <row r="294" spans="1:4" x14ac:dyDescent="0.3">
      <c r="A294">
        <v>20602996043</v>
      </c>
      <c r="B294" t="s">
        <v>445</v>
      </c>
    </row>
    <row r="295" spans="1:4" x14ac:dyDescent="0.3">
      <c r="A295">
        <v>20603001461</v>
      </c>
      <c r="B295" t="s">
        <v>446</v>
      </c>
      <c r="C295" t="s">
        <v>119</v>
      </c>
      <c r="D295" t="s">
        <v>447</v>
      </c>
    </row>
    <row r="296" spans="1:4" x14ac:dyDescent="0.3">
      <c r="A296">
        <v>20603065906</v>
      </c>
      <c r="B296" t="s">
        <v>448</v>
      </c>
    </row>
    <row r="297" spans="1:4" x14ac:dyDescent="0.3">
      <c r="A297">
        <v>20603087675</v>
      </c>
      <c r="B297" t="s">
        <v>449</v>
      </c>
    </row>
    <row r="298" spans="1:4" x14ac:dyDescent="0.3">
      <c r="A298">
        <v>20603192517</v>
      </c>
      <c r="B298" t="s">
        <v>450</v>
      </c>
    </row>
    <row r="299" spans="1:4" x14ac:dyDescent="0.3">
      <c r="A299">
        <v>20603232888</v>
      </c>
      <c r="B299" t="s">
        <v>451</v>
      </c>
    </row>
    <row r="300" spans="1:4" x14ac:dyDescent="0.3">
      <c r="A300">
        <v>20603264208</v>
      </c>
      <c r="B300" t="s">
        <v>452</v>
      </c>
    </row>
    <row r="301" spans="1:4" x14ac:dyDescent="0.3">
      <c r="A301">
        <v>20603361190</v>
      </c>
      <c r="B301" t="s">
        <v>453</v>
      </c>
    </row>
    <row r="302" spans="1:4" x14ac:dyDescent="0.3">
      <c r="A302">
        <v>20603369352</v>
      </c>
      <c r="B302" t="s">
        <v>454</v>
      </c>
      <c r="C302" t="s">
        <v>119</v>
      </c>
      <c r="D302" t="s">
        <v>455</v>
      </c>
    </row>
    <row r="303" spans="1:4" x14ac:dyDescent="0.3">
      <c r="A303">
        <v>20603453396</v>
      </c>
      <c r="B303" t="s">
        <v>456</v>
      </c>
      <c r="C303" t="s">
        <v>230</v>
      </c>
      <c r="D303" t="s">
        <v>457</v>
      </c>
    </row>
    <row r="304" spans="1:4" x14ac:dyDescent="0.3">
      <c r="A304">
        <v>20603467150</v>
      </c>
      <c r="B304" t="s">
        <v>458</v>
      </c>
    </row>
    <row r="305" spans="1:4" x14ac:dyDescent="0.3">
      <c r="A305">
        <v>20603536569</v>
      </c>
      <c r="B305" t="s">
        <v>459</v>
      </c>
    </row>
    <row r="306" spans="1:4" x14ac:dyDescent="0.3">
      <c r="A306">
        <v>20603681755</v>
      </c>
      <c r="B306" t="s">
        <v>460</v>
      </c>
    </row>
    <row r="307" spans="1:4" x14ac:dyDescent="0.3">
      <c r="A307">
        <v>20603912838</v>
      </c>
      <c r="B307" t="s">
        <v>461</v>
      </c>
      <c r="C307" t="s">
        <v>119</v>
      </c>
      <c r="D307" t="s">
        <v>462</v>
      </c>
    </row>
    <row r="308" spans="1:4" x14ac:dyDescent="0.3">
      <c r="A308">
        <v>20603954964</v>
      </c>
      <c r="B308" t="s">
        <v>463</v>
      </c>
      <c r="C308" t="s">
        <v>119</v>
      </c>
      <c r="D308" t="s">
        <v>464</v>
      </c>
    </row>
    <row r="309" spans="1:4" x14ac:dyDescent="0.3">
      <c r="A309">
        <v>20603974817</v>
      </c>
      <c r="B309" t="s">
        <v>465</v>
      </c>
      <c r="C309" t="s">
        <v>119</v>
      </c>
      <c r="D309" t="s">
        <v>466</v>
      </c>
    </row>
    <row r="310" spans="1:4" x14ac:dyDescent="0.3">
      <c r="A310">
        <v>20604044082</v>
      </c>
      <c r="B310" t="s">
        <v>467</v>
      </c>
    </row>
    <row r="311" spans="1:4" x14ac:dyDescent="0.3">
      <c r="A311">
        <v>20604304831</v>
      </c>
      <c r="B311" t="s">
        <v>468</v>
      </c>
      <c r="C311" t="s">
        <v>119</v>
      </c>
      <c r="D311" t="s">
        <v>469</v>
      </c>
    </row>
    <row r="312" spans="1:4" x14ac:dyDescent="0.3">
      <c r="A312">
        <v>20604400865</v>
      </c>
      <c r="B312" t="s">
        <v>470</v>
      </c>
      <c r="C312" t="s">
        <v>230</v>
      </c>
      <c r="D312" t="s">
        <v>471</v>
      </c>
    </row>
    <row r="313" spans="1:4" x14ac:dyDescent="0.3">
      <c r="A313">
        <v>20604555478</v>
      </c>
      <c r="B313" t="s">
        <v>472</v>
      </c>
      <c r="C313" t="s">
        <v>119</v>
      </c>
      <c r="D313" t="s">
        <v>473</v>
      </c>
    </row>
    <row r="314" spans="1:4" x14ac:dyDescent="0.3">
      <c r="A314">
        <v>20604645272</v>
      </c>
      <c r="B314" t="s">
        <v>474</v>
      </c>
    </row>
    <row r="315" spans="1:4" x14ac:dyDescent="0.3">
      <c r="A315">
        <v>20604684669</v>
      </c>
      <c r="B315" t="s">
        <v>475</v>
      </c>
    </row>
    <row r="316" spans="1:4" x14ac:dyDescent="0.3">
      <c r="A316">
        <v>20604692742</v>
      </c>
      <c r="B316" t="s">
        <v>476</v>
      </c>
    </row>
    <row r="317" spans="1:4" x14ac:dyDescent="0.3">
      <c r="A317">
        <v>20604856745</v>
      </c>
      <c r="B317" t="s">
        <v>477</v>
      </c>
      <c r="C317" t="s">
        <v>119</v>
      </c>
      <c r="D317" t="s">
        <v>478</v>
      </c>
    </row>
    <row r="318" spans="1:4" x14ac:dyDescent="0.3">
      <c r="A318">
        <v>20605263659</v>
      </c>
      <c r="B318" t="s">
        <v>479</v>
      </c>
    </row>
    <row r="319" spans="1:4" x14ac:dyDescent="0.3">
      <c r="A319">
        <v>20605447814</v>
      </c>
      <c r="B319" t="s">
        <v>480</v>
      </c>
      <c r="C319" t="s">
        <v>119</v>
      </c>
      <c r="D319" t="s">
        <v>481</v>
      </c>
    </row>
    <row r="320" spans="1:4" x14ac:dyDescent="0.3">
      <c r="A320">
        <v>20605566198</v>
      </c>
      <c r="B320" t="s">
        <v>482</v>
      </c>
    </row>
    <row r="321" spans="1:4" x14ac:dyDescent="0.3">
      <c r="A321">
        <v>20605841903</v>
      </c>
      <c r="B321" t="s">
        <v>483</v>
      </c>
    </row>
    <row r="322" spans="1:4" x14ac:dyDescent="0.3">
      <c r="A322">
        <v>20605931457</v>
      </c>
      <c r="B322" t="s">
        <v>484</v>
      </c>
      <c r="C322" t="s">
        <v>119</v>
      </c>
      <c r="D322" t="s">
        <v>485</v>
      </c>
    </row>
    <row r="323" spans="1:4" x14ac:dyDescent="0.3">
      <c r="A323">
        <v>20606089032</v>
      </c>
      <c r="B323" t="s">
        <v>486</v>
      </c>
      <c r="C323" t="s">
        <v>119</v>
      </c>
      <c r="D323" t="s">
        <v>487</v>
      </c>
    </row>
    <row r="324" spans="1:4" x14ac:dyDescent="0.3">
      <c r="A324">
        <v>20606362405</v>
      </c>
      <c r="B324" t="s">
        <v>488</v>
      </c>
    </row>
    <row r="325" spans="1:4" x14ac:dyDescent="0.3">
      <c r="A325">
        <v>20606447079</v>
      </c>
      <c r="B325" t="s">
        <v>489</v>
      </c>
    </row>
    <row r="326" spans="1:4" x14ac:dyDescent="0.3">
      <c r="A326">
        <v>20606541580</v>
      </c>
      <c r="B326" t="s">
        <v>490</v>
      </c>
      <c r="C326" t="s">
        <v>230</v>
      </c>
      <c r="D326" t="s">
        <v>491</v>
      </c>
    </row>
    <row r="327" spans="1:4" x14ac:dyDescent="0.3">
      <c r="A327">
        <v>20606579641</v>
      </c>
      <c r="B327" t="s">
        <v>492</v>
      </c>
      <c r="C327" t="s">
        <v>119</v>
      </c>
      <c r="D327" t="s">
        <v>493</v>
      </c>
    </row>
    <row r="328" spans="1:4" x14ac:dyDescent="0.3">
      <c r="A328">
        <v>20606592494</v>
      </c>
      <c r="B328" t="s">
        <v>494</v>
      </c>
    </row>
    <row r="329" spans="1:4" x14ac:dyDescent="0.3">
      <c r="A329">
        <v>20606772344</v>
      </c>
      <c r="B329" t="s">
        <v>495</v>
      </c>
    </row>
    <row r="330" spans="1:4" x14ac:dyDescent="0.3">
      <c r="A330">
        <v>20606866861</v>
      </c>
      <c r="B330" t="s">
        <v>496</v>
      </c>
      <c r="C330" t="s">
        <v>119</v>
      </c>
      <c r="D330" t="s">
        <v>7930</v>
      </c>
    </row>
    <row r="331" spans="1:4" x14ac:dyDescent="0.3">
      <c r="A331">
        <v>20607388416</v>
      </c>
      <c r="B331" t="s">
        <v>497</v>
      </c>
    </row>
    <row r="332" spans="1:4" x14ac:dyDescent="0.3">
      <c r="A332">
        <v>20607722065</v>
      </c>
      <c r="B332" t="s">
        <v>498</v>
      </c>
    </row>
    <row r="333" spans="1:4" x14ac:dyDescent="0.3">
      <c r="A333">
        <v>20608195891</v>
      </c>
      <c r="B333" t="s">
        <v>499</v>
      </c>
      <c r="C333" t="s">
        <v>119</v>
      </c>
      <c r="D333" t="s">
        <v>500</v>
      </c>
    </row>
    <row r="334" spans="1:4" x14ac:dyDescent="0.3">
      <c r="A334">
        <v>20608196812</v>
      </c>
      <c r="B334" t="s">
        <v>501</v>
      </c>
      <c r="C334" t="s">
        <v>119</v>
      </c>
      <c r="D334" t="s">
        <v>502</v>
      </c>
    </row>
    <row r="335" spans="1:4" x14ac:dyDescent="0.3">
      <c r="A335">
        <v>20608207741</v>
      </c>
      <c r="B335" t="s">
        <v>503</v>
      </c>
    </row>
    <row r="336" spans="1:4" x14ac:dyDescent="0.3">
      <c r="A336">
        <v>20608450344</v>
      </c>
      <c r="B336" t="s">
        <v>504</v>
      </c>
    </row>
    <row r="337" spans="1:4" x14ac:dyDescent="0.3">
      <c r="A337">
        <v>20608490494</v>
      </c>
      <c r="B337" t="s">
        <v>505</v>
      </c>
    </row>
    <row r="338" spans="1:4" x14ac:dyDescent="0.3">
      <c r="A338">
        <v>20608545591</v>
      </c>
      <c r="B338" t="s">
        <v>506</v>
      </c>
    </row>
    <row r="339" spans="1:4" x14ac:dyDescent="0.3">
      <c r="A339">
        <v>20608587803</v>
      </c>
      <c r="B339" t="s">
        <v>507</v>
      </c>
      <c r="C339" t="s">
        <v>119</v>
      </c>
      <c r="D339" t="s">
        <v>508</v>
      </c>
    </row>
    <row r="340" spans="1:4" x14ac:dyDescent="0.3">
      <c r="A340">
        <v>20608671324</v>
      </c>
      <c r="B340" t="s">
        <v>509</v>
      </c>
      <c r="C340" t="s">
        <v>119</v>
      </c>
      <c r="D340" t="s">
        <v>510</v>
      </c>
    </row>
    <row r="341" spans="1:4" x14ac:dyDescent="0.3">
      <c r="A341">
        <v>20608686747</v>
      </c>
      <c r="B341" t="s">
        <v>511</v>
      </c>
      <c r="C341" t="s">
        <v>8</v>
      </c>
      <c r="D341" t="s">
        <v>512</v>
      </c>
    </row>
    <row r="342" spans="1:4" x14ac:dyDescent="0.3">
      <c r="A342">
        <v>20608731661</v>
      </c>
      <c r="B342" t="s">
        <v>513</v>
      </c>
      <c r="C342" t="s">
        <v>119</v>
      </c>
      <c r="D342" t="s">
        <v>514</v>
      </c>
    </row>
    <row r="343" spans="1:4" x14ac:dyDescent="0.3">
      <c r="A343">
        <v>20608740211</v>
      </c>
      <c r="B343" t="s">
        <v>515</v>
      </c>
      <c r="C343" t="s">
        <v>516</v>
      </c>
    </row>
    <row r="344" spans="1:4" x14ac:dyDescent="0.3">
      <c r="A344">
        <v>20608970909</v>
      </c>
      <c r="B344" t="s">
        <v>517</v>
      </c>
    </row>
    <row r="345" spans="1:4" x14ac:dyDescent="0.3">
      <c r="A345">
        <v>20608983172</v>
      </c>
      <c r="B345" t="s">
        <v>518</v>
      </c>
      <c r="C345" t="s">
        <v>8</v>
      </c>
      <c r="D345" t="s">
        <v>519</v>
      </c>
    </row>
    <row r="346" spans="1:4" x14ac:dyDescent="0.3">
      <c r="A346">
        <v>20609036347</v>
      </c>
      <c r="B346" t="s">
        <v>520</v>
      </c>
    </row>
    <row r="347" spans="1:4" x14ac:dyDescent="0.3">
      <c r="A347">
        <v>20609039249</v>
      </c>
      <c r="B347" t="s">
        <v>521</v>
      </c>
    </row>
    <row r="348" spans="1:4" x14ac:dyDescent="0.3">
      <c r="A348">
        <v>20609123762</v>
      </c>
      <c r="B348" t="s">
        <v>522</v>
      </c>
      <c r="C348" t="s">
        <v>119</v>
      </c>
      <c r="D348" t="s">
        <v>523</v>
      </c>
    </row>
    <row r="349" spans="1:4" x14ac:dyDescent="0.3">
      <c r="A349">
        <v>20609130165</v>
      </c>
      <c r="B349" t="s">
        <v>524</v>
      </c>
    </row>
    <row r="350" spans="1:4" x14ac:dyDescent="0.3">
      <c r="A350">
        <v>20609155303</v>
      </c>
      <c r="B350" t="s">
        <v>525</v>
      </c>
      <c r="C350" t="s">
        <v>119</v>
      </c>
      <c r="D350" t="s">
        <v>526</v>
      </c>
    </row>
    <row r="351" spans="1:4" x14ac:dyDescent="0.3">
      <c r="A351">
        <v>20609221560</v>
      </c>
      <c r="B351" t="s">
        <v>527</v>
      </c>
      <c r="C351" t="s">
        <v>119</v>
      </c>
      <c r="D351" t="s">
        <v>528</v>
      </c>
    </row>
    <row r="352" spans="1:4" x14ac:dyDescent="0.3">
      <c r="A352">
        <v>20609231573</v>
      </c>
      <c r="B352" t="s">
        <v>529</v>
      </c>
    </row>
    <row r="353" spans="1:4" x14ac:dyDescent="0.3">
      <c r="A353">
        <v>20609368773</v>
      </c>
      <c r="B353" t="s">
        <v>530</v>
      </c>
      <c r="C353" t="s">
        <v>8</v>
      </c>
      <c r="D353" t="s">
        <v>531</v>
      </c>
    </row>
    <row r="354" spans="1:4" x14ac:dyDescent="0.3">
      <c r="A354">
        <v>20609397803</v>
      </c>
      <c r="B354" t="s">
        <v>532</v>
      </c>
    </row>
    <row r="355" spans="1:4" x14ac:dyDescent="0.3">
      <c r="A355">
        <v>20609580292</v>
      </c>
      <c r="B355" t="s">
        <v>533</v>
      </c>
    </row>
    <row r="356" spans="1:4" x14ac:dyDescent="0.3">
      <c r="A356">
        <v>20609678241</v>
      </c>
      <c r="B356" t="s">
        <v>534</v>
      </c>
      <c r="C356" t="s">
        <v>119</v>
      </c>
      <c r="D356" t="s">
        <v>535</v>
      </c>
    </row>
    <row r="357" spans="1:4" x14ac:dyDescent="0.3">
      <c r="A357">
        <v>20609764261</v>
      </c>
      <c r="B357" t="s">
        <v>536</v>
      </c>
      <c r="C357" t="s">
        <v>119</v>
      </c>
      <c r="D357" t="s">
        <v>537</v>
      </c>
    </row>
    <row r="358" spans="1:4" x14ac:dyDescent="0.3">
      <c r="A358">
        <v>20609876621</v>
      </c>
      <c r="B358" t="s">
        <v>538</v>
      </c>
    </row>
    <row r="359" spans="1:4" x14ac:dyDescent="0.3">
      <c r="A359">
        <v>20609906490</v>
      </c>
      <c r="B359" t="s">
        <v>539</v>
      </c>
    </row>
    <row r="360" spans="1:4" x14ac:dyDescent="0.3">
      <c r="A360">
        <v>20609908492</v>
      </c>
      <c r="B360" t="s">
        <v>540</v>
      </c>
      <c r="C360" t="s">
        <v>8</v>
      </c>
      <c r="D360" t="s">
        <v>541</v>
      </c>
    </row>
    <row r="361" spans="1:4" x14ac:dyDescent="0.3">
      <c r="A361">
        <v>20610156445</v>
      </c>
      <c r="B361" t="s">
        <v>542</v>
      </c>
    </row>
    <row r="362" spans="1:4" x14ac:dyDescent="0.3">
      <c r="A362">
        <v>20610293906</v>
      </c>
      <c r="B362" t="s">
        <v>543</v>
      </c>
    </row>
    <row r="363" spans="1:4" x14ac:dyDescent="0.3">
      <c r="A363">
        <v>20610364226</v>
      </c>
      <c r="B363" t="s">
        <v>544</v>
      </c>
      <c r="C363" t="s">
        <v>119</v>
      </c>
      <c r="D363" t="s">
        <v>545</v>
      </c>
    </row>
    <row r="364" spans="1:4" x14ac:dyDescent="0.3">
      <c r="A364">
        <v>20610713115</v>
      </c>
      <c r="B364" t="s">
        <v>546</v>
      </c>
      <c r="C364" t="s">
        <v>119</v>
      </c>
      <c r="D364" t="s">
        <v>547</v>
      </c>
    </row>
    <row r="365" spans="1:4" x14ac:dyDescent="0.3">
      <c r="A365">
        <v>20610717331</v>
      </c>
      <c r="B365" t="s">
        <v>548</v>
      </c>
      <c r="C365" t="s">
        <v>119</v>
      </c>
      <c r="D365" t="s">
        <v>549</v>
      </c>
    </row>
    <row r="366" spans="1:4" x14ac:dyDescent="0.3">
      <c r="A366">
        <v>20610719717</v>
      </c>
      <c r="B366" t="s">
        <v>550</v>
      </c>
      <c r="C366" t="s">
        <v>119</v>
      </c>
      <c r="D366" t="s">
        <v>500</v>
      </c>
    </row>
    <row r="367" spans="1:4" x14ac:dyDescent="0.3">
      <c r="A367">
        <v>20611579447</v>
      </c>
      <c r="B367" t="s">
        <v>551</v>
      </c>
    </row>
    <row r="368" spans="1:4" x14ac:dyDescent="0.3">
      <c r="A368">
        <v>20612094862</v>
      </c>
      <c r="B368" t="s">
        <v>552</v>
      </c>
    </row>
    <row r="369" spans="1:4" x14ac:dyDescent="0.3">
      <c r="A369">
        <v>20612924920</v>
      </c>
      <c r="B369" t="s">
        <v>553</v>
      </c>
    </row>
    <row r="370" spans="1:4" x14ac:dyDescent="0.3">
      <c r="A370">
        <v>20613068245</v>
      </c>
      <c r="B370" t="s">
        <v>554</v>
      </c>
    </row>
    <row r="371" spans="1:4" x14ac:dyDescent="0.3">
      <c r="A371">
        <v>20121393736</v>
      </c>
      <c r="B371" t="s">
        <v>168</v>
      </c>
    </row>
    <row r="372" spans="1:4" x14ac:dyDescent="0.3">
      <c r="A372">
        <v>20605765824</v>
      </c>
      <c r="B372" t="s">
        <v>555</v>
      </c>
    </row>
    <row r="373" spans="1:4" x14ac:dyDescent="0.3">
      <c r="A373">
        <v>20612157457</v>
      </c>
      <c r="B373" t="s">
        <v>556</v>
      </c>
    </row>
    <row r="374" spans="1:4" x14ac:dyDescent="0.3">
      <c r="A374">
        <v>20604856745</v>
      </c>
      <c r="B374" t="s">
        <v>477</v>
      </c>
    </row>
    <row r="375" spans="1:4" x14ac:dyDescent="0.3">
      <c r="A375">
        <v>20370146994</v>
      </c>
      <c r="B375" t="s">
        <v>557</v>
      </c>
    </row>
    <row r="376" spans="1:4" x14ac:dyDescent="0.3">
      <c r="A376">
        <v>20505675836</v>
      </c>
      <c r="B376" t="s">
        <v>289</v>
      </c>
    </row>
    <row r="377" spans="1:4" x14ac:dyDescent="0.3">
      <c r="A377">
        <v>20607076783</v>
      </c>
      <c r="B377" t="s">
        <v>558</v>
      </c>
    </row>
    <row r="378" spans="1:4" x14ac:dyDescent="0.3">
      <c r="A378">
        <v>20611280999</v>
      </c>
      <c r="B378" t="s">
        <v>559</v>
      </c>
      <c r="C378" t="s">
        <v>119</v>
      </c>
      <c r="D378" t="s">
        <v>560</v>
      </c>
    </row>
    <row r="379" spans="1:4" x14ac:dyDescent="0.3">
      <c r="A379">
        <v>20547132158</v>
      </c>
      <c r="B379" t="s">
        <v>561</v>
      </c>
    </row>
    <row r="380" spans="1:4" x14ac:dyDescent="0.3">
      <c r="A380">
        <v>20462509236</v>
      </c>
      <c r="B380" t="s">
        <v>562</v>
      </c>
    </row>
    <row r="381" spans="1:4" x14ac:dyDescent="0.3">
      <c r="A381">
        <v>20605570829</v>
      </c>
      <c r="B381" t="s">
        <v>563</v>
      </c>
    </row>
    <row r="382" spans="1:4" x14ac:dyDescent="0.3">
      <c r="A382">
        <v>20516903113</v>
      </c>
      <c r="B382" t="s">
        <v>564</v>
      </c>
    </row>
    <row r="383" spans="1:4" x14ac:dyDescent="0.3">
      <c r="A383">
        <v>20454819137</v>
      </c>
      <c r="B383" t="s">
        <v>565</v>
      </c>
      <c r="C383" t="s">
        <v>119</v>
      </c>
      <c r="D383" t="s">
        <v>566</v>
      </c>
    </row>
    <row r="384" spans="1:4" x14ac:dyDescent="0.3">
      <c r="A384">
        <v>20607393037</v>
      </c>
      <c r="B384" t="s">
        <v>567</v>
      </c>
    </row>
    <row r="385" spans="1:4" x14ac:dyDescent="0.3">
      <c r="A385">
        <v>20549334874</v>
      </c>
      <c r="B385" t="s">
        <v>568</v>
      </c>
      <c r="C385" t="s">
        <v>8</v>
      </c>
      <c r="D385" t="s">
        <v>569</v>
      </c>
    </row>
    <row r="386" spans="1:4" x14ac:dyDescent="0.3">
      <c r="A386">
        <v>20539347226</v>
      </c>
      <c r="B386" t="s">
        <v>570</v>
      </c>
      <c r="C386" t="s">
        <v>8</v>
      </c>
      <c r="D386" t="s">
        <v>571</v>
      </c>
    </row>
    <row r="387" spans="1:4" x14ac:dyDescent="0.3">
      <c r="A387">
        <v>20553956324</v>
      </c>
      <c r="B387" t="s">
        <v>572</v>
      </c>
    </row>
    <row r="388" spans="1:4" x14ac:dyDescent="0.3">
      <c r="A388">
        <v>20606120657</v>
      </c>
      <c r="B388" t="s">
        <v>573</v>
      </c>
      <c r="C388" t="s">
        <v>119</v>
      </c>
      <c r="D388" t="s">
        <v>574</v>
      </c>
    </row>
    <row r="389" spans="1:4" x14ac:dyDescent="0.3">
      <c r="A389">
        <v>20498220062</v>
      </c>
      <c r="B389" t="s">
        <v>575</v>
      </c>
    </row>
    <row r="390" spans="1:4" x14ac:dyDescent="0.3">
      <c r="A390">
        <v>20557451537</v>
      </c>
      <c r="B390" t="s">
        <v>576</v>
      </c>
      <c r="C390" t="s">
        <v>119</v>
      </c>
      <c r="D390" t="s">
        <v>577</v>
      </c>
    </row>
    <row r="391" spans="1:4" x14ac:dyDescent="0.3">
      <c r="A391">
        <v>20608373731</v>
      </c>
      <c r="B391" t="s">
        <v>578</v>
      </c>
    </row>
    <row r="392" spans="1:4" x14ac:dyDescent="0.3">
      <c r="A392">
        <v>20203412038</v>
      </c>
      <c r="B392" t="s">
        <v>579</v>
      </c>
    </row>
    <row r="393" spans="1:4" x14ac:dyDescent="0.3">
      <c r="A393">
        <v>20602484344</v>
      </c>
      <c r="B393" t="s">
        <v>580</v>
      </c>
      <c r="C393" t="s">
        <v>119</v>
      </c>
      <c r="D393" t="s">
        <v>581</v>
      </c>
    </row>
    <row r="394" spans="1:4" x14ac:dyDescent="0.3">
      <c r="A394">
        <v>20612298808</v>
      </c>
      <c r="B394" t="s">
        <v>582</v>
      </c>
      <c r="C394" t="s">
        <v>119</v>
      </c>
      <c r="D394" t="s">
        <v>583</v>
      </c>
    </row>
    <row r="395" spans="1:4" x14ac:dyDescent="0.3">
      <c r="A395">
        <v>10712274218</v>
      </c>
      <c r="B395" t="s">
        <v>584</v>
      </c>
    </row>
    <row r="396" spans="1:4" x14ac:dyDescent="0.3">
      <c r="A396">
        <v>20120877055</v>
      </c>
      <c r="B396" t="s">
        <v>585</v>
      </c>
    </row>
    <row r="397" spans="1:4" x14ac:dyDescent="0.3">
      <c r="A397">
        <v>20601045835</v>
      </c>
      <c r="B397" t="s">
        <v>586</v>
      </c>
    </row>
    <row r="398" spans="1:4" x14ac:dyDescent="0.3">
      <c r="A398">
        <v>20603577079</v>
      </c>
      <c r="B398" t="s">
        <v>587</v>
      </c>
    </row>
    <row r="399" spans="1:4" x14ac:dyDescent="0.3">
      <c r="A399">
        <v>20100036101</v>
      </c>
      <c r="B399" t="s">
        <v>588</v>
      </c>
      <c r="C399" t="s">
        <v>119</v>
      </c>
      <c r="D399" t="s">
        <v>589</v>
      </c>
    </row>
    <row r="400" spans="1:4" x14ac:dyDescent="0.3">
      <c r="A400">
        <v>20265681299</v>
      </c>
      <c r="B400" t="s">
        <v>590</v>
      </c>
    </row>
    <row r="401" spans="1:4" x14ac:dyDescent="0.3">
      <c r="A401">
        <v>20454317468</v>
      </c>
      <c r="B401" t="s">
        <v>591</v>
      </c>
    </row>
    <row r="402" spans="1:4" x14ac:dyDescent="0.3">
      <c r="A402">
        <v>10292831973</v>
      </c>
      <c r="B402" t="s">
        <v>592</v>
      </c>
    </row>
    <row r="403" spans="1:4" x14ac:dyDescent="0.3">
      <c r="A403">
        <v>10024073951</v>
      </c>
      <c r="B403" t="s">
        <v>593</v>
      </c>
      <c r="C403" t="s">
        <v>8</v>
      </c>
      <c r="D403" t="s">
        <v>594</v>
      </c>
    </row>
    <row r="404" spans="1:4" x14ac:dyDescent="0.3">
      <c r="A404">
        <v>20100776562</v>
      </c>
      <c r="B404" t="s">
        <v>595</v>
      </c>
    </row>
    <row r="405" spans="1:4" x14ac:dyDescent="0.3">
      <c r="A405">
        <v>20305909611</v>
      </c>
      <c r="B405" t="s">
        <v>596</v>
      </c>
    </row>
    <row r="406" spans="1:4" x14ac:dyDescent="0.3">
      <c r="A406">
        <v>10306634351</v>
      </c>
      <c r="B406" t="s">
        <v>597</v>
      </c>
      <c r="C406" t="s">
        <v>8</v>
      </c>
      <c r="D406" t="s">
        <v>598</v>
      </c>
    </row>
    <row r="407" spans="1:4" x14ac:dyDescent="0.3">
      <c r="A407">
        <v>20603002190</v>
      </c>
      <c r="B407" t="s">
        <v>599</v>
      </c>
    </row>
    <row r="408" spans="1:4" x14ac:dyDescent="0.3">
      <c r="A408">
        <v>15609125303</v>
      </c>
      <c r="B408" t="s">
        <v>600</v>
      </c>
    </row>
    <row r="409" spans="1:4" x14ac:dyDescent="0.3">
      <c r="A409">
        <v>20406350178</v>
      </c>
      <c r="B409" t="s">
        <v>206</v>
      </c>
    </row>
    <row r="410" spans="1:4" x14ac:dyDescent="0.3">
      <c r="A410">
        <v>20159473148</v>
      </c>
      <c r="B410" t="s">
        <v>601</v>
      </c>
    </row>
    <row r="411" spans="1:4" x14ac:dyDescent="0.3">
      <c r="A411">
        <v>20613110586</v>
      </c>
      <c r="B411" t="s">
        <v>602</v>
      </c>
    </row>
    <row r="412" spans="1:4" x14ac:dyDescent="0.3">
      <c r="A412">
        <v>20510942559</v>
      </c>
      <c r="B412" t="s">
        <v>603</v>
      </c>
      <c r="C412" t="s">
        <v>119</v>
      </c>
      <c r="D412" t="s">
        <v>604</v>
      </c>
    </row>
    <row r="413" spans="1:4" x14ac:dyDescent="0.3">
      <c r="A413">
        <v>20601852927</v>
      </c>
      <c r="B413" t="s">
        <v>605</v>
      </c>
    </row>
    <row r="414" spans="1:4" x14ac:dyDescent="0.3">
      <c r="A414">
        <v>20556254177</v>
      </c>
      <c r="B414" t="s">
        <v>606</v>
      </c>
    </row>
    <row r="415" spans="1:4" x14ac:dyDescent="0.3">
      <c r="A415">
        <v>20601649315</v>
      </c>
      <c r="B415" t="s">
        <v>607</v>
      </c>
    </row>
    <row r="416" spans="1:4" x14ac:dyDescent="0.3">
      <c r="A416">
        <v>20120788389</v>
      </c>
      <c r="B416" t="s">
        <v>608</v>
      </c>
    </row>
    <row r="417" spans="1:4" x14ac:dyDescent="0.3">
      <c r="A417">
        <v>10410687491</v>
      </c>
      <c r="B417" t="s">
        <v>609</v>
      </c>
      <c r="C417" t="s">
        <v>8</v>
      </c>
      <c r="D417" t="s">
        <v>610</v>
      </c>
    </row>
    <row r="418" spans="1:4" x14ac:dyDescent="0.3">
      <c r="A418">
        <v>20603508387</v>
      </c>
      <c r="B418" t="s">
        <v>611</v>
      </c>
    </row>
    <row r="419" spans="1:4" x14ac:dyDescent="0.3">
      <c r="A419">
        <v>20523363337</v>
      </c>
      <c r="B419" t="s">
        <v>612</v>
      </c>
    </row>
    <row r="420" spans="1:4" x14ac:dyDescent="0.3">
      <c r="A420">
        <v>20455977330</v>
      </c>
      <c r="B420" t="s">
        <v>613</v>
      </c>
    </row>
    <row r="421" spans="1:4" x14ac:dyDescent="0.3">
      <c r="A421">
        <v>10439205666</v>
      </c>
      <c r="B421" t="s">
        <v>614</v>
      </c>
    </row>
    <row r="422" spans="1:4" x14ac:dyDescent="0.3">
      <c r="A422">
        <v>20613809261</v>
      </c>
      <c r="B422" t="s">
        <v>615</v>
      </c>
    </row>
    <row r="423" spans="1:4" x14ac:dyDescent="0.3">
      <c r="A423">
        <v>20455703558</v>
      </c>
      <c r="B423" t="s">
        <v>616</v>
      </c>
    </row>
    <row r="424" spans="1:4" x14ac:dyDescent="0.3">
      <c r="A424">
        <v>20455911401</v>
      </c>
      <c r="B424" t="s">
        <v>617</v>
      </c>
      <c r="C424" t="s">
        <v>119</v>
      </c>
      <c r="D424" t="s">
        <v>618</v>
      </c>
    </row>
    <row r="425" spans="1:4" x14ac:dyDescent="0.3">
      <c r="A425">
        <v>20611035072</v>
      </c>
      <c r="B425" t="s">
        <v>619</v>
      </c>
    </row>
    <row r="426" spans="1:4" x14ac:dyDescent="0.3">
      <c r="A426">
        <v>10420945511</v>
      </c>
      <c r="B426" t="s">
        <v>620</v>
      </c>
    </row>
    <row r="427" spans="1:4" x14ac:dyDescent="0.3">
      <c r="A427">
        <v>20454993757</v>
      </c>
      <c r="B427" t="s">
        <v>621</v>
      </c>
    </row>
    <row r="428" spans="1:4" x14ac:dyDescent="0.3">
      <c r="A428">
        <v>10449556327</v>
      </c>
      <c r="B428" t="s">
        <v>622</v>
      </c>
    </row>
    <row r="429" spans="1:4" x14ac:dyDescent="0.3">
      <c r="A429">
        <v>20100686814</v>
      </c>
      <c r="B429" t="s">
        <v>623</v>
      </c>
    </row>
    <row r="430" spans="1:4" x14ac:dyDescent="0.3">
      <c r="A430">
        <v>20259858934</v>
      </c>
      <c r="B430" t="s">
        <v>624</v>
      </c>
    </row>
    <row r="431" spans="1:4" x14ac:dyDescent="0.3">
      <c r="A431">
        <v>20512528458</v>
      </c>
      <c r="B431" t="s">
        <v>625</v>
      </c>
    </row>
    <row r="432" spans="1:4" x14ac:dyDescent="0.3">
      <c r="A432">
        <v>20604947520</v>
      </c>
      <c r="B432" t="s">
        <v>626</v>
      </c>
    </row>
    <row r="433" spans="1:4" x14ac:dyDescent="0.3">
      <c r="A433">
        <v>20613249762</v>
      </c>
      <c r="B433" t="s">
        <v>627</v>
      </c>
    </row>
    <row r="434" spans="1:4" x14ac:dyDescent="0.3">
      <c r="A434">
        <v>20608300393</v>
      </c>
      <c r="B434" t="s">
        <v>628</v>
      </c>
    </row>
    <row r="435" spans="1:4" x14ac:dyDescent="0.3">
      <c r="A435">
        <v>20498189637</v>
      </c>
      <c r="B435" t="s">
        <v>629</v>
      </c>
    </row>
    <row r="436" spans="1:4" x14ac:dyDescent="0.3">
      <c r="A436">
        <v>20558253861</v>
      </c>
      <c r="B436" t="s">
        <v>630</v>
      </c>
    </row>
    <row r="437" spans="1:4" x14ac:dyDescent="0.3">
      <c r="A437">
        <v>20610055487</v>
      </c>
      <c r="B437" t="s">
        <v>631</v>
      </c>
    </row>
    <row r="438" spans="1:4" x14ac:dyDescent="0.3">
      <c r="A438">
        <v>20611523450</v>
      </c>
      <c r="B438" t="s">
        <v>632</v>
      </c>
      <c r="C438" t="s">
        <v>230</v>
      </c>
      <c r="D438" t="s">
        <v>633</v>
      </c>
    </row>
    <row r="439" spans="1:4" x14ac:dyDescent="0.3">
      <c r="A439">
        <v>10736055631</v>
      </c>
      <c r="B439" t="s">
        <v>634</v>
      </c>
      <c r="C439" t="s">
        <v>119</v>
      </c>
      <c r="D439" t="s">
        <v>635</v>
      </c>
    </row>
    <row r="440" spans="1:4" x14ac:dyDescent="0.3">
      <c r="A440">
        <v>20607095788</v>
      </c>
      <c r="B440" t="s">
        <v>636</v>
      </c>
    </row>
    <row r="441" spans="1:4" x14ac:dyDescent="0.3">
      <c r="A441">
        <v>20127765279</v>
      </c>
      <c r="B441" t="s">
        <v>637</v>
      </c>
    </row>
    <row r="442" spans="1:4" x14ac:dyDescent="0.3">
      <c r="A442">
        <v>20558226979</v>
      </c>
      <c r="B442" t="s">
        <v>368</v>
      </c>
    </row>
    <row r="443" spans="1:4" x14ac:dyDescent="0.3">
      <c r="B443" t="s">
        <v>638</v>
      </c>
    </row>
    <row r="444" spans="1:4" x14ac:dyDescent="0.3">
      <c r="A444">
        <v>20206432692</v>
      </c>
      <c r="B444" t="s">
        <v>639</v>
      </c>
    </row>
    <row r="445" spans="1:4" x14ac:dyDescent="0.3">
      <c r="A445">
        <v>10296347634</v>
      </c>
      <c r="B445" t="s">
        <v>640</v>
      </c>
    </row>
    <row r="446" spans="1:4" x14ac:dyDescent="0.3">
      <c r="A446">
        <v>10295590934</v>
      </c>
      <c r="B446" t="s">
        <v>641</v>
      </c>
    </row>
    <row r="447" spans="1:4" x14ac:dyDescent="0.3">
      <c r="A447">
        <v>20602519733</v>
      </c>
      <c r="B447" t="s">
        <v>642</v>
      </c>
    </row>
    <row r="448" spans="1:4" x14ac:dyDescent="0.3">
      <c r="A448">
        <v>20608422146</v>
      </c>
      <c r="B448" t="s">
        <v>643</v>
      </c>
    </row>
    <row r="449" spans="1:2" x14ac:dyDescent="0.3">
      <c r="A449">
        <v>20454073143</v>
      </c>
      <c r="B449" t="s">
        <v>644</v>
      </c>
    </row>
    <row r="450" spans="1:2" x14ac:dyDescent="0.3">
      <c r="A450">
        <v>20100188628</v>
      </c>
      <c r="B450" t="s">
        <v>645</v>
      </c>
    </row>
    <row r="451" spans="1:2" x14ac:dyDescent="0.3">
      <c r="A451">
        <v>20100152356</v>
      </c>
      <c r="B451" t="s">
        <v>646</v>
      </c>
    </row>
    <row r="452" spans="1:2" x14ac:dyDescent="0.3">
      <c r="A452">
        <v>20100017491</v>
      </c>
      <c r="B452" t="s">
        <v>647</v>
      </c>
    </row>
    <row r="453" spans="1:2" x14ac:dyDescent="0.3">
      <c r="A453">
        <v>20331898008</v>
      </c>
      <c r="B453" t="s">
        <v>648</v>
      </c>
    </row>
    <row r="454" spans="1:2" x14ac:dyDescent="0.3">
      <c r="A454">
        <v>20456127917</v>
      </c>
      <c r="B454" t="s">
        <v>649</v>
      </c>
    </row>
    <row r="455" spans="1:2" x14ac:dyDescent="0.3">
      <c r="A455">
        <v>20467534026</v>
      </c>
      <c r="B455" t="s">
        <v>650</v>
      </c>
    </row>
    <row r="456" spans="1:2" x14ac:dyDescent="0.3">
      <c r="A456">
        <v>20497420378</v>
      </c>
      <c r="B456" t="s">
        <v>651</v>
      </c>
    </row>
    <row r="457" spans="1:2" x14ac:dyDescent="0.3">
      <c r="A457">
        <v>20100211034</v>
      </c>
      <c r="B457" t="s">
        <v>652</v>
      </c>
    </row>
    <row r="458" spans="1:2" x14ac:dyDescent="0.3">
      <c r="A458">
        <v>20611251476</v>
      </c>
      <c r="B458" t="s">
        <v>653</v>
      </c>
    </row>
    <row r="459" spans="1:2" x14ac:dyDescent="0.3">
      <c r="A459">
        <v>10413461761</v>
      </c>
      <c r="B459" t="s">
        <v>654</v>
      </c>
    </row>
    <row r="460" spans="1:2" x14ac:dyDescent="0.3">
      <c r="A460">
        <v>10459427525</v>
      </c>
      <c r="B460" t="s">
        <v>115</v>
      </c>
    </row>
    <row r="461" spans="1:2" x14ac:dyDescent="0.3">
      <c r="A461">
        <v>20601981255</v>
      </c>
      <c r="B461" t="s">
        <v>655</v>
      </c>
    </row>
    <row r="462" spans="1:2" x14ac:dyDescent="0.3">
      <c r="A462">
        <v>20514464881</v>
      </c>
      <c r="B462" t="s">
        <v>656</v>
      </c>
    </row>
    <row r="463" spans="1:2" x14ac:dyDescent="0.3">
      <c r="A463">
        <v>20555236817</v>
      </c>
      <c r="B463" t="s">
        <v>657</v>
      </c>
    </row>
    <row r="464" spans="1:2" x14ac:dyDescent="0.3">
      <c r="A464">
        <v>20454427301</v>
      </c>
      <c r="B464" t="s">
        <v>658</v>
      </c>
    </row>
    <row r="465" spans="1:4" x14ac:dyDescent="0.3">
      <c r="A465">
        <v>20609947625</v>
      </c>
      <c r="B465" t="s">
        <v>659</v>
      </c>
    </row>
    <row r="466" spans="1:4" x14ac:dyDescent="0.3">
      <c r="A466">
        <v>20613022717</v>
      </c>
      <c r="B466" t="s">
        <v>660</v>
      </c>
    </row>
    <row r="467" spans="1:4" x14ac:dyDescent="0.3">
      <c r="A467">
        <v>20100241022</v>
      </c>
      <c r="B467" t="s">
        <v>661</v>
      </c>
    </row>
    <row r="468" spans="1:4" x14ac:dyDescent="0.3">
      <c r="A468">
        <v>20455690715</v>
      </c>
      <c r="B468" t="s">
        <v>662</v>
      </c>
    </row>
    <row r="469" spans="1:4" x14ac:dyDescent="0.3">
      <c r="A469">
        <v>20563371995</v>
      </c>
      <c r="B469" t="s">
        <v>385</v>
      </c>
    </row>
    <row r="470" spans="1:4" x14ac:dyDescent="0.3">
      <c r="A470">
        <v>20603100710</v>
      </c>
      <c r="B470" t="s">
        <v>663</v>
      </c>
    </row>
    <row r="471" spans="1:4" x14ac:dyDescent="0.3">
      <c r="A471">
        <v>10402383548</v>
      </c>
      <c r="B471" t="s">
        <v>664</v>
      </c>
    </row>
    <row r="472" spans="1:4" x14ac:dyDescent="0.3">
      <c r="A472">
        <v>20613579941</v>
      </c>
      <c r="B472" t="s">
        <v>665</v>
      </c>
    </row>
    <row r="473" spans="1:4" x14ac:dyDescent="0.3">
      <c r="A473">
        <v>20558275082</v>
      </c>
      <c r="B473" t="s">
        <v>666</v>
      </c>
    </row>
    <row r="474" spans="1:4" x14ac:dyDescent="0.3">
      <c r="A474">
        <v>20601423058</v>
      </c>
      <c r="B474" t="s">
        <v>667</v>
      </c>
    </row>
    <row r="475" spans="1:4" x14ac:dyDescent="0.3">
      <c r="A475">
        <v>20556463680</v>
      </c>
      <c r="B475" t="s">
        <v>668</v>
      </c>
    </row>
    <row r="476" spans="1:4" x14ac:dyDescent="0.3">
      <c r="A476">
        <v>20602258964</v>
      </c>
      <c r="B476" t="s">
        <v>669</v>
      </c>
    </row>
    <row r="477" spans="1:4" x14ac:dyDescent="0.3">
      <c r="A477">
        <v>20456141235</v>
      </c>
      <c r="B477" t="s">
        <v>670</v>
      </c>
    </row>
    <row r="478" spans="1:4" x14ac:dyDescent="0.3">
      <c r="A478">
        <v>20612973530</v>
      </c>
      <c r="B478" t="s">
        <v>671</v>
      </c>
      <c r="C478" t="s">
        <v>230</v>
      </c>
      <c r="D478" t="s">
        <v>672</v>
      </c>
    </row>
    <row r="479" spans="1:4" x14ac:dyDescent="0.3">
      <c r="A479">
        <v>20613845080</v>
      </c>
      <c r="B479" t="s">
        <v>673</v>
      </c>
    </row>
    <row r="480" spans="1:4" x14ac:dyDescent="0.3">
      <c r="A480">
        <v>20600781708</v>
      </c>
      <c r="B480" t="s">
        <v>674</v>
      </c>
    </row>
    <row r="481" spans="1:2" x14ac:dyDescent="0.3">
      <c r="A481">
        <v>10296709986</v>
      </c>
      <c r="B481" t="s">
        <v>675</v>
      </c>
    </row>
    <row r="482" spans="1:2" x14ac:dyDescent="0.3">
      <c r="A482">
        <v>20514148539</v>
      </c>
      <c r="B482" t="s">
        <v>676</v>
      </c>
    </row>
    <row r="483" spans="1:2" x14ac:dyDescent="0.3">
      <c r="A483">
        <v>10488566038</v>
      </c>
      <c r="B483" t="s">
        <v>677</v>
      </c>
    </row>
    <row r="484" spans="1:2" x14ac:dyDescent="0.3">
      <c r="A484">
        <v>20559169774</v>
      </c>
      <c r="B484" t="s">
        <v>678</v>
      </c>
    </row>
    <row r="485" spans="1:2" x14ac:dyDescent="0.3">
      <c r="A485">
        <v>20454726473</v>
      </c>
      <c r="B485" t="s">
        <v>679</v>
      </c>
    </row>
    <row r="486" spans="1:2" x14ac:dyDescent="0.3">
      <c r="A486">
        <v>20601833191</v>
      </c>
      <c r="B486" t="s">
        <v>680</v>
      </c>
    </row>
    <row r="487" spans="1:2" x14ac:dyDescent="0.3">
      <c r="A487">
        <v>20604615594</v>
      </c>
      <c r="B487" t="s">
        <v>681</v>
      </c>
    </row>
    <row r="488" spans="1:2" x14ac:dyDescent="0.3">
      <c r="A488">
        <v>10802636143</v>
      </c>
      <c r="B488" t="s">
        <v>682</v>
      </c>
    </row>
    <row r="489" spans="1:2" x14ac:dyDescent="0.3">
      <c r="A489">
        <v>20100210909</v>
      </c>
      <c r="B489" t="s">
        <v>683</v>
      </c>
    </row>
    <row r="490" spans="1:2" x14ac:dyDescent="0.3">
      <c r="A490">
        <v>10079422555</v>
      </c>
      <c r="B490" t="s">
        <v>684</v>
      </c>
    </row>
    <row r="491" spans="1:2" x14ac:dyDescent="0.3">
      <c r="A491">
        <v>10721686952</v>
      </c>
      <c r="B491" t="s">
        <v>685</v>
      </c>
    </row>
    <row r="492" spans="1:2" x14ac:dyDescent="0.3">
      <c r="A492">
        <v>10467546291</v>
      </c>
      <c r="B492" t="s">
        <v>686</v>
      </c>
    </row>
    <row r="493" spans="1:2" x14ac:dyDescent="0.3">
      <c r="A493">
        <v>10764319872</v>
      </c>
      <c r="B493" t="s">
        <v>687</v>
      </c>
    </row>
    <row r="494" spans="1:2" x14ac:dyDescent="0.3">
      <c r="A494">
        <v>10446328129</v>
      </c>
      <c r="B494" t="s">
        <v>688</v>
      </c>
    </row>
    <row r="495" spans="1:2" x14ac:dyDescent="0.3">
      <c r="A495">
        <v>10732475341</v>
      </c>
      <c r="B495" t="s">
        <v>689</v>
      </c>
    </row>
    <row r="496" spans="1:2" x14ac:dyDescent="0.3">
      <c r="A496">
        <v>10465385753</v>
      </c>
      <c r="B496" t="s">
        <v>690</v>
      </c>
    </row>
    <row r="497" spans="1:2" x14ac:dyDescent="0.3">
      <c r="A497">
        <v>10439773583</v>
      </c>
      <c r="B497" t="s">
        <v>691</v>
      </c>
    </row>
    <row r="498" spans="1:2" x14ac:dyDescent="0.3">
      <c r="A498">
        <v>10418721435</v>
      </c>
      <c r="B498" t="s">
        <v>692</v>
      </c>
    </row>
    <row r="499" spans="1:2" x14ac:dyDescent="0.3">
      <c r="A499">
        <v>10403402562</v>
      </c>
      <c r="B499" t="s">
        <v>693</v>
      </c>
    </row>
    <row r="500" spans="1:2" x14ac:dyDescent="0.3">
      <c r="A500">
        <v>10295272771</v>
      </c>
      <c r="B500" t="s">
        <v>694</v>
      </c>
    </row>
    <row r="501" spans="1:2" x14ac:dyDescent="0.3">
      <c r="A501">
        <v>10723875914</v>
      </c>
      <c r="B501" t="s">
        <v>695</v>
      </c>
    </row>
    <row r="502" spans="1:2" x14ac:dyDescent="0.3">
      <c r="A502">
        <v>10445513160</v>
      </c>
      <c r="B502" t="s">
        <v>696</v>
      </c>
    </row>
    <row r="503" spans="1:2" x14ac:dyDescent="0.3">
      <c r="A503">
        <v>10450776578</v>
      </c>
      <c r="B503" t="s">
        <v>697</v>
      </c>
    </row>
    <row r="504" spans="1:2" x14ac:dyDescent="0.3">
      <c r="A504">
        <v>10107341655</v>
      </c>
      <c r="B504" t="s">
        <v>698</v>
      </c>
    </row>
    <row r="505" spans="1:2" x14ac:dyDescent="0.3">
      <c r="A505">
        <v>10108661343</v>
      </c>
      <c r="B505" t="s">
        <v>699</v>
      </c>
    </row>
    <row r="506" spans="1:2" x14ac:dyDescent="0.3">
      <c r="A506">
        <v>10417098041</v>
      </c>
      <c r="B506" t="s">
        <v>700</v>
      </c>
    </row>
    <row r="507" spans="1:2" x14ac:dyDescent="0.3">
      <c r="A507">
        <v>10100554785</v>
      </c>
      <c r="B507" t="s">
        <v>701</v>
      </c>
    </row>
    <row r="508" spans="1:2" x14ac:dyDescent="0.3">
      <c r="A508">
        <v>10723875914</v>
      </c>
      <c r="B508" t="s">
        <v>702</v>
      </c>
    </row>
    <row r="509" spans="1:2" x14ac:dyDescent="0.3">
      <c r="A509">
        <v>10450776578</v>
      </c>
      <c r="B509" t="s">
        <v>703</v>
      </c>
    </row>
    <row r="510" spans="1:2" x14ac:dyDescent="0.3">
      <c r="A510">
        <v>10763176024</v>
      </c>
      <c r="B510" t="s">
        <v>704</v>
      </c>
    </row>
    <row r="511" spans="1:2" x14ac:dyDescent="0.3">
      <c r="A511">
        <v>10776879377</v>
      </c>
      <c r="B511" t="s">
        <v>705</v>
      </c>
    </row>
    <row r="512" spans="1:2" x14ac:dyDescent="0.3">
      <c r="A512">
        <v>10293945131</v>
      </c>
      <c r="B512" t="s">
        <v>706</v>
      </c>
    </row>
    <row r="513" spans="1:2" x14ac:dyDescent="0.3">
      <c r="A513">
        <v>10757669302</v>
      </c>
      <c r="B513" t="s">
        <v>707</v>
      </c>
    </row>
    <row r="514" spans="1:2" x14ac:dyDescent="0.3">
      <c r="A514">
        <v>10463423615</v>
      </c>
      <c r="B514" t="s">
        <v>708</v>
      </c>
    </row>
    <row r="515" spans="1:2" x14ac:dyDescent="0.3">
      <c r="A515">
        <v>10461331977</v>
      </c>
      <c r="B515" t="s">
        <v>709</v>
      </c>
    </row>
    <row r="516" spans="1:2" x14ac:dyDescent="0.3">
      <c r="A516">
        <v>10721686952</v>
      </c>
      <c r="B516" t="s">
        <v>710</v>
      </c>
    </row>
    <row r="517" spans="1:2" x14ac:dyDescent="0.3">
      <c r="A517">
        <v>10757669302</v>
      </c>
      <c r="B517" t="s">
        <v>707</v>
      </c>
    </row>
    <row r="518" spans="1:2" x14ac:dyDescent="0.3">
      <c r="A518">
        <v>10432627204</v>
      </c>
      <c r="B518" t="s">
        <v>711</v>
      </c>
    </row>
    <row r="519" spans="1:2" x14ac:dyDescent="0.3">
      <c r="A519">
        <v>10402176526</v>
      </c>
      <c r="B519" t="s">
        <v>712</v>
      </c>
    </row>
    <row r="520" spans="1:2" x14ac:dyDescent="0.3">
      <c r="A520">
        <v>10749746225</v>
      </c>
      <c r="B520" t="s">
        <v>713</v>
      </c>
    </row>
    <row r="521" spans="1:2" x14ac:dyDescent="0.3">
      <c r="A521">
        <v>10434981315</v>
      </c>
      <c r="B521" t="s">
        <v>714</v>
      </c>
    </row>
    <row r="522" spans="1:2" x14ac:dyDescent="0.3">
      <c r="A522">
        <v>10413506536</v>
      </c>
      <c r="B522" t="s">
        <v>715</v>
      </c>
    </row>
    <row r="523" spans="1:2" x14ac:dyDescent="0.3">
      <c r="A523">
        <v>20454537743</v>
      </c>
      <c r="B523" t="s">
        <v>716</v>
      </c>
    </row>
    <row r="524" spans="1:2" x14ac:dyDescent="0.3">
      <c r="A524">
        <v>20601775051</v>
      </c>
      <c r="B524" t="s">
        <v>717</v>
      </c>
    </row>
    <row r="525" spans="1:2" x14ac:dyDescent="0.3">
      <c r="A525">
        <v>10297014752</v>
      </c>
      <c r="B525" t="s">
        <v>718</v>
      </c>
    </row>
    <row r="526" spans="1:2" x14ac:dyDescent="0.3">
      <c r="A526">
        <v>20375361991</v>
      </c>
      <c r="B526" t="s">
        <v>719</v>
      </c>
    </row>
    <row r="527" spans="1:2" x14ac:dyDescent="0.3">
      <c r="A527">
        <v>88888888</v>
      </c>
      <c r="B527" t="s">
        <v>720</v>
      </c>
    </row>
    <row r="528" spans="1:2" x14ac:dyDescent="0.3">
      <c r="A528">
        <v>20154489895</v>
      </c>
      <c r="B528" t="s">
        <v>721</v>
      </c>
    </row>
    <row r="529" spans="1:4" x14ac:dyDescent="0.3">
      <c r="A529">
        <v>20327998413</v>
      </c>
      <c r="B529" t="s">
        <v>722</v>
      </c>
    </row>
    <row r="530" spans="1:4" x14ac:dyDescent="0.3">
      <c r="A530">
        <v>20612108651</v>
      </c>
      <c r="B530" t="s">
        <v>723</v>
      </c>
      <c r="C530" t="s">
        <v>230</v>
      </c>
      <c r="D530" t="s">
        <v>724</v>
      </c>
    </row>
    <row r="531" spans="1:4" x14ac:dyDescent="0.3">
      <c r="A531">
        <v>20611593920</v>
      </c>
      <c r="B531" t="s">
        <v>725</v>
      </c>
      <c r="C531" t="s">
        <v>119</v>
      </c>
      <c r="D531" t="s">
        <v>726</v>
      </c>
    </row>
    <row r="532" spans="1:4" x14ac:dyDescent="0.3">
      <c r="A532">
        <v>49061773</v>
      </c>
      <c r="B532" t="s">
        <v>727</v>
      </c>
      <c r="C532" t="s">
        <v>8</v>
      </c>
    </row>
    <row r="533" spans="1:4" x14ac:dyDescent="0.3">
      <c r="A533">
        <v>75839230</v>
      </c>
      <c r="B533" t="s">
        <v>728</v>
      </c>
      <c r="C533" t="s">
        <v>8</v>
      </c>
    </row>
    <row r="534" spans="1:4" x14ac:dyDescent="0.3">
      <c r="A534">
        <v>73238347</v>
      </c>
      <c r="B534" t="s">
        <v>729</v>
      </c>
      <c r="C534" t="s">
        <v>8</v>
      </c>
      <c r="D534" t="s">
        <v>730</v>
      </c>
    </row>
    <row r="535" spans="1:4" x14ac:dyDescent="0.3">
      <c r="A535">
        <v>72169020</v>
      </c>
      <c r="B535" t="s">
        <v>731</v>
      </c>
      <c r="C535" t="s">
        <v>8</v>
      </c>
      <c r="D535" t="s">
        <v>732</v>
      </c>
    </row>
    <row r="536" spans="1:4" x14ac:dyDescent="0.3">
      <c r="A536">
        <v>76247615</v>
      </c>
      <c r="B536" t="s">
        <v>733</v>
      </c>
      <c r="C536" t="s">
        <v>8</v>
      </c>
    </row>
    <row r="537" spans="1:4" x14ac:dyDescent="0.3">
      <c r="A537">
        <v>71244177</v>
      </c>
      <c r="B537" t="s">
        <v>734</v>
      </c>
      <c r="C537" t="s">
        <v>8</v>
      </c>
    </row>
    <row r="538" spans="1:4" x14ac:dyDescent="0.3">
      <c r="A538">
        <v>76404353</v>
      </c>
      <c r="B538" t="s">
        <v>735</v>
      </c>
      <c r="C538" t="s">
        <v>8</v>
      </c>
    </row>
    <row r="539" spans="1:4" x14ac:dyDescent="0.3">
      <c r="A539">
        <v>48164743</v>
      </c>
      <c r="B539" t="s">
        <v>736</v>
      </c>
      <c r="C539" t="s">
        <v>8</v>
      </c>
      <c r="D539" t="s">
        <v>737</v>
      </c>
    </row>
    <row r="540" spans="1:4" x14ac:dyDescent="0.3">
      <c r="A540">
        <v>71942040</v>
      </c>
      <c r="B540" t="s">
        <v>738</v>
      </c>
      <c r="C540" t="s">
        <v>8</v>
      </c>
    </row>
    <row r="541" spans="1:4" x14ac:dyDescent="0.3">
      <c r="A541">
        <v>40192097</v>
      </c>
      <c r="B541" t="s">
        <v>739</v>
      </c>
      <c r="C541" t="s">
        <v>8</v>
      </c>
      <c r="D541" t="s">
        <v>740</v>
      </c>
    </row>
    <row r="542" spans="1:4" x14ac:dyDescent="0.3">
      <c r="A542">
        <v>41603113</v>
      </c>
      <c r="B542" t="s">
        <v>741</v>
      </c>
      <c r="C542" t="s">
        <v>8</v>
      </c>
    </row>
    <row r="543" spans="1:4" x14ac:dyDescent="0.3">
      <c r="A543">
        <v>75247670</v>
      </c>
      <c r="B543" t="s">
        <v>742</v>
      </c>
      <c r="C543" t="s">
        <v>8</v>
      </c>
    </row>
    <row r="544" spans="1:4" x14ac:dyDescent="0.3">
      <c r="A544">
        <v>44211654</v>
      </c>
      <c r="B544" t="s">
        <v>743</v>
      </c>
      <c r="C544" t="s">
        <v>8</v>
      </c>
      <c r="D544" t="s">
        <v>744</v>
      </c>
    </row>
    <row r="545" spans="1:4" x14ac:dyDescent="0.3">
      <c r="A545">
        <v>74078793</v>
      </c>
      <c r="B545" t="s">
        <v>745</v>
      </c>
      <c r="C545" t="s">
        <v>8</v>
      </c>
      <c r="D545" t="s">
        <v>746</v>
      </c>
    </row>
    <row r="546" spans="1:4" x14ac:dyDescent="0.3">
      <c r="A546">
        <v>44162989</v>
      </c>
      <c r="B546" t="s">
        <v>747</v>
      </c>
      <c r="C546" t="s">
        <v>8</v>
      </c>
      <c r="D546" t="s">
        <v>748</v>
      </c>
    </row>
    <row r="547" spans="1:4" x14ac:dyDescent="0.3">
      <c r="A547">
        <v>76593892</v>
      </c>
      <c r="B547" t="s">
        <v>749</v>
      </c>
      <c r="C547" t="s">
        <v>8</v>
      </c>
    </row>
    <row r="548" spans="1:4" x14ac:dyDescent="0.3">
      <c r="A548">
        <v>45286301</v>
      </c>
      <c r="B548" t="s">
        <v>750</v>
      </c>
      <c r="C548" t="s">
        <v>8</v>
      </c>
      <c r="D548" t="s">
        <v>751</v>
      </c>
    </row>
    <row r="549" spans="1:4" x14ac:dyDescent="0.3">
      <c r="A549">
        <v>76593893</v>
      </c>
      <c r="B549" t="s">
        <v>752</v>
      </c>
      <c r="C549" t="s">
        <v>8</v>
      </c>
    </row>
    <row r="550" spans="1:4" x14ac:dyDescent="0.3">
      <c r="A550">
        <v>73444362</v>
      </c>
      <c r="B550" t="s">
        <v>753</v>
      </c>
      <c r="C550" t="s">
        <v>8</v>
      </c>
      <c r="D550" t="s">
        <v>754</v>
      </c>
    </row>
    <row r="551" spans="1:4" x14ac:dyDescent="0.3">
      <c r="A551">
        <v>76801729</v>
      </c>
      <c r="B551" t="s">
        <v>755</v>
      </c>
      <c r="C551" t="s">
        <v>8</v>
      </c>
    </row>
    <row r="552" spans="1:4" x14ac:dyDescent="0.3">
      <c r="A552">
        <v>46165045</v>
      </c>
      <c r="B552" t="s">
        <v>756</v>
      </c>
      <c r="C552" t="s">
        <v>8</v>
      </c>
    </row>
    <row r="553" spans="1:4" x14ac:dyDescent="0.3">
      <c r="A553">
        <v>3080300</v>
      </c>
      <c r="B553" t="s">
        <v>757</v>
      </c>
      <c r="C553" t="s">
        <v>8</v>
      </c>
      <c r="D553" t="s">
        <v>758</v>
      </c>
    </row>
    <row r="554" spans="1:4" x14ac:dyDescent="0.3">
      <c r="A554">
        <v>71787683</v>
      </c>
      <c r="B554" t="s">
        <v>759</v>
      </c>
      <c r="C554" t="s">
        <v>8</v>
      </c>
      <c r="D554" t="s">
        <v>760</v>
      </c>
    </row>
    <row r="555" spans="1:4" x14ac:dyDescent="0.3">
      <c r="A555">
        <v>75424672</v>
      </c>
      <c r="B555" t="s">
        <v>761</v>
      </c>
      <c r="C555" t="s">
        <v>8</v>
      </c>
      <c r="D555" t="s">
        <v>762</v>
      </c>
    </row>
    <row r="556" spans="1:4" x14ac:dyDescent="0.3">
      <c r="A556">
        <v>73880313</v>
      </c>
      <c r="B556" t="s">
        <v>763</v>
      </c>
      <c r="C556" t="s">
        <v>8</v>
      </c>
      <c r="D556" t="s">
        <v>764</v>
      </c>
    </row>
    <row r="557" spans="1:4" x14ac:dyDescent="0.3">
      <c r="A557">
        <v>44094323</v>
      </c>
      <c r="B557" t="s">
        <v>765</v>
      </c>
      <c r="C557" t="s">
        <v>8</v>
      </c>
    </row>
    <row r="558" spans="1:4" x14ac:dyDescent="0.3">
      <c r="A558">
        <v>46799833</v>
      </c>
      <c r="B558" t="s">
        <v>766</v>
      </c>
      <c r="C558" t="s">
        <v>8</v>
      </c>
      <c r="D558" t="s">
        <v>767</v>
      </c>
    </row>
    <row r="559" spans="1:4" x14ac:dyDescent="0.3">
      <c r="A559">
        <v>74600892</v>
      </c>
      <c r="B559" t="s">
        <v>768</v>
      </c>
      <c r="C559" t="s">
        <v>8</v>
      </c>
      <c r="D559" t="s">
        <v>769</v>
      </c>
    </row>
    <row r="560" spans="1:4" x14ac:dyDescent="0.3">
      <c r="A560">
        <v>70198916</v>
      </c>
      <c r="B560" t="s">
        <v>770</v>
      </c>
      <c r="C560" t="s">
        <v>8</v>
      </c>
      <c r="D560" t="s">
        <v>771</v>
      </c>
    </row>
    <row r="561" spans="1:4" x14ac:dyDescent="0.3">
      <c r="A561">
        <v>48310263</v>
      </c>
      <c r="B561" t="s">
        <v>772</v>
      </c>
      <c r="C561" t="s">
        <v>8</v>
      </c>
    </row>
    <row r="562" spans="1:4" x14ac:dyDescent="0.3">
      <c r="A562">
        <v>45555401</v>
      </c>
      <c r="B562" t="s">
        <v>773</v>
      </c>
      <c r="C562" t="s">
        <v>8</v>
      </c>
    </row>
    <row r="563" spans="1:4" x14ac:dyDescent="0.3">
      <c r="A563">
        <v>75167252</v>
      </c>
      <c r="B563" t="s">
        <v>774</v>
      </c>
      <c r="C563" t="s">
        <v>8</v>
      </c>
    </row>
    <row r="564" spans="1:4" x14ac:dyDescent="0.3">
      <c r="A564">
        <v>1149022</v>
      </c>
      <c r="B564" t="s">
        <v>775</v>
      </c>
      <c r="C564" t="s">
        <v>8</v>
      </c>
    </row>
    <row r="565" spans="1:4" x14ac:dyDescent="0.3">
      <c r="A565">
        <v>76810278</v>
      </c>
      <c r="B565" t="s">
        <v>776</v>
      </c>
      <c r="C565" t="s">
        <v>8</v>
      </c>
    </row>
    <row r="566" spans="1:4" x14ac:dyDescent="0.3">
      <c r="A566">
        <v>44468346</v>
      </c>
      <c r="B566" t="s">
        <v>777</v>
      </c>
      <c r="C566" t="s">
        <v>8</v>
      </c>
      <c r="D566" t="s">
        <v>778</v>
      </c>
    </row>
    <row r="567" spans="1:4" x14ac:dyDescent="0.3">
      <c r="A567">
        <v>46232635</v>
      </c>
      <c r="B567" t="s">
        <v>779</v>
      </c>
      <c r="C567" t="s">
        <v>8</v>
      </c>
    </row>
    <row r="568" spans="1:4" x14ac:dyDescent="0.3">
      <c r="A568">
        <v>48657701</v>
      </c>
      <c r="B568" t="s">
        <v>780</v>
      </c>
      <c r="C568" t="s">
        <v>8</v>
      </c>
    </row>
    <row r="569" spans="1:4" x14ac:dyDescent="0.3">
      <c r="A569">
        <v>73268512</v>
      </c>
      <c r="B569" t="s">
        <v>781</v>
      </c>
      <c r="C569" t="s">
        <v>8</v>
      </c>
    </row>
    <row r="570" spans="1:4" x14ac:dyDescent="0.3">
      <c r="A570">
        <v>73268512</v>
      </c>
      <c r="B570" t="s">
        <v>782</v>
      </c>
      <c r="C570" t="s">
        <v>8</v>
      </c>
    </row>
    <row r="571" spans="1:4" x14ac:dyDescent="0.3">
      <c r="A571">
        <v>70834632</v>
      </c>
      <c r="B571" t="s">
        <v>783</v>
      </c>
      <c r="C571" t="s">
        <v>8</v>
      </c>
    </row>
    <row r="572" spans="1:4" x14ac:dyDescent="0.3">
      <c r="A572">
        <v>75419679</v>
      </c>
      <c r="B572" t="s">
        <v>784</v>
      </c>
      <c r="C572" t="s">
        <v>8</v>
      </c>
      <c r="D572" t="s">
        <v>785</v>
      </c>
    </row>
    <row r="573" spans="1:4" x14ac:dyDescent="0.3">
      <c r="A573">
        <v>3314131</v>
      </c>
      <c r="B573" t="s">
        <v>786</v>
      </c>
      <c r="C573" t="s">
        <v>8</v>
      </c>
      <c r="D573" t="s">
        <v>787</v>
      </c>
    </row>
    <row r="574" spans="1:4" x14ac:dyDescent="0.3">
      <c r="A574">
        <v>76301642</v>
      </c>
      <c r="B574" t="s">
        <v>788</v>
      </c>
      <c r="C574" t="s">
        <v>8</v>
      </c>
    </row>
    <row r="575" spans="1:4" x14ac:dyDescent="0.3">
      <c r="A575">
        <v>76301642</v>
      </c>
      <c r="B575" t="s">
        <v>788</v>
      </c>
      <c r="C575" t="s">
        <v>8</v>
      </c>
    </row>
    <row r="576" spans="1:4" x14ac:dyDescent="0.3">
      <c r="A576">
        <v>40148189</v>
      </c>
      <c r="B576" t="s">
        <v>789</v>
      </c>
      <c r="C576" t="s">
        <v>8</v>
      </c>
    </row>
    <row r="577" spans="1:5" x14ac:dyDescent="0.3">
      <c r="A577">
        <v>73666708</v>
      </c>
      <c r="B577" t="s">
        <v>790</v>
      </c>
      <c r="C577" t="s">
        <v>8</v>
      </c>
    </row>
    <row r="578" spans="1:5" x14ac:dyDescent="0.3">
      <c r="A578">
        <v>73649810</v>
      </c>
      <c r="B578" t="s">
        <v>791</v>
      </c>
      <c r="C578" t="s">
        <v>8</v>
      </c>
    </row>
    <row r="579" spans="1:5" x14ac:dyDescent="0.3">
      <c r="A579">
        <v>71625644</v>
      </c>
      <c r="B579" t="s">
        <v>792</v>
      </c>
      <c r="C579" t="s">
        <v>8</v>
      </c>
    </row>
    <row r="580" spans="1:5" x14ac:dyDescent="0.3">
      <c r="A580">
        <v>70211580</v>
      </c>
      <c r="B580" t="s">
        <v>793</v>
      </c>
      <c r="C580" t="s">
        <v>8</v>
      </c>
      <c r="D580" t="s">
        <v>794</v>
      </c>
    </row>
    <row r="581" spans="1:5" x14ac:dyDescent="0.3">
      <c r="A581">
        <v>46945532</v>
      </c>
      <c r="B581" t="s">
        <v>795</v>
      </c>
      <c r="C581" t="s">
        <v>8</v>
      </c>
      <c r="D581" t="s">
        <v>796</v>
      </c>
    </row>
    <row r="582" spans="1:5" x14ac:dyDescent="0.3">
      <c r="A582">
        <v>302351</v>
      </c>
      <c r="B582" t="s">
        <v>797</v>
      </c>
      <c r="C582" t="s">
        <v>8</v>
      </c>
    </row>
    <row r="583" spans="1:5" x14ac:dyDescent="0.3">
      <c r="A583">
        <v>70666331</v>
      </c>
      <c r="B583" t="s">
        <v>798</v>
      </c>
      <c r="C583" t="s">
        <v>8</v>
      </c>
      <c r="D583" t="s">
        <v>799</v>
      </c>
    </row>
    <row r="584" spans="1:5" x14ac:dyDescent="0.3">
      <c r="A584">
        <v>43814375</v>
      </c>
      <c r="B584" t="s">
        <v>800</v>
      </c>
      <c r="C584" t="s">
        <v>8</v>
      </c>
      <c r="D584" t="s">
        <v>801</v>
      </c>
    </row>
    <row r="585" spans="1:5" x14ac:dyDescent="0.3">
      <c r="A585">
        <v>42857058</v>
      </c>
      <c r="B585" t="s">
        <v>802</v>
      </c>
      <c r="C585" t="s">
        <v>8</v>
      </c>
      <c r="D585" t="s">
        <v>803</v>
      </c>
    </row>
    <row r="586" spans="1:5" x14ac:dyDescent="0.3">
      <c r="A586">
        <v>48112162</v>
      </c>
      <c r="B586" t="s">
        <v>804</v>
      </c>
      <c r="C586" t="s">
        <v>8</v>
      </c>
    </row>
    <row r="587" spans="1:5" x14ac:dyDescent="0.3">
      <c r="A587">
        <v>73605563</v>
      </c>
      <c r="B587" t="s">
        <v>634</v>
      </c>
      <c r="C587" t="s">
        <v>8</v>
      </c>
      <c r="D587" t="s">
        <v>805</v>
      </c>
      <c r="E587" t="s">
        <v>806</v>
      </c>
    </row>
    <row r="588" spans="1:5" x14ac:dyDescent="0.3">
      <c r="A588">
        <v>45921913</v>
      </c>
      <c r="B588" t="s">
        <v>807</v>
      </c>
      <c r="C588" t="s">
        <v>8</v>
      </c>
      <c r="D588" t="s">
        <v>808</v>
      </c>
    </row>
    <row r="589" spans="1:5" x14ac:dyDescent="0.3">
      <c r="A589">
        <v>74399035</v>
      </c>
      <c r="B589" t="s">
        <v>809</v>
      </c>
      <c r="C589" t="s">
        <v>8</v>
      </c>
    </row>
    <row r="590" spans="1:5" x14ac:dyDescent="0.3">
      <c r="A590">
        <v>71438597</v>
      </c>
      <c r="B590" t="s">
        <v>810</v>
      </c>
      <c r="C590" t="s">
        <v>8</v>
      </c>
      <c r="D590" t="s">
        <v>811</v>
      </c>
    </row>
    <row r="591" spans="1:5" x14ac:dyDescent="0.3">
      <c r="A591">
        <v>72302392</v>
      </c>
      <c r="B591" t="s">
        <v>812</v>
      </c>
      <c r="C591" t="s">
        <v>8</v>
      </c>
      <c r="D591" t="s">
        <v>813</v>
      </c>
    </row>
    <row r="592" spans="1:5" x14ac:dyDescent="0.3">
      <c r="A592">
        <v>80355193</v>
      </c>
      <c r="B592" t="s">
        <v>814</v>
      </c>
      <c r="C592" t="s">
        <v>8</v>
      </c>
      <c r="D592" t="s">
        <v>815</v>
      </c>
    </row>
    <row r="593" spans="1:4" x14ac:dyDescent="0.3">
      <c r="A593">
        <v>75973493</v>
      </c>
      <c r="B593" t="s">
        <v>816</v>
      </c>
      <c r="C593" t="s">
        <v>8</v>
      </c>
    </row>
    <row r="594" spans="1:4" x14ac:dyDescent="0.3">
      <c r="A594">
        <v>1829028</v>
      </c>
      <c r="B594" t="s">
        <v>817</v>
      </c>
      <c r="C594" t="s">
        <v>8</v>
      </c>
      <c r="D594" t="s">
        <v>818</v>
      </c>
    </row>
    <row r="595" spans="1:4" x14ac:dyDescent="0.3">
      <c r="A595">
        <v>71387955</v>
      </c>
      <c r="B595" t="s">
        <v>819</v>
      </c>
      <c r="C595" t="s">
        <v>8</v>
      </c>
    </row>
    <row r="596" spans="1:4" x14ac:dyDescent="0.3">
      <c r="A596">
        <v>76310875</v>
      </c>
      <c r="B596" t="s">
        <v>820</v>
      </c>
      <c r="C596" t="s">
        <v>8</v>
      </c>
    </row>
    <row r="597" spans="1:4" x14ac:dyDescent="0.3">
      <c r="A597">
        <v>48221233</v>
      </c>
      <c r="B597" t="s">
        <v>821</v>
      </c>
      <c r="C597" t="s">
        <v>8</v>
      </c>
    </row>
    <row r="598" spans="1:4" x14ac:dyDescent="0.3">
      <c r="A598">
        <v>74073836</v>
      </c>
      <c r="B598" t="s">
        <v>822</v>
      </c>
      <c r="C598" t="s">
        <v>8</v>
      </c>
    </row>
    <row r="599" spans="1:4" x14ac:dyDescent="0.3">
      <c r="A599">
        <v>72450429</v>
      </c>
      <c r="B599" t="s">
        <v>823</v>
      </c>
      <c r="C599" t="s">
        <v>8</v>
      </c>
      <c r="D599" t="s">
        <v>824</v>
      </c>
    </row>
    <row r="600" spans="1:4" x14ac:dyDescent="0.3">
      <c r="A600">
        <v>71979355</v>
      </c>
      <c r="B600" t="s">
        <v>825</v>
      </c>
      <c r="C600" t="s">
        <v>8</v>
      </c>
      <c r="D600" t="s">
        <v>826</v>
      </c>
    </row>
    <row r="601" spans="1:4" x14ac:dyDescent="0.3">
      <c r="A601">
        <v>43691377</v>
      </c>
      <c r="B601" t="s">
        <v>827</v>
      </c>
      <c r="C601" t="s">
        <v>8</v>
      </c>
    </row>
    <row r="602" spans="1:4" x14ac:dyDescent="0.3">
      <c r="A602">
        <v>73746975</v>
      </c>
      <c r="B602" t="s">
        <v>828</v>
      </c>
      <c r="C602" t="s">
        <v>8</v>
      </c>
    </row>
    <row r="603" spans="1:4" x14ac:dyDescent="0.3">
      <c r="A603">
        <v>47461440</v>
      </c>
      <c r="B603" t="s">
        <v>829</v>
      </c>
      <c r="C603" t="s">
        <v>8</v>
      </c>
      <c r="D603" t="s">
        <v>830</v>
      </c>
    </row>
    <row r="604" spans="1:4" x14ac:dyDescent="0.3">
      <c r="A604">
        <v>78803424</v>
      </c>
      <c r="B604" t="s">
        <v>831</v>
      </c>
      <c r="C604" t="s">
        <v>8</v>
      </c>
      <c r="D604" t="s">
        <v>832</v>
      </c>
    </row>
    <row r="605" spans="1:4" x14ac:dyDescent="0.3">
      <c r="A605">
        <v>29543209</v>
      </c>
      <c r="B605" t="s">
        <v>833</v>
      </c>
      <c r="C605" t="s">
        <v>8</v>
      </c>
    </row>
    <row r="606" spans="1:4" x14ac:dyDescent="0.3">
      <c r="A606">
        <v>44328361</v>
      </c>
      <c r="B606" t="s">
        <v>834</v>
      </c>
      <c r="C606" t="s">
        <v>8</v>
      </c>
    </row>
    <row r="607" spans="1:4" x14ac:dyDescent="0.3">
      <c r="A607">
        <v>72399664</v>
      </c>
      <c r="B607" t="s">
        <v>835</v>
      </c>
      <c r="C607" t="s">
        <v>8</v>
      </c>
    </row>
    <row r="608" spans="1:4" x14ac:dyDescent="0.3">
      <c r="A608">
        <v>72144092</v>
      </c>
      <c r="B608" t="s">
        <v>836</v>
      </c>
      <c r="C608" t="s">
        <v>8</v>
      </c>
      <c r="D608" t="s">
        <v>837</v>
      </c>
    </row>
    <row r="609" spans="1:4" x14ac:dyDescent="0.3">
      <c r="A609">
        <v>45214966</v>
      </c>
      <c r="B609" t="s">
        <v>838</v>
      </c>
      <c r="C609" t="s">
        <v>8</v>
      </c>
    </row>
    <row r="610" spans="1:4" x14ac:dyDescent="0.3">
      <c r="A610">
        <v>40306745</v>
      </c>
      <c r="B610" t="s">
        <v>839</v>
      </c>
      <c r="C610" t="s">
        <v>8</v>
      </c>
    </row>
    <row r="611" spans="1:4" x14ac:dyDescent="0.3">
      <c r="A611">
        <v>71496013</v>
      </c>
      <c r="B611" t="s">
        <v>840</v>
      </c>
      <c r="C611" t="s">
        <v>8</v>
      </c>
      <c r="D611" t="s">
        <v>841</v>
      </c>
    </row>
    <row r="612" spans="1:4" x14ac:dyDescent="0.3">
      <c r="A612">
        <v>72131384</v>
      </c>
      <c r="B612" t="s">
        <v>842</v>
      </c>
      <c r="C612" t="s">
        <v>8</v>
      </c>
      <c r="D612" t="s">
        <v>843</v>
      </c>
    </row>
    <row r="613" spans="1:4" x14ac:dyDescent="0.3">
      <c r="A613">
        <v>72137021</v>
      </c>
      <c r="B613" t="s">
        <v>844</v>
      </c>
      <c r="C613" t="s">
        <v>8</v>
      </c>
    </row>
    <row r="614" spans="1:4" x14ac:dyDescent="0.3">
      <c r="A614">
        <v>75826053</v>
      </c>
      <c r="B614" t="s">
        <v>845</v>
      </c>
      <c r="C614" t="s">
        <v>8</v>
      </c>
    </row>
    <row r="615" spans="1:4" x14ac:dyDescent="0.3">
      <c r="A615">
        <v>70029126</v>
      </c>
      <c r="B615" t="s">
        <v>846</v>
      </c>
      <c r="C615" t="s">
        <v>8</v>
      </c>
    </row>
    <row r="616" spans="1:4" x14ac:dyDescent="0.3">
      <c r="A616">
        <v>47650914</v>
      </c>
      <c r="B616" t="s">
        <v>847</v>
      </c>
      <c r="C616" t="s">
        <v>8</v>
      </c>
    </row>
    <row r="617" spans="1:4" x14ac:dyDescent="0.3">
      <c r="A617">
        <v>4105961</v>
      </c>
      <c r="B617" t="s">
        <v>848</v>
      </c>
      <c r="C617" t="s">
        <v>8</v>
      </c>
    </row>
    <row r="618" spans="1:4" x14ac:dyDescent="0.3">
      <c r="A618">
        <v>61610084</v>
      </c>
      <c r="B618" t="s">
        <v>849</v>
      </c>
      <c r="C618" t="s">
        <v>8</v>
      </c>
    </row>
    <row r="619" spans="1:4" x14ac:dyDescent="0.3">
      <c r="A619">
        <v>44314304</v>
      </c>
      <c r="B619" t="s">
        <v>850</v>
      </c>
      <c r="C619" t="s">
        <v>8</v>
      </c>
      <c r="D619" t="s">
        <v>851</v>
      </c>
    </row>
    <row r="620" spans="1:4" x14ac:dyDescent="0.3">
      <c r="A620">
        <v>72700001</v>
      </c>
      <c r="B620" t="s">
        <v>852</v>
      </c>
      <c r="C620" t="s">
        <v>8</v>
      </c>
      <c r="D620" t="s">
        <v>853</v>
      </c>
    </row>
    <row r="621" spans="1:4" x14ac:dyDescent="0.3">
      <c r="A621">
        <v>47760988</v>
      </c>
      <c r="B621" t="s">
        <v>854</v>
      </c>
      <c r="C621" t="s">
        <v>8</v>
      </c>
      <c r="D621" t="s">
        <v>855</v>
      </c>
    </row>
    <row r="622" spans="1:4" x14ac:dyDescent="0.3">
      <c r="A622">
        <v>45861927</v>
      </c>
      <c r="B622" t="s">
        <v>856</v>
      </c>
      <c r="C622" t="s">
        <v>8</v>
      </c>
    </row>
    <row r="623" spans="1:4" x14ac:dyDescent="0.3">
      <c r="A623">
        <v>24800480</v>
      </c>
      <c r="B623" t="s">
        <v>857</v>
      </c>
      <c r="C623" t="s">
        <v>8</v>
      </c>
      <c r="D623" t="s">
        <v>858</v>
      </c>
    </row>
    <row r="624" spans="1:4" x14ac:dyDescent="0.3">
      <c r="A624">
        <v>48536654</v>
      </c>
      <c r="B624" t="s">
        <v>859</v>
      </c>
      <c r="C624" t="s">
        <v>8</v>
      </c>
      <c r="D624" t="s">
        <v>860</v>
      </c>
    </row>
    <row r="625" spans="1:4" x14ac:dyDescent="0.3">
      <c r="A625">
        <v>46809818</v>
      </c>
      <c r="B625" t="s">
        <v>861</v>
      </c>
      <c r="C625" t="s">
        <v>8</v>
      </c>
      <c r="D625" t="s">
        <v>862</v>
      </c>
    </row>
    <row r="626" spans="1:4" x14ac:dyDescent="0.3">
      <c r="A626">
        <v>72537561</v>
      </c>
      <c r="B626" t="s">
        <v>863</v>
      </c>
      <c r="C626" t="s">
        <v>8</v>
      </c>
      <c r="D626" t="s">
        <v>864</v>
      </c>
    </row>
    <row r="627" spans="1:4" x14ac:dyDescent="0.3">
      <c r="A627">
        <v>74877066</v>
      </c>
      <c r="B627" t="s">
        <v>865</v>
      </c>
      <c r="C627" t="s">
        <v>8</v>
      </c>
    </row>
    <row r="628" spans="1:4" x14ac:dyDescent="0.3">
      <c r="A628">
        <v>73530159</v>
      </c>
      <c r="B628" t="s">
        <v>866</v>
      </c>
      <c r="C628" t="s">
        <v>8</v>
      </c>
      <c r="D628" t="s">
        <v>867</v>
      </c>
    </row>
    <row r="629" spans="1:4" x14ac:dyDescent="0.3">
      <c r="A629">
        <v>71780708</v>
      </c>
      <c r="B629" t="s">
        <v>868</v>
      </c>
      <c r="C629" t="s">
        <v>8</v>
      </c>
    </row>
    <row r="630" spans="1:4" x14ac:dyDescent="0.3">
      <c r="A630">
        <v>46126507</v>
      </c>
      <c r="B630" t="s">
        <v>869</v>
      </c>
      <c r="C630" t="s">
        <v>8</v>
      </c>
      <c r="D630" t="s">
        <v>870</v>
      </c>
    </row>
    <row r="631" spans="1:4" x14ac:dyDescent="0.3">
      <c r="A631">
        <v>70105330</v>
      </c>
      <c r="B631" t="s">
        <v>871</v>
      </c>
      <c r="C631" t="s">
        <v>8</v>
      </c>
    </row>
    <row r="632" spans="1:4" x14ac:dyDescent="0.3">
      <c r="A632">
        <v>72725225</v>
      </c>
      <c r="B632" t="s">
        <v>872</v>
      </c>
      <c r="C632" t="s">
        <v>8</v>
      </c>
      <c r="D632" t="s">
        <v>873</v>
      </c>
    </row>
    <row r="633" spans="1:4" x14ac:dyDescent="0.3">
      <c r="A633">
        <v>73195103</v>
      </c>
      <c r="B633" t="s">
        <v>874</v>
      </c>
      <c r="C633" t="s">
        <v>8</v>
      </c>
      <c r="D633" t="s">
        <v>875</v>
      </c>
    </row>
    <row r="634" spans="1:4" x14ac:dyDescent="0.3">
      <c r="A634">
        <v>47557239</v>
      </c>
      <c r="B634" t="s">
        <v>876</v>
      </c>
      <c r="C634" t="s">
        <v>8</v>
      </c>
      <c r="D634" t="s">
        <v>877</v>
      </c>
    </row>
    <row r="635" spans="1:4" x14ac:dyDescent="0.3">
      <c r="A635">
        <v>72728100</v>
      </c>
      <c r="B635" t="s">
        <v>878</v>
      </c>
      <c r="C635" t="s">
        <v>8</v>
      </c>
      <c r="D635" t="s">
        <v>879</v>
      </c>
    </row>
    <row r="636" spans="1:4" x14ac:dyDescent="0.3">
      <c r="A636">
        <v>72531546</v>
      </c>
      <c r="B636" t="s">
        <v>880</v>
      </c>
      <c r="C636" t="s">
        <v>8</v>
      </c>
      <c r="D636" t="s">
        <v>881</v>
      </c>
    </row>
    <row r="637" spans="1:4" x14ac:dyDescent="0.3">
      <c r="A637">
        <v>75247945</v>
      </c>
      <c r="B637" t="s">
        <v>882</v>
      </c>
      <c r="C637" t="s">
        <v>8</v>
      </c>
    </row>
    <row r="638" spans="1:4" x14ac:dyDescent="0.3">
      <c r="A638">
        <v>77029581</v>
      </c>
      <c r="B638" t="s">
        <v>883</v>
      </c>
      <c r="C638" t="s">
        <v>8</v>
      </c>
    </row>
    <row r="639" spans="1:4" x14ac:dyDescent="0.3">
      <c r="A639">
        <v>71783902</v>
      </c>
      <c r="B639" t="s">
        <v>884</v>
      </c>
      <c r="C639" t="s">
        <v>8</v>
      </c>
    </row>
    <row r="640" spans="1:4" x14ac:dyDescent="0.3">
      <c r="A640">
        <v>76393011</v>
      </c>
      <c r="B640" t="s">
        <v>885</v>
      </c>
      <c r="C640" t="s">
        <v>8</v>
      </c>
      <c r="D640" t="s">
        <v>886</v>
      </c>
    </row>
    <row r="641" spans="1:4" x14ac:dyDescent="0.3">
      <c r="A641">
        <v>74392568</v>
      </c>
      <c r="B641" t="s">
        <v>887</v>
      </c>
      <c r="C641" t="s">
        <v>8</v>
      </c>
      <c r="D641" t="s">
        <v>888</v>
      </c>
    </row>
    <row r="642" spans="1:4" x14ac:dyDescent="0.3">
      <c r="A642">
        <v>71311214</v>
      </c>
      <c r="B642" t="s">
        <v>889</v>
      </c>
      <c r="C642" t="s">
        <v>8</v>
      </c>
      <c r="D642" t="s">
        <v>890</v>
      </c>
    </row>
    <row r="643" spans="1:4" x14ac:dyDescent="0.3">
      <c r="A643">
        <v>44487468</v>
      </c>
      <c r="B643" t="s">
        <v>891</v>
      </c>
      <c r="C643" t="s">
        <v>8</v>
      </c>
    </row>
    <row r="644" spans="1:4" x14ac:dyDescent="0.3">
      <c r="A644">
        <v>45628202</v>
      </c>
      <c r="B644" t="s">
        <v>892</v>
      </c>
      <c r="C644" t="s">
        <v>8</v>
      </c>
    </row>
    <row r="645" spans="1:4" x14ac:dyDescent="0.3">
      <c r="A645">
        <v>70817650</v>
      </c>
      <c r="B645" t="s">
        <v>893</v>
      </c>
      <c r="C645" t="s">
        <v>8</v>
      </c>
    </row>
    <row r="646" spans="1:4" x14ac:dyDescent="0.3">
      <c r="A646">
        <v>72682665</v>
      </c>
      <c r="B646" t="s">
        <v>894</v>
      </c>
      <c r="C646" t="s">
        <v>8</v>
      </c>
      <c r="D646" t="s">
        <v>895</v>
      </c>
    </row>
    <row r="647" spans="1:4" x14ac:dyDescent="0.3">
      <c r="A647">
        <v>48362717</v>
      </c>
      <c r="B647" t="s">
        <v>896</v>
      </c>
      <c r="C647" t="s">
        <v>8</v>
      </c>
      <c r="D647" t="s">
        <v>897</v>
      </c>
    </row>
    <row r="648" spans="1:4" x14ac:dyDescent="0.3">
      <c r="A648">
        <v>80454870</v>
      </c>
      <c r="B648" t="s">
        <v>898</v>
      </c>
      <c r="C648" t="s">
        <v>8</v>
      </c>
      <c r="D648" t="s">
        <v>899</v>
      </c>
    </row>
    <row r="649" spans="1:4" x14ac:dyDescent="0.3">
      <c r="A649">
        <v>3531638</v>
      </c>
      <c r="B649" t="s">
        <v>900</v>
      </c>
      <c r="C649" t="s">
        <v>8</v>
      </c>
    </row>
    <row r="650" spans="1:4" x14ac:dyDescent="0.3">
      <c r="A650">
        <v>46482122</v>
      </c>
      <c r="B650" t="s">
        <v>901</v>
      </c>
      <c r="C650" t="s">
        <v>8</v>
      </c>
    </row>
    <row r="651" spans="1:4" x14ac:dyDescent="0.3">
      <c r="A651">
        <v>71786852</v>
      </c>
      <c r="B651" t="s">
        <v>902</v>
      </c>
      <c r="C651" t="s">
        <v>8</v>
      </c>
      <c r="D651" t="s">
        <v>903</v>
      </c>
    </row>
    <row r="652" spans="1:4" x14ac:dyDescent="0.3">
      <c r="A652">
        <v>76918127</v>
      </c>
      <c r="B652" t="s">
        <v>904</v>
      </c>
      <c r="C652" t="s">
        <v>8</v>
      </c>
    </row>
    <row r="653" spans="1:4" x14ac:dyDescent="0.3">
      <c r="A653">
        <v>72813674</v>
      </c>
      <c r="B653" t="s">
        <v>905</v>
      </c>
      <c r="C653" t="s">
        <v>8</v>
      </c>
      <c r="D653" t="s">
        <v>906</v>
      </c>
    </row>
    <row r="654" spans="1:4" x14ac:dyDescent="0.3">
      <c r="A654">
        <v>72791041</v>
      </c>
      <c r="B654" t="s">
        <v>907</v>
      </c>
      <c r="C654" t="s">
        <v>8</v>
      </c>
    </row>
    <row r="655" spans="1:4" x14ac:dyDescent="0.3">
      <c r="A655">
        <v>70517150</v>
      </c>
      <c r="B655" t="s">
        <v>908</v>
      </c>
    </row>
    <row r="656" spans="1:4" x14ac:dyDescent="0.3">
      <c r="A656">
        <v>10776582331</v>
      </c>
      <c r="B656" t="s">
        <v>909</v>
      </c>
    </row>
    <row r="657" spans="1:2" x14ac:dyDescent="0.3">
      <c r="A657">
        <v>20603679025</v>
      </c>
      <c r="B657" t="s">
        <v>910</v>
      </c>
    </row>
    <row r="658" spans="1:2" x14ac:dyDescent="0.3">
      <c r="A658">
        <v>10297207330</v>
      </c>
      <c r="B658" t="s">
        <v>911</v>
      </c>
    </row>
    <row r="659" spans="1:2" x14ac:dyDescent="0.3">
      <c r="A659">
        <v>20614269309</v>
      </c>
      <c r="B659" t="s">
        <v>912</v>
      </c>
    </row>
    <row r="660" spans="1:2" x14ac:dyDescent="0.3">
      <c r="A660">
        <v>20612783871</v>
      </c>
      <c r="B660" t="s">
        <v>913</v>
      </c>
    </row>
    <row r="661" spans="1:2" x14ac:dyDescent="0.3">
      <c r="A661">
        <v>20610616675</v>
      </c>
      <c r="B661" t="s">
        <v>914</v>
      </c>
    </row>
    <row r="662" spans="1:2" x14ac:dyDescent="0.3">
      <c r="A662">
        <v>20558053691</v>
      </c>
      <c r="B662" t="s">
        <v>915</v>
      </c>
    </row>
    <row r="663" spans="1:2" x14ac:dyDescent="0.3">
      <c r="A663">
        <v>20455841357</v>
      </c>
      <c r="B663" t="s">
        <v>916</v>
      </c>
    </row>
    <row r="664" spans="1:2" x14ac:dyDescent="0.3">
      <c r="A664">
        <v>20454029918</v>
      </c>
      <c r="B664" t="s">
        <v>917</v>
      </c>
    </row>
    <row r="665" spans="1:2" x14ac:dyDescent="0.3">
      <c r="A665">
        <v>20508565934</v>
      </c>
      <c r="B665" t="s">
        <v>918</v>
      </c>
    </row>
    <row r="666" spans="1:2" x14ac:dyDescent="0.3">
      <c r="A666">
        <v>20517252558</v>
      </c>
      <c r="B666" t="s">
        <v>919</v>
      </c>
    </row>
    <row r="667" spans="1:2" x14ac:dyDescent="0.3">
      <c r="A667">
        <v>20550372640</v>
      </c>
      <c r="B667" t="s">
        <v>920</v>
      </c>
    </row>
    <row r="668" spans="1:2" x14ac:dyDescent="0.3">
      <c r="A668">
        <v>20611525568</v>
      </c>
      <c r="B668" t="s">
        <v>921</v>
      </c>
    </row>
    <row r="669" spans="1:2" x14ac:dyDescent="0.3">
      <c r="A669">
        <v>20454067682</v>
      </c>
      <c r="B669" t="s">
        <v>922</v>
      </c>
    </row>
    <row r="670" spans="1:2" x14ac:dyDescent="0.3">
      <c r="A670">
        <v>20606109963</v>
      </c>
      <c r="B670" t="s">
        <v>923</v>
      </c>
    </row>
    <row r="671" spans="1:2" x14ac:dyDescent="0.3">
      <c r="A671">
        <v>20609580292</v>
      </c>
      <c r="B671" t="s">
        <v>533</v>
      </c>
    </row>
    <row r="672" spans="1:2" x14ac:dyDescent="0.3">
      <c r="A672">
        <v>20613747096</v>
      </c>
      <c r="B672" t="s">
        <v>924</v>
      </c>
    </row>
    <row r="673" spans="1:5" x14ac:dyDescent="0.3">
      <c r="A673">
        <v>20455823880</v>
      </c>
      <c r="B673" t="s">
        <v>925</v>
      </c>
    </row>
    <row r="674" spans="1:5" x14ac:dyDescent="0.3">
      <c r="A674">
        <v>20600922310</v>
      </c>
      <c r="B674" t="s">
        <v>926</v>
      </c>
    </row>
    <row r="675" spans="1:5" x14ac:dyDescent="0.3">
      <c r="A675">
        <v>20600922310</v>
      </c>
      <c r="B675" t="s">
        <v>926</v>
      </c>
    </row>
    <row r="676" spans="1:5" x14ac:dyDescent="0.3">
      <c r="A676">
        <v>10309622885</v>
      </c>
      <c r="B676" t="s">
        <v>927</v>
      </c>
    </row>
    <row r="677" spans="1:5" x14ac:dyDescent="0.3">
      <c r="A677">
        <v>20609286564</v>
      </c>
      <c r="B677" t="s">
        <v>928</v>
      </c>
    </row>
    <row r="678" spans="1:5" x14ac:dyDescent="0.3">
      <c r="A678">
        <v>20609629739</v>
      </c>
      <c r="B678" t="s">
        <v>929</v>
      </c>
    </row>
    <row r="679" spans="1:5" x14ac:dyDescent="0.3">
      <c r="A679">
        <v>20498619232</v>
      </c>
      <c r="B679" t="s">
        <v>930</v>
      </c>
    </row>
    <row r="680" spans="1:5" x14ac:dyDescent="0.3">
      <c r="A680">
        <v>10294003881</v>
      </c>
      <c r="B680" t="s">
        <v>931</v>
      </c>
    </row>
    <row r="681" spans="1:5" x14ac:dyDescent="0.3">
      <c r="A681">
        <v>10305624930</v>
      </c>
      <c r="B681" t="s">
        <v>932</v>
      </c>
    </row>
    <row r="682" spans="1:5" x14ac:dyDescent="0.3">
      <c r="A682">
        <v>20497914885</v>
      </c>
      <c r="B682" t="s">
        <v>933</v>
      </c>
    </row>
    <row r="683" spans="1:5" x14ac:dyDescent="0.3">
      <c r="A683">
        <v>76390500</v>
      </c>
      <c r="B683" t="s">
        <v>934</v>
      </c>
      <c r="E683" t="s">
        <v>806</v>
      </c>
    </row>
    <row r="684" spans="1:5" x14ac:dyDescent="0.3">
      <c r="A684">
        <v>20611396121</v>
      </c>
      <c r="B684" t="s">
        <v>935</v>
      </c>
    </row>
    <row r="685" spans="1:5" x14ac:dyDescent="0.3">
      <c r="A685">
        <v>20454603479</v>
      </c>
      <c r="B685" t="s">
        <v>936</v>
      </c>
    </row>
    <row r="686" spans="1:5" x14ac:dyDescent="0.3">
      <c r="A686">
        <v>10740730628</v>
      </c>
      <c r="B686" t="s">
        <v>937</v>
      </c>
    </row>
    <row r="687" spans="1:5" x14ac:dyDescent="0.3">
      <c r="A687">
        <v>71334789</v>
      </c>
      <c r="B687" t="s">
        <v>938</v>
      </c>
    </row>
    <row r="688" spans="1:5" x14ac:dyDescent="0.3">
      <c r="A688">
        <v>20612112500</v>
      </c>
      <c r="B688" t="s">
        <v>939</v>
      </c>
    </row>
    <row r="689" spans="1:5" x14ac:dyDescent="0.3">
      <c r="A689">
        <v>10705628331</v>
      </c>
      <c r="B689" t="s">
        <v>940</v>
      </c>
    </row>
    <row r="690" spans="1:5" x14ac:dyDescent="0.3">
      <c r="A690">
        <v>10449376124</v>
      </c>
      <c r="B690" t="s">
        <v>941</v>
      </c>
    </row>
    <row r="691" spans="1:5" x14ac:dyDescent="0.3">
      <c r="A691">
        <v>10434937391</v>
      </c>
      <c r="B691" t="s">
        <v>942</v>
      </c>
    </row>
    <row r="692" spans="1:5" x14ac:dyDescent="0.3">
      <c r="A692">
        <v>20600725417</v>
      </c>
      <c r="B692" t="s">
        <v>943</v>
      </c>
    </row>
    <row r="693" spans="1:5" x14ac:dyDescent="0.3">
      <c r="A693">
        <v>20453904971</v>
      </c>
      <c r="B693" t="s">
        <v>944</v>
      </c>
    </row>
    <row r="694" spans="1:5" x14ac:dyDescent="0.3">
      <c r="A694">
        <v>20610943625</v>
      </c>
      <c r="B694" t="s">
        <v>945</v>
      </c>
    </row>
    <row r="695" spans="1:5" x14ac:dyDescent="0.3">
      <c r="A695">
        <v>20603219377</v>
      </c>
      <c r="B695" t="s">
        <v>946</v>
      </c>
    </row>
    <row r="696" spans="1:5" x14ac:dyDescent="0.3">
      <c r="A696">
        <v>20550033519</v>
      </c>
      <c r="B696" t="s">
        <v>947</v>
      </c>
    </row>
    <row r="697" spans="1:5" x14ac:dyDescent="0.3">
      <c r="A697">
        <v>10251876211</v>
      </c>
      <c r="B697" t="s">
        <v>948</v>
      </c>
    </row>
    <row r="698" spans="1:5" x14ac:dyDescent="0.3">
      <c r="A698">
        <v>20601584001</v>
      </c>
      <c r="B698" t="s">
        <v>949</v>
      </c>
    </row>
    <row r="699" spans="1:5" x14ac:dyDescent="0.3">
      <c r="A699">
        <v>11111111</v>
      </c>
      <c r="B699" t="s">
        <v>950</v>
      </c>
    </row>
    <row r="700" spans="1:5" x14ac:dyDescent="0.3">
      <c r="A700">
        <v>48197510</v>
      </c>
      <c r="B700" t="s">
        <v>951</v>
      </c>
    </row>
    <row r="701" spans="1:5" x14ac:dyDescent="0.3">
      <c r="A701">
        <v>10460064592</v>
      </c>
      <c r="B701" t="s">
        <v>952</v>
      </c>
    </row>
    <row r="702" spans="1:5" x14ac:dyDescent="0.3">
      <c r="A702">
        <v>10409596865</v>
      </c>
      <c r="B702" t="s">
        <v>953</v>
      </c>
    </row>
    <row r="703" spans="1:5" x14ac:dyDescent="0.3">
      <c r="A703">
        <v>60945818</v>
      </c>
      <c r="B703" t="s">
        <v>954</v>
      </c>
      <c r="E703" t="s">
        <v>806</v>
      </c>
    </row>
    <row r="704" spans="1:5" x14ac:dyDescent="0.3">
      <c r="A704">
        <v>75560789</v>
      </c>
      <c r="B704" t="s">
        <v>955</v>
      </c>
      <c r="E704" t="s">
        <v>806</v>
      </c>
    </row>
    <row r="705" spans="1:5" x14ac:dyDescent="0.3">
      <c r="A705">
        <v>48298276</v>
      </c>
      <c r="B705" t="s">
        <v>956</v>
      </c>
      <c r="E705" t="s">
        <v>806</v>
      </c>
    </row>
    <row r="706" spans="1:5" x14ac:dyDescent="0.3">
      <c r="A706">
        <v>76140901</v>
      </c>
      <c r="B706" t="s">
        <v>957</v>
      </c>
      <c r="E706" t="s">
        <v>806</v>
      </c>
    </row>
    <row r="707" spans="1:5" x14ac:dyDescent="0.3">
      <c r="A707">
        <v>72458502</v>
      </c>
      <c r="B707" t="s">
        <v>958</v>
      </c>
      <c r="E707" t="s">
        <v>806</v>
      </c>
    </row>
    <row r="708" spans="1:5" x14ac:dyDescent="0.3">
      <c r="A708">
        <v>75276411</v>
      </c>
      <c r="B708" t="s">
        <v>959</v>
      </c>
      <c r="E708" t="s">
        <v>806</v>
      </c>
    </row>
    <row r="709" spans="1:5" x14ac:dyDescent="0.3">
      <c r="A709">
        <v>71654750</v>
      </c>
      <c r="B709" t="s">
        <v>960</v>
      </c>
      <c r="E709" t="s">
        <v>806</v>
      </c>
    </row>
    <row r="710" spans="1:5" x14ac:dyDescent="0.3">
      <c r="A710">
        <v>60248415</v>
      </c>
      <c r="B710" t="s">
        <v>961</v>
      </c>
      <c r="E710" t="s">
        <v>806</v>
      </c>
    </row>
    <row r="711" spans="1:5" x14ac:dyDescent="0.3">
      <c r="A711">
        <v>77089939</v>
      </c>
      <c r="B711" t="s">
        <v>962</v>
      </c>
      <c r="E711" t="s">
        <v>806</v>
      </c>
    </row>
    <row r="712" spans="1:5" x14ac:dyDescent="0.3">
      <c r="A712">
        <v>73376012</v>
      </c>
      <c r="B712" t="s">
        <v>963</v>
      </c>
      <c r="E712" t="s">
        <v>806</v>
      </c>
    </row>
    <row r="713" spans="1:5" x14ac:dyDescent="0.3">
      <c r="A713">
        <v>10410162551</v>
      </c>
      <c r="B713" t="s">
        <v>964</v>
      </c>
      <c r="C713" t="s">
        <v>8</v>
      </c>
      <c r="D713" t="s">
        <v>965</v>
      </c>
    </row>
    <row r="714" spans="1:5" x14ac:dyDescent="0.3">
      <c r="A714">
        <v>20601369622</v>
      </c>
      <c r="B714" t="s">
        <v>966</v>
      </c>
    </row>
    <row r="715" spans="1:5" x14ac:dyDescent="0.3">
      <c r="A715">
        <v>20602819834</v>
      </c>
      <c r="B715" t="s">
        <v>967</v>
      </c>
    </row>
    <row r="716" spans="1:5" x14ac:dyDescent="0.3">
      <c r="A716">
        <v>20434848262</v>
      </c>
      <c r="B716" t="s">
        <v>968</v>
      </c>
    </row>
    <row r="717" spans="1:5" x14ac:dyDescent="0.3">
      <c r="A717">
        <v>10426317511</v>
      </c>
      <c r="B717" t="s">
        <v>969</v>
      </c>
    </row>
    <row r="718" spans="1:5" x14ac:dyDescent="0.3">
      <c r="A718">
        <v>20454058187</v>
      </c>
      <c r="B718" t="s">
        <v>970</v>
      </c>
    </row>
    <row r="719" spans="1:5" x14ac:dyDescent="0.3">
      <c r="A719">
        <v>20515659324</v>
      </c>
      <c r="B719" t="s">
        <v>971</v>
      </c>
    </row>
    <row r="720" spans="1:5" x14ac:dyDescent="0.3">
      <c r="A720">
        <v>20492092313</v>
      </c>
      <c r="B720" t="s">
        <v>972</v>
      </c>
    </row>
    <row r="721" spans="1:5" x14ac:dyDescent="0.3">
      <c r="A721">
        <v>10440377497</v>
      </c>
      <c r="B721" t="s">
        <v>973</v>
      </c>
    </row>
    <row r="722" spans="1:5" x14ac:dyDescent="0.3">
      <c r="A722">
        <v>20602460143</v>
      </c>
      <c r="B722" t="s">
        <v>974</v>
      </c>
    </row>
    <row r="723" spans="1:5" x14ac:dyDescent="0.3">
      <c r="A723">
        <v>10704693015</v>
      </c>
      <c r="B723" t="s">
        <v>975</v>
      </c>
    </row>
    <row r="724" spans="1:5" x14ac:dyDescent="0.3">
      <c r="A724">
        <v>20610760008</v>
      </c>
      <c r="B724" t="s">
        <v>976</v>
      </c>
    </row>
    <row r="725" spans="1:5" x14ac:dyDescent="0.3">
      <c r="A725">
        <v>20517216241</v>
      </c>
      <c r="B725" t="s">
        <v>977</v>
      </c>
    </row>
    <row r="726" spans="1:5" x14ac:dyDescent="0.3">
      <c r="A726">
        <v>10089085042</v>
      </c>
      <c r="B726" t="s">
        <v>978</v>
      </c>
    </row>
    <row r="727" spans="1:5" x14ac:dyDescent="0.3">
      <c r="A727">
        <v>72204134</v>
      </c>
      <c r="B727" t="s">
        <v>979</v>
      </c>
      <c r="E727" t="s">
        <v>806</v>
      </c>
    </row>
    <row r="728" spans="1:5" x14ac:dyDescent="0.3">
      <c r="A728">
        <v>70511606</v>
      </c>
      <c r="B728" t="s">
        <v>980</v>
      </c>
      <c r="E728" t="s">
        <v>806</v>
      </c>
    </row>
    <row r="729" spans="1:5" x14ac:dyDescent="0.3">
      <c r="A729">
        <v>20332970411</v>
      </c>
      <c r="B729" t="s">
        <v>981</v>
      </c>
    </row>
    <row r="730" spans="1:5" x14ac:dyDescent="0.3">
      <c r="A730">
        <v>20511465061</v>
      </c>
      <c r="B730" t="s">
        <v>982</v>
      </c>
    </row>
    <row r="731" spans="1:5" x14ac:dyDescent="0.3">
      <c r="A731">
        <v>20503503639</v>
      </c>
      <c r="B731" t="s">
        <v>983</v>
      </c>
    </row>
    <row r="732" spans="1:5" x14ac:dyDescent="0.3">
      <c r="A732">
        <v>20606567856</v>
      </c>
      <c r="B732" t="s">
        <v>984</v>
      </c>
    </row>
    <row r="733" spans="1:5" x14ac:dyDescent="0.3">
      <c r="A733">
        <v>10218062186</v>
      </c>
      <c r="B733" t="s">
        <v>985</v>
      </c>
    </row>
    <row r="734" spans="1:5" x14ac:dyDescent="0.3">
      <c r="A734">
        <v>10438189560</v>
      </c>
      <c r="B734" t="s">
        <v>986</v>
      </c>
    </row>
    <row r="735" spans="1:5" x14ac:dyDescent="0.3">
      <c r="A735">
        <v>10154270642</v>
      </c>
      <c r="B735" t="s">
        <v>987</v>
      </c>
    </row>
    <row r="736" spans="1:5" x14ac:dyDescent="0.3">
      <c r="A736">
        <v>20552302932</v>
      </c>
      <c r="B736" t="s">
        <v>988</v>
      </c>
    </row>
    <row r="737" spans="1:4" x14ac:dyDescent="0.3">
      <c r="A737">
        <v>10773806239</v>
      </c>
      <c r="B737" t="s">
        <v>989</v>
      </c>
    </row>
    <row r="738" spans="1:4" x14ac:dyDescent="0.3">
      <c r="A738">
        <v>20606259116</v>
      </c>
      <c r="B738" t="s">
        <v>990</v>
      </c>
    </row>
    <row r="739" spans="1:4" x14ac:dyDescent="0.3">
      <c r="A739">
        <v>20601978572</v>
      </c>
      <c r="B739" t="s">
        <v>991</v>
      </c>
    </row>
    <row r="740" spans="1:4" x14ac:dyDescent="0.3">
      <c r="A740">
        <v>10296171315</v>
      </c>
      <c r="B740" t="s">
        <v>992</v>
      </c>
    </row>
    <row r="741" spans="1:4" x14ac:dyDescent="0.3">
      <c r="A741">
        <v>20613525093</v>
      </c>
      <c r="B741" t="s">
        <v>993</v>
      </c>
    </row>
    <row r="742" spans="1:4" x14ac:dyDescent="0.3">
      <c r="A742">
        <v>20606259116</v>
      </c>
      <c r="B742" t="s">
        <v>990</v>
      </c>
    </row>
    <row r="743" spans="1:4" x14ac:dyDescent="0.3">
      <c r="A743">
        <v>20600967291</v>
      </c>
      <c r="B743" t="s">
        <v>994</v>
      </c>
    </row>
    <row r="744" spans="1:4" x14ac:dyDescent="0.3">
      <c r="A744">
        <v>10413228722</v>
      </c>
      <c r="B744" t="s">
        <v>995</v>
      </c>
    </row>
    <row r="745" spans="1:4" x14ac:dyDescent="0.3">
      <c r="A745">
        <v>10429073796</v>
      </c>
      <c r="B745" t="s">
        <v>996</v>
      </c>
    </row>
    <row r="746" spans="1:4" x14ac:dyDescent="0.3">
      <c r="A746">
        <v>10431647287</v>
      </c>
      <c r="B746" t="s">
        <v>997</v>
      </c>
    </row>
    <row r="747" spans="1:4" x14ac:dyDescent="0.3">
      <c r="A747">
        <v>10709491461</v>
      </c>
      <c r="B747" t="s">
        <v>998</v>
      </c>
    </row>
    <row r="748" spans="1:4" x14ac:dyDescent="0.3">
      <c r="A748">
        <v>10801606542</v>
      </c>
      <c r="B748" t="s">
        <v>999</v>
      </c>
      <c r="C748" t="s">
        <v>8</v>
      </c>
      <c r="D748" t="s">
        <v>1000</v>
      </c>
    </row>
    <row r="749" spans="1:4" x14ac:dyDescent="0.3">
      <c r="A749">
        <v>20100047218</v>
      </c>
      <c r="B749" t="s">
        <v>1001</v>
      </c>
    </row>
    <row r="750" spans="1:4" x14ac:dyDescent="0.3">
      <c r="A750">
        <v>10409010488</v>
      </c>
      <c r="B750" t="s">
        <v>1002</v>
      </c>
    </row>
    <row r="751" spans="1:4" x14ac:dyDescent="0.3">
      <c r="A751">
        <v>10425073121</v>
      </c>
      <c r="B751" t="s">
        <v>1003</v>
      </c>
    </row>
    <row r="752" spans="1:4" x14ac:dyDescent="0.3">
      <c r="A752">
        <v>20485592556</v>
      </c>
      <c r="B752" t="s">
        <v>1004</v>
      </c>
    </row>
    <row r="753" spans="1:5" x14ac:dyDescent="0.3">
      <c r="A753">
        <v>10742353911</v>
      </c>
      <c r="B753" t="s">
        <v>1005</v>
      </c>
    </row>
    <row r="754" spans="1:5" x14ac:dyDescent="0.3">
      <c r="A754">
        <v>10710506634</v>
      </c>
      <c r="B754" t="s">
        <v>1006</v>
      </c>
    </row>
    <row r="755" spans="1:5" x14ac:dyDescent="0.3">
      <c r="A755">
        <v>10721906774</v>
      </c>
      <c r="B755" t="s">
        <v>1007</v>
      </c>
    </row>
    <row r="756" spans="1:5" x14ac:dyDescent="0.3">
      <c r="A756">
        <v>20606100893</v>
      </c>
      <c r="B756" t="s">
        <v>1008</v>
      </c>
    </row>
    <row r="757" spans="1:5" x14ac:dyDescent="0.3">
      <c r="A757">
        <v>10709491461</v>
      </c>
      <c r="B757" t="s">
        <v>998</v>
      </c>
    </row>
    <row r="758" spans="1:5" x14ac:dyDescent="0.3">
      <c r="A758">
        <v>72725445</v>
      </c>
      <c r="B758" t="s">
        <v>1009</v>
      </c>
      <c r="E758" t="s">
        <v>806</v>
      </c>
    </row>
    <row r="759" spans="1:5" x14ac:dyDescent="0.3">
      <c r="A759">
        <v>72378581</v>
      </c>
      <c r="B759" t="s">
        <v>1010</v>
      </c>
      <c r="E759" t="s">
        <v>806</v>
      </c>
    </row>
    <row r="760" spans="1:5" x14ac:dyDescent="0.3">
      <c r="A760">
        <v>46930934</v>
      </c>
      <c r="B760" t="s">
        <v>1011</v>
      </c>
      <c r="E760" t="s">
        <v>806</v>
      </c>
    </row>
    <row r="761" spans="1:5" x14ac:dyDescent="0.3">
      <c r="A761">
        <v>20558309831</v>
      </c>
      <c r="B761" t="s">
        <v>1012</v>
      </c>
    </row>
    <row r="762" spans="1:5" x14ac:dyDescent="0.3">
      <c r="A762">
        <v>10773382439</v>
      </c>
      <c r="B762" t="s">
        <v>1013</v>
      </c>
    </row>
    <row r="763" spans="1:5" x14ac:dyDescent="0.3">
      <c r="A763">
        <v>10725531368</v>
      </c>
      <c r="B763" t="s">
        <v>1014</v>
      </c>
    </row>
    <row r="764" spans="1:5" x14ac:dyDescent="0.3">
      <c r="A764">
        <v>20612478920</v>
      </c>
      <c r="B764" t="s">
        <v>1015</v>
      </c>
    </row>
    <row r="765" spans="1:5" x14ac:dyDescent="0.3">
      <c r="A765">
        <v>72551423</v>
      </c>
      <c r="B765" t="s">
        <v>1016</v>
      </c>
      <c r="E765" t="s">
        <v>806</v>
      </c>
    </row>
    <row r="766" spans="1:5" x14ac:dyDescent="0.3">
      <c r="A766">
        <v>77175568</v>
      </c>
      <c r="B766" t="s">
        <v>1017</v>
      </c>
    </row>
    <row r="767" spans="1:5" x14ac:dyDescent="0.3">
      <c r="A767">
        <v>20605533125</v>
      </c>
      <c r="B767" t="s">
        <v>1018</v>
      </c>
    </row>
    <row r="768" spans="1:5" x14ac:dyDescent="0.3">
      <c r="A768">
        <v>20523395701</v>
      </c>
      <c r="B768" t="s">
        <v>1019</v>
      </c>
    </row>
    <row r="769" spans="1:5" x14ac:dyDescent="0.3">
      <c r="A769">
        <v>20609649519</v>
      </c>
      <c r="B769" t="s">
        <v>1020</v>
      </c>
    </row>
    <row r="770" spans="1:5" x14ac:dyDescent="0.3">
      <c r="A770">
        <v>20600012828</v>
      </c>
      <c r="B770" t="s">
        <v>1021</v>
      </c>
    </row>
    <row r="771" spans="1:5" x14ac:dyDescent="0.3">
      <c r="A771">
        <v>10738983659</v>
      </c>
      <c r="B771" t="s">
        <v>1022</v>
      </c>
    </row>
    <row r="772" spans="1:5" x14ac:dyDescent="0.3">
      <c r="A772">
        <v>20610059393</v>
      </c>
      <c r="B772" t="s">
        <v>1023</v>
      </c>
    </row>
    <row r="773" spans="1:5" x14ac:dyDescent="0.3">
      <c r="A773">
        <v>20612785130</v>
      </c>
      <c r="B773" t="s">
        <v>1024</v>
      </c>
    </row>
    <row r="774" spans="1:5" x14ac:dyDescent="0.3">
      <c r="A774">
        <v>20610217762</v>
      </c>
      <c r="B774" t="s">
        <v>1025</v>
      </c>
    </row>
    <row r="775" spans="1:5" x14ac:dyDescent="0.3">
      <c r="A775">
        <v>72566765</v>
      </c>
      <c r="B775" t="s">
        <v>1026</v>
      </c>
      <c r="E775" t="s">
        <v>806</v>
      </c>
    </row>
    <row r="776" spans="1:5" x14ac:dyDescent="0.3">
      <c r="A776">
        <v>46371564</v>
      </c>
      <c r="B776" t="s">
        <v>1027</v>
      </c>
      <c r="E776" t="s">
        <v>806</v>
      </c>
    </row>
    <row r="777" spans="1:5" x14ac:dyDescent="0.3">
      <c r="A777">
        <v>29266085</v>
      </c>
      <c r="B777" t="s">
        <v>1028</v>
      </c>
      <c r="E777" t="s">
        <v>806</v>
      </c>
    </row>
    <row r="778" spans="1:5" x14ac:dyDescent="0.3">
      <c r="A778">
        <v>73195281</v>
      </c>
      <c r="B778" t="s">
        <v>1029</v>
      </c>
      <c r="E778" t="s">
        <v>806</v>
      </c>
    </row>
    <row r="779" spans="1:5" x14ac:dyDescent="0.3">
      <c r="A779">
        <v>45882922</v>
      </c>
      <c r="B779" t="s">
        <v>1030</v>
      </c>
      <c r="E779" t="s">
        <v>806</v>
      </c>
    </row>
    <row r="780" spans="1:5" x14ac:dyDescent="0.3">
      <c r="A780">
        <v>74990400</v>
      </c>
      <c r="B780" t="s">
        <v>1031</v>
      </c>
      <c r="E780" t="s">
        <v>806</v>
      </c>
    </row>
    <row r="781" spans="1:5" x14ac:dyDescent="0.3">
      <c r="A781">
        <v>60554816</v>
      </c>
      <c r="B781" t="s">
        <v>1032</v>
      </c>
      <c r="E781" t="s">
        <v>806</v>
      </c>
    </row>
    <row r="782" spans="1:5" x14ac:dyDescent="0.3">
      <c r="A782">
        <v>74842377</v>
      </c>
      <c r="B782" t="s">
        <v>1033</v>
      </c>
      <c r="E782" t="s">
        <v>806</v>
      </c>
    </row>
    <row r="783" spans="1:5" x14ac:dyDescent="0.3">
      <c r="A783">
        <v>75846609</v>
      </c>
      <c r="B783" t="s">
        <v>1034</v>
      </c>
      <c r="E783" t="s">
        <v>806</v>
      </c>
    </row>
    <row r="784" spans="1:5" x14ac:dyDescent="0.3">
      <c r="A784">
        <v>73894204</v>
      </c>
      <c r="B784" t="s">
        <v>1035</v>
      </c>
      <c r="E784" t="s">
        <v>806</v>
      </c>
    </row>
    <row r="785" spans="1:5" x14ac:dyDescent="0.3">
      <c r="A785">
        <v>61047898</v>
      </c>
      <c r="B785" t="s">
        <v>1036</v>
      </c>
      <c r="E785" t="s">
        <v>806</v>
      </c>
    </row>
    <row r="786" spans="1:5" x14ac:dyDescent="0.3">
      <c r="A786">
        <v>10431742069</v>
      </c>
      <c r="B786" t="s">
        <v>1037</v>
      </c>
    </row>
    <row r="787" spans="1:5" x14ac:dyDescent="0.3">
      <c r="A787">
        <v>70313878</v>
      </c>
      <c r="B787" t="s">
        <v>1038</v>
      </c>
      <c r="E787" t="s">
        <v>806</v>
      </c>
    </row>
    <row r="788" spans="1:5" x14ac:dyDescent="0.3">
      <c r="A788">
        <v>10460411195</v>
      </c>
      <c r="B788" t="s">
        <v>1039</v>
      </c>
    </row>
    <row r="789" spans="1:5" x14ac:dyDescent="0.3">
      <c r="A789">
        <v>20515758659</v>
      </c>
      <c r="B789" t="s">
        <v>1040</v>
      </c>
    </row>
    <row r="790" spans="1:5" x14ac:dyDescent="0.3">
      <c r="A790">
        <v>20477233458</v>
      </c>
      <c r="B790" t="s">
        <v>1041</v>
      </c>
    </row>
    <row r="791" spans="1:5" x14ac:dyDescent="0.3">
      <c r="A791">
        <v>20601292727</v>
      </c>
      <c r="B791" t="s">
        <v>1042</v>
      </c>
    </row>
    <row r="792" spans="1:5" x14ac:dyDescent="0.3">
      <c r="A792">
        <v>10294164630</v>
      </c>
      <c r="B792" t="s">
        <v>1043</v>
      </c>
    </row>
    <row r="793" spans="1:5" x14ac:dyDescent="0.3">
      <c r="A793">
        <v>20601014956</v>
      </c>
      <c r="B793" t="s">
        <v>1044</v>
      </c>
    </row>
    <row r="794" spans="1:5" x14ac:dyDescent="0.3">
      <c r="A794">
        <v>20611135271</v>
      </c>
      <c r="B794" t="s">
        <v>1045</v>
      </c>
    </row>
    <row r="795" spans="1:5" x14ac:dyDescent="0.3">
      <c r="A795">
        <v>20106076635</v>
      </c>
      <c r="B795" t="s">
        <v>7931</v>
      </c>
    </row>
    <row r="796" spans="1:5" x14ac:dyDescent="0.3">
      <c r="A796">
        <v>10405939504</v>
      </c>
      <c r="B796" t="s">
        <v>7932</v>
      </c>
    </row>
    <row r="797" spans="1:5" x14ac:dyDescent="0.3">
      <c r="A797">
        <v>20219774207</v>
      </c>
      <c r="B797" t="s">
        <v>7933</v>
      </c>
    </row>
    <row r="798" spans="1:5" x14ac:dyDescent="0.3">
      <c r="A798">
        <v>20610912070</v>
      </c>
      <c r="B798" t="s">
        <v>7934</v>
      </c>
    </row>
    <row r="799" spans="1:5" x14ac:dyDescent="0.3">
      <c r="A799">
        <v>20539522320</v>
      </c>
      <c r="B799" t="s">
        <v>7935</v>
      </c>
    </row>
    <row r="800" spans="1:5" x14ac:dyDescent="0.3">
      <c r="A800">
        <v>10295579221</v>
      </c>
      <c r="B800" t="s">
        <v>7936</v>
      </c>
    </row>
    <row r="801" spans="1:2" x14ac:dyDescent="0.3">
      <c r="A801">
        <v>10478277046</v>
      </c>
      <c r="B801" t="s">
        <v>7937</v>
      </c>
    </row>
    <row r="802" spans="1:2" x14ac:dyDescent="0.3">
      <c r="A802">
        <v>10207191685</v>
      </c>
      <c r="B802" t="s">
        <v>7946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B379-D46D-4AD6-879D-56463BFD65B6}">
  <sheetPr codeName="Hoja2">
    <tabColor theme="6"/>
    <pageSetUpPr fitToPage="1"/>
  </sheetPr>
  <dimension ref="A2:AB3482"/>
  <sheetViews>
    <sheetView showGridLines="0" topLeftCell="O1" zoomScaleNormal="100" zoomScaleSheetLayoutView="100" workbookViewId="0">
      <selection activeCell="B4" sqref="B4:AB4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5.44140625" bestFit="1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7" width="15.88671875" customWidth="1" outlineLevel="1"/>
    <col min="28" max="28" width="12.88671875" customWidth="1" outlineLevel="1"/>
  </cols>
  <sheetData>
    <row r="2" spans="2:28" ht="23.4" x14ac:dyDescent="0.3">
      <c r="B2" s="263" t="s">
        <v>1046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2">
        <f>IF(BCP_Soles[[#This Row],[TIPO DE R.]]="R",COUNTIFS($D$4:$D4,"R")+1,"")</f>
        <v>1</v>
      </c>
      <c r="C5" s="19" t="str">
        <f t="shared" ref="C5:C68" si="0">"B-BCP - Soles"</f>
        <v>B-BCP - Soles</v>
      </c>
      <c r="D5" s="3" t="s">
        <v>1074</v>
      </c>
      <c r="E5" s="4">
        <v>45658</v>
      </c>
      <c r="F5" s="5" t="s">
        <v>1075</v>
      </c>
      <c r="G5" s="6" t="s">
        <v>1064</v>
      </c>
      <c r="H5" s="6"/>
      <c r="I5" s="6"/>
      <c r="J5" s="6"/>
      <c r="K5" s="6"/>
      <c r="L5" s="7" t="s">
        <v>1076</v>
      </c>
      <c r="M5" s="8" t="s">
        <v>1077</v>
      </c>
      <c r="N5" s="8" t="str">
        <f t="shared" ref="N5:N68" si="1">"PEN"</f>
        <v>PEN</v>
      </c>
      <c r="O5" s="13"/>
      <c r="P5" s="9">
        <v>28733.200000000001</v>
      </c>
      <c r="Q5" s="9">
        <f t="shared" ref="Q5:Q68" si="2">+IF(OR($G5="SALDO",$G5="INGRESO"),$P5,0)</f>
        <v>28733.200000000001</v>
      </c>
      <c r="R5" s="9">
        <f t="shared" ref="R5:R68" si="3">+IF($G5="EGRESO",$P5,0)</f>
        <v>0</v>
      </c>
      <c r="S5" s="9">
        <f t="shared" ref="S5:S68" si="4">IFERROR(IF(G5="SALDO",Q5,S4+Q5-R5),0)</f>
        <v>28733.200000000001</v>
      </c>
      <c r="T5" s="24"/>
      <c r="U5" s="24"/>
      <c r="V5" s="67"/>
      <c r="W5" s="25" t="str">
        <f>IFERROR(VLOOKUP(BCP_Soles[[#This Row],[DESTINATARIO]],CHOOSE({1,2},Clientes_Proveedores[Razon Social],Clientes_Proveedores[Ruc / Dni]),2,0),"")</f>
        <v/>
      </c>
      <c r="X5" s="25"/>
      <c r="Y5" s="25"/>
      <c r="Z5" s="25"/>
      <c r="AA5" s="99"/>
      <c r="AB5" s="3" t="str">
        <f>IF(BCP_Soles[[#This Row],[FECHA]]&gt;0,TEXT(BCP_Soles[[#This Row],[FECHA]],"mmmm"),0)</f>
        <v>Enero</v>
      </c>
    </row>
    <row r="6" spans="2:28" x14ac:dyDescent="0.3">
      <c r="B6" s="2">
        <f>IF(BCP_Soles[[#This Row],[TIPO DE R.]]="R",COUNTIFS($D$4:$D5,"R")+1,"")</f>
        <v>2</v>
      </c>
      <c r="C6" s="19" t="str">
        <f t="shared" si="0"/>
        <v>B-BCP - Soles</v>
      </c>
      <c r="D6" s="3" t="s">
        <v>1074</v>
      </c>
      <c r="E6" s="14">
        <v>45659</v>
      </c>
      <c r="F6" s="5" t="s">
        <v>1078</v>
      </c>
      <c r="G6" s="5" t="s">
        <v>1079</v>
      </c>
      <c r="H6" s="6"/>
      <c r="I6" s="6"/>
      <c r="J6" s="6"/>
      <c r="K6" s="6"/>
      <c r="L6" s="7" t="s">
        <v>1080</v>
      </c>
      <c r="M6" s="8"/>
      <c r="N6" s="8" t="str">
        <f t="shared" si="1"/>
        <v>PEN</v>
      </c>
      <c r="O6" s="13"/>
      <c r="P6" s="13">
        <v>0.25</v>
      </c>
      <c r="Q6" s="3">
        <f t="shared" si="2"/>
        <v>0</v>
      </c>
      <c r="R6" s="3">
        <f t="shared" si="3"/>
        <v>0.25</v>
      </c>
      <c r="S6" s="3">
        <f t="shared" si="4"/>
        <v>28732.95</v>
      </c>
      <c r="T6" s="24" t="s">
        <v>1081</v>
      </c>
      <c r="U6" s="24" t="s">
        <v>1081</v>
      </c>
      <c r="V6" s="67"/>
      <c r="W6" s="25" t="str">
        <f>IFERROR(VLOOKUP(BCP_Soles[[#This Row],[DESTINATARIO]],CHOOSE({1,2},Clientes_Proveedores[Razon Social],Clientes_Proveedores[Ruc / Dni]),2,0),"")</f>
        <v/>
      </c>
      <c r="X6" s="25"/>
      <c r="Y6" s="25"/>
      <c r="Z6" s="25"/>
      <c r="AA6" s="99"/>
      <c r="AB6" s="3" t="str">
        <f>IF(BCP_Soles[[#This Row],[FECHA]]&gt;0,TEXT(BCP_Soles[[#This Row],[FECHA]],"mmmm"),0)</f>
        <v>Enero</v>
      </c>
    </row>
    <row r="7" spans="2:28" ht="24" x14ac:dyDescent="0.3">
      <c r="B7" s="2">
        <f>IF(BCP_Soles[[#This Row],[TIPO DE R.]]="R",COUNTIFS($D$4:$D6,"R")+1,"")</f>
        <v>3</v>
      </c>
      <c r="C7" s="19" t="str">
        <f t="shared" si="0"/>
        <v>B-BCP - Soles</v>
      </c>
      <c r="D7" s="3" t="s">
        <v>1074</v>
      </c>
      <c r="E7" s="14">
        <v>45659</v>
      </c>
      <c r="F7" s="5" t="s">
        <v>1082</v>
      </c>
      <c r="G7" s="5" t="s">
        <v>1079</v>
      </c>
      <c r="H7" s="6" t="s">
        <v>184</v>
      </c>
      <c r="I7" s="6" t="s">
        <v>14</v>
      </c>
      <c r="J7" s="6" t="s">
        <v>1083</v>
      </c>
      <c r="K7" s="6">
        <v>6999</v>
      </c>
      <c r="L7" s="7" t="s">
        <v>1084</v>
      </c>
      <c r="M7" s="8">
        <v>1150277</v>
      </c>
      <c r="N7" s="8" t="str">
        <f t="shared" si="1"/>
        <v>PEN</v>
      </c>
      <c r="O7" s="13"/>
      <c r="P7" s="13">
        <v>1285</v>
      </c>
      <c r="Q7" s="3">
        <f t="shared" si="2"/>
        <v>0</v>
      </c>
      <c r="R7" s="3">
        <f t="shared" si="3"/>
        <v>1285</v>
      </c>
      <c r="S7" s="3">
        <f t="shared" si="4"/>
        <v>27447.95</v>
      </c>
      <c r="T7" s="24" t="s">
        <v>1081</v>
      </c>
      <c r="U7" s="24" t="s">
        <v>1081</v>
      </c>
      <c r="V7" s="67"/>
      <c r="W7" s="25">
        <f>IFERROR(VLOOKUP(BCP_Soles[[#This Row],[DESTINATARIO]],CHOOSE({1,2},Clientes_Proveedores[Razon Social],Clientes_Proveedores[Ruc / Dni]),2,0),"")</f>
        <v>20170040938</v>
      </c>
      <c r="X7" s="25" t="s">
        <v>1085</v>
      </c>
      <c r="Y7" s="25" t="s">
        <v>1086</v>
      </c>
      <c r="Z7" s="25"/>
      <c r="AA7" s="99"/>
      <c r="AB7" s="3" t="str">
        <f>IF(BCP_Soles[[#This Row],[FECHA]]&gt;0,TEXT(BCP_Soles[[#This Row],[FECHA]],"mmmm"),0)</f>
        <v>Enero</v>
      </c>
    </row>
    <row r="8" spans="2:28" x14ac:dyDescent="0.3">
      <c r="B8" s="2">
        <f>IF(BCP_Soles[[#This Row],[TIPO DE R.]]="R",COUNTIFS($D$4:$D7,"R")+1,"")</f>
        <v>4</v>
      </c>
      <c r="C8" s="19" t="str">
        <f t="shared" si="0"/>
        <v>B-BCP - Soles</v>
      </c>
      <c r="D8" s="3" t="s">
        <v>1074</v>
      </c>
      <c r="E8" s="14">
        <v>45659</v>
      </c>
      <c r="F8" s="5" t="s">
        <v>139</v>
      </c>
      <c r="G8" s="5" t="s">
        <v>1087</v>
      </c>
      <c r="H8" s="6" t="s">
        <v>368</v>
      </c>
      <c r="I8" s="6" t="s">
        <v>14</v>
      </c>
      <c r="J8" s="6" t="s">
        <v>1088</v>
      </c>
      <c r="K8" s="6">
        <v>424</v>
      </c>
      <c r="L8" s="7" t="s">
        <v>1089</v>
      </c>
      <c r="M8" s="8">
        <v>1940</v>
      </c>
      <c r="N8" s="8" t="str">
        <f t="shared" si="1"/>
        <v>PEN</v>
      </c>
      <c r="O8" s="13"/>
      <c r="P8" s="13">
        <v>3374.46</v>
      </c>
      <c r="Q8" s="3">
        <f t="shared" si="2"/>
        <v>3374.46</v>
      </c>
      <c r="R8" s="3">
        <f t="shared" si="3"/>
        <v>0</v>
      </c>
      <c r="S8" s="3">
        <f t="shared" si="4"/>
        <v>30822.41</v>
      </c>
      <c r="T8" s="24" t="s">
        <v>1081</v>
      </c>
      <c r="U8" s="24" t="s">
        <v>1081</v>
      </c>
      <c r="V8" s="67"/>
      <c r="W8" s="25">
        <f>IFERROR(VLOOKUP(BCP_Soles[[#This Row],[DESTINATARIO]],CHOOSE({1,2},Clientes_Proveedores[Razon Social],Clientes_Proveedores[Ruc / Dni]),2,0),"")</f>
        <v>20558226979</v>
      </c>
      <c r="X8" s="25" t="s">
        <v>1090</v>
      </c>
      <c r="Y8" s="25" t="s">
        <v>1091</v>
      </c>
      <c r="Z8" s="25"/>
      <c r="AA8" s="99"/>
      <c r="AB8" s="3" t="str">
        <f>IF(BCP_Soles[[#This Row],[FECHA]]&gt;0,TEXT(BCP_Soles[[#This Row],[FECHA]],"mmmm"),0)</f>
        <v>Enero</v>
      </c>
    </row>
    <row r="9" spans="2:28" ht="36" x14ac:dyDescent="0.3">
      <c r="B9" s="2">
        <f>IF(BCP_Soles[[#This Row],[TIPO DE R.]]="R",COUNTIFS($D$4:$D8,"R")+1,"")</f>
        <v>5</v>
      </c>
      <c r="C9" s="19" t="str">
        <f t="shared" si="0"/>
        <v>B-BCP - Soles</v>
      </c>
      <c r="D9" s="3" t="s">
        <v>1074</v>
      </c>
      <c r="E9" s="14">
        <v>45659</v>
      </c>
      <c r="F9" s="5" t="s">
        <v>497</v>
      </c>
      <c r="G9" s="5" t="s">
        <v>1087</v>
      </c>
      <c r="H9" s="6" t="s">
        <v>368</v>
      </c>
      <c r="I9" s="6" t="s">
        <v>14</v>
      </c>
      <c r="J9" s="6" t="s">
        <v>1092</v>
      </c>
      <c r="K9" s="6">
        <v>116</v>
      </c>
      <c r="L9" s="7" t="s">
        <v>1093</v>
      </c>
      <c r="M9" s="8">
        <v>2157913</v>
      </c>
      <c r="N9" s="8" t="str">
        <f t="shared" si="1"/>
        <v>PEN</v>
      </c>
      <c r="O9" s="13"/>
      <c r="P9" s="13">
        <v>1139.48</v>
      </c>
      <c r="Q9" s="3">
        <f t="shared" si="2"/>
        <v>1139.48</v>
      </c>
      <c r="R9" s="3">
        <f t="shared" si="3"/>
        <v>0</v>
      </c>
      <c r="S9" s="3">
        <f t="shared" si="4"/>
        <v>31961.89</v>
      </c>
      <c r="T9" s="24" t="s">
        <v>1081</v>
      </c>
      <c r="U9" s="24"/>
      <c r="V9" s="67"/>
      <c r="W9" s="25">
        <f>IFERROR(VLOOKUP(BCP_Soles[[#This Row],[DESTINATARIO]],CHOOSE({1,2},Clientes_Proveedores[Razon Social],Clientes_Proveedores[Ruc / Dni]),2,0),"")</f>
        <v>20558226979</v>
      </c>
      <c r="X9" s="25" t="s">
        <v>1090</v>
      </c>
      <c r="Y9" s="25" t="s">
        <v>1094</v>
      </c>
      <c r="Z9" s="25"/>
      <c r="AA9" s="99"/>
      <c r="AB9" s="3" t="str">
        <f>IF(BCP_Soles[[#This Row],[FECHA]]&gt;0,TEXT(BCP_Soles[[#This Row],[FECHA]],"mmmm"),0)</f>
        <v>Enero</v>
      </c>
    </row>
    <row r="10" spans="2:28" ht="24" x14ac:dyDescent="0.3">
      <c r="B10" s="2">
        <f>IF(BCP_Soles[[#This Row],[TIPO DE R.]]="R",COUNTIFS($D$4:$D9,"R")+1,"")</f>
        <v>6</v>
      </c>
      <c r="C10" s="19" t="str">
        <f t="shared" si="0"/>
        <v>B-BCP - Soles</v>
      </c>
      <c r="D10" s="3" t="s">
        <v>1074</v>
      </c>
      <c r="E10" s="14">
        <v>45659</v>
      </c>
      <c r="F10" s="5" t="s">
        <v>147</v>
      </c>
      <c r="G10" s="5" t="s">
        <v>1087</v>
      </c>
      <c r="H10" s="6" t="s">
        <v>368</v>
      </c>
      <c r="I10" s="6" t="s">
        <v>14</v>
      </c>
      <c r="J10" s="6"/>
      <c r="K10" s="6"/>
      <c r="L10" s="7" t="s">
        <v>1095</v>
      </c>
      <c r="M10" s="8">
        <v>7812459</v>
      </c>
      <c r="N10" s="8" t="str">
        <f t="shared" si="1"/>
        <v>PEN</v>
      </c>
      <c r="O10" s="13"/>
      <c r="P10" s="13">
        <v>915.68</v>
      </c>
      <c r="Q10" s="3">
        <f t="shared" si="2"/>
        <v>915.68</v>
      </c>
      <c r="R10" s="3">
        <f t="shared" si="3"/>
        <v>0</v>
      </c>
      <c r="S10" s="3">
        <f t="shared" si="4"/>
        <v>32877.57</v>
      </c>
      <c r="T10" s="24" t="s">
        <v>1081</v>
      </c>
      <c r="U10" s="24"/>
      <c r="V10" s="67"/>
      <c r="W10" s="25">
        <f>IFERROR(VLOOKUP(BCP_Soles[[#This Row],[DESTINATARIO]],CHOOSE({1,2},Clientes_Proveedores[Razon Social],Clientes_Proveedores[Ruc / Dni]),2,0),"")</f>
        <v>20558226979</v>
      </c>
      <c r="X10" s="25" t="s">
        <v>1090</v>
      </c>
      <c r="Y10" s="25" t="s">
        <v>1096</v>
      </c>
      <c r="Z10" s="25"/>
      <c r="AA10" s="99"/>
      <c r="AB10" s="3" t="str">
        <f>IF(BCP_Soles[[#This Row],[FECHA]]&gt;0,TEXT(BCP_Soles[[#This Row],[FECHA]],"mmmm"),0)</f>
        <v>Enero</v>
      </c>
    </row>
    <row r="11" spans="2:28" ht="36" x14ac:dyDescent="0.3">
      <c r="B11" s="2">
        <f>IF(BCP_Soles[[#This Row],[TIPO DE R.]]="R",COUNTIFS($D$4:$D10,"R")+1,"")</f>
        <v>7</v>
      </c>
      <c r="C11" s="19" t="str">
        <f t="shared" si="0"/>
        <v>B-BCP - Soles</v>
      </c>
      <c r="D11" s="3" t="s">
        <v>1074</v>
      </c>
      <c r="E11" s="14">
        <v>45659</v>
      </c>
      <c r="F11" s="5" t="s">
        <v>497</v>
      </c>
      <c r="G11" s="5" t="s">
        <v>1087</v>
      </c>
      <c r="H11" s="6" t="s">
        <v>368</v>
      </c>
      <c r="I11" s="6" t="s">
        <v>14</v>
      </c>
      <c r="J11" s="6" t="s">
        <v>1097</v>
      </c>
      <c r="K11" s="6">
        <v>160</v>
      </c>
      <c r="L11" s="7" t="s">
        <v>1093</v>
      </c>
      <c r="M11" s="8">
        <v>2165999</v>
      </c>
      <c r="N11" s="8" t="str">
        <f t="shared" si="1"/>
        <v>PEN</v>
      </c>
      <c r="O11" s="13"/>
      <c r="P11" s="13">
        <v>850.64</v>
      </c>
      <c r="Q11" s="3">
        <f t="shared" si="2"/>
        <v>850.64</v>
      </c>
      <c r="R11" s="3">
        <f t="shared" si="3"/>
        <v>0</v>
      </c>
      <c r="S11" s="3">
        <f t="shared" si="4"/>
        <v>33728.21</v>
      </c>
      <c r="T11" s="24" t="s">
        <v>1081</v>
      </c>
      <c r="U11" s="24"/>
      <c r="V11" s="67"/>
      <c r="W11" s="25">
        <f>IFERROR(VLOOKUP(BCP_Soles[[#This Row],[DESTINATARIO]],CHOOSE({1,2},Clientes_Proveedores[Razon Social],Clientes_Proveedores[Ruc / Dni]),2,0),"")</f>
        <v>20558226979</v>
      </c>
      <c r="X11" s="25" t="s">
        <v>1090</v>
      </c>
      <c r="Y11" s="25" t="s">
        <v>1098</v>
      </c>
      <c r="Z11" s="25"/>
      <c r="AA11" s="99"/>
      <c r="AB11" s="3" t="str">
        <f>IF(BCP_Soles[[#This Row],[FECHA]]&gt;0,TEXT(BCP_Soles[[#This Row],[FECHA]],"mmmm"),0)</f>
        <v>Enero</v>
      </c>
    </row>
    <row r="12" spans="2:28" x14ac:dyDescent="0.3">
      <c r="B12" s="2">
        <f>IF(BCP_Soles[[#This Row],[TIPO DE R.]]="R",COUNTIFS($D$4:$D11,"R")+1,"")</f>
        <v>8</v>
      </c>
      <c r="C12" s="19" t="str">
        <f t="shared" si="0"/>
        <v>B-BCP - Soles</v>
      </c>
      <c r="D12" s="3" t="s">
        <v>1074</v>
      </c>
      <c r="E12" s="14">
        <v>45659</v>
      </c>
      <c r="F12" s="5" t="s">
        <v>1099</v>
      </c>
      <c r="G12" s="5" t="s">
        <v>1087</v>
      </c>
      <c r="H12" s="6" t="s">
        <v>368</v>
      </c>
      <c r="I12" s="6"/>
      <c r="J12" s="6"/>
      <c r="K12" s="6"/>
      <c r="L12" s="7" t="s">
        <v>1100</v>
      </c>
      <c r="M12" s="8">
        <v>2027861</v>
      </c>
      <c r="N12" s="8" t="str">
        <f t="shared" si="1"/>
        <v>PEN</v>
      </c>
      <c r="O12" s="13"/>
      <c r="P12" s="13">
        <v>254.3</v>
      </c>
      <c r="Q12" s="3">
        <f t="shared" si="2"/>
        <v>254.3</v>
      </c>
      <c r="R12" s="3">
        <f t="shared" si="3"/>
        <v>0</v>
      </c>
      <c r="S12" s="3">
        <f t="shared" si="4"/>
        <v>33982.51</v>
      </c>
      <c r="T12" s="24" t="s">
        <v>1081</v>
      </c>
      <c r="U12" s="24" t="s">
        <v>1081</v>
      </c>
      <c r="V12" s="67"/>
      <c r="W12" s="25">
        <f>IFERROR(VLOOKUP(BCP_Soles[[#This Row],[DESTINATARIO]],CHOOSE({1,2},Clientes_Proveedores[Razon Social],Clientes_Proveedores[Ruc / Dni]),2,0),"")</f>
        <v>20558226979</v>
      </c>
      <c r="X12" s="25" t="s">
        <v>1090</v>
      </c>
      <c r="Y12" s="25" t="s">
        <v>1099</v>
      </c>
      <c r="Z12" s="25"/>
      <c r="AA12" s="99"/>
      <c r="AB12" s="3" t="str">
        <f>IF(BCP_Soles[[#This Row],[FECHA]]&gt;0,TEXT(BCP_Soles[[#This Row],[FECHA]],"mmmm"),0)</f>
        <v>Enero</v>
      </c>
    </row>
    <row r="13" spans="2:28" x14ac:dyDescent="0.3">
      <c r="B13" s="2" t="str">
        <f>IF(BCP_Soles[[#This Row],[TIPO DE R.]]="R",COUNTIFS($D$4:$D12,"R")+1,"")</f>
        <v/>
      </c>
      <c r="C13" s="19" t="str">
        <f t="shared" si="0"/>
        <v>B-BCP - Soles</v>
      </c>
      <c r="D13" s="3" t="s">
        <v>1101</v>
      </c>
      <c r="E13" s="14">
        <v>45659</v>
      </c>
      <c r="F13" s="5" t="s">
        <v>1102</v>
      </c>
      <c r="G13" s="5"/>
      <c r="H13" s="6" t="s">
        <v>368</v>
      </c>
      <c r="I13" s="6"/>
      <c r="J13" s="6"/>
      <c r="K13" s="6"/>
      <c r="L13" s="7" t="s">
        <v>1100</v>
      </c>
      <c r="M13" s="8">
        <v>2027861</v>
      </c>
      <c r="N13" s="8" t="str">
        <f t="shared" si="1"/>
        <v>PEN</v>
      </c>
      <c r="O13" s="13"/>
      <c r="P13" s="13">
        <v>70</v>
      </c>
      <c r="Q13" s="3">
        <f t="shared" si="2"/>
        <v>0</v>
      </c>
      <c r="R13" s="3">
        <f t="shared" si="3"/>
        <v>0</v>
      </c>
      <c r="S13" s="3">
        <f t="shared" si="4"/>
        <v>33982.51</v>
      </c>
      <c r="T13" s="24" t="s">
        <v>1081</v>
      </c>
      <c r="U13" s="24" t="s">
        <v>1081</v>
      </c>
      <c r="V13" s="67"/>
      <c r="W13" s="25">
        <f>IFERROR(VLOOKUP(BCP_Soles[[#This Row],[DESTINATARIO]],CHOOSE({1,2},Clientes_Proveedores[Razon Social],Clientes_Proveedores[Ruc / Dni]),2,0),"")</f>
        <v>20558226979</v>
      </c>
      <c r="X13" s="25" t="s">
        <v>1090</v>
      </c>
      <c r="Y13" s="25" t="s">
        <v>1103</v>
      </c>
      <c r="Z13" s="25"/>
      <c r="AA13" s="99"/>
      <c r="AB13" s="3" t="str">
        <f>IF(BCP_Soles[[#This Row],[FECHA]]&gt;0,TEXT(BCP_Soles[[#This Row],[FECHA]],"mmmm"),0)</f>
        <v>Enero</v>
      </c>
    </row>
    <row r="14" spans="2:28" x14ac:dyDescent="0.3">
      <c r="B14" s="2" t="str">
        <f>IF(BCP_Soles[[#This Row],[TIPO DE R.]]="R",COUNTIFS($D$4:$D13,"R")+1,"")</f>
        <v/>
      </c>
      <c r="C14" s="19" t="str">
        <f t="shared" si="0"/>
        <v>B-BCP - Soles</v>
      </c>
      <c r="D14" s="3" t="s">
        <v>1101</v>
      </c>
      <c r="E14" s="14">
        <v>45659</v>
      </c>
      <c r="F14" s="5" t="s">
        <v>1102</v>
      </c>
      <c r="G14" s="5"/>
      <c r="H14" s="6" t="s">
        <v>368</v>
      </c>
      <c r="I14" s="6"/>
      <c r="J14" s="6"/>
      <c r="K14" s="6"/>
      <c r="L14" s="7" t="s">
        <v>1100</v>
      </c>
      <c r="M14" s="8">
        <v>2027861</v>
      </c>
      <c r="N14" s="8" t="str">
        <f t="shared" si="1"/>
        <v>PEN</v>
      </c>
      <c r="O14" s="13"/>
      <c r="P14" s="13">
        <v>40</v>
      </c>
      <c r="Q14" s="3">
        <f t="shared" si="2"/>
        <v>0</v>
      </c>
      <c r="R14" s="3">
        <f t="shared" si="3"/>
        <v>0</v>
      </c>
      <c r="S14" s="3">
        <f t="shared" si="4"/>
        <v>33982.51</v>
      </c>
      <c r="T14" s="24" t="s">
        <v>1081</v>
      </c>
      <c r="U14" s="24" t="s">
        <v>1081</v>
      </c>
      <c r="V14" s="67"/>
      <c r="W14" s="25">
        <f>IFERROR(VLOOKUP(BCP_Soles[[#This Row],[DESTINATARIO]],CHOOSE({1,2},Clientes_Proveedores[Razon Social],Clientes_Proveedores[Ruc / Dni]),2,0),"")</f>
        <v>20558226979</v>
      </c>
      <c r="X14" s="25" t="s">
        <v>1090</v>
      </c>
      <c r="Y14" s="25" t="s">
        <v>1104</v>
      </c>
      <c r="Z14" s="25"/>
      <c r="AA14" s="99"/>
      <c r="AB14" s="3" t="str">
        <f>IF(BCP_Soles[[#This Row],[FECHA]]&gt;0,TEXT(BCP_Soles[[#This Row],[FECHA]],"mmmm"),0)</f>
        <v>Enero</v>
      </c>
    </row>
    <row r="15" spans="2:28" ht="24" x14ac:dyDescent="0.3">
      <c r="B15" s="2" t="str">
        <f>IF(BCP_Soles[[#This Row],[TIPO DE R.]]="R",COUNTIFS($D$4:$D14,"R")+1,"")</f>
        <v/>
      </c>
      <c r="C15" s="19" t="str">
        <f t="shared" si="0"/>
        <v>B-BCP - Soles</v>
      </c>
      <c r="D15" s="3" t="s">
        <v>1101</v>
      </c>
      <c r="E15" s="14">
        <v>45659</v>
      </c>
      <c r="F15" s="5" t="s">
        <v>1105</v>
      </c>
      <c r="G15" s="5"/>
      <c r="H15" s="6" t="s">
        <v>368</v>
      </c>
      <c r="I15" s="6"/>
      <c r="J15" s="6"/>
      <c r="K15" s="6"/>
      <c r="L15" s="7" t="s">
        <v>1100</v>
      </c>
      <c r="M15" s="8">
        <v>2027861</v>
      </c>
      <c r="N15" s="8" t="str">
        <f t="shared" si="1"/>
        <v>PEN</v>
      </c>
      <c r="O15" s="13"/>
      <c r="P15" s="13">
        <v>12.8</v>
      </c>
      <c r="Q15" s="3">
        <f t="shared" si="2"/>
        <v>0</v>
      </c>
      <c r="R15" s="3">
        <f t="shared" si="3"/>
        <v>0</v>
      </c>
      <c r="S15" s="3">
        <f t="shared" si="4"/>
        <v>33982.51</v>
      </c>
      <c r="T15" s="24" t="s">
        <v>1081</v>
      </c>
      <c r="U15" s="24" t="s">
        <v>1081</v>
      </c>
      <c r="V15" s="67"/>
      <c r="W15" s="25">
        <f>IFERROR(VLOOKUP(BCP_Soles[[#This Row],[DESTINATARIO]],CHOOSE({1,2},Clientes_Proveedores[Razon Social],Clientes_Proveedores[Ruc / Dni]),2,0),"")</f>
        <v>20558226979</v>
      </c>
      <c r="X15" s="25" t="s">
        <v>1090</v>
      </c>
      <c r="Y15" s="25" t="s">
        <v>1106</v>
      </c>
      <c r="Z15" s="25"/>
      <c r="AA15" s="99"/>
      <c r="AB15" s="3" t="str">
        <f>IF(BCP_Soles[[#This Row],[FECHA]]&gt;0,TEXT(BCP_Soles[[#This Row],[FECHA]],"mmmm"),0)</f>
        <v>Enero</v>
      </c>
    </row>
    <row r="16" spans="2:28" x14ac:dyDescent="0.3">
      <c r="B16" s="2" t="str">
        <f>IF(BCP_Soles[[#This Row],[TIPO DE R.]]="R",COUNTIFS($D$4:$D15,"R")+1,"")</f>
        <v/>
      </c>
      <c r="C16" s="19" t="str">
        <f t="shared" si="0"/>
        <v>B-BCP - Soles</v>
      </c>
      <c r="D16" s="3" t="s">
        <v>1101</v>
      </c>
      <c r="E16" s="14">
        <v>45659</v>
      </c>
      <c r="F16" s="5" t="s">
        <v>1107</v>
      </c>
      <c r="G16" s="5"/>
      <c r="H16" s="6" t="s">
        <v>368</v>
      </c>
      <c r="I16" s="6"/>
      <c r="J16" s="6"/>
      <c r="K16" s="6"/>
      <c r="L16" s="7" t="s">
        <v>1100</v>
      </c>
      <c r="M16" s="8">
        <v>2027861</v>
      </c>
      <c r="N16" s="8" t="str">
        <f t="shared" si="1"/>
        <v>PEN</v>
      </c>
      <c r="O16" s="13"/>
      <c r="P16" s="13">
        <v>10.5</v>
      </c>
      <c r="Q16" s="3">
        <f t="shared" si="2"/>
        <v>0</v>
      </c>
      <c r="R16" s="3">
        <f t="shared" si="3"/>
        <v>0</v>
      </c>
      <c r="S16" s="3">
        <f t="shared" si="4"/>
        <v>33982.51</v>
      </c>
      <c r="T16" s="24" t="s">
        <v>1081</v>
      </c>
      <c r="U16" s="24" t="s">
        <v>1081</v>
      </c>
      <c r="V16" s="67"/>
      <c r="W16" s="25">
        <f>IFERROR(VLOOKUP(BCP_Soles[[#This Row],[DESTINATARIO]],CHOOSE({1,2},Clientes_Proveedores[Razon Social],Clientes_Proveedores[Ruc / Dni]),2,0),"")</f>
        <v>20558226979</v>
      </c>
      <c r="X16" s="25" t="s">
        <v>1090</v>
      </c>
      <c r="Y16" s="25" t="s">
        <v>1108</v>
      </c>
      <c r="Z16" s="25"/>
      <c r="AA16" s="99"/>
      <c r="AB16" s="3" t="str">
        <f>IF(BCP_Soles[[#This Row],[FECHA]]&gt;0,TEXT(BCP_Soles[[#This Row],[FECHA]],"mmmm"),0)</f>
        <v>Enero</v>
      </c>
    </row>
    <row r="17" spans="2:28" ht="24" x14ac:dyDescent="0.3">
      <c r="B17" s="2" t="str">
        <f>IF(BCP_Soles[[#This Row],[TIPO DE R.]]="R",COUNTIFS($D$4:$D16,"R")+1,"")</f>
        <v/>
      </c>
      <c r="C17" s="19" t="str">
        <f t="shared" si="0"/>
        <v>B-BCP - Soles</v>
      </c>
      <c r="D17" s="3" t="s">
        <v>1101</v>
      </c>
      <c r="E17" s="14">
        <v>45659</v>
      </c>
      <c r="F17" s="5" t="s">
        <v>1105</v>
      </c>
      <c r="G17" s="5"/>
      <c r="H17" s="6" t="s">
        <v>368</v>
      </c>
      <c r="I17" s="6"/>
      <c r="J17" s="6"/>
      <c r="K17" s="6"/>
      <c r="L17" s="7" t="s">
        <v>1100</v>
      </c>
      <c r="M17" s="8">
        <v>2027861</v>
      </c>
      <c r="N17" s="8" t="str">
        <f t="shared" si="1"/>
        <v>PEN</v>
      </c>
      <c r="O17" s="13"/>
      <c r="P17" s="13">
        <v>16.5</v>
      </c>
      <c r="Q17" s="3">
        <f t="shared" si="2"/>
        <v>0</v>
      </c>
      <c r="R17" s="3">
        <f t="shared" si="3"/>
        <v>0</v>
      </c>
      <c r="S17" s="3">
        <f t="shared" si="4"/>
        <v>33982.51</v>
      </c>
      <c r="T17" s="24" t="s">
        <v>1081</v>
      </c>
      <c r="U17" s="24" t="s">
        <v>1081</v>
      </c>
      <c r="V17" s="67"/>
      <c r="W17" s="25">
        <f>IFERROR(VLOOKUP(BCP_Soles[[#This Row],[DESTINATARIO]],CHOOSE({1,2},Clientes_Proveedores[Razon Social],Clientes_Proveedores[Ruc / Dni]),2,0),"")</f>
        <v>20558226979</v>
      </c>
      <c r="X17" s="25" t="s">
        <v>1090</v>
      </c>
      <c r="Y17" s="25" t="s">
        <v>1109</v>
      </c>
      <c r="Z17" s="25"/>
      <c r="AA17" s="99"/>
      <c r="AB17" s="3" t="str">
        <f>IF(BCP_Soles[[#This Row],[FECHA]]&gt;0,TEXT(BCP_Soles[[#This Row],[FECHA]],"mmmm"),0)</f>
        <v>Enero</v>
      </c>
    </row>
    <row r="18" spans="2:28" x14ac:dyDescent="0.3">
      <c r="B18" s="2" t="str">
        <f>IF(BCP_Soles[[#This Row],[TIPO DE R.]]="R",COUNTIFS($D$4:$D17,"R")+1,"")</f>
        <v/>
      </c>
      <c r="C18" s="19" t="str">
        <f t="shared" si="0"/>
        <v>B-BCP - Soles</v>
      </c>
      <c r="D18" s="3" t="s">
        <v>1101</v>
      </c>
      <c r="E18" s="14">
        <v>45659</v>
      </c>
      <c r="F18" s="5" t="s">
        <v>1107</v>
      </c>
      <c r="G18" s="5"/>
      <c r="H18" s="6" t="s">
        <v>368</v>
      </c>
      <c r="I18" s="6"/>
      <c r="J18" s="6"/>
      <c r="K18" s="6"/>
      <c r="L18" s="7" t="s">
        <v>1100</v>
      </c>
      <c r="M18" s="8">
        <v>2027861</v>
      </c>
      <c r="N18" s="8" t="str">
        <f t="shared" si="1"/>
        <v>PEN</v>
      </c>
      <c r="O18" s="13"/>
      <c r="P18" s="13">
        <v>42</v>
      </c>
      <c r="Q18" s="3">
        <f t="shared" si="2"/>
        <v>0</v>
      </c>
      <c r="R18" s="3">
        <f t="shared" si="3"/>
        <v>0</v>
      </c>
      <c r="S18" s="3">
        <f t="shared" si="4"/>
        <v>33982.51</v>
      </c>
      <c r="T18" s="24" t="s">
        <v>1081</v>
      </c>
      <c r="U18" s="24" t="s">
        <v>1081</v>
      </c>
      <c r="V18" s="67"/>
      <c r="W18" s="25">
        <f>IFERROR(VLOOKUP(BCP_Soles[[#This Row],[DESTINATARIO]],CHOOSE({1,2},Clientes_Proveedores[Razon Social],Clientes_Proveedores[Ruc / Dni]),2,0),"")</f>
        <v>20558226979</v>
      </c>
      <c r="X18" s="25" t="s">
        <v>1090</v>
      </c>
      <c r="Y18" s="25" t="s">
        <v>1110</v>
      </c>
      <c r="Z18" s="25"/>
      <c r="AA18" s="99"/>
      <c r="AB18" s="3" t="str">
        <f>IF(BCP_Soles[[#This Row],[FECHA]]&gt;0,TEXT(BCP_Soles[[#This Row],[FECHA]],"mmmm"),0)</f>
        <v>Enero</v>
      </c>
    </row>
    <row r="19" spans="2:28" x14ac:dyDescent="0.3">
      <c r="B19" s="2" t="str">
        <f>IF(BCP_Soles[[#This Row],[TIPO DE R.]]="R",COUNTIFS($D$4:$D18,"R")+1,"")</f>
        <v/>
      </c>
      <c r="C19" s="19" t="str">
        <f t="shared" si="0"/>
        <v>B-BCP - Soles</v>
      </c>
      <c r="D19" s="3" t="s">
        <v>1101</v>
      </c>
      <c r="E19" s="14">
        <v>45659</v>
      </c>
      <c r="F19" s="5" t="s">
        <v>1111</v>
      </c>
      <c r="G19" s="5"/>
      <c r="H19" s="6" t="s">
        <v>368</v>
      </c>
      <c r="I19" s="6"/>
      <c r="J19" s="6"/>
      <c r="K19" s="6"/>
      <c r="L19" s="7" t="s">
        <v>1100</v>
      </c>
      <c r="M19" s="8">
        <v>2027861</v>
      </c>
      <c r="N19" s="8" t="str">
        <f t="shared" si="1"/>
        <v>PEN</v>
      </c>
      <c r="O19" s="13"/>
      <c r="P19" s="13">
        <v>14.8</v>
      </c>
      <c r="Q19" s="3">
        <f t="shared" si="2"/>
        <v>0</v>
      </c>
      <c r="R19" s="3">
        <f t="shared" si="3"/>
        <v>0</v>
      </c>
      <c r="S19" s="3">
        <f t="shared" si="4"/>
        <v>33982.51</v>
      </c>
      <c r="T19" s="24" t="s">
        <v>1081</v>
      </c>
      <c r="U19" s="24" t="s">
        <v>1081</v>
      </c>
      <c r="V19" s="67"/>
      <c r="W19" s="25">
        <f>IFERROR(VLOOKUP(BCP_Soles[[#This Row],[DESTINATARIO]],CHOOSE({1,2},Clientes_Proveedores[Razon Social],Clientes_Proveedores[Ruc / Dni]),2,0),"")</f>
        <v>20558226979</v>
      </c>
      <c r="X19" s="25" t="s">
        <v>1090</v>
      </c>
      <c r="Y19" s="25" t="s">
        <v>1112</v>
      </c>
      <c r="Z19" s="25"/>
      <c r="AA19" s="99"/>
      <c r="AB19" s="3" t="str">
        <f>IF(BCP_Soles[[#This Row],[FECHA]]&gt;0,TEXT(BCP_Soles[[#This Row],[FECHA]],"mmmm"),0)</f>
        <v>Enero</v>
      </c>
    </row>
    <row r="20" spans="2:28" ht="24" x14ac:dyDescent="0.3">
      <c r="B20" s="2" t="str">
        <f>IF(BCP_Soles[[#This Row],[TIPO DE R.]]="R",COUNTIFS($D$4:$D19,"R")+1,"")</f>
        <v/>
      </c>
      <c r="C20" s="19" t="str">
        <f t="shared" si="0"/>
        <v>B-BCP - Soles</v>
      </c>
      <c r="D20" s="3" t="s">
        <v>1101</v>
      </c>
      <c r="E20" s="14">
        <v>45659</v>
      </c>
      <c r="F20" s="5" t="s">
        <v>1113</v>
      </c>
      <c r="G20" s="5"/>
      <c r="H20" s="6" t="s">
        <v>368</v>
      </c>
      <c r="I20" s="6"/>
      <c r="J20" s="6"/>
      <c r="K20" s="6"/>
      <c r="L20" s="7" t="s">
        <v>1100</v>
      </c>
      <c r="M20" s="8">
        <v>2027861</v>
      </c>
      <c r="N20" s="8" t="str">
        <f t="shared" si="1"/>
        <v>PEN</v>
      </c>
      <c r="O20" s="13"/>
      <c r="P20" s="13">
        <v>47.7</v>
      </c>
      <c r="Q20" s="3">
        <f t="shared" si="2"/>
        <v>0</v>
      </c>
      <c r="R20" s="3">
        <f t="shared" si="3"/>
        <v>0</v>
      </c>
      <c r="S20" s="3">
        <f t="shared" si="4"/>
        <v>33982.51</v>
      </c>
      <c r="T20" s="24" t="s">
        <v>1081</v>
      </c>
      <c r="U20" s="24" t="s">
        <v>1081</v>
      </c>
      <c r="V20" s="67"/>
      <c r="W20" s="25">
        <f>IFERROR(VLOOKUP(BCP_Soles[[#This Row],[DESTINATARIO]],CHOOSE({1,2},Clientes_Proveedores[Razon Social],Clientes_Proveedores[Ruc / Dni]),2,0),"")</f>
        <v>20558226979</v>
      </c>
      <c r="X20" s="25" t="s">
        <v>1090</v>
      </c>
      <c r="Y20" s="25" t="s">
        <v>1114</v>
      </c>
      <c r="Z20" s="25"/>
      <c r="AA20" s="99"/>
      <c r="AB20" s="3" t="str">
        <f>IF(BCP_Soles[[#This Row],[FECHA]]&gt;0,TEXT(BCP_Soles[[#This Row],[FECHA]],"mmmm"),0)</f>
        <v>Enero</v>
      </c>
    </row>
    <row r="21" spans="2:28" x14ac:dyDescent="0.3">
      <c r="B21" s="2">
        <f>IF(BCP_Soles[[#This Row],[TIPO DE R.]]="R",COUNTIFS($D$4:$D20,"R")+1,"")</f>
        <v>9</v>
      </c>
      <c r="C21" s="19" t="str">
        <f t="shared" si="0"/>
        <v>B-BCP - Soles</v>
      </c>
      <c r="D21" s="3" t="s">
        <v>1074</v>
      </c>
      <c r="E21" s="14">
        <v>45659</v>
      </c>
      <c r="F21" s="5"/>
      <c r="G21" s="5" t="s">
        <v>1087</v>
      </c>
      <c r="H21" s="6"/>
      <c r="I21" s="6"/>
      <c r="J21" s="6"/>
      <c r="K21" s="6"/>
      <c r="L21" s="7" t="s">
        <v>1100</v>
      </c>
      <c r="M21" s="8">
        <v>2039413</v>
      </c>
      <c r="N21" s="8" t="str">
        <f t="shared" si="1"/>
        <v>PEN</v>
      </c>
      <c r="O21" s="13"/>
      <c r="P21" s="13">
        <v>29.7</v>
      </c>
      <c r="Q21" s="3">
        <f t="shared" si="2"/>
        <v>29.7</v>
      </c>
      <c r="R21" s="3">
        <f t="shared" si="3"/>
        <v>0</v>
      </c>
      <c r="S21" s="3">
        <f t="shared" si="4"/>
        <v>34012.21</v>
      </c>
      <c r="T21" s="24" t="s">
        <v>1081</v>
      </c>
      <c r="U21" s="24" t="s">
        <v>1081</v>
      </c>
      <c r="V21" s="67"/>
      <c r="W21" s="25" t="str">
        <f>IFERROR(VLOOKUP(BCP_Soles[[#This Row],[DESTINATARIO]],CHOOSE({1,2},Clientes_Proveedores[Razon Social],Clientes_Proveedores[Ruc / Dni]),2,0),"")</f>
        <v/>
      </c>
      <c r="X21" s="25" t="s">
        <v>1090</v>
      </c>
      <c r="Y21" s="25"/>
      <c r="Z21" s="25"/>
      <c r="AA21" s="99"/>
      <c r="AB21" s="3" t="str">
        <f>IF(BCP_Soles[[#This Row],[FECHA]]&gt;0,TEXT(BCP_Soles[[#This Row],[FECHA]],"mmmm"),0)</f>
        <v>Enero</v>
      </c>
    </row>
    <row r="22" spans="2:28" ht="24" x14ac:dyDescent="0.3">
      <c r="B22" s="2">
        <f>IF(BCP_Soles[[#This Row],[TIPO DE R.]]="R",COUNTIFS($D$4:$D21,"R")+1,"")</f>
        <v>10</v>
      </c>
      <c r="C22" s="19" t="str">
        <f t="shared" si="0"/>
        <v>B-BCP - Soles</v>
      </c>
      <c r="D22" s="3" t="s">
        <v>1074</v>
      </c>
      <c r="E22" s="14">
        <v>45660</v>
      </c>
      <c r="F22" s="5" t="s">
        <v>279</v>
      </c>
      <c r="G22" s="5" t="s">
        <v>1087</v>
      </c>
      <c r="H22" s="6" t="s">
        <v>279</v>
      </c>
      <c r="I22" s="6" t="s">
        <v>14</v>
      </c>
      <c r="J22" s="6" t="s">
        <v>1088</v>
      </c>
      <c r="K22" s="6">
        <v>275</v>
      </c>
      <c r="L22" s="7" t="s">
        <v>1115</v>
      </c>
      <c r="M22" s="8">
        <v>2050576</v>
      </c>
      <c r="N22" s="8" t="str">
        <f t="shared" si="1"/>
        <v>PEN</v>
      </c>
      <c r="O22" s="13"/>
      <c r="P22" s="13">
        <v>923.74</v>
      </c>
      <c r="Q22" s="3">
        <f t="shared" si="2"/>
        <v>923.74</v>
      </c>
      <c r="R22" s="3">
        <f t="shared" si="3"/>
        <v>0</v>
      </c>
      <c r="S22" s="3">
        <f t="shared" si="4"/>
        <v>34935.949999999997</v>
      </c>
      <c r="T22" s="24" t="s">
        <v>1081</v>
      </c>
      <c r="U22" s="24"/>
      <c r="V22" s="67"/>
      <c r="W22" s="25">
        <f>IFERROR(VLOOKUP(BCP_Soles[[#This Row],[DESTINATARIO]],CHOOSE({1,2},Clientes_Proveedores[Razon Social],Clientes_Proveedores[Ruc / Dni]),2,0),"")</f>
        <v>20498311963</v>
      </c>
      <c r="X22" s="25" t="s">
        <v>1090</v>
      </c>
      <c r="Y22" s="25" t="s">
        <v>1116</v>
      </c>
      <c r="Z22" s="25"/>
      <c r="AA22" s="99"/>
      <c r="AB22" s="3" t="str">
        <f>IF(BCP_Soles[[#This Row],[FECHA]]&gt;0,TEXT(BCP_Soles[[#This Row],[FECHA]],"mmmm"),0)</f>
        <v>Enero</v>
      </c>
    </row>
    <row r="23" spans="2:28" x14ac:dyDescent="0.3">
      <c r="B23" s="2">
        <f>IF(BCP_Soles[[#This Row],[TIPO DE R.]]="R",COUNTIFS($D$4:$D22,"R")+1,"")</f>
        <v>11</v>
      </c>
      <c r="C23" s="19" t="str">
        <f t="shared" si="0"/>
        <v>B-BCP - Soles</v>
      </c>
      <c r="D23" s="3" t="s">
        <v>1074</v>
      </c>
      <c r="E23" s="14">
        <v>45660</v>
      </c>
      <c r="F23" s="5" t="s">
        <v>1082</v>
      </c>
      <c r="G23" s="5" t="s">
        <v>1079</v>
      </c>
      <c r="H23" s="6"/>
      <c r="I23" s="6"/>
      <c r="J23" s="6"/>
      <c r="K23" s="6"/>
      <c r="L23" s="7" t="s">
        <v>1117</v>
      </c>
      <c r="M23" s="8">
        <v>8079846</v>
      </c>
      <c r="N23" s="8" t="str">
        <f t="shared" si="1"/>
        <v>PEN</v>
      </c>
      <c r="O23" s="13"/>
      <c r="P23" s="13">
        <v>2432.27</v>
      </c>
      <c r="Q23" s="3">
        <f t="shared" si="2"/>
        <v>0</v>
      </c>
      <c r="R23" s="3">
        <f t="shared" si="3"/>
        <v>2432.27</v>
      </c>
      <c r="S23" s="3">
        <f t="shared" si="4"/>
        <v>32503.679999999997</v>
      </c>
      <c r="T23" s="24" t="s">
        <v>1081</v>
      </c>
      <c r="U23" s="24"/>
      <c r="V23" s="67"/>
      <c r="W23" s="25" t="str">
        <f>IFERROR(VLOOKUP(BCP_Soles[[#This Row],[DESTINATARIO]],CHOOSE({1,2},Clientes_Proveedores[Razon Social],Clientes_Proveedores[Ruc / Dni]),2,0),"")</f>
        <v/>
      </c>
      <c r="X23" s="25" t="s">
        <v>1118</v>
      </c>
      <c r="Y23" s="25"/>
      <c r="Z23" s="25"/>
      <c r="AA23" s="99"/>
      <c r="AB23" s="3" t="str">
        <f>IF(BCP_Soles[[#This Row],[FECHA]]&gt;0,TEXT(BCP_Soles[[#This Row],[FECHA]],"mmmm"),0)</f>
        <v>Enero</v>
      </c>
    </row>
    <row r="24" spans="2:28" x14ac:dyDescent="0.3">
      <c r="B24" s="2" t="str">
        <f>IF(BCP_Soles[[#This Row],[TIPO DE R.]]="R",COUNTIFS($D$4:$D23,"R")+1,"")</f>
        <v/>
      </c>
      <c r="C24" s="19" t="str">
        <f t="shared" si="0"/>
        <v>B-BCP - Soles</v>
      </c>
      <c r="D24" s="3" t="s">
        <v>1101</v>
      </c>
      <c r="E24" s="14">
        <v>45660</v>
      </c>
      <c r="F24" s="5"/>
      <c r="G24" s="5" t="s">
        <v>1079</v>
      </c>
      <c r="H24" s="6" t="s">
        <v>247</v>
      </c>
      <c r="I24" s="6" t="s">
        <v>14</v>
      </c>
      <c r="J24" s="6" t="s">
        <v>1119</v>
      </c>
      <c r="K24" s="6">
        <v>2891</v>
      </c>
      <c r="L24" s="7" t="s">
        <v>1117</v>
      </c>
      <c r="M24" s="8">
        <v>8079846</v>
      </c>
      <c r="N24" s="8" t="str">
        <f t="shared" si="1"/>
        <v>PEN</v>
      </c>
      <c r="O24" s="13">
        <v>800.47</v>
      </c>
      <c r="P24" s="13"/>
      <c r="Q24" s="3">
        <f t="shared" si="2"/>
        <v>0</v>
      </c>
      <c r="R24" s="3">
        <f t="shared" si="3"/>
        <v>0</v>
      </c>
      <c r="S24" s="3">
        <f t="shared" si="4"/>
        <v>32503.679999999997</v>
      </c>
      <c r="T24" s="24"/>
      <c r="U24" s="24"/>
      <c r="V24" s="67"/>
      <c r="W24" s="25">
        <f>IFERROR(VLOOKUP(BCP_Soles[[#This Row],[DESTINATARIO]],CHOOSE({1,2},Clientes_Proveedores[Razon Social],Clientes_Proveedores[Ruc / Dni]),2,0),"")</f>
        <v>20455825742</v>
      </c>
      <c r="X24" s="25"/>
      <c r="Y24" s="25"/>
      <c r="Z24" s="25"/>
      <c r="AA24" s="99"/>
      <c r="AB24" s="3" t="str">
        <f>IF(BCP_Soles[[#This Row],[FECHA]]&gt;0,TEXT(BCP_Soles[[#This Row],[FECHA]],"mmmm"),0)</f>
        <v>Enero</v>
      </c>
    </row>
    <row r="25" spans="2:28" ht="24" x14ac:dyDescent="0.3">
      <c r="B25" s="2" t="str">
        <f>IF(BCP_Soles[[#This Row],[TIPO DE R.]]="R",COUNTIFS($D$4:$D24,"R")+1,"")</f>
        <v/>
      </c>
      <c r="C25" s="19" t="str">
        <f t="shared" si="0"/>
        <v>B-BCP - Soles</v>
      </c>
      <c r="D25" s="3" t="s">
        <v>1101</v>
      </c>
      <c r="E25" s="14">
        <v>45660</v>
      </c>
      <c r="F25" s="5"/>
      <c r="G25" s="5" t="s">
        <v>1079</v>
      </c>
      <c r="H25" s="6" t="s">
        <v>214</v>
      </c>
      <c r="I25" s="6" t="s">
        <v>14</v>
      </c>
      <c r="J25" s="6" t="s">
        <v>1120</v>
      </c>
      <c r="K25" s="6">
        <v>6831</v>
      </c>
      <c r="L25" s="7" t="s">
        <v>1117</v>
      </c>
      <c r="M25" s="8">
        <v>8079846</v>
      </c>
      <c r="N25" s="8" t="str">
        <f t="shared" si="1"/>
        <v>PEN</v>
      </c>
      <c r="O25" s="13">
        <v>1084.8</v>
      </c>
      <c r="P25" s="13"/>
      <c r="Q25" s="3">
        <f t="shared" si="2"/>
        <v>0</v>
      </c>
      <c r="R25" s="3">
        <f t="shared" si="3"/>
        <v>0</v>
      </c>
      <c r="S25" s="3">
        <f t="shared" si="4"/>
        <v>32503.679999999997</v>
      </c>
      <c r="T25" s="24"/>
      <c r="U25" s="24"/>
      <c r="V25" s="67"/>
      <c r="W25" s="25">
        <f>IFERROR(VLOOKUP(BCP_Soles[[#This Row],[DESTINATARIO]],CHOOSE({1,2},Clientes_Proveedores[Razon Social],Clientes_Proveedores[Ruc / Dni]),2,0),"")</f>
        <v>20419158462</v>
      </c>
      <c r="X25" s="25"/>
      <c r="Y25" s="25"/>
      <c r="Z25" s="25"/>
      <c r="AA25" s="99"/>
      <c r="AB25" s="3" t="str">
        <f>IF(BCP_Soles[[#This Row],[FECHA]]&gt;0,TEXT(BCP_Soles[[#This Row],[FECHA]],"mmmm"),0)</f>
        <v>Enero</v>
      </c>
    </row>
    <row r="26" spans="2:28" ht="36" x14ac:dyDescent="0.3">
      <c r="B26" s="2" t="str">
        <f>IF(BCP_Soles[[#This Row],[TIPO DE R.]]="R",COUNTIFS($D$4:$D25,"R")+1,"")</f>
        <v/>
      </c>
      <c r="C26" s="19" t="str">
        <f t="shared" si="0"/>
        <v>B-BCP - Soles</v>
      </c>
      <c r="D26" s="3" t="s">
        <v>1101</v>
      </c>
      <c r="E26" s="14">
        <v>45660</v>
      </c>
      <c r="F26" s="5"/>
      <c r="G26" s="5" t="s">
        <v>1079</v>
      </c>
      <c r="H26" s="6" t="s">
        <v>332</v>
      </c>
      <c r="I26" s="6" t="s">
        <v>14</v>
      </c>
      <c r="J26" s="6" t="s">
        <v>1119</v>
      </c>
      <c r="K26" s="6">
        <v>1462</v>
      </c>
      <c r="L26" s="7" t="s">
        <v>1117</v>
      </c>
      <c r="M26" s="8">
        <v>8079846</v>
      </c>
      <c r="N26" s="8" t="str">
        <f t="shared" si="1"/>
        <v>PEN</v>
      </c>
      <c r="O26" s="13">
        <v>77</v>
      </c>
      <c r="P26" s="13"/>
      <c r="Q26" s="3">
        <f t="shared" si="2"/>
        <v>0</v>
      </c>
      <c r="R26" s="3">
        <f t="shared" si="3"/>
        <v>0</v>
      </c>
      <c r="S26" s="3">
        <f t="shared" si="4"/>
        <v>32503.679999999997</v>
      </c>
      <c r="T26" s="24"/>
      <c r="U26" s="24"/>
      <c r="V26" s="67"/>
      <c r="W26" s="25">
        <f>IFERROR(VLOOKUP(BCP_Soles[[#This Row],[DESTINATARIO]],CHOOSE({1,2},Clientes_Proveedores[Razon Social],Clientes_Proveedores[Ruc / Dni]),2,0),"")</f>
        <v>20539627938</v>
      </c>
      <c r="X26" s="25"/>
      <c r="Y26" s="25"/>
      <c r="Z26" s="25"/>
      <c r="AA26" s="99"/>
      <c r="AB26" s="3" t="str">
        <f>IF(BCP_Soles[[#This Row],[FECHA]]&gt;0,TEXT(BCP_Soles[[#This Row],[FECHA]],"mmmm"),0)</f>
        <v>Enero</v>
      </c>
    </row>
    <row r="27" spans="2:28" ht="36" x14ac:dyDescent="0.3">
      <c r="B27" s="2" t="str">
        <f>IF(BCP_Soles[[#This Row],[TIPO DE R.]]="R",COUNTIFS($D$4:$D26,"R")+1,"")</f>
        <v/>
      </c>
      <c r="C27" s="19" t="str">
        <f t="shared" si="0"/>
        <v>B-BCP - Soles</v>
      </c>
      <c r="D27" s="3" t="s">
        <v>1101</v>
      </c>
      <c r="E27" s="14">
        <v>45660</v>
      </c>
      <c r="F27" s="5"/>
      <c r="G27" s="5" t="s">
        <v>1079</v>
      </c>
      <c r="H27" s="6" t="s">
        <v>97</v>
      </c>
      <c r="I27" s="6" t="s">
        <v>14</v>
      </c>
      <c r="J27" s="6" t="s">
        <v>1121</v>
      </c>
      <c r="K27" s="6">
        <v>361</v>
      </c>
      <c r="L27" s="7" t="s">
        <v>1117</v>
      </c>
      <c r="M27" s="8">
        <v>8079846</v>
      </c>
      <c r="N27" s="8" t="str">
        <f t="shared" si="1"/>
        <v>PEN</v>
      </c>
      <c r="O27" s="13">
        <v>290</v>
      </c>
      <c r="P27" s="13"/>
      <c r="Q27" s="3">
        <f t="shared" si="2"/>
        <v>0</v>
      </c>
      <c r="R27" s="3">
        <f t="shared" si="3"/>
        <v>0</v>
      </c>
      <c r="S27" s="3">
        <f t="shared" si="4"/>
        <v>32503.679999999997</v>
      </c>
      <c r="T27" s="24"/>
      <c r="U27" s="24"/>
      <c r="V27" s="67"/>
      <c r="W27" s="25">
        <f>IFERROR(VLOOKUP(BCP_Soles[[#This Row],[DESTINATARIO]],CHOOSE({1,2},Clientes_Proveedores[Razon Social],Clientes_Proveedores[Ruc / Dni]),2,0),"")</f>
        <v>10405211179</v>
      </c>
      <c r="X27" s="25"/>
      <c r="Y27" s="25"/>
      <c r="Z27" s="25"/>
      <c r="AA27" s="99"/>
      <c r="AB27" s="3" t="str">
        <f>IF(BCP_Soles[[#This Row],[FECHA]]&gt;0,TEXT(BCP_Soles[[#This Row],[FECHA]],"mmmm"),0)</f>
        <v>Enero</v>
      </c>
    </row>
    <row r="28" spans="2:28" ht="24" x14ac:dyDescent="0.3">
      <c r="B28" s="2" t="str">
        <f>IF(BCP_Soles[[#This Row],[TIPO DE R.]]="R",COUNTIFS($D$4:$D27,"R")+1,"")</f>
        <v/>
      </c>
      <c r="C28" s="19" t="str">
        <f t="shared" si="0"/>
        <v>B-BCP - Soles</v>
      </c>
      <c r="D28" s="3" t="s">
        <v>1101</v>
      </c>
      <c r="E28" s="14">
        <v>45660</v>
      </c>
      <c r="F28" s="5"/>
      <c r="G28" s="5" t="s">
        <v>1079</v>
      </c>
      <c r="H28" s="6" t="s">
        <v>130</v>
      </c>
      <c r="I28" s="6" t="s">
        <v>14</v>
      </c>
      <c r="J28" s="6" t="s">
        <v>1121</v>
      </c>
      <c r="K28" s="6">
        <v>197</v>
      </c>
      <c r="L28" s="7" t="s">
        <v>1117</v>
      </c>
      <c r="M28" s="8">
        <v>8079846</v>
      </c>
      <c r="N28" s="8" t="str">
        <f t="shared" si="1"/>
        <v>PEN</v>
      </c>
      <c r="O28" s="13">
        <v>180</v>
      </c>
      <c r="P28" s="13"/>
      <c r="Q28" s="3">
        <f t="shared" si="2"/>
        <v>0</v>
      </c>
      <c r="R28" s="3">
        <f t="shared" si="3"/>
        <v>0</v>
      </c>
      <c r="S28" s="3">
        <f t="shared" si="4"/>
        <v>32503.679999999997</v>
      </c>
      <c r="T28" s="24"/>
      <c r="U28" s="24"/>
      <c r="V28" s="67"/>
      <c r="W28" s="25">
        <f>IFERROR(VLOOKUP(BCP_Soles[[#This Row],[DESTINATARIO]],CHOOSE({1,2},Clientes_Proveedores[Razon Social],Clientes_Proveedores[Ruc / Dni]),2,0),"")</f>
        <v>10706063426</v>
      </c>
      <c r="X28" s="25"/>
      <c r="Y28" s="25"/>
      <c r="Z28" s="25"/>
      <c r="AA28" s="99"/>
      <c r="AB28" s="3" t="str">
        <f>IF(BCP_Soles[[#This Row],[FECHA]]&gt;0,TEXT(BCP_Soles[[#This Row],[FECHA]],"mmmm"),0)</f>
        <v>Enero</v>
      </c>
    </row>
    <row r="29" spans="2:28" x14ac:dyDescent="0.3">
      <c r="B29" s="2">
        <f>IF(BCP_Soles[[#This Row],[TIPO DE R.]]="R",COUNTIFS($D$4:$D28,"R")+1,"")</f>
        <v>12</v>
      </c>
      <c r="C29" s="19" t="str">
        <f t="shared" si="0"/>
        <v>B-BCP - Soles</v>
      </c>
      <c r="D29" s="3" t="s">
        <v>1074</v>
      </c>
      <c r="E29" s="14">
        <v>45660</v>
      </c>
      <c r="F29" s="5" t="s">
        <v>1082</v>
      </c>
      <c r="G29" s="5" t="s">
        <v>1079</v>
      </c>
      <c r="H29" s="6" t="s">
        <v>637</v>
      </c>
      <c r="I29" s="6" t="s">
        <v>14</v>
      </c>
      <c r="J29" s="6" t="s">
        <v>1122</v>
      </c>
      <c r="K29" s="6">
        <v>140474</v>
      </c>
      <c r="L29" s="7" t="s">
        <v>1123</v>
      </c>
      <c r="M29" s="8">
        <v>96264</v>
      </c>
      <c r="N29" s="8" t="str">
        <f t="shared" si="1"/>
        <v>PEN</v>
      </c>
      <c r="O29" s="13"/>
      <c r="P29" s="13">
        <v>714.85</v>
      </c>
      <c r="Q29" s="3">
        <f t="shared" si="2"/>
        <v>0</v>
      </c>
      <c r="R29" s="3">
        <f t="shared" si="3"/>
        <v>714.85</v>
      </c>
      <c r="S29" s="3">
        <f t="shared" si="4"/>
        <v>31788.829999999998</v>
      </c>
      <c r="T29" s="24"/>
      <c r="U29" s="24"/>
      <c r="V29" s="67"/>
      <c r="W29" s="25">
        <f>IFERROR(VLOOKUP(BCP_Soles[[#This Row],[DESTINATARIO]],CHOOSE({1,2},Clientes_Proveedores[Razon Social],Clientes_Proveedores[Ruc / Dni]),2,0),"")</f>
        <v>20127765279</v>
      </c>
      <c r="X29" s="25" t="s">
        <v>1124</v>
      </c>
      <c r="Y29" s="25" t="s">
        <v>1125</v>
      </c>
      <c r="Z29" s="25"/>
      <c r="AA29" s="99"/>
      <c r="AB29" s="3" t="str">
        <f>IF(BCP_Soles[[#This Row],[FECHA]]&gt;0,TEXT(BCP_Soles[[#This Row],[FECHA]],"mmmm"),0)</f>
        <v>Enero</v>
      </c>
    </row>
    <row r="30" spans="2:28" x14ac:dyDescent="0.3">
      <c r="B30" s="2">
        <f>IF(BCP_Soles[[#This Row],[TIPO DE R.]]="R",COUNTIFS($D$4:$D29,"R")+1,"")</f>
        <v>13</v>
      </c>
      <c r="C30" s="19" t="str">
        <f t="shared" si="0"/>
        <v>B-BCP - Soles</v>
      </c>
      <c r="D30" s="3" t="s">
        <v>1074</v>
      </c>
      <c r="E30" s="14">
        <v>45660</v>
      </c>
      <c r="F30" s="5" t="s">
        <v>1082</v>
      </c>
      <c r="G30" s="5" t="s">
        <v>1079</v>
      </c>
      <c r="H30" s="6" t="s">
        <v>637</v>
      </c>
      <c r="I30" s="6" t="s">
        <v>14</v>
      </c>
      <c r="J30" s="6" t="s">
        <v>1122</v>
      </c>
      <c r="K30" s="6">
        <v>140463</v>
      </c>
      <c r="L30" s="7" t="s">
        <v>1123</v>
      </c>
      <c r="M30" s="8">
        <v>132214</v>
      </c>
      <c r="N30" s="8" t="str">
        <f t="shared" si="1"/>
        <v>PEN</v>
      </c>
      <c r="O30" s="13"/>
      <c r="P30" s="13">
        <v>1157.97</v>
      </c>
      <c r="Q30" s="3">
        <f t="shared" si="2"/>
        <v>0</v>
      </c>
      <c r="R30" s="3">
        <f t="shared" si="3"/>
        <v>1157.97</v>
      </c>
      <c r="S30" s="3">
        <f t="shared" si="4"/>
        <v>30630.859999999997</v>
      </c>
      <c r="T30" s="24"/>
      <c r="U30" s="24"/>
      <c r="V30" s="67"/>
      <c r="W30" s="25">
        <f>IFERROR(VLOOKUP(BCP_Soles[[#This Row],[DESTINATARIO]],CHOOSE({1,2},Clientes_Proveedores[Razon Social],Clientes_Proveedores[Ruc / Dni]),2,0),"")</f>
        <v>20127765279</v>
      </c>
      <c r="X30" s="25" t="s">
        <v>1124</v>
      </c>
      <c r="Y30" s="25" t="s">
        <v>1126</v>
      </c>
      <c r="Z30" s="25"/>
      <c r="AA30" s="99"/>
      <c r="AB30" s="3" t="str">
        <f>IF(BCP_Soles[[#This Row],[FECHA]]&gt;0,TEXT(BCP_Soles[[#This Row],[FECHA]],"mmmm"),0)</f>
        <v>Enero</v>
      </c>
    </row>
    <row r="31" spans="2:28" ht="24" x14ac:dyDescent="0.3">
      <c r="B31" s="2">
        <f>IF(BCP_Soles[[#This Row],[TIPO DE R.]]="R",COUNTIFS($D$4:$D30,"R")+1,"")</f>
        <v>14</v>
      </c>
      <c r="C31" s="19" t="str">
        <f t="shared" si="0"/>
        <v>B-BCP - Soles</v>
      </c>
      <c r="D31" s="3" t="s">
        <v>1074</v>
      </c>
      <c r="E31" s="14">
        <v>45660</v>
      </c>
      <c r="F31" s="5" t="s">
        <v>229</v>
      </c>
      <c r="G31" s="5" t="s">
        <v>1087</v>
      </c>
      <c r="H31" s="6"/>
      <c r="I31" s="6"/>
      <c r="J31" s="6"/>
      <c r="K31" s="6"/>
      <c r="L31" s="7" t="s">
        <v>1127</v>
      </c>
      <c r="M31" s="8">
        <v>5297</v>
      </c>
      <c r="N31" s="8" t="str">
        <f t="shared" si="1"/>
        <v>PEN</v>
      </c>
      <c r="O31" s="13"/>
      <c r="P31" s="13">
        <v>4763.03</v>
      </c>
      <c r="Q31" s="3">
        <f t="shared" si="2"/>
        <v>4763.03</v>
      </c>
      <c r="R31" s="3">
        <f t="shared" si="3"/>
        <v>0</v>
      </c>
      <c r="S31" s="3">
        <f t="shared" si="4"/>
        <v>35393.89</v>
      </c>
      <c r="T31" s="24" t="s">
        <v>1081</v>
      </c>
      <c r="U31" s="24" t="s">
        <v>1081</v>
      </c>
      <c r="V31" s="67"/>
      <c r="W31" s="25" t="str">
        <f>IFERROR(VLOOKUP(BCP_Soles[[#This Row],[DESTINATARIO]],CHOOSE({1,2},Clientes_Proveedores[Razon Social],Clientes_Proveedores[Ruc / Dni]),2,0),"")</f>
        <v/>
      </c>
      <c r="X31" s="25" t="s">
        <v>1090</v>
      </c>
      <c r="Y31" s="25" t="s">
        <v>1128</v>
      </c>
      <c r="Z31" s="25"/>
      <c r="AA31" s="99"/>
      <c r="AB31" s="3" t="str">
        <f>IF(BCP_Soles[[#This Row],[FECHA]]&gt;0,TEXT(BCP_Soles[[#This Row],[FECHA]],"mmmm"),0)</f>
        <v>Enero</v>
      </c>
    </row>
    <row r="32" spans="2:28" x14ac:dyDescent="0.3">
      <c r="B32" s="2">
        <f>IF(BCP_Soles[[#This Row],[TIPO DE R.]]="R",COUNTIFS($D$4:$D31,"R")+1,"")</f>
        <v>15</v>
      </c>
      <c r="C32" s="19" t="str">
        <f t="shared" si="0"/>
        <v>B-BCP - Soles</v>
      </c>
      <c r="D32" s="3" t="s">
        <v>1074</v>
      </c>
      <c r="E32" s="14">
        <v>45660</v>
      </c>
      <c r="F32" s="5" t="s">
        <v>1078</v>
      </c>
      <c r="G32" s="5" t="s">
        <v>1079</v>
      </c>
      <c r="H32" s="6"/>
      <c r="I32" s="6"/>
      <c r="J32" s="6"/>
      <c r="K32" s="6"/>
      <c r="L32" s="7" t="s">
        <v>1080</v>
      </c>
      <c r="M32" s="8"/>
      <c r="N32" s="8" t="str">
        <f t="shared" si="1"/>
        <v>PEN</v>
      </c>
      <c r="O32" s="13"/>
      <c r="P32" s="13">
        <v>1.1000000000000001</v>
      </c>
      <c r="Q32" s="3">
        <f t="shared" si="2"/>
        <v>0</v>
      </c>
      <c r="R32" s="3">
        <f t="shared" si="3"/>
        <v>1.1000000000000001</v>
      </c>
      <c r="S32" s="3">
        <f t="shared" si="4"/>
        <v>35392.79</v>
      </c>
      <c r="T32" s="24" t="s">
        <v>1081</v>
      </c>
      <c r="U32" s="24" t="s">
        <v>1081</v>
      </c>
      <c r="V32" s="67"/>
      <c r="W32" s="25" t="str">
        <f>IFERROR(VLOOKUP(BCP_Soles[[#This Row],[DESTINATARIO]],CHOOSE({1,2},Clientes_Proveedores[Razon Social],Clientes_Proveedores[Ruc / Dni]),2,0),"")</f>
        <v/>
      </c>
      <c r="X32" s="25"/>
      <c r="Y32" s="25"/>
      <c r="Z32" s="25"/>
      <c r="AA32" s="99"/>
      <c r="AB32" s="3" t="str">
        <f>IF(BCP_Soles[[#This Row],[FECHA]]&gt;0,TEXT(BCP_Soles[[#This Row],[FECHA]],"mmmm"),0)</f>
        <v>Enero</v>
      </c>
    </row>
    <row r="33" spans="2:28" ht="24" x14ac:dyDescent="0.3">
      <c r="B33" s="2">
        <f>IF(BCP_Soles[[#This Row],[TIPO DE R.]]="R",COUNTIFS($D$4:$D32,"R")+1,"")</f>
        <v>16</v>
      </c>
      <c r="C33" s="19" t="str">
        <f t="shared" si="0"/>
        <v>B-BCP - Soles</v>
      </c>
      <c r="D33" s="3" t="s">
        <v>1074</v>
      </c>
      <c r="E33" s="14">
        <v>45660</v>
      </c>
      <c r="F33" s="5" t="s">
        <v>1082</v>
      </c>
      <c r="G33" s="5" t="s">
        <v>1079</v>
      </c>
      <c r="H33" s="6" t="s">
        <v>192</v>
      </c>
      <c r="I33" s="6"/>
      <c r="J33" s="6"/>
      <c r="K33" s="6"/>
      <c r="L33" s="7" t="s">
        <v>1129</v>
      </c>
      <c r="M33" s="8">
        <v>1202665</v>
      </c>
      <c r="N33" s="8" t="str">
        <f t="shared" si="1"/>
        <v>PEN</v>
      </c>
      <c r="O33" s="13"/>
      <c r="P33" s="13">
        <v>7104.55</v>
      </c>
      <c r="Q33" s="3">
        <f t="shared" si="2"/>
        <v>0</v>
      </c>
      <c r="R33" s="3">
        <f t="shared" si="3"/>
        <v>7104.55</v>
      </c>
      <c r="S33" s="3">
        <f t="shared" si="4"/>
        <v>28288.240000000002</v>
      </c>
      <c r="T33" s="24"/>
      <c r="U33" s="24"/>
      <c r="V33" s="67"/>
      <c r="W33" s="25">
        <f>IFERROR(VLOOKUP(BCP_Soles[[#This Row],[DESTINATARIO]],CHOOSE({1,2},Clientes_Proveedores[Razon Social],Clientes_Proveedores[Ruc / Dni]),2,0),"")</f>
        <v>20302891452</v>
      </c>
      <c r="X33" s="25" t="s">
        <v>192</v>
      </c>
      <c r="Y33" s="25"/>
      <c r="Z33" s="25"/>
      <c r="AA33" s="99"/>
      <c r="AB33" s="3" t="str">
        <f>IF(BCP_Soles[[#This Row],[FECHA]]&gt;0,TEXT(BCP_Soles[[#This Row],[FECHA]],"mmmm"),0)</f>
        <v>Enero</v>
      </c>
    </row>
    <row r="34" spans="2:28" x14ac:dyDescent="0.3">
      <c r="B34" s="2">
        <f>IF(BCP_Soles[[#This Row],[TIPO DE R.]]="R",COUNTIFS($D$4:$D33,"R")+1,"")</f>
        <v>17</v>
      </c>
      <c r="C34" s="19" t="str">
        <f t="shared" si="0"/>
        <v>B-BCP - Soles</v>
      </c>
      <c r="D34" s="3" t="s">
        <v>1074</v>
      </c>
      <c r="E34" s="14">
        <v>45660</v>
      </c>
      <c r="F34" s="5" t="s">
        <v>1082</v>
      </c>
      <c r="G34" s="5" t="s">
        <v>1079</v>
      </c>
      <c r="H34" s="6"/>
      <c r="I34" s="6"/>
      <c r="J34" s="6"/>
      <c r="K34" s="6"/>
      <c r="L34" s="7" t="s">
        <v>1130</v>
      </c>
      <c r="M34" s="8">
        <v>8229773</v>
      </c>
      <c r="N34" s="8" t="str">
        <f t="shared" si="1"/>
        <v>PEN</v>
      </c>
      <c r="O34" s="13"/>
      <c r="P34" s="13">
        <v>5713.95</v>
      </c>
      <c r="Q34" s="3">
        <f t="shared" si="2"/>
        <v>0</v>
      </c>
      <c r="R34" s="3">
        <f t="shared" si="3"/>
        <v>5713.95</v>
      </c>
      <c r="S34" s="3">
        <f t="shared" si="4"/>
        <v>22574.29</v>
      </c>
      <c r="T34" s="24" t="s">
        <v>1081</v>
      </c>
      <c r="U34" s="24"/>
      <c r="V34" s="67"/>
      <c r="W34" s="25" t="str">
        <f>IFERROR(VLOOKUP(BCP_Soles[[#This Row],[DESTINATARIO]],CHOOSE({1,2},Clientes_Proveedores[Razon Social],Clientes_Proveedores[Ruc / Dni]),2,0),"")</f>
        <v/>
      </c>
      <c r="X34" s="25" t="s">
        <v>1118</v>
      </c>
      <c r="Y34" s="25"/>
      <c r="Z34" s="25"/>
      <c r="AA34" s="99"/>
      <c r="AB34" s="3" t="str">
        <f>IF(BCP_Soles[[#This Row],[FECHA]]&gt;0,TEXT(BCP_Soles[[#This Row],[FECHA]],"mmmm"),0)</f>
        <v>Enero</v>
      </c>
    </row>
    <row r="35" spans="2:28" x14ac:dyDescent="0.3">
      <c r="B35" s="2">
        <f>IF(BCP_Soles[[#This Row],[TIPO DE R.]]="R",COUNTIFS($D$4:$D34,"R")+1,"")</f>
        <v>18</v>
      </c>
      <c r="C35" s="19" t="str">
        <f t="shared" si="0"/>
        <v>B-BCP - Soles</v>
      </c>
      <c r="D35" s="3" t="s">
        <v>1074</v>
      </c>
      <c r="E35" s="14">
        <v>45660</v>
      </c>
      <c r="F35" s="5" t="s">
        <v>1131</v>
      </c>
      <c r="G35" s="5" t="s">
        <v>1079</v>
      </c>
      <c r="H35" s="6"/>
      <c r="I35" s="6"/>
      <c r="J35" s="6"/>
      <c r="K35" s="6"/>
      <c r="L35" s="7" t="s">
        <v>1132</v>
      </c>
      <c r="M35" s="8">
        <v>1011669</v>
      </c>
      <c r="N35" s="8" t="str">
        <f t="shared" si="1"/>
        <v>PEN</v>
      </c>
      <c r="O35" s="13"/>
      <c r="P35" s="13">
        <v>1614</v>
      </c>
      <c r="Q35" s="3">
        <f t="shared" si="2"/>
        <v>0</v>
      </c>
      <c r="R35" s="3">
        <f t="shared" si="3"/>
        <v>1614</v>
      </c>
      <c r="S35" s="3">
        <f t="shared" si="4"/>
        <v>20960.29</v>
      </c>
      <c r="T35" s="24"/>
      <c r="U35" s="24"/>
      <c r="V35" s="67"/>
      <c r="W35" s="25" t="str">
        <f>IFERROR(VLOOKUP(BCP_Soles[[#This Row],[DESTINATARIO]],CHOOSE({1,2},Clientes_Proveedores[Razon Social],Clientes_Proveedores[Ruc / Dni]),2,0),"")</f>
        <v/>
      </c>
      <c r="X35" s="25" t="s">
        <v>1133</v>
      </c>
      <c r="Y35" s="25"/>
      <c r="Z35" s="25"/>
      <c r="AA35" s="99"/>
      <c r="AB35" s="3" t="str">
        <f>IF(BCP_Soles[[#This Row],[FECHA]]&gt;0,TEXT(BCP_Soles[[#This Row],[FECHA]],"mmmm"),0)</f>
        <v>Enero</v>
      </c>
    </row>
    <row r="36" spans="2:28" ht="24" x14ac:dyDescent="0.3">
      <c r="B36" s="2">
        <f>IF(BCP_Soles[[#This Row],[TIPO DE R.]]="R",COUNTIFS($D$4:$D35,"R")+1,"")</f>
        <v>19</v>
      </c>
      <c r="C36" s="19" t="str">
        <f t="shared" si="0"/>
        <v>B-BCP - Soles</v>
      </c>
      <c r="D36" s="3" t="s">
        <v>1074</v>
      </c>
      <c r="E36" s="14">
        <v>45660</v>
      </c>
      <c r="F36" s="5" t="s">
        <v>1082</v>
      </c>
      <c r="G36" s="5" t="s">
        <v>1079</v>
      </c>
      <c r="H36" s="6"/>
      <c r="I36" s="6"/>
      <c r="J36" s="6"/>
      <c r="K36" s="6"/>
      <c r="L36" s="7" t="s">
        <v>1134</v>
      </c>
      <c r="M36" s="8">
        <v>1203715</v>
      </c>
      <c r="N36" s="8" t="str">
        <f t="shared" si="1"/>
        <v>PEN</v>
      </c>
      <c r="O36" s="13"/>
      <c r="P36" s="13">
        <v>1260.7</v>
      </c>
      <c r="Q36" s="3">
        <f t="shared" si="2"/>
        <v>0</v>
      </c>
      <c r="R36" s="3">
        <f t="shared" si="3"/>
        <v>1260.7</v>
      </c>
      <c r="S36" s="3">
        <f t="shared" si="4"/>
        <v>19699.59</v>
      </c>
      <c r="T36" s="24"/>
      <c r="U36" s="24"/>
      <c r="V36" s="67"/>
      <c r="W36" s="25" t="str">
        <f>IFERROR(VLOOKUP(BCP_Soles[[#This Row],[DESTINATARIO]],CHOOSE({1,2},Clientes_Proveedores[Razon Social],Clientes_Proveedores[Ruc / Dni]),2,0),"")</f>
        <v/>
      </c>
      <c r="X36" s="25" t="s">
        <v>1135</v>
      </c>
      <c r="Y36" s="25"/>
      <c r="Z36" s="25"/>
      <c r="AA36" s="99"/>
      <c r="AB36" s="3" t="str">
        <f>IF(BCP_Soles[[#This Row],[FECHA]]&gt;0,TEXT(BCP_Soles[[#This Row],[FECHA]],"mmmm"),0)</f>
        <v>Enero</v>
      </c>
    </row>
    <row r="37" spans="2:28" ht="24" x14ac:dyDescent="0.3">
      <c r="B37" s="2">
        <f>IF(BCP_Soles[[#This Row],[TIPO DE R.]]="R",COUNTIFS($D$4:$D36,"R")+1,"")</f>
        <v>20</v>
      </c>
      <c r="C37" s="19" t="str">
        <f t="shared" si="0"/>
        <v>B-BCP - Soles</v>
      </c>
      <c r="D37" s="3" t="s">
        <v>1074</v>
      </c>
      <c r="E37" s="14">
        <v>45660</v>
      </c>
      <c r="F37" s="5" t="s">
        <v>1082</v>
      </c>
      <c r="G37" s="5" t="s">
        <v>1079</v>
      </c>
      <c r="H37" s="6"/>
      <c r="I37" s="6"/>
      <c r="J37" s="6"/>
      <c r="K37" s="6"/>
      <c r="L37" s="7" t="s">
        <v>1136</v>
      </c>
      <c r="M37" s="8">
        <v>1242684</v>
      </c>
      <c r="N37" s="8" t="str">
        <f t="shared" si="1"/>
        <v>PEN</v>
      </c>
      <c r="O37" s="13"/>
      <c r="P37" s="13">
        <v>771.85</v>
      </c>
      <c r="Q37" s="3">
        <f t="shared" si="2"/>
        <v>0</v>
      </c>
      <c r="R37" s="3">
        <f t="shared" si="3"/>
        <v>771.85</v>
      </c>
      <c r="S37" s="3">
        <f t="shared" si="4"/>
        <v>18927.740000000002</v>
      </c>
      <c r="T37" s="24"/>
      <c r="U37" s="24"/>
      <c r="V37" s="67"/>
      <c r="W37" s="25" t="str">
        <f>IFERROR(VLOOKUP(BCP_Soles[[#This Row],[DESTINATARIO]],CHOOSE({1,2},Clientes_Proveedores[Razon Social],Clientes_Proveedores[Ruc / Dni]),2,0),"")</f>
        <v/>
      </c>
      <c r="X37" s="25" t="s">
        <v>905</v>
      </c>
      <c r="Y37" s="25"/>
      <c r="Z37" s="25"/>
      <c r="AA37" s="99"/>
      <c r="AB37" s="3" t="str">
        <f>IF(BCP_Soles[[#This Row],[FECHA]]&gt;0,TEXT(BCP_Soles[[#This Row],[FECHA]],"mmmm"),0)</f>
        <v>Enero</v>
      </c>
    </row>
    <row r="38" spans="2:28" ht="36" x14ac:dyDescent="0.3">
      <c r="B38" s="2">
        <f>IF(BCP_Soles[[#This Row],[TIPO DE R.]]="R",COUNTIFS($D$4:$D37,"R")+1,"")</f>
        <v>21</v>
      </c>
      <c r="C38" s="19" t="str">
        <f t="shared" si="0"/>
        <v>B-BCP - Soles</v>
      </c>
      <c r="D38" s="3" t="s">
        <v>1074</v>
      </c>
      <c r="E38" s="14">
        <v>45660</v>
      </c>
      <c r="F38" s="5" t="s">
        <v>1082</v>
      </c>
      <c r="G38" s="5" t="s">
        <v>1079</v>
      </c>
      <c r="H38" s="6" t="s">
        <v>684</v>
      </c>
      <c r="I38" s="6" t="s">
        <v>18</v>
      </c>
      <c r="J38" s="6" t="s">
        <v>1121</v>
      </c>
      <c r="K38" s="6">
        <v>485</v>
      </c>
      <c r="L38" s="7" t="s">
        <v>1137</v>
      </c>
      <c r="M38" s="8">
        <v>1234639</v>
      </c>
      <c r="N38" s="8" t="str">
        <f t="shared" si="1"/>
        <v>PEN</v>
      </c>
      <c r="O38" s="13"/>
      <c r="P38" s="13">
        <v>500.02</v>
      </c>
      <c r="Q38" s="3">
        <f t="shared" si="2"/>
        <v>0</v>
      </c>
      <c r="R38" s="3">
        <f t="shared" si="3"/>
        <v>500.02</v>
      </c>
      <c r="S38" s="3">
        <f t="shared" si="4"/>
        <v>18427.72</v>
      </c>
      <c r="T38" s="24" t="s">
        <v>1081</v>
      </c>
      <c r="U38" s="24"/>
      <c r="V38" s="67"/>
      <c r="W38" s="25">
        <f>IFERROR(VLOOKUP(BCP_Soles[[#This Row],[DESTINATARIO]],CHOOSE({1,2},Clientes_Proveedores[Razon Social],Clientes_Proveedores[Ruc / Dni]),2,0),"")</f>
        <v>10079422555</v>
      </c>
      <c r="X38" s="25" t="s">
        <v>684</v>
      </c>
      <c r="Y38" s="25" t="s">
        <v>1138</v>
      </c>
      <c r="Z38" s="25"/>
      <c r="AA38" s="99"/>
      <c r="AB38" s="3" t="str">
        <f>IF(BCP_Soles[[#This Row],[FECHA]]&gt;0,TEXT(BCP_Soles[[#This Row],[FECHA]],"mmmm"),0)</f>
        <v>Enero</v>
      </c>
    </row>
    <row r="39" spans="2:28" ht="24" x14ac:dyDescent="0.3">
      <c r="B39" s="2">
        <f>IF(BCP_Soles[[#This Row],[TIPO DE R.]]="R",COUNTIFS($D$4:$D38,"R")+1,"")</f>
        <v>22</v>
      </c>
      <c r="C39" s="19" t="str">
        <f t="shared" si="0"/>
        <v>B-BCP - Soles</v>
      </c>
      <c r="D39" s="3" t="s">
        <v>1074</v>
      </c>
      <c r="E39" s="14">
        <v>45660</v>
      </c>
      <c r="F39" s="5" t="s">
        <v>1078</v>
      </c>
      <c r="G39" s="5" t="s">
        <v>1079</v>
      </c>
      <c r="H39" s="6" t="s">
        <v>1001</v>
      </c>
      <c r="I39" s="6"/>
      <c r="J39" s="6"/>
      <c r="K39" s="6"/>
      <c r="L39" s="7" t="s">
        <v>1139</v>
      </c>
      <c r="M39" s="8">
        <v>8229796</v>
      </c>
      <c r="N39" s="8" t="str">
        <f t="shared" si="1"/>
        <v>PEN</v>
      </c>
      <c r="O39" s="13"/>
      <c r="P39" s="13">
        <v>20</v>
      </c>
      <c r="Q39" s="3">
        <f t="shared" si="2"/>
        <v>0</v>
      </c>
      <c r="R39" s="3">
        <f t="shared" si="3"/>
        <v>20</v>
      </c>
      <c r="S39" s="3">
        <f t="shared" si="4"/>
        <v>18407.72</v>
      </c>
      <c r="T39" s="24"/>
      <c r="U39" s="24"/>
      <c r="V39" s="67"/>
      <c r="W39" s="25">
        <f>IFERROR(VLOOKUP(BCP_Soles[[#This Row],[DESTINATARIO]],CHOOSE({1,2},Clientes_Proveedores[Razon Social],Clientes_Proveedores[Ruc / Dni]),2,0),"")</f>
        <v>20100047218</v>
      </c>
      <c r="X39" s="25" t="s">
        <v>1078</v>
      </c>
      <c r="Y39" s="25" t="s">
        <v>1140</v>
      </c>
      <c r="Z39" s="25"/>
      <c r="AA39" s="99"/>
      <c r="AB39" s="3" t="str">
        <f>IF(BCP_Soles[[#This Row],[FECHA]]&gt;0,TEXT(BCP_Soles[[#This Row],[FECHA]],"mmmm"),0)</f>
        <v>Enero</v>
      </c>
    </row>
    <row r="40" spans="2:28" ht="24" x14ac:dyDescent="0.3">
      <c r="B40" s="2">
        <f>IF(BCP_Soles[[#This Row],[TIPO DE R.]]="R",COUNTIFS($D$4:$D39,"R")+1,"")</f>
        <v>23</v>
      </c>
      <c r="C40" s="19" t="str">
        <f t="shared" si="0"/>
        <v>B-BCP - Soles</v>
      </c>
      <c r="D40" s="3" t="s">
        <v>1074</v>
      </c>
      <c r="E40" s="14">
        <v>45660</v>
      </c>
      <c r="F40" s="5" t="s">
        <v>1078</v>
      </c>
      <c r="G40" s="5" t="s">
        <v>1079</v>
      </c>
      <c r="H40" s="6" t="s">
        <v>1001</v>
      </c>
      <c r="I40" s="6"/>
      <c r="J40" s="6"/>
      <c r="K40" s="6"/>
      <c r="L40" s="7" t="s">
        <v>1141</v>
      </c>
      <c r="M40" s="8">
        <v>632</v>
      </c>
      <c r="N40" s="8" t="str">
        <f t="shared" si="1"/>
        <v>PEN</v>
      </c>
      <c r="O40" s="13"/>
      <c r="P40" s="13">
        <v>10</v>
      </c>
      <c r="Q40" s="3">
        <f t="shared" si="2"/>
        <v>0</v>
      </c>
      <c r="R40" s="3">
        <f t="shared" si="3"/>
        <v>10</v>
      </c>
      <c r="S40" s="3">
        <f t="shared" si="4"/>
        <v>18397.72</v>
      </c>
      <c r="T40" s="24"/>
      <c r="U40" s="24"/>
      <c r="V40" s="67"/>
      <c r="W40" s="25">
        <f>IFERROR(VLOOKUP(BCP_Soles[[#This Row],[DESTINATARIO]],CHOOSE({1,2},Clientes_Proveedores[Razon Social],Clientes_Proveedores[Ruc / Dni]),2,0),"")</f>
        <v>20100047218</v>
      </c>
      <c r="X40" s="25" t="s">
        <v>1078</v>
      </c>
      <c r="Y40" s="25" t="s">
        <v>1142</v>
      </c>
      <c r="Z40" s="25"/>
      <c r="AA40" s="99"/>
      <c r="AB40" s="3" t="str">
        <f>IF(BCP_Soles[[#This Row],[FECHA]]&gt;0,TEXT(BCP_Soles[[#This Row],[FECHA]],"mmmm"),0)</f>
        <v>Enero</v>
      </c>
    </row>
    <row r="41" spans="2:28" ht="24" x14ac:dyDescent="0.3">
      <c r="B41" s="2">
        <f>IF(BCP_Soles[[#This Row],[TIPO DE R.]]="R",COUNTIFS($D$4:$D40,"R")+1,"")</f>
        <v>24</v>
      </c>
      <c r="C41" s="19" t="str">
        <f t="shared" si="0"/>
        <v>B-BCP - Soles</v>
      </c>
      <c r="D41" s="3" t="s">
        <v>1074</v>
      </c>
      <c r="E41" s="14">
        <v>45660</v>
      </c>
      <c r="F41" s="5" t="s">
        <v>155</v>
      </c>
      <c r="G41" s="5" t="s">
        <v>1087</v>
      </c>
      <c r="H41" s="6"/>
      <c r="I41" s="6"/>
      <c r="J41" s="6"/>
      <c r="K41" s="6"/>
      <c r="L41" s="7" t="s">
        <v>1143</v>
      </c>
      <c r="M41" s="8">
        <v>8270646</v>
      </c>
      <c r="N41" s="8" t="str">
        <f t="shared" si="1"/>
        <v>PEN</v>
      </c>
      <c r="O41" s="13"/>
      <c r="P41" s="13">
        <v>2567.4299999999998</v>
      </c>
      <c r="Q41" s="3">
        <f t="shared" si="2"/>
        <v>2567.4299999999998</v>
      </c>
      <c r="R41" s="3">
        <f t="shared" si="3"/>
        <v>0</v>
      </c>
      <c r="S41" s="3">
        <f t="shared" si="4"/>
        <v>20965.150000000001</v>
      </c>
      <c r="T41" s="24" t="s">
        <v>1081</v>
      </c>
      <c r="U41" s="24" t="s">
        <v>1081</v>
      </c>
      <c r="V41" s="67"/>
      <c r="W41" s="25" t="str">
        <f>IFERROR(VLOOKUP(BCP_Soles[[#This Row],[DESTINATARIO]],CHOOSE({1,2},Clientes_Proveedores[Razon Social],Clientes_Proveedores[Ruc / Dni]),2,0),"")</f>
        <v/>
      </c>
      <c r="X41" s="25" t="s">
        <v>1090</v>
      </c>
      <c r="Y41" s="25" t="s">
        <v>1144</v>
      </c>
      <c r="Z41" s="25"/>
      <c r="AA41" s="99"/>
      <c r="AB41" s="3" t="str">
        <f>IF(BCP_Soles[[#This Row],[FECHA]]&gt;0,TEXT(BCP_Soles[[#This Row],[FECHA]],"mmmm"),0)</f>
        <v>Enero</v>
      </c>
    </row>
    <row r="42" spans="2:28" ht="24" x14ac:dyDescent="0.3">
      <c r="B42" s="2">
        <f>IF(BCP_Soles[[#This Row],[TIPO DE R.]]="R",COUNTIFS($D$4:$D41,"R")+1,"")</f>
        <v>25</v>
      </c>
      <c r="C42" s="19" t="str">
        <f t="shared" si="0"/>
        <v>B-BCP - Soles</v>
      </c>
      <c r="D42" s="3" t="s">
        <v>1074</v>
      </c>
      <c r="E42" s="14">
        <v>45661</v>
      </c>
      <c r="F42" s="5" t="s">
        <v>1145</v>
      </c>
      <c r="G42" s="5" t="s">
        <v>1087</v>
      </c>
      <c r="H42" s="6"/>
      <c r="I42" s="6"/>
      <c r="J42" s="6"/>
      <c r="K42" s="6"/>
      <c r="L42" s="7" t="s">
        <v>1100</v>
      </c>
      <c r="M42" s="8">
        <v>4881890</v>
      </c>
      <c r="N42" s="8" t="str">
        <f t="shared" si="1"/>
        <v>PEN</v>
      </c>
      <c r="O42" s="13"/>
      <c r="P42" s="13">
        <v>500</v>
      </c>
      <c r="Q42" s="3">
        <f t="shared" si="2"/>
        <v>500</v>
      </c>
      <c r="R42" s="3">
        <f t="shared" si="3"/>
        <v>0</v>
      </c>
      <c r="S42" s="3">
        <f t="shared" si="4"/>
        <v>21465.15</v>
      </c>
      <c r="T42" s="24" t="s">
        <v>1081</v>
      </c>
      <c r="U42" s="24" t="s">
        <v>1081</v>
      </c>
      <c r="V42" s="67"/>
      <c r="W42" s="25" t="str">
        <f>IFERROR(VLOOKUP(BCP_Soles[[#This Row],[DESTINATARIO]],CHOOSE({1,2},Clientes_Proveedores[Razon Social],Clientes_Proveedores[Ruc / Dni]),2,0),"")</f>
        <v/>
      </c>
      <c r="X42" s="25" t="s">
        <v>1090</v>
      </c>
      <c r="Y42" s="25" t="s">
        <v>1146</v>
      </c>
      <c r="Z42" s="25"/>
      <c r="AA42" s="99"/>
      <c r="AB42" s="3" t="str">
        <f>IF(BCP_Soles[[#This Row],[FECHA]]&gt;0,TEXT(BCP_Soles[[#This Row],[FECHA]],"mmmm"),0)</f>
        <v>Enero</v>
      </c>
    </row>
    <row r="43" spans="2:28" x14ac:dyDescent="0.3">
      <c r="B43" s="2">
        <f>IF(BCP_Soles[[#This Row],[TIPO DE R.]]="R",COUNTIFS($D$4:$D42,"R")+1,"")</f>
        <v>26</v>
      </c>
      <c r="C43" s="19" t="str">
        <f t="shared" si="0"/>
        <v>B-BCP - Soles</v>
      </c>
      <c r="D43" s="3" t="s">
        <v>1074</v>
      </c>
      <c r="E43" s="14">
        <v>45663</v>
      </c>
      <c r="F43" s="5" t="s">
        <v>1078</v>
      </c>
      <c r="G43" s="5" t="s">
        <v>1079</v>
      </c>
      <c r="H43" s="6"/>
      <c r="I43" s="6"/>
      <c r="J43" s="6"/>
      <c r="K43" s="6"/>
      <c r="L43" s="7" t="s">
        <v>1080</v>
      </c>
      <c r="M43" s="8"/>
      <c r="N43" s="8" t="str">
        <f t="shared" si="1"/>
        <v>PEN</v>
      </c>
      <c r="O43" s="13"/>
      <c r="P43" s="13">
        <v>0.45</v>
      </c>
      <c r="Q43" s="3">
        <f t="shared" si="2"/>
        <v>0</v>
      </c>
      <c r="R43" s="3">
        <f t="shared" si="3"/>
        <v>0.45</v>
      </c>
      <c r="S43" s="3">
        <f t="shared" si="4"/>
        <v>21464.7</v>
      </c>
      <c r="T43" s="24"/>
      <c r="U43" s="24" t="s">
        <v>1081</v>
      </c>
      <c r="V43" s="67"/>
      <c r="W43" s="25" t="str">
        <f>IFERROR(VLOOKUP(BCP_Soles[[#This Row],[DESTINATARIO]],CHOOSE({1,2},Clientes_Proveedores[Razon Social],Clientes_Proveedores[Ruc / Dni]),2,0),"")</f>
        <v/>
      </c>
      <c r="X43" s="25"/>
      <c r="Y43" s="25"/>
      <c r="Z43" s="25"/>
      <c r="AA43" s="99"/>
      <c r="AB43" s="3" t="str">
        <f>IF(BCP_Soles[[#This Row],[FECHA]]&gt;0,TEXT(BCP_Soles[[#This Row],[FECHA]],"mmmm"),0)</f>
        <v>Enero</v>
      </c>
    </row>
    <row r="44" spans="2:28" ht="24" x14ac:dyDescent="0.3">
      <c r="B44" s="2">
        <f>IF(BCP_Soles[[#This Row],[TIPO DE R.]]="R",COUNTIFS($D$4:$D43,"R")+1,"")</f>
        <v>27</v>
      </c>
      <c r="C44" s="19" t="str">
        <f t="shared" si="0"/>
        <v>B-BCP - Soles</v>
      </c>
      <c r="D44" s="3" t="s">
        <v>1074</v>
      </c>
      <c r="E44" s="14">
        <v>45663</v>
      </c>
      <c r="F44" s="5" t="s">
        <v>1082</v>
      </c>
      <c r="G44" s="5" t="s">
        <v>1079</v>
      </c>
      <c r="H44" s="6" t="s">
        <v>640</v>
      </c>
      <c r="I44" s="6"/>
      <c r="J44" s="6"/>
      <c r="K44" s="6"/>
      <c r="L44" s="7" t="s">
        <v>1147</v>
      </c>
      <c r="M44" s="8">
        <v>4083089</v>
      </c>
      <c r="N44" s="8" t="str">
        <f t="shared" si="1"/>
        <v>PEN</v>
      </c>
      <c r="O44" s="13"/>
      <c r="P44" s="13">
        <v>3219.5</v>
      </c>
      <c r="Q44" s="3">
        <f t="shared" si="2"/>
        <v>0</v>
      </c>
      <c r="R44" s="3">
        <f t="shared" si="3"/>
        <v>3219.5</v>
      </c>
      <c r="S44" s="3">
        <f t="shared" si="4"/>
        <v>18245.2</v>
      </c>
      <c r="T44" s="24" t="s">
        <v>1081</v>
      </c>
      <c r="U44" s="24"/>
      <c r="V44" s="67"/>
      <c r="W44" s="25">
        <f>IFERROR(VLOOKUP(BCP_Soles[[#This Row],[DESTINATARIO]],CHOOSE({1,2},Clientes_Proveedores[Razon Social],Clientes_Proveedores[Ruc / Dni]),2,0),"")</f>
        <v>10296347634</v>
      </c>
      <c r="X44" s="25" t="s">
        <v>640</v>
      </c>
      <c r="Y44" s="25"/>
      <c r="Z44" s="25"/>
      <c r="AA44" s="99"/>
      <c r="AB44" s="3" t="str">
        <f>IF(BCP_Soles[[#This Row],[FECHA]]&gt;0,TEXT(BCP_Soles[[#This Row],[FECHA]],"mmmm"),0)</f>
        <v>Enero</v>
      </c>
    </row>
    <row r="45" spans="2:28" ht="24" x14ac:dyDescent="0.3">
      <c r="B45" s="2" t="str">
        <f>IF(BCP_Soles[[#This Row],[TIPO DE R.]]="R",COUNTIFS($D$4:$D44,"R")+1,"")</f>
        <v/>
      </c>
      <c r="C45" s="19" t="str">
        <f t="shared" si="0"/>
        <v>B-BCP - Soles</v>
      </c>
      <c r="D45" s="3" t="s">
        <v>1101</v>
      </c>
      <c r="E45" s="14">
        <v>45663</v>
      </c>
      <c r="F45" s="5" t="s">
        <v>1082</v>
      </c>
      <c r="G45" s="5"/>
      <c r="H45" s="6" t="s">
        <v>640</v>
      </c>
      <c r="I45" s="6" t="s">
        <v>10</v>
      </c>
      <c r="J45" s="6"/>
      <c r="K45" s="6"/>
      <c r="L45" s="7" t="s">
        <v>1147</v>
      </c>
      <c r="M45" s="8">
        <v>4083089</v>
      </c>
      <c r="N45" s="8" t="str">
        <f t="shared" si="1"/>
        <v>PEN</v>
      </c>
      <c r="O45" s="13">
        <v>3200</v>
      </c>
      <c r="P45" s="13"/>
      <c r="Q45" s="3">
        <f t="shared" si="2"/>
        <v>0</v>
      </c>
      <c r="R45" s="3">
        <f t="shared" si="3"/>
        <v>0</v>
      </c>
      <c r="S45" s="3">
        <f t="shared" si="4"/>
        <v>18245.2</v>
      </c>
      <c r="T45" s="24" t="s">
        <v>1081</v>
      </c>
      <c r="U45" s="24"/>
      <c r="V45" s="67"/>
      <c r="W45" s="25">
        <f>IFERROR(VLOOKUP(BCP_Soles[[#This Row],[DESTINATARIO]],CHOOSE({1,2},Clientes_Proveedores[Razon Social],Clientes_Proveedores[Ruc / Dni]),2,0),"")</f>
        <v>10296347634</v>
      </c>
      <c r="X45" s="25"/>
      <c r="Y45" s="25"/>
      <c r="Z45" s="25"/>
      <c r="AA45" s="99"/>
      <c r="AB45" s="3" t="str">
        <f>IF(BCP_Soles[[#This Row],[FECHA]]&gt;0,TEXT(BCP_Soles[[#This Row],[FECHA]],"mmmm"),0)</f>
        <v>Enero</v>
      </c>
    </row>
    <row r="46" spans="2:28" ht="24" x14ac:dyDescent="0.3">
      <c r="B46" s="2" t="str">
        <f>IF(BCP_Soles[[#This Row],[TIPO DE R.]]="R",COUNTIFS($D$4:$D45,"R")+1,"")</f>
        <v/>
      </c>
      <c r="C46" s="19" t="str">
        <f t="shared" si="0"/>
        <v>B-BCP - Soles</v>
      </c>
      <c r="D46" s="3" t="s">
        <v>1101</v>
      </c>
      <c r="E46" s="14">
        <v>45663</v>
      </c>
      <c r="F46" s="5" t="s">
        <v>1082</v>
      </c>
      <c r="G46" s="5"/>
      <c r="H46" s="6" t="s">
        <v>1001</v>
      </c>
      <c r="I46" s="6" t="s">
        <v>14</v>
      </c>
      <c r="J46" s="6" t="s">
        <v>3128</v>
      </c>
      <c r="K46" s="6">
        <v>28212582</v>
      </c>
      <c r="L46" s="7" t="s">
        <v>1147</v>
      </c>
      <c r="M46" s="8">
        <v>4083089</v>
      </c>
      <c r="N46" s="8" t="str">
        <f t="shared" si="1"/>
        <v>PEN</v>
      </c>
      <c r="O46" s="13">
        <v>19.5</v>
      </c>
      <c r="P46" s="13"/>
      <c r="Q46" s="3">
        <f t="shared" si="2"/>
        <v>0</v>
      </c>
      <c r="R46" s="3">
        <f t="shared" si="3"/>
        <v>0</v>
      </c>
      <c r="S46" s="3">
        <f t="shared" si="4"/>
        <v>18245.2</v>
      </c>
      <c r="T46" s="24" t="s">
        <v>1081</v>
      </c>
      <c r="U46" s="24"/>
      <c r="V46" s="67"/>
      <c r="W46" s="25">
        <f>IFERROR(VLOOKUP(BCP_Soles[[#This Row],[DESTINATARIO]],CHOOSE({1,2},Clientes_Proveedores[Razon Social],Clientes_Proveedores[Ruc / Dni]),2,0),"")</f>
        <v>20100047218</v>
      </c>
      <c r="X46" s="25"/>
      <c r="Y46" s="25"/>
      <c r="Z46" s="25"/>
      <c r="AA46" s="99"/>
      <c r="AB46" s="3" t="str">
        <f>IF(BCP_Soles[[#This Row],[FECHA]]&gt;0,TEXT(BCP_Soles[[#This Row],[FECHA]],"mmmm"),0)</f>
        <v>Enero</v>
      </c>
    </row>
    <row r="47" spans="2:28" ht="36" x14ac:dyDescent="0.3">
      <c r="B47" s="2">
        <f>IF(BCP_Soles[[#This Row],[TIPO DE R.]]="R",COUNTIFS($D$4:$D46,"R")+1,"")</f>
        <v>28</v>
      </c>
      <c r="C47" s="19" t="str">
        <f t="shared" si="0"/>
        <v>B-BCP - Soles</v>
      </c>
      <c r="D47" s="3" t="s">
        <v>1074</v>
      </c>
      <c r="E47" s="14">
        <v>45663</v>
      </c>
      <c r="F47" s="5" t="s">
        <v>1082</v>
      </c>
      <c r="G47" s="5" t="s">
        <v>1079</v>
      </c>
      <c r="H47" s="6" t="s">
        <v>220</v>
      </c>
      <c r="I47" s="6" t="s">
        <v>14</v>
      </c>
      <c r="J47" s="6" t="s">
        <v>1148</v>
      </c>
      <c r="K47" s="6">
        <v>1483</v>
      </c>
      <c r="L47" s="7" t="s">
        <v>1149</v>
      </c>
      <c r="M47" s="8">
        <v>1210195</v>
      </c>
      <c r="N47" s="8" t="str">
        <f t="shared" si="1"/>
        <v>PEN</v>
      </c>
      <c r="O47" s="13"/>
      <c r="P47" s="13">
        <v>2544</v>
      </c>
      <c r="Q47" s="3">
        <f t="shared" si="2"/>
        <v>0</v>
      </c>
      <c r="R47" s="3">
        <f t="shared" si="3"/>
        <v>2544</v>
      </c>
      <c r="S47" s="3">
        <f t="shared" si="4"/>
        <v>15701.2</v>
      </c>
      <c r="T47" s="24" t="s">
        <v>1081</v>
      </c>
      <c r="U47" s="24" t="s">
        <v>1081</v>
      </c>
      <c r="V47" s="67"/>
      <c r="W47" s="25">
        <f>IFERROR(VLOOKUP(BCP_Soles[[#This Row],[DESTINATARIO]],CHOOSE({1,2},Clientes_Proveedores[Razon Social],Clientes_Proveedores[Ruc / Dni]),2,0),"")</f>
        <v>20429640939</v>
      </c>
      <c r="X47" s="25" t="s">
        <v>1150</v>
      </c>
      <c r="Y47" s="25" t="s">
        <v>1151</v>
      </c>
      <c r="Z47" s="25"/>
      <c r="AA47" s="99"/>
      <c r="AB47" s="3" t="str">
        <f>IF(BCP_Soles[[#This Row],[FECHA]]&gt;0,TEXT(BCP_Soles[[#This Row],[FECHA]],"mmmm"),0)</f>
        <v>Enero</v>
      </c>
    </row>
    <row r="48" spans="2:28" ht="36" x14ac:dyDescent="0.3">
      <c r="B48" s="2">
        <f>IF(BCP_Soles[[#This Row],[TIPO DE R.]]="R",COUNTIFS($D$4:$D47,"R")+1,"")</f>
        <v>29</v>
      </c>
      <c r="C48" s="19" t="str">
        <f t="shared" si="0"/>
        <v>B-BCP - Soles</v>
      </c>
      <c r="D48" s="3" t="s">
        <v>1074</v>
      </c>
      <c r="E48" s="14">
        <v>45663</v>
      </c>
      <c r="F48" s="5" t="s">
        <v>1082</v>
      </c>
      <c r="G48" s="5" t="s">
        <v>1079</v>
      </c>
      <c r="H48" s="6" t="s">
        <v>426</v>
      </c>
      <c r="I48" s="6"/>
      <c r="J48" s="6"/>
      <c r="K48" s="6"/>
      <c r="L48" s="7" t="s">
        <v>1152</v>
      </c>
      <c r="M48" s="8">
        <v>1188212</v>
      </c>
      <c r="N48" s="8" t="str">
        <f t="shared" si="1"/>
        <v>PEN</v>
      </c>
      <c r="O48" s="13"/>
      <c r="P48" s="13">
        <v>1305</v>
      </c>
      <c r="Q48" s="3">
        <f t="shared" si="2"/>
        <v>0</v>
      </c>
      <c r="R48" s="3">
        <f t="shared" si="3"/>
        <v>1305</v>
      </c>
      <c r="S48" s="3">
        <f t="shared" si="4"/>
        <v>14396.2</v>
      </c>
      <c r="T48" s="24" t="s">
        <v>1081</v>
      </c>
      <c r="U48" s="24" t="s">
        <v>1081</v>
      </c>
      <c r="V48" s="67"/>
      <c r="W48" s="25">
        <f>IFERROR(VLOOKUP(BCP_Soles[[#This Row],[DESTINATARIO]],CHOOSE({1,2},Clientes_Proveedores[Razon Social],Clientes_Proveedores[Ruc / Dni]),2,0),"")</f>
        <v>20602456529</v>
      </c>
      <c r="X48" s="25" t="s">
        <v>1153</v>
      </c>
      <c r="Y48" s="25" t="s">
        <v>1154</v>
      </c>
      <c r="Z48" s="25"/>
      <c r="AA48" s="99"/>
      <c r="AB48" s="3" t="str">
        <f>IF(BCP_Soles[[#This Row],[FECHA]]&gt;0,TEXT(BCP_Soles[[#This Row],[FECHA]],"mmmm"),0)</f>
        <v>Enero</v>
      </c>
    </row>
    <row r="49" spans="2:28" ht="24" x14ac:dyDescent="0.3">
      <c r="B49" s="2">
        <f>IF(BCP_Soles[[#This Row],[TIPO DE R.]]="R",COUNTIFS($D$4:$D48,"R")+1,"")</f>
        <v>30</v>
      </c>
      <c r="C49" s="19" t="str">
        <f t="shared" si="0"/>
        <v>B-BCP - Soles</v>
      </c>
      <c r="D49" s="3" t="s">
        <v>1074</v>
      </c>
      <c r="E49" s="14">
        <v>45663</v>
      </c>
      <c r="F49" s="5" t="s">
        <v>1082</v>
      </c>
      <c r="G49" s="5" t="s">
        <v>1079</v>
      </c>
      <c r="H49" s="6" t="s">
        <v>641</v>
      </c>
      <c r="I49" s="6" t="s">
        <v>14</v>
      </c>
      <c r="J49" s="6" t="s">
        <v>1148</v>
      </c>
      <c r="K49" s="6">
        <v>1924</v>
      </c>
      <c r="L49" s="7" t="s">
        <v>1155</v>
      </c>
      <c r="M49" s="8">
        <v>1109162</v>
      </c>
      <c r="N49" s="8" t="str">
        <f t="shared" si="1"/>
        <v>PEN</v>
      </c>
      <c r="O49" s="13"/>
      <c r="P49" s="13">
        <v>480</v>
      </c>
      <c r="Q49" s="3">
        <f t="shared" si="2"/>
        <v>0</v>
      </c>
      <c r="R49" s="3">
        <f t="shared" si="3"/>
        <v>480</v>
      </c>
      <c r="S49" s="3">
        <f t="shared" si="4"/>
        <v>13916.2</v>
      </c>
      <c r="T49" s="24" t="s">
        <v>1081</v>
      </c>
      <c r="U49" s="24" t="s">
        <v>1081</v>
      </c>
      <c r="V49" s="67"/>
      <c r="W49" s="25">
        <f>IFERROR(VLOOKUP(BCP_Soles[[#This Row],[DESTINATARIO]],CHOOSE({1,2},Clientes_Proveedores[Razon Social],Clientes_Proveedores[Ruc / Dni]),2,0),"")</f>
        <v>10295590934</v>
      </c>
      <c r="X49" s="25" t="s">
        <v>641</v>
      </c>
      <c r="Y49" s="25" t="s">
        <v>1156</v>
      </c>
      <c r="Z49" s="25"/>
      <c r="AA49" s="99"/>
      <c r="AB49" s="3" t="str">
        <f>IF(BCP_Soles[[#This Row],[FECHA]]&gt;0,TEXT(BCP_Soles[[#This Row],[FECHA]],"mmmm"),0)</f>
        <v>Enero</v>
      </c>
    </row>
    <row r="50" spans="2:28" x14ac:dyDescent="0.3">
      <c r="B50" s="2">
        <f>IF(BCP_Soles[[#This Row],[TIPO DE R.]]="R",COUNTIFS($D$4:$D49,"R")+1,"")</f>
        <v>31</v>
      </c>
      <c r="C50" s="19" t="str">
        <f t="shared" si="0"/>
        <v>B-BCP - Soles</v>
      </c>
      <c r="D50" s="3" t="s">
        <v>1074</v>
      </c>
      <c r="E50" s="14">
        <v>45663</v>
      </c>
      <c r="F50" s="5" t="s">
        <v>1082</v>
      </c>
      <c r="G50" s="5" t="s">
        <v>1079</v>
      </c>
      <c r="H50" s="6" t="s">
        <v>637</v>
      </c>
      <c r="I50" s="6" t="s">
        <v>14</v>
      </c>
      <c r="J50" s="6" t="s">
        <v>1122</v>
      </c>
      <c r="K50" s="6">
        <v>141105</v>
      </c>
      <c r="L50" s="7" t="s">
        <v>1123</v>
      </c>
      <c r="M50" s="8">
        <v>134077</v>
      </c>
      <c r="N50" s="8" t="str">
        <f t="shared" si="1"/>
        <v>PEN</v>
      </c>
      <c r="O50" s="13"/>
      <c r="P50" s="13">
        <v>227</v>
      </c>
      <c r="Q50" s="3">
        <f t="shared" si="2"/>
        <v>0</v>
      </c>
      <c r="R50" s="3">
        <f t="shared" si="3"/>
        <v>227</v>
      </c>
      <c r="S50" s="3">
        <f t="shared" si="4"/>
        <v>13689.2</v>
      </c>
      <c r="T50" s="24" t="s">
        <v>1081</v>
      </c>
      <c r="U50" s="24"/>
      <c r="V50" s="67"/>
      <c r="W50" s="25">
        <f>IFERROR(VLOOKUP(BCP_Soles[[#This Row],[DESTINATARIO]],CHOOSE({1,2},Clientes_Proveedores[Razon Social],Clientes_Proveedores[Ruc / Dni]),2,0),"")</f>
        <v>20127765279</v>
      </c>
      <c r="X50" s="25" t="s">
        <v>1124</v>
      </c>
      <c r="Y50" s="25" t="s">
        <v>1157</v>
      </c>
      <c r="Z50" s="25"/>
      <c r="AA50" s="99"/>
      <c r="AB50" s="3" t="str">
        <f>IF(BCP_Soles[[#This Row],[FECHA]]&gt;0,TEXT(BCP_Soles[[#This Row],[FECHA]],"mmmm"),0)</f>
        <v>Enero</v>
      </c>
    </row>
    <row r="51" spans="2:28" x14ac:dyDescent="0.3">
      <c r="B51" s="2">
        <f>IF(BCP_Soles[[#This Row],[TIPO DE R.]]="R",COUNTIFS($D$4:$D50,"R")+1,"")</f>
        <v>32</v>
      </c>
      <c r="C51" s="19" t="str">
        <f t="shared" si="0"/>
        <v>B-BCP - Soles</v>
      </c>
      <c r="D51" s="3" t="s">
        <v>1074</v>
      </c>
      <c r="E51" s="14">
        <v>45663</v>
      </c>
      <c r="F51" s="5" t="s">
        <v>1158</v>
      </c>
      <c r="G51" s="5" t="s">
        <v>1079</v>
      </c>
      <c r="H51" s="6"/>
      <c r="I51" s="6"/>
      <c r="J51" s="6"/>
      <c r="K51" s="6"/>
      <c r="L51" s="7" t="s">
        <v>1159</v>
      </c>
      <c r="M51" s="8">
        <v>1012916</v>
      </c>
      <c r="N51" s="8" t="str">
        <f t="shared" si="1"/>
        <v>PEN</v>
      </c>
      <c r="O51" s="13"/>
      <c r="P51" s="13">
        <v>150</v>
      </c>
      <c r="Q51" s="3">
        <f t="shared" si="2"/>
        <v>0</v>
      </c>
      <c r="R51" s="3">
        <f t="shared" si="3"/>
        <v>150</v>
      </c>
      <c r="S51" s="3">
        <f t="shared" si="4"/>
        <v>13539.2</v>
      </c>
      <c r="T51" s="24"/>
      <c r="U51" s="24"/>
      <c r="V51" s="67"/>
      <c r="W51" s="25" t="str">
        <f>IFERROR(VLOOKUP(BCP_Soles[[#This Row],[DESTINATARIO]],CHOOSE({1,2},Clientes_Proveedores[Razon Social],Clientes_Proveedores[Ruc / Dni]),2,0),"")</f>
        <v/>
      </c>
      <c r="X51" s="25" t="s">
        <v>1133</v>
      </c>
      <c r="Y51" s="25"/>
      <c r="Z51" s="25"/>
      <c r="AA51" s="99"/>
      <c r="AB51" s="3" t="str">
        <f>IF(BCP_Soles[[#This Row],[FECHA]]&gt;0,TEXT(BCP_Soles[[#This Row],[FECHA]],"mmmm"),0)</f>
        <v>Enero</v>
      </c>
    </row>
    <row r="52" spans="2:28" ht="24" x14ac:dyDescent="0.3">
      <c r="B52" s="2">
        <f>IF(BCP_Soles[[#This Row],[TIPO DE R.]]="R",COUNTIFS($D$4:$D51,"R")+1,"")</f>
        <v>33</v>
      </c>
      <c r="C52" s="19" t="str">
        <f t="shared" si="0"/>
        <v>B-BCP - Soles</v>
      </c>
      <c r="D52" s="3" t="s">
        <v>1074</v>
      </c>
      <c r="E52" s="14">
        <v>45663</v>
      </c>
      <c r="F52" s="5" t="s">
        <v>1082</v>
      </c>
      <c r="G52" s="5" t="s">
        <v>1079</v>
      </c>
      <c r="H52" s="6" t="s">
        <v>138</v>
      </c>
      <c r="I52" s="6" t="s">
        <v>14</v>
      </c>
      <c r="J52" s="6" t="s">
        <v>1119</v>
      </c>
      <c r="K52" s="6">
        <v>65627</v>
      </c>
      <c r="L52" s="7" t="s">
        <v>1160</v>
      </c>
      <c r="M52" s="8">
        <v>261178</v>
      </c>
      <c r="N52" s="8" t="str">
        <f t="shared" si="1"/>
        <v>PEN</v>
      </c>
      <c r="O52" s="13"/>
      <c r="P52" s="13">
        <v>93.5</v>
      </c>
      <c r="Q52" s="3">
        <f t="shared" si="2"/>
        <v>0</v>
      </c>
      <c r="R52" s="3">
        <f t="shared" si="3"/>
        <v>93.5</v>
      </c>
      <c r="S52" s="3">
        <f t="shared" si="4"/>
        <v>13445.7</v>
      </c>
      <c r="T52" s="24" t="s">
        <v>1081</v>
      </c>
      <c r="U52" s="24" t="s">
        <v>1081</v>
      </c>
      <c r="V52" s="67"/>
      <c r="W52" s="25">
        <f>IFERROR(VLOOKUP(BCP_Soles[[#This Row],[DESTINATARIO]],CHOOSE({1,2},Clientes_Proveedores[Razon Social],Clientes_Proveedores[Ruc / Dni]),2,0),"")</f>
        <v>20100039207</v>
      </c>
      <c r="X52" s="25" t="s">
        <v>1161</v>
      </c>
      <c r="Y52" s="25" t="s">
        <v>1162</v>
      </c>
      <c r="Z52" s="25"/>
      <c r="AA52" s="99"/>
      <c r="AB52" s="3" t="str">
        <f>IF(BCP_Soles[[#This Row],[FECHA]]&gt;0,TEXT(BCP_Soles[[#This Row],[FECHA]],"mmmm"),0)</f>
        <v>Enero</v>
      </c>
    </row>
    <row r="53" spans="2:28" x14ac:dyDescent="0.3">
      <c r="B53" s="2">
        <f>IF(BCP_Soles[[#This Row],[TIPO DE R.]]="R",COUNTIFS($D$4:$D52,"R")+1,"")</f>
        <v>34</v>
      </c>
      <c r="C53" s="19" t="str">
        <f t="shared" si="0"/>
        <v>B-BCP - Soles</v>
      </c>
      <c r="D53" s="3" t="s">
        <v>1074</v>
      </c>
      <c r="E53" s="14">
        <v>45663</v>
      </c>
      <c r="F53" s="5" t="s">
        <v>1163</v>
      </c>
      <c r="G53" s="5" t="s">
        <v>1079</v>
      </c>
      <c r="H53" s="6"/>
      <c r="I53" s="6"/>
      <c r="J53" s="6"/>
      <c r="K53" s="6"/>
      <c r="L53" s="7" t="s">
        <v>1164</v>
      </c>
      <c r="M53" s="8">
        <v>671184</v>
      </c>
      <c r="N53" s="8" t="str">
        <f t="shared" si="1"/>
        <v>PEN</v>
      </c>
      <c r="O53" s="13"/>
      <c r="P53" s="13">
        <v>65</v>
      </c>
      <c r="Q53" s="3">
        <f t="shared" si="2"/>
        <v>0</v>
      </c>
      <c r="R53" s="3">
        <f t="shared" si="3"/>
        <v>65</v>
      </c>
      <c r="S53" s="3">
        <f t="shared" si="4"/>
        <v>13380.7</v>
      </c>
      <c r="T53" s="24"/>
      <c r="U53" s="24"/>
      <c r="V53" s="67"/>
      <c r="W53" s="25" t="str">
        <f>IFERROR(VLOOKUP(BCP_Soles[[#This Row],[DESTINATARIO]],CHOOSE({1,2},Clientes_Proveedores[Razon Social],Clientes_Proveedores[Ruc / Dni]),2,0),"")</f>
        <v/>
      </c>
      <c r="X53" s="25"/>
      <c r="Y53" s="25"/>
      <c r="Z53" s="25"/>
      <c r="AA53" s="99"/>
      <c r="AB53" s="3" t="str">
        <f>IF(BCP_Soles[[#This Row],[FECHA]]&gt;0,TEXT(BCP_Soles[[#This Row],[FECHA]],"mmmm"),0)</f>
        <v>Enero</v>
      </c>
    </row>
    <row r="54" spans="2:28" x14ac:dyDescent="0.3">
      <c r="B54" s="2">
        <f>IF(BCP_Soles[[#This Row],[TIPO DE R.]]="R",COUNTIFS($D$4:$D53,"R")+1,"")</f>
        <v>35</v>
      </c>
      <c r="C54" s="19" t="str">
        <f t="shared" si="0"/>
        <v>B-BCP - Soles</v>
      </c>
      <c r="D54" s="3" t="s">
        <v>1074</v>
      </c>
      <c r="E54" s="14">
        <v>45663</v>
      </c>
      <c r="F54" s="5" t="s">
        <v>1078</v>
      </c>
      <c r="G54" s="5" t="s">
        <v>1079</v>
      </c>
      <c r="H54" s="6"/>
      <c r="I54" s="6"/>
      <c r="J54" s="6"/>
      <c r="K54" s="6"/>
      <c r="L54" s="7" t="s">
        <v>1141</v>
      </c>
      <c r="M54" s="8">
        <v>899</v>
      </c>
      <c r="N54" s="8" t="str">
        <f t="shared" si="1"/>
        <v>PEN</v>
      </c>
      <c r="O54" s="13"/>
      <c r="P54" s="13">
        <v>3.5</v>
      </c>
      <c r="Q54" s="3">
        <f t="shared" si="2"/>
        <v>0</v>
      </c>
      <c r="R54" s="3">
        <f t="shared" si="3"/>
        <v>3.5</v>
      </c>
      <c r="S54" s="3">
        <f t="shared" si="4"/>
        <v>13377.2</v>
      </c>
      <c r="T54" s="24"/>
      <c r="U54" s="24" t="s">
        <v>1081</v>
      </c>
      <c r="V54" s="67"/>
      <c r="W54" s="25" t="str">
        <f>IFERROR(VLOOKUP(BCP_Soles[[#This Row],[DESTINATARIO]],CHOOSE({1,2},Clientes_Proveedores[Razon Social],Clientes_Proveedores[Ruc / Dni]),2,0),"")</f>
        <v/>
      </c>
      <c r="X54" s="25" t="s">
        <v>1078</v>
      </c>
      <c r="Y54" s="25" t="s">
        <v>1165</v>
      </c>
      <c r="Z54" s="25"/>
      <c r="AA54" s="99"/>
      <c r="AB54" s="3" t="str">
        <f>IF(BCP_Soles[[#This Row],[FECHA]]&gt;0,TEXT(BCP_Soles[[#This Row],[FECHA]],"mmmm"),0)</f>
        <v>Enero</v>
      </c>
    </row>
    <row r="55" spans="2:28" x14ac:dyDescent="0.3">
      <c r="B55" s="2">
        <f>IF(BCP_Soles[[#This Row],[TIPO DE R.]]="R",COUNTIFS($D$4:$D54,"R")+1,"")</f>
        <v>36</v>
      </c>
      <c r="C55" s="19" t="str">
        <f t="shared" si="0"/>
        <v>B-BCP - Soles</v>
      </c>
      <c r="D55" s="3" t="s">
        <v>1074</v>
      </c>
      <c r="E55" s="14">
        <v>45663</v>
      </c>
      <c r="F55" s="5"/>
      <c r="G55" s="5" t="s">
        <v>1087</v>
      </c>
      <c r="H55" s="6"/>
      <c r="I55" s="6"/>
      <c r="J55" s="6"/>
      <c r="K55" s="6"/>
      <c r="L55" s="7" t="s">
        <v>1100</v>
      </c>
      <c r="M55" s="8">
        <v>2332515</v>
      </c>
      <c r="N55" s="8" t="str">
        <f t="shared" si="1"/>
        <v>PEN</v>
      </c>
      <c r="O55" s="13"/>
      <c r="P55" s="13">
        <v>3165</v>
      </c>
      <c r="Q55" s="3">
        <f t="shared" si="2"/>
        <v>3165</v>
      </c>
      <c r="R55" s="3">
        <f t="shared" si="3"/>
        <v>0</v>
      </c>
      <c r="S55" s="3">
        <f t="shared" si="4"/>
        <v>16542.2</v>
      </c>
      <c r="T55" s="24" t="s">
        <v>1081</v>
      </c>
      <c r="U55" s="24" t="s">
        <v>1081</v>
      </c>
      <c r="V55" s="67"/>
      <c r="W55" s="25" t="str">
        <f>IFERROR(VLOOKUP(BCP_Soles[[#This Row],[DESTINATARIO]],CHOOSE({1,2},Clientes_Proveedores[Razon Social],Clientes_Proveedores[Ruc / Dni]),2,0),"")</f>
        <v/>
      </c>
      <c r="X55" s="25" t="s">
        <v>1090</v>
      </c>
      <c r="Y55" s="25"/>
      <c r="Z55" s="25"/>
      <c r="AA55" s="99"/>
      <c r="AB55" s="3" t="str">
        <f>IF(BCP_Soles[[#This Row],[FECHA]]&gt;0,TEXT(BCP_Soles[[#This Row],[FECHA]],"mmmm"),0)</f>
        <v>Enero</v>
      </c>
    </row>
    <row r="56" spans="2:28" ht="24" x14ac:dyDescent="0.3">
      <c r="B56" s="2" t="str">
        <f>IF(BCP_Soles[[#This Row],[TIPO DE R.]]="R",COUNTIFS($D$4:$D55,"R")+1,"")</f>
        <v/>
      </c>
      <c r="C56" s="19" t="str">
        <f t="shared" si="0"/>
        <v>B-BCP - Soles</v>
      </c>
      <c r="D56" s="3" t="s">
        <v>1101</v>
      </c>
      <c r="E56" s="14">
        <v>45663</v>
      </c>
      <c r="F56" s="5" t="s">
        <v>479</v>
      </c>
      <c r="G56" s="5"/>
      <c r="H56" s="6"/>
      <c r="I56" s="6"/>
      <c r="J56" s="6"/>
      <c r="K56" s="6"/>
      <c r="L56" s="7" t="s">
        <v>1100</v>
      </c>
      <c r="M56" s="8">
        <v>2332515</v>
      </c>
      <c r="N56" s="8" t="str">
        <f t="shared" si="1"/>
        <v>PEN</v>
      </c>
      <c r="O56" s="13">
        <v>1853</v>
      </c>
      <c r="P56" s="13"/>
      <c r="Q56" s="3">
        <f t="shared" si="2"/>
        <v>0</v>
      </c>
      <c r="R56" s="3">
        <f t="shared" si="3"/>
        <v>0</v>
      </c>
      <c r="S56" s="3">
        <f t="shared" si="4"/>
        <v>16542.2</v>
      </c>
      <c r="T56" s="24" t="s">
        <v>1081</v>
      </c>
      <c r="U56" s="24" t="s">
        <v>1081</v>
      </c>
      <c r="V56" s="67"/>
      <c r="W56" s="25" t="str">
        <f>IFERROR(VLOOKUP(BCP_Soles[[#This Row],[DESTINATARIO]],CHOOSE({1,2},Clientes_Proveedores[Razon Social],Clientes_Proveedores[Ruc / Dni]),2,0),"")</f>
        <v/>
      </c>
      <c r="X56" s="25" t="s">
        <v>1090</v>
      </c>
      <c r="Y56" s="25" t="s">
        <v>1166</v>
      </c>
      <c r="Z56" s="25"/>
      <c r="AA56" s="99"/>
      <c r="AB56" s="3" t="str">
        <f>IF(BCP_Soles[[#This Row],[FECHA]]&gt;0,TEXT(BCP_Soles[[#This Row],[FECHA]],"mmmm"),0)</f>
        <v>Enero</v>
      </c>
    </row>
    <row r="57" spans="2:28" ht="24" x14ac:dyDescent="0.3">
      <c r="B57" s="2" t="str">
        <f>IF(BCP_Soles[[#This Row],[TIPO DE R.]]="R",COUNTIFS($D$4:$D56,"R")+1,"")</f>
        <v/>
      </c>
      <c r="C57" s="19" t="str">
        <f t="shared" si="0"/>
        <v>B-BCP - Soles</v>
      </c>
      <c r="D57" s="3" t="s">
        <v>1101</v>
      </c>
      <c r="E57" s="14">
        <v>45663</v>
      </c>
      <c r="F57" s="5" t="s">
        <v>479</v>
      </c>
      <c r="G57" s="5"/>
      <c r="H57" s="6"/>
      <c r="I57" s="6"/>
      <c r="J57" s="6"/>
      <c r="K57" s="6"/>
      <c r="L57" s="7" t="s">
        <v>1100</v>
      </c>
      <c r="M57" s="8">
        <v>2332515</v>
      </c>
      <c r="N57" s="8" t="str">
        <f t="shared" si="1"/>
        <v>PEN</v>
      </c>
      <c r="O57" s="13">
        <v>337</v>
      </c>
      <c r="P57" s="13"/>
      <c r="Q57" s="3">
        <f t="shared" si="2"/>
        <v>0</v>
      </c>
      <c r="R57" s="3">
        <f t="shared" si="3"/>
        <v>0</v>
      </c>
      <c r="S57" s="3">
        <f t="shared" si="4"/>
        <v>16542.2</v>
      </c>
      <c r="T57" s="24" t="s">
        <v>1081</v>
      </c>
      <c r="U57" s="24" t="s">
        <v>1081</v>
      </c>
      <c r="V57" s="67"/>
      <c r="W57" s="25" t="str">
        <f>IFERROR(VLOOKUP(BCP_Soles[[#This Row],[DESTINATARIO]],CHOOSE({1,2},Clientes_Proveedores[Razon Social],Clientes_Proveedores[Ruc / Dni]),2,0),"")</f>
        <v/>
      </c>
      <c r="X57" s="25" t="s">
        <v>1090</v>
      </c>
      <c r="Y57" s="25" t="s">
        <v>1167</v>
      </c>
      <c r="Z57" s="25"/>
      <c r="AA57" s="99"/>
      <c r="AB57" s="3" t="str">
        <f>IF(BCP_Soles[[#This Row],[FECHA]]&gt;0,TEXT(BCP_Soles[[#This Row],[FECHA]],"mmmm"),0)</f>
        <v>Enero</v>
      </c>
    </row>
    <row r="58" spans="2:28" ht="24" x14ac:dyDescent="0.3">
      <c r="B58" s="2" t="str">
        <f>IF(BCP_Soles[[#This Row],[TIPO DE R.]]="R",COUNTIFS($D$4:$D57,"R")+1,"")</f>
        <v/>
      </c>
      <c r="C58" s="19" t="str">
        <f t="shared" si="0"/>
        <v>B-BCP - Soles</v>
      </c>
      <c r="D58" s="3" t="s">
        <v>1101</v>
      </c>
      <c r="E58" s="14">
        <v>45663</v>
      </c>
      <c r="F58" s="5" t="s">
        <v>479</v>
      </c>
      <c r="G58" s="5"/>
      <c r="H58" s="6"/>
      <c r="I58" s="6"/>
      <c r="J58" s="6"/>
      <c r="K58" s="6"/>
      <c r="L58" s="7" t="s">
        <v>1100</v>
      </c>
      <c r="M58" s="8">
        <v>2332515</v>
      </c>
      <c r="N58" s="8" t="str">
        <f t="shared" si="1"/>
        <v>PEN</v>
      </c>
      <c r="O58" s="13">
        <v>360</v>
      </c>
      <c r="P58" s="13"/>
      <c r="Q58" s="3">
        <f t="shared" si="2"/>
        <v>0</v>
      </c>
      <c r="R58" s="3">
        <f t="shared" si="3"/>
        <v>0</v>
      </c>
      <c r="S58" s="3">
        <f t="shared" si="4"/>
        <v>16542.2</v>
      </c>
      <c r="T58" s="24" t="s">
        <v>1081</v>
      </c>
      <c r="U58" s="24" t="s">
        <v>1081</v>
      </c>
      <c r="V58" s="67"/>
      <c r="W58" s="25" t="str">
        <f>IFERROR(VLOOKUP(BCP_Soles[[#This Row],[DESTINATARIO]],CHOOSE({1,2},Clientes_Proveedores[Razon Social],Clientes_Proveedores[Ruc / Dni]),2,0),"")</f>
        <v/>
      </c>
      <c r="X58" s="25" t="s">
        <v>1090</v>
      </c>
      <c r="Y58" s="25" t="s">
        <v>1168</v>
      </c>
      <c r="Z58" s="25"/>
      <c r="AA58" s="99"/>
      <c r="AB58" s="3" t="str">
        <f>IF(BCP_Soles[[#This Row],[FECHA]]&gt;0,TEXT(BCP_Soles[[#This Row],[FECHA]],"mmmm"),0)</f>
        <v>Enero</v>
      </c>
    </row>
    <row r="59" spans="2:28" ht="24" x14ac:dyDescent="0.3">
      <c r="B59" s="2" t="str">
        <f>IF(BCP_Soles[[#This Row],[TIPO DE R.]]="R",COUNTIFS($D$4:$D58,"R")+1,"")</f>
        <v/>
      </c>
      <c r="C59" s="19" t="str">
        <f t="shared" si="0"/>
        <v>B-BCP - Soles</v>
      </c>
      <c r="D59" s="3" t="s">
        <v>1101</v>
      </c>
      <c r="E59" s="14">
        <v>45663</v>
      </c>
      <c r="F59" s="5" t="s">
        <v>479</v>
      </c>
      <c r="G59" s="5"/>
      <c r="H59" s="6"/>
      <c r="I59" s="6"/>
      <c r="J59" s="6"/>
      <c r="K59" s="6"/>
      <c r="L59" s="7" t="s">
        <v>1100</v>
      </c>
      <c r="M59" s="8">
        <v>2332515</v>
      </c>
      <c r="N59" s="8" t="str">
        <f t="shared" si="1"/>
        <v>PEN</v>
      </c>
      <c r="O59" s="13">
        <v>615</v>
      </c>
      <c r="P59" s="13"/>
      <c r="Q59" s="3">
        <f t="shared" si="2"/>
        <v>0</v>
      </c>
      <c r="R59" s="3">
        <f t="shared" si="3"/>
        <v>0</v>
      </c>
      <c r="S59" s="3">
        <f t="shared" si="4"/>
        <v>16542.2</v>
      </c>
      <c r="T59" s="24" t="s">
        <v>1081</v>
      </c>
      <c r="U59" s="24" t="s">
        <v>1081</v>
      </c>
      <c r="V59" s="67"/>
      <c r="W59" s="25" t="str">
        <f>IFERROR(VLOOKUP(BCP_Soles[[#This Row],[DESTINATARIO]],CHOOSE({1,2},Clientes_Proveedores[Razon Social],Clientes_Proveedores[Ruc / Dni]),2,0),"")</f>
        <v/>
      </c>
      <c r="X59" s="25" t="s">
        <v>1090</v>
      </c>
      <c r="Y59" s="25" t="s">
        <v>1169</v>
      </c>
      <c r="Z59" s="25"/>
      <c r="AA59" s="99"/>
      <c r="AB59" s="3" t="str">
        <f>IF(BCP_Soles[[#This Row],[FECHA]]&gt;0,TEXT(BCP_Soles[[#This Row],[FECHA]],"mmmm"),0)</f>
        <v>Enero</v>
      </c>
    </row>
    <row r="60" spans="2:28" ht="60" x14ac:dyDescent="0.3">
      <c r="B60" s="2">
        <f>IF(BCP_Soles[[#This Row],[TIPO DE R.]]="R",COUNTIFS($D$4:$D59,"R")+1,"")</f>
        <v>37</v>
      </c>
      <c r="C60" s="19" t="str">
        <f t="shared" si="0"/>
        <v>B-BCP - Soles</v>
      </c>
      <c r="D60" s="3" t="s">
        <v>1074</v>
      </c>
      <c r="E60" s="14">
        <v>45663</v>
      </c>
      <c r="F60" s="5" t="s">
        <v>238</v>
      </c>
      <c r="G60" s="5" t="s">
        <v>1087</v>
      </c>
      <c r="H60" s="6"/>
      <c r="I60" s="6"/>
      <c r="J60" s="6"/>
      <c r="K60" s="6"/>
      <c r="L60" s="7" t="s">
        <v>1170</v>
      </c>
      <c r="M60" s="8">
        <v>2253713</v>
      </c>
      <c r="N60" s="8" t="str">
        <f t="shared" si="1"/>
        <v>PEN</v>
      </c>
      <c r="O60" s="13"/>
      <c r="P60" s="13">
        <v>442.38</v>
      </c>
      <c r="Q60" s="3">
        <f t="shared" si="2"/>
        <v>442.38</v>
      </c>
      <c r="R60" s="3">
        <f t="shared" si="3"/>
        <v>0</v>
      </c>
      <c r="S60" s="3">
        <f t="shared" si="4"/>
        <v>16984.580000000002</v>
      </c>
      <c r="T60" s="24" t="s">
        <v>1081</v>
      </c>
      <c r="U60" s="24" t="s">
        <v>1081</v>
      </c>
      <c r="V60" s="67"/>
      <c r="W60" s="25" t="str">
        <f>IFERROR(VLOOKUP(BCP_Soles[[#This Row],[DESTINATARIO]],CHOOSE({1,2},Clientes_Proveedores[Razon Social],Clientes_Proveedores[Ruc / Dni]),2,0),"")</f>
        <v/>
      </c>
      <c r="X60" s="25" t="s">
        <v>1090</v>
      </c>
      <c r="Y60" s="25" t="s">
        <v>1171</v>
      </c>
      <c r="Z60" s="25"/>
      <c r="AA60" s="99"/>
      <c r="AB60" s="3" t="str">
        <f>IF(BCP_Soles[[#This Row],[FECHA]]&gt;0,TEXT(BCP_Soles[[#This Row],[FECHA]],"mmmm"),0)</f>
        <v>Enero</v>
      </c>
    </row>
    <row r="61" spans="2:28" ht="24" x14ac:dyDescent="0.3">
      <c r="B61" s="2">
        <f>IF(BCP_Soles[[#This Row],[TIPO DE R.]]="R",COUNTIFS($D$4:$D60,"R")+1,"")</f>
        <v>38</v>
      </c>
      <c r="C61" s="19" t="str">
        <f t="shared" si="0"/>
        <v>B-BCP - Soles</v>
      </c>
      <c r="D61" s="3" t="s">
        <v>1074</v>
      </c>
      <c r="E61" s="14">
        <v>45664</v>
      </c>
      <c r="F61" s="5" t="s">
        <v>1163</v>
      </c>
      <c r="G61" s="5" t="s">
        <v>1079</v>
      </c>
      <c r="H61" s="6"/>
      <c r="I61" s="6"/>
      <c r="J61" s="6"/>
      <c r="K61" s="6"/>
      <c r="L61" s="7" t="s">
        <v>1100</v>
      </c>
      <c r="M61" s="8">
        <v>273832</v>
      </c>
      <c r="N61" s="8" t="str">
        <f t="shared" si="1"/>
        <v>PEN</v>
      </c>
      <c r="O61" s="13"/>
      <c r="P61" s="13">
        <v>500</v>
      </c>
      <c r="Q61" s="3">
        <f t="shared" si="2"/>
        <v>0</v>
      </c>
      <c r="R61" s="3">
        <f t="shared" si="3"/>
        <v>500</v>
      </c>
      <c r="S61" s="3">
        <f t="shared" si="4"/>
        <v>16484.580000000002</v>
      </c>
      <c r="T61" s="24" t="s">
        <v>1081</v>
      </c>
      <c r="U61" s="24" t="s">
        <v>1081</v>
      </c>
      <c r="V61" s="67"/>
      <c r="W61" s="25" t="str">
        <f>IFERROR(VLOOKUP(BCP_Soles[[#This Row],[DESTINATARIO]],CHOOSE({1,2},Clientes_Proveedores[Razon Social],Clientes_Proveedores[Ruc / Dni]),2,0),"")</f>
        <v/>
      </c>
      <c r="X61" s="25"/>
      <c r="Y61" s="25" t="s">
        <v>1172</v>
      </c>
      <c r="Z61" s="25"/>
      <c r="AA61" s="99"/>
      <c r="AB61" s="3" t="str">
        <f>IF(BCP_Soles[[#This Row],[FECHA]]&gt;0,TEXT(BCP_Soles[[#This Row],[FECHA]],"mmmm"),0)</f>
        <v>Enero</v>
      </c>
    </row>
    <row r="62" spans="2:28" x14ac:dyDescent="0.3">
      <c r="B62" s="2">
        <f>IF(BCP_Soles[[#This Row],[TIPO DE R.]]="R",COUNTIFS($D$4:$D61,"R")+1,"")</f>
        <v>39</v>
      </c>
      <c r="C62" s="19" t="str">
        <f t="shared" si="0"/>
        <v>B-BCP - Soles</v>
      </c>
      <c r="D62" s="3" t="s">
        <v>1074</v>
      </c>
      <c r="E62" s="14">
        <v>45664</v>
      </c>
      <c r="F62" s="5" t="s">
        <v>1078</v>
      </c>
      <c r="G62" s="5" t="s">
        <v>1079</v>
      </c>
      <c r="H62" s="6"/>
      <c r="I62" s="6"/>
      <c r="J62" s="6"/>
      <c r="K62" s="6"/>
      <c r="L62" s="7" t="s">
        <v>1080</v>
      </c>
      <c r="M62" s="8"/>
      <c r="N62" s="8" t="str">
        <f t="shared" si="1"/>
        <v>PEN</v>
      </c>
      <c r="O62" s="13"/>
      <c r="P62" s="13">
        <v>0.05</v>
      </c>
      <c r="Q62" s="3">
        <f t="shared" si="2"/>
        <v>0</v>
      </c>
      <c r="R62" s="3">
        <f t="shared" si="3"/>
        <v>0.05</v>
      </c>
      <c r="S62" s="3">
        <f t="shared" si="4"/>
        <v>16484.530000000002</v>
      </c>
      <c r="T62" s="24"/>
      <c r="U62" s="24" t="s">
        <v>1081</v>
      </c>
      <c r="V62" s="67"/>
      <c r="W62" s="25" t="str">
        <f>IFERROR(VLOOKUP(BCP_Soles[[#This Row],[DESTINATARIO]],CHOOSE({1,2},Clientes_Proveedores[Razon Social],Clientes_Proveedores[Ruc / Dni]),2,0),"")</f>
        <v/>
      </c>
      <c r="X62" s="25"/>
      <c r="Y62" s="25"/>
      <c r="Z62" s="25"/>
      <c r="AA62" s="99"/>
      <c r="AB62" s="3" t="str">
        <f>IF(BCP_Soles[[#This Row],[FECHA]]&gt;0,TEXT(BCP_Soles[[#This Row],[FECHA]],"mmmm"),0)</f>
        <v>Enero</v>
      </c>
    </row>
    <row r="63" spans="2:28" ht="24" x14ac:dyDescent="0.3">
      <c r="B63" s="2">
        <f>IF(BCP_Soles[[#This Row],[TIPO DE R.]]="R",COUNTIFS($D$4:$D62,"R")+1,"")</f>
        <v>40</v>
      </c>
      <c r="C63" s="19" t="str">
        <f t="shared" si="0"/>
        <v>B-BCP - Soles</v>
      </c>
      <c r="D63" s="3" t="s">
        <v>1074</v>
      </c>
      <c r="E63" s="14">
        <v>45664</v>
      </c>
      <c r="F63" s="5" t="s">
        <v>1158</v>
      </c>
      <c r="G63" s="5" t="s">
        <v>1079</v>
      </c>
      <c r="H63" s="6" t="s">
        <v>829</v>
      </c>
      <c r="I63" s="6" t="s">
        <v>91</v>
      </c>
      <c r="J63" s="6">
        <v>14</v>
      </c>
      <c r="K63" s="6">
        <v>27</v>
      </c>
      <c r="L63" s="7" t="s">
        <v>1173</v>
      </c>
      <c r="M63" s="8">
        <v>1148427</v>
      </c>
      <c r="N63" s="8" t="str">
        <f t="shared" si="1"/>
        <v>PEN</v>
      </c>
      <c r="O63" s="13"/>
      <c r="P63" s="13">
        <v>1959.27</v>
      </c>
      <c r="Q63" s="3">
        <f t="shared" si="2"/>
        <v>0</v>
      </c>
      <c r="R63" s="3">
        <f t="shared" si="3"/>
        <v>1959.27</v>
      </c>
      <c r="S63" s="3">
        <f t="shared" si="4"/>
        <v>14525.260000000002</v>
      </c>
      <c r="T63" s="24"/>
      <c r="U63" s="24"/>
      <c r="V63" s="67"/>
      <c r="W63" s="25">
        <f>IFERROR(VLOOKUP(BCP_Soles[[#This Row],[DESTINATARIO]],CHOOSE({1,2},Clientes_Proveedores[Razon Social],Clientes_Proveedores[Ruc / Dni]),2,0),"")</f>
        <v>47461440</v>
      </c>
      <c r="X63" s="25"/>
      <c r="Y63" s="25"/>
      <c r="Z63" s="25"/>
      <c r="AA63" s="99"/>
      <c r="AB63" s="3" t="str">
        <f>IF(BCP_Soles[[#This Row],[FECHA]]&gt;0,TEXT(BCP_Soles[[#This Row],[FECHA]],"mmmm"),0)</f>
        <v>Enero</v>
      </c>
    </row>
    <row r="64" spans="2:28" x14ac:dyDescent="0.3">
      <c r="B64" s="2">
        <f>IF(BCP_Soles[[#This Row],[TIPO DE R.]]="R",COUNTIFS($D$4:$D63,"R")+1,"")</f>
        <v>41</v>
      </c>
      <c r="C64" s="19" t="str">
        <f t="shared" si="0"/>
        <v>B-BCP - Soles</v>
      </c>
      <c r="D64" s="3" t="s">
        <v>1074</v>
      </c>
      <c r="E64" s="14">
        <v>45664</v>
      </c>
      <c r="F64" s="5" t="s">
        <v>1082</v>
      </c>
      <c r="G64" s="5" t="s">
        <v>1079</v>
      </c>
      <c r="H64" s="6" t="s">
        <v>507</v>
      </c>
      <c r="I64" s="6" t="s">
        <v>14</v>
      </c>
      <c r="J64" s="6" t="s">
        <v>1174</v>
      </c>
      <c r="K64" s="6">
        <v>90</v>
      </c>
      <c r="L64" s="7" t="s">
        <v>1175</v>
      </c>
      <c r="M64" s="8">
        <v>1262049</v>
      </c>
      <c r="N64" s="8" t="str">
        <f t="shared" si="1"/>
        <v>PEN</v>
      </c>
      <c r="O64" s="13"/>
      <c r="P64" s="13">
        <v>180</v>
      </c>
      <c r="Q64" s="3">
        <f t="shared" si="2"/>
        <v>0</v>
      </c>
      <c r="R64" s="3">
        <f t="shared" si="3"/>
        <v>180</v>
      </c>
      <c r="S64" s="3">
        <f t="shared" si="4"/>
        <v>14345.260000000002</v>
      </c>
      <c r="T64" s="24" t="s">
        <v>1081</v>
      </c>
      <c r="U64" s="24" t="s">
        <v>1081</v>
      </c>
      <c r="V64" s="67"/>
      <c r="W64" s="25">
        <f>IFERROR(VLOOKUP(BCP_Soles[[#This Row],[DESTINATARIO]],CHOOSE({1,2},Clientes_Proveedores[Razon Social],Clientes_Proveedores[Ruc / Dni]),2,0),"")</f>
        <v>20608587803</v>
      </c>
      <c r="X64" s="25" t="s">
        <v>507</v>
      </c>
      <c r="Y64" s="25" t="s">
        <v>1176</v>
      </c>
      <c r="Z64" s="25"/>
      <c r="AA64" s="99"/>
      <c r="AB64" s="3" t="str">
        <f>IF(BCP_Soles[[#This Row],[FECHA]]&gt;0,TEXT(BCP_Soles[[#This Row],[FECHA]],"mmmm"),0)</f>
        <v>Enero</v>
      </c>
    </row>
    <row r="65" spans="2:28" ht="24" x14ac:dyDescent="0.3">
      <c r="B65" s="2">
        <f>IF(BCP_Soles[[#This Row],[TIPO DE R.]]="R",COUNTIFS($D$4:$D64,"R")+1,"")</f>
        <v>42</v>
      </c>
      <c r="C65" s="19" t="str">
        <f t="shared" si="0"/>
        <v>B-BCP - Soles</v>
      </c>
      <c r="D65" s="3" t="s">
        <v>1074</v>
      </c>
      <c r="E65" s="14">
        <v>45664</v>
      </c>
      <c r="F65" s="5" t="s">
        <v>1082</v>
      </c>
      <c r="G65" s="5" t="s">
        <v>1079</v>
      </c>
      <c r="H65" s="6" t="s">
        <v>642</v>
      </c>
      <c r="I65" s="6" t="s">
        <v>14</v>
      </c>
      <c r="J65" s="6" t="s">
        <v>1121</v>
      </c>
      <c r="K65" s="6">
        <v>180</v>
      </c>
      <c r="L65" s="7" t="s">
        <v>1177</v>
      </c>
      <c r="M65" s="8">
        <v>1202115</v>
      </c>
      <c r="N65" s="8" t="str">
        <f t="shared" si="1"/>
        <v>PEN</v>
      </c>
      <c r="O65" s="13"/>
      <c r="P65" s="13">
        <v>118</v>
      </c>
      <c r="Q65" s="3">
        <f t="shared" si="2"/>
        <v>0</v>
      </c>
      <c r="R65" s="3">
        <f t="shared" si="3"/>
        <v>118</v>
      </c>
      <c r="S65" s="3">
        <f t="shared" si="4"/>
        <v>14227.260000000002</v>
      </c>
      <c r="T65" s="24" t="s">
        <v>1081</v>
      </c>
      <c r="U65" s="24" t="s">
        <v>1081</v>
      </c>
      <c r="V65" s="67"/>
      <c r="W65" s="25">
        <f>IFERROR(VLOOKUP(BCP_Soles[[#This Row],[DESTINATARIO]],CHOOSE({1,2},Clientes_Proveedores[Razon Social],Clientes_Proveedores[Ruc / Dni]),2,0),"")</f>
        <v>20602519733</v>
      </c>
      <c r="X65" s="25" t="s">
        <v>1178</v>
      </c>
      <c r="Y65" s="25" t="s">
        <v>1179</v>
      </c>
      <c r="Z65" s="25"/>
      <c r="AA65" s="99"/>
      <c r="AB65" s="3" t="str">
        <f>IF(BCP_Soles[[#This Row],[FECHA]]&gt;0,TEXT(BCP_Soles[[#This Row],[FECHA]],"mmmm"),0)</f>
        <v>Enero</v>
      </c>
    </row>
    <row r="66" spans="2:28" ht="36" x14ac:dyDescent="0.3">
      <c r="B66" s="2">
        <f>IF(BCP_Soles[[#This Row],[TIPO DE R.]]="R",COUNTIFS($D$4:$D65,"R")+1,"")</f>
        <v>43</v>
      </c>
      <c r="C66" s="19" t="str">
        <f t="shared" si="0"/>
        <v>B-BCP - Soles</v>
      </c>
      <c r="D66" s="3" t="s">
        <v>1074</v>
      </c>
      <c r="E66" s="14">
        <v>45664</v>
      </c>
      <c r="F66" s="5" t="s">
        <v>1082</v>
      </c>
      <c r="G66" s="5" t="s">
        <v>1079</v>
      </c>
      <c r="H66" s="6" t="s">
        <v>530</v>
      </c>
      <c r="I66" s="6" t="s">
        <v>14</v>
      </c>
      <c r="J66" s="6" t="s">
        <v>1121</v>
      </c>
      <c r="K66" s="6">
        <v>312</v>
      </c>
      <c r="L66" s="7" t="s">
        <v>1180</v>
      </c>
      <c r="M66" s="8">
        <v>1203138</v>
      </c>
      <c r="N66" s="8" t="str">
        <f t="shared" si="1"/>
        <v>PEN</v>
      </c>
      <c r="O66" s="13"/>
      <c r="P66" s="13">
        <v>94.28</v>
      </c>
      <c r="Q66" s="3">
        <f t="shared" si="2"/>
        <v>0</v>
      </c>
      <c r="R66" s="3">
        <f t="shared" si="3"/>
        <v>94.28</v>
      </c>
      <c r="S66" s="3">
        <f t="shared" si="4"/>
        <v>14132.980000000001</v>
      </c>
      <c r="T66" s="24" t="s">
        <v>1081</v>
      </c>
      <c r="U66" s="24" t="s">
        <v>1081</v>
      </c>
      <c r="V66" s="67"/>
      <c r="W66" s="25">
        <f>IFERROR(VLOOKUP(BCP_Soles[[#This Row],[DESTINATARIO]],CHOOSE({1,2},Clientes_Proveedores[Razon Social],Clientes_Proveedores[Ruc / Dni]),2,0),"")</f>
        <v>20609368773</v>
      </c>
      <c r="X66" s="25" t="s">
        <v>1181</v>
      </c>
      <c r="Y66" s="25" t="s">
        <v>1182</v>
      </c>
      <c r="Z66" s="25"/>
      <c r="AA66" s="99"/>
      <c r="AB66" s="3" t="str">
        <f>IF(BCP_Soles[[#This Row],[FECHA]]&gt;0,TEXT(BCP_Soles[[#This Row],[FECHA]],"mmmm"),0)</f>
        <v>Enero</v>
      </c>
    </row>
    <row r="67" spans="2:28" ht="24" x14ac:dyDescent="0.3">
      <c r="B67" s="2">
        <f>IF(BCP_Soles[[#This Row],[TIPO DE R.]]="R",COUNTIFS($D$4:$D66,"R")+1,"")</f>
        <v>44</v>
      </c>
      <c r="C67" s="19" t="str">
        <f t="shared" si="0"/>
        <v>B-BCP - Soles</v>
      </c>
      <c r="D67" s="3" t="s">
        <v>1074</v>
      </c>
      <c r="E67" s="14">
        <v>45664</v>
      </c>
      <c r="F67" s="5" t="s">
        <v>1158</v>
      </c>
      <c r="G67" s="5" t="s">
        <v>1079</v>
      </c>
      <c r="H67" s="6"/>
      <c r="I67" s="6"/>
      <c r="J67" s="6"/>
      <c r="K67" s="6"/>
      <c r="L67" s="7" t="s">
        <v>1183</v>
      </c>
      <c r="M67" s="8">
        <v>1150379</v>
      </c>
      <c r="N67" s="8" t="str">
        <f t="shared" si="1"/>
        <v>PEN</v>
      </c>
      <c r="O67" s="13"/>
      <c r="P67" s="13">
        <v>29.7</v>
      </c>
      <c r="Q67" s="3">
        <f t="shared" si="2"/>
        <v>0</v>
      </c>
      <c r="R67" s="3">
        <f t="shared" si="3"/>
        <v>29.7</v>
      </c>
      <c r="S67" s="3">
        <f t="shared" si="4"/>
        <v>14103.28</v>
      </c>
      <c r="T67" s="24" t="s">
        <v>1081</v>
      </c>
      <c r="U67" s="24" t="s">
        <v>1081</v>
      </c>
      <c r="V67" s="67"/>
      <c r="W67" s="25" t="str">
        <f>IFERROR(VLOOKUP(BCP_Soles[[#This Row],[DESTINATARIO]],CHOOSE({1,2},Clientes_Proveedores[Razon Social],Clientes_Proveedores[Ruc / Dni]),2,0),"")</f>
        <v/>
      </c>
      <c r="X67" s="25" t="s">
        <v>812</v>
      </c>
      <c r="Y67" s="25"/>
      <c r="Z67" s="25"/>
      <c r="AA67" s="99"/>
      <c r="AB67" s="3" t="str">
        <f>IF(BCP_Soles[[#This Row],[FECHA]]&gt;0,TEXT(BCP_Soles[[#This Row],[FECHA]],"mmmm"),0)</f>
        <v>Enero</v>
      </c>
    </row>
    <row r="68" spans="2:28" x14ac:dyDescent="0.3">
      <c r="B68" s="2">
        <f>IF(BCP_Soles[[#This Row],[TIPO DE R.]]="R",COUNTIFS($D$4:$D67,"R")+1,"")</f>
        <v>45</v>
      </c>
      <c r="C68" s="19" t="str">
        <f t="shared" si="0"/>
        <v>B-BCP - Soles</v>
      </c>
      <c r="D68" s="3" t="s">
        <v>1074</v>
      </c>
      <c r="E68" s="14">
        <v>45664</v>
      </c>
      <c r="F68" s="5" t="s">
        <v>1184</v>
      </c>
      <c r="G68" s="5" t="s">
        <v>1087</v>
      </c>
      <c r="H68" s="6"/>
      <c r="I68" s="6"/>
      <c r="J68" s="6"/>
      <c r="K68" s="6"/>
      <c r="L68" s="7" t="s">
        <v>1100</v>
      </c>
      <c r="M68" s="8">
        <v>3107124</v>
      </c>
      <c r="N68" s="8" t="str">
        <f t="shared" si="1"/>
        <v>PEN</v>
      </c>
      <c r="O68" s="13"/>
      <c r="P68" s="13">
        <v>420</v>
      </c>
      <c r="Q68" s="3">
        <f t="shared" si="2"/>
        <v>420</v>
      </c>
      <c r="R68" s="3">
        <f t="shared" si="3"/>
        <v>0</v>
      </c>
      <c r="S68" s="3">
        <f t="shared" si="4"/>
        <v>14523.28</v>
      </c>
      <c r="T68" s="24" t="s">
        <v>1081</v>
      </c>
      <c r="U68" s="24" t="s">
        <v>1081</v>
      </c>
      <c r="V68" s="67"/>
      <c r="W68" s="25" t="str">
        <f>IFERROR(VLOOKUP(BCP_Soles[[#This Row],[DESTINATARIO]],CHOOSE({1,2},Clientes_Proveedores[Razon Social],Clientes_Proveedores[Ruc / Dni]),2,0),"")</f>
        <v/>
      </c>
      <c r="X68" s="25" t="s">
        <v>1090</v>
      </c>
      <c r="Y68" s="25" t="s">
        <v>1185</v>
      </c>
      <c r="Z68" s="25"/>
      <c r="AA68" s="99"/>
      <c r="AB68" s="3" t="str">
        <f>IF(BCP_Soles[[#This Row],[FECHA]]&gt;0,TEXT(BCP_Soles[[#This Row],[FECHA]],"mmmm"),0)</f>
        <v>Enero</v>
      </c>
    </row>
    <row r="69" spans="2:28" x14ac:dyDescent="0.3">
      <c r="B69" s="2">
        <f>IF(BCP_Soles[[#This Row],[TIPO DE R.]]="R",COUNTIFS($D$4:$D68,"R")+1,"")</f>
        <v>46</v>
      </c>
      <c r="C69" s="19" t="str">
        <f t="shared" ref="C69:C132" si="5">"B-BCP - Soles"</f>
        <v>B-BCP - Soles</v>
      </c>
      <c r="D69" s="3" t="s">
        <v>1074</v>
      </c>
      <c r="E69" s="14">
        <v>45664</v>
      </c>
      <c r="F69" s="5" t="s">
        <v>1186</v>
      </c>
      <c r="G69" s="5" t="s">
        <v>1087</v>
      </c>
      <c r="H69" s="6"/>
      <c r="I69" s="6"/>
      <c r="J69" s="6"/>
      <c r="K69" s="6"/>
      <c r="L69" s="7" t="s">
        <v>1100</v>
      </c>
      <c r="M69" s="8">
        <v>3110045</v>
      </c>
      <c r="N69" s="8" t="str">
        <f t="shared" ref="N69:N132" si="6">"PEN"</f>
        <v>PEN</v>
      </c>
      <c r="O69" s="13"/>
      <c r="P69" s="13">
        <v>250</v>
      </c>
      <c r="Q69" s="3">
        <f t="shared" ref="Q69:Q132" si="7">+IF(OR($G69="SALDO",$G69="INGRESO"),$P69,0)</f>
        <v>250</v>
      </c>
      <c r="R69" s="3">
        <f t="shared" ref="R69:R132" si="8">+IF($G69="EGRESO",$P69,0)</f>
        <v>0</v>
      </c>
      <c r="S69" s="3">
        <f t="shared" ref="S69:S132" si="9">IFERROR(IF(G69="SALDO",Q69,S68+Q69-R69),0)</f>
        <v>14773.28</v>
      </c>
      <c r="T69" s="24" t="s">
        <v>1081</v>
      </c>
      <c r="U69" s="24" t="s">
        <v>1081</v>
      </c>
      <c r="V69" s="67"/>
      <c r="W69" s="25" t="str">
        <f>IFERROR(VLOOKUP(BCP_Soles[[#This Row],[DESTINATARIO]],CHOOSE({1,2},Clientes_Proveedores[Razon Social],Clientes_Proveedores[Ruc / Dni]),2,0),"")</f>
        <v/>
      </c>
      <c r="X69" s="25" t="s">
        <v>1090</v>
      </c>
      <c r="Y69" s="25" t="s">
        <v>1187</v>
      </c>
      <c r="Z69" s="25"/>
      <c r="AA69" s="99"/>
      <c r="AB69" s="3" t="str">
        <f>IF(BCP_Soles[[#This Row],[FECHA]]&gt;0,TEXT(BCP_Soles[[#This Row],[FECHA]],"mmmm"),0)</f>
        <v>Enero</v>
      </c>
    </row>
    <row r="70" spans="2:28" ht="24" x14ac:dyDescent="0.3">
      <c r="B70" s="2">
        <f>IF(BCP_Soles[[#This Row],[TIPO DE R.]]="R",COUNTIFS($D$4:$D69,"R")+1,"")</f>
        <v>47</v>
      </c>
      <c r="C70" s="19" t="str">
        <f t="shared" si="5"/>
        <v>B-BCP - Soles</v>
      </c>
      <c r="D70" s="3" t="s">
        <v>1074</v>
      </c>
      <c r="E70" s="14">
        <v>45664</v>
      </c>
      <c r="F70" s="5" t="s">
        <v>1188</v>
      </c>
      <c r="G70" s="5" t="s">
        <v>1087</v>
      </c>
      <c r="H70" s="6"/>
      <c r="I70" s="6"/>
      <c r="J70" s="6"/>
      <c r="K70" s="6"/>
      <c r="L70" s="7" t="s">
        <v>1100</v>
      </c>
      <c r="M70" s="8">
        <v>3103858</v>
      </c>
      <c r="N70" s="8" t="str">
        <f t="shared" si="6"/>
        <v>PEN</v>
      </c>
      <c r="O70" s="13"/>
      <c r="P70" s="13">
        <v>100</v>
      </c>
      <c r="Q70" s="3">
        <f t="shared" si="7"/>
        <v>100</v>
      </c>
      <c r="R70" s="3">
        <f t="shared" si="8"/>
        <v>0</v>
      </c>
      <c r="S70" s="3">
        <f t="shared" si="9"/>
        <v>14873.28</v>
      </c>
      <c r="T70" s="24" t="s">
        <v>1081</v>
      </c>
      <c r="U70" s="24" t="s">
        <v>1081</v>
      </c>
      <c r="V70" s="67"/>
      <c r="W70" s="25" t="str">
        <f>IFERROR(VLOOKUP(BCP_Soles[[#This Row],[DESTINATARIO]],CHOOSE({1,2},Clientes_Proveedores[Razon Social],Clientes_Proveedores[Ruc / Dni]),2,0),"")</f>
        <v/>
      </c>
      <c r="X70" s="25" t="s">
        <v>1090</v>
      </c>
      <c r="Y70" s="25" t="s">
        <v>1189</v>
      </c>
      <c r="Z70" s="25"/>
      <c r="AA70" s="99"/>
      <c r="AB70" s="3" t="str">
        <f>IF(BCP_Soles[[#This Row],[FECHA]]&gt;0,TEXT(BCP_Soles[[#This Row],[FECHA]],"mmmm"),0)</f>
        <v>Enero</v>
      </c>
    </row>
    <row r="71" spans="2:28" x14ac:dyDescent="0.3">
      <c r="B71" s="2">
        <f>IF(BCP_Soles[[#This Row],[TIPO DE R.]]="R",COUNTIFS($D$4:$D70,"R")+1,"")</f>
        <v>48</v>
      </c>
      <c r="C71" s="19" t="str">
        <f t="shared" si="5"/>
        <v>B-BCP - Soles</v>
      </c>
      <c r="D71" s="3" t="s">
        <v>1074</v>
      </c>
      <c r="E71" s="14">
        <v>45665</v>
      </c>
      <c r="F71" s="5" t="s">
        <v>1078</v>
      </c>
      <c r="G71" s="5" t="s">
        <v>1079</v>
      </c>
      <c r="H71" s="6"/>
      <c r="I71" s="6"/>
      <c r="J71" s="6"/>
      <c r="K71" s="6"/>
      <c r="L71" s="7" t="s">
        <v>1080</v>
      </c>
      <c r="M71" s="8"/>
      <c r="N71" s="8" t="str">
        <f t="shared" si="6"/>
        <v>PEN</v>
      </c>
      <c r="O71" s="13"/>
      <c r="P71" s="13">
        <v>1.5</v>
      </c>
      <c r="Q71" s="3">
        <f t="shared" si="7"/>
        <v>0</v>
      </c>
      <c r="R71" s="3">
        <f t="shared" si="8"/>
        <v>1.5</v>
      </c>
      <c r="S71" s="3">
        <f t="shared" si="9"/>
        <v>14871.78</v>
      </c>
      <c r="T71" s="24"/>
      <c r="U71" s="24" t="s">
        <v>1081</v>
      </c>
      <c r="V71" s="67"/>
      <c r="W71" s="25" t="str">
        <f>IFERROR(VLOOKUP(BCP_Soles[[#This Row],[DESTINATARIO]],CHOOSE({1,2},Clientes_Proveedores[Razon Social],Clientes_Proveedores[Ruc / Dni]),2,0),"")</f>
        <v/>
      </c>
      <c r="X71" s="25"/>
      <c r="Y71" s="25"/>
      <c r="Z71" s="25"/>
      <c r="AA71" s="99"/>
      <c r="AB71" s="3" t="str">
        <f>IF(BCP_Soles[[#This Row],[FECHA]]&gt;0,TEXT(BCP_Soles[[#This Row],[FECHA]],"mmmm"),0)</f>
        <v>Enero</v>
      </c>
    </row>
    <row r="72" spans="2:28" ht="36" x14ac:dyDescent="0.3">
      <c r="B72" s="2">
        <f>IF(BCP_Soles[[#This Row],[TIPO DE R.]]="R",COUNTIFS($D$4:$D71,"R")+1,"")</f>
        <v>49</v>
      </c>
      <c r="C72" s="19" t="str">
        <f t="shared" si="5"/>
        <v>B-BCP - Soles</v>
      </c>
      <c r="D72" s="3" t="s">
        <v>1074</v>
      </c>
      <c r="E72" s="14">
        <v>45665</v>
      </c>
      <c r="F72" s="5" t="s">
        <v>1082</v>
      </c>
      <c r="G72" s="5" t="s">
        <v>1079</v>
      </c>
      <c r="H72" s="6" t="s">
        <v>643</v>
      </c>
      <c r="I72" s="6" t="s">
        <v>14</v>
      </c>
      <c r="J72" s="6" t="s">
        <v>1119</v>
      </c>
      <c r="K72" s="6">
        <v>1629</v>
      </c>
      <c r="L72" s="7" t="s">
        <v>1190</v>
      </c>
      <c r="M72" s="8">
        <v>1137988</v>
      </c>
      <c r="N72" s="8" t="str">
        <f t="shared" si="6"/>
        <v>PEN</v>
      </c>
      <c r="O72" s="13"/>
      <c r="P72" s="13">
        <v>1566.1</v>
      </c>
      <c r="Q72" s="3">
        <f t="shared" si="7"/>
        <v>0</v>
      </c>
      <c r="R72" s="3">
        <f t="shared" si="8"/>
        <v>1566.1</v>
      </c>
      <c r="S72" s="3">
        <f t="shared" si="9"/>
        <v>13305.68</v>
      </c>
      <c r="T72" s="24" t="s">
        <v>1081</v>
      </c>
      <c r="U72" s="24" t="s">
        <v>1081</v>
      </c>
      <c r="V72" s="67"/>
      <c r="W72" s="25">
        <f>IFERROR(VLOOKUP(BCP_Soles[[#This Row],[DESTINATARIO]],CHOOSE({1,2},Clientes_Proveedores[Razon Social],Clientes_Proveedores[Ruc / Dni]),2,0),"")</f>
        <v>20608422146</v>
      </c>
      <c r="X72" s="25" t="s">
        <v>1191</v>
      </c>
      <c r="Y72" s="25" t="s">
        <v>1192</v>
      </c>
      <c r="Z72" s="25"/>
      <c r="AA72" s="99"/>
      <c r="AB72" s="3" t="str">
        <f>IF(BCP_Soles[[#This Row],[FECHA]]&gt;0,TEXT(BCP_Soles[[#This Row],[FECHA]],"mmmm"),0)</f>
        <v>Enero</v>
      </c>
    </row>
    <row r="73" spans="2:28" x14ac:dyDescent="0.3">
      <c r="B73" s="2">
        <f>IF(BCP_Soles[[#This Row],[TIPO DE R.]]="R",COUNTIFS($D$4:$D72,"R")+1,"")</f>
        <v>50</v>
      </c>
      <c r="C73" s="19" t="str">
        <f t="shared" si="5"/>
        <v>B-BCP - Soles</v>
      </c>
      <c r="D73" s="3" t="s">
        <v>1074</v>
      </c>
      <c r="E73" s="14">
        <v>45665</v>
      </c>
      <c r="F73" s="5" t="s">
        <v>1082</v>
      </c>
      <c r="G73" s="5" t="s">
        <v>1079</v>
      </c>
      <c r="H73" s="6"/>
      <c r="I73" s="6"/>
      <c r="J73" s="6"/>
      <c r="K73" s="6"/>
      <c r="L73" s="7" t="s">
        <v>1193</v>
      </c>
      <c r="M73" s="8">
        <v>9642350</v>
      </c>
      <c r="N73" s="8" t="str">
        <f t="shared" si="6"/>
        <v>PEN</v>
      </c>
      <c r="O73" s="13"/>
      <c r="P73" s="13">
        <v>1415.3</v>
      </c>
      <c r="Q73" s="3">
        <f t="shared" si="7"/>
        <v>0</v>
      </c>
      <c r="R73" s="3">
        <f t="shared" si="8"/>
        <v>1415.3</v>
      </c>
      <c r="S73" s="3">
        <f t="shared" si="9"/>
        <v>11890.380000000001</v>
      </c>
      <c r="T73" s="24" t="s">
        <v>1081</v>
      </c>
      <c r="U73" s="24"/>
      <c r="V73" s="67"/>
      <c r="W73" s="25" t="str">
        <f>IFERROR(VLOOKUP(BCP_Soles[[#This Row],[DESTINATARIO]],CHOOSE({1,2},Clientes_Proveedores[Razon Social],Clientes_Proveedores[Ruc / Dni]),2,0),"")</f>
        <v/>
      </c>
      <c r="X73" s="25" t="s">
        <v>1118</v>
      </c>
      <c r="Y73" s="25"/>
      <c r="Z73" s="25"/>
      <c r="AA73" s="99"/>
      <c r="AB73" s="3" t="str">
        <f>IF(BCP_Soles[[#This Row],[FECHA]]&gt;0,TEXT(BCP_Soles[[#This Row],[FECHA]],"mmmm"),0)</f>
        <v>Enero</v>
      </c>
    </row>
    <row r="74" spans="2:28" ht="24" x14ac:dyDescent="0.3">
      <c r="B74" s="2">
        <f>IF(BCP_Soles[[#This Row],[TIPO DE R.]]="R",COUNTIFS($D$4:$D73,"R")+1,"")</f>
        <v>51</v>
      </c>
      <c r="C74" s="19" t="str">
        <f t="shared" si="5"/>
        <v>B-BCP - Soles</v>
      </c>
      <c r="D74" s="3" t="s">
        <v>1074</v>
      </c>
      <c r="E74" s="14">
        <v>45665</v>
      </c>
      <c r="F74" s="5" t="s">
        <v>289</v>
      </c>
      <c r="G74" s="5" t="s">
        <v>1087</v>
      </c>
      <c r="H74" s="6"/>
      <c r="I74" s="6"/>
      <c r="J74" s="6"/>
      <c r="K74" s="6"/>
      <c r="L74" s="7" t="s">
        <v>1194</v>
      </c>
      <c r="M74" s="8">
        <v>9664546</v>
      </c>
      <c r="N74" s="8" t="str">
        <f t="shared" si="6"/>
        <v>PEN</v>
      </c>
      <c r="O74" s="13"/>
      <c r="P74" s="13">
        <v>14974.3</v>
      </c>
      <c r="Q74" s="3">
        <f t="shared" si="7"/>
        <v>14974.3</v>
      </c>
      <c r="R74" s="3">
        <f t="shared" si="8"/>
        <v>0</v>
      </c>
      <c r="S74" s="3">
        <f t="shared" si="9"/>
        <v>26864.68</v>
      </c>
      <c r="T74" s="24" t="s">
        <v>1081</v>
      </c>
      <c r="U74" s="24" t="s">
        <v>1081</v>
      </c>
      <c r="V74" s="67"/>
      <c r="W74" s="25" t="str">
        <f>IFERROR(VLOOKUP(BCP_Soles[[#This Row],[DESTINATARIO]],CHOOSE({1,2},Clientes_Proveedores[Razon Social],Clientes_Proveedores[Ruc / Dni]),2,0),"")</f>
        <v/>
      </c>
      <c r="X74" s="25" t="s">
        <v>1090</v>
      </c>
      <c r="Y74" s="25" t="s">
        <v>1195</v>
      </c>
      <c r="Z74" s="25"/>
      <c r="AA74" s="99"/>
      <c r="AB74" s="3" t="str">
        <f>IF(BCP_Soles[[#This Row],[FECHA]]&gt;0,TEXT(BCP_Soles[[#This Row],[FECHA]],"mmmm"),0)</f>
        <v>Enero</v>
      </c>
    </row>
    <row r="75" spans="2:28" ht="24" x14ac:dyDescent="0.3">
      <c r="B75" s="2">
        <f>IF(BCP_Soles[[#This Row],[TIPO DE R.]]="R",COUNTIFS($D$4:$D74,"R")+1,"")</f>
        <v>52</v>
      </c>
      <c r="C75" s="19" t="str">
        <f t="shared" si="5"/>
        <v>B-BCP - Soles</v>
      </c>
      <c r="D75" s="3" t="s">
        <v>1074</v>
      </c>
      <c r="E75" s="14">
        <v>45665</v>
      </c>
      <c r="F75" s="5" t="s">
        <v>293</v>
      </c>
      <c r="G75" s="5" t="s">
        <v>1087</v>
      </c>
      <c r="H75" s="6"/>
      <c r="I75" s="6"/>
      <c r="J75" s="6"/>
      <c r="K75" s="6"/>
      <c r="L75" s="7" t="s">
        <v>1196</v>
      </c>
      <c r="M75" s="8">
        <v>2250290</v>
      </c>
      <c r="N75" s="8" t="str">
        <f t="shared" si="6"/>
        <v>PEN</v>
      </c>
      <c r="O75" s="13"/>
      <c r="P75" s="13">
        <v>13570</v>
      </c>
      <c r="Q75" s="3">
        <f t="shared" si="7"/>
        <v>13570</v>
      </c>
      <c r="R75" s="3">
        <f t="shared" si="8"/>
        <v>0</v>
      </c>
      <c r="S75" s="3">
        <f t="shared" si="9"/>
        <v>40434.68</v>
      </c>
      <c r="T75" s="24" t="s">
        <v>1081</v>
      </c>
      <c r="U75" s="24" t="s">
        <v>1081</v>
      </c>
      <c r="V75" s="67"/>
      <c r="W75" s="25" t="str">
        <f>IFERROR(VLOOKUP(BCP_Soles[[#This Row],[DESTINATARIO]],CHOOSE({1,2},Clientes_Proveedores[Razon Social],Clientes_Proveedores[Ruc / Dni]),2,0),"")</f>
        <v/>
      </c>
      <c r="X75" s="25" t="s">
        <v>1090</v>
      </c>
      <c r="Y75" s="25" t="s">
        <v>1197</v>
      </c>
      <c r="Z75" s="25"/>
      <c r="AA75" s="99"/>
      <c r="AB75" s="3" t="str">
        <f>IF(BCP_Soles[[#This Row],[FECHA]]&gt;0,TEXT(BCP_Soles[[#This Row],[FECHA]],"mmmm"),0)</f>
        <v>Enero</v>
      </c>
    </row>
    <row r="76" spans="2:28" ht="24" x14ac:dyDescent="0.3">
      <c r="B76" s="2">
        <f>IF(BCP_Soles[[#This Row],[TIPO DE R.]]="R",COUNTIFS($D$4:$D75,"R")+1,"")</f>
        <v>53</v>
      </c>
      <c r="C76" s="19" t="str">
        <f t="shared" si="5"/>
        <v>B-BCP - Soles</v>
      </c>
      <c r="D76" s="3" t="s">
        <v>1074</v>
      </c>
      <c r="E76" s="14">
        <v>45665</v>
      </c>
      <c r="F76" s="5" t="s">
        <v>293</v>
      </c>
      <c r="G76" s="5" t="s">
        <v>1087</v>
      </c>
      <c r="H76" s="6"/>
      <c r="I76" s="6"/>
      <c r="J76" s="6"/>
      <c r="K76" s="6"/>
      <c r="L76" s="7" t="s">
        <v>1196</v>
      </c>
      <c r="M76" s="8">
        <v>2255248</v>
      </c>
      <c r="N76" s="8" t="str">
        <f t="shared" si="6"/>
        <v>PEN</v>
      </c>
      <c r="O76" s="13"/>
      <c r="P76" s="13">
        <v>1770</v>
      </c>
      <c r="Q76" s="3">
        <f t="shared" si="7"/>
        <v>1770</v>
      </c>
      <c r="R76" s="3">
        <f t="shared" si="8"/>
        <v>0</v>
      </c>
      <c r="S76" s="3">
        <f t="shared" si="9"/>
        <v>42204.68</v>
      </c>
      <c r="T76" s="24" t="s">
        <v>1081</v>
      </c>
      <c r="U76" s="24" t="s">
        <v>1081</v>
      </c>
      <c r="V76" s="67"/>
      <c r="W76" s="25" t="str">
        <f>IFERROR(VLOOKUP(BCP_Soles[[#This Row],[DESTINATARIO]],CHOOSE({1,2},Clientes_Proveedores[Razon Social],Clientes_Proveedores[Ruc / Dni]),2,0),"")</f>
        <v/>
      </c>
      <c r="X76" s="25" t="s">
        <v>1090</v>
      </c>
      <c r="Y76" s="25" t="s">
        <v>1198</v>
      </c>
      <c r="Z76" s="25"/>
      <c r="AA76" s="99"/>
      <c r="AB76" s="3" t="str">
        <f>IF(BCP_Soles[[#This Row],[FECHA]]&gt;0,TEXT(BCP_Soles[[#This Row],[FECHA]],"mmmm"),0)</f>
        <v>Enero</v>
      </c>
    </row>
    <row r="77" spans="2:28" ht="24" x14ac:dyDescent="0.3">
      <c r="B77" s="2">
        <f>IF(BCP_Soles[[#This Row],[TIPO DE R.]]="R",COUNTIFS($D$4:$D76,"R")+1,"")</f>
        <v>54</v>
      </c>
      <c r="C77" s="19" t="str">
        <f t="shared" si="5"/>
        <v>B-BCP - Soles</v>
      </c>
      <c r="D77" s="3" t="s">
        <v>1074</v>
      </c>
      <c r="E77" s="14">
        <v>45665</v>
      </c>
      <c r="F77" s="5" t="s">
        <v>405</v>
      </c>
      <c r="G77" s="5" t="s">
        <v>1087</v>
      </c>
      <c r="H77" s="6"/>
      <c r="I77" s="6"/>
      <c r="J77" s="6"/>
      <c r="K77" s="6"/>
      <c r="L77" s="7" t="s">
        <v>1100</v>
      </c>
      <c r="M77" s="8">
        <v>2197350</v>
      </c>
      <c r="N77" s="8" t="str">
        <f t="shared" si="6"/>
        <v>PEN</v>
      </c>
      <c r="O77" s="13"/>
      <c r="P77" s="13">
        <v>244</v>
      </c>
      <c r="Q77" s="3">
        <f t="shared" si="7"/>
        <v>244</v>
      </c>
      <c r="R77" s="3">
        <f t="shared" si="8"/>
        <v>0</v>
      </c>
      <c r="S77" s="3">
        <f t="shared" si="9"/>
        <v>42448.68</v>
      </c>
      <c r="T77" s="24" t="s">
        <v>1081</v>
      </c>
      <c r="U77" s="24" t="s">
        <v>1081</v>
      </c>
      <c r="V77" s="67"/>
      <c r="W77" s="25" t="str">
        <f>IFERROR(VLOOKUP(BCP_Soles[[#This Row],[DESTINATARIO]],CHOOSE({1,2},Clientes_Proveedores[Razon Social],Clientes_Proveedores[Ruc / Dni]),2,0),"")</f>
        <v/>
      </c>
      <c r="X77" s="25" t="s">
        <v>1090</v>
      </c>
      <c r="Y77" s="25" t="s">
        <v>1199</v>
      </c>
      <c r="Z77" s="25"/>
      <c r="AA77" s="99"/>
      <c r="AB77" s="3" t="str">
        <f>IF(BCP_Soles[[#This Row],[FECHA]]&gt;0,TEXT(BCP_Soles[[#This Row],[FECHA]],"mmmm"),0)</f>
        <v>Enero</v>
      </c>
    </row>
    <row r="78" spans="2:28" x14ac:dyDescent="0.3">
      <c r="B78" s="2">
        <f>IF(BCP_Soles[[#This Row],[TIPO DE R.]]="R",COUNTIFS($D$4:$D77,"R")+1,"")</f>
        <v>55</v>
      </c>
      <c r="C78" s="19" t="str">
        <f t="shared" si="5"/>
        <v>B-BCP - Soles</v>
      </c>
      <c r="D78" s="3" t="s">
        <v>1074</v>
      </c>
      <c r="E78" s="14">
        <v>45666</v>
      </c>
      <c r="F78" s="5" t="s">
        <v>1158</v>
      </c>
      <c r="G78" s="5" t="s">
        <v>1079</v>
      </c>
      <c r="H78" s="6"/>
      <c r="I78" s="6"/>
      <c r="J78" s="6"/>
      <c r="K78" s="6"/>
      <c r="L78" s="7" t="s">
        <v>1200</v>
      </c>
      <c r="M78" s="8">
        <v>1000806</v>
      </c>
      <c r="N78" s="8" t="str">
        <f t="shared" si="6"/>
        <v>PEN</v>
      </c>
      <c r="O78" s="13"/>
      <c r="P78" s="13">
        <v>3310</v>
      </c>
      <c r="Q78" s="3">
        <f t="shared" si="7"/>
        <v>0</v>
      </c>
      <c r="R78" s="3">
        <f t="shared" si="8"/>
        <v>3310</v>
      </c>
      <c r="S78" s="3">
        <f t="shared" si="9"/>
        <v>39138.68</v>
      </c>
      <c r="T78" s="24"/>
      <c r="U78" s="24"/>
      <c r="V78" s="67"/>
      <c r="W78" s="25" t="str">
        <f>IFERROR(VLOOKUP(BCP_Soles[[#This Row],[DESTINATARIO]],CHOOSE({1,2},Clientes_Proveedores[Razon Social],Clientes_Proveedores[Ruc / Dni]),2,0),"")</f>
        <v/>
      </c>
      <c r="X78" s="25" t="s">
        <v>1133</v>
      </c>
      <c r="Y78" s="25"/>
      <c r="Z78" s="25"/>
      <c r="AA78" s="99"/>
      <c r="AB78" s="3" t="str">
        <f>IF(BCP_Soles[[#This Row],[FECHA]]&gt;0,TEXT(BCP_Soles[[#This Row],[FECHA]],"mmmm"),0)</f>
        <v>Enero</v>
      </c>
    </row>
    <row r="79" spans="2:28" x14ac:dyDescent="0.3">
      <c r="B79" s="2">
        <f>IF(BCP_Soles[[#This Row],[TIPO DE R.]]="R",COUNTIFS($D$4:$D78,"R")+1,"")</f>
        <v>56</v>
      </c>
      <c r="C79" s="19" t="str">
        <f t="shared" si="5"/>
        <v>B-BCP - Soles</v>
      </c>
      <c r="D79" s="3" t="s">
        <v>1074</v>
      </c>
      <c r="E79" s="14">
        <v>45666</v>
      </c>
      <c r="F79" s="5" t="s">
        <v>1082</v>
      </c>
      <c r="G79" s="5" t="s">
        <v>1079</v>
      </c>
      <c r="H79" s="6"/>
      <c r="I79" s="6"/>
      <c r="J79" s="6"/>
      <c r="K79" s="6"/>
      <c r="L79" s="7" t="s">
        <v>1201</v>
      </c>
      <c r="M79" s="8">
        <v>9885813</v>
      </c>
      <c r="N79" s="8" t="str">
        <f t="shared" si="6"/>
        <v>PEN</v>
      </c>
      <c r="O79" s="13"/>
      <c r="P79" s="13">
        <v>12599.49</v>
      </c>
      <c r="Q79" s="3">
        <f t="shared" si="7"/>
        <v>0</v>
      </c>
      <c r="R79" s="3">
        <f t="shared" si="8"/>
        <v>12599.49</v>
      </c>
      <c r="S79" s="3">
        <f t="shared" si="9"/>
        <v>26539.190000000002</v>
      </c>
      <c r="T79" s="24" t="s">
        <v>1081</v>
      </c>
      <c r="U79" s="24"/>
      <c r="V79" s="67"/>
      <c r="W79" s="25" t="str">
        <f>IFERROR(VLOOKUP(BCP_Soles[[#This Row],[DESTINATARIO]],CHOOSE({1,2},Clientes_Proveedores[Razon Social],Clientes_Proveedores[Ruc / Dni]),2,0),"")</f>
        <v/>
      </c>
      <c r="X79" s="25" t="s">
        <v>1118</v>
      </c>
      <c r="Y79" s="25"/>
      <c r="Z79" s="25"/>
      <c r="AA79" s="99"/>
      <c r="AB79" s="3" t="str">
        <f>IF(BCP_Soles[[#This Row],[FECHA]]&gt;0,TEXT(BCP_Soles[[#This Row],[FECHA]],"mmmm"),0)</f>
        <v>Enero</v>
      </c>
    </row>
    <row r="80" spans="2:28" x14ac:dyDescent="0.3">
      <c r="B80" s="2" t="str">
        <f>IF(BCP_Soles[[#This Row],[TIPO DE R.]]="R",COUNTIFS($D$4:$D79,"R")+1,"")</f>
        <v/>
      </c>
      <c r="C80" s="19" t="str">
        <f t="shared" si="5"/>
        <v>B-BCP - Soles</v>
      </c>
      <c r="D80" s="3" t="s">
        <v>1101</v>
      </c>
      <c r="E80" s="14">
        <v>45666</v>
      </c>
      <c r="F80" s="5" t="s">
        <v>1082</v>
      </c>
      <c r="G80" s="5"/>
      <c r="H80" s="6" t="s">
        <v>289</v>
      </c>
      <c r="I80" s="6" t="s">
        <v>14</v>
      </c>
      <c r="J80" s="6" t="s">
        <v>1202</v>
      </c>
      <c r="K80" s="6">
        <v>37937</v>
      </c>
      <c r="L80" s="7" t="s">
        <v>1201</v>
      </c>
      <c r="M80" s="8">
        <v>9885813</v>
      </c>
      <c r="N80" s="8" t="str">
        <f t="shared" si="6"/>
        <v>PEN</v>
      </c>
      <c r="O80" s="13">
        <v>1719.79</v>
      </c>
      <c r="P80" s="13"/>
      <c r="Q80" s="3">
        <f t="shared" si="7"/>
        <v>0</v>
      </c>
      <c r="R80" s="3">
        <f t="shared" si="8"/>
        <v>0</v>
      </c>
      <c r="S80" s="3">
        <f t="shared" si="9"/>
        <v>26539.190000000002</v>
      </c>
      <c r="T80" s="24"/>
      <c r="U80" s="24"/>
      <c r="V80" s="67"/>
      <c r="W80" s="25">
        <f>IFERROR(VLOOKUP(BCP_Soles[[#This Row],[DESTINATARIO]],CHOOSE({1,2},Clientes_Proveedores[Razon Social],Clientes_Proveedores[Ruc / Dni]),2,0),"")</f>
        <v>20505675836</v>
      </c>
      <c r="X80" s="25"/>
      <c r="Y80" s="25"/>
      <c r="Z80" s="25"/>
      <c r="AA80" s="99"/>
      <c r="AB80" s="3" t="str">
        <f>IF(BCP_Soles[[#This Row],[FECHA]]&gt;0,TEXT(BCP_Soles[[#This Row],[FECHA]],"mmmm"),0)</f>
        <v>Enero</v>
      </c>
    </row>
    <row r="81" spans="2:28" x14ac:dyDescent="0.3">
      <c r="B81" s="2" t="str">
        <f>IF(BCP_Soles[[#This Row],[TIPO DE R.]]="R",COUNTIFS($D$4:$D80,"R")+1,"")</f>
        <v/>
      </c>
      <c r="C81" s="19" t="str">
        <f t="shared" si="5"/>
        <v>B-BCP - Soles</v>
      </c>
      <c r="D81" s="3" t="s">
        <v>1101</v>
      </c>
      <c r="E81" s="14">
        <v>45666</v>
      </c>
      <c r="F81" s="5" t="s">
        <v>1082</v>
      </c>
      <c r="G81" s="5"/>
      <c r="H81" s="6" t="s">
        <v>289</v>
      </c>
      <c r="I81" s="6" t="s">
        <v>14</v>
      </c>
      <c r="J81" s="6" t="s">
        <v>1202</v>
      </c>
      <c r="K81" s="6">
        <v>37938</v>
      </c>
      <c r="L81" s="7" t="s">
        <v>1201</v>
      </c>
      <c r="M81" s="8">
        <v>9885813</v>
      </c>
      <c r="N81" s="8" t="str">
        <f t="shared" si="6"/>
        <v>PEN</v>
      </c>
      <c r="O81" s="13">
        <v>3506.9</v>
      </c>
      <c r="P81" s="13"/>
      <c r="Q81" s="3">
        <f t="shared" si="7"/>
        <v>0</v>
      </c>
      <c r="R81" s="3">
        <f t="shared" si="8"/>
        <v>0</v>
      </c>
      <c r="S81" s="3">
        <f t="shared" si="9"/>
        <v>26539.190000000002</v>
      </c>
      <c r="T81" s="24"/>
      <c r="U81" s="24"/>
      <c r="V81" s="67"/>
      <c r="W81" s="25">
        <f>IFERROR(VLOOKUP(BCP_Soles[[#This Row],[DESTINATARIO]],CHOOSE({1,2},Clientes_Proveedores[Razon Social],Clientes_Proveedores[Ruc / Dni]),2,0),"")</f>
        <v>20505675836</v>
      </c>
      <c r="X81" s="25"/>
      <c r="Y81" s="25"/>
      <c r="Z81" s="25"/>
      <c r="AA81" s="99"/>
      <c r="AB81" s="3" t="str">
        <f>IF(BCP_Soles[[#This Row],[FECHA]]&gt;0,TEXT(BCP_Soles[[#This Row],[FECHA]],"mmmm"),0)</f>
        <v>Enero</v>
      </c>
    </row>
    <row r="82" spans="2:28" x14ac:dyDescent="0.3">
      <c r="B82" s="2" t="str">
        <f>IF(BCP_Soles[[#This Row],[TIPO DE R.]]="R",COUNTIFS($D$4:$D81,"R")+1,"")</f>
        <v/>
      </c>
      <c r="C82" s="19" t="str">
        <f t="shared" si="5"/>
        <v>B-BCP - Soles</v>
      </c>
      <c r="D82" s="3" t="s">
        <v>1101</v>
      </c>
      <c r="E82" s="14">
        <v>45666</v>
      </c>
      <c r="F82" s="5" t="s">
        <v>1082</v>
      </c>
      <c r="G82" s="5"/>
      <c r="H82" s="6" t="s">
        <v>289</v>
      </c>
      <c r="I82" s="6" t="s">
        <v>14</v>
      </c>
      <c r="J82" s="6" t="s">
        <v>1202</v>
      </c>
      <c r="K82" s="6">
        <v>38021</v>
      </c>
      <c r="L82" s="7" t="s">
        <v>1201</v>
      </c>
      <c r="M82" s="8">
        <v>9885813</v>
      </c>
      <c r="N82" s="8" t="str">
        <f t="shared" si="6"/>
        <v>PEN</v>
      </c>
      <c r="O82" s="13">
        <v>1844.7</v>
      </c>
      <c r="P82" s="13"/>
      <c r="Q82" s="3">
        <f t="shared" si="7"/>
        <v>0</v>
      </c>
      <c r="R82" s="3">
        <f t="shared" si="8"/>
        <v>0</v>
      </c>
      <c r="S82" s="3">
        <f t="shared" si="9"/>
        <v>26539.190000000002</v>
      </c>
      <c r="T82" s="24"/>
      <c r="U82" s="24"/>
      <c r="V82" s="67"/>
      <c r="W82" s="25">
        <f>IFERROR(VLOOKUP(BCP_Soles[[#This Row],[DESTINATARIO]],CHOOSE({1,2},Clientes_Proveedores[Razon Social],Clientes_Proveedores[Ruc / Dni]),2,0),"")</f>
        <v>20505675836</v>
      </c>
      <c r="X82" s="25"/>
      <c r="Y82" s="25"/>
      <c r="Z82" s="25"/>
      <c r="AA82" s="99"/>
      <c r="AB82" s="3" t="str">
        <f>IF(BCP_Soles[[#This Row],[FECHA]]&gt;0,TEXT(BCP_Soles[[#This Row],[FECHA]],"mmmm"),0)</f>
        <v>Enero</v>
      </c>
    </row>
    <row r="83" spans="2:28" x14ac:dyDescent="0.3">
      <c r="B83" s="2" t="str">
        <f>IF(BCP_Soles[[#This Row],[TIPO DE R.]]="R",COUNTIFS($D$4:$D82,"R")+1,"")</f>
        <v/>
      </c>
      <c r="C83" s="19" t="str">
        <f t="shared" si="5"/>
        <v>B-BCP - Soles</v>
      </c>
      <c r="D83" s="3" t="s">
        <v>1101</v>
      </c>
      <c r="E83" s="14">
        <v>45666</v>
      </c>
      <c r="F83" s="5" t="s">
        <v>1082</v>
      </c>
      <c r="G83" s="5"/>
      <c r="H83" s="6" t="s">
        <v>289</v>
      </c>
      <c r="I83" s="6" t="s">
        <v>14</v>
      </c>
      <c r="J83" s="6" t="s">
        <v>1202</v>
      </c>
      <c r="K83" s="6">
        <v>38020</v>
      </c>
      <c r="L83" s="7" t="s">
        <v>1201</v>
      </c>
      <c r="M83" s="8">
        <v>9885813</v>
      </c>
      <c r="N83" s="8" t="str">
        <f t="shared" si="6"/>
        <v>PEN</v>
      </c>
      <c r="O83" s="13">
        <v>2189.6</v>
      </c>
      <c r="P83" s="13"/>
      <c r="Q83" s="3">
        <f t="shared" si="7"/>
        <v>0</v>
      </c>
      <c r="R83" s="3">
        <f t="shared" si="8"/>
        <v>0</v>
      </c>
      <c r="S83" s="3">
        <f t="shared" si="9"/>
        <v>26539.190000000002</v>
      </c>
      <c r="T83" s="24"/>
      <c r="U83" s="24"/>
      <c r="V83" s="67"/>
      <c r="W83" s="25">
        <f>IFERROR(VLOOKUP(BCP_Soles[[#This Row],[DESTINATARIO]],CHOOSE({1,2},Clientes_Proveedores[Razon Social],Clientes_Proveedores[Ruc / Dni]),2,0),"")</f>
        <v>20505675836</v>
      </c>
      <c r="X83" s="25"/>
      <c r="Y83" s="25"/>
      <c r="Z83" s="25"/>
      <c r="AA83" s="99"/>
      <c r="AB83" s="3" t="str">
        <f>IF(BCP_Soles[[#This Row],[FECHA]]&gt;0,TEXT(BCP_Soles[[#This Row],[FECHA]],"mmmm"),0)</f>
        <v>Enero</v>
      </c>
    </row>
    <row r="84" spans="2:28" x14ac:dyDescent="0.3">
      <c r="B84" s="2" t="str">
        <f>IF(BCP_Soles[[#This Row],[TIPO DE R.]]="R",COUNTIFS($D$4:$D83,"R")+1,"")</f>
        <v/>
      </c>
      <c r="C84" s="19" t="str">
        <f t="shared" si="5"/>
        <v>B-BCP - Soles</v>
      </c>
      <c r="D84" s="3" t="s">
        <v>1101</v>
      </c>
      <c r="E84" s="14">
        <v>45666</v>
      </c>
      <c r="F84" s="5" t="s">
        <v>1082</v>
      </c>
      <c r="G84" s="5"/>
      <c r="H84" s="6" t="s">
        <v>289</v>
      </c>
      <c r="I84" s="6" t="s">
        <v>14</v>
      </c>
      <c r="J84" s="6" t="s">
        <v>1202</v>
      </c>
      <c r="K84" s="6">
        <v>38075</v>
      </c>
      <c r="L84" s="7" t="s">
        <v>1201</v>
      </c>
      <c r="M84" s="8">
        <v>9885813</v>
      </c>
      <c r="N84" s="8" t="str">
        <f t="shared" si="6"/>
        <v>PEN</v>
      </c>
      <c r="O84" s="13">
        <v>3059.91</v>
      </c>
      <c r="P84" s="13"/>
      <c r="Q84" s="3">
        <f t="shared" si="7"/>
        <v>0</v>
      </c>
      <c r="R84" s="3">
        <f t="shared" si="8"/>
        <v>0</v>
      </c>
      <c r="S84" s="3">
        <f t="shared" si="9"/>
        <v>26539.190000000002</v>
      </c>
      <c r="T84" s="24"/>
      <c r="U84" s="24"/>
      <c r="V84" s="67"/>
      <c r="W84" s="25">
        <f>IFERROR(VLOOKUP(BCP_Soles[[#This Row],[DESTINATARIO]],CHOOSE({1,2},Clientes_Proveedores[Razon Social],Clientes_Proveedores[Ruc / Dni]),2,0),"")</f>
        <v>20505675836</v>
      </c>
      <c r="X84" s="25"/>
      <c r="Y84" s="25"/>
      <c r="Z84" s="25"/>
      <c r="AA84" s="99"/>
      <c r="AB84" s="3" t="str">
        <f>IF(BCP_Soles[[#This Row],[FECHA]]&gt;0,TEXT(BCP_Soles[[#This Row],[FECHA]],"mmmm"),0)</f>
        <v>Enero</v>
      </c>
    </row>
    <row r="85" spans="2:28" x14ac:dyDescent="0.3">
      <c r="B85" s="2" t="str">
        <f>IF(BCP_Soles[[#This Row],[TIPO DE R.]]="R",COUNTIFS($D$4:$D84,"R")+1,"")</f>
        <v/>
      </c>
      <c r="C85" s="19" t="str">
        <f t="shared" si="5"/>
        <v>B-BCP - Soles</v>
      </c>
      <c r="D85" s="3" t="s">
        <v>1101</v>
      </c>
      <c r="E85" s="14">
        <v>45666</v>
      </c>
      <c r="F85" s="5" t="s">
        <v>1082</v>
      </c>
      <c r="G85" s="5"/>
      <c r="H85" s="6" t="s">
        <v>289</v>
      </c>
      <c r="I85" s="6" t="s">
        <v>14</v>
      </c>
      <c r="J85" s="6" t="s">
        <v>1202</v>
      </c>
      <c r="K85" s="6">
        <v>38076</v>
      </c>
      <c r="L85" s="7" t="s">
        <v>1201</v>
      </c>
      <c r="M85" s="8">
        <v>9885813</v>
      </c>
      <c r="N85" s="8" t="str">
        <f t="shared" si="6"/>
        <v>PEN</v>
      </c>
      <c r="O85" s="13">
        <v>278.58999999999997</v>
      </c>
      <c r="P85" s="13"/>
      <c r="Q85" s="3">
        <f t="shared" si="7"/>
        <v>0</v>
      </c>
      <c r="R85" s="3">
        <f t="shared" si="8"/>
        <v>0</v>
      </c>
      <c r="S85" s="3">
        <f t="shared" si="9"/>
        <v>26539.190000000002</v>
      </c>
      <c r="T85" s="24"/>
      <c r="U85" s="24"/>
      <c r="V85" s="67"/>
      <c r="W85" s="25">
        <f>IFERROR(VLOOKUP(BCP_Soles[[#This Row],[DESTINATARIO]],CHOOSE({1,2},Clientes_Proveedores[Razon Social],Clientes_Proveedores[Ruc / Dni]),2,0),"")</f>
        <v>20505675836</v>
      </c>
      <c r="X85" s="25"/>
      <c r="Y85" s="25"/>
      <c r="Z85" s="25"/>
      <c r="AA85" s="99"/>
      <c r="AB85" s="3" t="str">
        <f>IF(BCP_Soles[[#This Row],[FECHA]]&gt;0,TEXT(BCP_Soles[[#This Row],[FECHA]],"mmmm"),0)</f>
        <v>Enero</v>
      </c>
    </row>
    <row r="86" spans="2:28" ht="24" x14ac:dyDescent="0.3">
      <c r="B86" s="2">
        <f>IF(BCP_Soles[[#This Row],[TIPO DE R.]]="R",COUNTIFS($D$4:$D85,"R")+1,"")</f>
        <v>57</v>
      </c>
      <c r="C86" s="19" t="str">
        <f t="shared" si="5"/>
        <v>B-BCP - Soles</v>
      </c>
      <c r="D86" s="3" t="s">
        <v>1074</v>
      </c>
      <c r="E86" s="14">
        <v>45666</v>
      </c>
      <c r="F86" s="5" t="s">
        <v>1082</v>
      </c>
      <c r="G86" s="5" t="s">
        <v>1079</v>
      </c>
      <c r="H86" s="6"/>
      <c r="I86" s="6"/>
      <c r="J86" s="6"/>
      <c r="K86" s="6"/>
      <c r="L86" s="7" t="s">
        <v>1203</v>
      </c>
      <c r="M86" s="8">
        <v>1157189</v>
      </c>
      <c r="N86" s="8" t="str">
        <f t="shared" si="6"/>
        <v>PEN</v>
      </c>
      <c r="O86" s="13"/>
      <c r="P86" s="13">
        <v>51.2</v>
      </c>
      <c r="Q86" s="3">
        <f t="shared" si="7"/>
        <v>0</v>
      </c>
      <c r="R86" s="3">
        <f t="shared" si="8"/>
        <v>51.2</v>
      </c>
      <c r="S86" s="3">
        <f t="shared" si="9"/>
        <v>26487.99</v>
      </c>
      <c r="T86" s="24"/>
      <c r="U86" s="24"/>
      <c r="V86" s="67"/>
      <c r="W86" s="25" t="str">
        <f>IFERROR(VLOOKUP(BCP_Soles[[#This Row],[DESTINATARIO]],CHOOSE({1,2},Clientes_Proveedores[Razon Social],Clientes_Proveedores[Ruc / Dni]),2,0),"")</f>
        <v/>
      </c>
      <c r="X86" s="25" t="s">
        <v>836</v>
      </c>
      <c r="Y86" s="25"/>
      <c r="Z86" s="25"/>
      <c r="AA86" s="99"/>
      <c r="AB86" s="3" t="str">
        <f>IF(BCP_Soles[[#This Row],[FECHA]]&gt;0,TEXT(BCP_Soles[[#This Row],[FECHA]],"mmmm"),0)</f>
        <v>Enero</v>
      </c>
    </row>
    <row r="87" spans="2:28" ht="36" x14ac:dyDescent="0.3">
      <c r="B87" s="2">
        <f>IF(BCP_Soles[[#This Row],[TIPO DE R.]]="R",COUNTIFS($D$4:$D86,"R")+1,"")</f>
        <v>58</v>
      </c>
      <c r="C87" s="19" t="str">
        <f t="shared" si="5"/>
        <v>B-BCP - Soles</v>
      </c>
      <c r="D87" s="3" t="s">
        <v>1074</v>
      </c>
      <c r="E87" s="14">
        <v>45666</v>
      </c>
      <c r="F87" s="5" t="s">
        <v>1082</v>
      </c>
      <c r="G87" s="5" t="s">
        <v>1079</v>
      </c>
      <c r="H87" s="6" t="s">
        <v>644</v>
      </c>
      <c r="I87" s="6" t="s">
        <v>14</v>
      </c>
      <c r="J87" s="6" t="s">
        <v>1204</v>
      </c>
      <c r="K87" s="6">
        <v>473371</v>
      </c>
      <c r="L87" s="7" t="s">
        <v>1205</v>
      </c>
      <c r="M87" s="8">
        <v>169149</v>
      </c>
      <c r="N87" s="8" t="str">
        <f t="shared" si="6"/>
        <v>PEN</v>
      </c>
      <c r="O87" s="13"/>
      <c r="P87" s="13">
        <v>2496.12</v>
      </c>
      <c r="Q87" s="3">
        <f t="shared" si="7"/>
        <v>0</v>
      </c>
      <c r="R87" s="3">
        <f t="shared" si="8"/>
        <v>2496.12</v>
      </c>
      <c r="S87" s="3">
        <f t="shared" si="9"/>
        <v>23991.870000000003</v>
      </c>
      <c r="T87" s="24" t="s">
        <v>1081</v>
      </c>
      <c r="U87" s="24" t="s">
        <v>1081</v>
      </c>
      <c r="V87" s="67"/>
      <c r="W87" s="25">
        <f>IFERROR(VLOOKUP(BCP_Soles[[#This Row],[DESTINATARIO]],CHOOSE({1,2},Clientes_Proveedores[Razon Social],Clientes_Proveedores[Ruc / Dni]),2,0),"")</f>
        <v>20454073143</v>
      </c>
      <c r="X87" s="25" t="s">
        <v>1206</v>
      </c>
      <c r="Y87" s="25" t="s">
        <v>1207</v>
      </c>
      <c r="Z87" s="25"/>
      <c r="AA87" s="99"/>
      <c r="AB87" s="3" t="str">
        <f>IF(BCP_Soles[[#This Row],[FECHA]]&gt;0,TEXT(BCP_Soles[[#This Row],[FECHA]],"mmmm"),0)</f>
        <v>Enero</v>
      </c>
    </row>
    <row r="88" spans="2:28" x14ac:dyDescent="0.3">
      <c r="B88" s="2">
        <f>IF(BCP_Soles[[#This Row],[TIPO DE R.]]="R",COUNTIFS($D$4:$D87,"R")+1,"")</f>
        <v>59</v>
      </c>
      <c r="C88" s="19" t="str">
        <f t="shared" si="5"/>
        <v>B-BCP - Soles</v>
      </c>
      <c r="D88" s="3" t="s">
        <v>1074</v>
      </c>
      <c r="E88" s="14">
        <v>45666</v>
      </c>
      <c r="F88" s="5" t="s">
        <v>1078</v>
      </c>
      <c r="G88" s="5" t="s">
        <v>1079</v>
      </c>
      <c r="H88" s="6"/>
      <c r="I88" s="6"/>
      <c r="J88" s="6"/>
      <c r="K88" s="6"/>
      <c r="L88" s="7" t="s">
        <v>1080</v>
      </c>
      <c r="M88" s="8"/>
      <c r="N88" s="8" t="str">
        <f t="shared" si="6"/>
        <v>PEN</v>
      </c>
      <c r="O88" s="13"/>
      <c r="P88" s="13">
        <v>0.95</v>
      </c>
      <c r="Q88" s="3">
        <f t="shared" si="7"/>
        <v>0</v>
      </c>
      <c r="R88" s="3">
        <f t="shared" si="8"/>
        <v>0.95</v>
      </c>
      <c r="S88" s="3">
        <f t="shared" si="9"/>
        <v>23990.920000000002</v>
      </c>
      <c r="T88" s="24"/>
      <c r="U88" s="24" t="s">
        <v>1081</v>
      </c>
      <c r="V88" s="67"/>
      <c r="W88" s="25" t="str">
        <f>IFERROR(VLOOKUP(BCP_Soles[[#This Row],[DESTINATARIO]],CHOOSE({1,2},Clientes_Proveedores[Razon Social],Clientes_Proveedores[Ruc / Dni]),2,0),"")</f>
        <v/>
      </c>
      <c r="X88" s="25"/>
      <c r="Y88" s="25"/>
      <c r="Z88" s="25"/>
      <c r="AA88" s="99"/>
      <c r="AB88" s="3" t="str">
        <f>IF(BCP_Soles[[#This Row],[FECHA]]&gt;0,TEXT(BCP_Soles[[#This Row],[FECHA]],"mmmm"),0)</f>
        <v>Enero</v>
      </c>
    </row>
    <row r="89" spans="2:28" ht="48" x14ac:dyDescent="0.3">
      <c r="B89" s="2">
        <f>IF(BCP_Soles[[#This Row],[TIPO DE R.]]="R",COUNTIFS($D$4:$D88,"R")+1,"")</f>
        <v>60</v>
      </c>
      <c r="C89" s="19" t="str">
        <f t="shared" si="5"/>
        <v>B-BCP - Soles</v>
      </c>
      <c r="D89" s="3" t="s">
        <v>1074</v>
      </c>
      <c r="E89" s="14">
        <v>45666</v>
      </c>
      <c r="F89" s="5" t="s">
        <v>1082</v>
      </c>
      <c r="G89" s="5" t="s">
        <v>1079</v>
      </c>
      <c r="H89" s="6" t="s">
        <v>311</v>
      </c>
      <c r="I89" s="6" t="s">
        <v>14</v>
      </c>
      <c r="J89" s="6" t="s">
        <v>1202</v>
      </c>
      <c r="K89" s="6">
        <v>1541</v>
      </c>
      <c r="L89" s="7" t="s">
        <v>1208</v>
      </c>
      <c r="M89" s="8">
        <v>1202152</v>
      </c>
      <c r="N89" s="8" t="str">
        <f t="shared" si="6"/>
        <v>PEN</v>
      </c>
      <c r="O89" s="13"/>
      <c r="P89" s="13">
        <v>4152.2</v>
      </c>
      <c r="Q89" s="3">
        <f t="shared" si="7"/>
        <v>0</v>
      </c>
      <c r="R89" s="3">
        <f t="shared" si="8"/>
        <v>4152.2</v>
      </c>
      <c r="S89" s="3">
        <f t="shared" si="9"/>
        <v>19838.72</v>
      </c>
      <c r="T89" s="24" t="s">
        <v>1081</v>
      </c>
      <c r="U89" s="24" t="s">
        <v>1081</v>
      </c>
      <c r="V89" s="67"/>
      <c r="W89" s="25">
        <f>IFERROR(VLOOKUP(BCP_Soles[[#This Row],[DESTINATARIO]],CHOOSE({1,2},Clientes_Proveedores[Razon Social],Clientes_Proveedores[Ruc / Dni]),2,0),"")</f>
        <v>20517932346</v>
      </c>
      <c r="X89" s="25" t="s">
        <v>1209</v>
      </c>
      <c r="Y89" s="25" t="s">
        <v>1210</v>
      </c>
      <c r="Z89" s="25"/>
      <c r="AA89" s="99"/>
      <c r="AB89" s="3" t="str">
        <f>IF(BCP_Soles[[#This Row],[FECHA]]&gt;0,TEXT(BCP_Soles[[#This Row],[FECHA]],"mmmm"),0)</f>
        <v>Enero</v>
      </c>
    </row>
    <row r="90" spans="2:28" ht="24" x14ac:dyDescent="0.3">
      <c r="B90" s="2">
        <f>IF(BCP_Soles[[#This Row],[TIPO DE R.]]="R",COUNTIFS($D$4:$D89,"R")+1,"")</f>
        <v>61</v>
      </c>
      <c r="C90" s="19" t="str">
        <f t="shared" si="5"/>
        <v>B-BCP - Soles</v>
      </c>
      <c r="D90" s="3" t="s">
        <v>1074</v>
      </c>
      <c r="E90" s="14">
        <v>45666</v>
      </c>
      <c r="F90" s="5" t="s">
        <v>1082</v>
      </c>
      <c r="G90" s="5" t="s">
        <v>1079</v>
      </c>
      <c r="H90" s="6" t="s">
        <v>807</v>
      </c>
      <c r="I90" s="6" t="s">
        <v>87</v>
      </c>
      <c r="J90" s="6">
        <v>1</v>
      </c>
      <c r="K90" s="6">
        <v>22025</v>
      </c>
      <c r="L90" s="7" t="s">
        <v>1211</v>
      </c>
      <c r="M90" s="8">
        <v>1245256</v>
      </c>
      <c r="N90" s="8" t="str">
        <f t="shared" si="6"/>
        <v>PEN</v>
      </c>
      <c r="O90" s="13"/>
      <c r="P90" s="13">
        <v>150</v>
      </c>
      <c r="Q90" s="3">
        <f t="shared" si="7"/>
        <v>0</v>
      </c>
      <c r="R90" s="3">
        <f t="shared" si="8"/>
        <v>150</v>
      </c>
      <c r="S90" s="3">
        <f t="shared" si="9"/>
        <v>19688.72</v>
      </c>
      <c r="T90" s="24" t="s">
        <v>1081</v>
      </c>
      <c r="U90" s="24" t="s">
        <v>1081</v>
      </c>
      <c r="V90" s="67"/>
      <c r="W90" s="25">
        <f>IFERROR(VLOOKUP(BCP_Soles[[#This Row],[DESTINATARIO]],CHOOSE({1,2},Clientes_Proveedores[Razon Social],Clientes_Proveedores[Ruc / Dni]),2,0),"")</f>
        <v>45921913</v>
      </c>
      <c r="X90" s="25"/>
      <c r="Y90" s="25"/>
      <c r="Z90" s="25"/>
      <c r="AA90" s="99"/>
      <c r="AB90" s="3" t="str">
        <f>IF(BCP_Soles[[#This Row],[FECHA]]&gt;0,TEXT(BCP_Soles[[#This Row],[FECHA]],"mmmm"),0)</f>
        <v>Enero</v>
      </c>
    </row>
    <row r="91" spans="2:28" x14ac:dyDescent="0.3">
      <c r="B91" s="2">
        <f>IF(BCP_Soles[[#This Row],[TIPO DE R.]]="R",COUNTIFS($D$4:$D90,"R")+1,"")</f>
        <v>62</v>
      </c>
      <c r="C91" s="19" t="str">
        <f t="shared" si="5"/>
        <v>B-BCP - Soles</v>
      </c>
      <c r="D91" s="3" t="s">
        <v>1074</v>
      </c>
      <c r="E91" s="14">
        <v>45666</v>
      </c>
      <c r="F91" s="5" t="s">
        <v>1078</v>
      </c>
      <c r="G91" s="5" t="s">
        <v>1079</v>
      </c>
      <c r="H91" s="6"/>
      <c r="I91" s="6"/>
      <c r="J91" s="6"/>
      <c r="K91" s="6"/>
      <c r="L91" s="7" t="s">
        <v>1141</v>
      </c>
      <c r="M91" s="8">
        <v>536</v>
      </c>
      <c r="N91" s="8" t="str">
        <f t="shared" si="6"/>
        <v>PEN</v>
      </c>
      <c r="O91" s="13"/>
      <c r="P91" s="13">
        <v>3.5</v>
      </c>
      <c r="Q91" s="3">
        <f t="shared" si="7"/>
        <v>0</v>
      </c>
      <c r="R91" s="3">
        <f t="shared" si="8"/>
        <v>3.5</v>
      </c>
      <c r="S91" s="3">
        <f t="shared" si="9"/>
        <v>19685.22</v>
      </c>
      <c r="T91" s="24"/>
      <c r="U91" s="24" t="s">
        <v>1081</v>
      </c>
      <c r="V91" s="67"/>
      <c r="W91" s="25" t="str">
        <f>IFERROR(VLOOKUP(BCP_Soles[[#This Row],[DESTINATARIO]],CHOOSE({1,2},Clientes_Proveedores[Razon Social],Clientes_Proveedores[Ruc / Dni]),2,0),"")</f>
        <v/>
      </c>
      <c r="X91" s="25" t="s">
        <v>1078</v>
      </c>
      <c r="Y91" s="25" t="s">
        <v>1212</v>
      </c>
      <c r="Z91" s="25"/>
      <c r="AA91" s="99"/>
      <c r="AB91" s="3" t="str">
        <f>IF(BCP_Soles[[#This Row],[FECHA]]&gt;0,TEXT(BCP_Soles[[#This Row],[FECHA]],"mmmm"),0)</f>
        <v>Enero</v>
      </c>
    </row>
    <row r="92" spans="2:28" x14ac:dyDescent="0.3">
      <c r="B92" s="2">
        <f>IF(BCP_Soles[[#This Row],[TIPO DE R.]]="R",COUNTIFS($D$4:$D91,"R")+1,"")</f>
        <v>63</v>
      </c>
      <c r="C92" s="19" t="str">
        <f t="shared" si="5"/>
        <v>B-BCP - Soles</v>
      </c>
      <c r="D92" s="3" t="s">
        <v>1074</v>
      </c>
      <c r="E92" s="14">
        <v>45667</v>
      </c>
      <c r="F92" s="5" t="s">
        <v>1078</v>
      </c>
      <c r="G92" s="5" t="s">
        <v>1079</v>
      </c>
      <c r="H92" s="6"/>
      <c r="I92" s="6"/>
      <c r="J92" s="6"/>
      <c r="K92" s="6"/>
      <c r="L92" s="7" t="s">
        <v>1080</v>
      </c>
      <c r="M92" s="8"/>
      <c r="N92" s="8" t="str">
        <f t="shared" si="6"/>
        <v>PEN</v>
      </c>
      <c r="O92" s="13"/>
      <c r="P92" s="13">
        <v>0.65</v>
      </c>
      <c r="Q92" s="3">
        <f t="shared" si="7"/>
        <v>0</v>
      </c>
      <c r="R92" s="3">
        <f t="shared" si="8"/>
        <v>0.65</v>
      </c>
      <c r="S92" s="3">
        <f t="shared" si="9"/>
        <v>19684.57</v>
      </c>
      <c r="T92" s="24"/>
      <c r="U92" s="24" t="s">
        <v>1081</v>
      </c>
      <c r="V92" s="67"/>
      <c r="W92" s="25" t="str">
        <f>IFERROR(VLOOKUP(BCP_Soles[[#This Row],[DESTINATARIO]],CHOOSE({1,2},Clientes_Proveedores[Razon Social],Clientes_Proveedores[Ruc / Dni]),2,0),"")</f>
        <v/>
      </c>
      <c r="X92" s="25"/>
      <c r="Y92" s="25"/>
      <c r="Z92" s="25"/>
      <c r="AA92" s="99"/>
      <c r="AB92" s="3" t="str">
        <f>IF(BCP_Soles[[#This Row],[FECHA]]&gt;0,TEXT(BCP_Soles[[#This Row],[FECHA]],"mmmm"),0)</f>
        <v>Enero</v>
      </c>
    </row>
    <row r="93" spans="2:28" x14ac:dyDescent="0.3">
      <c r="B93" s="2">
        <f>IF(BCP_Soles[[#This Row],[TIPO DE R.]]="R",COUNTIFS($D$4:$D92,"R")+1,"")</f>
        <v>64</v>
      </c>
      <c r="C93" s="19" t="str">
        <f t="shared" si="5"/>
        <v>B-BCP - Soles</v>
      </c>
      <c r="D93" s="3" t="s">
        <v>1074</v>
      </c>
      <c r="E93" s="14">
        <v>45667</v>
      </c>
      <c r="F93" s="5" t="s">
        <v>1082</v>
      </c>
      <c r="G93" s="5" t="s">
        <v>1079</v>
      </c>
      <c r="H93" s="6"/>
      <c r="I93" s="6"/>
      <c r="J93" s="6"/>
      <c r="K93" s="6"/>
      <c r="L93" s="7" t="s">
        <v>1213</v>
      </c>
      <c r="M93" s="8">
        <v>361519</v>
      </c>
      <c r="N93" s="8" t="str">
        <f t="shared" si="6"/>
        <v>PEN</v>
      </c>
      <c r="O93" s="13"/>
      <c r="P93" s="13">
        <v>4619.6000000000004</v>
      </c>
      <c r="Q93" s="3">
        <f t="shared" si="7"/>
        <v>0</v>
      </c>
      <c r="R93" s="3">
        <f t="shared" si="8"/>
        <v>4619.6000000000004</v>
      </c>
      <c r="S93" s="3">
        <f t="shared" si="9"/>
        <v>15064.97</v>
      </c>
      <c r="T93" s="24" t="s">
        <v>1081</v>
      </c>
      <c r="U93" s="24"/>
      <c r="V93" s="67"/>
      <c r="W93" s="25" t="str">
        <f>IFERROR(VLOOKUP(BCP_Soles[[#This Row],[DESTINATARIO]],CHOOSE({1,2},Clientes_Proveedores[Razon Social],Clientes_Proveedores[Ruc / Dni]),2,0),"")</f>
        <v/>
      </c>
      <c r="X93" s="25" t="s">
        <v>1118</v>
      </c>
      <c r="Y93" s="25"/>
      <c r="Z93" s="25"/>
      <c r="AA93" s="99"/>
      <c r="AB93" s="3" t="str">
        <f>IF(BCP_Soles[[#This Row],[FECHA]]&gt;0,TEXT(BCP_Soles[[#This Row],[FECHA]],"mmmm"),0)</f>
        <v>Enero</v>
      </c>
    </row>
    <row r="94" spans="2:28" ht="36" x14ac:dyDescent="0.3">
      <c r="B94" s="2" t="str">
        <f>IF(BCP_Soles[[#This Row],[TIPO DE R.]]="R",COUNTIFS($D$4:$D93,"R")+1,"")</f>
        <v/>
      </c>
      <c r="C94" s="19" t="str">
        <f t="shared" si="5"/>
        <v>B-BCP - Soles</v>
      </c>
      <c r="D94" s="3" t="s">
        <v>1101</v>
      </c>
      <c r="E94" s="14">
        <v>45667</v>
      </c>
      <c r="F94" s="5" t="s">
        <v>1082</v>
      </c>
      <c r="G94" s="5"/>
      <c r="H94" s="6" t="s">
        <v>417</v>
      </c>
      <c r="I94" s="6" t="s">
        <v>14</v>
      </c>
      <c r="J94" s="6" t="s">
        <v>1121</v>
      </c>
      <c r="K94" s="6">
        <v>687</v>
      </c>
      <c r="L94" s="7" t="s">
        <v>1213</v>
      </c>
      <c r="M94" s="8">
        <v>361519</v>
      </c>
      <c r="N94" s="8" t="str">
        <f t="shared" si="6"/>
        <v>PEN</v>
      </c>
      <c r="O94" s="13">
        <v>177</v>
      </c>
      <c r="P94" s="13"/>
      <c r="Q94" s="3">
        <f t="shared" si="7"/>
        <v>0</v>
      </c>
      <c r="R94" s="3">
        <f t="shared" si="8"/>
        <v>0</v>
      </c>
      <c r="S94" s="3">
        <f t="shared" si="9"/>
        <v>15064.97</v>
      </c>
      <c r="T94" s="24"/>
      <c r="U94" s="24"/>
      <c r="V94" s="67"/>
      <c r="W94" s="25">
        <f>IFERROR(VLOOKUP(BCP_Soles[[#This Row],[DESTINATARIO]],CHOOSE({1,2},Clientes_Proveedores[Razon Social],Clientes_Proveedores[Ruc / Dni]),2,0),"")</f>
        <v>20602075177</v>
      </c>
      <c r="X94" s="25"/>
      <c r="Y94" s="25"/>
      <c r="Z94" s="25"/>
      <c r="AA94" s="99"/>
      <c r="AB94" s="3" t="str">
        <f>IF(BCP_Soles[[#This Row],[FECHA]]&gt;0,TEXT(BCP_Soles[[#This Row],[FECHA]],"mmmm"),0)</f>
        <v>Enero</v>
      </c>
    </row>
    <row r="95" spans="2:28" ht="36" x14ac:dyDescent="0.3">
      <c r="B95" s="2" t="str">
        <f>IF(BCP_Soles[[#This Row],[TIPO DE R.]]="R",COUNTIFS($D$4:$D94,"R")+1,"")</f>
        <v/>
      </c>
      <c r="C95" s="19" t="str">
        <f t="shared" si="5"/>
        <v>B-BCP - Soles</v>
      </c>
      <c r="D95" s="3" t="s">
        <v>1101</v>
      </c>
      <c r="E95" s="14">
        <v>45667</v>
      </c>
      <c r="F95" s="5" t="s">
        <v>1082</v>
      </c>
      <c r="G95" s="5"/>
      <c r="H95" s="6" t="s">
        <v>417</v>
      </c>
      <c r="I95" s="6" t="s">
        <v>14</v>
      </c>
      <c r="J95" s="6" t="s">
        <v>1121</v>
      </c>
      <c r="K95" s="6">
        <v>686</v>
      </c>
      <c r="L95" s="7" t="s">
        <v>1213</v>
      </c>
      <c r="M95" s="8">
        <v>361519</v>
      </c>
      <c r="N95" s="8" t="str">
        <f t="shared" si="6"/>
        <v>PEN</v>
      </c>
      <c r="O95" s="13">
        <v>672</v>
      </c>
      <c r="P95" s="13"/>
      <c r="Q95" s="3">
        <f t="shared" si="7"/>
        <v>0</v>
      </c>
      <c r="R95" s="3">
        <f t="shared" si="8"/>
        <v>0</v>
      </c>
      <c r="S95" s="3">
        <f t="shared" si="9"/>
        <v>15064.97</v>
      </c>
      <c r="T95" s="24"/>
      <c r="U95" s="24"/>
      <c r="V95" s="67"/>
      <c r="W95" s="25">
        <f>IFERROR(VLOOKUP(BCP_Soles[[#This Row],[DESTINATARIO]],CHOOSE({1,2},Clientes_Proveedores[Razon Social],Clientes_Proveedores[Ruc / Dni]),2,0),"")</f>
        <v>20602075177</v>
      </c>
      <c r="X95" s="25"/>
      <c r="Y95" s="25"/>
      <c r="Z95" s="25"/>
      <c r="AA95" s="99"/>
      <c r="AB95" s="3" t="str">
        <f>IF(BCP_Soles[[#This Row],[FECHA]]&gt;0,TEXT(BCP_Soles[[#This Row],[FECHA]],"mmmm"),0)</f>
        <v>Enero</v>
      </c>
    </row>
    <row r="96" spans="2:28" ht="36" x14ac:dyDescent="0.3">
      <c r="B96" s="2" t="str">
        <f>IF(BCP_Soles[[#This Row],[TIPO DE R.]]="R",COUNTIFS($D$4:$D95,"R")+1,"")</f>
        <v/>
      </c>
      <c r="C96" s="19" t="str">
        <f t="shared" si="5"/>
        <v>B-BCP - Soles</v>
      </c>
      <c r="D96" s="3" t="s">
        <v>1101</v>
      </c>
      <c r="E96" s="14">
        <v>45667</v>
      </c>
      <c r="F96" s="5" t="s">
        <v>1082</v>
      </c>
      <c r="G96" s="5"/>
      <c r="H96" s="6" t="s">
        <v>417</v>
      </c>
      <c r="I96" s="6" t="s">
        <v>14</v>
      </c>
      <c r="J96" s="6" t="s">
        <v>1121</v>
      </c>
      <c r="K96" s="6">
        <v>683</v>
      </c>
      <c r="L96" s="7" t="s">
        <v>1213</v>
      </c>
      <c r="M96" s="8">
        <v>361519</v>
      </c>
      <c r="N96" s="8" t="str">
        <f t="shared" si="6"/>
        <v>PEN</v>
      </c>
      <c r="O96" s="13">
        <v>624</v>
      </c>
      <c r="P96" s="13"/>
      <c r="Q96" s="3">
        <f t="shared" si="7"/>
        <v>0</v>
      </c>
      <c r="R96" s="3">
        <f t="shared" si="8"/>
        <v>0</v>
      </c>
      <c r="S96" s="3">
        <f t="shared" si="9"/>
        <v>15064.97</v>
      </c>
      <c r="T96" s="24"/>
      <c r="U96" s="24"/>
      <c r="V96" s="67"/>
      <c r="W96" s="25">
        <f>IFERROR(VLOOKUP(BCP_Soles[[#This Row],[DESTINATARIO]],CHOOSE({1,2},Clientes_Proveedores[Razon Social],Clientes_Proveedores[Ruc / Dni]),2,0),"")</f>
        <v>20602075177</v>
      </c>
      <c r="X96" s="25"/>
      <c r="Y96" s="25"/>
      <c r="Z96" s="25"/>
      <c r="AA96" s="99"/>
      <c r="AB96" s="3" t="str">
        <f>IF(BCP_Soles[[#This Row],[FECHA]]&gt;0,TEXT(BCP_Soles[[#This Row],[FECHA]],"mmmm"),0)</f>
        <v>Enero</v>
      </c>
    </row>
    <row r="97" spans="2:28" x14ac:dyDescent="0.3">
      <c r="B97" s="2" t="str">
        <f>IF(BCP_Soles[[#This Row],[TIPO DE R.]]="R",COUNTIFS($D$4:$D96,"R")+1,"")</f>
        <v/>
      </c>
      <c r="C97" s="19" t="str">
        <f t="shared" si="5"/>
        <v>B-BCP - Soles</v>
      </c>
      <c r="D97" s="3" t="s">
        <v>1101</v>
      </c>
      <c r="E97" s="14">
        <v>45667</v>
      </c>
      <c r="F97" s="5" t="s">
        <v>1082</v>
      </c>
      <c r="G97" s="5"/>
      <c r="H97" s="6" t="s">
        <v>465</v>
      </c>
      <c r="I97" s="6" t="s">
        <v>14</v>
      </c>
      <c r="J97" s="6" t="s">
        <v>1121</v>
      </c>
      <c r="K97" s="6">
        <v>3619</v>
      </c>
      <c r="L97" s="7" t="s">
        <v>1213</v>
      </c>
      <c r="M97" s="8">
        <v>361519</v>
      </c>
      <c r="N97" s="8" t="str">
        <f t="shared" si="6"/>
        <v>PEN</v>
      </c>
      <c r="O97" s="13">
        <v>150.44999999999999</v>
      </c>
      <c r="P97" s="13"/>
      <c r="Q97" s="3">
        <f t="shared" si="7"/>
        <v>0</v>
      </c>
      <c r="R97" s="3">
        <f t="shared" si="8"/>
        <v>0</v>
      </c>
      <c r="S97" s="3">
        <f t="shared" si="9"/>
        <v>15064.97</v>
      </c>
      <c r="T97" s="24"/>
      <c r="U97" s="24"/>
      <c r="V97" s="67"/>
      <c r="W97" s="25">
        <f>IFERROR(VLOOKUP(BCP_Soles[[#This Row],[DESTINATARIO]],CHOOSE({1,2},Clientes_Proveedores[Razon Social],Clientes_Proveedores[Ruc / Dni]),2,0),"")</f>
        <v>20603974817</v>
      </c>
      <c r="X97" s="25"/>
      <c r="Y97" s="25"/>
      <c r="Z97" s="25"/>
      <c r="AA97" s="99"/>
      <c r="AB97" s="3" t="str">
        <f>IF(BCP_Soles[[#This Row],[FECHA]]&gt;0,TEXT(BCP_Soles[[#This Row],[FECHA]],"mmmm"),0)</f>
        <v>Enero</v>
      </c>
    </row>
    <row r="98" spans="2:28" x14ac:dyDescent="0.3">
      <c r="B98" s="2" t="str">
        <f>IF(BCP_Soles[[#This Row],[TIPO DE R.]]="R",COUNTIFS($D$4:$D97,"R")+1,"")</f>
        <v/>
      </c>
      <c r="C98" s="19" t="str">
        <f t="shared" si="5"/>
        <v>B-BCP - Soles</v>
      </c>
      <c r="D98" s="3" t="s">
        <v>1101</v>
      </c>
      <c r="E98" s="14">
        <v>45667</v>
      </c>
      <c r="F98" s="5" t="s">
        <v>1082</v>
      </c>
      <c r="G98" s="5"/>
      <c r="H98" s="6" t="s">
        <v>465</v>
      </c>
      <c r="I98" s="6" t="s">
        <v>14</v>
      </c>
      <c r="J98" s="6" t="s">
        <v>1121</v>
      </c>
      <c r="K98" s="6">
        <v>3625</v>
      </c>
      <c r="L98" s="7" t="s">
        <v>1213</v>
      </c>
      <c r="M98" s="8">
        <v>361519</v>
      </c>
      <c r="N98" s="8" t="str">
        <f t="shared" si="6"/>
        <v>PEN</v>
      </c>
      <c r="O98" s="13">
        <v>351.05</v>
      </c>
      <c r="P98" s="13"/>
      <c r="Q98" s="3">
        <f t="shared" si="7"/>
        <v>0</v>
      </c>
      <c r="R98" s="3">
        <f t="shared" si="8"/>
        <v>0</v>
      </c>
      <c r="S98" s="3">
        <f t="shared" si="9"/>
        <v>15064.97</v>
      </c>
      <c r="T98" s="24"/>
      <c r="U98" s="24"/>
      <c r="V98" s="67"/>
      <c r="W98" s="25">
        <f>IFERROR(VLOOKUP(BCP_Soles[[#This Row],[DESTINATARIO]],CHOOSE({1,2},Clientes_Proveedores[Razon Social],Clientes_Proveedores[Ruc / Dni]),2,0),"")</f>
        <v>20603974817</v>
      </c>
      <c r="X98" s="25"/>
      <c r="Y98" s="25"/>
      <c r="Z98" s="25"/>
      <c r="AA98" s="99"/>
      <c r="AB98" s="3" t="str">
        <f>IF(BCP_Soles[[#This Row],[FECHA]]&gt;0,TEXT(BCP_Soles[[#This Row],[FECHA]],"mmmm"),0)</f>
        <v>Enero</v>
      </c>
    </row>
    <row r="99" spans="2:28" x14ac:dyDescent="0.3">
      <c r="B99" s="2" t="str">
        <f>IF(BCP_Soles[[#This Row],[TIPO DE R.]]="R",COUNTIFS($D$4:$D98,"R")+1,"")</f>
        <v/>
      </c>
      <c r="C99" s="19" t="str">
        <f t="shared" si="5"/>
        <v>B-BCP - Soles</v>
      </c>
      <c r="D99" s="3" t="s">
        <v>1101</v>
      </c>
      <c r="E99" s="14">
        <v>45667</v>
      </c>
      <c r="F99" s="5" t="s">
        <v>1082</v>
      </c>
      <c r="G99" s="5"/>
      <c r="H99" s="6" t="s">
        <v>465</v>
      </c>
      <c r="I99" s="6" t="s">
        <v>14</v>
      </c>
      <c r="J99" s="6" t="s">
        <v>1121</v>
      </c>
      <c r="K99" s="6">
        <v>3630</v>
      </c>
      <c r="L99" s="7" t="s">
        <v>1213</v>
      </c>
      <c r="M99" s="8">
        <v>361519</v>
      </c>
      <c r="N99" s="8" t="str">
        <f t="shared" si="6"/>
        <v>PEN</v>
      </c>
      <c r="O99" s="13">
        <v>767.55</v>
      </c>
      <c r="P99" s="13"/>
      <c r="Q99" s="3">
        <f t="shared" si="7"/>
        <v>0</v>
      </c>
      <c r="R99" s="3">
        <f t="shared" si="8"/>
        <v>0</v>
      </c>
      <c r="S99" s="3">
        <f t="shared" si="9"/>
        <v>15064.97</v>
      </c>
      <c r="T99" s="24"/>
      <c r="U99" s="24"/>
      <c r="V99" s="67"/>
      <c r="W99" s="25">
        <f>IFERROR(VLOOKUP(BCP_Soles[[#This Row],[DESTINATARIO]],CHOOSE({1,2},Clientes_Proveedores[Razon Social],Clientes_Proveedores[Ruc / Dni]),2,0),"")</f>
        <v>20603974817</v>
      </c>
      <c r="X99" s="25"/>
      <c r="Y99" s="25"/>
      <c r="Z99" s="25"/>
      <c r="AA99" s="99"/>
      <c r="AB99" s="3" t="str">
        <f>IF(BCP_Soles[[#This Row],[FECHA]]&gt;0,TEXT(BCP_Soles[[#This Row],[FECHA]],"mmmm"),0)</f>
        <v>Enero</v>
      </c>
    </row>
    <row r="100" spans="2:28" x14ac:dyDescent="0.3">
      <c r="B100" s="2" t="str">
        <f>IF(BCP_Soles[[#This Row],[TIPO DE R.]]="R",COUNTIFS($D$4:$D99,"R")+1,"")</f>
        <v/>
      </c>
      <c r="C100" s="19" t="str">
        <f t="shared" si="5"/>
        <v>B-BCP - Soles</v>
      </c>
      <c r="D100" s="3" t="s">
        <v>1101</v>
      </c>
      <c r="E100" s="14">
        <v>45667</v>
      </c>
      <c r="F100" s="5" t="s">
        <v>1082</v>
      </c>
      <c r="G100" s="5"/>
      <c r="H100" s="6" t="s">
        <v>465</v>
      </c>
      <c r="I100" s="6" t="s">
        <v>14</v>
      </c>
      <c r="J100" s="6" t="s">
        <v>1121</v>
      </c>
      <c r="K100" s="6">
        <v>3629</v>
      </c>
      <c r="L100" s="7" t="s">
        <v>1213</v>
      </c>
      <c r="M100" s="8">
        <v>361519</v>
      </c>
      <c r="N100" s="8" t="str">
        <f t="shared" si="6"/>
        <v>PEN</v>
      </c>
      <c r="O100" s="13">
        <v>767.55</v>
      </c>
      <c r="P100" s="13"/>
      <c r="Q100" s="3">
        <f t="shared" si="7"/>
        <v>0</v>
      </c>
      <c r="R100" s="3">
        <f t="shared" si="8"/>
        <v>0</v>
      </c>
      <c r="S100" s="3">
        <f t="shared" si="9"/>
        <v>15064.97</v>
      </c>
      <c r="T100" s="24"/>
      <c r="U100" s="24"/>
      <c r="V100" s="67"/>
      <c r="W100" s="25">
        <f>IFERROR(VLOOKUP(BCP_Soles[[#This Row],[DESTINATARIO]],CHOOSE({1,2},Clientes_Proveedores[Razon Social],Clientes_Proveedores[Ruc / Dni]),2,0),"")</f>
        <v>20603974817</v>
      </c>
      <c r="X100" s="25"/>
      <c r="Y100" s="25"/>
      <c r="Z100" s="25"/>
      <c r="AA100" s="99"/>
      <c r="AB100" s="3" t="str">
        <f>IF(BCP_Soles[[#This Row],[FECHA]]&gt;0,TEXT(BCP_Soles[[#This Row],[FECHA]],"mmmm"),0)</f>
        <v>Enero</v>
      </c>
    </row>
    <row r="101" spans="2:28" ht="36" x14ac:dyDescent="0.3">
      <c r="B101" s="2" t="str">
        <f>IF(BCP_Soles[[#This Row],[TIPO DE R.]]="R",COUNTIFS($D$4:$D100,"R")+1,"")</f>
        <v/>
      </c>
      <c r="C101" s="19" t="str">
        <f t="shared" si="5"/>
        <v>B-BCP - Soles</v>
      </c>
      <c r="D101" s="3" t="s">
        <v>1101</v>
      </c>
      <c r="E101" s="14">
        <v>45667</v>
      </c>
      <c r="F101" s="5" t="s">
        <v>1082</v>
      </c>
      <c r="G101" s="5"/>
      <c r="H101" s="6" t="s">
        <v>268</v>
      </c>
      <c r="I101" s="6" t="s">
        <v>14</v>
      </c>
      <c r="J101" s="6" t="s">
        <v>1121</v>
      </c>
      <c r="K101" s="6">
        <v>4211</v>
      </c>
      <c r="L101" s="7" t="s">
        <v>1213</v>
      </c>
      <c r="M101" s="8">
        <v>361519</v>
      </c>
      <c r="N101" s="8" t="str">
        <f t="shared" si="6"/>
        <v>PEN</v>
      </c>
      <c r="O101" s="13">
        <v>510</v>
      </c>
      <c r="P101" s="13"/>
      <c r="Q101" s="3">
        <f t="shared" si="7"/>
        <v>0</v>
      </c>
      <c r="R101" s="3">
        <f t="shared" si="8"/>
        <v>0</v>
      </c>
      <c r="S101" s="3">
        <f t="shared" si="9"/>
        <v>15064.97</v>
      </c>
      <c r="T101" s="24"/>
      <c r="U101" s="24"/>
      <c r="V101" s="67"/>
      <c r="W101" s="25">
        <f>IFERROR(VLOOKUP(BCP_Soles[[#This Row],[DESTINATARIO]],CHOOSE({1,2},Clientes_Proveedores[Razon Social],Clientes_Proveedores[Ruc / Dni]),2,0),"")</f>
        <v>20497262101</v>
      </c>
      <c r="X101" s="25"/>
      <c r="Y101" s="25"/>
      <c r="Z101" s="25"/>
      <c r="AA101" s="99"/>
      <c r="AB101" s="3" t="str">
        <f>IF(BCP_Soles[[#This Row],[FECHA]]&gt;0,TEXT(BCP_Soles[[#This Row],[FECHA]],"mmmm"),0)</f>
        <v>Enero</v>
      </c>
    </row>
    <row r="102" spans="2:28" ht="24" x14ac:dyDescent="0.3">
      <c r="B102" s="2" t="str">
        <f>IF(BCP_Soles[[#This Row],[TIPO DE R.]]="R",COUNTIFS($D$4:$D101,"R")+1,"")</f>
        <v/>
      </c>
      <c r="C102" s="19" t="str">
        <f t="shared" si="5"/>
        <v>B-BCP - Soles</v>
      </c>
      <c r="D102" s="3" t="s">
        <v>1101</v>
      </c>
      <c r="E102" s="14">
        <v>45667</v>
      </c>
      <c r="F102" s="5" t="s">
        <v>1082</v>
      </c>
      <c r="G102" s="5"/>
      <c r="H102" s="6" t="s">
        <v>118</v>
      </c>
      <c r="I102" s="6" t="s">
        <v>14</v>
      </c>
      <c r="J102" s="6" t="s">
        <v>1121</v>
      </c>
      <c r="K102" s="6">
        <v>347</v>
      </c>
      <c r="L102" s="7" t="s">
        <v>1213</v>
      </c>
      <c r="M102" s="8">
        <v>361519</v>
      </c>
      <c r="N102" s="8" t="str">
        <f t="shared" si="6"/>
        <v>PEN</v>
      </c>
      <c r="O102" s="13">
        <v>510</v>
      </c>
      <c r="P102" s="13"/>
      <c r="Q102" s="3">
        <f t="shared" si="7"/>
        <v>0</v>
      </c>
      <c r="R102" s="3">
        <f t="shared" si="8"/>
        <v>0</v>
      </c>
      <c r="S102" s="3">
        <f t="shared" si="9"/>
        <v>15064.97</v>
      </c>
      <c r="T102" s="24"/>
      <c r="U102" s="24"/>
      <c r="V102" s="67"/>
      <c r="W102" s="25">
        <f>IFERROR(VLOOKUP(BCP_Soles[[#This Row],[DESTINATARIO]],CHOOSE({1,2},Clientes_Proveedores[Razon Social],Clientes_Proveedores[Ruc / Dni]),2,0),"")</f>
        <v>10470065147</v>
      </c>
      <c r="X102" s="25"/>
      <c r="Y102" s="25"/>
      <c r="Z102" s="25"/>
      <c r="AA102" s="99"/>
      <c r="AB102" s="3" t="str">
        <f>IF(BCP_Soles[[#This Row],[FECHA]]&gt;0,TEXT(BCP_Soles[[#This Row],[FECHA]],"mmmm"),0)</f>
        <v>Enero</v>
      </c>
    </row>
    <row r="103" spans="2:28" ht="24" x14ac:dyDescent="0.3">
      <c r="B103" s="2" t="str">
        <f>IF(BCP_Soles[[#This Row],[TIPO DE R.]]="R",COUNTIFS($D$4:$D102,"R")+1,"")</f>
        <v/>
      </c>
      <c r="C103" s="19" t="str">
        <f t="shared" si="5"/>
        <v>B-BCP - Soles</v>
      </c>
      <c r="D103" s="3" t="s">
        <v>1101</v>
      </c>
      <c r="E103" s="14">
        <v>45667</v>
      </c>
      <c r="F103" s="5" t="s">
        <v>1082</v>
      </c>
      <c r="G103" s="5"/>
      <c r="H103" s="6" t="s">
        <v>130</v>
      </c>
      <c r="I103" s="6" t="s">
        <v>14</v>
      </c>
      <c r="J103" s="6" t="s">
        <v>1121</v>
      </c>
      <c r="K103" s="6">
        <v>162</v>
      </c>
      <c r="L103" s="7" t="s">
        <v>1213</v>
      </c>
      <c r="M103" s="8">
        <v>361519</v>
      </c>
      <c r="N103" s="8" t="str">
        <f t="shared" si="6"/>
        <v>PEN</v>
      </c>
      <c r="O103" s="13">
        <v>90</v>
      </c>
      <c r="P103" s="13"/>
      <c r="Q103" s="3">
        <f t="shared" si="7"/>
        <v>0</v>
      </c>
      <c r="R103" s="3">
        <f t="shared" si="8"/>
        <v>0</v>
      </c>
      <c r="S103" s="3">
        <f t="shared" si="9"/>
        <v>15064.97</v>
      </c>
      <c r="T103" s="24"/>
      <c r="U103" s="24"/>
      <c r="V103" s="67"/>
      <c r="W103" s="25">
        <f>IFERROR(VLOOKUP(BCP_Soles[[#This Row],[DESTINATARIO]],CHOOSE({1,2},Clientes_Proveedores[Razon Social],Clientes_Proveedores[Ruc / Dni]),2,0),"")</f>
        <v>10706063426</v>
      </c>
      <c r="X103" s="25"/>
      <c r="Y103" s="25"/>
      <c r="Z103" s="25"/>
      <c r="AA103" s="99"/>
      <c r="AB103" s="3" t="str">
        <f>IF(BCP_Soles[[#This Row],[FECHA]]&gt;0,TEXT(BCP_Soles[[#This Row],[FECHA]],"mmmm"),0)</f>
        <v>Enero</v>
      </c>
    </row>
    <row r="104" spans="2:28" ht="24" x14ac:dyDescent="0.3">
      <c r="B104" s="2">
        <f>IF(BCP_Soles[[#This Row],[TIPO DE R.]]="R",COUNTIFS($D$4:$D103,"R")+1,"")</f>
        <v>65</v>
      </c>
      <c r="C104" s="19" t="str">
        <f t="shared" si="5"/>
        <v>B-BCP - Soles</v>
      </c>
      <c r="D104" s="3" t="s">
        <v>1074</v>
      </c>
      <c r="E104" s="14">
        <v>45667</v>
      </c>
      <c r="F104" s="5" t="s">
        <v>1158</v>
      </c>
      <c r="G104" s="5" t="s">
        <v>1079</v>
      </c>
      <c r="H104" s="6"/>
      <c r="I104" s="6"/>
      <c r="J104" s="6"/>
      <c r="K104" s="6"/>
      <c r="L104" s="7" t="s">
        <v>1214</v>
      </c>
      <c r="M104" s="8">
        <v>1198794</v>
      </c>
      <c r="N104" s="8" t="str">
        <f t="shared" si="6"/>
        <v>PEN</v>
      </c>
      <c r="O104" s="13"/>
      <c r="P104" s="13">
        <v>1666.85</v>
      </c>
      <c r="Q104" s="3">
        <f t="shared" si="7"/>
        <v>0</v>
      </c>
      <c r="R104" s="3">
        <f t="shared" si="8"/>
        <v>1666.85</v>
      </c>
      <c r="S104" s="3">
        <f t="shared" si="9"/>
        <v>13398.119999999999</v>
      </c>
      <c r="T104" s="24"/>
      <c r="U104" s="24"/>
      <c r="V104" s="67"/>
      <c r="W104" s="25" t="str">
        <f>IFERROR(VLOOKUP(BCP_Soles[[#This Row],[DESTINATARIO]],CHOOSE({1,2},Clientes_Proveedores[Razon Social],Clientes_Proveedores[Ruc / Dni]),2,0),"")</f>
        <v/>
      </c>
      <c r="X104" s="25" t="s">
        <v>1215</v>
      </c>
      <c r="Y104" s="25"/>
      <c r="Z104" s="25"/>
      <c r="AA104" s="99"/>
      <c r="AB104" s="3" t="str">
        <f>IF(BCP_Soles[[#This Row],[FECHA]]&gt;0,TEXT(BCP_Soles[[#This Row],[FECHA]],"mmmm"),0)</f>
        <v>Enero</v>
      </c>
    </row>
    <row r="105" spans="2:28" ht="24" x14ac:dyDescent="0.3">
      <c r="B105" s="2">
        <f>IF(BCP_Soles[[#This Row],[TIPO DE R.]]="R",COUNTIFS($D$4:$D104,"R")+1,"")</f>
        <v>66</v>
      </c>
      <c r="C105" s="19" t="str">
        <f t="shared" si="5"/>
        <v>B-BCP - Soles</v>
      </c>
      <c r="D105" s="3" t="s">
        <v>1074</v>
      </c>
      <c r="E105" s="14">
        <v>45667</v>
      </c>
      <c r="F105" s="5" t="s">
        <v>1158</v>
      </c>
      <c r="G105" s="5" t="s">
        <v>1079</v>
      </c>
      <c r="H105" s="6"/>
      <c r="I105" s="6"/>
      <c r="J105" s="6"/>
      <c r="K105" s="6"/>
      <c r="L105" s="7" t="s">
        <v>1216</v>
      </c>
      <c r="M105" s="8">
        <v>1265690</v>
      </c>
      <c r="N105" s="8" t="str">
        <f t="shared" si="6"/>
        <v>PEN</v>
      </c>
      <c r="O105" s="13"/>
      <c r="P105" s="13">
        <v>1506.3</v>
      </c>
      <c r="Q105" s="3">
        <f t="shared" si="7"/>
        <v>0</v>
      </c>
      <c r="R105" s="3">
        <f t="shared" si="8"/>
        <v>1506.3</v>
      </c>
      <c r="S105" s="3">
        <f t="shared" si="9"/>
        <v>11891.82</v>
      </c>
      <c r="T105" s="24"/>
      <c r="U105" s="24"/>
      <c r="V105" s="67"/>
      <c r="W105" s="25" t="str">
        <f>IFERROR(VLOOKUP(BCP_Soles[[#This Row],[DESTINATARIO]],CHOOSE({1,2},Clientes_Proveedores[Razon Social],Clientes_Proveedores[Ruc / Dni]),2,0),"")</f>
        <v/>
      </c>
      <c r="X105" s="25" t="s">
        <v>885</v>
      </c>
      <c r="Y105" s="25"/>
      <c r="Z105" s="25"/>
      <c r="AA105" s="99"/>
      <c r="AB105" s="3" t="str">
        <f>IF(BCP_Soles[[#This Row],[FECHA]]&gt;0,TEXT(BCP_Soles[[#This Row],[FECHA]],"mmmm"),0)</f>
        <v>Enero</v>
      </c>
    </row>
    <row r="106" spans="2:28" ht="24" x14ac:dyDescent="0.3">
      <c r="B106" s="2">
        <f>IF(BCP_Soles[[#This Row],[TIPO DE R.]]="R",COUNTIFS($D$4:$D105,"R")+1,"")</f>
        <v>67</v>
      </c>
      <c r="C106" s="19" t="str">
        <f t="shared" si="5"/>
        <v>B-BCP - Soles</v>
      </c>
      <c r="D106" s="3" t="s">
        <v>1074</v>
      </c>
      <c r="E106" s="14">
        <v>45667</v>
      </c>
      <c r="F106" s="5" t="s">
        <v>1082</v>
      </c>
      <c r="G106" s="5" t="s">
        <v>1079</v>
      </c>
      <c r="H106" s="6" t="s">
        <v>192</v>
      </c>
      <c r="I106" s="6"/>
      <c r="J106" s="6"/>
      <c r="K106" s="6"/>
      <c r="L106" s="7" t="s">
        <v>1217</v>
      </c>
      <c r="M106" s="8">
        <v>1203818</v>
      </c>
      <c r="N106" s="8" t="str">
        <f t="shared" si="6"/>
        <v>PEN</v>
      </c>
      <c r="O106" s="13"/>
      <c r="P106" s="13">
        <v>590.82000000000005</v>
      </c>
      <c r="Q106" s="3">
        <f t="shared" si="7"/>
        <v>0</v>
      </c>
      <c r="R106" s="3">
        <f t="shared" si="8"/>
        <v>590.82000000000005</v>
      </c>
      <c r="S106" s="3">
        <f t="shared" si="9"/>
        <v>11301</v>
      </c>
      <c r="T106" s="24"/>
      <c r="U106" s="24"/>
      <c r="V106" s="67"/>
      <c r="W106" s="25">
        <f>IFERROR(VLOOKUP(BCP_Soles[[#This Row],[DESTINATARIO]],CHOOSE({1,2},Clientes_Proveedores[Razon Social],Clientes_Proveedores[Ruc / Dni]),2,0),"")</f>
        <v>20302891452</v>
      </c>
      <c r="X106" s="25" t="s">
        <v>192</v>
      </c>
      <c r="Y106" s="25"/>
      <c r="Z106" s="25"/>
      <c r="AA106" s="99"/>
      <c r="AB106" s="3" t="str">
        <f>IF(BCP_Soles[[#This Row],[FECHA]]&gt;0,TEXT(BCP_Soles[[#This Row],[FECHA]],"mmmm"),0)</f>
        <v>Enero</v>
      </c>
    </row>
    <row r="107" spans="2:28" ht="24" x14ac:dyDescent="0.3">
      <c r="B107" s="2">
        <f>IF(BCP_Soles[[#This Row],[TIPO DE R.]]="R",COUNTIFS($D$4:$D106,"R")+1,"")</f>
        <v>68</v>
      </c>
      <c r="C107" s="19" t="str">
        <f t="shared" si="5"/>
        <v>B-BCP - Soles</v>
      </c>
      <c r="D107" s="3" t="s">
        <v>1074</v>
      </c>
      <c r="E107" s="14">
        <v>45667</v>
      </c>
      <c r="F107" s="5" t="s">
        <v>1082</v>
      </c>
      <c r="G107" s="5" t="s">
        <v>1079</v>
      </c>
      <c r="H107" s="6"/>
      <c r="I107" s="6" t="s">
        <v>52</v>
      </c>
      <c r="J107" s="20"/>
      <c r="K107" s="6">
        <v>57939153</v>
      </c>
      <c r="L107" s="7" t="s">
        <v>1218</v>
      </c>
      <c r="M107" s="8">
        <v>139400</v>
      </c>
      <c r="N107" s="8" t="str">
        <f t="shared" si="6"/>
        <v>PEN</v>
      </c>
      <c r="O107" s="13"/>
      <c r="P107" s="13">
        <v>323.10000000000002</v>
      </c>
      <c r="Q107" s="3">
        <f t="shared" si="7"/>
        <v>0</v>
      </c>
      <c r="R107" s="3">
        <f t="shared" si="8"/>
        <v>323.10000000000002</v>
      </c>
      <c r="S107" s="3">
        <f t="shared" si="9"/>
        <v>10977.9</v>
      </c>
      <c r="T107" s="24" t="s">
        <v>1081</v>
      </c>
      <c r="U107" s="24"/>
      <c r="V107" s="67"/>
      <c r="W107" s="25" t="str">
        <f>IFERROR(VLOOKUP(BCP_Soles[[#This Row],[DESTINATARIO]],CHOOSE({1,2},Clientes_Proveedores[Razon Social],Clientes_Proveedores[Ruc / Dni]),2,0),"")</f>
        <v/>
      </c>
      <c r="X107" s="25" t="s">
        <v>1219</v>
      </c>
      <c r="Y107" s="25" t="s">
        <v>1220</v>
      </c>
      <c r="Z107" s="25"/>
      <c r="AA107" s="99"/>
      <c r="AB107" s="3" t="str">
        <f>IF(BCP_Soles[[#This Row],[FECHA]]&gt;0,TEXT(BCP_Soles[[#This Row],[FECHA]],"mmmm"),0)</f>
        <v>Enero</v>
      </c>
    </row>
    <row r="108" spans="2:28" x14ac:dyDescent="0.3">
      <c r="B108" s="2">
        <f>IF(BCP_Soles[[#This Row],[TIPO DE R.]]="R",COUNTIFS($D$4:$D107,"R")+1,"")</f>
        <v>69</v>
      </c>
      <c r="C108" s="19" t="str">
        <f t="shared" si="5"/>
        <v>B-BCP - Soles</v>
      </c>
      <c r="D108" s="3" t="s">
        <v>1074</v>
      </c>
      <c r="E108" s="14">
        <v>45667</v>
      </c>
      <c r="F108" s="5" t="s">
        <v>1082</v>
      </c>
      <c r="G108" s="5" t="s">
        <v>1079</v>
      </c>
      <c r="H108" s="6" t="s">
        <v>350</v>
      </c>
      <c r="I108" s="6" t="s">
        <v>14</v>
      </c>
      <c r="J108" s="6" t="s">
        <v>1221</v>
      </c>
      <c r="K108" s="6">
        <v>201212</v>
      </c>
      <c r="L108" s="7" t="s">
        <v>1222</v>
      </c>
      <c r="M108" s="8">
        <v>212805</v>
      </c>
      <c r="N108" s="8" t="str">
        <f t="shared" si="6"/>
        <v>PEN</v>
      </c>
      <c r="O108" s="13"/>
      <c r="P108" s="13">
        <v>196.52</v>
      </c>
      <c r="Q108" s="3">
        <f t="shared" si="7"/>
        <v>0</v>
      </c>
      <c r="R108" s="3">
        <f t="shared" si="8"/>
        <v>196.52</v>
      </c>
      <c r="S108" s="3">
        <f t="shared" si="9"/>
        <v>10781.38</v>
      </c>
      <c r="T108" s="24" t="s">
        <v>1081</v>
      </c>
      <c r="U108" s="24" t="s">
        <v>1081</v>
      </c>
      <c r="V108" s="67"/>
      <c r="W108" s="25">
        <f>IFERROR(VLOOKUP(BCP_Soles[[#This Row],[DESTINATARIO]],CHOOSE({1,2},Clientes_Proveedores[Razon Social],Clientes_Proveedores[Ruc / Dni]),2,0),"")</f>
        <v>20549068201</v>
      </c>
      <c r="X108" s="25" t="s">
        <v>1223</v>
      </c>
      <c r="Y108" s="25" t="s">
        <v>1224</v>
      </c>
      <c r="Z108" s="25"/>
      <c r="AA108" s="99"/>
      <c r="AB108" s="3" t="str">
        <f>IF(BCP_Soles[[#This Row],[FECHA]]&gt;0,TEXT(BCP_Soles[[#This Row],[FECHA]],"mmmm"),0)</f>
        <v>Enero</v>
      </c>
    </row>
    <row r="109" spans="2:28" ht="24" x14ac:dyDescent="0.3">
      <c r="B109" s="2">
        <f>IF(BCP_Soles[[#This Row],[TIPO DE R.]]="R",COUNTIFS($D$4:$D108,"R")+1,"")</f>
        <v>70</v>
      </c>
      <c r="C109" s="19" t="str">
        <f t="shared" si="5"/>
        <v>B-BCP - Soles</v>
      </c>
      <c r="D109" s="3" t="s">
        <v>1074</v>
      </c>
      <c r="E109" s="14">
        <v>45667</v>
      </c>
      <c r="F109" s="5" t="s">
        <v>1082</v>
      </c>
      <c r="G109" s="5" t="s">
        <v>1079</v>
      </c>
      <c r="H109" s="6" t="s">
        <v>645</v>
      </c>
      <c r="I109" s="6" t="s">
        <v>52</v>
      </c>
      <c r="J109" s="6" t="s">
        <v>1225</v>
      </c>
      <c r="K109" s="6">
        <v>28197936</v>
      </c>
      <c r="L109" s="7" t="s">
        <v>1226</v>
      </c>
      <c r="M109" s="8">
        <v>176351</v>
      </c>
      <c r="N109" s="8" t="str">
        <f t="shared" si="6"/>
        <v>PEN</v>
      </c>
      <c r="O109" s="13"/>
      <c r="P109" s="13">
        <v>112.3</v>
      </c>
      <c r="Q109" s="3">
        <f t="shared" si="7"/>
        <v>0</v>
      </c>
      <c r="R109" s="3">
        <f t="shared" si="8"/>
        <v>112.3</v>
      </c>
      <c r="S109" s="3">
        <f t="shared" si="9"/>
        <v>10669.08</v>
      </c>
      <c r="T109" s="24" t="s">
        <v>1081</v>
      </c>
      <c r="U109" s="24"/>
      <c r="V109" s="67"/>
      <c r="W109" s="25">
        <f>IFERROR(VLOOKUP(BCP_Soles[[#This Row],[DESTINATARIO]],CHOOSE({1,2},Clientes_Proveedores[Razon Social],Clientes_Proveedores[Ruc / Dni]),2,0),"")</f>
        <v>20100188628</v>
      </c>
      <c r="X109" s="25" t="s">
        <v>1227</v>
      </c>
      <c r="Y109" s="25" t="s">
        <v>1228</v>
      </c>
      <c r="Z109" s="25"/>
      <c r="AA109" s="99"/>
      <c r="AB109" s="3" t="str">
        <f>IF(BCP_Soles[[#This Row],[FECHA]]&gt;0,TEXT(BCP_Soles[[#This Row],[FECHA]],"mmmm"),0)</f>
        <v>Enero</v>
      </c>
    </row>
    <row r="110" spans="2:28" x14ac:dyDescent="0.3">
      <c r="B110" s="2">
        <f>IF(BCP_Soles[[#This Row],[TIPO DE R.]]="R",COUNTIFS($D$4:$D109,"R")+1,"")</f>
        <v>71</v>
      </c>
      <c r="C110" s="19" t="str">
        <f t="shared" si="5"/>
        <v>B-BCP - Soles</v>
      </c>
      <c r="D110" s="3" t="s">
        <v>1074</v>
      </c>
      <c r="E110" s="14">
        <v>45667</v>
      </c>
      <c r="F110" s="5" t="s">
        <v>1163</v>
      </c>
      <c r="G110" s="5" t="s">
        <v>1079</v>
      </c>
      <c r="H110" s="6"/>
      <c r="I110" s="6"/>
      <c r="J110" s="6"/>
      <c r="K110" s="6"/>
      <c r="L110" s="7" t="s">
        <v>1229</v>
      </c>
      <c r="M110" s="8">
        <v>3529827</v>
      </c>
      <c r="N110" s="8" t="str">
        <f t="shared" si="6"/>
        <v>PEN</v>
      </c>
      <c r="O110" s="13"/>
      <c r="P110" s="13">
        <v>87.8</v>
      </c>
      <c r="Q110" s="3">
        <f t="shared" si="7"/>
        <v>0</v>
      </c>
      <c r="R110" s="3">
        <f t="shared" si="8"/>
        <v>87.8</v>
      </c>
      <c r="S110" s="3">
        <f t="shared" si="9"/>
        <v>10581.28</v>
      </c>
      <c r="T110" s="24"/>
      <c r="U110" s="24"/>
      <c r="V110" s="67"/>
      <c r="W110" s="25" t="str">
        <f>IFERROR(VLOOKUP(BCP_Soles[[#This Row],[DESTINATARIO]],CHOOSE({1,2},Clientes_Proveedores[Razon Social],Clientes_Proveedores[Ruc / Dni]),2,0),"")</f>
        <v/>
      </c>
      <c r="X110" s="25"/>
      <c r="Y110" s="25"/>
      <c r="Z110" s="25"/>
      <c r="AA110" s="99"/>
      <c r="AB110" s="3" t="str">
        <f>IF(BCP_Soles[[#This Row],[FECHA]]&gt;0,TEXT(BCP_Soles[[#This Row],[FECHA]],"mmmm"),0)</f>
        <v>Enero</v>
      </c>
    </row>
    <row r="111" spans="2:28" ht="24" x14ac:dyDescent="0.3">
      <c r="B111" s="2">
        <f>IF(BCP_Soles[[#This Row],[TIPO DE R.]]="R",COUNTIFS($D$4:$D110,"R")+1,"")</f>
        <v>72</v>
      </c>
      <c r="C111" s="19" t="str">
        <f t="shared" si="5"/>
        <v>B-BCP - Soles</v>
      </c>
      <c r="D111" s="3" t="s">
        <v>1074</v>
      </c>
      <c r="E111" s="14">
        <v>45667</v>
      </c>
      <c r="F111" s="5" t="s">
        <v>1082</v>
      </c>
      <c r="G111" s="5" t="s">
        <v>1079</v>
      </c>
      <c r="H111" s="6" t="s">
        <v>646</v>
      </c>
      <c r="I111" s="6" t="s">
        <v>52</v>
      </c>
      <c r="J111" s="6" t="s">
        <v>1230</v>
      </c>
      <c r="K111" s="6">
        <v>19753784</v>
      </c>
      <c r="L111" s="7" t="s">
        <v>1231</v>
      </c>
      <c r="M111" s="8">
        <v>4097415</v>
      </c>
      <c r="N111" s="8" t="str">
        <f t="shared" si="6"/>
        <v>PEN</v>
      </c>
      <c r="O111" s="13"/>
      <c r="P111" s="13">
        <v>7.4</v>
      </c>
      <c r="Q111" s="3">
        <f t="shared" si="7"/>
        <v>0</v>
      </c>
      <c r="R111" s="3">
        <f t="shared" si="8"/>
        <v>7.4</v>
      </c>
      <c r="S111" s="3">
        <f t="shared" si="9"/>
        <v>10573.880000000001</v>
      </c>
      <c r="T111" s="24" t="s">
        <v>1081</v>
      </c>
      <c r="U111" s="24"/>
      <c r="V111" s="67"/>
      <c r="W111" s="25">
        <f>IFERROR(VLOOKUP(BCP_Soles[[#This Row],[DESTINATARIO]],CHOOSE({1,2},Clientes_Proveedores[Razon Social],Clientes_Proveedores[Ruc / Dni]),2,0),"")</f>
        <v>20100152356</v>
      </c>
      <c r="X111" s="25" t="s">
        <v>646</v>
      </c>
      <c r="Y111" s="25" t="s">
        <v>1232</v>
      </c>
      <c r="Z111" s="25"/>
      <c r="AA111" s="99"/>
      <c r="AB111" s="3" t="str">
        <f>IF(BCP_Soles[[#This Row],[FECHA]]&gt;0,TEXT(BCP_Soles[[#This Row],[FECHA]],"mmmm"),0)</f>
        <v>Enero</v>
      </c>
    </row>
    <row r="112" spans="2:28" ht="48" x14ac:dyDescent="0.3">
      <c r="B112" s="2">
        <f>IF(BCP_Soles[[#This Row],[TIPO DE R.]]="R",COUNTIFS($D$4:$D111,"R")+1,"")</f>
        <v>73</v>
      </c>
      <c r="C112" s="19" t="str">
        <f t="shared" si="5"/>
        <v>B-BCP - Soles</v>
      </c>
      <c r="D112" s="3" t="s">
        <v>1074</v>
      </c>
      <c r="E112" s="14">
        <v>45667</v>
      </c>
      <c r="F112" s="5" t="s">
        <v>1233</v>
      </c>
      <c r="G112" s="5" t="s">
        <v>1087</v>
      </c>
      <c r="H112" s="6"/>
      <c r="I112" s="6"/>
      <c r="J112" s="6"/>
      <c r="K112" s="6"/>
      <c r="L112" s="7" t="s">
        <v>1100</v>
      </c>
      <c r="M112" s="8">
        <v>2216698</v>
      </c>
      <c r="N112" s="8" t="str">
        <f t="shared" si="6"/>
        <v>PEN</v>
      </c>
      <c r="O112" s="13"/>
      <c r="P112" s="13">
        <v>5100</v>
      </c>
      <c r="Q112" s="3">
        <f t="shared" si="7"/>
        <v>5100</v>
      </c>
      <c r="R112" s="3">
        <f t="shared" si="8"/>
        <v>0</v>
      </c>
      <c r="S112" s="3">
        <f t="shared" si="9"/>
        <v>15673.880000000001</v>
      </c>
      <c r="T112" s="24" t="s">
        <v>1081</v>
      </c>
      <c r="U112" s="24" t="s">
        <v>1081</v>
      </c>
      <c r="V112" s="67"/>
      <c r="W112" s="25" t="str">
        <f>IFERROR(VLOOKUP(BCP_Soles[[#This Row],[DESTINATARIO]],CHOOSE({1,2},Clientes_Proveedores[Razon Social],Clientes_Proveedores[Ruc / Dni]),2,0),"")</f>
        <v/>
      </c>
      <c r="X112" s="25" t="s">
        <v>1090</v>
      </c>
      <c r="Y112" s="25" t="s">
        <v>1234</v>
      </c>
      <c r="Z112" s="25"/>
      <c r="AA112" s="99"/>
      <c r="AB112" s="3" t="str">
        <f>IF(BCP_Soles[[#This Row],[FECHA]]&gt;0,TEXT(BCP_Soles[[#This Row],[FECHA]],"mmmm"),0)</f>
        <v>Enero</v>
      </c>
    </row>
    <row r="113" spans="2:28" ht="24" x14ac:dyDescent="0.3">
      <c r="B113" s="2">
        <f>IF(BCP_Soles[[#This Row],[TIPO DE R.]]="R",COUNTIFS($D$4:$D112,"R")+1,"")</f>
        <v>74</v>
      </c>
      <c r="C113" s="19" t="str">
        <f t="shared" si="5"/>
        <v>B-BCP - Soles</v>
      </c>
      <c r="D113" s="3" t="s">
        <v>1074</v>
      </c>
      <c r="E113" s="14">
        <v>45667</v>
      </c>
      <c r="F113" s="5" t="s">
        <v>479</v>
      </c>
      <c r="G113" s="5" t="s">
        <v>1087</v>
      </c>
      <c r="H113" s="6"/>
      <c r="I113" s="6"/>
      <c r="J113" s="6"/>
      <c r="K113" s="6"/>
      <c r="L113" s="7" t="s">
        <v>1100</v>
      </c>
      <c r="M113" s="8">
        <v>1058304</v>
      </c>
      <c r="N113" s="8" t="str">
        <f t="shared" si="6"/>
        <v>PEN</v>
      </c>
      <c r="O113" s="13"/>
      <c r="P113" s="13">
        <v>2551</v>
      </c>
      <c r="Q113" s="3">
        <f t="shared" si="7"/>
        <v>2551</v>
      </c>
      <c r="R113" s="3">
        <f t="shared" si="8"/>
        <v>0</v>
      </c>
      <c r="S113" s="3">
        <f t="shared" si="9"/>
        <v>18224.88</v>
      </c>
      <c r="T113" s="24" t="s">
        <v>1081</v>
      </c>
      <c r="U113" s="24" t="s">
        <v>1081</v>
      </c>
      <c r="V113" s="67"/>
      <c r="W113" s="25" t="str">
        <f>IFERROR(VLOOKUP(BCP_Soles[[#This Row],[DESTINATARIO]],CHOOSE({1,2},Clientes_Proveedores[Razon Social],Clientes_Proveedores[Ruc / Dni]),2,0),"")</f>
        <v/>
      </c>
      <c r="X113" s="25" t="s">
        <v>1090</v>
      </c>
      <c r="Y113" s="25" t="s">
        <v>1235</v>
      </c>
      <c r="Z113" s="25"/>
      <c r="AA113" s="99"/>
      <c r="AB113" s="3" t="str">
        <f>IF(BCP_Soles[[#This Row],[FECHA]]&gt;0,TEXT(BCP_Soles[[#This Row],[FECHA]],"mmmm"),0)</f>
        <v>Enero</v>
      </c>
    </row>
    <row r="114" spans="2:28" ht="36" x14ac:dyDescent="0.3">
      <c r="B114" s="2">
        <f>IF(BCP_Soles[[#This Row],[TIPO DE R.]]="R",COUNTIFS($D$4:$D113,"R")+1,"")</f>
        <v>75</v>
      </c>
      <c r="C114" s="19" t="str">
        <f t="shared" si="5"/>
        <v>B-BCP - Soles</v>
      </c>
      <c r="D114" s="3" t="s">
        <v>1074</v>
      </c>
      <c r="E114" s="14">
        <v>45667</v>
      </c>
      <c r="F114" s="5" t="s">
        <v>557</v>
      </c>
      <c r="G114" s="5" t="s">
        <v>1087</v>
      </c>
      <c r="H114" s="6"/>
      <c r="I114" s="6"/>
      <c r="J114" s="6"/>
      <c r="K114" s="6"/>
      <c r="L114" s="7" t="s">
        <v>1236</v>
      </c>
      <c r="M114" s="8">
        <v>297170</v>
      </c>
      <c r="N114" s="8" t="str">
        <f t="shared" si="6"/>
        <v>PEN</v>
      </c>
      <c r="O114" s="13"/>
      <c r="P114" s="13">
        <v>759.89</v>
      </c>
      <c r="Q114" s="3">
        <f t="shared" si="7"/>
        <v>759.89</v>
      </c>
      <c r="R114" s="3">
        <f t="shared" si="8"/>
        <v>0</v>
      </c>
      <c r="S114" s="3">
        <f t="shared" si="9"/>
        <v>18984.77</v>
      </c>
      <c r="T114" s="24" t="s">
        <v>1081</v>
      </c>
      <c r="U114" s="24" t="s">
        <v>1081</v>
      </c>
      <c r="V114" s="67"/>
      <c r="W114" s="25" t="str">
        <f>IFERROR(VLOOKUP(BCP_Soles[[#This Row],[DESTINATARIO]],CHOOSE({1,2},Clientes_Proveedores[Razon Social],Clientes_Proveedores[Ruc / Dni]),2,0),"")</f>
        <v/>
      </c>
      <c r="X114" s="25" t="s">
        <v>1090</v>
      </c>
      <c r="Y114" s="25" t="s">
        <v>1237</v>
      </c>
      <c r="Z114" s="25"/>
      <c r="AA114" s="99"/>
      <c r="AB114" s="3" t="str">
        <f>IF(BCP_Soles[[#This Row],[FECHA]]&gt;0,TEXT(BCP_Soles[[#This Row],[FECHA]],"mmmm"),0)</f>
        <v>Enero</v>
      </c>
    </row>
    <row r="115" spans="2:28" ht="48" x14ac:dyDescent="0.3">
      <c r="B115" s="131">
        <f>IF(BCP_Soles[[#This Row],[TIPO DE R.]]="R",COUNTIFS($D$4:$D114,"R")+1,"")</f>
        <v>76</v>
      </c>
      <c r="C115" s="95" t="str">
        <f t="shared" si="5"/>
        <v>B-BCP - Soles</v>
      </c>
      <c r="D115" s="94" t="s">
        <v>1074</v>
      </c>
      <c r="E115" s="14">
        <v>45667</v>
      </c>
      <c r="F115" s="5" t="s">
        <v>1233</v>
      </c>
      <c r="G115" s="5" t="s">
        <v>1087</v>
      </c>
      <c r="H115" s="6"/>
      <c r="I115" s="6"/>
      <c r="J115" s="6"/>
      <c r="K115" s="6"/>
      <c r="L115" s="7" t="s">
        <v>1100</v>
      </c>
      <c r="M115" s="8">
        <v>2256014</v>
      </c>
      <c r="N115" s="8" t="str">
        <f t="shared" si="6"/>
        <v>PEN</v>
      </c>
      <c r="O115" s="9"/>
      <c r="P115" s="9">
        <v>660</v>
      </c>
      <c r="Q115" s="94">
        <f t="shared" si="7"/>
        <v>660</v>
      </c>
      <c r="R115" s="94">
        <f t="shared" si="8"/>
        <v>0</v>
      </c>
      <c r="S115" s="94">
        <f t="shared" si="9"/>
        <v>19644.77</v>
      </c>
      <c r="T115" s="119" t="s">
        <v>1081</v>
      </c>
      <c r="U115" s="119" t="s">
        <v>1081</v>
      </c>
      <c r="V115" s="223"/>
      <c r="W115" s="93" t="str">
        <f>IFERROR(VLOOKUP(BCP_Soles[[#This Row],[DESTINATARIO]],CHOOSE({1,2},Clientes_Proveedores[Razon Social],Clientes_Proveedores[Ruc / Dni]),2,0),"")</f>
        <v/>
      </c>
      <c r="X115" s="93" t="s">
        <v>1090</v>
      </c>
      <c r="Y115" s="93" t="s">
        <v>1238</v>
      </c>
      <c r="Z115" s="93"/>
      <c r="AA115" s="222"/>
      <c r="AB115" s="94" t="str">
        <f>IF(BCP_Soles[[#This Row],[FECHA]]&gt;0,TEXT(BCP_Soles[[#This Row],[FECHA]],"mmmm"),0)</f>
        <v>Enero</v>
      </c>
    </row>
    <row r="116" spans="2:28" x14ac:dyDescent="0.3">
      <c r="B116" s="2">
        <f>IF(BCP_Soles[[#This Row],[TIPO DE R.]]="R",COUNTIFS($D$4:$D115,"R")+1,"")</f>
        <v>77</v>
      </c>
      <c r="C116" s="19" t="str">
        <f t="shared" si="5"/>
        <v>B-BCP - Soles</v>
      </c>
      <c r="D116" s="3" t="s">
        <v>1074</v>
      </c>
      <c r="E116" s="14">
        <v>45667</v>
      </c>
      <c r="F116" s="5" t="s">
        <v>1239</v>
      </c>
      <c r="G116" s="5" t="s">
        <v>1087</v>
      </c>
      <c r="H116" s="6"/>
      <c r="I116" s="6"/>
      <c r="J116" s="6"/>
      <c r="K116" s="6"/>
      <c r="L116" s="7" t="s">
        <v>1100</v>
      </c>
      <c r="M116" s="8">
        <v>1333929</v>
      </c>
      <c r="N116" s="8" t="str">
        <f t="shared" si="6"/>
        <v>PEN</v>
      </c>
      <c r="O116" s="13"/>
      <c r="P116" s="13">
        <v>105</v>
      </c>
      <c r="Q116" s="3">
        <f t="shared" si="7"/>
        <v>105</v>
      </c>
      <c r="R116" s="3">
        <f t="shared" si="8"/>
        <v>0</v>
      </c>
      <c r="S116" s="3">
        <f t="shared" si="9"/>
        <v>19749.77</v>
      </c>
      <c r="T116" s="24" t="s">
        <v>1081</v>
      </c>
      <c r="U116" s="24" t="s">
        <v>1081</v>
      </c>
      <c r="V116" s="67"/>
      <c r="W116" s="25" t="str">
        <f>IFERROR(VLOOKUP(BCP_Soles[[#This Row],[DESTINATARIO]],CHOOSE({1,2},Clientes_Proveedores[Razon Social],Clientes_Proveedores[Ruc / Dni]),2,0),"")</f>
        <v/>
      </c>
      <c r="X116" s="25" t="s">
        <v>1090</v>
      </c>
      <c r="Y116" s="25" t="s">
        <v>1240</v>
      </c>
      <c r="Z116" s="25"/>
      <c r="AA116" s="99"/>
      <c r="AB116" s="3" t="str">
        <f>IF(BCP_Soles[[#This Row],[FECHA]]&gt;0,TEXT(BCP_Soles[[#This Row],[FECHA]],"mmmm"),0)</f>
        <v>Enero</v>
      </c>
    </row>
    <row r="117" spans="2:28" x14ac:dyDescent="0.3">
      <c r="B117" s="2">
        <f>IF(BCP_Soles[[#This Row],[TIPO DE R.]]="R",COUNTIFS($D$4:$D116,"R")+1,"")</f>
        <v>78</v>
      </c>
      <c r="C117" s="19" t="str">
        <f t="shared" si="5"/>
        <v>B-BCP - Soles</v>
      </c>
      <c r="D117" s="3" t="s">
        <v>1074</v>
      </c>
      <c r="E117" s="14">
        <v>45667</v>
      </c>
      <c r="F117" s="5" t="s">
        <v>558</v>
      </c>
      <c r="G117" s="5" t="s">
        <v>1087</v>
      </c>
      <c r="H117" s="6"/>
      <c r="I117" s="6"/>
      <c r="J117" s="6"/>
      <c r="K117" s="6"/>
      <c r="L117" s="7" t="s">
        <v>1100</v>
      </c>
      <c r="M117" s="8">
        <v>1075047</v>
      </c>
      <c r="N117" s="8" t="str">
        <f t="shared" si="6"/>
        <v>PEN</v>
      </c>
      <c r="O117" s="13"/>
      <c r="P117" s="13">
        <v>70.8</v>
      </c>
      <c r="Q117" s="3">
        <f t="shared" si="7"/>
        <v>70.8</v>
      </c>
      <c r="R117" s="3">
        <f t="shared" si="8"/>
        <v>0</v>
      </c>
      <c r="S117" s="3">
        <f t="shared" si="9"/>
        <v>19820.57</v>
      </c>
      <c r="T117" s="24" t="s">
        <v>1081</v>
      </c>
      <c r="U117" s="24"/>
      <c r="V117" s="67"/>
      <c r="W117" s="25" t="str">
        <f>IFERROR(VLOOKUP(BCP_Soles[[#This Row],[DESTINATARIO]],CHOOSE({1,2},Clientes_Proveedores[Razon Social],Clientes_Proveedores[Ruc / Dni]),2,0),"")</f>
        <v/>
      </c>
      <c r="X117" s="25" t="s">
        <v>1090</v>
      </c>
      <c r="Y117" s="25" t="s">
        <v>1241</v>
      </c>
      <c r="Z117" s="25"/>
      <c r="AA117" s="99"/>
      <c r="AB117" s="3" t="str">
        <f>IF(BCP_Soles[[#This Row],[FECHA]]&gt;0,TEXT(BCP_Soles[[#This Row],[FECHA]],"mmmm"),0)</f>
        <v>Enero</v>
      </c>
    </row>
    <row r="118" spans="2:28" ht="24" x14ac:dyDescent="0.3">
      <c r="B118" s="2">
        <f>IF(BCP_Soles[[#This Row],[TIPO DE R.]]="R",COUNTIFS($D$4:$D117,"R")+1,"")</f>
        <v>79</v>
      </c>
      <c r="C118" s="19" t="str">
        <f t="shared" si="5"/>
        <v>B-BCP - Soles</v>
      </c>
      <c r="D118" s="3" t="s">
        <v>1074</v>
      </c>
      <c r="E118" s="14">
        <v>45668</v>
      </c>
      <c r="F118" s="5" t="s">
        <v>1163</v>
      </c>
      <c r="G118" s="5" t="s">
        <v>1079</v>
      </c>
      <c r="H118" s="6"/>
      <c r="I118" s="6"/>
      <c r="J118" s="6"/>
      <c r="K118" s="6"/>
      <c r="L118" s="7" t="s">
        <v>1100</v>
      </c>
      <c r="M118" s="8">
        <v>2190556</v>
      </c>
      <c r="N118" s="8" t="str">
        <f t="shared" si="6"/>
        <v>PEN</v>
      </c>
      <c r="O118" s="13"/>
      <c r="P118" s="13">
        <v>600</v>
      </c>
      <c r="Q118" s="3">
        <f t="shared" si="7"/>
        <v>0</v>
      </c>
      <c r="R118" s="3">
        <f t="shared" si="8"/>
        <v>600</v>
      </c>
      <c r="S118" s="3">
        <f t="shared" si="9"/>
        <v>19220.57</v>
      </c>
      <c r="T118" s="24"/>
      <c r="U118" s="24"/>
      <c r="V118" s="67"/>
      <c r="W118" s="25" t="str">
        <f>IFERROR(VLOOKUP(BCP_Soles[[#This Row],[DESTINATARIO]],CHOOSE({1,2},Clientes_Proveedores[Razon Social],Clientes_Proveedores[Ruc / Dni]),2,0),"")</f>
        <v/>
      </c>
      <c r="X118" s="25"/>
      <c r="Y118" s="25" t="s">
        <v>1172</v>
      </c>
      <c r="Z118" s="25"/>
      <c r="AA118" s="99"/>
      <c r="AB118" s="3" t="str">
        <f>IF(BCP_Soles[[#This Row],[FECHA]]&gt;0,TEXT(BCP_Soles[[#This Row],[FECHA]],"mmmm"),0)</f>
        <v>Enero</v>
      </c>
    </row>
    <row r="119" spans="2:28" ht="24" x14ac:dyDescent="0.3">
      <c r="B119" s="2">
        <f>IF(BCP_Soles[[#This Row],[TIPO DE R.]]="R",COUNTIFS($D$4:$D118,"R")+1,"")</f>
        <v>80</v>
      </c>
      <c r="C119" s="19" t="str">
        <f t="shared" si="5"/>
        <v>B-BCP - Soles</v>
      </c>
      <c r="D119" s="3" t="s">
        <v>1074</v>
      </c>
      <c r="E119" s="14">
        <v>45668</v>
      </c>
      <c r="F119" s="5" t="s">
        <v>1242</v>
      </c>
      <c r="G119" s="5" t="s">
        <v>1087</v>
      </c>
      <c r="H119" s="6"/>
      <c r="I119" s="6"/>
      <c r="J119" s="6"/>
      <c r="K119" s="6"/>
      <c r="L119" s="7" t="s">
        <v>1243</v>
      </c>
      <c r="M119" s="8">
        <v>358765</v>
      </c>
      <c r="N119" s="8" t="str">
        <f t="shared" si="6"/>
        <v>PEN</v>
      </c>
      <c r="O119" s="13"/>
      <c r="P119" s="13">
        <v>600</v>
      </c>
      <c r="Q119" s="3">
        <f t="shared" si="7"/>
        <v>600</v>
      </c>
      <c r="R119" s="3">
        <f t="shared" si="8"/>
        <v>0</v>
      </c>
      <c r="S119" s="3">
        <f t="shared" si="9"/>
        <v>19820.57</v>
      </c>
      <c r="T119" s="24" t="s">
        <v>1081</v>
      </c>
      <c r="U119" s="24" t="s">
        <v>1081</v>
      </c>
      <c r="V119" s="67"/>
      <c r="W119" s="25" t="str">
        <f>IFERROR(VLOOKUP(BCP_Soles[[#This Row],[DESTINATARIO]],CHOOSE({1,2},Clientes_Proveedores[Razon Social],Clientes_Proveedores[Ruc / Dni]),2,0),"")</f>
        <v/>
      </c>
      <c r="X119" s="25" t="s">
        <v>1090</v>
      </c>
      <c r="Y119" s="25" t="s">
        <v>1244</v>
      </c>
      <c r="Z119" s="25"/>
      <c r="AA119" s="99"/>
      <c r="AB119" s="3" t="str">
        <f>IF(BCP_Soles[[#This Row],[FECHA]]&gt;0,TEXT(BCP_Soles[[#This Row],[FECHA]],"mmmm"),0)</f>
        <v>Enero</v>
      </c>
    </row>
    <row r="120" spans="2:28" x14ac:dyDescent="0.3">
      <c r="B120" s="2">
        <f>IF(BCP_Soles[[#This Row],[TIPO DE R.]]="R",COUNTIFS($D$4:$D119,"R")+1,"")</f>
        <v>81</v>
      </c>
      <c r="C120" s="19" t="str">
        <f t="shared" si="5"/>
        <v>B-BCP - Soles</v>
      </c>
      <c r="D120" s="3" t="s">
        <v>1074</v>
      </c>
      <c r="E120" s="14">
        <v>45669</v>
      </c>
      <c r="F120" s="5" t="s">
        <v>1078</v>
      </c>
      <c r="G120" s="5" t="s">
        <v>1079</v>
      </c>
      <c r="H120" s="6"/>
      <c r="I120" s="6"/>
      <c r="J120" s="6"/>
      <c r="K120" s="6"/>
      <c r="L120" s="7" t="s">
        <v>1080</v>
      </c>
      <c r="M120" s="8"/>
      <c r="N120" s="8" t="str">
        <f t="shared" si="6"/>
        <v>PEN</v>
      </c>
      <c r="O120" s="13"/>
      <c r="P120" s="13">
        <v>0.1</v>
      </c>
      <c r="Q120" s="3">
        <f t="shared" si="7"/>
        <v>0</v>
      </c>
      <c r="R120" s="3">
        <f t="shared" si="8"/>
        <v>0.1</v>
      </c>
      <c r="S120" s="3">
        <f t="shared" si="9"/>
        <v>19820.47</v>
      </c>
      <c r="T120" s="24"/>
      <c r="U120" s="24" t="s">
        <v>1081</v>
      </c>
      <c r="V120" s="67"/>
      <c r="W120" s="25" t="str">
        <f>IFERROR(VLOOKUP(BCP_Soles[[#This Row],[DESTINATARIO]],CHOOSE({1,2},Clientes_Proveedores[Razon Social],Clientes_Proveedores[Ruc / Dni]),2,0),"")</f>
        <v/>
      </c>
      <c r="X120" s="25"/>
      <c r="Y120" s="25"/>
      <c r="Z120" s="25"/>
      <c r="AA120" s="99"/>
      <c r="AB120" s="3" t="str">
        <f>IF(BCP_Soles[[#This Row],[FECHA]]&gt;0,TEXT(BCP_Soles[[#This Row],[FECHA]],"mmmm"),0)</f>
        <v>Enero</v>
      </c>
    </row>
    <row r="121" spans="2:28" ht="24" x14ac:dyDescent="0.3">
      <c r="B121" s="2">
        <f>IF(BCP_Soles[[#This Row],[TIPO DE R.]]="R",COUNTIFS($D$4:$D120,"R")+1,"")</f>
        <v>82</v>
      </c>
      <c r="C121" s="19" t="str">
        <f t="shared" si="5"/>
        <v>B-BCP - Soles</v>
      </c>
      <c r="D121" s="3" t="s">
        <v>1074</v>
      </c>
      <c r="E121" s="14">
        <v>45669</v>
      </c>
      <c r="F121" s="5" t="s">
        <v>1245</v>
      </c>
      <c r="G121" s="5" t="s">
        <v>1087</v>
      </c>
      <c r="H121" s="6"/>
      <c r="I121" s="6"/>
      <c r="J121" s="6"/>
      <c r="K121" s="6"/>
      <c r="L121" s="7" t="s">
        <v>1100</v>
      </c>
      <c r="M121" s="8">
        <v>2133711</v>
      </c>
      <c r="N121" s="8" t="str">
        <f t="shared" si="6"/>
        <v>PEN</v>
      </c>
      <c r="O121" s="13"/>
      <c r="P121" s="13">
        <v>2205</v>
      </c>
      <c r="Q121" s="3">
        <f t="shared" si="7"/>
        <v>2205</v>
      </c>
      <c r="R121" s="3">
        <f t="shared" si="8"/>
        <v>0</v>
      </c>
      <c r="S121" s="3">
        <f t="shared" si="9"/>
        <v>22025.47</v>
      </c>
      <c r="T121" s="24" t="s">
        <v>1081</v>
      </c>
      <c r="U121" s="24" t="s">
        <v>1081</v>
      </c>
      <c r="V121" s="67"/>
      <c r="W121" s="25" t="str">
        <f>IFERROR(VLOOKUP(BCP_Soles[[#This Row],[DESTINATARIO]],CHOOSE({1,2},Clientes_Proveedores[Razon Social],Clientes_Proveedores[Ruc / Dni]),2,0),"")</f>
        <v/>
      </c>
      <c r="X121" s="25" t="s">
        <v>1090</v>
      </c>
      <c r="Y121" s="25" t="s">
        <v>1246</v>
      </c>
      <c r="Z121" s="25"/>
      <c r="AA121" s="99"/>
      <c r="AB121" s="3" t="str">
        <f>IF(BCP_Soles[[#This Row],[FECHA]]&gt;0,TEXT(BCP_Soles[[#This Row],[FECHA]],"mmmm"),0)</f>
        <v>Enero</v>
      </c>
    </row>
    <row r="122" spans="2:28" ht="24" x14ac:dyDescent="0.3">
      <c r="B122" s="2">
        <f>IF(BCP_Soles[[#This Row],[TIPO DE R.]]="R",COUNTIFS($D$4:$D121,"R")+1,"")</f>
        <v>83</v>
      </c>
      <c r="C122" s="19" t="str">
        <f t="shared" si="5"/>
        <v>B-BCP - Soles</v>
      </c>
      <c r="D122" s="3" t="s">
        <v>1074</v>
      </c>
      <c r="E122" s="14">
        <v>45670</v>
      </c>
      <c r="F122" s="5" t="s">
        <v>1245</v>
      </c>
      <c r="G122" s="5" t="s">
        <v>1087</v>
      </c>
      <c r="H122" s="6"/>
      <c r="I122" s="6"/>
      <c r="J122" s="6"/>
      <c r="K122" s="6"/>
      <c r="L122" s="7" t="s">
        <v>1100</v>
      </c>
      <c r="M122" s="8">
        <v>646745</v>
      </c>
      <c r="N122" s="8" t="str">
        <f t="shared" si="6"/>
        <v>PEN</v>
      </c>
      <c r="O122" s="13"/>
      <c r="P122" s="13">
        <v>100</v>
      </c>
      <c r="Q122" s="3">
        <f t="shared" si="7"/>
        <v>100</v>
      </c>
      <c r="R122" s="3">
        <f t="shared" si="8"/>
        <v>0</v>
      </c>
      <c r="S122" s="3">
        <f t="shared" si="9"/>
        <v>22125.47</v>
      </c>
      <c r="T122" s="24" t="s">
        <v>1081</v>
      </c>
      <c r="U122" s="24" t="s">
        <v>1081</v>
      </c>
      <c r="V122" s="67"/>
      <c r="W122" s="25" t="str">
        <f>IFERROR(VLOOKUP(BCP_Soles[[#This Row],[DESTINATARIO]],CHOOSE({1,2},Clientes_Proveedores[Razon Social],Clientes_Proveedores[Ruc / Dni]),2,0),"")</f>
        <v/>
      </c>
      <c r="X122" s="25" t="s">
        <v>1090</v>
      </c>
      <c r="Y122" s="25" t="s">
        <v>1246</v>
      </c>
      <c r="Z122" s="25"/>
      <c r="AA122" s="99"/>
      <c r="AB122" s="3" t="str">
        <f>IF(BCP_Soles[[#This Row],[FECHA]]&gt;0,TEXT(BCP_Soles[[#This Row],[FECHA]],"mmmm"),0)</f>
        <v>Enero</v>
      </c>
    </row>
    <row r="123" spans="2:28" x14ac:dyDescent="0.3">
      <c r="B123" s="2">
        <f>IF(BCP_Soles[[#This Row],[TIPO DE R.]]="R",COUNTIFS($D$4:$D122,"R")+1,"")</f>
        <v>84</v>
      </c>
      <c r="C123" s="19" t="str">
        <f t="shared" si="5"/>
        <v>B-BCP - Soles</v>
      </c>
      <c r="D123" s="3" t="s">
        <v>1074</v>
      </c>
      <c r="E123" s="14">
        <v>45670</v>
      </c>
      <c r="F123" s="5" t="s">
        <v>1078</v>
      </c>
      <c r="G123" s="5" t="s">
        <v>1079</v>
      </c>
      <c r="H123" s="6"/>
      <c r="I123" s="6"/>
      <c r="J123" s="6"/>
      <c r="K123" s="6"/>
      <c r="L123" s="7" t="s">
        <v>1080</v>
      </c>
      <c r="M123" s="8"/>
      <c r="N123" s="8" t="str">
        <f t="shared" si="6"/>
        <v>PEN</v>
      </c>
      <c r="O123" s="13"/>
      <c r="P123" s="13">
        <v>0.5</v>
      </c>
      <c r="Q123" s="3">
        <f t="shared" si="7"/>
        <v>0</v>
      </c>
      <c r="R123" s="3">
        <f t="shared" si="8"/>
        <v>0.5</v>
      </c>
      <c r="S123" s="3">
        <f t="shared" si="9"/>
        <v>22124.97</v>
      </c>
      <c r="T123" s="24"/>
      <c r="U123" s="24" t="s">
        <v>1081</v>
      </c>
      <c r="V123" s="67"/>
      <c r="W123" s="25" t="str">
        <f>IFERROR(VLOOKUP(BCP_Soles[[#This Row],[DESTINATARIO]],CHOOSE({1,2},Clientes_Proveedores[Razon Social],Clientes_Proveedores[Ruc / Dni]),2,0),"")</f>
        <v/>
      </c>
      <c r="X123" s="25"/>
      <c r="Y123" s="25"/>
      <c r="Z123" s="25"/>
      <c r="AA123" s="99"/>
      <c r="AB123" s="3" t="str">
        <f>IF(BCP_Soles[[#This Row],[FECHA]]&gt;0,TEXT(BCP_Soles[[#This Row],[FECHA]],"mmmm"),0)</f>
        <v>Enero</v>
      </c>
    </row>
    <row r="124" spans="2:28" x14ac:dyDescent="0.3">
      <c r="B124" s="2">
        <f>IF(BCP_Soles[[#This Row],[TIPO DE R.]]="R",COUNTIFS($D$4:$D123,"R")+1,"")</f>
        <v>85</v>
      </c>
      <c r="C124" s="19" t="str">
        <f t="shared" si="5"/>
        <v>B-BCP - Soles</v>
      </c>
      <c r="D124" s="3" t="s">
        <v>1074</v>
      </c>
      <c r="E124" s="14">
        <v>45670</v>
      </c>
      <c r="F124" s="5" t="s">
        <v>1082</v>
      </c>
      <c r="G124" s="5" t="s">
        <v>1079</v>
      </c>
      <c r="H124" s="6"/>
      <c r="I124" s="6"/>
      <c r="J124" s="6"/>
      <c r="K124" s="6"/>
      <c r="L124" s="7" t="s">
        <v>1247</v>
      </c>
      <c r="M124" s="8">
        <v>891542</v>
      </c>
      <c r="N124" s="8" t="str">
        <f t="shared" si="6"/>
        <v>PEN</v>
      </c>
      <c r="O124" s="13"/>
      <c r="P124" s="13">
        <v>6091.51</v>
      </c>
      <c r="Q124" s="3">
        <f t="shared" si="7"/>
        <v>0</v>
      </c>
      <c r="R124" s="3">
        <f t="shared" si="8"/>
        <v>6091.51</v>
      </c>
      <c r="S124" s="3">
        <f t="shared" si="9"/>
        <v>16033.460000000001</v>
      </c>
      <c r="T124" s="24" t="s">
        <v>1081</v>
      </c>
      <c r="U124" s="24"/>
      <c r="V124" s="67"/>
      <c r="W124" s="25" t="str">
        <f>IFERROR(VLOOKUP(BCP_Soles[[#This Row],[DESTINATARIO]],CHOOSE({1,2},Clientes_Proveedores[Razon Social],Clientes_Proveedores[Ruc / Dni]),2,0),"")</f>
        <v/>
      </c>
      <c r="X124" s="25" t="s">
        <v>1118</v>
      </c>
      <c r="Y124" s="25"/>
      <c r="Z124" s="25"/>
      <c r="AA124" s="99"/>
      <c r="AB124" s="3" t="str">
        <f>IF(BCP_Soles[[#This Row],[FECHA]]&gt;0,TEXT(BCP_Soles[[#This Row],[FECHA]],"mmmm"),0)</f>
        <v>Enero</v>
      </c>
    </row>
    <row r="125" spans="2:28" x14ac:dyDescent="0.3">
      <c r="B125" s="2" t="str">
        <f>IF(BCP_Soles[[#This Row],[TIPO DE R.]]="R",COUNTIFS($D$4:$D124,"R")+1,"")</f>
        <v/>
      </c>
      <c r="C125" s="19" t="str">
        <f t="shared" si="5"/>
        <v>B-BCP - Soles</v>
      </c>
      <c r="D125" s="3" t="s">
        <v>1101</v>
      </c>
      <c r="E125" s="14">
        <v>45670</v>
      </c>
      <c r="F125" s="5" t="s">
        <v>1082</v>
      </c>
      <c r="G125" s="5"/>
      <c r="H125" s="6" t="s">
        <v>245</v>
      </c>
      <c r="I125" s="6" t="s">
        <v>14</v>
      </c>
      <c r="J125" s="6" t="s">
        <v>1119</v>
      </c>
      <c r="K125" s="6">
        <v>18337</v>
      </c>
      <c r="L125" s="7" t="s">
        <v>1247</v>
      </c>
      <c r="M125" s="8">
        <v>891542</v>
      </c>
      <c r="N125" s="8" t="str">
        <f t="shared" si="6"/>
        <v>PEN</v>
      </c>
      <c r="O125" s="13"/>
      <c r="P125" s="13">
        <v>625.4</v>
      </c>
      <c r="Q125" s="3">
        <f t="shared" si="7"/>
        <v>0</v>
      </c>
      <c r="R125" s="3">
        <f t="shared" si="8"/>
        <v>0</v>
      </c>
      <c r="S125" s="3">
        <f t="shared" si="9"/>
        <v>16033.460000000001</v>
      </c>
      <c r="T125" s="24"/>
      <c r="U125" s="24"/>
      <c r="V125" s="67"/>
      <c r="W125" s="25">
        <f>IFERROR(VLOOKUP(BCP_Soles[[#This Row],[DESTINATARIO]],CHOOSE({1,2},Clientes_Proveedores[Razon Social],Clientes_Proveedores[Ruc / Dni]),2,0),"")</f>
        <v>20455731926</v>
      </c>
      <c r="X125" s="25"/>
      <c r="Y125" s="25"/>
      <c r="Z125" s="25"/>
      <c r="AA125" s="99"/>
      <c r="AB125" s="3" t="str">
        <f>IF(BCP_Soles[[#This Row],[FECHA]]&gt;0,TEXT(BCP_Soles[[#This Row],[FECHA]],"mmmm"),0)</f>
        <v>Enero</v>
      </c>
    </row>
    <row r="126" spans="2:28" x14ac:dyDescent="0.3">
      <c r="B126" s="2" t="str">
        <f>IF(BCP_Soles[[#This Row],[TIPO DE R.]]="R",COUNTIFS($D$4:$D125,"R")+1,"")</f>
        <v/>
      </c>
      <c r="C126" s="19" t="str">
        <f t="shared" si="5"/>
        <v>B-BCP - Soles</v>
      </c>
      <c r="D126" s="3" t="s">
        <v>1101</v>
      </c>
      <c r="E126" s="14">
        <v>45670</v>
      </c>
      <c r="F126" s="5" t="s">
        <v>1082</v>
      </c>
      <c r="G126" s="5"/>
      <c r="H126" s="6" t="s">
        <v>436</v>
      </c>
      <c r="I126" s="6" t="s">
        <v>14</v>
      </c>
      <c r="J126" s="6" t="s">
        <v>1119</v>
      </c>
      <c r="K126" s="6">
        <v>8612</v>
      </c>
      <c r="L126" s="7" t="s">
        <v>1247</v>
      </c>
      <c r="M126" s="8">
        <v>891542</v>
      </c>
      <c r="N126" s="8" t="str">
        <f t="shared" si="6"/>
        <v>PEN</v>
      </c>
      <c r="O126" s="13"/>
      <c r="P126" s="13">
        <v>324.55</v>
      </c>
      <c r="Q126" s="3">
        <f t="shared" si="7"/>
        <v>0</v>
      </c>
      <c r="R126" s="3">
        <f t="shared" si="8"/>
        <v>0</v>
      </c>
      <c r="S126" s="3">
        <f t="shared" si="9"/>
        <v>16033.460000000001</v>
      </c>
      <c r="T126" s="24"/>
      <c r="U126" s="24"/>
      <c r="V126" s="67"/>
      <c r="W126" s="25">
        <f>IFERROR(VLOOKUP(BCP_Soles[[#This Row],[DESTINATARIO]],CHOOSE({1,2},Clientes_Proveedores[Razon Social],Clientes_Proveedores[Ruc / Dni]),2,0),"")</f>
        <v>20602751326</v>
      </c>
      <c r="X126" s="25"/>
      <c r="Y126" s="25"/>
      <c r="Z126" s="25"/>
      <c r="AA126" s="99"/>
      <c r="AB126" s="3" t="str">
        <f>IF(BCP_Soles[[#This Row],[FECHA]]&gt;0,TEXT(BCP_Soles[[#This Row],[FECHA]],"mmmm"),0)</f>
        <v>Enero</v>
      </c>
    </row>
    <row r="127" spans="2:28" ht="24" x14ac:dyDescent="0.3">
      <c r="B127" s="2" t="str">
        <f>IF(BCP_Soles[[#This Row],[TIPO DE R.]]="R",COUNTIFS($D$4:$D126,"R")+1,"")</f>
        <v/>
      </c>
      <c r="C127" s="19" t="str">
        <f t="shared" si="5"/>
        <v>B-BCP - Soles</v>
      </c>
      <c r="D127" s="3" t="s">
        <v>1101</v>
      </c>
      <c r="E127" s="14">
        <v>45670</v>
      </c>
      <c r="F127" s="5" t="s">
        <v>1082</v>
      </c>
      <c r="G127" s="5"/>
      <c r="H127" s="6" t="s">
        <v>307</v>
      </c>
      <c r="I127" s="6" t="s">
        <v>14</v>
      </c>
      <c r="J127" s="6" t="s">
        <v>1248</v>
      </c>
      <c r="K127" s="6">
        <v>10229</v>
      </c>
      <c r="L127" s="7" t="s">
        <v>1247</v>
      </c>
      <c r="M127" s="8">
        <v>891542</v>
      </c>
      <c r="N127" s="8" t="str">
        <f t="shared" si="6"/>
        <v>PEN</v>
      </c>
      <c r="O127" s="13"/>
      <c r="P127" s="13">
        <v>258.42</v>
      </c>
      <c r="Q127" s="3">
        <f t="shared" si="7"/>
        <v>0</v>
      </c>
      <c r="R127" s="3">
        <f t="shared" si="8"/>
        <v>0</v>
      </c>
      <c r="S127" s="3">
        <f t="shared" si="9"/>
        <v>16033.460000000001</v>
      </c>
      <c r="T127" s="24"/>
      <c r="U127" s="24"/>
      <c r="V127" s="67"/>
      <c r="W127" s="25">
        <f>IFERROR(VLOOKUP(BCP_Soles[[#This Row],[DESTINATARIO]],CHOOSE({1,2},Clientes_Proveedores[Razon Social],Clientes_Proveedores[Ruc / Dni]),2,0),"")</f>
        <v>20517035964</v>
      </c>
      <c r="X127" s="25"/>
      <c r="Y127" s="25"/>
      <c r="Z127" s="25"/>
      <c r="AA127" s="99"/>
      <c r="AB127" s="3" t="str">
        <f>IF(BCP_Soles[[#This Row],[FECHA]]&gt;0,TEXT(BCP_Soles[[#This Row],[FECHA]],"mmmm"),0)</f>
        <v>Enero</v>
      </c>
    </row>
    <row r="128" spans="2:28" ht="24" x14ac:dyDescent="0.3">
      <c r="B128" s="2" t="str">
        <f>IF(BCP_Soles[[#This Row],[TIPO DE R.]]="R",COUNTIFS($D$4:$D127,"R")+1,"")</f>
        <v/>
      </c>
      <c r="C128" s="19" t="str">
        <f t="shared" si="5"/>
        <v>B-BCP - Soles</v>
      </c>
      <c r="D128" s="3" t="s">
        <v>1101</v>
      </c>
      <c r="E128" s="14">
        <v>45670</v>
      </c>
      <c r="F128" s="5" t="s">
        <v>1082</v>
      </c>
      <c r="G128" s="5"/>
      <c r="H128" s="6" t="s">
        <v>118</v>
      </c>
      <c r="I128" s="6" t="s">
        <v>14</v>
      </c>
      <c r="J128" s="6" t="s">
        <v>1121</v>
      </c>
      <c r="K128" s="6">
        <v>345</v>
      </c>
      <c r="L128" s="7" t="s">
        <v>1247</v>
      </c>
      <c r="M128" s="8">
        <v>891542</v>
      </c>
      <c r="N128" s="8" t="str">
        <f t="shared" si="6"/>
        <v>PEN</v>
      </c>
      <c r="O128" s="13"/>
      <c r="P128" s="13">
        <v>566</v>
      </c>
      <c r="Q128" s="3">
        <f t="shared" si="7"/>
        <v>0</v>
      </c>
      <c r="R128" s="3">
        <f t="shared" si="8"/>
        <v>0</v>
      </c>
      <c r="S128" s="3">
        <f t="shared" si="9"/>
        <v>16033.460000000001</v>
      </c>
      <c r="T128" s="24"/>
      <c r="U128" s="24"/>
      <c r="V128" s="67"/>
      <c r="W128" s="25">
        <f>IFERROR(VLOOKUP(BCP_Soles[[#This Row],[DESTINATARIO]],CHOOSE({1,2},Clientes_Proveedores[Razon Social],Clientes_Proveedores[Ruc / Dni]),2,0),"")</f>
        <v>10470065147</v>
      </c>
      <c r="X128" s="25"/>
      <c r="Y128" s="25"/>
      <c r="Z128" s="25"/>
      <c r="AA128" s="99"/>
      <c r="AB128" s="3" t="str">
        <f>IF(BCP_Soles[[#This Row],[FECHA]]&gt;0,TEXT(BCP_Soles[[#This Row],[FECHA]],"mmmm"),0)</f>
        <v>Enero</v>
      </c>
    </row>
    <row r="129" spans="2:28" ht="24" x14ac:dyDescent="0.3">
      <c r="B129" s="2" t="str">
        <f>IF(BCP_Soles[[#This Row],[TIPO DE R.]]="R",COUNTIFS($D$4:$D128,"R")+1,"")</f>
        <v/>
      </c>
      <c r="C129" s="19" t="str">
        <f t="shared" si="5"/>
        <v>B-BCP - Soles</v>
      </c>
      <c r="D129" s="3" t="s">
        <v>1101</v>
      </c>
      <c r="E129" s="14">
        <v>45670</v>
      </c>
      <c r="F129" s="5" t="s">
        <v>1082</v>
      </c>
      <c r="G129" s="5"/>
      <c r="H129" s="6" t="s">
        <v>118</v>
      </c>
      <c r="I129" s="6" t="s">
        <v>14</v>
      </c>
      <c r="J129" s="6" t="s">
        <v>1121</v>
      </c>
      <c r="K129" s="6">
        <v>351</v>
      </c>
      <c r="L129" s="7" t="s">
        <v>1247</v>
      </c>
      <c r="M129" s="8">
        <v>891542</v>
      </c>
      <c r="N129" s="8" t="str">
        <f t="shared" si="6"/>
        <v>PEN</v>
      </c>
      <c r="O129" s="13"/>
      <c r="P129" s="13">
        <v>510</v>
      </c>
      <c r="Q129" s="3">
        <f t="shared" si="7"/>
        <v>0</v>
      </c>
      <c r="R129" s="3">
        <f t="shared" si="8"/>
        <v>0</v>
      </c>
      <c r="S129" s="3">
        <f t="shared" si="9"/>
        <v>16033.460000000001</v>
      </c>
      <c r="T129" s="24"/>
      <c r="U129" s="24"/>
      <c r="V129" s="67"/>
      <c r="W129" s="25">
        <f>IFERROR(VLOOKUP(BCP_Soles[[#This Row],[DESTINATARIO]],CHOOSE({1,2},Clientes_Proveedores[Razon Social],Clientes_Proveedores[Ruc / Dni]),2,0),"")</f>
        <v>10470065147</v>
      </c>
      <c r="X129" s="25"/>
      <c r="Y129" s="25"/>
      <c r="Z129" s="25"/>
      <c r="AA129" s="99"/>
      <c r="AB129" s="3" t="str">
        <f>IF(BCP_Soles[[#This Row],[FECHA]]&gt;0,TEXT(BCP_Soles[[#This Row],[FECHA]],"mmmm"),0)</f>
        <v>Enero</v>
      </c>
    </row>
    <row r="130" spans="2:28" ht="24" x14ac:dyDescent="0.3">
      <c r="B130" s="2" t="str">
        <f>IF(BCP_Soles[[#This Row],[TIPO DE R.]]="R",COUNTIFS($D$4:$D129,"R")+1,"")</f>
        <v/>
      </c>
      <c r="C130" s="19" t="str">
        <f t="shared" si="5"/>
        <v>B-BCP - Soles</v>
      </c>
      <c r="D130" s="3" t="s">
        <v>1101</v>
      </c>
      <c r="E130" s="14">
        <v>45670</v>
      </c>
      <c r="F130" s="5" t="s">
        <v>1082</v>
      </c>
      <c r="G130" s="5"/>
      <c r="H130" s="6" t="s">
        <v>108</v>
      </c>
      <c r="I130" s="6" t="s">
        <v>14</v>
      </c>
      <c r="J130" s="6" t="s">
        <v>1121</v>
      </c>
      <c r="K130" s="6">
        <v>4277</v>
      </c>
      <c r="L130" s="7" t="s">
        <v>1247</v>
      </c>
      <c r="M130" s="8">
        <v>891542</v>
      </c>
      <c r="N130" s="8" t="str">
        <f t="shared" si="6"/>
        <v>PEN</v>
      </c>
      <c r="O130" s="13"/>
      <c r="P130" s="13">
        <v>118</v>
      </c>
      <c r="Q130" s="3">
        <f t="shared" si="7"/>
        <v>0</v>
      </c>
      <c r="R130" s="3">
        <f t="shared" si="8"/>
        <v>0</v>
      </c>
      <c r="S130" s="3">
        <f t="shared" si="9"/>
        <v>16033.460000000001</v>
      </c>
      <c r="T130" s="24"/>
      <c r="U130" s="24"/>
      <c r="V130" s="67"/>
      <c r="W130" s="25">
        <f>IFERROR(VLOOKUP(BCP_Soles[[#This Row],[DESTINATARIO]],CHOOSE({1,2},Clientes_Proveedores[Razon Social],Clientes_Proveedores[Ruc / Dni]),2,0),"")</f>
        <v>10425371652</v>
      </c>
      <c r="X130" s="25"/>
      <c r="Y130" s="25"/>
      <c r="Z130" s="25"/>
      <c r="AA130" s="99"/>
      <c r="AB130" s="3" t="str">
        <f>IF(BCP_Soles[[#This Row],[FECHA]]&gt;0,TEXT(BCP_Soles[[#This Row],[FECHA]],"mmmm"),0)</f>
        <v>Enero</v>
      </c>
    </row>
    <row r="131" spans="2:28" ht="36" x14ac:dyDescent="0.3">
      <c r="B131" s="2" t="str">
        <f>IF(BCP_Soles[[#This Row],[TIPO DE R.]]="R",COUNTIFS($D$4:$D130,"R")+1,"")</f>
        <v/>
      </c>
      <c r="C131" s="19" t="str">
        <f t="shared" si="5"/>
        <v>B-BCP - Soles</v>
      </c>
      <c r="D131" s="3" t="s">
        <v>1101</v>
      </c>
      <c r="E131" s="14">
        <v>45670</v>
      </c>
      <c r="F131" s="5" t="s">
        <v>1082</v>
      </c>
      <c r="G131" s="5"/>
      <c r="H131" s="6" t="s">
        <v>97</v>
      </c>
      <c r="I131" s="6" t="s">
        <v>14</v>
      </c>
      <c r="J131" s="6" t="s">
        <v>1121</v>
      </c>
      <c r="K131" s="6">
        <v>363</v>
      </c>
      <c r="L131" s="7" t="s">
        <v>1247</v>
      </c>
      <c r="M131" s="8">
        <v>891542</v>
      </c>
      <c r="N131" s="8" t="str">
        <f t="shared" si="6"/>
        <v>PEN</v>
      </c>
      <c r="O131" s="13"/>
      <c r="P131" s="13">
        <v>403</v>
      </c>
      <c r="Q131" s="3">
        <f t="shared" si="7"/>
        <v>0</v>
      </c>
      <c r="R131" s="3">
        <f t="shared" si="8"/>
        <v>0</v>
      </c>
      <c r="S131" s="3">
        <f t="shared" si="9"/>
        <v>16033.460000000001</v>
      </c>
      <c r="T131" s="24"/>
      <c r="U131" s="24"/>
      <c r="V131" s="67"/>
      <c r="W131" s="25">
        <f>IFERROR(VLOOKUP(BCP_Soles[[#This Row],[DESTINATARIO]],CHOOSE({1,2},Clientes_Proveedores[Razon Social],Clientes_Proveedores[Ruc / Dni]),2,0),"")</f>
        <v>10405211179</v>
      </c>
      <c r="X131" s="25"/>
      <c r="Y131" s="25"/>
      <c r="Z131" s="25"/>
      <c r="AA131" s="99"/>
      <c r="AB131" s="3" t="str">
        <f>IF(BCP_Soles[[#This Row],[FECHA]]&gt;0,TEXT(BCP_Soles[[#This Row],[FECHA]],"mmmm"),0)</f>
        <v>Enero</v>
      </c>
    </row>
    <row r="132" spans="2:28" ht="24" x14ac:dyDescent="0.3">
      <c r="B132" s="2" t="str">
        <f>IF(BCP_Soles[[#This Row],[TIPO DE R.]]="R",COUNTIFS($D$4:$D131,"R")+1,"")</f>
        <v/>
      </c>
      <c r="C132" s="19" t="str">
        <f t="shared" si="5"/>
        <v>B-BCP - Soles</v>
      </c>
      <c r="D132" s="3" t="s">
        <v>1101</v>
      </c>
      <c r="E132" s="14">
        <v>45670</v>
      </c>
      <c r="F132" s="5" t="s">
        <v>1082</v>
      </c>
      <c r="G132" s="5"/>
      <c r="H132" s="6" t="s">
        <v>536</v>
      </c>
      <c r="I132" s="6" t="s">
        <v>14</v>
      </c>
      <c r="J132" s="6" t="s">
        <v>1121</v>
      </c>
      <c r="K132" s="6">
        <v>1863</v>
      </c>
      <c r="L132" s="7" t="s">
        <v>1247</v>
      </c>
      <c r="M132" s="8">
        <v>891542</v>
      </c>
      <c r="N132" s="8" t="str">
        <f t="shared" si="6"/>
        <v>PEN</v>
      </c>
      <c r="O132" s="13"/>
      <c r="P132" s="13">
        <v>70.8</v>
      </c>
      <c r="Q132" s="3">
        <f t="shared" si="7"/>
        <v>0</v>
      </c>
      <c r="R132" s="3">
        <f t="shared" si="8"/>
        <v>0</v>
      </c>
      <c r="S132" s="3">
        <f t="shared" si="9"/>
        <v>16033.460000000001</v>
      </c>
      <c r="T132" s="24"/>
      <c r="U132" s="24"/>
      <c r="V132" s="67"/>
      <c r="W132" s="25">
        <f>IFERROR(VLOOKUP(BCP_Soles[[#This Row],[DESTINATARIO]],CHOOSE({1,2},Clientes_Proveedores[Razon Social],Clientes_Proveedores[Ruc / Dni]),2,0),"")</f>
        <v>20609764261</v>
      </c>
      <c r="X132" s="25"/>
      <c r="Y132" s="25"/>
      <c r="Z132" s="25"/>
      <c r="AA132" s="99"/>
      <c r="AB132" s="3" t="str">
        <f>IF(BCP_Soles[[#This Row],[FECHA]]&gt;0,TEXT(BCP_Soles[[#This Row],[FECHA]],"mmmm"),0)</f>
        <v>Enero</v>
      </c>
    </row>
    <row r="133" spans="2:28" ht="24" x14ac:dyDescent="0.3">
      <c r="B133" s="2" t="str">
        <f>IF(BCP_Soles[[#This Row],[TIPO DE R.]]="R",COUNTIFS($D$4:$D132,"R")+1,"")</f>
        <v/>
      </c>
      <c r="C133" s="19" t="str">
        <f t="shared" ref="C133:C196" si="10">"B-BCP - Soles"</f>
        <v>B-BCP - Soles</v>
      </c>
      <c r="D133" s="3" t="s">
        <v>1101</v>
      </c>
      <c r="E133" s="14">
        <v>45670</v>
      </c>
      <c r="F133" s="5" t="s">
        <v>1082</v>
      </c>
      <c r="G133" s="5"/>
      <c r="H133" s="6" t="s">
        <v>536</v>
      </c>
      <c r="I133" s="6" t="s">
        <v>14</v>
      </c>
      <c r="J133" s="6" t="s">
        <v>1121</v>
      </c>
      <c r="K133" s="6">
        <v>1862</v>
      </c>
      <c r="L133" s="7" t="s">
        <v>1247</v>
      </c>
      <c r="M133" s="8">
        <v>891542</v>
      </c>
      <c r="N133" s="8" t="str">
        <f t="shared" ref="N133:N196" si="11">"PEN"</f>
        <v>PEN</v>
      </c>
      <c r="O133" s="13"/>
      <c r="P133" s="13">
        <v>318.60000000000002</v>
      </c>
      <c r="Q133" s="3">
        <f t="shared" ref="Q133:Q196" si="12">+IF(OR($G133="SALDO",$G133="INGRESO"),$P133,0)</f>
        <v>0</v>
      </c>
      <c r="R133" s="3">
        <f t="shared" ref="R133:R196" si="13">+IF($G133="EGRESO",$P133,0)</f>
        <v>0</v>
      </c>
      <c r="S133" s="3">
        <f t="shared" ref="S133:S196" si="14">IFERROR(IF(G133="SALDO",Q133,S132+Q133-R133),0)</f>
        <v>16033.460000000001</v>
      </c>
      <c r="T133" s="24"/>
      <c r="U133" s="24"/>
      <c r="V133" s="67"/>
      <c r="W133" s="25">
        <f>IFERROR(VLOOKUP(BCP_Soles[[#This Row],[DESTINATARIO]],CHOOSE({1,2},Clientes_Proveedores[Razon Social],Clientes_Proveedores[Ruc / Dni]),2,0),"")</f>
        <v>20609764261</v>
      </c>
      <c r="X133" s="25"/>
      <c r="Y133" s="25"/>
      <c r="Z133" s="25"/>
      <c r="AA133" s="99"/>
      <c r="AB133" s="3" t="str">
        <f>IF(BCP_Soles[[#This Row],[FECHA]]&gt;0,TEXT(BCP_Soles[[#This Row],[FECHA]],"mmmm"),0)</f>
        <v>Enero</v>
      </c>
    </row>
    <row r="134" spans="2:28" ht="24" x14ac:dyDescent="0.3">
      <c r="B134" s="2" t="str">
        <f>IF(BCP_Soles[[#This Row],[TIPO DE R.]]="R",COUNTIFS($D$4:$D133,"R")+1,"")</f>
        <v/>
      </c>
      <c r="C134" s="19" t="str">
        <f t="shared" si="10"/>
        <v>B-BCP - Soles</v>
      </c>
      <c r="D134" s="3" t="s">
        <v>1101</v>
      </c>
      <c r="E134" s="14">
        <v>45670</v>
      </c>
      <c r="F134" s="5" t="s">
        <v>1082</v>
      </c>
      <c r="G134" s="5"/>
      <c r="H134" s="6" t="s">
        <v>536</v>
      </c>
      <c r="I134" s="6" t="s">
        <v>14</v>
      </c>
      <c r="J134" s="6" t="s">
        <v>1121</v>
      </c>
      <c r="K134" s="6">
        <v>1861</v>
      </c>
      <c r="L134" s="7" t="s">
        <v>1247</v>
      </c>
      <c r="M134" s="8">
        <v>891542</v>
      </c>
      <c r="N134" s="8" t="str">
        <f t="shared" si="11"/>
        <v>PEN</v>
      </c>
      <c r="O134" s="13"/>
      <c r="P134" s="13">
        <v>70.8</v>
      </c>
      <c r="Q134" s="3">
        <f t="shared" si="12"/>
        <v>0</v>
      </c>
      <c r="R134" s="3">
        <f t="shared" si="13"/>
        <v>0</v>
      </c>
      <c r="S134" s="3">
        <f t="shared" si="14"/>
        <v>16033.460000000001</v>
      </c>
      <c r="T134" s="24"/>
      <c r="U134" s="24"/>
      <c r="V134" s="67"/>
      <c r="W134" s="25">
        <f>IFERROR(VLOOKUP(BCP_Soles[[#This Row],[DESTINATARIO]],CHOOSE({1,2},Clientes_Proveedores[Razon Social],Clientes_Proveedores[Ruc / Dni]),2,0),"")</f>
        <v>20609764261</v>
      </c>
      <c r="X134" s="25"/>
      <c r="Y134" s="25"/>
      <c r="Z134" s="25"/>
      <c r="AA134" s="99"/>
      <c r="AB134" s="3" t="str">
        <f>IF(BCP_Soles[[#This Row],[FECHA]]&gt;0,TEXT(BCP_Soles[[#This Row],[FECHA]],"mmmm"),0)</f>
        <v>Enero</v>
      </c>
    </row>
    <row r="135" spans="2:28" ht="24" x14ac:dyDescent="0.3">
      <c r="B135" s="2" t="str">
        <f>IF(BCP_Soles[[#This Row],[TIPO DE R.]]="R",COUNTIFS($D$4:$D134,"R")+1,"")</f>
        <v/>
      </c>
      <c r="C135" s="19" t="str">
        <f t="shared" si="10"/>
        <v>B-BCP - Soles</v>
      </c>
      <c r="D135" s="3" t="s">
        <v>1101</v>
      </c>
      <c r="E135" s="14">
        <v>45670</v>
      </c>
      <c r="F135" s="5" t="s">
        <v>1082</v>
      </c>
      <c r="G135" s="5"/>
      <c r="H135" s="6" t="s">
        <v>536</v>
      </c>
      <c r="I135" s="6" t="s">
        <v>14</v>
      </c>
      <c r="J135" s="6" t="s">
        <v>1121</v>
      </c>
      <c r="K135" s="6">
        <v>1847</v>
      </c>
      <c r="L135" s="7" t="s">
        <v>1247</v>
      </c>
      <c r="M135" s="8">
        <v>891542</v>
      </c>
      <c r="N135" s="8" t="str">
        <f t="shared" si="11"/>
        <v>PEN</v>
      </c>
      <c r="O135" s="13"/>
      <c r="P135" s="13">
        <v>141.6</v>
      </c>
      <c r="Q135" s="3">
        <f t="shared" si="12"/>
        <v>0</v>
      </c>
      <c r="R135" s="3">
        <f t="shared" si="13"/>
        <v>0</v>
      </c>
      <c r="S135" s="3">
        <f t="shared" si="14"/>
        <v>16033.460000000001</v>
      </c>
      <c r="T135" s="24"/>
      <c r="U135" s="24"/>
      <c r="V135" s="67"/>
      <c r="W135" s="25">
        <f>IFERROR(VLOOKUP(BCP_Soles[[#This Row],[DESTINATARIO]],CHOOSE({1,2},Clientes_Proveedores[Razon Social],Clientes_Proveedores[Ruc / Dni]),2,0),"")</f>
        <v>20609764261</v>
      </c>
      <c r="X135" s="25"/>
      <c r="Y135" s="25"/>
      <c r="Z135" s="25"/>
      <c r="AA135" s="99"/>
      <c r="AB135" s="3" t="str">
        <f>IF(BCP_Soles[[#This Row],[FECHA]]&gt;0,TEXT(BCP_Soles[[#This Row],[FECHA]],"mmmm"),0)</f>
        <v>Enero</v>
      </c>
    </row>
    <row r="136" spans="2:28" ht="24" x14ac:dyDescent="0.3">
      <c r="B136" s="2" t="str">
        <f>IF(BCP_Soles[[#This Row],[TIPO DE R.]]="R",COUNTIFS($D$4:$D135,"R")+1,"")</f>
        <v/>
      </c>
      <c r="C136" s="19" t="str">
        <f t="shared" si="10"/>
        <v>B-BCP - Soles</v>
      </c>
      <c r="D136" s="3" t="s">
        <v>1101</v>
      </c>
      <c r="E136" s="14">
        <v>45670</v>
      </c>
      <c r="F136" s="5" t="s">
        <v>1082</v>
      </c>
      <c r="G136" s="5"/>
      <c r="H136" s="6" t="s">
        <v>559</v>
      </c>
      <c r="I136" s="6" t="s">
        <v>14</v>
      </c>
      <c r="J136" s="6" t="s">
        <v>1119</v>
      </c>
      <c r="K136" s="6">
        <v>467</v>
      </c>
      <c r="L136" s="7" t="s">
        <v>1247</v>
      </c>
      <c r="M136" s="8">
        <v>891542</v>
      </c>
      <c r="N136" s="8" t="str">
        <f t="shared" si="11"/>
        <v>PEN</v>
      </c>
      <c r="O136" s="13"/>
      <c r="P136" s="13">
        <v>130</v>
      </c>
      <c r="Q136" s="3">
        <f t="shared" si="12"/>
        <v>0</v>
      </c>
      <c r="R136" s="3">
        <f t="shared" si="13"/>
        <v>0</v>
      </c>
      <c r="S136" s="3">
        <f t="shared" si="14"/>
        <v>16033.460000000001</v>
      </c>
      <c r="T136" s="24"/>
      <c r="U136" s="24"/>
      <c r="V136" s="67"/>
      <c r="W136" s="25">
        <f>IFERROR(VLOOKUP(BCP_Soles[[#This Row],[DESTINATARIO]],CHOOSE({1,2},Clientes_Proveedores[Razon Social],Clientes_Proveedores[Ruc / Dni]),2,0),"")</f>
        <v>20611280999</v>
      </c>
      <c r="X136" s="25"/>
      <c r="Y136" s="25"/>
      <c r="Z136" s="25"/>
      <c r="AA136" s="99"/>
      <c r="AB136" s="3" t="str">
        <f>IF(BCP_Soles[[#This Row],[FECHA]]&gt;0,TEXT(BCP_Soles[[#This Row],[FECHA]],"mmmm"),0)</f>
        <v>Enero</v>
      </c>
    </row>
    <row r="137" spans="2:28" ht="24" x14ac:dyDescent="0.3">
      <c r="B137" s="2" t="str">
        <f>IF(BCP_Soles[[#This Row],[TIPO DE R.]]="R",COUNTIFS($D$4:$D136,"R")+1,"")</f>
        <v/>
      </c>
      <c r="C137" s="19" t="str">
        <f t="shared" si="10"/>
        <v>B-BCP - Soles</v>
      </c>
      <c r="D137" s="3" t="s">
        <v>1101</v>
      </c>
      <c r="E137" s="14">
        <v>45670</v>
      </c>
      <c r="F137" s="5" t="s">
        <v>1082</v>
      </c>
      <c r="G137" s="5"/>
      <c r="H137" s="6" t="s">
        <v>544</v>
      </c>
      <c r="I137" s="6" t="s">
        <v>14</v>
      </c>
      <c r="J137" s="6" t="s">
        <v>1119</v>
      </c>
      <c r="K137" s="6">
        <v>1465</v>
      </c>
      <c r="L137" s="7" t="s">
        <v>1247</v>
      </c>
      <c r="M137" s="8">
        <v>891542</v>
      </c>
      <c r="N137" s="8" t="str">
        <f t="shared" si="11"/>
        <v>PEN</v>
      </c>
      <c r="O137" s="13"/>
      <c r="P137" s="13">
        <v>1018.34</v>
      </c>
      <c r="Q137" s="3">
        <f t="shared" si="12"/>
        <v>0</v>
      </c>
      <c r="R137" s="3">
        <f t="shared" si="13"/>
        <v>0</v>
      </c>
      <c r="S137" s="3">
        <f t="shared" si="14"/>
        <v>16033.460000000001</v>
      </c>
      <c r="T137" s="24"/>
      <c r="U137" s="24"/>
      <c r="V137" s="67"/>
      <c r="W137" s="25">
        <f>IFERROR(VLOOKUP(BCP_Soles[[#This Row],[DESTINATARIO]],CHOOSE({1,2},Clientes_Proveedores[Razon Social],Clientes_Proveedores[Ruc / Dni]),2,0),"")</f>
        <v>20610364226</v>
      </c>
      <c r="X137" s="25"/>
      <c r="Y137" s="25"/>
      <c r="Z137" s="25"/>
      <c r="AA137" s="99"/>
      <c r="AB137" s="3" t="str">
        <f>IF(BCP_Soles[[#This Row],[FECHA]]&gt;0,TEXT(BCP_Soles[[#This Row],[FECHA]],"mmmm"),0)</f>
        <v>Enero</v>
      </c>
    </row>
    <row r="138" spans="2:28" ht="36" x14ac:dyDescent="0.3">
      <c r="B138" s="2" t="str">
        <f>IF(BCP_Soles[[#This Row],[TIPO DE R.]]="R",COUNTIFS($D$4:$D137,"R")+1,"")</f>
        <v/>
      </c>
      <c r="C138" s="19" t="str">
        <f t="shared" si="10"/>
        <v>B-BCP - Soles</v>
      </c>
      <c r="D138" s="3" t="s">
        <v>1101</v>
      </c>
      <c r="E138" s="14">
        <v>45670</v>
      </c>
      <c r="F138" s="5" t="s">
        <v>1082</v>
      </c>
      <c r="G138" s="5"/>
      <c r="H138" s="6" t="s">
        <v>220</v>
      </c>
      <c r="I138" s="6" t="s">
        <v>14</v>
      </c>
      <c r="J138" s="6" t="s">
        <v>1148</v>
      </c>
      <c r="K138" s="6">
        <v>1500</v>
      </c>
      <c r="L138" s="7" t="s">
        <v>1247</v>
      </c>
      <c r="M138" s="8">
        <v>891542</v>
      </c>
      <c r="N138" s="8" t="str">
        <f t="shared" si="11"/>
        <v>PEN</v>
      </c>
      <c r="O138" s="13"/>
      <c r="P138" s="13">
        <v>1536</v>
      </c>
      <c r="Q138" s="3">
        <f t="shared" si="12"/>
        <v>0</v>
      </c>
      <c r="R138" s="3">
        <f t="shared" si="13"/>
        <v>0</v>
      </c>
      <c r="S138" s="3">
        <f t="shared" si="14"/>
        <v>16033.460000000001</v>
      </c>
      <c r="T138" s="24"/>
      <c r="U138" s="24"/>
      <c r="V138" s="67"/>
      <c r="W138" s="25">
        <f>IFERROR(VLOOKUP(BCP_Soles[[#This Row],[DESTINATARIO]],CHOOSE({1,2},Clientes_Proveedores[Razon Social],Clientes_Proveedores[Ruc / Dni]),2,0),"")</f>
        <v>20429640939</v>
      </c>
      <c r="X138" s="25"/>
      <c r="Y138" s="25"/>
      <c r="Z138" s="25"/>
      <c r="AA138" s="99"/>
      <c r="AB138" s="3" t="str">
        <f>IF(BCP_Soles[[#This Row],[FECHA]]&gt;0,TEXT(BCP_Soles[[#This Row],[FECHA]],"mmmm"),0)</f>
        <v>Enero</v>
      </c>
    </row>
    <row r="139" spans="2:28" ht="24" x14ac:dyDescent="0.3">
      <c r="B139" s="2">
        <f>IF(BCP_Soles[[#This Row],[TIPO DE R.]]="R",COUNTIFS($D$4:$D138,"R")+1,"")</f>
        <v>86</v>
      </c>
      <c r="C139" s="19" t="str">
        <f t="shared" si="10"/>
        <v>B-BCP - Soles</v>
      </c>
      <c r="D139" s="3" t="s">
        <v>1074</v>
      </c>
      <c r="E139" s="14">
        <v>45670</v>
      </c>
      <c r="F139" s="5" t="s">
        <v>1082</v>
      </c>
      <c r="G139" s="5" t="s">
        <v>1079</v>
      </c>
      <c r="H139" s="6" t="s">
        <v>842</v>
      </c>
      <c r="I139" s="6"/>
      <c r="J139" s="6"/>
      <c r="K139" s="6"/>
      <c r="L139" s="7" t="s">
        <v>1249</v>
      </c>
      <c r="M139" s="8">
        <v>1110189</v>
      </c>
      <c r="N139" s="8" t="str">
        <f t="shared" si="11"/>
        <v>PEN</v>
      </c>
      <c r="O139" s="13"/>
      <c r="P139" s="13">
        <v>2970.15</v>
      </c>
      <c r="Q139" s="3">
        <f t="shared" si="12"/>
        <v>0</v>
      </c>
      <c r="R139" s="3">
        <f t="shared" si="13"/>
        <v>2970.15</v>
      </c>
      <c r="S139" s="3">
        <f t="shared" si="14"/>
        <v>13063.310000000001</v>
      </c>
      <c r="T139" s="24"/>
      <c r="U139" s="24" t="s">
        <v>1081</v>
      </c>
      <c r="V139" s="67"/>
      <c r="W139" s="25">
        <f>IFERROR(VLOOKUP(BCP_Soles[[#This Row],[DESTINATARIO]],CHOOSE({1,2},Clientes_Proveedores[Razon Social],Clientes_Proveedores[Ruc / Dni]),2,0),"")</f>
        <v>72131384</v>
      </c>
      <c r="X139" s="25" t="s">
        <v>842</v>
      </c>
      <c r="Y139" s="25" t="s">
        <v>1250</v>
      </c>
      <c r="Z139" s="25"/>
      <c r="AA139" s="99"/>
      <c r="AB139" s="3" t="str">
        <f>IF(BCP_Soles[[#This Row],[FECHA]]&gt;0,TEXT(BCP_Soles[[#This Row],[FECHA]],"mmmm"),0)</f>
        <v>Enero</v>
      </c>
    </row>
    <row r="140" spans="2:28" ht="24" x14ac:dyDescent="0.3">
      <c r="B140" s="2">
        <f>IF(BCP_Soles[[#This Row],[TIPO DE R.]]="R",COUNTIFS($D$4:$D139,"R")+1,"")</f>
        <v>87</v>
      </c>
      <c r="C140" s="19" t="str">
        <f t="shared" si="10"/>
        <v>B-BCP - Soles</v>
      </c>
      <c r="D140" s="3" t="s">
        <v>1074</v>
      </c>
      <c r="E140" s="14">
        <v>45670</v>
      </c>
      <c r="F140" s="5" t="s">
        <v>1251</v>
      </c>
      <c r="G140" s="5" t="s">
        <v>1079</v>
      </c>
      <c r="H140" s="6"/>
      <c r="I140" s="6"/>
      <c r="J140" s="6"/>
      <c r="K140" s="6"/>
      <c r="L140" s="7" t="s">
        <v>1252</v>
      </c>
      <c r="M140" s="8">
        <v>1221026</v>
      </c>
      <c r="N140" s="8" t="str">
        <f t="shared" si="11"/>
        <v>PEN</v>
      </c>
      <c r="O140" s="13"/>
      <c r="P140" s="13">
        <v>1952.59</v>
      </c>
      <c r="Q140" s="3">
        <f t="shared" si="12"/>
        <v>0</v>
      </c>
      <c r="R140" s="3">
        <f t="shared" si="13"/>
        <v>1952.59</v>
      </c>
      <c r="S140" s="3">
        <f t="shared" si="14"/>
        <v>11110.720000000001</v>
      </c>
      <c r="T140" s="24"/>
      <c r="U140" s="24"/>
      <c r="V140" s="67"/>
      <c r="W140" s="25" t="str">
        <f>IFERROR(VLOOKUP(BCP_Soles[[#This Row],[DESTINATARIO]],CHOOSE({1,2},Clientes_Proveedores[Razon Social],Clientes_Proveedores[Ruc / Dni]),2,0),"")</f>
        <v/>
      </c>
      <c r="X140" s="25" t="s">
        <v>861</v>
      </c>
      <c r="Y140" s="25"/>
      <c r="Z140" s="25"/>
      <c r="AA140" s="99"/>
      <c r="AB140" s="3" t="str">
        <f>IF(BCP_Soles[[#This Row],[FECHA]]&gt;0,TEXT(BCP_Soles[[#This Row],[FECHA]],"mmmm"),0)</f>
        <v>Enero</v>
      </c>
    </row>
    <row r="141" spans="2:28" x14ac:dyDescent="0.3">
      <c r="B141" s="2">
        <f>IF(BCP_Soles[[#This Row],[TIPO DE R.]]="R",COUNTIFS($D$4:$D140,"R")+1,"")</f>
        <v>88</v>
      </c>
      <c r="C141" s="19" t="str">
        <f t="shared" si="10"/>
        <v>B-BCP - Soles</v>
      </c>
      <c r="D141" s="3" t="s">
        <v>1074</v>
      </c>
      <c r="E141" s="14">
        <v>45670</v>
      </c>
      <c r="F141" s="5" t="s">
        <v>1082</v>
      </c>
      <c r="G141" s="5" t="s">
        <v>1079</v>
      </c>
      <c r="H141" s="6" t="s">
        <v>637</v>
      </c>
      <c r="I141" s="6" t="s">
        <v>14</v>
      </c>
      <c r="J141" s="6" t="s">
        <v>1253</v>
      </c>
      <c r="K141" s="6">
        <v>140698</v>
      </c>
      <c r="L141" s="7" t="s">
        <v>1123</v>
      </c>
      <c r="M141" s="8">
        <v>102195</v>
      </c>
      <c r="N141" s="8" t="str">
        <f t="shared" si="11"/>
        <v>PEN</v>
      </c>
      <c r="O141" s="13"/>
      <c r="P141" s="13">
        <v>1272.8800000000001</v>
      </c>
      <c r="Q141" s="3">
        <f t="shared" si="12"/>
        <v>0</v>
      </c>
      <c r="R141" s="3">
        <f t="shared" si="13"/>
        <v>1272.8800000000001</v>
      </c>
      <c r="S141" s="3">
        <f t="shared" si="14"/>
        <v>9837.84</v>
      </c>
      <c r="T141" s="24" t="s">
        <v>1081</v>
      </c>
      <c r="U141" s="24" t="s">
        <v>1081</v>
      </c>
      <c r="V141" s="67"/>
      <c r="W141" s="25">
        <f>IFERROR(VLOOKUP(BCP_Soles[[#This Row],[DESTINATARIO]],CHOOSE({1,2},Clientes_Proveedores[Razon Social],Clientes_Proveedores[Ruc / Dni]),2,0),"")</f>
        <v>20127765279</v>
      </c>
      <c r="X141" s="25" t="s">
        <v>1124</v>
      </c>
      <c r="Y141" s="25" t="s">
        <v>1254</v>
      </c>
      <c r="Z141" s="25"/>
      <c r="AA141" s="99"/>
      <c r="AB141" s="3" t="str">
        <f>IF(BCP_Soles[[#This Row],[FECHA]]&gt;0,TEXT(BCP_Soles[[#This Row],[FECHA]],"mmmm"),0)</f>
        <v>Enero</v>
      </c>
    </row>
    <row r="142" spans="2:28" x14ac:dyDescent="0.3">
      <c r="B142" s="2">
        <f>IF(BCP_Soles[[#This Row],[TIPO DE R.]]="R",COUNTIFS($D$4:$D141,"R")+1,"")</f>
        <v>89</v>
      </c>
      <c r="C142" s="19" t="str">
        <f t="shared" si="10"/>
        <v>B-BCP - Soles</v>
      </c>
      <c r="D142" s="3" t="s">
        <v>1074</v>
      </c>
      <c r="E142" s="14">
        <v>45670</v>
      </c>
      <c r="F142" s="5" t="s">
        <v>1082</v>
      </c>
      <c r="G142" s="5" t="s">
        <v>1079</v>
      </c>
      <c r="H142" s="6" t="s">
        <v>637</v>
      </c>
      <c r="I142" s="6" t="s">
        <v>14</v>
      </c>
      <c r="J142" s="6" t="s">
        <v>1122</v>
      </c>
      <c r="K142" s="6">
        <v>142235</v>
      </c>
      <c r="L142" s="7" t="s">
        <v>1123</v>
      </c>
      <c r="M142" s="8">
        <v>165163</v>
      </c>
      <c r="N142" s="8" t="str">
        <f t="shared" si="11"/>
        <v>PEN</v>
      </c>
      <c r="O142" s="13"/>
      <c r="P142" s="13">
        <v>1042.74</v>
      </c>
      <c r="Q142" s="3">
        <f t="shared" si="12"/>
        <v>0</v>
      </c>
      <c r="R142" s="3">
        <f t="shared" si="13"/>
        <v>1042.74</v>
      </c>
      <c r="S142" s="3">
        <f t="shared" si="14"/>
        <v>8795.1</v>
      </c>
      <c r="T142" s="24" t="s">
        <v>1081</v>
      </c>
      <c r="U142" s="24" t="s">
        <v>1081</v>
      </c>
      <c r="V142" s="67"/>
      <c r="W142" s="25">
        <f>IFERROR(VLOOKUP(BCP_Soles[[#This Row],[DESTINATARIO]],CHOOSE({1,2},Clientes_Proveedores[Razon Social],Clientes_Proveedores[Ruc / Dni]),2,0),"")</f>
        <v>20127765279</v>
      </c>
      <c r="X142" s="25" t="s">
        <v>1124</v>
      </c>
      <c r="Y142" s="25" t="s">
        <v>1255</v>
      </c>
      <c r="Z142" s="25"/>
      <c r="AA142" s="99"/>
      <c r="AB142" s="3" t="str">
        <f>IF(BCP_Soles[[#This Row],[FECHA]]&gt;0,TEXT(BCP_Soles[[#This Row],[FECHA]],"mmmm"),0)</f>
        <v>Enero</v>
      </c>
    </row>
    <row r="143" spans="2:28" ht="24" x14ac:dyDescent="0.3">
      <c r="B143" s="2">
        <f>IF(BCP_Soles[[#This Row],[TIPO DE R.]]="R",COUNTIFS($D$4:$D142,"R")+1,"")</f>
        <v>90</v>
      </c>
      <c r="C143" s="19" t="str">
        <f t="shared" si="10"/>
        <v>B-BCP - Soles</v>
      </c>
      <c r="D143" s="3" t="s">
        <v>1074</v>
      </c>
      <c r="E143" s="14">
        <v>45670</v>
      </c>
      <c r="F143" s="5" t="s">
        <v>1082</v>
      </c>
      <c r="G143" s="5" t="s">
        <v>1079</v>
      </c>
      <c r="H143" s="6" t="s">
        <v>184</v>
      </c>
      <c r="I143" s="6" t="s">
        <v>14</v>
      </c>
      <c r="J143" s="6" t="s">
        <v>1083</v>
      </c>
      <c r="K143" s="6">
        <v>6980</v>
      </c>
      <c r="L143" s="7" t="s">
        <v>1256</v>
      </c>
      <c r="M143" s="8">
        <v>1224015</v>
      </c>
      <c r="N143" s="8" t="str">
        <f t="shared" si="11"/>
        <v>PEN</v>
      </c>
      <c r="O143" s="13"/>
      <c r="P143" s="13">
        <v>273</v>
      </c>
      <c r="Q143" s="3">
        <f t="shared" si="12"/>
        <v>0</v>
      </c>
      <c r="R143" s="3">
        <f t="shared" si="13"/>
        <v>273</v>
      </c>
      <c r="S143" s="3">
        <f t="shared" si="14"/>
        <v>8522.1</v>
      </c>
      <c r="T143" s="24" t="s">
        <v>1081</v>
      </c>
      <c r="U143" s="24" t="s">
        <v>1081</v>
      </c>
      <c r="V143" s="67"/>
      <c r="W143" s="25">
        <f>IFERROR(VLOOKUP(BCP_Soles[[#This Row],[DESTINATARIO]],CHOOSE({1,2},Clientes_Proveedores[Razon Social],Clientes_Proveedores[Ruc / Dni]),2,0),"")</f>
        <v>20170040938</v>
      </c>
      <c r="X143" s="25" t="s">
        <v>1085</v>
      </c>
      <c r="Y143" s="25" t="s">
        <v>1257</v>
      </c>
      <c r="Z143" s="25"/>
      <c r="AA143" s="99"/>
      <c r="AB143" s="3" t="str">
        <f>IF(BCP_Soles[[#This Row],[FECHA]]&gt;0,TEXT(BCP_Soles[[#This Row],[FECHA]],"mmmm"),0)</f>
        <v>Enero</v>
      </c>
    </row>
    <row r="144" spans="2:28" ht="24" x14ac:dyDescent="0.3">
      <c r="B144" s="2">
        <f>IF(BCP_Soles[[#This Row],[TIPO DE R.]]="R",COUNTIFS($D$4:$D143,"R")+1,"")</f>
        <v>91</v>
      </c>
      <c r="C144" s="19" t="str">
        <f t="shared" si="10"/>
        <v>B-BCP - Soles</v>
      </c>
      <c r="D144" s="3" t="s">
        <v>1074</v>
      </c>
      <c r="E144" s="14">
        <v>45670</v>
      </c>
      <c r="F144" s="5" t="s">
        <v>1082</v>
      </c>
      <c r="G144" s="5" t="s">
        <v>1079</v>
      </c>
      <c r="H144" s="6" t="s">
        <v>184</v>
      </c>
      <c r="I144" s="6" t="s">
        <v>14</v>
      </c>
      <c r="J144" s="6" t="s">
        <v>1083</v>
      </c>
      <c r="K144" s="6">
        <v>6980</v>
      </c>
      <c r="L144" s="7" t="s">
        <v>1258</v>
      </c>
      <c r="M144" s="8">
        <v>1222020</v>
      </c>
      <c r="N144" s="8" t="str">
        <f t="shared" si="11"/>
        <v>PEN</v>
      </c>
      <c r="O144" s="13"/>
      <c r="P144" s="13">
        <v>250.7</v>
      </c>
      <c r="Q144" s="3">
        <f t="shared" si="12"/>
        <v>0</v>
      </c>
      <c r="R144" s="3">
        <f t="shared" si="13"/>
        <v>250.7</v>
      </c>
      <c r="S144" s="3">
        <f t="shared" si="14"/>
        <v>8271.4</v>
      </c>
      <c r="T144" s="24" t="s">
        <v>1081</v>
      </c>
      <c r="U144" s="24" t="s">
        <v>1081</v>
      </c>
      <c r="V144" s="67"/>
      <c r="W144" s="25">
        <f>IFERROR(VLOOKUP(BCP_Soles[[#This Row],[DESTINATARIO]],CHOOSE({1,2},Clientes_Proveedores[Razon Social],Clientes_Proveedores[Ruc / Dni]),2,0),"")</f>
        <v>20170040938</v>
      </c>
      <c r="X144" s="25" t="s">
        <v>1085</v>
      </c>
      <c r="Y144" s="25" t="s">
        <v>1257</v>
      </c>
      <c r="Z144" s="25"/>
      <c r="AA144" s="99"/>
      <c r="AB144" s="3" t="str">
        <f>IF(BCP_Soles[[#This Row],[FECHA]]&gt;0,TEXT(BCP_Soles[[#This Row],[FECHA]],"mmmm"),0)</f>
        <v>Enero</v>
      </c>
    </row>
    <row r="145" spans="2:28" ht="24" x14ac:dyDescent="0.3">
      <c r="B145" s="2">
        <f>IF(BCP_Soles[[#This Row],[TIPO DE R.]]="R",COUNTIFS($D$4:$D144,"R")+1,"")</f>
        <v>92</v>
      </c>
      <c r="C145" s="19" t="str">
        <f t="shared" si="10"/>
        <v>B-BCP - Soles</v>
      </c>
      <c r="D145" s="3" t="s">
        <v>1074</v>
      </c>
      <c r="E145" s="14">
        <v>45670</v>
      </c>
      <c r="F145" s="5" t="s">
        <v>1078</v>
      </c>
      <c r="G145" s="5" t="s">
        <v>1079</v>
      </c>
      <c r="H145" s="6" t="s">
        <v>1001</v>
      </c>
      <c r="I145" s="6"/>
      <c r="J145" s="6"/>
      <c r="K145" s="6"/>
      <c r="L145" s="7" t="s">
        <v>1259</v>
      </c>
      <c r="M145" s="8">
        <v>891559</v>
      </c>
      <c r="N145" s="8" t="str">
        <f t="shared" si="11"/>
        <v>PEN</v>
      </c>
      <c r="O145" s="13"/>
      <c r="P145" s="13">
        <v>2.5</v>
      </c>
      <c r="Q145" s="3">
        <f t="shared" si="12"/>
        <v>0</v>
      </c>
      <c r="R145" s="3">
        <f t="shared" si="13"/>
        <v>2.5</v>
      </c>
      <c r="S145" s="3">
        <f t="shared" si="14"/>
        <v>8268.9</v>
      </c>
      <c r="T145" s="24"/>
      <c r="U145" s="24"/>
      <c r="V145" s="67"/>
      <c r="W145" s="25">
        <f>IFERROR(VLOOKUP(BCP_Soles[[#This Row],[DESTINATARIO]],CHOOSE({1,2},Clientes_Proveedores[Razon Social],Clientes_Proveedores[Ruc / Dni]),2,0),"")</f>
        <v>20100047218</v>
      </c>
      <c r="X145" s="25" t="s">
        <v>1078</v>
      </c>
      <c r="Y145" s="25"/>
      <c r="Z145" s="25"/>
      <c r="AA145" s="99"/>
      <c r="AB145" s="3" t="str">
        <f>IF(BCP_Soles[[#This Row],[FECHA]]&gt;0,TEXT(BCP_Soles[[#This Row],[FECHA]],"mmmm"),0)</f>
        <v>Enero</v>
      </c>
    </row>
    <row r="146" spans="2:28" ht="84" x14ac:dyDescent="0.3">
      <c r="B146" s="2">
        <f>IF(BCP_Soles[[#This Row],[TIPO DE R.]]="R",COUNTIFS($D$4:$D145,"R")+1,"")</f>
        <v>93</v>
      </c>
      <c r="C146" s="19" t="str">
        <f t="shared" si="10"/>
        <v>B-BCP - Soles</v>
      </c>
      <c r="D146" s="3" t="s">
        <v>1074</v>
      </c>
      <c r="E146" s="14">
        <v>45670</v>
      </c>
      <c r="F146" s="5" t="s">
        <v>301</v>
      </c>
      <c r="G146" s="5" t="s">
        <v>1087</v>
      </c>
      <c r="H146" s="6"/>
      <c r="I146" s="6"/>
      <c r="J146" s="6"/>
      <c r="K146" s="6"/>
      <c r="L146" s="7" t="s">
        <v>1260</v>
      </c>
      <c r="M146" s="8">
        <v>2248689</v>
      </c>
      <c r="N146" s="8" t="str">
        <f t="shared" si="11"/>
        <v>PEN</v>
      </c>
      <c r="O146" s="13"/>
      <c r="P146" s="13">
        <v>1807.12</v>
      </c>
      <c r="Q146" s="3">
        <f t="shared" si="12"/>
        <v>1807.12</v>
      </c>
      <c r="R146" s="3">
        <f t="shared" si="13"/>
        <v>0</v>
      </c>
      <c r="S146" s="3">
        <f t="shared" si="14"/>
        <v>10076.02</v>
      </c>
      <c r="T146" s="24" t="s">
        <v>1081</v>
      </c>
      <c r="U146" s="24" t="s">
        <v>1081</v>
      </c>
      <c r="V146" s="67"/>
      <c r="W146" s="25" t="str">
        <f>IFERROR(VLOOKUP(BCP_Soles[[#This Row],[DESTINATARIO]],CHOOSE({1,2},Clientes_Proveedores[Razon Social],Clientes_Proveedores[Ruc / Dni]),2,0),"")</f>
        <v/>
      </c>
      <c r="X146" s="25" t="s">
        <v>1090</v>
      </c>
      <c r="Y146" s="25" t="s">
        <v>1261</v>
      </c>
      <c r="Z146" s="25"/>
      <c r="AA146" s="99"/>
      <c r="AB146" s="3" t="str">
        <f>IF(BCP_Soles[[#This Row],[FECHA]]&gt;0,TEXT(BCP_Soles[[#This Row],[FECHA]],"mmmm"),0)</f>
        <v>Enero</v>
      </c>
    </row>
    <row r="147" spans="2:28" x14ac:dyDescent="0.3">
      <c r="B147" s="2">
        <f>IF(BCP_Soles[[#This Row],[TIPO DE R.]]="R",COUNTIFS($D$4:$D146,"R")+1,"")</f>
        <v>94</v>
      </c>
      <c r="C147" s="19" t="str">
        <f t="shared" si="10"/>
        <v>B-BCP - Soles</v>
      </c>
      <c r="D147" s="3" t="s">
        <v>1074</v>
      </c>
      <c r="E147" s="14">
        <v>45671</v>
      </c>
      <c r="F147" s="5"/>
      <c r="G147" s="5" t="s">
        <v>1087</v>
      </c>
      <c r="H147" s="6"/>
      <c r="I147" s="6"/>
      <c r="J147" s="6"/>
      <c r="K147" s="6"/>
      <c r="L147" s="7" t="s">
        <v>1100</v>
      </c>
      <c r="M147" s="8">
        <v>654165</v>
      </c>
      <c r="N147" s="8" t="str">
        <f t="shared" si="11"/>
        <v>PEN</v>
      </c>
      <c r="O147" s="13"/>
      <c r="P147" s="13">
        <v>5000</v>
      </c>
      <c r="Q147" s="3">
        <f t="shared" si="12"/>
        <v>5000</v>
      </c>
      <c r="R147" s="3">
        <f t="shared" si="13"/>
        <v>0</v>
      </c>
      <c r="S147" s="3">
        <f t="shared" si="14"/>
        <v>15076.02</v>
      </c>
      <c r="T147" s="24" t="s">
        <v>1081</v>
      </c>
      <c r="U147" s="24" t="s">
        <v>1081</v>
      </c>
      <c r="V147" s="67"/>
      <c r="W147" s="25" t="str">
        <f>IFERROR(VLOOKUP(BCP_Soles[[#This Row],[DESTINATARIO]],CHOOSE({1,2},Clientes_Proveedores[Razon Social],Clientes_Proveedores[Ruc / Dni]),2,0),"")</f>
        <v/>
      </c>
      <c r="X147" s="25" t="s">
        <v>1090</v>
      </c>
      <c r="Y147" s="25"/>
      <c r="Z147" s="25"/>
      <c r="AA147" s="99"/>
      <c r="AB147" s="3" t="str">
        <f>IF(BCP_Soles[[#This Row],[FECHA]]&gt;0,TEXT(BCP_Soles[[#This Row],[FECHA]],"mmmm"),0)</f>
        <v>Enero</v>
      </c>
    </row>
    <row r="148" spans="2:28" x14ac:dyDescent="0.3">
      <c r="B148" s="2" t="str">
        <f>IF(BCP_Soles[[#This Row],[TIPO DE R.]]="R",COUNTIFS($D$4:$D147,"R")+1,"")</f>
        <v/>
      </c>
      <c r="C148" s="19" t="str">
        <f t="shared" si="10"/>
        <v>B-BCP - Soles</v>
      </c>
      <c r="D148" s="3" t="s">
        <v>1101</v>
      </c>
      <c r="E148" s="14">
        <v>45671</v>
      </c>
      <c r="F148" s="5" t="s">
        <v>1262</v>
      </c>
      <c r="G148" s="5"/>
      <c r="H148" s="6"/>
      <c r="I148" s="6"/>
      <c r="J148" s="6"/>
      <c r="K148" s="6"/>
      <c r="L148" s="7" t="s">
        <v>1100</v>
      </c>
      <c r="M148" s="8">
        <v>654165</v>
      </c>
      <c r="N148" s="8" t="str">
        <f t="shared" si="11"/>
        <v>PEN</v>
      </c>
      <c r="O148" s="13"/>
      <c r="P148" s="13">
        <v>2700</v>
      </c>
      <c r="Q148" s="3">
        <f t="shared" si="12"/>
        <v>0</v>
      </c>
      <c r="R148" s="3">
        <f t="shared" si="13"/>
        <v>0</v>
      </c>
      <c r="S148" s="3">
        <f t="shared" si="14"/>
        <v>15076.02</v>
      </c>
      <c r="T148" s="24" t="s">
        <v>1081</v>
      </c>
      <c r="U148" s="24" t="s">
        <v>1081</v>
      </c>
      <c r="V148" s="67"/>
      <c r="W148" s="25" t="str">
        <f>IFERROR(VLOOKUP(BCP_Soles[[#This Row],[DESTINATARIO]],CHOOSE({1,2},Clientes_Proveedores[Razon Social],Clientes_Proveedores[Ruc / Dni]),2,0),"")</f>
        <v/>
      </c>
      <c r="X148" s="25" t="s">
        <v>1090</v>
      </c>
      <c r="Y148" s="25" t="s">
        <v>1263</v>
      </c>
      <c r="Z148" s="25"/>
      <c r="AA148" s="99"/>
      <c r="AB148" s="3" t="str">
        <f>IF(BCP_Soles[[#This Row],[FECHA]]&gt;0,TEXT(BCP_Soles[[#This Row],[FECHA]],"mmmm"),0)</f>
        <v>Enero</v>
      </c>
    </row>
    <row r="149" spans="2:28" x14ac:dyDescent="0.3">
      <c r="B149" s="2" t="str">
        <f>IF(BCP_Soles[[#This Row],[TIPO DE R.]]="R",COUNTIFS($D$4:$D148,"R")+1,"")</f>
        <v/>
      </c>
      <c r="C149" s="19" t="str">
        <f t="shared" si="10"/>
        <v>B-BCP - Soles</v>
      </c>
      <c r="D149" s="3" t="s">
        <v>1101</v>
      </c>
      <c r="E149" s="14">
        <v>45671</v>
      </c>
      <c r="F149" s="5" t="s">
        <v>1262</v>
      </c>
      <c r="G149" s="5"/>
      <c r="H149" s="6"/>
      <c r="I149" s="6"/>
      <c r="J149" s="6"/>
      <c r="K149" s="6"/>
      <c r="L149" s="7" t="s">
        <v>1100</v>
      </c>
      <c r="M149" s="8">
        <v>654165</v>
      </c>
      <c r="N149" s="8" t="str">
        <f t="shared" si="11"/>
        <v>PEN</v>
      </c>
      <c r="O149" s="13"/>
      <c r="P149" s="13">
        <v>1320</v>
      </c>
      <c r="Q149" s="3">
        <f t="shared" si="12"/>
        <v>0</v>
      </c>
      <c r="R149" s="3">
        <f t="shared" si="13"/>
        <v>0</v>
      </c>
      <c r="S149" s="3">
        <f t="shared" si="14"/>
        <v>15076.02</v>
      </c>
      <c r="T149" s="24" t="s">
        <v>1081</v>
      </c>
      <c r="U149" s="24" t="s">
        <v>1081</v>
      </c>
      <c r="V149" s="67"/>
      <c r="W149" s="25" t="str">
        <f>IFERROR(VLOOKUP(BCP_Soles[[#This Row],[DESTINATARIO]],CHOOSE({1,2},Clientes_Proveedores[Razon Social],Clientes_Proveedores[Ruc / Dni]),2,0),"")</f>
        <v/>
      </c>
      <c r="X149" s="25" t="s">
        <v>1090</v>
      </c>
      <c r="Y149" s="25" t="s">
        <v>1264</v>
      </c>
      <c r="Z149" s="25"/>
      <c r="AA149" s="99"/>
      <c r="AB149" s="3" t="str">
        <f>IF(BCP_Soles[[#This Row],[FECHA]]&gt;0,TEXT(BCP_Soles[[#This Row],[FECHA]],"mmmm"),0)</f>
        <v>Enero</v>
      </c>
    </row>
    <row r="150" spans="2:28" x14ac:dyDescent="0.3">
      <c r="B150" s="2" t="str">
        <f>IF(BCP_Soles[[#This Row],[TIPO DE R.]]="R",COUNTIFS($D$4:$D149,"R")+1,"")</f>
        <v/>
      </c>
      <c r="C150" s="19" t="str">
        <f t="shared" si="10"/>
        <v>B-BCP - Soles</v>
      </c>
      <c r="D150" s="3" t="s">
        <v>1101</v>
      </c>
      <c r="E150" s="14">
        <v>45671</v>
      </c>
      <c r="F150" s="5" t="s">
        <v>1262</v>
      </c>
      <c r="G150" s="5"/>
      <c r="H150" s="6"/>
      <c r="I150" s="6"/>
      <c r="J150" s="6"/>
      <c r="K150" s="6"/>
      <c r="L150" s="7" t="s">
        <v>1100</v>
      </c>
      <c r="M150" s="8">
        <v>654165</v>
      </c>
      <c r="N150" s="8" t="str">
        <f t="shared" si="11"/>
        <v>PEN</v>
      </c>
      <c r="O150" s="13"/>
      <c r="P150" s="13">
        <v>980</v>
      </c>
      <c r="Q150" s="3">
        <f t="shared" si="12"/>
        <v>0</v>
      </c>
      <c r="R150" s="3">
        <f t="shared" si="13"/>
        <v>0</v>
      </c>
      <c r="S150" s="3">
        <f t="shared" si="14"/>
        <v>15076.02</v>
      </c>
      <c r="T150" s="24" t="s">
        <v>1081</v>
      </c>
      <c r="U150" s="24" t="s">
        <v>1081</v>
      </c>
      <c r="V150" s="67"/>
      <c r="W150" s="25" t="str">
        <f>IFERROR(VLOOKUP(BCP_Soles[[#This Row],[DESTINATARIO]],CHOOSE({1,2},Clientes_Proveedores[Razon Social],Clientes_Proveedores[Ruc / Dni]),2,0),"")</f>
        <v/>
      </c>
      <c r="X150" s="25" t="s">
        <v>1090</v>
      </c>
      <c r="Y150" s="25" t="s">
        <v>1265</v>
      </c>
      <c r="Z150" s="25"/>
      <c r="AA150" s="99"/>
      <c r="AB150" s="3" t="str">
        <f>IF(BCP_Soles[[#This Row],[FECHA]]&gt;0,TEXT(BCP_Soles[[#This Row],[FECHA]],"mmmm"),0)</f>
        <v>Enero</v>
      </c>
    </row>
    <row r="151" spans="2:28" ht="48" x14ac:dyDescent="0.3">
      <c r="B151" s="2">
        <f>IF(BCP_Soles[[#This Row],[TIPO DE R.]]="R",COUNTIFS($D$4:$D150,"R")+1,"")</f>
        <v>95</v>
      </c>
      <c r="C151" s="19" t="str">
        <f t="shared" si="10"/>
        <v>B-BCP - Soles</v>
      </c>
      <c r="D151" s="3" t="s">
        <v>1074</v>
      </c>
      <c r="E151" s="14">
        <v>45671</v>
      </c>
      <c r="F151" s="5" t="s">
        <v>1082</v>
      </c>
      <c r="G151" s="5" t="s">
        <v>1079</v>
      </c>
      <c r="H151" s="6" t="s">
        <v>444</v>
      </c>
      <c r="I151" s="6" t="s">
        <v>14</v>
      </c>
      <c r="J151" s="6" t="s">
        <v>1266</v>
      </c>
      <c r="K151" s="6">
        <v>9090</v>
      </c>
      <c r="L151" s="7" t="s">
        <v>1267</v>
      </c>
      <c r="M151" s="8">
        <v>1035059</v>
      </c>
      <c r="N151" s="8" t="str">
        <f t="shared" si="11"/>
        <v>PEN</v>
      </c>
      <c r="O151" s="13"/>
      <c r="P151" s="13">
        <v>120</v>
      </c>
      <c r="Q151" s="3">
        <f t="shared" si="12"/>
        <v>0</v>
      </c>
      <c r="R151" s="3">
        <f t="shared" si="13"/>
        <v>120</v>
      </c>
      <c r="S151" s="3">
        <f t="shared" si="14"/>
        <v>14956.02</v>
      </c>
      <c r="T151" s="24" t="s">
        <v>1081</v>
      </c>
      <c r="U151" s="24" t="s">
        <v>1081</v>
      </c>
      <c r="V151" s="67"/>
      <c r="W151" s="25">
        <f>IFERROR(VLOOKUP(BCP_Soles[[#This Row],[DESTINATARIO]],CHOOSE({1,2},Clientes_Proveedores[Razon Social],Clientes_Proveedores[Ruc / Dni]),2,0),"")</f>
        <v>20602978274</v>
      </c>
      <c r="X151" s="25" t="s">
        <v>1268</v>
      </c>
      <c r="Y151" s="25" t="s">
        <v>1269</v>
      </c>
      <c r="Z151" s="25"/>
      <c r="AA151" s="99"/>
      <c r="AB151" s="3" t="str">
        <f>IF(BCP_Soles[[#This Row],[FECHA]]&gt;0,TEXT(BCP_Soles[[#This Row],[FECHA]],"mmmm"),0)</f>
        <v>Enero</v>
      </c>
    </row>
    <row r="152" spans="2:28" x14ac:dyDescent="0.3">
      <c r="B152" s="2">
        <f>IF(BCP_Soles[[#This Row],[TIPO DE R.]]="R",COUNTIFS($D$4:$D151,"R")+1,"")</f>
        <v>96</v>
      </c>
      <c r="C152" s="19" t="str">
        <f t="shared" si="10"/>
        <v>B-BCP - Soles</v>
      </c>
      <c r="D152" s="3" t="s">
        <v>1074</v>
      </c>
      <c r="E152" s="14">
        <v>45671</v>
      </c>
      <c r="F152" s="5" t="s">
        <v>1270</v>
      </c>
      <c r="G152" s="5" t="s">
        <v>1079</v>
      </c>
      <c r="H152" s="6"/>
      <c r="I152" s="6"/>
      <c r="J152" s="6"/>
      <c r="K152" s="6"/>
      <c r="L152" s="7" t="s">
        <v>1080</v>
      </c>
      <c r="M152" s="8"/>
      <c r="N152" s="8" t="str">
        <f t="shared" si="11"/>
        <v>PEN</v>
      </c>
      <c r="O152" s="13"/>
      <c r="P152" s="13">
        <v>0.7</v>
      </c>
      <c r="Q152" s="3">
        <f t="shared" si="12"/>
        <v>0</v>
      </c>
      <c r="R152" s="3">
        <f t="shared" si="13"/>
        <v>0.7</v>
      </c>
      <c r="S152" s="3">
        <f t="shared" si="14"/>
        <v>14955.32</v>
      </c>
      <c r="T152" s="24"/>
      <c r="U152" s="24" t="s">
        <v>1081</v>
      </c>
      <c r="V152" s="67"/>
      <c r="W152" s="25" t="str">
        <f>IFERROR(VLOOKUP(BCP_Soles[[#This Row],[DESTINATARIO]],CHOOSE({1,2},Clientes_Proveedores[Razon Social],Clientes_Proveedores[Ruc / Dni]),2,0),"")</f>
        <v/>
      </c>
      <c r="X152" s="25"/>
      <c r="Y152" s="25"/>
      <c r="Z152" s="25"/>
      <c r="AA152" s="99"/>
      <c r="AB152" s="3" t="str">
        <f>IF(BCP_Soles[[#This Row],[FECHA]]&gt;0,TEXT(BCP_Soles[[#This Row],[FECHA]],"mmmm"),0)</f>
        <v>Enero</v>
      </c>
    </row>
    <row r="153" spans="2:28" x14ac:dyDescent="0.3">
      <c r="B153" s="2">
        <f>IF(BCP_Soles[[#This Row],[TIPO DE R.]]="R",COUNTIFS($D$4:$D152,"R")+1,"")</f>
        <v>97</v>
      </c>
      <c r="C153" s="19" t="str">
        <f t="shared" si="10"/>
        <v>B-BCP - Soles</v>
      </c>
      <c r="D153" s="3" t="s">
        <v>1074</v>
      </c>
      <c r="E153" s="14">
        <v>45671</v>
      </c>
      <c r="F153" s="5" t="s">
        <v>1251</v>
      </c>
      <c r="G153" s="5" t="s">
        <v>1079</v>
      </c>
      <c r="H153" s="6"/>
      <c r="I153" s="6"/>
      <c r="J153" s="6"/>
      <c r="K153" s="6"/>
      <c r="L153" s="7" t="s">
        <v>1271</v>
      </c>
      <c r="M153" s="8">
        <v>2485</v>
      </c>
      <c r="N153" s="8" t="str">
        <f t="shared" si="11"/>
        <v>PEN</v>
      </c>
      <c r="O153" s="13"/>
      <c r="P153" s="13">
        <v>5137.5200000000004</v>
      </c>
      <c r="Q153" s="3">
        <f t="shared" si="12"/>
        <v>0</v>
      </c>
      <c r="R153" s="3">
        <f t="shared" si="13"/>
        <v>5137.5200000000004</v>
      </c>
      <c r="S153" s="3">
        <f t="shared" si="14"/>
        <v>9817.7999999999993</v>
      </c>
      <c r="T153" s="24"/>
      <c r="U153" s="24"/>
      <c r="V153" s="67"/>
      <c r="W153" s="25" t="str">
        <f>IFERROR(VLOOKUP(BCP_Soles[[#This Row],[DESTINATARIO]],CHOOSE({1,2},Clientes_Proveedores[Razon Social],Clientes_Proveedores[Ruc / Dni]),2,0),"")</f>
        <v/>
      </c>
      <c r="X153" s="25" t="s">
        <v>1272</v>
      </c>
      <c r="Y153" s="25"/>
      <c r="Z153" s="25"/>
      <c r="AA153" s="99"/>
      <c r="AB153" s="3" t="str">
        <f>IF(BCP_Soles[[#This Row],[FECHA]]&gt;0,TEXT(BCP_Soles[[#This Row],[FECHA]],"mmmm"),0)</f>
        <v>Enero</v>
      </c>
    </row>
    <row r="154" spans="2:28" x14ac:dyDescent="0.3">
      <c r="B154" s="2">
        <f>IF(BCP_Soles[[#This Row],[TIPO DE R.]]="R",COUNTIFS($D$4:$D153,"R")+1,"")</f>
        <v>98</v>
      </c>
      <c r="C154" s="19" t="str">
        <f t="shared" si="10"/>
        <v>B-BCP - Soles</v>
      </c>
      <c r="D154" s="3" t="s">
        <v>1074</v>
      </c>
      <c r="E154" s="14">
        <v>45671</v>
      </c>
      <c r="F154" s="5" t="s">
        <v>1251</v>
      </c>
      <c r="G154" s="5" t="s">
        <v>1079</v>
      </c>
      <c r="H154" s="6"/>
      <c r="I154" s="6"/>
      <c r="J154" s="6"/>
      <c r="K154" s="6"/>
      <c r="L154" s="7" t="s">
        <v>1273</v>
      </c>
      <c r="M154" s="8">
        <v>1009194</v>
      </c>
      <c r="N154" s="8" t="str">
        <f t="shared" si="11"/>
        <v>PEN</v>
      </c>
      <c r="O154" s="13"/>
      <c r="P154" s="13">
        <v>2297</v>
      </c>
      <c r="Q154" s="3">
        <f t="shared" si="12"/>
        <v>0</v>
      </c>
      <c r="R154" s="3">
        <f t="shared" si="13"/>
        <v>2297</v>
      </c>
      <c r="S154" s="3">
        <f t="shared" si="14"/>
        <v>7520.7999999999993</v>
      </c>
      <c r="T154" s="24"/>
      <c r="U154" s="24"/>
      <c r="V154" s="67"/>
      <c r="W154" s="25" t="str">
        <f>IFERROR(VLOOKUP(BCP_Soles[[#This Row],[DESTINATARIO]],CHOOSE({1,2},Clientes_Proveedores[Razon Social],Clientes_Proveedores[Ruc / Dni]),2,0),"")</f>
        <v/>
      </c>
      <c r="X154" s="25" t="s">
        <v>1133</v>
      </c>
      <c r="Y154" s="25"/>
      <c r="Z154" s="25"/>
      <c r="AA154" s="99"/>
      <c r="AB154" s="3" t="str">
        <f>IF(BCP_Soles[[#This Row],[FECHA]]&gt;0,TEXT(BCP_Soles[[#This Row],[FECHA]],"mmmm"),0)</f>
        <v>Enero</v>
      </c>
    </row>
    <row r="155" spans="2:28" x14ac:dyDescent="0.3">
      <c r="B155" s="2">
        <f>IF(BCP_Soles[[#This Row],[TIPO DE R.]]="R",COUNTIFS($D$4:$D154,"R")+1,"")</f>
        <v>99</v>
      </c>
      <c r="C155" s="19" t="str">
        <f t="shared" si="10"/>
        <v>B-BCP - Soles</v>
      </c>
      <c r="D155" s="3" t="s">
        <v>1074</v>
      </c>
      <c r="E155" s="14">
        <v>45671</v>
      </c>
      <c r="F155" s="5" t="s">
        <v>1158</v>
      </c>
      <c r="G155" s="5" t="s">
        <v>1079</v>
      </c>
      <c r="H155" s="6"/>
      <c r="I155" s="6"/>
      <c r="J155" s="6"/>
      <c r="K155" s="6"/>
      <c r="L155" s="7" t="s">
        <v>1274</v>
      </c>
      <c r="M155" s="8">
        <v>2488</v>
      </c>
      <c r="N155" s="8" t="str">
        <f t="shared" si="11"/>
        <v>PEN</v>
      </c>
      <c r="O155" s="13"/>
      <c r="P155" s="13">
        <v>1999.33</v>
      </c>
      <c r="Q155" s="3">
        <f t="shared" si="12"/>
        <v>0</v>
      </c>
      <c r="R155" s="3">
        <f t="shared" si="13"/>
        <v>1999.33</v>
      </c>
      <c r="S155" s="3">
        <f t="shared" si="14"/>
        <v>5521.4699999999993</v>
      </c>
      <c r="T155" s="24"/>
      <c r="U155" s="24"/>
      <c r="V155" s="67"/>
      <c r="W155" s="25" t="str">
        <f>IFERROR(VLOOKUP(BCP_Soles[[#This Row],[DESTINATARIO]],CHOOSE({1,2},Clientes_Proveedores[Razon Social],Clientes_Proveedores[Ruc / Dni]),2,0),"")</f>
        <v/>
      </c>
      <c r="X155" s="25" t="s">
        <v>1275</v>
      </c>
      <c r="Y155" s="25"/>
      <c r="Z155" s="25"/>
      <c r="AA155" s="99"/>
      <c r="AB155" s="3" t="str">
        <f>IF(BCP_Soles[[#This Row],[FECHA]]&gt;0,TEXT(BCP_Soles[[#This Row],[FECHA]],"mmmm"),0)</f>
        <v>Enero</v>
      </c>
    </row>
    <row r="156" spans="2:28" x14ac:dyDescent="0.3">
      <c r="B156" s="2">
        <f>IF(BCP_Soles[[#This Row],[TIPO DE R.]]="R",COUNTIFS($D$4:$D155,"R")+1,"")</f>
        <v>100</v>
      </c>
      <c r="C156" s="19" t="str">
        <f t="shared" si="10"/>
        <v>B-BCP - Soles</v>
      </c>
      <c r="D156" s="3" t="s">
        <v>1074</v>
      </c>
      <c r="E156" s="14">
        <v>45671</v>
      </c>
      <c r="F156" s="5" t="s">
        <v>1082</v>
      </c>
      <c r="G156" s="5" t="s">
        <v>1079</v>
      </c>
      <c r="H156" s="6"/>
      <c r="I156" s="6"/>
      <c r="J156" s="6"/>
      <c r="K156" s="6"/>
      <c r="L156" s="7" t="s">
        <v>1276</v>
      </c>
      <c r="M156" s="8">
        <v>1321536</v>
      </c>
      <c r="N156" s="8" t="str">
        <f t="shared" si="11"/>
        <v>PEN</v>
      </c>
      <c r="O156" s="13"/>
      <c r="P156" s="13">
        <v>922.2</v>
      </c>
      <c r="Q156" s="3">
        <f t="shared" si="12"/>
        <v>0</v>
      </c>
      <c r="R156" s="3">
        <f t="shared" si="13"/>
        <v>922.2</v>
      </c>
      <c r="S156" s="3">
        <f t="shared" si="14"/>
        <v>4599.2699999999995</v>
      </c>
      <c r="T156" s="24" t="s">
        <v>1081</v>
      </c>
      <c r="U156" s="24"/>
      <c r="V156" s="67"/>
      <c r="W156" s="25" t="str">
        <f>IFERROR(VLOOKUP(BCP_Soles[[#This Row],[DESTINATARIO]],CHOOSE({1,2},Clientes_Proveedores[Razon Social],Clientes_Proveedores[Ruc / Dni]),2,0),"")</f>
        <v/>
      </c>
      <c r="X156" s="25" t="s">
        <v>1118</v>
      </c>
      <c r="Y156" s="25"/>
      <c r="Z156" s="25"/>
      <c r="AA156" s="99"/>
      <c r="AB156" s="3" t="str">
        <f>IF(BCP_Soles[[#This Row],[FECHA]]&gt;0,TEXT(BCP_Soles[[#This Row],[FECHA]],"mmmm"),0)</f>
        <v>Enero</v>
      </c>
    </row>
    <row r="157" spans="2:28" x14ac:dyDescent="0.3">
      <c r="B157" s="2">
        <f>IF(BCP_Soles[[#This Row],[TIPO DE R.]]="R",COUNTIFS($D$4:$D156,"R")+1,"")</f>
        <v>101</v>
      </c>
      <c r="C157" s="19" t="str">
        <f t="shared" si="10"/>
        <v>B-BCP - Soles</v>
      </c>
      <c r="D157" s="3" t="s">
        <v>1074</v>
      </c>
      <c r="E157" s="14">
        <v>45671</v>
      </c>
      <c r="F157" s="5" t="s">
        <v>1158</v>
      </c>
      <c r="G157" s="5" t="s">
        <v>1079</v>
      </c>
      <c r="H157" s="6"/>
      <c r="I157" s="6"/>
      <c r="J157" s="6"/>
      <c r="K157" s="6"/>
      <c r="L157" s="7" t="s">
        <v>1277</v>
      </c>
      <c r="M157" s="8">
        <v>2484</v>
      </c>
      <c r="N157" s="8" t="str">
        <f t="shared" si="11"/>
        <v>PEN</v>
      </c>
      <c r="O157" s="13"/>
      <c r="P157" s="13">
        <v>642.9</v>
      </c>
      <c r="Q157" s="3">
        <f t="shared" si="12"/>
        <v>0</v>
      </c>
      <c r="R157" s="3">
        <f t="shared" si="13"/>
        <v>642.9</v>
      </c>
      <c r="S157" s="3">
        <f t="shared" si="14"/>
        <v>3956.3699999999994</v>
      </c>
      <c r="T157" s="24"/>
      <c r="U157" s="24"/>
      <c r="V157" s="67"/>
      <c r="W157" s="25" t="str">
        <f>IFERROR(VLOOKUP(BCP_Soles[[#This Row],[DESTINATARIO]],CHOOSE({1,2},Clientes_Proveedores[Razon Social],Clientes_Proveedores[Ruc / Dni]),2,0),"")</f>
        <v/>
      </c>
      <c r="X157" s="25" t="s">
        <v>1278</v>
      </c>
      <c r="Y157" s="25"/>
      <c r="Z157" s="25"/>
      <c r="AA157" s="99"/>
      <c r="AB157" s="3" t="str">
        <f>IF(BCP_Soles[[#This Row],[FECHA]]&gt;0,TEXT(BCP_Soles[[#This Row],[FECHA]],"mmmm"),0)</f>
        <v>Enero</v>
      </c>
    </row>
    <row r="158" spans="2:28" x14ac:dyDescent="0.3">
      <c r="B158" s="2">
        <f>IF(BCP_Soles[[#This Row],[TIPO DE R.]]="R",COUNTIFS($D$4:$D157,"R")+1,"")</f>
        <v>102</v>
      </c>
      <c r="C158" s="19" t="str">
        <f t="shared" si="10"/>
        <v>B-BCP - Soles</v>
      </c>
      <c r="D158" s="3" t="s">
        <v>1074</v>
      </c>
      <c r="E158" s="14">
        <v>45671</v>
      </c>
      <c r="F158" s="5" t="s">
        <v>1158</v>
      </c>
      <c r="G158" s="5" t="s">
        <v>1079</v>
      </c>
      <c r="H158" s="6"/>
      <c r="I158" s="6"/>
      <c r="J158" s="6"/>
      <c r="K158" s="6"/>
      <c r="L158" s="7" t="s">
        <v>1279</v>
      </c>
      <c r="M158" s="8">
        <v>2490</v>
      </c>
      <c r="N158" s="8" t="str">
        <f t="shared" si="11"/>
        <v>PEN</v>
      </c>
      <c r="O158" s="13"/>
      <c r="P158" s="13">
        <v>315.83</v>
      </c>
      <c r="Q158" s="3">
        <f t="shared" si="12"/>
        <v>0</v>
      </c>
      <c r="R158" s="3">
        <f t="shared" si="13"/>
        <v>315.83</v>
      </c>
      <c r="S158" s="3">
        <f t="shared" si="14"/>
        <v>3640.5399999999995</v>
      </c>
      <c r="T158" s="24"/>
      <c r="U158" s="24"/>
      <c r="V158" s="67"/>
      <c r="W158" s="25" t="str">
        <f>IFERROR(VLOOKUP(BCP_Soles[[#This Row],[DESTINATARIO]],CHOOSE({1,2},Clientes_Proveedores[Razon Social],Clientes_Proveedores[Ruc / Dni]),2,0),"")</f>
        <v/>
      </c>
      <c r="X158" s="25" t="s">
        <v>1280</v>
      </c>
      <c r="Y158" s="25"/>
      <c r="Z158" s="25"/>
      <c r="AA158" s="99"/>
      <c r="AB158" s="3" t="str">
        <f>IF(BCP_Soles[[#This Row],[FECHA]]&gt;0,TEXT(BCP_Soles[[#This Row],[FECHA]],"mmmm"),0)</f>
        <v>Enero</v>
      </c>
    </row>
    <row r="159" spans="2:28" ht="24" x14ac:dyDescent="0.3">
      <c r="B159" s="2">
        <f>IF(BCP_Soles[[#This Row],[TIPO DE R.]]="R",COUNTIFS($D$4:$D158,"R")+1,"")</f>
        <v>103</v>
      </c>
      <c r="C159" s="19" t="str">
        <f t="shared" si="10"/>
        <v>B-BCP - Soles</v>
      </c>
      <c r="D159" s="3" t="s">
        <v>1074</v>
      </c>
      <c r="E159" s="14">
        <v>45671</v>
      </c>
      <c r="F159" s="5" t="s">
        <v>1082</v>
      </c>
      <c r="G159" s="5" t="s">
        <v>1079</v>
      </c>
      <c r="H159" s="6" t="s">
        <v>685</v>
      </c>
      <c r="I159" s="6" t="s">
        <v>18</v>
      </c>
      <c r="J159" s="6" t="s">
        <v>1121</v>
      </c>
      <c r="K159" s="6">
        <v>131</v>
      </c>
      <c r="L159" s="7" t="s">
        <v>1281</v>
      </c>
      <c r="M159" s="8">
        <v>1264300</v>
      </c>
      <c r="N159" s="8" t="str">
        <f t="shared" si="11"/>
        <v>PEN</v>
      </c>
      <c r="O159" s="13"/>
      <c r="P159" s="13">
        <v>60</v>
      </c>
      <c r="Q159" s="3">
        <f t="shared" si="12"/>
        <v>0</v>
      </c>
      <c r="R159" s="3">
        <f t="shared" si="13"/>
        <v>60</v>
      </c>
      <c r="S159" s="3">
        <f t="shared" si="14"/>
        <v>3580.5399999999995</v>
      </c>
      <c r="T159" s="24" t="s">
        <v>1081</v>
      </c>
      <c r="U159" s="24"/>
      <c r="V159" s="67"/>
      <c r="W159" s="25">
        <f>IFERROR(VLOOKUP(BCP_Soles[[#This Row],[DESTINATARIO]],CHOOSE({1,2},Clientes_Proveedores[Razon Social],Clientes_Proveedores[Ruc / Dni]),2,0),"")</f>
        <v>10721686952</v>
      </c>
      <c r="X159" s="25" t="s">
        <v>1282</v>
      </c>
      <c r="Y159" s="25" t="s">
        <v>1283</v>
      </c>
      <c r="Z159" s="25"/>
      <c r="AA159" s="99"/>
      <c r="AB159" s="3" t="str">
        <f>IF(BCP_Soles[[#This Row],[FECHA]]&gt;0,TEXT(BCP_Soles[[#This Row],[FECHA]],"mmmm"),0)</f>
        <v>Enero</v>
      </c>
    </row>
    <row r="160" spans="2:28" ht="24" x14ac:dyDescent="0.3">
      <c r="B160" s="2">
        <f>IF(BCP_Soles[[#This Row],[TIPO DE R.]]="R",COUNTIFS($D$4:$D159,"R")+1,"")</f>
        <v>104</v>
      </c>
      <c r="C160" s="19" t="str">
        <f t="shared" si="10"/>
        <v>B-BCP - Soles</v>
      </c>
      <c r="D160" s="3" t="s">
        <v>1074</v>
      </c>
      <c r="E160" s="14">
        <v>45671</v>
      </c>
      <c r="F160" s="5" t="s">
        <v>1082</v>
      </c>
      <c r="G160" s="5" t="s">
        <v>1079</v>
      </c>
      <c r="H160" s="6" t="s">
        <v>192</v>
      </c>
      <c r="I160" s="6"/>
      <c r="J160" s="6"/>
      <c r="K160" s="6"/>
      <c r="L160" s="7" t="s">
        <v>1284</v>
      </c>
      <c r="M160" s="8">
        <v>1197396</v>
      </c>
      <c r="N160" s="8" t="str">
        <f t="shared" si="11"/>
        <v>PEN</v>
      </c>
      <c r="O160" s="13"/>
      <c r="P160" s="13">
        <v>48.85</v>
      </c>
      <c r="Q160" s="3">
        <f t="shared" si="12"/>
        <v>0</v>
      </c>
      <c r="R160" s="3">
        <f t="shared" si="13"/>
        <v>48.85</v>
      </c>
      <c r="S160" s="3">
        <f t="shared" si="14"/>
        <v>3531.6899999999996</v>
      </c>
      <c r="T160" s="24"/>
      <c r="U160" s="24"/>
      <c r="V160" s="67"/>
      <c r="W160" s="25">
        <f>IFERROR(VLOOKUP(BCP_Soles[[#This Row],[DESTINATARIO]],CHOOSE({1,2},Clientes_Proveedores[Razon Social],Clientes_Proveedores[Ruc / Dni]),2,0),"")</f>
        <v>20302891452</v>
      </c>
      <c r="X160" s="25" t="s">
        <v>192</v>
      </c>
      <c r="Y160" s="25"/>
      <c r="Z160" s="25"/>
      <c r="AA160" s="99"/>
      <c r="AB160" s="3" t="str">
        <f>IF(BCP_Soles[[#This Row],[FECHA]]&gt;0,TEXT(BCP_Soles[[#This Row],[FECHA]],"mmmm"),0)</f>
        <v>Enero</v>
      </c>
    </row>
    <row r="161" spans="2:28" ht="24" x14ac:dyDescent="0.3">
      <c r="B161" s="2">
        <f>IF(BCP_Soles[[#This Row],[TIPO DE R.]]="R",COUNTIFS($D$4:$D160,"R")+1,"")</f>
        <v>105</v>
      </c>
      <c r="C161" s="19" t="str">
        <f t="shared" si="10"/>
        <v>B-BCP - Soles</v>
      </c>
      <c r="D161" s="3" t="s">
        <v>1074</v>
      </c>
      <c r="E161" s="14">
        <v>45671</v>
      </c>
      <c r="F161" s="5" t="s">
        <v>1078</v>
      </c>
      <c r="G161" s="5" t="s">
        <v>1079</v>
      </c>
      <c r="H161" s="6" t="s">
        <v>1001</v>
      </c>
      <c r="I161" s="6"/>
      <c r="J161" s="6"/>
      <c r="K161" s="6"/>
      <c r="L161" s="7" t="s">
        <v>1141</v>
      </c>
      <c r="M161" s="8">
        <v>371</v>
      </c>
      <c r="N161" s="8" t="str">
        <f t="shared" si="11"/>
        <v>PEN</v>
      </c>
      <c r="O161" s="13"/>
      <c r="P161" s="13">
        <v>10</v>
      </c>
      <c r="Q161" s="3">
        <f t="shared" si="12"/>
        <v>0</v>
      </c>
      <c r="R161" s="3">
        <f t="shared" si="13"/>
        <v>10</v>
      </c>
      <c r="S161" s="3">
        <f t="shared" si="14"/>
        <v>3521.6899999999996</v>
      </c>
      <c r="T161" s="24"/>
      <c r="U161" s="24"/>
      <c r="V161" s="67"/>
      <c r="W161" s="25">
        <f>IFERROR(VLOOKUP(BCP_Soles[[#This Row],[DESTINATARIO]],CHOOSE({1,2},Clientes_Proveedores[Razon Social],Clientes_Proveedores[Ruc / Dni]),2,0),"")</f>
        <v>20100047218</v>
      </c>
      <c r="X161" s="25" t="s">
        <v>1078</v>
      </c>
      <c r="Y161" s="25"/>
      <c r="Z161" s="25"/>
      <c r="AA161" s="99"/>
      <c r="AB161" s="3" t="str">
        <f>IF(BCP_Soles[[#This Row],[FECHA]]&gt;0,TEXT(BCP_Soles[[#This Row],[FECHA]],"mmmm"),0)</f>
        <v>Enero</v>
      </c>
    </row>
    <row r="162" spans="2:28" ht="36" x14ac:dyDescent="0.3">
      <c r="B162" s="2">
        <f>IF(BCP_Soles[[#This Row],[TIPO DE R.]]="R",COUNTIFS($D$4:$D161,"R")+1,"")</f>
        <v>106</v>
      </c>
      <c r="C162" s="19" t="str">
        <f t="shared" si="10"/>
        <v>B-BCP - Soles</v>
      </c>
      <c r="D162" s="3" t="s">
        <v>1074</v>
      </c>
      <c r="E162" s="14">
        <v>45671</v>
      </c>
      <c r="F162" s="5" t="s">
        <v>497</v>
      </c>
      <c r="G162" s="5" t="s">
        <v>1087</v>
      </c>
      <c r="H162" s="6"/>
      <c r="I162" s="6"/>
      <c r="J162" s="6"/>
      <c r="K162" s="6"/>
      <c r="L162" s="7" t="s">
        <v>1093</v>
      </c>
      <c r="M162" s="8">
        <v>2208177</v>
      </c>
      <c r="N162" s="8" t="str">
        <f t="shared" si="11"/>
        <v>PEN</v>
      </c>
      <c r="O162" s="13"/>
      <c r="P162" s="13">
        <v>1187.1199999999999</v>
      </c>
      <c r="Q162" s="3">
        <f t="shared" si="12"/>
        <v>1187.1199999999999</v>
      </c>
      <c r="R162" s="3">
        <f t="shared" si="13"/>
        <v>0</v>
      </c>
      <c r="S162" s="3">
        <f t="shared" si="14"/>
        <v>4708.8099999999995</v>
      </c>
      <c r="T162" s="24" t="s">
        <v>1081</v>
      </c>
      <c r="U162" s="24" t="s">
        <v>1081</v>
      </c>
      <c r="V162" s="67"/>
      <c r="W162" s="25" t="str">
        <f>IFERROR(VLOOKUP(BCP_Soles[[#This Row],[DESTINATARIO]],CHOOSE({1,2},Clientes_Proveedores[Razon Social],Clientes_Proveedores[Ruc / Dni]),2,0),"")</f>
        <v/>
      </c>
      <c r="X162" s="25" t="s">
        <v>1090</v>
      </c>
      <c r="Y162" s="25" t="s">
        <v>1285</v>
      </c>
      <c r="Z162" s="25"/>
      <c r="AA162" s="99"/>
      <c r="AB162" s="3" t="str">
        <f>IF(BCP_Soles[[#This Row],[FECHA]]&gt;0,TEXT(BCP_Soles[[#This Row],[FECHA]],"mmmm"),0)</f>
        <v>Enero</v>
      </c>
    </row>
    <row r="163" spans="2:28" ht="24" x14ac:dyDescent="0.3">
      <c r="B163" s="2">
        <f>IF(BCP_Soles[[#This Row],[TIPO DE R.]]="R",COUNTIFS($D$4:$D162,"R")+1,"")</f>
        <v>107</v>
      </c>
      <c r="C163" s="19" t="str">
        <f t="shared" si="10"/>
        <v>B-BCP - Soles</v>
      </c>
      <c r="D163" s="3" t="s">
        <v>1074</v>
      </c>
      <c r="E163" s="14">
        <v>45672</v>
      </c>
      <c r="F163" s="5" t="s">
        <v>563</v>
      </c>
      <c r="G163" s="5" t="s">
        <v>1087</v>
      </c>
      <c r="H163" s="6"/>
      <c r="I163" s="6"/>
      <c r="J163" s="6"/>
      <c r="K163" s="6"/>
      <c r="L163" s="7" t="s">
        <v>1286</v>
      </c>
      <c r="M163" s="8">
        <v>66834</v>
      </c>
      <c r="N163" s="8" t="str">
        <f t="shared" si="11"/>
        <v>PEN</v>
      </c>
      <c r="O163" s="13"/>
      <c r="P163" s="13">
        <v>790</v>
      </c>
      <c r="Q163" s="3">
        <f t="shared" si="12"/>
        <v>790</v>
      </c>
      <c r="R163" s="3">
        <f t="shared" si="13"/>
        <v>0</v>
      </c>
      <c r="S163" s="3">
        <f t="shared" si="14"/>
        <v>5498.8099999999995</v>
      </c>
      <c r="T163" s="24" t="s">
        <v>1081</v>
      </c>
      <c r="U163" s="24" t="s">
        <v>1081</v>
      </c>
      <c r="V163" s="67"/>
      <c r="W163" s="25" t="str">
        <f>IFERROR(VLOOKUP(BCP_Soles[[#This Row],[DESTINATARIO]],CHOOSE({1,2},Clientes_Proveedores[Razon Social],Clientes_Proveedores[Ruc / Dni]),2,0),"")</f>
        <v/>
      </c>
      <c r="X163" s="25" t="s">
        <v>1090</v>
      </c>
      <c r="Y163" s="25" t="s">
        <v>1287</v>
      </c>
      <c r="Z163" s="25"/>
      <c r="AA163" s="99"/>
      <c r="AB163" s="3" t="str">
        <f>IF(BCP_Soles[[#This Row],[FECHA]]&gt;0,TEXT(BCP_Soles[[#This Row],[FECHA]],"mmmm"),0)</f>
        <v>Enero</v>
      </c>
    </row>
    <row r="164" spans="2:28" ht="24" x14ac:dyDescent="0.3">
      <c r="B164" s="2">
        <f>IF(BCP_Soles[[#This Row],[TIPO DE R.]]="R",COUNTIFS($D$4:$D163,"R")+1,"")</f>
        <v>108</v>
      </c>
      <c r="C164" s="19" t="str">
        <f t="shared" si="10"/>
        <v>B-BCP - Soles</v>
      </c>
      <c r="D164" s="3" t="s">
        <v>1074</v>
      </c>
      <c r="E164" s="14">
        <v>45672</v>
      </c>
      <c r="F164" s="5" t="s">
        <v>1082</v>
      </c>
      <c r="G164" s="5" t="s">
        <v>1079</v>
      </c>
      <c r="H164" s="6" t="s">
        <v>184</v>
      </c>
      <c r="I164" s="6" t="s">
        <v>14</v>
      </c>
      <c r="J164" s="6" t="s">
        <v>1083</v>
      </c>
      <c r="K164" s="6">
        <v>7082</v>
      </c>
      <c r="L164" s="7" t="s">
        <v>1288</v>
      </c>
      <c r="M164" s="8">
        <v>1101731</v>
      </c>
      <c r="N164" s="8" t="str">
        <f t="shared" si="11"/>
        <v>PEN</v>
      </c>
      <c r="O164" s="13"/>
      <c r="P164" s="13">
        <v>677.7</v>
      </c>
      <c r="Q164" s="3">
        <f t="shared" si="12"/>
        <v>0</v>
      </c>
      <c r="R164" s="3">
        <f t="shared" si="13"/>
        <v>677.7</v>
      </c>
      <c r="S164" s="3">
        <f t="shared" si="14"/>
        <v>4821.1099999999997</v>
      </c>
      <c r="T164" s="24" t="s">
        <v>1081</v>
      </c>
      <c r="U164" s="24" t="s">
        <v>1081</v>
      </c>
      <c r="V164" s="67"/>
      <c r="W164" s="25">
        <f>IFERROR(VLOOKUP(BCP_Soles[[#This Row],[DESTINATARIO]],CHOOSE({1,2},Clientes_Proveedores[Razon Social],Clientes_Proveedores[Ruc / Dni]),2,0),"")</f>
        <v>20170040938</v>
      </c>
      <c r="X164" s="25" t="s">
        <v>1085</v>
      </c>
      <c r="Y164" s="25" t="s">
        <v>1289</v>
      </c>
      <c r="Z164" s="25"/>
      <c r="AA164" s="99"/>
      <c r="AB164" s="3" t="str">
        <f>IF(BCP_Soles[[#This Row],[FECHA]]&gt;0,TEXT(BCP_Soles[[#This Row],[FECHA]],"mmmm"),0)</f>
        <v>Enero</v>
      </c>
    </row>
    <row r="165" spans="2:28" x14ac:dyDescent="0.3">
      <c r="B165" s="2">
        <f>IF(BCP_Soles[[#This Row],[TIPO DE R.]]="R",COUNTIFS($D$4:$D164,"R")+1,"")</f>
        <v>109</v>
      </c>
      <c r="C165" s="19" t="str">
        <f t="shared" si="10"/>
        <v>B-BCP - Soles</v>
      </c>
      <c r="D165" s="3" t="s">
        <v>1074</v>
      </c>
      <c r="E165" s="14">
        <v>45672</v>
      </c>
      <c r="F165" s="5" t="s">
        <v>357</v>
      </c>
      <c r="G165" s="5" t="s">
        <v>1087</v>
      </c>
      <c r="H165" s="6"/>
      <c r="I165" s="6"/>
      <c r="J165" s="6"/>
      <c r="K165" s="6"/>
      <c r="L165" s="7" t="s">
        <v>1290</v>
      </c>
      <c r="M165" s="8">
        <v>1677881</v>
      </c>
      <c r="N165" s="8" t="str">
        <f t="shared" si="11"/>
        <v>PEN</v>
      </c>
      <c r="O165" s="13"/>
      <c r="P165" s="13">
        <v>2002.91</v>
      </c>
      <c r="Q165" s="3">
        <f t="shared" si="12"/>
        <v>2002.91</v>
      </c>
      <c r="R165" s="3">
        <f t="shared" si="13"/>
        <v>0</v>
      </c>
      <c r="S165" s="3">
        <f t="shared" si="14"/>
        <v>6824.0199999999995</v>
      </c>
      <c r="T165" s="24" t="s">
        <v>1081</v>
      </c>
      <c r="U165" s="24" t="s">
        <v>1081</v>
      </c>
      <c r="V165" s="67"/>
      <c r="W165" s="25" t="str">
        <f>IFERROR(VLOOKUP(BCP_Soles[[#This Row],[DESTINATARIO]],CHOOSE({1,2},Clientes_Proveedores[Razon Social],Clientes_Proveedores[Ruc / Dni]),2,0),"")</f>
        <v/>
      </c>
      <c r="X165" s="25" t="s">
        <v>1090</v>
      </c>
      <c r="Y165" s="25" t="s">
        <v>1291</v>
      </c>
      <c r="Z165" s="25"/>
      <c r="AA165" s="99"/>
      <c r="AB165" s="3" t="str">
        <f>IF(BCP_Soles[[#This Row],[FECHA]]&gt;0,TEXT(BCP_Soles[[#This Row],[FECHA]],"mmmm"),0)</f>
        <v>Enero</v>
      </c>
    </row>
    <row r="166" spans="2:28" x14ac:dyDescent="0.3">
      <c r="B166" s="2">
        <f>IF(BCP_Soles[[#This Row],[TIPO DE R.]]="R",COUNTIFS($D$4:$D165,"R")+1,"")</f>
        <v>110</v>
      </c>
      <c r="C166" s="19" t="str">
        <f t="shared" si="10"/>
        <v>B-BCP - Soles</v>
      </c>
      <c r="D166" s="3" t="s">
        <v>1074</v>
      </c>
      <c r="E166" s="14">
        <v>45672</v>
      </c>
      <c r="F166" s="5" t="s">
        <v>1078</v>
      </c>
      <c r="G166" s="5" t="s">
        <v>1079</v>
      </c>
      <c r="H166" s="6"/>
      <c r="I166" s="6"/>
      <c r="J166" s="6"/>
      <c r="K166" s="6"/>
      <c r="L166" s="7" t="s">
        <v>1080</v>
      </c>
      <c r="M166" s="8"/>
      <c r="N166" s="8" t="str">
        <f t="shared" si="11"/>
        <v>PEN</v>
      </c>
      <c r="O166" s="13"/>
      <c r="P166" s="13">
        <v>0.15</v>
      </c>
      <c r="Q166" s="3">
        <f t="shared" si="12"/>
        <v>0</v>
      </c>
      <c r="R166" s="3">
        <f t="shared" si="13"/>
        <v>0.15</v>
      </c>
      <c r="S166" s="3">
        <f t="shared" si="14"/>
        <v>6823.87</v>
      </c>
      <c r="T166" s="24"/>
      <c r="U166" s="24" t="s">
        <v>1081</v>
      </c>
      <c r="V166" s="67"/>
      <c r="W166" s="25" t="str">
        <f>IFERROR(VLOOKUP(BCP_Soles[[#This Row],[DESTINATARIO]],CHOOSE({1,2},Clientes_Proveedores[Razon Social],Clientes_Proveedores[Ruc / Dni]),2,0),"")</f>
        <v/>
      </c>
      <c r="X166" s="25"/>
      <c r="Y166" s="25"/>
      <c r="Z166" s="25"/>
      <c r="AA166" s="99"/>
      <c r="AB166" s="3" t="str">
        <f>IF(BCP_Soles[[#This Row],[FECHA]]&gt;0,TEXT(BCP_Soles[[#This Row],[FECHA]],"mmmm"),0)</f>
        <v>Enero</v>
      </c>
    </row>
    <row r="167" spans="2:28" x14ac:dyDescent="0.3">
      <c r="B167" s="2">
        <f>IF(BCP_Soles[[#This Row],[TIPO DE R.]]="R",COUNTIFS($D$4:$D166,"R")+1,"")</f>
        <v>111</v>
      </c>
      <c r="C167" s="19" t="str">
        <f t="shared" si="10"/>
        <v>B-BCP - Soles</v>
      </c>
      <c r="D167" s="3" t="s">
        <v>1074</v>
      </c>
      <c r="E167" s="14">
        <v>45672</v>
      </c>
      <c r="F167" s="5" t="s">
        <v>1078</v>
      </c>
      <c r="G167" s="5" t="s">
        <v>1079</v>
      </c>
      <c r="H167" s="6"/>
      <c r="I167" s="6"/>
      <c r="J167" s="6"/>
      <c r="K167" s="6"/>
      <c r="L167" s="7" t="s">
        <v>1292</v>
      </c>
      <c r="M167" s="8">
        <v>957349</v>
      </c>
      <c r="N167" s="8" t="str">
        <f t="shared" si="11"/>
        <v>PEN</v>
      </c>
      <c r="O167" s="13"/>
      <c r="P167" s="13">
        <v>10</v>
      </c>
      <c r="Q167" s="3">
        <f t="shared" si="12"/>
        <v>0</v>
      </c>
      <c r="R167" s="3">
        <f t="shared" si="13"/>
        <v>10</v>
      </c>
      <c r="S167" s="3">
        <f t="shared" si="14"/>
        <v>6813.87</v>
      </c>
      <c r="T167" s="24"/>
      <c r="U167" s="24" t="s">
        <v>1081</v>
      </c>
      <c r="V167" s="67"/>
      <c r="W167" s="25" t="str">
        <f>IFERROR(VLOOKUP(BCP_Soles[[#This Row],[DESTINATARIO]],CHOOSE({1,2},Clientes_Proveedores[Razon Social],Clientes_Proveedores[Ruc / Dni]),2,0),"")</f>
        <v/>
      </c>
      <c r="X167" s="25" t="s">
        <v>1078</v>
      </c>
      <c r="Y167" s="25" t="s">
        <v>1293</v>
      </c>
      <c r="Z167" s="25"/>
      <c r="AA167" s="99"/>
      <c r="AB167" s="3" t="str">
        <f>IF(BCP_Soles[[#This Row],[FECHA]]&gt;0,TEXT(BCP_Soles[[#This Row],[FECHA]],"mmmm"),0)</f>
        <v>Enero</v>
      </c>
    </row>
    <row r="168" spans="2:28" ht="24" x14ac:dyDescent="0.3">
      <c r="B168" s="2">
        <f>IF(BCP_Soles[[#This Row],[TIPO DE R.]]="R",COUNTIFS($D$4:$D167,"R")+1,"")</f>
        <v>112</v>
      </c>
      <c r="C168" s="19" t="str">
        <f t="shared" si="10"/>
        <v>B-BCP - Soles</v>
      </c>
      <c r="D168" s="3" t="s">
        <v>1074</v>
      </c>
      <c r="E168" s="14">
        <v>45672</v>
      </c>
      <c r="F168" s="5" t="s">
        <v>183</v>
      </c>
      <c r="G168" s="5" t="s">
        <v>1087</v>
      </c>
      <c r="H168" s="6"/>
      <c r="I168" s="6"/>
      <c r="J168" s="6"/>
      <c r="K168" s="6"/>
      <c r="L168" s="7" t="s">
        <v>1294</v>
      </c>
      <c r="M168" s="8">
        <v>2137407</v>
      </c>
      <c r="N168" s="8" t="str">
        <f t="shared" si="11"/>
        <v>PEN</v>
      </c>
      <c r="O168" s="13"/>
      <c r="P168" s="13">
        <v>1086.28</v>
      </c>
      <c r="Q168" s="3">
        <f t="shared" si="12"/>
        <v>1086.28</v>
      </c>
      <c r="R168" s="3">
        <f t="shared" si="13"/>
        <v>0</v>
      </c>
      <c r="S168" s="3">
        <f t="shared" si="14"/>
        <v>7900.15</v>
      </c>
      <c r="T168" s="24" t="s">
        <v>1081</v>
      </c>
      <c r="U168" s="24" t="s">
        <v>1081</v>
      </c>
      <c r="V168" s="67"/>
      <c r="W168" s="25" t="str">
        <f>IFERROR(VLOOKUP(BCP_Soles[[#This Row],[DESTINATARIO]],CHOOSE({1,2},Clientes_Proveedores[Razon Social],Clientes_Proveedores[Ruc / Dni]),2,0),"")</f>
        <v/>
      </c>
      <c r="X168" s="25" t="s">
        <v>1090</v>
      </c>
      <c r="Y168" s="25" t="s">
        <v>1295</v>
      </c>
      <c r="Z168" s="25"/>
      <c r="AA168" s="99"/>
      <c r="AB168" s="3" t="str">
        <f>IF(BCP_Soles[[#This Row],[FECHA]]&gt;0,TEXT(BCP_Soles[[#This Row],[FECHA]],"mmmm"),0)</f>
        <v>Enero</v>
      </c>
    </row>
    <row r="169" spans="2:28" x14ac:dyDescent="0.3">
      <c r="B169" s="2">
        <f>IF(BCP_Soles[[#This Row],[TIPO DE R.]]="R",COUNTIFS($D$4:$D168,"R")+1,"")</f>
        <v>113</v>
      </c>
      <c r="C169" s="19" t="str">
        <f t="shared" si="10"/>
        <v>B-BCP - Soles</v>
      </c>
      <c r="D169" s="3" t="s">
        <v>1074</v>
      </c>
      <c r="E169" s="14">
        <v>45673</v>
      </c>
      <c r="F169" s="5" t="s">
        <v>382</v>
      </c>
      <c r="G169" s="5" t="s">
        <v>1087</v>
      </c>
      <c r="H169" s="6"/>
      <c r="I169" s="6"/>
      <c r="J169" s="6"/>
      <c r="K169" s="6"/>
      <c r="L169" s="7" t="s">
        <v>1100</v>
      </c>
      <c r="M169" s="8">
        <v>550454</v>
      </c>
      <c r="N169" s="8" t="str">
        <f t="shared" si="11"/>
        <v>PEN</v>
      </c>
      <c r="O169" s="13"/>
      <c r="P169" s="13">
        <v>1356</v>
      </c>
      <c r="Q169" s="3">
        <f t="shared" si="12"/>
        <v>1356</v>
      </c>
      <c r="R169" s="3">
        <f t="shared" si="13"/>
        <v>0</v>
      </c>
      <c r="S169" s="3">
        <f t="shared" si="14"/>
        <v>9256.15</v>
      </c>
      <c r="T169" s="24" t="s">
        <v>1081</v>
      </c>
      <c r="U169" s="24" t="s">
        <v>1081</v>
      </c>
      <c r="V169" s="67"/>
      <c r="W169" s="25" t="str">
        <f>IFERROR(VLOOKUP(BCP_Soles[[#This Row],[DESTINATARIO]],CHOOSE({1,2},Clientes_Proveedores[Razon Social],Clientes_Proveedores[Ruc / Dni]),2,0),"")</f>
        <v/>
      </c>
      <c r="X169" s="25" t="s">
        <v>1090</v>
      </c>
      <c r="Y169" s="25" t="s">
        <v>1296</v>
      </c>
      <c r="Z169" s="25"/>
      <c r="AA169" s="99"/>
      <c r="AB169" s="3" t="str">
        <f>IF(BCP_Soles[[#This Row],[FECHA]]&gt;0,TEXT(BCP_Soles[[#This Row],[FECHA]],"mmmm"),0)</f>
        <v>Enero</v>
      </c>
    </row>
    <row r="170" spans="2:28" x14ac:dyDescent="0.3">
      <c r="B170" s="2">
        <f>IF(BCP_Soles[[#This Row],[TIPO DE R.]]="R",COUNTIFS($D$4:$D169,"R")+1,"")</f>
        <v>114</v>
      </c>
      <c r="C170" s="19" t="str">
        <f t="shared" si="10"/>
        <v>B-BCP - Soles</v>
      </c>
      <c r="D170" s="3" t="s">
        <v>1074</v>
      </c>
      <c r="E170" s="14">
        <v>45673</v>
      </c>
      <c r="F170" s="5" t="s">
        <v>1262</v>
      </c>
      <c r="G170" s="5" t="s">
        <v>1087</v>
      </c>
      <c r="H170" s="6"/>
      <c r="I170" s="6"/>
      <c r="J170" s="6"/>
      <c r="K170" s="6"/>
      <c r="L170" s="7" t="s">
        <v>1100</v>
      </c>
      <c r="M170" s="8">
        <v>1306491</v>
      </c>
      <c r="N170" s="8" t="str">
        <f t="shared" si="11"/>
        <v>PEN</v>
      </c>
      <c r="O170" s="13"/>
      <c r="P170" s="13">
        <v>2112</v>
      </c>
      <c r="Q170" s="3">
        <f t="shared" si="12"/>
        <v>2112</v>
      </c>
      <c r="R170" s="3">
        <f t="shared" si="13"/>
        <v>0</v>
      </c>
      <c r="S170" s="3">
        <f t="shared" si="14"/>
        <v>11368.15</v>
      </c>
      <c r="T170" s="24" t="s">
        <v>1081</v>
      </c>
      <c r="U170" s="24" t="s">
        <v>1081</v>
      </c>
      <c r="V170" s="67"/>
      <c r="W170" s="25" t="str">
        <f>IFERROR(VLOOKUP(BCP_Soles[[#This Row],[DESTINATARIO]],CHOOSE({1,2},Clientes_Proveedores[Razon Social],Clientes_Proveedores[Ruc / Dni]),2,0),"")</f>
        <v/>
      </c>
      <c r="X170" s="25" t="s">
        <v>1090</v>
      </c>
      <c r="Y170" s="25" t="s">
        <v>1297</v>
      </c>
      <c r="Z170" s="25"/>
      <c r="AA170" s="99"/>
      <c r="AB170" s="3" t="str">
        <f>IF(BCP_Soles[[#This Row],[FECHA]]&gt;0,TEXT(BCP_Soles[[#This Row],[FECHA]],"mmmm"),0)</f>
        <v>Enero</v>
      </c>
    </row>
    <row r="171" spans="2:28" ht="24" x14ac:dyDescent="0.3">
      <c r="B171" s="2">
        <f>IF(BCP_Soles[[#This Row],[TIPO DE R.]]="R",COUNTIFS($D$4:$D170,"R")+1,"")</f>
        <v>115</v>
      </c>
      <c r="C171" s="19" t="str">
        <f t="shared" si="10"/>
        <v>B-BCP - Soles</v>
      </c>
      <c r="D171" s="3" t="s">
        <v>1074</v>
      </c>
      <c r="E171" s="14">
        <v>45673</v>
      </c>
      <c r="F171" s="5" t="s">
        <v>1082</v>
      </c>
      <c r="G171" s="5" t="s">
        <v>1079</v>
      </c>
      <c r="H171" s="6" t="s">
        <v>192</v>
      </c>
      <c r="I171" s="6"/>
      <c r="J171" s="6"/>
      <c r="K171" s="6"/>
      <c r="L171" s="7" t="s">
        <v>1298</v>
      </c>
      <c r="M171" s="8">
        <v>1015089</v>
      </c>
      <c r="N171" s="8" t="str">
        <f t="shared" si="11"/>
        <v>PEN</v>
      </c>
      <c r="O171" s="13"/>
      <c r="P171" s="13">
        <v>122.13</v>
      </c>
      <c r="Q171" s="3">
        <f t="shared" si="12"/>
        <v>0</v>
      </c>
      <c r="R171" s="3">
        <f t="shared" si="13"/>
        <v>122.13</v>
      </c>
      <c r="S171" s="3">
        <f t="shared" si="14"/>
        <v>11246.02</v>
      </c>
      <c r="T171" s="24"/>
      <c r="U171" s="24"/>
      <c r="V171" s="67"/>
      <c r="W171" s="25">
        <f>IFERROR(VLOOKUP(BCP_Soles[[#This Row],[DESTINATARIO]],CHOOSE({1,2},Clientes_Proveedores[Razon Social],Clientes_Proveedores[Ruc / Dni]),2,0),"")</f>
        <v>20302891452</v>
      </c>
      <c r="X171" s="25" t="s">
        <v>192</v>
      </c>
      <c r="Y171" s="25"/>
      <c r="Z171" s="25"/>
      <c r="AA171" s="99"/>
      <c r="AB171" s="3" t="str">
        <f>IF(BCP_Soles[[#This Row],[FECHA]]&gt;0,TEXT(BCP_Soles[[#This Row],[FECHA]],"mmmm"),0)</f>
        <v>Enero</v>
      </c>
    </row>
    <row r="172" spans="2:28" ht="24" x14ac:dyDescent="0.3">
      <c r="B172" s="2">
        <f>IF(BCP_Soles[[#This Row],[TIPO DE R.]]="R",COUNTIFS($D$4:$D171,"R")+1,"")</f>
        <v>116</v>
      </c>
      <c r="C172" s="19" t="str">
        <f t="shared" si="10"/>
        <v>B-BCP - Soles</v>
      </c>
      <c r="D172" s="3" t="s">
        <v>1074</v>
      </c>
      <c r="E172" s="14">
        <v>45673</v>
      </c>
      <c r="F172" s="5" t="s">
        <v>1082</v>
      </c>
      <c r="G172" s="5" t="s">
        <v>1079</v>
      </c>
      <c r="H172" s="6" t="s">
        <v>646</v>
      </c>
      <c r="I172" s="6" t="s">
        <v>52</v>
      </c>
      <c r="J172" s="6" t="s">
        <v>1299</v>
      </c>
      <c r="K172" s="6">
        <v>601719</v>
      </c>
      <c r="L172" s="7" t="s">
        <v>1231</v>
      </c>
      <c r="M172" s="8">
        <v>4138305</v>
      </c>
      <c r="N172" s="8" t="str">
        <f t="shared" si="11"/>
        <v>PEN</v>
      </c>
      <c r="O172" s="13"/>
      <c r="P172" s="13">
        <v>15.2</v>
      </c>
      <c r="Q172" s="3">
        <f t="shared" si="12"/>
        <v>0</v>
      </c>
      <c r="R172" s="3">
        <f t="shared" si="13"/>
        <v>15.2</v>
      </c>
      <c r="S172" s="3">
        <f t="shared" si="14"/>
        <v>11230.82</v>
      </c>
      <c r="T172" s="24" t="s">
        <v>1081</v>
      </c>
      <c r="U172" s="24" t="s">
        <v>1081</v>
      </c>
      <c r="V172" s="67"/>
      <c r="W172" s="25">
        <f>IFERROR(VLOOKUP(BCP_Soles[[#This Row],[DESTINATARIO]],CHOOSE({1,2},Clientes_Proveedores[Razon Social],Clientes_Proveedores[Ruc / Dni]),2,0),"")</f>
        <v>20100152356</v>
      </c>
      <c r="X172" s="25" t="s">
        <v>646</v>
      </c>
      <c r="Y172" s="25" t="s">
        <v>1300</v>
      </c>
      <c r="Z172" s="25"/>
      <c r="AA172" s="99"/>
      <c r="AB172" s="3" t="str">
        <f>IF(BCP_Soles[[#This Row],[FECHA]]&gt;0,TEXT(BCP_Soles[[#This Row],[FECHA]],"mmmm"),0)</f>
        <v>Enero</v>
      </c>
    </row>
    <row r="173" spans="2:28" ht="24" x14ac:dyDescent="0.3">
      <c r="B173" s="2">
        <f>IF(BCP_Soles[[#This Row],[TIPO DE R.]]="R",COUNTIFS($D$4:$D172,"R")+1,"")</f>
        <v>117</v>
      </c>
      <c r="C173" s="19" t="str">
        <f t="shared" si="10"/>
        <v>B-BCP - Soles</v>
      </c>
      <c r="D173" s="3" t="s">
        <v>1074</v>
      </c>
      <c r="E173" s="14">
        <v>45673</v>
      </c>
      <c r="F173" s="5" t="s">
        <v>1082</v>
      </c>
      <c r="G173" s="5" t="s">
        <v>1079</v>
      </c>
      <c r="H173" s="6" t="s">
        <v>645</v>
      </c>
      <c r="I173" s="6" t="s">
        <v>52</v>
      </c>
      <c r="J173" s="6" t="s">
        <v>1225</v>
      </c>
      <c r="K173" s="6">
        <v>28198089</v>
      </c>
      <c r="L173" s="7" t="s">
        <v>1301</v>
      </c>
      <c r="M173" s="8">
        <v>179213</v>
      </c>
      <c r="N173" s="8" t="str">
        <f t="shared" si="11"/>
        <v>PEN</v>
      </c>
      <c r="O173" s="13"/>
      <c r="P173" s="13">
        <v>331.7</v>
      </c>
      <c r="Q173" s="3">
        <f t="shared" si="12"/>
        <v>0</v>
      </c>
      <c r="R173" s="3">
        <f t="shared" si="13"/>
        <v>331.7</v>
      </c>
      <c r="S173" s="3">
        <f t="shared" si="14"/>
        <v>10899.119999999999</v>
      </c>
      <c r="T173" s="24" t="s">
        <v>1081</v>
      </c>
      <c r="U173" s="24" t="s">
        <v>1081</v>
      </c>
      <c r="V173" s="67"/>
      <c r="W173" s="25">
        <f>IFERROR(VLOOKUP(BCP_Soles[[#This Row],[DESTINATARIO]],CHOOSE({1,2},Clientes_Proveedores[Razon Social],Clientes_Proveedores[Ruc / Dni]),2,0),"")</f>
        <v>20100188628</v>
      </c>
      <c r="X173" s="25" t="s">
        <v>1227</v>
      </c>
      <c r="Y173" s="25" t="s">
        <v>1302</v>
      </c>
      <c r="Z173" s="25"/>
      <c r="AA173" s="99"/>
      <c r="AB173" s="3" t="str">
        <f>IF(BCP_Soles[[#This Row],[FECHA]]&gt;0,TEXT(BCP_Soles[[#This Row],[FECHA]],"mmmm"),0)</f>
        <v>Enero</v>
      </c>
    </row>
    <row r="174" spans="2:28" ht="24" x14ac:dyDescent="0.3">
      <c r="B174" s="2">
        <f>IF(BCP_Soles[[#This Row],[TIPO DE R.]]="R",COUNTIFS($D$4:$D173,"R")+1,"")</f>
        <v>118</v>
      </c>
      <c r="C174" s="19" t="str">
        <f t="shared" si="10"/>
        <v>B-BCP - Soles</v>
      </c>
      <c r="D174" s="3" t="s">
        <v>1074</v>
      </c>
      <c r="E174" s="14">
        <v>45673</v>
      </c>
      <c r="F174" s="5" t="s">
        <v>1082</v>
      </c>
      <c r="G174" s="5" t="s">
        <v>1079</v>
      </c>
      <c r="H174" s="6"/>
      <c r="I174" s="6" t="s">
        <v>52</v>
      </c>
      <c r="J174" s="6" t="s">
        <v>1303</v>
      </c>
      <c r="K174" s="6">
        <v>64766093</v>
      </c>
      <c r="L174" s="7" t="s">
        <v>1304</v>
      </c>
      <c r="M174" s="8">
        <v>4116326</v>
      </c>
      <c r="N174" s="8" t="str">
        <f t="shared" si="11"/>
        <v>PEN</v>
      </c>
      <c r="O174" s="13"/>
      <c r="P174" s="13">
        <v>89.8</v>
      </c>
      <c r="Q174" s="3">
        <f t="shared" si="12"/>
        <v>0</v>
      </c>
      <c r="R174" s="3">
        <f t="shared" si="13"/>
        <v>89.8</v>
      </c>
      <c r="S174" s="3">
        <f t="shared" si="14"/>
        <v>10809.32</v>
      </c>
      <c r="T174" s="24" t="s">
        <v>1081</v>
      </c>
      <c r="U174" s="24" t="s">
        <v>1081</v>
      </c>
      <c r="V174" s="67"/>
      <c r="W174" s="25" t="str">
        <f>IFERROR(VLOOKUP(BCP_Soles[[#This Row],[DESTINATARIO]],CHOOSE({1,2},Clientes_Proveedores[Razon Social],Clientes_Proveedores[Ruc / Dni]),2,0),"")</f>
        <v/>
      </c>
      <c r="X174" s="25" t="s">
        <v>1305</v>
      </c>
      <c r="Y174" s="25" t="s">
        <v>1306</v>
      </c>
      <c r="Z174" s="25"/>
      <c r="AA174" s="99"/>
      <c r="AB174" s="3" t="str">
        <f>IF(BCP_Soles[[#This Row],[FECHA]]&gt;0,TEXT(BCP_Soles[[#This Row],[FECHA]],"mmmm"),0)</f>
        <v>Enero</v>
      </c>
    </row>
    <row r="175" spans="2:28" ht="24" x14ac:dyDescent="0.3">
      <c r="B175" s="2">
        <f>IF(BCP_Soles[[#This Row],[TIPO DE R.]]="R",COUNTIFS($D$4:$D174,"R")+1,"")</f>
        <v>119</v>
      </c>
      <c r="C175" s="19" t="str">
        <f t="shared" si="10"/>
        <v>B-BCP - Soles</v>
      </c>
      <c r="D175" s="3" t="s">
        <v>1074</v>
      </c>
      <c r="E175" s="14">
        <v>45673</v>
      </c>
      <c r="F175" s="5" t="s">
        <v>1082</v>
      </c>
      <c r="G175" s="5" t="s">
        <v>1079</v>
      </c>
      <c r="H175" s="6"/>
      <c r="I175" s="6" t="s">
        <v>52</v>
      </c>
      <c r="J175" s="6"/>
      <c r="K175" s="6"/>
      <c r="L175" s="7" t="s">
        <v>1307</v>
      </c>
      <c r="M175" s="8">
        <v>4115304</v>
      </c>
      <c r="N175" s="8" t="str">
        <f t="shared" si="11"/>
        <v>PEN</v>
      </c>
      <c r="O175" s="13"/>
      <c r="P175" s="13">
        <v>49.7</v>
      </c>
      <c r="Q175" s="3">
        <f t="shared" si="12"/>
        <v>0</v>
      </c>
      <c r="R175" s="3">
        <f t="shared" si="13"/>
        <v>49.7</v>
      </c>
      <c r="S175" s="3">
        <f t="shared" si="14"/>
        <v>10759.619999999999</v>
      </c>
      <c r="T175" s="24" t="s">
        <v>1081</v>
      </c>
      <c r="U175" s="24" t="s">
        <v>1308</v>
      </c>
      <c r="V175" s="67"/>
      <c r="W175" s="25" t="str">
        <f>IFERROR(VLOOKUP(BCP_Soles[[#This Row],[DESTINATARIO]],CHOOSE({1,2},Clientes_Proveedores[Razon Social],Clientes_Proveedores[Ruc / Dni]),2,0),"")</f>
        <v/>
      </c>
      <c r="X175" s="25" t="s">
        <v>1309</v>
      </c>
      <c r="Y175" s="25" t="s">
        <v>1310</v>
      </c>
      <c r="Z175" s="25"/>
      <c r="AA175" s="99"/>
      <c r="AB175" s="3" t="str">
        <f>IF(BCP_Soles[[#This Row],[FECHA]]&gt;0,TEXT(BCP_Soles[[#This Row],[FECHA]],"mmmm"),0)</f>
        <v>Enero</v>
      </c>
    </row>
    <row r="176" spans="2:28" ht="24" x14ac:dyDescent="0.3">
      <c r="B176" s="2">
        <f>IF(BCP_Soles[[#This Row],[TIPO DE R.]]="R",COUNTIFS($D$4:$D175,"R")+1,"")</f>
        <v>120</v>
      </c>
      <c r="C176" s="19" t="str">
        <f t="shared" si="10"/>
        <v>B-BCP - Soles</v>
      </c>
      <c r="D176" s="3" t="s">
        <v>1074</v>
      </c>
      <c r="E176" s="14">
        <v>45673</v>
      </c>
      <c r="F176" s="5" t="s">
        <v>1082</v>
      </c>
      <c r="G176" s="5" t="s">
        <v>1079</v>
      </c>
      <c r="H176" s="6" t="s">
        <v>768</v>
      </c>
      <c r="I176" s="6" t="s">
        <v>87</v>
      </c>
      <c r="J176" s="6">
        <v>1</v>
      </c>
      <c r="K176" s="6">
        <v>12025</v>
      </c>
      <c r="L176" s="7" t="s">
        <v>1311</v>
      </c>
      <c r="M176" s="8">
        <v>1105302</v>
      </c>
      <c r="N176" s="8" t="str">
        <f t="shared" si="11"/>
        <v>PEN</v>
      </c>
      <c r="O176" s="13"/>
      <c r="P176" s="13">
        <v>628</v>
      </c>
      <c r="Q176" s="3">
        <f t="shared" si="12"/>
        <v>0</v>
      </c>
      <c r="R176" s="3">
        <f t="shared" si="13"/>
        <v>628</v>
      </c>
      <c r="S176" s="3">
        <f t="shared" si="14"/>
        <v>10131.619999999999</v>
      </c>
      <c r="T176" s="24" t="s">
        <v>1081</v>
      </c>
      <c r="U176" s="24" t="s">
        <v>1081</v>
      </c>
      <c r="V176" s="67"/>
      <c r="W176" s="25">
        <f>IFERROR(VLOOKUP(BCP_Soles[[#This Row],[DESTINATARIO]],CHOOSE({1,2},Clientes_Proveedores[Razon Social],Clientes_Proveedores[Ruc / Dni]),2,0),"")</f>
        <v>74600892</v>
      </c>
      <c r="X176" s="25"/>
      <c r="Y176" s="25"/>
      <c r="Z176" s="25"/>
      <c r="AA176" s="99"/>
      <c r="AB176" s="3" t="str">
        <f>IF(BCP_Soles[[#This Row],[FECHA]]&gt;0,TEXT(BCP_Soles[[#This Row],[FECHA]],"mmmm"),0)</f>
        <v>Enero</v>
      </c>
    </row>
    <row r="177" spans="2:28" ht="36" x14ac:dyDescent="0.3">
      <c r="B177" s="2">
        <f>IF(BCP_Soles[[#This Row],[TIPO DE R.]]="R",COUNTIFS($D$4:$D176,"R")+1,"")</f>
        <v>121</v>
      </c>
      <c r="C177" s="19" t="str">
        <f t="shared" si="10"/>
        <v>B-BCP - Soles</v>
      </c>
      <c r="D177" s="3" t="s">
        <v>1074</v>
      </c>
      <c r="E177" s="14">
        <v>45673</v>
      </c>
      <c r="F177" s="5" t="s">
        <v>497</v>
      </c>
      <c r="G177" s="5" t="s">
        <v>1087</v>
      </c>
      <c r="H177" s="6"/>
      <c r="I177" s="6"/>
      <c r="J177" s="6"/>
      <c r="K177" s="6"/>
      <c r="L177" s="7" t="s">
        <v>1093</v>
      </c>
      <c r="M177" s="8">
        <v>2108164</v>
      </c>
      <c r="N177" s="8" t="str">
        <f t="shared" si="11"/>
        <v>PEN</v>
      </c>
      <c r="O177" s="13"/>
      <c r="P177" s="13">
        <v>2030.32</v>
      </c>
      <c r="Q177" s="3">
        <f t="shared" si="12"/>
        <v>2030.32</v>
      </c>
      <c r="R177" s="3">
        <f t="shared" si="13"/>
        <v>0</v>
      </c>
      <c r="S177" s="3">
        <f t="shared" si="14"/>
        <v>12161.939999999999</v>
      </c>
      <c r="T177" s="24" t="s">
        <v>1081</v>
      </c>
      <c r="U177" s="24" t="s">
        <v>1081</v>
      </c>
      <c r="V177" s="67"/>
      <c r="W177" s="25" t="str">
        <f>IFERROR(VLOOKUP(BCP_Soles[[#This Row],[DESTINATARIO]],CHOOSE({1,2},Clientes_Proveedores[Razon Social],Clientes_Proveedores[Ruc / Dni]),2,0),"")</f>
        <v/>
      </c>
      <c r="X177" s="25" t="s">
        <v>1090</v>
      </c>
      <c r="Y177" s="25" t="s">
        <v>1312</v>
      </c>
      <c r="Z177" s="25"/>
      <c r="AA177" s="99"/>
      <c r="AB177" s="3" t="str">
        <f>IF(BCP_Soles[[#This Row],[FECHA]]&gt;0,TEXT(BCP_Soles[[#This Row],[FECHA]],"mmmm"),0)</f>
        <v>Enero</v>
      </c>
    </row>
    <row r="178" spans="2:28" ht="36" x14ac:dyDescent="0.3">
      <c r="B178" s="2">
        <f>IF(BCP_Soles[[#This Row],[TIPO DE R.]]="R",COUNTIFS($D$4:$D177,"R")+1,"")</f>
        <v>122</v>
      </c>
      <c r="C178" s="19" t="str">
        <f t="shared" si="10"/>
        <v>B-BCP - Soles</v>
      </c>
      <c r="D178" s="3" t="s">
        <v>1074</v>
      </c>
      <c r="E178" s="14">
        <v>45673</v>
      </c>
      <c r="F178" s="5" t="s">
        <v>497</v>
      </c>
      <c r="G178" s="5" t="s">
        <v>1087</v>
      </c>
      <c r="H178" s="6"/>
      <c r="I178" s="6"/>
      <c r="J178" s="6"/>
      <c r="K178" s="6"/>
      <c r="L178" s="7" t="s">
        <v>1093</v>
      </c>
      <c r="M178" s="8">
        <v>2179029</v>
      </c>
      <c r="N178" s="8" t="str">
        <f t="shared" si="11"/>
        <v>PEN</v>
      </c>
      <c r="O178" s="13"/>
      <c r="P178" s="13">
        <v>3299.37</v>
      </c>
      <c r="Q178" s="3">
        <f t="shared" si="12"/>
        <v>3299.37</v>
      </c>
      <c r="R178" s="3">
        <f t="shared" si="13"/>
        <v>0</v>
      </c>
      <c r="S178" s="3">
        <f t="shared" si="14"/>
        <v>15461.309999999998</v>
      </c>
      <c r="T178" s="24" t="s">
        <v>1081</v>
      </c>
      <c r="U178" s="24" t="s">
        <v>1081</v>
      </c>
      <c r="V178" s="67"/>
      <c r="W178" s="25" t="str">
        <f>IFERROR(VLOOKUP(BCP_Soles[[#This Row],[DESTINATARIO]],CHOOSE({1,2},Clientes_Proveedores[Razon Social],Clientes_Proveedores[Ruc / Dni]),2,0),"")</f>
        <v/>
      </c>
      <c r="X178" s="25" t="s">
        <v>1090</v>
      </c>
      <c r="Y178" s="25" t="s">
        <v>1313</v>
      </c>
      <c r="Z178" s="25"/>
      <c r="AA178" s="99"/>
      <c r="AB178" s="3" t="str">
        <f>IF(BCP_Soles[[#This Row],[FECHA]]&gt;0,TEXT(BCP_Soles[[#This Row],[FECHA]],"mmmm"),0)</f>
        <v>Enero</v>
      </c>
    </row>
    <row r="179" spans="2:28" ht="36" x14ac:dyDescent="0.3">
      <c r="B179" s="2">
        <f>IF(BCP_Soles[[#This Row],[TIPO DE R.]]="R",COUNTIFS($D$4:$D178,"R")+1,"")</f>
        <v>123</v>
      </c>
      <c r="C179" s="19" t="str">
        <f t="shared" si="10"/>
        <v>B-BCP - Soles</v>
      </c>
      <c r="D179" s="3" t="s">
        <v>1074</v>
      </c>
      <c r="E179" s="14">
        <v>45673</v>
      </c>
      <c r="F179" s="5" t="s">
        <v>497</v>
      </c>
      <c r="G179" s="5" t="s">
        <v>1087</v>
      </c>
      <c r="H179" s="6"/>
      <c r="I179" s="6"/>
      <c r="J179" s="6"/>
      <c r="K179" s="6"/>
      <c r="L179" s="7" t="s">
        <v>1093</v>
      </c>
      <c r="M179" s="8">
        <v>2145078</v>
      </c>
      <c r="N179" s="8" t="str">
        <f t="shared" si="11"/>
        <v>PEN</v>
      </c>
      <c r="O179" s="13"/>
      <c r="P179" s="13">
        <v>1179.68</v>
      </c>
      <c r="Q179" s="3">
        <f t="shared" si="12"/>
        <v>1179.68</v>
      </c>
      <c r="R179" s="3">
        <f t="shared" si="13"/>
        <v>0</v>
      </c>
      <c r="S179" s="3">
        <f t="shared" si="14"/>
        <v>16640.989999999998</v>
      </c>
      <c r="T179" s="24" t="s">
        <v>1081</v>
      </c>
      <c r="U179" s="24" t="s">
        <v>1081</v>
      </c>
      <c r="V179" s="67"/>
      <c r="W179" s="25" t="str">
        <f>IFERROR(VLOOKUP(BCP_Soles[[#This Row],[DESTINATARIO]],CHOOSE({1,2},Clientes_Proveedores[Razon Social],Clientes_Proveedores[Ruc / Dni]),2,0),"")</f>
        <v/>
      </c>
      <c r="X179" s="25" t="s">
        <v>1090</v>
      </c>
      <c r="Y179" s="25" t="s">
        <v>1314</v>
      </c>
      <c r="Z179" s="25"/>
      <c r="AA179" s="99"/>
      <c r="AB179" s="3" t="str">
        <f>IF(BCP_Soles[[#This Row],[FECHA]]&gt;0,TEXT(BCP_Soles[[#This Row],[FECHA]],"mmmm"),0)</f>
        <v>Enero</v>
      </c>
    </row>
    <row r="180" spans="2:28" ht="36" x14ac:dyDescent="0.3">
      <c r="B180" s="2">
        <f>IF(BCP_Soles[[#This Row],[TIPO DE R.]]="R",COUNTIFS($D$4:$D179,"R")+1,"")</f>
        <v>124</v>
      </c>
      <c r="C180" s="19" t="str">
        <f t="shared" si="10"/>
        <v>B-BCP - Soles</v>
      </c>
      <c r="D180" s="3" t="s">
        <v>1074</v>
      </c>
      <c r="E180" s="14">
        <v>45673</v>
      </c>
      <c r="F180" s="5" t="s">
        <v>497</v>
      </c>
      <c r="G180" s="5" t="s">
        <v>1087</v>
      </c>
      <c r="H180" s="6"/>
      <c r="I180" s="6"/>
      <c r="J180" s="6"/>
      <c r="K180" s="6"/>
      <c r="L180" s="7" t="s">
        <v>1093</v>
      </c>
      <c r="M180" s="8">
        <v>2169025</v>
      </c>
      <c r="N180" s="8" t="str">
        <f t="shared" si="11"/>
        <v>PEN</v>
      </c>
      <c r="O180" s="13"/>
      <c r="P180" s="13">
        <v>2711.72</v>
      </c>
      <c r="Q180" s="3">
        <f t="shared" si="12"/>
        <v>2711.72</v>
      </c>
      <c r="R180" s="3">
        <f t="shared" si="13"/>
        <v>0</v>
      </c>
      <c r="S180" s="3">
        <f t="shared" si="14"/>
        <v>19352.71</v>
      </c>
      <c r="T180" s="24" t="s">
        <v>1081</v>
      </c>
      <c r="U180" s="24" t="s">
        <v>1081</v>
      </c>
      <c r="V180" s="67"/>
      <c r="W180" s="25" t="str">
        <f>IFERROR(VLOOKUP(BCP_Soles[[#This Row],[DESTINATARIO]],CHOOSE({1,2},Clientes_Proveedores[Razon Social],Clientes_Proveedores[Ruc / Dni]),2,0),"")</f>
        <v/>
      </c>
      <c r="X180" s="25" t="s">
        <v>1090</v>
      </c>
      <c r="Y180" s="25" t="s">
        <v>1315</v>
      </c>
      <c r="Z180" s="25"/>
      <c r="AA180" s="99"/>
      <c r="AB180" s="3" t="str">
        <f>IF(BCP_Soles[[#This Row],[FECHA]]&gt;0,TEXT(BCP_Soles[[#This Row],[FECHA]],"mmmm"),0)</f>
        <v>Enero</v>
      </c>
    </row>
    <row r="181" spans="2:28" x14ac:dyDescent="0.3">
      <c r="B181" s="2">
        <f>IF(BCP_Soles[[#This Row],[TIPO DE R.]]="R",COUNTIFS($D$4:$D180,"R")+1,"")</f>
        <v>125</v>
      </c>
      <c r="C181" s="19" t="str">
        <f t="shared" si="10"/>
        <v>B-BCP - Soles</v>
      </c>
      <c r="D181" s="3" t="s">
        <v>1074</v>
      </c>
      <c r="E181" s="14">
        <v>45673</v>
      </c>
      <c r="F181" s="5" t="s">
        <v>1078</v>
      </c>
      <c r="G181" s="5" t="s">
        <v>1079</v>
      </c>
      <c r="H181" s="6"/>
      <c r="I181" s="6"/>
      <c r="J181" s="6"/>
      <c r="K181" s="6"/>
      <c r="L181" s="7" t="s">
        <v>1080</v>
      </c>
      <c r="M181" s="8"/>
      <c r="N181" s="8" t="str">
        <f t="shared" si="11"/>
        <v>PEN</v>
      </c>
      <c r="O181" s="13"/>
      <c r="P181" s="13">
        <v>0.65</v>
      </c>
      <c r="Q181" s="3">
        <f t="shared" si="12"/>
        <v>0</v>
      </c>
      <c r="R181" s="3">
        <f t="shared" si="13"/>
        <v>0.65</v>
      </c>
      <c r="S181" s="3">
        <f t="shared" si="14"/>
        <v>19352.059999999998</v>
      </c>
      <c r="T181" s="24"/>
      <c r="U181" s="24" t="s">
        <v>1081</v>
      </c>
      <c r="V181" s="67"/>
      <c r="W181" s="25" t="str">
        <f>IFERROR(VLOOKUP(BCP_Soles[[#This Row],[DESTINATARIO]],CHOOSE({1,2},Clientes_Proveedores[Razon Social],Clientes_Proveedores[Ruc / Dni]),2,0),"")</f>
        <v/>
      </c>
      <c r="X181" s="25"/>
      <c r="Y181" s="25"/>
      <c r="Z181" s="25"/>
      <c r="AA181" s="99"/>
      <c r="AB181" s="3" t="str">
        <f>IF(BCP_Soles[[#This Row],[FECHA]]&gt;0,TEXT(BCP_Soles[[#This Row],[FECHA]],"mmmm"),0)</f>
        <v>Enero</v>
      </c>
    </row>
    <row r="182" spans="2:28" ht="24" x14ac:dyDescent="0.3">
      <c r="B182" s="2">
        <f>IF(BCP_Soles[[#This Row],[TIPO DE R.]]="R",COUNTIFS($D$4:$D181,"R")+1,"")</f>
        <v>126</v>
      </c>
      <c r="C182" s="19" t="str">
        <f t="shared" si="10"/>
        <v>B-BCP - Soles</v>
      </c>
      <c r="D182" s="3" t="s">
        <v>1074</v>
      </c>
      <c r="E182" s="14">
        <v>45673</v>
      </c>
      <c r="F182" s="5" t="s">
        <v>1082</v>
      </c>
      <c r="G182" s="5" t="s">
        <v>1079</v>
      </c>
      <c r="H182" s="6" t="s">
        <v>559</v>
      </c>
      <c r="I182" s="6" t="s">
        <v>14</v>
      </c>
      <c r="J182" s="6" t="s">
        <v>1119</v>
      </c>
      <c r="K182" s="6">
        <v>497</v>
      </c>
      <c r="L182" s="7" t="s">
        <v>1316</v>
      </c>
      <c r="M182" s="8">
        <v>1188362</v>
      </c>
      <c r="N182" s="8" t="str">
        <f t="shared" si="11"/>
        <v>PEN</v>
      </c>
      <c r="O182" s="13"/>
      <c r="P182" s="13">
        <v>150</v>
      </c>
      <c r="Q182" s="3">
        <f t="shared" si="12"/>
        <v>0</v>
      </c>
      <c r="R182" s="3">
        <f t="shared" si="13"/>
        <v>150</v>
      </c>
      <c r="S182" s="3">
        <f t="shared" si="14"/>
        <v>19202.059999999998</v>
      </c>
      <c r="T182" s="24" t="s">
        <v>1081</v>
      </c>
      <c r="U182" s="24" t="s">
        <v>1081</v>
      </c>
      <c r="V182" s="67"/>
      <c r="W182" s="25">
        <f>IFERROR(VLOOKUP(BCP_Soles[[#This Row],[DESTINATARIO]],CHOOSE({1,2},Clientes_Proveedores[Razon Social],Clientes_Proveedores[Ruc / Dni]),2,0),"")</f>
        <v>20611280999</v>
      </c>
      <c r="X182" s="25" t="s">
        <v>1317</v>
      </c>
      <c r="Y182" s="25" t="s">
        <v>1318</v>
      </c>
      <c r="Z182" s="25"/>
      <c r="AA182" s="99"/>
      <c r="AB182" s="3" t="str">
        <f>IF(BCP_Soles[[#This Row],[FECHA]]&gt;0,TEXT(BCP_Soles[[#This Row],[FECHA]],"mmmm"),0)</f>
        <v>Enero</v>
      </c>
    </row>
    <row r="183" spans="2:28" ht="24" x14ac:dyDescent="0.3">
      <c r="B183" s="2">
        <f>IF(BCP_Soles[[#This Row],[TIPO DE R.]]="R",COUNTIFS($D$4:$D182,"R")+1,"")</f>
        <v>127</v>
      </c>
      <c r="C183" s="19" t="str">
        <f t="shared" si="10"/>
        <v>B-BCP - Soles</v>
      </c>
      <c r="D183" s="3" t="s">
        <v>1074</v>
      </c>
      <c r="E183" s="14">
        <v>45673</v>
      </c>
      <c r="F183" s="5" t="s">
        <v>1082</v>
      </c>
      <c r="G183" s="5" t="s">
        <v>1079</v>
      </c>
      <c r="H183" s="6" t="s">
        <v>798</v>
      </c>
      <c r="I183" s="6" t="s">
        <v>87</v>
      </c>
      <c r="J183" s="6">
        <v>1</v>
      </c>
      <c r="K183" s="6">
        <v>52025</v>
      </c>
      <c r="L183" s="7" t="s">
        <v>1319</v>
      </c>
      <c r="M183" s="8">
        <v>1262232</v>
      </c>
      <c r="N183" s="8" t="str">
        <f t="shared" si="11"/>
        <v>PEN</v>
      </c>
      <c r="O183" s="13"/>
      <c r="P183" s="13">
        <v>132</v>
      </c>
      <c r="Q183" s="3">
        <f t="shared" si="12"/>
        <v>0</v>
      </c>
      <c r="R183" s="3">
        <f t="shared" si="13"/>
        <v>132</v>
      </c>
      <c r="S183" s="3">
        <f t="shared" si="14"/>
        <v>19070.059999999998</v>
      </c>
      <c r="T183" s="24" t="s">
        <v>1081</v>
      </c>
      <c r="U183" s="24" t="s">
        <v>1081</v>
      </c>
      <c r="V183" s="67"/>
      <c r="W183" s="25">
        <f>IFERROR(VLOOKUP(BCP_Soles[[#This Row],[DESTINATARIO]],CHOOSE({1,2},Clientes_Proveedores[Razon Social],Clientes_Proveedores[Ruc / Dni]),2,0),"")</f>
        <v>70666331</v>
      </c>
      <c r="X183" s="25"/>
      <c r="Y183" s="25"/>
      <c r="Z183" s="25"/>
      <c r="AA183" s="99"/>
      <c r="AB183" s="3" t="str">
        <f>IF(BCP_Soles[[#This Row],[FECHA]]&gt;0,TEXT(BCP_Soles[[#This Row],[FECHA]],"mmmm"),0)</f>
        <v>Enero</v>
      </c>
    </row>
    <row r="184" spans="2:28" ht="36" x14ac:dyDescent="0.3">
      <c r="B184" s="2">
        <f>IF(BCP_Soles[[#This Row],[TIPO DE R.]]="R",COUNTIFS($D$4:$D183,"R")+1,"")</f>
        <v>128</v>
      </c>
      <c r="C184" s="19" t="str">
        <f t="shared" si="10"/>
        <v>B-BCP - Soles</v>
      </c>
      <c r="D184" s="3" t="s">
        <v>1074</v>
      </c>
      <c r="E184" s="14">
        <v>45673</v>
      </c>
      <c r="F184" s="5" t="s">
        <v>214</v>
      </c>
      <c r="G184" s="5" t="s">
        <v>1087</v>
      </c>
      <c r="H184" s="6"/>
      <c r="I184" s="6"/>
      <c r="J184" s="6"/>
      <c r="K184" s="6"/>
      <c r="L184" s="7" t="s">
        <v>1320</v>
      </c>
      <c r="M184" s="8">
        <v>2419248</v>
      </c>
      <c r="N184" s="8" t="str">
        <f t="shared" si="11"/>
        <v>PEN</v>
      </c>
      <c r="O184" s="13"/>
      <c r="P184" s="13">
        <v>2697.29</v>
      </c>
      <c r="Q184" s="3">
        <f t="shared" si="12"/>
        <v>2697.29</v>
      </c>
      <c r="R184" s="3">
        <f t="shared" si="13"/>
        <v>0</v>
      </c>
      <c r="S184" s="3">
        <f t="shared" si="14"/>
        <v>21767.35</v>
      </c>
      <c r="T184" s="24" t="s">
        <v>1081</v>
      </c>
      <c r="U184" s="24" t="s">
        <v>1081</v>
      </c>
      <c r="V184" s="67"/>
      <c r="W184" s="25" t="str">
        <f>IFERROR(VLOOKUP(BCP_Soles[[#This Row],[DESTINATARIO]],CHOOSE({1,2},Clientes_Proveedores[Razon Social],Clientes_Proveedores[Ruc / Dni]),2,0),"")</f>
        <v/>
      </c>
      <c r="X184" s="25" t="s">
        <v>1090</v>
      </c>
      <c r="Y184" s="25" t="s">
        <v>1321</v>
      </c>
      <c r="Z184" s="25"/>
      <c r="AA184" s="99"/>
      <c r="AB184" s="3" t="str">
        <f>IF(BCP_Soles[[#This Row],[FECHA]]&gt;0,TEXT(BCP_Soles[[#This Row],[FECHA]],"mmmm"),0)</f>
        <v>Enero</v>
      </c>
    </row>
    <row r="185" spans="2:28" x14ac:dyDescent="0.3">
      <c r="B185" s="2">
        <f>IF(BCP_Soles[[#This Row],[TIPO DE R.]]="R",COUNTIFS($D$4:$D184,"R")+1,"")</f>
        <v>129</v>
      </c>
      <c r="C185" s="19" t="str">
        <f t="shared" si="10"/>
        <v>B-BCP - Soles</v>
      </c>
      <c r="D185" s="3" t="s">
        <v>1074</v>
      </c>
      <c r="E185" s="14">
        <v>45674</v>
      </c>
      <c r="F185" s="5" t="s">
        <v>1163</v>
      </c>
      <c r="G185" s="5" t="s">
        <v>1079</v>
      </c>
      <c r="H185" s="6"/>
      <c r="I185" s="6"/>
      <c r="J185" s="6"/>
      <c r="K185" s="6"/>
      <c r="L185" s="7" t="s">
        <v>1322</v>
      </c>
      <c r="M185" s="8">
        <v>1000479</v>
      </c>
      <c r="N185" s="8" t="str">
        <f t="shared" si="11"/>
        <v>PEN</v>
      </c>
      <c r="O185" s="13"/>
      <c r="P185" s="13">
        <v>2808.93</v>
      </c>
      <c r="Q185" s="3">
        <f t="shared" si="12"/>
        <v>0</v>
      </c>
      <c r="R185" s="3">
        <f t="shared" si="13"/>
        <v>2808.93</v>
      </c>
      <c r="S185" s="3">
        <f t="shared" si="14"/>
        <v>18958.419999999998</v>
      </c>
      <c r="T185" s="24"/>
      <c r="U185" s="24"/>
      <c r="V185" s="67"/>
      <c r="W185" s="25" t="str">
        <f>IFERROR(VLOOKUP(BCP_Soles[[#This Row],[DESTINATARIO]],CHOOSE({1,2},Clientes_Proveedores[Razon Social],Clientes_Proveedores[Ruc / Dni]),2,0),"")</f>
        <v/>
      </c>
      <c r="X185" s="25"/>
      <c r="Y185" s="25"/>
      <c r="Z185" s="25"/>
      <c r="AA185" s="99"/>
      <c r="AB185" s="3" t="str">
        <f>IF(BCP_Soles[[#This Row],[FECHA]]&gt;0,TEXT(BCP_Soles[[#This Row],[FECHA]],"mmmm"),0)</f>
        <v>Enero</v>
      </c>
    </row>
    <row r="186" spans="2:28" x14ac:dyDescent="0.3">
      <c r="B186" s="2">
        <f>IF(BCP_Soles[[#This Row],[TIPO DE R.]]="R",COUNTIFS($D$4:$D185,"R")+1,"")</f>
        <v>130</v>
      </c>
      <c r="C186" s="19" t="str">
        <f t="shared" si="10"/>
        <v>B-BCP - Soles</v>
      </c>
      <c r="D186" s="3" t="s">
        <v>1074</v>
      </c>
      <c r="E186" s="14">
        <v>45674</v>
      </c>
      <c r="F186" s="5" t="s">
        <v>1078</v>
      </c>
      <c r="G186" s="5" t="s">
        <v>1079</v>
      </c>
      <c r="H186" s="6"/>
      <c r="I186" s="6"/>
      <c r="J186" s="6"/>
      <c r="K186" s="6"/>
      <c r="L186" s="7" t="s">
        <v>1080</v>
      </c>
      <c r="M186" s="8"/>
      <c r="N186" s="8" t="str">
        <f t="shared" si="11"/>
        <v>PEN</v>
      </c>
      <c r="O186" s="13"/>
      <c r="P186" s="13">
        <v>0.65</v>
      </c>
      <c r="Q186" s="3">
        <f t="shared" si="12"/>
        <v>0</v>
      </c>
      <c r="R186" s="3">
        <f t="shared" si="13"/>
        <v>0.65</v>
      </c>
      <c r="S186" s="3">
        <f t="shared" si="14"/>
        <v>18957.769999999997</v>
      </c>
      <c r="T186" s="24"/>
      <c r="U186" s="24" t="s">
        <v>1081</v>
      </c>
      <c r="V186" s="67"/>
      <c r="W186" s="25" t="str">
        <f>IFERROR(VLOOKUP(BCP_Soles[[#This Row],[DESTINATARIO]],CHOOSE({1,2},Clientes_Proveedores[Razon Social],Clientes_Proveedores[Ruc / Dni]),2,0),"")</f>
        <v/>
      </c>
      <c r="X186" s="25"/>
      <c r="Y186" s="25"/>
      <c r="Z186" s="25"/>
      <c r="AA186" s="99"/>
      <c r="AB186" s="3" t="str">
        <f>IF(BCP_Soles[[#This Row],[FECHA]]&gt;0,TEXT(BCP_Soles[[#This Row],[FECHA]],"mmmm"),0)</f>
        <v>Enero</v>
      </c>
    </row>
    <row r="187" spans="2:28" x14ac:dyDescent="0.3">
      <c r="B187" s="2">
        <f>IF(BCP_Soles[[#This Row],[TIPO DE R.]]="R",COUNTIFS($D$4:$D186,"R")+1,"")</f>
        <v>131</v>
      </c>
      <c r="C187" s="19" t="str">
        <f t="shared" si="10"/>
        <v>B-BCP - Soles</v>
      </c>
      <c r="D187" s="3" t="s">
        <v>1074</v>
      </c>
      <c r="E187" s="14">
        <v>45674</v>
      </c>
      <c r="F187" s="5" t="s">
        <v>1082</v>
      </c>
      <c r="G187" s="5" t="s">
        <v>1079</v>
      </c>
      <c r="H187" s="6"/>
      <c r="I187" s="6"/>
      <c r="J187" s="6"/>
      <c r="K187" s="6"/>
      <c r="L187" s="7" t="s">
        <v>1323</v>
      </c>
      <c r="M187" s="8">
        <v>2818960</v>
      </c>
      <c r="N187" s="8" t="str">
        <f t="shared" si="11"/>
        <v>PEN</v>
      </c>
      <c r="O187" s="13"/>
      <c r="P187" s="13">
        <v>7704.89</v>
      </c>
      <c r="Q187" s="3">
        <f t="shared" si="12"/>
        <v>0</v>
      </c>
      <c r="R187" s="3">
        <f t="shared" si="13"/>
        <v>7704.89</v>
      </c>
      <c r="S187" s="3">
        <f t="shared" si="14"/>
        <v>11252.879999999997</v>
      </c>
      <c r="T187" s="24" t="s">
        <v>1081</v>
      </c>
      <c r="U187" s="24"/>
      <c r="V187" s="67"/>
      <c r="W187" s="25" t="str">
        <f>IFERROR(VLOOKUP(BCP_Soles[[#This Row],[DESTINATARIO]],CHOOSE({1,2},Clientes_Proveedores[Razon Social],Clientes_Proveedores[Ruc / Dni]),2,0),"")</f>
        <v/>
      </c>
      <c r="X187" s="25" t="s">
        <v>1118</v>
      </c>
      <c r="Y187" s="25"/>
      <c r="Z187" s="25"/>
      <c r="AA187" s="99"/>
      <c r="AB187" s="3" t="str">
        <f>IF(BCP_Soles[[#This Row],[FECHA]]&gt;0,TEXT(BCP_Soles[[#This Row],[FECHA]],"mmmm"),0)</f>
        <v>Enero</v>
      </c>
    </row>
    <row r="188" spans="2:28" x14ac:dyDescent="0.3">
      <c r="B188" s="2" t="str">
        <f>IF(BCP_Soles[[#This Row],[TIPO DE R.]]="R",COUNTIFS($D$4:$D187,"R")+1,"")</f>
        <v/>
      </c>
      <c r="C188" s="19" t="str">
        <f t="shared" si="10"/>
        <v>B-BCP - Soles</v>
      </c>
      <c r="D188" s="3" t="s">
        <v>1101</v>
      </c>
      <c r="E188" s="14">
        <v>45674</v>
      </c>
      <c r="F188" s="5" t="s">
        <v>1082</v>
      </c>
      <c r="G188" s="5"/>
      <c r="H188" s="6" t="s">
        <v>477</v>
      </c>
      <c r="I188" s="6" t="s">
        <v>14</v>
      </c>
      <c r="J188" s="6" t="s">
        <v>1121</v>
      </c>
      <c r="K188" s="6">
        <v>1053</v>
      </c>
      <c r="L188" s="7" t="s">
        <v>1323</v>
      </c>
      <c r="M188" s="8">
        <v>2818960</v>
      </c>
      <c r="N188" s="8" t="str">
        <f t="shared" si="11"/>
        <v>PEN</v>
      </c>
      <c r="O188" s="13">
        <v>3843</v>
      </c>
      <c r="P188" s="13"/>
      <c r="Q188" s="3">
        <f t="shared" si="12"/>
        <v>0</v>
      </c>
      <c r="R188" s="3">
        <f t="shared" si="13"/>
        <v>0</v>
      </c>
      <c r="S188" s="3">
        <f t="shared" si="14"/>
        <v>11252.879999999997</v>
      </c>
      <c r="T188" s="24"/>
      <c r="U188" s="24"/>
      <c r="V188" s="67"/>
      <c r="W188" s="25">
        <f>IFERROR(VLOOKUP(BCP_Soles[[#This Row],[DESTINATARIO]],CHOOSE({1,2},Clientes_Proveedores[Razon Social],Clientes_Proveedores[Ruc / Dni]),2,0),"")</f>
        <v>20604856745</v>
      </c>
      <c r="X188" s="25"/>
      <c r="Y188" s="25"/>
      <c r="Z188" s="25"/>
      <c r="AA188" s="99"/>
      <c r="AB188" s="3" t="str">
        <f>IF(BCP_Soles[[#This Row],[FECHA]]&gt;0,TEXT(BCP_Soles[[#This Row],[FECHA]],"mmmm"),0)</f>
        <v>Enero</v>
      </c>
    </row>
    <row r="189" spans="2:28" ht="24" x14ac:dyDescent="0.3">
      <c r="B189" s="2" t="str">
        <f>IF(BCP_Soles[[#This Row],[TIPO DE R.]]="R",COUNTIFS($D$4:$D188,"R")+1,"")</f>
        <v/>
      </c>
      <c r="C189" s="19" t="str">
        <f t="shared" si="10"/>
        <v>B-BCP - Soles</v>
      </c>
      <c r="D189" s="3" t="s">
        <v>1101</v>
      </c>
      <c r="E189" s="14">
        <v>45674</v>
      </c>
      <c r="F189" s="5" t="s">
        <v>1082</v>
      </c>
      <c r="G189" s="5"/>
      <c r="H189" s="6" t="s">
        <v>463</v>
      </c>
      <c r="I189" s="6" t="s">
        <v>14</v>
      </c>
      <c r="J189" s="6" t="s">
        <v>1119</v>
      </c>
      <c r="K189" s="6">
        <v>477</v>
      </c>
      <c r="L189" s="7" t="s">
        <v>1323</v>
      </c>
      <c r="M189" s="8">
        <v>2818960</v>
      </c>
      <c r="N189" s="8" t="str">
        <f t="shared" si="11"/>
        <v>PEN</v>
      </c>
      <c r="O189" s="13">
        <v>1709.82</v>
      </c>
      <c r="P189" s="13"/>
      <c r="Q189" s="3">
        <f t="shared" si="12"/>
        <v>0</v>
      </c>
      <c r="R189" s="3">
        <f t="shared" si="13"/>
        <v>0</v>
      </c>
      <c r="S189" s="3">
        <f t="shared" si="14"/>
        <v>11252.879999999997</v>
      </c>
      <c r="T189" s="24"/>
      <c r="U189" s="24"/>
      <c r="V189" s="67"/>
      <c r="W189" s="25">
        <f>IFERROR(VLOOKUP(BCP_Soles[[#This Row],[DESTINATARIO]],CHOOSE({1,2},Clientes_Proveedores[Razon Social],Clientes_Proveedores[Ruc / Dni]),2,0),"")</f>
        <v>20603954964</v>
      </c>
      <c r="X189" s="25"/>
      <c r="Y189" s="25"/>
      <c r="Z189" s="25"/>
      <c r="AA189" s="99"/>
      <c r="AB189" s="3" t="str">
        <f>IF(BCP_Soles[[#This Row],[FECHA]]&gt;0,TEXT(BCP_Soles[[#This Row],[FECHA]],"mmmm"),0)</f>
        <v>Enero</v>
      </c>
    </row>
    <row r="190" spans="2:28" x14ac:dyDescent="0.3">
      <c r="B190" s="2" t="str">
        <f>IF(BCP_Soles[[#This Row],[TIPO DE R.]]="R",COUNTIFS($D$4:$D189,"R")+1,"")</f>
        <v/>
      </c>
      <c r="C190" s="19" t="str">
        <f t="shared" si="10"/>
        <v>B-BCP - Soles</v>
      </c>
      <c r="D190" s="3" t="s">
        <v>1101</v>
      </c>
      <c r="E190" s="14">
        <v>45674</v>
      </c>
      <c r="F190" s="5" t="s">
        <v>1082</v>
      </c>
      <c r="G190" s="5"/>
      <c r="H190" s="6" t="s">
        <v>436</v>
      </c>
      <c r="I190" s="6" t="s">
        <v>14</v>
      </c>
      <c r="J190" s="6" t="s">
        <v>1119</v>
      </c>
      <c r="K190" s="6">
        <v>8676</v>
      </c>
      <c r="L190" s="7" t="s">
        <v>1323</v>
      </c>
      <c r="M190" s="8">
        <v>2818960</v>
      </c>
      <c r="N190" s="8" t="str">
        <f t="shared" si="11"/>
        <v>PEN</v>
      </c>
      <c r="O190" s="13">
        <v>386.57</v>
      </c>
      <c r="P190" s="13"/>
      <c r="Q190" s="3">
        <f t="shared" si="12"/>
        <v>0</v>
      </c>
      <c r="R190" s="3">
        <f t="shared" si="13"/>
        <v>0</v>
      </c>
      <c r="S190" s="3">
        <f t="shared" si="14"/>
        <v>11252.879999999997</v>
      </c>
      <c r="T190" s="24"/>
      <c r="U190" s="24"/>
      <c r="V190" s="67"/>
      <c r="W190" s="25">
        <f>IFERROR(VLOOKUP(BCP_Soles[[#This Row],[DESTINATARIO]],CHOOSE({1,2},Clientes_Proveedores[Razon Social],Clientes_Proveedores[Ruc / Dni]),2,0),"")</f>
        <v>20602751326</v>
      </c>
      <c r="X190" s="25"/>
      <c r="Y190" s="25"/>
      <c r="Z190" s="25"/>
      <c r="AA190" s="99"/>
      <c r="AB190" s="3" t="str">
        <f>IF(BCP_Soles[[#This Row],[FECHA]]&gt;0,TEXT(BCP_Soles[[#This Row],[FECHA]],"mmmm"),0)</f>
        <v>Enero</v>
      </c>
    </row>
    <row r="191" spans="2:28" x14ac:dyDescent="0.3">
      <c r="B191" s="2" t="str">
        <f>IF(BCP_Soles[[#This Row],[TIPO DE R.]]="R",COUNTIFS($D$4:$D190,"R")+1,"")</f>
        <v/>
      </c>
      <c r="C191" s="19" t="str">
        <f t="shared" si="10"/>
        <v>B-BCP - Soles</v>
      </c>
      <c r="D191" s="3" t="s">
        <v>1101</v>
      </c>
      <c r="E191" s="14">
        <v>45674</v>
      </c>
      <c r="F191" s="5" t="s">
        <v>1082</v>
      </c>
      <c r="G191" s="5"/>
      <c r="H191" s="6" t="s">
        <v>465</v>
      </c>
      <c r="I191" s="6" t="s">
        <v>14</v>
      </c>
      <c r="J191" s="6" t="s">
        <v>1121</v>
      </c>
      <c r="K191" s="6">
        <v>3637</v>
      </c>
      <c r="L191" s="7" t="s">
        <v>1323</v>
      </c>
      <c r="M191" s="8">
        <v>2818960</v>
      </c>
      <c r="N191" s="8" t="str">
        <f t="shared" si="11"/>
        <v>PEN</v>
      </c>
      <c r="O191" s="13">
        <v>351.05</v>
      </c>
      <c r="P191" s="13"/>
      <c r="Q191" s="3">
        <f t="shared" si="12"/>
        <v>0</v>
      </c>
      <c r="R191" s="3">
        <f t="shared" si="13"/>
        <v>0</v>
      </c>
      <c r="S191" s="3">
        <f t="shared" si="14"/>
        <v>11252.879999999997</v>
      </c>
      <c r="T191" s="24"/>
      <c r="U191" s="24"/>
      <c r="V191" s="67"/>
      <c r="W191" s="25">
        <f>IFERROR(VLOOKUP(BCP_Soles[[#This Row],[DESTINATARIO]],CHOOSE({1,2},Clientes_Proveedores[Razon Social],Clientes_Proveedores[Ruc / Dni]),2,0),"")</f>
        <v>20603974817</v>
      </c>
      <c r="X191" s="25"/>
      <c r="Y191" s="25"/>
      <c r="Z191" s="25"/>
      <c r="AA191" s="99"/>
      <c r="AB191" s="3" t="str">
        <f>IF(BCP_Soles[[#This Row],[FECHA]]&gt;0,TEXT(BCP_Soles[[#This Row],[FECHA]],"mmmm"),0)</f>
        <v>Enero</v>
      </c>
    </row>
    <row r="192" spans="2:28" x14ac:dyDescent="0.3">
      <c r="B192" s="2" t="str">
        <f>IF(BCP_Soles[[#This Row],[TIPO DE R.]]="R",COUNTIFS($D$4:$D191,"R")+1,"")</f>
        <v/>
      </c>
      <c r="C192" s="19" t="str">
        <f t="shared" si="10"/>
        <v>B-BCP - Soles</v>
      </c>
      <c r="D192" s="3" t="s">
        <v>1101</v>
      </c>
      <c r="E192" s="14">
        <v>45674</v>
      </c>
      <c r="F192" s="5" t="s">
        <v>1082</v>
      </c>
      <c r="G192" s="5"/>
      <c r="H192" s="6" t="s">
        <v>465</v>
      </c>
      <c r="I192" s="6" t="s">
        <v>14</v>
      </c>
      <c r="J192" s="6" t="s">
        <v>1121</v>
      </c>
      <c r="K192" s="6">
        <v>3642</v>
      </c>
      <c r="L192" s="7" t="s">
        <v>1323</v>
      </c>
      <c r="M192" s="8">
        <v>2818960</v>
      </c>
      <c r="N192" s="8" t="str">
        <f t="shared" si="11"/>
        <v>PEN</v>
      </c>
      <c r="O192" s="13">
        <v>150.44999999999999</v>
      </c>
      <c r="P192" s="13"/>
      <c r="Q192" s="3">
        <f t="shared" si="12"/>
        <v>0</v>
      </c>
      <c r="R192" s="3">
        <f t="shared" si="13"/>
        <v>0</v>
      </c>
      <c r="S192" s="3">
        <f t="shared" si="14"/>
        <v>11252.879999999997</v>
      </c>
      <c r="T192" s="24"/>
      <c r="U192" s="24"/>
      <c r="V192" s="67"/>
      <c r="W192" s="25">
        <f>IFERROR(VLOOKUP(BCP_Soles[[#This Row],[DESTINATARIO]],CHOOSE({1,2},Clientes_Proveedores[Razon Social],Clientes_Proveedores[Ruc / Dni]),2,0),"")</f>
        <v>20603974817</v>
      </c>
      <c r="X192" s="25"/>
      <c r="Y192" s="25"/>
      <c r="Z192" s="25"/>
      <c r="AA192" s="99"/>
      <c r="AB192" s="3" t="str">
        <f>IF(BCP_Soles[[#This Row],[FECHA]]&gt;0,TEXT(BCP_Soles[[#This Row],[FECHA]],"mmmm"),0)</f>
        <v>Enero</v>
      </c>
    </row>
    <row r="193" spans="2:28" ht="36" x14ac:dyDescent="0.3">
      <c r="B193" s="2" t="str">
        <f>IF(BCP_Soles[[#This Row],[TIPO DE R.]]="R",COUNTIFS($D$4:$D192,"R")+1,"")</f>
        <v/>
      </c>
      <c r="C193" s="19" t="str">
        <f t="shared" si="10"/>
        <v>B-BCP - Soles</v>
      </c>
      <c r="D193" s="3" t="s">
        <v>1101</v>
      </c>
      <c r="E193" s="14">
        <v>45674</v>
      </c>
      <c r="F193" s="5" t="s">
        <v>1082</v>
      </c>
      <c r="G193" s="5"/>
      <c r="H193" s="6" t="s">
        <v>97</v>
      </c>
      <c r="I193" s="6" t="s">
        <v>14</v>
      </c>
      <c r="J193" s="6" t="s">
        <v>1121</v>
      </c>
      <c r="K193" s="6">
        <v>370</v>
      </c>
      <c r="L193" s="7" t="s">
        <v>1323</v>
      </c>
      <c r="M193" s="8">
        <v>2818960</v>
      </c>
      <c r="N193" s="8" t="str">
        <f t="shared" si="11"/>
        <v>PEN</v>
      </c>
      <c r="O193" s="13">
        <v>290</v>
      </c>
      <c r="P193" s="13"/>
      <c r="Q193" s="3">
        <f t="shared" si="12"/>
        <v>0</v>
      </c>
      <c r="R193" s="3">
        <f t="shared" si="13"/>
        <v>0</v>
      </c>
      <c r="S193" s="3">
        <f t="shared" si="14"/>
        <v>11252.879999999997</v>
      </c>
      <c r="T193" s="24"/>
      <c r="U193" s="24"/>
      <c r="V193" s="67"/>
      <c r="W193" s="25">
        <f>IFERROR(VLOOKUP(BCP_Soles[[#This Row],[DESTINATARIO]],CHOOSE({1,2},Clientes_Proveedores[Razon Social],Clientes_Proveedores[Ruc / Dni]),2,0),"")</f>
        <v>10405211179</v>
      </c>
      <c r="X193" s="25"/>
      <c r="Y193" s="25"/>
      <c r="Z193" s="25"/>
      <c r="AA193" s="99"/>
      <c r="AB193" s="3" t="str">
        <f>IF(BCP_Soles[[#This Row],[FECHA]]&gt;0,TEXT(BCP_Soles[[#This Row],[FECHA]],"mmmm"),0)</f>
        <v>Enero</v>
      </c>
    </row>
    <row r="194" spans="2:28" ht="24" x14ac:dyDescent="0.3">
      <c r="B194" s="2" t="str">
        <f>IF(BCP_Soles[[#This Row],[TIPO DE R.]]="R",COUNTIFS($D$4:$D193,"R")+1,"")</f>
        <v/>
      </c>
      <c r="C194" s="19" t="str">
        <f t="shared" si="10"/>
        <v>B-BCP - Soles</v>
      </c>
      <c r="D194" s="3" t="s">
        <v>1101</v>
      </c>
      <c r="E194" s="14">
        <v>45674</v>
      </c>
      <c r="F194" s="5" t="s">
        <v>1082</v>
      </c>
      <c r="G194" s="5"/>
      <c r="H194" s="6" t="s">
        <v>118</v>
      </c>
      <c r="I194" s="6" t="s">
        <v>14</v>
      </c>
      <c r="J194" s="6" t="s">
        <v>1121</v>
      </c>
      <c r="K194" s="6">
        <v>355</v>
      </c>
      <c r="L194" s="7" t="s">
        <v>1323</v>
      </c>
      <c r="M194" s="8">
        <v>2818960</v>
      </c>
      <c r="N194" s="8" t="str">
        <f t="shared" si="11"/>
        <v>PEN</v>
      </c>
      <c r="O194" s="13">
        <v>510</v>
      </c>
      <c r="P194" s="13"/>
      <c r="Q194" s="3">
        <f t="shared" si="12"/>
        <v>0</v>
      </c>
      <c r="R194" s="3">
        <f t="shared" si="13"/>
        <v>0</v>
      </c>
      <c r="S194" s="3">
        <f t="shared" si="14"/>
        <v>11252.879999999997</v>
      </c>
      <c r="T194" s="24"/>
      <c r="U194" s="24"/>
      <c r="V194" s="67"/>
      <c r="W194" s="25">
        <f>IFERROR(VLOOKUP(BCP_Soles[[#This Row],[DESTINATARIO]],CHOOSE({1,2},Clientes_Proveedores[Razon Social],Clientes_Proveedores[Ruc / Dni]),2,0),"")</f>
        <v>10470065147</v>
      </c>
      <c r="X194" s="25"/>
      <c r="Y194" s="25"/>
      <c r="Z194" s="25"/>
      <c r="AA194" s="99"/>
      <c r="AB194" s="3" t="str">
        <f>IF(BCP_Soles[[#This Row],[FECHA]]&gt;0,TEXT(BCP_Soles[[#This Row],[FECHA]],"mmmm"),0)</f>
        <v>Enero</v>
      </c>
    </row>
    <row r="195" spans="2:28" ht="24" x14ac:dyDescent="0.3">
      <c r="B195" s="2" t="str">
        <f>IF(BCP_Soles[[#This Row],[TIPO DE R.]]="R",COUNTIFS($D$4:$D194,"R")+1,"")</f>
        <v/>
      </c>
      <c r="C195" s="19" t="str">
        <f t="shared" si="10"/>
        <v>B-BCP - Soles</v>
      </c>
      <c r="D195" s="3" t="s">
        <v>1101</v>
      </c>
      <c r="E195" s="14">
        <v>45674</v>
      </c>
      <c r="F195" s="5" t="s">
        <v>1082</v>
      </c>
      <c r="G195" s="5"/>
      <c r="H195" s="6" t="s">
        <v>108</v>
      </c>
      <c r="I195" s="6" t="s">
        <v>14</v>
      </c>
      <c r="J195" s="6" t="s">
        <v>1121</v>
      </c>
      <c r="K195" s="6">
        <v>4340</v>
      </c>
      <c r="L195" s="7" t="s">
        <v>1323</v>
      </c>
      <c r="M195" s="8">
        <v>2818960</v>
      </c>
      <c r="N195" s="8" t="str">
        <f t="shared" si="11"/>
        <v>PEN</v>
      </c>
      <c r="O195" s="13">
        <v>59</v>
      </c>
      <c r="P195" s="13"/>
      <c r="Q195" s="3">
        <f t="shared" si="12"/>
        <v>0</v>
      </c>
      <c r="R195" s="3">
        <f t="shared" si="13"/>
        <v>0</v>
      </c>
      <c r="S195" s="3">
        <f t="shared" si="14"/>
        <v>11252.879999999997</v>
      </c>
      <c r="T195" s="24"/>
      <c r="U195" s="24"/>
      <c r="V195" s="67"/>
      <c r="W195" s="25">
        <f>IFERROR(VLOOKUP(BCP_Soles[[#This Row],[DESTINATARIO]],CHOOSE({1,2},Clientes_Proveedores[Razon Social],Clientes_Proveedores[Ruc / Dni]),2,0),"")</f>
        <v>10425371652</v>
      </c>
      <c r="X195" s="25"/>
      <c r="Y195" s="25"/>
      <c r="Z195" s="25"/>
      <c r="AA195" s="99"/>
      <c r="AB195" s="3" t="str">
        <f>IF(BCP_Soles[[#This Row],[FECHA]]&gt;0,TEXT(BCP_Soles[[#This Row],[FECHA]],"mmmm"),0)</f>
        <v>Enero</v>
      </c>
    </row>
    <row r="196" spans="2:28" ht="24" x14ac:dyDescent="0.3">
      <c r="B196" s="2" t="str">
        <f>IF(BCP_Soles[[#This Row],[TIPO DE R.]]="R",COUNTIFS($D$4:$D195,"R")+1,"")</f>
        <v/>
      </c>
      <c r="C196" s="19" t="str">
        <f t="shared" si="10"/>
        <v>B-BCP - Soles</v>
      </c>
      <c r="D196" s="3" t="s">
        <v>1101</v>
      </c>
      <c r="E196" s="14">
        <v>45674</v>
      </c>
      <c r="F196" s="5" t="s">
        <v>1082</v>
      </c>
      <c r="G196" s="5"/>
      <c r="H196" s="6" t="s">
        <v>130</v>
      </c>
      <c r="I196" s="6" t="s">
        <v>14</v>
      </c>
      <c r="J196" s="6" t="s">
        <v>1121</v>
      </c>
      <c r="K196" s="6">
        <v>215</v>
      </c>
      <c r="L196" s="7" t="s">
        <v>1323</v>
      </c>
      <c r="M196" s="8">
        <v>2818960</v>
      </c>
      <c r="N196" s="8" t="str">
        <f t="shared" si="11"/>
        <v>PEN</v>
      </c>
      <c r="O196" s="13">
        <v>100</v>
      </c>
      <c r="P196" s="13"/>
      <c r="Q196" s="3">
        <f t="shared" si="12"/>
        <v>0</v>
      </c>
      <c r="R196" s="3">
        <f t="shared" si="13"/>
        <v>0</v>
      </c>
      <c r="S196" s="3">
        <f t="shared" si="14"/>
        <v>11252.879999999997</v>
      </c>
      <c r="T196" s="24"/>
      <c r="U196" s="24"/>
      <c r="V196" s="67"/>
      <c r="W196" s="25">
        <f>IFERROR(VLOOKUP(BCP_Soles[[#This Row],[DESTINATARIO]],CHOOSE({1,2},Clientes_Proveedores[Razon Social],Clientes_Proveedores[Ruc / Dni]),2,0),"")</f>
        <v>10706063426</v>
      </c>
      <c r="X196" s="25"/>
      <c r="Y196" s="25"/>
      <c r="Z196" s="25"/>
      <c r="AA196" s="99"/>
      <c r="AB196" s="3" t="str">
        <f>IF(BCP_Soles[[#This Row],[FECHA]]&gt;0,TEXT(BCP_Soles[[#This Row],[FECHA]],"mmmm"),0)</f>
        <v>Enero</v>
      </c>
    </row>
    <row r="197" spans="2:28" ht="36" x14ac:dyDescent="0.3">
      <c r="B197" s="2" t="str">
        <f>IF(BCP_Soles[[#This Row],[TIPO DE R.]]="R",COUNTIFS($D$4:$D196,"R")+1,"")</f>
        <v/>
      </c>
      <c r="C197" s="19" t="str">
        <f t="shared" ref="C197:C260" si="15">"B-BCP - Soles"</f>
        <v>B-BCP - Soles</v>
      </c>
      <c r="D197" s="3" t="s">
        <v>1101</v>
      </c>
      <c r="E197" s="14">
        <v>45674</v>
      </c>
      <c r="F197" s="5" t="s">
        <v>1082</v>
      </c>
      <c r="G197" s="5"/>
      <c r="H197" s="6" t="s">
        <v>76</v>
      </c>
      <c r="I197" s="6" t="s">
        <v>14</v>
      </c>
      <c r="J197" s="6" t="s">
        <v>1121</v>
      </c>
      <c r="K197" s="6">
        <v>635</v>
      </c>
      <c r="L197" s="7" t="s">
        <v>1323</v>
      </c>
      <c r="M197" s="8">
        <v>2818960</v>
      </c>
      <c r="N197" s="8" t="str">
        <f t="shared" ref="N197:N260" si="16">"PEN"</f>
        <v>PEN</v>
      </c>
      <c r="O197" s="13">
        <v>305</v>
      </c>
      <c r="P197" s="13"/>
      <c r="Q197" s="3">
        <f t="shared" ref="Q197:Q260" si="17">+IF(OR($G197="SALDO",$G197="INGRESO"),$P197,0)</f>
        <v>0</v>
      </c>
      <c r="R197" s="3">
        <f t="shared" ref="R197:R260" si="18">+IF($G197="EGRESO",$P197,0)</f>
        <v>0</v>
      </c>
      <c r="S197" s="3">
        <f t="shared" ref="S197:S260" si="19">IFERROR(IF(G197="SALDO",Q197,S196+Q197-R197),0)</f>
        <v>11252.879999999997</v>
      </c>
      <c r="T197" s="24"/>
      <c r="U197" s="24"/>
      <c r="V197" s="67"/>
      <c r="W197" s="25">
        <f>IFERROR(VLOOKUP(BCP_Soles[[#This Row],[DESTINATARIO]],CHOOSE({1,2},Clientes_Proveedores[Razon Social],Clientes_Proveedores[Ruc / Dni]),2,0),"")</f>
        <v>10296695781</v>
      </c>
      <c r="X197" s="25"/>
      <c r="Y197" s="25"/>
      <c r="Z197" s="25"/>
      <c r="AA197" s="99"/>
      <c r="AB197" s="3" t="str">
        <f>IF(BCP_Soles[[#This Row],[FECHA]]&gt;0,TEXT(BCP_Soles[[#This Row],[FECHA]],"mmmm"),0)</f>
        <v>Enero</v>
      </c>
    </row>
    <row r="198" spans="2:28" ht="36" x14ac:dyDescent="0.3">
      <c r="B198" s="2">
        <f>IF(BCP_Soles[[#This Row],[TIPO DE R.]]="R",COUNTIFS($D$4:$D197,"R")+1,"")</f>
        <v>132</v>
      </c>
      <c r="C198" s="19" t="str">
        <f t="shared" si="15"/>
        <v>B-BCP - Soles</v>
      </c>
      <c r="D198" s="3" t="s">
        <v>1074</v>
      </c>
      <c r="E198" s="14">
        <v>45674</v>
      </c>
      <c r="F198" s="5" t="s">
        <v>1082</v>
      </c>
      <c r="G198" s="5" t="s">
        <v>1079</v>
      </c>
      <c r="H198" s="6"/>
      <c r="I198" s="6"/>
      <c r="J198" s="6"/>
      <c r="K198" s="6"/>
      <c r="L198" s="7" t="s">
        <v>1324</v>
      </c>
      <c r="M198" s="8">
        <v>1187910</v>
      </c>
      <c r="N198" s="8" t="str">
        <f t="shared" si="16"/>
        <v>PEN</v>
      </c>
      <c r="O198" s="13"/>
      <c r="P198" s="13">
        <v>4750</v>
      </c>
      <c r="Q198" s="3">
        <f t="shared" si="17"/>
        <v>0</v>
      </c>
      <c r="R198" s="3">
        <f t="shared" si="18"/>
        <v>4750</v>
      </c>
      <c r="S198" s="3">
        <f t="shared" si="19"/>
        <v>6502.8799999999974</v>
      </c>
      <c r="T198" s="24"/>
      <c r="U198" s="24"/>
      <c r="V198" s="67"/>
      <c r="W198" s="25" t="str">
        <f>IFERROR(VLOOKUP(BCP_Soles[[#This Row],[DESTINATARIO]],CHOOSE({1,2},Clientes_Proveedores[Razon Social],Clientes_Proveedores[Ruc / Dni]),2,0),"")</f>
        <v/>
      </c>
      <c r="X198" s="25" t="s">
        <v>1325</v>
      </c>
      <c r="Y198" s="25"/>
      <c r="Z198" s="25"/>
      <c r="AA198" s="99"/>
      <c r="AB198" s="3" t="str">
        <f>IF(BCP_Soles[[#This Row],[FECHA]]&gt;0,TEXT(BCP_Soles[[#This Row],[FECHA]],"mmmm"),0)</f>
        <v>Enero</v>
      </c>
    </row>
    <row r="199" spans="2:28" ht="24" x14ac:dyDescent="0.3">
      <c r="B199" s="2">
        <f>IF(BCP_Soles[[#This Row],[TIPO DE R.]]="R",COUNTIFS($D$4:$D198,"R")+1,"")</f>
        <v>133</v>
      </c>
      <c r="C199" s="19" t="str">
        <f t="shared" si="15"/>
        <v>B-BCP - Soles</v>
      </c>
      <c r="D199" s="3" t="s">
        <v>1074</v>
      </c>
      <c r="E199" s="14">
        <v>45674</v>
      </c>
      <c r="F199" s="5" t="s">
        <v>1082</v>
      </c>
      <c r="G199" s="5" t="s">
        <v>1079</v>
      </c>
      <c r="H199" s="6" t="s">
        <v>407</v>
      </c>
      <c r="I199" s="6" t="s">
        <v>14</v>
      </c>
      <c r="J199" s="6" t="s">
        <v>1121</v>
      </c>
      <c r="K199" s="6">
        <v>747</v>
      </c>
      <c r="L199" s="7" t="s">
        <v>1326</v>
      </c>
      <c r="M199" s="8">
        <v>1223859</v>
      </c>
      <c r="N199" s="8" t="str">
        <f t="shared" si="16"/>
        <v>PEN</v>
      </c>
      <c r="O199" s="13"/>
      <c r="P199" s="13">
        <v>2717</v>
      </c>
      <c r="Q199" s="3">
        <f t="shared" si="17"/>
        <v>0</v>
      </c>
      <c r="R199" s="3">
        <f t="shared" si="18"/>
        <v>2717</v>
      </c>
      <c r="S199" s="3">
        <f t="shared" si="19"/>
        <v>3785.8799999999974</v>
      </c>
      <c r="T199" s="24" t="s">
        <v>1081</v>
      </c>
      <c r="U199" s="24" t="s">
        <v>1081</v>
      </c>
      <c r="V199" s="67"/>
      <c r="W199" s="25">
        <f>IFERROR(VLOOKUP(BCP_Soles[[#This Row],[DESTINATARIO]],CHOOSE({1,2},Clientes_Proveedores[Razon Social],Clientes_Proveedores[Ruc / Dni]),2,0),"")</f>
        <v>20601279666</v>
      </c>
      <c r="X199" s="25" t="s">
        <v>1327</v>
      </c>
      <c r="Y199" s="25" t="s">
        <v>1328</v>
      </c>
      <c r="Z199" s="25"/>
      <c r="AA199" s="99"/>
      <c r="AB199" s="3" t="str">
        <f>IF(BCP_Soles[[#This Row],[FECHA]]&gt;0,TEXT(BCP_Soles[[#This Row],[FECHA]],"mmmm"),0)</f>
        <v>Enero</v>
      </c>
    </row>
    <row r="200" spans="2:28" ht="24" x14ac:dyDescent="0.3">
      <c r="B200" s="2">
        <f>IF(BCP_Soles[[#This Row],[TIPO DE R.]]="R",COUNTIFS($D$4:$D199,"R")+1,"")</f>
        <v>134</v>
      </c>
      <c r="C200" s="19" t="str">
        <f t="shared" si="15"/>
        <v>B-BCP - Soles</v>
      </c>
      <c r="D200" s="3" t="s">
        <v>1074</v>
      </c>
      <c r="E200" s="14">
        <v>45674</v>
      </c>
      <c r="F200" s="5" t="s">
        <v>1082</v>
      </c>
      <c r="G200" s="5" t="s">
        <v>1079</v>
      </c>
      <c r="H200" s="6" t="s">
        <v>829</v>
      </c>
      <c r="I200" s="6" t="s">
        <v>91</v>
      </c>
      <c r="J200" s="6">
        <v>13</v>
      </c>
      <c r="K200" s="6">
        <v>27</v>
      </c>
      <c r="L200" s="7" t="s">
        <v>1329</v>
      </c>
      <c r="M200" s="8">
        <v>1136307</v>
      </c>
      <c r="N200" s="8" t="str">
        <f t="shared" si="16"/>
        <v>PEN</v>
      </c>
      <c r="O200" s="13"/>
      <c r="P200" s="13">
        <v>1165</v>
      </c>
      <c r="Q200" s="3">
        <f t="shared" si="17"/>
        <v>0</v>
      </c>
      <c r="R200" s="3">
        <f t="shared" si="18"/>
        <v>1165</v>
      </c>
      <c r="S200" s="3">
        <f t="shared" si="19"/>
        <v>2620.8799999999974</v>
      </c>
      <c r="T200" s="24"/>
      <c r="U200" s="24"/>
      <c r="V200" s="67"/>
      <c r="W200" s="25">
        <f>IFERROR(VLOOKUP(BCP_Soles[[#This Row],[DESTINATARIO]],CHOOSE({1,2},Clientes_Proveedores[Razon Social],Clientes_Proveedores[Ruc / Dni]),2,0),"")</f>
        <v>47461440</v>
      </c>
      <c r="X200" s="25"/>
      <c r="Y200" s="25"/>
      <c r="Z200" s="25"/>
      <c r="AA200" s="99"/>
      <c r="AB200" s="3" t="str">
        <f>IF(BCP_Soles[[#This Row],[FECHA]]&gt;0,TEXT(BCP_Soles[[#This Row],[FECHA]],"mmmm"),0)</f>
        <v>Enero</v>
      </c>
    </row>
    <row r="201" spans="2:28" ht="36" x14ac:dyDescent="0.3">
      <c r="B201" s="2">
        <f>IF(BCP_Soles[[#This Row],[TIPO DE R.]]="R",COUNTIFS($D$4:$D200,"R")+1,"")</f>
        <v>135</v>
      </c>
      <c r="C201" s="19" t="str">
        <f t="shared" si="15"/>
        <v>B-BCP - Soles</v>
      </c>
      <c r="D201" s="3" t="s">
        <v>1074</v>
      </c>
      <c r="E201" s="14">
        <v>45674</v>
      </c>
      <c r="F201" s="5" t="s">
        <v>1082</v>
      </c>
      <c r="G201" s="5" t="s">
        <v>1079</v>
      </c>
      <c r="H201" s="6" t="s">
        <v>440</v>
      </c>
      <c r="I201" s="6" t="s">
        <v>14</v>
      </c>
      <c r="J201" s="6" t="s">
        <v>1148</v>
      </c>
      <c r="K201" s="6">
        <v>17996</v>
      </c>
      <c r="L201" s="7" t="s">
        <v>1330</v>
      </c>
      <c r="M201" s="8">
        <v>1203878</v>
      </c>
      <c r="N201" s="8" t="str">
        <f t="shared" si="16"/>
        <v>PEN</v>
      </c>
      <c r="O201" s="13"/>
      <c r="P201" s="13">
        <v>565</v>
      </c>
      <c r="Q201" s="3">
        <f t="shared" si="17"/>
        <v>0</v>
      </c>
      <c r="R201" s="3">
        <f t="shared" si="18"/>
        <v>565</v>
      </c>
      <c r="S201" s="3">
        <f t="shared" si="19"/>
        <v>2055.8799999999974</v>
      </c>
      <c r="T201" s="24" t="s">
        <v>1081</v>
      </c>
      <c r="U201" s="24" t="s">
        <v>1081</v>
      </c>
      <c r="V201" s="67"/>
      <c r="W201" s="25">
        <f>IFERROR(VLOOKUP(BCP_Soles[[#This Row],[DESTINATARIO]],CHOOSE({1,2},Clientes_Proveedores[Razon Social],Clientes_Proveedores[Ruc / Dni]),2,0),"")</f>
        <v>20602810497</v>
      </c>
      <c r="X201" s="25" t="s">
        <v>1331</v>
      </c>
      <c r="Y201" s="25" t="s">
        <v>1332</v>
      </c>
      <c r="Z201" s="25"/>
      <c r="AA201" s="99"/>
      <c r="AB201" s="3" t="str">
        <f>IF(BCP_Soles[[#This Row],[FECHA]]&gt;0,TEXT(BCP_Soles[[#This Row],[FECHA]],"mmmm"),0)</f>
        <v>Enero</v>
      </c>
    </row>
    <row r="202" spans="2:28" ht="24" x14ac:dyDescent="0.3">
      <c r="B202" s="2">
        <f>IF(BCP_Soles[[#This Row],[TIPO DE R.]]="R",COUNTIFS($D$4:$D201,"R")+1,"")</f>
        <v>136</v>
      </c>
      <c r="C202" s="19" t="str">
        <f t="shared" si="15"/>
        <v>B-BCP - Soles</v>
      </c>
      <c r="D202" s="3" t="s">
        <v>1074</v>
      </c>
      <c r="E202" s="14">
        <v>45674</v>
      </c>
      <c r="F202" s="5" t="s">
        <v>1082</v>
      </c>
      <c r="G202" s="5" t="s">
        <v>1079</v>
      </c>
      <c r="H202" s="6"/>
      <c r="I202" s="6"/>
      <c r="J202" s="6"/>
      <c r="K202" s="6"/>
      <c r="L202" s="7" t="s">
        <v>1333</v>
      </c>
      <c r="M202" s="8">
        <v>1163284</v>
      </c>
      <c r="N202" s="8" t="str">
        <f t="shared" si="16"/>
        <v>PEN</v>
      </c>
      <c r="O202" s="13"/>
      <c r="P202" s="13">
        <v>500</v>
      </c>
      <c r="Q202" s="3">
        <f t="shared" si="17"/>
        <v>0</v>
      </c>
      <c r="R202" s="3">
        <f t="shared" si="18"/>
        <v>500</v>
      </c>
      <c r="S202" s="3">
        <f t="shared" si="19"/>
        <v>1555.8799999999974</v>
      </c>
      <c r="T202" s="24"/>
      <c r="U202" s="24"/>
      <c r="V202" s="67"/>
      <c r="W202" s="25" t="str">
        <f>IFERROR(VLOOKUP(BCP_Soles[[#This Row],[DESTINATARIO]],CHOOSE({1,2},Clientes_Proveedores[Razon Social],Clientes_Proveedores[Ruc / Dni]),2,0),"")</f>
        <v/>
      </c>
      <c r="X202" s="25" t="s">
        <v>1334</v>
      </c>
      <c r="Y202" s="25"/>
      <c r="Z202" s="25"/>
      <c r="AA202" s="99"/>
      <c r="AB202" s="3" t="str">
        <f>IF(BCP_Soles[[#This Row],[FECHA]]&gt;0,TEXT(BCP_Soles[[#This Row],[FECHA]],"mmmm"),0)</f>
        <v>Enero</v>
      </c>
    </row>
    <row r="203" spans="2:28" ht="24" x14ac:dyDescent="0.3">
      <c r="B203" s="2">
        <f>IF(BCP_Soles[[#This Row],[TIPO DE R.]]="R",COUNTIFS($D$4:$D202,"R")+1,"")</f>
        <v>137</v>
      </c>
      <c r="C203" s="19" t="str">
        <f t="shared" si="15"/>
        <v>B-BCP - Soles</v>
      </c>
      <c r="D203" s="3" t="s">
        <v>1074</v>
      </c>
      <c r="E203" s="14">
        <v>45674</v>
      </c>
      <c r="F203" s="5" t="s">
        <v>1082</v>
      </c>
      <c r="G203" s="5" t="s">
        <v>1079</v>
      </c>
      <c r="H203" s="6" t="s">
        <v>850</v>
      </c>
      <c r="I203" s="6"/>
      <c r="J203" s="6"/>
      <c r="K203" s="6"/>
      <c r="L203" s="7" t="s">
        <v>1335</v>
      </c>
      <c r="M203" s="8">
        <v>1161279</v>
      </c>
      <c r="N203" s="8" t="str">
        <f t="shared" si="16"/>
        <v>PEN</v>
      </c>
      <c r="O203" s="13"/>
      <c r="P203" s="13">
        <v>500</v>
      </c>
      <c r="Q203" s="3">
        <f t="shared" si="17"/>
        <v>0</v>
      </c>
      <c r="R203" s="3">
        <f t="shared" si="18"/>
        <v>500</v>
      </c>
      <c r="S203" s="3">
        <f t="shared" si="19"/>
        <v>1055.8799999999974</v>
      </c>
      <c r="T203" s="24"/>
      <c r="U203" s="24"/>
      <c r="V203" s="67"/>
      <c r="W203" s="25">
        <f>IFERROR(VLOOKUP(BCP_Soles[[#This Row],[DESTINATARIO]],CHOOSE({1,2},Clientes_Proveedores[Razon Social],Clientes_Proveedores[Ruc / Dni]),2,0),"")</f>
        <v>44314304</v>
      </c>
      <c r="X203" s="25" t="s">
        <v>850</v>
      </c>
      <c r="Y203" s="25"/>
      <c r="Z203" s="25"/>
      <c r="AA203" s="99"/>
      <c r="AB203" s="3" t="str">
        <f>IF(BCP_Soles[[#This Row],[FECHA]]&gt;0,TEXT(BCP_Soles[[#This Row],[FECHA]],"mmmm"),0)</f>
        <v>Enero</v>
      </c>
    </row>
    <row r="204" spans="2:28" ht="24" x14ac:dyDescent="0.3">
      <c r="B204" s="2">
        <f>IF(BCP_Soles[[#This Row],[TIPO DE R.]]="R",COUNTIFS($D$4:$D203,"R")+1,"")</f>
        <v>138</v>
      </c>
      <c r="C204" s="19" t="str">
        <f t="shared" si="15"/>
        <v>B-BCP - Soles</v>
      </c>
      <c r="D204" s="3" t="s">
        <v>1074</v>
      </c>
      <c r="E204" s="14">
        <v>45674</v>
      </c>
      <c r="F204" s="5" t="s">
        <v>1082</v>
      </c>
      <c r="G204" s="5" t="s">
        <v>1079</v>
      </c>
      <c r="H204" s="6"/>
      <c r="I204" s="6"/>
      <c r="J204" s="6"/>
      <c r="K204" s="6"/>
      <c r="L204" s="7" t="s">
        <v>1336</v>
      </c>
      <c r="M204" s="8">
        <v>1176262</v>
      </c>
      <c r="N204" s="8" t="str">
        <f t="shared" si="16"/>
        <v>PEN</v>
      </c>
      <c r="O204" s="13"/>
      <c r="P204" s="13">
        <v>400</v>
      </c>
      <c r="Q204" s="3">
        <f t="shared" si="17"/>
        <v>0</v>
      </c>
      <c r="R204" s="3">
        <f t="shared" si="18"/>
        <v>400</v>
      </c>
      <c r="S204" s="3">
        <f t="shared" si="19"/>
        <v>655.87999999999738</v>
      </c>
      <c r="T204" s="24"/>
      <c r="U204" s="24"/>
      <c r="V204" s="67"/>
      <c r="W204" s="25" t="str">
        <f>IFERROR(VLOOKUP(BCP_Soles[[#This Row],[DESTINATARIO]],CHOOSE({1,2},Clientes_Proveedores[Razon Social],Clientes_Proveedores[Ruc / Dni]),2,0),"")</f>
        <v/>
      </c>
      <c r="X204" s="25" t="s">
        <v>825</v>
      </c>
      <c r="Y204" s="25"/>
      <c r="Z204" s="25"/>
      <c r="AA204" s="99"/>
      <c r="AB204" s="3" t="str">
        <f>IF(BCP_Soles[[#This Row],[FECHA]]&gt;0,TEXT(BCP_Soles[[#This Row],[FECHA]],"mmmm"),0)</f>
        <v>Enero</v>
      </c>
    </row>
    <row r="205" spans="2:28" ht="24" x14ac:dyDescent="0.3">
      <c r="B205" s="2">
        <f>IF(BCP_Soles[[#This Row],[TIPO DE R.]]="R",COUNTIFS($D$4:$D204,"R")+1,"")</f>
        <v>139</v>
      </c>
      <c r="C205" s="19" t="str">
        <f t="shared" si="15"/>
        <v>B-BCP - Soles</v>
      </c>
      <c r="D205" s="3" t="s">
        <v>1074</v>
      </c>
      <c r="E205" s="14">
        <v>45674</v>
      </c>
      <c r="F205" s="5" t="s">
        <v>1082</v>
      </c>
      <c r="G205" s="5" t="s">
        <v>1079</v>
      </c>
      <c r="H205" s="6"/>
      <c r="I205" s="6"/>
      <c r="J205" s="6"/>
      <c r="K205" s="6"/>
      <c r="L205" s="7" t="s">
        <v>1337</v>
      </c>
      <c r="M205" s="8">
        <v>1162281</v>
      </c>
      <c r="N205" s="8" t="str">
        <f t="shared" si="16"/>
        <v>PEN</v>
      </c>
      <c r="O205" s="13"/>
      <c r="P205" s="13">
        <v>400</v>
      </c>
      <c r="Q205" s="3">
        <f t="shared" si="17"/>
        <v>0</v>
      </c>
      <c r="R205" s="3">
        <f t="shared" si="18"/>
        <v>400</v>
      </c>
      <c r="S205" s="3">
        <f t="shared" si="19"/>
        <v>255.87999999999738</v>
      </c>
      <c r="T205" s="24"/>
      <c r="U205" s="24"/>
      <c r="V205" s="67"/>
      <c r="W205" s="25" t="str">
        <f>IFERROR(VLOOKUP(BCP_Soles[[#This Row],[DESTINATARIO]],CHOOSE({1,2},Clientes_Proveedores[Razon Social],Clientes_Proveedores[Ruc / Dni]),2,0),"")</f>
        <v/>
      </c>
      <c r="X205" s="25" t="s">
        <v>1338</v>
      </c>
      <c r="Y205" s="25"/>
      <c r="Z205" s="25"/>
      <c r="AA205" s="99"/>
      <c r="AB205" s="3" t="str">
        <f>IF(BCP_Soles[[#This Row],[FECHA]]&gt;0,TEXT(BCP_Soles[[#This Row],[FECHA]],"mmmm"),0)</f>
        <v>Enero</v>
      </c>
    </row>
    <row r="206" spans="2:28" ht="24" x14ac:dyDescent="0.3">
      <c r="B206" s="2">
        <f>IF(BCP_Soles[[#This Row],[TIPO DE R.]]="R",COUNTIFS($D$4:$D205,"R")+1,"")</f>
        <v>140</v>
      </c>
      <c r="C206" s="19" t="str">
        <f t="shared" si="15"/>
        <v>B-BCP - Soles</v>
      </c>
      <c r="D206" s="3" t="s">
        <v>1074</v>
      </c>
      <c r="E206" s="14">
        <v>45674</v>
      </c>
      <c r="F206" s="5" t="s">
        <v>1082</v>
      </c>
      <c r="G206" s="5" t="s">
        <v>1079</v>
      </c>
      <c r="H206" s="6"/>
      <c r="I206" s="6"/>
      <c r="J206" s="6"/>
      <c r="K206" s="6"/>
      <c r="L206" s="7" t="s">
        <v>1339</v>
      </c>
      <c r="M206" s="8">
        <v>1143300</v>
      </c>
      <c r="N206" s="8" t="str">
        <f t="shared" si="16"/>
        <v>PEN</v>
      </c>
      <c r="O206" s="13"/>
      <c r="P206" s="13">
        <v>400</v>
      </c>
      <c r="Q206" s="3">
        <f t="shared" si="17"/>
        <v>0</v>
      </c>
      <c r="R206" s="3">
        <f t="shared" si="18"/>
        <v>400</v>
      </c>
      <c r="S206" s="3">
        <f t="shared" si="19"/>
        <v>-144.12000000000262</v>
      </c>
      <c r="T206" s="24"/>
      <c r="U206" s="24"/>
      <c r="V206" s="67"/>
      <c r="W206" s="25" t="str">
        <f>IFERROR(VLOOKUP(BCP_Soles[[#This Row],[DESTINATARIO]],CHOOSE({1,2},Clientes_Proveedores[Razon Social],Clientes_Proveedores[Ruc / Dni]),2,0),"")</f>
        <v/>
      </c>
      <c r="X206" s="25" t="s">
        <v>859</v>
      </c>
      <c r="Y206" s="25"/>
      <c r="Z206" s="25"/>
      <c r="AA206" s="99"/>
      <c r="AB206" s="3" t="str">
        <f>IF(BCP_Soles[[#This Row],[FECHA]]&gt;0,TEXT(BCP_Soles[[#This Row],[FECHA]],"mmmm"),0)</f>
        <v>Enero</v>
      </c>
    </row>
    <row r="207" spans="2:28" ht="24" x14ac:dyDescent="0.3">
      <c r="B207" s="2">
        <f>IF(BCP_Soles[[#This Row],[TIPO DE R.]]="R",COUNTIFS($D$4:$D206,"R")+1,"")</f>
        <v>141</v>
      </c>
      <c r="C207" s="19" t="str">
        <f t="shared" si="15"/>
        <v>B-BCP - Soles</v>
      </c>
      <c r="D207" s="3" t="s">
        <v>1074</v>
      </c>
      <c r="E207" s="14">
        <v>45674</v>
      </c>
      <c r="F207" s="5" t="s">
        <v>1082</v>
      </c>
      <c r="G207" s="5" t="s">
        <v>1079</v>
      </c>
      <c r="H207" s="6" t="s">
        <v>281</v>
      </c>
      <c r="I207" s="6" t="s">
        <v>14</v>
      </c>
      <c r="J207" s="6" t="s">
        <v>1121</v>
      </c>
      <c r="K207" s="6">
        <v>451</v>
      </c>
      <c r="L207" s="7" t="s">
        <v>1340</v>
      </c>
      <c r="M207" s="8">
        <v>1238788</v>
      </c>
      <c r="N207" s="8" t="str">
        <f t="shared" si="16"/>
        <v>PEN</v>
      </c>
      <c r="O207" s="13"/>
      <c r="P207" s="13">
        <v>354</v>
      </c>
      <c r="Q207" s="3">
        <f t="shared" si="17"/>
        <v>0</v>
      </c>
      <c r="R207" s="3">
        <f t="shared" si="18"/>
        <v>354</v>
      </c>
      <c r="S207" s="3">
        <f t="shared" si="19"/>
        <v>-498.12000000000262</v>
      </c>
      <c r="T207" s="24"/>
      <c r="U207" s="24" t="s">
        <v>1081</v>
      </c>
      <c r="V207" s="67"/>
      <c r="W207" s="25">
        <f>IFERROR(VLOOKUP(BCP_Soles[[#This Row],[DESTINATARIO]],CHOOSE({1,2},Clientes_Proveedores[Razon Social],Clientes_Proveedores[Ruc / Dni]),2,0),"")</f>
        <v>20498380931</v>
      </c>
      <c r="X207" s="25" t="s">
        <v>281</v>
      </c>
      <c r="Y207" s="25" t="s">
        <v>1341</v>
      </c>
      <c r="Z207" s="25"/>
      <c r="AA207" s="99"/>
      <c r="AB207" s="3" t="str">
        <f>IF(BCP_Soles[[#This Row],[FECHA]]&gt;0,TEXT(BCP_Soles[[#This Row],[FECHA]],"mmmm"),0)</f>
        <v>Enero</v>
      </c>
    </row>
    <row r="208" spans="2:28" ht="36" x14ac:dyDescent="0.3">
      <c r="B208" s="2">
        <f>IF(BCP_Soles[[#This Row],[TIPO DE R.]]="R",COUNTIFS($D$4:$D207,"R")+1,"")</f>
        <v>142</v>
      </c>
      <c r="C208" s="19" t="str">
        <f t="shared" si="15"/>
        <v>B-BCP - Soles</v>
      </c>
      <c r="D208" s="3" t="s">
        <v>1074</v>
      </c>
      <c r="E208" s="14">
        <v>45674</v>
      </c>
      <c r="F208" s="5" t="s">
        <v>1082</v>
      </c>
      <c r="G208" s="5" t="s">
        <v>1079</v>
      </c>
      <c r="H208" s="6" t="s">
        <v>686</v>
      </c>
      <c r="I208" s="6" t="s">
        <v>18</v>
      </c>
      <c r="J208" s="6" t="s">
        <v>1121</v>
      </c>
      <c r="K208" s="6">
        <v>110</v>
      </c>
      <c r="L208" s="7" t="s">
        <v>1342</v>
      </c>
      <c r="M208" s="8">
        <v>1248817</v>
      </c>
      <c r="N208" s="8" t="str">
        <f t="shared" si="16"/>
        <v>PEN</v>
      </c>
      <c r="O208" s="13"/>
      <c r="P208" s="13">
        <v>120</v>
      </c>
      <c r="Q208" s="3">
        <f t="shared" si="17"/>
        <v>0</v>
      </c>
      <c r="R208" s="3">
        <f t="shared" si="18"/>
        <v>120</v>
      </c>
      <c r="S208" s="3">
        <f t="shared" si="19"/>
        <v>-618.12000000000262</v>
      </c>
      <c r="T208" s="24"/>
      <c r="U208" s="24" t="s">
        <v>1081</v>
      </c>
      <c r="V208" s="67"/>
      <c r="W208" s="25">
        <f>IFERROR(VLOOKUP(BCP_Soles[[#This Row],[DESTINATARIO]],CHOOSE({1,2},Clientes_Proveedores[Razon Social],Clientes_Proveedores[Ruc / Dni]),2,0),"")</f>
        <v>10467546291</v>
      </c>
      <c r="X208" s="25" t="s">
        <v>1343</v>
      </c>
      <c r="Y208" s="25" t="s">
        <v>1344</v>
      </c>
      <c r="Z208" s="25"/>
      <c r="AA208" s="99"/>
      <c r="AB208" s="3" t="str">
        <f>IF(BCP_Soles[[#This Row],[FECHA]]&gt;0,TEXT(BCP_Soles[[#This Row],[FECHA]],"mmmm"),0)</f>
        <v>Enero</v>
      </c>
    </row>
    <row r="209" spans="2:28" ht="36" x14ac:dyDescent="0.3">
      <c r="B209" s="2">
        <f>IF(BCP_Soles[[#This Row],[TIPO DE R.]]="R",COUNTIFS($D$4:$D208,"R")+1,"")</f>
        <v>143</v>
      </c>
      <c r="C209" s="19" t="str">
        <f t="shared" si="15"/>
        <v>B-BCP - Soles</v>
      </c>
      <c r="D209" s="3" t="s">
        <v>1074</v>
      </c>
      <c r="E209" s="14">
        <v>45674</v>
      </c>
      <c r="F209" s="5" t="s">
        <v>1082</v>
      </c>
      <c r="G209" s="5" t="s">
        <v>1079</v>
      </c>
      <c r="H209" s="6"/>
      <c r="I209" s="6"/>
      <c r="J209" s="6"/>
      <c r="K209" s="6"/>
      <c r="L209" s="7" t="s">
        <v>1345</v>
      </c>
      <c r="M209" s="8">
        <v>1120323</v>
      </c>
      <c r="N209" s="8" t="str">
        <f t="shared" si="16"/>
        <v>PEN</v>
      </c>
      <c r="O209" s="13"/>
      <c r="P209" s="13">
        <v>100</v>
      </c>
      <c r="Q209" s="3">
        <f t="shared" si="17"/>
        <v>0</v>
      </c>
      <c r="R209" s="3">
        <f t="shared" si="18"/>
        <v>100</v>
      </c>
      <c r="S209" s="3">
        <f t="shared" si="19"/>
        <v>-718.12000000000262</v>
      </c>
      <c r="T209" s="24"/>
      <c r="U209" s="24"/>
      <c r="V209" s="67"/>
      <c r="W209" s="25" t="str">
        <f>IFERROR(VLOOKUP(BCP_Soles[[#This Row],[DESTINATARIO]],CHOOSE({1,2},Clientes_Proveedores[Razon Social],Clientes_Proveedores[Ruc / Dni]),2,0),"")</f>
        <v/>
      </c>
      <c r="X209" s="25" t="s">
        <v>880</v>
      </c>
      <c r="Y209" s="25"/>
      <c r="Z209" s="25"/>
      <c r="AA209" s="99"/>
      <c r="AB209" s="3" t="str">
        <f>IF(BCP_Soles[[#This Row],[FECHA]]&gt;0,TEXT(BCP_Soles[[#This Row],[FECHA]],"mmmm"),0)</f>
        <v>Enero</v>
      </c>
    </row>
    <row r="210" spans="2:28" x14ac:dyDescent="0.3">
      <c r="B210" s="2">
        <f>IF(BCP_Soles[[#This Row],[TIPO DE R.]]="R",COUNTIFS($D$4:$D209,"R")+1,"")</f>
        <v>144</v>
      </c>
      <c r="C210" s="19" t="str">
        <f t="shared" si="15"/>
        <v>B-BCP - Soles</v>
      </c>
      <c r="D210" s="3" t="s">
        <v>1074</v>
      </c>
      <c r="E210" s="14">
        <v>45674</v>
      </c>
      <c r="F210" s="5" t="s">
        <v>181</v>
      </c>
      <c r="G210" s="5" t="s">
        <v>1087</v>
      </c>
      <c r="H210" s="6"/>
      <c r="I210" s="6"/>
      <c r="J210" s="6"/>
      <c r="K210" s="6"/>
      <c r="L210" s="7" t="s">
        <v>1346</v>
      </c>
      <c r="M210" s="8">
        <v>2138805</v>
      </c>
      <c r="N210" s="8" t="str">
        <f t="shared" si="16"/>
        <v>PEN</v>
      </c>
      <c r="O210" s="13"/>
      <c r="P210" s="13">
        <v>1254.3</v>
      </c>
      <c r="Q210" s="3">
        <f t="shared" si="17"/>
        <v>1254.3</v>
      </c>
      <c r="R210" s="3">
        <f t="shared" si="18"/>
        <v>0</v>
      </c>
      <c r="S210" s="3">
        <f t="shared" si="19"/>
        <v>536.17999999999734</v>
      </c>
      <c r="T210" s="24" t="s">
        <v>1081</v>
      </c>
      <c r="U210" s="24" t="s">
        <v>1081</v>
      </c>
      <c r="V210" s="67"/>
      <c r="W210" s="25" t="str">
        <f>IFERROR(VLOOKUP(BCP_Soles[[#This Row],[DESTINATARIO]],CHOOSE({1,2},Clientes_Proveedores[Razon Social],Clientes_Proveedores[Ruc / Dni]),2,0),"")</f>
        <v/>
      </c>
      <c r="X210" s="25" t="s">
        <v>1090</v>
      </c>
      <c r="Y210" s="25" t="s">
        <v>1347</v>
      </c>
      <c r="Z210" s="25"/>
      <c r="AA210" s="99"/>
      <c r="AB210" s="3" t="str">
        <f>IF(BCP_Soles[[#This Row],[FECHA]]&gt;0,TEXT(BCP_Soles[[#This Row],[FECHA]],"mmmm"),0)</f>
        <v>Enero</v>
      </c>
    </row>
    <row r="211" spans="2:28" ht="84" x14ac:dyDescent="0.3">
      <c r="B211" s="2">
        <f>IF(BCP_Soles[[#This Row],[TIPO DE R.]]="R",COUNTIFS($D$4:$D210,"R")+1,"")</f>
        <v>145</v>
      </c>
      <c r="C211" s="19" t="str">
        <f t="shared" si="15"/>
        <v>B-BCP - Soles</v>
      </c>
      <c r="D211" s="3" t="s">
        <v>1074</v>
      </c>
      <c r="E211" s="14">
        <v>45674</v>
      </c>
      <c r="F211" s="5" t="s">
        <v>301</v>
      </c>
      <c r="G211" s="5" t="s">
        <v>1087</v>
      </c>
      <c r="H211" s="6"/>
      <c r="I211" s="6"/>
      <c r="J211" s="6"/>
      <c r="K211" s="6"/>
      <c r="L211" s="7" t="s">
        <v>1260</v>
      </c>
      <c r="M211" s="8">
        <v>2331509</v>
      </c>
      <c r="N211" s="8" t="str">
        <f t="shared" si="16"/>
        <v>PEN</v>
      </c>
      <c r="O211" s="13"/>
      <c r="P211" s="13">
        <v>93.96</v>
      </c>
      <c r="Q211" s="3">
        <f t="shared" si="17"/>
        <v>93.96</v>
      </c>
      <c r="R211" s="3">
        <f t="shared" si="18"/>
        <v>0</v>
      </c>
      <c r="S211" s="3">
        <f t="shared" si="19"/>
        <v>630.13999999999737</v>
      </c>
      <c r="T211" s="24" t="s">
        <v>1081</v>
      </c>
      <c r="U211" s="24" t="s">
        <v>1081</v>
      </c>
      <c r="V211" s="67"/>
      <c r="W211" s="25" t="str">
        <f>IFERROR(VLOOKUP(BCP_Soles[[#This Row],[DESTINATARIO]],CHOOSE({1,2},Clientes_Proveedores[Razon Social],Clientes_Proveedores[Ruc / Dni]),2,0),"")</f>
        <v/>
      </c>
      <c r="X211" s="25" t="s">
        <v>1090</v>
      </c>
      <c r="Y211" s="25" t="s">
        <v>1348</v>
      </c>
      <c r="Z211" s="25"/>
      <c r="AA211" s="99"/>
      <c r="AB211" s="3" t="str">
        <f>IF(BCP_Soles[[#This Row],[FECHA]]&gt;0,TEXT(BCP_Soles[[#This Row],[FECHA]],"mmmm"),0)</f>
        <v>Enero</v>
      </c>
    </row>
    <row r="212" spans="2:28" ht="36" x14ac:dyDescent="0.3">
      <c r="B212" s="2">
        <f>IF(BCP_Soles[[#This Row],[TIPO DE R.]]="R",COUNTIFS($D$4:$D211,"R")+1,"")</f>
        <v>146</v>
      </c>
      <c r="C212" s="19" t="str">
        <f t="shared" si="15"/>
        <v>B-BCP - Soles</v>
      </c>
      <c r="D212" s="3" t="s">
        <v>1074</v>
      </c>
      <c r="E212" s="14">
        <v>45675</v>
      </c>
      <c r="F212" s="5" t="s">
        <v>198</v>
      </c>
      <c r="G212" s="5" t="s">
        <v>1087</v>
      </c>
      <c r="H212" s="6"/>
      <c r="I212" s="6"/>
      <c r="J212" s="6"/>
      <c r="K212" s="6"/>
      <c r="L212" s="7" t="s">
        <v>1349</v>
      </c>
      <c r="M212" s="8">
        <v>3291019</v>
      </c>
      <c r="N212" s="8" t="str">
        <f t="shared" si="16"/>
        <v>PEN</v>
      </c>
      <c r="O212" s="13"/>
      <c r="P212" s="13">
        <v>3879.57</v>
      </c>
      <c r="Q212" s="3">
        <f t="shared" si="17"/>
        <v>3879.57</v>
      </c>
      <c r="R212" s="3">
        <f t="shared" si="18"/>
        <v>0</v>
      </c>
      <c r="S212" s="3">
        <f t="shared" si="19"/>
        <v>4509.7099999999973</v>
      </c>
      <c r="T212" s="24" t="s">
        <v>1081</v>
      </c>
      <c r="U212" s="24" t="s">
        <v>1081</v>
      </c>
      <c r="V212" s="67"/>
      <c r="W212" s="25" t="str">
        <f>IFERROR(VLOOKUP(BCP_Soles[[#This Row],[DESTINATARIO]],CHOOSE({1,2},Clientes_Proveedores[Razon Social],Clientes_Proveedores[Ruc / Dni]),2,0),"")</f>
        <v/>
      </c>
      <c r="X212" s="25" t="s">
        <v>1090</v>
      </c>
      <c r="Y212" s="25" t="s">
        <v>1350</v>
      </c>
      <c r="Z212" s="25"/>
      <c r="AA212" s="99"/>
      <c r="AB212" s="3" t="str">
        <f>IF(BCP_Soles[[#This Row],[FECHA]]&gt;0,TEXT(BCP_Soles[[#This Row],[FECHA]],"mmmm"),0)</f>
        <v>Enero</v>
      </c>
    </row>
    <row r="213" spans="2:28" x14ac:dyDescent="0.3">
      <c r="B213" s="2">
        <f>IF(BCP_Soles[[#This Row],[TIPO DE R.]]="R",COUNTIFS($D$4:$D212,"R")+1,"")</f>
        <v>147</v>
      </c>
      <c r="C213" s="19" t="str">
        <f t="shared" si="15"/>
        <v>B-BCP - Soles</v>
      </c>
      <c r="D213" s="3" t="s">
        <v>1074</v>
      </c>
      <c r="E213" s="14">
        <v>45676</v>
      </c>
      <c r="F213" s="5" t="s">
        <v>1078</v>
      </c>
      <c r="G213" s="5" t="s">
        <v>1079</v>
      </c>
      <c r="H213" s="6"/>
      <c r="I213" s="6"/>
      <c r="J213" s="6"/>
      <c r="K213" s="6"/>
      <c r="L213" s="7" t="s">
        <v>1080</v>
      </c>
      <c r="M213" s="8"/>
      <c r="N213" s="8" t="str">
        <f t="shared" si="16"/>
        <v>PEN</v>
      </c>
      <c r="O213" s="13"/>
      <c r="P213" s="13">
        <v>0.45</v>
      </c>
      <c r="Q213" s="3">
        <f t="shared" si="17"/>
        <v>0</v>
      </c>
      <c r="R213" s="3">
        <f t="shared" si="18"/>
        <v>0.45</v>
      </c>
      <c r="S213" s="3">
        <f t="shared" si="19"/>
        <v>4509.2599999999975</v>
      </c>
      <c r="T213" s="24"/>
      <c r="U213" s="24" t="s">
        <v>1081</v>
      </c>
      <c r="V213" s="67"/>
      <c r="W213" s="25" t="str">
        <f>IFERROR(VLOOKUP(BCP_Soles[[#This Row],[DESTINATARIO]],CHOOSE({1,2},Clientes_Proveedores[Razon Social],Clientes_Proveedores[Ruc / Dni]),2,0),"")</f>
        <v/>
      </c>
      <c r="X213" s="25"/>
      <c r="Y213" s="25"/>
      <c r="Z213" s="25"/>
      <c r="AA213" s="99"/>
      <c r="AB213" s="3" t="str">
        <f>IF(BCP_Soles[[#This Row],[FECHA]]&gt;0,TEXT(BCP_Soles[[#This Row],[FECHA]],"mmmm"),0)</f>
        <v>Enero</v>
      </c>
    </row>
    <row r="214" spans="2:28" ht="24" x14ac:dyDescent="0.3">
      <c r="B214" s="2">
        <f>IF(BCP_Soles[[#This Row],[TIPO DE R.]]="R",COUNTIFS($D$4:$D213,"R")+1,"")</f>
        <v>148</v>
      </c>
      <c r="C214" s="19" t="str">
        <f t="shared" si="15"/>
        <v>B-BCP - Soles</v>
      </c>
      <c r="D214" s="3" t="s">
        <v>1074</v>
      </c>
      <c r="E214" s="14">
        <v>45676</v>
      </c>
      <c r="F214" s="5" t="s">
        <v>1245</v>
      </c>
      <c r="G214" s="5" t="s">
        <v>1087</v>
      </c>
      <c r="H214" s="6"/>
      <c r="I214" s="6"/>
      <c r="J214" s="6"/>
      <c r="K214" s="6"/>
      <c r="L214" s="7" t="s">
        <v>1100</v>
      </c>
      <c r="M214" s="8">
        <v>1131248</v>
      </c>
      <c r="N214" s="8" t="str">
        <f t="shared" si="16"/>
        <v>PEN</v>
      </c>
      <c r="O214" s="13"/>
      <c r="P214" s="13">
        <v>6726</v>
      </c>
      <c r="Q214" s="3">
        <f t="shared" si="17"/>
        <v>6726</v>
      </c>
      <c r="R214" s="3">
        <f t="shared" si="18"/>
        <v>0</v>
      </c>
      <c r="S214" s="3">
        <f t="shared" si="19"/>
        <v>11235.259999999998</v>
      </c>
      <c r="T214" s="24" t="s">
        <v>1081</v>
      </c>
      <c r="U214" s="24" t="s">
        <v>1081</v>
      </c>
      <c r="V214" s="67"/>
      <c r="W214" s="25" t="str">
        <f>IFERROR(VLOOKUP(BCP_Soles[[#This Row],[DESTINATARIO]],CHOOSE({1,2},Clientes_Proveedores[Razon Social],Clientes_Proveedores[Ruc / Dni]),2,0),"")</f>
        <v/>
      </c>
      <c r="X214" s="25" t="s">
        <v>1090</v>
      </c>
      <c r="Y214" s="25" t="s">
        <v>1351</v>
      </c>
      <c r="Z214" s="25"/>
      <c r="AA214" s="99"/>
      <c r="AB214" s="3" t="str">
        <f>IF(BCP_Soles[[#This Row],[FECHA]]&gt;0,TEXT(BCP_Soles[[#This Row],[FECHA]],"mmmm"),0)</f>
        <v>Enero</v>
      </c>
    </row>
    <row r="215" spans="2:28" ht="24" x14ac:dyDescent="0.3">
      <c r="B215" s="2">
        <f>IF(BCP_Soles[[#This Row],[TIPO DE R.]]="R",COUNTIFS($D$4:$D214,"R")+1,"")</f>
        <v>149</v>
      </c>
      <c r="C215" s="19" t="str">
        <f t="shared" si="15"/>
        <v>B-BCP - Soles</v>
      </c>
      <c r="D215" s="3" t="s">
        <v>1074</v>
      </c>
      <c r="E215" s="14">
        <v>45676</v>
      </c>
      <c r="F215" s="5" t="s">
        <v>376</v>
      </c>
      <c r="G215" s="5" t="s">
        <v>1087</v>
      </c>
      <c r="H215" s="6"/>
      <c r="I215" s="6"/>
      <c r="J215" s="6"/>
      <c r="K215" s="6"/>
      <c r="L215" s="7" t="s">
        <v>1352</v>
      </c>
      <c r="M215" s="8">
        <v>3617</v>
      </c>
      <c r="N215" s="8" t="str">
        <f t="shared" si="16"/>
        <v>PEN</v>
      </c>
      <c r="O215" s="13"/>
      <c r="P215" s="13">
        <v>600</v>
      </c>
      <c r="Q215" s="3">
        <f t="shared" si="17"/>
        <v>600</v>
      </c>
      <c r="R215" s="3">
        <f t="shared" si="18"/>
        <v>0</v>
      </c>
      <c r="S215" s="3">
        <f t="shared" si="19"/>
        <v>11835.259999999998</v>
      </c>
      <c r="T215" s="24" t="s">
        <v>1081</v>
      </c>
      <c r="U215" s="24" t="s">
        <v>1081</v>
      </c>
      <c r="V215" s="67"/>
      <c r="W215" s="25" t="str">
        <f>IFERROR(VLOOKUP(BCP_Soles[[#This Row],[DESTINATARIO]],CHOOSE({1,2},Clientes_Proveedores[Razon Social],Clientes_Proveedores[Ruc / Dni]),2,0),"")</f>
        <v/>
      </c>
      <c r="X215" s="25" t="s">
        <v>1090</v>
      </c>
      <c r="Y215" s="25" t="s">
        <v>1353</v>
      </c>
      <c r="Z215" s="25"/>
      <c r="AA215" s="99"/>
      <c r="AB215" s="3" t="str">
        <f>IF(BCP_Soles[[#This Row],[FECHA]]&gt;0,TEXT(BCP_Soles[[#This Row],[FECHA]],"mmmm"),0)</f>
        <v>Enero</v>
      </c>
    </row>
    <row r="216" spans="2:28" ht="24" x14ac:dyDescent="0.3">
      <c r="B216" s="2">
        <f>IF(BCP_Soles[[#This Row],[TIPO DE R.]]="R",COUNTIFS($D$4:$D215,"R")+1,"")</f>
        <v>150</v>
      </c>
      <c r="C216" s="19" t="str">
        <f t="shared" si="15"/>
        <v>B-BCP - Soles</v>
      </c>
      <c r="D216" s="3" t="s">
        <v>1074</v>
      </c>
      <c r="E216" s="14">
        <v>45676</v>
      </c>
      <c r="F216" s="5" t="s">
        <v>376</v>
      </c>
      <c r="G216" s="5" t="s">
        <v>1087</v>
      </c>
      <c r="H216" s="6"/>
      <c r="I216" s="6"/>
      <c r="J216" s="6"/>
      <c r="K216" s="6"/>
      <c r="L216" s="7" t="s">
        <v>1100</v>
      </c>
      <c r="M216" s="8">
        <v>2045081</v>
      </c>
      <c r="N216" s="8" t="str">
        <f t="shared" si="16"/>
        <v>PEN</v>
      </c>
      <c r="O216" s="13"/>
      <c r="P216" s="13">
        <v>92.2</v>
      </c>
      <c r="Q216" s="3">
        <f t="shared" si="17"/>
        <v>92.2</v>
      </c>
      <c r="R216" s="3">
        <f t="shared" si="18"/>
        <v>0</v>
      </c>
      <c r="S216" s="3">
        <f t="shared" si="19"/>
        <v>11927.46</v>
      </c>
      <c r="T216" s="24" t="s">
        <v>1081</v>
      </c>
      <c r="U216" s="24" t="s">
        <v>1081</v>
      </c>
      <c r="V216" s="67"/>
      <c r="W216" s="25" t="str">
        <f>IFERROR(VLOOKUP(BCP_Soles[[#This Row],[DESTINATARIO]],CHOOSE({1,2},Clientes_Proveedores[Razon Social],Clientes_Proveedores[Ruc / Dni]),2,0),"")</f>
        <v/>
      </c>
      <c r="X216" s="25" t="s">
        <v>1090</v>
      </c>
      <c r="Y216" s="25" t="s">
        <v>1353</v>
      </c>
      <c r="Z216" s="25"/>
      <c r="AA216" s="99"/>
      <c r="AB216" s="3" t="str">
        <f>IF(BCP_Soles[[#This Row],[FECHA]]&gt;0,TEXT(BCP_Soles[[#This Row],[FECHA]],"mmmm"),0)</f>
        <v>Enero</v>
      </c>
    </row>
    <row r="217" spans="2:28" ht="36" x14ac:dyDescent="0.3">
      <c r="B217" s="2">
        <f>IF(BCP_Soles[[#This Row],[TIPO DE R.]]="R",COUNTIFS($D$4:$D216,"R")+1,"")</f>
        <v>151</v>
      </c>
      <c r="C217" s="19" t="str">
        <f t="shared" si="15"/>
        <v>B-BCP - Soles</v>
      </c>
      <c r="D217" s="3" t="s">
        <v>1074</v>
      </c>
      <c r="E217" s="14">
        <v>45677</v>
      </c>
      <c r="F217" s="5" t="s">
        <v>1082</v>
      </c>
      <c r="G217" s="5" t="s">
        <v>1079</v>
      </c>
      <c r="H217" s="6"/>
      <c r="I217" s="6" t="s">
        <v>14</v>
      </c>
      <c r="J217" s="6" t="s">
        <v>1119</v>
      </c>
      <c r="K217" s="6">
        <v>175851</v>
      </c>
      <c r="L217" s="7" t="s">
        <v>1354</v>
      </c>
      <c r="M217" s="8">
        <v>1049963</v>
      </c>
      <c r="N217" s="8" t="str">
        <f t="shared" si="16"/>
        <v>PEN</v>
      </c>
      <c r="O217" s="13"/>
      <c r="P217" s="13">
        <v>1683.13</v>
      </c>
      <c r="Q217" s="3">
        <f t="shared" si="17"/>
        <v>0</v>
      </c>
      <c r="R217" s="3">
        <f t="shared" si="18"/>
        <v>1683.13</v>
      </c>
      <c r="S217" s="3">
        <f t="shared" si="19"/>
        <v>10244.329999999998</v>
      </c>
      <c r="T217" s="24" t="s">
        <v>1081</v>
      </c>
      <c r="U217" s="24" t="s">
        <v>1081</v>
      </c>
      <c r="V217" s="67"/>
      <c r="W217" s="25" t="str">
        <f>IFERROR(VLOOKUP(BCP_Soles[[#This Row],[DESTINATARIO]],CHOOSE({1,2},Clientes_Proveedores[Razon Social],Clientes_Proveedores[Ruc / Dni]),2,0),"")</f>
        <v/>
      </c>
      <c r="X217" s="25" t="s">
        <v>1355</v>
      </c>
      <c r="Y217" s="25" t="s">
        <v>1356</v>
      </c>
      <c r="Z217" s="25"/>
      <c r="AA217" s="99"/>
      <c r="AB217" s="3" t="str">
        <f>IF(BCP_Soles[[#This Row],[FECHA]]&gt;0,TEXT(BCP_Soles[[#This Row],[FECHA]],"mmmm"),0)</f>
        <v>Enero</v>
      </c>
    </row>
    <row r="218" spans="2:28" ht="24" x14ac:dyDescent="0.3">
      <c r="B218" s="2">
        <f>IF(BCP_Soles[[#This Row],[TIPO DE R.]]="R",COUNTIFS($D$4:$D217,"R")+1,"")</f>
        <v>152</v>
      </c>
      <c r="C218" s="19" t="str">
        <f t="shared" si="15"/>
        <v>B-BCP - Soles</v>
      </c>
      <c r="D218" s="3" t="s">
        <v>1074</v>
      </c>
      <c r="E218" s="14">
        <v>45677</v>
      </c>
      <c r="F218" s="5" t="s">
        <v>1357</v>
      </c>
      <c r="G218" s="5" t="s">
        <v>1087</v>
      </c>
      <c r="H218" s="6"/>
      <c r="I218" s="6"/>
      <c r="J218" s="6"/>
      <c r="K218" s="6"/>
      <c r="L218" s="7" t="s">
        <v>1358</v>
      </c>
      <c r="M218" s="8">
        <v>38756</v>
      </c>
      <c r="N218" s="8" t="str">
        <f t="shared" si="16"/>
        <v>PEN</v>
      </c>
      <c r="O218" s="13"/>
      <c r="P218" s="13">
        <v>200</v>
      </c>
      <c r="Q218" s="3">
        <f t="shared" si="17"/>
        <v>200</v>
      </c>
      <c r="R218" s="3">
        <f t="shared" si="18"/>
        <v>0</v>
      </c>
      <c r="S218" s="3">
        <f t="shared" si="19"/>
        <v>10444.329999999998</v>
      </c>
      <c r="T218" s="24" t="s">
        <v>1081</v>
      </c>
      <c r="U218" s="24" t="s">
        <v>1081</v>
      </c>
      <c r="V218" s="67"/>
      <c r="W218" s="25" t="str">
        <f>IFERROR(VLOOKUP(BCP_Soles[[#This Row],[DESTINATARIO]],CHOOSE({1,2},Clientes_Proveedores[Razon Social],Clientes_Proveedores[Ruc / Dni]),2,0),"")</f>
        <v/>
      </c>
      <c r="X218" s="25" t="s">
        <v>1090</v>
      </c>
      <c r="Y218" s="25" t="s">
        <v>1359</v>
      </c>
      <c r="Z218" s="25"/>
      <c r="AA218" s="99"/>
      <c r="AB218" s="3" t="str">
        <f>IF(BCP_Soles[[#This Row],[FECHA]]&gt;0,TEXT(BCP_Soles[[#This Row],[FECHA]],"mmmm"),0)</f>
        <v>Enero</v>
      </c>
    </row>
    <row r="219" spans="2:28" ht="24" x14ac:dyDescent="0.3">
      <c r="B219" s="2">
        <f>IF(BCP_Soles[[#This Row],[TIPO DE R.]]="R",COUNTIFS($D$4:$D218,"R")+1,"")</f>
        <v>153</v>
      </c>
      <c r="C219" s="19" t="str">
        <f t="shared" si="15"/>
        <v>B-BCP - Soles</v>
      </c>
      <c r="D219" s="3" t="s">
        <v>1074</v>
      </c>
      <c r="E219" s="14">
        <v>45677</v>
      </c>
      <c r="F219" s="5" t="s">
        <v>1357</v>
      </c>
      <c r="G219" s="5" t="s">
        <v>1087</v>
      </c>
      <c r="H219" s="6"/>
      <c r="I219" s="6"/>
      <c r="J219" s="6"/>
      <c r="K219" s="6"/>
      <c r="L219" s="7" t="s">
        <v>1358</v>
      </c>
      <c r="M219" s="8">
        <v>38751</v>
      </c>
      <c r="N219" s="8" t="str">
        <f t="shared" si="16"/>
        <v>PEN</v>
      </c>
      <c r="O219" s="13"/>
      <c r="P219" s="13">
        <v>1000</v>
      </c>
      <c r="Q219" s="3">
        <f t="shared" si="17"/>
        <v>1000</v>
      </c>
      <c r="R219" s="3">
        <f t="shared" si="18"/>
        <v>0</v>
      </c>
      <c r="S219" s="3">
        <f t="shared" si="19"/>
        <v>11444.329999999998</v>
      </c>
      <c r="T219" s="24" t="s">
        <v>1081</v>
      </c>
      <c r="U219" s="24" t="s">
        <v>1081</v>
      </c>
      <c r="V219" s="67"/>
      <c r="W219" s="25" t="str">
        <f>IFERROR(VLOOKUP(BCP_Soles[[#This Row],[DESTINATARIO]],CHOOSE({1,2},Clientes_Proveedores[Razon Social],Clientes_Proveedores[Ruc / Dni]),2,0),"")</f>
        <v/>
      </c>
      <c r="X219" s="25" t="s">
        <v>1090</v>
      </c>
      <c r="Y219" s="25" t="s">
        <v>1359</v>
      </c>
      <c r="Z219" s="25"/>
      <c r="AA219" s="99"/>
      <c r="AB219" s="3" t="str">
        <f>IF(BCP_Soles[[#This Row],[FECHA]]&gt;0,TEXT(BCP_Soles[[#This Row],[FECHA]],"mmmm"),0)</f>
        <v>Enero</v>
      </c>
    </row>
    <row r="220" spans="2:28" x14ac:dyDescent="0.3">
      <c r="B220" s="2">
        <f>IF(BCP_Soles[[#This Row],[TIPO DE R.]]="R",COUNTIFS($D$4:$D219,"R")+1,"")</f>
        <v>154</v>
      </c>
      <c r="C220" s="19" t="str">
        <f t="shared" si="15"/>
        <v>B-BCP - Soles</v>
      </c>
      <c r="D220" s="3" t="s">
        <v>1074</v>
      </c>
      <c r="E220" s="14">
        <v>45677</v>
      </c>
      <c r="F220" s="5" t="s">
        <v>1078</v>
      </c>
      <c r="G220" s="5" t="s">
        <v>1079</v>
      </c>
      <c r="H220" s="6"/>
      <c r="I220" s="6"/>
      <c r="J220" s="6"/>
      <c r="K220" s="6"/>
      <c r="L220" s="7" t="s">
        <v>1080</v>
      </c>
      <c r="M220" s="8"/>
      <c r="N220" s="8" t="str">
        <f t="shared" si="16"/>
        <v>PEN</v>
      </c>
      <c r="O220" s="13"/>
      <c r="P220" s="13">
        <v>0.35</v>
      </c>
      <c r="Q220" s="3">
        <f t="shared" si="17"/>
        <v>0</v>
      </c>
      <c r="R220" s="3">
        <f t="shared" si="18"/>
        <v>0.35</v>
      </c>
      <c r="S220" s="3">
        <f t="shared" si="19"/>
        <v>11443.979999999998</v>
      </c>
      <c r="T220" s="24"/>
      <c r="U220" s="24" t="s">
        <v>1081</v>
      </c>
      <c r="V220" s="67"/>
      <c r="W220" s="25" t="str">
        <f>IFERROR(VLOOKUP(BCP_Soles[[#This Row],[DESTINATARIO]],CHOOSE({1,2},Clientes_Proveedores[Razon Social],Clientes_Proveedores[Ruc / Dni]),2,0),"")</f>
        <v/>
      </c>
      <c r="X220" s="25"/>
      <c r="Y220" s="25"/>
      <c r="Z220" s="25"/>
      <c r="AA220" s="99"/>
      <c r="AB220" s="3" t="str">
        <f>IF(BCP_Soles[[#This Row],[FECHA]]&gt;0,TEXT(BCP_Soles[[#This Row],[FECHA]],"mmmm"),0)</f>
        <v>Enero</v>
      </c>
    </row>
    <row r="221" spans="2:28" x14ac:dyDescent="0.3">
      <c r="B221" s="2">
        <f>IF(BCP_Soles[[#This Row],[TIPO DE R.]]="R",COUNTIFS($D$4:$D220,"R")+1,"")</f>
        <v>155</v>
      </c>
      <c r="C221" s="19" t="str">
        <f t="shared" si="15"/>
        <v>B-BCP - Soles</v>
      </c>
      <c r="D221" s="3" t="s">
        <v>1074</v>
      </c>
      <c r="E221" s="14">
        <v>45677</v>
      </c>
      <c r="F221" s="5" t="s">
        <v>1082</v>
      </c>
      <c r="G221" s="5" t="s">
        <v>1079</v>
      </c>
      <c r="H221" s="6" t="s">
        <v>637</v>
      </c>
      <c r="I221" s="6" t="s">
        <v>14</v>
      </c>
      <c r="J221" s="6" t="s">
        <v>1122</v>
      </c>
      <c r="K221" s="6">
        <v>143182</v>
      </c>
      <c r="L221" s="7" t="s">
        <v>1123</v>
      </c>
      <c r="M221" s="8">
        <v>207777</v>
      </c>
      <c r="N221" s="8" t="str">
        <f t="shared" si="16"/>
        <v>PEN</v>
      </c>
      <c r="O221" s="13"/>
      <c r="P221" s="13">
        <v>2263.7399999999998</v>
      </c>
      <c r="Q221" s="3">
        <f t="shared" si="17"/>
        <v>0</v>
      </c>
      <c r="R221" s="3">
        <f t="shared" si="18"/>
        <v>2263.7399999999998</v>
      </c>
      <c r="S221" s="3">
        <f t="shared" si="19"/>
        <v>9180.239999999998</v>
      </c>
      <c r="T221" s="24" t="s">
        <v>1081</v>
      </c>
      <c r="U221" s="24" t="s">
        <v>1081</v>
      </c>
      <c r="V221" s="67"/>
      <c r="W221" s="25">
        <f>IFERROR(VLOOKUP(BCP_Soles[[#This Row],[DESTINATARIO]],CHOOSE({1,2},Clientes_Proveedores[Razon Social],Clientes_Proveedores[Ruc / Dni]),2,0),"")</f>
        <v>20127765279</v>
      </c>
      <c r="X221" s="25" t="s">
        <v>1124</v>
      </c>
      <c r="Y221" s="25" t="s">
        <v>1360</v>
      </c>
      <c r="Z221" s="25"/>
      <c r="AA221" s="99"/>
      <c r="AB221" s="3" t="str">
        <f>IF(BCP_Soles[[#This Row],[FECHA]]&gt;0,TEXT(BCP_Soles[[#This Row],[FECHA]],"mmmm"),0)</f>
        <v>Enero</v>
      </c>
    </row>
    <row r="222" spans="2:28" x14ac:dyDescent="0.3">
      <c r="B222" s="2">
        <f>IF(BCP_Soles[[#This Row],[TIPO DE R.]]="R",COUNTIFS($D$4:$D221,"R")+1,"")</f>
        <v>156</v>
      </c>
      <c r="C222" s="19" t="str">
        <f t="shared" si="15"/>
        <v>B-BCP - Soles</v>
      </c>
      <c r="D222" s="3" t="s">
        <v>1074</v>
      </c>
      <c r="E222" s="14">
        <v>45677</v>
      </c>
      <c r="F222" s="5" t="s">
        <v>1082</v>
      </c>
      <c r="G222" s="5" t="s">
        <v>1079</v>
      </c>
      <c r="H222" s="6"/>
      <c r="I222" s="6"/>
      <c r="J222" s="6"/>
      <c r="K222" s="6"/>
      <c r="L222" s="7" t="s">
        <v>1361</v>
      </c>
      <c r="M222" s="8">
        <v>3743193</v>
      </c>
      <c r="N222" s="8" t="str">
        <f t="shared" si="16"/>
        <v>PEN</v>
      </c>
      <c r="O222" s="13"/>
      <c r="P222" s="13">
        <v>2137.33</v>
      </c>
      <c r="Q222" s="3">
        <f t="shared" si="17"/>
        <v>0</v>
      </c>
      <c r="R222" s="3">
        <f t="shared" si="18"/>
        <v>2137.33</v>
      </c>
      <c r="S222" s="3">
        <f t="shared" si="19"/>
        <v>7042.909999999998</v>
      </c>
      <c r="T222" s="24" t="s">
        <v>1081</v>
      </c>
      <c r="U222" s="24"/>
      <c r="V222" s="67"/>
      <c r="W222" s="25" t="str">
        <f>IFERROR(VLOOKUP(BCP_Soles[[#This Row],[DESTINATARIO]],CHOOSE({1,2},Clientes_Proveedores[Razon Social],Clientes_Proveedores[Ruc / Dni]),2,0),"")</f>
        <v/>
      </c>
      <c r="X222" s="25" t="s">
        <v>1118</v>
      </c>
      <c r="Y222" s="25"/>
      <c r="Z222" s="25"/>
      <c r="AA222" s="99"/>
      <c r="AB222" s="3" t="str">
        <f>IF(BCP_Soles[[#This Row],[FECHA]]&gt;0,TEXT(BCP_Soles[[#This Row],[FECHA]],"mmmm"),0)</f>
        <v>Enero</v>
      </c>
    </row>
    <row r="223" spans="2:28" x14ac:dyDescent="0.3">
      <c r="B223" s="2" t="str">
        <f>IF(BCP_Soles[[#This Row],[TIPO DE R.]]="R",COUNTIFS($D$4:$D222,"R")+1,"")</f>
        <v/>
      </c>
      <c r="C223" s="19" t="str">
        <f t="shared" si="15"/>
        <v>B-BCP - Soles</v>
      </c>
      <c r="D223" s="3" t="s">
        <v>1101</v>
      </c>
      <c r="E223" s="14">
        <v>45677</v>
      </c>
      <c r="F223" s="5" t="s">
        <v>1082</v>
      </c>
      <c r="G223" s="5"/>
      <c r="H223" s="6" t="s">
        <v>245</v>
      </c>
      <c r="I223" s="6" t="s">
        <v>14</v>
      </c>
      <c r="J223" s="6" t="s">
        <v>1119</v>
      </c>
      <c r="K223" s="6">
        <v>18436</v>
      </c>
      <c r="L223" s="7" t="s">
        <v>1361</v>
      </c>
      <c r="M223" s="8">
        <v>3743193</v>
      </c>
      <c r="N223" s="8" t="str">
        <f t="shared" si="16"/>
        <v>PEN</v>
      </c>
      <c r="O223" s="13">
        <v>335.6</v>
      </c>
      <c r="P223" s="13"/>
      <c r="Q223" s="3">
        <f t="shared" si="17"/>
        <v>0</v>
      </c>
      <c r="R223" s="3">
        <f t="shared" si="18"/>
        <v>0</v>
      </c>
      <c r="S223" s="3">
        <f t="shared" si="19"/>
        <v>7042.909999999998</v>
      </c>
      <c r="T223" s="24"/>
      <c r="U223" s="24"/>
      <c r="V223" s="67"/>
      <c r="W223" s="25">
        <f>IFERROR(VLOOKUP(BCP_Soles[[#This Row],[DESTINATARIO]],CHOOSE({1,2},Clientes_Proveedores[Razon Social],Clientes_Proveedores[Ruc / Dni]),2,0),"")</f>
        <v>20455731926</v>
      </c>
      <c r="X223" s="25"/>
      <c r="Y223" s="25"/>
      <c r="Z223" s="25"/>
      <c r="AA223" s="99"/>
      <c r="AB223" s="3" t="str">
        <f>IF(BCP_Soles[[#This Row],[FECHA]]&gt;0,TEXT(BCP_Soles[[#This Row],[FECHA]],"mmmm"),0)</f>
        <v>Enero</v>
      </c>
    </row>
    <row r="224" spans="2:28" x14ac:dyDescent="0.3">
      <c r="B224" s="2" t="str">
        <f>IF(BCP_Soles[[#This Row],[TIPO DE R.]]="R",COUNTIFS($D$4:$D223,"R")+1,"")</f>
        <v/>
      </c>
      <c r="C224" s="19" t="str">
        <f t="shared" si="15"/>
        <v>B-BCP - Soles</v>
      </c>
      <c r="D224" s="3" t="s">
        <v>1101</v>
      </c>
      <c r="E224" s="14">
        <v>45677</v>
      </c>
      <c r="F224" s="5" t="s">
        <v>1082</v>
      </c>
      <c r="G224" s="5"/>
      <c r="H224" s="6" t="s">
        <v>436</v>
      </c>
      <c r="I224" s="6" t="s">
        <v>14</v>
      </c>
      <c r="J224" s="6" t="s">
        <v>1119</v>
      </c>
      <c r="K224" s="6">
        <v>8716</v>
      </c>
      <c r="L224" s="7" t="s">
        <v>1361</v>
      </c>
      <c r="M224" s="8">
        <v>3743193</v>
      </c>
      <c r="N224" s="8" t="str">
        <f t="shared" si="16"/>
        <v>PEN</v>
      </c>
      <c r="O224" s="13">
        <v>113.28</v>
      </c>
      <c r="P224" s="13"/>
      <c r="Q224" s="3">
        <f t="shared" si="17"/>
        <v>0</v>
      </c>
      <c r="R224" s="3">
        <f t="shared" si="18"/>
        <v>0</v>
      </c>
      <c r="S224" s="3">
        <f t="shared" si="19"/>
        <v>7042.909999999998</v>
      </c>
      <c r="T224" s="24"/>
      <c r="U224" s="24"/>
      <c r="V224" s="67"/>
      <c r="W224" s="25">
        <f>IFERROR(VLOOKUP(BCP_Soles[[#This Row],[DESTINATARIO]],CHOOSE({1,2},Clientes_Proveedores[Razon Social],Clientes_Proveedores[Ruc / Dni]),2,0),"")</f>
        <v>20602751326</v>
      </c>
      <c r="X224" s="25"/>
      <c r="Y224" s="25"/>
      <c r="Z224" s="25"/>
      <c r="AA224" s="99"/>
      <c r="AB224" s="3" t="str">
        <f>IF(BCP_Soles[[#This Row],[FECHA]]&gt;0,TEXT(BCP_Soles[[#This Row],[FECHA]],"mmmm"),0)</f>
        <v>Enero</v>
      </c>
    </row>
    <row r="225" spans="2:28" x14ac:dyDescent="0.3">
      <c r="B225" s="2" t="str">
        <f>IF(BCP_Soles[[#This Row],[TIPO DE R.]]="R",COUNTIFS($D$4:$D224,"R")+1,"")</f>
        <v/>
      </c>
      <c r="C225" s="19" t="str">
        <f t="shared" si="15"/>
        <v>B-BCP - Soles</v>
      </c>
      <c r="D225" s="3" t="s">
        <v>1101</v>
      </c>
      <c r="E225" s="14">
        <v>45677</v>
      </c>
      <c r="F225" s="5" t="s">
        <v>1082</v>
      </c>
      <c r="G225" s="5"/>
      <c r="H225" s="6" t="s">
        <v>465</v>
      </c>
      <c r="I225" s="6" t="s">
        <v>14</v>
      </c>
      <c r="J225" s="6" t="s">
        <v>1121</v>
      </c>
      <c r="K225" s="6">
        <v>3649</v>
      </c>
      <c r="L225" s="7" t="s">
        <v>1361</v>
      </c>
      <c r="M225" s="8">
        <v>3743193</v>
      </c>
      <c r="N225" s="8" t="str">
        <f t="shared" si="16"/>
        <v>PEN</v>
      </c>
      <c r="O225" s="13">
        <v>150.44999999999999</v>
      </c>
      <c r="P225" s="13"/>
      <c r="Q225" s="3">
        <f t="shared" si="17"/>
        <v>0</v>
      </c>
      <c r="R225" s="3">
        <f t="shared" si="18"/>
        <v>0</v>
      </c>
      <c r="S225" s="3">
        <f t="shared" si="19"/>
        <v>7042.909999999998</v>
      </c>
      <c r="T225" s="24"/>
      <c r="U225" s="24"/>
      <c r="V225" s="67"/>
      <c r="W225" s="25">
        <f>IFERROR(VLOOKUP(BCP_Soles[[#This Row],[DESTINATARIO]],CHOOSE({1,2},Clientes_Proveedores[Razon Social],Clientes_Proveedores[Ruc / Dni]),2,0),"")</f>
        <v>20603974817</v>
      </c>
      <c r="X225" s="25"/>
      <c r="Y225" s="25"/>
      <c r="Z225" s="25"/>
      <c r="AA225" s="99"/>
      <c r="AB225" s="3" t="str">
        <f>IF(BCP_Soles[[#This Row],[FECHA]]&gt;0,TEXT(BCP_Soles[[#This Row],[FECHA]],"mmmm"),0)</f>
        <v>Enero</v>
      </c>
    </row>
    <row r="226" spans="2:28" ht="36" x14ac:dyDescent="0.3">
      <c r="B226" s="2" t="str">
        <f>IF(BCP_Soles[[#This Row],[TIPO DE R.]]="R",COUNTIFS($D$4:$D225,"R")+1,"")</f>
        <v/>
      </c>
      <c r="C226" s="19" t="str">
        <f t="shared" si="15"/>
        <v>B-BCP - Soles</v>
      </c>
      <c r="D226" s="3" t="s">
        <v>1101</v>
      </c>
      <c r="E226" s="14">
        <v>45677</v>
      </c>
      <c r="F226" s="5" t="s">
        <v>1082</v>
      </c>
      <c r="G226" s="5"/>
      <c r="H226" s="6" t="s">
        <v>97</v>
      </c>
      <c r="I226" s="6" t="s">
        <v>14</v>
      </c>
      <c r="J226" s="6" t="s">
        <v>1121</v>
      </c>
      <c r="K226" s="6">
        <v>371</v>
      </c>
      <c r="L226" s="7" t="s">
        <v>1361</v>
      </c>
      <c r="M226" s="8">
        <v>3743193</v>
      </c>
      <c r="N226" s="8" t="str">
        <f t="shared" si="16"/>
        <v>PEN</v>
      </c>
      <c r="O226" s="13">
        <v>290</v>
      </c>
      <c r="P226" s="13"/>
      <c r="Q226" s="3">
        <f t="shared" si="17"/>
        <v>0</v>
      </c>
      <c r="R226" s="3">
        <f t="shared" si="18"/>
        <v>0</v>
      </c>
      <c r="S226" s="3">
        <f t="shared" si="19"/>
        <v>7042.909999999998</v>
      </c>
      <c r="T226" s="24"/>
      <c r="U226" s="24"/>
      <c r="V226" s="67"/>
      <c r="W226" s="25">
        <f>IFERROR(VLOOKUP(BCP_Soles[[#This Row],[DESTINATARIO]],CHOOSE({1,2},Clientes_Proveedores[Razon Social],Clientes_Proveedores[Ruc / Dni]),2,0),"")</f>
        <v>10405211179</v>
      </c>
      <c r="X226" s="25"/>
      <c r="Y226" s="25"/>
      <c r="Z226" s="25"/>
      <c r="AA226" s="99"/>
      <c r="AB226" s="3" t="str">
        <f>IF(BCP_Soles[[#This Row],[FECHA]]&gt;0,TEXT(BCP_Soles[[#This Row],[FECHA]],"mmmm"),0)</f>
        <v>Enero</v>
      </c>
    </row>
    <row r="227" spans="2:28" ht="36" x14ac:dyDescent="0.3">
      <c r="B227" s="2" t="str">
        <f>IF(BCP_Soles[[#This Row],[TIPO DE R.]]="R",COUNTIFS($D$4:$D226,"R")+1,"")</f>
        <v/>
      </c>
      <c r="C227" s="19" t="str">
        <f t="shared" si="15"/>
        <v>B-BCP - Soles</v>
      </c>
      <c r="D227" s="3" t="s">
        <v>1101</v>
      </c>
      <c r="E227" s="14">
        <v>45677</v>
      </c>
      <c r="F227" s="5" t="s">
        <v>1082</v>
      </c>
      <c r="G227" s="5"/>
      <c r="H227" s="6" t="s">
        <v>250</v>
      </c>
      <c r="I227" s="6" t="s">
        <v>14</v>
      </c>
      <c r="J227" s="6" t="s">
        <v>1121</v>
      </c>
      <c r="K227" s="6">
        <v>144</v>
      </c>
      <c r="L227" s="7" t="s">
        <v>1361</v>
      </c>
      <c r="M227" s="8">
        <v>3743193</v>
      </c>
      <c r="N227" s="8" t="str">
        <f t="shared" si="16"/>
        <v>PEN</v>
      </c>
      <c r="O227" s="13">
        <v>1248</v>
      </c>
      <c r="P227" s="13"/>
      <c r="Q227" s="3">
        <f t="shared" si="17"/>
        <v>0</v>
      </c>
      <c r="R227" s="3">
        <f t="shared" si="18"/>
        <v>0</v>
      </c>
      <c r="S227" s="3">
        <f t="shared" si="19"/>
        <v>7042.909999999998</v>
      </c>
      <c r="T227" s="24"/>
      <c r="U227" s="24"/>
      <c r="V227" s="67"/>
      <c r="W227" s="25">
        <f>IFERROR(VLOOKUP(BCP_Soles[[#This Row],[DESTINATARIO]],CHOOSE({1,2},Clientes_Proveedores[Razon Social],Clientes_Proveedores[Ruc / Dni]),2,0),"")</f>
        <v>20455932824</v>
      </c>
      <c r="X227" s="25"/>
      <c r="Y227" s="25"/>
      <c r="Z227" s="25"/>
      <c r="AA227" s="99"/>
      <c r="AB227" s="3" t="str">
        <f>IF(BCP_Soles[[#This Row],[FECHA]]&gt;0,TEXT(BCP_Soles[[#This Row],[FECHA]],"mmmm"),0)</f>
        <v>Enero</v>
      </c>
    </row>
    <row r="228" spans="2:28" ht="24" x14ac:dyDescent="0.3">
      <c r="B228" s="2">
        <f>IF(BCP_Soles[[#This Row],[TIPO DE R.]]="R",COUNTIFS($D$4:$D227,"R")+1,"")</f>
        <v>157</v>
      </c>
      <c r="C228" s="19" t="str">
        <f t="shared" si="15"/>
        <v>B-BCP - Soles</v>
      </c>
      <c r="D228" s="3" t="s">
        <v>1074</v>
      </c>
      <c r="E228" s="14">
        <v>45677</v>
      </c>
      <c r="F228" s="5" t="s">
        <v>1082</v>
      </c>
      <c r="G228" s="5" t="s">
        <v>1079</v>
      </c>
      <c r="H228" s="6"/>
      <c r="I228" s="6"/>
      <c r="J228" s="6"/>
      <c r="K228" s="6"/>
      <c r="L228" s="7" t="s">
        <v>1362</v>
      </c>
      <c r="M228" s="8">
        <v>1167596</v>
      </c>
      <c r="N228" s="8" t="str">
        <f t="shared" si="16"/>
        <v>PEN</v>
      </c>
      <c r="O228" s="13"/>
      <c r="P228" s="13">
        <v>1763.08</v>
      </c>
      <c r="Q228" s="3">
        <f t="shared" si="17"/>
        <v>0</v>
      </c>
      <c r="R228" s="3">
        <f t="shared" si="18"/>
        <v>1763.08</v>
      </c>
      <c r="S228" s="3">
        <f t="shared" si="19"/>
        <v>5279.8299999999981</v>
      </c>
      <c r="T228" s="24"/>
      <c r="U228" s="24"/>
      <c r="V228" s="67"/>
      <c r="W228" s="25" t="str">
        <f>IFERROR(VLOOKUP(BCP_Soles[[#This Row],[DESTINATARIO]],CHOOSE({1,2},Clientes_Proveedores[Razon Social],Clientes_Proveedores[Ruc / Dni]),2,0),"")</f>
        <v/>
      </c>
      <c r="X228" s="25" t="s">
        <v>793</v>
      </c>
      <c r="Y228" s="25"/>
      <c r="Z228" s="25"/>
      <c r="AA228" s="99"/>
      <c r="AB228" s="3" t="str">
        <f>IF(BCP_Soles[[#This Row],[FECHA]]&gt;0,TEXT(BCP_Soles[[#This Row],[FECHA]],"mmmm"),0)</f>
        <v>Enero</v>
      </c>
    </row>
    <row r="229" spans="2:28" x14ac:dyDescent="0.3">
      <c r="B229" s="2">
        <f>IF(BCP_Soles[[#This Row],[TIPO DE R.]]="R",COUNTIFS($D$4:$D228,"R")+1,"")</f>
        <v>158</v>
      </c>
      <c r="C229" s="19" t="str">
        <f t="shared" si="15"/>
        <v>B-BCP - Soles</v>
      </c>
      <c r="D229" s="3" t="s">
        <v>1074</v>
      </c>
      <c r="E229" s="14">
        <v>45677</v>
      </c>
      <c r="F229" s="5" t="s">
        <v>1082</v>
      </c>
      <c r="G229" s="5" t="s">
        <v>1079</v>
      </c>
      <c r="H229" s="6" t="s">
        <v>637</v>
      </c>
      <c r="I229" s="6" t="s">
        <v>14</v>
      </c>
      <c r="J229" s="6" t="s">
        <v>1122</v>
      </c>
      <c r="K229" s="6">
        <v>143100</v>
      </c>
      <c r="L229" s="7" t="s">
        <v>1123</v>
      </c>
      <c r="M229" s="8">
        <v>214748</v>
      </c>
      <c r="N229" s="8" t="str">
        <f t="shared" si="16"/>
        <v>PEN</v>
      </c>
      <c r="O229" s="13"/>
      <c r="P229" s="13">
        <v>836.93</v>
      </c>
      <c r="Q229" s="3">
        <f t="shared" si="17"/>
        <v>0</v>
      </c>
      <c r="R229" s="3">
        <f t="shared" si="18"/>
        <v>836.93</v>
      </c>
      <c r="S229" s="3">
        <f t="shared" si="19"/>
        <v>4442.8999999999978</v>
      </c>
      <c r="T229" s="24" t="s">
        <v>1081</v>
      </c>
      <c r="U229" s="24" t="s">
        <v>1081</v>
      </c>
      <c r="V229" s="67"/>
      <c r="W229" s="25">
        <f>IFERROR(VLOOKUP(BCP_Soles[[#This Row],[DESTINATARIO]],CHOOSE({1,2},Clientes_Proveedores[Razon Social],Clientes_Proveedores[Ruc / Dni]),2,0),"")</f>
        <v>20127765279</v>
      </c>
      <c r="X229" s="25" t="s">
        <v>1124</v>
      </c>
      <c r="Y229" s="25" t="s">
        <v>1363</v>
      </c>
      <c r="Z229" s="25"/>
      <c r="AA229" s="99"/>
      <c r="AB229" s="3" t="str">
        <f>IF(BCP_Soles[[#This Row],[FECHA]]&gt;0,TEXT(BCP_Soles[[#This Row],[FECHA]],"mmmm"),0)</f>
        <v>Enero</v>
      </c>
    </row>
    <row r="230" spans="2:28" ht="24" x14ac:dyDescent="0.3">
      <c r="B230" s="2">
        <f>IF(BCP_Soles[[#This Row],[TIPO DE R.]]="R",COUNTIFS($D$4:$D229,"R")+1,"")</f>
        <v>159</v>
      </c>
      <c r="C230" s="19" t="str">
        <f t="shared" si="15"/>
        <v>B-BCP - Soles</v>
      </c>
      <c r="D230" s="3" t="s">
        <v>1074</v>
      </c>
      <c r="E230" s="14">
        <v>45677</v>
      </c>
      <c r="F230" s="5" t="s">
        <v>1082</v>
      </c>
      <c r="G230" s="5" t="s">
        <v>1079</v>
      </c>
      <c r="H230" s="6" t="s">
        <v>184</v>
      </c>
      <c r="I230" s="6" t="s">
        <v>14</v>
      </c>
      <c r="J230" s="6" t="s">
        <v>1083</v>
      </c>
      <c r="K230" s="6">
        <v>7084</v>
      </c>
      <c r="L230" s="7" t="s">
        <v>1364</v>
      </c>
      <c r="M230" s="8">
        <v>1123760</v>
      </c>
      <c r="N230" s="8" t="str">
        <f t="shared" si="16"/>
        <v>PEN</v>
      </c>
      <c r="O230" s="13"/>
      <c r="P230" s="13">
        <v>147.5</v>
      </c>
      <c r="Q230" s="3">
        <f t="shared" si="17"/>
        <v>0</v>
      </c>
      <c r="R230" s="3">
        <f t="shared" si="18"/>
        <v>147.5</v>
      </c>
      <c r="S230" s="3">
        <f t="shared" si="19"/>
        <v>4295.3999999999978</v>
      </c>
      <c r="T230" s="24" t="s">
        <v>1081</v>
      </c>
      <c r="U230" s="24" t="s">
        <v>1081</v>
      </c>
      <c r="V230" s="67"/>
      <c r="W230" s="25">
        <f>IFERROR(VLOOKUP(BCP_Soles[[#This Row],[DESTINATARIO]],CHOOSE({1,2},Clientes_Proveedores[Razon Social],Clientes_Proveedores[Ruc / Dni]),2,0),"")</f>
        <v>20170040938</v>
      </c>
      <c r="X230" s="25" t="s">
        <v>1085</v>
      </c>
      <c r="Y230" s="25" t="s">
        <v>1365</v>
      </c>
      <c r="Z230" s="25"/>
      <c r="AA230" s="99"/>
      <c r="AB230" s="3" t="str">
        <f>IF(BCP_Soles[[#This Row],[FECHA]]&gt;0,TEXT(BCP_Soles[[#This Row],[FECHA]],"mmmm"),0)</f>
        <v>Enero</v>
      </c>
    </row>
    <row r="231" spans="2:28" ht="24" x14ac:dyDescent="0.3">
      <c r="B231" s="2">
        <f>IF(BCP_Soles[[#This Row],[TIPO DE R.]]="R",COUNTIFS($D$4:$D230,"R")+1,"")</f>
        <v>160</v>
      </c>
      <c r="C231" s="19" t="str">
        <f t="shared" si="15"/>
        <v>B-BCP - Soles</v>
      </c>
      <c r="D231" s="3" t="s">
        <v>1074</v>
      </c>
      <c r="E231" s="14">
        <v>45677</v>
      </c>
      <c r="F231" s="5" t="s">
        <v>1082</v>
      </c>
      <c r="G231" s="5" t="s">
        <v>1079</v>
      </c>
      <c r="H231" s="6" t="s">
        <v>184</v>
      </c>
      <c r="I231" s="6" t="s">
        <v>14</v>
      </c>
      <c r="J231" s="6" t="s">
        <v>1083</v>
      </c>
      <c r="K231" s="6">
        <v>7083</v>
      </c>
      <c r="L231" s="7" t="s">
        <v>1366</v>
      </c>
      <c r="M231" s="8">
        <v>1172712</v>
      </c>
      <c r="N231" s="8" t="str">
        <f t="shared" si="16"/>
        <v>PEN</v>
      </c>
      <c r="O231" s="13"/>
      <c r="P231" s="13">
        <v>80.489999999999995</v>
      </c>
      <c r="Q231" s="3">
        <f t="shared" si="17"/>
        <v>0</v>
      </c>
      <c r="R231" s="3">
        <f t="shared" si="18"/>
        <v>80.489999999999995</v>
      </c>
      <c r="S231" s="3">
        <f t="shared" si="19"/>
        <v>4214.909999999998</v>
      </c>
      <c r="T231" s="24" t="s">
        <v>1081</v>
      </c>
      <c r="U231" s="24" t="s">
        <v>1081</v>
      </c>
      <c r="V231" s="67"/>
      <c r="W231" s="25">
        <f>IFERROR(VLOOKUP(BCP_Soles[[#This Row],[DESTINATARIO]],CHOOSE({1,2},Clientes_Proveedores[Razon Social],Clientes_Proveedores[Ruc / Dni]),2,0),"")</f>
        <v>20170040938</v>
      </c>
      <c r="X231" s="25" t="s">
        <v>1085</v>
      </c>
      <c r="Y231" s="25" t="s">
        <v>1367</v>
      </c>
      <c r="Z231" s="25"/>
      <c r="AA231" s="99"/>
      <c r="AB231" s="3" t="str">
        <f>IF(BCP_Soles[[#This Row],[FECHA]]&gt;0,TEXT(BCP_Soles[[#This Row],[FECHA]],"mmmm"),0)</f>
        <v>Enero</v>
      </c>
    </row>
    <row r="232" spans="2:28" ht="36" x14ac:dyDescent="0.3">
      <c r="B232" s="2">
        <f>IF(BCP_Soles[[#This Row],[TIPO DE R.]]="R",COUNTIFS($D$4:$D231,"R")+1,"")</f>
        <v>161</v>
      </c>
      <c r="C232" s="19" t="str">
        <f t="shared" si="15"/>
        <v>B-BCP - Soles</v>
      </c>
      <c r="D232" s="3" t="s">
        <v>1074</v>
      </c>
      <c r="E232" s="14">
        <v>45677</v>
      </c>
      <c r="F232" s="5" t="s">
        <v>1368</v>
      </c>
      <c r="G232" s="5" t="s">
        <v>1087</v>
      </c>
      <c r="H232" s="6"/>
      <c r="I232" s="6"/>
      <c r="J232" s="6"/>
      <c r="K232" s="6"/>
      <c r="L232" s="7" t="s">
        <v>1100</v>
      </c>
      <c r="M232" s="8">
        <v>2895554</v>
      </c>
      <c r="N232" s="8" t="str">
        <f t="shared" si="16"/>
        <v>PEN</v>
      </c>
      <c r="O232" s="13"/>
      <c r="P232" s="13">
        <v>2466</v>
      </c>
      <c r="Q232" s="3">
        <f t="shared" si="17"/>
        <v>2466</v>
      </c>
      <c r="R232" s="3">
        <f t="shared" si="18"/>
        <v>0</v>
      </c>
      <c r="S232" s="3">
        <f t="shared" si="19"/>
        <v>6680.909999999998</v>
      </c>
      <c r="T232" s="24" t="s">
        <v>1081</v>
      </c>
      <c r="U232" s="24" t="s">
        <v>1081</v>
      </c>
      <c r="V232" s="67"/>
      <c r="W232" s="25" t="str">
        <f>IFERROR(VLOOKUP(BCP_Soles[[#This Row],[DESTINATARIO]],CHOOSE({1,2},Clientes_Proveedores[Razon Social],Clientes_Proveedores[Ruc / Dni]),2,0),"")</f>
        <v/>
      </c>
      <c r="X232" s="25" t="s">
        <v>1090</v>
      </c>
      <c r="Y232" s="25" t="s">
        <v>1369</v>
      </c>
      <c r="Z232" s="25"/>
      <c r="AA232" s="99"/>
      <c r="AB232" s="3" t="str">
        <f>IF(BCP_Soles[[#This Row],[FECHA]]&gt;0,TEXT(BCP_Soles[[#This Row],[FECHA]],"mmmm"),0)</f>
        <v>Enero</v>
      </c>
    </row>
    <row r="233" spans="2:28" ht="24" x14ac:dyDescent="0.3">
      <c r="B233" s="2">
        <f>IF(BCP_Soles[[#This Row],[TIPO DE R.]]="R",COUNTIFS($D$4:$D232,"R")+1,"")</f>
        <v>162</v>
      </c>
      <c r="C233" s="19" t="str">
        <f t="shared" si="15"/>
        <v>B-BCP - Soles</v>
      </c>
      <c r="D233" s="3" t="s">
        <v>1074</v>
      </c>
      <c r="E233" s="14">
        <v>45677</v>
      </c>
      <c r="F233" s="5" t="s">
        <v>1242</v>
      </c>
      <c r="G233" s="5" t="s">
        <v>1087</v>
      </c>
      <c r="H233" s="6"/>
      <c r="I233" s="6"/>
      <c r="J233" s="6"/>
      <c r="K233" s="6"/>
      <c r="L233" s="7" t="s">
        <v>1243</v>
      </c>
      <c r="M233" s="8">
        <v>376817</v>
      </c>
      <c r="N233" s="8" t="str">
        <f t="shared" si="16"/>
        <v>PEN</v>
      </c>
      <c r="O233" s="13"/>
      <c r="P233" s="13">
        <v>420</v>
      </c>
      <c r="Q233" s="3">
        <f t="shared" si="17"/>
        <v>420</v>
      </c>
      <c r="R233" s="3">
        <f t="shared" si="18"/>
        <v>0</v>
      </c>
      <c r="S233" s="3">
        <f t="shared" si="19"/>
        <v>7100.909999999998</v>
      </c>
      <c r="T233" s="24" t="s">
        <v>1081</v>
      </c>
      <c r="U233" s="24" t="s">
        <v>1081</v>
      </c>
      <c r="V233" s="67"/>
      <c r="W233" s="25" t="str">
        <f>IFERROR(VLOOKUP(BCP_Soles[[#This Row],[DESTINATARIO]],CHOOSE({1,2},Clientes_Proveedores[Razon Social],Clientes_Proveedores[Ruc / Dni]),2,0),"")</f>
        <v/>
      </c>
      <c r="X233" s="25" t="s">
        <v>1090</v>
      </c>
      <c r="Y233" s="25" t="s">
        <v>1244</v>
      </c>
      <c r="Z233" s="25"/>
      <c r="AA233" s="99"/>
      <c r="AB233" s="3" t="str">
        <f>IF(BCP_Soles[[#This Row],[FECHA]]&gt;0,TEXT(BCP_Soles[[#This Row],[FECHA]],"mmmm"),0)</f>
        <v>Enero</v>
      </c>
    </row>
    <row r="234" spans="2:28" ht="24" x14ac:dyDescent="0.3">
      <c r="B234" s="2">
        <f>IF(BCP_Soles[[#This Row],[TIPO DE R.]]="R",COUNTIFS($D$4:$D233,"R")+1,"")</f>
        <v>163</v>
      </c>
      <c r="C234" s="19" t="str">
        <f t="shared" si="15"/>
        <v>B-BCP - Soles</v>
      </c>
      <c r="D234" s="3" t="s">
        <v>1074</v>
      </c>
      <c r="E234" s="14">
        <v>45677</v>
      </c>
      <c r="F234" s="5" t="s">
        <v>768</v>
      </c>
      <c r="G234" s="5" t="s">
        <v>1087</v>
      </c>
      <c r="H234" s="6" t="s">
        <v>368</v>
      </c>
      <c r="I234" s="6" t="s">
        <v>87</v>
      </c>
      <c r="J234" s="6">
        <v>1</v>
      </c>
      <c r="K234" s="6">
        <v>12025</v>
      </c>
      <c r="L234" s="7" t="s">
        <v>1370</v>
      </c>
      <c r="M234" s="8">
        <v>3357727</v>
      </c>
      <c r="N234" s="8" t="str">
        <f t="shared" si="16"/>
        <v>PEN</v>
      </c>
      <c r="O234" s="13"/>
      <c r="P234" s="13">
        <v>225</v>
      </c>
      <c r="Q234" s="3">
        <f t="shared" si="17"/>
        <v>225</v>
      </c>
      <c r="R234" s="3">
        <f t="shared" si="18"/>
        <v>0</v>
      </c>
      <c r="S234" s="3">
        <f t="shared" si="19"/>
        <v>7325.909999999998</v>
      </c>
      <c r="T234" s="24"/>
      <c r="U234" s="24"/>
      <c r="V234" s="67"/>
      <c r="W234" s="25">
        <f>IFERROR(VLOOKUP(BCP_Soles[[#This Row],[DESTINATARIO]],CHOOSE({1,2},Clientes_Proveedores[Razon Social],Clientes_Proveedores[Ruc / Dni]),2,0),"")</f>
        <v>20558226979</v>
      </c>
      <c r="X234" s="25"/>
      <c r="Y234" s="25"/>
      <c r="Z234" s="25"/>
      <c r="AA234" s="99"/>
      <c r="AB234" s="3" t="str">
        <f>IF(BCP_Soles[[#This Row],[FECHA]]&gt;0,TEXT(BCP_Soles[[#This Row],[FECHA]],"mmmm"),0)</f>
        <v>Enero</v>
      </c>
    </row>
    <row r="235" spans="2:28" ht="24" x14ac:dyDescent="0.3">
      <c r="B235" s="2">
        <f>IF(BCP_Soles[[#This Row],[TIPO DE R.]]="R",COUNTIFS($D$4:$D234,"R")+1,"")</f>
        <v>164</v>
      </c>
      <c r="C235" s="19" t="str">
        <f t="shared" si="15"/>
        <v>B-BCP - Soles</v>
      </c>
      <c r="D235" s="3" t="s">
        <v>1074</v>
      </c>
      <c r="E235" s="14">
        <v>45678</v>
      </c>
      <c r="F235" s="5" t="s">
        <v>1371</v>
      </c>
      <c r="G235" s="5" t="s">
        <v>1087</v>
      </c>
      <c r="H235" s="6"/>
      <c r="I235" s="6"/>
      <c r="J235" s="6"/>
      <c r="K235" s="6"/>
      <c r="L235" s="7" t="s">
        <v>1100</v>
      </c>
      <c r="M235" s="8">
        <v>1156483</v>
      </c>
      <c r="N235" s="8" t="str">
        <f t="shared" si="16"/>
        <v>PEN</v>
      </c>
      <c r="O235" s="13"/>
      <c r="P235" s="13">
        <v>200</v>
      </c>
      <c r="Q235" s="3">
        <f t="shared" si="17"/>
        <v>200</v>
      </c>
      <c r="R235" s="3">
        <f t="shared" si="18"/>
        <v>0</v>
      </c>
      <c r="S235" s="3">
        <f t="shared" si="19"/>
        <v>7525.909999999998</v>
      </c>
      <c r="T235" s="24" t="s">
        <v>1081</v>
      </c>
      <c r="U235" s="24" t="s">
        <v>1081</v>
      </c>
      <c r="V235" s="67"/>
      <c r="W235" s="25" t="str">
        <f>IFERROR(VLOOKUP(BCP_Soles[[#This Row],[DESTINATARIO]],CHOOSE({1,2},Clientes_Proveedores[Razon Social],Clientes_Proveedores[Ruc / Dni]),2,0),"")</f>
        <v/>
      </c>
      <c r="X235" s="25" t="s">
        <v>1090</v>
      </c>
      <c r="Y235" s="25" t="s">
        <v>1372</v>
      </c>
      <c r="Z235" s="25"/>
      <c r="AA235" s="99"/>
      <c r="AB235" s="3" t="str">
        <f>IF(BCP_Soles[[#This Row],[FECHA]]&gt;0,TEXT(BCP_Soles[[#This Row],[FECHA]],"mmmm"),0)</f>
        <v>Enero</v>
      </c>
    </row>
    <row r="236" spans="2:28" ht="24" x14ac:dyDescent="0.3">
      <c r="B236" s="2">
        <f>IF(BCP_Soles[[#This Row],[TIPO DE R.]]="R",COUNTIFS($D$4:$D235,"R")+1,"")</f>
        <v>165</v>
      </c>
      <c r="C236" s="19" t="str">
        <f t="shared" si="15"/>
        <v>B-BCP - Soles</v>
      </c>
      <c r="D236" s="3" t="s">
        <v>1074</v>
      </c>
      <c r="E236" s="14">
        <v>45678</v>
      </c>
      <c r="F236" s="5" t="s">
        <v>1373</v>
      </c>
      <c r="G236" s="5" t="s">
        <v>1087</v>
      </c>
      <c r="H236" s="6"/>
      <c r="I236" s="6"/>
      <c r="J236" s="6"/>
      <c r="K236" s="6"/>
      <c r="L236" s="7" t="s">
        <v>1374</v>
      </c>
      <c r="M236" s="8">
        <v>2477389</v>
      </c>
      <c r="N236" s="8" t="str">
        <f t="shared" si="16"/>
        <v>PEN</v>
      </c>
      <c r="O236" s="13"/>
      <c r="P236" s="13">
        <v>16.600000000000001</v>
      </c>
      <c r="Q236" s="3">
        <f t="shared" si="17"/>
        <v>16.600000000000001</v>
      </c>
      <c r="R236" s="3">
        <f t="shared" si="18"/>
        <v>0</v>
      </c>
      <c r="S236" s="3">
        <f t="shared" si="19"/>
        <v>7542.5099999999984</v>
      </c>
      <c r="T236" s="24"/>
      <c r="U236" s="24"/>
      <c r="V236" s="67"/>
      <c r="W236" s="25" t="str">
        <f>IFERROR(VLOOKUP(BCP_Soles[[#This Row],[DESTINATARIO]],CHOOSE({1,2},Clientes_Proveedores[Razon Social],Clientes_Proveedores[Ruc / Dni]),2,0),"")</f>
        <v/>
      </c>
      <c r="X236" s="25" t="s">
        <v>1090</v>
      </c>
      <c r="Y236" s="25"/>
      <c r="Z236" s="25"/>
      <c r="AA236" s="99"/>
      <c r="AB236" s="3" t="str">
        <f>IF(BCP_Soles[[#This Row],[FECHA]]&gt;0,TEXT(BCP_Soles[[#This Row],[FECHA]],"mmmm"),0)</f>
        <v>Enero</v>
      </c>
    </row>
    <row r="237" spans="2:28" x14ac:dyDescent="0.3">
      <c r="B237" s="2">
        <f>IF(BCP_Soles[[#This Row],[TIPO DE R.]]="R",COUNTIFS($D$4:$D236,"R")+1,"")</f>
        <v>166</v>
      </c>
      <c r="C237" s="19" t="str">
        <f t="shared" si="15"/>
        <v>B-BCP - Soles</v>
      </c>
      <c r="D237" s="3" t="s">
        <v>1074</v>
      </c>
      <c r="E237" s="14">
        <v>45678</v>
      </c>
      <c r="F237" s="5" t="s">
        <v>1078</v>
      </c>
      <c r="G237" s="5" t="s">
        <v>1079</v>
      </c>
      <c r="H237" s="6"/>
      <c r="I237" s="6"/>
      <c r="J237" s="6"/>
      <c r="K237" s="6"/>
      <c r="L237" s="7" t="s">
        <v>1080</v>
      </c>
      <c r="M237" s="8"/>
      <c r="N237" s="8" t="str">
        <f t="shared" si="16"/>
        <v>PEN</v>
      </c>
      <c r="O237" s="13"/>
      <c r="P237" s="13">
        <v>0.1</v>
      </c>
      <c r="Q237" s="3">
        <f t="shared" si="17"/>
        <v>0</v>
      </c>
      <c r="R237" s="3">
        <f t="shared" si="18"/>
        <v>0.1</v>
      </c>
      <c r="S237" s="3">
        <f t="shared" si="19"/>
        <v>7542.409999999998</v>
      </c>
      <c r="T237" s="24"/>
      <c r="U237" s="24" t="s">
        <v>1081</v>
      </c>
      <c r="V237" s="67"/>
      <c r="W237" s="25" t="str">
        <f>IFERROR(VLOOKUP(BCP_Soles[[#This Row],[DESTINATARIO]],CHOOSE({1,2},Clientes_Proveedores[Razon Social],Clientes_Proveedores[Ruc / Dni]),2,0),"")</f>
        <v/>
      </c>
      <c r="X237" s="25"/>
      <c r="Y237" s="25"/>
      <c r="Z237" s="25"/>
      <c r="AA237" s="99"/>
      <c r="AB237" s="3" t="str">
        <f>IF(BCP_Soles[[#This Row],[FECHA]]&gt;0,TEXT(BCP_Soles[[#This Row],[FECHA]],"mmmm"),0)</f>
        <v>Enero</v>
      </c>
    </row>
    <row r="238" spans="2:28" ht="24" x14ac:dyDescent="0.3">
      <c r="B238" s="2">
        <f>IF(BCP_Soles[[#This Row],[TIPO DE R.]]="R",COUNTIFS($D$4:$D237,"R")+1,"")</f>
        <v>167</v>
      </c>
      <c r="C238" s="19" t="str">
        <f t="shared" si="15"/>
        <v>B-BCP - Soles</v>
      </c>
      <c r="D238" s="3" t="s">
        <v>1074</v>
      </c>
      <c r="E238" s="14">
        <v>45678</v>
      </c>
      <c r="F238" s="5"/>
      <c r="G238" s="5" t="s">
        <v>1079</v>
      </c>
      <c r="H238" s="6"/>
      <c r="I238" s="6"/>
      <c r="J238" s="6"/>
      <c r="K238" s="6"/>
      <c r="L238" s="7" t="s">
        <v>1375</v>
      </c>
      <c r="M238" s="8">
        <v>3921663</v>
      </c>
      <c r="N238" s="8" t="str">
        <f t="shared" si="16"/>
        <v>PEN</v>
      </c>
      <c r="O238" s="13"/>
      <c r="P238" s="13">
        <v>2517.15</v>
      </c>
      <c r="Q238" s="3">
        <f t="shared" si="17"/>
        <v>0</v>
      </c>
      <c r="R238" s="3">
        <f t="shared" si="18"/>
        <v>2517.15</v>
      </c>
      <c r="S238" s="3">
        <f t="shared" si="19"/>
        <v>5025.2599999999984</v>
      </c>
      <c r="T238" s="24"/>
      <c r="U238" s="24"/>
      <c r="V238" s="103" t="s">
        <v>1376</v>
      </c>
      <c r="W238" s="25" t="str">
        <f>IFERROR(VLOOKUP(BCP_Soles[[#This Row],[DESTINATARIO]],CHOOSE({1,2},Clientes_Proveedores[Razon Social],Clientes_Proveedores[Ruc / Dni]),2,0),"")</f>
        <v/>
      </c>
      <c r="X238" s="25"/>
      <c r="Y238" s="25"/>
      <c r="Z238" s="25"/>
      <c r="AA238" s="99"/>
      <c r="AB238" s="3" t="str">
        <f>IF(BCP_Soles[[#This Row],[FECHA]]&gt;0,TEXT(BCP_Soles[[#This Row],[FECHA]],"mmmm"),0)</f>
        <v>Enero</v>
      </c>
    </row>
    <row r="239" spans="2:28" ht="24" x14ac:dyDescent="0.3">
      <c r="B239" s="2">
        <f>IF(BCP_Soles[[#This Row],[TIPO DE R.]]="R",COUNTIFS($D$4:$D238,"R")+1,"")</f>
        <v>168</v>
      </c>
      <c r="C239" s="19" t="str">
        <f t="shared" si="15"/>
        <v>B-BCP - Soles</v>
      </c>
      <c r="D239" s="3" t="s">
        <v>1074</v>
      </c>
      <c r="E239" s="14">
        <v>45678</v>
      </c>
      <c r="F239" s="5" t="s">
        <v>1082</v>
      </c>
      <c r="G239" s="5" t="s">
        <v>1079</v>
      </c>
      <c r="H239" s="6"/>
      <c r="I239" s="6"/>
      <c r="J239" s="6"/>
      <c r="K239" s="6"/>
      <c r="L239" s="7" t="s">
        <v>1377</v>
      </c>
      <c r="M239" s="8">
        <v>1120093</v>
      </c>
      <c r="N239" s="8" t="str">
        <f t="shared" si="16"/>
        <v>PEN</v>
      </c>
      <c r="O239" s="13"/>
      <c r="P239" s="13">
        <v>1834.6</v>
      </c>
      <c r="Q239" s="3">
        <f t="shared" si="17"/>
        <v>0</v>
      </c>
      <c r="R239" s="3">
        <f t="shared" si="18"/>
        <v>1834.6</v>
      </c>
      <c r="S239" s="3">
        <f t="shared" si="19"/>
        <v>3190.6599999999985</v>
      </c>
      <c r="T239" s="24"/>
      <c r="U239" s="24"/>
      <c r="V239" s="67"/>
      <c r="W239" s="25" t="str">
        <f>IFERROR(VLOOKUP(BCP_Soles[[#This Row],[DESTINATARIO]],CHOOSE({1,2},Clientes_Proveedores[Razon Social],Clientes_Proveedores[Ruc / Dni]),2,0),"")</f>
        <v/>
      </c>
      <c r="X239" s="25" t="s">
        <v>1378</v>
      </c>
      <c r="Y239" s="25"/>
      <c r="Z239" s="25"/>
      <c r="AA239" s="99"/>
      <c r="AB239" s="3" t="str">
        <f>IF(BCP_Soles[[#This Row],[FECHA]]&gt;0,TEXT(BCP_Soles[[#This Row],[FECHA]],"mmmm"),0)</f>
        <v>Enero</v>
      </c>
    </row>
    <row r="240" spans="2:28" ht="36" x14ac:dyDescent="0.3">
      <c r="B240" s="2">
        <f>IF(BCP_Soles[[#This Row],[TIPO DE R.]]="R",COUNTIFS($D$4:$D239,"R")+1,"")</f>
        <v>169</v>
      </c>
      <c r="C240" s="19" t="str">
        <f t="shared" si="15"/>
        <v>B-BCP - Soles</v>
      </c>
      <c r="D240" s="3" t="s">
        <v>1074</v>
      </c>
      <c r="E240" s="14">
        <v>45678</v>
      </c>
      <c r="F240" s="5" t="s">
        <v>1082</v>
      </c>
      <c r="G240" s="5" t="s">
        <v>1079</v>
      </c>
      <c r="H240" s="6" t="s">
        <v>220</v>
      </c>
      <c r="I240" s="6" t="s">
        <v>14</v>
      </c>
      <c r="J240" s="6" t="s">
        <v>1148</v>
      </c>
      <c r="K240" s="6">
        <v>1545</v>
      </c>
      <c r="L240" s="7" t="s">
        <v>1379</v>
      </c>
      <c r="M240" s="8">
        <v>1194320</v>
      </c>
      <c r="N240" s="8" t="str">
        <f t="shared" si="16"/>
        <v>PEN</v>
      </c>
      <c r="O240" s="13"/>
      <c r="P240" s="13">
        <v>1728</v>
      </c>
      <c r="Q240" s="3">
        <f t="shared" si="17"/>
        <v>0</v>
      </c>
      <c r="R240" s="3">
        <f t="shared" si="18"/>
        <v>1728</v>
      </c>
      <c r="S240" s="3">
        <f t="shared" si="19"/>
        <v>1462.6599999999985</v>
      </c>
      <c r="T240" s="24" t="s">
        <v>1081</v>
      </c>
      <c r="U240" s="24" t="s">
        <v>1081</v>
      </c>
      <c r="V240" s="67"/>
      <c r="W240" s="25">
        <f>IFERROR(VLOOKUP(BCP_Soles[[#This Row],[DESTINATARIO]],CHOOSE({1,2},Clientes_Proveedores[Razon Social],Clientes_Proveedores[Ruc / Dni]),2,0),"")</f>
        <v>20429640939</v>
      </c>
      <c r="X240" s="25" t="s">
        <v>1150</v>
      </c>
      <c r="Y240" s="25" t="s">
        <v>1380</v>
      </c>
      <c r="Z240" s="25"/>
      <c r="AA240" s="99"/>
      <c r="AB240" s="3" t="str">
        <f>IF(BCP_Soles[[#This Row],[FECHA]]&gt;0,TEXT(BCP_Soles[[#This Row],[FECHA]],"mmmm"),0)</f>
        <v>Enero</v>
      </c>
    </row>
    <row r="241" spans="2:28" x14ac:dyDescent="0.3">
      <c r="B241" s="2">
        <f>IF(BCP_Soles[[#This Row],[TIPO DE R.]]="R",COUNTIFS($D$4:$D240,"R")+1,"")</f>
        <v>170</v>
      </c>
      <c r="C241" s="19" t="str">
        <f t="shared" si="15"/>
        <v>B-BCP - Soles</v>
      </c>
      <c r="D241" s="3" t="s">
        <v>1074</v>
      </c>
      <c r="E241" s="14">
        <v>45678</v>
      </c>
      <c r="F241" s="5" t="s">
        <v>146</v>
      </c>
      <c r="G241" s="5" t="s">
        <v>1087</v>
      </c>
      <c r="H241" s="6"/>
      <c r="I241" s="6"/>
      <c r="J241" s="6"/>
      <c r="K241" s="6"/>
      <c r="L241" s="7" t="s">
        <v>1381</v>
      </c>
      <c r="M241" s="8">
        <v>2239546</v>
      </c>
      <c r="N241" s="8" t="str">
        <f t="shared" si="16"/>
        <v>PEN</v>
      </c>
      <c r="O241" s="13"/>
      <c r="P241" s="13">
        <v>995.17</v>
      </c>
      <c r="Q241" s="3">
        <f t="shared" si="17"/>
        <v>995.17</v>
      </c>
      <c r="R241" s="3">
        <f t="shared" si="18"/>
        <v>0</v>
      </c>
      <c r="S241" s="3">
        <f t="shared" si="19"/>
        <v>2457.8299999999986</v>
      </c>
      <c r="T241" s="24" t="s">
        <v>1081</v>
      </c>
      <c r="U241" s="24" t="s">
        <v>1081</v>
      </c>
      <c r="V241" s="67"/>
      <c r="W241" s="25" t="str">
        <f>IFERROR(VLOOKUP(BCP_Soles[[#This Row],[DESTINATARIO]],CHOOSE({1,2},Clientes_Proveedores[Razon Social],Clientes_Proveedores[Ruc / Dni]),2,0),"")</f>
        <v/>
      </c>
      <c r="X241" s="25" t="s">
        <v>1090</v>
      </c>
      <c r="Y241" s="25" t="s">
        <v>1382</v>
      </c>
      <c r="Z241" s="25"/>
      <c r="AA241" s="99"/>
      <c r="AB241" s="3" t="str">
        <f>IF(BCP_Soles[[#This Row],[FECHA]]&gt;0,TEXT(BCP_Soles[[#This Row],[FECHA]],"mmmm"),0)</f>
        <v>Enero</v>
      </c>
    </row>
    <row r="242" spans="2:28" x14ac:dyDescent="0.3">
      <c r="B242" s="2">
        <f>IF(BCP_Soles[[#This Row],[TIPO DE R.]]="R",COUNTIFS($D$4:$D241,"R")+1,"")</f>
        <v>171</v>
      </c>
      <c r="C242" s="19" t="str">
        <f t="shared" si="15"/>
        <v>B-BCP - Soles</v>
      </c>
      <c r="D242" s="3" t="s">
        <v>1074</v>
      </c>
      <c r="E242" s="14">
        <v>45679</v>
      </c>
      <c r="F242" s="5"/>
      <c r="G242" s="5" t="s">
        <v>1087</v>
      </c>
      <c r="H242" s="6"/>
      <c r="I242" s="6"/>
      <c r="J242" s="6"/>
      <c r="K242" s="6"/>
      <c r="L242" s="7" t="s">
        <v>1100</v>
      </c>
      <c r="M242" s="8">
        <v>1135862</v>
      </c>
      <c r="N242" s="8" t="str">
        <f t="shared" si="16"/>
        <v>PEN</v>
      </c>
      <c r="O242" s="13"/>
      <c r="P242" s="13">
        <v>1439</v>
      </c>
      <c r="Q242" s="3">
        <f t="shared" si="17"/>
        <v>1439</v>
      </c>
      <c r="R242" s="3">
        <f t="shared" si="18"/>
        <v>0</v>
      </c>
      <c r="S242" s="3">
        <f t="shared" si="19"/>
        <v>3896.8299999999986</v>
      </c>
      <c r="T242" s="24" t="s">
        <v>1081</v>
      </c>
      <c r="U242" s="24" t="s">
        <v>1081</v>
      </c>
      <c r="V242" s="67"/>
      <c r="W242" s="25" t="str">
        <f>IFERROR(VLOOKUP(BCP_Soles[[#This Row],[DESTINATARIO]],CHOOSE({1,2},Clientes_Proveedores[Razon Social],Clientes_Proveedores[Ruc / Dni]),2,0),"")</f>
        <v/>
      </c>
      <c r="X242" s="25" t="s">
        <v>1090</v>
      </c>
      <c r="Y242" s="25"/>
      <c r="Z242" s="25"/>
      <c r="AA242" s="99"/>
      <c r="AB242" s="3" t="str">
        <f>IF(BCP_Soles[[#This Row],[FECHA]]&gt;0,TEXT(BCP_Soles[[#This Row],[FECHA]],"mmmm"),0)</f>
        <v>Enero</v>
      </c>
    </row>
    <row r="243" spans="2:28" ht="24" x14ac:dyDescent="0.3">
      <c r="B243" s="2" t="str">
        <f>IF(BCP_Soles[[#This Row],[TIPO DE R.]]="R",COUNTIFS($D$4:$D242,"R")+1,"")</f>
        <v/>
      </c>
      <c r="C243" s="19" t="str">
        <f t="shared" si="15"/>
        <v>B-BCP - Soles</v>
      </c>
      <c r="D243" s="3" t="s">
        <v>1101</v>
      </c>
      <c r="E243" s="14">
        <v>45679</v>
      </c>
      <c r="F243" s="5" t="s">
        <v>479</v>
      </c>
      <c r="G243" s="5"/>
      <c r="H243" s="6"/>
      <c r="I243" s="6"/>
      <c r="J243" s="6"/>
      <c r="K243" s="6"/>
      <c r="L243" s="7" t="s">
        <v>1100</v>
      </c>
      <c r="M243" s="8">
        <v>1135862</v>
      </c>
      <c r="N243" s="8" t="str">
        <f t="shared" si="16"/>
        <v>PEN</v>
      </c>
      <c r="O243" s="13"/>
      <c r="P243" s="13">
        <v>255</v>
      </c>
      <c r="Q243" s="3">
        <f t="shared" si="17"/>
        <v>0</v>
      </c>
      <c r="R243" s="3">
        <f t="shared" si="18"/>
        <v>0</v>
      </c>
      <c r="S243" s="3">
        <f t="shared" si="19"/>
        <v>3896.8299999999986</v>
      </c>
      <c r="T243" s="24" t="s">
        <v>1081</v>
      </c>
      <c r="U243" s="24" t="s">
        <v>1081</v>
      </c>
      <c r="V243" s="67"/>
      <c r="W243" s="25" t="str">
        <f>IFERROR(VLOOKUP(BCP_Soles[[#This Row],[DESTINATARIO]],CHOOSE({1,2},Clientes_Proveedores[Razon Social],Clientes_Proveedores[Ruc / Dni]),2,0),"")</f>
        <v/>
      </c>
      <c r="X243" s="25" t="s">
        <v>1090</v>
      </c>
      <c r="Y243" s="25" t="s">
        <v>1383</v>
      </c>
      <c r="Z243" s="25"/>
      <c r="AA243" s="99"/>
      <c r="AB243" s="3" t="str">
        <f>IF(BCP_Soles[[#This Row],[FECHA]]&gt;0,TEXT(BCP_Soles[[#This Row],[FECHA]],"mmmm"),0)</f>
        <v>Enero</v>
      </c>
    </row>
    <row r="244" spans="2:28" x14ac:dyDescent="0.3">
      <c r="B244" s="2" t="str">
        <f>IF(BCP_Soles[[#This Row],[TIPO DE R.]]="R",COUNTIFS($D$4:$D243,"R")+1,"")</f>
        <v/>
      </c>
      <c r="C244" s="19" t="str">
        <f t="shared" si="15"/>
        <v>B-BCP - Soles</v>
      </c>
      <c r="D244" s="3" t="s">
        <v>1101</v>
      </c>
      <c r="E244" s="14">
        <v>45679</v>
      </c>
      <c r="F244" s="5" t="s">
        <v>1384</v>
      </c>
      <c r="G244" s="5"/>
      <c r="H244" s="6"/>
      <c r="I244" s="6"/>
      <c r="J244" s="6"/>
      <c r="K244" s="6"/>
      <c r="L244" s="7" t="s">
        <v>1100</v>
      </c>
      <c r="M244" s="8">
        <v>1135862</v>
      </c>
      <c r="N244" s="8" t="str">
        <f t="shared" si="16"/>
        <v>PEN</v>
      </c>
      <c r="O244" s="13"/>
      <c r="P244" s="13">
        <v>1184</v>
      </c>
      <c r="Q244" s="3">
        <f t="shared" si="17"/>
        <v>0</v>
      </c>
      <c r="R244" s="3">
        <f t="shared" si="18"/>
        <v>0</v>
      </c>
      <c r="S244" s="3">
        <f t="shared" si="19"/>
        <v>3896.8299999999986</v>
      </c>
      <c r="T244" s="24" t="s">
        <v>1081</v>
      </c>
      <c r="U244" s="24" t="s">
        <v>1081</v>
      </c>
      <c r="V244" s="67"/>
      <c r="W244" s="25" t="str">
        <f>IFERROR(VLOOKUP(BCP_Soles[[#This Row],[DESTINATARIO]],CHOOSE({1,2},Clientes_Proveedores[Razon Social],Clientes_Proveedores[Ruc / Dni]),2,0),"")</f>
        <v/>
      </c>
      <c r="X244" s="25" t="s">
        <v>1090</v>
      </c>
      <c r="Y244" s="25" t="s">
        <v>1385</v>
      </c>
      <c r="Z244" s="25"/>
      <c r="AA244" s="99"/>
      <c r="AB244" s="3" t="str">
        <f>IF(BCP_Soles[[#This Row],[FECHA]]&gt;0,TEXT(BCP_Soles[[#This Row],[FECHA]],"mmmm"),0)</f>
        <v>Enero</v>
      </c>
    </row>
    <row r="245" spans="2:28" x14ac:dyDescent="0.3">
      <c r="B245" s="2">
        <f>IF(BCP_Soles[[#This Row],[TIPO DE R.]]="R",COUNTIFS($D$4:$D244,"R")+1,"")</f>
        <v>172</v>
      </c>
      <c r="C245" s="19" t="str">
        <f t="shared" si="15"/>
        <v>B-BCP - Soles</v>
      </c>
      <c r="D245" s="3" t="s">
        <v>1074</v>
      </c>
      <c r="E245" s="14">
        <v>45679</v>
      </c>
      <c r="F245" s="5" t="s">
        <v>1090</v>
      </c>
      <c r="G245" s="5" t="s">
        <v>1087</v>
      </c>
      <c r="H245" s="6"/>
      <c r="I245" s="6"/>
      <c r="J245" s="6"/>
      <c r="K245" s="6"/>
      <c r="L245" s="7" t="s">
        <v>1374</v>
      </c>
      <c r="M245" s="8">
        <v>2920368</v>
      </c>
      <c r="N245" s="8" t="str">
        <f t="shared" si="16"/>
        <v>PEN</v>
      </c>
      <c r="O245" s="13"/>
      <c r="P245" s="13">
        <v>11000</v>
      </c>
      <c r="Q245" s="3">
        <f t="shared" si="17"/>
        <v>11000</v>
      </c>
      <c r="R245" s="3">
        <f t="shared" si="18"/>
        <v>0</v>
      </c>
      <c r="S245" s="3">
        <f t="shared" si="19"/>
        <v>14896.829999999998</v>
      </c>
      <c r="T245" s="24"/>
      <c r="U245" s="24"/>
      <c r="V245" s="67"/>
      <c r="W245" s="25" t="str">
        <f>IFERROR(VLOOKUP(BCP_Soles[[#This Row],[DESTINATARIO]],CHOOSE({1,2},Clientes_Proveedores[Razon Social],Clientes_Proveedores[Ruc / Dni]),2,0),"")</f>
        <v/>
      </c>
      <c r="X245" s="25" t="s">
        <v>1090</v>
      </c>
      <c r="Y245" s="25"/>
      <c r="Z245" s="25"/>
      <c r="AA245" s="99"/>
      <c r="AB245" s="3" t="str">
        <f>IF(BCP_Soles[[#This Row],[FECHA]]&gt;0,TEXT(BCP_Soles[[#This Row],[FECHA]],"mmmm"),0)</f>
        <v>Enero</v>
      </c>
    </row>
    <row r="246" spans="2:28" ht="36" x14ac:dyDescent="0.3">
      <c r="B246" s="2">
        <f>IF(BCP_Soles[[#This Row],[TIPO DE R.]]="R",COUNTIFS($D$4:$D245,"R")+1,"")</f>
        <v>173</v>
      </c>
      <c r="C246" s="19" t="str">
        <f t="shared" si="15"/>
        <v>B-BCP - Soles</v>
      </c>
      <c r="D246" s="3" t="s">
        <v>1074</v>
      </c>
      <c r="E246" s="14">
        <v>45679</v>
      </c>
      <c r="F246" s="5" t="s">
        <v>180</v>
      </c>
      <c r="G246" s="5" t="s">
        <v>1087</v>
      </c>
      <c r="H246" s="6"/>
      <c r="I246" s="6"/>
      <c r="J246" s="6"/>
      <c r="K246" s="6"/>
      <c r="L246" s="7" t="s">
        <v>1386</v>
      </c>
      <c r="M246" s="8">
        <v>4261247</v>
      </c>
      <c r="N246" s="8" t="str">
        <f t="shared" si="16"/>
        <v>PEN</v>
      </c>
      <c r="O246" s="13"/>
      <c r="P246" s="13">
        <v>4347.66</v>
      </c>
      <c r="Q246" s="3">
        <f t="shared" si="17"/>
        <v>4347.66</v>
      </c>
      <c r="R246" s="3">
        <f t="shared" si="18"/>
        <v>0</v>
      </c>
      <c r="S246" s="3">
        <f t="shared" si="19"/>
        <v>19244.489999999998</v>
      </c>
      <c r="T246" s="24" t="s">
        <v>1081</v>
      </c>
      <c r="U246" s="24" t="s">
        <v>1081</v>
      </c>
      <c r="V246" s="67"/>
      <c r="W246" s="25" t="str">
        <f>IFERROR(VLOOKUP(BCP_Soles[[#This Row],[DESTINATARIO]],CHOOSE({1,2},Clientes_Proveedores[Razon Social],Clientes_Proveedores[Ruc / Dni]),2,0),"")</f>
        <v/>
      </c>
      <c r="X246" s="25" t="s">
        <v>1090</v>
      </c>
      <c r="Y246" s="25" t="s">
        <v>1387</v>
      </c>
      <c r="Z246" s="25"/>
      <c r="AA246" s="99"/>
      <c r="AB246" s="3" t="str">
        <f>IF(BCP_Soles[[#This Row],[FECHA]]&gt;0,TEXT(BCP_Soles[[#This Row],[FECHA]],"mmmm"),0)</f>
        <v>Enero</v>
      </c>
    </row>
    <row r="247" spans="2:28" ht="36" x14ac:dyDescent="0.3">
      <c r="B247" s="2">
        <f>IF(BCP_Soles[[#This Row],[TIPO DE R.]]="R",COUNTIFS($D$4:$D246,"R")+1,"")</f>
        <v>174</v>
      </c>
      <c r="C247" s="19" t="str">
        <f t="shared" si="15"/>
        <v>B-BCP - Soles</v>
      </c>
      <c r="D247" s="3" t="s">
        <v>1074</v>
      </c>
      <c r="E247" s="14">
        <v>45679</v>
      </c>
      <c r="F247" s="5" t="s">
        <v>1082</v>
      </c>
      <c r="G247" s="5" t="s">
        <v>1079</v>
      </c>
      <c r="H247" s="6" t="s">
        <v>530</v>
      </c>
      <c r="I247" s="6" t="s">
        <v>14</v>
      </c>
      <c r="J247" s="6" t="s">
        <v>1121</v>
      </c>
      <c r="K247" s="6">
        <v>322</v>
      </c>
      <c r="L247" s="7" t="s">
        <v>1388</v>
      </c>
      <c r="M247" s="8">
        <v>1054951</v>
      </c>
      <c r="N247" s="8" t="str">
        <f t="shared" si="16"/>
        <v>PEN</v>
      </c>
      <c r="O247" s="13"/>
      <c r="P247" s="13">
        <v>70.680000000000007</v>
      </c>
      <c r="Q247" s="3">
        <f t="shared" si="17"/>
        <v>0</v>
      </c>
      <c r="R247" s="3">
        <f t="shared" si="18"/>
        <v>70.680000000000007</v>
      </c>
      <c r="S247" s="3">
        <f t="shared" si="19"/>
        <v>19173.809999999998</v>
      </c>
      <c r="T247" s="24" t="s">
        <v>1081</v>
      </c>
      <c r="U247" s="24" t="s">
        <v>1081</v>
      </c>
      <c r="V247" s="67"/>
      <c r="W247" s="25">
        <f>IFERROR(VLOOKUP(BCP_Soles[[#This Row],[DESTINATARIO]],CHOOSE({1,2},Clientes_Proveedores[Razon Social],Clientes_Proveedores[Ruc / Dni]),2,0),"")</f>
        <v>20609368773</v>
      </c>
      <c r="X247" s="25" t="s">
        <v>1181</v>
      </c>
      <c r="Y247" s="25" t="s">
        <v>1389</v>
      </c>
      <c r="Z247" s="25"/>
      <c r="AA247" s="99"/>
      <c r="AB247" s="3" t="str">
        <f>IF(BCP_Soles[[#This Row],[FECHA]]&gt;0,TEXT(BCP_Soles[[#This Row],[FECHA]],"mmmm"),0)</f>
        <v>Enero</v>
      </c>
    </row>
    <row r="248" spans="2:28" ht="48" x14ac:dyDescent="0.3">
      <c r="B248" s="2">
        <f>IF(BCP_Soles[[#This Row],[TIPO DE R.]]="R",COUNTIFS($D$4:$D247,"R")+1,"")</f>
        <v>175</v>
      </c>
      <c r="C248" s="19" t="str">
        <f t="shared" si="15"/>
        <v>B-BCP - Soles</v>
      </c>
      <c r="D248" s="3" t="s">
        <v>1074</v>
      </c>
      <c r="E248" s="14">
        <v>45679</v>
      </c>
      <c r="F248" s="5" t="s">
        <v>1082</v>
      </c>
      <c r="G248" s="5" t="s">
        <v>1079</v>
      </c>
      <c r="H248" s="6" t="s">
        <v>444</v>
      </c>
      <c r="I248" s="6" t="s">
        <v>14</v>
      </c>
      <c r="J248" s="6" t="s">
        <v>1390</v>
      </c>
      <c r="K248" s="6">
        <v>6228</v>
      </c>
      <c r="L248" s="7" t="s">
        <v>1391</v>
      </c>
      <c r="M248" s="8">
        <v>1146153</v>
      </c>
      <c r="N248" s="8" t="str">
        <f t="shared" si="16"/>
        <v>PEN</v>
      </c>
      <c r="O248" s="13"/>
      <c r="P248" s="13">
        <v>236.83</v>
      </c>
      <c r="Q248" s="3">
        <f t="shared" si="17"/>
        <v>0</v>
      </c>
      <c r="R248" s="3">
        <f t="shared" si="18"/>
        <v>236.83</v>
      </c>
      <c r="S248" s="3">
        <f t="shared" si="19"/>
        <v>18936.979999999996</v>
      </c>
      <c r="T248" s="24" t="s">
        <v>1081</v>
      </c>
      <c r="U248" s="24" t="s">
        <v>1081</v>
      </c>
      <c r="V248" s="67"/>
      <c r="W248" s="25">
        <f>IFERROR(VLOOKUP(BCP_Soles[[#This Row],[DESTINATARIO]],CHOOSE({1,2},Clientes_Proveedores[Razon Social],Clientes_Proveedores[Ruc / Dni]),2,0),"")</f>
        <v>20602978274</v>
      </c>
      <c r="X248" s="25" t="s">
        <v>1268</v>
      </c>
      <c r="Y248" s="25" t="s">
        <v>1392</v>
      </c>
      <c r="Z248" s="25"/>
      <c r="AA248" s="99"/>
      <c r="AB248" s="3" t="str">
        <f>IF(BCP_Soles[[#This Row],[FECHA]]&gt;0,TEXT(BCP_Soles[[#This Row],[FECHA]],"mmmm"),0)</f>
        <v>Enero</v>
      </c>
    </row>
    <row r="249" spans="2:28" ht="48" x14ac:dyDescent="0.3">
      <c r="B249" s="2">
        <f>IF(BCP_Soles[[#This Row],[TIPO DE R.]]="R",COUNTIFS($D$4:$D248,"R")+1,"")</f>
        <v>176</v>
      </c>
      <c r="C249" s="19" t="str">
        <f t="shared" si="15"/>
        <v>B-BCP - Soles</v>
      </c>
      <c r="D249" s="3" t="s">
        <v>1074</v>
      </c>
      <c r="E249" s="14">
        <v>45679</v>
      </c>
      <c r="F249" s="5" t="s">
        <v>1082</v>
      </c>
      <c r="G249" s="5" t="s">
        <v>1079</v>
      </c>
      <c r="H249" s="6" t="s">
        <v>444</v>
      </c>
      <c r="I249" s="6" t="s">
        <v>14</v>
      </c>
      <c r="J249" s="6" t="s">
        <v>1266</v>
      </c>
      <c r="K249" s="6">
        <v>9164</v>
      </c>
      <c r="L249" s="7" t="s">
        <v>1393</v>
      </c>
      <c r="M249" s="8">
        <v>1104224</v>
      </c>
      <c r="N249" s="8" t="str">
        <f t="shared" si="16"/>
        <v>PEN</v>
      </c>
      <c r="O249" s="13"/>
      <c r="P249" s="13">
        <v>274.05</v>
      </c>
      <c r="Q249" s="3">
        <f t="shared" si="17"/>
        <v>0</v>
      </c>
      <c r="R249" s="3">
        <f t="shared" si="18"/>
        <v>274.05</v>
      </c>
      <c r="S249" s="3">
        <f t="shared" si="19"/>
        <v>18662.929999999997</v>
      </c>
      <c r="T249" s="24" t="s">
        <v>1081</v>
      </c>
      <c r="U249" s="24" t="s">
        <v>1081</v>
      </c>
      <c r="V249" s="67"/>
      <c r="W249" s="25">
        <f>IFERROR(VLOOKUP(BCP_Soles[[#This Row],[DESTINATARIO]],CHOOSE({1,2},Clientes_Proveedores[Razon Social],Clientes_Proveedores[Ruc / Dni]),2,0),"")</f>
        <v>20602978274</v>
      </c>
      <c r="X249" s="25" t="s">
        <v>1268</v>
      </c>
      <c r="Y249" s="25" t="s">
        <v>1394</v>
      </c>
      <c r="Z249" s="25"/>
      <c r="AA249" s="99"/>
      <c r="AB249" s="3" t="str">
        <f>IF(BCP_Soles[[#This Row],[FECHA]]&gt;0,TEXT(BCP_Soles[[#This Row],[FECHA]],"mmmm"),0)</f>
        <v>Enero</v>
      </c>
    </row>
    <row r="250" spans="2:28" x14ac:dyDescent="0.3">
      <c r="B250" s="2">
        <f>IF(BCP_Soles[[#This Row],[TIPO DE R.]]="R",COUNTIFS($D$4:$D249,"R")+1,"")</f>
        <v>177</v>
      </c>
      <c r="C250" s="19" t="str">
        <f t="shared" si="15"/>
        <v>B-BCP - Soles</v>
      </c>
      <c r="D250" s="3" t="s">
        <v>1074</v>
      </c>
      <c r="E250" s="14">
        <v>45679</v>
      </c>
      <c r="F250" s="5" t="s">
        <v>1082</v>
      </c>
      <c r="G250" s="5" t="s">
        <v>1079</v>
      </c>
      <c r="H250" s="6"/>
      <c r="I250" s="6" t="s">
        <v>14</v>
      </c>
      <c r="J250" s="6" t="s">
        <v>1395</v>
      </c>
      <c r="K250" s="6">
        <v>268720</v>
      </c>
      <c r="L250" s="7" t="s">
        <v>1396</v>
      </c>
      <c r="M250" s="8">
        <v>96378</v>
      </c>
      <c r="N250" s="8" t="str">
        <f t="shared" si="16"/>
        <v>PEN</v>
      </c>
      <c r="O250" s="13"/>
      <c r="P250" s="13">
        <v>548.70000000000005</v>
      </c>
      <c r="Q250" s="3">
        <f t="shared" si="17"/>
        <v>0</v>
      </c>
      <c r="R250" s="3">
        <f t="shared" si="18"/>
        <v>548.70000000000005</v>
      </c>
      <c r="S250" s="3">
        <f t="shared" si="19"/>
        <v>18114.229999999996</v>
      </c>
      <c r="T250" s="24" t="s">
        <v>1081</v>
      </c>
      <c r="U250" s="24" t="s">
        <v>1081</v>
      </c>
      <c r="V250" s="67"/>
      <c r="W250" s="25" t="str">
        <f>IFERROR(VLOOKUP(BCP_Soles[[#This Row],[DESTINATARIO]],CHOOSE({1,2},Clientes_Proveedores[Razon Social],Clientes_Proveedores[Ruc / Dni]),2,0),"")</f>
        <v/>
      </c>
      <c r="X250" s="25" t="s">
        <v>1397</v>
      </c>
      <c r="Y250" s="25" t="s">
        <v>1398</v>
      </c>
      <c r="Z250" s="25"/>
      <c r="AA250" s="99"/>
      <c r="AB250" s="3" t="str">
        <f>IF(BCP_Soles[[#This Row],[FECHA]]&gt;0,TEXT(BCP_Soles[[#This Row],[FECHA]],"mmmm"),0)</f>
        <v>Enero</v>
      </c>
    </row>
    <row r="251" spans="2:28" ht="24" x14ac:dyDescent="0.3">
      <c r="B251" s="2">
        <f>IF(BCP_Soles[[#This Row],[TIPO DE R.]]="R",COUNTIFS($D$4:$D250,"R")+1,"")</f>
        <v>178</v>
      </c>
      <c r="C251" s="19" t="str">
        <f t="shared" si="15"/>
        <v>B-BCP - Soles</v>
      </c>
      <c r="D251" s="3" t="s">
        <v>1074</v>
      </c>
      <c r="E251" s="14">
        <v>45679</v>
      </c>
      <c r="F251" s="5" t="s">
        <v>1082</v>
      </c>
      <c r="G251" s="5" t="s">
        <v>1079</v>
      </c>
      <c r="H251" s="6"/>
      <c r="I251" s="6" t="s">
        <v>52</v>
      </c>
      <c r="J251" s="6" t="s">
        <v>1399</v>
      </c>
      <c r="K251" s="6">
        <v>513808883</v>
      </c>
      <c r="L251" s="7" t="s">
        <v>1400</v>
      </c>
      <c r="M251" s="8">
        <v>146337</v>
      </c>
      <c r="N251" s="8" t="str">
        <f t="shared" si="16"/>
        <v>PEN</v>
      </c>
      <c r="O251" s="13"/>
      <c r="P251" s="13">
        <v>1091.42</v>
      </c>
      <c r="Q251" s="3">
        <f t="shared" si="17"/>
        <v>0</v>
      </c>
      <c r="R251" s="3">
        <f t="shared" si="18"/>
        <v>1091.42</v>
      </c>
      <c r="S251" s="3">
        <f t="shared" si="19"/>
        <v>17022.809999999998</v>
      </c>
      <c r="T251" s="24" t="s">
        <v>1081</v>
      </c>
      <c r="U251" s="24" t="s">
        <v>1081</v>
      </c>
      <c r="V251" s="67"/>
      <c r="W251" s="25" t="str">
        <f>IFERROR(VLOOKUP(BCP_Soles[[#This Row],[DESTINATARIO]],CHOOSE({1,2},Clientes_Proveedores[Razon Social],Clientes_Proveedores[Ruc / Dni]),2,0),"")</f>
        <v/>
      </c>
      <c r="X251" s="25" t="s">
        <v>1397</v>
      </c>
      <c r="Y251" s="25" t="s">
        <v>1401</v>
      </c>
      <c r="Z251" s="25"/>
      <c r="AA251" s="99"/>
      <c r="AB251" s="3" t="str">
        <f>IF(BCP_Soles[[#This Row],[FECHA]]&gt;0,TEXT(BCP_Soles[[#This Row],[FECHA]],"mmmm"),0)</f>
        <v>Enero</v>
      </c>
    </row>
    <row r="252" spans="2:28" ht="24" x14ac:dyDescent="0.3">
      <c r="B252" s="2">
        <f>IF(BCP_Soles[[#This Row],[TIPO DE R.]]="R",COUNTIFS($D$4:$D251,"R")+1,"")</f>
        <v>179</v>
      </c>
      <c r="C252" s="19" t="str">
        <f t="shared" si="15"/>
        <v>B-BCP - Soles</v>
      </c>
      <c r="D252" s="3" t="s">
        <v>1074</v>
      </c>
      <c r="E252" s="14">
        <v>45679</v>
      </c>
      <c r="F252" s="5" t="s">
        <v>1082</v>
      </c>
      <c r="G252" s="5" t="s">
        <v>1079</v>
      </c>
      <c r="H252" s="6" t="s">
        <v>421</v>
      </c>
      <c r="I252" s="6" t="s">
        <v>14</v>
      </c>
      <c r="J252" s="6" t="s">
        <v>1121</v>
      </c>
      <c r="K252" s="6">
        <v>1197</v>
      </c>
      <c r="L252" s="7" t="s">
        <v>1402</v>
      </c>
      <c r="M252" s="8">
        <v>1112006</v>
      </c>
      <c r="N252" s="8" t="str">
        <f t="shared" si="16"/>
        <v>PEN</v>
      </c>
      <c r="O252" s="13"/>
      <c r="P252" s="13">
        <v>1566.03</v>
      </c>
      <c r="Q252" s="3">
        <f t="shared" si="17"/>
        <v>0</v>
      </c>
      <c r="R252" s="3">
        <f t="shared" si="18"/>
        <v>1566.03</v>
      </c>
      <c r="S252" s="3">
        <f t="shared" si="19"/>
        <v>15456.779999999997</v>
      </c>
      <c r="T252" s="24" t="s">
        <v>1081</v>
      </c>
      <c r="U252" s="24" t="s">
        <v>1081</v>
      </c>
      <c r="V252" s="67"/>
      <c r="W252" s="25">
        <f>IFERROR(VLOOKUP(BCP_Soles[[#This Row],[DESTINATARIO]],CHOOSE({1,2},Clientes_Proveedores[Razon Social],Clientes_Proveedores[Ruc / Dni]),2,0),"")</f>
        <v>20602177786</v>
      </c>
      <c r="X252" s="25" t="s">
        <v>1403</v>
      </c>
      <c r="Y252" s="25" t="s">
        <v>1404</v>
      </c>
      <c r="Z252" s="25"/>
      <c r="AA252" s="99"/>
      <c r="AB252" s="3" t="str">
        <f>IF(BCP_Soles[[#This Row],[FECHA]]&gt;0,TEXT(BCP_Soles[[#This Row],[FECHA]],"mmmm"),0)</f>
        <v>Enero</v>
      </c>
    </row>
    <row r="253" spans="2:28" ht="24" x14ac:dyDescent="0.3">
      <c r="B253" s="2">
        <f>IF(BCP_Soles[[#This Row],[TIPO DE R.]]="R",COUNTIFS($D$4:$D252,"R")+1,"")</f>
        <v>180</v>
      </c>
      <c r="C253" s="19" t="str">
        <f t="shared" si="15"/>
        <v>B-BCP - Soles</v>
      </c>
      <c r="D253" s="3" t="s">
        <v>1074</v>
      </c>
      <c r="E253" s="14">
        <v>45679</v>
      </c>
      <c r="F253" s="5" t="s">
        <v>1078</v>
      </c>
      <c r="G253" s="5" t="s">
        <v>1079</v>
      </c>
      <c r="H253" s="6" t="s">
        <v>1001</v>
      </c>
      <c r="I253" s="6"/>
      <c r="J253" s="6"/>
      <c r="K253" s="6"/>
      <c r="L253" s="7" t="s">
        <v>1405</v>
      </c>
      <c r="M253" s="8">
        <v>4282382</v>
      </c>
      <c r="N253" s="8" t="str">
        <f t="shared" si="16"/>
        <v>PEN</v>
      </c>
      <c r="O253" s="13"/>
      <c r="P253" s="13">
        <v>17.5</v>
      </c>
      <c r="Q253" s="3">
        <f t="shared" si="17"/>
        <v>0</v>
      </c>
      <c r="R253" s="3">
        <f t="shared" si="18"/>
        <v>17.5</v>
      </c>
      <c r="S253" s="3">
        <f t="shared" si="19"/>
        <v>15439.279999999997</v>
      </c>
      <c r="T253" s="24"/>
      <c r="U253" s="24"/>
      <c r="V253" s="67"/>
      <c r="W253" s="25">
        <f>IFERROR(VLOOKUP(BCP_Soles[[#This Row],[DESTINATARIO]],CHOOSE({1,2},Clientes_Proveedores[Razon Social],Clientes_Proveedores[Ruc / Dni]),2,0),"")</f>
        <v>20100047218</v>
      </c>
      <c r="X253" s="25" t="s">
        <v>1078</v>
      </c>
      <c r="Y253" s="25"/>
      <c r="Z253" s="25"/>
      <c r="AA253" s="99"/>
      <c r="AB253" s="3" t="str">
        <f>IF(BCP_Soles[[#This Row],[FECHA]]&gt;0,TEXT(BCP_Soles[[#This Row],[FECHA]],"mmmm"),0)</f>
        <v>Enero</v>
      </c>
    </row>
    <row r="254" spans="2:28" x14ac:dyDescent="0.3">
      <c r="B254" s="2">
        <f>IF(BCP_Soles[[#This Row],[TIPO DE R.]]="R",COUNTIFS($D$4:$D253,"R")+1,"")</f>
        <v>181</v>
      </c>
      <c r="C254" s="19" t="str">
        <f t="shared" si="15"/>
        <v>B-BCP - Soles</v>
      </c>
      <c r="D254" s="3" t="s">
        <v>1074</v>
      </c>
      <c r="E254" s="14">
        <v>45679</v>
      </c>
      <c r="F254" s="5" t="s">
        <v>1082</v>
      </c>
      <c r="G254" s="5" t="s">
        <v>1079</v>
      </c>
      <c r="H254" s="6"/>
      <c r="I254" s="6"/>
      <c r="J254" s="6"/>
      <c r="K254" s="6"/>
      <c r="L254" s="7" t="s">
        <v>1406</v>
      </c>
      <c r="M254" s="8">
        <v>4282378</v>
      </c>
      <c r="N254" s="8" t="str">
        <f t="shared" si="16"/>
        <v>PEN</v>
      </c>
      <c r="O254" s="13"/>
      <c r="P254" s="13">
        <v>15178.07</v>
      </c>
      <c r="Q254" s="3">
        <f t="shared" si="17"/>
        <v>0</v>
      </c>
      <c r="R254" s="3">
        <f t="shared" si="18"/>
        <v>15178.07</v>
      </c>
      <c r="S254" s="3">
        <f t="shared" si="19"/>
        <v>261.20999999999731</v>
      </c>
      <c r="T254" s="24" t="s">
        <v>1081</v>
      </c>
      <c r="U254" s="24"/>
      <c r="V254" s="67"/>
      <c r="W254" s="25" t="str">
        <f>IFERROR(VLOOKUP(BCP_Soles[[#This Row],[DESTINATARIO]],CHOOSE({1,2},Clientes_Proveedores[Razon Social],Clientes_Proveedores[Ruc / Dni]),2,0),"")</f>
        <v/>
      </c>
      <c r="X254" s="25" t="s">
        <v>1118</v>
      </c>
      <c r="Y254" s="25"/>
      <c r="Z254" s="25"/>
      <c r="AA254" s="99"/>
      <c r="AB254" s="3" t="str">
        <f>IF(BCP_Soles[[#This Row],[FECHA]]&gt;0,TEXT(BCP_Soles[[#This Row],[FECHA]],"mmmm"),0)</f>
        <v>Enero</v>
      </c>
    </row>
    <row r="255" spans="2:28" x14ac:dyDescent="0.3">
      <c r="B255" s="2" t="str">
        <f>IF(BCP_Soles[[#This Row],[TIPO DE R.]]="R",COUNTIFS($D$4:$D254,"R")+1,"")</f>
        <v/>
      </c>
      <c r="C255" s="19" t="str">
        <f t="shared" si="15"/>
        <v>B-BCP - Soles</v>
      </c>
      <c r="D255" s="3" t="s">
        <v>1101</v>
      </c>
      <c r="E255" s="14">
        <v>45679</v>
      </c>
      <c r="F255" s="5" t="s">
        <v>1082</v>
      </c>
      <c r="G255" s="5"/>
      <c r="H255" s="6" t="s">
        <v>357</v>
      </c>
      <c r="I255" s="6" t="s">
        <v>14</v>
      </c>
      <c r="J255" s="6" t="s">
        <v>1119</v>
      </c>
      <c r="K255" s="6">
        <v>13126</v>
      </c>
      <c r="L255" s="7" t="s">
        <v>1406</v>
      </c>
      <c r="M255" s="8">
        <v>4282378</v>
      </c>
      <c r="N255" s="8" t="str">
        <f t="shared" si="16"/>
        <v>PEN</v>
      </c>
      <c r="O255" s="13">
        <v>12412.07</v>
      </c>
      <c r="P255" s="13"/>
      <c r="Q255" s="3">
        <f t="shared" si="17"/>
        <v>0</v>
      </c>
      <c r="R255" s="3">
        <f t="shared" si="18"/>
        <v>0</v>
      </c>
      <c r="S255" s="3">
        <f t="shared" si="19"/>
        <v>261.20999999999731</v>
      </c>
      <c r="T255" s="24"/>
      <c r="U255" s="24"/>
      <c r="V255" s="67"/>
      <c r="W255" s="25">
        <f>IFERROR(VLOOKUP(BCP_Soles[[#This Row],[DESTINATARIO]],CHOOSE({1,2},Clientes_Proveedores[Razon Social],Clientes_Proveedores[Ruc / Dni]),2,0),"")</f>
        <v>20553255709</v>
      </c>
      <c r="X255" s="25"/>
      <c r="Y255" s="25"/>
      <c r="Z255" s="25"/>
      <c r="AA255" s="99"/>
      <c r="AB255" s="3" t="str">
        <f>IF(BCP_Soles[[#This Row],[FECHA]]&gt;0,TEXT(BCP_Soles[[#This Row],[FECHA]],"mmmm"),0)</f>
        <v>Enero</v>
      </c>
    </row>
    <row r="256" spans="2:28" ht="36" x14ac:dyDescent="0.3">
      <c r="B256" s="2" t="str">
        <f>IF(BCP_Soles[[#This Row],[TIPO DE R.]]="R",COUNTIFS($D$4:$D255,"R")+1,"")</f>
        <v/>
      </c>
      <c r="C256" s="19" t="str">
        <f t="shared" si="15"/>
        <v>B-BCP - Soles</v>
      </c>
      <c r="D256" s="3" t="s">
        <v>1101</v>
      </c>
      <c r="E256" s="14">
        <v>45679</v>
      </c>
      <c r="F256" s="5" t="s">
        <v>1082</v>
      </c>
      <c r="G256" s="5"/>
      <c r="H256" s="6" t="s">
        <v>220</v>
      </c>
      <c r="I256" s="6" t="s">
        <v>14</v>
      </c>
      <c r="J256" s="6" t="s">
        <v>1148</v>
      </c>
      <c r="K256" s="6">
        <v>1511</v>
      </c>
      <c r="L256" s="7" t="s">
        <v>1406</v>
      </c>
      <c r="M256" s="8">
        <v>4282378</v>
      </c>
      <c r="N256" s="8" t="str">
        <f t="shared" si="16"/>
        <v>PEN</v>
      </c>
      <c r="O256" s="13">
        <v>1728</v>
      </c>
      <c r="P256" s="13"/>
      <c r="Q256" s="3">
        <f t="shared" si="17"/>
        <v>0</v>
      </c>
      <c r="R256" s="3">
        <f t="shared" si="18"/>
        <v>0</v>
      </c>
      <c r="S256" s="3">
        <f t="shared" si="19"/>
        <v>261.20999999999731</v>
      </c>
      <c r="T256" s="24"/>
      <c r="U256" s="24"/>
      <c r="V256" s="67"/>
      <c r="W256" s="25">
        <f>IFERROR(VLOOKUP(BCP_Soles[[#This Row],[DESTINATARIO]],CHOOSE({1,2},Clientes_Proveedores[Razon Social],Clientes_Proveedores[Ruc / Dni]),2,0),"")</f>
        <v>20429640939</v>
      </c>
      <c r="X256" s="25"/>
      <c r="Y256" s="25"/>
      <c r="Z256" s="25"/>
      <c r="AA256" s="99"/>
      <c r="AB256" s="3" t="str">
        <f>IF(BCP_Soles[[#This Row],[FECHA]]&gt;0,TEXT(BCP_Soles[[#This Row],[FECHA]],"mmmm"),0)</f>
        <v>Enero</v>
      </c>
    </row>
    <row r="257" spans="2:28" x14ac:dyDescent="0.3">
      <c r="B257" s="2" t="str">
        <f>IF(BCP_Soles[[#This Row],[TIPO DE R.]]="R",COUNTIFS($D$4:$D256,"R")+1,"")</f>
        <v/>
      </c>
      <c r="C257" s="19" t="str">
        <f t="shared" si="15"/>
        <v>B-BCP - Soles</v>
      </c>
      <c r="D257" s="3" t="s">
        <v>1101</v>
      </c>
      <c r="E257" s="14">
        <v>45679</v>
      </c>
      <c r="F257" s="5" t="s">
        <v>1082</v>
      </c>
      <c r="G257" s="5"/>
      <c r="H257" s="6" t="s">
        <v>340</v>
      </c>
      <c r="I257" s="6" t="s">
        <v>14</v>
      </c>
      <c r="J257" s="6" t="s">
        <v>1121</v>
      </c>
      <c r="K257" s="6">
        <v>368</v>
      </c>
      <c r="L257" s="7" t="s">
        <v>1406</v>
      </c>
      <c r="M257" s="8">
        <v>4282378</v>
      </c>
      <c r="N257" s="8" t="str">
        <f t="shared" si="16"/>
        <v>PEN</v>
      </c>
      <c r="O257" s="13">
        <v>1038</v>
      </c>
      <c r="P257" s="13"/>
      <c r="Q257" s="3">
        <f t="shared" si="17"/>
        <v>0</v>
      </c>
      <c r="R257" s="3">
        <f t="shared" si="18"/>
        <v>0</v>
      </c>
      <c r="S257" s="3">
        <f t="shared" si="19"/>
        <v>261.20999999999731</v>
      </c>
      <c r="T257" s="24"/>
      <c r="U257" s="24"/>
      <c r="V257" s="67"/>
      <c r="W257" s="25">
        <f>IFERROR(VLOOKUP(BCP_Soles[[#This Row],[DESTINATARIO]],CHOOSE({1,2},Clientes_Proveedores[Razon Social],Clientes_Proveedores[Ruc / Dni]),2,0),"")</f>
        <v>20545577870</v>
      </c>
      <c r="X257" s="25"/>
      <c r="Y257" s="25"/>
      <c r="Z257" s="25"/>
      <c r="AA257" s="99"/>
      <c r="AB257" s="3" t="str">
        <f>IF(BCP_Soles[[#This Row],[FECHA]]&gt;0,TEXT(BCP_Soles[[#This Row],[FECHA]],"mmmm"),0)</f>
        <v>Enero</v>
      </c>
    </row>
    <row r="258" spans="2:28" x14ac:dyDescent="0.3">
      <c r="B258" s="2">
        <f>IF(BCP_Soles[[#This Row],[TIPO DE R.]]="R",COUNTIFS($D$4:$D257,"R")+1,"")</f>
        <v>182</v>
      </c>
      <c r="C258" s="19" t="str">
        <f t="shared" si="15"/>
        <v>B-BCP - Soles</v>
      </c>
      <c r="D258" s="3" t="s">
        <v>1074</v>
      </c>
      <c r="E258" s="14">
        <v>45679</v>
      </c>
      <c r="F258" s="5" t="s">
        <v>1078</v>
      </c>
      <c r="G258" s="5" t="s">
        <v>1079</v>
      </c>
      <c r="H258" s="6"/>
      <c r="I258" s="6"/>
      <c r="J258" s="6"/>
      <c r="K258" s="6"/>
      <c r="L258" s="7" t="s">
        <v>1080</v>
      </c>
      <c r="M258" s="8"/>
      <c r="N258" s="8" t="str">
        <f t="shared" si="16"/>
        <v>PEN</v>
      </c>
      <c r="O258" s="13"/>
      <c r="P258" s="13">
        <v>1.05</v>
      </c>
      <c r="Q258" s="3">
        <f t="shared" si="17"/>
        <v>0</v>
      </c>
      <c r="R258" s="3">
        <f t="shared" si="18"/>
        <v>1.05</v>
      </c>
      <c r="S258" s="3">
        <f t="shared" si="19"/>
        <v>260.1599999999973</v>
      </c>
      <c r="T258" s="24"/>
      <c r="U258" s="24" t="s">
        <v>1081</v>
      </c>
      <c r="V258" s="67"/>
      <c r="W258" s="25" t="str">
        <f>IFERROR(VLOOKUP(BCP_Soles[[#This Row],[DESTINATARIO]],CHOOSE({1,2},Clientes_Proveedores[Razon Social],Clientes_Proveedores[Ruc / Dni]),2,0),"")</f>
        <v/>
      </c>
      <c r="X258" s="25"/>
      <c r="Y258" s="25"/>
      <c r="Z258" s="25"/>
      <c r="AA258" s="99"/>
      <c r="AB258" s="3" t="str">
        <f>IF(BCP_Soles[[#This Row],[FECHA]]&gt;0,TEXT(BCP_Soles[[#This Row],[FECHA]],"mmmm"),0)</f>
        <v>Enero</v>
      </c>
    </row>
    <row r="259" spans="2:28" x14ac:dyDescent="0.3">
      <c r="B259" s="2">
        <f>IF(BCP_Soles[[#This Row],[TIPO DE R.]]="R",COUNTIFS($D$4:$D258,"R")+1,"")</f>
        <v>183</v>
      </c>
      <c r="C259" s="19" t="str">
        <f t="shared" si="15"/>
        <v>B-BCP - Soles</v>
      </c>
      <c r="D259" s="3" t="s">
        <v>1074</v>
      </c>
      <c r="E259" s="14">
        <v>45680</v>
      </c>
      <c r="F259" s="5" t="s">
        <v>1186</v>
      </c>
      <c r="G259" s="5" t="s">
        <v>1087</v>
      </c>
      <c r="H259" s="6"/>
      <c r="I259" s="6"/>
      <c r="J259" s="6"/>
      <c r="K259" s="6"/>
      <c r="L259" s="7" t="s">
        <v>1100</v>
      </c>
      <c r="M259" s="8">
        <v>229438</v>
      </c>
      <c r="N259" s="8" t="str">
        <f t="shared" si="16"/>
        <v>PEN</v>
      </c>
      <c r="O259" s="13"/>
      <c r="P259" s="13">
        <v>149</v>
      </c>
      <c r="Q259" s="3">
        <f t="shared" si="17"/>
        <v>149</v>
      </c>
      <c r="R259" s="3">
        <f t="shared" si="18"/>
        <v>0</v>
      </c>
      <c r="S259" s="3">
        <f t="shared" si="19"/>
        <v>409.1599999999973</v>
      </c>
      <c r="T259" s="24" t="s">
        <v>1081</v>
      </c>
      <c r="U259" s="24" t="s">
        <v>1081</v>
      </c>
      <c r="V259" s="67"/>
      <c r="W259" s="25" t="str">
        <f>IFERROR(VLOOKUP(BCP_Soles[[#This Row],[DESTINATARIO]],CHOOSE({1,2},Clientes_Proveedores[Razon Social],Clientes_Proveedores[Ruc / Dni]),2,0),"")</f>
        <v/>
      </c>
      <c r="X259" s="25" t="s">
        <v>1090</v>
      </c>
      <c r="Y259" s="25" t="s">
        <v>1187</v>
      </c>
      <c r="Z259" s="25"/>
      <c r="AA259" s="99"/>
      <c r="AB259" s="3" t="str">
        <f>IF(BCP_Soles[[#This Row],[FECHA]]&gt;0,TEXT(BCP_Soles[[#This Row],[FECHA]],"mmmm"),0)</f>
        <v>Enero</v>
      </c>
    </row>
    <row r="260" spans="2:28" ht="24" x14ac:dyDescent="0.3">
      <c r="B260" s="2">
        <f>IF(BCP_Soles[[#This Row],[TIPO DE R.]]="R",COUNTIFS($D$4:$D259,"R")+1,"")</f>
        <v>184</v>
      </c>
      <c r="C260" s="19" t="str">
        <f t="shared" si="15"/>
        <v>B-BCP - Soles</v>
      </c>
      <c r="D260" s="3" t="s">
        <v>1074</v>
      </c>
      <c r="E260" s="14">
        <v>45680</v>
      </c>
      <c r="F260" s="5" t="s">
        <v>1407</v>
      </c>
      <c r="G260" s="5" t="s">
        <v>1087</v>
      </c>
      <c r="H260" s="6"/>
      <c r="I260" s="6"/>
      <c r="J260" s="6"/>
      <c r="K260" s="6"/>
      <c r="L260" s="7" t="s">
        <v>1100</v>
      </c>
      <c r="M260" s="8">
        <v>241376</v>
      </c>
      <c r="N260" s="8" t="str">
        <f t="shared" si="16"/>
        <v>PEN</v>
      </c>
      <c r="O260" s="13"/>
      <c r="P260" s="13">
        <v>2000</v>
      </c>
      <c r="Q260" s="3">
        <f t="shared" si="17"/>
        <v>2000</v>
      </c>
      <c r="R260" s="3">
        <f t="shared" si="18"/>
        <v>0</v>
      </c>
      <c r="S260" s="3">
        <f t="shared" si="19"/>
        <v>2409.1599999999971</v>
      </c>
      <c r="T260" s="24" t="s">
        <v>1081</v>
      </c>
      <c r="U260" s="24" t="s">
        <v>1081</v>
      </c>
      <c r="V260" s="67"/>
      <c r="W260" s="25" t="str">
        <f>IFERROR(VLOOKUP(BCP_Soles[[#This Row],[DESTINATARIO]],CHOOSE({1,2},Clientes_Proveedores[Razon Social],Clientes_Proveedores[Ruc / Dni]),2,0),"")</f>
        <v/>
      </c>
      <c r="X260" s="25" t="s">
        <v>1090</v>
      </c>
      <c r="Y260" s="25" t="s">
        <v>1408</v>
      </c>
      <c r="Z260" s="25"/>
      <c r="AA260" s="99"/>
      <c r="AB260" s="3" t="str">
        <f>IF(BCP_Soles[[#This Row],[FECHA]]&gt;0,TEXT(BCP_Soles[[#This Row],[FECHA]],"mmmm"),0)</f>
        <v>Enero</v>
      </c>
    </row>
    <row r="261" spans="2:28" x14ac:dyDescent="0.3">
      <c r="B261" s="2">
        <f>IF(BCP_Soles[[#This Row],[TIPO DE R.]]="R",COUNTIFS($D$4:$D260,"R")+1,"")</f>
        <v>185</v>
      </c>
      <c r="C261" s="19" t="str">
        <f t="shared" ref="C261:C324" si="20">"B-BCP - Soles"</f>
        <v>B-BCP - Soles</v>
      </c>
      <c r="D261" s="3" t="s">
        <v>1074</v>
      </c>
      <c r="E261" s="14">
        <v>45680</v>
      </c>
      <c r="F261" s="5"/>
      <c r="G261" s="5" t="s">
        <v>1087</v>
      </c>
      <c r="H261" s="6"/>
      <c r="I261" s="6"/>
      <c r="J261" s="6"/>
      <c r="K261" s="6"/>
      <c r="L261" s="7" t="s">
        <v>1100</v>
      </c>
      <c r="M261" s="8">
        <v>575260</v>
      </c>
      <c r="N261" s="8" t="str">
        <f t="shared" ref="N261:N324" si="21">"PEN"</f>
        <v>PEN</v>
      </c>
      <c r="O261" s="13"/>
      <c r="P261" s="13">
        <v>6608</v>
      </c>
      <c r="Q261" s="3">
        <f t="shared" ref="Q261:Q324" si="22">+IF(OR($G261="SALDO",$G261="INGRESO"),$P261,0)</f>
        <v>6608</v>
      </c>
      <c r="R261" s="3">
        <f t="shared" ref="R261:R324" si="23">+IF($G261="EGRESO",$P261,0)</f>
        <v>0</v>
      </c>
      <c r="S261" s="3">
        <f t="shared" ref="S261:S324" si="24">IFERROR(IF(G261="SALDO",Q261,S260+Q261-R261),0)</f>
        <v>9017.1599999999962</v>
      </c>
      <c r="T261" s="24" t="s">
        <v>1081</v>
      </c>
      <c r="U261" s="24" t="s">
        <v>1081</v>
      </c>
      <c r="V261" s="67"/>
      <c r="W261" s="25" t="str">
        <f>IFERROR(VLOOKUP(BCP_Soles[[#This Row],[DESTINATARIO]],CHOOSE({1,2},Clientes_Proveedores[Razon Social],Clientes_Proveedores[Ruc / Dni]),2,0),"")</f>
        <v/>
      </c>
      <c r="X261" s="25" t="s">
        <v>1090</v>
      </c>
      <c r="Y261" s="25"/>
      <c r="Z261" s="25"/>
      <c r="AA261" s="99"/>
      <c r="AB261" s="3" t="str">
        <f>IF(BCP_Soles[[#This Row],[FECHA]]&gt;0,TEXT(BCP_Soles[[#This Row],[FECHA]],"mmmm"),0)</f>
        <v>Enero</v>
      </c>
    </row>
    <row r="262" spans="2:28" x14ac:dyDescent="0.3">
      <c r="B262" s="2" t="str">
        <f>IF(BCP_Soles[[#This Row],[TIPO DE R.]]="R",COUNTIFS($D$4:$D261,"R")+1,"")</f>
        <v/>
      </c>
      <c r="C262" s="19" t="str">
        <f t="shared" si="20"/>
        <v>B-BCP - Soles</v>
      </c>
      <c r="D262" s="3" t="s">
        <v>1101</v>
      </c>
      <c r="E262" s="14">
        <v>45680</v>
      </c>
      <c r="F262" s="5" t="s">
        <v>1262</v>
      </c>
      <c r="G262" s="5"/>
      <c r="H262" s="6"/>
      <c r="I262" s="6"/>
      <c r="J262" s="6"/>
      <c r="K262" s="6"/>
      <c r="L262" s="7" t="s">
        <v>1100</v>
      </c>
      <c r="M262" s="8">
        <v>575260</v>
      </c>
      <c r="N262" s="8" t="str">
        <f t="shared" si="21"/>
        <v>PEN</v>
      </c>
      <c r="O262" s="13"/>
      <c r="P262" s="13">
        <v>322</v>
      </c>
      <c r="Q262" s="3">
        <f t="shared" si="22"/>
        <v>0</v>
      </c>
      <c r="R262" s="3">
        <f t="shared" si="23"/>
        <v>0</v>
      </c>
      <c r="S262" s="3">
        <f t="shared" si="24"/>
        <v>9017.1599999999962</v>
      </c>
      <c r="T262" s="24" t="s">
        <v>1081</v>
      </c>
      <c r="U262" s="24" t="s">
        <v>1081</v>
      </c>
      <c r="V262" s="67"/>
      <c r="W262" s="25" t="str">
        <f>IFERROR(VLOOKUP(BCP_Soles[[#This Row],[DESTINATARIO]],CHOOSE({1,2},Clientes_Proveedores[Razon Social],Clientes_Proveedores[Ruc / Dni]),2,0),"")</f>
        <v/>
      </c>
      <c r="X262" s="25" t="s">
        <v>1090</v>
      </c>
      <c r="Y262" s="25" t="s">
        <v>1265</v>
      </c>
      <c r="Z262" s="25"/>
      <c r="AA262" s="99"/>
      <c r="AB262" s="3" t="str">
        <f>IF(BCP_Soles[[#This Row],[FECHA]]&gt;0,TEXT(BCP_Soles[[#This Row],[FECHA]],"mmmm"),0)</f>
        <v>Enero</v>
      </c>
    </row>
    <row r="263" spans="2:28" x14ac:dyDescent="0.3">
      <c r="B263" s="2" t="str">
        <f>IF(BCP_Soles[[#This Row],[TIPO DE R.]]="R",COUNTIFS($D$4:$D262,"R")+1,"")</f>
        <v/>
      </c>
      <c r="C263" s="19" t="str">
        <f t="shared" si="20"/>
        <v>B-BCP - Soles</v>
      </c>
      <c r="D263" s="3" t="s">
        <v>1101</v>
      </c>
      <c r="E263" s="14">
        <v>45680</v>
      </c>
      <c r="F263" s="5" t="s">
        <v>1262</v>
      </c>
      <c r="G263" s="5"/>
      <c r="H263" s="6"/>
      <c r="I263" s="6"/>
      <c r="J263" s="6"/>
      <c r="K263" s="6"/>
      <c r="L263" s="7" t="s">
        <v>1100</v>
      </c>
      <c r="M263" s="8">
        <v>575260</v>
      </c>
      <c r="N263" s="8" t="str">
        <f t="shared" si="21"/>
        <v>PEN</v>
      </c>
      <c r="O263" s="13"/>
      <c r="P263" s="13">
        <v>1552</v>
      </c>
      <c r="Q263" s="3">
        <f t="shared" si="22"/>
        <v>0</v>
      </c>
      <c r="R263" s="3">
        <f t="shared" si="23"/>
        <v>0</v>
      </c>
      <c r="S263" s="3">
        <f t="shared" si="24"/>
        <v>9017.1599999999962</v>
      </c>
      <c r="T263" s="24" t="s">
        <v>1081</v>
      </c>
      <c r="U263" s="24" t="s">
        <v>1081</v>
      </c>
      <c r="V263" s="67"/>
      <c r="W263" s="25" t="str">
        <f>IFERROR(VLOOKUP(BCP_Soles[[#This Row],[DESTINATARIO]],CHOOSE({1,2},Clientes_Proveedores[Razon Social],Clientes_Proveedores[Ruc / Dni]),2,0),"")</f>
        <v/>
      </c>
      <c r="X263" s="25" t="s">
        <v>1090</v>
      </c>
      <c r="Y263" s="25" t="s">
        <v>1409</v>
      </c>
      <c r="Z263" s="25"/>
      <c r="AA263" s="99"/>
      <c r="AB263" s="3" t="str">
        <f>IF(BCP_Soles[[#This Row],[FECHA]]&gt;0,TEXT(BCP_Soles[[#This Row],[FECHA]],"mmmm"),0)</f>
        <v>Enero</v>
      </c>
    </row>
    <row r="264" spans="2:28" x14ac:dyDescent="0.3">
      <c r="B264" s="2" t="str">
        <f>IF(BCP_Soles[[#This Row],[TIPO DE R.]]="R",COUNTIFS($D$4:$D263,"R")+1,"")</f>
        <v/>
      </c>
      <c r="C264" s="19" t="str">
        <f t="shared" si="20"/>
        <v>B-BCP - Soles</v>
      </c>
      <c r="D264" s="3" t="s">
        <v>1101</v>
      </c>
      <c r="E264" s="14">
        <v>45680</v>
      </c>
      <c r="F264" s="5" t="s">
        <v>1262</v>
      </c>
      <c r="G264" s="5"/>
      <c r="H264" s="6"/>
      <c r="I264" s="6"/>
      <c r="J264" s="6"/>
      <c r="K264" s="6"/>
      <c r="L264" s="7" t="s">
        <v>1100</v>
      </c>
      <c r="M264" s="8">
        <v>575260</v>
      </c>
      <c r="N264" s="8" t="str">
        <f t="shared" si="21"/>
        <v>PEN</v>
      </c>
      <c r="O264" s="13"/>
      <c r="P264" s="13">
        <v>612</v>
      </c>
      <c r="Q264" s="3">
        <f t="shared" si="22"/>
        <v>0</v>
      </c>
      <c r="R264" s="3">
        <f t="shared" si="23"/>
        <v>0</v>
      </c>
      <c r="S264" s="3">
        <f t="shared" si="24"/>
        <v>9017.1599999999962</v>
      </c>
      <c r="T264" s="24" t="s">
        <v>1081</v>
      </c>
      <c r="U264" s="24" t="s">
        <v>1081</v>
      </c>
      <c r="V264" s="67"/>
      <c r="W264" s="25" t="str">
        <f>IFERROR(VLOOKUP(BCP_Soles[[#This Row],[DESTINATARIO]],CHOOSE({1,2},Clientes_Proveedores[Razon Social],Clientes_Proveedores[Ruc / Dni]),2,0),"")</f>
        <v/>
      </c>
      <c r="X264" s="25" t="s">
        <v>1090</v>
      </c>
      <c r="Y264" s="25" t="s">
        <v>1410</v>
      </c>
      <c r="Z264" s="25"/>
      <c r="AA264" s="99"/>
      <c r="AB264" s="3" t="str">
        <f>IF(BCP_Soles[[#This Row],[FECHA]]&gt;0,TEXT(BCP_Soles[[#This Row],[FECHA]],"mmmm"),0)</f>
        <v>Enero</v>
      </c>
    </row>
    <row r="265" spans="2:28" x14ac:dyDescent="0.3">
      <c r="B265" s="2" t="str">
        <f>IF(BCP_Soles[[#This Row],[TIPO DE R.]]="R",COUNTIFS($D$4:$D264,"R")+1,"")</f>
        <v/>
      </c>
      <c r="C265" s="19" t="str">
        <f t="shared" si="20"/>
        <v>B-BCP - Soles</v>
      </c>
      <c r="D265" s="3" t="s">
        <v>1101</v>
      </c>
      <c r="E265" s="14">
        <v>45680</v>
      </c>
      <c r="F265" s="5" t="s">
        <v>1262</v>
      </c>
      <c r="G265" s="5"/>
      <c r="H265" s="6"/>
      <c r="I265" s="6"/>
      <c r="J265" s="6"/>
      <c r="K265" s="6"/>
      <c r="L265" s="7" t="s">
        <v>1100</v>
      </c>
      <c r="M265" s="8">
        <v>575260</v>
      </c>
      <c r="N265" s="8" t="str">
        <f t="shared" si="21"/>
        <v>PEN</v>
      </c>
      <c r="O265" s="13"/>
      <c r="P265" s="13">
        <v>4122</v>
      </c>
      <c r="Q265" s="3">
        <f t="shared" si="22"/>
        <v>0</v>
      </c>
      <c r="R265" s="3">
        <f t="shared" si="23"/>
        <v>0</v>
      </c>
      <c r="S265" s="3">
        <f t="shared" si="24"/>
        <v>9017.1599999999962</v>
      </c>
      <c r="T265" s="24" t="s">
        <v>1081</v>
      </c>
      <c r="U265" s="24" t="s">
        <v>1081</v>
      </c>
      <c r="V265" s="67"/>
      <c r="W265" s="25" t="str">
        <f>IFERROR(VLOOKUP(BCP_Soles[[#This Row],[DESTINATARIO]],CHOOSE({1,2},Clientes_Proveedores[Razon Social],Clientes_Proveedores[Ruc / Dni]),2,0),"")</f>
        <v/>
      </c>
      <c r="X265" s="25" t="s">
        <v>1090</v>
      </c>
      <c r="Y265" s="25" t="s">
        <v>1411</v>
      </c>
      <c r="Z265" s="25"/>
      <c r="AA265" s="99"/>
      <c r="AB265" s="3" t="str">
        <f>IF(BCP_Soles[[#This Row],[FECHA]]&gt;0,TEXT(BCP_Soles[[#This Row],[FECHA]],"mmmm"),0)</f>
        <v>Enero</v>
      </c>
    </row>
    <row r="266" spans="2:28" ht="24" x14ac:dyDescent="0.3">
      <c r="B266" s="2">
        <f>IF(BCP_Soles[[#This Row],[TIPO DE R.]]="R",COUNTIFS($D$4:$D265,"R")+1,"")</f>
        <v>186</v>
      </c>
      <c r="C266" s="19" t="str">
        <f t="shared" si="20"/>
        <v>B-BCP - Soles</v>
      </c>
      <c r="D266" s="3" t="s">
        <v>1074</v>
      </c>
      <c r="E266" s="14">
        <v>45680</v>
      </c>
      <c r="F266" s="5" t="s">
        <v>1245</v>
      </c>
      <c r="G266" s="5" t="s">
        <v>1087</v>
      </c>
      <c r="H266" s="6"/>
      <c r="I266" s="6"/>
      <c r="J266" s="6"/>
      <c r="K266" s="6"/>
      <c r="L266" s="7" t="s">
        <v>1412</v>
      </c>
      <c r="M266" s="8">
        <v>26588</v>
      </c>
      <c r="N266" s="8" t="str">
        <f t="shared" si="21"/>
        <v>PEN</v>
      </c>
      <c r="O266" s="13"/>
      <c r="P266" s="13">
        <v>300</v>
      </c>
      <c r="Q266" s="3">
        <f t="shared" si="22"/>
        <v>300</v>
      </c>
      <c r="R266" s="3">
        <f t="shared" si="23"/>
        <v>0</v>
      </c>
      <c r="S266" s="3">
        <f t="shared" si="24"/>
        <v>9317.1599999999962</v>
      </c>
      <c r="T266" s="24" t="s">
        <v>1081</v>
      </c>
      <c r="U266" s="24" t="s">
        <v>1081</v>
      </c>
      <c r="V266" s="67"/>
      <c r="W266" s="25" t="str">
        <f>IFERROR(VLOOKUP(BCP_Soles[[#This Row],[DESTINATARIO]],CHOOSE({1,2},Clientes_Proveedores[Razon Social],Clientes_Proveedores[Ruc / Dni]),2,0),"")</f>
        <v/>
      </c>
      <c r="X266" s="25" t="s">
        <v>1090</v>
      </c>
      <c r="Y266" s="25" t="s">
        <v>1413</v>
      </c>
      <c r="Z266" s="25"/>
      <c r="AA266" s="99"/>
      <c r="AB266" s="3" t="str">
        <f>IF(BCP_Soles[[#This Row],[FECHA]]&gt;0,TEXT(BCP_Soles[[#This Row],[FECHA]],"mmmm"),0)</f>
        <v>Enero</v>
      </c>
    </row>
    <row r="267" spans="2:28" ht="24" x14ac:dyDescent="0.3">
      <c r="B267" s="2">
        <f>IF(BCP_Soles[[#This Row],[TIPO DE R.]]="R",COUNTIFS($D$4:$D266,"R")+1,"")</f>
        <v>187</v>
      </c>
      <c r="C267" s="19" t="str">
        <f t="shared" si="20"/>
        <v>B-BCP - Soles</v>
      </c>
      <c r="D267" s="3" t="s">
        <v>1074</v>
      </c>
      <c r="E267" s="14">
        <v>45680</v>
      </c>
      <c r="F267" s="5" t="s">
        <v>139</v>
      </c>
      <c r="G267" s="5" t="s">
        <v>1087</v>
      </c>
      <c r="H267" s="6"/>
      <c r="I267" s="6"/>
      <c r="J267" s="6"/>
      <c r="K267" s="6"/>
      <c r="L267" s="7" t="s">
        <v>1414</v>
      </c>
      <c r="M267" s="8">
        <v>1892</v>
      </c>
      <c r="N267" s="8" t="str">
        <f t="shared" si="21"/>
        <v>PEN</v>
      </c>
      <c r="O267" s="13"/>
      <c r="P267" s="13">
        <v>4050.54</v>
      </c>
      <c r="Q267" s="3">
        <f t="shared" si="22"/>
        <v>4050.54</v>
      </c>
      <c r="R267" s="3">
        <f t="shared" si="23"/>
        <v>0</v>
      </c>
      <c r="S267" s="3">
        <f t="shared" si="24"/>
        <v>13367.699999999997</v>
      </c>
      <c r="T267" s="24" t="s">
        <v>1081</v>
      </c>
      <c r="U267" s="24" t="s">
        <v>1081</v>
      </c>
      <c r="V267" s="67"/>
      <c r="W267" s="25" t="str">
        <f>IFERROR(VLOOKUP(BCP_Soles[[#This Row],[DESTINATARIO]],CHOOSE({1,2},Clientes_Proveedores[Razon Social],Clientes_Proveedores[Ruc / Dni]),2,0),"")</f>
        <v/>
      </c>
      <c r="X267" s="25" t="s">
        <v>1090</v>
      </c>
      <c r="Y267" s="25" t="s">
        <v>1415</v>
      </c>
      <c r="Z267" s="25"/>
      <c r="AA267" s="99"/>
      <c r="AB267" s="3" t="str">
        <f>IF(BCP_Soles[[#This Row],[FECHA]]&gt;0,TEXT(BCP_Soles[[#This Row],[FECHA]],"mmmm"),0)</f>
        <v>Enero</v>
      </c>
    </row>
    <row r="268" spans="2:28" ht="60" x14ac:dyDescent="0.3">
      <c r="B268" s="2">
        <f>IF(BCP_Soles[[#This Row],[TIPO DE R.]]="R",COUNTIFS($D$4:$D267,"R")+1,"")</f>
        <v>188</v>
      </c>
      <c r="C268" s="19" t="str">
        <f t="shared" si="20"/>
        <v>B-BCP - Soles</v>
      </c>
      <c r="D268" s="3" t="s">
        <v>1074</v>
      </c>
      <c r="E268" s="14">
        <v>45680</v>
      </c>
      <c r="F268" s="5" t="s">
        <v>238</v>
      </c>
      <c r="G268" s="5" t="s">
        <v>1087</v>
      </c>
      <c r="H268" s="6"/>
      <c r="I268" s="6"/>
      <c r="J268" s="6"/>
      <c r="K268" s="6"/>
      <c r="L268" s="7" t="s">
        <v>1170</v>
      </c>
      <c r="M268" s="8">
        <v>2162898</v>
      </c>
      <c r="N268" s="8" t="str">
        <f t="shared" si="21"/>
        <v>PEN</v>
      </c>
      <c r="O268" s="13"/>
      <c r="P268" s="13">
        <v>3102.92</v>
      </c>
      <c r="Q268" s="3">
        <f t="shared" si="22"/>
        <v>3102.92</v>
      </c>
      <c r="R268" s="3">
        <f t="shared" si="23"/>
        <v>0</v>
      </c>
      <c r="S268" s="3">
        <f t="shared" si="24"/>
        <v>16470.619999999995</v>
      </c>
      <c r="T268" s="24" t="s">
        <v>1081</v>
      </c>
      <c r="U268" s="24" t="s">
        <v>1081</v>
      </c>
      <c r="V268" s="67"/>
      <c r="W268" s="25" t="str">
        <f>IFERROR(VLOOKUP(BCP_Soles[[#This Row],[DESTINATARIO]],CHOOSE({1,2},Clientes_Proveedores[Razon Social],Clientes_Proveedores[Ruc / Dni]),2,0),"")</f>
        <v/>
      </c>
      <c r="X268" s="25" t="s">
        <v>1090</v>
      </c>
      <c r="Y268" s="25" t="s">
        <v>1416</v>
      </c>
      <c r="Z268" s="25"/>
      <c r="AA268" s="99"/>
      <c r="AB268" s="3" t="str">
        <f>IF(BCP_Soles[[#This Row],[FECHA]]&gt;0,TEXT(BCP_Soles[[#This Row],[FECHA]],"mmmm"),0)</f>
        <v>Enero</v>
      </c>
    </row>
    <row r="269" spans="2:28" ht="60" x14ac:dyDescent="0.3">
      <c r="B269" s="2">
        <f>IF(BCP_Soles[[#This Row],[TIPO DE R.]]="R",COUNTIFS($D$4:$D268,"R")+1,"")</f>
        <v>189</v>
      </c>
      <c r="C269" s="19" t="str">
        <f t="shared" si="20"/>
        <v>B-BCP - Soles</v>
      </c>
      <c r="D269" s="3" t="s">
        <v>1074</v>
      </c>
      <c r="E269" s="14">
        <v>45680</v>
      </c>
      <c r="F269" s="5" t="s">
        <v>238</v>
      </c>
      <c r="G269" s="5" t="s">
        <v>1087</v>
      </c>
      <c r="H269" s="6"/>
      <c r="I269" s="6"/>
      <c r="J269" s="6"/>
      <c r="K269" s="6"/>
      <c r="L269" s="7" t="s">
        <v>1170</v>
      </c>
      <c r="M269" s="8">
        <v>2233675</v>
      </c>
      <c r="N269" s="8" t="str">
        <f t="shared" si="21"/>
        <v>PEN</v>
      </c>
      <c r="O269" s="13"/>
      <c r="P269" s="13">
        <v>1268.1099999999999</v>
      </c>
      <c r="Q269" s="3">
        <f t="shared" si="22"/>
        <v>1268.1099999999999</v>
      </c>
      <c r="R269" s="3">
        <f t="shared" si="23"/>
        <v>0</v>
      </c>
      <c r="S269" s="3">
        <f t="shared" si="24"/>
        <v>17738.729999999996</v>
      </c>
      <c r="T269" s="24" t="s">
        <v>1081</v>
      </c>
      <c r="U269" s="24"/>
      <c r="V269" s="67"/>
      <c r="W269" s="25" t="str">
        <f>IFERROR(VLOOKUP(BCP_Soles[[#This Row],[DESTINATARIO]],CHOOSE({1,2},Clientes_Proveedores[Razon Social],Clientes_Proveedores[Ruc / Dni]),2,0),"")</f>
        <v/>
      </c>
      <c r="X269" s="25" t="s">
        <v>1090</v>
      </c>
      <c r="Y269" s="25" t="s">
        <v>1417</v>
      </c>
      <c r="Z269" s="25"/>
      <c r="AA269" s="99"/>
      <c r="AB269" s="3" t="str">
        <f>IF(BCP_Soles[[#This Row],[FECHA]]&gt;0,TEXT(BCP_Soles[[#This Row],[FECHA]],"mmmm"),0)</f>
        <v>Enero</v>
      </c>
    </row>
    <row r="270" spans="2:28" ht="60" x14ac:dyDescent="0.3">
      <c r="B270" s="2">
        <f>IF(BCP_Soles[[#This Row],[TIPO DE R.]]="R",COUNTIFS($D$4:$D269,"R")+1,"")</f>
        <v>190</v>
      </c>
      <c r="C270" s="19" t="str">
        <f t="shared" si="20"/>
        <v>B-BCP - Soles</v>
      </c>
      <c r="D270" s="3" t="s">
        <v>1074</v>
      </c>
      <c r="E270" s="14">
        <v>45680</v>
      </c>
      <c r="F270" s="5" t="s">
        <v>238</v>
      </c>
      <c r="G270" s="5" t="s">
        <v>1087</v>
      </c>
      <c r="H270" s="6"/>
      <c r="I270" s="6"/>
      <c r="J270" s="6"/>
      <c r="K270" s="6"/>
      <c r="L270" s="7" t="s">
        <v>1170</v>
      </c>
      <c r="M270" s="8">
        <v>2243760</v>
      </c>
      <c r="N270" s="8" t="str">
        <f t="shared" si="21"/>
        <v>PEN</v>
      </c>
      <c r="O270" s="13"/>
      <c r="P270" s="13">
        <v>1045.74</v>
      </c>
      <c r="Q270" s="3">
        <f t="shared" si="22"/>
        <v>1045.74</v>
      </c>
      <c r="R270" s="3">
        <f t="shared" si="23"/>
        <v>0</v>
      </c>
      <c r="S270" s="3">
        <f t="shared" si="24"/>
        <v>18784.469999999998</v>
      </c>
      <c r="T270" s="24" t="s">
        <v>1081</v>
      </c>
      <c r="U270" s="24"/>
      <c r="V270" s="67"/>
      <c r="W270" s="25" t="str">
        <f>IFERROR(VLOOKUP(BCP_Soles[[#This Row],[DESTINATARIO]],CHOOSE({1,2},Clientes_Proveedores[Razon Social],Clientes_Proveedores[Ruc / Dni]),2,0),"")</f>
        <v/>
      </c>
      <c r="X270" s="25" t="s">
        <v>1090</v>
      </c>
      <c r="Y270" s="25" t="s">
        <v>1418</v>
      </c>
      <c r="Z270" s="25"/>
      <c r="AA270" s="99"/>
      <c r="AB270" s="3" t="str">
        <f>IF(BCP_Soles[[#This Row],[FECHA]]&gt;0,TEXT(BCP_Soles[[#This Row],[FECHA]],"mmmm"),0)</f>
        <v>Enero</v>
      </c>
    </row>
    <row r="271" spans="2:28" ht="60" x14ac:dyDescent="0.3">
      <c r="B271" s="2">
        <f>IF(BCP_Soles[[#This Row],[TIPO DE R.]]="R",COUNTIFS($D$4:$D270,"R")+1,"")</f>
        <v>191</v>
      </c>
      <c r="C271" s="19" t="str">
        <f t="shared" si="20"/>
        <v>B-BCP - Soles</v>
      </c>
      <c r="D271" s="3" t="s">
        <v>1074</v>
      </c>
      <c r="E271" s="14">
        <v>45680</v>
      </c>
      <c r="F271" s="5" t="s">
        <v>238</v>
      </c>
      <c r="G271" s="5" t="s">
        <v>1087</v>
      </c>
      <c r="H271" s="6"/>
      <c r="I271" s="6"/>
      <c r="J271" s="6"/>
      <c r="K271" s="6"/>
      <c r="L271" s="7" t="s">
        <v>1170</v>
      </c>
      <c r="M271" s="8">
        <v>2115859</v>
      </c>
      <c r="N271" s="8" t="str">
        <f t="shared" si="21"/>
        <v>PEN</v>
      </c>
      <c r="O271" s="13"/>
      <c r="P271" s="13">
        <v>555.13</v>
      </c>
      <c r="Q271" s="3">
        <f t="shared" si="22"/>
        <v>555.13</v>
      </c>
      <c r="R271" s="3">
        <f t="shared" si="23"/>
        <v>0</v>
      </c>
      <c r="S271" s="3">
        <f t="shared" si="24"/>
        <v>19339.599999999999</v>
      </c>
      <c r="T271" s="24" t="s">
        <v>1081</v>
      </c>
      <c r="U271" s="24" t="s">
        <v>1081</v>
      </c>
      <c r="V271" s="67"/>
      <c r="W271" s="25" t="str">
        <f>IFERROR(VLOOKUP(BCP_Soles[[#This Row],[DESTINATARIO]],CHOOSE({1,2},Clientes_Proveedores[Razon Social],Clientes_Proveedores[Ruc / Dni]),2,0),"")</f>
        <v/>
      </c>
      <c r="X271" s="25" t="s">
        <v>1090</v>
      </c>
      <c r="Y271" s="25" t="s">
        <v>1419</v>
      </c>
      <c r="Z271" s="25"/>
      <c r="AA271" s="99"/>
      <c r="AB271" s="3" t="str">
        <f>IF(BCP_Soles[[#This Row],[FECHA]]&gt;0,TEXT(BCP_Soles[[#This Row],[FECHA]],"mmmm"),0)</f>
        <v>Enero</v>
      </c>
    </row>
    <row r="272" spans="2:28" x14ac:dyDescent="0.3">
      <c r="B272" s="2">
        <f>IF(BCP_Soles[[#This Row],[TIPO DE R.]]="R",COUNTIFS($D$4:$D271,"R")+1,"")</f>
        <v>192</v>
      </c>
      <c r="C272" s="19" t="str">
        <f t="shared" si="20"/>
        <v>B-BCP - Soles</v>
      </c>
      <c r="D272" s="3" t="s">
        <v>1074</v>
      </c>
      <c r="E272" s="14">
        <v>45680</v>
      </c>
      <c r="F272" s="5" t="s">
        <v>1078</v>
      </c>
      <c r="G272" s="5" t="s">
        <v>1079</v>
      </c>
      <c r="H272" s="6"/>
      <c r="I272" s="6"/>
      <c r="J272" s="6"/>
      <c r="K272" s="6"/>
      <c r="L272" s="7" t="s">
        <v>1080</v>
      </c>
      <c r="M272" s="8"/>
      <c r="N272" s="8" t="str">
        <f t="shared" si="21"/>
        <v>PEN</v>
      </c>
      <c r="O272" s="13"/>
      <c r="P272" s="13">
        <v>1.05</v>
      </c>
      <c r="Q272" s="3">
        <f t="shared" si="22"/>
        <v>0</v>
      </c>
      <c r="R272" s="3">
        <f t="shared" si="23"/>
        <v>1.05</v>
      </c>
      <c r="S272" s="3">
        <f t="shared" si="24"/>
        <v>19338.55</v>
      </c>
      <c r="T272" s="24"/>
      <c r="U272" s="24" t="s">
        <v>1081</v>
      </c>
      <c r="V272" s="67"/>
      <c r="W272" s="25" t="str">
        <f>IFERROR(VLOOKUP(BCP_Soles[[#This Row],[DESTINATARIO]],CHOOSE({1,2},Clientes_Proveedores[Razon Social],Clientes_Proveedores[Ruc / Dni]),2,0),"")</f>
        <v/>
      </c>
      <c r="X272" s="25"/>
      <c r="Y272" s="25"/>
      <c r="Z272" s="25"/>
      <c r="AA272" s="99"/>
      <c r="AB272" s="3" t="str">
        <f>IF(BCP_Soles[[#This Row],[FECHA]]&gt;0,TEXT(BCP_Soles[[#This Row],[FECHA]],"mmmm"),0)</f>
        <v>Enero</v>
      </c>
    </row>
    <row r="273" spans="2:28" ht="24" x14ac:dyDescent="0.3">
      <c r="B273" s="2">
        <f>IF(BCP_Soles[[#This Row],[TIPO DE R.]]="R",COUNTIFS($D$4:$D272,"R")+1,"")</f>
        <v>193</v>
      </c>
      <c r="C273" s="19" t="str">
        <f t="shared" si="20"/>
        <v>B-BCP - Soles</v>
      </c>
      <c r="D273" s="3" t="s">
        <v>1074</v>
      </c>
      <c r="E273" s="14">
        <v>45680</v>
      </c>
      <c r="F273" s="5" t="s">
        <v>1078</v>
      </c>
      <c r="G273" s="5" t="s">
        <v>1079</v>
      </c>
      <c r="H273" s="6" t="s">
        <v>1001</v>
      </c>
      <c r="I273" s="6"/>
      <c r="J273" s="6"/>
      <c r="K273" s="6"/>
      <c r="L273" s="7" t="s">
        <v>1420</v>
      </c>
      <c r="M273" s="8">
        <v>4621361</v>
      </c>
      <c r="N273" s="8" t="str">
        <f t="shared" si="21"/>
        <v>PEN</v>
      </c>
      <c r="O273" s="13"/>
      <c r="P273" s="13">
        <v>10</v>
      </c>
      <c r="Q273" s="3">
        <f t="shared" si="22"/>
        <v>0</v>
      </c>
      <c r="R273" s="3">
        <f t="shared" si="23"/>
        <v>10</v>
      </c>
      <c r="S273" s="3">
        <f t="shared" si="24"/>
        <v>19328.55</v>
      </c>
      <c r="T273" s="24"/>
      <c r="U273" s="24"/>
      <c r="V273" s="67"/>
      <c r="W273" s="25">
        <f>IFERROR(VLOOKUP(BCP_Soles[[#This Row],[DESTINATARIO]],CHOOSE({1,2},Clientes_Proveedores[Razon Social],Clientes_Proveedores[Ruc / Dni]),2,0),"")</f>
        <v>20100047218</v>
      </c>
      <c r="X273" s="25" t="s">
        <v>1078</v>
      </c>
      <c r="Y273" s="25"/>
      <c r="Z273" s="25"/>
      <c r="AA273" s="99"/>
      <c r="AB273" s="3" t="str">
        <f>IF(BCP_Soles[[#This Row],[FECHA]]&gt;0,TEXT(BCP_Soles[[#This Row],[FECHA]],"mmmm"),0)</f>
        <v>Enero</v>
      </c>
    </row>
    <row r="274" spans="2:28" ht="24" x14ac:dyDescent="0.3">
      <c r="B274" s="2">
        <f>IF(BCP_Soles[[#This Row],[TIPO DE R.]]="R",COUNTIFS($D$4:$D273,"R")+1,"")</f>
        <v>194</v>
      </c>
      <c r="C274" s="19" t="str">
        <f t="shared" si="20"/>
        <v>B-BCP - Soles</v>
      </c>
      <c r="D274" s="3" t="s">
        <v>1074</v>
      </c>
      <c r="E274" s="14">
        <v>45680</v>
      </c>
      <c r="F274" s="5" t="s">
        <v>1082</v>
      </c>
      <c r="G274" s="5" t="s">
        <v>1079</v>
      </c>
      <c r="H274" s="6" t="s">
        <v>688</v>
      </c>
      <c r="I274" s="6" t="s">
        <v>18</v>
      </c>
      <c r="J274" s="6" t="s">
        <v>1121</v>
      </c>
      <c r="K274" s="6">
        <v>23</v>
      </c>
      <c r="L274" s="7" t="s">
        <v>1421</v>
      </c>
      <c r="M274" s="8">
        <v>1246112</v>
      </c>
      <c r="N274" s="8" t="str">
        <f t="shared" si="21"/>
        <v>PEN</v>
      </c>
      <c r="O274" s="13"/>
      <c r="P274" s="13">
        <v>60</v>
      </c>
      <c r="Q274" s="3">
        <f t="shared" si="22"/>
        <v>0</v>
      </c>
      <c r="R274" s="3">
        <f t="shared" si="23"/>
        <v>60</v>
      </c>
      <c r="S274" s="3">
        <f t="shared" si="24"/>
        <v>19268.55</v>
      </c>
      <c r="T274" s="24" t="s">
        <v>1081</v>
      </c>
      <c r="U274" s="24" t="s">
        <v>1081</v>
      </c>
      <c r="V274" s="67"/>
      <c r="W274" s="25">
        <f>IFERROR(VLOOKUP(BCP_Soles[[#This Row],[DESTINATARIO]],CHOOSE({1,2},Clientes_Proveedores[Razon Social],Clientes_Proveedores[Ruc / Dni]),2,0),"")</f>
        <v>10446328129</v>
      </c>
      <c r="X274" s="25" t="s">
        <v>1422</v>
      </c>
      <c r="Y274" s="25" t="s">
        <v>1423</v>
      </c>
      <c r="Z274" s="25"/>
      <c r="AA274" s="99"/>
      <c r="AB274" s="3" t="str">
        <f>IF(BCP_Soles[[#This Row],[FECHA]]&gt;0,TEXT(BCP_Soles[[#This Row],[FECHA]],"mmmm"),0)</f>
        <v>Enero</v>
      </c>
    </row>
    <row r="275" spans="2:28" ht="24" x14ac:dyDescent="0.3">
      <c r="B275" s="2">
        <f>IF(BCP_Soles[[#This Row],[TIPO DE R.]]="R",COUNTIFS($D$4:$D274,"R")+1,"")</f>
        <v>195</v>
      </c>
      <c r="C275" s="19" t="str">
        <f t="shared" si="20"/>
        <v>B-BCP - Soles</v>
      </c>
      <c r="D275" s="3" t="s">
        <v>1074</v>
      </c>
      <c r="E275" s="14">
        <v>45680</v>
      </c>
      <c r="F275" s="5" t="s">
        <v>1082</v>
      </c>
      <c r="G275" s="5" t="s">
        <v>1079</v>
      </c>
      <c r="H275" s="6"/>
      <c r="I275" s="6"/>
      <c r="J275" s="6"/>
      <c r="K275" s="6"/>
      <c r="L275" s="7" t="s">
        <v>1424</v>
      </c>
      <c r="M275" s="8">
        <v>4027161</v>
      </c>
      <c r="N275" s="8" t="str">
        <f t="shared" si="21"/>
        <v>PEN</v>
      </c>
      <c r="O275" s="13"/>
      <c r="P275" s="13">
        <v>228.5</v>
      </c>
      <c r="Q275" s="3">
        <f t="shared" si="22"/>
        <v>0</v>
      </c>
      <c r="R275" s="3">
        <f t="shared" si="23"/>
        <v>228.5</v>
      </c>
      <c r="S275" s="3">
        <f t="shared" si="24"/>
        <v>19040.05</v>
      </c>
      <c r="T275" s="24"/>
      <c r="U275" s="24"/>
      <c r="V275" s="67"/>
      <c r="W275" s="25" t="str">
        <f>IFERROR(VLOOKUP(BCP_Soles[[#This Row],[DESTINATARIO]],CHOOSE({1,2},Clientes_Proveedores[Razon Social],Clientes_Proveedores[Ruc / Dni]),2,0),"")</f>
        <v/>
      </c>
      <c r="X275" s="25" t="s">
        <v>553</v>
      </c>
      <c r="Y275" s="25"/>
      <c r="Z275" s="25"/>
      <c r="AA275" s="99"/>
      <c r="AB275" s="3" t="str">
        <f>IF(BCP_Soles[[#This Row],[FECHA]]&gt;0,TEXT(BCP_Soles[[#This Row],[FECHA]],"mmmm"),0)</f>
        <v>Enero</v>
      </c>
    </row>
    <row r="276" spans="2:28" ht="24" x14ac:dyDescent="0.3">
      <c r="B276" s="2">
        <f>IF(BCP_Soles[[#This Row],[TIPO DE R.]]="R",COUNTIFS($D$4:$D275,"R")+1,"")</f>
        <v>196</v>
      </c>
      <c r="C276" s="19" t="str">
        <f t="shared" si="20"/>
        <v>B-BCP - Soles</v>
      </c>
      <c r="D276" s="3" t="s">
        <v>1074</v>
      </c>
      <c r="E276" s="14">
        <v>45680</v>
      </c>
      <c r="F276" s="5" t="s">
        <v>1163</v>
      </c>
      <c r="G276" s="5" t="s">
        <v>1079</v>
      </c>
      <c r="H276" s="6"/>
      <c r="I276" s="6"/>
      <c r="J276" s="6"/>
      <c r="K276" s="6"/>
      <c r="L276" s="7" t="s">
        <v>1100</v>
      </c>
      <c r="M276" s="8">
        <v>3667786</v>
      </c>
      <c r="N276" s="8" t="str">
        <f t="shared" si="21"/>
        <v>PEN</v>
      </c>
      <c r="O276" s="13"/>
      <c r="P276" s="13">
        <v>500</v>
      </c>
      <c r="Q276" s="3">
        <f t="shared" si="22"/>
        <v>0</v>
      </c>
      <c r="R276" s="3">
        <f t="shared" si="23"/>
        <v>500</v>
      </c>
      <c r="S276" s="3">
        <f t="shared" si="24"/>
        <v>18540.05</v>
      </c>
      <c r="T276" s="24"/>
      <c r="U276" s="24"/>
      <c r="V276" s="67"/>
      <c r="W276" s="25" t="str">
        <f>IFERROR(VLOOKUP(BCP_Soles[[#This Row],[DESTINATARIO]],CHOOSE({1,2},Clientes_Proveedores[Razon Social],Clientes_Proveedores[Ruc / Dni]),2,0),"")</f>
        <v/>
      </c>
      <c r="X276" s="25"/>
      <c r="Y276" s="25" t="s">
        <v>1172</v>
      </c>
      <c r="Z276" s="25"/>
      <c r="AA276" s="99"/>
      <c r="AB276" s="3" t="str">
        <f>IF(BCP_Soles[[#This Row],[FECHA]]&gt;0,TEXT(BCP_Soles[[#This Row],[FECHA]],"mmmm"),0)</f>
        <v>Enero</v>
      </c>
    </row>
    <row r="277" spans="2:28" ht="24" x14ac:dyDescent="0.3">
      <c r="B277" s="2">
        <f>IF(BCP_Soles[[#This Row],[TIPO DE R.]]="R",COUNTIFS($D$4:$D276,"R")+1,"")</f>
        <v>197</v>
      </c>
      <c r="C277" s="19" t="str">
        <f t="shared" si="20"/>
        <v>B-BCP - Soles</v>
      </c>
      <c r="D277" s="3" t="s">
        <v>1074</v>
      </c>
      <c r="E277" s="14">
        <v>45680</v>
      </c>
      <c r="F277" s="5" t="s">
        <v>1082</v>
      </c>
      <c r="G277" s="5" t="s">
        <v>1079</v>
      </c>
      <c r="H277" s="6" t="s">
        <v>688</v>
      </c>
      <c r="I277" s="6" t="s">
        <v>18</v>
      </c>
      <c r="J277" s="6" t="s">
        <v>1121</v>
      </c>
      <c r="K277" s="6">
        <v>22</v>
      </c>
      <c r="L277" s="7" t="s">
        <v>1425</v>
      </c>
      <c r="M277" s="8">
        <v>1236155</v>
      </c>
      <c r="N277" s="8" t="str">
        <f t="shared" si="21"/>
        <v>PEN</v>
      </c>
      <c r="O277" s="13"/>
      <c r="P277" s="13">
        <v>540</v>
      </c>
      <c r="Q277" s="3">
        <f t="shared" si="22"/>
        <v>0</v>
      </c>
      <c r="R277" s="3">
        <f t="shared" si="23"/>
        <v>540</v>
      </c>
      <c r="S277" s="3">
        <f t="shared" si="24"/>
        <v>18000.05</v>
      </c>
      <c r="T277" s="24" t="s">
        <v>1081</v>
      </c>
      <c r="U277" s="24" t="s">
        <v>1081</v>
      </c>
      <c r="V277" s="67"/>
      <c r="W277" s="25">
        <f>IFERROR(VLOOKUP(BCP_Soles[[#This Row],[DESTINATARIO]],CHOOSE({1,2},Clientes_Proveedores[Razon Social],Clientes_Proveedores[Ruc / Dni]),2,0),"")</f>
        <v>10446328129</v>
      </c>
      <c r="X277" s="25" t="s">
        <v>1422</v>
      </c>
      <c r="Y277" s="25" t="s">
        <v>1426</v>
      </c>
      <c r="Z277" s="25"/>
      <c r="AA277" s="99"/>
      <c r="AB277" s="3" t="str">
        <f>IF(BCP_Soles[[#This Row],[FECHA]]&gt;0,TEXT(BCP_Soles[[#This Row],[FECHA]],"mmmm"),0)</f>
        <v>Enero</v>
      </c>
    </row>
    <row r="278" spans="2:28" ht="24" x14ac:dyDescent="0.3">
      <c r="B278" s="2">
        <f>IF(BCP_Soles[[#This Row],[TIPO DE R.]]="R",COUNTIFS($D$4:$D277,"R")+1,"")</f>
        <v>198</v>
      </c>
      <c r="C278" s="19" t="str">
        <f t="shared" si="20"/>
        <v>B-BCP - Soles</v>
      </c>
      <c r="D278" s="3" t="s">
        <v>1074</v>
      </c>
      <c r="E278" s="14">
        <v>45680</v>
      </c>
      <c r="F278" s="5" t="s">
        <v>1082</v>
      </c>
      <c r="G278" s="5" t="s">
        <v>1079</v>
      </c>
      <c r="H278" s="6" t="s">
        <v>1009</v>
      </c>
      <c r="I278" s="6" t="s">
        <v>87</v>
      </c>
      <c r="J278" s="6">
        <v>1</v>
      </c>
      <c r="K278" s="6">
        <v>32025</v>
      </c>
      <c r="L278" s="7" t="s">
        <v>1427</v>
      </c>
      <c r="M278" s="8">
        <v>1095212</v>
      </c>
      <c r="N278" s="8" t="str">
        <f t="shared" si="21"/>
        <v>PEN</v>
      </c>
      <c r="O278" s="13"/>
      <c r="P278" s="13">
        <v>880</v>
      </c>
      <c r="Q278" s="3">
        <f t="shared" si="22"/>
        <v>0</v>
      </c>
      <c r="R278" s="3">
        <f t="shared" si="23"/>
        <v>880</v>
      </c>
      <c r="S278" s="3">
        <f t="shared" si="24"/>
        <v>17120.05</v>
      </c>
      <c r="T278" s="24" t="s">
        <v>1081</v>
      </c>
      <c r="U278" s="24" t="s">
        <v>1081</v>
      </c>
      <c r="V278" s="67"/>
      <c r="W278" s="25">
        <f>IFERROR(VLOOKUP(BCP_Soles[[#This Row],[DESTINATARIO]],CHOOSE({1,2},Clientes_Proveedores[Razon Social],Clientes_Proveedores[Ruc / Dni]),2,0),"")</f>
        <v>72725445</v>
      </c>
      <c r="X278" s="25"/>
      <c r="Y278" s="25"/>
      <c r="Z278" s="25"/>
      <c r="AA278" s="99"/>
      <c r="AB278" s="3" t="str">
        <f>IF(BCP_Soles[[#This Row],[FECHA]]&gt;0,TEXT(BCP_Soles[[#This Row],[FECHA]],"mmmm"),0)</f>
        <v>Enero</v>
      </c>
    </row>
    <row r="279" spans="2:28" x14ac:dyDescent="0.3">
      <c r="B279" s="2">
        <f>IF(BCP_Soles[[#This Row],[TIPO DE R.]]="R",COUNTIFS($D$4:$D278,"R")+1,"")</f>
        <v>199</v>
      </c>
      <c r="C279" s="19" t="str">
        <f t="shared" si="20"/>
        <v>B-BCP - Soles</v>
      </c>
      <c r="D279" s="3" t="s">
        <v>1074</v>
      </c>
      <c r="E279" s="14">
        <v>45680</v>
      </c>
      <c r="F279" s="5" t="s">
        <v>1082</v>
      </c>
      <c r="G279" s="5" t="s">
        <v>1079</v>
      </c>
      <c r="H279" s="6"/>
      <c r="I279" s="6"/>
      <c r="J279" s="6"/>
      <c r="K279" s="6"/>
      <c r="L279" s="7" t="s">
        <v>1428</v>
      </c>
      <c r="M279" s="8">
        <v>4621351</v>
      </c>
      <c r="N279" s="8" t="str">
        <f t="shared" si="21"/>
        <v>PEN</v>
      </c>
      <c r="O279" s="13"/>
      <c r="P279" s="13">
        <v>4488.87</v>
      </c>
      <c r="Q279" s="3">
        <f t="shared" si="22"/>
        <v>0</v>
      </c>
      <c r="R279" s="3">
        <f t="shared" si="23"/>
        <v>4488.87</v>
      </c>
      <c r="S279" s="3">
        <f t="shared" si="24"/>
        <v>12631.18</v>
      </c>
      <c r="T279" s="24" t="s">
        <v>1081</v>
      </c>
      <c r="U279" s="24"/>
      <c r="V279" s="67"/>
      <c r="W279" s="25" t="str">
        <f>IFERROR(VLOOKUP(BCP_Soles[[#This Row],[DESTINATARIO]],CHOOSE({1,2},Clientes_Proveedores[Razon Social],Clientes_Proveedores[Ruc / Dni]),2,0),"")</f>
        <v/>
      </c>
      <c r="X279" s="25" t="s">
        <v>1118</v>
      </c>
      <c r="Y279" s="25"/>
      <c r="Z279" s="25"/>
      <c r="AA279" s="99"/>
      <c r="AB279" s="3" t="str">
        <f>IF(BCP_Soles[[#This Row],[FECHA]]&gt;0,TEXT(BCP_Soles[[#This Row],[FECHA]],"mmmm"),0)</f>
        <v>Enero</v>
      </c>
    </row>
    <row r="280" spans="2:28" x14ac:dyDescent="0.3">
      <c r="B280" s="2" t="str">
        <f>IF(BCP_Soles[[#This Row],[TIPO DE R.]]="R",COUNTIFS($D$4:$D279,"R")+1,"")</f>
        <v/>
      </c>
      <c r="C280" s="19" t="str">
        <f t="shared" si="20"/>
        <v>B-BCP - Soles</v>
      </c>
      <c r="D280" s="3" t="s">
        <v>1101</v>
      </c>
      <c r="E280" s="14">
        <v>45680</v>
      </c>
      <c r="F280" s="5" t="s">
        <v>1082</v>
      </c>
      <c r="G280" s="5"/>
      <c r="H280" s="6" t="s">
        <v>436</v>
      </c>
      <c r="I280" s="6" t="s">
        <v>14</v>
      </c>
      <c r="J280" s="6" t="s">
        <v>1119</v>
      </c>
      <c r="K280" s="6">
        <v>8697</v>
      </c>
      <c r="L280" s="7" t="s">
        <v>1428</v>
      </c>
      <c r="M280" s="8">
        <v>4621351</v>
      </c>
      <c r="N280" s="8" t="str">
        <f t="shared" si="21"/>
        <v>PEN</v>
      </c>
      <c r="O280" s="13">
        <v>295</v>
      </c>
      <c r="P280" s="13"/>
      <c r="Q280" s="3">
        <f t="shared" si="22"/>
        <v>0</v>
      </c>
      <c r="R280" s="3">
        <f t="shared" si="23"/>
        <v>0</v>
      </c>
      <c r="S280" s="3">
        <f t="shared" si="24"/>
        <v>12631.18</v>
      </c>
      <c r="T280" s="24"/>
      <c r="U280" s="24"/>
      <c r="V280" s="67"/>
      <c r="W280" s="25">
        <f>IFERROR(VLOOKUP(BCP_Soles[[#This Row],[DESTINATARIO]],CHOOSE({1,2},Clientes_Proveedores[Razon Social],Clientes_Proveedores[Ruc / Dni]),2,0),"")</f>
        <v>20602751326</v>
      </c>
      <c r="X280" s="25"/>
      <c r="Y280" s="25"/>
      <c r="Z280" s="25"/>
      <c r="AA280" s="99"/>
      <c r="AB280" s="3" t="str">
        <f>IF(BCP_Soles[[#This Row],[FECHA]]&gt;0,TEXT(BCP_Soles[[#This Row],[FECHA]],"mmmm"),0)</f>
        <v>Enero</v>
      </c>
    </row>
    <row r="281" spans="2:28" x14ac:dyDescent="0.3">
      <c r="B281" s="2" t="str">
        <f>IF(BCP_Soles[[#This Row],[TIPO DE R.]]="R",COUNTIFS($D$4:$D280,"R")+1,"")</f>
        <v/>
      </c>
      <c r="C281" s="19" t="str">
        <f t="shared" si="20"/>
        <v>B-BCP - Soles</v>
      </c>
      <c r="D281" s="3" t="s">
        <v>1101</v>
      </c>
      <c r="E281" s="14">
        <v>45680</v>
      </c>
      <c r="F281" s="5" t="s">
        <v>1082</v>
      </c>
      <c r="G281" s="5"/>
      <c r="H281" s="6" t="s">
        <v>465</v>
      </c>
      <c r="I281" s="6" t="s">
        <v>14</v>
      </c>
      <c r="J281" s="6" t="s">
        <v>1121</v>
      </c>
      <c r="K281" s="6">
        <v>3636</v>
      </c>
      <c r="L281" s="7" t="s">
        <v>1428</v>
      </c>
      <c r="M281" s="8">
        <v>4621351</v>
      </c>
      <c r="N281" s="8" t="str">
        <f t="shared" si="21"/>
        <v>PEN</v>
      </c>
      <c r="O281" s="13">
        <v>212.4</v>
      </c>
      <c r="P281" s="13"/>
      <c r="Q281" s="3">
        <f t="shared" si="22"/>
        <v>0</v>
      </c>
      <c r="R281" s="3">
        <f t="shared" si="23"/>
        <v>0</v>
      </c>
      <c r="S281" s="3">
        <f t="shared" si="24"/>
        <v>12631.18</v>
      </c>
      <c r="T281" s="24"/>
      <c r="U281" s="24"/>
      <c r="V281" s="67"/>
      <c r="W281" s="25">
        <f>IFERROR(VLOOKUP(BCP_Soles[[#This Row],[DESTINATARIO]],CHOOSE({1,2},Clientes_Proveedores[Razon Social],Clientes_Proveedores[Ruc / Dni]),2,0),"")</f>
        <v>20603974817</v>
      </c>
      <c r="X281" s="25"/>
      <c r="Y281" s="25"/>
      <c r="Z281" s="25"/>
      <c r="AA281" s="99"/>
      <c r="AB281" s="3" t="str">
        <f>IF(BCP_Soles[[#This Row],[FECHA]]&gt;0,TEXT(BCP_Soles[[#This Row],[FECHA]],"mmmm"),0)</f>
        <v>Enero</v>
      </c>
    </row>
    <row r="282" spans="2:28" x14ac:dyDescent="0.3">
      <c r="B282" s="2" t="str">
        <f>IF(BCP_Soles[[#This Row],[TIPO DE R.]]="R",COUNTIFS($D$4:$D281,"R")+1,"")</f>
        <v/>
      </c>
      <c r="C282" s="19" t="str">
        <f t="shared" si="20"/>
        <v>B-BCP - Soles</v>
      </c>
      <c r="D282" s="3" t="s">
        <v>1101</v>
      </c>
      <c r="E282" s="14">
        <v>45680</v>
      </c>
      <c r="F282" s="5" t="s">
        <v>1082</v>
      </c>
      <c r="G282" s="5"/>
      <c r="H282" s="6" t="s">
        <v>465</v>
      </c>
      <c r="I282" s="6" t="s">
        <v>14</v>
      </c>
      <c r="J282" s="6" t="s">
        <v>1121</v>
      </c>
      <c r="K282" s="6">
        <v>3634</v>
      </c>
      <c r="L282" s="7" t="s">
        <v>1428</v>
      </c>
      <c r="M282" s="8">
        <v>4621351</v>
      </c>
      <c r="N282" s="8" t="str">
        <f t="shared" si="21"/>
        <v>PEN</v>
      </c>
      <c r="O282" s="13">
        <v>377.6</v>
      </c>
      <c r="P282" s="13"/>
      <c r="Q282" s="3">
        <f t="shared" si="22"/>
        <v>0</v>
      </c>
      <c r="R282" s="3">
        <f t="shared" si="23"/>
        <v>0</v>
      </c>
      <c r="S282" s="3">
        <f t="shared" si="24"/>
        <v>12631.18</v>
      </c>
      <c r="T282" s="24"/>
      <c r="U282" s="24"/>
      <c r="V282" s="67"/>
      <c r="W282" s="25">
        <f>IFERROR(VLOOKUP(BCP_Soles[[#This Row],[DESTINATARIO]],CHOOSE({1,2},Clientes_Proveedores[Razon Social],Clientes_Proveedores[Ruc / Dni]),2,0),"")</f>
        <v>20603974817</v>
      </c>
      <c r="X282" s="25"/>
      <c r="Y282" s="25"/>
      <c r="Z282" s="25"/>
      <c r="AA282" s="99"/>
      <c r="AB282" s="3" t="str">
        <f>IF(BCP_Soles[[#This Row],[FECHA]]&gt;0,TEXT(BCP_Soles[[#This Row],[FECHA]],"mmmm"),0)</f>
        <v>Enero</v>
      </c>
    </row>
    <row r="283" spans="2:28" ht="24" x14ac:dyDescent="0.3">
      <c r="B283" s="2" t="str">
        <f>IF(BCP_Soles[[#This Row],[TIPO DE R.]]="R",COUNTIFS($D$4:$D282,"R")+1,"")</f>
        <v/>
      </c>
      <c r="C283" s="19" t="str">
        <f t="shared" si="20"/>
        <v>B-BCP - Soles</v>
      </c>
      <c r="D283" s="3" t="s">
        <v>1101</v>
      </c>
      <c r="E283" s="14">
        <v>45680</v>
      </c>
      <c r="F283" s="5" t="s">
        <v>1082</v>
      </c>
      <c r="G283" s="5"/>
      <c r="H283" s="6" t="s">
        <v>214</v>
      </c>
      <c r="I283" s="6" t="s">
        <v>14</v>
      </c>
      <c r="J283" s="6" t="s">
        <v>1120</v>
      </c>
      <c r="K283" s="6">
        <v>6849</v>
      </c>
      <c r="L283" s="7" t="s">
        <v>1428</v>
      </c>
      <c r="M283" s="8">
        <v>4621351</v>
      </c>
      <c r="N283" s="8" t="str">
        <f t="shared" si="21"/>
        <v>PEN</v>
      </c>
      <c r="O283" s="13">
        <v>736.45</v>
      </c>
      <c r="P283" s="13"/>
      <c r="Q283" s="3">
        <f t="shared" si="22"/>
        <v>0</v>
      </c>
      <c r="R283" s="3">
        <f t="shared" si="23"/>
        <v>0</v>
      </c>
      <c r="S283" s="3">
        <f t="shared" si="24"/>
        <v>12631.18</v>
      </c>
      <c r="T283" s="24"/>
      <c r="U283" s="24"/>
      <c r="V283" s="67"/>
      <c r="W283" s="25">
        <f>IFERROR(VLOOKUP(BCP_Soles[[#This Row],[DESTINATARIO]],CHOOSE({1,2},Clientes_Proveedores[Razon Social],Clientes_Proveedores[Ruc / Dni]),2,0),"")</f>
        <v>20419158462</v>
      </c>
      <c r="X283" s="25"/>
      <c r="Y283" s="25"/>
      <c r="Z283" s="25"/>
      <c r="AA283" s="99"/>
      <c r="AB283" s="3" t="str">
        <f>IF(BCP_Soles[[#This Row],[FECHA]]&gt;0,TEXT(BCP_Soles[[#This Row],[FECHA]],"mmmm"),0)</f>
        <v>Enero</v>
      </c>
    </row>
    <row r="284" spans="2:28" x14ac:dyDescent="0.3">
      <c r="B284" s="2" t="str">
        <f>IF(BCP_Soles[[#This Row],[TIPO DE R.]]="R",COUNTIFS($D$4:$D283,"R")+1,"")</f>
        <v/>
      </c>
      <c r="C284" s="19" t="str">
        <f t="shared" si="20"/>
        <v>B-BCP - Soles</v>
      </c>
      <c r="D284" s="3" t="s">
        <v>1101</v>
      </c>
      <c r="E284" s="14">
        <v>45680</v>
      </c>
      <c r="F284" s="5" t="s">
        <v>1082</v>
      </c>
      <c r="G284" s="5"/>
      <c r="H284" s="6" t="s">
        <v>229</v>
      </c>
      <c r="I284" s="6" t="s">
        <v>14</v>
      </c>
      <c r="J284" s="6" t="s">
        <v>1429</v>
      </c>
      <c r="K284" s="6">
        <v>1676</v>
      </c>
      <c r="L284" s="7" t="s">
        <v>1428</v>
      </c>
      <c r="M284" s="8">
        <v>4621351</v>
      </c>
      <c r="N284" s="8" t="str">
        <f t="shared" si="21"/>
        <v>PEN</v>
      </c>
      <c r="O284" s="13">
        <v>1408.81</v>
      </c>
      <c r="P284" s="13"/>
      <c r="Q284" s="3">
        <f t="shared" si="22"/>
        <v>0</v>
      </c>
      <c r="R284" s="3">
        <f t="shared" si="23"/>
        <v>0</v>
      </c>
      <c r="S284" s="3">
        <f t="shared" si="24"/>
        <v>12631.18</v>
      </c>
      <c r="T284" s="24"/>
      <c r="U284" s="24"/>
      <c r="V284" s="67"/>
      <c r="W284" s="25">
        <f>IFERROR(VLOOKUP(BCP_Soles[[#This Row],[DESTINATARIO]],CHOOSE({1,2},Clientes_Proveedores[Razon Social],Clientes_Proveedores[Ruc / Dni]),2,0),"")</f>
        <v>20454186002</v>
      </c>
      <c r="X284" s="25"/>
      <c r="Y284" s="25"/>
      <c r="Z284" s="25"/>
      <c r="AA284" s="99"/>
      <c r="AB284" s="3" t="str">
        <f>IF(BCP_Soles[[#This Row],[FECHA]]&gt;0,TEXT(BCP_Soles[[#This Row],[FECHA]],"mmmm"),0)</f>
        <v>Enero</v>
      </c>
    </row>
    <row r="285" spans="2:28" x14ac:dyDescent="0.3">
      <c r="B285" s="2" t="str">
        <f>IF(BCP_Soles[[#This Row],[TIPO DE R.]]="R",COUNTIFS($D$4:$D284,"R")+1,"")</f>
        <v/>
      </c>
      <c r="C285" s="19" t="str">
        <f t="shared" si="20"/>
        <v>B-BCP - Soles</v>
      </c>
      <c r="D285" s="3" t="s">
        <v>1101</v>
      </c>
      <c r="E285" s="14">
        <v>45680</v>
      </c>
      <c r="F285" s="5" t="s">
        <v>1082</v>
      </c>
      <c r="G285" s="5"/>
      <c r="H285" s="6" t="s">
        <v>229</v>
      </c>
      <c r="I285" s="6" t="s">
        <v>14</v>
      </c>
      <c r="J285" s="6" t="s">
        <v>1429</v>
      </c>
      <c r="K285" s="6">
        <v>1677</v>
      </c>
      <c r="L285" s="7" t="s">
        <v>1428</v>
      </c>
      <c r="M285" s="8">
        <v>4621351</v>
      </c>
      <c r="N285" s="8" t="str">
        <f t="shared" si="21"/>
        <v>PEN</v>
      </c>
      <c r="O285" s="13">
        <v>83</v>
      </c>
      <c r="P285" s="13"/>
      <c r="Q285" s="3">
        <f t="shared" si="22"/>
        <v>0</v>
      </c>
      <c r="R285" s="3">
        <f t="shared" si="23"/>
        <v>0</v>
      </c>
      <c r="S285" s="3">
        <f t="shared" si="24"/>
        <v>12631.18</v>
      </c>
      <c r="T285" s="24"/>
      <c r="U285" s="24"/>
      <c r="V285" s="67"/>
      <c r="W285" s="25">
        <f>IFERROR(VLOOKUP(BCP_Soles[[#This Row],[DESTINATARIO]],CHOOSE({1,2},Clientes_Proveedores[Razon Social],Clientes_Proveedores[Ruc / Dni]),2,0),"")</f>
        <v>20454186002</v>
      </c>
      <c r="X285" s="25"/>
      <c r="Y285" s="25"/>
      <c r="Z285" s="25"/>
      <c r="AA285" s="99"/>
      <c r="AB285" s="3" t="str">
        <f>IF(BCP_Soles[[#This Row],[FECHA]]&gt;0,TEXT(BCP_Soles[[#This Row],[FECHA]],"mmmm"),0)</f>
        <v>Enero</v>
      </c>
    </row>
    <row r="286" spans="2:28" x14ac:dyDescent="0.3">
      <c r="B286" s="2" t="str">
        <f>IF(BCP_Soles[[#This Row],[TIPO DE R.]]="R",COUNTIFS($D$4:$D285,"R")+1,"")</f>
        <v/>
      </c>
      <c r="C286" s="19" t="str">
        <f t="shared" si="20"/>
        <v>B-BCP - Soles</v>
      </c>
      <c r="D286" s="3" t="s">
        <v>1101</v>
      </c>
      <c r="E286" s="14">
        <v>45680</v>
      </c>
      <c r="F286" s="5" t="s">
        <v>1082</v>
      </c>
      <c r="G286" s="5"/>
      <c r="H286" s="6" t="s">
        <v>229</v>
      </c>
      <c r="I286" s="6" t="s">
        <v>14</v>
      </c>
      <c r="J286" s="6" t="s">
        <v>1429</v>
      </c>
      <c r="K286" s="6">
        <v>1678</v>
      </c>
      <c r="L286" s="7" t="s">
        <v>1428</v>
      </c>
      <c r="M286" s="8">
        <v>4621351</v>
      </c>
      <c r="N286" s="8" t="str">
        <f t="shared" si="21"/>
        <v>PEN</v>
      </c>
      <c r="O286" s="13">
        <v>586.41</v>
      </c>
      <c r="P286" s="13"/>
      <c r="Q286" s="3">
        <f t="shared" si="22"/>
        <v>0</v>
      </c>
      <c r="R286" s="3">
        <f t="shared" si="23"/>
        <v>0</v>
      </c>
      <c r="S286" s="3">
        <f t="shared" si="24"/>
        <v>12631.18</v>
      </c>
      <c r="T286" s="24"/>
      <c r="U286" s="24"/>
      <c r="V286" s="67"/>
      <c r="W286" s="25">
        <f>IFERROR(VLOOKUP(BCP_Soles[[#This Row],[DESTINATARIO]],CHOOSE({1,2},Clientes_Proveedores[Razon Social],Clientes_Proveedores[Ruc / Dni]),2,0),"")</f>
        <v>20454186002</v>
      </c>
      <c r="X286" s="25"/>
      <c r="Y286" s="25"/>
      <c r="Z286" s="25"/>
      <c r="AA286" s="99"/>
      <c r="AB286" s="3" t="str">
        <f>IF(BCP_Soles[[#This Row],[FECHA]]&gt;0,TEXT(BCP_Soles[[#This Row],[FECHA]],"mmmm"),0)</f>
        <v>Enero</v>
      </c>
    </row>
    <row r="287" spans="2:28" x14ac:dyDescent="0.3">
      <c r="B287" s="2" t="str">
        <f>IF(BCP_Soles[[#This Row],[TIPO DE R.]]="R",COUNTIFS($D$4:$D286,"R")+1,"")</f>
        <v/>
      </c>
      <c r="C287" s="19" t="str">
        <f t="shared" si="20"/>
        <v>B-BCP - Soles</v>
      </c>
      <c r="D287" s="3" t="s">
        <v>1101</v>
      </c>
      <c r="E287" s="14">
        <v>45680</v>
      </c>
      <c r="F287" s="5" t="s">
        <v>1082</v>
      </c>
      <c r="G287" s="5"/>
      <c r="H287" s="6" t="s">
        <v>229</v>
      </c>
      <c r="I287" s="6" t="s">
        <v>14</v>
      </c>
      <c r="J287" s="6" t="s">
        <v>1429</v>
      </c>
      <c r="K287" s="6">
        <v>1679</v>
      </c>
      <c r="L287" s="7" t="s">
        <v>1428</v>
      </c>
      <c r="M287" s="8">
        <v>4621351</v>
      </c>
      <c r="N287" s="8" t="str">
        <f t="shared" si="21"/>
        <v>PEN</v>
      </c>
      <c r="O287" s="13">
        <v>789.2</v>
      </c>
      <c r="P287" s="13"/>
      <c r="Q287" s="3">
        <f t="shared" si="22"/>
        <v>0</v>
      </c>
      <c r="R287" s="3">
        <f t="shared" si="23"/>
        <v>0</v>
      </c>
      <c r="S287" s="3">
        <f t="shared" si="24"/>
        <v>12631.18</v>
      </c>
      <c r="T287" s="24"/>
      <c r="U287" s="24"/>
      <c r="V287" s="67"/>
      <c r="W287" s="25">
        <f>IFERROR(VLOOKUP(BCP_Soles[[#This Row],[DESTINATARIO]],CHOOSE({1,2},Clientes_Proveedores[Razon Social],Clientes_Proveedores[Ruc / Dni]),2,0),"")</f>
        <v>20454186002</v>
      </c>
      <c r="X287" s="25"/>
      <c r="Y287" s="25"/>
      <c r="Z287" s="25"/>
      <c r="AA287" s="99"/>
      <c r="AB287" s="3" t="str">
        <f>IF(BCP_Soles[[#This Row],[FECHA]]&gt;0,TEXT(BCP_Soles[[#This Row],[FECHA]],"mmmm"),0)</f>
        <v>Enero</v>
      </c>
    </row>
    <row r="288" spans="2:28" ht="24" x14ac:dyDescent="0.3">
      <c r="B288" s="2">
        <f>IF(BCP_Soles[[#This Row],[TIPO DE R.]]="R",COUNTIFS($D$4:$D287,"R")+1,"")</f>
        <v>200</v>
      </c>
      <c r="C288" s="19" t="str">
        <f t="shared" si="20"/>
        <v>B-BCP - Soles</v>
      </c>
      <c r="D288" s="3" t="s">
        <v>1074</v>
      </c>
      <c r="E288" s="14">
        <v>45681</v>
      </c>
      <c r="F288" s="5" t="s">
        <v>149</v>
      </c>
      <c r="G288" s="5" t="s">
        <v>1087</v>
      </c>
      <c r="H288" s="6"/>
      <c r="I288" s="6"/>
      <c r="J288" s="6"/>
      <c r="K288" s="6"/>
      <c r="L288" s="7" t="s">
        <v>1430</v>
      </c>
      <c r="M288" s="8">
        <v>4864454</v>
      </c>
      <c r="N288" s="8" t="str">
        <f t="shared" si="21"/>
        <v>PEN</v>
      </c>
      <c r="O288" s="13"/>
      <c r="P288" s="13">
        <v>13817.64</v>
      </c>
      <c r="Q288" s="3">
        <f t="shared" si="22"/>
        <v>13817.64</v>
      </c>
      <c r="R288" s="3">
        <f t="shared" si="23"/>
        <v>0</v>
      </c>
      <c r="S288" s="3">
        <f t="shared" si="24"/>
        <v>26448.82</v>
      </c>
      <c r="T288" s="24" t="s">
        <v>1081</v>
      </c>
      <c r="U288" s="24" t="s">
        <v>1081</v>
      </c>
      <c r="V288" s="67"/>
      <c r="W288" s="25" t="str">
        <f>IFERROR(VLOOKUP(BCP_Soles[[#This Row],[DESTINATARIO]],CHOOSE({1,2},Clientes_Proveedores[Razon Social],Clientes_Proveedores[Ruc / Dni]),2,0),"")</f>
        <v/>
      </c>
      <c r="X288" s="25" t="s">
        <v>1090</v>
      </c>
      <c r="Y288" s="25" t="s">
        <v>1431</v>
      </c>
      <c r="Z288" s="25"/>
      <c r="AA288" s="99"/>
      <c r="AB288" s="3" t="str">
        <f>IF(BCP_Soles[[#This Row],[FECHA]]&gt;0,TEXT(BCP_Soles[[#This Row],[FECHA]],"mmmm"),0)</f>
        <v>Enero</v>
      </c>
    </row>
    <row r="289" spans="2:28" x14ac:dyDescent="0.3">
      <c r="B289" s="2">
        <f>IF(BCP_Soles[[#This Row],[TIPO DE R.]]="R",COUNTIFS($D$4:$D288,"R")+1,"")</f>
        <v>201</v>
      </c>
      <c r="C289" s="19" t="str">
        <f t="shared" si="20"/>
        <v>B-BCP - Soles</v>
      </c>
      <c r="D289" s="3" t="s">
        <v>1074</v>
      </c>
      <c r="E289" s="14">
        <v>45681</v>
      </c>
      <c r="F289" s="5" t="s">
        <v>1078</v>
      </c>
      <c r="G289" s="5" t="s">
        <v>1079</v>
      </c>
      <c r="H289" s="6"/>
      <c r="I289" s="6"/>
      <c r="J289" s="6"/>
      <c r="K289" s="6"/>
      <c r="L289" s="7" t="s">
        <v>1080</v>
      </c>
      <c r="M289" s="8"/>
      <c r="N289" s="8" t="str">
        <f t="shared" si="21"/>
        <v>PEN</v>
      </c>
      <c r="O289" s="13"/>
      <c r="P289" s="13">
        <v>0.7</v>
      </c>
      <c r="Q289" s="3">
        <f t="shared" si="22"/>
        <v>0</v>
      </c>
      <c r="R289" s="3">
        <f t="shared" si="23"/>
        <v>0.7</v>
      </c>
      <c r="S289" s="3">
        <f t="shared" si="24"/>
        <v>26448.12</v>
      </c>
      <c r="T289" s="24"/>
      <c r="U289" s="24" t="s">
        <v>1081</v>
      </c>
      <c r="V289" s="67"/>
      <c r="W289" s="25" t="str">
        <f>IFERROR(VLOOKUP(BCP_Soles[[#This Row],[DESTINATARIO]],CHOOSE({1,2},Clientes_Proveedores[Razon Social],Clientes_Proveedores[Ruc / Dni]),2,0),"")</f>
        <v/>
      </c>
      <c r="X289" s="25"/>
      <c r="Y289" s="25"/>
      <c r="Z289" s="25"/>
      <c r="AA289" s="99"/>
      <c r="AB289" s="3" t="str">
        <f>IF(BCP_Soles[[#This Row],[FECHA]]&gt;0,TEXT(BCP_Soles[[#This Row],[FECHA]],"mmmm"),0)</f>
        <v>Enero</v>
      </c>
    </row>
    <row r="290" spans="2:28" ht="36" x14ac:dyDescent="0.3">
      <c r="B290" s="2">
        <f>IF(BCP_Soles[[#This Row],[TIPO DE R.]]="R",COUNTIFS($D$4:$D289,"R")+1,"")</f>
        <v>202</v>
      </c>
      <c r="C290" s="19" t="str">
        <f t="shared" si="20"/>
        <v>B-BCP - Soles</v>
      </c>
      <c r="D290" s="3" t="s">
        <v>1074</v>
      </c>
      <c r="E290" s="14">
        <v>45681</v>
      </c>
      <c r="F290" s="5" t="s">
        <v>1082</v>
      </c>
      <c r="G290" s="5" t="s">
        <v>1079</v>
      </c>
      <c r="H290" s="6" t="s">
        <v>644</v>
      </c>
      <c r="I290" s="6" t="s">
        <v>14</v>
      </c>
      <c r="J290" s="6" t="s">
        <v>1204</v>
      </c>
      <c r="K290" s="6">
        <v>603522</v>
      </c>
      <c r="L290" s="7" t="s">
        <v>1432</v>
      </c>
      <c r="M290" s="8">
        <v>246879</v>
      </c>
      <c r="N290" s="8" t="str">
        <f t="shared" si="21"/>
        <v>PEN</v>
      </c>
      <c r="O290" s="13"/>
      <c r="P290" s="13">
        <v>1030.1500000000001</v>
      </c>
      <c r="Q290" s="3">
        <f t="shared" si="22"/>
        <v>0</v>
      </c>
      <c r="R290" s="3">
        <f t="shared" si="23"/>
        <v>1030.1500000000001</v>
      </c>
      <c r="S290" s="3">
        <f t="shared" si="24"/>
        <v>25417.969999999998</v>
      </c>
      <c r="T290" s="24" t="s">
        <v>1081</v>
      </c>
      <c r="U290" s="24" t="s">
        <v>1081</v>
      </c>
      <c r="V290" s="67"/>
      <c r="W290" s="25">
        <f>IFERROR(VLOOKUP(BCP_Soles[[#This Row],[DESTINATARIO]],CHOOSE({1,2},Clientes_Proveedores[Razon Social],Clientes_Proveedores[Ruc / Dni]),2,0),"")</f>
        <v>20454073143</v>
      </c>
      <c r="X290" s="25" t="s">
        <v>1206</v>
      </c>
      <c r="Y290" s="25" t="s">
        <v>1433</v>
      </c>
      <c r="Z290" s="25"/>
      <c r="AA290" s="99"/>
      <c r="AB290" s="3" t="str">
        <f>IF(BCP_Soles[[#This Row],[FECHA]]&gt;0,TEXT(BCP_Soles[[#This Row],[FECHA]],"mmmm"),0)</f>
        <v>Enero</v>
      </c>
    </row>
    <row r="291" spans="2:28" ht="36" x14ac:dyDescent="0.3">
      <c r="B291" s="2">
        <f>IF(BCP_Soles[[#This Row],[TIPO DE R.]]="R",COUNTIFS($D$4:$D290,"R")+1,"")</f>
        <v>203</v>
      </c>
      <c r="C291" s="19" t="str">
        <f t="shared" si="20"/>
        <v>B-BCP - Soles</v>
      </c>
      <c r="D291" s="3" t="s">
        <v>1074</v>
      </c>
      <c r="E291" s="14">
        <v>45681</v>
      </c>
      <c r="F291" s="5" t="s">
        <v>497</v>
      </c>
      <c r="G291" s="5" t="s">
        <v>1087</v>
      </c>
      <c r="H291" s="6"/>
      <c r="I291" s="6"/>
      <c r="J291" s="6"/>
      <c r="K291" s="6"/>
      <c r="L291" s="7" t="s">
        <v>1093</v>
      </c>
      <c r="M291" s="8">
        <v>2208829</v>
      </c>
      <c r="N291" s="8" t="str">
        <f t="shared" si="21"/>
        <v>PEN</v>
      </c>
      <c r="O291" s="13"/>
      <c r="P291" s="13">
        <v>1321.87</v>
      </c>
      <c r="Q291" s="3">
        <f t="shared" si="22"/>
        <v>1321.87</v>
      </c>
      <c r="R291" s="3">
        <f t="shared" si="23"/>
        <v>0</v>
      </c>
      <c r="S291" s="3">
        <f t="shared" si="24"/>
        <v>26739.839999999997</v>
      </c>
      <c r="T291" s="24" t="s">
        <v>1081</v>
      </c>
      <c r="U291" s="24" t="s">
        <v>1081</v>
      </c>
      <c r="V291" s="67"/>
      <c r="W291" s="25" t="str">
        <f>IFERROR(VLOOKUP(BCP_Soles[[#This Row],[DESTINATARIO]],CHOOSE({1,2},Clientes_Proveedores[Razon Social],Clientes_Proveedores[Ruc / Dni]),2,0),"")</f>
        <v/>
      </c>
      <c r="X291" s="25" t="s">
        <v>1090</v>
      </c>
      <c r="Y291" s="25" t="s">
        <v>1434</v>
      </c>
      <c r="Z291" s="25"/>
      <c r="AA291" s="99"/>
      <c r="AB291" s="3" t="str">
        <f>IF(BCP_Soles[[#This Row],[FECHA]]&gt;0,TEXT(BCP_Soles[[#This Row],[FECHA]],"mmmm"),0)</f>
        <v>Enero</v>
      </c>
    </row>
    <row r="292" spans="2:28" ht="24" x14ac:dyDescent="0.3">
      <c r="B292" s="2">
        <f>IF(BCP_Soles[[#This Row],[TIPO DE R.]]="R",COUNTIFS($D$4:$D291,"R")+1,"")</f>
        <v>204</v>
      </c>
      <c r="C292" s="19" t="str">
        <f t="shared" si="20"/>
        <v>B-BCP - Soles</v>
      </c>
      <c r="D292" s="3" t="s">
        <v>1074</v>
      </c>
      <c r="E292" s="14">
        <v>45681</v>
      </c>
      <c r="F292" s="5" t="s">
        <v>1435</v>
      </c>
      <c r="G292" s="5" t="s">
        <v>1087</v>
      </c>
      <c r="H292" s="6"/>
      <c r="I292" s="6"/>
      <c r="J292" s="6"/>
      <c r="K292" s="6"/>
      <c r="L292" s="7" t="s">
        <v>1100</v>
      </c>
      <c r="M292" s="8">
        <v>3077764</v>
      </c>
      <c r="N292" s="8" t="str">
        <f t="shared" si="21"/>
        <v>PEN</v>
      </c>
      <c r="O292" s="13"/>
      <c r="P292" s="13">
        <v>874</v>
      </c>
      <c r="Q292" s="3">
        <f t="shared" si="22"/>
        <v>874</v>
      </c>
      <c r="R292" s="3">
        <f t="shared" si="23"/>
        <v>0</v>
      </c>
      <c r="S292" s="3">
        <f t="shared" si="24"/>
        <v>27613.839999999997</v>
      </c>
      <c r="T292" s="24" t="s">
        <v>1081</v>
      </c>
      <c r="U292" s="24" t="s">
        <v>1081</v>
      </c>
      <c r="V292" s="67"/>
      <c r="W292" s="25" t="str">
        <f>IFERROR(VLOOKUP(BCP_Soles[[#This Row],[DESTINATARIO]],CHOOSE({1,2},Clientes_Proveedores[Razon Social],Clientes_Proveedores[Ruc / Dni]),2,0),"")</f>
        <v/>
      </c>
      <c r="X292" s="25" t="s">
        <v>1090</v>
      </c>
      <c r="Y292" s="25" t="s">
        <v>1436</v>
      </c>
      <c r="Z292" s="25"/>
      <c r="AA292" s="99"/>
      <c r="AB292" s="3" t="str">
        <f>IF(BCP_Soles[[#This Row],[FECHA]]&gt;0,TEXT(BCP_Soles[[#This Row],[FECHA]],"mmmm"),0)</f>
        <v>Enero</v>
      </c>
    </row>
    <row r="293" spans="2:28" ht="24" x14ac:dyDescent="0.3">
      <c r="B293" s="2">
        <f>IF(BCP_Soles[[#This Row],[TIPO DE R.]]="R",COUNTIFS($D$4:$D292,"R")+1,"")</f>
        <v>205</v>
      </c>
      <c r="C293" s="19" t="str">
        <f t="shared" si="20"/>
        <v>B-BCP - Soles</v>
      </c>
      <c r="D293" s="3" t="s">
        <v>1074</v>
      </c>
      <c r="E293" s="14">
        <v>45681</v>
      </c>
      <c r="F293" s="5" t="s">
        <v>1373</v>
      </c>
      <c r="G293" s="5" t="s">
        <v>1087</v>
      </c>
      <c r="H293" s="6" t="s">
        <v>368</v>
      </c>
      <c r="I293" s="6" t="s">
        <v>87</v>
      </c>
      <c r="J293" s="6"/>
      <c r="K293" s="6"/>
      <c r="L293" s="7" t="s">
        <v>1437</v>
      </c>
      <c r="M293" s="8">
        <v>2836984</v>
      </c>
      <c r="N293" s="8" t="str">
        <f t="shared" si="21"/>
        <v>PEN</v>
      </c>
      <c r="O293" s="13"/>
      <c r="P293" s="13">
        <v>10</v>
      </c>
      <c r="Q293" s="3">
        <f t="shared" si="22"/>
        <v>10</v>
      </c>
      <c r="R293" s="3">
        <f t="shared" si="23"/>
        <v>0</v>
      </c>
      <c r="S293" s="3">
        <f t="shared" si="24"/>
        <v>27623.839999999997</v>
      </c>
      <c r="T293" s="24"/>
      <c r="U293" s="24"/>
      <c r="V293" s="67"/>
      <c r="W293" s="25">
        <f>IFERROR(VLOOKUP(BCP_Soles[[#This Row],[DESTINATARIO]],CHOOSE({1,2},Clientes_Proveedores[Razon Social],Clientes_Proveedores[Ruc / Dni]),2,0),"")</f>
        <v>20558226979</v>
      </c>
      <c r="X293" s="25"/>
      <c r="Y293" s="25"/>
      <c r="Z293" s="25"/>
      <c r="AA293" s="99"/>
      <c r="AB293" s="3" t="str">
        <f>IF(BCP_Soles[[#This Row],[FECHA]]&gt;0,TEXT(BCP_Soles[[#This Row],[FECHA]],"mmmm"),0)</f>
        <v>Enero</v>
      </c>
    </row>
    <row r="294" spans="2:28" x14ac:dyDescent="0.3">
      <c r="B294" s="2">
        <f>IF(BCP_Soles[[#This Row],[TIPO DE R.]]="R",COUNTIFS($D$4:$D293,"R")+1,"")</f>
        <v>206</v>
      </c>
      <c r="C294" s="19" t="str">
        <f t="shared" si="20"/>
        <v>B-BCP - Soles</v>
      </c>
      <c r="D294" s="3" t="s">
        <v>1074</v>
      </c>
      <c r="E294" s="14">
        <v>45682</v>
      </c>
      <c r="F294" s="5"/>
      <c r="G294" s="5" t="s">
        <v>1087</v>
      </c>
      <c r="H294" s="6"/>
      <c r="I294" s="6"/>
      <c r="J294" s="6"/>
      <c r="K294" s="6"/>
      <c r="L294" s="7" t="s">
        <v>1100</v>
      </c>
      <c r="M294" s="8">
        <v>1604910</v>
      </c>
      <c r="N294" s="8" t="str">
        <f t="shared" si="21"/>
        <v>PEN</v>
      </c>
      <c r="O294" s="13"/>
      <c r="P294" s="13">
        <v>2400</v>
      </c>
      <c r="Q294" s="3">
        <f t="shared" si="22"/>
        <v>2400</v>
      </c>
      <c r="R294" s="3">
        <f t="shared" si="23"/>
        <v>0</v>
      </c>
      <c r="S294" s="3">
        <f t="shared" si="24"/>
        <v>30023.839999999997</v>
      </c>
      <c r="T294" s="24"/>
      <c r="U294" s="24"/>
      <c r="V294" s="67"/>
      <c r="W294" s="25" t="str">
        <f>IFERROR(VLOOKUP(BCP_Soles[[#This Row],[DESTINATARIO]],CHOOSE({1,2},Clientes_Proveedores[Razon Social],Clientes_Proveedores[Ruc / Dni]),2,0),"")</f>
        <v/>
      </c>
      <c r="X294" s="25" t="s">
        <v>1090</v>
      </c>
      <c r="Y294" s="25"/>
      <c r="Z294" s="25"/>
      <c r="AA294" s="99"/>
      <c r="AB294" s="3" t="str">
        <f>IF(BCP_Soles[[#This Row],[FECHA]]&gt;0,TEXT(BCP_Soles[[#This Row],[FECHA]],"mmmm"),0)</f>
        <v>Enero</v>
      </c>
    </row>
    <row r="295" spans="2:28" x14ac:dyDescent="0.3">
      <c r="B295" s="2" t="str">
        <f>IF(BCP_Soles[[#This Row],[TIPO DE R.]]="R",COUNTIFS($D$4:$D294,"R")+1,"")</f>
        <v/>
      </c>
      <c r="C295" s="19" t="str">
        <f t="shared" si="20"/>
        <v>B-BCP - Soles</v>
      </c>
      <c r="D295" s="3" t="s">
        <v>1101</v>
      </c>
      <c r="E295" s="14">
        <v>45682</v>
      </c>
      <c r="F295" s="5" t="s">
        <v>1438</v>
      </c>
      <c r="G295" s="5"/>
      <c r="H295" s="6"/>
      <c r="I295" s="6"/>
      <c r="J295" s="6"/>
      <c r="K295" s="6"/>
      <c r="L295" s="7" t="s">
        <v>1100</v>
      </c>
      <c r="M295" s="8">
        <v>1604910</v>
      </c>
      <c r="N295" s="8" t="str">
        <f t="shared" si="21"/>
        <v>PEN</v>
      </c>
      <c r="O295" s="13"/>
      <c r="P295" s="13">
        <v>1712</v>
      </c>
      <c r="Q295" s="3">
        <f t="shared" si="22"/>
        <v>0</v>
      </c>
      <c r="R295" s="3">
        <f t="shared" si="23"/>
        <v>0</v>
      </c>
      <c r="S295" s="3">
        <f t="shared" si="24"/>
        <v>30023.839999999997</v>
      </c>
      <c r="T295" s="24" t="s">
        <v>1081</v>
      </c>
      <c r="U295" s="24"/>
      <c r="V295" s="67"/>
      <c r="W295" s="25" t="str">
        <f>IFERROR(VLOOKUP(BCP_Soles[[#This Row],[DESTINATARIO]],CHOOSE({1,2},Clientes_Proveedores[Razon Social],Clientes_Proveedores[Ruc / Dni]),2,0),"")</f>
        <v/>
      </c>
      <c r="X295" s="25" t="s">
        <v>1090</v>
      </c>
      <c r="Y295" s="25" t="s">
        <v>1439</v>
      </c>
      <c r="Z295" s="25"/>
      <c r="AA295" s="99"/>
      <c r="AB295" s="3" t="str">
        <f>IF(BCP_Soles[[#This Row],[FECHA]]&gt;0,TEXT(BCP_Soles[[#This Row],[FECHA]],"mmmm"),0)</f>
        <v>Enero</v>
      </c>
    </row>
    <row r="296" spans="2:28" x14ac:dyDescent="0.3">
      <c r="B296" s="2">
        <f>IF(BCP_Soles[[#This Row],[TIPO DE R.]]="R",COUNTIFS($D$4:$D295,"R")+1,"")</f>
        <v>207</v>
      </c>
      <c r="C296" s="19" t="str">
        <f t="shared" si="20"/>
        <v>B-BCP - Soles</v>
      </c>
      <c r="D296" s="3" t="s">
        <v>1074</v>
      </c>
      <c r="E296" s="14">
        <v>45683</v>
      </c>
      <c r="F296" s="5" t="s">
        <v>1078</v>
      </c>
      <c r="G296" s="5" t="s">
        <v>1079</v>
      </c>
      <c r="H296" s="6"/>
      <c r="I296" s="6"/>
      <c r="J296" s="6"/>
      <c r="K296" s="6"/>
      <c r="L296" s="7" t="s">
        <v>1080</v>
      </c>
      <c r="M296" s="8"/>
      <c r="N296" s="8" t="str">
        <f t="shared" si="21"/>
        <v>PEN</v>
      </c>
      <c r="O296" s="13"/>
      <c r="P296" s="13">
        <v>0.15</v>
      </c>
      <c r="Q296" s="3">
        <f t="shared" si="22"/>
        <v>0</v>
      </c>
      <c r="R296" s="3">
        <f t="shared" si="23"/>
        <v>0.15</v>
      </c>
      <c r="S296" s="3">
        <f t="shared" si="24"/>
        <v>30023.689999999995</v>
      </c>
      <c r="T296" s="24"/>
      <c r="U296" s="24" t="s">
        <v>1081</v>
      </c>
      <c r="V296" s="67"/>
      <c r="W296" s="25" t="str">
        <f>IFERROR(VLOOKUP(BCP_Soles[[#This Row],[DESTINATARIO]],CHOOSE({1,2},Clientes_Proveedores[Razon Social],Clientes_Proveedores[Ruc / Dni]),2,0),"")</f>
        <v/>
      </c>
      <c r="X296" s="25"/>
      <c r="Y296" s="25"/>
      <c r="Z296" s="25"/>
      <c r="AA296" s="99"/>
      <c r="AB296" s="3" t="str">
        <f>IF(BCP_Soles[[#This Row],[FECHA]]&gt;0,TEXT(BCP_Soles[[#This Row],[FECHA]],"mmmm"),0)</f>
        <v>Enero</v>
      </c>
    </row>
    <row r="297" spans="2:28" ht="24" x14ac:dyDescent="0.3">
      <c r="B297" s="2">
        <f>IF(BCP_Soles[[#This Row],[TIPO DE R.]]="R",COUNTIFS($D$4:$D296,"R")+1,"")</f>
        <v>208</v>
      </c>
      <c r="C297" s="19" t="str">
        <f t="shared" si="20"/>
        <v>B-BCP - Soles</v>
      </c>
      <c r="D297" s="3" t="s">
        <v>1074</v>
      </c>
      <c r="E297" s="14">
        <v>45683</v>
      </c>
      <c r="F297" s="5" t="s">
        <v>1163</v>
      </c>
      <c r="G297" s="5" t="s">
        <v>1079</v>
      </c>
      <c r="H297" s="6"/>
      <c r="I297" s="6"/>
      <c r="J297" s="6"/>
      <c r="K297" s="6"/>
      <c r="L297" s="7" t="s">
        <v>1100</v>
      </c>
      <c r="M297" s="8">
        <v>767308</v>
      </c>
      <c r="N297" s="8" t="str">
        <f t="shared" si="21"/>
        <v>PEN</v>
      </c>
      <c r="O297" s="13"/>
      <c r="P297" s="13">
        <v>1000</v>
      </c>
      <c r="Q297" s="3">
        <f t="shared" si="22"/>
        <v>0</v>
      </c>
      <c r="R297" s="3">
        <f t="shared" si="23"/>
        <v>1000</v>
      </c>
      <c r="S297" s="3">
        <f t="shared" si="24"/>
        <v>29023.689999999995</v>
      </c>
      <c r="T297" s="24"/>
      <c r="U297" s="24"/>
      <c r="V297" s="67"/>
      <c r="W297" s="25" t="str">
        <f>IFERROR(VLOOKUP(BCP_Soles[[#This Row],[DESTINATARIO]],CHOOSE({1,2},Clientes_Proveedores[Razon Social],Clientes_Proveedores[Ruc / Dni]),2,0),"")</f>
        <v/>
      </c>
      <c r="X297" s="25"/>
      <c r="Y297" s="25" t="s">
        <v>1172</v>
      </c>
      <c r="Z297" s="25"/>
      <c r="AA297" s="99"/>
      <c r="AB297" s="3" t="str">
        <f>IF(BCP_Soles[[#This Row],[FECHA]]&gt;0,TEXT(BCP_Soles[[#This Row],[FECHA]],"mmmm"),0)</f>
        <v>Enero</v>
      </c>
    </row>
    <row r="298" spans="2:28" ht="36" x14ac:dyDescent="0.3">
      <c r="B298" s="2">
        <f>IF(BCP_Soles[[#This Row],[TIPO DE R.]]="R",COUNTIFS($D$4:$D297,"R")+1,"")</f>
        <v>209</v>
      </c>
      <c r="C298" s="19" t="str">
        <f t="shared" si="20"/>
        <v>B-BCP - Soles</v>
      </c>
      <c r="D298" s="3" t="s">
        <v>1074</v>
      </c>
      <c r="E298" s="14">
        <v>45684</v>
      </c>
      <c r="F298" s="5" t="s">
        <v>1082</v>
      </c>
      <c r="G298" s="5" t="s">
        <v>1079</v>
      </c>
      <c r="H298" s="6" t="s">
        <v>565</v>
      </c>
      <c r="I298" s="6" t="s">
        <v>14</v>
      </c>
      <c r="J298" s="6" t="s">
        <v>1119</v>
      </c>
      <c r="K298" s="6">
        <v>7381</v>
      </c>
      <c r="L298" s="7" t="s">
        <v>1440</v>
      </c>
      <c r="M298" s="8">
        <v>1088992</v>
      </c>
      <c r="N298" s="8" t="str">
        <f t="shared" si="21"/>
        <v>PEN</v>
      </c>
      <c r="O298" s="13"/>
      <c r="P298" s="13">
        <v>2297.5</v>
      </c>
      <c r="Q298" s="3">
        <f t="shared" si="22"/>
        <v>0</v>
      </c>
      <c r="R298" s="3">
        <f t="shared" si="23"/>
        <v>2297.5</v>
      </c>
      <c r="S298" s="3">
        <f t="shared" si="24"/>
        <v>26726.189999999995</v>
      </c>
      <c r="T298" s="24" t="s">
        <v>1081</v>
      </c>
      <c r="U298" s="24" t="s">
        <v>1081</v>
      </c>
      <c r="V298" s="67"/>
      <c r="W298" s="25">
        <f>IFERROR(VLOOKUP(BCP_Soles[[#This Row],[DESTINATARIO]],CHOOSE({1,2},Clientes_Proveedores[Razon Social],Clientes_Proveedores[Ruc / Dni]),2,0),"")</f>
        <v>20454819137</v>
      </c>
      <c r="X298" s="25" t="s">
        <v>1441</v>
      </c>
      <c r="Y298" s="25" t="s">
        <v>1442</v>
      </c>
      <c r="Z298" s="25"/>
      <c r="AA298" s="99"/>
      <c r="AB298" s="3" t="str">
        <f>IF(BCP_Soles[[#This Row],[FECHA]]&gt;0,TEXT(BCP_Soles[[#This Row],[FECHA]],"mmmm"),0)</f>
        <v>Enero</v>
      </c>
    </row>
    <row r="299" spans="2:28" x14ac:dyDescent="0.3">
      <c r="B299" s="2">
        <f>IF(BCP_Soles[[#This Row],[TIPO DE R.]]="R",COUNTIFS($D$4:$D298,"R")+1,"")</f>
        <v>210</v>
      </c>
      <c r="C299" s="19" t="str">
        <f t="shared" si="20"/>
        <v>B-BCP - Soles</v>
      </c>
      <c r="D299" s="3" t="s">
        <v>1074</v>
      </c>
      <c r="E299" s="14">
        <v>45684</v>
      </c>
      <c r="F299" s="5" t="s">
        <v>1186</v>
      </c>
      <c r="G299" s="5" t="s">
        <v>1087</v>
      </c>
      <c r="H299" s="6"/>
      <c r="I299" s="6"/>
      <c r="J299" s="6"/>
      <c r="K299" s="6"/>
      <c r="L299" s="7" t="s">
        <v>1100</v>
      </c>
      <c r="M299" s="8">
        <v>2680648</v>
      </c>
      <c r="N299" s="8" t="str">
        <f t="shared" si="21"/>
        <v>PEN</v>
      </c>
      <c r="O299" s="13"/>
      <c r="P299" s="13">
        <v>420</v>
      </c>
      <c r="Q299" s="3">
        <f t="shared" si="22"/>
        <v>420</v>
      </c>
      <c r="R299" s="3">
        <f t="shared" si="23"/>
        <v>0</v>
      </c>
      <c r="S299" s="3">
        <f t="shared" si="24"/>
        <v>27146.189999999995</v>
      </c>
      <c r="T299" s="24" t="s">
        <v>1081</v>
      </c>
      <c r="U299" s="24" t="s">
        <v>1081</v>
      </c>
      <c r="V299" s="67"/>
      <c r="W299" s="25" t="str">
        <f>IFERROR(VLOOKUP(BCP_Soles[[#This Row],[DESTINATARIO]],CHOOSE({1,2},Clientes_Proveedores[Razon Social],Clientes_Proveedores[Ruc / Dni]),2,0),"")</f>
        <v/>
      </c>
      <c r="X299" s="25" t="s">
        <v>1090</v>
      </c>
      <c r="Y299" s="25" t="s">
        <v>1443</v>
      </c>
      <c r="Z299" s="25"/>
      <c r="AA299" s="99"/>
      <c r="AB299" s="3" t="str">
        <f>IF(BCP_Soles[[#This Row],[FECHA]]&gt;0,TEXT(BCP_Soles[[#This Row],[FECHA]],"mmmm"),0)</f>
        <v>Enero</v>
      </c>
    </row>
    <row r="300" spans="2:28" ht="24" x14ac:dyDescent="0.3">
      <c r="B300" s="2">
        <f>IF(BCP_Soles[[#This Row],[TIPO DE R.]]="R",COUNTIFS($D$4:$D299,"R")+1,"")</f>
        <v>211</v>
      </c>
      <c r="C300" s="19" t="str">
        <f t="shared" si="20"/>
        <v>B-BCP - Soles</v>
      </c>
      <c r="D300" s="3" t="s">
        <v>1074</v>
      </c>
      <c r="E300" s="14">
        <v>45684</v>
      </c>
      <c r="F300" s="5" t="s">
        <v>1407</v>
      </c>
      <c r="G300" s="5" t="s">
        <v>1087</v>
      </c>
      <c r="H300" s="6"/>
      <c r="I300" s="6"/>
      <c r="J300" s="6"/>
      <c r="K300" s="6"/>
      <c r="L300" s="7" t="s">
        <v>1100</v>
      </c>
      <c r="M300" s="8">
        <v>1555352</v>
      </c>
      <c r="N300" s="8" t="str">
        <f t="shared" si="21"/>
        <v>PEN</v>
      </c>
      <c r="O300" s="13"/>
      <c r="P300" s="13">
        <v>550</v>
      </c>
      <c r="Q300" s="3">
        <f t="shared" si="22"/>
        <v>550</v>
      </c>
      <c r="R300" s="3">
        <f t="shared" si="23"/>
        <v>0</v>
      </c>
      <c r="S300" s="3">
        <f t="shared" si="24"/>
        <v>27696.189999999995</v>
      </c>
      <c r="T300" s="24" t="s">
        <v>1081</v>
      </c>
      <c r="U300" s="24" t="s">
        <v>1081</v>
      </c>
      <c r="V300" s="67"/>
      <c r="W300" s="25" t="str">
        <f>IFERROR(VLOOKUP(BCP_Soles[[#This Row],[DESTINATARIO]],CHOOSE({1,2},Clientes_Proveedores[Razon Social],Clientes_Proveedores[Ruc / Dni]),2,0),"")</f>
        <v/>
      </c>
      <c r="X300" s="25" t="s">
        <v>1090</v>
      </c>
      <c r="Y300" s="25" t="s">
        <v>1444</v>
      </c>
      <c r="Z300" s="25"/>
      <c r="AA300" s="99"/>
      <c r="AB300" s="3" t="str">
        <f>IF(BCP_Soles[[#This Row],[FECHA]]&gt;0,TEXT(BCP_Soles[[#This Row],[FECHA]],"mmmm"),0)</f>
        <v>Enero</v>
      </c>
    </row>
    <row r="301" spans="2:28" x14ac:dyDescent="0.3">
      <c r="B301" s="2">
        <f>IF(BCP_Soles[[#This Row],[TIPO DE R.]]="R",COUNTIFS($D$4:$D300,"R")+1,"")</f>
        <v>212</v>
      </c>
      <c r="C301" s="19" t="str">
        <f t="shared" si="20"/>
        <v>B-BCP - Soles</v>
      </c>
      <c r="D301" s="3" t="s">
        <v>1074</v>
      </c>
      <c r="E301" s="14">
        <v>45684</v>
      </c>
      <c r="F301" s="5" t="s">
        <v>1078</v>
      </c>
      <c r="G301" s="5" t="s">
        <v>1079</v>
      </c>
      <c r="H301" s="6"/>
      <c r="I301" s="6"/>
      <c r="J301" s="6"/>
      <c r="K301" s="6"/>
      <c r="L301" s="7" t="s">
        <v>1080</v>
      </c>
      <c r="M301" s="8"/>
      <c r="N301" s="8" t="str">
        <f t="shared" si="21"/>
        <v>PEN</v>
      </c>
      <c r="O301" s="13"/>
      <c r="P301" s="13">
        <v>0.2</v>
      </c>
      <c r="Q301" s="3">
        <f t="shared" si="22"/>
        <v>0</v>
      </c>
      <c r="R301" s="3">
        <f t="shared" si="23"/>
        <v>0.2</v>
      </c>
      <c r="S301" s="3">
        <f t="shared" si="24"/>
        <v>27695.989999999994</v>
      </c>
      <c r="T301" s="24"/>
      <c r="U301" s="24" t="s">
        <v>1081</v>
      </c>
      <c r="V301" s="67"/>
      <c r="W301" s="25" t="str">
        <f>IFERROR(VLOOKUP(BCP_Soles[[#This Row],[DESTINATARIO]],CHOOSE({1,2},Clientes_Proveedores[Razon Social],Clientes_Proveedores[Ruc / Dni]),2,0),"")</f>
        <v/>
      </c>
      <c r="X301" s="25"/>
      <c r="Y301" s="25"/>
      <c r="Z301" s="25"/>
      <c r="AA301" s="99"/>
      <c r="AB301" s="3" t="str">
        <f>IF(BCP_Soles[[#This Row],[FECHA]]&gt;0,TEXT(BCP_Soles[[#This Row],[FECHA]],"mmmm"),0)</f>
        <v>Enero</v>
      </c>
    </row>
    <row r="302" spans="2:28" x14ac:dyDescent="0.3">
      <c r="B302" s="2">
        <f>IF(BCP_Soles[[#This Row],[TIPO DE R.]]="R",COUNTIFS($D$4:$D301,"R")+1,"")</f>
        <v>213</v>
      </c>
      <c r="C302" s="19" t="str">
        <f t="shared" si="20"/>
        <v>B-BCP - Soles</v>
      </c>
      <c r="D302" s="3" t="s">
        <v>1074</v>
      </c>
      <c r="E302" s="14">
        <v>45684</v>
      </c>
      <c r="F302" s="5" t="s">
        <v>1082</v>
      </c>
      <c r="G302" s="5" t="s">
        <v>1079</v>
      </c>
      <c r="H302" s="6"/>
      <c r="I302" s="6"/>
      <c r="J302" s="6"/>
      <c r="K302" s="6"/>
      <c r="L302" s="7" t="s">
        <v>1445</v>
      </c>
      <c r="M302" s="8">
        <v>5698335</v>
      </c>
      <c r="N302" s="8" t="str">
        <f t="shared" si="21"/>
        <v>PEN</v>
      </c>
      <c r="O302" s="13"/>
      <c r="P302" s="13">
        <v>2272.21</v>
      </c>
      <c r="Q302" s="3">
        <f t="shared" si="22"/>
        <v>0</v>
      </c>
      <c r="R302" s="3">
        <f t="shared" si="23"/>
        <v>2272.21</v>
      </c>
      <c r="S302" s="3">
        <f t="shared" si="24"/>
        <v>25423.779999999995</v>
      </c>
      <c r="T302" s="24" t="s">
        <v>1081</v>
      </c>
      <c r="U302" s="24"/>
      <c r="V302" s="67"/>
      <c r="W302" s="25" t="str">
        <f>IFERROR(VLOOKUP(BCP_Soles[[#This Row],[DESTINATARIO]],CHOOSE({1,2},Clientes_Proveedores[Razon Social],Clientes_Proveedores[Ruc / Dni]),2,0),"")</f>
        <v/>
      </c>
      <c r="X302" s="25" t="s">
        <v>1118</v>
      </c>
      <c r="Y302" s="25"/>
      <c r="Z302" s="25"/>
      <c r="AA302" s="99"/>
      <c r="AB302" s="3" t="str">
        <f>IF(BCP_Soles[[#This Row],[FECHA]]&gt;0,TEXT(BCP_Soles[[#This Row],[FECHA]],"mmmm"),0)</f>
        <v>Enero</v>
      </c>
    </row>
    <row r="303" spans="2:28" ht="24" x14ac:dyDescent="0.3">
      <c r="B303" s="2" t="str">
        <f>IF(BCP_Soles[[#This Row],[TIPO DE R.]]="R",COUNTIFS($D$4:$D302,"R")+1,"")</f>
        <v/>
      </c>
      <c r="C303" s="19" t="str">
        <f t="shared" si="20"/>
        <v>B-BCP - Soles</v>
      </c>
      <c r="D303" s="3" t="s">
        <v>1101</v>
      </c>
      <c r="E303" s="14">
        <v>45684</v>
      </c>
      <c r="F303" s="5" t="s">
        <v>1082</v>
      </c>
      <c r="G303" s="5"/>
      <c r="H303" s="6" t="s">
        <v>176</v>
      </c>
      <c r="I303" s="6" t="s">
        <v>14</v>
      </c>
      <c r="J303" s="6" t="s">
        <v>1119</v>
      </c>
      <c r="K303" s="6">
        <v>39966</v>
      </c>
      <c r="L303" s="7" t="s">
        <v>1445</v>
      </c>
      <c r="M303" s="8">
        <v>5698335</v>
      </c>
      <c r="N303" s="8" t="str">
        <f t="shared" si="21"/>
        <v>PEN</v>
      </c>
      <c r="O303" s="13">
        <v>851.96</v>
      </c>
      <c r="P303" s="13"/>
      <c r="Q303" s="3">
        <f t="shared" si="22"/>
        <v>0</v>
      </c>
      <c r="R303" s="3">
        <f t="shared" si="23"/>
        <v>0</v>
      </c>
      <c r="S303" s="3">
        <f t="shared" si="24"/>
        <v>25423.779999999995</v>
      </c>
      <c r="T303" s="24"/>
      <c r="U303" s="24"/>
      <c r="V303" s="67"/>
      <c r="W303" s="25">
        <f>IFERROR(VLOOKUP(BCP_Soles[[#This Row],[DESTINATARIO]],CHOOSE({1,2},Clientes_Proveedores[Razon Social],Clientes_Proveedores[Ruc / Dni]),2,0),"")</f>
        <v>20137976171</v>
      </c>
      <c r="X303" s="25"/>
      <c r="Y303" s="25"/>
      <c r="Z303" s="25"/>
      <c r="AA303" s="99"/>
      <c r="AB303" s="3" t="str">
        <f>IF(BCP_Soles[[#This Row],[FECHA]]&gt;0,TEXT(BCP_Soles[[#This Row],[FECHA]],"mmmm"),0)</f>
        <v>Enero</v>
      </c>
    </row>
    <row r="304" spans="2:28" x14ac:dyDescent="0.3">
      <c r="B304" s="2" t="str">
        <f>IF(BCP_Soles[[#This Row],[TIPO DE R.]]="R",COUNTIFS($D$4:$D303,"R")+1,"")</f>
        <v/>
      </c>
      <c r="C304" s="19" t="str">
        <f t="shared" si="20"/>
        <v>B-BCP - Soles</v>
      </c>
      <c r="D304" s="3" t="s">
        <v>1101</v>
      </c>
      <c r="E304" s="14">
        <v>45684</v>
      </c>
      <c r="F304" s="5" t="s">
        <v>1082</v>
      </c>
      <c r="G304" s="5"/>
      <c r="H304" s="6" t="s">
        <v>465</v>
      </c>
      <c r="I304" s="6" t="s">
        <v>14</v>
      </c>
      <c r="J304" s="6" t="s">
        <v>1121</v>
      </c>
      <c r="K304" s="6">
        <v>3652</v>
      </c>
      <c r="L304" s="7" t="s">
        <v>1445</v>
      </c>
      <c r="M304" s="8">
        <v>5698335</v>
      </c>
      <c r="N304" s="8" t="str">
        <f t="shared" si="21"/>
        <v>PEN</v>
      </c>
      <c r="O304" s="13">
        <v>150.44999999999999</v>
      </c>
      <c r="P304" s="13"/>
      <c r="Q304" s="3">
        <f t="shared" si="22"/>
        <v>0</v>
      </c>
      <c r="R304" s="3">
        <f t="shared" si="23"/>
        <v>0</v>
      </c>
      <c r="S304" s="3">
        <f t="shared" si="24"/>
        <v>25423.779999999995</v>
      </c>
      <c r="T304" s="24"/>
      <c r="U304" s="24"/>
      <c r="V304" s="67"/>
      <c r="W304" s="25">
        <f>IFERROR(VLOOKUP(BCP_Soles[[#This Row],[DESTINATARIO]],CHOOSE({1,2},Clientes_Proveedores[Razon Social],Clientes_Proveedores[Ruc / Dni]),2,0),"")</f>
        <v>20603974817</v>
      </c>
      <c r="X304" s="25"/>
      <c r="Y304" s="25"/>
      <c r="Z304" s="25"/>
      <c r="AA304" s="99"/>
      <c r="AB304" s="3" t="str">
        <f>IF(BCP_Soles[[#This Row],[FECHA]]&gt;0,TEXT(BCP_Soles[[#This Row],[FECHA]],"mmmm"),0)</f>
        <v>Enero</v>
      </c>
    </row>
    <row r="305" spans="2:28" ht="24" x14ac:dyDescent="0.3">
      <c r="B305" s="2" t="str">
        <f>IF(BCP_Soles[[#This Row],[TIPO DE R.]]="R",COUNTIFS($D$4:$D304,"R")+1,"")</f>
        <v/>
      </c>
      <c r="C305" s="19" t="str">
        <f t="shared" si="20"/>
        <v>B-BCP - Soles</v>
      </c>
      <c r="D305" s="3" t="s">
        <v>1101</v>
      </c>
      <c r="E305" s="14">
        <v>45684</v>
      </c>
      <c r="F305" s="5" t="s">
        <v>1082</v>
      </c>
      <c r="G305" s="5"/>
      <c r="H305" s="6" t="s">
        <v>536</v>
      </c>
      <c r="I305" s="6" t="s">
        <v>14</v>
      </c>
      <c r="J305" s="6" t="s">
        <v>1121</v>
      </c>
      <c r="K305" s="6">
        <v>1882</v>
      </c>
      <c r="L305" s="7" t="s">
        <v>1445</v>
      </c>
      <c r="M305" s="8">
        <v>5698335</v>
      </c>
      <c r="N305" s="8" t="str">
        <f t="shared" si="21"/>
        <v>PEN</v>
      </c>
      <c r="O305" s="13">
        <v>94.4</v>
      </c>
      <c r="P305" s="13"/>
      <c r="Q305" s="3">
        <f t="shared" si="22"/>
        <v>0</v>
      </c>
      <c r="R305" s="3">
        <f t="shared" si="23"/>
        <v>0</v>
      </c>
      <c r="S305" s="3">
        <f t="shared" si="24"/>
        <v>25423.779999999995</v>
      </c>
      <c r="T305" s="24"/>
      <c r="U305" s="24"/>
      <c r="V305" s="67"/>
      <c r="W305" s="25">
        <f>IFERROR(VLOOKUP(BCP_Soles[[#This Row],[DESTINATARIO]],CHOOSE({1,2},Clientes_Proveedores[Razon Social],Clientes_Proveedores[Ruc / Dni]),2,0),"")</f>
        <v>20609764261</v>
      </c>
      <c r="X305" s="25"/>
      <c r="Y305" s="25"/>
      <c r="Z305" s="25"/>
      <c r="AA305" s="99"/>
      <c r="AB305" s="3" t="str">
        <f>IF(BCP_Soles[[#This Row],[FECHA]]&gt;0,TEXT(BCP_Soles[[#This Row],[FECHA]],"mmmm"),0)</f>
        <v>Enero</v>
      </c>
    </row>
    <row r="306" spans="2:28" ht="24" x14ac:dyDescent="0.3">
      <c r="B306" s="2" t="str">
        <f>IF(BCP_Soles[[#This Row],[TIPO DE R.]]="R",COUNTIFS($D$4:$D305,"R")+1,"")</f>
        <v/>
      </c>
      <c r="C306" s="19" t="str">
        <f t="shared" si="20"/>
        <v>B-BCP - Soles</v>
      </c>
      <c r="D306" s="3" t="s">
        <v>1101</v>
      </c>
      <c r="E306" s="14">
        <v>45684</v>
      </c>
      <c r="F306" s="5" t="s">
        <v>1082</v>
      </c>
      <c r="G306" s="5"/>
      <c r="H306" s="6" t="s">
        <v>536</v>
      </c>
      <c r="I306" s="6" t="s">
        <v>14</v>
      </c>
      <c r="J306" s="6" t="s">
        <v>1121</v>
      </c>
      <c r="K306" s="6">
        <v>1881</v>
      </c>
      <c r="L306" s="7" t="s">
        <v>1445</v>
      </c>
      <c r="M306" s="8">
        <v>5698335</v>
      </c>
      <c r="N306" s="8" t="str">
        <f t="shared" si="21"/>
        <v>PEN</v>
      </c>
      <c r="O306" s="13">
        <v>165.2</v>
      </c>
      <c r="P306" s="13"/>
      <c r="Q306" s="3">
        <f t="shared" si="22"/>
        <v>0</v>
      </c>
      <c r="R306" s="3">
        <f t="shared" si="23"/>
        <v>0</v>
      </c>
      <c r="S306" s="3">
        <f t="shared" si="24"/>
        <v>25423.779999999995</v>
      </c>
      <c r="T306" s="24"/>
      <c r="U306" s="24"/>
      <c r="V306" s="67"/>
      <c r="W306" s="25">
        <f>IFERROR(VLOOKUP(BCP_Soles[[#This Row],[DESTINATARIO]],CHOOSE({1,2},Clientes_Proveedores[Razon Social],Clientes_Proveedores[Ruc / Dni]),2,0),"")</f>
        <v>20609764261</v>
      </c>
      <c r="X306" s="25"/>
      <c r="Y306" s="25"/>
      <c r="Z306" s="25"/>
      <c r="AA306" s="99"/>
      <c r="AB306" s="3" t="str">
        <f>IF(BCP_Soles[[#This Row],[FECHA]]&gt;0,TEXT(BCP_Soles[[#This Row],[FECHA]],"mmmm"),0)</f>
        <v>Enero</v>
      </c>
    </row>
    <row r="307" spans="2:28" ht="36" x14ac:dyDescent="0.3">
      <c r="B307" s="2" t="str">
        <f>IF(BCP_Soles[[#This Row],[TIPO DE R.]]="R",COUNTIFS($D$4:$D306,"R")+1,"")</f>
        <v/>
      </c>
      <c r="C307" s="19" t="str">
        <f t="shared" si="20"/>
        <v>B-BCP - Soles</v>
      </c>
      <c r="D307" s="3" t="s">
        <v>1101</v>
      </c>
      <c r="E307" s="14">
        <v>45684</v>
      </c>
      <c r="F307" s="5" t="s">
        <v>1082</v>
      </c>
      <c r="G307" s="5"/>
      <c r="H307" s="6" t="s">
        <v>417</v>
      </c>
      <c r="I307" s="6" t="s">
        <v>14</v>
      </c>
      <c r="J307" s="6" t="s">
        <v>1121</v>
      </c>
      <c r="K307" s="6">
        <v>694</v>
      </c>
      <c r="L307" s="7" t="s">
        <v>1445</v>
      </c>
      <c r="M307" s="8">
        <v>5698335</v>
      </c>
      <c r="N307" s="8" t="str">
        <f t="shared" si="21"/>
        <v>PEN</v>
      </c>
      <c r="O307" s="13">
        <v>330.4</v>
      </c>
      <c r="P307" s="13"/>
      <c r="Q307" s="3">
        <f t="shared" si="22"/>
        <v>0</v>
      </c>
      <c r="R307" s="3">
        <f t="shared" si="23"/>
        <v>0</v>
      </c>
      <c r="S307" s="3">
        <f t="shared" si="24"/>
        <v>25423.779999999995</v>
      </c>
      <c r="T307" s="24"/>
      <c r="U307" s="24"/>
      <c r="V307" s="67"/>
      <c r="W307" s="25">
        <f>IFERROR(VLOOKUP(BCP_Soles[[#This Row],[DESTINATARIO]],CHOOSE({1,2},Clientes_Proveedores[Razon Social],Clientes_Proveedores[Ruc / Dni]),2,0),"")</f>
        <v>20602075177</v>
      </c>
      <c r="X307" s="25"/>
      <c r="Y307" s="25"/>
      <c r="Z307" s="25"/>
      <c r="AA307" s="99"/>
      <c r="AB307" s="3" t="str">
        <f>IF(BCP_Soles[[#This Row],[FECHA]]&gt;0,TEXT(BCP_Soles[[#This Row],[FECHA]],"mmmm"),0)</f>
        <v>Enero</v>
      </c>
    </row>
    <row r="308" spans="2:28" ht="24" x14ac:dyDescent="0.3">
      <c r="B308" s="2" t="str">
        <f>IF(BCP_Soles[[#This Row],[TIPO DE R.]]="R",COUNTIFS($D$4:$D307,"R")+1,"")</f>
        <v/>
      </c>
      <c r="C308" s="19" t="str">
        <f t="shared" si="20"/>
        <v>B-BCP - Soles</v>
      </c>
      <c r="D308" s="3" t="s">
        <v>1101</v>
      </c>
      <c r="E308" s="14">
        <v>45684</v>
      </c>
      <c r="F308" s="5" t="s">
        <v>1082</v>
      </c>
      <c r="G308" s="5"/>
      <c r="H308" s="6" t="s">
        <v>130</v>
      </c>
      <c r="I308" s="6" t="s">
        <v>14</v>
      </c>
      <c r="J308" s="6" t="s">
        <v>1121</v>
      </c>
      <c r="K308" s="6">
        <v>229</v>
      </c>
      <c r="L308" s="7" t="s">
        <v>1445</v>
      </c>
      <c r="M308" s="8">
        <v>5698335</v>
      </c>
      <c r="N308" s="8" t="str">
        <f t="shared" si="21"/>
        <v>PEN</v>
      </c>
      <c r="O308" s="13">
        <v>110</v>
      </c>
      <c r="P308" s="13"/>
      <c r="Q308" s="3">
        <f t="shared" si="22"/>
        <v>0</v>
      </c>
      <c r="R308" s="3">
        <f t="shared" si="23"/>
        <v>0</v>
      </c>
      <c r="S308" s="3">
        <f t="shared" si="24"/>
        <v>25423.779999999995</v>
      </c>
      <c r="T308" s="24"/>
      <c r="U308" s="24"/>
      <c r="V308" s="67"/>
      <c r="W308" s="25">
        <f>IFERROR(VLOOKUP(BCP_Soles[[#This Row],[DESTINATARIO]],CHOOSE({1,2},Clientes_Proveedores[Razon Social],Clientes_Proveedores[Ruc / Dni]),2,0),"")</f>
        <v>10706063426</v>
      </c>
      <c r="X308" s="25"/>
      <c r="Y308" s="25"/>
      <c r="Z308" s="25"/>
      <c r="AA308" s="99"/>
      <c r="AB308" s="3" t="str">
        <f>IF(BCP_Soles[[#This Row],[FECHA]]&gt;0,TEXT(BCP_Soles[[#This Row],[FECHA]],"mmmm"),0)</f>
        <v>Enero</v>
      </c>
    </row>
    <row r="309" spans="2:28" ht="36" x14ac:dyDescent="0.3">
      <c r="B309" s="2" t="str">
        <f>IF(BCP_Soles[[#This Row],[TIPO DE R.]]="R",COUNTIFS($D$4:$D308,"R")+1,"")</f>
        <v/>
      </c>
      <c r="C309" s="19" t="str">
        <f t="shared" si="20"/>
        <v>B-BCP - Soles</v>
      </c>
      <c r="D309" s="3" t="s">
        <v>1101</v>
      </c>
      <c r="E309" s="14">
        <v>45684</v>
      </c>
      <c r="F309" s="5" t="s">
        <v>1082</v>
      </c>
      <c r="G309" s="5"/>
      <c r="H309" s="6" t="s">
        <v>76</v>
      </c>
      <c r="I309" s="6" t="s">
        <v>14</v>
      </c>
      <c r="J309" s="6" t="s">
        <v>1121</v>
      </c>
      <c r="K309" s="6">
        <v>639</v>
      </c>
      <c r="L309" s="7" t="s">
        <v>1445</v>
      </c>
      <c r="M309" s="8">
        <v>5698335</v>
      </c>
      <c r="N309" s="8" t="str">
        <f t="shared" si="21"/>
        <v>PEN</v>
      </c>
      <c r="O309" s="13">
        <v>440</v>
      </c>
      <c r="P309" s="13"/>
      <c r="Q309" s="3">
        <f t="shared" si="22"/>
        <v>0</v>
      </c>
      <c r="R309" s="3">
        <f t="shared" si="23"/>
        <v>0</v>
      </c>
      <c r="S309" s="3">
        <f t="shared" si="24"/>
        <v>25423.779999999995</v>
      </c>
      <c r="T309" s="24"/>
      <c r="U309" s="24"/>
      <c r="V309" s="67"/>
      <c r="W309" s="25">
        <f>IFERROR(VLOOKUP(BCP_Soles[[#This Row],[DESTINATARIO]],CHOOSE({1,2},Clientes_Proveedores[Razon Social],Clientes_Proveedores[Ruc / Dni]),2,0),"")</f>
        <v>10296695781</v>
      </c>
      <c r="X309" s="25"/>
      <c r="Y309" s="25"/>
      <c r="Z309" s="25"/>
      <c r="AA309" s="99"/>
      <c r="AB309" s="3" t="str">
        <f>IF(BCP_Soles[[#This Row],[FECHA]]&gt;0,TEXT(BCP_Soles[[#This Row],[FECHA]],"mmmm"),0)</f>
        <v>Enero</v>
      </c>
    </row>
    <row r="310" spans="2:28" ht="24" x14ac:dyDescent="0.3">
      <c r="B310" s="2" t="str">
        <f>IF(BCP_Soles[[#This Row],[TIPO DE R.]]="R",COUNTIFS($D$4:$D309,"R")+1,"")</f>
        <v/>
      </c>
      <c r="C310" s="19" t="str">
        <f t="shared" si="20"/>
        <v>B-BCP - Soles</v>
      </c>
      <c r="D310" s="3" t="s">
        <v>1101</v>
      </c>
      <c r="E310" s="14">
        <v>45684</v>
      </c>
      <c r="F310" s="5" t="s">
        <v>1082</v>
      </c>
      <c r="G310" s="5"/>
      <c r="H310" s="6" t="s">
        <v>536</v>
      </c>
      <c r="I310" s="6" t="s">
        <v>14</v>
      </c>
      <c r="J310" s="6" t="s">
        <v>1121</v>
      </c>
      <c r="K310" s="6">
        <v>1883</v>
      </c>
      <c r="L310" s="7" t="s">
        <v>1445</v>
      </c>
      <c r="M310" s="8">
        <v>5698335</v>
      </c>
      <c r="N310" s="8" t="str">
        <f t="shared" si="21"/>
        <v>PEN</v>
      </c>
      <c r="O310" s="13">
        <v>70.8</v>
      </c>
      <c r="P310" s="13"/>
      <c r="Q310" s="3">
        <f t="shared" si="22"/>
        <v>0</v>
      </c>
      <c r="R310" s="3">
        <f t="shared" si="23"/>
        <v>0</v>
      </c>
      <c r="S310" s="3">
        <f t="shared" si="24"/>
        <v>25423.779999999995</v>
      </c>
      <c r="T310" s="24"/>
      <c r="U310" s="24"/>
      <c r="V310" s="67"/>
      <c r="W310" s="25">
        <f>IFERROR(VLOOKUP(BCP_Soles[[#This Row],[DESTINATARIO]],CHOOSE({1,2},Clientes_Proveedores[Razon Social],Clientes_Proveedores[Ruc / Dni]),2,0),"")</f>
        <v>20609764261</v>
      </c>
      <c r="X310" s="25"/>
      <c r="Y310" s="25"/>
      <c r="Z310" s="25"/>
      <c r="AA310" s="99"/>
      <c r="AB310" s="3" t="str">
        <f>IF(BCP_Soles[[#This Row],[FECHA]]&gt;0,TEXT(BCP_Soles[[#This Row],[FECHA]],"mmmm"),0)</f>
        <v>Enero</v>
      </c>
    </row>
    <row r="311" spans="2:28" ht="24" x14ac:dyDescent="0.3">
      <c r="B311" s="2" t="str">
        <f>IF(BCP_Soles[[#This Row],[TIPO DE R.]]="R",COUNTIFS($D$4:$D310,"R")+1,"")</f>
        <v/>
      </c>
      <c r="C311" s="19" t="str">
        <f t="shared" si="20"/>
        <v>B-BCP - Soles</v>
      </c>
      <c r="D311" s="3" t="s">
        <v>1101</v>
      </c>
      <c r="E311" s="14">
        <v>45684</v>
      </c>
      <c r="F311" s="5" t="s">
        <v>1082</v>
      </c>
      <c r="G311" s="5"/>
      <c r="H311" s="6" t="s">
        <v>108</v>
      </c>
      <c r="I311" s="6" t="s">
        <v>14</v>
      </c>
      <c r="J311" s="6" t="s">
        <v>1121</v>
      </c>
      <c r="K311" s="6">
        <v>4354</v>
      </c>
      <c r="L311" s="7" t="s">
        <v>1445</v>
      </c>
      <c r="M311" s="8">
        <v>5698335</v>
      </c>
      <c r="N311" s="8" t="str">
        <f t="shared" si="21"/>
        <v>PEN</v>
      </c>
      <c r="O311" s="13">
        <v>59</v>
      </c>
      <c r="P311" s="13"/>
      <c r="Q311" s="3">
        <f t="shared" si="22"/>
        <v>0</v>
      </c>
      <c r="R311" s="3">
        <f t="shared" si="23"/>
        <v>0</v>
      </c>
      <c r="S311" s="3">
        <f t="shared" si="24"/>
        <v>25423.779999999995</v>
      </c>
      <c r="T311" s="24"/>
      <c r="U311" s="24"/>
      <c r="V311" s="67"/>
      <c r="W311" s="25">
        <f>IFERROR(VLOOKUP(BCP_Soles[[#This Row],[DESTINATARIO]],CHOOSE({1,2},Clientes_Proveedores[Razon Social],Clientes_Proveedores[Ruc / Dni]),2,0),"")</f>
        <v>10425371652</v>
      </c>
      <c r="X311" s="25"/>
      <c r="Y311" s="25"/>
      <c r="Z311" s="25"/>
      <c r="AA311" s="99"/>
      <c r="AB311" s="3" t="str">
        <f>IF(BCP_Soles[[#This Row],[FECHA]]&gt;0,TEXT(BCP_Soles[[#This Row],[FECHA]],"mmmm"),0)</f>
        <v>Enero</v>
      </c>
    </row>
    <row r="312" spans="2:28" ht="24" x14ac:dyDescent="0.3">
      <c r="B312" s="2">
        <f>IF(BCP_Soles[[#This Row],[TIPO DE R.]]="R",COUNTIFS($D$4:$D311,"R")+1,"")</f>
        <v>214</v>
      </c>
      <c r="C312" s="19" t="str">
        <f t="shared" si="20"/>
        <v>B-BCP - Soles</v>
      </c>
      <c r="D312" s="3" t="s">
        <v>1074</v>
      </c>
      <c r="E312" s="14">
        <v>45684</v>
      </c>
      <c r="F312" s="5" t="s">
        <v>1082</v>
      </c>
      <c r="G312" s="5" t="s">
        <v>1079</v>
      </c>
      <c r="H312" s="6"/>
      <c r="I312" s="6"/>
      <c r="J312" s="6"/>
      <c r="K312" s="6"/>
      <c r="L312" s="7" t="s">
        <v>1446</v>
      </c>
      <c r="M312" s="8">
        <v>1250095</v>
      </c>
      <c r="N312" s="8" t="str">
        <f t="shared" si="21"/>
        <v>PEN</v>
      </c>
      <c r="O312" s="13"/>
      <c r="P312" s="13">
        <v>688</v>
      </c>
      <c r="Q312" s="3">
        <f t="shared" si="22"/>
        <v>0</v>
      </c>
      <c r="R312" s="3">
        <f t="shared" si="23"/>
        <v>688</v>
      </c>
      <c r="S312" s="3">
        <f t="shared" si="24"/>
        <v>24735.779999999995</v>
      </c>
      <c r="T312" s="24"/>
      <c r="U312" s="24"/>
      <c r="V312" s="67"/>
      <c r="W312" s="25" t="str">
        <f>IFERROR(VLOOKUP(BCP_Soles[[#This Row],[DESTINATARIO]],CHOOSE({1,2},Clientes_Proveedores[Razon Social],Clientes_Proveedores[Ruc / Dni]),2,0),"")</f>
        <v/>
      </c>
      <c r="X312" s="25" t="s">
        <v>1447</v>
      </c>
      <c r="Y312" s="25"/>
      <c r="Z312" s="25"/>
      <c r="AA312" s="99"/>
      <c r="AB312" s="3" t="str">
        <f>IF(BCP_Soles[[#This Row],[FECHA]]&gt;0,TEXT(BCP_Soles[[#This Row],[FECHA]],"mmmm"),0)</f>
        <v>Enero</v>
      </c>
    </row>
    <row r="313" spans="2:28" ht="24" x14ac:dyDescent="0.3">
      <c r="B313" s="2">
        <f>IF(BCP_Soles[[#This Row],[TIPO DE R.]]="R",COUNTIFS($D$4:$D312,"R")+1,"")</f>
        <v>215</v>
      </c>
      <c r="C313" s="19" t="str">
        <f t="shared" si="20"/>
        <v>B-BCP - Soles</v>
      </c>
      <c r="D313" s="3" t="s">
        <v>1074</v>
      </c>
      <c r="E313" s="14">
        <v>45684</v>
      </c>
      <c r="F313" s="5" t="s">
        <v>1082</v>
      </c>
      <c r="G313" s="5" t="s">
        <v>1079</v>
      </c>
      <c r="H313" s="6" t="s">
        <v>184</v>
      </c>
      <c r="I313" s="6" t="s">
        <v>14</v>
      </c>
      <c r="J313" s="6" t="s">
        <v>1083</v>
      </c>
      <c r="K313" s="6">
        <v>7081</v>
      </c>
      <c r="L313" s="7" t="s">
        <v>1448</v>
      </c>
      <c r="M313" s="8">
        <v>1203176</v>
      </c>
      <c r="N313" s="8" t="str">
        <f t="shared" si="21"/>
        <v>PEN</v>
      </c>
      <c r="O313" s="13"/>
      <c r="P313" s="13">
        <v>366.5</v>
      </c>
      <c r="Q313" s="3">
        <f t="shared" si="22"/>
        <v>0</v>
      </c>
      <c r="R313" s="3">
        <f t="shared" si="23"/>
        <v>366.5</v>
      </c>
      <c r="S313" s="3">
        <f t="shared" si="24"/>
        <v>24369.279999999995</v>
      </c>
      <c r="T313" s="24" t="s">
        <v>1081</v>
      </c>
      <c r="U313" s="24" t="s">
        <v>1081</v>
      </c>
      <c r="V313" s="67"/>
      <c r="W313" s="25">
        <f>IFERROR(VLOOKUP(BCP_Soles[[#This Row],[DESTINATARIO]],CHOOSE({1,2},Clientes_Proveedores[Razon Social],Clientes_Proveedores[Ruc / Dni]),2,0),"")</f>
        <v>20170040938</v>
      </c>
      <c r="X313" s="25" t="s">
        <v>1085</v>
      </c>
      <c r="Y313" s="25" t="s">
        <v>1449</v>
      </c>
      <c r="Z313" s="25"/>
      <c r="AA313" s="99"/>
      <c r="AB313" s="3" t="str">
        <f>IF(BCP_Soles[[#This Row],[FECHA]]&gt;0,TEXT(BCP_Soles[[#This Row],[FECHA]],"mmmm"),0)</f>
        <v>Enero</v>
      </c>
    </row>
    <row r="314" spans="2:28" x14ac:dyDescent="0.3">
      <c r="B314" s="2">
        <f>IF(BCP_Soles[[#This Row],[TIPO DE R.]]="R",COUNTIFS($D$4:$D313,"R")+1,"")</f>
        <v>216</v>
      </c>
      <c r="C314" s="19" t="str">
        <f t="shared" si="20"/>
        <v>B-BCP - Soles</v>
      </c>
      <c r="D314" s="3" t="s">
        <v>1074</v>
      </c>
      <c r="E314" s="14">
        <v>45685</v>
      </c>
      <c r="F314" s="5" t="s">
        <v>1082</v>
      </c>
      <c r="G314" s="5" t="s">
        <v>1079</v>
      </c>
      <c r="H314" s="6"/>
      <c r="I314" s="6"/>
      <c r="J314" s="6"/>
      <c r="K314" s="6"/>
      <c r="L314" s="7" t="s">
        <v>1450</v>
      </c>
      <c r="M314" s="8">
        <v>1003314</v>
      </c>
      <c r="N314" s="8" t="str">
        <f t="shared" si="21"/>
        <v>PEN</v>
      </c>
      <c r="O314" s="13"/>
      <c r="P314" s="13">
        <v>4612</v>
      </c>
      <c r="Q314" s="3">
        <f t="shared" si="22"/>
        <v>0</v>
      </c>
      <c r="R314" s="3">
        <f t="shared" si="23"/>
        <v>4612</v>
      </c>
      <c r="S314" s="3">
        <f t="shared" si="24"/>
        <v>19757.279999999995</v>
      </c>
      <c r="T314" s="24"/>
      <c r="U314" s="24"/>
      <c r="V314" s="67"/>
      <c r="W314" s="25" t="str">
        <f>IFERROR(VLOOKUP(BCP_Soles[[#This Row],[DESTINATARIO]],CHOOSE({1,2},Clientes_Proveedores[Razon Social],Clientes_Proveedores[Ruc / Dni]),2,0),"")</f>
        <v/>
      </c>
      <c r="X314" s="25" t="s">
        <v>1133</v>
      </c>
      <c r="Y314" s="25"/>
      <c r="Z314" s="25"/>
      <c r="AA314" s="99"/>
      <c r="AB314" s="3" t="str">
        <f>IF(BCP_Soles[[#This Row],[FECHA]]&gt;0,TEXT(BCP_Soles[[#This Row],[FECHA]],"mmmm"),0)</f>
        <v>Enero</v>
      </c>
    </row>
    <row r="315" spans="2:28" x14ac:dyDescent="0.3">
      <c r="B315" s="2">
        <f>IF(BCP_Soles[[#This Row],[TIPO DE R.]]="R",COUNTIFS($D$4:$D314,"R")+1,"")</f>
        <v>217</v>
      </c>
      <c r="C315" s="19" t="str">
        <f t="shared" si="20"/>
        <v>B-BCP - Soles</v>
      </c>
      <c r="D315" s="3" t="s">
        <v>1074</v>
      </c>
      <c r="E315" s="14">
        <v>45685</v>
      </c>
      <c r="F315" s="5" t="s">
        <v>1078</v>
      </c>
      <c r="G315" s="5" t="s">
        <v>1079</v>
      </c>
      <c r="H315" s="6"/>
      <c r="I315" s="6"/>
      <c r="J315" s="6"/>
      <c r="K315" s="6"/>
      <c r="L315" s="7" t="s">
        <v>1080</v>
      </c>
      <c r="M315" s="8"/>
      <c r="N315" s="8" t="str">
        <f t="shared" si="21"/>
        <v>PEN</v>
      </c>
      <c r="O315" s="13"/>
      <c r="P315" s="13">
        <v>0.35</v>
      </c>
      <c r="Q315" s="3">
        <f t="shared" si="22"/>
        <v>0</v>
      </c>
      <c r="R315" s="3">
        <f t="shared" si="23"/>
        <v>0.35</v>
      </c>
      <c r="S315" s="3">
        <f t="shared" si="24"/>
        <v>19756.929999999997</v>
      </c>
      <c r="T315" s="24"/>
      <c r="U315" s="24" t="s">
        <v>1081</v>
      </c>
      <c r="V315" s="67"/>
      <c r="W315" s="25" t="str">
        <f>IFERROR(VLOOKUP(BCP_Soles[[#This Row],[DESTINATARIO]],CHOOSE({1,2},Clientes_Proveedores[Razon Social],Clientes_Proveedores[Ruc / Dni]),2,0),"")</f>
        <v/>
      </c>
      <c r="X315" s="25"/>
      <c r="Y315" s="25"/>
      <c r="Z315" s="25"/>
      <c r="AA315" s="99"/>
      <c r="AB315" s="3" t="str">
        <f>IF(BCP_Soles[[#This Row],[FECHA]]&gt;0,TEXT(BCP_Soles[[#This Row],[FECHA]],"mmmm"),0)</f>
        <v>Enero</v>
      </c>
    </row>
    <row r="316" spans="2:28" ht="24" x14ac:dyDescent="0.3">
      <c r="B316" s="2">
        <f>IF(BCP_Soles[[#This Row],[TIPO DE R.]]="R",COUNTIFS($D$4:$D315,"R")+1,"")</f>
        <v>218</v>
      </c>
      <c r="C316" s="19" t="str">
        <f t="shared" si="20"/>
        <v>B-BCP - Soles</v>
      </c>
      <c r="D316" s="3" t="s">
        <v>1074</v>
      </c>
      <c r="E316" s="14">
        <v>45685</v>
      </c>
      <c r="F316" s="5" t="s">
        <v>1082</v>
      </c>
      <c r="G316" s="5" t="s">
        <v>1079</v>
      </c>
      <c r="H316" s="6" t="s">
        <v>842</v>
      </c>
      <c r="I316" s="6"/>
      <c r="J316" s="6"/>
      <c r="K316" s="6"/>
      <c r="L316" s="7" t="s">
        <v>1451</v>
      </c>
      <c r="M316" s="8">
        <v>1256044</v>
      </c>
      <c r="N316" s="8" t="str">
        <f t="shared" si="21"/>
        <v>PEN</v>
      </c>
      <c r="O316" s="13"/>
      <c r="P316" s="13">
        <v>2799.1</v>
      </c>
      <c r="Q316" s="3">
        <f t="shared" si="22"/>
        <v>0</v>
      </c>
      <c r="R316" s="3">
        <f t="shared" si="23"/>
        <v>2799.1</v>
      </c>
      <c r="S316" s="3">
        <f t="shared" si="24"/>
        <v>16957.829999999998</v>
      </c>
      <c r="T316" s="24"/>
      <c r="U316" s="24" t="s">
        <v>1081</v>
      </c>
      <c r="V316" s="67"/>
      <c r="W316" s="25">
        <f>IFERROR(VLOOKUP(BCP_Soles[[#This Row],[DESTINATARIO]],CHOOSE({1,2},Clientes_Proveedores[Razon Social],Clientes_Proveedores[Ruc / Dni]),2,0),"")</f>
        <v>72131384</v>
      </c>
      <c r="X316" s="25" t="s">
        <v>842</v>
      </c>
      <c r="Y316" s="25" t="s">
        <v>1452</v>
      </c>
      <c r="Z316" s="25"/>
      <c r="AA316" s="99"/>
      <c r="AB316" s="3" t="str">
        <f>IF(BCP_Soles[[#This Row],[FECHA]]&gt;0,TEXT(BCP_Soles[[#This Row],[FECHA]],"mmmm"),0)</f>
        <v>Enero</v>
      </c>
    </row>
    <row r="317" spans="2:28" x14ac:dyDescent="0.3">
      <c r="B317" s="2">
        <f>IF(BCP_Soles[[#This Row],[TIPO DE R.]]="R",COUNTIFS($D$4:$D316,"R")+1,"")</f>
        <v>219</v>
      </c>
      <c r="C317" s="19" t="str">
        <f t="shared" si="20"/>
        <v>B-BCP - Soles</v>
      </c>
      <c r="D317" s="3" t="s">
        <v>1074</v>
      </c>
      <c r="E317" s="14">
        <v>45685</v>
      </c>
      <c r="F317" s="5" t="s">
        <v>1082</v>
      </c>
      <c r="G317" s="5" t="s">
        <v>1079</v>
      </c>
      <c r="H317" s="6" t="s">
        <v>637</v>
      </c>
      <c r="I317" s="6" t="s">
        <v>14</v>
      </c>
      <c r="J317" s="6" t="s">
        <v>1453</v>
      </c>
      <c r="K317" s="6">
        <v>125580</v>
      </c>
      <c r="L317" s="7" t="s">
        <v>1123</v>
      </c>
      <c r="M317" s="8">
        <v>124154</v>
      </c>
      <c r="N317" s="8" t="str">
        <f t="shared" si="21"/>
        <v>PEN</v>
      </c>
      <c r="O317" s="13"/>
      <c r="P317" s="13">
        <v>2591.1</v>
      </c>
      <c r="Q317" s="3">
        <f t="shared" si="22"/>
        <v>0</v>
      </c>
      <c r="R317" s="3">
        <f t="shared" si="23"/>
        <v>2591.1</v>
      </c>
      <c r="S317" s="3">
        <f t="shared" si="24"/>
        <v>14366.729999999998</v>
      </c>
      <c r="T317" s="24" t="s">
        <v>1081</v>
      </c>
      <c r="U317" s="24" t="s">
        <v>1081</v>
      </c>
      <c r="V317" s="67"/>
      <c r="W317" s="25">
        <f>IFERROR(VLOOKUP(BCP_Soles[[#This Row],[DESTINATARIO]],CHOOSE({1,2},Clientes_Proveedores[Razon Social],Clientes_Proveedores[Ruc / Dni]),2,0),"")</f>
        <v>20127765279</v>
      </c>
      <c r="X317" s="25" t="s">
        <v>1124</v>
      </c>
      <c r="Y317" s="25" t="s">
        <v>1454</v>
      </c>
      <c r="Z317" s="25"/>
      <c r="AA317" s="99"/>
      <c r="AB317" s="3" t="str">
        <f>IF(BCP_Soles[[#This Row],[FECHA]]&gt;0,TEXT(BCP_Soles[[#This Row],[FECHA]],"mmmm"),0)</f>
        <v>Enero</v>
      </c>
    </row>
    <row r="318" spans="2:28" x14ac:dyDescent="0.3">
      <c r="B318" s="2">
        <f>IF(BCP_Soles[[#This Row],[TIPO DE R.]]="R",COUNTIFS($D$4:$D317,"R")+1,"")</f>
        <v>220</v>
      </c>
      <c r="C318" s="19" t="str">
        <f t="shared" si="20"/>
        <v>B-BCP - Soles</v>
      </c>
      <c r="D318" s="3" t="s">
        <v>1074</v>
      </c>
      <c r="E318" s="14">
        <v>45685</v>
      </c>
      <c r="F318" s="5" t="s">
        <v>1082</v>
      </c>
      <c r="G318" s="5" t="s">
        <v>1079</v>
      </c>
      <c r="H318" s="6"/>
      <c r="I318" s="6"/>
      <c r="J318" s="6"/>
      <c r="K318" s="6"/>
      <c r="L318" s="7" t="s">
        <v>1455</v>
      </c>
      <c r="M318" s="8">
        <v>200119</v>
      </c>
      <c r="N318" s="8" t="str">
        <f t="shared" si="21"/>
        <v>PEN</v>
      </c>
      <c r="O318" s="13"/>
      <c r="P318" s="13">
        <v>1019.76</v>
      </c>
      <c r="Q318" s="3">
        <f t="shared" si="22"/>
        <v>0</v>
      </c>
      <c r="R318" s="3">
        <f t="shared" si="23"/>
        <v>1019.76</v>
      </c>
      <c r="S318" s="3">
        <f t="shared" si="24"/>
        <v>13346.969999999998</v>
      </c>
      <c r="T318" s="24"/>
      <c r="U318" s="24"/>
      <c r="V318" s="67"/>
      <c r="W318" s="25" t="str">
        <f>IFERROR(VLOOKUP(BCP_Soles[[#This Row],[DESTINATARIO]],CHOOSE({1,2},Clientes_Proveedores[Razon Social],Clientes_Proveedores[Ruc / Dni]),2,0),"")</f>
        <v/>
      </c>
      <c r="X318" s="25" t="s">
        <v>1456</v>
      </c>
      <c r="Y318" s="25"/>
      <c r="Z318" s="25"/>
      <c r="AA318" s="99"/>
      <c r="AB318" s="3" t="str">
        <f>IF(BCP_Soles[[#This Row],[FECHA]]&gt;0,TEXT(BCP_Soles[[#This Row],[FECHA]],"mmmm"),0)</f>
        <v>Enero</v>
      </c>
    </row>
    <row r="319" spans="2:28" x14ac:dyDescent="0.3">
      <c r="B319" s="2">
        <f>IF(BCP_Soles[[#This Row],[TIPO DE R.]]="R",COUNTIFS($D$4:$D318,"R")+1,"")</f>
        <v>221</v>
      </c>
      <c r="C319" s="19" t="str">
        <f t="shared" si="20"/>
        <v>B-BCP - Soles</v>
      </c>
      <c r="D319" s="3" t="s">
        <v>1074</v>
      </c>
      <c r="E319" s="14">
        <v>45685</v>
      </c>
      <c r="F319" s="5" t="s">
        <v>1082</v>
      </c>
      <c r="G319" s="5" t="s">
        <v>1079</v>
      </c>
      <c r="H319" s="6"/>
      <c r="I319" s="6"/>
      <c r="J319" s="6"/>
      <c r="K319" s="6"/>
      <c r="L319" s="7" t="s">
        <v>1457</v>
      </c>
      <c r="M319" s="8">
        <v>239072</v>
      </c>
      <c r="N319" s="8" t="str">
        <f t="shared" si="21"/>
        <v>PEN</v>
      </c>
      <c r="O319" s="13"/>
      <c r="P319" s="13">
        <v>1016</v>
      </c>
      <c r="Q319" s="3">
        <f t="shared" si="22"/>
        <v>0</v>
      </c>
      <c r="R319" s="3">
        <f t="shared" si="23"/>
        <v>1016</v>
      </c>
      <c r="S319" s="3">
        <f t="shared" si="24"/>
        <v>12330.969999999998</v>
      </c>
      <c r="T319" s="24"/>
      <c r="U319" s="24"/>
      <c r="V319" s="67"/>
      <c r="W319" s="25" t="str">
        <f>IFERROR(VLOOKUP(BCP_Soles[[#This Row],[DESTINATARIO]],CHOOSE({1,2},Clientes_Proveedores[Razon Social],Clientes_Proveedores[Ruc / Dni]),2,0),"")</f>
        <v/>
      </c>
      <c r="X319" s="25" t="s">
        <v>1456</v>
      </c>
      <c r="Y319" s="25"/>
      <c r="Z319" s="25"/>
      <c r="AA319" s="99"/>
      <c r="AB319" s="3" t="str">
        <f>IF(BCP_Soles[[#This Row],[FECHA]]&gt;0,TEXT(BCP_Soles[[#This Row],[FECHA]],"mmmm"),0)</f>
        <v>Enero</v>
      </c>
    </row>
    <row r="320" spans="2:28" x14ac:dyDescent="0.3">
      <c r="B320" s="2">
        <f>IF(BCP_Soles[[#This Row],[TIPO DE R.]]="R",COUNTIFS($D$4:$D319,"R")+1,"")</f>
        <v>222</v>
      </c>
      <c r="C320" s="19" t="str">
        <f t="shared" si="20"/>
        <v>B-BCP - Soles</v>
      </c>
      <c r="D320" s="3" t="s">
        <v>1074</v>
      </c>
      <c r="E320" s="14">
        <v>45685</v>
      </c>
      <c r="F320" s="5" t="s">
        <v>1082</v>
      </c>
      <c r="G320" s="5" t="s">
        <v>1079</v>
      </c>
      <c r="H320" s="6" t="s">
        <v>637</v>
      </c>
      <c r="I320" s="6" t="s">
        <v>14</v>
      </c>
      <c r="J320" s="6" t="s">
        <v>1453</v>
      </c>
      <c r="K320" s="6">
        <v>125559</v>
      </c>
      <c r="L320" s="7" t="s">
        <v>1123</v>
      </c>
      <c r="M320" s="8">
        <v>167109</v>
      </c>
      <c r="N320" s="8" t="str">
        <f t="shared" si="21"/>
        <v>PEN</v>
      </c>
      <c r="O320" s="13"/>
      <c r="P320" s="13">
        <v>970.59</v>
      </c>
      <c r="Q320" s="3">
        <f t="shared" si="22"/>
        <v>0</v>
      </c>
      <c r="R320" s="3">
        <f t="shared" si="23"/>
        <v>970.59</v>
      </c>
      <c r="S320" s="3">
        <f t="shared" si="24"/>
        <v>11360.379999999997</v>
      </c>
      <c r="T320" s="24" t="s">
        <v>1081</v>
      </c>
      <c r="U320" s="24" t="s">
        <v>1081</v>
      </c>
      <c r="V320" s="67"/>
      <c r="W320" s="25">
        <f>IFERROR(VLOOKUP(BCP_Soles[[#This Row],[DESTINATARIO]],CHOOSE({1,2},Clientes_Proveedores[Razon Social],Clientes_Proveedores[Ruc / Dni]),2,0),"")</f>
        <v>20127765279</v>
      </c>
      <c r="X320" s="25" t="s">
        <v>1124</v>
      </c>
      <c r="Y320" s="25" t="s">
        <v>1458</v>
      </c>
      <c r="Z320" s="25"/>
      <c r="AA320" s="99"/>
      <c r="AB320" s="3" t="str">
        <f>IF(BCP_Soles[[#This Row],[FECHA]]&gt;0,TEXT(BCP_Soles[[#This Row],[FECHA]],"mmmm"),0)</f>
        <v>Enero</v>
      </c>
    </row>
    <row r="321" spans="2:28" ht="24" x14ac:dyDescent="0.3">
      <c r="B321" s="2">
        <f>IF(BCP_Soles[[#This Row],[TIPO DE R.]]="R",COUNTIFS($D$4:$D320,"R")+1,"")</f>
        <v>223</v>
      </c>
      <c r="C321" s="19" t="str">
        <f t="shared" si="20"/>
        <v>B-BCP - Soles</v>
      </c>
      <c r="D321" s="3" t="s">
        <v>1074</v>
      </c>
      <c r="E321" s="14">
        <v>45685</v>
      </c>
      <c r="F321" s="5" t="s">
        <v>1082</v>
      </c>
      <c r="G321" s="5" t="s">
        <v>1079</v>
      </c>
      <c r="H321" s="6" t="s">
        <v>1001</v>
      </c>
      <c r="I321" s="6" t="s">
        <v>14</v>
      </c>
      <c r="J321" s="6" t="s">
        <v>3128</v>
      </c>
      <c r="K321" s="6">
        <v>28979615</v>
      </c>
      <c r="L321" s="7" t="s">
        <v>1141</v>
      </c>
      <c r="M321" s="8">
        <v>459</v>
      </c>
      <c r="N321" s="8" t="str">
        <f t="shared" si="21"/>
        <v>PEN</v>
      </c>
      <c r="O321" s="13"/>
      <c r="P321" s="13">
        <v>10</v>
      </c>
      <c r="Q321" s="3">
        <f t="shared" si="22"/>
        <v>0</v>
      </c>
      <c r="R321" s="3">
        <f t="shared" si="23"/>
        <v>10</v>
      </c>
      <c r="S321" s="3">
        <f t="shared" si="24"/>
        <v>11350.379999999997</v>
      </c>
      <c r="T321" s="24" t="s">
        <v>1081</v>
      </c>
      <c r="U321" s="24" t="s">
        <v>1081</v>
      </c>
      <c r="V321" s="67"/>
      <c r="W321" s="25">
        <f>IFERROR(VLOOKUP(BCP_Soles[[#This Row],[DESTINATARIO]],CHOOSE({1,2},Clientes_Proveedores[Razon Social],Clientes_Proveedores[Ruc / Dni]),2,0),"")</f>
        <v>20100047218</v>
      </c>
      <c r="X321" s="25" t="s">
        <v>1078</v>
      </c>
      <c r="Y321" s="25"/>
      <c r="Z321" s="25"/>
      <c r="AA321" s="99"/>
      <c r="AB321" s="3" t="str">
        <f>IF(BCP_Soles[[#This Row],[FECHA]]&gt;0,TEXT(BCP_Soles[[#This Row],[FECHA]],"mmmm"),0)</f>
        <v>Enero</v>
      </c>
    </row>
    <row r="322" spans="2:28" ht="24" x14ac:dyDescent="0.3">
      <c r="B322" s="2">
        <f>IF(BCP_Soles[[#This Row],[TIPO DE R.]]="R",COUNTIFS($D$4:$D321,"R")+1,"")</f>
        <v>224</v>
      </c>
      <c r="C322" s="19" t="str">
        <f t="shared" si="20"/>
        <v>B-BCP - Soles</v>
      </c>
      <c r="D322" s="3" t="s">
        <v>1074</v>
      </c>
      <c r="E322" s="14">
        <v>45685</v>
      </c>
      <c r="F322" s="5" t="s">
        <v>1357</v>
      </c>
      <c r="G322" s="5" t="s">
        <v>1087</v>
      </c>
      <c r="H322" s="6"/>
      <c r="I322" s="6"/>
      <c r="J322" s="6"/>
      <c r="K322" s="6"/>
      <c r="L322" s="7" t="s">
        <v>1358</v>
      </c>
      <c r="M322" s="8">
        <v>52428</v>
      </c>
      <c r="N322" s="8" t="str">
        <f t="shared" si="21"/>
        <v>PEN</v>
      </c>
      <c r="O322" s="13"/>
      <c r="P322" s="13">
        <v>1000</v>
      </c>
      <c r="Q322" s="3">
        <f t="shared" si="22"/>
        <v>1000</v>
      </c>
      <c r="R322" s="3">
        <f t="shared" si="23"/>
        <v>0</v>
      </c>
      <c r="S322" s="3">
        <f t="shared" si="24"/>
        <v>12350.379999999997</v>
      </c>
      <c r="T322" s="24" t="s">
        <v>1081</v>
      </c>
      <c r="U322" s="24" t="s">
        <v>1081</v>
      </c>
      <c r="V322" s="67"/>
      <c r="W322" s="25" t="str">
        <f>IFERROR(VLOOKUP(BCP_Soles[[#This Row],[DESTINATARIO]],CHOOSE({1,2},Clientes_Proveedores[Razon Social],Clientes_Proveedores[Ruc / Dni]),2,0),"")</f>
        <v/>
      </c>
      <c r="X322" s="25" t="s">
        <v>1090</v>
      </c>
      <c r="Y322" s="25" t="s">
        <v>1359</v>
      </c>
      <c r="Z322" s="25"/>
      <c r="AA322" s="99"/>
      <c r="AB322" s="3" t="str">
        <f>IF(BCP_Soles[[#This Row],[FECHA]]&gt;0,TEXT(BCP_Soles[[#This Row],[FECHA]],"mmmm"),0)</f>
        <v>Enero</v>
      </c>
    </row>
    <row r="323" spans="2:28" ht="24" x14ac:dyDescent="0.3">
      <c r="B323" s="2">
        <f>IF(BCP_Soles[[#This Row],[TIPO DE R.]]="R",COUNTIFS($D$4:$D322,"R")+1,"")</f>
        <v>225</v>
      </c>
      <c r="C323" s="19" t="str">
        <f t="shared" si="20"/>
        <v>B-BCP - Soles</v>
      </c>
      <c r="D323" s="3" t="s">
        <v>1074</v>
      </c>
      <c r="E323" s="14">
        <v>45685</v>
      </c>
      <c r="F323" s="5" t="s">
        <v>1357</v>
      </c>
      <c r="G323" s="5" t="s">
        <v>1087</v>
      </c>
      <c r="H323" s="6"/>
      <c r="I323" s="6"/>
      <c r="J323" s="6"/>
      <c r="K323" s="6"/>
      <c r="L323" s="7" t="s">
        <v>1358</v>
      </c>
      <c r="M323" s="8">
        <v>52433</v>
      </c>
      <c r="N323" s="8" t="str">
        <f t="shared" si="21"/>
        <v>PEN</v>
      </c>
      <c r="O323" s="13"/>
      <c r="P323" s="13">
        <v>108.5</v>
      </c>
      <c r="Q323" s="3">
        <f t="shared" si="22"/>
        <v>108.5</v>
      </c>
      <c r="R323" s="3">
        <f t="shared" si="23"/>
        <v>0</v>
      </c>
      <c r="S323" s="3">
        <f t="shared" si="24"/>
        <v>12458.879999999997</v>
      </c>
      <c r="T323" s="24" t="s">
        <v>1081</v>
      </c>
      <c r="U323" s="24" t="s">
        <v>1081</v>
      </c>
      <c r="V323" s="67"/>
      <c r="W323" s="25" t="str">
        <f>IFERROR(VLOOKUP(BCP_Soles[[#This Row],[DESTINATARIO]],CHOOSE({1,2},Clientes_Proveedores[Razon Social],Clientes_Proveedores[Ruc / Dni]),2,0),"")</f>
        <v/>
      </c>
      <c r="X323" s="25" t="s">
        <v>1090</v>
      </c>
      <c r="Y323" s="25" t="s">
        <v>1359</v>
      </c>
      <c r="Z323" s="25"/>
      <c r="AA323" s="99"/>
      <c r="AB323" s="3" t="str">
        <f>IF(BCP_Soles[[#This Row],[FECHA]]&gt;0,TEXT(BCP_Soles[[#This Row],[FECHA]],"mmmm"),0)</f>
        <v>Enero</v>
      </c>
    </row>
    <row r="324" spans="2:28" ht="24" x14ac:dyDescent="0.3">
      <c r="B324" s="2">
        <f>IF(BCP_Soles[[#This Row],[TIPO DE R.]]="R",COUNTIFS($D$4:$D323,"R")+1,"")</f>
        <v>226</v>
      </c>
      <c r="C324" s="19" t="str">
        <f t="shared" si="20"/>
        <v>B-BCP - Soles</v>
      </c>
      <c r="D324" s="3" t="s">
        <v>1074</v>
      </c>
      <c r="E324" s="14">
        <v>45686</v>
      </c>
      <c r="F324" s="5" t="s">
        <v>1082</v>
      </c>
      <c r="G324" s="5" t="s">
        <v>1079</v>
      </c>
      <c r="H324" s="6" t="s">
        <v>192</v>
      </c>
      <c r="I324" s="6"/>
      <c r="J324" s="6"/>
      <c r="K324" s="6"/>
      <c r="L324" s="7" t="s">
        <v>1459</v>
      </c>
      <c r="M324" s="8">
        <v>1006025</v>
      </c>
      <c r="N324" s="8" t="str">
        <f t="shared" si="21"/>
        <v>PEN</v>
      </c>
      <c r="O324" s="13"/>
      <c r="P324" s="13">
        <v>40.71</v>
      </c>
      <c r="Q324" s="3">
        <f t="shared" si="22"/>
        <v>0</v>
      </c>
      <c r="R324" s="3">
        <f t="shared" si="23"/>
        <v>40.71</v>
      </c>
      <c r="S324" s="3">
        <f t="shared" si="24"/>
        <v>12418.169999999998</v>
      </c>
      <c r="T324" s="24"/>
      <c r="U324" s="24"/>
      <c r="V324" s="67"/>
      <c r="W324" s="25">
        <f>IFERROR(VLOOKUP(BCP_Soles[[#This Row],[DESTINATARIO]],CHOOSE({1,2},Clientes_Proveedores[Razon Social],Clientes_Proveedores[Ruc / Dni]),2,0),"")</f>
        <v>20302891452</v>
      </c>
      <c r="X324" s="25" t="s">
        <v>192</v>
      </c>
      <c r="Y324" s="25"/>
      <c r="Z324" s="25"/>
      <c r="AA324" s="99"/>
      <c r="AB324" s="3" t="str">
        <f>IF(BCP_Soles[[#This Row],[FECHA]]&gt;0,TEXT(BCP_Soles[[#This Row],[FECHA]],"mmmm"),0)</f>
        <v>Enero</v>
      </c>
    </row>
    <row r="325" spans="2:28" x14ac:dyDescent="0.3">
      <c r="B325" s="2">
        <f>IF(BCP_Soles[[#This Row],[TIPO DE R.]]="R",COUNTIFS($D$4:$D324,"R")+1,"")</f>
        <v>227</v>
      </c>
      <c r="C325" s="19" t="str">
        <f t="shared" ref="C325:C388" si="25">"B-BCP - Soles"</f>
        <v>B-BCP - Soles</v>
      </c>
      <c r="D325" s="3" t="s">
        <v>1074</v>
      </c>
      <c r="E325" s="14">
        <v>45686</v>
      </c>
      <c r="F325" s="5" t="s">
        <v>1082</v>
      </c>
      <c r="G325" s="5" t="s">
        <v>1079</v>
      </c>
      <c r="H325" s="6" t="s">
        <v>517</v>
      </c>
      <c r="I325" s="6" t="s">
        <v>14</v>
      </c>
      <c r="J325" s="6"/>
      <c r="K325" s="6"/>
      <c r="L325" s="7" t="s">
        <v>1460</v>
      </c>
      <c r="M325" s="8">
        <v>4027002</v>
      </c>
      <c r="N325" s="8" t="str">
        <f t="shared" ref="N325:N388" si="26">"PEN"</f>
        <v>PEN</v>
      </c>
      <c r="O325" s="13"/>
      <c r="P325" s="13">
        <v>690.5</v>
      </c>
      <c r="Q325" s="3">
        <f t="shared" ref="Q325:Q388" si="27">+IF(OR($G325="SALDO",$G325="INGRESO"),$P325,0)</f>
        <v>0</v>
      </c>
      <c r="R325" s="3">
        <f t="shared" ref="R325:R388" si="28">+IF($G325="EGRESO",$P325,0)</f>
        <v>690.5</v>
      </c>
      <c r="S325" s="3">
        <f t="shared" ref="S325:S388" si="29">IFERROR(IF(G325="SALDO",Q325,S324+Q325-R325),0)</f>
        <v>11727.669999999998</v>
      </c>
      <c r="T325" s="24" t="s">
        <v>1081</v>
      </c>
      <c r="U325" s="24"/>
      <c r="V325" s="67"/>
      <c r="W325" s="25">
        <f>IFERROR(VLOOKUP(BCP_Soles[[#This Row],[DESTINATARIO]],CHOOSE({1,2},Clientes_Proveedores[Razon Social],Clientes_Proveedores[Ruc / Dni]),2,0),"")</f>
        <v>20608970909</v>
      </c>
      <c r="X325" s="25" t="s">
        <v>517</v>
      </c>
      <c r="Y325" s="25" t="s">
        <v>1461</v>
      </c>
      <c r="Z325" s="25"/>
      <c r="AA325" s="99"/>
      <c r="AB325" s="3" t="str">
        <f>IF(BCP_Soles[[#This Row],[FECHA]]&gt;0,TEXT(BCP_Soles[[#This Row],[FECHA]],"mmmm"),0)</f>
        <v>Enero</v>
      </c>
    </row>
    <row r="326" spans="2:28" x14ac:dyDescent="0.3">
      <c r="B326" s="2" t="str">
        <f>IF(BCP_Soles[[#This Row],[TIPO DE R.]]="R",COUNTIFS($D$4:$D325,"R")+1,"")</f>
        <v/>
      </c>
      <c r="C326" s="19" t="str">
        <f t="shared" si="25"/>
        <v>B-BCP - Soles</v>
      </c>
      <c r="D326" s="3" t="s">
        <v>1101</v>
      </c>
      <c r="E326" s="14">
        <v>45686</v>
      </c>
      <c r="F326" s="5" t="s">
        <v>1082</v>
      </c>
      <c r="G326" s="5"/>
      <c r="H326" s="6" t="s">
        <v>517</v>
      </c>
      <c r="I326" s="6" t="s">
        <v>14</v>
      </c>
      <c r="J326" s="6" t="s">
        <v>1121</v>
      </c>
      <c r="K326" s="6">
        <v>1011</v>
      </c>
      <c r="L326" s="7" t="s">
        <v>1460</v>
      </c>
      <c r="M326" s="8">
        <v>4027002</v>
      </c>
      <c r="N326" s="8" t="str">
        <f t="shared" si="26"/>
        <v>PEN</v>
      </c>
      <c r="O326" s="13">
        <v>680</v>
      </c>
      <c r="P326" s="13"/>
      <c r="Q326" s="3">
        <f t="shared" si="27"/>
        <v>0</v>
      </c>
      <c r="R326" s="3">
        <f t="shared" si="28"/>
        <v>0</v>
      </c>
      <c r="S326" s="3">
        <f t="shared" si="29"/>
        <v>11727.669999999998</v>
      </c>
      <c r="T326" s="24" t="s">
        <v>1081</v>
      </c>
      <c r="U326" s="24"/>
      <c r="V326" s="67"/>
      <c r="W326" s="25">
        <f>IFERROR(VLOOKUP(BCP_Soles[[#This Row],[DESTINATARIO]],CHOOSE({1,2},Clientes_Proveedores[Razon Social],Clientes_Proveedores[Ruc / Dni]),2,0),"")</f>
        <v>20608970909</v>
      </c>
      <c r="X326" s="25"/>
      <c r="Y326" s="25"/>
      <c r="Z326" s="25"/>
      <c r="AA326" s="99"/>
      <c r="AB326" s="3" t="str">
        <f>IF(BCP_Soles[[#This Row],[FECHA]]&gt;0,TEXT(BCP_Soles[[#This Row],[FECHA]],"mmmm"),0)</f>
        <v>Enero</v>
      </c>
    </row>
    <row r="327" spans="2:28" ht="24" x14ac:dyDescent="0.3">
      <c r="B327" s="2" t="str">
        <f>IF(BCP_Soles[[#This Row],[TIPO DE R.]]="R",COUNTIFS($D$4:$D326,"R")+1,"")</f>
        <v/>
      </c>
      <c r="C327" s="19" t="str">
        <f t="shared" si="25"/>
        <v>B-BCP - Soles</v>
      </c>
      <c r="D327" s="3" t="s">
        <v>1101</v>
      </c>
      <c r="E327" s="14">
        <v>45686</v>
      </c>
      <c r="F327" s="5" t="s">
        <v>1082</v>
      </c>
      <c r="G327" s="5"/>
      <c r="H327" s="6" t="s">
        <v>1001</v>
      </c>
      <c r="I327" s="6" t="s">
        <v>14</v>
      </c>
      <c r="J327" s="6" t="s">
        <v>3128</v>
      </c>
      <c r="K327" s="6">
        <v>29015536</v>
      </c>
      <c r="L327" s="7" t="s">
        <v>1460</v>
      </c>
      <c r="M327" s="8">
        <v>4027002</v>
      </c>
      <c r="N327" s="8" t="str">
        <f t="shared" si="26"/>
        <v>PEN</v>
      </c>
      <c r="O327" s="13">
        <v>10.5</v>
      </c>
      <c r="P327" s="13"/>
      <c r="Q327" s="3">
        <f t="shared" si="27"/>
        <v>0</v>
      </c>
      <c r="R327" s="3">
        <f t="shared" si="28"/>
        <v>0</v>
      </c>
      <c r="S327" s="3">
        <f t="shared" si="29"/>
        <v>11727.669999999998</v>
      </c>
      <c r="T327" s="24" t="s">
        <v>1081</v>
      </c>
      <c r="U327" s="24"/>
      <c r="V327" s="67"/>
      <c r="W327" s="25">
        <f>IFERROR(VLOOKUP(BCP_Soles[[#This Row],[DESTINATARIO]],CHOOSE({1,2},Clientes_Proveedores[Razon Social],Clientes_Proveedores[Ruc / Dni]),2,0),"")</f>
        <v>20100047218</v>
      </c>
      <c r="X327" s="25"/>
      <c r="Y327" s="25"/>
      <c r="Z327" s="25"/>
      <c r="AA327" s="99"/>
      <c r="AB327" s="3" t="str">
        <f>IF(BCP_Soles[[#This Row],[FECHA]]&gt;0,TEXT(BCP_Soles[[#This Row],[FECHA]],"mmmm"),0)</f>
        <v>Enero</v>
      </c>
    </row>
    <row r="328" spans="2:28" x14ac:dyDescent="0.3">
      <c r="B328" s="2">
        <f>IF(BCP_Soles[[#This Row],[TIPO DE R.]]="R",COUNTIFS($D$4:$D327,"R")+1,"")</f>
        <v>228</v>
      </c>
      <c r="C328" s="19" t="str">
        <f t="shared" si="25"/>
        <v>B-BCP - Soles</v>
      </c>
      <c r="D328" s="3" t="s">
        <v>1074</v>
      </c>
      <c r="E328" s="14">
        <v>45686</v>
      </c>
      <c r="F328" s="5" t="s">
        <v>1078</v>
      </c>
      <c r="G328" s="5" t="s">
        <v>1079</v>
      </c>
      <c r="H328" s="6"/>
      <c r="I328" s="6"/>
      <c r="J328" s="6"/>
      <c r="K328" s="6"/>
      <c r="L328" s="7" t="s">
        <v>1080</v>
      </c>
      <c r="M328" s="8"/>
      <c r="N328" s="8" t="str">
        <f t="shared" si="26"/>
        <v>PEN</v>
      </c>
      <c r="O328" s="13"/>
      <c r="P328" s="13">
        <v>0.35</v>
      </c>
      <c r="Q328" s="3">
        <f t="shared" si="27"/>
        <v>0</v>
      </c>
      <c r="R328" s="3">
        <f t="shared" si="28"/>
        <v>0.35</v>
      </c>
      <c r="S328" s="3">
        <f t="shared" si="29"/>
        <v>11727.319999999998</v>
      </c>
      <c r="T328" s="24"/>
      <c r="U328" s="24" t="s">
        <v>1081</v>
      </c>
      <c r="V328" s="67"/>
      <c r="W328" s="25" t="str">
        <f>IFERROR(VLOOKUP(BCP_Soles[[#This Row],[DESTINATARIO]],CHOOSE({1,2},Clientes_Proveedores[Razon Social],Clientes_Proveedores[Ruc / Dni]),2,0),"")</f>
        <v/>
      </c>
      <c r="X328" s="25"/>
      <c r="Y328" s="25"/>
      <c r="Z328" s="25"/>
      <c r="AA328" s="99"/>
      <c r="AB328" s="3" t="str">
        <f>IF(BCP_Soles[[#This Row],[FECHA]]&gt;0,TEXT(BCP_Soles[[#This Row],[FECHA]],"mmmm"),0)</f>
        <v>Enero</v>
      </c>
    </row>
    <row r="329" spans="2:28" x14ac:dyDescent="0.3">
      <c r="B329" s="2">
        <f>IF(BCP_Soles[[#This Row],[TIPO DE R.]]="R",COUNTIFS($D$4:$D328,"R")+1,"")</f>
        <v>229</v>
      </c>
      <c r="C329" s="19" t="str">
        <f t="shared" si="25"/>
        <v>B-BCP - Soles</v>
      </c>
      <c r="D329" s="3" t="s">
        <v>1074</v>
      </c>
      <c r="E329" s="14">
        <v>45686</v>
      </c>
      <c r="F329" s="5" t="s">
        <v>1082</v>
      </c>
      <c r="G329" s="5" t="s">
        <v>1079</v>
      </c>
      <c r="H329" s="6"/>
      <c r="I329" s="6"/>
      <c r="J329" s="6"/>
      <c r="K329" s="6"/>
      <c r="L329" s="7" t="s">
        <v>1462</v>
      </c>
      <c r="M329" s="8">
        <v>6472528</v>
      </c>
      <c r="N329" s="8" t="str">
        <f t="shared" si="26"/>
        <v>PEN</v>
      </c>
      <c r="O329" s="13"/>
      <c r="P329" s="13">
        <v>5476.25</v>
      </c>
      <c r="Q329" s="3">
        <f t="shared" si="27"/>
        <v>0</v>
      </c>
      <c r="R329" s="3">
        <f t="shared" si="28"/>
        <v>5476.25</v>
      </c>
      <c r="S329" s="3">
        <f t="shared" si="29"/>
        <v>6251.0699999999979</v>
      </c>
      <c r="T329" s="24" t="s">
        <v>1081</v>
      </c>
      <c r="U329" s="24"/>
      <c r="V329" s="67"/>
      <c r="W329" s="25" t="str">
        <f>IFERROR(VLOOKUP(BCP_Soles[[#This Row],[DESTINATARIO]],CHOOSE({1,2},Clientes_Proveedores[Razon Social],Clientes_Proveedores[Ruc / Dni]),2,0),"")</f>
        <v/>
      </c>
      <c r="X329" s="25" t="s">
        <v>1118</v>
      </c>
      <c r="Y329" s="25"/>
      <c r="Z329" s="25"/>
      <c r="AA329" s="99"/>
      <c r="AB329" s="3" t="str">
        <f>IF(BCP_Soles[[#This Row],[FECHA]]&gt;0,TEXT(BCP_Soles[[#This Row],[FECHA]],"mmmm"),0)</f>
        <v>Enero</v>
      </c>
    </row>
    <row r="330" spans="2:28" ht="36" x14ac:dyDescent="0.3">
      <c r="B330" s="2" t="str">
        <f>IF(BCP_Soles[[#This Row],[TIPO DE R.]]="R",COUNTIFS($D$4:$D329,"R")+1,"")</f>
        <v/>
      </c>
      <c r="C330" s="19" t="str">
        <f t="shared" si="25"/>
        <v>B-BCP - Soles</v>
      </c>
      <c r="D330" s="3" t="s">
        <v>1101</v>
      </c>
      <c r="E330" s="14">
        <v>45686</v>
      </c>
      <c r="F330" s="5" t="s">
        <v>1082</v>
      </c>
      <c r="G330" s="5"/>
      <c r="H330" s="6" t="s">
        <v>258</v>
      </c>
      <c r="I330" s="6" t="s">
        <v>14</v>
      </c>
      <c r="J330" s="6" t="s">
        <v>1121</v>
      </c>
      <c r="K330" s="6">
        <v>2179</v>
      </c>
      <c r="L330" s="7" t="s">
        <v>1462</v>
      </c>
      <c r="M330" s="8">
        <v>6472528</v>
      </c>
      <c r="N330" s="8" t="str">
        <f t="shared" si="26"/>
        <v>PEN</v>
      </c>
      <c r="O330" s="13">
        <v>64.7</v>
      </c>
      <c r="P330" s="13"/>
      <c r="Q330" s="3">
        <f t="shared" si="27"/>
        <v>0</v>
      </c>
      <c r="R330" s="3">
        <f t="shared" si="28"/>
        <v>0</v>
      </c>
      <c r="S330" s="3">
        <f t="shared" si="29"/>
        <v>6251.0699999999979</v>
      </c>
      <c r="T330" s="24"/>
      <c r="U330" s="24"/>
      <c r="V330" s="67"/>
      <c r="W330" s="25">
        <f>IFERROR(VLOOKUP(BCP_Soles[[#This Row],[DESTINATARIO]],CHOOSE({1,2},Clientes_Proveedores[Razon Social],Clientes_Proveedores[Ruc / Dni]),2,0),"")</f>
        <v>20456565353</v>
      </c>
      <c r="X330" s="25"/>
      <c r="Y330" s="25"/>
      <c r="Z330" s="25"/>
      <c r="AA330" s="99"/>
      <c r="AB330" s="3" t="str">
        <f>IF(BCP_Soles[[#This Row],[FECHA]]&gt;0,TEXT(BCP_Soles[[#This Row],[FECHA]],"mmmm"),0)</f>
        <v>Enero</v>
      </c>
    </row>
    <row r="331" spans="2:28" ht="36" x14ac:dyDescent="0.3">
      <c r="B331" s="2" t="str">
        <f>IF(BCP_Soles[[#This Row],[TIPO DE R.]]="R",COUNTIFS($D$4:$D330,"R")+1,"")</f>
        <v/>
      </c>
      <c r="C331" s="19" t="str">
        <f t="shared" si="25"/>
        <v>B-BCP - Soles</v>
      </c>
      <c r="D331" s="3" t="s">
        <v>1101</v>
      </c>
      <c r="E331" s="14">
        <v>45686</v>
      </c>
      <c r="F331" s="5" t="s">
        <v>1082</v>
      </c>
      <c r="G331" s="5"/>
      <c r="H331" s="6" t="s">
        <v>258</v>
      </c>
      <c r="I331" s="6" t="s">
        <v>14</v>
      </c>
      <c r="J331" s="6" t="s">
        <v>1121</v>
      </c>
      <c r="K331" s="6">
        <v>2185</v>
      </c>
      <c r="L331" s="7" t="s">
        <v>1462</v>
      </c>
      <c r="M331" s="8">
        <v>6472528</v>
      </c>
      <c r="N331" s="8" t="str">
        <f t="shared" si="26"/>
        <v>PEN</v>
      </c>
      <c r="O331" s="13">
        <v>99</v>
      </c>
      <c r="P331" s="13"/>
      <c r="Q331" s="3">
        <f t="shared" si="27"/>
        <v>0</v>
      </c>
      <c r="R331" s="3">
        <f t="shared" si="28"/>
        <v>0</v>
      </c>
      <c r="S331" s="3">
        <f t="shared" si="29"/>
        <v>6251.0699999999979</v>
      </c>
      <c r="T331" s="24"/>
      <c r="U331" s="24"/>
      <c r="V331" s="67"/>
      <c r="W331" s="25">
        <f>IFERROR(VLOOKUP(BCP_Soles[[#This Row],[DESTINATARIO]],CHOOSE({1,2},Clientes_Proveedores[Razon Social],Clientes_Proveedores[Ruc / Dni]),2,0),"")</f>
        <v>20456565353</v>
      </c>
      <c r="X331" s="25"/>
      <c r="Y331" s="25"/>
      <c r="Z331" s="25"/>
      <c r="AA331" s="99"/>
      <c r="AB331" s="3" t="str">
        <f>IF(BCP_Soles[[#This Row],[FECHA]]&gt;0,TEXT(BCP_Soles[[#This Row],[FECHA]],"mmmm"),0)</f>
        <v>Enero</v>
      </c>
    </row>
    <row r="332" spans="2:28" ht="36" x14ac:dyDescent="0.3">
      <c r="B332" s="2" t="str">
        <f>IF(BCP_Soles[[#This Row],[TIPO DE R.]]="R",COUNTIFS($D$4:$D331,"R")+1,"")</f>
        <v/>
      </c>
      <c r="C332" s="19" t="str">
        <f t="shared" si="25"/>
        <v>B-BCP - Soles</v>
      </c>
      <c r="D332" s="3" t="s">
        <v>1101</v>
      </c>
      <c r="E332" s="14">
        <v>45686</v>
      </c>
      <c r="F332" s="5" t="s">
        <v>1082</v>
      </c>
      <c r="G332" s="5"/>
      <c r="H332" s="6" t="s">
        <v>97</v>
      </c>
      <c r="I332" s="6" t="s">
        <v>14</v>
      </c>
      <c r="J332" s="6" t="s">
        <v>1121</v>
      </c>
      <c r="K332" s="6">
        <v>372</v>
      </c>
      <c r="L332" s="7" t="s">
        <v>1462</v>
      </c>
      <c r="M332" s="8">
        <v>6472528</v>
      </c>
      <c r="N332" s="8" t="str">
        <f t="shared" si="26"/>
        <v>PEN</v>
      </c>
      <c r="O332" s="13">
        <v>290</v>
      </c>
      <c r="P332" s="13"/>
      <c r="Q332" s="3">
        <f t="shared" si="27"/>
        <v>0</v>
      </c>
      <c r="R332" s="3">
        <f t="shared" si="28"/>
        <v>0</v>
      </c>
      <c r="S332" s="3">
        <f t="shared" si="29"/>
        <v>6251.0699999999979</v>
      </c>
      <c r="T332" s="24"/>
      <c r="U332" s="24"/>
      <c r="V332" s="67"/>
      <c r="W332" s="25">
        <f>IFERROR(VLOOKUP(BCP_Soles[[#This Row],[DESTINATARIO]],CHOOSE({1,2},Clientes_Proveedores[Razon Social],Clientes_Proveedores[Ruc / Dni]),2,0),"")</f>
        <v>10405211179</v>
      </c>
      <c r="X332" s="25"/>
      <c r="Y332" s="25"/>
      <c r="Z332" s="25"/>
      <c r="AA332" s="99"/>
      <c r="AB332" s="3" t="str">
        <f>IF(BCP_Soles[[#This Row],[FECHA]]&gt;0,TEXT(BCP_Soles[[#This Row],[FECHA]],"mmmm"),0)</f>
        <v>Enero</v>
      </c>
    </row>
    <row r="333" spans="2:28" ht="36" x14ac:dyDescent="0.3">
      <c r="B333" s="2" t="str">
        <f>IF(BCP_Soles[[#This Row],[TIPO DE R.]]="R",COUNTIFS($D$4:$D332,"R")+1,"")</f>
        <v/>
      </c>
      <c r="C333" s="19" t="str">
        <f t="shared" si="25"/>
        <v>B-BCP - Soles</v>
      </c>
      <c r="D333" s="3" t="s">
        <v>1101</v>
      </c>
      <c r="E333" s="14">
        <v>45686</v>
      </c>
      <c r="F333" s="5" t="s">
        <v>1082</v>
      </c>
      <c r="G333" s="5"/>
      <c r="H333" s="6" t="s">
        <v>568</v>
      </c>
      <c r="I333" s="6" t="s">
        <v>14</v>
      </c>
      <c r="J333" s="6" t="s">
        <v>1121</v>
      </c>
      <c r="K333" s="6">
        <v>199</v>
      </c>
      <c r="L333" s="7" t="s">
        <v>1462</v>
      </c>
      <c r="M333" s="8">
        <v>6472528</v>
      </c>
      <c r="N333" s="8" t="str">
        <f t="shared" si="26"/>
        <v>PEN</v>
      </c>
      <c r="O333" s="13">
        <v>906</v>
      </c>
      <c r="P333" s="13"/>
      <c r="Q333" s="3">
        <f t="shared" si="27"/>
        <v>0</v>
      </c>
      <c r="R333" s="3">
        <f t="shared" si="28"/>
        <v>0</v>
      </c>
      <c r="S333" s="3">
        <f t="shared" si="29"/>
        <v>6251.0699999999979</v>
      </c>
      <c r="T333" s="24"/>
      <c r="U333" s="24"/>
      <c r="V333" s="67"/>
      <c r="W333" s="25">
        <f>IFERROR(VLOOKUP(BCP_Soles[[#This Row],[DESTINATARIO]],CHOOSE({1,2},Clientes_Proveedores[Razon Social],Clientes_Proveedores[Ruc / Dni]),2,0),"")</f>
        <v>20549334874</v>
      </c>
      <c r="X333" s="25"/>
      <c r="Y333" s="25"/>
      <c r="Z333" s="25"/>
      <c r="AA333" s="99"/>
      <c r="AB333" s="3" t="str">
        <f>IF(BCP_Soles[[#This Row],[FECHA]]&gt;0,TEXT(BCP_Soles[[#This Row],[FECHA]],"mmmm"),0)</f>
        <v>Enero</v>
      </c>
    </row>
    <row r="334" spans="2:28" ht="24" x14ac:dyDescent="0.3">
      <c r="B334" s="2" t="str">
        <f>IF(BCP_Soles[[#This Row],[TIPO DE R.]]="R",COUNTIFS($D$4:$D333,"R")+1,"")</f>
        <v/>
      </c>
      <c r="C334" s="19" t="str">
        <f t="shared" si="25"/>
        <v>B-BCP - Soles</v>
      </c>
      <c r="D334" s="3" t="s">
        <v>1101</v>
      </c>
      <c r="E334" s="14">
        <v>45686</v>
      </c>
      <c r="F334" s="5" t="s">
        <v>1082</v>
      </c>
      <c r="G334" s="5"/>
      <c r="H334" s="6" t="s">
        <v>536</v>
      </c>
      <c r="I334" s="6" t="s">
        <v>14</v>
      </c>
      <c r="J334" s="6" t="s">
        <v>1121</v>
      </c>
      <c r="K334" s="6">
        <v>1906</v>
      </c>
      <c r="L334" s="7" t="s">
        <v>1462</v>
      </c>
      <c r="M334" s="8">
        <v>6472528</v>
      </c>
      <c r="N334" s="8" t="str">
        <f t="shared" si="26"/>
        <v>PEN</v>
      </c>
      <c r="O334" s="13">
        <v>94.4</v>
      </c>
      <c r="P334" s="13"/>
      <c r="Q334" s="3">
        <f t="shared" si="27"/>
        <v>0</v>
      </c>
      <c r="R334" s="3">
        <f t="shared" si="28"/>
        <v>0</v>
      </c>
      <c r="S334" s="3">
        <f t="shared" si="29"/>
        <v>6251.0699999999979</v>
      </c>
      <c r="T334" s="24"/>
      <c r="U334" s="24"/>
      <c r="V334" s="67"/>
      <c r="W334" s="25">
        <f>IFERROR(VLOOKUP(BCP_Soles[[#This Row],[DESTINATARIO]],CHOOSE({1,2},Clientes_Proveedores[Razon Social],Clientes_Proveedores[Ruc / Dni]),2,0),"")</f>
        <v>20609764261</v>
      </c>
      <c r="X334" s="25"/>
      <c r="Y334" s="25"/>
      <c r="Z334" s="25"/>
      <c r="AA334" s="99"/>
      <c r="AB334" s="3" t="str">
        <f>IF(BCP_Soles[[#This Row],[FECHA]]&gt;0,TEXT(BCP_Soles[[#This Row],[FECHA]],"mmmm"),0)</f>
        <v>Enero</v>
      </c>
    </row>
    <row r="335" spans="2:28" x14ac:dyDescent="0.3">
      <c r="B335" s="2" t="str">
        <f>IF(BCP_Soles[[#This Row],[TIPO DE R.]]="R",COUNTIFS($D$4:$D334,"R")+1,"")</f>
        <v/>
      </c>
      <c r="C335" s="19" t="str">
        <f t="shared" si="25"/>
        <v>B-BCP - Soles</v>
      </c>
      <c r="D335" s="3" t="s">
        <v>1101</v>
      </c>
      <c r="E335" s="14">
        <v>45686</v>
      </c>
      <c r="F335" s="5" t="s">
        <v>1082</v>
      </c>
      <c r="G335" s="5"/>
      <c r="H335" s="6" t="s">
        <v>465</v>
      </c>
      <c r="I335" s="6" t="s">
        <v>14</v>
      </c>
      <c r="J335" s="6" t="s">
        <v>1121</v>
      </c>
      <c r="K335" s="6">
        <v>3665</v>
      </c>
      <c r="L335" s="7" t="s">
        <v>1462</v>
      </c>
      <c r="M335" s="8">
        <v>6472528</v>
      </c>
      <c r="N335" s="8" t="str">
        <f t="shared" si="26"/>
        <v>PEN</v>
      </c>
      <c r="O335" s="13">
        <v>250.75</v>
      </c>
      <c r="P335" s="13"/>
      <c r="Q335" s="3">
        <f t="shared" si="27"/>
        <v>0</v>
      </c>
      <c r="R335" s="3">
        <f t="shared" si="28"/>
        <v>0</v>
      </c>
      <c r="S335" s="3">
        <f t="shared" si="29"/>
        <v>6251.0699999999979</v>
      </c>
      <c r="T335" s="24"/>
      <c r="U335" s="24"/>
      <c r="V335" s="67"/>
      <c r="W335" s="25">
        <f>IFERROR(VLOOKUP(BCP_Soles[[#This Row],[DESTINATARIO]],CHOOSE({1,2},Clientes_Proveedores[Razon Social],Clientes_Proveedores[Ruc / Dni]),2,0),"")</f>
        <v>20603974817</v>
      </c>
      <c r="X335" s="25"/>
      <c r="Y335" s="25"/>
      <c r="Z335" s="25"/>
      <c r="AA335" s="99"/>
      <c r="AB335" s="3" t="str">
        <f>IF(BCP_Soles[[#This Row],[FECHA]]&gt;0,TEXT(BCP_Soles[[#This Row],[FECHA]],"mmmm"),0)</f>
        <v>Enero</v>
      </c>
    </row>
    <row r="336" spans="2:28" ht="24" x14ac:dyDescent="0.3">
      <c r="B336" s="2" t="str">
        <f>IF(BCP_Soles[[#This Row],[TIPO DE R.]]="R",COUNTIFS($D$4:$D335,"R")+1,"")</f>
        <v/>
      </c>
      <c r="C336" s="19" t="str">
        <f t="shared" si="25"/>
        <v>B-BCP - Soles</v>
      </c>
      <c r="D336" s="3" t="s">
        <v>1101</v>
      </c>
      <c r="E336" s="14">
        <v>45686</v>
      </c>
      <c r="F336" s="5" t="s">
        <v>1082</v>
      </c>
      <c r="G336" s="5"/>
      <c r="H336" s="6" t="s">
        <v>536</v>
      </c>
      <c r="I336" s="6" t="s">
        <v>14</v>
      </c>
      <c r="J336" s="6" t="s">
        <v>1121</v>
      </c>
      <c r="K336" s="6">
        <v>1907</v>
      </c>
      <c r="L336" s="7" t="s">
        <v>1462</v>
      </c>
      <c r="M336" s="8">
        <v>6472528</v>
      </c>
      <c r="N336" s="8" t="str">
        <f t="shared" si="26"/>
        <v>PEN</v>
      </c>
      <c r="O336" s="13">
        <v>165.2</v>
      </c>
      <c r="P336" s="13"/>
      <c r="Q336" s="3">
        <f t="shared" si="27"/>
        <v>0</v>
      </c>
      <c r="R336" s="3">
        <f t="shared" si="28"/>
        <v>0</v>
      </c>
      <c r="S336" s="3">
        <f t="shared" si="29"/>
        <v>6251.0699999999979</v>
      </c>
      <c r="T336" s="24"/>
      <c r="U336" s="24"/>
      <c r="V336" s="67"/>
      <c r="W336" s="25">
        <f>IFERROR(VLOOKUP(BCP_Soles[[#This Row],[DESTINATARIO]],CHOOSE({1,2},Clientes_Proveedores[Razon Social],Clientes_Proveedores[Ruc / Dni]),2,0),"")</f>
        <v>20609764261</v>
      </c>
      <c r="X336" s="25"/>
      <c r="Y336" s="25"/>
      <c r="Z336" s="25"/>
      <c r="AA336" s="99"/>
      <c r="AB336" s="3" t="str">
        <f>IF(BCP_Soles[[#This Row],[FECHA]]&gt;0,TEXT(BCP_Soles[[#This Row],[FECHA]],"mmmm"),0)</f>
        <v>Enero</v>
      </c>
    </row>
    <row r="337" spans="2:28" ht="36" x14ac:dyDescent="0.3">
      <c r="B337" s="2" t="str">
        <f>IF(BCP_Soles[[#This Row],[TIPO DE R.]]="R",COUNTIFS($D$4:$D336,"R")+1,"")</f>
        <v/>
      </c>
      <c r="C337" s="19" t="str">
        <f t="shared" si="25"/>
        <v>B-BCP - Soles</v>
      </c>
      <c r="D337" s="3" t="s">
        <v>1101</v>
      </c>
      <c r="E337" s="14">
        <v>45686</v>
      </c>
      <c r="F337" s="5" t="s">
        <v>1082</v>
      </c>
      <c r="G337" s="5"/>
      <c r="H337" s="6" t="s">
        <v>97</v>
      </c>
      <c r="I337" s="6" t="s">
        <v>14</v>
      </c>
      <c r="J337" s="6" t="s">
        <v>1121</v>
      </c>
      <c r="K337" s="6">
        <v>376</v>
      </c>
      <c r="L337" s="7" t="s">
        <v>1462</v>
      </c>
      <c r="M337" s="8">
        <v>6472528</v>
      </c>
      <c r="N337" s="8" t="str">
        <f t="shared" si="26"/>
        <v>PEN</v>
      </c>
      <c r="O337" s="13">
        <v>290</v>
      </c>
      <c r="P337" s="13"/>
      <c r="Q337" s="3">
        <f t="shared" si="27"/>
        <v>0</v>
      </c>
      <c r="R337" s="3">
        <f t="shared" si="28"/>
        <v>0</v>
      </c>
      <c r="S337" s="3">
        <f t="shared" si="29"/>
        <v>6251.0699999999979</v>
      </c>
      <c r="T337" s="24"/>
      <c r="U337" s="24"/>
      <c r="V337" s="67"/>
      <c r="W337" s="25">
        <f>IFERROR(VLOOKUP(BCP_Soles[[#This Row],[DESTINATARIO]],CHOOSE({1,2},Clientes_Proveedores[Razon Social],Clientes_Proveedores[Ruc / Dni]),2,0),"")</f>
        <v>10405211179</v>
      </c>
      <c r="X337" s="25"/>
      <c r="Y337" s="25"/>
      <c r="Z337" s="25"/>
      <c r="AA337" s="99"/>
      <c r="AB337" s="3" t="str">
        <f>IF(BCP_Soles[[#This Row],[FECHA]]&gt;0,TEXT(BCP_Soles[[#This Row],[FECHA]],"mmmm"),0)</f>
        <v>Enero</v>
      </c>
    </row>
    <row r="338" spans="2:28" x14ac:dyDescent="0.3">
      <c r="B338" s="2" t="str">
        <f>IF(BCP_Soles[[#This Row],[TIPO DE R.]]="R",COUNTIFS($D$4:$D337,"R")+1,"")</f>
        <v/>
      </c>
      <c r="C338" s="19" t="str">
        <f t="shared" si="25"/>
        <v>B-BCP - Soles</v>
      </c>
      <c r="D338" s="3" t="s">
        <v>1101</v>
      </c>
      <c r="E338" s="14">
        <v>45686</v>
      </c>
      <c r="F338" s="5" t="s">
        <v>1082</v>
      </c>
      <c r="G338" s="5"/>
      <c r="H338" s="6" t="s">
        <v>465</v>
      </c>
      <c r="I338" s="6" t="s">
        <v>14</v>
      </c>
      <c r="J338" s="6" t="s">
        <v>1121</v>
      </c>
      <c r="K338" s="6">
        <v>3553</v>
      </c>
      <c r="L338" s="7" t="s">
        <v>1462</v>
      </c>
      <c r="M338" s="8">
        <v>6472528</v>
      </c>
      <c r="N338" s="8" t="str">
        <f t="shared" si="26"/>
        <v>PEN</v>
      </c>
      <c r="O338" s="13">
        <v>250.75</v>
      </c>
      <c r="P338" s="13"/>
      <c r="Q338" s="3">
        <f t="shared" si="27"/>
        <v>0</v>
      </c>
      <c r="R338" s="3">
        <f t="shared" si="28"/>
        <v>0</v>
      </c>
      <c r="S338" s="3">
        <f t="shared" si="29"/>
        <v>6251.0699999999979</v>
      </c>
      <c r="T338" s="24"/>
      <c r="U338" s="24"/>
      <c r="V338" s="67"/>
      <c r="W338" s="25">
        <f>IFERROR(VLOOKUP(BCP_Soles[[#This Row],[DESTINATARIO]],CHOOSE({1,2},Clientes_Proveedores[Razon Social],Clientes_Proveedores[Ruc / Dni]),2,0),"")</f>
        <v>20603974817</v>
      </c>
      <c r="X338" s="25"/>
      <c r="Y338" s="25"/>
      <c r="Z338" s="25"/>
      <c r="AA338" s="99"/>
      <c r="AB338" s="3" t="str">
        <f>IF(BCP_Soles[[#This Row],[FECHA]]&gt;0,TEXT(BCP_Soles[[#This Row],[FECHA]],"mmmm"),0)</f>
        <v>Enero</v>
      </c>
    </row>
    <row r="339" spans="2:28" ht="24" x14ac:dyDescent="0.3">
      <c r="B339" s="2" t="str">
        <f>IF(BCP_Soles[[#This Row],[TIPO DE R.]]="R",COUNTIFS($D$4:$D338,"R")+1,"")</f>
        <v/>
      </c>
      <c r="C339" s="19" t="str">
        <f t="shared" si="25"/>
        <v>B-BCP - Soles</v>
      </c>
      <c r="D339" s="3" t="s">
        <v>1101</v>
      </c>
      <c r="E339" s="14">
        <v>45686</v>
      </c>
      <c r="F339" s="5" t="s">
        <v>1082</v>
      </c>
      <c r="G339" s="5"/>
      <c r="H339" s="6" t="s">
        <v>536</v>
      </c>
      <c r="I339" s="6" t="s">
        <v>14</v>
      </c>
      <c r="J339" s="6" t="s">
        <v>1121</v>
      </c>
      <c r="K339" s="6">
        <v>1827</v>
      </c>
      <c r="L339" s="7" t="s">
        <v>1462</v>
      </c>
      <c r="M339" s="8">
        <v>6472528</v>
      </c>
      <c r="N339" s="8" t="str">
        <f t="shared" si="26"/>
        <v>PEN</v>
      </c>
      <c r="O339" s="13">
        <v>118</v>
      </c>
      <c r="P339" s="13"/>
      <c r="Q339" s="3">
        <f t="shared" si="27"/>
        <v>0</v>
      </c>
      <c r="R339" s="3">
        <f t="shared" si="28"/>
        <v>0</v>
      </c>
      <c r="S339" s="3">
        <f t="shared" si="29"/>
        <v>6251.0699999999979</v>
      </c>
      <c r="T339" s="24"/>
      <c r="U339" s="24"/>
      <c r="V339" s="67"/>
      <c r="W339" s="25">
        <f>IFERROR(VLOOKUP(BCP_Soles[[#This Row],[DESTINATARIO]],CHOOSE({1,2},Clientes_Proveedores[Razon Social],Clientes_Proveedores[Ruc / Dni]),2,0),"")</f>
        <v>20609764261</v>
      </c>
      <c r="X339" s="25"/>
      <c r="Y339" s="25"/>
      <c r="Z339" s="25"/>
      <c r="AA339" s="99"/>
      <c r="AB339" s="3" t="str">
        <f>IF(BCP_Soles[[#This Row],[FECHA]]&gt;0,TEXT(BCP_Soles[[#This Row],[FECHA]],"mmmm"),0)</f>
        <v>Enero</v>
      </c>
    </row>
    <row r="340" spans="2:28" ht="24" x14ac:dyDescent="0.3">
      <c r="B340" s="2" t="str">
        <f>IF(BCP_Soles[[#This Row],[TIPO DE R.]]="R",COUNTIFS($D$4:$D339,"R")+1,"")</f>
        <v/>
      </c>
      <c r="C340" s="19" t="str">
        <f t="shared" si="25"/>
        <v>B-BCP - Soles</v>
      </c>
      <c r="D340" s="3" t="s">
        <v>1101</v>
      </c>
      <c r="E340" s="14">
        <v>45686</v>
      </c>
      <c r="F340" s="5" t="s">
        <v>1082</v>
      </c>
      <c r="G340" s="5"/>
      <c r="H340" s="6" t="s">
        <v>130</v>
      </c>
      <c r="I340" s="6" t="s">
        <v>14</v>
      </c>
      <c r="J340" s="6" t="s">
        <v>1121</v>
      </c>
      <c r="K340" s="6">
        <v>172</v>
      </c>
      <c r="L340" s="7" t="s">
        <v>1462</v>
      </c>
      <c r="M340" s="8">
        <v>6472528</v>
      </c>
      <c r="N340" s="8" t="str">
        <f t="shared" si="26"/>
        <v>PEN</v>
      </c>
      <c r="O340" s="13">
        <v>90</v>
      </c>
      <c r="P340" s="13"/>
      <c r="Q340" s="3">
        <f t="shared" si="27"/>
        <v>0</v>
      </c>
      <c r="R340" s="3">
        <f t="shared" si="28"/>
        <v>0</v>
      </c>
      <c r="S340" s="3">
        <f t="shared" si="29"/>
        <v>6251.0699999999979</v>
      </c>
      <c r="T340" s="24"/>
      <c r="U340" s="24"/>
      <c r="V340" s="67"/>
      <c r="W340" s="25">
        <f>IFERROR(VLOOKUP(BCP_Soles[[#This Row],[DESTINATARIO]],CHOOSE({1,2},Clientes_Proveedores[Razon Social],Clientes_Proveedores[Ruc / Dni]),2,0),"")</f>
        <v>10706063426</v>
      </c>
      <c r="X340" s="25"/>
      <c r="Y340" s="25"/>
      <c r="Z340" s="25"/>
      <c r="AA340" s="99"/>
      <c r="AB340" s="3" t="str">
        <f>IF(BCP_Soles[[#This Row],[FECHA]]&gt;0,TEXT(BCP_Soles[[#This Row],[FECHA]],"mmmm"),0)</f>
        <v>Enero</v>
      </c>
    </row>
    <row r="341" spans="2:28" ht="24" x14ac:dyDescent="0.3">
      <c r="B341" s="2" t="str">
        <f>IF(BCP_Soles[[#This Row],[TIPO DE R.]]="R",COUNTIFS($D$4:$D340,"R")+1,"")</f>
        <v/>
      </c>
      <c r="C341" s="19" t="str">
        <f t="shared" si="25"/>
        <v>B-BCP - Soles</v>
      </c>
      <c r="D341" s="3" t="s">
        <v>1101</v>
      </c>
      <c r="E341" s="14">
        <v>45686</v>
      </c>
      <c r="F341" s="5" t="s">
        <v>1082</v>
      </c>
      <c r="G341" s="5"/>
      <c r="H341" s="6" t="s">
        <v>407</v>
      </c>
      <c r="I341" s="6" t="s">
        <v>14</v>
      </c>
      <c r="J341" s="6" t="s">
        <v>1121</v>
      </c>
      <c r="K341" s="6">
        <v>753</v>
      </c>
      <c r="L341" s="7" t="s">
        <v>1462</v>
      </c>
      <c r="M341" s="8">
        <v>6472528</v>
      </c>
      <c r="N341" s="8" t="str">
        <f t="shared" si="26"/>
        <v>PEN</v>
      </c>
      <c r="O341" s="13">
        <v>2707</v>
      </c>
      <c r="P341" s="13"/>
      <c r="Q341" s="3">
        <f t="shared" si="27"/>
        <v>0</v>
      </c>
      <c r="R341" s="3">
        <f t="shared" si="28"/>
        <v>0</v>
      </c>
      <c r="S341" s="3">
        <f t="shared" si="29"/>
        <v>6251.0699999999979</v>
      </c>
      <c r="T341" s="24"/>
      <c r="U341" s="24"/>
      <c r="V341" s="67"/>
      <c r="W341" s="25">
        <f>IFERROR(VLOOKUP(BCP_Soles[[#This Row],[DESTINATARIO]],CHOOSE({1,2},Clientes_Proveedores[Razon Social],Clientes_Proveedores[Ruc / Dni]),2,0),"")</f>
        <v>20601279666</v>
      </c>
      <c r="X341" s="25"/>
      <c r="Y341" s="25"/>
      <c r="Z341" s="25"/>
      <c r="AA341" s="99"/>
      <c r="AB341" s="3" t="str">
        <f>IF(BCP_Soles[[#This Row],[FECHA]]&gt;0,TEXT(BCP_Soles[[#This Row],[FECHA]],"mmmm"),0)</f>
        <v>Enero</v>
      </c>
    </row>
    <row r="342" spans="2:28" x14ac:dyDescent="0.3">
      <c r="B342" s="2" t="str">
        <f>IF(BCP_Soles[[#This Row],[TIPO DE R.]]="R",COUNTIFS($D$4:$D341,"R")+1,"")</f>
        <v/>
      </c>
      <c r="C342" s="19" t="str">
        <f t="shared" si="25"/>
        <v>B-BCP - Soles</v>
      </c>
      <c r="D342" s="3" t="s">
        <v>1101</v>
      </c>
      <c r="E342" s="14">
        <v>45686</v>
      </c>
      <c r="F342" s="5" t="s">
        <v>1082</v>
      </c>
      <c r="G342" s="5"/>
      <c r="H342" s="6" t="s">
        <v>465</v>
      </c>
      <c r="I342" s="6" t="s">
        <v>14</v>
      </c>
      <c r="J342" s="6" t="s">
        <v>1121</v>
      </c>
      <c r="K342" s="6">
        <v>3661</v>
      </c>
      <c r="L342" s="7" t="s">
        <v>1462</v>
      </c>
      <c r="M342" s="8">
        <v>6472528</v>
      </c>
      <c r="N342" s="8" t="str">
        <f t="shared" si="26"/>
        <v>PEN</v>
      </c>
      <c r="O342" s="13">
        <v>150.44999999999999</v>
      </c>
      <c r="P342" s="13"/>
      <c r="Q342" s="3">
        <f t="shared" si="27"/>
        <v>0</v>
      </c>
      <c r="R342" s="3">
        <f t="shared" si="28"/>
        <v>0</v>
      </c>
      <c r="S342" s="3">
        <f t="shared" si="29"/>
        <v>6251.0699999999979</v>
      </c>
      <c r="T342" s="24"/>
      <c r="U342" s="24"/>
      <c r="V342" s="67"/>
      <c r="W342" s="25">
        <f>IFERROR(VLOOKUP(BCP_Soles[[#This Row],[DESTINATARIO]],CHOOSE({1,2},Clientes_Proveedores[Razon Social],Clientes_Proveedores[Ruc / Dni]),2,0),"")</f>
        <v>20603974817</v>
      </c>
      <c r="X342" s="25"/>
      <c r="Y342" s="25"/>
      <c r="Z342" s="25"/>
      <c r="AA342" s="99"/>
      <c r="AB342" s="3" t="str">
        <f>IF(BCP_Soles[[#This Row],[FECHA]]&gt;0,TEXT(BCP_Soles[[#This Row],[FECHA]],"mmmm"),0)</f>
        <v>Enero</v>
      </c>
    </row>
    <row r="343" spans="2:28" x14ac:dyDescent="0.3">
      <c r="B343" s="2">
        <f>IF(BCP_Soles[[#This Row],[TIPO DE R.]]="R",COUNTIFS($D$4:$D342,"R")+1,"")</f>
        <v>230</v>
      </c>
      <c r="C343" s="19" t="str">
        <f t="shared" si="25"/>
        <v>B-BCP - Soles</v>
      </c>
      <c r="D343" s="3" t="s">
        <v>1074</v>
      </c>
      <c r="E343" s="14">
        <v>45686</v>
      </c>
      <c r="F343" s="5" t="s">
        <v>1082</v>
      </c>
      <c r="G343" s="5" t="s">
        <v>1079</v>
      </c>
      <c r="H343" s="6"/>
      <c r="I343" s="6"/>
      <c r="J343" s="6"/>
      <c r="K343" s="6"/>
      <c r="L343" s="7" t="s">
        <v>1463</v>
      </c>
      <c r="M343" s="8">
        <v>6466894</v>
      </c>
      <c r="N343" s="8" t="str">
        <f t="shared" si="26"/>
        <v>PEN</v>
      </c>
      <c r="O343" s="13"/>
      <c r="P343" s="13">
        <v>2076</v>
      </c>
      <c r="Q343" s="3">
        <f t="shared" si="27"/>
        <v>0</v>
      </c>
      <c r="R343" s="3">
        <f t="shared" si="28"/>
        <v>2076</v>
      </c>
      <c r="S343" s="3">
        <f t="shared" si="29"/>
        <v>4175.0699999999979</v>
      </c>
      <c r="T343" s="24" t="s">
        <v>1081</v>
      </c>
      <c r="U343" s="24"/>
      <c r="V343" s="67"/>
      <c r="W343" s="25" t="str">
        <f>IFERROR(VLOOKUP(BCP_Soles[[#This Row],[DESTINATARIO]],CHOOSE({1,2},Clientes_Proveedores[Razon Social],Clientes_Proveedores[Ruc / Dni]),2,0),"")</f>
        <v/>
      </c>
      <c r="X343" s="25" t="s">
        <v>1118</v>
      </c>
      <c r="Y343" s="25"/>
      <c r="Z343" s="25"/>
      <c r="AA343" s="99"/>
      <c r="AB343" s="3" t="str">
        <f>IF(BCP_Soles[[#This Row],[FECHA]]&gt;0,TEXT(BCP_Soles[[#This Row],[FECHA]],"mmmm"),0)</f>
        <v>Enero</v>
      </c>
    </row>
    <row r="344" spans="2:28" x14ac:dyDescent="0.3">
      <c r="B344" s="2" t="str">
        <f>IF(BCP_Soles[[#This Row],[TIPO DE R.]]="R",COUNTIFS($D$4:$D343,"R")+1,"")</f>
        <v/>
      </c>
      <c r="C344" s="19" t="str">
        <f t="shared" si="25"/>
        <v>B-BCP - Soles</v>
      </c>
      <c r="D344" s="3" t="s">
        <v>1101</v>
      </c>
      <c r="E344" s="14"/>
      <c r="F344" s="5"/>
      <c r="G344" s="5"/>
      <c r="H344" s="6" t="s">
        <v>340</v>
      </c>
      <c r="I344" s="6" t="s">
        <v>14</v>
      </c>
      <c r="J344" s="6" t="s">
        <v>1121</v>
      </c>
      <c r="K344" s="6">
        <v>331</v>
      </c>
      <c r="L344" s="7" t="s">
        <v>1463</v>
      </c>
      <c r="M344" s="8">
        <v>6466894</v>
      </c>
      <c r="N344" s="8" t="str">
        <f t="shared" si="26"/>
        <v>PEN</v>
      </c>
      <c r="O344" s="13">
        <v>1038</v>
      </c>
      <c r="P344" s="13"/>
      <c r="Q344" s="3">
        <f t="shared" si="27"/>
        <v>0</v>
      </c>
      <c r="R344" s="3">
        <f t="shared" si="28"/>
        <v>0</v>
      </c>
      <c r="S344" s="3">
        <f t="shared" si="29"/>
        <v>4175.0699999999979</v>
      </c>
      <c r="T344" s="24"/>
      <c r="U344" s="24"/>
      <c r="V344" s="67"/>
      <c r="W344" s="25">
        <f>IFERROR(VLOOKUP(BCP_Soles[[#This Row],[DESTINATARIO]],CHOOSE({1,2},Clientes_Proveedores[Razon Social],Clientes_Proveedores[Ruc / Dni]),2,0),"")</f>
        <v>20545577870</v>
      </c>
      <c r="X344" s="25"/>
      <c r="Y344" s="25"/>
      <c r="Z344" s="25"/>
      <c r="AA344" s="99"/>
      <c r="AB344" s="3">
        <f>IF(BCP_Soles[[#This Row],[FECHA]]&gt;0,TEXT(BCP_Soles[[#This Row],[FECHA]],"mmmm"),0)</f>
        <v>0</v>
      </c>
    </row>
    <row r="345" spans="2:28" x14ac:dyDescent="0.3">
      <c r="B345" s="2" t="str">
        <f>IF(BCP_Soles[[#This Row],[TIPO DE R.]]="R",COUNTIFS($D$4:$D344,"R")+1,"")</f>
        <v/>
      </c>
      <c r="C345" s="19" t="str">
        <f t="shared" si="25"/>
        <v>B-BCP - Soles</v>
      </c>
      <c r="D345" s="3" t="s">
        <v>1101</v>
      </c>
      <c r="E345" s="14"/>
      <c r="F345" s="5"/>
      <c r="G345" s="5"/>
      <c r="H345" s="6" t="s">
        <v>340</v>
      </c>
      <c r="I345" s="6" t="s">
        <v>14</v>
      </c>
      <c r="J345" s="6" t="s">
        <v>1121</v>
      </c>
      <c r="K345" s="6">
        <v>326</v>
      </c>
      <c r="L345" s="7" t="s">
        <v>1463</v>
      </c>
      <c r="M345" s="8">
        <v>6466894</v>
      </c>
      <c r="N345" s="8" t="str">
        <f t="shared" si="26"/>
        <v>PEN</v>
      </c>
      <c r="O345" s="13">
        <v>1038</v>
      </c>
      <c r="P345" s="13"/>
      <c r="Q345" s="3">
        <f t="shared" si="27"/>
        <v>0</v>
      </c>
      <c r="R345" s="3">
        <f t="shared" si="28"/>
        <v>0</v>
      </c>
      <c r="S345" s="3">
        <f t="shared" si="29"/>
        <v>4175.0699999999979</v>
      </c>
      <c r="T345" s="24"/>
      <c r="U345" s="24"/>
      <c r="V345" s="67"/>
      <c r="W345" s="25">
        <f>IFERROR(VLOOKUP(BCP_Soles[[#This Row],[DESTINATARIO]],CHOOSE({1,2},Clientes_Proveedores[Razon Social],Clientes_Proveedores[Ruc / Dni]),2,0),"")</f>
        <v>20545577870</v>
      </c>
      <c r="X345" s="25"/>
      <c r="Y345" s="25"/>
      <c r="Z345" s="25"/>
      <c r="AA345" s="99"/>
      <c r="AB345" s="3">
        <f>IF(BCP_Soles[[#This Row],[FECHA]]&gt;0,TEXT(BCP_Soles[[#This Row],[FECHA]],"mmmm"),0)</f>
        <v>0</v>
      </c>
    </row>
    <row r="346" spans="2:28" x14ac:dyDescent="0.3">
      <c r="B346" s="2">
        <f>IF(BCP_Soles[[#This Row],[TIPO DE R.]]="R",COUNTIFS($D$4:$D345,"R")+1,"")</f>
        <v>231</v>
      </c>
      <c r="C346" s="19" t="str">
        <f t="shared" si="25"/>
        <v>B-BCP - Soles</v>
      </c>
      <c r="D346" s="3" t="s">
        <v>1074</v>
      </c>
      <c r="E346" s="14">
        <v>45686</v>
      </c>
      <c r="F346" s="5" t="s">
        <v>1163</v>
      </c>
      <c r="G346" s="5" t="s">
        <v>1079</v>
      </c>
      <c r="H346" s="6" t="s">
        <v>869</v>
      </c>
      <c r="I346" s="6" t="s">
        <v>87</v>
      </c>
      <c r="J346" s="6">
        <v>1</v>
      </c>
      <c r="K346" s="6">
        <v>42025</v>
      </c>
      <c r="L346" s="7" t="s">
        <v>1464</v>
      </c>
      <c r="M346" s="8">
        <v>3550365</v>
      </c>
      <c r="N346" s="8" t="str">
        <f t="shared" si="26"/>
        <v>PEN</v>
      </c>
      <c r="O346" s="13"/>
      <c r="P346" s="13">
        <v>790</v>
      </c>
      <c r="Q346" s="3">
        <f t="shared" si="27"/>
        <v>0</v>
      </c>
      <c r="R346" s="3">
        <f t="shared" si="28"/>
        <v>790</v>
      </c>
      <c r="S346" s="3">
        <f t="shared" si="29"/>
        <v>3385.0699999999979</v>
      </c>
      <c r="T346" s="24" t="s">
        <v>1081</v>
      </c>
      <c r="U346" s="24" t="s">
        <v>1081</v>
      </c>
      <c r="V346" s="67"/>
      <c r="W346" s="25">
        <f>IFERROR(VLOOKUP(BCP_Soles[[#This Row],[DESTINATARIO]],CHOOSE({1,2},Clientes_Proveedores[Razon Social],Clientes_Proveedores[Ruc / Dni]),2,0),"")</f>
        <v>46126507</v>
      </c>
      <c r="X346" s="25"/>
      <c r="Y346" s="25"/>
      <c r="Z346" s="25"/>
      <c r="AA346" s="99"/>
      <c r="AB346" s="3" t="str">
        <f>IF(BCP_Soles[[#This Row],[FECHA]]&gt;0,TEXT(BCP_Soles[[#This Row],[FECHA]],"mmmm"),0)</f>
        <v>Enero</v>
      </c>
    </row>
    <row r="347" spans="2:28" ht="24" x14ac:dyDescent="0.3">
      <c r="B347" s="2">
        <f>IF(BCP_Soles[[#This Row],[TIPO DE R.]]="R",COUNTIFS($D$4:$D346,"R")+1,"")</f>
        <v>232</v>
      </c>
      <c r="C347" s="19" t="str">
        <f t="shared" si="25"/>
        <v>B-BCP - Soles</v>
      </c>
      <c r="D347" s="3" t="s">
        <v>1074</v>
      </c>
      <c r="E347" s="14">
        <v>45686</v>
      </c>
      <c r="F347" s="5" t="s">
        <v>1082</v>
      </c>
      <c r="G347" s="5" t="s">
        <v>1079</v>
      </c>
      <c r="H347" s="6"/>
      <c r="I347" s="6"/>
      <c r="J347" s="6"/>
      <c r="K347" s="6"/>
      <c r="L347" s="7" t="s">
        <v>1465</v>
      </c>
      <c r="M347" s="8">
        <v>1218294</v>
      </c>
      <c r="N347" s="8" t="str">
        <f t="shared" si="26"/>
        <v>PEN</v>
      </c>
      <c r="O347" s="13"/>
      <c r="P347" s="13">
        <v>349</v>
      </c>
      <c r="Q347" s="3">
        <f t="shared" si="27"/>
        <v>0</v>
      </c>
      <c r="R347" s="3">
        <f t="shared" si="28"/>
        <v>349</v>
      </c>
      <c r="S347" s="3">
        <f t="shared" si="29"/>
        <v>3036.0699999999979</v>
      </c>
      <c r="T347" s="24" t="s">
        <v>1081</v>
      </c>
      <c r="U347" s="24" t="s">
        <v>1081</v>
      </c>
      <c r="V347" s="67"/>
      <c r="W347" s="25" t="str">
        <f>IFERROR(VLOOKUP(BCP_Soles[[#This Row],[DESTINATARIO]],CHOOSE({1,2},Clientes_Proveedores[Razon Social],Clientes_Proveedores[Ruc / Dni]),2,0),"")</f>
        <v/>
      </c>
      <c r="X347" s="25" t="s">
        <v>823</v>
      </c>
      <c r="Y347" s="25" t="s">
        <v>1466</v>
      </c>
      <c r="Z347" s="25"/>
      <c r="AA347" s="99"/>
      <c r="AB347" s="3" t="str">
        <f>IF(BCP_Soles[[#This Row],[FECHA]]&gt;0,TEXT(BCP_Soles[[#This Row],[FECHA]],"mmmm"),0)</f>
        <v>Enero</v>
      </c>
    </row>
    <row r="348" spans="2:28" ht="24" x14ac:dyDescent="0.3">
      <c r="B348" s="2">
        <f>IF(BCP_Soles[[#This Row],[TIPO DE R.]]="R",COUNTIFS($D$4:$D347,"R")+1,"")</f>
        <v>233</v>
      </c>
      <c r="C348" s="19" t="str">
        <f t="shared" si="25"/>
        <v>B-BCP - Soles</v>
      </c>
      <c r="D348" s="3" t="s">
        <v>1074</v>
      </c>
      <c r="E348" s="14">
        <v>45686</v>
      </c>
      <c r="F348" s="5" t="s">
        <v>1078</v>
      </c>
      <c r="G348" s="5" t="s">
        <v>1079</v>
      </c>
      <c r="H348" s="6" t="s">
        <v>1001</v>
      </c>
      <c r="I348" s="6"/>
      <c r="J348" s="6"/>
      <c r="K348" s="6"/>
      <c r="L348" s="7" t="s">
        <v>1467</v>
      </c>
      <c r="M348" s="8">
        <v>6466897</v>
      </c>
      <c r="N348" s="8" t="str">
        <f t="shared" si="26"/>
        <v>PEN</v>
      </c>
      <c r="O348" s="13"/>
      <c r="P348" s="13">
        <v>35</v>
      </c>
      <c r="Q348" s="3">
        <f t="shared" si="27"/>
        <v>0</v>
      </c>
      <c r="R348" s="3">
        <f t="shared" si="28"/>
        <v>35</v>
      </c>
      <c r="S348" s="3">
        <f t="shared" si="29"/>
        <v>3001.0699999999979</v>
      </c>
      <c r="T348" s="24"/>
      <c r="U348" s="24"/>
      <c r="V348" s="67"/>
      <c r="W348" s="25">
        <f>IFERROR(VLOOKUP(BCP_Soles[[#This Row],[DESTINATARIO]],CHOOSE({1,2},Clientes_Proveedores[Razon Social],Clientes_Proveedores[Ruc / Dni]),2,0),"")</f>
        <v>20100047218</v>
      </c>
      <c r="X348" s="25" t="s">
        <v>1078</v>
      </c>
      <c r="Y348" s="25"/>
      <c r="Z348" s="25"/>
      <c r="AA348" s="99"/>
      <c r="AB348" s="3" t="str">
        <f>IF(BCP_Soles[[#This Row],[FECHA]]&gt;0,TEXT(BCP_Soles[[#This Row],[FECHA]],"mmmm"),0)</f>
        <v>Enero</v>
      </c>
    </row>
    <row r="349" spans="2:28" ht="48" x14ac:dyDescent="0.3">
      <c r="B349" s="2">
        <f>IF(BCP_Soles[[#This Row],[TIPO DE R.]]="R",COUNTIFS($D$4:$D348,"R")+1,"")</f>
        <v>234</v>
      </c>
      <c r="C349" s="19" t="str">
        <f t="shared" si="25"/>
        <v>B-BCP - Soles</v>
      </c>
      <c r="D349" s="3" t="s">
        <v>1074</v>
      </c>
      <c r="E349" s="14">
        <v>45687</v>
      </c>
      <c r="F349" s="5" t="s">
        <v>147</v>
      </c>
      <c r="G349" s="5" t="s">
        <v>1087</v>
      </c>
      <c r="H349" s="6"/>
      <c r="I349" s="6"/>
      <c r="J349" s="6"/>
      <c r="K349" s="6"/>
      <c r="L349" s="7" t="s">
        <v>1095</v>
      </c>
      <c r="M349" s="8">
        <v>6887196</v>
      </c>
      <c r="N349" s="8" t="str">
        <f t="shared" si="26"/>
        <v>PEN</v>
      </c>
      <c r="O349" s="13"/>
      <c r="P349" s="13">
        <v>23616.41</v>
      </c>
      <c r="Q349" s="3">
        <f t="shared" si="27"/>
        <v>23616.41</v>
      </c>
      <c r="R349" s="3">
        <f t="shared" si="28"/>
        <v>0</v>
      </c>
      <c r="S349" s="3">
        <f t="shared" si="29"/>
        <v>26617.479999999996</v>
      </c>
      <c r="T349" s="24" t="s">
        <v>1081</v>
      </c>
      <c r="U349" s="24"/>
      <c r="V349" s="67"/>
      <c r="W349" s="25" t="str">
        <f>IFERROR(VLOOKUP(BCP_Soles[[#This Row],[DESTINATARIO]],CHOOSE({1,2},Clientes_Proveedores[Razon Social],Clientes_Proveedores[Ruc / Dni]),2,0),"")</f>
        <v/>
      </c>
      <c r="X349" s="25" t="s">
        <v>1090</v>
      </c>
      <c r="Y349" s="25" t="s">
        <v>1468</v>
      </c>
      <c r="Z349" s="25"/>
      <c r="AA349" s="99"/>
      <c r="AB349" s="3" t="str">
        <f>IF(BCP_Soles[[#This Row],[FECHA]]&gt;0,TEXT(BCP_Soles[[#This Row],[FECHA]],"mmmm"),0)</f>
        <v>Enero</v>
      </c>
    </row>
    <row r="350" spans="2:28" ht="36" x14ac:dyDescent="0.3">
      <c r="B350" s="2">
        <f>IF(BCP_Soles[[#This Row],[TIPO DE R.]]="R",COUNTIFS($D$4:$D349,"R")+1,"")</f>
        <v>235</v>
      </c>
      <c r="C350" s="19" t="str">
        <f t="shared" si="25"/>
        <v>B-BCP - Soles</v>
      </c>
      <c r="D350" s="3" t="s">
        <v>1074</v>
      </c>
      <c r="E350" s="14">
        <v>45687</v>
      </c>
      <c r="F350" s="5" t="s">
        <v>318</v>
      </c>
      <c r="G350" s="5" t="s">
        <v>1087</v>
      </c>
      <c r="H350" s="6"/>
      <c r="I350" s="6"/>
      <c r="J350" s="6"/>
      <c r="K350" s="6"/>
      <c r="L350" s="7" t="s">
        <v>1469</v>
      </c>
      <c r="M350" s="8">
        <v>2058189</v>
      </c>
      <c r="N350" s="8" t="str">
        <f t="shared" si="26"/>
        <v>PEN</v>
      </c>
      <c r="O350" s="13"/>
      <c r="P350" s="13">
        <v>3540.8</v>
      </c>
      <c r="Q350" s="3">
        <f t="shared" si="27"/>
        <v>3540.8</v>
      </c>
      <c r="R350" s="3">
        <f t="shared" si="28"/>
        <v>0</v>
      </c>
      <c r="S350" s="3">
        <f t="shared" si="29"/>
        <v>30158.279999999995</v>
      </c>
      <c r="T350" s="24" t="s">
        <v>1081</v>
      </c>
      <c r="U350" s="24" t="s">
        <v>1081</v>
      </c>
      <c r="V350" s="67"/>
      <c r="W350" s="25" t="str">
        <f>IFERROR(VLOOKUP(BCP_Soles[[#This Row],[DESTINATARIO]],CHOOSE({1,2},Clientes_Proveedores[Razon Social],Clientes_Proveedores[Ruc / Dni]),2,0),"")</f>
        <v/>
      </c>
      <c r="X350" s="25" t="s">
        <v>1090</v>
      </c>
      <c r="Y350" s="25" t="s">
        <v>1470</v>
      </c>
      <c r="Z350" s="25"/>
      <c r="AA350" s="99"/>
      <c r="AB350" s="3" t="str">
        <f>IF(BCP_Soles[[#This Row],[FECHA]]&gt;0,TEXT(BCP_Soles[[#This Row],[FECHA]],"mmmm"),0)</f>
        <v>Enero</v>
      </c>
    </row>
    <row r="351" spans="2:28" ht="24" x14ac:dyDescent="0.3">
      <c r="B351" s="2">
        <f>IF(BCP_Soles[[#This Row],[TIPO DE R.]]="R",COUNTIFS($D$4:$D350,"R")+1,"")</f>
        <v>236</v>
      </c>
      <c r="C351" s="19" t="str">
        <f t="shared" si="25"/>
        <v>B-BCP - Soles</v>
      </c>
      <c r="D351" s="3" t="s">
        <v>1074</v>
      </c>
      <c r="E351" s="14">
        <v>45687</v>
      </c>
      <c r="F351" s="5" t="s">
        <v>1082</v>
      </c>
      <c r="G351" s="5" t="s">
        <v>1079</v>
      </c>
      <c r="H351" s="6" t="s">
        <v>184</v>
      </c>
      <c r="I351" s="6" t="s">
        <v>14</v>
      </c>
      <c r="J351" s="6" t="s">
        <v>1083</v>
      </c>
      <c r="K351" s="6">
        <v>7085</v>
      </c>
      <c r="L351" s="7" t="s">
        <v>1471</v>
      </c>
      <c r="M351" s="8">
        <v>1122357</v>
      </c>
      <c r="N351" s="8" t="str">
        <f t="shared" si="26"/>
        <v>PEN</v>
      </c>
      <c r="O351" s="13"/>
      <c r="P351" s="13">
        <v>289</v>
      </c>
      <c r="Q351" s="3">
        <f t="shared" si="27"/>
        <v>0</v>
      </c>
      <c r="R351" s="3">
        <f t="shared" si="28"/>
        <v>289</v>
      </c>
      <c r="S351" s="3">
        <f t="shared" si="29"/>
        <v>29869.279999999995</v>
      </c>
      <c r="T351" s="24" t="s">
        <v>1081</v>
      </c>
      <c r="U351" s="24" t="s">
        <v>1081</v>
      </c>
      <c r="V351" s="67"/>
      <c r="W351" s="25">
        <f>IFERROR(VLOOKUP(BCP_Soles[[#This Row],[DESTINATARIO]],CHOOSE({1,2},Clientes_Proveedores[Razon Social],Clientes_Proveedores[Ruc / Dni]),2,0),"")</f>
        <v>20170040938</v>
      </c>
      <c r="X351" s="25" t="s">
        <v>1085</v>
      </c>
      <c r="Y351" s="25" t="s">
        <v>1472</v>
      </c>
      <c r="Z351" s="25"/>
      <c r="AA351" s="99"/>
      <c r="AB351" s="3" t="str">
        <f>IF(BCP_Soles[[#This Row],[FECHA]]&gt;0,TEXT(BCP_Soles[[#This Row],[FECHA]],"mmmm"),0)</f>
        <v>Enero</v>
      </c>
    </row>
    <row r="352" spans="2:28" x14ac:dyDescent="0.3">
      <c r="B352" s="2">
        <f>IF(BCP_Soles[[#This Row],[TIPO DE R.]]="R",COUNTIFS($D$4:$D351,"R")+1,"")</f>
        <v>237</v>
      </c>
      <c r="C352" s="19" t="str">
        <f t="shared" si="25"/>
        <v>B-BCP - Soles</v>
      </c>
      <c r="D352" s="3" t="s">
        <v>1074</v>
      </c>
      <c r="E352" s="14">
        <v>45687</v>
      </c>
      <c r="F352" s="5" t="s">
        <v>1082</v>
      </c>
      <c r="G352" s="5" t="s">
        <v>1079</v>
      </c>
      <c r="H352" s="6" t="s">
        <v>517</v>
      </c>
      <c r="I352" s="6"/>
      <c r="J352" s="6"/>
      <c r="K352" s="6"/>
      <c r="L352" s="7" t="s">
        <v>1473</v>
      </c>
      <c r="M352" s="8">
        <v>4063047</v>
      </c>
      <c r="N352" s="8" t="str">
        <f t="shared" si="26"/>
        <v>PEN</v>
      </c>
      <c r="O352" s="13"/>
      <c r="P352" s="13">
        <v>690.5</v>
      </c>
      <c r="Q352" s="3">
        <f t="shared" si="27"/>
        <v>0</v>
      </c>
      <c r="R352" s="3">
        <f t="shared" si="28"/>
        <v>690.5</v>
      </c>
      <c r="S352" s="3">
        <f t="shared" si="29"/>
        <v>29178.779999999995</v>
      </c>
      <c r="T352" s="24" t="s">
        <v>1081</v>
      </c>
      <c r="U352" s="24"/>
      <c r="V352" s="67"/>
      <c r="W352" s="25">
        <f>IFERROR(VLOOKUP(BCP_Soles[[#This Row],[DESTINATARIO]],CHOOSE({1,2},Clientes_Proveedores[Razon Social],Clientes_Proveedores[Ruc / Dni]),2,0),"")</f>
        <v>20608970909</v>
      </c>
      <c r="X352" s="25" t="s">
        <v>517</v>
      </c>
      <c r="Y352" s="25" t="s">
        <v>1461</v>
      </c>
      <c r="Z352" s="25"/>
      <c r="AA352" s="99"/>
      <c r="AB352" s="3" t="str">
        <f>IF(BCP_Soles[[#This Row],[FECHA]]&gt;0,TEXT(BCP_Soles[[#This Row],[FECHA]],"mmmm"),0)</f>
        <v>Enero</v>
      </c>
    </row>
    <row r="353" spans="2:28" x14ac:dyDescent="0.3">
      <c r="B353" s="2" t="str">
        <f>IF(BCP_Soles[[#This Row],[TIPO DE R.]]="R",COUNTIFS($D$4:$D352,"R")+1,"")</f>
        <v/>
      </c>
      <c r="C353" s="19" t="str">
        <f t="shared" si="25"/>
        <v>B-BCP - Soles</v>
      </c>
      <c r="D353" s="3" t="s">
        <v>1101</v>
      </c>
      <c r="E353" s="14">
        <v>45687</v>
      </c>
      <c r="F353" s="5" t="s">
        <v>1082</v>
      </c>
      <c r="G353" s="5"/>
      <c r="H353" s="6" t="s">
        <v>517</v>
      </c>
      <c r="I353" s="6" t="s">
        <v>14</v>
      </c>
      <c r="J353" s="6" t="s">
        <v>1121</v>
      </c>
      <c r="K353" s="6">
        <v>1011</v>
      </c>
      <c r="L353" s="7" t="s">
        <v>1473</v>
      </c>
      <c r="M353" s="8">
        <v>4063047</v>
      </c>
      <c r="N353" s="8" t="str">
        <f t="shared" si="26"/>
        <v>PEN</v>
      </c>
      <c r="O353" s="13">
        <v>680</v>
      </c>
      <c r="P353" s="13"/>
      <c r="Q353" s="3">
        <f t="shared" si="27"/>
        <v>0</v>
      </c>
      <c r="R353" s="3">
        <f t="shared" si="28"/>
        <v>0</v>
      </c>
      <c r="S353" s="3">
        <f t="shared" si="29"/>
        <v>29178.779999999995</v>
      </c>
      <c r="T353" s="24" t="s">
        <v>1081</v>
      </c>
      <c r="U353" s="24"/>
      <c r="V353" s="67"/>
      <c r="W353" s="25">
        <f>IFERROR(VLOOKUP(BCP_Soles[[#This Row],[DESTINATARIO]],CHOOSE({1,2},Clientes_Proveedores[Razon Social],Clientes_Proveedores[Ruc / Dni]),2,0),"")</f>
        <v>20608970909</v>
      </c>
      <c r="X353" s="25"/>
      <c r="Y353" s="25"/>
      <c r="Z353" s="25"/>
      <c r="AA353" s="99"/>
      <c r="AB353" s="3" t="str">
        <f>IF(BCP_Soles[[#This Row],[FECHA]]&gt;0,TEXT(BCP_Soles[[#This Row],[FECHA]],"mmmm"),0)</f>
        <v>Enero</v>
      </c>
    </row>
    <row r="354" spans="2:28" ht="24" x14ac:dyDescent="0.3">
      <c r="B354" s="2" t="str">
        <f>IF(BCP_Soles[[#This Row],[TIPO DE R.]]="R",COUNTIFS($D$4:$D353,"R")+1,"")</f>
        <v/>
      </c>
      <c r="C354" s="19" t="str">
        <f t="shared" si="25"/>
        <v>B-BCP - Soles</v>
      </c>
      <c r="D354" s="3" t="s">
        <v>1101</v>
      </c>
      <c r="E354" s="14">
        <v>45687</v>
      </c>
      <c r="F354" s="5" t="s">
        <v>1082</v>
      </c>
      <c r="G354" s="5"/>
      <c r="H354" s="6" t="s">
        <v>1001</v>
      </c>
      <c r="I354" s="6" t="s">
        <v>14</v>
      </c>
      <c r="J354" s="6" t="s">
        <v>3128</v>
      </c>
      <c r="K354" s="6">
        <v>29045261</v>
      </c>
      <c r="L354" s="7" t="s">
        <v>1473</v>
      </c>
      <c r="M354" s="8">
        <v>4063047</v>
      </c>
      <c r="N354" s="8" t="str">
        <f t="shared" si="26"/>
        <v>PEN</v>
      </c>
      <c r="O354" s="13">
        <v>10.5</v>
      </c>
      <c r="P354" s="13"/>
      <c r="Q354" s="3">
        <f t="shared" si="27"/>
        <v>0</v>
      </c>
      <c r="R354" s="3">
        <f t="shared" si="28"/>
        <v>0</v>
      </c>
      <c r="S354" s="3">
        <f t="shared" si="29"/>
        <v>29178.779999999995</v>
      </c>
      <c r="T354" s="24" t="s">
        <v>1081</v>
      </c>
      <c r="U354" s="24"/>
      <c r="V354" s="67"/>
      <c r="W354" s="25">
        <f>IFERROR(VLOOKUP(BCP_Soles[[#This Row],[DESTINATARIO]],CHOOSE({1,2},Clientes_Proveedores[Razon Social],Clientes_Proveedores[Ruc / Dni]),2,0),"")</f>
        <v>20100047218</v>
      </c>
      <c r="X354" s="25"/>
      <c r="Y354" s="25"/>
      <c r="Z354" s="25"/>
      <c r="AA354" s="99"/>
      <c r="AB354" s="3" t="str">
        <f>IF(BCP_Soles[[#This Row],[FECHA]]&gt;0,TEXT(BCP_Soles[[#This Row],[FECHA]],"mmmm"),0)</f>
        <v>Enero</v>
      </c>
    </row>
    <row r="355" spans="2:28" ht="36" x14ac:dyDescent="0.3">
      <c r="B355" s="2">
        <f>IF(BCP_Soles[[#This Row],[TIPO DE R.]]="R",COUNTIFS($D$4:$D354,"R")+1,"")</f>
        <v>238</v>
      </c>
      <c r="C355" s="19" t="str">
        <f t="shared" si="25"/>
        <v>B-BCP - Soles</v>
      </c>
      <c r="D355" s="3" t="s">
        <v>1074</v>
      </c>
      <c r="E355" s="14">
        <v>45687</v>
      </c>
      <c r="F355" s="5" t="s">
        <v>459</v>
      </c>
      <c r="G355" s="5" t="s">
        <v>1087</v>
      </c>
      <c r="H355" s="6"/>
      <c r="I355" s="6"/>
      <c r="J355" s="6"/>
      <c r="K355" s="6"/>
      <c r="L355" s="7" t="s">
        <v>1474</v>
      </c>
      <c r="M355" s="8">
        <v>2260699</v>
      </c>
      <c r="N355" s="8" t="str">
        <f t="shared" si="26"/>
        <v>PEN</v>
      </c>
      <c r="O355" s="13"/>
      <c r="P355" s="13">
        <v>4232.5</v>
      </c>
      <c r="Q355" s="3">
        <f t="shared" si="27"/>
        <v>4232.5</v>
      </c>
      <c r="R355" s="3">
        <f t="shared" si="28"/>
        <v>0</v>
      </c>
      <c r="S355" s="3">
        <f t="shared" si="29"/>
        <v>33411.279999999999</v>
      </c>
      <c r="T355" s="24" t="s">
        <v>1081</v>
      </c>
      <c r="U355" s="24" t="s">
        <v>1081</v>
      </c>
      <c r="V355" s="67"/>
      <c r="W355" s="25" t="str">
        <f>IFERROR(VLOOKUP(BCP_Soles[[#This Row],[DESTINATARIO]],CHOOSE({1,2},Clientes_Proveedores[Razon Social],Clientes_Proveedores[Ruc / Dni]),2,0),"")</f>
        <v/>
      </c>
      <c r="X355" s="25" t="s">
        <v>1090</v>
      </c>
      <c r="Y355" s="25" t="s">
        <v>1475</v>
      </c>
      <c r="Z355" s="25"/>
      <c r="AA355" s="99"/>
      <c r="AB355" s="3" t="str">
        <f>IF(BCP_Soles[[#This Row],[FECHA]]&gt;0,TEXT(BCP_Soles[[#This Row],[FECHA]],"mmmm"),0)</f>
        <v>Enero</v>
      </c>
    </row>
    <row r="356" spans="2:28" ht="36" x14ac:dyDescent="0.3">
      <c r="B356" s="2">
        <f>IF(BCP_Soles[[#This Row],[TIPO DE R.]]="R",COUNTIFS($D$4:$D355,"R")+1,"")</f>
        <v>239</v>
      </c>
      <c r="C356" s="19" t="str">
        <f t="shared" si="25"/>
        <v>B-BCP - Soles</v>
      </c>
      <c r="D356" s="3" t="s">
        <v>1074</v>
      </c>
      <c r="E356" s="14">
        <v>45687</v>
      </c>
      <c r="F356" s="5" t="s">
        <v>497</v>
      </c>
      <c r="G356" s="5" t="s">
        <v>1087</v>
      </c>
      <c r="H356" s="6"/>
      <c r="I356" s="6"/>
      <c r="J356" s="6"/>
      <c r="K356" s="6"/>
      <c r="L356" s="7" t="s">
        <v>1093</v>
      </c>
      <c r="M356" s="8">
        <v>2214293</v>
      </c>
      <c r="N356" s="8" t="str">
        <f t="shared" si="26"/>
        <v>PEN</v>
      </c>
      <c r="O356" s="13"/>
      <c r="P356" s="13">
        <v>3448.11</v>
      </c>
      <c r="Q356" s="3">
        <f t="shared" si="27"/>
        <v>3448.11</v>
      </c>
      <c r="R356" s="3">
        <f t="shared" si="28"/>
        <v>0</v>
      </c>
      <c r="S356" s="3">
        <f t="shared" si="29"/>
        <v>36859.39</v>
      </c>
      <c r="T356" s="24" t="s">
        <v>1081</v>
      </c>
      <c r="U356" s="24" t="s">
        <v>1081</v>
      </c>
      <c r="V356" s="67"/>
      <c r="W356" s="25" t="str">
        <f>IFERROR(VLOOKUP(BCP_Soles[[#This Row],[DESTINATARIO]],CHOOSE({1,2},Clientes_Proveedores[Razon Social],Clientes_Proveedores[Ruc / Dni]),2,0),"")</f>
        <v/>
      </c>
      <c r="X356" s="25" t="s">
        <v>1090</v>
      </c>
      <c r="Y356" s="25" t="s">
        <v>1476</v>
      </c>
      <c r="Z356" s="25"/>
      <c r="AA356" s="99"/>
      <c r="AB356" s="3" t="str">
        <f>IF(BCP_Soles[[#This Row],[FECHA]]&gt;0,TEXT(BCP_Soles[[#This Row],[FECHA]],"mmmm"),0)</f>
        <v>Enero</v>
      </c>
    </row>
    <row r="357" spans="2:28" x14ac:dyDescent="0.3">
      <c r="B357" s="2">
        <f>IF(BCP_Soles[[#This Row],[TIPO DE R.]]="R",COUNTIFS($D$4:$D356,"R")+1,"")</f>
        <v>240</v>
      </c>
      <c r="C357" s="19" t="str">
        <f t="shared" si="25"/>
        <v>B-BCP - Soles</v>
      </c>
      <c r="D357" s="3" t="s">
        <v>1074</v>
      </c>
      <c r="E357" s="14">
        <v>45687</v>
      </c>
      <c r="F357" s="5"/>
      <c r="G357" s="5" t="s">
        <v>1087</v>
      </c>
      <c r="H357" s="6"/>
      <c r="I357" s="6"/>
      <c r="J357" s="6"/>
      <c r="K357" s="6"/>
      <c r="L357" s="7" t="s">
        <v>1100</v>
      </c>
      <c r="M357" s="8">
        <v>3976760</v>
      </c>
      <c r="N357" s="8" t="str">
        <f t="shared" si="26"/>
        <v>PEN</v>
      </c>
      <c r="O357" s="13"/>
      <c r="P357" s="13">
        <v>340</v>
      </c>
      <c r="Q357" s="3">
        <f t="shared" si="27"/>
        <v>340</v>
      </c>
      <c r="R357" s="3">
        <f t="shared" si="28"/>
        <v>0</v>
      </c>
      <c r="S357" s="3">
        <f t="shared" si="29"/>
        <v>37199.39</v>
      </c>
      <c r="T357" s="24" t="s">
        <v>1081</v>
      </c>
      <c r="U357" s="24" t="s">
        <v>1081</v>
      </c>
      <c r="V357" s="67"/>
      <c r="W357" s="25" t="str">
        <f>IFERROR(VLOOKUP(BCP_Soles[[#This Row],[DESTINATARIO]],CHOOSE({1,2},Clientes_Proveedores[Razon Social],Clientes_Proveedores[Ruc / Dni]),2,0),"")</f>
        <v/>
      </c>
      <c r="X357" s="25" t="s">
        <v>1090</v>
      </c>
      <c r="Y357" s="25"/>
      <c r="Z357" s="25"/>
      <c r="AA357" s="99"/>
      <c r="AB357" s="3" t="str">
        <f>IF(BCP_Soles[[#This Row],[FECHA]]&gt;0,TEXT(BCP_Soles[[#This Row],[FECHA]],"mmmm"),0)</f>
        <v>Enero</v>
      </c>
    </row>
    <row r="358" spans="2:28" x14ac:dyDescent="0.3">
      <c r="B358" s="2" t="str">
        <f>IF(BCP_Soles[[#This Row],[TIPO DE R.]]="R",COUNTIFS($D$4:$D357,"R")+1,"")</f>
        <v/>
      </c>
      <c r="C358" s="19" t="str">
        <f t="shared" si="25"/>
        <v>B-BCP - Soles</v>
      </c>
      <c r="D358" s="3" t="s">
        <v>1101</v>
      </c>
      <c r="E358" s="14">
        <v>45687</v>
      </c>
      <c r="F358" s="5" t="s">
        <v>1477</v>
      </c>
      <c r="G358" s="5"/>
      <c r="H358" s="6"/>
      <c r="I358" s="6"/>
      <c r="J358" s="6"/>
      <c r="K358" s="6"/>
      <c r="L358" s="7" t="s">
        <v>1100</v>
      </c>
      <c r="M358" s="8">
        <v>3976760</v>
      </c>
      <c r="N358" s="8" t="str">
        <f t="shared" si="26"/>
        <v>PEN</v>
      </c>
      <c r="O358" s="13"/>
      <c r="P358" s="13">
        <v>74.900000000000006</v>
      </c>
      <c r="Q358" s="3">
        <f t="shared" si="27"/>
        <v>0</v>
      </c>
      <c r="R358" s="3">
        <f t="shared" si="28"/>
        <v>0</v>
      </c>
      <c r="S358" s="3">
        <f t="shared" si="29"/>
        <v>37199.39</v>
      </c>
      <c r="T358" s="24" t="s">
        <v>1081</v>
      </c>
      <c r="U358" s="24" t="s">
        <v>1081</v>
      </c>
      <c r="V358" s="67"/>
      <c r="W358" s="25" t="str">
        <f>IFERROR(VLOOKUP(BCP_Soles[[#This Row],[DESTINATARIO]],CHOOSE({1,2},Clientes_Proveedores[Razon Social],Clientes_Proveedores[Ruc / Dni]),2,0),"")</f>
        <v/>
      </c>
      <c r="X358" s="25" t="s">
        <v>1090</v>
      </c>
      <c r="Y358" s="25" t="s">
        <v>1478</v>
      </c>
      <c r="Z358" s="25"/>
      <c r="AA358" s="99"/>
      <c r="AB358" s="3" t="str">
        <f>IF(BCP_Soles[[#This Row],[FECHA]]&gt;0,TEXT(BCP_Soles[[#This Row],[FECHA]],"mmmm"),0)</f>
        <v>Enero</v>
      </c>
    </row>
    <row r="359" spans="2:28" x14ac:dyDescent="0.3">
      <c r="B359" s="2" t="str">
        <f>IF(BCP_Soles[[#This Row],[TIPO DE R.]]="R",COUNTIFS($D$4:$D358,"R")+1,"")</f>
        <v/>
      </c>
      <c r="C359" s="19" t="str">
        <f t="shared" si="25"/>
        <v>B-BCP - Soles</v>
      </c>
      <c r="D359" s="3" t="s">
        <v>1101</v>
      </c>
      <c r="E359" s="14">
        <v>45687</v>
      </c>
      <c r="F359" s="5" t="s">
        <v>1477</v>
      </c>
      <c r="G359" s="5"/>
      <c r="H359" s="6"/>
      <c r="I359" s="6"/>
      <c r="J359" s="6"/>
      <c r="K359" s="6"/>
      <c r="L359" s="7" t="s">
        <v>1100</v>
      </c>
      <c r="M359" s="8">
        <v>3976760</v>
      </c>
      <c r="N359" s="8" t="str">
        <f t="shared" si="26"/>
        <v>PEN</v>
      </c>
      <c r="O359" s="13"/>
      <c r="P359" s="13">
        <v>265.10000000000002</v>
      </c>
      <c r="Q359" s="3">
        <f t="shared" si="27"/>
        <v>0</v>
      </c>
      <c r="R359" s="3">
        <f t="shared" si="28"/>
        <v>0</v>
      </c>
      <c r="S359" s="3">
        <f t="shared" si="29"/>
        <v>37199.39</v>
      </c>
      <c r="T359" s="24" t="s">
        <v>1081</v>
      </c>
      <c r="U359" s="24" t="s">
        <v>1081</v>
      </c>
      <c r="V359" s="67"/>
      <c r="W359" s="25" t="str">
        <f>IFERROR(VLOOKUP(BCP_Soles[[#This Row],[DESTINATARIO]],CHOOSE({1,2},Clientes_Proveedores[Razon Social],Clientes_Proveedores[Ruc / Dni]),2,0),"")</f>
        <v/>
      </c>
      <c r="X359" s="25" t="s">
        <v>1090</v>
      </c>
      <c r="Y359" s="25" t="s">
        <v>1479</v>
      </c>
      <c r="Z359" s="25"/>
      <c r="AA359" s="99"/>
      <c r="AB359" s="3" t="str">
        <f>IF(BCP_Soles[[#This Row],[FECHA]]&gt;0,TEXT(BCP_Soles[[#This Row],[FECHA]],"mmmm"),0)</f>
        <v>Enero</v>
      </c>
    </row>
    <row r="360" spans="2:28" x14ac:dyDescent="0.3">
      <c r="B360" s="2">
        <f>IF(BCP_Soles[[#This Row],[TIPO DE R.]]="R",COUNTIFS($D$4:$D359,"R")+1,"")</f>
        <v>241</v>
      </c>
      <c r="C360" s="19" t="str">
        <f t="shared" si="25"/>
        <v>B-BCP - Soles</v>
      </c>
      <c r="D360" s="3" t="s">
        <v>1074</v>
      </c>
      <c r="E360" s="14">
        <v>45687</v>
      </c>
      <c r="F360" s="5" t="s">
        <v>1078</v>
      </c>
      <c r="G360" s="5" t="s">
        <v>1079</v>
      </c>
      <c r="H360" s="6"/>
      <c r="I360" s="6"/>
      <c r="J360" s="6"/>
      <c r="K360" s="6"/>
      <c r="L360" s="7" t="s">
        <v>1080</v>
      </c>
      <c r="M360" s="8"/>
      <c r="N360" s="8" t="str">
        <f t="shared" si="26"/>
        <v>PEN</v>
      </c>
      <c r="O360" s="13"/>
      <c r="P360" s="13">
        <v>1.65</v>
      </c>
      <c r="Q360" s="3">
        <f t="shared" si="27"/>
        <v>0</v>
      </c>
      <c r="R360" s="3">
        <f t="shared" si="28"/>
        <v>1.65</v>
      </c>
      <c r="S360" s="3">
        <f t="shared" si="29"/>
        <v>37197.74</v>
      </c>
      <c r="T360" s="24"/>
      <c r="U360" s="24" t="s">
        <v>1081</v>
      </c>
      <c r="V360" s="67"/>
      <c r="W360" s="25" t="str">
        <f>IFERROR(VLOOKUP(BCP_Soles[[#This Row],[DESTINATARIO]],CHOOSE({1,2},Clientes_Proveedores[Razon Social],Clientes_Proveedores[Ruc / Dni]),2,0),"")</f>
        <v/>
      </c>
      <c r="X360" s="25"/>
      <c r="Y360" s="25"/>
      <c r="Z360" s="25"/>
      <c r="AA360" s="99"/>
      <c r="AB360" s="3" t="str">
        <f>IF(BCP_Soles[[#This Row],[FECHA]]&gt;0,TEXT(BCP_Soles[[#This Row],[FECHA]],"mmmm"),0)</f>
        <v>Enero</v>
      </c>
    </row>
    <row r="361" spans="2:28" ht="36" x14ac:dyDescent="0.3">
      <c r="B361" s="2">
        <f>IF(BCP_Soles[[#This Row],[TIPO DE R.]]="R",COUNTIFS($D$4:$D360,"R")+1,"")</f>
        <v>242</v>
      </c>
      <c r="C361" s="19" t="str">
        <f t="shared" si="25"/>
        <v>B-BCP - Soles</v>
      </c>
      <c r="D361" s="3" t="s">
        <v>1074</v>
      </c>
      <c r="E361" s="14">
        <v>45687</v>
      </c>
      <c r="F361" s="5" t="s">
        <v>1082</v>
      </c>
      <c r="G361" s="5" t="s">
        <v>1079</v>
      </c>
      <c r="H361" s="6" t="s">
        <v>490</v>
      </c>
      <c r="I361" s="6" t="s">
        <v>14</v>
      </c>
      <c r="J361" s="6" t="s">
        <v>1119</v>
      </c>
      <c r="K361" s="6">
        <v>1717</v>
      </c>
      <c r="L361" s="7" t="s">
        <v>1480</v>
      </c>
      <c r="M361" s="8">
        <v>1267376</v>
      </c>
      <c r="N361" s="8" t="str">
        <f t="shared" si="26"/>
        <v>PEN</v>
      </c>
      <c r="O361" s="13"/>
      <c r="P361" s="13">
        <v>33</v>
      </c>
      <c r="Q361" s="3">
        <f t="shared" si="27"/>
        <v>0</v>
      </c>
      <c r="R361" s="3">
        <f t="shared" si="28"/>
        <v>33</v>
      </c>
      <c r="S361" s="3">
        <f t="shared" si="29"/>
        <v>37164.74</v>
      </c>
      <c r="T361" s="24" t="s">
        <v>1081</v>
      </c>
      <c r="U361" s="24"/>
      <c r="V361" s="67"/>
      <c r="W361" s="25">
        <f>IFERROR(VLOOKUP(BCP_Soles[[#This Row],[DESTINATARIO]],CHOOSE({1,2},Clientes_Proveedores[Razon Social],Clientes_Proveedores[Ruc / Dni]),2,0),"")</f>
        <v>20606541580</v>
      </c>
      <c r="X361" s="25" t="s">
        <v>1481</v>
      </c>
      <c r="Y361" s="25" t="s">
        <v>1482</v>
      </c>
      <c r="Z361" s="25"/>
      <c r="AA361" s="99"/>
      <c r="AB361" s="3" t="str">
        <f>IF(BCP_Soles[[#This Row],[FECHA]]&gt;0,TEXT(BCP_Soles[[#This Row],[FECHA]],"mmmm"),0)</f>
        <v>Enero</v>
      </c>
    </row>
    <row r="362" spans="2:28" x14ac:dyDescent="0.3">
      <c r="B362" s="2">
        <f>IF(BCP_Soles[[#This Row],[TIPO DE R.]]="R",COUNTIFS($D$4:$D361,"R")+1,"")</f>
        <v>243</v>
      </c>
      <c r="C362" s="19" t="str">
        <f t="shared" si="25"/>
        <v>B-BCP - Soles</v>
      </c>
      <c r="D362" s="3" t="s">
        <v>1074</v>
      </c>
      <c r="E362" s="14">
        <v>45688</v>
      </c>
      <c r="F362" s="5" t="s">
        <v>334</v>
      </c>
      <c r="G362" s="5" t="s">
        <v>1087</v>
      </c>
      <c r="H362" s="6"/>
      <c r="I362" s="6"/>
      <c r="J362" s="6"/>
      <c r="K362" s="6"/>
      <c r="L362" s="7" t="s">
        <v>1483</v>
      </c>
      <c r="M362" s="8">
        <v>810061</v>
      </c>
      <c r="N362" s="8" t="str">
        <f t="shared" si="26"/>
        <v>PEN</v>
      </c>
      <c r="O362" s="13"/>
      <c r="P362" s="13">
        <v>7524.6</v>
      </c>
      <c r="Q362" s="3">
        <f t="shared" si="27"/>
        <v>7524.6</v>
      </c>
      <c r="R362" s="3">
        <f t="shared" si="28"/>
        <v>0</v>
      </c>
      <c r="S362" s="3">
        <f t="shared" si="29"/>
        <v>44689.34</v>
      </c>
      <c r="T362" s="24" t="s">
        <v>1081</v>
      </c>
      <c r="U362" s="24" t="s">
        <v>1081</v>
      </c>
      <c r="V362" s="67"/>
      <c r="W362" s="25" t="str">
        <f>IFERROR(VLOOKUP(BCP_Soles[[#This Row],[DESTINATARIO]],CHOOSE({1,2},Clientes_Proveedores[Razon Social],Clientes_Proveedores[Ruc / Dni]),2,0),"")</f>
        <v/>
      </c>
      <c r="X362" s="25" t="s">
        <v>1090</v>
      </c>
      <c r="Y362" s="25" t="s">
        <v>1484</v>
      </c>
      <c r="Z362" s="25"/>
      <c r="AA362" s="99"/>
      <c r="AB362" s="3" t="str">
        <f>IF(BCP_Soles[[#This Row],[FECHA]]&gt;0,TEXT(BCP_Soles[[#This Row],[FECHA]],"mmmm"),0)</f>
        <v>Enero</v>
      </c>
    </row>
    <row r="363" spans="2:28" ht="24" x14ac:dyDescent="0.3">
      <c r="B363" s="2">
        <f>IF(BCP_Soles[[#This Row],[TIPO DE R.]]="R",COUNTIFS($D$4:$D362,"R")+1,"")</f>
        <v>244</v>
      </c>
      <c r="C363" s="19" t="str">
        <f t="shared" si="25"/>
        <v>B-BCP - Soles</v>
      </c>
      <c r="D363" s="3" t="s">
        <v>1074</v>
      </c>
      <c r="E363" s="14">
        <v>45688</v>
      </c>
      <c r="F363" s="5" t="s">
        <v>229</v>
      </c>
      <c r="G363" s="5" t="s">
        <v>1087</v>
      </c>
      <c r="H363" s="6"/>
      <c r="I363" s="6"/>
      <c r="J363" s="6"/>
      <c r="K363" s="6"/>
      <c r="L363" s="7" t="s">
        <v>1127</v>
      </c>
      <c r="M363" s="8">
        <v>5588</v>
      </c>
      <c r="N363" s="8" t="str">
        <f t="shared" si="26"/>
        <v>PEN</v>
      </c>
      <c r="O363" s="13"/>
      <c r="P363" s="13">
        <v>3817.09</v>
      </c>
      <c r="Q363" s="3">
        <f t="shared" si="27"/>
        <v>3817.09</v>
      </c>
      <c r="R363" s="3">
        <f t="shared" si="28"/>
        <v>0</v>
      </c>
      <c r="S363" s="3">
        <f t="shared" si="29"/>
        <v>48506.429999999993</v>
      </c>
      <c r="T363" s="24" t="s">
        <v>1081</v>
      </c>
      <c r="U363" s="24"/>
      <c r="V363" s="67"/>
      <c r="W363" s="25" t="str">
        <f>IFERROR(VLOOKUP(BCP_Soles[[#This Row],[DESTINATARIO]],CHOOSE({1,2},Clientes_Proveedores[Razon Social],Clientes_Proveedores[Ruc / Dni]),2,0),"")</f>
        <v/>
      </c>
      <c r="X363" s="25" t="s">
        <v>1090</v>
      </c>
      <c r="Y363" s="25" t="s">
        <v>1485</v>
      </c>
      <c r="Z363" s="25"/>
      <c r="AA363" s="99"/>
      <c r="AB363" s="3" t="str">
        <f>IF(BCP_Soles[[#This Row],[FECHA]]&gt;0,TEXT(BCP_Soles[[#This Row],[FECHA]],"mmmm"),0)</f>
        <v>Enero</v>
      </c>
    </row>
    <row r="364" spans="2:28" ht="24" x14ac:dyDescent="0.3">
      <c r="B364" s="2">
        <f>IF(BCP_Soles[[#This Row],[TIPO DE R.]]="R",COUNTIFS($D$4:$D363,"R")+1,"")</f>
        <v>245</v>
      </c>
      <c r="C364" s="19" t="str">
        <f t="shared" si="25"/>
        <v>B-BCP - Soles</v>
      </c>
      <c r="D364" s="3" t="s">
        <v>1074</v>
      </c>
      <c r="E364" s="14">
        <v>45688</v>
      </c>
      <c r="F364" s="5" t="s">
        <v>1407</v>
      </c>
      <c r="G364" s="5" t="s">
        <v>1087</v>
      </c>
      <c r="H364" s="6"/>
      <c r="I364" s="6"/>
      <c r="J364" s="6"/>
      <c r="K364" s="6"/>
      <c r="L364" s="7" t="s">
        <v>1100</v>
      </c>
      <c r="M364" s="8">
        <v>3666463</v>
      </c>
      <c r="N364" s="8" t="str">
        <f t="shared" si="26"/>
        <v>PEN</v>
      </c>
      <c r="O364" s="13"/>
      <c r="P364" s="13">
        <v>2000</v>
      </c>
      <c r="Q364" s="3">
        <f t="shared" si="27"/>
        <v>2000</v>
      </c>
      <c r="R364" s="3">
        <f t="shared" si="28"/>
        <v>0</v>
      </c>
      <c r="S364" s="3">
        <f t="shared" si="29"/>
        <v>50506.429999999993</v>
      </c>
      <c r="T364" s="24" t="s">
        <v>1081</v>
      </c>
      <c r="U364" s="24" t="s">
        <v>1081</v>
      </c>
      <c r="V364" s="67"/>
      <c r="W364" s="25" t="str">
        <f>IFERROR(VLOOKUP(BCP_Soles[[#This Row],[DESTINATARIO]],CHOOSE({1,2},Clientes_Proveedores[Razon Social],Clientes_Proveedores[Ruc / Dni]),2,0),"")</f>
        <v/>
      </c>
      <c r="X364" s="25" t="s">
        <v>1090</v>
      </c>
      <c r="Y364" s="25" t="s">
        <v>1486</v>
      </c>
      <c r="Z364" s="25"/>
      <c r="AA364" s="99"/>
      <c r="AB364" s="3" t="str">
        <f>IF(BCP_Soles[[#This Row],[FECHA]]&gt;0,TEXT(BCP_Soles[[#This Row],[FECHA]],"mmmm"),0)</f>
        <v>Enero</v>
      </c>
    </row>
    <row r="365" spans="2:28" ht="24" x14ac:dyDescent="0.3">
      <c r="B365" s="2">
        <f>IF(BCP_Soles[[#This Row],[TIPO DE R.]]="R",COUNTIFS($D$4:$D364,"R")+1,"")</f>
        <v>246</v>
      </c>
      <c r="C365" s="19" t="str">
        <f t="shared" si="25"/>
        <v>B-BCP - Soles</v>
      </c>
      <c r="D365" s="3" t="s">
        <v>1074</v>
      </c>
      <c r="E365" s="14">
        <v>45688</v>
      </c>
      <c r="F365" s="5" t="s">
        <v>1435</v>
      </c>
      <c r="G365" s="5" t="s">
        <v>1087</v>
      </c>
      <c r="H365" s="6"/>
      <c r="I365" s="6"/>
      <c r="J365" s="6"/>
      <c r="K365" s="6"/>
      <c r="L365" s="7" t="s">
        <v>1100</v>
      </c>
      <c r="M365" s="8">
        <v>2037778</v>
      </c>
      <c r="N365" s="8" t="str">
        <f t="shared" si="26"/>
        <v>PEN</v>
      </c>
      <c r="O365" s="13"/>
      <c r="P365" s="13">
        <v>1500</v>
      </c>
      <c r="Q365" s="3">
        <f t="shared" si="27"/>
        <v>1500</v>
      </c>
      <c r="R365" s="3">
        <f t="shared" si="28"/>
        <v>0</v>
      </c>
      <c r="S365" s="3">
        <f t="shared" si="29"/>
        <v>52006.429999999993</v>
      </c>
      <c r="T365" s="24" t="s">
        <v>1081</v>
      </c>
      <c r="U365" s="24" t="s">
        <v>1081</v>
      </c>
      <c r="V365" s="67"/>
      <c r="W365" s="25" t="str">
        <f>IFERROR(VLOOKUP(BCP_Soles[[#This Row],[DESTINATARIO]],CHOOSE({1,2},Clientes_Proveedores[Razon Social],Clientes_Proveedores[Ruc / Dni]),2,0),"")</f>
        <v/>
      </c>
      <c r="X365" s="25" t="s">
        <v>1090</v>
      </c>
      <c r="Y365" s="25" t="s">
        <v>1487</v>
      </c>
      <c r="Z365" s="25"/>
      <c r="AA365" s="99"/>
      <c r="AB365" s="3" t="str">
        <f>IF(BCP_Soles[[#This Row],[FECHA]]&gt;0,TEXT(BCP_Soles[[#This Row],[FECHA]],"mmmm"),0)</f>
        <v>Enero</v>
      </c>
    </row>
    <row r="366" spans="2:28" ht="24" x14ac:dyDescent="0.3">
      <c r="B366" s="2">
        <f>IF(BCP_Soles[[#This Row],[TIPO DE R.]]="R",COUNTIFS($D$4:$D365,"R")+1,"")</f>
        <v>247</v>
      </c>
      <c r="C366" s="19" t="str">
        <f t="shared" si="25"/>
        <v>B-BCP - Soles</v>
      </c>
      <c r="D366" s="3" t="s">
        <v>1074</v>
      </c>
      <c r="E366" s="14">
        <v>45688</v>
      </c>
      <c r="F366" s="5" t="s">
        <v>1488</v>
      </c>
      <c r="G366" s="5" t="s">
        <v>1087</v>
      </c>
      <c r="H366" s="6"/>
      <c r="I366" s="6"/>
      <c r="J366" s="6"/>
      <c r="K366" s="6"/>
      <c r="L366" s="7" t="s">
        <v>1100</v>
      </c>
      <c r="M366" s="8">
        <v>2026756</v>
      </c>
      <c r="N366" s="8" t="str">
        <f t="shared" si="26"/>
        <v>PEN</v>
      </c>
      <c r="O366" s="13"/>
      <c r="P366" s="13">
        <v>1224.3</v>
      </c>
      <c r="Q366" s="3">
        <f t="shared" si="27"/>
        <v>1224.3</v>
      </c>
      <c r="R366" s="3">
        <f t="shared" si="28"/>
        <v>0</v>
      </c>
      <c r="S366" s="3">
        <f t="shared" si="29"/>
        <v>53230.729999999996</v>
      </c>
      <c r="T366" s="24" t="s">
        <v>1081</v>
      </c>
      <c r="U366" s="24" t="s">
        <v>1081</v>
      </c>
      <c r="V366" s="67"/>
      <c r="W366" s="25" t="str">
        <f>IFERROR(VLOOKUP(BCP_Soles[[#This Row],[DESTINATARIO]],CHOOSE({1,2},Clientes_Proveedores[Razon Social],Clientes_Proveedores[Ruc / Dni]),2,0),"")</f>
        <v/>
      </c>
      <c r="X366" s="25" t="s">
        <v>1090</v>
      </c>
      <c r="Y366" s="25" t="s">
        <v>1489</v>
      </c>
      <c r="Z366" s="25"/>
      <c r="AA366" s="99"/>
      <c r="AB366" s="3" t="str">
        <f>IF(BCP_Soles[[#This Row],[FECHA]]&gt;0,TEXT(BCP_Soles[[#This Row],[FECHA]],"mmmm"),0)</f>
        <v>Enero</v>
      </c>
    </row>
    <row r="367" spans="2:28" x14ac:dyDescent="0.3">
      <c r="B367" s="2">
        <f>IF(BCP_Soles[[#This Row],[TIPO DE R.]]="R",COUNTIFS($D$4:$D366,"R")+1,"")</f>
        <v>248</v>
      </c>
      <c r="C367" s="19" t="str">
        <f t="shared" si="25"/>
        <v>B-BCP - Soles</v>
      </c>
      <c r="D367" s="3" t="s">
        <v>1074</v>
      </c>
      <c r="E367" s="14">
        <v>45688</v>
      </c>
      <c r="F367" s="5" t="s">
        <v>1239</v>
      </c>
      <c r="G367" s="5" t="s">
        <v>1087</v>
      </c>
      <c r="H367" s="6"/>
      <c r="I367" s="6"/>
      <c r="J367" s="6"/>
      <c r="K367" s="6"/>
      <c r="L367" s="7" t="s">
        <v>1100</v>
      </c>
      <c r="M367" s="8">
        <v>236678</v>
      </c>
      <c r="N367" s="8" t="str">
        <f t="shared" si="26"/>
        <v>PEN</v>
      </c>
      <c r="O367" s="13"/>
      <c r="P367" s="13">
        <v>31.5</v>
      </c>
      <c r="Q367" s="3">
        <f t="shared" si="27"/>
        <v>31.5</v>
      </c>
      <c r="R367" s="3">
        <f t="shared" si="28"/>
        <v>0</v>
      </c>
      <c r="S367" s="3">
        <f t="shared" si="29"/>
        <v>53262.229999999996</v>
      </c>
      <c r="T367" s="24" t="s">
        <v>1081</v>
      </c>
      <c r="U367" s="24" t="s">
        <v>1081</v>
      </c>
      <c r="V367" s="67"/>
      <c r="W367" s="25" t="str">
        <f>IFERROR(VLOOKUP(BCP_Soles[[#This Row],[DESTINATARIO]],CHOOSE({1,2},Clientes_Proveedores[Razon Social],Clientes_Proveedores[Ruc / Dni]),2,0),"")</f>
        <v/>
      </c>
      <c r="X367" s="25" t="s">
        <v>1090</v>
      </c>
      <c r="Y367" s="25" t="s">
        <v>1490</v>
      </c>
      <c r="Z367" s="25"/>
      <c r="AA367" s="99"/>
      <c r="AB367" s="3" t="str">
        <f>IF(BCP_Soles[[#This Row],[FECHA]]&gt;0,TEXT(BCP_Soles[[#This Row],[FECHA]],"mmmm"),0)</f>
        <v>Enero</v>
      </c>
    </row>
    <row r="368" spans="2:28" x14ac:dyDescent="0.3">
      <c r="B368" s="2">
        <f>IF(BCP_Soles[[#This Row],[TIPO DE R.]]="R",COUNTIFS($D$4:$D367,"R")+1,"")</f>
        <v>249</v>
      </c>
      <c r="C368" s="19" t="str">
        <f t="shared" si="25"/>
        <v>B-BCP - Soles</v>
      </c>
      <c r="D368" s="3" t="s">
        <v>1074</v>
      </c>
      <c r="E368" s="14">
        <v>45688</v>
      </c>
      <c r="F368" s="5" t="s">
        <v>1251</v>
      </c>
      <c r="G368" s="5" t="s">
        <v>1079</v>
      </c>
      <c r="H368" s="6"/>
      <c r="I368" s="6"/>
      <c r="J368" s="6"/>
      <c r="K368" s="6"/>
      <c r="L368" s="7" t="s">
        <v>1491</v>
      </c>
      <c r="M368" s="8">
        <v>1007139</v>
      </c>
      <c r="N368" s="8" t="str">
        <f t="shared" si="26"/>
        <v>PEN</v>
      </c>
      <c r="O368" s="13"/>
      <c r="P368" s="13">
        <v>866</v>
      </c>
      <c r="Q368" s="3">
        <f t="shared" si="27"/>
        <v>0</v>
      </c>
      <c r="R368" s="3">
        <f t="shared" si="28"/>
        <v>866</v>
      </c>
      <c r="S368" s="3">
        <f t="shared" si="29"/>
        <v>52396.229999999996</v>
      </c>
      <c r="T368" s="24"/>
      <c r="U368" s="24"/>
      <c r="V368" s="67"/>
      <c r="W368" s="25" t="str">
        <f>IFERROR(VLOOKUP(BCP_Soles[[#This Row],[DESTINATARIO]],CHOOSE({1,2},Clientes_Proveedores[Razon Social],Clientes_Proveedores[Ruc / Dni]),2,0),"")</f>
        <v/>
      </c>
      <c r="X368" s="25" t="s">
        <v>1133</v>
      </c>
      <c r="Y368" s="25"/>
      <c r="Z368" s="25"/>
      <c r="AA368" s="99"/>
      <c r="AB368" s="3" t="str">
        <f>IF(BCP_Soles[[#This Row],[FECHA]]&gt;0,TEXT(BCP_Soles[[#This Row],[FECHA]],"mmmm"),0)</f>
        <v>Enero</v>
      </c>
    </row>
    <row r="369" spans="2:28" x14ac:dyDescent="0.3">
      <c r="B369" s="2">
        <f>IF(BCP_Soles[[#This Row],[TIPO DE R.]]="R",COUNTIFS($D$4:$D368,"R")+1,"")</f>
        <v>250</v>
      </c>
      <c r="C369" s="19" t="str">
        <f t="shared" si="25"/>
        <v>B-BCP - Soles</v>
      </c>
      <c r="D369" s="3" t="s">
        <v>1074</v>
      </c>
      <c r="E369" s="14">
        <v>45688</v>
      </c>
      <c r="F369" s="5" t="s">
        <v>1251</v>
      </c>
      <c r="G369" s="5" t="s">
        <v>1079</v>
      </c>
      <c r="H369" s="6"/>
      <c r="I369" s="6"/>
      <c r="J369" s="6"/>
      <c r="K369" s="6"/>
      <c r="L369" s="7" t="s">
        <v>1492</v>
      </c>
      <c r="M369" s="8">
        <v>1007156</v>
      </c>
      <c r="N369" s="8" t="str">
        <f t="shared" si="26"/>
        <v>PEN</v>
      </c>
      <c r="O369" s="13"/>
      <c r="P369" s="13">
        <v>1708</v>
      </c>
      <c r="Q369" s="3">
        <f t="shared" si="27"/>
        <v>0</v>
      </c>
      <c r="R369" s="3">
        <f t="shared" si="28"/>
        <v>1708</v>
      </c>
      <c r="S369" s="3">
        <f t="shared" si="29"/>
        <v>50688.229999999996</v>
      </c>
      <c r="T369" s="24"/>
      <c r="U369" s="24"/>
      <c r="V369" s="67"/>
      <c r="W369" s="25" t="str">
        <f>IFERROR(VLOOKUP(BCP_Soles[[#This Row],[DESTINATARIO]],CHOOSE({1,2},Clientes_Proveedores[Razon Social],Clientes_Proveedores[Ruc / Dni]),2,0),"")</f>
        <v/>
      </c>
      <c r="X369" s="25" t="s">
        <v>1133</v>
      </c>
      <c r="Y369" s="25"/>
      <c r="Z369" s="25"/>
      <c r="AA369" s="99"/>
      <c r="AB369" s="3" t="str">
        <f>IF(BCP_Soles[[#This Row],[FECHA]]&gt;0,TEXT(BCP_Soles[[#This Row],[FECHA]],"mmmm"),0)</f>
        <v>Enero</v>
      </c>
    </row>
    <row r="370" spans="2:28" ht="24" x14ac:dyDescent="0.3">
      <c r="B370" s="2">
        <f>IF(BCP_Soles[[#This Row],[TIPO DE R.]]="R",COUNTIFS($D$4:$D369,"R")+1,"")</f>
        <v>251</v>
      </c>
      <c r="C370" s="19" t="str">
        <f t="shared" si="25"/>
        <v>B-BCP - Soles</v>
      </c>
      <c r="D370" s="3" t="s">
        <v>1074</v>
      </c>
      <c r="E370" s="14">
        <v>45688</v>
      </c>
      <c r="F370" s="5" t="s">
        <v>1407</v>
      </c>
      <c r="G370" s="5" t="s">
        <v>1087</v>
      </c>
      <c r="H370" s="6"/>
      <c r="I370" s="6"/>
      <c r="J370" s="6"/>
      <c r="K370" s="6"/>
      <c r="L370" s="7" t="s">
        <v>1100</v>
      </c>
      <c r="M370" s="8">
        <v>3865914</v>
      </c>
      <c r="N370" s="8" t="str">
        <f t="shared" si="26"/>
        <v>PEN</v>
      </c>
      <c r="O370" s="13"/>
      <c r="P370" s="13">
        <v>740</v>
      </c>
      <c r="Q370" s="3">
        <f t="shared" si="27"/>
        <v>740</v>
      </c>
      <c r="R370" s="3">
        <f t="shared" si="28"/>
        <v>0</v>
      </c>
      <c r="S370" s="3">
        <f t="shared" si="29"/>
        <v>51428.229999999996</v>
      </c>
      <c r="T370" s="24" t="s">
        <v>1081</v>
      </c>
      <c r="U370" s="24" t="s">
        <v>1081</v>
      </c>
      <c r="V370" s="67"/>
      <c r="W370" s="25" t="str">
        <f>IFERROR(VLOOKUP(BCP_Soles[[#This Row],[DESTINATARIO]],CHOOSE({1,2},Clientes_Proveedores[Razon Social],Clientes_Proveedores[Ruc / Dni]),2,0),"")</f>
        <v/>
      </c>
      <c r="X370" s="25" t="s">
        <v>1090</v>
      </c>
      <c r="Y370" s="25" t="s">
        <v>1486</v>
      </c>
      <c r="Z370" s="25"/>
      <c r="AA370" s="99"/>
      <c r="AB370" s="3" t="str">
        <f>IF(BCP_Soles[[#This Row],[FECHA]]&gt;0,TEXT(BCP_Soles[[#This Row],[FECHA]],"mmmm"),0)</f>
        <v>Enero</v>
      </c>
    </row>
    <row r="371" spans="2:28" x14ac:dyDescent="0.3">
      <c r="B371" s="2">
        <f>IF(BCP_Soles[[#This Row],[TIPO DE R.]]="R",COUNTIFS($D$4:$D370,"R")+1,"")</f>
        <v>252</v>
      </c>
      <c r="C371" s="19" t="str">
        <f t="shared" si="25"/>
        <v>B-BCP - Soles</v>
      </c>
      <c r="D371" s="3" t="s">
        <v>1074</v>
      </c>
      <c r="E371" s="14">
        <v>45688</v>
      </c>
      <c r="F371" s="5" t="s">
        <v>1078</v>
      </c>
      <c r="G371" s="5" t="s">
        <v>1079</v>
      </c>
      <c r="H371" s="6"/>
      <c r="I371" s="6"/>
      <c r="J371" s="6"/>
      <c r="K371" s="6"/>
      <c r="L371" s="7" t="s">
        <v>1080</v>
      </c>
      <c r="M371" s="8"/>
      <c r="N371" s="8" t="str">
        <f t="shared" si="26"/>
        <v>PEN</v>
      </c>
      <c r="O371" s="13"/>
      <c r="P371" s="13">
        <v>4.55</v>
      </c>
      <c r="Q371" s="3">
        <f t="shared" si="27"/>
        <v>0</v>
      </c>
      <c r="R371" s="3">
        <f t="shared" si="28"/>
        <v>4.55</v>
      </c>
      <c r="S371" s="3">
        <f t="shared" si="29"/>
        <v>51423.679999999993</v>
      </c>
      <c r="T371" s="24"/>
      <c r="U371" s="24" t="s">
        <v>1081</v>
      </c>
      <c r="V371" s="67"/>
      <c r="W371" s="25" t="str">
        <f>IFERROR(VLOOKUP(BCP_Soles[[#This Row],[DESTINATARIO]],CHOOSE({1,2},Clientes_Proveedores[Razon Social],Clientes_Proveedores[Ruc / Dni]),2,0),"")</f>
        <v/>
      </c>
      <c r="X371" s="25"/>
      <c r="Y371" s="25"/>
      <c r="Z371" s="25"/>
      <c r="AA371" s="99"/>
      <c r="AB371" s="3" t="str">
        <f>IF(BCP_Soles[[#This Row],[FECHA]]&gt;0,TEXT(BCP_Soles[[#This Row],[FECHA]],"mmmm"),0)</f>
        <v>Enero</v>
      </c>
    </row>
    <row r="372" spans="2:28" ht="24" x14ac:dyDescent="0.3">
      <c r="B372" s="2">
        <f>IF(BCP_Soles[[#This Row],[TIPO DE R.]]="R",COUNTIFS($D$4:$D371,"R")+1,"")</f>
        <v>253</v>
      </c>
      <c r="C372" s="19" t="str">
        <f t="shared" si="25"/>
        <v>B-BCP - Soles</v>
      </c>
      <c r="D372" s="3" t="s">
        <v>1074</v>
      </c>
      <c r="E372" s="14">
        <v>45688</v>
      </c>
      <c r="F372" s="5" t="s">
        <v>1078</v>
      </c>
      <c r="G372" s="5" t="s">
        <v>1079</v>
      </c>
      <c r="H372" s="6" t="s">
        <v>1001</v>
      </c>
      <c r="I372" s="6"/>
      <c r="J372" s="6"/>
      <c r="K372" s="6"/>
      <c r="L372" s="7" t="s">
        <v>1493</v>
      </c>
      <c r="M372" s="8" t="s">
        <v>1494</v>
      </c>
      <c r="N372" s="8" t="str">
        <f t="shared" si="26"/>
        <v>PEN</v>
      </c>
      <c r="O372" s="13"/>
      <c r="P372" s="13">
        <v>35</v>
      </c>
      <c r="Q372" s="3">
        <f t="shared" si="27"/>
        <v>0</v>
      </c>
      <c r="R372" s="3">
        <f t="shared" si="28"/>
        <v>35</v>
      </c>
      <c r="S372" s="3">
        <f t="shared" si="29"/>
        <v>51388.679999999993</v>
      </c>
      <c r="T372" s="24"/>
      <c r="U372" s="24"/>
      <c r="V372" s="67"/>
      <c r="W372" s="25">
        <f>IFERROR(VLOOKUP(BCP_Soles[[#This Row],[DESTINATARIO]],CHOOSE({1,2},Clientes_Proveedores[Razon Social],Clientes_Proveedores[Ruc / Dni]),2,0),"")</f>
        <v>20100047218</v>
      </c>
      <c r="X372" s="25" t="s">
        <v>1078</v>
      </c>
      <c r="Y372" s="25"/>
      <c r="Z372" s="25"/>
      <c r="AA372" s="99"/>
      <c r="AB372" s="3" t="str">
        <f>IF(BCP_Soles[[#This Row],[FECHA]]&gt;0,TEXT(BCP_Soles[[#This Row],[FECHA]],"mmmm"),0)</f>
        <v>Enero</v>
      </c>
    </row>
    <row r="373" spans="2:28" ht="24" x14ac:dyDescent="0.3">
      <c r="B373" s="2">
        <f>IF(BCP_Soles[[#This Row],[TIPO DE R.]]="R",COUNTIFS($D$4:$D372,"R")+1,"")</f>
        <v>254</v>
      </c>
      <c r="C373" s="19" t="str">
        <f t="shared" si="25"/>
        <v>B-BCP - Soles</v>
      </c>
      <c r="D373" s="3" t="s">
        <v>1074</v>
      </c>
      <c r="E373" s="14">
        <v>45688</v>
      </c>
      <c r="F373" s="5" t="s">
        <v>1078</v>
      </c>
      <c r="G373" s="5" t="s">
        <v>1079</v>
      </c>
      <c r="H373" s="6" t="s">
        <v>1001</v>
      </c>
      <c r="I373" s="6"/>
      <c r="J373" s="6"/>
      <c r="K373" s="6"/>
      <c r="L373" s="7" t="s">
        <v>1495</v>
      </c>
      <c r="M373" s="8">
        <v>971194</v>
      </c>
      <c r="N373" s="8" t="str">
        <f t="shared" si="26"/>
        <v>PEN</v>
      </c>
      <c r="O373" s="13"/>
      <c r="P373" s="13">
        <v>5.5</v>
      </c>
      <c r="Q373" s="3">
        <f t="shared" si="27"/>
        <v>0</v>
      </c>
      <c r="R373" s="3">
        <f t="shared" si="28"/>
        <v>5.5</v>
      </c>
      <c r="S373" s="3">
        <f t="shared" si="29"/>
        <v>51383.179999999993</v>
      </c>
      <c r="T373" s="24"/>
      <c r="U373" s="24"/>
      <c r="V373" s="67"/>
      <c r="W373" s="25">
        <f>IFERROR(VLOOKUP(BCP_Soles[[#This Row],[DESTINATARIO]],CHOOSE({1,2},Clientes_Proveedores[Razon Social],Clientes_Proveedores[Ruc / Dni]),2,0),"")</f>
        <v>20100047218</v>
      </c>
      <c r="X373" s="25" t="s">
        <v>1078</v>
      </c>
      <c r="Y373" s="25"/>
      <c r="Z373" s="25"/>
      <c r="AA373" s="99"/>
      <c r="AB373" s="3" t="str">
        <f>IF(BCP_Soles[[#This Row],[FECHA]]&gt;0,TEXT(BCP_Soles[[#This Row],[FECHA]],"mmmm"),0)</f>
        <v>Enero</v>
      </c>
    </row>
    <row r="374" spans="2:28" x14ac:dyDescent="0.3">
      <c r="B374" s="2">
        <f>IF(BCP_Soles[[#This Row],[TIPO DE R.]]="R",COUNTIFS($D$4:$D373,"R")+1,"")</f>
        <v>255</v>
      </c>
      <c r="C374" s="19" t="str">
        <f t="shared" si="25"/>
        <v>B-BCP - Soles</v>
      </c>
      <c r="D374" s="3" t="s">
        <v>1074</v>
      </c>
      <c r="E374" s="14">
        <v>45688</v>
      </c>
      <c r="F374" s="5" t="s">
        <v>1158</v>
      </c>
      <c r="G374" s="5" t="s">
        <v>1079</v>
      </c>
      <c r="H374" s="6"/>
      <c r="I374" s="6"/>
      <c r="J374" s="6"/>
      <c r="K374" s="6"/>
      <c r="L374" s="7" t="s">
        <v>1496</v>
      </c>
      <c r="M374" s="8">
        <v>7924211</v>
      </c>
      <c r="N374" s="8" t="str">
        <f t="shared" si="26"/>
        <v>PEN</v>
      </c>
      <c r="O374" s="13"/>
      <c r="P374" s="13">
        <v>64105.14</v>
      </c>
      <c r="Q374" s="3">
        <f t="shared" si="27"/>
        <v>0</v>
      </c>
      <c r="R374" s="3">
        <f t="shared" si="28"/>
        <v>64105.14</v>
      </c>
      <c r="S374" s="3">
        <f t="shared" si="29"/>
        <v>-12721.960000000006</v>
      </c>
      <c r="T374" s="24"/>
      <c r="U374" s="24"/>
      <c r="V374" s="67"/>
      <c r="W374" s="25" t="str">
        <f>IFERROR(VLOOKUP(BCP_Soles[[#This Row],[DESTINATARIO]],CHOOSE({1,2},Clientes_Proveedores[Razon Social],Clientes_Proveedores[Ruc / Dni]),2,0),"")</f>
        <v/>
      </c>
      <c r="X374" s="25" t="s">
        <v>1118</v>
      </c>
      <c r="Y374" s="25"/>
      <c r="Z374" s="25"/>
      <c r="AA374" s="99"/>
      <c r="AB374" s="3" t="str">
        <f>IF(BCP_Soles[[#This Row],[FECHA]]&gt;0,TEXT(BCP_Soles[[#This Row],[FECHA]],"mmmm"),0)</f>
        <v>Enero</v>
      </c>
    </row>
    <row r="375" spans="2:28" x14ac:dyDescent="0.3">
      <c r="B375" s="2">
        <f>IF(BCP_Soles[[#This Row],[TIPO DE R.]]="R",COUNTIFS($D$4:$D374,"R")+1,"")</f>
        <v>256</v>
      </c>
      <c r="C375" s="19" t="str">
        <f t="shared" si="25"/>
        <v>B-BCP - Soles</v>
      </c>
      <c r="D375" s="3" t="s">
        <v>1074</v>
      </c>
      <c r="E375" s="14">
        <v>45688</v>
      </c>
      <c r="F375" s="5" t="s">
        <v>1082</v>
      </c>
      <c r="G375" s="5" t="s">
        <v>1079</v>
      </c>
      <c r="H375" s="6"/>
      <c r="I375" s="6"/>
      <c r="J375" s="6"/>
      <c r="K375" s="6"/>
      <c r="L375" s="7" t="s">
        <v>1497</v>
      </c>
      <c r="M375" s="8">
        <v>7924102</v>
      </c>
      <c r="N375" s="8" t="str">
        <f t="shared" si="26"/>
        <v>PEN</v>
      </c>
      <c r="O375" s="13"/>
      <c r="P375" s="13">
        <v>4134.04</v>
      </c>
      <c r="Q375" s="3">
        <f t="shared" si="27"/>
        <v>0</v>
      </c>
      <c r="R375" s="3">
        <f t="shared" si="28"/>
        <v>4134.04</v>
      </c>
      <c r="S375" s="3">
        <f t="shared" si="29"/>
        <v>-16856.000000000007</v>
      </c>
      <c r="T375" s="24" t="s">
        <v>1081</v>
      </c>
      <c r="U375" s="24"/>
      <c r="V375" s="67"/>
      <c r="W375" s="25" t="str">
        <f>IFERROR(VLOOKUP(BCP_Soles[[#This Row],[DESTINATARIO]],CHOOSE({1,2},Clientes_Proveedores[Razon Social],Clientes_Proveedores[Ruc / Dni]),2,0),"")</f>
        <v/>
      </c>
      <c r="X375" s="25" t="s">
        <v>1118</v>
      </c>
      <c r="Y375" s="25"/>
      <c r="Z375" s="25"/>
      <c r="AA375" s="99"/>
      <c r="AB375" s="3" t="str">
        <f>IF(BCP_Soles[[#This Row],[FECHA]]&gt;0,TEXT(BCP_Soles[[#This Row],[FECHA]],"mmmm"),0)</f>
        <v>Enero</v>
      </c>
    </row>
    <row r="376" spans="2:28" x14ac:dyDescent="0.3">
      <c r="B376" s="2">
        <f>IF(BCP_Soles[[#This Row],[TIPO DE R.]]="R",COUNTIFS($D$4:$D375,"R")+1,"")</f>
        <v>257</v>
      </c>
      <c r="C376" s="19" t="str">
        <f t="shared" si="25"/>
        <v>B-BCP - Soles</v>
      </c>
      <c r="D376" s="3" t="s">
        <v>1074</v>
      </c>
      <c r="E376" s="14">
        <v>45688</v>
      </c>
      <c r="F376" s="5" t="s">
        <v>1082</v>
      </c>
      <c r="G376" s="5" t="s">
        <v>1079</v>
      </c>
      <c r="H376" s="6" t="s">
        <v>637</v>
      </c>
      <c r="I376" s="6" t="s">
        <v>14</v>
      </c>
      <c r="J376" s="6" t="s">
        <v>1122</v>
      </c>
      <c r="K376" s="6">
        <v>145086</v>
      </c>
      <c r="L376" s="7" t="s">
        <v>1123</v>
      </c>
      <c r="M376" s="8">
        <v>377232</v>
      </c>
      <c r="N376" s="8" t="str">
        <f t="shared" si="26"/>
        <v>PEN</v>
      </c>
      <c r="O376" s="13"/>
      <c r="P376" s="13">
        <v>1276.46</v>
      </c>
      <c r="Q376" s="3">
        <f t="shared" si="27"/>
        <v>0</v>
      </c>
      <c r="R376" s="3">
        <f t="shared" si="28"/>
        <v>1276.46</v>
      </c>
      <c r="S376" s="3">
        <f t="shared" si="29"/>
        <v>-18132.460000000006</v>
      </c>
      <c r="T376" s="24" t="s">
        <v>1081</v>
      </c>
      <c r="U376" s="24" t="s">
        <v>1081</v>
      </c>
      <c r="V376" s="67"/>
      <c r="W376" s="25">
        <f>IFERROR(VLOOKUP(BCP_Soles[[#This Row],[DESTINATARIO]],CHOOSE({1,2},Clientes_Proveedores[Razon Social],Clientes_Proveedores[Ruc / Dni]),2,0),"")</f>
        <v>20127765279</v>
      </c>
      <c r="X376" s="25" t="s">
        <v>1124</v>
      </c>
      <c r="Y376" s="25" t="s">
        <v>1498</v>
      </c>
      <c r="Z376" s="25"/>
      <c r="AA376" s="99"/>
      <c r="AB376" s="3" t="str">
        <f>IF(BCP_Soles[[#This Row],[FECHA]]&gt;0,TEXT(BCP_Soles[[#This Row],[FECHA]],"mmmm"),0)</f>
        <v>Enero</v>
      </c>
    </row>
    <row r="377" spans="2:28" x14ac:dyDescent="0.3">
      <c r="B377" s="2">
        <f>IF(BCP_Soles[[#This Row],[TIPO DE R.]]="R",COUNTIFS($D$4:$D376,"R")+1,"")</f>
        <v>258</v>
      </c>
      <c r="C377" s="19" t="str">
        <f t="shared" si="25"/>
        <v>B-BCP - Soles</v>
      </c>
      <c r="D377" s="3" t="s">
        <v>1074</v>
      </c>
      <c r="E377" s="14">
        <v>45688</v>
      </c>
      <c r="F377" s="5" t="s">
        <v>1082</v>
      </c>
      <c r="G377" s="5" t="s">
        <v>1079</v>
      </c>
      <c r="H377" s="6" t="s">
        <v>637</v>
      </c>
      <c r="I377" s="6" t="s">
        <v>14</v>
      </c>
      <c r="J377" s="6" t="s">
        <v>1253</v>
      </c>
      <c r="K377" s="6">
        <v>144135</v>
      </c>
      <c r="L377" s="7" t="s">
        <v>1123</v>
      </c>
      <c r="M377" s="8">
        <v>430165</v>
      </c>
      <c r="N377" s="8" t="str">
        <f t="shared" si="26"/>
        <v>PEN</v>
      </c>
      <c r="O377" s="13"/>
      <c r="P377" s="13">
        <v>969.97</v>
      </c>
      <c r="Q377" s="3">
        <f t="shared" si="27"/>
        <v>0</v>
      </c>
      <c r="R377" s="3">
        <f t="shared" si="28"/>
        <v>969.97</v>
      </c>
      <c r="S377" s="3">
        <f t="shared" si="29"/>
        <v>-19102.430000000008</v>
      </c>
      <c r="T377" s="24" t="s">
        <v>1081</v>
      </c>
      <c r="U377" s="24" t="s">
        <v>1081</v>
      </c>
      <c r="V377" s="67"/>
      <c r="W377" s="25">
        <f>IFERROR(VLOOKUP(BCP_Soles[[#This Row],[DESTINATARIO]],CHOOSE({1,2},Clientes_Proveedores[Razon Social],Clientes_Proveedores[Ruc / Dni]),2,0),"")</f>
        <v>20127765279</v>
      </c>
      <c r="X377" s="25" t="s">
        <v>1124</v>
      </c>
      <c r="Y377" s="25" t="s">
        <v>1499</v>
      </c>
      <c r="Z377" s="25"/>
      <c r="AA377" s="99"/>
      <c r="AB377" s="3" t="str">
        <f>IF(BCP_Soles[[#This Row],[FECHA]]&gt;0,TEXT(BCP_Soles[[#This Row],[FECHA]],"mmmm"),0)</f>
        <v>Enero</v>
      </c>
    </row>
    <row r="378" spans="2:28" x14ac:dyDescent="0.3">
      <c r="B378" s="2">
        <f>IF(BCP_Soles[[#This Row],[TIPO DE R.]]="R",COUNTIFS($D$4:$D377,"R")+1,"")</f>
        <v>259</v>
      </c>
      <c r="C378" s="19" t="str">
        <f t="shared" si="25"/>
        <v>B-BCP - Soles</v>
      </c>
      <c r="D378" s="3" t="s">
        <v>1074</v>
      </c>
      <c r="E378" s="14">
        <v>45688</v>
      </c>
      <c r="F378" s="5" t="s">
        <v>1082</v>
      </c>
      <c r="G378" s="5" t="s">
        <v>1079</v>
      </c>
      <c r="H378" s="6" t="s">
        <v>869</v>
      </c>
      <c r="I378" s="6" t="s">
        <v>87</v>
      </c>
      <c r="J378" s="6">
        <v>1</v>
      </c>
      <c r="K378" s="6">
        <v>42025</v>
      </c>
      <c r="L378" s="7" t="s">
        <v>1464</v>
      </c>
      <c r="M378" s="8">
        <v>1416184</v>
      </c>
      <c r="N378" s="8" t="str">
        <f t="shared" si="26"/>
        <v>PEN</v>
      </c>
      <c r="O378" s="13"/>
      <c r="P378" s="13">
        <v>727</v>
      </c>
      <c r="Q378" s="3">
        <f t="shared" si="27"/>
        <v>0</v>
      </c>
      <c r="R378" s="3">
        <f t="shared" si="28"/>
        <v>727</v>
      </c>
      <c r="S378" s="3">
        <f t="shared" si="29"/>
        <v>-19829.430000000008</v>
      </c>
      <c r="T378" s="24" t="s">
        <v>1081</v>
      </c>
      <c r="U378" s="24" t="s">
        <v>1081</v>
      </c>
      <c r="V378" s="67"/>
      <c r="W378" s="25">
        <f>IFERROR(VLOOKUP(BCP_Soles[[#This Row],[DESTINATARIO]],CHOOSE({1,2},Clientes_Proveedores[Razon Social],Clientes_Proveedores[Ruc / Dni]),2,0),"")</f>
        <v>46126507</v>
      </c>
      <c r="X378" s="25"/>
      <c r="Y378" s="25"/>
      <c r="Z378" s="25"/>
      <c r="AA378" s="99"/>
      <c r="AB378" s="3" t="str">
        <f>IF(BCP_Soles[[#This Row],[FECHA]]&gt;0,TEXT(BCP_Soles[[#This Row],[FECHA]],"mmmm"),0)</f>
        <v>Enero</v>
      </c>
    </row>
    <row r="379" spans="2:28" ht="24" x14ac:dyDescent="0.3">
      <c r="B379" s="2">
        <f>IF(BCP_Soles[[#This Row],[TIPO DE R.]]="R",COUNTIFS($D$4:$D378,"R")+1,"")</f>
        <v>260</v>
      </c>
      <c r="C379" s="19" t="str">
        <f t="shared" si="25"/>
        <v>B-BCP - Soles</v>
      </c>
      <c r="D379" s="3" t="s">
        <v>1074</v>
      </c>
      <c r="E379" s="14">
        <v>45688</v>
      </c>
      <c r="F379" s="5" t="s">
        <v>1082</v>
      </c>
      <c r="G379" s="5" t="s">
        <v>1079</v>
      </c>
      <c r="H379" s="6" t="s">
        <v>192</v>
      </c>
      <c r="I379" s="6"/>
      <c r="J379" s="6"/>
      <c r="K379" s="6"/>
      <c r="L379" s="7" t="s">
        <v>1500</v>
      </c>
      <c r="M379" s="8">
        <v>1442096</v>
      </c>
      <c r="N379" s="8" t="str">
        <f t="shared" si="26"/>
        <v>PEN</v>
      </c>
      <c r="O379" s="13"/>
      <c r="P379" s="13">
        <v>358.72</v>
      </c>
      <c r="Q379" s="3">
        <f t="shared" si="27"/>
        <v>0</v>
      </c>
      <c r="R379" s="3">
        <f t="shared" si="28"/>
        <v>358.72</v>
      </c>
      <c r="S379" s="3">
        <f t="shared" si="29"/>
        <v>-20188.150000000009</v>
      </c>
      <c r="T379" s="24"/>
      <c r="U379" s="24"/>
      <c r="V379" s="67"/>
      <c r="W379" s="25">
        <f>IFERROR(VLOOKUP(BCP_Soles[[#This Row],[DESTINATARIO]],CHOOSE({1,2},Clientes_Proveedores[Razon Social],Clientes_Proveedores[Ruc / Dni]),2,0),"")</f>
        <v>20302891452</v>
      </c>
      <c r="X379" s="25" t="s">
        <v>192</v>
      </c>
      <c r="Y379" s="25"/>
      <c r="Z379" s="25"/>
      <c r="AA379" s="99"/>
      <c r="AB379" s="3" t="str">
        <f>IF(BCP_Soles[[#This Row],[FECHA]]&gt;0,TEXT(BCP_Soles[[#This Row],[FECHA]],"mmmm"),0)</f>
        <v>Enero</v>
      </c>
    </row>
    <row r="380" spans="2:28" ht="24" x14ac:dyDescent="0.3">
      <c r="B380" s="2">
        <f>IF(BCP_Soles[[#This Row],[TIPO DE R.]]="R",COUNTIFS($D$4:$D379,"R")+1,"")</f>
        <v>261</v>
      </c>
      <c r="C380" s="19" t="str">
        <f t="shared" si="25"/>
        <v>B-BCP - Soles</v>
      </c>
      <c r="D380" s="3" t="s">
        <v>1074</v>
      </c>
      <c r="E380" s="14">
        <v>45688</v>
      </c>
      <c r="F380" s="5" t="s">
        <v>1082</v>
      </c>
      <c r="G380" s="5" t="s">
        <v>1079</v>
      </c>
      <c r="H380" s="6" t="s">
        <v>1009</v>
      </c>
      <c r="I380" s="6" t="s">
        <v>87</v>
      </c>
      <c r="J380" s="6">
        <v>1</v>
      </c>
      <c r="K380" s="6">
        <v>32025</v>
      </c>
      <c r="L380" s="7" t="s">
        <v>1501</v>
      </c>
      <c r="M380" s="8">
        <v>1403211</v>
      </c>
      <c r="N380" s="8" t="str">
        <f t="shared" si="26"/>
        <v>PEN</v>
      </c>
      <c r="O380" s="13"/>
      <c r="P380" s="13">
        <v>126.8</v>
      </c>
      <c r="Q380" s="3">
        <f t="shared" si="27"/>
        <v>0</v>
      </c>
      <c r="R380" s="3">
        <f t="shared" si="28"/>
        <v>126.8</v>
      </c>
      <c r="S380" s="3">
        <f t="shared" si="29"/>
        <v>-20314.950000000008</v>
      </c>
      <c r="T380" s="24" t="s">
        <v>1081</v>
      </c>
      <c r="U380" s="24" t="s">
        <v>1081</v>
      </c>
      <c r="V380" s="67"/>
      <c r="W380" s="25">
        <f>IFERROR(VLOOKUP(BCP_Soles[[#This Row],[DESTINATARIO]],CHOOSE({1,2},Clientes_Proveedores[Razon Social],Clientes_Proveedores[Ruc / Dni]),2,0),"")</f>
        <v>72725445</v>
      </c>
      <c r="X380" s="25"/>
      <c r="Y380" s="25"/>
      <c r="Z380" s="25"/>
      <c r="AA380" s="99"/>
      <c r="AB380" s="3" t="str">
        <f>IF(BCP_Soles[[#This Row],[FECHA]]&gt;0,TEXT(BCP_Soles[[#This Row],[FECHA]],"mmmm"),0)</f>
        <v>Enero</v>
      </c>
    </row>
    <row r="381" spans="2:28" ht="24" x14ac:dyDescent="0.3">
      <c r="B381" s="2">
        <f>IF(BCP_Soles[[#This Row],[TIPO DE R.]]="R",COUNTIFS($D$4:$D380,"R")+1,"")</f>
        <v>262</v>
      </c>
      <c r="C381" s="19" t="str">
        <f t="shared" si="25"/>
        <v>B-BCP - Soles</v>
      </c>
      <c r="D381" s="3" t="s">
        <v>1074</v>
      </c>
      <c r="E381" s="14">
        <v>45688</v>
      </c>
      <c r="F381" s="5" t="s">
        <v>1082</v>
      </c>
      <c r="G381" s="5" t="s">
        <v>1079</v>
      </c>
      <c r="H381" s="6" t="s">
        <v>155</v>
      </c>
      <c r="I381" s="6" t="s">
        <v>14</v>
      </c>
      <c r="J381" s="6" t="s">
        <v>1148</v>
      </c>
      <c r="K381" s="6">
        <v>755</v>
      </c>
      <c r="L381" s="7" t="s">
        <v>1502</v>
      </c>
      <c r="M381" s="8">
        <v>1364312</v>
      </c>
      <c r="N381" s="8" t="str">
        <f t="shared" si="26"/>
        <v>PEN</v>
      </c>
      <c r="O381" s="13"/>
      <c r="P381" s="13">
        <v>3.6</v>
      </c>
      <c r="Q381" s="3">
        <f t="shared" si="27"/>
        <v>0</v>
      </c>
      <c r="R381" s="3">
        <f t="shared" si="28"/>
        <v>3.6</v>
      </c>
      <c r="S381" s="3">
        <f t="shared" si="29"/>
        <v>-20318.550000000007</v>
      </c>
      <c r="T381" s="24" t="s">
        <v>1081</v>
      </c>
      <c r="U381" s="24" t="s">
        <v>1081</v>
      </c>
      <c r="V381" s="67"/>
      <c r="W381" s="25">
        <f>IFERROR(VLOOKUP(BCP_Soles[[#This Row],[DESTINATARIO]],CHOOSE({1,2},Clientes_Proveedores[Razon Social],Clientes_Proveedores[Ruc / Dni]),2,0),"")</f>
        <v>20100235138</v>
      </c>
      <c r="X381" s="25" t="s">
        <v>1503</v>
      </c>
      <c r="Y381" s="25" t="s">
        <v>1504</v>
      </c>
      <c r="Z381" s="25"/>
      <c r="AA381" s="99"/>
      <c r="AB381" s="3" t="str">
        <f>IF(BCP_Soles[[#This Row],[FECHA]]&gt;0,TEXT(BCP_Soles[[#This Row],[FECHA]],"mmmm"),0)</f>
        <v>Enero</v>
      </c>
    </row>
    <row r="382" spans="2:28" x14ac:dyDescent="0.3">
      <c r="B382" s="2">
        <f>IF(BCP_Soles[[#This Row],[TIPO DE R.]]="R",COUNTIFS($D$4:$D381,"R")+1,"")</f>
        <v>263</v>
      </c>
      <c r="C382" s="19" t="str">
        <f t="shared" si="25"/>
        <v>B-BCP - Soles</v>
      </c>
      <c r="D382" s="3" t="s">
        <v>1074</v>
      </c>
      <c r="E382" s="14">
        <v>45688</v>
      </c>
      <c r="F382" s="5" t="s">
        <v>1082</v>
      </c>
      <c r="G382" s="5" t="s">
        <v>1087</v>
      </c>
      <c r="H382" s="6"/>
      <c r="I382" s="6"/>
      <c r="J382" s="6"/>
      <c r="K382" s="6"/>
      <c r="L382" s="7" t="s">
        <v>1505</v>
      </c>
      <c r="M382" s="8">
        <v>2421198</v>
      </c>
      <c r="N382" s="8" t="str">
        <f t="shared" si="26"/>
        <v>PEN</v>
      </c>
      <c r="O382" s="13"/>
      <c r="P382" s="13">
        <v>23076.400000000001</v>
      </c>
      <c r="Q382" s="3">
        <f t="shared" si="27"/>
        <v>23076.400000000001</v>
      </c>
      <c r="R382" s="3">
        <f t="shared" si="28"/>
        <v>0</v>
      </c>
      <c r="S382" s="3">
        <f t="shared" si="29"/>
        <v>2757.8499999999949</v>
      </c>
      <c r="T382" s="24"/>
      <c r="U382" s="24"/>
      <c r="V382" s="67"/>
      <c r="W382" s="25" t="str">
        <f>IFERROR(VLOOKUP(BCP_Soles[[#This Row],[DESTINATARIO]],CHOOSE({1,2},Clientes_Proveedores[Razon Social],Clientes_Proveedores[Ruc / Dni]),2,0),"")</f>
        <v/>
      </c>
      <c r="X382" s="25" t="s">
        <v>1090</v>
      </c>
      <c r="Y382" s="25"/>
      <c r="Z382" s="25"/>
      <c r="AA382" s="99"/>
      <c r="AB382" s="3" t="str">
        <f>IF(BCP_Soles[[#This Row],[FECHA]]&gt;0,TEXT(BCP_Soles[[#This Row],[FECHA]],"mmmm"),0)</f>
        <v>Enero</v>
      </c>
    </row>
    <row r="383" spans="2:28" ht="60" x14ac:dyDescent="0.3">
      <c r="B383" s="2">
        <f>IF(BCP_Soles[[#This Row],[TIPO DE R.]]="R",COUNTIFS($D$4:$D382,"R")+1,"")</f>
        <v>264</v>
      </c>
      <c r="C383" s="19" t="str">
        <f t="shared" si="25"/>
        <v>B-BCP - Soles</v>
      </c>
      <c r="D383" s="3" t="s">
        <v>1074</v>
      </c>
      <c r="E383" s="14">
        <v>45688</v>
      </c>
      <c r="F383" s="5" t="s">
        <v>238</v>
      </c>
      <c r="G383" s="5" t="s">
        <v>1087</v>
      </c>
      <c r="H383" s="6"/>
      <c r="I383" s="6"/>
      <c r="J383" s="6"/>
      <c r="K383" s="6"/>
      <c r="L383" s="7" t="s">
        <v>1170</v>
      </c>
      <c r="M383" s="8">
        <v>2431216</v>
      </c>
      <c r="N383" s="8" t="str">
        <f t="shared" si="26"/>
        <v>PEN</v>
      </c>
      <c r="O383" s="13"/>
      <c r="P383" s="13">
        <v>3085.68</v>
      </c>
      <c r="Q383" s="3">
        <f t="shared" si="27"/>
        <v>3085.68</v>
      </c>
      <c r="R383" s="3">
        <f t="shared" si="28"/>
        <v>0</v>
      </c>
      <c r="S383" s="3">
        <f t="shared" si="29"/>
        <v>5843.5299999999952</v>
      </c>
      <c r="T383" s="24" t="s">
        <v>1081</v>
      </c>
      <c r="U383" s="24"/>
      <c r="V383" s="67"/>
      <c r="W383" s="25" t="str">
        <f>IFERROR(VLOOKUP(BCP_Soles[[#This Row],[DESTINATARIO]],CHOOSE({1,2},Clientes_Proveedores[Razon Social],Clientes_Proveedores[Ruc / Dni]),2,0),"")</f>
        <v/>
      </c>
      <c r="X383" s="25" t="s">
        <v>1090</v>
      </c>
      <c r="Y383" s="25" t="s">
        <v>1506</v>
      </c>
      <c r="Z383" s="25"/>
      <c r="AA383" s="99"/>
      <c r="AB383" s="3" t="str">
        <f>IF(BCP_Soles[[#This Row],[FECHA]]&gt;0,TEXT(BCP_Soles[[#This Row],[FECHA]],"mmmm"),0)</f>
        <v>Enero</v>
      </c>
    </row>
    <row r="384" spans="2:28" ht="60" x14ac:dyDescent="0.3">
      <c r="B384" s="2">
        <f>IF(BCP_Soles[[#This Row],[TIPO DE R.]]="R",COUNTIFS($D$4:$D383,"R")+1,"")</f>
        <v>265</v>
      </c>
      <c r="C384" s="19" t="str">
        <f t="shared" si="25"/>
        <v>B-BCP - Soles</v>
      </c>
      <c r="D384" s="3" t="s">
        <v>1074</v>
      </c>
      <c r="E384" s="14">
        <v>45688</v>
      </c>
      <c r="F384" s="5" t="s">
        <v>238</v>
      </c>
      <c r="G384" s="5" t="s">
        <v>1087</v>
      </c>
      <c r="H384" s="6"/>
      <c r="I384" s="6"/>
      <c r="J384" s="6"/>
      <c r="K384" s="6"/>
      <c r="L384" s="7" t="s">
        <v>1170</v>
      </c>
      <c r="M384" s="8">
        <v>2387373</v>
      </c>
      <c r="N384" s="8" t="str">
        <f t="shared" si="26"/>
        <v>PEN</v>
      </c>
      <c r="O384" s="13"/>
      <c r="P384" s="13">
        <v>2825.06</v>
      </c>
      <c r="Q384" s="3">
        <f t="shared" si="27"/>
        <v>2825.06</v>
      </c>
      <c r="R384" s="3">
        <f t="shared" si="28"/>
        <v>0</v>
      </c>
      <c r="S384" s="3">
        <f t="shared" si="29"/>
        <v>8668.5899999999947</v>
      </c>
      <c r="T384" s="24" t="s">
        <v>1081</v>
      </c>
      <c r="U384" s="24"/>
      <c r="V384" s="67"/>
      <c r="W384" s="25" t="str">
        <f>IFERROR(VLOOKUP(BCP_Soles[[#This Row],[DESTINATARIO]],CHOOSE({1,2},Clientes_Proveedores[Razon Social],Clientes_Proveedores[Ruc / Dni]),2,0),"")</f>
        <v/>
      </c>
      <c r="X384" s="25" t="s">
        <v>1090</v>
      </c>
      <c r="Y384" s="25" t="s">
        <v>1507</v>
      </c>
      <c r="Z384" s="25"/>
      <c r="AA384" s="99"/>
      <c r="AB384" s="3" t="str">
        <f>IF(BCP_Soles[[#This Row],[FECHA]]&gt;0,TEXT(BCP_Soles[[#This Row],[FECHA]],"mmmm"),0)</f>
        <v>Enero</v>
      </c>
    </row>
    <row r="385" spans="2:28" ht="24" x14ac:dyDescent="0.3">
      <c r="B385" s="2">
        <f>IF(BCP_Soles[[#This Row],[TIPO DE R.]]="R",COUNTIFS($D$4:$D384,"R")+1,"")</f>
        <v>266</v>
      </c>
      <c r="C385" s="19" t="str">
        <f t="shared" si="25"/>
        <v>B-BCP - Soles</v>
      </c>
      <c r="D385" s="3" t="s">
        <v>1074</v>
      </c>
      <c r="E385" s="14">
        <v>45688</v>
      </c>
      <c r="F385" s="5" t="s">
        <v>260</v>
      </c>
      <c r="G385" s="5" t="s">
        <v>1087</v>
      </c>
      <c r="H385" s="6"/>
      <c r="I385" s="6"/>
      <c r="J385" s="6"/>
      <c r="K385" s="6"/>
      <c r="L385" s="7" t="s">
        <v>1508</v>
      </c>
      <c r="M385" s="8">
        <v>7947216</v>
      </c>
      <c r="N385" s="8" t="str">
        <f t="shared" si="26"/>
        <v>PEN</v>
      </c>
      <c r="O385" s="13"/>
      <c r="P385" s="13">
        <v>2079.3000000000002</v>
      </c>
      <c r="Q385" s="3">
        <f t="shared" si="27"/>
        <v>2079.3000000000002</v>
      </c>
      <c r="R385" s="3">
        <f t="shared" si="28"/>
        <v>0</v>
      </c>
      <c r="S385" s="3">
        <f t="shared" si="29"/>
        <v>10747.889999999996</v>
      </c>
      <c r="T385" s="24" t="s">
        <v>1081</v>
      </c>
      <c r="U385" s="24" t="s">
        <v>1081</v>
      </c>
      <c r="V385" s="67"/>
      <c r="W385" s="25" t="str">
        <f>IFERROR(VLOOKUP(BCP_Soles[[#This Row],[DESTINATARIO]],CHOOSE({1,2},Clientes_Proveedores[Razon Social],Clientes_Proveedores[Ruc / Dni]),2,0),"")</f>
        <v/>
      </c>
      <c r="X385" s="25" t="s">
        <v>1090</v>
      </c>
      <c r="Y385" s="25" t="s">
        <v>1509</v>
      </c>
      <c r="Z385" s="25"/>
      <c r="AA385" s="99"/>
      <c r="AB385" s="3" t="str">
        <f>IF(BCP_Soles[[#This Row],[FECHA]]&gt;0,TEXT(BCP_Soles[[#This Row],[FECHA]],"mmmm"),0)</f>
        <v>Enero</v>
      </c>
    </row>
    <row r="386" spans="2:28" ht="24" x14ac:dyDescent="0.3">
      <c r="B386" s="2">
        <f>IF(BCP_Soles[[#This Row],[TIPO DE R.]]="R",COUNTIFS($D$4:$D385,"R")+1,"")</f>
        <v>267</v>
      </c>
      <c r="C386" s="19" t="str">
        <f t="shared" si="25"/>
        <v>B-BCP - Soles</v>
      </c>
      <c r="D386" s="3" t="s">
        <v>1074</v>
      </c>
      <c r="E386" s="14">
        <v>45688</v>
      </c>
      <c r="F386" s="5" t="s">
        <v>1407</v>
      </c>
      <c r="G386" s="5" t="s">
        <v>1087</v>
      </c>
      <c r="H386" s="6"/>
      <c r="I386" s="6"/>
      <c r="J386" s="6"/>
      <c r="K386" s="6"/>
      <c r="L386" s="7" t="s">
        <v>1510</v>
      </c>
      <c r="M386" s="8">
        <v>518901</v>
      </c>
      <c r="N386" s="8" t="str">
        <f t="shared" si="26"/>
        <v>PEN</v>
      </c>
      <c r="O386" s="13"/>
      <c r="P386" s="13">
        <v>1000</v>
      </c>
      <c r="Q386" s="3">
        <f t="shared" si="27"/>
        <v>1000</v>
      </c>
      <c r="R386" s="3">
        <f t="shared" si="28"/>
        <v>0</v>
      </c>
      <c r="S386" s="3">
        <f t="shared" si="29"/>
        <v>11747.889999999996</v>
      </c>
      <c r="T386" s="24" t="s">
        <v>1081</v>
      </c>
      <c r="U386" s="24" t="s">
        <v>1081</v>
      </c>
      <c r="V386" s="67"/>
      <c r="W386" s="25" t="str">
        <f>IFERROR(VLOOKUP(BCP_Soles[[#This Row],[DESTINATARIO]],CHOOSE({1,2},Clientes_Proveedores[Razon Social],Clientes_Proveedores[Ruc / Dni]),2,0),"")</f>
        <v/>
      </c>
      <c r="X386" s="25" t="s">
        <v>1090</v>
      </c>
      <c r="Y386" s="25" t="s">
        <v>1511</v>
      </c>
      <c r="Z386" s="25"/>
      <c r="AA386" s="99"/>
      <c r="AB386" s="3" t="str">
        <f>IF(BCP_Soles[[#This Row],[FECHA]]&gt;0,TEXT(BCP_Soles[[#This Row],[FECHA]],"mmmm"),0)</f>
        <v>Enero</v>
      </c>
    </row>
    <row r="387" spans="2:28" ht="24" x14ac:dyDescent="0.3">
      <c r="B387" s="2">
        <f>IF(BCP_Soles[[#This Row],[TIPO DE R.]]="R",COUNTIFS($D$4:$D386,"R")+1,"")</f>
        <v>268</v>
      </c>
      <c r="C387" s="19" t="str">
        <f t="shared" si="25"/>
        <v>B-BCP - Soles</v>
      </c>
      <c r="D387" s="3" t="s">
        <v>1074</v>
      </c>
      <c r="E387" s="14">
        <v>45688</v>
      </c>
      <c r="F387" s="5" t="s">
        <v>1407</v>
      </c>
      <c r="G387" s="5" t="s">
        <v>1087</v>
      </c>
      <c r="H387" s="6"/>
      <c r="I387" s="6"/>
      <c r="J387" s="6"/>
      <c r="K387" s="6"/>
      <c r="L387" s="7" t="s">
        <v>1510</v>
      </c>
      <c r="M387" s="8">
        <v>518906</v>
      </c>
      <c r="N387" s="8" t="str">
        <f t="shared" si="26"/>
        <v>PEN</v>
      </c>
      <c r="O387" s="13"/>
      <c r="P387" s="13">
        <v>1000</v>
      </c>
      <c r="Q387" s="3">
        <f t="shared" si="27"/>
        <v>1000</v>
      </c>
      <c r="R387" s="3">
        <f t="shared" si="28"/>
        <v>0</v>
      </c>
      <c r="S387" s="3">
        <f t="shared" si="29"/>
        <v>12747.889999999996</v>
      </c>
      <c r="T387" s="24" t="s">
        <v>1081</v>
      </c>
      <c r="U387" s="24" t="s">
        <v>1081</v>
      </c>
      <c r="V387" s="67"/>
      <c r="W387" s="25" t="str">
        <f>IFERROR(VLOOKUP(BCP_Soles[[#This Row],[DESTINATARIO]],CHOOSE({1,2},Clientes_Proveedores[Razon Social],Clientes_Proveedores[Ruc / Dni]),2,0),"")</f>
        <v/>
      </c>
      <c r="X387" s="25" t="s">
        <v>1090</v>
      </c>
      <c r="Y387" s="25" t="s">
        <v>1511</v>
      </c>
      <c r="Z387" s="25"/>
      <c r="AA387" s="99"/>
      <c r="AB387" s="3" t="str">
        <f>IF(BCP_Soles[[#This Row],[FECHA]]&gt;0,TEXT(BCP_Soles[[#This Row],[FECHA]],"mmmm"),0)</f>
        <v>Enero</v>
      </c>
    </row>
    <row r="388" spans="2:28" ht="36" x14ac:dyDescent="0.3">
      <c r="B388" s="2">
        <f>IF(BCP_Soles[[#This Row],[TIPO DE R.]]="R",COUNTIFS($D$4:$D387,"R")+1,"")</f>
        <v>269</v>
      </c>
      <c r="C388" s="19" t="str">
        <f t="shared" si="25"/>
        <v>B-BCP - Soles</v>
      </c>
      <c r="D388" s="3" t="s">
        <v>1074</v>
      </c>
      <c r="E388" s="14">
        <v>45688</v>
      </c>
      <c r="F388" s="5" t="s">
        <v>497</v>
      </c>
      <c r="G388" s="5" t="s">
        <v>1087</v>
      </c>
      <c r="H388" s="6"/>
      <c r="I388" s="6"/>
      <c r="J388" s="6"/>
      <c r="K388" s="6"/>
      <c r="L388" s="7" t="s">
        <v>1093</v>
      </c>
      <c r="M388" s="8">
        <v>2274989</v>
      </c>
      <c r="N388" s="8" t="str">
        <f t="shared" si="26"/>
        <v>PEN</v>
      </c>
      <c r="O388" s="13"/>
      <c r="P388" s="13">
        <v>826.32</v>
      </c>
      <c r="Q388" s="3">
        <f t="shared" si="27"/>
        <v>826.32</v>
      </c>
      <c r="R388" s="3">
        <f t="shared" si="28"/>
        <v>0</v>
      </c>
      <c r="S388" s="3">
        <f t="shared" si="29"/>
        <v>13574.209999999995</v>
      </c>
      <c r="T388" s="24" t="s">
        <v>1081</v>
      </c>
      <c r="U388" s="24" t="s">
        <v>1081</v>
      </c>
      <c r="V388" s="67"/>
      <c r="W388" s="25" t="str">
        <f>IFERROR(VLOOKUP(BCP_Soles[[#This Row],[DESTINATARIO]],CHOOSE({1,2},Clientes_Proveedores[Razon Social],Clientes_Proveedores[Ruc / Dni]),2,0),"")</f>
        <v/>
      </c>
      <c r="X388" s="25" t="s">
        <v>1090</v>
      </c>
      <c r="Y388" s="25" t="s">
        <v>1512</v>
      </c>
      <c r="Z388" s="25"/>
      <c r="AA388" s="99"/>
      <c r="AB388" s="3" t="str">
        <f>IF(BCP_Soles[[#This Row],[FECHA]]&gt;0,TEXT(BCP_Soles[[#This Row],[FECHA]],"mmmm"),0)</f>
        <v>Enero</v>
      </c>
    </row>
    <row r="389" spans="2:28" x14ac:dyDescent="0.3">
      <c r="B389" s="2">
        <f>IF(BCP_Soles[[#This Row],[TIPO DE R.]]="R",COUNTIFS($D$4:$D388,"R")+1,"")</f>
        <v>270</v>
      </c>
      <c r="C389" s="19" t="str">
        <f t="shared" ref="C389:C452" si="30">"B-BCP - Soles"</f>
        <v>B-BCP - Soles</v>
      </c>
      <c r="D389" s="3" t="s">
        <v>1074</v>
      </c>
      <c r="E389" s="14">
        <v>45688</v>
      </c>
      <c r="F389" s="5"/>
      <c r="G389" s="5" t="s">
        <v>1087</v>
      </c>
      <c r="H389" s="6"/>
      <c r="I389" s="6"/>
      <c r="J389" s="6"/>
      <c r="K389" s="6"/>
      <c r="L389" s="7" t="s">
        <v>1510</v>
      </c>
      <c r="M389" s="8">
        <v>518911</v>
      </c>
      <c r="N389" s="8" t="str">
        <f t="shared" ref="N389:N452" si="31">"PEN"</f>
        <v>PEN</v>
      </c>
      <c r="O389" s="13"/>
      <c r="P389" s="13">
        <v>740</v>
      </c>
      <c r="Q389" s="3">
        <f t="shared" ref="Q389:Q452" si="32">+IF(OR($G389="SALDO",$G389="INGRESO"),$P389,0)</f>
        <v>740</v>
      </c>
      <c r="R389" s="3">
        <f t="shared" ref="R389:R452" si="33">+IF($G389="EGRESO",$P389,0)</f>
        <v>0</v>
      </c>
      <c r="S389" s="3">
        <f t="shared" ref="S389:S452" si="34">IFERROR(IF(G389="SALDO",Q389,S388+Q389-R389),0)</f>
        <v>14314.209999999995</v>
      </c>
      <c r="T389" s="24" t="s">
        <v>1081</v>
      </c>
      <c r="U389" s="24" t="s">
        <v>1081</v>
      </c>
      <c r="V389" s="67"/>
      <c r="W389" s="25" t="str">
        <f>IFERROR(VLOOKUP(BCP_Soles[[#This Row],[DESTINATARIO]],CHOOSE({1,2},Clientes_Proveedores[Razon Social],Clientes_Proveedores[Ruc / Dni]),2,0),"")</f>
        <v/>
      </c>
      <c r="X389" s="25" t="s">
        <v>1090</v>
      </c>
      <c r="Y389" s="25"/>
      <c r="Z389" s="25"/>
      <c r="AA389" s="99"/>
      <c r="AB389" s="3" t="str">
        <f>IF(BCP_Soles[[#This Row],[FECHA]]&gt;0,TEXT(BCP_Soles[[#This Row],[FECHA]],"mmmm"),0)</f>
        <v>Enero</v>
      </c>
    </row>
    <row r="390" spans="2:28" ht="24" x14ac:dyDescent="0.3">
      <c r="B390" s="2" t="str">
        <f>IF(BCP_Soles[[#This Row],[TIPO DE R.]]="R",COUNTIFS($D$4:$D389,"R")+1,"")</f>
        <v/>
      </c>
      <c r="C390" s="19" t="str">
        <f t="shared" si="30"/>
        <v>B-BCP - Soles</v>
      </c>
      <c r="D390" s="3" t="s">
        <v>1101</v>
      </c>
      <c r="E390" s="14"/>
      <c r="F390" s="5" t="s">
        <v>1407</v>
      </c>
      <c r="G390" s="5"/>
      <c r="H390" s="6"/>
      <c r="I390" s="6"/>
      <c r="J390" s="6"/>
      <c r="K390" s="6"/>
      <c r="L390" s="7" t="s">
        <v>1510</v>
      </c>
      <c r="M390" s="8">
        <v>518911</v>
      </c>
      <c r="N390" s="8" t="str">
        <f t="shared" si="31"/>
        <v>PEN</v>
      </c>
      <c r="O390" s="13"/>
      <c r="P390" s="13">
        <v>340</v>
      </c>
      <c r="Q390" s="3">
        <f t="shared" si="32"/>
        <v>0</v>
      </c>
      <c r="R390" s="3">
        <f t="shared" si="33"/>
        <v>0</v>
      </c>
      <c r="S390" s="3">
        <f t="shared" si="34"/>
        <v>14314.209999999995</v>
      </c>
      <c r="T390" s="24" t="s">
        <v>1081</v>
      </c>
      <c r="U390" s="24" t="s">
        <v>1081</v>
      </c>
      <c r="V390" s="67"/>
      <c r="W390" s="25" t="str">
        <f>IFERROR(VLOOKUP(BCP_Soles[[#This Row],[DESTINATARIO]],CHOOSE({1,2},Clientes_Proveedores[Razon Social],Clientes_Proveedores[Ruc / Dni]),2,0),"")</f>
        <v/>
      </c>
      <c r="X390" s="25" t="s">
        <v>1090</v>
      </c>
      <c r="Y390" s="25" t="s">
        <v>1486</v>
      </c>
      <c r="Z390" s="25"/>
      <c r="AA390" s="99"/>
      <c r="AB390" s="3">
        <f>IF(BCP_Soles[[#This Row],[FECHA]]&gt;0,TEXT(BCP_Soles[[#This Row],[FECHA]],"mmmm"),0)</f>
        <v>0</v>
      </c>
    </row>
    <row r="391" spans="2:28" ht="24" x14ac:dyDescent="0.3">
      <c r="B391" s="2" t="str">
        <f>IF(BCP_Soles[[#This Row],[TIPO DE R.]]="R",COUNTIFS($D$4:$D390,"R")+1,"")</f>
        <v/>
      </c>
      <c r="C391" s="19" t="str">
        <f t="shared" si="30"/>
        <v>B-BCP - Soles</v>
      </c>
      <c r="D391" s="3" t="s">
        <v>1101</v>
      </c>
      <c r="E391" s="14"/>
      <c r="F391" s="5" t="s">
        <v>1407</v>
      </c>
      <c r="G391" s="5"/>
      <c r="H391" s="6"/>
      <c r="I391" s="6"/>
      <c r="J391" s="6"/>
      <c r="K391" s="6"/>
      <c r="L391" s="7" t="s">
        <v>1510</v>
      </c>
      <c r="M391" s="8">
        <v>518911</v>
      </c>
      <c r="N391" s="8" t="str">
        <f t="shared" si="31"/>
        <v>PEN</v>
      </c>
      <c r="O391" s="13"/>
      <c r="P391" s="13">
        <v>400</v>
      </c>
      <c r="Q391" s="3">
        <f t="shared" si="32"/>
        <v>0</v>
      </c>
      <c r="R391" s="3">
        <f t="shared" si="33"/>
        <v>0</v>
      </c>
      <c r="S391" s="3">
        <f t="shared" si="34"/>
        <v>14314.209999999995</v>
      </c>
      <c r="T391" s="24" t="s">
        <v>1081</v>
      </c>
      <c r="U391" s="24" t="s">
        <v>1081</v>
      </c>
      <c r="V391" s="67"/>
      <c r="W391" s="25" t="str">
        <f>IFERROR(VLOOKUP(BCP_Soles[[#This Row],[DESTINATARIO]],CHOOSE({1,2},Clientes_Proveedores[Razon Social],Clientes_Proveedores[Ruc / Dni]),2,0),"")</f>
        <v/>
      </c>
      <c r="X391" s="25" t="s">
        <v>1090</v>
      </c>
      <c r="Y391" s="25" t="s">
        <v>1511</v>
      </c>
      <c r="Z391" s="25"/>
      <c r="AA391" s="99"/>
      <c r="AB391" s="3">
        <f>IF(BCP_Soles[[#This Row],[FECHA]]&gt;0,TEXT(BCP_Soles[[#This Row],[FECHA]],"mmmm"),0)</f>
        <v>0</v>
      </c>
    </row>
    <row r="392" spans="2:28" ht="24" x14ac:dyDescent="0.3">
      <c r="B392" s="2">
        <f>IF(BCP_Soles[[#This Row],[TIPO DE R.]]="R",COUNTIFS($D$4:$D391,"R")+1,"")</f>
        <v>271</v>
      </c>
      <c r="C392" s="19" t="str">
        <f t="shared" si="30"/>
        <v>B-BCP - Soles</v>
      </c>
      <c r="D392" s="3" t="s">
        <v>1074</v>
      </c>
      <c r="E392" s="14">
        <v>45691</v>
      </c>
      <c r="F392" s="5" t="s">
        <v>1513</v>
      </c>
      <c r="G392" s="5" t="s">
        <v>1087</v>
      </c>
      <c r="H392" s="6"/>
      <c r="I392" s="6"/>
      <c r="J392" s="6"/>
      <c r="K392" s="6"/>
      <c r="L392" s="7" t="s">
        <v>1514</v>
      </c>
      <c r="M392" s="8">
        <v>1986124</v>
      </c>
      <c r="N392" s="8" t="str">
        <f t="shared" si="31"/>
        <v>PEN</v>
      </c>
      <c r="O392" s="13"/>
      <c r="P392" s="13">
        <v>250</v>
      </c>
      <c r="Q392" s="3">
        <f t="shared" si="32"/>
        <v>250</v>
      </c>
      <c r="R392" s="3">
        <f t="shared" si="33"/>
        <v>0</v>
      </c>
      <c r="S392" s="3">
        <f t="shared" si="34"/>
        <v>14564.209999999995</v>
      </c>
      <c r="T392" s="24"/>
      <c r="U392" s="24"/>
      <c r="V392" s="67"/>
      <c r="W392" s="25" t="str">
        <f>IFERROR(VLOOKUP(BCP_Soles[[#This Row],[DESTINATARIO]],CHOOSE({1,2},Clientes_Proveedores[Razon Social],Clientes_Proveedores[Ruc / Dni]),2,0),"")</f>
        <v/>
      </c>
      <c r="X392" s="25" t="s">
        <v>1090</v>
      </c>
      <c r="Y392" s="25"/>
      <c r="Z392" s="25"/>
      <c r="AA392" s="99"/>
      <c r="AB392" s="3" t="str">
        <f>IF(BCP_Soles[[#This Row],[FECHA]]&gt;0,TEXT(BCP_Soles[[#This Row],[FECHA]],"mmmm"),0)</f>
        <v>Febrero</v>
      </c>
    </row>
    <row r="393" spans="2:28" ht="36" x14ac:dyDescent="0.3">
      <c r="B393" s="2">
        <f>IF(BCP_Soles[[#This Row],[TIPO DE R.]]="R",COUNTIFS($D$4:$D392,"R")+1,"")</f>
        <v>272</v>
      </c>
      <c r="C393" s="19" t="str">
        <f t="shared" si="30"/>
        <v>B-BCP - Soles</v>
      </c>
      <c r="D393" s="3" t="s">
        <v>1074</v>
      </c>
      <c r="E393" s="14">
        <v>45691</v>
      </c>
      <c r="F393" s="5" t="s">
        <v>198</v>
      </c>
      <c r="G393" s="5" t="s">
        <v>1087</v>
      </c>
      <c r="H393" s="6"/>
      <c r="I393" s="6"/>
      <c r="J393" s="6"/>
      <c r="K393" s="6"/>
      <c r="L393" s="7" t="s">
        <v>1515</v>
      </c>
      <c r="M393" s="8">
        <v>8647685</v>
      </c>
      <c r="N393" s="8" t="str">
        <f t="shared" si="31"/>
        <v>PEN</v>
      </c>
      <c r="O393" s="13"/>
      <c r="P393" s="13">
        <v>20336.21</v>
      </c>
      <c r="Q393" s="3">
        <f t="shared" si="32"/>
        <v>20336.21</v>
      </c>
      <c r="R393" s="3">
        <f t="shared" si="33"/>
        <v>0</v>
      </c>
      <c r="S393" s="3">
        <f t="shared" si="34"/>
        <v>34900.42</v>
      </c>
      <c r="T393" s="24" t="s">
        <v>1081</v>
      </c>
      <c r="U393" s="24" t="s">
        <v>1081</v>
      </c>
      <c r="V393" s="67"/>
      <c r="W393" s="25" t="str">
        <f>IFERROR(VLOOKUP(BCP_Soles[[#This Row],[DESTINATARIO]],CHOOSE({1,2},Clientes_Proveedores[Razon Social],Clientes_Proveedores[Ruc / Dni]),2,0),"")</f>
        <v/>
      </c>
      <c r="X393" s="25" t="s">
        <v>1090</v>
      </c>
      <c r="Y393" s="25" t="s">
        <v>1516</v>
      </c>
      <c r="Z393" s="25"/>
      <c r="AA393" s="99"/>
      <c r="AB393" s="3" t="str">
        <f>IF(BCP_Soles[[#This Row],[FECHA]]&gt;0,TEXT(BCP_Soles[[#This Row],[FECHA]],"mmmm"),0)</f>
        <v>Febrero</v>
      </c>
    </row>
    <row r="394" spans="2:28" ht="24" x14ac:dyDescent="0.3">
      <c r="B394" s="2">
        <f>IF(BCP_Soles[[#This Row],[TIPO DE R.]]="R",COUNTIFS($D$4:$D393,"R")+1,"")</f>
        <v>273</v>
      </c>
      <c r="C394" s="19" t="str">
        <f t="shared" si="30"/>
        <v>B-BCP - Soles</v>
      </c>
      <c r="D394" s="3" t="s">
        <v>1074</v>
      </c>
      <c r="E394" s="14">
        <v>45691</v>
      </c>
      <c r="F394" s="5" t="s">
        <v>293</v>
      </c>
      <c r="G394" s="5" t="s">
        <v>1087</v>
      </c>
      <c r="H394" s="6"/>
      <c r="I394" s="6"/>
      <c r="J394" s="6"/>
      <c r="K394" s="6"/>
      <c r="L394" s="7" t="s">
        <v>1196</v>
      </c>
      <c r="M394" s="8">
        <v>2121469</v>
      </c>
      <c r="N394" s="8" t="str">
        <f t="shared" si="31"/>
        <v>PEN</v>
      </c>
      <c r="O394" s="13"/>
      <c r="P394" s="13">
        <v>991.2</v>
      </c>
      <c r="Q394" s="3">
        <f t="shared" si="32"/>
        <v>991.2</v>
      </c>
      <c r="R394" s="3">
        <f t="shared" si="33"/>
        <v>0</v>
      </c>
      <c r="S394" s="3">
        <f t="shared" si="34"/>
        <v>35891.619999999995</v>
      </c>
      <c r="T394" s="24" t="s">
        <v>1081</v>
      </c>
      <c r="U394" s="24" t="s">
        <v>1081</v>
      </c>
      <c r="V394" s="67"/>
      <c r="W394" s="25" t="str">
        <f>IFERROR(VLOOKUP(BCP_Soles[[#This Row],[DESTINATARIO]],CHOOSE({1,2},Clientes_Proveedores[Razon Social],Clientes_Proveedores[Ruc / Dni]),2,0),"")</f>
        <v/>
      </c>
      <c r="X394" s="25" t="s">
        <v>1090</v>
      </c>
      <c r="Y394" s="25" t="s">
        <v>1517</v>
      </c>
      <c r="Z394" s="25"/>
      <c r="AA394" s="99"/>
      <c r="AB394" s="3" t="str">
        <f>IF(BCP_Soles[[#This Row],[FECHA]]&gt;0,TEXT(BCP_Soles[[#This Row],[FECHA]],"mmmm"),0)</f>
        <v>Febrero</v>
      </c>
    </row>
    <row r="395" spans="2:28" x14ac:dyDescent="0.3">
      <c r="B395" s="2">
        <f>IF(BCP_Soles[[#This Row],[TIPO DE R.]]="R",COUNTIFS($D$4:$D394,"R")+1,"")</f>
        <v>274</v>
      </c>
      <c r="C395" s="19" t="str">
        <f t="shared" si="30"/>
        <v>B-BCP - Soles</v>
      </c>
      <c r="D395" s="3" t="s">
        <v>1074</v>
      </c>
      <c r="E395" s="14">
        <v>45691</v>
      </c>
      <c r="F395" s="5" t="s">
        <v>1078</v>
      </c>
      <c r="G395" s="5" t="s">
        <v>1079</v>
      </c>
      <c r="H395" s="6"/>
      <c r="I395" s="6"/>
      <c r="J395" s="6"/>
      <c r="K395" s="6"/>
      <c r="L395" s="7" t="s">
        <v>1080</v>
      </c>
      <c r="M395" s="8"/>
      <c r="N395" s="8" t="str">
        <f t="shared" si="31"/>
        <v>PEN</v>
      </c>
      <c r="O395" s="13"/>
      <c r="P395" s="13">
        <v>2.2000000000000002</v>
      </c>
      <c r="Q395" s="3">
        <f t="shared" si="32"/>
        <v>0</v>
      </c>
      <c r="R395" s="3">
        <f t="shared" si="33"/>
        <v>2.2000000000000002</v>
      </c>
      <c r="S395" s="3">
        <f t="shared" si="34"/>
        <v>35889.42</v>
      </c>
      <c r="T395" s="24"/>
      <c r="U395" s="24" t="s">
        <v>1081</v>
      </c>
      <c r="V395" s="67"/>
      <c r="W395" s="25" t="str">
        <f>IFERROR(VLOOKUP(BCP_Soles[[#This Row],[DESTINATARIO]],CHOOSE({1,2},Clientes_Proveedores[Razon Social],Clientes_Proveedores[Ruc / Dni]),2,0),"")</f>
        <v/>
      </c>
      <c r="X395" s="25"/>
      <c r="Y395" s="25"/>
      <c r="Z395" s="25"/>
      <c r="AA395" s="99"/>
      <c r="AB395" s="3" t="str">
        <f>IF(BCP_Soles[[#This Row],[FECHA]]&gt;0,TEXT(BCP_Soles[[#This Row],[FECHA]],"mmmm"),0)</f>
        <v>Febrero</v>
      </c>
    </row>
    <row r="396" spans="2:28" ht="24" x14ac:dyDescent="0.3">
      <c r="B396" s="2">
        <f>IF(BCP_Soles[[#This Row],[TIPO DE R.]]="R",COUNTIFS($D$4:$D395,"R")+1,"")</f>
        <v>275</v>
      </c>
      <c r="C396" s="19" t="str">
        <f t="shared" si="30"/>
        <v>B-BCP - Soles</v>
      </c>
      <c r="D396" s="3" t="s">
        <v>1074</v>
      </c>
      <c r="E396" s="14">
        <v>45691</v>
      </c>
      <c r="F396" s="5" t="s">
        <v>1163</v>
      </c>
      <c r="G396" s="5" t="s">
        <v>1079</v>
      </c>
      <c r="H396" s="6"/>
      <c r="I396" s="6"/>
      <c r="J396" s="6"/>
      <c r="K396" s="6"/>
      <c r="L396" s="7" t="s">
        <v>1518</v>
      </c>
      <c r="M396" s="8">
        <v>3948635</v>
      </c>
      <c r="N396" s="8" t="str">
        <f t="shared" si="31"/>
        <v>PEN</v>
      </c>
      <c r="O396" s="13"/>
      <c r="P396" s="13">
        <v>20000</v>
      </c>
      <c r="Q396" s="3">
        <f t="shared" si="32"/>
        <v>0</v>
      </c>
      <c r="R396" s="3">
        <f t="shared" si="33"/>
        <v>20000</v>
      </c>
      <c r="S396" s="3">
        <f t="shared" si="34"/>
        <v>15889.419999999998</v>
      </c>
      <c r="T396" s="24"/>
      <c r="U396" s="24"/>
      <c r="V396" s="67"/>
      <c r="W396" s="25" t="str">
        <f>IFERROR(VLOOKUP(BCP_Soles[[#This Row],[DESTINATARIO]],CHOOSE({1,2},Clientes_Proveedores[Razon Social],Clientes_Proveedores[Ruc / Dni]),2,0),"")</f>
        <v/>
      </c>
      <c r="X396" s="25" t="s">
        <v>1519</v>
      </c>
      <c r="Y396" s="25" t="s">
        <v>1172</v>
      </c>
      <c r="Z396" s="25"/>
      <c r="AA396" s="99"/>
      <c r="AB396" s="3" t="str">
        <f>IF(BCP_Soles[[#This Row],[FECHA]]&gt;0,TEXT(BCP_Soles[[#This Row],[FECHA]],"mmmm"),0)</f>
        <v>Febrero</v>
      </c>
    </row>
    <row r="397" spans="2:28" ht="24" x14ac:dyDescent="0.3">
      <c r="B397" s="2">
        <f>IF(BCP_Soles[[#This Row],[TIPO DE R.]]="R",COUNTIFS($D$4:$D396,"R")+1,"")</f>
        <v>276</v>
      </c>
      <c r="C397" s="19" t="str">
        <f t="shared" si="30"/>
        <v>B-BCP - Soles</v>
      </c>
      <c r="D397" s="3" t="s">
        <v>1074</v>
      </c>
      <c r="E397" s="14">
        <v>45691</v>
      </c>
      <c r="F397" s="5" t="s">
        <v>1082</v>
      </c>
      <c r="G397" s="5" t="s">
        <v>1079</v>
      </c>
      <c r="H397" s="6" t="s">
        <v>640</v>
      </c>
      <c r="I397" s="6"/>
      <c r="J397" s="6"/>
      <c r="K397" s="6"/>
      <c r="L397" s="7" t="s">
        <v>1520</v>
      </c>
      <c r="M397" s="8">
        <v>4061205</v>
      </c>
      <c r="N397" s="8" t="str">
        <f t="shared" si="31"/>
        <v>PEN</v>
      </c>
      <c r="O397" s="13"/>
      <c r="P397" s="13">
        <v>3219.5</v>
      </c>
      <c r="Q397" s="3">
        <f t="shared" si="32"/>
        <v>0</v>
      </c>
      <c r="R397" s="3">
        <f t="shared" si="33"/>
        <v>3219.5</v>
      </c>
      <c r="S397" s="3">
        <f t="shared" si="34"/>
        <v>12669.919999999998</v>
      </c>
      <c r="T397" s="24"/>
      <c r="U397" s="24"/>
      <c r="V397" s="67"/>
      <c r="W397" s="25">
        <f>IFERROR(VLOOKUP(BCP_Soles[[#This Row],[DESTINATARIO]],CHOOSE({1,2},Clientes_Proveedores[Razon Social],Clientes_Proveedores[Ruc / Dni]),2,0),"")</f>
        <v>10296347634</v>
      </c>
      <c r="X397" s="25" t="s">
        <v>640</v>
      </c>
      <c r="Y397" s="25"/>
      <c r="Z397" s="25"/>
      <c r="AA397" s="99"/>
      <c r="AB397" s="3" t="str">
        <f>IF(BCP_Soles[[#This Row],[FECHA]]&gt;0,TEXT(BCP_Soles[[#This Row],[FECHA]],"mmmm"),0)</f>
        <v>Febrero</v>
      </c>
    </row>
    <row r="398" spans="2:28" ht="24" x14ac:dyDescent="0.3">
      <c r="B398" s="2" t="str">
        <f>IF(BCP_Soles[[#This Row],[TIPO DE R.]]="R",COUNTIFS($D$4:$D397,"R")+1,"")</f>
        <v/>
      </c>
      <c r="C398" s="19" t="str">
        <f t="shared" si="30"/>
        <v>B-BCP - Soles</v>
      </c>
      <c r="D398" s="3" t="s">
        <v>1101</v>
      </c>
      <c r="E398" s="14">
        <v>45691</v>
      </c>
      <c r="F398" s="5" t="s">
        <v>1082</v>
      </c>
      <c r="G398" s="5"/>
      <c r="H398" s="6" t="s">
        <v>640</v>
      </c>
      <c r="I398" s="6" t="s">
        <v>10</v>
      </c>
      <c r="J398" s="6"/>
      <c r="K398" s="6"/>
      <c r="L398" s="7" t="s">
        <v>1520</v>
      </c>
      <c r="M398" s="8">
        <v>4061205</v>
      </c>
      <c r="N398" s="8" t="str">
        <f t="shared" si="31"/>
        <v>PEN</v>
      </c>
      <c r="O398" s="13">
        <v>3200</v>
      </c>
      <c r="P398" s="13"/>
      <c r="Q398" s="3">
        <f t="shared" si="32"/>
        <v>0</v>
      </c>
      <c r="R398" s="3">
        <f t="shared" si="33"/>
        <v>0</v>
      </c>
      <c r="S398" s="3">
        <f t="shared" si="34"/>
        <v>12669.919999999998</v>
      </c>
      <c r="T398" s="24"/>
      <c r="U398" s="24"/>
      <c r="V398" s="67"/>
      <c r="W398" s="25">
        <f>IFERROR(VLOOKUP(BCP_Soles[[#This Row],[DESTINATARIO]],CHOOSE({1,2},Clientes_Proveedores[Razon Social],Clientes_Proveedores[Ruc / Dni]),2,0),"")</f>
        <v>10296347634</v>
      </c>
      <c r="X398" s="25"/>
      <c r="Y398" s="25"/>
      <c r="Z398" s="25"/>
      <c r="AA398" s="99"/>
      <c r="AB398" s="3" t="str">
        <f>IF(BCP_Soles[[#This Row],[FECHA]]&gt;0,TEXT(BCP_Soles[[#This Row],[FECHA]],"mmmm"),0)</f>
        <v>Febrero</v>
      </c>
    </row>
    <row r="399" spans="2:28" ht="24" x14ac:dyDescent="0.3">
      <c r="B399" s="2" t="str">
        <f>IF(BCP_Soles[[#This Row],[TIPO DE R.]]="R",COUNTIFS($D$4:$D398,"R")+1,"")</f>
        <v/>
      </c>
      <c r="C399" s="19" t="str">
        <f t="shared" si="30"/>
        <v>B-BCP - Soles</v>
      </c>
      <c r="D399" s="3" t="s">
        <v>1101</v>
      </c>
      <c r="E399" s="14">
        <v>45691</v>
      </c>
      <c r="F399" s="5" t="s">
        <v>1082</v>
      </c>
      <c r="G399" s="5"/>
      <c r="H399" s="6" t="s">
        <v>1001</v>
      </c>
      <c r="I399" s="6" t="s">
        <v>14</v>
      </c>
      <c r="J399" s="6" t="s">
        <v>3128</v>
      </c>
      <c r="K399" s="6">
        <v>29132762</v>
      </c>
      <c r="L399" s="7" t="s">
        <v>1520</v>
      </c>
      <c r="M399" s="8">
        <v>4061205</v>
      </c>
      <c r="N399" s="8" t="str">
        <f t="shared" si="31"/>
        <v>PEN</v>
      </c>
      <c r="O399" s="13">
        <v>19.5</v>
      </c>
      <c r="P399" s="13"/>
      <c r="Q399" s="3">
        <f t="shared" si="32"/>
        <v>0</v>
      </c>
      <c r="R399" s="3">
        <f t="shared" si="33"/>
        <v>0</v>
      </c>
      <c r="S399" s="3">
        <f t="shared" si="34"/>
        <v>12669.919999999998</v>
      </c>
      <c r="T399" s="24" t="s">
        <v>1081</v>
      </c>
      <c r="U399" s="24"/>
      <c r="V399" s="67"/>
      <c r="W399" s="25">
        <f>IFERROR(VLOOKUP(BCP_Soles[[#This Row],[DESTINATARIO]],CHOOSE({1,2},Clientes_Proveedores[Razon Social],Clientes_Proveedores[Ruc / Dni]),2,0),"")</f>
        <v>20100047218</v>
      </c>
      <c r="X399" s="25"/>
      <c r="Y399" s="25"/>
      <c r="Z399" s="25"/>
      <c r="AA399" s="99"/>
      <c r="AB399" s="3" t="str">
        <f>IF(BCP_Soles[[#This Row],[FECHA]]&gt;0,TEXT(BCP_Soles[[#This Row],[FECHA]],"mmmm"),0)</f>
        <v>Febrero</v>
      </c>
    </row>
    <row r="400" spans="2:28" ht="24" x14ac:dyDescent="0.3">
      <c r="B400" s="2">
        <f>IF(BCP_Soles[[#This Row],[TIPO DE R.]]="R",COUNTIFS($D$4:$D399,"R")+1,"")</f>
        <v>277</v>
      </c>
      <c r="C400" s="19" t="str">
        <f t="shared" si="30"/>
        <v>B-BCP - Soles</v>
      </c>
      <c r="D400" s="3" t="s">
        <v>1074</v>
      </c>
      <c r="E400" s="14">
        <v>45691</v>
      </c>
      <c r="F400" s="5" t="s">
        <v>1082</v>
      </c>
      <c r="G400" s="5" t="s">
        <v>1079</v>
      </c>
      <c r="H400" s="6"/>
      <c r="I400" s="6" t="s">
        <v>14</v>
      </c>
      <c r="J400" s="6" t="s">
        <v>1521</v>
      </c>
      <c r="K400" s="6">
        <v>11791</v>
      </c>
      <c r="L400" s="7" t="s">
        <v>1522</v>
      </c>
      <c r="M400" s="8">
        <v>1210362</v>
      </c>
      <c r="N400" s="8" t="str">
        <f t="shared" si="31"/>
        <v>PEN</v>
      </c>
      <c r="O400" s="13"/>
      <c r="P400" s="13">
        <v>516</v>
      </c>
      <c r="Q400" s="3">
        <f t="shared" si="32"/>
        <v>0</v>
      </c>
      <c r="R400" s="3">
        <f t="shared" si="33"/>
        <v>516</v>
      </c>
      <c r="S400" s="3">
        <f t="shared" si="34"/>
        <v>12153.919999999998</v>
      </c>
      <c r="T400" s="24" t="s">
        <v>1081</v>
      </c>
      <c r="U400" s="24" t="s">
        <v>1081</v>
      </c>
      <c r="V400" s="67"/>
      <c r="W400" s="25" t="str">
        <f>IFERROR(VLOOKUP(BCP_Soles[[#This Row],[DESTINATARIO]],CHOOSE({1,2},Clientes_Proveedores[Razon Social],Clientes_Proveedores[Ruc / Dni]),2,0),"")</f>
        <v/>
      </c>
      <c r="X400" s="25" t="s">
        <v>651</v>
      </c>
      <c r="Y400" s="25" t="s">
        <v>1523</v>
      </c>
      <c r="Z400" s="25"/>
      <c r="AA400" s="99"/>
      <c r="AB400" s="3" t="str">
        <f>IF(BCP_Soles[[#This Row],[FECHA]]&gt;0,TEXT(BCP_Soles[[#This Row],[FECHA]],"mmmm"),0)</f>
        <v>Febrero</v>
      </c>
    </row>
    <row r="401" spans="2:28" ht="24" x14ac:dyDescent="0.3">
      <c r="B401" s="2">
        <f>IF(BCP_Soles[[#This Row],[TIPO DE R.]]="R",COUNTIFS($D$4:$D400,"R")+1,"")</f>
        <v>278</v>
      </c>
      <c r="C401" s="19" t="str">
        <f t="shared" si="30"/>
        <v>B-BCP - Soles</v>
      </c>
      <c r="D401" s="3" t="s">
        <v>1074</v>
      </c>
      <c r="E401" s="14">
        <v>45691</v>
      </c>
      <c r="F401" s="5" t="s">
        <v>1082</v>
      </c>
      <c r="G401" s="5" t="s">
        <v>1079</v>
      </c>
      <c r="H401" s="6" t="s">
        <v>107</v>
      </c>
      <c r="I401" s="6" t="s">
        <v>18</v>
      </c>
      <c r="J401" s="6" t="s">
        <v>1121</v>
      </c>
      <c r="K401" s="6">
        <v>145</v>
      </c>
      <c r="L401" s="7" t="s">
        <v>1524</v>
      </c>
      <c r="M401" s="8">
        <v>1205343</v>
      </c>
      <c r="N401" s="8" t="str">
        <f t="shared" si="31"/>
        <v>PEN</v>
      </c>
      <c r="O401" s="13"/>
      <c r="P401" s="13">
        <v>200</v>
      </c>
      <c r="Q401" s="3">
        <f t="shared" si="32"/>
        <v>0</v>
      </c>
      <c r="R401" s="3">
        <f t="shared" si="33"/>
        <v>200</v>
      </c>
      <c r="S401" s="3">
        <f t="shared" si="34"/>
        <v>11953.919999999998</v>
      </c>
      <c r="T401" s="24"/>
      <c r="U401" s="24" t="s">
        <v>1081</v>
      </c>
      <c r="V401" s="67"/>
      <c r="W401" s="25">
        <f>IFERROR(VLOOKUP(BCP_Soles[[#This Row],[DESTINATARIO]],CHOOSE({1,2},Clientes_Proveedores[Razon Social],Clientes_Proveedores[Ruc / Dni]),2,0),"")</f>
        <v>10418721435</v>
      </c>
      <c r="X401" s="25" t="s">
        <v>692</v>
      </c>
      <c r="Y401" s="25" t="s">
        <v>1525</v>
      </c>
      <c r="Z401" s="25"/>
      <c r="AA401" s="99"/>
      <c r="AB401" s="3" t="str">
        <f>IF(BCP_Soles[[#This Row],[FECHA]]&gt;0,TEXT(BCP_Soles[[#This Row],[FECHA]],"mmmm"),0)</f>
        <v>Febrero</v>
      </c>
    </row>
    <row r="402" spans="2:28" ht="24" x14ac:dyDescent="0.3">
      <c r="B402" s="2">
        <f>IF(BCP_Soles[[#This Row],[TIPO DE R.]]="R",COUNTIFS($D$4:$D401,"R")+1,"")</f>
        <v>279</v>
      </c>
      <c r="C402" s="19" t="str">
        <f t="shared" si="30"/>
        <v>B-BCP - Soles</v>
      </c>
      <c r="D402" s="3" t="s">
        <v>1074</v>
      </c>
      <c r="E402" s="14">
        <v>45691</v>
      </c>
      <c r="F402" s="5" t="s">
        <v>293</v>
      </c>
      <c r="G402" s="5" t="s">
        <v>1087</v>
      </c>
      <c r="H402" s="6"/>
      <c r="I402" s="6"/>
      <c r="J402" s="6"/>
      <c r="K402" s="6"/>
      <c r="L402" s="7" t="s">
        <v>1196</v>
      </c>
      <c r="M402" s="8">
        <v>2181557</v>
      </c>
      <c r="N402" s="8" t="str">
        <f t="shared" si="31"/>
        <v>PEN</v>
      </c>
      <c r="O402" s="13"/>
      <c r="P402" s="13">
        <v>1784.75</v>
      </c>
      <c r="Q402" s="3">
        <f t="shared" si="32"/>
        <v>1784.75</v>
      </c>
      <c r="R402" s="3">
        <f t="shared" si="33"/>
        <v>0</v>
      </c>
      <c r="S402" s="3">
        <f t="shared" si="34"/>
        <v>13738.669999999998</v>
      </c>
      <c r="T402" s="24" t="s">
        <v>1081</v>
      </c>
      <c r="U402" s="24" t="s">
        <v>1081</v>
      </c>
      <c r="V402" s="67"/>
      <c r="W402" s="25" t="str">
        <f>IFERROR(VLOOKUP(BCP_Soles[[#This Row],[DESTINATARIO]],CHOOSE({1,2},Clientes_Proveedores[Razon Social],Clientes_Proveedores[Ruc / Dni]),2,0),"")</f>
        <v/>
      </c>
      <c r="X402" s="25" t="s">
        <v>1090</v>
      </c>
      <c r="Y402" s="25" t="s">
        <v>1526</v>
      </c>
      <c r="Z402" s="25"/>
      <c r="AA402" s="99"/>
      <c r="AB402" s="3" t="str">
        <f>IF(BCP_Soles[[#This Row],[FECHA]]&gt;0,TEXT(BCP_Soles[[#This Row],[FECHA]],"mmmm"),0)</f>
        <v>Febrero</v>
      </c>
    </row>
    <row r="403" spans="2:28" x14ac:dyDescent="0.3">
      <c r="B403" s="2">
        <f>IF(BCP_Soles[[#This Row],[TIPO DE R.]]="R",COUNTIFS($D$4:$D402,"R")+1,"")</f>
        <v>280</v>
      </c>
      <c r="C403" s="19" t="str">
        <f t="shared" si="30"/>
        <v>B-BCP - Soles</v>
      </c>
      <c r="D403" s="3" t="s">
        <v>1074</v>
      </c>
      <c r="E403" s="14">
        <v>45692</v>
      </c>
      <c r="F403" s="5" t="s">
        <v>1078</v>
      </c>
      <c r="G403" s="5" t="s">
        <v>1079</v>
      </c>
      <c r="H403" s="6"/>
      <c r="I403" s="6"/>
      <c r="J403" s="6"/>
      <c r="K403" s="6"/>
      <c r="L403" s="7" t="s">
        <v>1080</v>
      </c>
      <c r="M403" s="8"/>
      <c r="N403" s="8" t="str">
        <f t="shared" si="31"/>
        <v>PEN</v>
      </c>
      <c r="O403" s="13"/>
      <c r="P403" s="13">
        <v>0.15</v>
      </c>
      <c r="Q403" s="3">
        <f t="shared" si="32"/>
        <v>0</v>
      </c>
      <c r="R403" s="3">
        <f t="shared" si="33"/>
        <v>0.15</v>
      </c>
      <c r="S403" s="3">
        <f t="shared" si="34"/>
        <v>13738.519999999999</v>
      </c>
      <c r="T403" s="24"/>
      <c r="U403" s="24" t="s">
        <v>1081</v>
      </c>
      <c r="V403" s="67"/>
      <c r="W403" s="25" t="str">
        <f>IFERROR(VLOOKUP(BCP_Soles[[#This Row],[DESTINATARIO]],CHOOSE({1,2},Clientes_Proveedores[Razon Social],Clientes_Proveedores[Ruc / Dni]),2,0),"")</f>
        <v/>
      </c>
      <c r="X403" s="25"/>
      <c r="Y403" s="25"/>
      <c r="Z403" s="25"/>
      <c r="AA403" s="99"/>
      <c r="AB403" s="3" t="str">
        <f>IF(BCP_Soles[[#This Row],[FECHA]]&gt;0,TEXT(BCP_Soles[[#This Row],[FECHA]],"mmmm"),0)</f>
        <v>Febrero</v>
      </c>
    </row>
    <row r="404" spans="2:28" ht="36" x14ac:dyDescent="0.3">
      <c r="B404" s="2">
        <f>IF(BCP_Soles[[#This Row],[TIPO DE R.]]="R",COUNTIFS($D$4:$D403,"R")+1,"")</f>
        <v>281</v>
      </c>
      <c r="C404" s="19" t="str">
        <f t="shared" si="30"/>
        <v>B-BCP - Soles</v>
      </c>
      <c r="D404" s="3" t="s">
        <v>1074</v>
      </c>
      <c r="E404" s="14">
        <v>45692</v>
      </c>
      <c r="F404" s="5" t="s">
        <v>1082</v>
      </c>
      <c r="G404" s="5" t="s">
        <v>1079</v>
      </c>
      <c r="H404" s="6"/>
      <c r="I404" s="6"/>
      <c r="J404" s="6"/>
      <c r="K404" s="6"/>
      <c r="L404" s="7" t="s">
        <v>7902</v>
      </c>
      <c r="M404" s="8">
        <v>1269347</v>
      </c>
      <c r="N404" s="8" t="str">
        <f t="shared" si="31"/>
        <v>PEN</v>
      </c>
      <c r="O404" s="13"/>
      <c r="P404" s="13">
        <v>1987.3</v>
      </c>
      <c r="Q404" s="3">
        <f t="shared" si="32"/>
        <v>0</v>
      </c>
      <c r="R404" s="3">
        <f t="shared" si="33"/>
        <v>1987.3</v>
      </c>
      <c r="S404" s="3">
        <f t="shared" si="34"/>
        <v>11751.22</v>
      </c>
      <c r="T404" s="24" t="s">
        <v>1081</v>
      </c>
      <c r="U404" s="24" t="s">
        <v>1081</v>
      </c>
      <c r="V404" s="67"/>
      <c r="W404" s="25" t="str">
        <f>IFERROR(VLOOKUP(BCP_Soles[[#This Row],[DESTINATARIO]],CHOOSE({1,2},Clientes_Proveedores[Razon Social],Clientes_Proveedores[Ruc / Dni]),2,0),"")</f>
        <v/>
      </c>
      <c r="X404" s="25" t="s">
        <v>889</v>
      </c>
      <c r="Y404" s="25"/>
      <c r="Z404" s="25"/>
      <c r="AA404" s="99"/>
      <c r="AB404" s="3" t="str">
        <f>IF(BCP_Soles[[#This Row],[FECHA]]&gt;0,TEXT(BCP_Soles[[#This Row],[FECHA]],"mmmm"),0)</f>
        <v>Febrero</v>
      </c>
    </row>
    <row r="405" spans="2:28" ht="24" x14ac:dyDescent="0.3">
      <c r="B405" s="2">
        <f>IF(BCP_Soles[[#This Row],[TIPO DE R.]]="R",COUNTIFS($D$4:$D404,"R")+1,"")</f>
        <v>282</v>
      </c>
      <c r="C405" s="19" t="str">
        <f t="shared" si="30"/>
        <v>B-BCP - Soles</v>
      </c>
      <c r="D405" s="3" t="s">
        <v>1074</v>
      </c>
      <c r="E405" s="14">
        <v>45692</v>
      </c>
      <c r="F405" s="5" t="s">
        <v>1082</v>
      </c>
      <c r="G405" s="5" t="s">
        <v>1079</v>
      </c>
      <c r="H405" s="6" t="s">
        <v>829</v>
      </c>
      <c r="I405" s="6" t="s">
        <v>91</v>
      </c>
      <c r="J405" s="6">
        <v>14</v>
      </c>
      <c r="K405" s="6">
        <v>28</v>
      </c>
      <c r="L405" s="7" t="s">
        <v>1528</v>
      </c>
      <c r="M405" s="8">
        <v>1186467</v>
      </c>
      <c r="N405" s="8" t="str">
        <f t="shared" si="31"/>
        <v>PEN</v>
      </c>
      <c r="O405" s="13"/>
      <c r="P405" s="13">
        <v>1957.54</v>
      </c>
      <c r="Q405" s="3">
        <f t="shared" si="32"/>
        <v>0</v>
      </c>
      <c r="R405" s="3">
        <f t="shared" si="33"/>
        <v>1957.54</v>
      </c>
      <c r="S405" s="3">
        <f t="shared" si="34"/>
        <v>9793.68</v>
      </c>
      <c r="T405" s="24"/>
      <c r="U405" s="24"/>
      <c r="V405" s="67"/>
      <c r="W405" s="25">
        <f>IFERROR(VLOOKUP(BCP_Soles[[#This Row],[DESTINATARIO]],CHOOSE({1,2},Clientes_Proveedores[Razon Social],Clientes_Proveedores[Ruc / Dni]),2,0),"")</f>
        <v>47461440</v>
      </c>
      <c r="X405" s="25"/>
      <c r="Y405" s="25"/>
      <c r="Z405" s="25"/>
      <c r="AA405" s="99"/>
      <c r="AB405" s="3" t="str">
        <f>IF(BCP_Soles[[#This Row],[FECHA]]&gt;0,TEXT(BCP_Soles[[#This Row],[FECHA]],"mmmm"),0)</f>
        <v>Febrero</v>
      </c>
    </row>
    <row r="406" spans="2:28" ht="48" x14ac:dyDescent="0.3">
      <c r="B406" s="2">
        <f>IF(BCP_Soles[[#This Row],[TIPO DE R.]]="R",COUNTIFS($D$4:$D405,"R")+1,"")</f>
        <v>283</v>
      </c>
      <c r="C406" s="19" t="str">
        <f t="shared" si="30"/>
        <v>B-BCP - Soles</v>
      </c>
      <c r="D406" s="3" t="s">
        <v>1074</v>
      </c>
      <c r="E406" s="14">
        <v>45692</v>
      </c>
      <c r="F406" s="5" t="s">
        <v>1082</v>
      </c>
      <c r="G406" s="5" t="s">
        <v>1079</v>
      </c>
      <c r="H406" s="6" t="s">
        <v>444</v>
      </c>
      <c r="I406" s="6" t="s">
        <v>14</v>
      </c>
      <c r="J406" s="6" t="s">
        <v>1266</v>
      </c>
      <c r="K406" s="6">
        <v>9355</v>
      </c>
      <c r="L406" s="7" t="s">
        <v>1529</v>
      </c>
      <c r="M406" s="8">
        <v>1104082</v>
      </c>
      <c r="N406" s="8" t="str">
        <f t="shared" si="31"/>
        <v>PEN</v>
      </c>
      <c r="O406" s="13"/>
      <c r="P406" s="13">
        <v>304.01</v>
      </c>
      <c r="Q406" s="3">
        <f t="shared" si="32"/>
        <v>0</v>
      </c>
      <c r="R406" s="3">
        <f t="shared" si="33"/>
        <v>304.01</v>
      </c>
      <c r="S406" s="3">
        <f t="shared" si="34"/>
        <v>9489.67</v>
      </c>
      <c r="T406" s="24" t="s">
        <v>1081</v>
      </c>
      <c r="U406" s="24" t="s">
        <v>1081</v>
      </c>
      <c r="V406" s="67"/>
      <c r="W406" s="25">
        <f>IFERROR(VLOOKUP(BCP_Soles[[#This Row],[DESTINATARIO]],CHOOSE({1,2},Clientes_Proveedores[Razon Social],Clientes_Proveedores[Ruc / Dni]),2,0),"")</f>
        <v>20602978274</v>
      </c>
      <c r="X406" s="25" t="s">
        <v>1268</v>
      </c>
      <c r="Y406" s="25" t="s">
        <v>1530</v>
      </c>
      <c r="Z406" s="25"/>
      <c r="AA406" s="99"/>
      <c r="AB406" s="3" t="str">
        <f>IF(BCP_Soles[[#This Row],[FECHA]]&gt;0,TEXT(BCP_Soles[[#This Row],[FECHA]],"mmmm"),0)</f>
        <v>Febrero</v>
      </c>
    </row>
    <row r="407" spans="2:28" ht="48" x14ac:dyDescent="0.3">
      <c r="B407" s="2">
        <f>IF(BCP_Soles[[#This Row],[TIPO DE R.]]="R",COUNTIFS($D$4:$D406,"R")+1,"")</f>
        <v>284</v>
      </c>
      <c r="C407" s="19" t="str">
        <f t="shared" si="30"/>
        <v>B-BCP - Soles</v>
      </c>
      <c r="D407" s="3" t="s">
        <v>1074</v>
      </c>
      <c r="E407" s="14">
        <v>45692</v>
      </c>
      <c r="F407" s="5" t="s">
        <v>1082</v>
      </c>
      <c r="G407" s="5" t="s">
        <v>1079</v>
      </c>
      <c r="H407" s="6" t="s">
        <v>444</v>
      </c>
      <c r="I407" s="6" t="s">
        <v>14</v>
      </c>
      <c r="J407" s="6" t="s">
        <v>1390</v>
      </c>
      <c r="K407" s="6">
        <v>6417</v>
      </c>
      <c r="L407" s="7" t="s">
        <v>1531</v>
      </c>
      <c r="M407" s="8">
        <v>1148039</v>
      </c>
      <c r="N407" s="8" t="str">
        <f t="shared" si="31"/>
        <v>PEN</v>
      </c>
      <c r="O407" s="13"/>
      <c r="P407" s="13">
        <v>212.5</v>
      </c>
      <c r="Q407" s="3">
        <f t="shared" si="32"/>
        <v>0</v>
      </c>
      <c r="R407" s="3">
        <f t="shared" si="33"/>
        <v>212.5</v>
      </c>
      <c r="S407" s="3">
        <f t="shared" si="34"/>
        <v>9277.17</v>
      </c>
      <c r="T407" s="24" t="s">
        <v>1081</v>
      </c>
      <c r="U407" s="24" t="s">
        <v>1081</v>
      </c>
      <c r="V407" s="67"/>
      <c r="W407" s="25">
        <f>IFERROR(VLOOKUP(BCP_Soles[[#This Row],[DESTINATARIO]],CHOOSE({1,2},Clientes_Proveedores[Razon Social],Clientes_Proveedores[Ruc / Dni]),2,0),"")</f>
        <v>20602978274</v>
      </c>
      <c r="X407" s="25" t="s">
        <v>1268</v>
      </c>
      <c r="Y407" s="25" t="s">
        <v>1532</v>
      </c>
      <c r="Z407" s="25"/>
      <c r="AA407" s="99"/>
      <c r="AB407" s="3" t="str">
        <f>IF(BCP_Soles[[#This Row],[FECHA]]&gt;0,TEXT(BCP_Soles[[#This Row],[FECHA]],"mmmm"),0)</f>
        <v>Febrero</v>
      </c>
    </row>
    <row r="408" spans="2:28" ht="24" x14ac:dyDescent="0.3">
      <c r="B408" s="2">
        <f>IF(BCP_Soles[[#This Row],[TIPO DE R.]]="R",COUNTIFS($D$4:$D407,"R")+1,"")</f>
        <v>285</v>
      </c>
      <c r="C408" s="19" t="str">
        <f t="shared" si="30"/>
        <v>B-BCP - Soles</v>
      </c>
      <c r="D408" s="3" t="s">
        <v>1074</v>
      </c>
      <c r="E408" s="14">
        <v>45692</v>
      </c>
      <c r="F408" s="5" t="s">
        <v>1082</v>
      </c>
      <c r="G408" s="5" t="s">
        <v>1079</v>
      </c>
      <c r="H408" s="6"/>
      <c r="I408" s="6"/>
      <c r="J408" s="6"/>
      <c r="K408" s="6"/>
      <c r="L408" s="7" t="s">
        <v>1533</v>
      </c>
      <c r="M408" s="8">
        <v>1240408</v>
      </c>
      <c r="N408" s="8" t="str">
        <f t="shared" si="31"/>
        <v>PEN</v>
      </c>
      <c r="O408" s="13"/>
      <c r="P408" s="13">
        <v>150</v>
      </c>
      <c r="Q408" s="3">
        <f t="shared" si="32"/>
        <v>0</v>
      </c>
      <c r="R408" s="3">
        <f t="shared" si="33"/>
        <v>150</v>
      </c>
      <c r="S408" s="3">
        <f t="shared" si="34"/>
        <v>9127.17</v>
      </c>
      <c r="T408" s="24" t="s">
        <v>1081</v>
      </c>
      <c r="U408" s="24" t="s">
        <v>1081</v>
      </c>
      <c r="V408" s="67"/>
      <c r="W408" s="25" t="str">
        <f>IFERROR(VLOOKUP(BCP_Soles[[#This Row],[DESTINATARIO]],CHOOSE({1,2},Clientes_Proveedores[Razon Social],Clientes_Proveedores[Ruc / Dni]),2,0),"")</f>
        <v/>
      </c>
      <c r="X408" s="25" t="s">
        <v>973</v>
      </c>
      <c r="Y408" s="25" t="s">
        <v>1534</v>
      </c>
      <c r="Z408" s="25"/>
      <c r="AA408" s="99"/>
      <c r="AB408" s="3" t="str">
        <f>IF(BCP_Soles[[#This Row],[FECHA]]&gt;0,TEXT(BCP_Soles[[#This Row],[FECHA]],"mmmm"),0)</f>
        <v>Febrero</v>
      </c>
    </row>
    <row r="409" spans="2:28" ht="24" x14ac:dyDescent="0.3">
      <c r="B409" s="2">
        <f>IF(BCP_Soles[[#This Row],[TIPO DE R.]]="R",COUNTIFS($D$4:$D408,"R")+1,"")</f>
        <v>286</v>
      </c>
      <c r="C409" s="19" t="str">
        <f t="shared" si="30"/>
        <v>B-BCP - Soles</v>
      </c>
      <c r="D409" s="3" t="s">
        <v>1074</v>
      </c>
      <c r="E409" s="14">
        <v>45692</v>
      </c>
      <c r="F409" s="5" t="s">
        <v>1082</v>
      </c>
      <c r="G409" s="5" t="s">
        <v>1079</v>
      </c>
      <c r="H409" s="6" t="s">
        <v>192</v>
      </c>
      <c r="I409" s="6"/>
      <c r="J409" s="6"/>
      <c r="K409" s="6"/>
      <c r="L409" s="7" t="s">
        <v>1535</v>
      </c>
      <c r="M409" s="8">
        <v>1200456</v>
      </c>
      <c r="N409" s="8" t="str">
        <f t="shared" si="31"/>
        <v>PEN</v>
      </c>
      <c r="O409" s="13"/>
      <c r="P409" s="13">
        <v>40.71</v>
      </c>
      <c r="Q409" s="3">
        <f t="shared" si="32"/>
        <v>0</v>
      </c>
      <c r="R409" s="3">
        <f t="shared" si="33"/>
        <v>40.71</v>
      </c>
      <c r="S409" s="3">
        <f t="shared" si="34"/>
        <v>9086.4600000000009</v>
      </c>
      <c r="T409" s="24"/>
      <c r="U409" s="24"/>
      <c r="V409" s="67"/>
      <c r="W409" s="25">
        <f>IFERROR(VLOOKUP(BCP_Soles[[#This Row],[DESTINATARIO]],CHOOSE({1,2},Clientes_Proveedores[Razon Social],Clientes_Proveedores[Ruc / Dni]),2,0),"")</f>
        <v>20302891452</v>
      </c>
      <c r="X409" s="25" t="s">
        <v>192</v>
      </c>
      <c r="Y409" s="25"/>
      <c r="Z409" s="25"/>
      <c r="AA409" s="99"/>
      <c r="AB409" s="3" t="str">
        <f>IF(BCP_Soles[[#This Row],[FECHA]]&gt;0,TEXT(BCP_Soles[[#This Row],[FECHA]],"mmmm"),0)</f>
        <v>Febrero</v>
      </c>
    </row>
    <row r="410" spans="2:28" ht="24" x14ac:dyDescent="0.3">
      <c r="B410" s="2">
        <f>IF(BCP_Soles[[#This Row],[TIPO DE R.]]="R",COUNTIFS($D$4:$D409,"R")+1,"")</f>
        <v>287</v>
      </c>
      <c r="C410" s="19" t="str">
        <f t="shared" si="30"/>
        <v>B-BCP - Soles</v>
      </c>
      <c r="D410" s="3" t="s">
        <v>1074</v>
      </c>
      <c r="E410" s="14">
        <v>45692</v>
      </c>
      <c r="F410" s="5" t="s">
        <v>1536</v>
      </c>
      <c r="G410" s="5" t="s">
        <v>1087</v>
      </c>
      <c r="H410" s="6"/>
      <c r="I410" s="6"/>
      <c r="J410" s="6"/>
      <c r="K410" s="6"/>
      <c r="L410" s="7" t="s">
        <v>1100</v>
      </c>
      <c r="M410" s="8">
        <v>3710036</v>
      </c>
      <c r="N410" s="8" t="str">
        <f t="shared" si="31"/>
        <v>PEN</v>
      </c>
      <c r="O410" s="13"/>
      <c r="P410" s="13">
        <v>1100</v>
      </c>
      <c r="Q410" s="3">
        <f t="shared" si="32"/>
        <v>1100</v>
      </c>
      <c r="R410" s="3">
        <f t="shared" si="33"/>
        <v>0</v>
      </c>
      <c r="S410" s="3">
        <f t="shared" si="34"/>
        <v>10186.460000000001</v>
      </c>
      <c r="T410" s="24" t="s">
        <v>1081</v>
      </c>
      <c r="U410" s="24" t="s">
        <v>1081</v>
      </c>
      <c r="V410" s="67"/>
      <c r="W410" s="25" t="str">
        <f>IFERROR(VLOOKUP(BCP_Soles[[#This Row],[DESTINATARIO]],CHOOSE({1,2},Clientes_Proveedores[Razon Social],Clientes_Proveedores[Ruc / Dni]),2,0),"")</f>
        <v/>
      </c>
      <c r="X410" s="25" t="s">
        <v>1090</v>
      </c>
      <c r="Y410" s="25" t="s">
        <v>1537</v>
      </c>
      <c r="Z410" s="25"/>
      <c r="AA410" s="99"/>
      <c r="AB410" s="3" t="str">
        <f>IF(BCP_Soles[[#This Row],[FECHA]]&gt;0,TEXT(BCP_Soles[[#This Row],[FECHA]],"mmmm"),0)</f>
        <v>Febrero</v>
      </c>
    </row>
    <row r="411" spans="2:28" ht="48" x14ac:dyDescent="0.3">
      <c r="B411" s="2">
        <f>IF(BCP_Soles[[#This Row],[TIPO DE R.]]="R",COUNTIFS($D$4:$D410,"R")+1,"")</f>
        <v>288</v>
      </c>
      <c r="C411" s="19" t="str">
        <f t="shared" si="30"/>
        <v>B-BCP - Soles</v>
      </c>
      <c r="D411" s="3" t="s">
        <v>1074</v>
      </c>
      <c r="E411" s="14">
        <v>45692</v>
      </c>
      <c r="F411" s="5" t="s">
        <v>263</v>
      </c>
      <c r="G411" s="5" t="s">
        <v>1087</v>
      </c>
      <c r="H411" s="6"/>
      <c r="I411" s="6"/>
      <c r="J411" s="6"/>
      <c r="K411" s="6"/>
      <c r="L411" s="7" t="s">
        <v>1538</v>
      </c>
      <c r="M411" s="8">
        <v>217752</v>
      </c>
      <c r="N411" s="8" t="str">
        <f t="shared" si="31"/>
        <v>PEN</v>
      </c>
      <c r="O411" s="13"/>
      <c r="P411" s="13">
        <v>612</v>
      </c>
      <c r="Q411" s="3">
        <f t="shared" si="32"/>
        <v>612</v>
      </c>
      <c r="R411" s="3">
        <f t="shared" si="33"/>
        <v>0</v>
      </c>
      <c r="S411" s="3">
        <f t="shared" si="34"/>
        <v>10798.460000000001</v>
      </c>
      <c r="T411" s="24" t="s">
        <v>1081</v>
      </c>
      <c r="U411" s="24" t="s">
        <v>1081</v>
      </c>
      <c r="V411" s="67"/>
      <c r="W411" s="25" t="str">
        <f>IFERROR(VLOOKUP(BCP_Soles[[#This Row],[DESTINATARIO]],CHOOSE({1,2},Clientes_Proveedores[Razon Social],Clientes_Proveedores[Ruc / Dni]),2,0),"")</f>
        <v/>
      </c>
      <c r="X411" s="25" t="s">
        <v>1090</v>
      </c>
      <c r="Y411" s="25" t="s">
        <v>1539</v>
      </c>
      <c r="Z411" s="25"/>
      <c r="AA411" s="99"/>
      <c r="AB411" s="3" t="str">
        <f>IF(BCP_Soles[[#This Row],[FECHA]]&gt;0,TEXT(BCP_Soles[[#This Row],[FECHA]],"mmmm"),0)</f>
        <v>Febrero</v>
      </c>
    </row>
    <row r="412" spans="2:28" ht="48" x14ac:dyDescent="0.3">
      <c r="B412" s="2">
        <f>IF(BCP_Soles[[#This Row],[TIPO DE R.]]="R",COUNTIFS($D$4:$D411,"R")+1,"")</f>
        <v>289</v>
      </c>
      <c r="C412" s="19" t="str">
        <f t="shared" si="30"/>
        <v>B-BCP - Soles</v>
      </c>
      <c r="D412" s="3" t="s">
        <v>1074</v>
      </c>
      <c r="E412" s="14">
        <v>45692</v>
      </c>
      <c r="F412" s="5" t="s">
        <v>263</v>
      </c>
      <c r="G412" s="5" t="s">
        <v>1087</v>
      </c>
      <c r="H412" s="6"/>
      <c r="I412" s="6"/>
      <c r="J412" s="6"/>
      <c r="K412" s="6"/>
      <c r="L412" s="7" t="s">
        <v>1538</v>
      </c>
      <c r="M412" s="8">
        <v>217747</v>
      </c>
      <c r="N412" s="8" t="str">
        <f t="shared" si="31"/>
        <v>PEN</v>
      </c>
      <c r="O412" s="13"/>
      <c r="P412" s="13">
        <v>600</v>
      </c>
      <c r="Q412" s="3">
        <f t="shared" si="32"/>
        <v>600</v>
      </c>
      <c r="R412" s="3">
        <f t="shared" si="33"/>
        <v>0</v>
      </c>
      <c r="S412" s="3">
        <f t="shared" si="34"/>
        <v>11398.460000000001</v>
      </c>
      <c r="T412" s="24" t="s">
        <v>1081</v>
      </c>
      <c r="U412" s="24" t="s">
        <v>1081</v>
      </c>
      <c r="V412" s="67"/>
      <c r="W412" s="25" t="str">
        <f>IFERROR(VLOOKUP(BCP_Soles[[#This Row],[DESTINATARIO]],CHOOSE({1,2},Clientes_Proveedores[Razon Social],Clientes_Proveedores[Ruc / Dni]),2,0),"")</f>
        <v/>
      </c>
      <c r="X412" s="25" t="s">
        <v>1090</v>
      </c>
      <c r="Y412" s="25" t="s">
        <v>1539</v>
      </c>
      <c r="Z412" s="25"/>
      <c r="AA412" s="99"/>
      <c r="AB412" s="3" t="str">
        <f>IF(BCP_Soles[[#This Row],[FECHA]]&gt;0,TEXT(BCP_Soles[[#This Row],[FECHA]],"mmmm"),0)</f>
        <v>Febrero</v>
      </c>
    </row>
    <row r="413" spans="2:28" x14ac:dyDescent="0.3">
      <c r="B413" s="2">
        <f>IF(BCP_Soles[[#This Row],[TIPO DE R.]]="R",COUNTIFS($D$4:$D412,"R")+1,"")</f>
        <v>290</v>
      </c>
      <c r="C413" s="19" t="str">
        <f t="shared" si="30"/>
        <v>B-BCP - Soles</v>
      </c>
      <c r="D413" s="3" t="s">
        <v>1074</v>
      </c>
      <c r="E413" s="14">
        <v>45693</v>
      </c>
      <c r="F413" s="5" t="s">
        <v>1082</v>
      </c>
      <c r="G413" s="5" t="s">
        <v>1079</v>
      </c>
      <c r="H413" s="6"/>
      <c r="I413" s="6"/>
      <c r="J413" s="6"/>
      <c r="K413" s="6"/>
      <c r="L413" s="7" t="s">
        <v>1540</v>
      </c>
      <c r="M413" s="8">
        <v>9193555</v>
      </c>
      <c r="N413" s="8" t="str">
        <f t="shared" si="31"/>
        <v>PEN</v>
      </c>
      <c r="O413" s="13"/>
      <c r="P413" s="13">
        <v>1690.29</v>
      </c>
      <c r="Q413" s="3">
        <f t="shared" si="32"/>
        <v>0</v>
      </c>
      <c r="R413" s="3">
        <f t="shared" si="33"/>
        <v>1690.29</v>
      </c>
      <c r="S413" s="3">
        <f t="shared" si="34"/>
        <v>9708.1700000000019</v>
      </c>
      <c r="T413" s="24" t="s">
        <v>1081</v>
      </c>
      <c r="U413" s="24" t="s">
        <v>1081</v>
      </c>
      <c r="V413" s="67"/>
      <c r="W413" s="25" t="str">
        <f>IFERROR(VLOOKUP(BCP_Soles[[#This Row],[DESTINATARIO]],CHOOSE({1,2},Clientes_Proveedores[Razon Social],Clientes_Proveedores[Ruc / Dni]),2,0),"")</f>
        <v/>
      </c>
      <c r="X413" s="25" t="s">
        <v>1118</v>
      </c>
      <c r="Y413" s="25"/>
      <c r="Z413" s="25"/>
      <c r="AA413" s="99"/>
      <c r="AB413" s="3" t="str">
        <f>IF(BCP_Soles[[#This Row],[FECHA]]&gt;0,TEXT(BCP_Soles[[#This Row],[FECHA]],"mmmm"),0)</f>
        <v>Febrero</v>
      </c>
    </row>
    <row r="414" spans="2:28" x14ac:dyDescent="0.3">
      <c r="B414" s="2" t="str">
        <f>IF(BCP_Soles[[#This Row],[TIPO DE R.]]="R",COUNTIFS($D$4:$D413,"R")+1,"")</f>
        <v/>
      </c>
      <c r="C414" s="19" t="str">
        <f t="shared" si="30"/>
        <v>B-BCP - Soles</v>
      </c>
      <c r="D414" s="3" t="s">
        <v>1101</v>
      </c>
      <c r="E414" s="14">
        <v>45693</v>
      </c>
      <c r="F414" s="5" t="s">
        <v>1082</v>
      </c>
      <c r="G414" s="5"/>
      <c r="H414" s="6" t="s">
        <v>436</v>
      </c>
      <c r="I414" s="6" t="s">
        <v>14</v>
      </c>
      <c r="J414" s="6" t="s">
        <v>1119</v>
      </c>
      <c r="K414" s="6">
        <v>8764</v>
      </c>
      <c r="L414" s="7" t="s">
        <v>1540</v>
      </c>
      <c r="M414" s="8">
        <v>9193555</v>
      </c>
      <c r="N414" s="8" t="str">
        <f t="shared" si="31"/>
        <v>PEN</v>
      </c>
      <c r="O414" s="13">
        <v>401.29</v>
      </c>
      <c r="P414" s="13"/>
      <c r="Q414" s="3">
        <f t="shared" si="32"/>
        <v>0</v>
      </c>
      <c r="R414" s="3">
        <f t="shared" si="33"/>
        <v>0</v>
      </c>
      <c r="S414" s="3">
        <f t="shared" si="34"/>
        <v>9708.1700000000019</v>
      </c>
      <c r="T414" s="24"/>
      <c r="U414" s="24"/>
      <c r="V414" s="67"/>
      <c r="W414" s="25">
        <f>IFERROR(VLOOKUP(BCP_Soles[[#This Row],[DESTINATARIO]],CHOOSE({1,2},Clientes_Proveedores[Razon Social],Clientes_Proveedores[Ruc / Dni]),2,0),"")</f>
        <v>20602751326</v>
      </c>
      <c r="X414" s="25"/>
      <c r="Y414" s="25"/>
      <c r="Z414" s="25"/>
      <c r="AA414" s="99"/>
      <c r="AB414" s="3" t="str">
        <f>IF(BCP_Soles[[#This Row],[FECHA]]&gt;0,TEXT(BCP_Soles[[#This Row],[FECHA]],"mmmm"),0)</f>
        <v>Febrero</v>
      </c>
    </row>
    <row r="415" spans="2:28" ht="24" x14ac:dyDescent="0.3">
      <c r="B415" s="2" t="str">
        <f>IF(BCP_Soles[[#This Row],[TIPO DE R.]]="R",COUNTIFS($D$4:$D414,"R")+1,"")</f>
        <v/>
      </c>
      <c r="C415" s="19" t="str">
        <f t="shared" si="30"/>
        <v>B-BCP - Soles</v>
      </c>
      <c r="D415" s="3" t="s">
        <v>1101</v>
      </c>
      <c r="E415" s="14">
        <v>45693</v>
      </c>
      <c r="F415" s="5" t="s">
        <v>1082</v>
      </c>
      <c r="G415" s="5"/>
      <c r="H415" s="6" t="s">
        <v>570</v>
      </c>
      <c r="I415" s="6" t="s">
        <v>14</v>
      </c>
      <c r="J415" s="6" t="s">
        <v>1119</v>
      </c>
      <c r="K415" s="6">
        <v>1190</v>
      </c>
      <c r="L415" s="7" t="s">
        <v>1540</v>
      </c>
      <c r="M415" s="8">
        <v>9193555</v>
      </c>
      <c r="N415" s="8" t="str">
        <f t="shared" si="31"/>
        <v>PEN</v>
      </c>
      <c r="O415" s="13">
        <v>184</v>
      </c>
      <c r="P415" s="13"/>
      <c r="Q415" s="3">
        <f t="shared" si="32"/>
        <v>0</v>
      </c>
      <c r="R415" s="3">
        <f t="shared" si="33"/>
        <v>0</v>
      </c>
      <c r="S415" s="3">
        <f t="shared" si="34"/>
        <v>9708.1700000000019</v>
      </c>
      <c r="T415" s="24"/>
      <c r="U415" s="24"/>
      <c r="V415" s="67"/>
      <c r="W415" s="25">
        <f>IFERROR(VLOOKUP(BCP_Soles[[#This Row],[DESTINATARIO]],CHOOSE({1,2},Clientes_Proveedores[Razon Social],Clientes_Proveedores[Ruc / Dni]),2,0),"")</f>
        <v>20539347226</v>
      </c>
      <c r="X415" s="25"/>
      <c r="Y415" s="25"/>
      <c r="Z415" s="25"/>
      <c r="AA415" s="99"/>
      <c r="AB415" s="3" t="str">
        <f>IF(BCP_Soles[[#This Row],[FECHA]]&gt;0,TEXT(BCP_Soles[[#This Row],[FECHA]],"mmmm"),0)</f>
        <v>Febrero</v>
      </c>
    </row>
    <row r="416" spans="2:28" ht="24" x14ac:dyDescent="0.3">
      <c r="B416" s="2" t="str">
        <f>IF(BCP_Soles[[#This Row],[TIPO DE R.]]="R",COUNTIFS($D$4:$D415,"R")+1,"")</f>
        <v/>
      </c>
      <c r="C416" s="19" t="str">
        <f t="shared" si="30"/>
        <v>B-BCP - Soles</v>
      </c>
      <c r="D416" s="3" t="s">
        <v>1101</v>
      </c>
      <c r="E416" s="14">
        <v>45693</v>
      </c>
      <c r="F416" s="5" t="s">
        <v>1082</v>
      </c>
      <c r="G416" s="5"/>
      <c r="H416" s="6" t="s">
        <v>480</v>
      </c>
      <c r="I416" s="6" t="s">
        <v>14</v>
      </c>
      <c r="J416" s="6" t="s">
        <v>1121</v>
      </c>
      <c r="K416" s="6">
        <v>758</v>
      </c>
      <c r="L416" s="7" t="s">
        <v>1540</v>
      </c>
      <c r="M416" s="8">
        <v>9193555</v>
      </c>
      <c r="N416" s="8" t="str">
        <f t="shared" si="31"/>
        <v>PEN</v>
      </c>
      <c r="O416" s="13">
        <v>1039</v>
      </c>
      <c r="P416" s="13"/>
      <c r="Q416" s="3">
        <f t="shared" si="32"/>
        <v>0</v>
      </c>
      <c r="R416" s="3">
        <f t="shared" si="33"/>
        <v>0</v>
      </c>
      <c r="S416" s="3">
        <f t="shared" si="34"/>
        <v>9708.1700000000019</v>
      </c>
      <c r="T416" s="24"/>
      <c r="U416" s="24"/>
      <c r="V416" s="67"/>
      <c r="W416" s="25">
        <f>IFERROR(VLOOKUP(BCP_Soles[[#This Row],[DESTINATARIO]],CHOOSE({1,2},Clientes_Proveedores[Razon Social],Clientes_Proveedores[Ruc / Dni]),2,0),"")</f>
        <v>20605447814</v>
      </c>
      <c r="X416" s="25"/>
      <c r="Y416" s="25"/>
      <c r="Z416" s="25"/>
      <c r="AA416" s="99"/>
      <c r="AB416" s="3" t="str">
        <f>IF(BCP_Soles[[#This Row],[FECHA]]&gt;0,TEXT(BCP_Soles[[#This Row],[FECHA]],"mmmm"),0)</f>
        <v>Febrero</v>
      </c>
    </row>
    <row r="417" spans="2:28" ht="36" x14ac:dyDescent="0.3">
      <c r="B417" s="2" t="str">
        <f>IF(BCP_Soles[[#This Row],[TIPO DE R.]]="R",COUNTIFS($D$4:$D416,"R")+1,"")</f>
        <v/>
      </c>
      <c r="C417" s="19" t="str">
        <f t="shared" si="30"/>
        <v>B-BCP - Soles</v>
      </c>
      <c r="D417" s="3" t="s">
        <v>1101</v>
      </c>
      <c r="E417" s="14">
        <v>45693</v>
      </c>
      <c r="F417" s="5" t="s">
        <v>1082</v>
      </c>
      <c r="G417" s="5"/>
      <c r="H417" s="6" t="s">
        <v>326</v>
      </c>
      <c r="I417" s="6" t="s">
        <v>14</v>
      </c>
      <c r="J417" s="6" t="s">
        <v>1541</v>
      </c>
      <c r="K417" s="6">
        <v>713</v>
      </c>
      <c r="L417" s="7" t="s">
        <v>1540</v>
      </c>
      <c r="M417" s="8">
        <v>9193555</v>
      </c>
      <c r="N417" s="8" t="str">
        <f t="shared" si="31"/>
        <v>PEN</v>
      </c>
      <c r="O417" s="13">
        <v>66</v>
      </c>
      <c r="P417" s="13"/>
      <c r="Q417" s="3">
        <f t="shared" si="32"/>
        <v>0</v>
      </c>
      <c r="R417" s="3">
        <f t="shared" si="33"/>
        <v>0</v>
      </c>
      <c r="S417" s="3">
        <f t="shared" si="34"/>
        <v>9708.1700000000019</v>
      </c>
      <c r="T417" s="24"/>
      <c r="U417" s="24"/>
      <c r="V417" s="67"/>
      <c r="W417" s="25">
        <f>IFERROR(VLOOKUP(BCP_Soles[[#This Row],[DESTINATARIO]],CHOOSE({1,2},Clientes_Proveedores[Razon Social],Clientes_Proveedores[Ruc / Dni]),2,0),"")</f>
        <v>20538593053</v>
      </c>
      <c r="X417" s="25"/>
      <c r="Y417" s="25"/>
      <c r="Z417" s="25"/>
      <c r="AA417" s="99"/>
      <c r="AB417" s="3" t="str">
        <f>IF(BCP_Soles[[#This Row],[FECHA]]&gt;0,TEXT(BCP_Soles[[#This Row],[FECHA]],"mmmm"),0)</f>
        <v>Febrero</v>
      </c>
    </row>
    <row r="418" spans="2:28" ht="36" x14ac:dyDescent="0.3">
      <c r="B418" s="2">
        <f>IF(BCP_Soles[[#This Row],[TIPO DE R.]]="R",COUNTIFS($D$4:$D417,"R")+1,"")</f>
        <v>291</v>
      </c>
      <c r="C418" s="19" t="str">
        <f t="shared" si="30"/>
        <v>B-BCP - Soles</v>
      </c>
      <c r="D418" s="3" t="s">
        <v>1074</v>
      </c>
      <c r="E418" s="14">
        <v>45693</v>
      </c>
      <c r="F418" s="5" t="s">
        <v>1082</v>
      </c>
      <c r="G418" s="5" t="s">
        <v>1079</v>
      </c>
      <c r="H418" s="6" t="s">
        <v>530</v>
      </c>
      <c r="I418" s="6" t="s">
        <v>14</v>
      </c>
      <c r="J418" s="6" t="s">
        <v>1121</v>
      </c>
      <c r="K418" s="6">
        <v>334</v>
      </c>
      <c r="L418" s="7" t="s">
        <v>1542</v>
      </c>
      <c r="M418" s="8">
        <v>1072015</v>
      </c>
      <c r="N418" s="8" t="str">
        <f t="shared" si="31"/>
        <v>PEN</v>
      </c>
      <c r="O418" s="13"/>
      <c r="P418" s="13">
        <v>94.28</v>
      </c>
      <c r="Q418" s="3">
        <f t="shared" si="32"/>
        <v>0</v>
      </c>
      <c r="R418" s="3">
        <f t="shared" si="33"/>
        <v>94.28</v>
      </c>
      <c r="S418" s="3">
        <f t="shared" si="34"/>
        <v>9613.8900000000012</v>
      </c>
      <c r="T418" s="24" t="s">
        <v>1081</v>
      </c>
      <c r="U418" s="24" t="s">
        <v>1081</v>
      </c>
      <c r="V418" s="67"/>
      <c r="W418" s="25">
        <f>IFERROR(VLOOKUP(BCP_Soles[[#This Row],[DESTINATARIO]],CHOOSE({1,2},Clientes_Proveedores[Razon Social],Clientes_Proveedores[Ruc / Dni]),2,0),"")</f>
        <v>20609368773</v>
      </c>
      <c r="X418" s="25" t="s">
        <v>1181</v>
      </c>
      <c r="Y418" s="25" t="s">
        <v>1543</v>
      </c>
      <c r="Z418" s="25"/>
      <c r="AA418" s="99"/>
      <c r="AB418" s="3" t="str">
        <f>IF(BCP_Soles[[#This Row],[FECHA]]&gt;0,TEXT(BCP_Soles[[#This Row],[FECHA]],"mmmm"),0)</f>
        <v>Febrero</v>
      </c>
    </row>
    <row r="419" spans="2:28" ht="24" x14ac:dyDescent="0.3">
      <c r="B419" s="2">
        <f>IF(BCP_Soles[[#This Row],[TIPO DE R.]]="R",COUNTIFS($D$4:$D418,"R")+1,"")</f>
        <v>292</v>
      </c>
      <c r="C419" s="19" t="str">
        <f t="shared" si="30"/>
        <v>B-BCP - Soles</v>
      </c>
      <c r="D419" s="3" t="s">
        <v>1074</v>
      </c>
      <c r="E419" s="14">
        <v>45693</v>
      </c>
      <c r="F419" s="5" t="s">
        <v>1082</v>
      </c>
      <c r="G419" s="5" t="s">
        <v>1079</v>
      </c>
      <c r="H419" s="6" t="s">
        <v>192</v>
      </c>
      <c r="I419" s="6"/>
      <c r="J419" s="6"/>
      <c r="K419" s="6"/>
      <c r="L419" s="7" t="s">
        <v>1544</v>
      </c>
      <c r="M419" s="8">
        <v>1020019</v>
      </c>
      <c r="N419" s="8" t="str">
        <f t="shared" si="31"/>
        <v>PEN</v>
      </c>
      <c r="O419" s="13"/>
      <c r="P419" s="13">
        <v>3457.4</v>
      </c>
      <c r="Q419" s="3">
        <f t="shared" si="32"/>
        <v>0</v>
      </c>
      <c r="R419" s="3">
        <f t="shared" si="33"/>
        <v>3457.4</v>
      </c>
      <c r="S419" s="3">
        <f t="shared" si="34"/>
        <v>6156.4900000000016</v>
      </c>
      <c r="T419" s="24"/>
      <c r="U419" s="24"/>
      <c r="V419" s="67"/>
      <c r="W419" s="25">
        <f>IFERROR(VLOOKUP(BCP_Soles[[#This Row],[DESTINATARIO]],CHOOSE({1,2},Clientes_Proveedores[Razon Social],Clientes_Proveedores[Ruc / Dni]),2,0),"")</f>
        <v>20302891452</v>
      </c>
      <c r="X419" s="25" t="s">
        <v>192</v>
      </c>
      <c r="Y419" s="25"/>
      <c r="Z419" s="25"/>
      <c r="AA419" s="99"/>
      <c r="AB419" s="3" t="str">
        <f>IF(BCP_Soles[[#This Row],[FECHA]]&gt;0,TEXT(BCP_Soles[[#This Row],[FECHA]],"mmmm"),0)</f>
        <v>Febrero</v>
      </c>
    </row>
    <row r="420" spans="2:28" ht="36" x14ac:dyDescent="0.3">
      <c r="B420" s="2">
        <f>IF(BCP_Soles[[#This Row],[TIPO DE R.]]="R",COUNTIFS($D$4:$D419,"R")+1,"")</f>
        <v>293</v>
      </c>
      <c r="C420" s="19" t="str">
        <f t="shared" si="30"/>
        <v>B-BCP - Soles</v>
      </c>
      <c r="D420" s="3" t="s">
        <v>1074</v>
      </c>
      <c r="E420" s="14">
        <v>45693</v>
      </c>
      <c r="F420" s="5" t="s">
        <v>1368</v>
      </c>
      <c r="G420" s="5" t="s">
        <v>1087</v>
      </c>
      <c r="H420" s="6"/>
      <c r="I420" s="6"/>
      <c r="J420" s="6"/>
      <c r="K420" s="6"/>
      <c r="L420" s="7" t="s">
        <v>1100</v>
      </c>
      <c r="M420" s="8">
        <v>1454458</v>
      </c>
      <c r="N420" s="8" t="str">
        <f t="shared" si="31"/>
        <v>PEN</v>
      </c>
      <c r="O420" s="13"/>
      <c r="P420" s="13">
        <v>42</v>
      </c>
      <c r="Q420" s="3">
        <f t="shared" si="32"/>
        <v>42</v>
      </c>
      <c r="R420" s="3">
        <f t="shared" si="33"/>
        <v>0</v>
      </c>
      <c r="S420" s="3">
        <f t="shared" si="34"/>
        <v>6198.4900000000016</v>
      </c>
      <c r="T420" s="24" t="s">
        <v>1081</v>
      </c>
      <c r="U420" s="24" t="s">
        <v>1081</v>
      </c>
      <c r="V420" s="67"/>
      <c r="W420" s="25" t="str">
        <f>IFERROR(VLOOKUP(BCP_Soles[[#This Row],[DESTINATARIO]],CHOOSE({1,2},Clientes_Proveedores[Razon Social],Clientes_Proveedores[Ruc / Dni]),2,0),"")</f>
        <v/>
      </c>
      <c r="X420" s="25" t="s">
        <v>1090</v>
      </c>
      <c r="Y420" s="25" t="s">
        <v>1545</v>
      </c>
      <c r="Z420" s="25"/>
      <c r="AA420" s="99"/>
      <c r="AB420" s="3" t="str">
        <f>IF(BCP_Soles[[#This Row],[FECHA]]&gt;0,TEXT(BCP_Soles[[#This Row],[FECHA]],"mmmm"),0)</f>
        <v>Febrero</v>
      </c>
    </row>
    <row r="421" spans="2:28" x14ac:dyDescent="0.3">
      <c r="B421" s="2">
        <f>IF(BCP_Soles[[#This Row],[TIPO DE R.]]="R",COUNTIFS($D$4:$D420,"R")+1,"")</f>
        <v>294</v>
      </c>
      <c r="C421" s="19" t="str">
        <f t="shared" si="30"/>
        <v>B-BCP - Soles</v>
      </c>
      <c r="D421" s="3" t="s">
        <v>1074</v>
      </c>
      <c r="E421" s="14">
        <v>45693</v>
      </c>
      <c r="F421" s="5" t="s">
        <v>1078</v>
      </c>
      <c r="G421" s="5" t="s">
        <v>1079</v>
      </c>
      <c r="H421" s="6"/>
      <c r="I421" s="6"/>
      <c r="J421" s="6"/>
      <c r="K421" s="6"/>
      <c r="L421" s="7" t="s">
        <v>1080</v>
      </c>
      <c r="M421" s="8"/>
      <c r="N421" s="8" t="str">
        <f t="shared" si="31"/>
        <v>PEN</v>
      </c>
      <c r="O421" s="13"/>
      <c r="P421" s="13">
        <v>0.7</v>
      </c>
      <c r="Q421" s="3">
        <f t="shared" si="32"/>
        <v>0</v>
      </c>
      <c r="R421" s="3">
        <f t="shared" si="33"/>
        <v>0.7</v>
      </c>
      <c r="S421" s="3">
        <f t="shared" si="34"/>
        <v>6197.7900000000018</v>
      </c>
      <c r="T421" s="24"/>
      <c r="U421" s="24" t="s">
        <v>1081</v>
      </c>
      <c r="V421" s="67"/>
      <c r="W421" s="25" t="str">
        <f>IFERROR(VLOOKUP(BCP_Soles[[#This Row],[DESTINATARIO]],CHOOSE({1,2},Clientes_Proveedores[Razon Social],Clientes_Proveedores[Ruc / Dni]),2,0),"")</f>
        <v/>
      </c>
      <c r="X421" s="25"/>
      <c r="Y421" s="25"/>
      <c r="Z421" s="25"/>
      <c r="AA421" s="99"/>
      <c r="AB421" s="3" t="str">
        <f>IF(BCP_Soles[[#This Row],[FECHA]]&gt;0,TEXT(BCP_Soles[[#This Row],[FECHA]],"mmmm"),0)</f>
        <v>Febrero</v>
      </c>
    </row>
    <row r="422" spans="2:28" ht="24" x14ac:dyDescent="0.3">
      <c r="B422" s="2">
        <f>IF(BCP_Soles[[#This Row],[TIPO DE R.]]="R",COUNTIFS($D$4:$D421,"R")+1,"")</f>
        <v>295</v>
      </c>
      <c r="C422" s="19" t="str">
        <f t="shared" si="30"/>
        <v>B-BCP - Soles</v>
      </c>
      <c r="D422" s="3" t="s">
        <v>1074</v>
      </c>
      <c r="E422" s="14">
        <v>45693</v>
      </c>
      <c r="F422" s="5" t="s">
        <v>1082</v>
      </c>
      <c r="G422" s="5" t="s">
        <v>1079</v>
      </c>
      <c r="H422" s="6" t="s">
        <v>645</v>
      </c>
      <c r="I422" s="6" t="s">
        <v>52</v>
      </c>
      <c r="J422" s="6" t="s">
        <v>1225</v>
      </c>
      <c r="K422" s="6">
        <v>28701751</v>
      </c>
      <c r="L422" s="7" t="s">
        <v>1301</v>
      </c>
      <c r="M422" s="8">
        <v>93478</v>
      </c>
      <c r="N422" s="8" t="str">
        <f t="shared" si="31"/>
        <v>PEN</v>
      </c>
      <c r="O422" s="13"/>
      <c r="P422" s="13">
        <v>355</v>
      </c>
      <c r="Q422" s="3">
        <f t="shared" si="32"/>
        <v>0</v>
      </c>
      <c r="R422" s="3">
        <f t="shared" si="33"/>
        <v>355</v>
      </c>
      <c r="S422" s="3">
        <f t="shared" si="34"/>
        <v>5842.7900000000018</v>
      </c>
      <c r="T422" s="24" t="s">
        <v>1081</v>
      </c>
      <c r="U422" s="24" t="s">
        <v>1081</v>
      </c>
      <c r="V422" s="67"/>
      <c r="W422" s="25">
        <f>IFERROR(VLOOKUP(BCP_Soles[[#This Row],[DESTINATARIO]],CHOOSE({1,2},Clientes_Proveedores[Razon Social],Clientes_Proveedores[Ruc / Dni]),2,0),"")</f>
        <v>20100188628</v>
      </c>
      <c r="X422" s="25" t="s">
        <v>1227</v>
      </c>
      <c r="Y422" s="25" t="s">
        <v>1546</v>
      </c>
      <c r="Z422" s="25"/>
      <c r="AA422" s="99"/>
      <c r="AB422" s="3" t="str">
        <f>IF(BCP_Soles[[#This Row],[FECHA]]&gt;0,TEXT(BCP_Soles[[#This Row],[FECHA]],"mmmm"),0)</f>
        <v>Febrero</v>
      </c>
    </row>
    <row r="423" spans="2:28" ht="24" x14ac:dyDescent="0.3">
      <c r="B423" s="2">
        <f>IF(BCP_Soles[[#This Row],[TIPO DE R.]]="R",COUNTIFS($D$4:$D422,"R")+1,"")</f>
        <v>296</v>
      </c>
      <c r="C423" s="19" t="str">
        <f t="shared" si="30"/>
        <v>B-BCP - Soles</v>
      </c>
      <c r="D423" s="3" t="s">
        <v>1074</v>
      </c>
      <c r="E423" s="14">
        <v>45693</v>
      </c>
      <c r="F423" s="5" t="s">
        <v>1082</v>
      </c>
      <c r="G423" s="5" t="s">
        <v>1079</v>
      </c>
      <c r="H423" s="6" t="s">
        <v>192</v>
      </c>
      <c r="I423" s="6"/>
      <c r="J423" s="6"/>
      <c r="K423" s="6"/>
      <c r="L423" s="7" t="s">
        <v>1544</v>
      </c>
      <c r="M423" s="8">
        <v>1144373</v>
      </c>
      <c r="N423" s="8" t="str">
        <f t="shared" si="31"/>
        <v>PEN</v>
      </c>
      <c r="O423" s="13"/>
      <c r="P423" s="13">
        <v>175.87</v>
      </c>
      <c r="Q423" s="3">
        <f t="shared" si="32"/>
        <v>0</v>
      </c>
      <c r="R423" s="3">
        <f t="shared" si="33"/>
        <v>175.87</v>
      </c>
      <c r="S423" s="3">
        <f t="shared" si="34"/>
        <v>5666.9200000000019</v>
      </c>
      <c r="T423" s="24"/>
      <c r="U423" s="24"/>
      <c r="V423" s="67"/>
      <c r="W423" s="25">
        <f>IFERROR(VLOOKUP(BCP_Soles[[#This Row],[DESTINATARIO]],CHOOSE({1,2},Clientes_Proveedores[Razon Social],Clientes_Proveedores[Ruc / Dni]),2,0),"")</f>
        <v>20302891452</v>
      </c>
      <c r="X423" s="25" t="s">
        <v>192</v>
      </c>
      <c r="Y423" s="25"/>
      <c r="Z423" s="25"/>
      <c r="AA423" s="99"/>
      <c r="AB423" s="3" t="str">
        <f>IF(BCP_Soles[[#This Row],[FECHA]]&gt;0,TEXT(BCP_Soles[[#This Row],[FECHA]],"mmmm"),0)</f>
        <v>Febrero</v>
      </c>
    </row>
    <row r="424" spans="2:28" ht="36" x14ac:dyDescent="0.3">
      <c r="B424" s="2">
        <f>IF(BCP_Soles[[#This Row],[TIPO DE R.]]="R",COUNTIFS($D$4:$D423,"R")+1,"")</f>
        <v>297</v>
      </c>
      <c r="C424" s="19" t="str">
        <f t="shared" si="30"/>
        <v>B-BCP - Soles</v>
      </c>
      <c r="D424" s="3" t="s">
        <v>1074</v>
      </c>
      <c r="E424" s="14">
        <v>45693</v>
      </c>
      <c r="F424" s="5" t="s">
        <v>1082</v>
      </c>
      <c r="G424" s="5" t="s">
        <v>1079</v>
      </c>
      <c r="H424" s="6" t="s">
        <v>644</v>
      </c>
      <c r="I424" s="6" t="s">
        <v>14</v>
      </c>
      <c r="J424" s="6" t="s">
        <v>1204</v>
      </c>
      <c r="K424" s="6">
        <v>485844</v>
      </c>
      <c r="L424" s="7" t="s">
        <v>1547</v>
      </c>
      <c r="M424" s="8">
        <v>153382</v>
      </c>
      <c r="N424" s="8" t="str">
        <f t="shared" si="31"/>
        <v>PEN</v>
      </c>
      <c r="O424" s="13"/>
      <c r="P424" s="13">
        <v>88.5</v>
      </c>
      <c r="Q424" s="3">
        <f t="shared" si="32"/>
        <v>0</v>
      </c>
      <c r="R424" s="3">
        <f t="shared" si="33"/>
        <v>88.5</v>
      </c>
      <c r="S424" s="3">
        <f t="shared" si="34"/>
        <v>5578.4200000000019</v>
      </c>
      <c r="T424" s="24" t="s">
        <v>1081</v>
      </c>
      <c r="U424" s="24" t="s">
        <v>1081</v>
      </c>
      <c r="V424" s="67"/>
      <c r="W424" s="25">
        <f>IFERROR(VLOOKUP(BCP_Soles[[#This Row],[DESTINATARIO]],CHOOSE({1,2},Clientes_Proveedores[Razon Social],Clientes_Proveedores[Ruc / Dni]),2,0),"")</f>
        <v>20454073143</v>
      </c>
      <c r="X424" s="25" t="s">
        <v>1206</v>
      </c>
      <c r="Y424" s="25" t="s">
        <v>1548</v>
      </c>
      <c r="Z424" s="25"/>
      <c r="AA424" s="99"/>
      <c r="AB424" s="3" t="str">
        <f>IF(BCP_Soles[[#This Row],[FECHA]]&gt;0,TEXT(BCP_Soles[[#This Row],[FECHA]],"mmmm"),0)</f>
        <v>Febrero</v>
      </c>
    </row>
    <row r="425" spans="2:28" ht="36" x14ac:dyDescent="0.3">
      <c r="B425" s="2">
        <f>IF(BCP_Soles[[#This Row],[TIPO DE R.]]="R",COUNTIFS($D$4:$D424,"R")+1,"")</f>
        <v>298</v>
      </c>
      <c r="C425" s="19" t="str">
        <f t="shared" si="30"/>
        <v>B-BCP - Soles</v>
      </c>
      <c r="D425" s="3" t="s">
        <v>1074</v>
      </c>
      <c r="E425" s="14">
        <v>45693</v>
      </c>
      <c r="F425" s="5" t="s">
        <v>1082</v>
      </c>
      <c r="G425" s="5" t="s">
        <v>1079</v>
      </c>
      <c r="H425" s="6" t="s">
        <v>644</v>
      </c>
      <c r="I425" s="6" t="s">
        <v>14</v>
      </c>
      <c r="J425" s="6" t="s">
        <v>1204</v>
      </c>
      <c r="K425" s="6">
        <v>614700</v>
      </c>
      <c r="L425" s="7" t="s">
        <v>1432</v>
      </c>
      <c r="M425" s="8">
        <v>148373</v>
      </c>
      <c r="N425" s="8" t="str">
        <f t="shared" si="31"/>
        <v>PEN</v>
      </c>
      <c r="O425" s="13"/>
      <c r="P425" s="13">
        <v>35.4</v>
      </c>
      <c r="Q425" s="3">
        <f t="shared" si="32"/>
        <v>0</v>
      </c>
      <c r="R425" s="3">
        <f t="shared" si="33"/>
        <v>35.4</v>
      </c>
      <c r="S425" s="3">
        <f t="shared" si="34"/>
        <v>5543.0200000000023</v>
      </c>
      <c r="T425" s="24" t="s">
        <v>1081</v>
      </c>
      <c r="U425" s="24" t="s">
        <v>1081</v>
      </c>
      <c r="V425" s="67"/>
      <c r="W425" s="25">
        <f>IFERROR(VLOOKUP(BCP_Soles[[#This Row],[DESTINATARIO]],CHOOSE({1,2},Clientes_Proveedores[Razon Social],Clientes_Proveedores[Ruc / Dni]),2,0),"")</f>
        <v>20454073143</v>
      </c>
      <c r="X425" s="25" t="s">
        <v>1206</v>
      </c>
      <c r="Y425" s="25" t="s">
        <v>1549</v>
      </c>
      <c r="Z425" s="25"/>
      <c r="AA425" s="99"/>
      <c r="AB425" s="3" t="str">
        <f>IF(BCP_Soles[[#This Row],[FECHA]]&gt;0,TEXT(BCP_Soles[[#This Row],[FECHA]],"mmmm"),0)</f>
        <v>Febrero</v>
      </c>
    </row>
    <row r="426" spans="2:28" ht="24" x14ac:dyDescent="0.3">
      <c r="B426" s="2">
        <f>IF(BCP_Soles[[#This Row],[TIPO DE R.]]="R",COUNTIFS($D$4:$D425,"R")+1,"")</f>
        <v>299</v>
      </c>
      <c r="C426" s="19" t="str">
        <f t="shared" si="30"/>
        <v>B-BCP - Soles</v>
      </c>
      <c r="D426" s="3" t="s">
        <v>1074</v>
      </c>
      <c r="E426" s="14">
        <v>45693</v>
      </c>
      <c r="F426" s="5" t="s">
        <v>293</v>
      </c>
      <c r="G426" s="5" t="s">
        <v>1087</v>
      </c>
      <c r="H426" s="6"/>
      <c r="I426" s="6"/>
      <c r="J426" s="6"/>
      <c r="K426" s="6"/>
      <c r="L426" s="7" t="s">
        <v>1196</v>
      </c>
      <c r="M426" s="8">
        <v>2163236</v>
      </c>
      <c r="N426" s="8" t="str">
        <f t="shared" si="31"/>
        <v>PEN</v>
      </c>
      <c r="O426" s="13"/>
      <c r="P426" s="13">
        <v>6665.25</v>
      </c>
      <c r="Q426" s="3">
        <f t="shared" si="32"/>
        <v>6665.25</v>
      </c>
      <c r="R426" s="3">
        <f t="shared" si="33"/>
        <v>0</v>
      </c>
      <c r="S426" s="3">
        <f t="shared" si="34"/>
        <v>12208.270000000002</v>
      </c>
      <c r="T426" s="24" t="s">
        <v>1081</v>
      </c>
      <c r="U426" s="24" t="s">
        <v>1081</v>
      </c>
      <c r="V426" s="67"/>
      <c r="W426" s="25" t="str">
        <f>IFERROR(VLOOKUP(BCP_Soles[[#This Row],[DESTINATARIO]],CHOOSE({1,2},Clientes_Proveedores[Razon Social],Clientes_Proveedores[Ruc / Dni]),2,0),"")</f>
        <v/>
      </c>
      <c r="X426" s="25" t="s">
        <v>1090</v>
      </c>
      <c r="Y426" s="25" t="s">
        <v>1550</v>
      </c>
      <c r="Z426" s="25"/>
      <c r="AA426" s="99"/>
      <c r="AB426" s="3" t="str">
        <f>IF(BCP_Soles[[#This Row],[FECHA]]&gt;0,TEXT(BCP_Soles[[#This Row],[FECHA]],"mmmm"),0)</f>
        <v>Febrero</v>
      </c>
    </row>
    <row r="427" spans="2:28" ht="24" x14ac:dyDescent="0.3">
      <c r="B427" s="2">
        <f>IF(BCP_Soles[[#This Row],[TIPO DE R.]]="R",COUNTIFS($D$4:$D426,"R")+1,"")</f>
        <v>300</v>
      </c>
      <c r="C427" s="19" t="str">
        <f t="shared" si="30"/>
        <v>B-BCP - Soles</v>
      </c>
      <c r="D427" s="3" t="s">
        <v>1074</v>
      </c>
      <c r="E427" s="14">
        <v>45693</v>
      </c>
      <c r="F427" s="5" t="s">
        <v>293</v>
      </c>
      <c r="G427" s="5" t="s">
        <v>1087</v>
      </c>
      <c r="H427" s="6"/>
      <c r="I427" s="6"/>
      <c r="J427" s="6"/>
      <c r="K427" s="6"/>
      <c r="L427" s="7" t="s">
        <v>1196</v>
      </c>
      <c r="M427" s="8">
        <v>2118307</v>
      </c>
      <c r="N427" s="8" t="str">
        <f t="shared" si="31"/>
        <v>PEN</v>
      </c>
      <c r="O427" s="13"/>
      <c r="P427" s="13">
        <v>4308.8</v>
      </c>
      <c r="Q427" s="3">
        <f t="shared" si="32"/>
        <v>4308.8</v>
      </c>
      <c r="R427" s="3">
        <f t="shared" si="33"/>
        <v>0</v>
      </c>
      <c r="S427" s="3">
        <f t="shared" si="34"/>
        <v>16517.070000000003</v>
      </c>
      <c r="T427" s="24" t="s">
        <v>1081</v>
      </c>
      <c r="U427" s="24" t="s">
        <v>1081</v>
      </c>
      <c r="V427" s="67"/>
      <c r="W427" s="25" t="str">
        <f>IFERROR(VLOOKUP(BCP_Soles[[#This Row],[DESTINATARIO]],CHOOSE({1,2},Clientes_Proveedores[Razon Social],Clientes_Proveedores[Ruc / Dni]),2,0),"")</f>
        <v/>
      </c>
      <c r="X427" s="25" t="s">
        <v>1090</v>
      </c>
      <c r="Y427" s="25" t="s">
        <v>1551</v>
      </c>
      <c r="Z427" s="25"/>
      <c r="AA427" s="99"/>
      <c r="AB427" s="3" t="str">
        <f>IF(BCP_Soles[[#This Row],[FECHA]]&gt;0,TEXT(BCP_Soles[[#This Row],[FECHA]],"mmmm"),0)</f>
        <v>Febrero</v>
      </c>
    </row>
    <row r="428" spans="2:28" ht="48" x14ac:dyDescent="0.3">
      <c r="B428" s="2">
        <f>IF(BCP_Soles[[#This Row],[TIPO DE R.]]="R",COUNTIFS($D$4:$D427,"R")+1,"")</f>
        <v>301</v>
      </c>
      <c r="C428" s="19" t="str">
        <f t="shared" si="30"/>
        <v>B-BCP - Soles</v>
      </c>
      <c r="D428" s="3" t="s">
        <v>1074</v>
      </c>
      <c r="E428" s="14">
        <v>45693</v>
      </c>
      <c r="F428" s="5" t="s">
        <v>564</v>
      </c>
      <c r="G428" s="5" t="s">
        <v>1087</v>
      </c>
      <c r="H428" s="6"/>
      <c r="I428" s="6"/>
      <c r="J428" s="6"/>
      <c r="K428" s="6"/>
      <c r="L428" s="7" t="s">
        <v>1552</v>
      </c>
      <c r="M428" s="8">
        <v>2099671</v>
      </c>
      <c r="N428" s="8" t="str">
        <f t="shared" si="31"/>
        <v>PEN</v>
      </c>
      <c r="O428" s="13"/>
      <c r="P428" s="13">
        <v>686.8</v>
      </c>
      <c r="Q428" s="3">
        <f t="shared" si="32"/>
        <v>686.8</v>
      </c>
      <c r="R428" s="3">
        <f t="shared" si="33"/>
        <v>0</v>
      </c>
      <c r="S428" s="3">
        <f t="shared" si="34"/>
        <v>17203.870000000003</v>
      </c>
      <c r="T428" s="24" t="s">
        <v>1081</v>
      </c>
      <c r="U428" s="24" t="s">
        <v>1081</v>
      </c>
      <c r="V428" s="67"/>
      <c r="W428" s="25" t="str">
        <f>IFERROR(VLOOKUP(BCP_Soles[[#This Row],[DESTINATARIO]],CHOOSE({1,2},Clientes_Proveedores[Razon Social],Clientes_Proveedores[Ruc / Dni]),2,0),"")</f>
        <v/>
      </c>
      <c r="X428" s="25" t="s">
        <v>1090</v>
      </c>
      <c r="Y428" s="25" t="s">
        <v>1553</v>
      </c>
      <c r="Z428" s="25"/>
      <c r="AA428" s="99"/>
      <c r="AB428" s="3" t="str">
        <f>IF(BCP_Soles[[#This Row],[FECHA]]&gt;0,TEXT(BCP_Soles[[#This Row],[FECHA]],"mmmm"),0)</f>
        <v>Febrero</v>
      </c>
    </row>
    <row r="429" spans="2:28" x14ac:dyDescent="0.3">
      <c r="B429" s="2">
        <f>IF(BCP_Soles[[#This Row],[TIPO DE R.]]="R",COUNTIFS($D$4:$D428,"R")+1,"")</f>
        <v>302</v>
      </c>
      <c r="C429" s="19" t="str">
        <f t="shared" si="30"/>
        <v>B-BCP - Soles</v>
      </c>
      <c r="D429" s="3" t="s">
        <v>1074</v>
      </c>
      <c r="E429" s="14">
        <v>45694</v>
      </c>
      <c r="F429" s="5"/>
      <c r="G429" s="5" t="s">
        <v>1087</v>
      </c>
      <c r="H429" s="6"/>
      <c r="I429" s="6"/>
      <c r="J429" s="6"/>
      <c r="K429" s="6"/>
      <c r="L429" s="7" t="s">
        <v>1100</v>
      </c>
      <c r="M429" s="8">
        <v>2257129</v>
      </c>
      <c r="N429" s="8" t="str">
        <f t="shared" si="31"/>
        <v>PEN</v>
      </c>
      <c r="O429" s="13"/>
      <c r="P429" s="13">
        <v>5264</v>
      </c>
      <c r="Q429" s="3">
        <f t="shared" si="32"/>
        <v>5264</v>
      </c>
      <c r="R429" s="3">
        <f t="shared" si="33"/>
        <v>0</v>
      </c>
      <c r="S429" s="3">
        <f t="shared" si="34"/>
        <v>22467.870000000003</v>
      </c>
      <c r="T429" s="24" t="s">
        <v>1081</v>
      </c>
      <c r="U429" s="24" t="s">
        <v>1081</v>
      </c>
      <c r="V429" s="67"/>
      <c r="W429" s="25" t="str">
        <f>IFERROR(VLOOKUP(BCP_Soles[[#This Row],[DESTINATARIO]],CHOOSE({1,2},Clientes_Proveedores[Razon Social],Clientes_Proveedores[Ruc / Dni]),2,0),"")</f>
        <v/>
      </c>
      <c r="X429" s="25" t="s">
        <v>1090</v>
      </c>
      <c r="Y429" s="25"/>
      <c r="Z429" s="25"/>
      <c r="AA429" s="99"/>
      <c r="AB429" s="3" t="str">
        <f>IF(BCP_Soles[[#This Row],[FECHA]]&gt;0,TEXT(BCP_Soles[[#This Row],[FECHA]],"mmmm"),0)</f>
        <v>Febrero</v>
      </c>
    </row>
    <row r="430" spans="2:28" ht="24" x14ac:dyDescent="0.3">
      <c r="B430" s="2" t="str">
        <f>IF(BCP_Soles[[#This Row],[TIPO DE R.]]="R",COUNTIFS($D$4:$D429,"R")+1,"")</f>
        <v/>
      </c>
      <c r="C430" s="19" t="str">
        <f t="shared" si="30"/>
        <v>B-BCP - Soles</v>
      </c>
      <c r="D430" s="3" t="s">
        <v>1101</v>
      </c>
      <c r="E430" s="14">
        <v>45694</v>
      </c>
      <c r="F430" s="5" t="s">
        <v>479</v>
      </c>
      <c r="G430" s="5"/>
      <c r="H430" s="6"/>
      <c r="I430" s="6"/>
      <c r="J430" s="6"/>
      <c r="K430" s="6"/>
      <c r="L430" s="7" t="s">
        <v>1100</v>
      </c>
      <c r="M430" s="8">
        <v>2257129</v>
      </c>
      <c r="N430" s="8" t="str">
        <f t="shared" si="31"/>
        <v>PEN</v>
      </c>
      <c r="O430" s="13"/>
      <c r="P430" s="13">
        <v>1402</v>
      </c>
      <c r="Q430" s="3">
        <f t="shared" si="32"/>
        <v>0</v>
      </c>
      <c r="R430" s="3">
        <f t="shared" si="33"/>
        <v>0</v>
      </c>
      <c r="S430" s="3">
        <f t="shared" si="34"/>
        <v>22467.870000000003</v>
      </c>
      <c r="T430" s="24" t="s">
        <v>1081</v>
      </c>
      <c r="U430" s="24" t="s">
        <v>1081</v>
      </c>
      <c r="V430" s="67"/>
      <c r="W430" s="25" t="str">
        <f>IFERROR(VLOOKUP(BCP_Soles[[#This Row],[DESTINATARIO]],CHOOSE({1,2},Clientes_Proveedores[Razon Social],Clientes_Proveedores[Ruc / Dni]),2,0),"")</f>
        <v/>
      </c>
      <c r="X430" s="25" t="s">
        <v>1090</v>
      </c>
      <c r="Y430" s="25" t="s">
        <v>1554</v>
      </c>
      <c r="Z430" s="25"/>
      <c r="AA430" s="99"/>
      <c r="AB430" s="3" t="str">
        <f>IF(BCP_Soles[[#This Row],[FECHA]]&gt;0,TEXT(BCP_Soles[[#This Row],[FECHA]],"mmmm"),0)</f>
        <v>Febrero</v>
      </c>
    </row>
    <row r="431" spans="2:28" ht="24" x14ac:dyDescent="0.3">
      <c r="B431" s="2" t="str">
        <f>IF(BCP_Soles[[#This Row],[TIPO DE R.]]="R",COUNTIFS($D$4:$D430,"R")+1,"")</f>
        <v/>
      </c>
      <c r="C431" s="19" t="str">
        <f t="shared" si="30"/>
        <v>B-BCP - Soles</v>
      </c>
      <c r="D431" s="3" t="s">
        <v>1101</v>
      </c>
      <c r="E431" s="14">
        <v>45694</v>
      </c>
      <c r="F431" s="5" t="s">
        <v>479</v>
      </c>
      <c r="G431" s="5"/>
      <c r="H431" s="6"/>
      <c r="I431" s="6"/>
      <c r="J431" s="6"/>
      <c r="K431" s="6"/>
      <c r="L431" s="7" t="s">
        <v>1100</v>
      </c>
      <c r="M431" s="8">
        <v>2257129</v>
      </c>
      <c r="N431" s="8" t="str">
        <f t="shared" si="31"/>
        <v>PEN</v>
      </c>
      <c r="O431" s="13"/>
      <c r="P431" s="13">
        <v>2352</v>
      </c>
      <c r="Q431" s="3">
        <f t="shared" si="32"/>
        <v>0</v>
      </c>
      <c r="R431" s="3">
        <f t="shared" si="33"/>
        <v>0</v>
      </c>
      <c r="S431" s="3">
        <f t="shared" si="34"/>
        <v>22467.870000000003</v>
      </c>
      <c r="T431" s="24" t="s">
        <v>1081</v>
      </c>
      <c r="U431" s="24" t="s">
        <v>1081</v>
      </c>
      <c r="V431" s="67"/>
      <c r="W431" s="25" t="str">
        <f>IFERROR(VLOOKUP(BCP_Soles[[#This Row],[DESTINATARIO]],CHOOSE({1,2},Clientes_Proveedores[Razon Social],Clientes_Proveedores[Ruc / Dni]),2,0),"")</f>
        <v/>
      </c>
      <c r="X431" s="25" t="s">
        <v>1090</v>
      </c>
      <c r="Y431" s="25" t="s">
        <v>1555</v>
      </c>
      <c r="Z431" s="25"/>
      <c r="AA431" s="99"/>
      <c r="AB431" s="3" t="str">
        <f>IF(BCP_Soles[[#This Row],[FECHA]]&gt;0,TEXT(BCP_Soles[[#This Row],[FECHA]],"mmmm"),0)</f>
        <v>Febrero</v>
      </c>
    </row>
    <row r="432" spans="2:28" ht="24" x14ac:dyDescent="0.3">
      <c r="B432" s="2" t="str">
        <f>IF(BCP_Soles[[#This Row],[TIPO DE R.]]="R",COUNTIFS($D$4:$D431,"R")+1,"")</f>
        <v/>
      </c>
      <c r="C432" s="19" t="str">
        <f t="shared" si="30"/>
        <v>B-BCP - Soles</v>
      </c>
      <c r="D432" s="3" t="s">
        <v>1101</v>
      </c>
      <c r="E432" s="14">
        <v>45694</v>
      </c>
      <c r="F432" s="5" t="s">
        <v>479</v>
      </c>
      <c r="G432" s="5"/>
      <c r="H432" s="6"/>
      <c r="I432" s="6"/>
      <c r="J432" s="6"/>
      <c r="K432" s="6"/>
      <c r="L432" s="7" t="s">
        <v>1100</v>
      </c>
      <c r="M432" s="8">
        <v>2257129</v>
      </c>
      <c r="N432" s="8" t="str">
        <f t="shared" si="31"/>
        <v>PEN</v>
      </c>
      <c r="O432" s="13"/>
      <c r="P432" s="13">
        <v>1510</v>
      </c>
      <c r="Q432" s="3">
        <f t="shared" si="32"/>
        <v>0</v>
      </c>
      <c r="R432" s="3">
        <f t="shared" si="33"/>
        <v>0</v>
      </c>
      <c r="S432" s="3">
        <f t="shared" si="34"/>
        <v>22467.870000000003</v>
      </c>
      <c r="T432" s="24" t="s">
        <v>1081</v>
      </c>
      <c r="U432" s="24" t="s">
        <v>1081</v>
      </c>
      <c r="V432" s="67"/>
      <c r="W432" s="25" t="str">
        <f>IFERROR(VLOOKUP(BCP_Soles[[#This Row],[DESTINATARIO]],CHOOSE({1,2},Clientes_Proveedores[Razon Social],Clientes_Proveedores[Ruc / Dni]),2,0),"")</f>
        <v/>
      </c>
      <c r="X432" s="25" t="s">
        <v>1090</v>
      </c>
      <c r="Y432" s="25" t="s">
        <v>1556</v>
      </c>
      <c r="Z432" s="25"/>
      <c r="AA432" s="99"/>
      <c r="AB432" s="3" t="str">
        <f>IF(BCP_Soles[[#This Row],[FECHA]]&gt;0,TEXT(BCP_Soles[[#This Row],[FECHA]],"mmmm"),0)</f>
        <v>Febrero</v>
      </c>
    </row>
    <row r="433" spans="2:28" ht="72" x14ac:dyDescent="0.3">
      <c r="B433" s="2">
        <f>IF(BCP_Soles[[#This Row],[TIPO DE R.]]="R",COUNTIFS($D$4:$D432,"R")+1,"")</f>
        <v>303</v>
      </c>
      <c r="C433" s="19" t="str">
        <f t="shared" si="30"/>
        <v>B-BCP - Soles</v>
      </c>
      <c r="D433" s="3" t="s">
        <v>1074</v>
      </c>
      <c r="E433" s="14">
        <v>45694</v>
      </c>
      <c r="F433" s="5" t="s">
        <v>214</v>
      </c>
      <c r="G433" s="5" t="s">
        <v>1087</v>
      </c>
      <c r="H433" s="6"/>
      <c r="I433" s="6"/>
      <c r="J433" s="6"/>
      <c r="K433" s="6"/>
      <c r="L433" s="7" t="s">
        <v>1557</v>
      </c>
      <c r="M433" s="8">
        <v>9599518</v>
      </c>
      <c r="N433" s="8" t="str">
        <f t="shared" si="31"/>
        <v>PEN</v>
      </c>
      <c r="O433" s="13"/>
      <c r="P433" s="13">
        <v>11290.65</v>
      </c>
      <c r="Q433" s="3">
        <f t="shared" si="32"/>
        <v>11290.65</v>
      </c>
      <c r="R433" s="3">
        <f t="shared" si="33"/>
        <v>0</v>
      </c>
      <c r="S433" s="3">
        <f t="shared" si="34"/>
        <v>33758.520000000004</v>
      </c>
      <c r="T433" s="24" t="s">
        <v>1081</v>
      </c>
      <c r="U433" s="24" t="s">
        <v>1081</v>
      </c>
      <c r="V433" s="67"/>
      <c r="W433" s="25" t="str">
        <f>IFERROR(VLOOKUP(BCP_Soles[[#This Row],[DESTINATARIO]],CHOOSE({1,2},Clientes_Proveedores[Razon Social],Clientes_Proveedores[Ruc / Dni]),2,0),"")</f>
        <v/>
      </c>
      <c r="X433" s="25" t="s">
        <v>1090</v>
      </c>
      <c r="Y433" s="25" t="s">
        <v>1558</v>
      </c>
      <c r="Z433" s="25"/>
      <c r="AA433" s="99"/>
      <c r="AB433" s="3" t="str">
        <f>IF(BCP_Soles[[#This Row],[FECHA]]&gt;0,TEXT(BCP_Soles[[#This Row],[FECHA]],"mmmm"),0)</f>
        <v>Febrero</v>
      </c>
    </row>
    <row r="434" spans="2:28" x14ac:dyDescent="0.3">
      <c r="B434" s="2">
        <f>IF(BCP_Soles[[#This Row],[TIPO DE R.]]="R",COUNTIFS($D$4:$D433,"R")+1,"")</f>
        <v>304</v>
      </c>
      <c r="C434" s="19" t="str">
        <f t="shared" si="30"/>
        <v>B-BCP - Soles</v>
      </c>
      <c r="D434" s="3" t="s">
        <v>1074</v>
      </c>
      <c r="E434" s="14">
        <v>45694</v>
      </c>
      <c r="F434" s="5" t="s">
        <v>289</v>
      </c>
      <c r="G434" s="5" t="s">
        <v>1087</v>
      </c>
      <c r="H434" s="6"/>
      <c r="I434" s="6"/>
      <c r="J434" s="6"/>
      <c r="K434" s="6"/>
      <c r="L434" s="7" t="s">
        <v>1559</v>
      </c>
      <c r="M434" s="8">
        <v>9560712</v>
      </c>
      <c r="N434" s="8" t="str">
        <f t="shared" si="31"/>
        <v>PEN</v>
      </c>
      <c r="O434" s="13"/>
      <c r="P434" s="13">
        <v>824.21</v>
      </c>
      <c r="Q434" s="3">
        <f t="shared" si="32"/>
        <v>824.21</v>
      </c>
      <c r="R434" s="3">
        <f t="shared" si="33"/>
        <v>0</v>
      </c>
      <c r="S434" s="3">
        <f t="shared" si="34"/>
        <v>34582.730000000003</v>
      </c>
      <c r="T434" s="24" t="s">
        <v>1081</v>
      </c>
      <c r="U434" s="24" t="s">
        <v>1081</v>
      </c>
      <c r="V434" s="67"/>
      <c r="W434" s="25" t="str">
        <f>IFERROR(VLOOKUP(BCP_Soles[[#This Row],[DESTINATARIO]],CHOOSE({1,2},Clientes_Proveedores[Razon Social],Clientes_Proveedores[Ruc / Dni]),2,0),"")</f>
        <v/>
      </c>
      <c r="X434" s="25" t="s">
        <v>1090</v>
      </c>
      <c r="Y434" s="25" t="s">
        <v>1560</v>
      </c>
      <c r="Z434" s="25"/>
      <c r="AA434" s="99"/>
      <c r="AB434" s="3" t="str">
        <f>IF(BCP_Soles[[#This Row],[FECHA]]&gt;0,TEXT(BCP_Soles[[#This Row],[FECHA]],"mmmm"),0)</f>
        <v>Febrero</v>
      </c>
    </row>
    <row r="435" spans="2:28" ht="36" x14ac:dyDescent="0.3">
      <c r="B435" s="2">
        <f>IF(BCP_Soles[[#This Row],[TIPO DE R.]]="R",COUNTIFS($D$4:$D434,"R")+1,"")</f>
        <v>305</v>
      </c>
      <c r="C435" s="19" t="str">
        <f t="shared" si="30"/>
        <v>B-BCP - Soles</v>
      </c>
      <c r="D435" s="3" t="s">
        <v>1074</v>
      </c>
      <c r="E435" s="14">
        <v>45694</v>
      </c>
      <c r="F435" s="5" t="s">
        <v>497</v>
      </c>
      <c r="G435" s="5" t="s">
        <v>1087</v>
      </c>
      <c r="H435" s="6"/>
      <c r="I435" s="6"/>
      <c r="J435" s="6"/>
      <c r="K435" s="6"/>
      <c r="L435" s="7" t="s">
        <v>1093</v>
      </c>
      <c r="M435" s="8">
        <v>2151166</v>
      </c>
      <c r="N435" s="8" t="str">
        <f t="shared" si="31"/>
        <v>PEN</v>
      </c>
      <c r="O435" s="13"/>
      <c r="P435" s="13">
        <v>850.64</v>
      </c>
      <c r="Q435" s="3">
        <f t="shared" si="32"/>
        <v>850.64</v>
      </c>
      <c r="R435" s="3">
        <f t="shared" si="33"/>
        <v>0</v>
      </c>
      <c r="S435" s="3">
        <f t="shared" si="34"/>
        <v>35433.370000000003</v>
      </c>
      <c r="T435" s="24" t="s">
        <v>1081</v>
      </c>
      <c r="U435" s="24" t="s">
        <v>1081</v>
      </c>
      <c r="V435" s="67"/>
      <c r="W435" s="25" t="str">
        <f>IFERROR(VLOOKUP(BCP_Soles[[#This Row],[DESTINATARIO]],CHOOSE({1,2},Clientes_Proveedores[Razon Social],Clientes_Proveedores[Ruc / Dni]),2,0),"")</f>
        <v/>
      </c>
      <c r="X435" s="25" t="s">
        <v>1090</v>
      </c>
      <c r="Y435" s="25" t="s">
        <v>1561</v>
      </c>
      <c r="Z435" s="25"/>
      <c r="AA435" s="99"/>
      <c r="AB435" s="3" t="str">
        <f>IF(BCP_Soles[[#This Row],[FECHA]]&gt;0,TEXT(BCP_Soles[[#This Row],[FECHA]],"mmmm"),0)</f>
        <v>Febrero</v>
      </c>
    </row>
    <row r="436" spans="2:28" ht="24" x14ac:dyDescent="0.3">
      <c r="B436" s="2">
        <f>IF(BCP_Soles[[#This Row],[TIPO DE R.]]="R",COUNTIFS($D$4:$D435,"R")+1,"")</f>
        <v>306</v>
      </c>
      <c r="C436" s="19" t="str">
        <f t="shared" si="30"/>
        <v>B-BCP - Soles</v>
      </c>
      <c r="D436" s="3" t="s">
        <v>1074</v>
      </c>
      <c r="E436" s="14">
        <v>45694</v>
      </c>
      <c r="F436" s="5" t="s">
        <v>1562</v>
      </c>
      <c r="G436" s="5" t="s">
        <v>1087</v>
      </c>
      <c r="H436" s="6"/>
      <c r="I436" s="6"/>
      <c r="J436" s="6"/>
      <c r="K436" s="6"/>
      <c r="L436" s="7" t="s">
        <v>1100</v>
      </c>
      <c r="M436" s="8">
        <v>3080571</v>
      </c>
      <c r="N436" s="8" t="str">
        <f t="shared" si="31"/>
        <v>PEN</v>
      </c>
      <c r="O436" s="13"/>
      <c r="P436" s="13">
        <v>3148.9</v>
      </c>
      <c r="Q436" s="3">
        <f t="shared" si="32"/>
        <v>3148.9</v>
      </c>
      <c r="R436" s="3">
        <f t="shared" si="33"/>
        <v>0</v>
      </c>
      <c r="S436" s="3">
        <f t="shared" si="34"/>
        <v>38582.270000000004</v>
      </c>
      <c r="T436" s="24" t="s">
        <v>1081</v>
      </c>
      <c r="U436" s="24" t="s">
        <v>1081</v>
      </c>
      <c r="V436" s="67"/>
      <c r="W436" s="25" t="str">
        <f>IFERROR(VLOOKUP(BCP_Soles[[#This Row],[DESTINATARIO]],CHOOSE({1,2},Clientes_Proveedores[Razon Social],Clientes_Proveedores[Ruc / Dni]),2,0),"")</f>
        <v/>
      </c>
      <c r="X436" s="25" t="s">
        <v>1090</v>
      </c>
      <c r="Y436" s="25" t="s">
        <v>1563</v>
      </c>
      <c r="Z436" s="25"/>
      <c r="AA436" s="99"/>
      <c r="AB436" s="3" t="str">
        <f>IF(BCP_Soles[[#This Row],[FECHA]]&gt;0,TEXT(BCP_Soles[[#This Row],[FECHA]],"mmmm"),0)</f>
        <v>Febrero</v>
      </c>
    </row>
    <row r="437" spans="2:28" ht="24" x14ac:dyDescent="0.3">
      <c r="B437" s="2">
        <f>IF(BCP_Soles[[#This Row],[TIPO DE R.]]="R",COUNTIFS($D$4:$D436,"R")+1,"")</f>
        <v>307</v>
      </c>
      <c r="C437" s="19" t="str">
        <f t="shared" si="30"/>
        <v>B-BCP - Soles</v>
      </c>
      <c r="D437" s="3" t="s">
        <v>1074</v>
      </c>
      <c r="E437" s="14">
        <v>45694</v>
      </c>
      <c r="F437" s="5" t="s">
        <v>1082</v>
      </c>
      <c r="G437" s="5" t="s">
        <v>1079</v>
      </c>
      <c r="H437" s="6" t="s">
        <v>842</v>
      </c>
      <c r="I437" s="6"/>
      <c r="J437" s="6"/>
      <c r="K437" s="6"/>
      <c r="L437" s="7" t="s">
        <v>1564</v>
      </c>
      <c r="M437" s="8">
        <v>1170205</v>
      </c>
      <c r="N437" s="8" t="str">
        <f t="shared" si="31"/>
        <v>PEN</v>
      </c>
      <c r="O437" s="13"/>
      <c r="P437" s="13">
        <v>2642.1</v>
      </c>
      <c r="Q437" s="3">
        <f t="shared" si="32"/>
        <v>0</v>
      </c>
      <c r="R437" s="3">
        <f t="shared" si="33"/>
        <v>2642.1</v>
      </c>
      <c r="S437" s="3">
        <f t="shared" si="34"/>
        <v>35940.170000000006</v>
      </c>
      <c r="T437" s="24"/>
      <c r="U437" s="24" t="s">
        <v>1081</v>
      </c>
      <c r="V437" s="67"/>
      <c r="W437" s="25">
        <f>IFERROR(VLOOKUP(BCP_Soles[[#This Row],[DESTINATARIO]],CHOOSE({1,2},Clientes_Proveedores[Razon Social],Clientes_Proveedores[Ruc / Dni]),2,0),"")</f>
        <v>72131384</v>
      </c>
      <c r="X437" s="25" t="s">
        <v>842</v>
      </c>
      <c r="Y437" s="25" t="s">
        <v>1565</v>
      </c>
      <c r="Z437" s="25"/>
      <c r="AA437" s="99"/>
      <c r="AB437" s="3" t="str">
        <f>IF(BCP_Soles[[#This Row],[FECHA]]&gt;0,TEXT(BCP_Soles[[#This Row],[FECHA]],"mmmm"),0)</f>
        <v>Febrero</v>
      </c>
    </row>
    <row r="438" spans="2:28" ht="36" x14ac:dyDescent="0.3">
      <c r="B438" s="2">
        <f>IF(BCP_Soles[[#This Row],[TIPO DE R.]]="R",COUNTIFS($D$4:$D437,"R")+1,"")</f>
        <v>308</v>
      </c>
      <c r="C438" s="19" t="str">
        <f t="shared" si="30"/>
        <v>B-BCP - Soles</v>
      </c>
      <c r="D438" s="3" t="s">
        <v>1074</v>
      </c>
      <c r="E438" s="14">
        <v>45694</v>
      </c>
      <c r="F438" s="5" t="s">
        <v>1082</v>
      </c>
      <c r="G438" s="5" t="s">
        <v>1079</v>
      </c>
      <c r="H438" s="6" t="s">
        <v>880</v>
      </c>
      <c r="I438" s="6" t="s">
        <v>87</v>
      </c>
      <c r="J438" s="6">
        <v>1</v>
      </c>
      <c r="K438" s="6">
        <v>62025</v>
      </c>
      <c r="L438" s="7" t="s">
        <v>1566</v>
      </c>
      <c r="M438" s="8">
        <v>1170206</v>
      </c>
      <c r="N438" s="8" t="str">
        <f t="shared" si="31"/>
        <v>PEN</v>
      </c>
      <c r="O438" s="13"/>
      <c r="P438" s="13">
        <v>266</v>
      </c>
      <c r="Q438" s="3">
        <f t="shared" si="32"/>
        <v>0</v>
      </c>
      <c r="R438" s="3">
        <f t="shared" si="33"/>
        <v>266</v>
      </c>
      <c r="S438" s="3">
        <f t="shared" si="34"/>
        <v>35674.170000000006</v>
      </c>
      <c r="T438" s="24" t="s">
        <v>1081</v>
      </c>
      <c r="U438" s="24" t="s">
        <v>1081</v>
      </c>
      <c r="V438" s="67"/>
      <c r="W438" s="25">
        <f>IFERROR(VLOOKUP(BCP_Soles[[#This Row],[DESTINATARIO]],CHOOSE({1,2},Clientes_Proveedores[Razon Social],Clientes_Proveedores[Ruc / Dni]),2,0),"")</f>
        <v>72531546</v>
      </c>
      <c r="X438" s="25"/>
      <c r="Y438" s="25"/>
      <c r="Z438" s="25"/>
      <c r="AA438" s="99"/>
      <c r="AB438" s="3" t="str">
        <f>IF(BCP_Soles[[#This Row],[FECHA]]&gt;0,TEXT(BCP_Soles[[#This Row],[FECHA]],"mmmm"),0)</f>
        <v>Febrero</v>
      </c>
    </row>
    <row r="439" spans="2:28" x14ac:dyDescent="0.3">
      <c r="B439" s="2">
        <f>IF(BCP_Soles[[#This Row],[TIPO DE R.]]="R",COUNTIFS($D$4:$D438,"R")+1,"")</f>
        <v>309</v>
      </c>
      <c r="C439" s="19" t="str">
        <f t="shared" si="30"/>
        <v>B-BCP - Soles</v>
      </c>
      <c r="D439" s="3" t="s">
        <v>1074</v>
      </c>
      <c r="E439" s="14">
        <v>45694</v>
      </c>
      <c r="F439" s="5" t="s">
        <v>1163</v>
      </c>
      <c r="G439" s="5" t="s">
        <v>1079</v>
      </c>
      <c r="H439" s="6"/>
      <c r="I439" s="6"/>
      <c r="J439" s="6"/>
      <c r="K439" s="6"/>
      <c r="L439" s="7" t="s">
        <v>1567</v>
      </c>
      <c r="M439" s="8">
        <v>9692717</v>
      </c>
      <c r="N439" s="8" t="str">
        <f t="shared" si="31"/>
        <v>PEN</v>
      </c>
      <c r="O439" s="13"/>
      <c r="P439" s="13">
        <v>225</v>
      </c>
      <c r="Q439" s="3">
        <f t="shared" si="32"/>
        <v>0</v>
      </c>
      <c r="R439" s="3">
        <f t="shared" si="33"/>
        <v>225</v>
      </c>
      <c r="S439" s="3">
        <f t="shared" si="34"/>
        <v>35449.170000000006</v>
      </c>
      <c r="T439" s="24"/>
      <c r="U439" s="24"/>
      <c r="V439" s="67"/>
      <c r="W439" s="25" t="str">
        <f>IFERROR(VLOOKUP(BCP_Soles[[#This Row],[DESTINATARIO]],CHOOSE({1,2},Clientes_Proveedores[Razon Social],Clientes_Proveedores[Ruc / Dni]),2,0),"")</f>
        <v/>
      </c>
      <c r="X439" s="25"/>
      <c r="Y439" s="25"/>
      <c r="Z439" s="25"/>
      <c r="AA439" s="99"/>
      <c r="AB439" s="3" t="str">
        <f>IF(BCP_Soles[[#This Row],[FECHA]]&gt;0,TEXT(BCP_Soles[[#This Row],[FECHA]],"mmmm"),0)</f>
        <v>Febrero</v>
      </c>
    </row>
    <row r="440" spans="2:28" x14ac:dyDescent="0.3">
      <c r="B440" s="2">
        <f>IF(BCP_Soles[[#This Row],[TIPO DE R.]]="R",COUNTIFS($D$4:$D439,"R")+1,"")</f>
        <v>310</v>
      </c>
      <c r="C440" s="19" t="str">
        <f t="shared" si="30"/>
        <v>B-BCP - Soles</v>
      </c>
      <c r="D440" s="3" t="s">
        <v>1074</v>
      </c>
      <c r="E440" s="14">
        <v>45694</v>
      </c>
      <c r="F440" s="5" t="s">
        <v>1078</v>
      </c>
      <c r="G440" s="5" t="s">
        <v>1079</v>
      </c>
      <c r="H440" s="6"/>
      <c r="I440" s="6"/>
      <c r="J440" s="6"/>
      <c r="K440" s="6"/>
      <c r="L440" s="7" t="s">
        <v>1080</v>
      </c>
      <c r="M440" s="8"/>
      <c r="N440" s="8" t="str">
        <f t="shared" si="31"/>
        <v>PEN</v>
      </c>
      <c r="O440" s="13"/>
      <c r="P440" s="13">
        <v>1.05</v>
      </c>
      <c r="Q440" s="3">
        <f t="shared" si="32"/>
        <v>0</v>
      </c>
      <c r="R440" s="3">
        <f t="shared" si="33"/>
        <v>1.05</v>
      </c>
      <c r="S440" s="3">
        <f t="shared" si="34"/>
        <v>35448.120000000003</v>
      </c>
      <c r="T440" s="24"/>
      <c r="U440" s="24" t="s">
        <v>1081</v>
      </c>
      <c r="V440" s="67"/>
      <c r="W440" s="25" t="str">
        <f>IFERROR(VLOOKUP(BCP_Soles[[#This Row],[DESTINATARIO]],CHOOSE({1,2},Clientes_Proveedores[Razon Social],Clientes_Proveedores[Ruc / Dni]),2,0),"")</f>
        <v/>
      </c>
      <c r="X440" s="25"/>
      <c r="Y440" s="25"/>
      <c r="Z440" s="25"/>
      <c r="AA440" s="99"/>
      <c r="AB440" s="3" t="str">
        <f>IF(BCP_Soles[[#This Row],[FECHA]]&gt;0,TEXT(BCP_Soles[[#This Row],[FECHA]],"mmmm"),0)</f>
        <v>Febrero</v>
      </c>
    </row>
    <row r="441" spans="2:28" ht="24" x14ac:dyDescent="0.3">
      <c r="B441" s="2">
        <f>IF(BCP_Soles[[#This Row],[TIPO DE R.]]="R",COUNTIFS($D$4:$D440,"R")+1,"")</f>
        <v>311</v>
      </c>
      <c r="C441" s="19" t="str">
        <f t="shared" si="30"/>
        <v>B-BCP - Soles</v>
      </c>
      <c r="D441" s="3" t="s">
        <v>1074</v>
      </c>
      <c r="E441" s="14">
        <v>45695</v>
      </c>
      <c r="F441" s="5" t="s">
        <v>1245</v>
      </c>
      <c r="G441" s="5" t="s">
        <v>1087</v>
      </c>
      <c r="H441" s="6"/>
      <c r="I441" s="6"/>
      <c r="J441" s="6"/>
      <c r="K441" s="6"/>
      <c r="L441" s="7" t="s">
        <v>1100</v>
      </c>
      <c r="M441" s="8">
        <v>1898541</v>
      </c>
      <c r="N441" s="8" t="str">
        <f t="shared" si="31"/>
        <v>PEN</v>
      </c>
      <c r="O441" s="13"/>
      <c r="P441" s="13">
        <v>5593.5</v>
      </c>
      <c r="Q441" s="3">
        <f t="shared" si="32"/>
        <v>5593.5</v>
      </c>
      <c r="R441" s="3">
        <f t="shared" si="33"/>
        <v>0</v>
      </c>
      <c r="S441" s="3">
        <f t="shared" si="34"/>
        <v>41041.620000000003</v>
      </c>
      <c r="T441" s="24" t="s">
        <v>1081</v>
      </c>
      <c r="U441" s="24" t="s">
        <v>1081</v>
      </c>
      <c r="V441" s="67"/>
      <c r="W441" s="25" t="str">
        <f>IFERROR(VLOOKUP(BCP_Soles[[#This Row],[DESTINATARIO]],CHOOSE({1,2},Clientes_Proveedores[Razon Social],Clientes_Proveedores[Ruc / Dni]),2,0),"")</f>
        <v/>
      </c>
      <c r="X441" s="25" t="s">
        <v>1090</v>
      </c>
      <c r="Y441" s="25" t="s">
        <v>1568</v>
      </c>
      <c r="Z441" s="25"/>
      <c r="AA441" s="99"/>
      <c r="AB441" s="3" t="str">
        <f>IF(BCP_Soles[[#This Row],[FECHA]]&gt;0,TEXT(BCP_Soles[[#This Row],[FECHA]],"mmmm"),0)</f>
        <v>Febrero</v>
      </c>
    </row>
    <row r="442" spans="2:28" ht="24" x14ac:dyDescent="0.3">
      <c r="B442" s="2">
        <f>IF(BCP_Soles[[#This Row],[TIPO DE R.]]="R",COUNTIFS($D$4:$D441,"R")+1,"")</f>
        <v>312</v>
      </c>
      <c r="C442" s="19" t="str">
        <f t="shared" si="30"/>
        <v>B-BCP - Soles</v>
      </c>
      <c r="D442" s="3" t="s">
        <v>1074</v>
      </c>
      <c r="E442" s="14">
        <v>45695</v>
      </c>
      <c r="F442" s="5" t="s">
        <v>1245</v>
      </c>
      <c r="G442" s="5" t="s">
        <v>1087</v>
      </c>
      <c r="H442" s="6"/>
      <c r="I442" s="6"/>
      <c r="J442" s="6"/>
      <c r="K442" s="6"/>
      <c r="L442" s="7" t="s">
        <v>1100</v>
      </c>
      <c r="M442" s="8">
        <v>1931926</v>
      </c>
      <c r="N442" s="8" t="str">
        <f t="shared" si="31"/>
        <v>PEN</v>
      </c>
      <c r="O442" s="13"/>
      <c r="P442" s="13">
        <v>2574</v>
      </c>
      <c r="Q442" s="3">
        <f t="shared" si="32"/>
        <v>2574</v>
      </c>
      <c r="R442" s="3">
        <f t="shared" si="33"/>
        <v>0</v>
      </c>
      <c r="S442" s="3">
        <f t="shared" si="34"/>
        <v>43615.62</v>
      </c>
      <c r="T442" s="24" t="s">
        <v>1081</v>
      </c>
      <c r="U442" s="24" t="s">
        <v>1081</v>
      </c>
      <c r="V442" s="67"/>
      <c r="W442" s="25" t="str">
        <f>IFERROR(VLOOKUP(BCP_Soles[[#This Row],[DESTINATARIO]],CHOOSE({1,2},Clientes_Proveedores[Razon Social],Clientes_Proveedores[Ruc / Dni]),2,0),"")</f>
        <v/>
      </c>
      <c r="X442" s="25" t="s">
        <v>1090</v>
      </c>
      <c r="Y442" s="25" t="s">
        <v>1569</v>
      </c>
      <c r="Z442" s="25"/>
      <c r="AA442" s="99"/>
      <c r="AB442" s="3" t="str">
        <f>IF(BCP_Soles[[#This Row],[FECHA]]&gt;0,TEXT(BCP_Soles[[#This Row],[FECHA]],"mmmm"),0)</f>
        <v>Febrero</v>
      </c>
    </row>
    <row r="443" spans="2:28" ht="24" x14ac:dyDescent="0.3">
      <c r="B443" s="2">
        <f>IF(BCP_Soles[[#This Row],[TIPO DE R.]]="R",COUNTIFS($D$4:$D442,"R")+1,"")</f>
        <v>313</v>
      </c>
      <c r="C443" s="19" t="str">
        <f t="shared" si="30"/>
        <v>B-BCP - Soles</v>
      </c>
      <c r="D443" s="3" t="s">
        <v>1074</v>
      </c>
      <c r="E443" s="14">
        <v>45695</v>
      </c>
      <c r="F443" s="5" t="s">
        <v>1245</v>
      </c>
      <c r="G443" s="5" t="s">
        <v>1087</v>
      </c>
      <c r="H443" s="6"/>
      <c r="I443" s="6"/>
      <c r="J443" s="6"/>
      <c r="K443" s="6"/>
      <c r="L443" s="7" t="s">
        <v>1412</v>
      </c>
      <c r="M443" s="8">
        <v>31064</v>
      </c>
      <c r="N443" s="8" t="str">
        <f t="shared" si="31"/>
        <v>PEN</v>
      </c>
      <c r="O443" s="13"/>
      <c r="P443" s="13">
        <v>231</v>
      </c>
      <c r="Q443" s="3">
        <f t="shared" si="32"/>
        <v>231</v>
      </c>
      <c r="R443" s="3">
        <f t="shared" si="33"/>
        <v>0</v>
      </c>
      <c r="S443" s="3">
        <f t="shared" si="34"/>
        <v>43846.62</v>
      </c>
      <c r="T443" s="24" t="s">
        <v>1081</v>
      </c>
      <c r="U443" s="24" t="s">
        <v>1081</v>
      </c>
      <c r="V443" s="67"/>
      <c r="W443" s="25" t="str">
        <f>IFERROR(VLOOKUP(BCP_Soles[[#This Row],[DESTINATARIO]],CHOOSE({1,2},Clientes_Proveedores[Razon Social],Clientes_Proveedores[Ruc / Dni]),2,0),"")</f>
        <v/>
      </c>
      <c r="X443" s="25" t="s">
        <v>1090</v>
      </c>
      <c r="Y443" s="25" t="s">
        <v>1570</v>
      </c>
      <c r="Z443" s="25"/>
      <c r="AA443" s="99"/>
      <c r="AB443" s="3" t="str">
        <f>IF(BCP_Soles[[#This Row],[FECHA]]&gt;0,TEXT(BCP_Soles[[#This Row],[FECHA]],"mmmm"),0)</f>
        <v>Febrero</v>
      </c>
    </row>
    <row r="444" spans="2:28" ht="24" x14ac:dyDescent="0.3">
      <c r="B444" s="2">
        <f>IF(BCP_Soles[[#This Row],[TIPO DE R.]]="R",COUNTIFS($D$4:$D443,"R")+1,"")</f>
        <v>314</v>
      </c>
      <c r="C444" s="19" t="str">
        <f t="shared" si="30"/>
        <v>B-BCP - Soles</v>
      </c>
      <c r="D444" s="3" t="s">
        <v>1074</v>
      </c>
      <c r="E444" s="14">
        <v>45695</v>
      </c>
      <c r="F444" s="5" t="s">
        <v>1082</v>
      </c>
      <c r="G444" s="5" t="s">
        <v>1079</v>
      </c>
      <c r="H444" s="6" t="s">
        <v>192</v>
      </c>
      <c r="I444" s="6"/>
      <c r="J444" s="6"/>
      <c r="K444" s="6"/>
      <c r="L444" s="7" t="s">
        <v>1571</v>
      </c>
      <c r="M444" s="8">
        <v>1054861</v>
      </c>
      <c r="N444" s="8" t="str">
        <f t="shared" si="31"/>
        <v>PEN</v>
      </c>
      <c r="O444" s="13"/>
      <c r="P444" s="13">
        <v>623.19000000000005</v>
      </c>
      <c r="Q444" s="3">
        <f t="shared" si="32"/>
        <v>0</v>
      </c>
      <c r="R444" s="3">
        <f t="shared" si="33"/>
        <v>623.19000000000005</v>
      </c>
      <c r="S444" s="3">
        <f t="shared" si="34"/>
        <v>43223.43</v>
      </c>
      <c r="T444" s="24"/>
      <c r="U444" s="24"/>
      <c r="V444" s="67"/>
      <c r="W444" s="25">
        <f>IFERROR(VLOOKUP(BCP_Soles[[#This Row],[DESTINATARIO]],CHOOSE({1,2},Clientes_Proveedores[Razon Social],Clientes_Proveedores[Ruc / Dni]),2,0),"")</f>
        <v>20302891452</v>
      </c>
      <c r="X444" s="25" t="s">
        <v>192</v>
      </c>
      <c r="Y444" s="25"/>
      <c r="Z444" s="25"/>
      <c r="AA444" s="99"/>
      <c r="AB444" s="3" t="str">
        <f>IF(BCP_Soles[[#This Row],[FECHA]]&gt;0,TEXT(BCP_Soles[[#This Row],[FECHA]],"mmmm"),0)</f>
        <v>Febrero</v>
      </c>
    </row>
    <row r="445" spans="2:28" x14ac:dyDescent="0.3">
      <c r="B445" s="2">
        <f>IF(BCP_Soles[[#This Row],[TIPO DE R.]]="R",COUNTIFS($D$4:$D444,"R")+1,"")</f>
        <v>315</v>
      </c>
      <c r="C445" s="19" t="str">
        <f t="shared" si="30"/>
        <v>B-BCP - Soles</v>
      </c>
      <c r="D445" s="3" t="s">
        <v>1074</v>
      </c>
      <c r="E445" s="14">
        <v>45695</v>
      </c>
      <c r="F445" s="5" t="s">
        <v>1082</v>
      </c>
      <c r="G445" s="5" t="s">
        <v>1079</v>
      </c>
      <c r="H445" s="6"/>
      <c r="I445" s="6"/>
      <c r="J445" s="6"/>
      <c r="K445" s="6"/>
      <c r="L445" s="7" t="s">
        <v>1572</v>
      </c>
      <c r="M445" s="8">
        <v>45448</v>
      </c>
      <c r="N445" s="8" t="str">
        <f t="shared" si="31"/>
        <v>PEN</v>
      </c>
      <c r="O445" s="13"/>
      <c r="P445" s="13">
        <v>4370.26</v>
      </c>
      <c r="Q445" s="3">
        <f t="shared" si="32"/>
        <v>0</v>
      </c>
      <c r="R445" s="3">
        <f t="shared" si="33"/>
        <v>4370.26</v>
      </c>
      <c r="S445" s="3">
        <f t="shared" si="34"/>
        <v>38853.17</v>
      </c>
      <c r="T445" s="24" t="s">
        <v>1081</v>
      </c>
      <c r="U445" s="24" t="s">
        <v>1081</v>
      </c>
      <c r="V445" s="67"/>
      <c r="W445" s="25" t="str">
        <f>IFERROR(VLOOKUP(BCP_Soles[[#This Row],[DESTINATARIO]],CHOOSE({1,2},Clientes_Proveedores[Razon Social],Clientes_Proveedores[Ruc / Dni]),2,0),"")</f>
        <v/>
      </c>
      <c r="X445" s="25" t="s">
        <v>1118</v>
      </c>
      <c r="Y445" s="25"/>
      <c r="Z445" s="25"/>
      <c r="AA445" s="99"/>
      <c r="AB445" s="3" t="str">
        <f>IF(BCP_Soles[[#This Row],[FECHA]]&gt;0,TEXT(BCP_Soles[[#This Row],[FECHA]],"mmmm"),0)</f>
        <v>Febrero</v>
      </c>
    </row>
    <row r="446" spans="2:28" ht="36" x14ac:dyDescent="0.3">
      <c r="B446" s="2">
        <f>IF(BCP_Soles[[#This Row],[TIPO DE R.]]="R",COUNTIFS($D$4:$D445,"R")+1,"")</f>
        <v>316</v>
      </c>
      <c r="C446" s="19" t="str">
        <f t="shared" si="30"/>
        <v>B-BCP - Soles</v>
      </c>
      <c r="D446" s="3" t="s">
        <v>1074</v>
      </c>
      <c r="E446" s="14">
        <v>45695</v>
      </c>
      <c r="F446" s="5" t="s">
        <v>1368</v>
      </c>
      <c r="G446" s="5" t="s">
        <v>1087</v>
      </c>
      <c r="H446" s="6"/>
      <c r="I446" s="6"/>
      <c r="J446" s="6"/>
      <c r="K446" s="6"/>
      <c r="L446" s="7" t="s">
        <v>1100</v>
      </c>
      <c r="M446" s="8">
        <v>3592891</v>
      </c>
      <c r="N446" s="8" t="str">
        <f t="shared" si="31"/>
        <v>PEN</v>
      </c>
      <c r="O446" s="13"/>
      <c r="P446" s="13">
        <v>2210</v>
      </c>
      <c r="Q446" s="3">
        <f t="shared" si="32"/>
        <v>2210</v>
      </c>
      <c r="R446" s="3">
        <f t="shared" si="33"/>
        <v>0</v>
      </c>
      <c r="S446" s="3">
        <f t="shared" si="34"/>
        <v>41063.17</v>
      </c>
      <c r="T446" s="24" t="s">
        <v>1081</v>
      </c>
      <c r="U446" s="24" t="s">
        <v>1081</v>
      </c>
      <c r="V446" s="67"/>
      <c r="W446" s="25" t="str">
        <f>IFERROR(VLOOKUP(BCP_Soles[[#This Row],[DESTINATARIO]],CHOOSE({1,2},Clientes_Proveedores[Razon Social],Clientes_Proveedores[Ruc / Dni]),2,0),"")</f>
        <v/>
      </c>
      <c r="X446" s="25" t="s">
        <v>1090</v>
      </c>
      <c r="Y446" s="25" t="s">
        <v>1573</v>
      </c>
      <c r="Z446" s="25"/>
      <c r="AA446" s="99"/>
      <c r="AB446" s="3" t="str">
        <f>IF(BCP_Soles[[#This Row],[FECHA]]&gt;0,TEXT(BCP_Soles[[#This Row],[FECHA]],"mmmm"),0)</f>
        <v>Febrero</v>
      </c>
    </row>
    <row r="447" spans="2:28" x14ac:dyDescent="0.3">
      <c r="B447" s="2">
        <f>IF(BCP_Soles[[#This Row],[TIPO DE R.]]="R",COUNTIFS($D$4:$D446,"R")+1,"")</f>
        <v>317</v>
      </c>
      <c r="C447" s="19" t="str">
        <f t="shared" si="30"/>
        <v>B-BCP - Soles</v>
      </c>
      <c r="D447" s="3" t="s">
        <v>1074</v>
      </c>
      <c r="E447" s="14">
        <v>45695</v>
      </c>
      <c r="F447" s="5" t="s">
        <v>1078</v>
      </c>
      <c r="G447" s="5" t="s">
        <v>1079</v>
      </c>
      <c r="H447" s="6"/>
      <c r="I447" s="6"/>
      <c r="J447" s="6"/>
      <c r="K447" s="6"/>
      <c r="L447" s="7" t="s">
        <v>1080</v>
      </c>
      <c r="M447" s="8"/>
      <c r="N447" s="8" t="str">
        <f t="shared" si="31"/>
        <v>PEN</v>
      </c>
      <c r="O447" s="13"/>
      <c r="P447" s="13">
        <v>1.1000000000000001</v>
      </c>
      <c r="Q447" s="3">
        <f t="shared" si="32"/>
        <v>0</v>
      </c>
      <c r="R447" s="3">
        <f t="shared" si="33"/>
        <v>1.1000000000000001</v>
      </c>
      <c r="S447" s="3">
        <f t="shared" si="34"/>
        <v>41062.07</v>
      </c>
      <c r="T447" s="24"/>
      <c r="U447" s="24" t="s">
        <v>1081</v>
      </c>
      <c r="V447" s="67"/>
      <c r="W447" s="25" t="str">
        <f>IFERROR(VLOOKUP(BCP_Soles[[#This Row],[DESTINATARIO]],CHOOSE({1,2},Clientes_Proveedores[Razon Social],Clientes_Proveedores[Ruc / Dni]),2,0),"")</f>
        <v/>
      </c>
      <c r="X447" s="25"/>
      <c r="Y447" s="25"/>
      <c r="Z447" s="25"/>
      <c r="AA447" s="99"/>
      <c r="AB447" s="3" t="str">
        <f>IF(BCP_Soles[[#This Row],[FECHA]]&gt;0,TEXT(BCP_Soles[[#This Row],[FECHA]],"mmmm"),0)</f>
        <v>Febrero</v>
      </c>
    </row>
    <row r="448" spans="2:28" x14ac:dyDescent="0.3">
      <c r="B448" s="2">
        <f>IF(BCP_Soles[[#This Row],[TIPO DE R.]]="R",COUNTIFS($D$4:$D447,"R")+1,"")</f>
        <v>318</v>
      </c>
      <c r="C448" s="19" t="str">
        <f t="shared" si="30"/>
        <v>B-BCP - Soles</v>
      </c>
      <c r="D448" s="3" t="s">
        <v>1074</v>
      </c>
      <c r="E448" s="14">
        <v>45695</v>
      </c>
      <c r="F448" s="5" t="s">
        <v>1078</v>
      </c>
      <c r="G448" s="5" t="s">
        <v>1079</v>
      </c>
      <c r="H448" s="6"/>
      <c r="I448" s="6"/>
      <c r="J448" s="6"/>
      <c r="K448" s="6"/>
      <c r="L448" s="7" t="s">
        <v>1141</v>
      </c>
      <c r="M448" s="8">
        <v>1705</v>
      </c>
      <c r="N448" s="8" t="str">
        <f t="shared" si="31"/>
        <v>PEN</v>
      </c>
      <c r="O448" s="13"/>
      <c r="P448" s="13">
        <v>10</v>
      </c>
      <c r="Q448" s="3">
        <f t="shared" si="32"/>
        <v>0</v>
      </c>
      <c r="R448" s="3">
        <f t="shared" si="33"/>
        <v>10</v>
      </c>
      <c r="S448" s="3">
        <f t="shared" si="34"/>
        <v>41052.07</v>
      </c>
      <c r="T448" s="24"/>
      <c r="U448" s="24"/>
      <c r="V448" s="67"/>
      <c r="W448" s="25" t="str">
        <f>IFERROR(VLOOKUP(BCP_Soles[[#This Row],[DESTINATARIO]],CHOOSE({1,2},Clientes_Proveedores[Razon Social],Clientes_Proveedores[Ruc / Dni]),2,0),"")</f>
        <v/>
      </c>
      <c r="X448" s="25" t="s">
        <v>1078</v>
      </c>
      <c r="Y448" s="25"/>
      <c r="Z448" s="25"/>
      <c r="AA448" s="99"/>
      <c r="AB448" s="3" t="str">
        <f>IF(BCP_Soles[[#This Row],[FECHA]]&gt;0,TEXT(BCP_Soles[[#This Row],[FECHA]],"mmmm"),0)</f>
        <v>Febrero</v>
      </c>
    </row>
    <row r="449" spans="2:28" x14ac:dyDescent="0.3">
      <c r="B449" s="2">
        <f>IF(BCP_Soles[[#This Row],[TIPO DE R.]]="R",COUNTIFS($D$4:$D448,"R")+1,"")</f>
        <v>319</v>
      </c>
      <c r="C449" s="19" t="str">
        <f t="shared" si="30"/>
        <v>B-BCP - Soles</v>
      </c>
      <c r="D449" s="3" t="s">
        <v>1074</v>
      </c>
      <c r="E449" s="14">
        <v>45695</v>
      </c>
      <c r="F449" s="5" t="s">
        <v>1078</v>
      </c>
      <c r="G449" s="5" t="s">
        <v>1079</v>
      </c>
      <c r="H449" s="6"/>
      <c r="I449" s="6"/>
      <c r="J449" s="6"/>
      <c r="K449" s="6"/>
      <c r="L449" s="7" t="s">
        <v>1574</v>
      </c>
      <c r="M449" s="8">
        <v>186745</v>
      </c>
      <c r="N449" s="8" t="str">
        <f t="shared" si="31"/>
        <v>PEN</v>
      </c>
      <c r="O449" s="13"/>
      <c r="P449" s="13">
        <v>17.5</v>
      </c>
      <c r="Q449" s="3">
        <f t="shared" si="32"/>
        <v>0</v>
      </c>
      <c r="R449" s="3">
        <f t="shared" si="33"/>
        <v>17.5</v>
      </c>
      <c r="S449" s="3">
        <f t="shared" si="34"/>
        <v>41034.57</v>
      </c>
      <c r="T449" s="24"/>
      <c r="U449" s="24"/>
      <c r="V449" s="67"/>
      <c r="W449" s="25" t="str">
        <f>IFERROR(VLOOKUP(BCP_Soles[[#This Row],[DESTINATARIO]],CHOOSE({1,2},Clientes_Proveedores[Razon Social],Clientes_Proveedores[Ruc / Dni]),2,0),"")</f>
        <v/>
      </c>
      <c r="X449" s="25" t="s">
        <v>1078</v>
      </c>
      <c r="Y449" s="25"/>
      <c r="Z449" s="25"/>
      <c r="AA449" s="99"/>
      <c r="AB449" s="3" t="str">
        <f>IF(BCP_Soles[[#This Row],[FECHA]]&gt;0,TEXT(BCP_Soles[[#This Row],[FECHA]],"mmmm"),0)</f>
        <v>Febrero</v>
      </c>
    </row>
    <row r="450" spans="2:28" x14ac:dyDescent="0.3">
      <c r="B450" s="2">
        <f>IF(BCP_Soles[[#This Row],[TIPO DE R.]]="R",COUNTIFS($D$4:$D449,"R")+1,"")</f>
        <v>320</v>
      </c>
      <c r="C450" s="19" t="str">
        <f t="shared" si="30"/>
        <v>B-BCP - Soles</v>
      </c>
      <c r="D450" s="3" t="s">
        <v>1074</v>
      </c>
      <c r="E450" s="14">
        <v>45695</v>
      </c>
      <c r="F450" s="5" t="s">
        <v>1082</v>
      </c>
      <c r="G450" s="5" t="s">
        <v>1079</v>
      </c>
      <c r="H450" s="6" t="s">
        <v>507</v>
      </c>
      <c r="I450" s="6" t="s">
        <v>14</v>
      </c>
      <c r="J450" s="6" t="s">
        <v>1174</v>
      </c>
      <c r="K450" s="6">
        <v>107</v>
      </c>
      <c r="L450" s="7" t="s">
        <v>1575</v>
      </c>
      <c r="M450" s="8">
        <v>1158551</v>
      </c>
      <c r="N450" s="8" t="str">
        <f t="shared" si="31"/>
        <v>PEN</v>
      </c>
      <c r="O450" s="13"/>
      <c r="P450" s="13">
        <v>180</v>
      </c>
      <c r="Q450" s="3">
        <f t="shared" si="32"/>
        <v>0</v>
      </c>
      <c r="R450" s="3">
        <f t="shared" si="33"/>
        <v>180</v>
      </c>
      <c r="S450" s="3">
        <f t="shared" si="34"/>
        <v>40854.57</v>
      </c>
      <c r="T450" s="24" t="s">
        <v>1081</v>
      </c>
      <c r="U450" s="24" t="s">
        <v>1081</v>
      </c>
      <c r="V450" s="67"/>
      <c r="W450" s="25">
        <f>IFERROR(VLOOKUP(BCP_Soles[[#This Row],[DESTINATARIO]],CHOOSE({1,2},Clientes_Proveedores[Razon Social],Clientes_Proveedores[Ruc / Dni]),2,0),"")</f>
        <v>20608587803</v>
      </c>
      <c r="X450" s="25" t="s">
        <v>507</v>
      </c>
      <c r="Y450" s="25" t="s">
        <v>1576</v>
      </c>
      <c r="Z450" s="25"/>
      <c r="AA450" s="99"/>
      <c r="AB450" s="3" t="str">
        <f>IF(BCP_Soles[[#This Row],[FECHA]]&gt;0,TEXT(BCP_Soles[[#This Row],[FECHA]],"mmmm"),0)</f>
        <v>Febrero</v>
      </c>
    </row>
    <row r="451" spans="2:28" x14ac:dyDescent="0.3">
      <c r="B451" s="2">
        <f>IF(BCP_Soles[[#This Row],[TIPO DE R.]]="R",COUNTIFS($D$4:$D450,"R")+1,"")</f>
        <v>321</v>
      </c>
      <c r="C451" s="19" t="str">
        <f t="shared" si="30"/>
        <v>B-BCP - Soles</v>
      </c>
      <c r="D451" s="3" t="s">
        <v>1074</v>
      </c>
      <c r="E451" s="14">
        <v>45695</v>
      </c>
      <c r="F451" s="5" t="s">
        <v>1082</v>
      </c>
      <c r="G451" s="5" t="s">
        <v>1079</v>
      </c>
      <c r="H451" s="6" t="s">
        <v>637</v>
      </c>
      <c r="I451" s="6" t="s">
        <v>14</v>
      </c>
      <c r="J451" s="6" t="s">
        <v>1122</v>
      </c>
      <c r="K451" s="6">
        <v>145752</v>
      </c>
      <c r="L451" s="7" t="s">
        <v>1123</v>
      </c>
      <c r="M451" s="8">
        <v>96689</v>
      </c>
      <c r="N451" s="8" t="str">
        <f t="shared" si="31"/>
        <v>PEN</v>
      </c>
      <c r="O451" s="13"/>
      <c r="P451" s="13">
        <v>256.58999999999997</v>
      </c>
      <c r="Q451" s="3">
        <f t="shared" si="32"/>
        <v>0</v>
      </c>
      <c r="R451" s="3">
        <f t="shared" si="33"/>
        <v>256.58999999999997</v>
      </c>
      <c r="S451" s="3">
        <f t="shared" si="34"/>
        <v>40597.980000000003</v>
      </c>
      <c r="T451" s="24" t="s">
        <v>1081</v>
      </c>
      <c r="U451" s="24" t="s">
        <v>1081</v>
      </c>
      <c r="V451" s="67"/>
      <c r="W451" s="25">
        <f>IFERROR(VLOOKUP(BCP_Soles[[#This Row],[DESTINATARIO]],CHOOSE({1,2},Clientes_Proveedores[Razon Social],Clientes_Proveedores[Ruc / Dni]),2,0),"")</f>
        <v>20127765279</v>
      </c>
      <c r="X451" s="25" t="s">
        <v>1124</v>
      </c>
      <c r="Y451" s="25" t="s">
        <v>1577</v>
      </c>
      <c r="Z451" s="25"/>
      <c r="AA451" s="99"/>
      <c r="AB451" s="3" t="str">
        <f>IF(BCP_Soles[[#This Row],[FECHA]]&gt;0,TEXT(BCP_Soles[[#This Row],[FECHA]],"mmmm"),0)</f>
        <v>Febrero</v>
      </c>
    </row>
    <row r="452" spans="2:28" ht="24" x14ac:dyDescent="0.3">
      <c r="B452" s="2">
        <f>IF(BCP_Soles[[#This Row],[TIPO DE R.]]="R",COUNTIFS($D$4:$D451,"R")+1,"")</f>
        <v>322</v>
      </c>
      <c r="C452" s="19" t="str">
        <f t="shared" si="30"/>
        <v>B-BCP - Soles</v>
      </c>
      <c r="D452" s="3" t="s">
        <v>1074</v>
      </c>
      <c r="E452" s="14">
        <v>45695</v>
      </c>
      <c r="F452" s="5" t="s">
        <v>1082</v>
      </c>
      <c r="G452" s="5" t="s">
        <v>1079</v>
      </c>
      <c r="H452" s="6" t="s">
        <v>573</v>
      </c>
      <c r="I452" s="6" t="s">
        <v>14</v>
      </c>
      <c r="J452" s="6" t="s">
        <v>1578</v>
      </c>
      <c r="K452" s="6">
        <v>87</v>
      </c>
      <c r="L452" s="7" t="s">
        <v>1579</v>
      </c>
      <c r="M452" s="8">
        <v>1132600</v>
      </c>
      <c r="N452" s="8" t="str">
        <f t="shared" si="31"/>
        <v>PEN</v>
      </c>
      <c r="O452" s="13"/>
      <c r="P452" s="13">
        <v>887</v>
      </c>
      <c r="Q452" s="3">
        <f t="shared" si="32"/>
        <v>0</v>
      </c>
      <c r="R452" s="3">
        <f t="shared" si="33"/>
        <v>887</v>
      </c>
      <c r="S452" s="3">
        <f t="shared" si="34"/>
        <v>39710.980000000003</v>
      </c>
      <c r="T452" s="24" t="s">
        <v>1081</v>
      </c>
      <c r="U452" s="24" t="s">
        <v>1081</v>
      </c>
      <c r="V452" s="67"/>
      <c r="W452" s="25">
        <f>IFERROR(VLOOKUP(BCP_Soles[[#This Row],[DESTINATARIO]],CHOOSE({1,2},Clientes_Proveedores[Razon Social],Clientes_Proveedores[Ruc / Dni]),2,0),"")</f>
        <v>20606120657</v>
      </c>
      <c r="X452" s="25" t="s">
        <v>573</v>
      </c>
      <c r="Y452" s="25" t="s">
        <v>1580</v>
      </c>
      <c r="Z452" s="25"/>
      <c r="AA452" s="99"/>
      <c r="AB452" s="3" t="str">
        <f>IF(BCP_Soles[[#This Row],[FECHA]]&gt;0,TEXT(BCP_Soles[[#This Row],[FECHA]],"mmmm"),0)</f>
        <v>Febrero</v>
      </c>
    </row>
    <row r="453" spans="2:28" x14ac:dyDescent="0.3">
      <c r="B453" s="2">
        <f>IF(BCP_Soles[[#This Row],[TIPO DE R.]]="R",COUNTIFS($D$4:$D452,"R")+1,"")</f>
        <v>323</v>
      </c>
      <c r="C453" s="19" t="str">
        <f t="shared" ref="C453:C516" si="35">"B-BCP - Soles"</f>
        <v>B-BCP - Soles</v>
      </c>
      <c r="D453" s="3" t="s">
        <v>1074</v>
      </c>
      <c r="E453" s="14">
        <v>45695</v>
      </c>
      <c r="F453" s="5" t="s">
        <v>1082</v>
      </c>
      <c r="G453" s="5" t="s">
        <v>1079</v>
      </c>
      <c r="H453" s="6"/>
      <c r="I453" s="6"/>
      <c r="J453" s="6"/>
      <c r="K453" s="6"/>
      <c r="L453" s="7" t="s">
        <v>1581</v>
      </c>
      <c r="M453" s="8">
        <v>1017607</v>
      </c>
      <c r="N453" s="8" t="str">
        <f t="shared" ref="N453:N516" si="36">"PEN"</f>
        <v>PEN</v>
      </c>
      <c r="O453" s="13"/>
      <c r="P453" s="13">
        <v>2131</v>
      </c>
      <c r="Q453" s="3">
        <f t="shared" ref="Q453:Q516" si="37">+IF(OR($G453="SALDO",$G453="INGRESO"),$P453,0)</f>
        <v>0</v>
      </c>
      <c r="R453" s="3">
        <f t="shared" ref="R453:R516" si="38">+IF($G453="EGRESO",$P453,0)</f>
        <v>2131</v>
      </c>
      <c r="S453" s="3">
        <f t="shared" ref="S453:S516" si="39">IFERROR(IF(G453="SALDO",Q453,S452+Q453-R453),0)</f>
        <v>37579.980000000003</v>
      </c>
      <c r="T453" s="24"/>
      <c r="U453" s="24"/>
      <c r="V453" s="67"/>
      <c r="W453" s="25" t="str">
        <f>IFERROR(VLOOKUP(BCP_Soles[[#This Row],[DESTINATARIO]],CHOOSE({1,2},Clientes_Proveedores[Razon Social],Clientes_Proveedores[Ruc / Dni]),2,0),"")</f>
        <v/>
      </c>
      <c r="X453" s="25" t="s">
        <v>1133</v>
      </c>
      <c r="Y453" s="25"/>
      <c r="Z453" s="25"/>
      <c r="AA453" s="99"/>
      <c r="AB453" s="3" t="str">
        <f>IF(BCP_Soles[[#This Row],[FECHA]]&gt;0,TEXT(BCP_Soles[[#This Row],[FECHA]],"mmmm"),0)</f>
        <v>Febrero</v>
      </c>
    </row>
    <row r="454" spans="2:28" x14ac:dyDescent="0.3">
      <c r="B454" s="2">
        <f>IF(BCP_Soles[[#This Row],[TIPO DE R.]]="R",COUNTIFS($D$4:$D453,"R")+1,"")</f>
        <v>324</v>
      </c>
      <c r="C454" s="19" t="str">
        <f t="shared" si="35"/>
        <v>B-BCP - Soles</v>
      </c>
      <c r="D454" s="3" t="s">
        <v>1074</v>
      </c>
      <c r="E454" s="14">
        <v>45695</v>
      </c>
      <c r="F454" s="5" t="s">
        <v>1082</v>
      </c>
      <c r="G454" s="5" t="s">
        <v>1079</v>
      </c>
      <c r="H454" s="6"/>
      <c r="I454" s="6"/>
      <c r="J454" s="6"/>
      <c r="K454" s="6"/>
      <c r="L454" s="7" t="s">
        <v>1582</v>
      </c>
      <c r="M454" s="8">
        <v>186734</v>
      </c>
      <c r="N454" s="8" t="str">
        <f t="shared" si="36"/>
        <v>PEN</v>
      </c>
      <c r="O454" s="13"/>
      <c r="P454" s="13">
        <v>7303.72</v>
      </c>
      <c r="Q454" s="3">
        <f t="shared" si="37"/>
        <v>0</v>
      </c>
      <c r="R454" s="3">
        <f t="shared" si="38"/>
        <v>7303.72</v>
      </c>
      <c r="S454" s="3">
        <f t="shared" si="39"/>
        <v>30276.260000000002</v>
      </c>
      <c r="T454" s="24" t="s">
        <v>1081</v>
      </c>
      <c r="U454" s="24" t="s">
        <v>1081</v>
      </c>
      <c r="V454" s="67"/>
      <c r="W454" s="25" t="str">
        <f>IFERROR(VLOOKUP(BCP_Soles[[#This Row],[DESTINATARIO]],CHOOSE({1,2},Clientes_Proveedores[Razon Social],Clientes_Proveedores[Ruc / Dni]),2,0),"")</f>
        <v/>
      </c>
      <c r="X454" s="25" t="s">
        <v>1118</v>
      </c>
      <c r="Y454" s="25"/>
      <c r="Z454" s="25"/>
      <c r="AA454" s="99"/>
      <c r="AB454" s="3" t="str">
        <f>IF(BCP_Soles[[#This Row],[FECHA]]&gt;0,TEXT(BCP_Soles[[#This Row],[FECHA]],"mmmm"),0)</f>
        <v>Febrero</v>
      </c>
    </row>
    <row r="455" spans="2:28" ht="24" x14ac:dyDescent="0.3">
      <c r="B455" s="2">
        <f>IF(BCP_Soles[[#This Row],[TIPO DE R.]]="R",COUNTIFS($D$4:$D454,"R")+1,"")</f>
        <v>325</v>
      </c>
      <c r="C455" s="19" t="str">
        <f t="shared" si="35"/>
        <v>B-BCP - Soles</v>
      </c>
      <c r="D455" s="3" t="s">
        <v>1074</v>
      </c>
      <c r="E455" s="14">
        <v>45698</v>
      </c>
      <c r="F455" s="5" t="s">
        <v>1407</v>
      </c>
      <c r="G455" s="5" t="s">
        <v>1087</v>
      </c>
      <c r="H455" s="6"/>
      <c r="I455" s="6"/>
      <c r="J455" s="6"/>
      <c r="K455" s="6"/>
      <c r="L455" s="7" t="s">
        <v>1100</v>
      </c>
      <c r="M455" s="8">
        <v>2451234</v>
      </c>
      <c r="N455" s="8" t="str">
        <f t="shared" si="36"/>
        <v>PEN</v>
      </c>
      <c r="O455" s="13"/>
      <c r="P455" s="13">
        <v>1000</v>
      </c>
      <c r="Q455" s="3">
        <f t="shared" si="37"/>
        <v>1000</v>
      </c>
      <c r="R455" s="3">
        <f t="shared" si="38"/>
        <v>0</v>
      </c>
      <c r="S455" s="3">
        <f t="shared" si="39"/>
        <v>31276.260000000002</v>
      </c>
      <c r="T455" s="24" t="s">
        <v>1081</v>
      </c>
      <c r="U455" s="24" t="s">
        <v>1081</v>
      </c>
      <c r="V455" s="67"/>
      <c r="W455" s="25" t="str">
        <f>IFERROR(VLOOKUP(BCP_Soles[[#This Row],[DESTINATARIO]],CHOOSE({1,2},Clientes_Proveedores[Razon Social],Clientes_Proveedores[Ruc / Dni]),2,0),"")</f>
        <v/>
      </c>
      <c r="X455" s="25" t="s">
        <v>1090</v>
      </c>
      <c r="Y455" s="25" t="s">
        <v>1583</v>
      </c>
      <c r="Z455" s="25"/>
      <c r="AA455" s="99"/>
      <c r="AB455" s="3" t="str">
        <f>IF(BCP_Soles[[#This Row],[FECHA]]&gt;0,TEXT(BCP_Soles[[#This Row],[FECHA]],"mmmm"),0)</f>
        <v>Febrero</v>
      </c>
    </row>
    <row r="456" spans="2:28" ht="24" x14ac:dyDescent="0.3">
      <c r="B456" s="2">
        <f>IF(BCP_Soles[[#This Row],[TIPO DE R.]]="R",COUNTIFS($D$4:$D455,"R")+1,"")</f>
        <v>326</v>
      </c>
      <c r="C456" s="19" t="str">
        <f t="shared" si="35"/>
        <v>B-BCP - Soles</v>
      </c>
      <c r="D456" s="3" t="s">
        <v>1074</v>
      </c>
      <c r="E456" s="14">
        <v>45698</v>
      </c>
      <c r="F456" s="5" t="s">
        <v>1407</v>
      </c>
      <c r="G456" s="5" t="s">
        <v>1087</v>
      </c>
      <c r="H456" s="6"/>
      <c r="I456" s="6"/>
      <c r="J456" s="6"/>
      <c r="K456" s="6"/>
      <c r="L456" s="7" t="s">
        <v>1100</v>
      </c>
      <c r="M456" s="8">
        <v>1036423</v>
      </c>
      <c r="N456" s="8" t="str">
        <f t="shared" si="36"/>
        <v>PEN</v>
      </c>
      <c r="O456" s="13"/>
      <c r="P456" s="13">
        <v>2000</v>
      </c>
      <c r="Q456" s="3">
        <f t="shared" si="37"/>
        <v>2000</v>
      </c>
      <c r="R456" s="3">
        <f t="shared" si="38"/>
        <v>0</v>
      </c>
      <c r="S456" s="3">
        <f t="shared" si="39"/>
        <v>33276.26</v>
      </c>
      <c r="T456" s="24" t="s">
        <v>1081</v>
      </c>
      <c r="U456" s="24" t="s">
        <v>1081</v>
      </c>
      <c r="V456" s="67"/>
      <c r="W456" s="25" t="str">
        <f>IFERROR(VLOOKUP(BCP_Soles[[#This Row],[DESTINATARIO]],CHOOSE({1,2},Clientes_Proveedores[Razon Social],Clientes_Proveedores[Ruc / Dni]),2,0),"")</f>
        <v/>
      </c>
      <c r="X456" s="25" t="s">
        <v>1090</v>
      </c>
      <c r="Y456" s="25" t="s">
        <v>1583</v>
      </c>
      <c r="Z456" s="25"/>
      <c r="AA456" s="99"/>
      <c r="AB456" s="3" t="str">
        <f>IF(BCP_Soles[[#This Row],[FECHA]]&gt;0,TEXT(BCP_Soles[[#This Row],[FECHA]],"mmmm"),0)</f>
        <v>Febrero</v>
      </c>
    </row>
    <row r="457" spans="2:28" ht="24" x14ac:dyDescent="0.3">
      <c r="B457" s="2">
        <f>IF(BCP_Soles[[#This Row],[TIPO DE R.]]="R",COUNTIFS($D$4:$D456,"R")+1,"")</f>
        <v>327</v>
      </c>
      <c r="C457" s="19" t="str">
        <f t="shared" si="35"/>
        <v>B-BCP - Soles</v>
      </c>
      <c r="D457" s="3" t="s">
        <v>1074</v>
      </c>
      <c r="E457" s="14">
        <v>45698</v>
      </c>
      <c r="F457" s="5" t="s">
        <v>479</v>
      </c>
      <c r="G457" s="5" t="s">
        <v>1087</v>
      </c>
      <c r="H457" s="6"/>
      <c r="I457" s="6"/>
      <c r="J457" s="6"/>
      <c r="K457" s="6"/>
      <c r="L457" s="7" t="s">
        <v>1100</v>
      </c>
      <c r="M457" s="8">
        <v>451215</v>
      </c>
      <c r="N457" s="8" t="str">
        <f t="shared" si="36"/>
        <v>PEN</v>
      </c>
      <c r="O457" s="13"/>
      <c r="P457" s="13">
        <v>34</v>
      </c>
      <c r="Q457" s="3">
        <f t="shared" si="37"/>
        <v>34</v>
      </c>
      <c r="R457" s="3">
        <f t="shared" si="38"/>
        <v>0</v>
      </c>
      <c r="S457" s="3">
        <f t="shared" si="39"/>
        <v>33310.26</v>
      </c>
      <c r="T457" s="24" t="s">
        <v>1081</v>
      </c>
      <c r="U457" s="24" t="s">
        <v>1081</v>
      </c>
      <c r="V457" s="67"/>
      <c r="W457" s="25" t="str">
        <f>IFERROR(VLOOKUP(BCP_Soles[[#This Row],[DESTINATARIO]],CHOOSE({1,2},Clientes_Proveedores[Razon Social],Clientes_Proveedores[Ruc / Dni]),2,0),"")</f>
        <v/>
      </c>
      <c r="X457" s="25" t="s">
        <v>1090</v>
      </c>
      <c r="Y457" s="25" t="s">
        <v>1556</v>
      </c>
      <c r="Z457" s="25"/>
      <c r="AA457" s="99"/>
      <c r="AB457" s="3" t="str">
        <f>IF(BCP_Soles[[#This Row],[FECHA]]&gt;0,TEXT(BCP_Soles[[#This Row],[FECHA]],"mmmm"),0)</f>
        <v>Febrero</v>
      </c>
    </row>
    <row r="458" spans="2:28" x14ac:dyDescent="0.3">
      <c r="B458" s="2">
        <f>IF(BCP_Soles[[#This Row],[TIPO DE R.]]="R",COUNTIFS($D$4:$D457,"R")+1,"")</f>
        <v>328</v>
      </c>
      <c r="C458" s="19" t="str">
        <f t="shared" si="35"/>
        <v>B-BCP - Soles</v>
      </c>
      <c r="D458" s="3" t="s">
        <v>1074</v>
      </c>
      <c r="E458" s="14">
        <v>45698</v>
      </c>
      <c r="F458" s="5" t="s">
        <v>1078</v>
      </c>
      <c r="G458" s="5" t="s">
        <v>1079</v>
      </c>
      <c r="H458" s="6"/>
      <c r="I458" s="6"/>
      <c r="J458" s="6"/>
      <c r="K458" s="6"/>
      <c r="L458" s="7" t="s">
        <v>1080</v>
      </c>
      <c r="M458" s="8"/>
      <c r="N458" s="8" t="str">
        <f t="shared" si="36"/>
        <v>PEN</v>
      </c>
      <c r="O458" s="13"/>
      <c r="P458" s="13">
        <v>0.15</v>
      </c>
      <c r="Q458" s="3">
        <f t="shared" si="37"/>
        <v>0</v>
      </c>
      <c r="R458" s="3">
        <f t="shared" si="38"/>
        <v>0.15</v>
      </c>
      <c r="S458" s="3">
        <f t="shared" si="39"/>
        <v>33310.11</v>
      </c>
      <c r="T458" s="24"/>
      <c r="U458" s="24" t="s">
        <v>1081</v>
      </c>
      <c r="V458" s="67"/>
      <c r="W458" s="25" t="str">
        <f>IFERROR(VLOOKUP(BCP_Soles[[#This Row],[DESTINATARIO]],CHOOSE({1,2},Clientes_Proveedores[Razon Social],Clientes_Proveedores[Ruc / Dni]),2,0),"")</f>
        <v/>
      </c>
      <c r="X458" s="25"/>
      <c r="Y458" s="25"/>
      <c r="Z458" s="25"/>
      <c r="AA458" s="99"/>
      <c r="AB458" s="3" t="str">
        <f>IF(BCP_Soles[[#This Row],[FECHA]]&gt;0,TEXT(BCP_Soles[[#This Row],[FECHA]],"mmmm"),0)</f>
        <v>Febrero</v>
      </c>
    </row>
    <row r="459" spans="2:28" ht="24" x14ac:dyDescent="0.3">
      <c r="B459" s="2">
        <f>IF(BCP_Soles[[#This Row],[TIPO DE R.]]="R",COUNTIFS($D$4:$D458,"R")+1,"")</f>
        <v>329</v>
      </c>
      <c r="C459" s="19" t="str">
        <f t="shared" si="35"/>
        <v>B-BCP - Soles</v>
      </c>
      <c r="D459" s="3" t="s">
        <v>1074</v>
      </c>
      <c r="E459" s="14">
        <v>45698</v>
      </c>
      <c r="F459" s="5" t="s">
        <v>1082</v>
      </c>
      <c r="G459" s="5" t="s">
        <v>1079</v>
      </c>
      <c r="H459" s="6" t="s">
        <v>645</v>
      </c>
      <c r="I459" s="6" t="s">
        <v>52</v>
      </c>
      <c r="J459" s="6" t="s">
        <v>1225</v>
      </c>
      <c r="K459" s="6">
        <v>28701598</v>
      </c>
      <c r="L459" s="7" t="s">
        <v>1226</v>
      </c>
      <c r="M459" s="8">
        <v>160363</v>
      </c>
      <c r="N459" s="8" t="str">
        <f t="shared" si="36"/>
        <v>PEN</v>
      </c>
      <c r="O459" s="13"/>
      <c r="P459" s="13">
        <v>116.1</v>
      </c>
      <c r="Q459" s="3">
        <f t="shared" si="37"/>
        <v>0</v>
      </c>
      <c r="R459" s="3">
        <f t="shared" si="38"/>
        <v>116.1</v>
      </c>
      <c r="S459" s="3">
        <f t="shared" si="39"/>
        <v>33194.01</v>
      </c>
      <c r="T459" s="24" t="s">
        <v>1081</v>
      </c>
      <c r="U459" s="24" t="s">
        <v>1081</v>
      </c>
      <c r="V459" s="67"/>
      <c r="W459" s="25">
        <f>IFERROR(VLOOKUP(BCP_Soles[[#This Row],[DESTINATARIO]],CHOOSE({1,2},Clientes_Proveedores[Razon Social],Clientes_Proveedores[Ruc / Dni]),2,0),"")</f>
        <v>20100188628</v>
      </c>
      <c r="X459" s="25" t="s">
        <v>1227</v>
      </c>
      <c r="Y459" s="25" t="s">
        <v>1584</v>
      </c>
      <c r="Z459" s="25"/>
      <c r="AA459" s="99"/>
      <c r="AB459" s="3" t="str">
        <f>IF(BCP_Soles[[#This Row],[FECHA]]&gt;0,TEXT(BCP_Soles[[#This Row],[FECHA]],"mmmm"),0)</f>
        <v>Febrero</v>
      </c>
    </row>
    <row r="460" spans="2:28" ht="24" x14ac:dyDescent="0.3">
      <c r="B460" s="2">
        <f>IF(BCP_Soles[[#This Row],[TIPO DE R.]]="R",COUNTIFS($D$4:$D459,"R")+1,"")</f>
        <v>330</v>
      </c>
      <c r="C460" s="19" t="str">
        <f t="shared" si="35"/>
        <v>B-BCP - Soles</v>
      </c>
      <c r="D460" s="3" t="s">
        <v>1074</v>
      </c>
      <c r="E460" s="14">
        <v>45698</v>
      </c>
      <c r="F460" s="5" t="s">
        <v>1082</v>
      </c>
      <c r="G460" s="5" t="s">
        <v>1079</v>
      </c>
      <c r="H460" s="6" t="s">
        <v>590</v>
      </c>
      <c r="I460" s="6" t="s">
        <v>14</v>
      </c>
      <c r="J460" s="6" t="s">
        <v>1119</v>
      </c>
      <c r="K460" s="6">
        <v>980820</v>
      </c>
      <c r="L460" s="7" t="s">
        <v>1585</v>
      </c>
      <c r="M460" s="8">
        <v>141355</v>
      </c>
      <c r="N460" s="8" t="str">
        <f t="shared" si="36"/>
        <v>PEN</v>
      </c>
      <c r="O460" s="13"/>
      <c r="P460" s="13">
        <v>120.36</v>
      </c>
      <c r="Q460" s="3">
        <f t="shared" si="37"/>
        <v>0</v>
      </c>
      <c r="R460" s="3">
        <f t="shared" si="38"/>
        <v>120.36</v>
      </c>
      <c r="S460" s="3">
        <f t="shared" si="39"/>
        <v>33073.65</v>
      </c>
      <c r="T460" s="24" t="s">
        <v>1081</v>
      </c>
      <c r="U460" s="24" t="s">
        <v>1586</v>
      </c>
      <c r="V460" s="67"/>
      <c r="W460" s="25">
        <f>IFERROR(VLOOKUP(BCP_Soles[[#This Row],[DESTINATARIO]],CHOOSE({1,2},Clientes_Proveedores[Razon Social],Clientes_Proveedores[Ruc / Dni]),2,0),"")</f>
        <v>20265681299</v>
      </c>
      <c r="X460" s="25" t="s">
        <v>590</v>
      </c>
      <c r="Y460" s="25" t="s">
        <v>1587</v>
      </c>
      <c r="Z460" s="25"/>
      <c r="AA460" s="99"/>
      <c r="AB460" s="3" t="str">
        <f>IF(BCP_Soles[[#This Row],[FECHA]]&gt;0,TEXT(BCP_Soles[[#This Row],[FECHA]],"mmmm"),0)</f>
        <v>Febrero</v>
      </c>
    </row>
    <row r="461" spans="2:28" ht="24" x14ac:dyDescent="0.3">
      <c r="B461" s="2">
        <f>IF(BCP_Soles[[#This Row],[TIPO DE R.]]="R",COUNTIFS($D$4:$D460,"R")+1,"")</f>
        <v>331</v>
      </c>
      <c r="C461" s="19" t="str">
        <f t="shared" si="35"/>
        <v>B-BCP - Soles</v>
      </c>
      <c r="D461" s="3" t="s">
        <v>1074</v>
      </c>
      <c r="E461" s="14">
        <v>45698</v>
      </c>
      <c r="F461" s="5" t="s">
        <v>1082</v>
      </c>
      <c r="G461" s="5" t="s">
        <v>1079</v>
      </c>
      <c r="H461" s="6" t="s">
        <v>590</v>
      </c>
      <c r="I461" s="6" t="s">
        <v>14</v>
      </c>
      <c r="J461" s="6" t="s">
        <v>1119</v>
      </c>
      <c r="K461" s="6">
        <v>996182</v>
      </c>
      <c r="L461" s="7" t="s">
        <v>1585</v>
      </c>
      <c r="M461" s="8">
        <v>90464</v>
      </c>
      <c r="N461" s="8" t="str">
        <f t="shared" si="36"/>
        <v>PEN</v>
      </c>
      <c r="O461" s="13"/>
      <c r="P461" s="13">
        <v>120.36</v>
      </c>
      <c r="Q461" s="3">
        <f t="shared" si="37"/>
        <v>0</v>
      </c>
      <c r="R461" s="3">
        <f t="shared" si="38"/>
        <v>120.36</v>
      </c>
      <c r="S461" s="3">
        <f t="shared" si="39"/>
        <v>32953.29</v>
      </c>
      <c r="T461" s="24" t="s">
        <v>1081</v>
      </c>
      <c r="U461" s="24" t="s">
        <v>1586</v>
      </c>
      <c r="V461" s="67"/>
      <c r="W461" s="25">
        <f>IFERROR(VLOOKUP(BCP_Soles[[#This Row],[DESTINATARIO]],CHOOSE({1,2},Clientes_Proveedores[Razon Social],Clientes_Proveedores[Ruc / Dni]),2,0),"")</f>
        <v>20265681299</v>
      </c>
      <c r="X461" s="25" t="s">
        <v>590</v>
      </c>
      <c r="Y461" s="25" t="s">
        <v>1588</v>
      </c>
      <c r="Z461" s="25"/>
      <c r="AA461" s="99"/>
      <c r="AB461" s="3" t="str">
        <f>IF(BCP_Soles[[#This Row],[FECHA]]&gt;0,TEXT(BCP_Soles[[#This Row],[FECHA]],"mmmm"),0)</f>
        <v>Febrero</v>
      </c>
    </row>
    <row r="462" spans="2:28" x14ac:dyDescent="0.3">
      <c r="B462" s="2">
        <f>IF(BCP_Soles[[#This Row],[TIPO DE R.]]="R",COUNTIFS($D$4:$D461,"R")+1,"")</f>
        <v>332</v>
      </c>
      <c r="C462" s="19" t="str">
        <f t="shared" si="35"/>
        <v>B-BCP - Soles</v>
      </c>
      <c r="D462" s="3" t="s">
        <v>1074</v>
      </c>
      <c r="E462" s="14">
        <v>45698</v>
      </c>
      <c r="F462" s="5" t="s">
        <v>1082</v>
      </c>
      <c r="G462" s="5" t="s">
        <v>1079</v>
      </c>
      <c r="H462" s="6" t="s">
        <v>590</v>
      </c>
      <c r="I462" s="6" t="s">
        <v>14</v>
      </c>
      <c r="J462" s="6" t="s">
        <v>1119</v>
      </c>
      <c r="K462" s="6">
        <v>1004496</v>
      </c>
      <c r="L462" s="7" t="s">
        <v>1585</v>
      </c>
      <c r="M462" s="8">
        <v>125388</v>
      </c>
      <c r="N462" s="8" t="str">
        <f t="shared" si="36"/>
        <v>PEN</v>
      </c>
      <c r="O462" s="13"/>
      <c r="P462" s="13">
        <v>120.36</v>
      </c>
      <c r="Q462" s="3">
        <f t="shared" si="37"/>
        <v>0</v>
      </c>
      <c r="R462" s="3">
        <f t="shared" si="38"/>
        <v>120.36</v>
      </c>
      <c r="S462" s="3">
        <f t="shared" si="39"/>
        <v>32832.93</v>
      </c>
      <c r="T462" s="24" t="s">
        <v>1081</v>
      </c>
      <c r="U462" s="24" t="s">
        <v>1081</v>
      </c>
      <c r="V462" s="67"/>
      <c r="W462" s="25">
        <f>IFERROR(VLOOKUP(BCP_Soles[[#This Row],[DESTINATARIO]],CHOOSE({1,2},Clientes_Proveedores[Razon Social],Clientes_Proveedores[Ruc / Dni]),2,0),"")</f>
        <v>20265681299</v>
      </c>
      <c r="X462" s="25" t="s">
        <v>590</v>
      </c>
      <c r="Y462" s="25" t="s">
        <v>1589</v>
      </c>
      <c r="Z462" s="25"/>
      <c r="AA462" s="99"/>
      <c r="AB462" s="3" t="str">
        <f>IF(BCP_Soles[[#This Row],[FECHA]]&gt;0,TEXT(BCP_Soles[[#This Row],[FECHA]],"mmmm"),0)</f>
        <v>Febrero</v>
      </c>
    </row>
    <row r="463" spans="2:28" x14ac:dyDescent="0.3">
      <c r="B463" s="2">
        <f>IF(BCP_Soles[[#This Row],[TIPO DE R.]]="R",COUNTIFS($D$4:$D462,"R")+1,"")</f>
        <v>333</v>
      </c>
      <c r="C463" s="19" t="str">
        <f t="shared" si="35"/>
        <v>B-BCP - Soles</v>
      </c>
      <c r="D463" s="3" t="s">
        <v>1074</v>
      </c>
      <c r="E463" s="14">
        <v>45698</v>
      </c>
      <c r="F463" s="5" t="s">
        <v>1082</v>
      </c>
      <c r="G463" s="5" t="s">
        <v>1079</v>
      </c>
      <c r="H463" s="6" t="s">
        <v>350</v>
      </c>
      <c r="I463" s="6" t="s">
        <v>14</v>
      </c>
      <c r="J463" s="6" t="s">
        <v>1590</v>
      </c>
      <c r="K463" s="6">
        <v>14392</v>
      </c>
      <c r="L463" s="7" t="s">
        <v>1222</v>
      </c>
      <c r="M463" s="8">
        <v>110406</v>
      </c>
      <c r="N463" s="8" t="str">
        <f t="shared" si="36"/>
        <v>PEN</v>
      </c>
      <c r="O463" s="13"/>
      <c r="P463" s="13">
        <v>196.52</v>
      </c>
      <c r="Q463" s="3">
        <f t="shared" si="37"/>
        <v>0</v>
      </c>
      <c r="R463" s="3">
        <f t="shared" si="38"/>
        <v>196.52</v>
      </c>
      <c r="S463" s="3">
        <f t="shared" si="39"/>
        <v>32636.41</v>
      </c>
      <c r="T463" s="24" t="s">
        <v>1081</v>
      </c>
      <c r="U463" s="24" t="s">
        <v>1081</v>
      </c>
      <c r="V463" s="67"/>
      <c r="W463" s="25">
        <f>IFERROR(VLOOKUP(BCP_Soles[[#This Row],[DESTINATARIO]],CHOOSE({1,2},Clientes_Proveedores[Razon Social],Clientes_Proveedores[Ruc / Dni]),2,0),"")</f>
        <v>20549068201</v>
      </c>
      <c r="X463" s="25" t="s">
        <v>1223</v>
      </c>
      <c r="Y463" s="25" t="s">
        <v>1591</v>
      </c>
      <c r="Z463" s="25"/>
      <c r="AA463" s="99"/>
      <c r="AB463" s="3" t="str">
        <f>IF(BCP_Soles[[#This Row],[FECHA]]&gt;0,TEXT(BCP_Soles[[#This Row],[FECHA]],"mmmm"),0)</f>
        <v>Febrero</v>
      </c>
    </row>
    <row r="464" spans="2:28" ht="24" x14ac:dyDescent="0.3">
      <c r="B464" s="2">
        <f>IF(BCP_Soles[[#This Row],[TIPO DE R.]]="R",COUNTIFS($D$4:$D463,"R")+1,"")</f>
        <v>334</v>
      </c>
      <c r="C464" s="19" t="str">
        <f t="shared" si="35"/>
        <v>B-BCP - Soles</v>
      </c>
      <c r="D464" s="3" t="s">
        <v>1074</v>
      </c>
      <c r="E464" s="14">
        <v>45698</v>
      </c>
      <c r="F464" s="5" t="s">
        <v>1082</v>
      </c>
      <c r="G464" s="5" t="s">
        <v>1079</v>
      </c>
      <c r="H464" s="6"/>
      <c r="I464" s="6" t="s">
        <v>52</v>
      </c>
      <c r="J464" s="20"/>
      <c r="K464" s="6">
        <v>58228012</v>
      </c>
      <c r="L464" s="7" t="s">
        <v>1218</v>
      </c>
      <c r="M464" s="8">
        <v>118363</v>
      </c>
      <c r="N464" s="8" t="str">
        <f t="shared" si="36"/>
        <v>PEN</v>
      </c>
      <c r="O464" s="13"/>
      <c r="P464" s="13">
        <v>443.2</v>
      </c>
      <c r="Q464" s="3">
        <f t="shared" si="37"/>
        <v>0</v>
      </c>
      <c r="R464" s="3">
        <f t="shared" si="38"/>
        <v>443.2</v>
      </c>
      <c r="S464" s="3">
        <f t="shared" si="39"/>
        <v>32193.21</v>
      </c>
      <c r="T464" s="24" t="s">
        <v>1081</v>
      </c>
      <c r="U464" s="24" t="s">
        <v>1081</v>
      </c>
      <c r="V464" s="67"/>
      <c r="W464" s="25" t="str">
        <f>IFERROR(VLOOKUP(BCP_Soles[[#This Row],[DESTINATARIO]],CHOOSE({1,2},Clientes_Proveedores[Razon Social],Clientes_Proveedores[Ruc / Dni]),2,0),"")</f>
        <v/>
      </c>
      <c r="X464" s="25" t="s">
        <v>1219</v>
      </c>
      <c r="Y464" s="25" t="s">
        <v>1592</v>
      </c>
      <c r="Z464" s="25"/>
      <c r="AA464" s="99"/>
      <c r="AB464" s="3" t="str">
        <f>IF(BCP_Soles[[#This Row],[FECHA]]&gt;0,TEXT(BCP_Soles[[#This Row],[FECHA]],"mmmm"),0)</f>
        <v>Febrero</v>
      </c>
    </row>
    <row r="465" spans="2:28" ht="24" x14ac:dyDescent="0.3">
      <c r="B465" s="2">
        <f>IF(BCP_Soles[[#This Row],[TIPO DE R.]]="R",COUNTIFS($D$4:$D464,"R")+1,"")</f>
        <v>335</v>
      </c>
      <c r="C465" s="19" t="str">
        <f t="shared" si="35"/>
        <v>B-BCP - Soles</v>
      </c>
      <c r="D465" s="3" t="s">
        <v>1074</v>
      </c>
      <c r="E465" s="14">
        <v>45698</v>
      </c>
      <c r="F465" s="5" t="s">
        <v>1082</v>
      </c>
      <c r="G465" s="5" t="s">
        <v>1079</v>
      </c>
      <c r="H465" s="6" t="s">
        <v>807</v>
      </c>
      <c r="I465" s="6" t="s">
        <v>87</v>
      </c>
      <c r="J465" s="6">
        <v>1</v>
      </c>
      <c r="K465" s="6">
        <v>112025</v>
      </c>
      <c r="L465" s="7" t="s">
        <v>1593</v>
      </c>
      <c r="M465" s="8">
        <v>1158358</v>
      </c>
      <c r="N465" s="8" t="str">
        <f t="shared" si="36"/>
        <v>PEN</v>
      </c>
      <c r="O465" s="13"/>
      <c r="P465" s="13">
        <v>726</v>
      </c>
      <c r="Q465" s="3">
        <f t="shared" si="37"/>
        <v>0</v>
      </c>
      <c r="R465" s="3">
        <f t="shared" si="38"/>
        <v>726</v>
      </c>
      <c r="S465" s="3">
        <f t="shared" si="39"/>
        <v>31467.21</v>
      </c>
      <c r="T465" s="24" t="s">
        <v>1081</v>
      </c>
      <c r="U465" s="24" t="s">
        <v>1081</v>
      </c>
      <c r="V465" s="67"/>
      <c r="W465" s="25">
        <f>IFERROR(VLOOKUP(BCP_Soles[[#This Row],[DESTINATARIO]],CHOOSE({1,2},Clientes_Proveedores[Razon Social],Clientes_Proveedores[Ruc / Dni]),2,0),"")</f>
        <v>45921913</v>
      </c>
      <c r="X465" s="25"/>
      <c r="Y465" s="25"/>
      <c r="Z465" s="25"/>
      <c r="AA465" s="99"/>
      <c r="AB465" s="3" t="str">
        <f>IF(BCP_Soles[[#This Row],[FECHA]]&gt;0,TEXT(BCP_Soles[[#This Row],[FECHA]],"mmmm"),0)</f>
        <v>Febrero</v>
      </c>
    </row>
    <row r="466" spans="2:28" x14ac:dyDescent="0.3">
      <c r="B466" s="2">
        <f>IF(BCP_Soles[[#This Row],[TIPO DE R.]]="R",COUNTIFS($D$4:$D465,"R")+1,"")</f>
        <v>336</v>
      </c>
      <c r="C466" s="19" t="str">
        <f t="shared" si="35"/>
        <v>B-BCP - Soles</v>
      </c>
      <c r="D466" s="3" t="s">
        <v>1074</v>
      </c>
      <c r="E466" s="14">
        <v>45699</v>
      </c>
      <c r="F466" s="5" t="s">
        <v>575</v>
      </c>
      <c r="G466" s="5" t="s">
        <v>1087</v>
      </c>
      <c r="H466" s="6"/>
      <c r="I466" s="6"/>
      <c r="J466" s="6"/>
      <c r="K466" s="6"/>
      <c r="L466" s="7" t="s">
        <v>1594</v>
      </c>
      <c r="M466" s="8">
        <v>579099</v>
      </c>
      <c r="N466" s="8" t="str">
        <f t="shared" si="36"/>
        <v>PEN</v>
      </c>
      <c r="O466" s="13"/>
      <c r="P466" s="13">
        <v>34.119999999999997</v>
      </c>
      <c r="Q466" s="3">
        <f t="shared" si="37"/>
        <v>34.119999999999997</v>
      </c>
      <c r="R466" s="3">
        <f t="shared" si="38"/>
        <v>0</v>
      </c>
      <c r="S466" s="3">
        <f t="shared" si="39"/>
        <v>31501.329999999998</v>
      </c>
      <c r="T466" s="24" t="s">
        <v>1081</v>
      </c>
      <c r="U466" s="24" t="s">
        <v>1081</v>
      </c>
      <c r="V466" s="67"/>
      <c r="W466" s="25" t="str">
        <f>IFERROR(VLOOKUP(BCP_Soles[[#This Row],[DESTINATARIO]],CHOOSE({1,2},Clientes_Proveedores[Razon Social],Clientes_Proveedores[Ruc / Dni]),2,0),"")</f>
        <v/>
      </c>
      <c r="X466" s="25" t="s">
        <v>1090</v>
      </c>
      <c r="Y466" s="25" t="s">
        <v>1595</v>
      </c>
      <c r="Z466" s="25"/>
      <c r="AA466" s="99"/>
      <c r="AB466" s="3" t="str">
        <f>IF(BCP_Soles[[#This Row],[FECHA]]&gt;0,TEXT(BCP_Soles[[#This Row],[FECHA]],"mmmm"),0)</f>
        <v>Febrero</v>
      </c>
    </row>
    <row r="467" spans="2:28" x14ac:dyDescent="0.3">
      <c r="B467" s="2">
        <f>IF(BCP_Soles[[#This Row],[TIPO DE R.]]="R",COUNTIFS($D$4:$D466,"R")+1,"")</f>
        <v>337</v>
      </c>
      <c r="C467" s="19" t="str">
        <f t="shared" si="35"/>
        <v>B-BCP - Soles</v>
      </c>
      <c r="D467" s="3" t="s">
        <v>1074</v>
      </c>
      <c r="E467" s="14">
        <v>45699</v>
      </c>
      <c r="F467" s="5" t="s">
        <v>1158</v>
      </c>
      <c r="G467" s="5" t="s">
        <v>1079</v>
      </c>
      <c r="H467" s="6"/>
      <c r="I467" s="6"/>
      <c r="J467" s="6"/>
      <c r="K467" s="6"/>
      <c r="L467" s="7" t="s">
        <v>1271</v>
      </c>
      <c r="M467" s="8">
        <v>1388</v>
      </c>
      <c r="N467" s="8" t="str">
        <f t="shared" si="36"/>
        <v>PEN</v>
      </c>
      <c r="O467" s="13"/>
      <c r="P467" s="13">
        <v>4187.76</v>
      </c>
      <c r="Q467" s="3">
        <f t="shared" si="37"/>
        <v>0</v>
      </c>
      <c r="R467" s="3">
        <f t="shared" si="38"/>
        <v>4187.76</v>
      </c>
      <c r="S467" s="3">
        <f t="shared" si="39"/>
        <v>27313.57</v>
      </c>
      <c r="T467" s="24"/>
      <c r="U467" s="24"/>
      <c r="V467" s="67"/>
      <c r="W467" s="25" t="str">
        <f>IFERROR(VLOOKUP(BCP_Soles[[#This Row],[DESTINATARIO]],CHOOSE({1,2},Clientes_Proveedores[Razon Social],Clientes_Proveedores[Ruc / Dni]),2,0),"")</f>
        <v/>
      </c>
      <c r="X467" s="25" t="s">
        <v>1272</v>
      </c>
      <c r="Y467" s="25"/>
      <c r="Z467" s="25"/>
      <c r="AA467" s="99"/>
      <c r="AB467" s="3" t="str">
        <f>IF(BCP_Soles[[#This Row],[FECHA]]&gt;0,TEXT(BCP_Soles[[#This Row],[FECHA]],"mmmm"),0)</f>
        <v>Febrero</v>
      </c>
    </row>
    <row r="468" spans="2:28" x14ac:dyDescent="0.3">
      <c r="B468" s="2">
        <f>IF(BCP_Soles[[#This Row],[TIPO DE R.]]="R",COUNTIFS($D$4:$D467,"R")+1,"")</f>
        <v>338</v>
      </c>
      <c r="C468" s="19" t="str">
        <f t="shared" si="35"/>
        <v>B-BCP - Soles</v>
      </c>
      <c r="D468" s="3" t="s">
        <v>1074</v>
      </c>
      <c r="E468" s="14">
        <v>45699</v>
      </c>
      <c r="F468" s="5" t="s">
        <v>1082</v>
      </c>
      <c r="G468" s="5" t="s">
        <v>1079</v>
      </c>
      <c r="H468" s="6"/>
      <c r="I468" s="6"/>
      <c r="J468" s="6"/>
      <c r="K468" s="6"/>
      <c r="L468" s="7" t="s">
        <v>1596</v>
      </c>
      <c r="M468" s="8">
        <v>1150807</v>
      </c>
      <c r="N468" s="8" t="str">
        <f t="shared" si="36"/>
        <v>PEN</v>
      </c>
      <c r="O468" s="13"/>
      <c r="P468" s="13">
        <v>3868.15</v>
      </c>
      <c r="Q468" s="3">
        <f t="shared" si="37"/>
        <v>0</v>
      </c>
      <c r="R468" s="3">
        <f t="shared" si="38"/>
        <v>3868.15</v>
      </c>
      <c r="S468" s="3">
        <f t="shared" si="39"/>
        <v>23445.42</v>
      </c>
      <c r="T468" s="24" t="s">
        <v>1081</v>
      </c>
      <c r="U468" s="24" t="s">
        <v>1081</v>
      </c>
      <c r="V468" s="67"/>
      <c r="W468" s="25" t="str">
        <f>IFERROR(VLOOKUP(BCP_Soles[[#This Row],[DESTINATARIO]],CHOOSE({1,2},Clientes_Proveedores[Razon Social],Clientes_Proveedores[Ruc / Dni]),2,0),"")</f>
        <v/>
      </c>
      <c r="X468" s="25" t="s">
        <v>1118</v>
      </c>
      <c r="Y468" s="25"/>
      <c r="Z468" s="25"/>
      <c r="AA468" s="99"/>
      <c r="AB468" s="3" t="str">
        <f>IF(BCP_Soles[[#This Row],[FECHA]]&gt;0,TEXT(BCP_Soles[[#This Row],[FECHA]],"mmmm"),0)</f>
        <v>Febrero</v>
      </c>
    </row>
    <row r="469" spans="2:28" x14ac:dyDescent="0.3">
      <c r="B469" s="2">
        <f>IF(BCP_Soles[[#This Row],[TIPO DE R.]]="R",COUNTIFS($D$4:$D468,"R")+1,"")</f>
        <v>339</v>
      </c>
      <c r="C469" s="19" t="str">
        <f t="shared" si="35"/>
        <v>B-BCP - Soles</v>
      </c>
      <c r="D469" s="3" t="s">
        <v>1074</v>
      </c>
      <c r="E469" s="14">
        <v>45699</v>
      </c>
      <c r="F469" s="5" t="s">
        <v>1082</v>
      </c>
      <c r="G469" s="5" t="s">
        <v>1079</v>
      </c>
      <c r="H469" s="6" t="s">
        <v>596</v>
      </c>
      <c r="I469" s="6"/>
      <c r="J469" s="6"/>
      <c r="K469" s="6"/>
      <c r="L469" s="7" t="s">
        <v>1597</v>
      </c>
      <c r="M469" s="8">
        <v>1005529</v>
      </c>
      <c r="N469" s="8" t="str">
        <f t="shared" si="36"/>
        <v>PEN</v>
      </c>
      <c r="O469" s="13"/>
      <c r="P469" s="13">
        <v>3018.8</v>
      </c>
      <c r="Q469" s="3">
        <f t="shared" si="37"/>
        <v>0</v>
      </c>
      <c r="R469" s="3">
        <f t="shared" si="38"/>
        <v>3018.8</v>
      </c>
      <c r="S469" s="3">
        <f t="shared" si="39"/>
        <v>20426.62</v>
      </c>
      <c r="T469" s="24" t="s">
        <v>1081</v>
      </c>
      <c r="U469" s="24" t="s">
        <v>1081</v>
      </c>
      <c r="V469" s="67"/>
      <c r="W469" s="25">
        <f>IFERROR(VLOOKUP(BCP_Soles[[#This Row],[DESTINATARIO]],CHOOSE({1,2},Clientes_Proveedores[Razon Social],Clientes_Proveedores[Ruc / Dni]),2,0),"")</f>
        <v>20305909611</v>
      </c>
      <c r="X469" s="25" t="s">
        <v>596</v>
      </c>
      <c r="Y469" s="25">
        <v>3636</v>
      </c>
      <c r="Z469" s="25"/>
      <c r="AA469" s="99"/>
      <c r="AB469" s="3" t="str">
        <f>IF(BCP_Soles[[#This Row],[FECHA]]&gt;0,TEXT(BCP_Soles[[#This Row],[FECHA]],"mmmm"),0)</f>
        <v>Febrero</v>
      </c>
    </row>
    <row r="470" spans="2:28" ht="24" x14ac:dyDescent="0.3">
      <c r="B470" s="2">
        <f>IF(BCP_Soles[[#This Row],[TIPO DE R.]]="R",COUNTIFS($D$4:$D469,"R")+1,"")</f>
        <v>340</v>
      </c>
      <c r="C470" s="19" t="str">
        <f t="shared" si="35"/>
        <v>B-BCP - Soles</v>
      </c>
      <c r="D470" s="3" t="s">
        <v>1074</v>
      </c>
      <c r="E470" s="14">
        <v>45699</v>
      </c>
      <c r="F470" s="5" t="s">
        <v>1082</v>
      </c>
      <c r="G470" s="5" t="s">
        <v>1079</v>
      </c>
      <c r="H470" s="6" t="s">
        <v>694</v>
      </c>
      <c r="I470" s="6" t="s">
        <v>18</v>
      </c>
      <c r="J470" s="6" t="s">
        <v>1121</v>
      </c>
      <c r="K470" s="6">
        <v>36</v>
      </c>
      <c r="L470" s="7" t="s">
        <v>1598</v>
      </c>
      <c r="M470" s="8">
        <v>1165211</v>
      </c>
      <c r="N470" s="8" t="str">
        <f t="shared" si="36"/>
        <v>PEN</v>
      </c>
      <c r="O470" s="13"/>
      <c r="P470" s="13">
        <v>2500</v>
      </c>
      <c r="Q470" s="3">
        <f t="shared" si="37"/>
        <v>0</v>
      </c>
      <c r="R470" s="3">
        <f t="shared" si="38"/>
        <v>2500</v>
      </c>
      <c r="S470" s="3">
        <f t="shared" si="39"/>
        <v>17926.62</v>
      </c>
      <c r="T470" s="24"/>
      <c r="U470" s="24" t="s">
        <v>1081</v>
      </c>
      <c r="V470" s="67"/>
      <c r="W470" s="25">
        <f>IFERROR(VLOOKUP(BCP_Soles[[#This Row],[DESTINATARIO]],CHOOSE({1,2},Clientes_Proveedores[Razon Social],Clientes_Proveedores[Ruc / Dni]),2,0),"")</f>
        <v>10295272771</v>
      </c>
      <c r="X470" s="25" t="s">
        <v>694</v>
      </c>
      <c r="Y470" s="25" t="s">
        <v>1599</v>
      </c>
      <c r="Z470" s="25"/>
      <c r="AA470" s="99"/>
      <c r="AB470" s="3" t="str">
        <f>IF(BCP_Soles[[#This Row],[FECHA]]&gt;0,TEXT(BCP_Soles[[#This Row],[FECHA]],"mmmm"),0)</f>
        <v>Febrero</v>
      </c>
    </row>
    <row r="471" spans="2:28" x14ac:dyDescent="0.3">
      <c r="B471" s="2">
        <f>IF(BCP_Soles[[#This Row],[TIPO DE R.]]="R",COUNTIFS($D$4:$D470,"R")+1,"")</f>
        <v>341</v>
      </c>
      <c r="C471" s="19" t="str">
        <f t="shared" si="35"/>
        <v>B-BCP - Soles</v>
      </c>
      <c r="D471" s="3" t="s">
        <v>1074</v>
      </c>
      <c r="E471" s="14">
        <v>45699</v>
      </c>
      <c r="F471" s="5" t="s">
        <v>1158</v>
      </c>
      <c r="G471" s="5" t="s">
        <v>1079</v>
      </c>
      <c r="H471" s="6"/>
      <c r="I471" s="6"/>
      <c r="J471" s="6"/>
      <c r="K471" s="6"/>
      <c r="L471" s="7" t="s">
        <v>1274</v>
      </c>
      <c r="M471" s="8">
        <v>1392</v>
      </c>
      <c r="N471" s="8" t="str">
        <f t="shared" si="36"/>
        <v>PEN</v>
      </c>
      <c r="O471" s="13"/>
      <c r="P471" s="13">
        <v>1874.71</v>
      </c>
      <c r="Q471" s="3">
        <f t="shared" si="37"/>
        <v>0</v>
      </c>
      <c r="R471" s="3">
        <f t="shared" si="38"/>
        <v>1874.71</v>
      </c>
      <c r="S471" s="3">
        <f t="shared" si="39"/>
        <v>16051.91</v>
      </c>
      <c r="T471" s="24"/>
      <c r="U471" s="24"/>
      <c r="V471" s="67"/>
      <c r="W471" s="25" t="str">
        <f>IFERROR(VLOOKUP(BCP_Soles[[#This Row],[DESTINATARIO]],CHOOSE({1,2},Clientes_Proveedores[Razon Social],Clientes_Proveedores[Ruc / Dni]),2,0),"")</f>
        <v/>
      </c>
      <c r="X471" s="25" t="s">
        <v>1275</v>
      </c>
      <c r="Y471" s="25"/>
      <c r="Z471" s="25"/>
      <c r="AA471" s="99"/>
      <c r="AB471" s="3" t="str">
        <f>IF(BCP_Soles[[#This Row],[FECHA]]&gt;0,TEXT(BCP_Soles[[#This Row],[FECHA]],"mmmm"),0)</f>
        <v>Febrero</v>
      </c>
    </row>
    <row r="472" spans="2:28" ht="48" x14ac:dyDescent="0.3">
      <c r="B472" s="2">
        <f>IF(BCP_Soles[[#This Row],[TIPO DE R.]]="R",COUNTIFS($D$4:$D471,"R")+1,"")</f>
        <v>342</v>
      </c>
      <c r="C472" s="19" t="str">
        <f t="shared" si="35"/>
        <v>B-BCP - Soles</v>
      </c>
      <c r="D472" s="3" t="s">
        <v>1074</v>
      </c>
      <c r="E472" s="14">
        <v>45699</v>
      </c>
      <c r="F472" s="5" t="s">
        <v>1082</v>
      </c>
      <c r="G472" s="5" t="s">
        <v>1079</v>
      </c>
      <c r="H472" s="6" t="s">
        <v>576</v>
      </c>
      <c r="I472" s="6" t="s">
        <v>14</v>
      </c>
      <c r="J472" s="6" t="s">
        <v>1121</v>
      </c>
      <c r="K472" s="6">
        <v>4511</v>
      </c>
      <c r="L472" s="7" t="s">
        <v>1600</v>
      </c>
      <c r="M472" s="8">
        <v>1024525</v>
      </c>
      <c r="N472" s="8" t="str">
        <f t="shared" si="36"/>
        <v>PEN</v>
      </c>
      <c r="O472" s="13"/>
      <c r="P472" s="13">
        <v>1189</v>
      </c>
      <c r="Q472" s="3">
        <f t="shared" si="37"/>
        <v>0</v>
      </c>
      <c r="R472" s="3">
        <f t="shared" si="38"/>
        <v>1189</v>
      </c>
      <c r="S472" s="3">
        <f t="shared" si="39"/>
        <v>14862.91</v>
      </c>
      <c r="T472" s="24" t="s">
        <v>1081</v>
      </c>
      <c r="U472" s="24" t="s">
        <v>1081</v>
      </c>
      <c r="V472" s="67"/>
      <c r="W472" s="25">
        <f>IFERROR(VLOOKUP(BCP_Soles[[#This Row],[DESTINATARIO]],CHOOSE({1,2},Clientes_Proveedores[Razon Social],Clientes_Proveedores[Ruc / Dni]),2,0),"")</f>
        <v>20557451537</v>
      </c>
      <c r="X472" s="25" t="s">
        <v>1601</v>
      </c>
      <c r="Y472" s="25" t="s">
        <v>1602</v>
      </c>
      <c r="Z472" s="25"/>
      <c r="AA472" s="99"/>
      <c r="AB472" s="3" t="str">
        <f>IF(BCP_Soles[[#This Row],[FECHA]]&gt;0,TEXT(BCP_Soles[[#This Row],[FECHA]],"mmmm"),0)</f>
        <v>Febrero</v>
      </c>
    </row>
    <row r="473" spans="2:28" ht="24" x14ac:dyDescent="0.3">
      <c r="B473" s="2">
        <f>IF(BCP_Soles[[#This Row],[TIPO DE R.]]="R",COUNTIFS($D$4:$D472,"R")+1,"")</f>
        <v>343</v>
      </c>
      <c r="C473" s="19" t="str">
        <f t="shared" si="35"/>
        <v>B-BCP - Soles</v>
      </c>
      <c r="D473" s="3" t="s">
        <v>1074</v>
      </c>
      <c r="E473" s="14">
        <v>45699</v>
      </c>
      <c r="F473" s="5" t="s">
        <v>1082</v>
      </c>
      <c r="G473" s="5" t="s">
        <v>1079</v>
      </c>
      <c r="H473" s="6" t="s">
        <v>128</v>
      </c>
      <c r="I473" s="6" t="s">
        <v>14</v>
      </c>
      <c r="J473" s="6" t="s">
        <v>1121</v>
      </c>
      <c r="K473" s="6">
        <v>122</v>
      </c>
      <c r="L473" s="7" t="s">
        <v>1603</v>
      </c>
      <c r="M473" s="8">
        <v>1025597</v>
      </c>
      <c r="N473" s="8" t="str">
        <f t="shared" si="36"/>
        <v>PEN</v>
      </c>
      <c r="O473" s="13"/>
      <c r="P473" s="13">
        <v>1133</v>
      </c>
      <c r="Q473" s="3">
        <f t="shared" si="37"/>
        <v>0</v>
      </c>
      <c r="R473" s="3">
        <f t="shared" si="38"/>
        <v>1133</v>
      </c>
      <c r="S473" s="3">
        <f t="shared" si="39"/>
        <v>13729.91</v>
      </c>
      <c r="T473" s="24" t="s">
        <v>1081</v>
      </c>
      <c r="U473" s="24" t="s">
        <v>1081</v>
      </c>
      <c r="V473" s="67"/>
      <c r="W473" s="25">
        <f>IFERROR(VLOOKUP(BCP_Soles[[#This Row],[DESTINATARIO]],CHOOSE({1,2},Clientes_Proveedores[Razon Social],Clientes_Proveedores[Ruc / Dni]),2,0),"")</f>
        <v>10489531963</v>
      </c>
      <c r="X473" s="25" t="s">
        <v>128</v>
      </c>
      <c r="Y473" s="25" t="s">
        <v>1604</v>
      </c>
      <c r="Z473" s="25"/>
      <c r="AA473" s="99"/>
      <c r="AB473" s="3" t="str">
        <f>IF(BCP_Soles[[#This Row],[FECHA]]&gt;0,TEXT(BCP_Soles[[#This Row],[FECHA]],"mmmm"),0)</f>
        <v>Febrero</v>
      </c>
    </row>
    <row r="474" spans="2:28" x14ac:dyDescent="0.3">
      <c r="B474" s="2">
        <f>IF(BCP_Soles[[#This Row],[TIPO DE R.]]="R",COUNTIFS($D$4:$D473,"R")+1,"")</f>
        <v>344</v>
      </c>
      <c r="C474" s="19" t="str">
        <f t="shared" si="35"/>
        <v>B-BCP - Soles</v>
      </c>
      <c r="D474" s="3" t="s">
        <v>1074</v>
      </c>
      <c r="E474" s="14">
        <v>45699</v>
      </c>
      <c r="F474" s="5" t="s">
        <v>1082</v>
      </c>
      <c r="G474" s="5" t="s">
        <v>1079</v>
      </c>
      <c r="H474" s="6" t="s">
        <v>869</v>
      </c>
      <c r="I474" s="6" t="s">
        <v>87</v>
      </c>
      <c r="J474" s="6">
        <v>1</v>
      </c>
      <c r="K474" s="6">
        <v>72025</v>
      </c>
      <c r="L474" s="7" t="s">
        <v>1605</v>
      </c>
      <c r="M474" s="8">
        <v>1112254</v>
      </c>
      <c r="N474" s="8" t="str">
        <f t="shared" si="36"/>
        <v>PEN</v>
      </c>
      <c r="O474" s="13"/>
      <c r="P474" s="13">
        <v>783</v>
      </c>
      <c r="Q474" s="3">
        <f t="shared" si="37"/>
        <v>0</v>
      </c>
      <c r="R474" s="3">
        <f t="shared" si="38"/>
        <v>783</v>
      </c>
      <c r="S474" s="3">
        <f t="shared" si="39"/>
        <v>12946.91</v>
      </c>
      <c r="T474" s="24" t="s">
        <v>1081</v>
      </c>
      <c r="U474" s="24" t="s">
        <v>1081</v>
      </c>
      <c r="V474" s="67"/>
      <c r="W474" s="25">
        <f>IFERROR(VLOOKUP(BCP_Soles[[#This Row],[DESTINATARIO]],CHOOSE({1,2},Clientes_Proveedores[Razon Social],Clientes_Proveedores[Ruc / Dni]),2,0),"")</f>
        <v>46126507</v>
      </c>
      <c r="X474" s="25"/>
      <c r="Y474" s="25"/>
      <c r="Z474" s="25"/>
      <c r="AA474" s="99"/>
      <c r="AB474" s="3" t="str">
        <f>IF(BCP_Soles[[#This Row],[FECHA]]&gt;0,TEXT(BCP_Soles[[#This Row],[FECHA]],"mmmm"),0)</f>
        <v>Febrero</v>
      </c>
    </row>
    <row r="475" spans="2:28" x14ac:dyDescent="0.3">
      <c r="B475" s="2">
        <f>IF(BCP_Soles[[#This Row],[TIPO DE R.]]="R",COUNTIFS($D$4:$D474,"R")+1,"")</f>
        <v>345</v>
      </c>
      <c r="C475" s="19" t="str">
        <f t="shared" si="35"/>
        <v>B-BCP - Soles</v>
      </c>
      <c r="D475" s="3" t="s">
        <v>1074</v>
      </c>
      <c r="E475" s="14">
        <v>45699</v>
      </c>
      <c r="F475" s="5" t="s">
        <v>1158</v>
      </c>
      <c r="G475" s="5" t="s">
        <v>1079</v>
      </c>
      <c r="H475" s="6"/>
      <c r="I475" s="6"/>
      <c r="J475" s="6"/>
      <c r="K475" s="6"/>
      <c r="L475" s="7" t="s">
        <v>1277</v>
      </c>
      <c r="M475" s="8">
        <v>1382</v>
      </c>
      <c r="N475" s="8" t="str">
        <f t="shared" si="36"/>
        <v>PEN</v>
      </c>
      <c r="O475" s="13"/>
      <c r="P475" s="13">
        <v>659.79</v>
      </c>
      <c r="Q475" s="3">
        <f t="shared" si="37"/>
        <v>0</v>
      </c>
      <c r="R475" s="3">
        <f t="shared" si="38"/>
        <v>659.79</v>
      </c>
      <c r="S475" s="3">
        <f t="shared" si="39"/>
        <v>12287.119999999999</v>
      </c>
      <c r="T475" s="24"/>
      <c r="U475" s="24"/>
      <c r="V475" s="67"/>
      <c r="W475" s="25" t="str">
        <f>IFERROR(VLOOKUP(BCP_Soles[[#This Row],[DESTINATARIO]],CHOOSE({1,2},Clientes_Proveedores[Razon Social],Clientes_Proveedores[Ruc / Dni]),2,0),"")</f>
        <v/>
      </c>
      <c r="X475" s="25" t="s">
        <v>1278</v>
      </c>
      <c r="Y475" s="25"/>
      <c r="Z475" s="25"/>
      <c r="AA475" s="99"/>
      <c r="AB475" s="3" t="str">
        <f>IF(BCP_Soles[[#This Row],[FECHA]]&gt;0,TEXT(BCP_Soles[[#This Row],[FECHA]],"mmmm"),0)</f>
        <v>Febrero</v>
      </c>
    </row>
    <row r="476" spans="2:28" x14ac:dyDescent="0.3">
      <c r="B476" s="2">
        <f>IF(BCP_Soles[[#This Row],[TIPO DE R.]]="R",COUNTIFS($D$4:$D475,"R")+1,"")</f>
        <v>346</v>
      </c>
      <c r="C476" s="19" t="str">
        <f t="shared" si="35"/>
        <v>B-BCP - Soles</v>
      </c>
      <c r="D476" s="3" t="s">
        <v>1074</v>
      </c>
      <c r="E476" s="14">
        <v>45699</v>
      </c>
      <c r="F476" s="5" t="s">
        <v>1158</v>
      </c>
      <c r="G476" s="5" t="s">
        <v>1079</v>
      </c>
      <c r="H476" s="6"/>
      <c r="I476" s="6"/>
      <c r="J476" s="6"/>
      <c r="K476" s="6"/>
      <c r="L476" s="7" t="s">
        <v>1279</v>
      </c>
      <c r="M476" s="8">
        <v>1398</v>
      </c>
      <c r="N476" s="8" t="str">
        <f t="shared" si="36"/>
        <v>PEN</v>
      </c>
      <c r="O476" s="13"/>
      <c r="P476" s="13">
        <v>264.7</v>
      </c>
      <c r="Q476" s="3">
        <f t="shared" si="37"/>
        <v>0</v>
      </c>
      <c r="R476" s="3">
        <f t="shared" si="38"/>
        <v>264.7</v>
      </c>
      <c r="S476" s="3">
        <f t="shared" si="39"/>
        <v>12022.419999999998</v>
      </c>
      <c r="T476" s="24"/>
      <c r="U476" s="24"/>
      <c r="V476" s="67"/>
      <c r="W476" s="25" t="str">
        <f>IFERROR(VLOOKUP(BCP_Soles[[#This Row],[DESTINATARIO]],CHOOSE({1,2},Clientes_Proveedores[Razon Social],Clientes_Proveedores[Ruc / Dni]),2,0),"")</f>
        <v/>
      </c>
      <c r="X476" s="25" t="s">
        <v>1280</v>
      </c>
      <c r="Y476" s="25"/>
      <c r="Z476" s="25"/>
      <c r="AA476" s="99"/>
      <c r="AB476" s="3" t="str">
        <f>IF(BCP_Soles[[#This Row],[FECHA]]&gt;0,TEXT(BCP_Soles[[#This Row],[FECHA]],"mmmm"),0)</f>
        <v>Febrero</v>
      </c>
    </row>
    <row r="477" spans="2:28" x14ac:dyDescent="0.3">
      <c r="B477" s="2">
        <f>IF(BCP_Soles[[#This Row],[TIPO DE R.]]="R",COUNTIFS($D$4:$D476,"R")+1,"")</f>
        <v>347</v>
      </c>
      <c r="C477" s="19" t="str">
        <f t="shared" si="35"/>
        <v>B-BCP - Soles</v>
      </c>
      <c r="D477" s="3" t="s">
        <v>1074</v>
      </c>
      <c r="E477" s="14">
        <v>45699</v>
      </c>
      <c r="F477" s="5" t="s">
        <v>1078</v>
      </c>
      <c r="G477" s="5" t="s">
        <v>1079</v>
      </c>
      <c r="H477" s="6"/>
      <c r="I477" s="6"/>
      <c r="J477" s="6"/>
      <c r="K477" s="6"/>
      <c r="L477" s="7" t="s">
        <v>1080</v>
      </c>
      <c r="M477" s="8"/>
      <c r="N477" s="8" t="str">
        <f t="shared" si="36"/>
        <v>PEN</v>
      </c>
      <c r="O477" s="13"/>
      <c r="P477" s="13">
        <v>0.75</v>
      </c>
      <c r="Q477" s="3">
        <f t="shared" si="37"/>
        <v>0</v>
      </c>
      <c r="R477" s="3">
        <f t="shared" si="38"/>
        <v>0.75</v>
      </c>
      <c r="S477" s="3">
        <f t="shared" si="39"/>
        <v>12021.669999999998</v>
      </c>
      <c r="T477" s="24"/>
      <c r="U477" s="24" t="s">
        <v>1081</v>
      </c>
      <c r="V477" s="67"/>
      <c r="W477" s="25" t="str">
        <f>IFERROR(VLOOKUP(BCP_Soles[[#This Row],[DESTINATARIO]],CHOOSE({1,2},Clientes_Proveedores[Razon Social],Clientes_Proveedores[Ruc / Dni]),2,0),"")</f>
        <v/>
      </c>
      <c r="X477" s="25"/>
      <c r="Y477" s="25"/>
      <c r="Z477" s="25"/>
      <c r="AA477" s="99"/>
      <c r="AB477" s="3" t="str">
        <f>IF(BCP_Soles[[#This Row],[FECHA]]&gt;0,TEXT(BCP_Soles[[#This Row],[FECHA]],"mmmm"),0)</f>
        <v>Febrero</v>
      </c>
    </row>
    <row r="478" spans="2:28" x14ac:dyDescent="0.3">
      <c r="B478" s="2">
        <f>IF(BCP_Soles[[#This Row],[TIPO DE R.]]="R",COUNTIFS($D$4:$D477,"R")+1,"")</f>
        <v>348</v>
      </c>
      <c r="C478" s="19" t="str">
        <f t="shared" si="35"/>
        <v>B-BCP - Soles</v>
      </c>
      <c r="D478" s="3" t="s">
        <v>1074</v>
      </c>
      <c r="E478" s="14">
        <v>45699</v>
      </c>
      <c r="F478" s="5" t="s">
        <v>146</v>
      </c>
      <c r="G478" s="5" t="s">
        <v>1087</v>
      </c>
      <c r="H478" s="6"/>
      <c r="I478" s="6"/>
      <c r="J478" s="6"/>
      <c r="K478" s="6"/>
      <c r="L478" s="7" t="s">
        <v>1381</v>
      </c>
      <c r="M478" s="8">
        <v>2107565</v>
      </c>
      <c r="N478" s="8" t="str">
        <f t="shared" si="36"/>
        <v>PEN</v>
      </c>
      <c r="O478" s="13"/>
      <c r="P478" s="13">
        <v>227.15</v>
      </c>
      <c r="Q478" s="3">
        <f t="shared" si="37"/>
        <v>227.15</v>
      </c>
      <c r="R478" s="3">
        <f t="shared" si="38"/>
        <v>0</v>
      </c>
      <c r="S478" s="3">
        <f t="shared" si="39"/>
        <v>12248.819999999998</v>
      </c>
      <c r="T478" s="24" t="s">
        <v>1081</v>
      </c>
      <c r="U478" s="24" t="s">
        <v>1081</v>
      </c>
      <c r="V478" s="67"/>
      <c r="W478" s="25" t="str">
        <f>IFERROR(VLOOKUP(BCP_Soles[[#This Row],[DESTINATARIO]],CHOOSE({1,2},Clientes_Proveedores[Razon Social],Clientes_Proveedores[Ruc / Dni]),2,0),"")</f>
        <v/>
      </c>
      <c r="X478" s="25" t="s">
        <v>1090</v>
      </c>
      <c r="Y478" s="25" t="s">
        <v>1606</v>
      </c>
      <c r="Z478" s="25"/>
      <c r="AA478" s="99"/>
      <c r="AB478" s="3" t="str">
        <f>IF(BCP_Soles[[#This Row],[FECHA]]&gt;0,TEXT(BCP_Soles[[#This Row],[FECHA]],"mmmm"),0)</f>
        <v>Febrero</v>
      </c>
    </row>
    <row r="479" spans="2:28" ht="60" x14ac:dyDescent="0.3">
      <c r="B479" s="2">
        <f>IF(BCP_Soles[[#This Row],[TIPO DE R.]]="R",COUNTIFS($D$4:$D478,"R")+1,"")</f>
        <v>349</v>
      </c>
      <c r="C479" s="19" t="str">
        <f t="shared" si="35"/>
        <v>B-BCP - Soles</v>
      </c>
      <c r="D479" s="3" t="s">
        <v>1074</v>
      </c>
      <c r="E479" s="14">
        <v>45700</v>
      </c>
      <c r="F479" s="5" t="s">
        <v>238</v>
      </c>
      <c r="G479" s="5" t="s">
        <v>1087</v>
      </c>
      <c r="H479" s="6"/>
      <c r="I479" s="6"/>
      <c r="J479" s="6"/>
      <c r="K479" s="6"/>
      <c r="L479" s="7" t="s">
        <v>1607</v>
      </c>
      <c r="M479" s="8">
        <v>2019409</v>
      </c>
      <c r="N479" s="8" t="str">
        <f t="shared" si="36"/>
        <v>PEN</v>
      </c>
      <c r="O479" s="13"/>
      <c r="P479" s="13">
        <v>1798.92</v>
      </c>
      <c r="Q479" s="3">
        <f t="shared" si="37"/>
        <v>1798.92</v>
      </c>
      <c r="R479" s="3">
        <f t="shared" si="38"/>
        <v>0</v>
      </c>
      <c r="S479" s="3">
        <f t="shared" si="39"/>
        <v>14047.739999999998</v>
      </c>
      <c r="T479" s="24" t="s">
        <v>1081</v>
      </c>
      <c r="U479" s="24" t="s">
        <v>1081</v>
      </c>
      <c r="V479" s="67"/>
      <c r="W479" s="25" t="str">
        <f>IFERROR(VLOOKUP(BCP_Soles[[#This Row],[DESTINATARIO]],CHOOSE({1,2},Clientes_Proveedores[Razon Social],Clientes_Proveedores[Ruc / Dni]),2,0),"")</f>
        <v/>
      </c>
      <c r="X479" s="25" t="s">
        <v>1090</v>
      </c>
      <c r="Y479" s="25" t="s">
        <v>1608</v>
      </c>
      <c r="Z479" s="25"/>
      <c r="AA479" s="99"/>
      <c r="AB479" s="3" t="str">
        <f>IF(BCP_Soles[[#This Row],[FECHA]]&gt;0,TEXT(BCP_Soles[[#This Row],[FECHA]],"mmmm"),0)</f>
        <v>Febrero</v>
      </c>
    </row>
    <row r="480" spans="2:28" ht="24" x14ac:dyDescent="0.3">
      <c r="B480" s="2">
        <f>IF(BCP_Soles[[#This Row],[TIPO DE R.]]="R",COUNTIFS($D$4:$D479,"R")+1,"")</f>
        <v>350</v>
      </c>
      <c r="C480" s="19" t="str">
        <f t="shared" si="35"/>
        <v>B-BCP - Soles</v>
      </c>
      <c r="D480" s="3" t="s">
        <v>1074</v>
      </c>
      <c r="E480" s="14">
        <v>45700</v>
      </c>
      <c r="F480" s="5" t="s">
        <v>1609</v>
      </c>
      <c r="G480" s="5" t="s">
        <v>1087</v>
      </c>
      <c r="H480" s="6"/>
      <c r="I480" s="6"/>
      <c r="J480" s="6"/>
      <c r="K480" s="6"/>
      <c r="L480" s="7" t="s">
        <v>1100</v>
      </c>
      <c r="M480" s="8">
        <v>2448687</v>
      </c>
      <c r="N480" s="8" t="str">
        <f t="shared" si="36"/>
        <v>PEN</v>
      </c>
      <c r="O480" s="13"/>
      <c r="P480" s="13">
        <v>6020</v>
      </c>
      <c r="Q480" s="3">
        <f t="shared" si="37"/>
        <v>6020</v>
      </c>
      <c r="R480" s="3">
        <f t="shared" si="38"/>
        <v>0</v>
      </c>
      <c r="S480" s="3">
        <f t="shared" si="39"/>
        <v>20067.739999999998</v>
      </c>
      <c r="T480" s="24" t="s">
        <v>1081</v>
      </c>
      <c r="U480" s="24" t="s">
        <v>1081</v>
      </c>
      <c r="V480" s="67"/>
      <c r="W480" s="25" t="str">
        <f>IFERROR(VLOOKUP(BCP_Soles[[#This Row],[DESTINATARIO]],CHOOSE({1,2},Clientes_Proveedores[Razon Social],Clientes_Proveedores[Ruc / Dni]),2,0),"")</f>
        <v/>
      </c>
      <c r="X480" s="25" t="s">
        <v>1090</v>
      </c>
      <c r="Y480" s="25" t="s">
        <v>1610</v>
      </c>
      <c r="Z480" s="25"/>
      <c r="AA480" s="99"/>
      <c r="AB480" s="3" t="str">
        <f>IF(BCP_Soles[[#This Row],[FECHA]]&gt;0,TEXT(BCP_Soles[[#This Row],[FECHA]],"mmmm"),0)</f>
        <v>Febrero</v>
      </c>
    </row>
    <row r="481" spans="2:28" ht="36" x14ac:dyDescent="0.3">
      <c r="B481" s="2">
        <f>IF(BCP_Soles[[#This Row],[TIPO DE R.]]="R",COUNTIFS($D$4:$D480,"R")+1,"")</f>
        <v>351</v>
      </c>
      <c r="C481" s="19" t="str">
        <f t="shared" si="35"/>
        <v>B-BCP - Soles</v>
      </c>
      <c r="D481" s="3" t="s">
        <v>1074</v>
      </c>
      <c r="E481" s="14">
        <v>45700</v>
      </c>
      <c r="F481" s="5" t="s">
        <v>289</v>
      </c>
      <c r="G481" s="5" t="s">
        <v>1087</v>
      </c>
      <c r="H481" s="6"/>
      <c r="I481" s="6"/>
      <c r="J481" s="6"/>
      <c r="K481" s="6"/>
      <c r="L481" s="7" t="s">
        <v>1194</v>
      </c>
      <c r="M481" s="8">
        <v>1498185</v>
      </c>
      <c r="N481" s="8" t="str">
        <f t="shared" si="36"/>
        <v>PEN</v>
      </c>
      <c r="O481" s="13"/>
      <c r="P481" s="13">
        <v>18179.8</v>
      </c>
      <c r="Q481" s="3">
        <f t="shared" si="37"/>
        <v>18179.8</v>
      </c>
      <c r="R481" s="3">
        <f t="shared" si="38"/>
        <v>0</v>
      </c>
      <c r="S481" s="3">
        <f t="shared" si="39"/>
        <v>38247.539999999994</v>
      </c>
      <c r="T481" s="24" t="s">
        <v>1081</v>
      </c>
      <c r="U481" s="24" t="s">
        <v>1081</v>
      </c>
      <c r="V481" s="67"/>
      <c r="W481" s="25" t="str">
        <f>IFERROR(VLOOKUP(BCP_Soles[[#This Row],[DESTINATARIO]],CHOOSE({1,2},Clientes_Proveedores[Razon Social],Clientes_Proveedores[Ruc / Dni]),2,0),"")</f>
        <v/>
      </c>
      <c r="X481" s="25" t="s">
        <v>1090</v>
      </c>
      <c r="Y481" s="25" t="s">
        <v>1611</v>
      </c>
      <c r="Z481" s="25"/>
      <c r="AA481" s="99"/>
      <c r="AB481" s="3" t="str">
        <f>IF(BCP_Soles[[#This Row],[FECHA]]&gt;0,TEXT(BCP_Soles[[#This Row],[FECHA]],"mmmm"),0)</f>
        <v>Febrero</v>
      </c>
    </row>
    <row r="482" spans="2:28" ht="36" x14ac:dyDescent="0.3">
      <c r="B482" s="2">
        <f>IF(BCP_Soles[[#This Row],[TIPO DE R.]]="R",COUNTIFS($D$4:$D481,"R")+1,"")</f>
        <v>352</v>
      </c>
      <c r="C482" s="19" t="str">
        <f t="shared" si="35"/>
        <v>B-BCP - Soles</v>
      </c>
      <c r="D482" s="3" t="s">
        <v>1074</v>
      </c>
      <c r="E482" s="14">
        <v>45700</v>
      </c>
      <c r="F482" s="5" t="s">
        <v>561</v>
      </c>
      <c r="G482" s="5" t="s">
        <v>1087</v>
      </c>
      <c r="H482" s="6"/>
      <c r="I482" s="6"/>
      <c r="J482" s="6"/>
      <c r="K482" s="6"/>
      <c r="L482" s="7" t="s">
        <v>1612</v>
      </c>
      <c r="M482" s="8">
        <v>1460056</v>
      </c>
      <c r="N482" s="8" t="str">
        <f t="shared" si="36"/>
        <v>PEN</v>
      </c>
      <c r="O482" s="13"/>
      <c r="P482" s="13">
        <v>2843.29</v>
      </c>
      <c r="Q482" s="3">
        <f t="shared" si="37"/>
        <v>2843.29</v>
      </c>
      <c r="R482" s="3">
        <f t="shared" si="38"/>
        <v>0</v>
      </c>
      <c r="S482" s="3">
        <f t="shared" si="39"/>
        <v>41090.829999999994</v>
      </c>
      <c r="T482" s="24" t="s">
        <v>1081</v>
      </c>
      <c r="U482" s="24" t="s">
        <v>1081</v>
      </c>
      <c r="V482" s="67"/>
      <c r="W482" s="25" t="str">
        <f>IFERROR(VLOOKUP(BCP_Soles[[#This Row],[DESTINATARIO]],CHOOSE({1,2},Clientes_Proveedores[Razon Social],Clientes_Proveedores[Ruc / Dni]),2,0),"")</f>
        <v/>
      </c>
      <c r="X482" s="25" t="s">
        <v>1090</v>
      </c>
      <c r="Y482" s="25" t="s">
        <v>1613</v>
      </c>
      <c r="Z482" s="25"/>
      <c r="AA482" s="99"/>
      <c r="AB482" s="3" t="str">
        <f>IF(BCP_Soles[[#This Row],[FECHA]]&gt;0,TEXT(BCP_Soles[[#This Row],[FECHA]],"mmmm"),0)</f>
        <v>Febrero</v>
      </c>
    </row>
    <row r="483" spans="2:28" ht="24" x14ac:dyDescent="0.3">
      <c r="B483" s="2">
        <f>IF(BCP_Soles[[#This Row],[TIPO DE R.]]="R",COUNTIFS($D$4:$D482,"R")+1,"")</f>
        <v>353</v>
      </c>
      <c r="C483" s="19" t="str">
        <f t="shared" si="35"/>
        <v>B-BCP - Soles</v>
      </c>
      <c r="D483" s="3" t="s">
        <v>1074</v>
      </c>
      <c r="E483" s="14">
        <v>45700</v>
      </c>
      <c r="F483" s="5" t="s">
        <v>1614</v>
      </c>
      <c r="G483" s="5" t="s">
        <v>1087</v>
      </c>
      <c r="H483" s="6" t="s">
        <v>368</v>
      </c>
      <c r="I483" s="6" t="s">
        <v>87</v>
      </c>
      <c r="J483" s="6">
        <v>1</v>
      </c>
      <c r="K483" s="6">
        <v>42025</v>
      </c>
      <c r="L483" s="7" t="s">
        <v>1615</v>
      </c>
      <c r="M483" s="8">
        <v>3072170</v>
      </c>
      <c r="N483" s="8" t="str">
        <f t="shared" si="36"/>
        <v>PEN</v>
      </c>
      <c r="O483" s="13"/>
      <c r="P483" s="13">
        <v>178</v>
      </c>
      <c r="Q483" s="3">
        <f t="shared" si="37"/>
        <v>178</v>
      </c>
      <c r="R483" s="3">
        <f t="shared" si="38"/>
        <v>0</v>
      </c>
      <c r="S483" s="3">
        <f t="shared" si="39"/>
        <v>41268.829999999994</v>
      </c>
      <c r="T483" s="24" t="s">
        <v>1081</v>
      </c>
      <c r="U483" s="24"/>
      <c r="V483" s="67"/>
      <c r="W483" s="25">
        <f>IFERROR(VLOOKUP(BCP_Soles[[#This Row],[DESTINATARIO]],CHOOSE({1,2},Clientes_Proveedores[Razon Social],Clientes_Proveedores[Ruc / Dni]),2,0),"")</f>
        <v>20558226979</v>
      </c>
      <c r="X483" s="25"/>
      <c r="Y483" s="25"/>
      <c r="Z483" s="25"/>
      <c r="AA483" s="99"/>
      <c r="AB483" s="3" t="str">
        <f>IF(BCP_Soles[[#This Row],[FECHA]]&gt;0,TEXT(BCP_Soles[[#This Row],[FECHA]],"mmmm"),0)</f>
        <v>Febrero</v>
      </c>
    </row>
    <row r="484" spans="2:28" x14ac:dyDescent="0.3">
      <c r="B484" s="2">
        <f>IF(BCP_Soles[[#This Row],[TIPO DE R.]]="R",COUNTIFS($D$4:$D483,"R")+1,"")</f>
        <v>354</v>
      </c>
      <c r="C484" s="19" t="str">
        <f t="shared" si="35"/>
        <v>B-BCP - Soles</v>
      </c>
      <c r="D484" s="3" t="s">
        <v>1074</v>
      </c>
      <c r="E484" s="14">
        <v>45700</v>
      </c>
      <c r="F484" s="5" t="s">
        <v>1078</v>
      </c>
      <c r="G484" s="5" t="s">
        <v>1079</v>
      </c>
      <c r="H484" s="6"/>
      <c r="I484" s="6"/>
      <c r="J484" s="6"/>
      <c r="K484" s="6"/>
      <c r="L484" s="7" t="s">
        <v>1080</v>
      </c>
      <c r="M484" s="8"/>
      <c r="N484" s="8" t="str">
        <f t="shared" si="36"/>
        <v>PEN</v>
      </c>
      <c r="O484" s="13"/>
      <c r="P484" s="13">
        <v>1.35</v>
      </c>
      <c r="Q484" s="3">
        <f t="shared" si="37"/>
        <v>0</v>
      </c>
      <c r="R484" s="3">
        <f t="shared" si="38"/>
        <v>1.35</v>
      </c>
      <c r="S484" s="3">
        <f t="shared" si="39"/>
        <v>41267.479999999996</v>
      </c>
      <c r="T484" s="24"/>
      <c r="U484" s="24" t="s">
        <v>1081</v>
      </c>
      <c r="V484" s="67"/>
      <c r="W484" s="25" t="str">
        <f>IFERROR(VLOOKUP(BCP_Soles[[#This Row],[DESTINATARIO]],CHOOSE({1,2},Clientes_Proveedores[Razon Social],Clientes_Proveedores[Ruc / Dni]),2,0),"")</f>
        <v/>
      </c>
      <c r="X484" s="25"/>
      <c r="Y484" s="25"/>
      <c r="Z484" s="25"/>
      <c r="AA484" s="99"/>
      <c r="AB484" s="3" t="str">
        <f>IF(BCP_Soles[[#This Row],[FECHA]]&gt;0,TEXT(BCP_Soles[[#This Row],[FECHA]],"mmmm"),0)</f>
        <v>Febrero</v>
      </c>
    </row>
    <row r="485" spans="2:28" ht="24" x14ac:dyDescent="0.3">
      <c r="B485" s="2">
        <f>IF(BCP_Soles[[#This Row],[TIPO DE R.]]="R",COUNTIFS($D$4:$D484,"R")+1,"")</f>
        <v>355</v>
      </c>
      <c r="C485" s="19" t="str">
        <f t="shared" si="35"/>
        <v>B-BCP - Soles</v>
      </c>
      <c r="D485" s="3" t="s">
        <v>1074</v>
      </c>
      <c r="E485" s="14">
        <v>45700</v>
      </c>
      <c r="F485" s="5" t="s">
        <v>1082</v>
      </c>
      <c r="G485" s="5" t="s">
        <v>1079</v>
      </c>
      <c r="H485" s="6" t="s">
        <v>646</v>
      </c>
      <c r="I485" s="6" t="s">
        <v>52</v>
      </c>
      <c r="J485" s="6" t="s">
        <v>1299</v>
      </c>
      <c r="K485" s="6">
        <v>2273087</v>
      </c>
      <c r="L485" s="7" t="s">
        <v>1231</v>
      </c>
      <c r="M485" s="8">
        <v>4107191</v>
      </c>
      <c r="N485" s="8" t="str">
        <f t="shared" si="36"/>
        <v>PEN</v>
      </c>
      <c r="O485" s="13"/>
      <c r="P485" s="13">
        <v>15.3</v>
      </c>
      <c r="Q485" s="3">
        <f t="shared" si="37"/>
        <v>0</v>
      </c>
      <c r="R485" s="3">
        <f t="shared" si="38"/>
        <v>15.3</v>
      </c>
      <c r="S485" s="3">
        <f t="shared" si="39"/>
        <v>41252.179999999993</v>
      </c>
      <c r="T485" s="24" t="s">
        <v>1081</v>
      </c>
      <c r="U485" s="24" t="s">
        <v>1081</v>
      </c>
      <c r="V485" s="67"/>
      <c r="W485" s="25">
        <f>IFERROR(VLOOKUP(BCP_Soles[[#This Row],[DESTINATARIO]],CHOOSE({1,2},Clientes_Proveedores[Razon Social],Clientes_Proveedores[Ruc / Dni]),2,0),"")</f>
        <v>20100152356</v>
      </c>
      <c r="X485" s="25" t="s">
        <v>646</v>
      </c>
      <c r="Y485" s="25" t="s">
        <v>1616</v>
      </c>
      <c r="Z485" s="25"/>
      <c r="AA485" s="99"/>
      <c r="AB485" s="3" t="str">
        <f>IF(BCP_Soles[[#This Row],[FECHA]]&gt;0,TEXT(BCP_Soles[[#This Row],[FECHA]],"mmmm"),0)</f>
        <v>Febrero</v>
      </c>
    </row>
    <row r="486" spans="2:28" ht="24" x14ac:dyDescent="0.3">
      <c r="B486" s="2">
        <f>IF(BCP_Soles[[#This Row],[TIPO DE R.]]="R",COUNTIFS($D$4:$D485,"R")+1,"")</f>
        <v>356</v>
      </c>
      <c r="C486" s="19" t="str">
        <f t="shared" si="35"/>
        <v>B-BCP - Soles</v>
      </c>
      <c r="D486" s="3" t="s">
        <v>1074</v>
      </c>
      <c r="E486" s="14">
        <v>45700</v>
      </c>
      <c r="F486" s="5" t="s">
        <v>1082</v>
      </c>
      <c r="G486" s="5" t="s">
        <v>1079</v>
      </c>
      <c r="H486" s="6"/>
      <c r="I486" s="6" t="s">
        <v>52</v>
      </c>
      <c r="J486" s="6" t="s">
        <v>1617</v>
      </c>
      <c r="K486" s="6">
        <v>68259519</v>
      </c>
      <c r="L486" s="7" t="s">
        <v>1307</v>
      </c>
      <c r="M486" s="8">
        <v>4172155</v>
      </c>
      <c r="N486" s="8" t="str">
        <f t="shared" si="36"/>
        <v>PEN</v>
      </c>
      <c r="O486" s="13"/>
      <c r="P486" s="13">
        <v>17.7</v>
      </c>
      <c r="Q486" s="3">
        <f t="shared" si="37"/>
        <v>0</v>
      </c>
      <c r="R486" s="3">
        <f t="shared" si="38"/>
        <v>17.7</v>
      </c>
      <c r="S486" s="3">
        <f t="shared" si="39"/>
        <v>41234.479999999996</v>
      </c>
      <c r="T486" s="24" t="s">
        <v>1081</v>
      </c>
      <c r="U486" s="24" t="s">
        <v>1081</v>
      </c>
      <c r="V486" s="67"/>
      <c r="W486" s="25" t="str">
        <f>IFERROR(VLOOKUP(BCP_Soles[[#This Row],[DESTINATARIO]],CHOOSE({1,2},Clientes_Proveedores[Razon Social],Clientes_Proveedores[Ruc / Dni]),2,0),"")</f>
        <v/>
      </c>
      <c r="X486" s="25" t="s">
        <v>1309</v>
      </c>
      <c r="Y486" s="25" t="s">
        <v>1618</v>
      </c>
      <c r="Z486" s="25"/>
      <c r="AA486" s="99"/>
      <c r="AB486" s="3" t="str">
        <f>IF(BCP_Soles[[#This Row],[FECHA]]&gt;0,TEXT(BCP_Soles[[#This Row],[FECHA]],"mmmm"),0)</f>
        <v>Febrero</v>
      </c>
    </row>
    <row r="487" spans="2:28" ht="24" x14ac:dyDescent="0.3">
      <c r="B487" s="2">
        <f>IF(BCP_Soles[[#This Row],[TIPO DE R.]]="R",COUNTIFS($D$4:$D486,"R")+1,"")</f>
        <v>357</v>
      </c>
      <c r="C487" s="19" t="str">
        <f t="shared" si="35"/>
        <v>B-BCP - Soles</v>
      </c>
      <c r="D487" s="3" t="s">
        <v>1074</v>
      </c>
      <c r="E487" s="14">
        <v>45701</v>
      </c>
      <c r="F487" s="5" t="s">
        <v>1245</v>
      </c>
      <c r="G487" s="5" t="s">
        <v>1087</v>
      </c>
      <c r="H487" s="6"/>
      <c r="I487" s="6"/>
      <c r="J487" s="6"/>
      <c r="K487" s="6"/>
      <c r="L487" s="7" t="s">
        <v>1100</v>
      </c>
      <c r="M487" s="8">
        <v>1079127</v>
      </c>
      <c r="N487" s="8" t="str">
        <f t="shared" si="36"/>
        <v>PEN</v>
      </c>
      <c r="O487" s="13"/>
      <c r="P487" s="13">
        <v>4180</v>
      </c>
      <c r="Q487" s="3">
        <f t="shared" si="37"/>
        <v>4180</v>
      </c>
      <c r="R487" s="3">
        <f t="shared" si="38"/>
        <v>0</v>
      </c>
      <c r="S487" s="3">
        <f t="shared" si="39"/>
        <v>45414.479999999996</v>
      </c>
      <c r="T487" s="24" t="s">
        <v>1081</v>
      </c>
      <c r="U487" s="24" t="s">
        <v>1081</v>
      </c>
      <c r="V487" s="67"/>
      <c r="W487" s="25" t="str">
        <f>IFERROR(VLOOKUP(BCP_Soles[[#This Row],[DESTINATARIO]],CHOOSE({1,2},Clientes_Proveedores[Razon Social],Clientes_Proveedores[Ruc / Dni]),2,0),"")</f>
        <v/>
      </c>
      <c r="X487" s="25" t="s">
        <v>1090</v>
      </c>
      <c r="Y487" s="25" t="s">
        <v>1619</v>
      </c>
      <c r="Z487" s="25"/>
      <c r="AA487" s="99"/>
      <c r="AB487" s="3" t="str">
        <f>IF(BCP_Soles[[#This Row],[FECHA]]&gt;0,TEXT(BCP_Soles[[#This Row],[FECHA]],"mmmm"),0)</f>
        <v>Febrero</v>
      </c>
    </row>
    <row r="488" spans="2:28" ht="24" x14ac:dyDescent="0.3">
      <c r="B488" s="2">
        <f>IF(BCP_Soles[[#This Row],[TIPO DE R.]]="R",COUNTIFS($D$4:$D487,"R")+1,"")</f>
        <v>358</v>
      </c>
      <c r="C488" s="19" t="str">
        <f t="shared" si="35"/>
        <v>B-BCP - Soles</v>
      </c>
      <c r="D488" s="3" t="s">
        <v>1074</v>
      </c>
      <c r="E488" s="14">
        <v>45701</v>
      </c>
      <c r="F488" s="5" t="s">
        <v>147</v>
      </c>
      <c r="G488" s="5" t="s">
        <v>1087</v>
      </c>
      <c r="H488" s="6"/>
      <c r="I488" s="6"/>
      <c r="J488" s="6"/>
      <c r="K488" s="6"/>
      <c r="L488" s="7" t="s">
        <v>1620</v>
      </c>
      <c r="M488" s="8">
        <v>1747597</v>
      </c>
      <c r="N488" s="8" t="str">
        <f t="shared" si="36"/>
        <v>PEN</v>
      </c>
      <c r="O488" s="13"/>
      <c r="P488" s="13">
        <v>2832.88</v>
      </c>
      <c r="Q488" s="3">
        <f t="shared" si="37"/>
        <v>2832.88</v>
      </c>
      <c r="R488" s="3">
        <f t="shared" si="38"/>
        <v>0</v>
      </c>
      <c r="S488" s="3">
        <f t="shared" si="39"/>
        <v>48247.359999999993</v>
      </c>
      <c r="T488" s="24" t="s">
        <v>1081</v>
      </c>
      <c r="U488" s="24" t="s">
        <v>1081</v>
      </c>
      <c r="V488" s="67"/>
      <c r="W488" s="25" t="str">
        <f>IFERROR(VLOOKUP(BCP_Soles[[#This Row],[DESTINATARIO]],CHOOSE({1,2},Clientes_Proveedores[Razon Social],Clientes_Proveedores[Ruc / Dni]),2,0),"")</f>
        <v/>
      </c>
      <c r="X488" s="25" t="s">
        <v>1090</v>
      </c>
      <c r="Y488" s="25" t="s">
        <v>1621</v>
      </c>
      <c r="Z488" s="25"/>
      <c r="AA488" s="99"/>
      <c r="AB488" s="3" t="str">
        <f>IF(BCP_Soles[[#This Row],[FECHA]]&gt;0,TEXT(BCP_Soles[[#This Row],[FECHA]],"mmmm"),0)</f>
        <v>Febrero</v>
      </c>
    </row>
    <row r="489" spans="2:28" x14ac:dyDescent="0.3">
      <c r="B489" s="2">
        <f>IF(BCP_Soles[[#This Row],[TIPO DE R.]]="R",COUNTIFS($D$4:$D488,"R")+1,"")</f>
        <v>359</v>
      </c>
      <c r="C489" s="19" t="str">
        <f t="shared" si="35"/>
        <v>B-BCP - Soles</v>
      </c>
      <c r="D489" s="3" t="s">
        <v>1074</v>
      </c>
      <c r="E489" s="14">
        <v>45701</v>
      </c>
      <c r="F489" s="5" t="s">
        <v>167</v>
      </c>
      <c r="G489" s="5" t="s">
        <v>1087</v>
      </c>
      <c r="H489" s="6"/>
      <c r="I489" s="6"/>
      <c r="J489" s="6"/>
      <c r="K489" s="6"/>
      <c r="L489" s="7" t="s">
        <v>1622</v>
      </c>
      <c r="M489" s="8">
        <v>2049701</v>
      </c>
      <c r="N489" s="8" t="str">
        <f t="shared" si="36"/>
        <v>PEN</v>
      </c>
      <c r="O489" s="13"/>
      <c r="P489" s="13">
        <v>1259.06</v>
      </c>
      <c r="Q489" s="3">
        <f t="shared" si="37"/>
        <v>1259.06</v>
      </c>
      <c r="R489" s="3">
        <f t="shared" si="38"/>
        <v>0</v>
      </c>
      <c r="S489" s="3">
        <f t="shared" si="39"/>
        <v>49506.419999999991</v>
      </c>
      <c r="T489" s="24" t="s">
        <v>1081</v>
      </c>
      <c r="U489" s="24" t="s">
        <v>1081</v>
      </c>
      <c r="V489" s="67"/>
      <c r="W489" s="25" t="str">
        <f>IFERROR(VLOOKUP(BCP_Soles[[#This Row],[DESTINATARIO]],CHOOSE({1,2},Clientes_Proveedores[Razon Social],Clientes_Proveedores[Ruc / Dni]),2,0),"")</f>
        <v/>
      </c>
      <c r="X489" s="25" t="s">
        <v>1090</v>
      </c>
      <c r="Y489" s="25" t="s">
        <v>1623</v>
      </c>
      <c r="Z489" s="25"/>
      <c r="AA489" s="99"/>
      <c r="AB489" s="3" t="str">
        <f>IF(BCP_Soles[[#This Row],[FECHA]]&gt;0,TEXT(BCP_Soles[[#This Row],[FECHA]],"mmmm"),0)</f>
        <v>Febrero</v>
      </c>
    </row>
    <row r="490" spans="2:28" ht="24" x14ac:dyDescent="0.3">
      <c r="B490" s="2">
        <f>IF(BCP_Soles[[#This Row],[TIPO DE R.]]="R",COUNTIFS($D$4:$D489,"R")+1,"")</f>
        <v>360</v>
      </c>
      <c r="C490" s="19" t="str">
        <f t="shared" si="35"/>
        <v>B-BCP - Soles</v>
      </c>
      <c r="D490" s="3" t="s">
        <v>1074</v>
      </c>
      <c r="E490" s="14">
        <v>45701</v>
      </c>
      <c r="F490" s="5" t="s">
        <v>1245</v>
      </c>
      <c r="G490" s="5" t="s">
        <v>1087</v>
      </c>
      <c r="H490" s="6"/>
      <c r="I490" s="6"/>
      <c r="J490" s="6"/>
      <c r="K490" s="6"/>
      <c r="L490" s="7" t="s">
        <v>1100</v>
      </c>
      <c r="M490" s="8">
        <v>1202255</v>
      </c>
      <c r="N490" s="8" t="str">
        <f t="shared" si="36"/>
        <v>PEN</v>
      </c>
      <c r="O490" s="13"/>
      <c r="P490" s="13">
        <v>8</v>
      </c>
      <c r="Q490" s="3">
        <f t="shared" si="37"/>
        <v>8</v>
      </c>
      <c r="R490" s="3">
        <f t="shared" si="38"/>
        <v>0</v>
      </c>
      <c r="S490" s="3">
        <f t="shared" si="39"/>
        <v>49514.419999999991</v>
      </c>
      <c r="T490" s="24" t="s">
        <v>1081</v>
      </c>
      <c r="U490" s="24" t="s">
        <v>1081</v>
      </c>
      <c r="V490" s="67"/>
      <c r="W490" s="25" t="str">
        <f>IFERROR(VLOOKUP(BCP_Soles[[#This Row],[DESTINATARIO]],CHOOSE({1,2},Clientes_Proveedores[Razon Social],Clientes_Proveedores[Ruc / Dni]),2,0),"")</f>
        <v/>
      </c>
      <c r="X490" s="25" t="s">
        <v>1090</v>
      </c>
      <c r="Y490" s="25" t="s">
        <v>1619</v>
      </c>
      <c r="Z490" s="25"/>
      <c r="AA490" s="99"/>
      <c r="AB490" s="3" t="str">
        <f>IF(BCP_Soles[[#This Row],[FECHA]]&gt;0,TEXT(BCP_Soles[[#This Row],[FECHA]],"mmmm"),0)</f>
        <v>Febrero</v>
      </c>
    </row>
    <row r="491" spans="2:28" ht="24" x14ac:dyDescent="0.3">
      <c r="B491" s="2">
        <f>IF(BCP_Soles[[#This Row],[TIPO DE R.]]="R",COUNTIFS($D$4:$D490,"R")+1,"")</f>
        <v>361</v>
      </c>
      <c r="C491" s="19" t="str">
        <f t="shared" si="35"/>
        <v>B-BCP - Soles</v>
      </c>
      <c r="D491" s="3" t="s">
        <v>1074</v>
      </c>
      <c r="E491" s="14">
        <v>45701</v>
      </c>
      <c r="F491" s="5" t="s">
        <v>1082</v>
      </c>
      <c r="G491" s="5" t="s">
        <v>1079</v>
      </c>
      <c r="H491" s="6" t="s">
        <v>192</v>
      </c>
      <c r="I491" s="6"/>
      <c r="J491" s="6"/>
      <c r="K491" s="6"/>
      <c r="L491" s="7" t="s">
        <v>1624</v>
      </c>
      <c r="M491" s="8">
        <v>1060587</v>
      </c>
      <c r="N491" s="8" t="str">
        <f t="shared" si="36"/>
        <v>PEN</v>
      </c>
      <c r="O491" s="13"/>
      <c r="P491" s="13">
        <v>142.88999999999999</v>
      </c>
      <c r="Q491" s="3">
        <f t="shared" si="37"/>
        <v>0</v>
      </c>
      <c r="R491" s="3">
        <f t="shared" si="38"/>
        <v>142.88999999999999</v>
      </c>
      <c r="S491" s="3">
        <f t="shared" si="39"/>
        <v>49371.529999999992</v>
      </c>
      <c r="T491" s="24"/>
      <c r="U491" s="24"/>
      <c r="V491" s="67"/>
      <c r="W491" s="25">
        <f>IFERROR(VLOOKUP(BCP_Soles[[#This Row],[DESTINATARIO]],CHOOSE({1,2},Clientes_Proveedores[Razon Social],Clientes_Proveedores[Ruc / Dni]),2,0),"")</f>
        <v>20302891452</v>
      </c>
      <c r="X491" s="25" t="s">
        <v>192</v>
      </c>
      <c r="Y491" s="25"/>
      <c r="Z491" s="25"/>
      <c r="AA491" s="99"/>
      <c r="AB491" s="3" t="str">
        <f>IF(BCP_Soles[[#This Row],[FECHA]]&gt;0,TEXT(BCP_Soles[[#This Row],[FECHA]],"mmmm"),0)</f>
        <v>Febrero</v>
      </c>
    </row>
    <row r="492" spans="2:28" ht="24" x14ac:dyDescent="0.3">
      <c r="B492" s="2">
        <f>IF(BCP_Soles[[#This Row],[TIPO DE R.]]="R",COUNTIFS($D$4:$D491,"R")+1,"")</f>
        <v>362</v>
      </c>
      <c r="C492" s="19" t="str">
        <f t="shared" si="35"/>
        <v>B-BCP - Soles</v>
      </c>
      <c r="D492" s="3" t="s">
        <v>1074</v>
      </c>
      <c r="E492" s="14">
        <v>45701</v>
      </c>
      <c r="F492" s="5" t="s">
        <v>1082</v>
      </c>
      <c r="G492" s="5" t="s">
        <v>1079</v>
      </c>
      <c r="H492" s="6" t="s">
        <v>798</v>
      </c>
      <c r="I492" s="6" t="s">
        <v>87</v>
      </c>
      <c r="J492" s="6">
        <v>1</v>
      </c>
      <c r="K492" s="6">
        <v>92025</v>
      </c>
      <c r="L492" s="7" t="s">
        <v>1625</v>
      </c>
      <c r="M492" s="8">
        <v>1103252</v>
      </c>
      <c r="N492" s="8" t="str">
        <f t="shared" si="36"/>
        <v>PEN</v>
      </c>
      <c r="O492" s="13"/>
      <c r="P492" s="13">
        <v>230</v>
      </c>
      <c r="Q492" s="3">
        <f t="shared" si="37"/>
        <v>0</v>
      </c>
      <c r="R492" s="3">
        <f t="shared" si="38"/>
        <v>230</v>
      </c>
      <c r="S492" s="3">
        <f t="shared" si="39"/>
        <v>49141.529999999992</v>
      </c>
      <c r="T492" s="24" t="s">
        <v>1081</v>
      </c>
      <c r="U492" s="24" t="s">
        <v>1081</v>
      </c>
      <c r="V492" s="67"/>
      <c r="W492" s="25">
        <f>IFERROR(VLOOKUP(BCP_Soles[[#This Row],[DESTINATARIO]],CHOOSE({1,2},Clientes_Proveedores[Razon Social],Clientes_Proveedores[Ruc / Dni]),2,0),"")</f>
        <v>70666331</v>
      </c>
      <c r="X492" s="25"/>
      <c r="Y492" s="25"/>
      <c r="Z492" s="25"/>
      <c r="AA492" s="99"/>
      <c r="AB492" s="3" t="str">
        <f>IF(BCP_Soles[[#This Row],[FECHA]]&gt;0,TEXT(BCP_Soles[[#This Row],[FECHA]],"mmmm"),0)</f>
        <v>Febrero</v>
      </c>
    </row>
    <row r="493" spans="2:28" ht="24" x14ac:dyDescent="0.3">
      <c r="B493" s="2">
        <f>IF(BCP_Soles[[#This Row],[TIPO DE R.]]="R",COUNTIFS($D$4:$D492,"R")+1,"")</f>
        <v>363</v>
      </c>
      <c r="C493" s="19" t="str">
        <f t="shared" si="35"/>
        <v>B-BCP - Soles</v>
      </c>
      <c r="D493" s="3" t="s">
        <v>1074</v>
      </c>
      <c r="E493" s="14">
        <v>45701</v>
      </c>
      <c r="F493" s="5" t="s">
        <v>1082</v>
      </c>
      <c r="G493" s="5" t="s">
        <v>1079</v>
      </c>
      <c r="H493" s="6" t="s">
        <v>343</v>
      </c>
      <c r="I493" s="6" t="s">
        <v>14</v>
      </c>
      <c r="J493" s="6" t="s">
        <v>1626</v>
      </c>
      <c r="K493" s="6">
        <v>31909</v>
      </c>
      <c r="L493" s="7" t="s">
        <v>1627</v>
      </c>
      <c r="M493" s="8">
        <v>1171246</v>
      </c>
      <c r="N493" s="8" t="str">
        <f t="shared" si="36"/>
        <v>PEN</v>
      </c>
      <c r="O493" s="13"/>
      <c r="P493" s="13">
        <v>320</v>
      </c>
      <c r="Q493" s="3">
        <f t="shared" si="37"/>
        <v>0</v>
      </c>
      <c r="R493" s="3">
        <f t="shared" si="38"/>
        <v>320</v>
      </c>
      <c r="S493" s="3">
        <f t="shared" si="39"/>
        <v>48821.529999999992</v>
      </c>
      <c r="T493" s="24" t="s">
        <v>1081</v>
      </c>
      <c r="U493" s="24" t="s">
        <v>1081</v>
      </c>
      <c r="V493" s="67"/>
      <c r="W493" s="25">
        <f>IFERROR(VLOOKUP(BCP_Soles[[#This Row],[DESTINATARIO]],CHOOSE({1,2},Clientes_Proveedores[Razon Social],Clientes_Proveedores[Ruc / Dni]),2,0),"")</f>
        <v>20546153372</v>
      </c>
      <c r="X493" s="25" t="s">
        <v>1628</v>
      </c>
      <c r="Y493" s="25" t="s">
        <v>1629</v>
      </c>
      <c r="Z493" s="25"/>
      <c r="AA493" s="99"/>
      <c r="AB493" s="3" t="str">
        <f>IF(BCP_Soles[[#This Row],[FECHA]]&gt;0,TEXT(BCP_Soles[[#This Row],[FECHA]],"mmmm"),0)</f>
        <v>Febrero</v>
      </c>
    </row>
    <row r="494" spans="2:28" ht="36" x14ac:dyDescent="0.3">
      <c r="B494" s="2">
        <f>IF(BCP_Soles[[#This Row],[TIPO DE R.]]="R",COUNTIFS($D$4:$D493,"R")+1,"")</f>
        <v>364</v>
      </c>
      <c r="C494" s="19" t="str">
        <f t="shared" si="35"/>
        <v>B-BCP - Soles</v>
      </c>
      <c r="D494" s="3" t="s">
        <v>1074</v>
      </c>
      <c r="E494" s="14">
        <v>45701</v>
      </c>
      <c r="F494" s="5" t="s">
        <v>1082</v>
      </c>
      <c r="G494" s="5" t="s">
        <v>1079</v>
      </c>
      <c r="H494" s="6" t="s">
        <v>880</v>
      </c>
      <c r="I494" s="6" t="s">
        <v>87</v>
      </c>
      <c r="J494" s="6">
        <v>1</v>
      </c>
      <c r="K494" s="6">
        <v>102025</v>
      </c>
      <c r="L494" s="7" t="s">
        <v>1630</v>
      </c>
      <c r="M494" s="8">
        <v>1139209</v>
      </c>
      <c r="N494" s="8" t="str">
        <f t="shared" si="36"/>
        <v>PEN</v>
      </c>
      <c r="O494" s="13"/>
      <c r="P494" s="13">
        <v>329.4</v>
      </c>
      <c r="Q494" s="3">
        <f t="shared" si="37"/>
        <v>0</v>
      </c>
      <c r="R494" s="3">
        <f t="shared" si="38"/>
        <v>329.4</v>
      </c>
      <c r="S494" s="3">
        <f t="shared" si="39"/>
        <v>48492.12999999999</v>
      </c>
      <c r="T494" s="24" t="s">
        <v>1081</v>
      </c>
      <c r="U494" s="24" t="s">
        <v>1081</v>
      </c>
      <c r="V494" s="67"/>
      <c r="W494" s="25">
        <f>IFERROR(VLOOKUP(BCP_Soles[[#This Row],[DESTINATARIO]],CHOOSE({1,2},Clientes_Proveedores[Razon Social],Clientes_Proveedores[Ruc / Dni]),2,0),"")</f>
        <v>72531546</v>
      </c>
      <c r="X494" s="25"/>
      <c r="Y494" s="25"/>
      <c r="Z494" s="25"/>
      <c r="AA494" s="99"/>
      <c r="AB494" s="3" t="str">
        <f>IF(BCP_Soles[[#This Row],[FECHA]]&gt;0,TEXT(BCP_Soles[[#This Row],[FECHA]],"mmmm"),0)</f>
        <v>Febrero</v>
      </c>
    </row>
    <row r="495" spans="2:28" ht="24" x14ac:dyDescent="0.3">
      <c r="B495" s="2">
        <f>IF(BCP_Soles[[#This Row],[TIPO DE R.]]="R",COUNTIFS($D$4:$D494,"R")+1,"")</f>
        <v>365</v>
      </c>
      <c r="C495" s="19" t="str">
        <f t="shared" si="35"/>
        <v>B-BCP - Soles</v>
      </c>
      <c r="D495" s="3" t="s">
        <v>1074</v>
      </c>
      <c r="E495" s="14">
        <v>45701</v>
      </c>
      <c r="F495" s="5" t="s">
        <v>1082</v>
      </c>
      <c r="G495" s="5" t="s">
        <v>1079</v>
      </c>
      <c r="H495" s="6" t="s">
        <v>525</v>
      </c>
      <c r="I495" s="6" t="s">
        <v>14</v>
      </c>
      <c r="J495" s="6" t="s">
        <v>1121</v>
      </c>
      <c r="K495" s="6">
        <v>670</v>
      </c>
      <c r="L495" s="7" t="s">
        <v>1631</v>
      </c>
      <c r="M495" s="8">
        <v>1018572</v>
      </c>
      <c r="N495" s="8" t="str">
        <f t="shared" si="36"/>
        <v>PEN</v>
      </c>
      <c r="O495" s="13"/>
      <c r="P495" s="13">
        <v>645.1</v>
      </c>
      <c r="Q495" s="3">
        <f t="shared" si="37"/>
        <v>0</v>
      </c>
      <c r="R495" s="3">
        <f t="shared" si="38"/>
        <v>645.1</v>
      </c>
      <c r="S495" s="3">
        <f t="shared" si="39"/>
        <v>47847.029999999992</v>
      </c>
      <c r="T495" s="24" t="s">
        <v>1081</v>
      </c>
      <c r="U495" s="24" t="s">
        <v>1081</v>
      </c>
      <c r="V495" s="67"/>
      <c r="W495" s="25">
        <f>IFERROR(VLOOKUP(BCP_Soles[[#This Row],[DESTINATARIO]],CHOOSE({1,2},Clientes_Proveedores[Razon Social],Clientes_Proveedores[Ruc / Dni]),2,0),"")</f>
        <v>20609155303</v>
      </c>
      <c r="X495" s="25" t="s">
        <v>1632</v>
      </c>
      <c r="Y495" s="25">
        <v>670</v>
      </c>
      <c r="Z495" s="25"/>
      <c r="AA495" s="99"/>
      <c r="AB495" s="3" t="str">
        <f>IF(BCP_Soles[[#This Row],[FECHA]]&gt;0,TEXT(BCP_Soles[[#This Row],[FECHA]],"mmmm"),0)</f>
        <v>Febrero</v>
      </c>
    </row>
    <row r="496" spans="2:28" ht="24" x14ac:dyDescent="0.3">
      <c r="B496" s="2">
        <f>IF(BCP_Soles[[#This Row],[TIPO DE R.]]="R",COUNTIFS($D$4:$D495,"R")+1,"")</f>
        <v>366</v>
      </c>
      <c r="C496" s="19" t="str">
        <f t="shared" si="35"/>
        <v>B-BCP - Soles</v>
      </c>
      <c r="D496" s="3" t="s">
        <v>1074</v>
      </c>
      <c r="E496" s="14">
        <v>45701</v>
      </c>
      <c r="F496" s="5" t="s">
        <v>1082</v>
      </c>
      <c r="G496" s="5" t="s">
        <v>1079</v>
      </c>
      <c r="H496" s="6" t="s">
        <v>525</v>
      </c>
      <c r="I496" s="6" t="s">
        <v>14</v>
      </c>
      <c r="J496" s="6" t="s">
        <v>1121</v>
      </c>
      <c r="K496" s="6">
        <v>671</v>
      </c>
      <c r="L496" s="7" t="s">
        <v>1633</v>
      </c>
      <c r="M496" s="8">
        <v>1081566</v>
      </c>
      <c r="N496" s="8" t="str">
        <f t="shared" si="36"/>
        <v>PEN</v>
      </c>
      <c r="O496" s="13"/>
      <c r="P496" s="13">
        <v>720</v>
      </c>
      <c r="Q496" s="3">
        <f t="shared" si="37"/>
        <v>0</v>
      </c>
      <c r="R496" s="3">
        <f t="shared" si="38"/>
        <v>720</v>
      </c>
      <c r="S496" s="3">
        <f t="shared" si="39"/>
        <v>47127.029999999992</v>
      </c>
      <c r="T496" s="24" t="s">
        <v>1081</v>
      </c>
      <c r="U496" s="24" t="s">
        <v>1081</v>
      </c>
      <c r="V496" s="67"/>
      <c r="W496" s="25">
        <f>IFERROR(VLOOKUP(BCP_Soles[[#This Row],[DESTINATARIO]],CHOOSE({1,2},Clientes_Proveedores[Razon Social],Clientes_Proveedores[Ruc / Dni]),2,0),"")</f>
        <v>20609155303</v>
      </c>
      <c r="X496" s="25" t="s">
        <v>1632</v>
      </c>
      <c r="Y496" s="25" t="s">
        <v>1634</v>
      </c>
      <c r="Z496" s="25"/>
      <c r="AA496" s="99"/>
      <c r="AB496" s="3" t="str">
        <f>IF(BCP_Soles[[#This Row],[FECHA]]&gt;0,TEXT(BCP_Soles[[#This Row],[FECHA]],"mmmm"),0)</f>
        <v>Febrero</v>
      </c>
    </row>
    <row r="497" spans="2:28" ht="24" x14ac:dyDescent="0.3">
      <c r="B497" s="2">
        <f>IF(BCP_Soles[[#This Row],[TIPO DE R.]]="R",COUNTIFS($D$4:$D496,"R")+1,"")</f>
        <v>367</v>
      </c>
      <c r="C497" s="19" t="str">
        <f t="shared" si="35"/>
        <v>B-BCP - Soles</v>
      </c>
      <c r="D497" s="3" t="s">
        <v>1074</v>
      </c>
      <c r="E497" s="14">
        <v>45701</v>
      </c>
      <c r="F497" s="5" t="s">
        <v>1082</v>
      </c>
      <c r="G497" s="5" t="s">
        <v>1079</v>
      </c>
      <c r="H497" s="6" t="s">
        <v>184</v>
      </c>
      <c r="I497" s="6" t="s">
        <v>14</v>
      </c>
      <c r="J497" s="6" t="s">
        <v>1083</v>
      </c>
      <c r="K497" s="6">
        <v>7167</v>
      </c>
      <c r="L497" s="7" t="s">
        <v>1635</v>
      </c>
      <c r="M497" s="8">
        <v>1159183</v>
      </c>
      <c r="N497" s="8" t="str">
        <f t="shared" si="36"/>
        <v>PEN</v>
      </c>
      <c r="O497" s="13"/>
      <c r="P497" s="13">
        <v>853.9</v>
      </c>
      <c r="Q497" s="3">
        <f t="shared" si="37"/>
        <v>0</v>
      </c>
      <c r="R497" s="3">
        <f t="shared" si="38"/>
        <v>853.9</v>
      </c>
      <c r="S497" s="3">
        <f t="shared" si="39"/>
        <v>46273.12999999999</v>
      </c>
      <c r="T497" s="24" t="s">
        <v>1081</v>
      </c>
      <c r="U497" s="24" t="s">
        <v>1081</v>
      </c>
      <c r="V497" s="67"/>
      <c r="W497" s="25">
        <f>IFERROR(VLOOKUP(BCP_Soles[[#This Row],[DESTINATARIO]],CHOOSE({1,2},Clientes_Proveedores[Razon Social],Clientes_Proveedores[Ruc / Dni]),2,0),"")</f>
        <v>20170040938</v>
      </c>
      <c r="X497" s="25" t="s">
        <v>1085</v>
      </c>
      <c r="Y497" s="25" t="s">
        <v>1636</v>
      </c>
      <c r="Z497" s="25"/>
      <c r="AA497" s="99"/>
      <c r="AB497" s="3" t="str">
        <f>IF(BCP_Soles[[#This Row],[FECHA]]&gt;0,TEXT(BCP_Soles[[#This Row],[FECHA]],"mmmm"),0)</f>
        <v>Febrero</v>
      </c>
    </row>
    <row r="498" spans="2:28" ht="24" x14ac:dyDescent="0.3">
      <c r="B498" s="2">
        <f>IF(BCP_Soles[[#This Row],[TIPO DE R.]]="R",COUNTIFS($D$4:$D497,"R")+1,"")</f>
        <v>368</v>
      </c>
      <c r="C498" s="19" t="str">
        <f t="shared" si="35"/>
        <v>B-BCP - Soles</v>
      </c>
      <c r="D498" s="3" t="s">
        <v>1074</v>
      </c>
      <c r="E498" s="14">
        <v>45701</v>
      </c>
      <c r="F498" s="5" t="s">
        <v>1082</v>
      </c>
      <c r="G498" s="5" t="s">
        <v>1079</v>
      </c>
      <c r="H498" s="6" t="s">
        <v>579</v>
      </c>
      <c r="I498" s="6" t="s">
        <v>14</v>
      </c>
      <c r="J498" s="6" t="s">
        <v>1121</v>
      </c>
      <c r="K498" s="6">
        <v>3873</v>
      </c>
      <c r="L498" s="7" t="s">
        <v>1637</v>
      </c>
      <c r="M498" s="8">
        <v>1021575</v>
      </c>
      <c r="N498" s="8" t="str">
        <f t="shared" si="36"/>
        <v>PEN</v>
      </c>
      <c r="O498" s="13"/>
      <c r="P498" s="13">
        <v>4400</v>
      </c>
      <c r="Q498" s="3">
        <f t="shared" si="37"/>
        <v>0</v>
      </c>
      <c r="R498" s="3">
        <f t="shared" si="38"/>
        <v>4400</v>
      </c>
      <c r="S498" s="3">
        <f t="shared" si="39"/>
        <v>41873.12999999999</v>
      </c>
      <c r="T498" s="24" t="s">
        <v>1081</v>
      </c>
      <c r="U498" s="24" t="s">
        <v>1081</v>
      </c>
      <c r="V498" s="67"/>
      <c r="W498" s="25">
        <f>IFERROR(VLOOKUP(BCP_Soles[[#This Row],[DESTINATARIO]],CHOOSE({1,2},Clientes_Proveedores[Razon Social],Clientes_Proveedores[Ruc / Dni]),2,0),"")</f>
        <v>20203412038</v>
      </c>
      <c r="X498" s="25" t="s">
        <v>1638</v>
      </c>
      <c r="Y498" s="25" t="s">
        <v>1639</v>
      </c>
      <c r="Z498" s="25"/>
      <c r="AA498" s="99"/>
      <c r="AB498" s="3" t="str">
        <f>IF(BCP_Soles[[#This Row],[FECHA]]&gt;0,TEXT(BCP_Soles[[#This Row],[FECHA]],"mmmm"),0)</f>
        <v>Febrero</v>
      </c>
    </row>
    <row r="499" spans="2:28" x14ac:dyDescent="0.3">
      <c r="B499" s="2">
        <f>IF(BCP_Soles[[#This Row],[TIPO DE R.]]="R",COUNTIFS($D$4:$D498,"R")+1,"")</f>
        <v>369</v>
      </c>
      <c r="C499" s="19" t="str">
        <f t="shared" si="35"/>
        <v>B-BCP - Soles</v>
      </c>
      <c r="D499" s="3" t="s">
        <v>1074</v>
      </c>
      <c r="E499" s="14">
        <v>45701</v>
      </c>
      <c r="F499" s="5" t="s">
        <v>1078</v>
      </c>
      <c r="G499" s="5" t="s">
        <v>1079</v>
      </c>
      <c r="H499" s="6"/>
      <c r="I499" s="6"/>
      <c r="J499" s="6"/>
      <c r="K499" s="6"/>
      <c r="L499" s="7" t="s">
        <v>1080</v>
      </c>
      <c r="M499" s="8"/>
      <c r="N499" s="8" t="str">
        <f t="shared" si="36"/>
        <v>PEN</v>
      </c>
      <c r="O499" s="13"/>
      <c r="P499" s="13">
        <v>0.55000000000000004</v>
      </c>
      <c r="Q499" s="3">
        <f t="shared" si="37"/>
        <v>0</v>
      </c>
      <c r="R499" s="3">
        <f t="shared" si="38"/>
        <v>0.55000000000000004</v>
      </c>
      <c r="S499" s="3">
        <f t="shared" si="39"/>
        <v>41872.579999999987</v>
      </c>
      <c r="T499" s="24"/>
      <c r="U499" s="24" t="s">
        <v>1081</v>
      </c>
      <c r="V499" s="67"/>
      <c r="W499" s="25" t="str">
        <f>IFERROR(VLOOKUP(BCP_Soles[[#This Row],[DESTINATARIO]],CHOOSE({1,2},Clientes_Proveedores[Razon Social],Clientes_Proveedores[Ruc / Dni]),2,0),"")</f>
        <v/>
      </c>
      <c r="X499" s="25"/>
      <c r="Y499" s="25"/>
      <c r="Z499" s="25"/>
      <c r="AA499" s="99"/>
      <c r="AB499" s="3" t="str">
        <f>IF(BCP_Soles[[#This Row],[FECHA]]&gt;0,TEXT(BCP_Soles[[#This Row],[FECHA]],"mmmm"),0)</f>
        <v>Febrero</v>
      </c>
    </row>
    <row r="500" spans="2:28" ht="24" x14ac:dyDescent="0.3">
      <c r="B500" s="2">
        <f>IF(BCP_Soles[[#This Row],[TIPO DE R.]]="R",COUNTIFS($D$4:$D499,"R")+1,"")</f>
        <v>370</v>
      </c>
      <c r="C500" s="19" t="str">
        <f t="shared" si="35"/>
        <v>B-BCP - Soles</v>
      </c>
      <c r="D500" s="3" t="s">
        <v>1074</v>
      </c>
      <c r="E500" s="14">
        <v>45702</v>
      </c>
      <c r="F500" s="5" t="s">
        <v>155</v>
      </c>
      <c r="G500" s="5" t="s">
        <v>1087</v>
      </c>
      <c r="H500" s="6"/>
      <c r="I500" s="6"/>
      <c r="J500" s="6"/>
      <c r="K500" s="6"/>
      <c r="L500" s="7" t="s">
        <v>1640</v>
      </c>
      <c r="M500" s="8">
        <v>2519976</v>
      </c>
      <c r="N500" s="8" t="str">
        <f t="shared" si="36"/>
        <v>PEN</v>
      </c>
      <c r="O500" s="13"/>
      <c r="P500" s="13">
        <v>2133.66</v>
      </c>
      <c r="Q500" s="3">
        <f t="shared" si="37"/>
        <v>2133.66</v>
      </c>
      <c r="R500" s="3">
        <f t="shared" si="38"/>
        <v>0</v>
      </c>
      <c r="S500" s="3">
        <f t="shared" si="39"/>
        <v>44006.239999999991</v>
      </c>
      <c r="T500" s="24" t="s">
        <v>1081</v>
      </c>
      <c r="U500" s="24" t="s">
        <v>1081</v>
      </c>
      <c r="V500" s="67"/>
      <c r="W500" s="25" t="str">
        <f>IFERROR(VLOOKUP(BCP_Soles[[#This Row],[DESTINATARIO]],CHOOSE({1,2},Clientes_Proveedores[Razon Social],Clientes_Proveedores[Ruc / Dni]),2,0),"")</f>
        <v/>
      </c>
      <c r="X500" s="25" t="s">
        <v>1090</v>
      </c>
      <c r="Y500" s="25" t="s">
        <v>1641</v>
      </c>
      <c r="Z500" s="25"/>
      <c r="AA500" s="99"/>
      <c r="AB500" s="3" t="str">
        <f>IF(BCP_Soles[[#This Row],[FECHA]]&gt;0,TEXT(BCP_Soles[[#This Row],[FECHA]],"mmmm"),0)</f>
        <v>Febrero</v>
      </c>
    </row>
    <row r="501" spans="2:28" ht="24" x14ac:dyDescent="0.3">
      <c r="B501" s="2">
        <f>IF(BCP_Soles[[#This Row],[TIPO DE R.]]="R",COUNTIFS($D$4:$D500,"R")+1,"")</f>
        <v>371</v>
      </c>
      <c r="C501" s="19" t="str">
        <f t="shared" si="35"/>
        <v>B-BCP - Soles</v>
      </c>
      <c r="D501" s="3" t="s">
        <v>1074</v>
      </c>
      <c r="E501" s="14">
        <v>45702</v>
      </c>
      <c r="F501" s="5" t="s">
        <v>222</v>
      </c>
      <c r="G501" s="5" t="s">
        <v>1087</v>
      </c>
      <c r="H501" s="6"/>
      <c r="I501" s="6"/>
      <c r="J501" s="6"/>
      <c r="K501" s="6"/>
      <c r="L501" s="7" t="s">
        <v>1642</v>
      </c>
      <c r="M501" s="8">
        <v>2588787</v>
      </c>
      <c r="N501" s="8" t="str">
        <f t="shared" si="36"/>
        <v>PEN</v>
      </c>
      <c r="O501" s="13"/>
      <c r="P501" s="13">
        <v>1367.82</v>
      </c>
      <c r="Q501" s="3">
        <f t="shared" si="37"/>
        <v>1367.82</v>
      </c>
      <c r="R501" s="3">
        <f t="shared" si="38"/>
        <v>0</v>
      </c>
      <c r="S501" s="3">
        <f t="shared" si="39"/>
        <v>45374.05999999999</v>
      </c>
      <c r="T501" s="24" t="s">
        <v>1081</v>
      </c>
      <c r="U501" s="24" t="s">
        <v>1081</v>
      </c>
      <c r="V501" s="67"/>
      <c r="W501" s="25" t="str">
        <f>IFERROR(VLOOKUP(BCP_Soles[[#This Row],[DESTINATARIO]],CHOOSE({1,2},Clientes_Proveedores[Razon Social],Clientes_Proveedores[Ruc / Dni]),2,0),"")</f>
        <v/>
      </c>
      <c r="X501" s="25" t="s">
        <v>1090</v>
      </c>
      <c r="Y501" s="25" t="s">
        <v>1643</v>
      </c>
      <c r="Z501" s="25"/>
      <c r="AA501" s="99"/>
      <c r="AB501" s="3" t="str">
        <f>IF(BCP_Soles[[#This Row],[FECHA]]&gt;0,TEXT(BCP_Soles[[#This Row],[FECHA]],"mmmm"),0)</f>
        <v>Febrero</v>
      </c>
    </row>
    <row r="502" spans="2:28" ht="24" x14ac:dyDescent="0.3">
      <c r="B502" s="2">
        <f>IF(BCP_Soles[[#This Row],[TIPO DE R.]]="R",COUNTIFS($D$4:$D501,"R")+1,"")</f>
        <v>372</v>
      </c>
      <c r="C502" s="19" t="str">
        <f t="shared" si="35"/>
        <v>B-BCP - Soles</v>
      </c>
      <c r="D502" s="3" t="s">
        <v>1074</v>
      </c>
      <c r="E502" s="14">
        <v>45702</v>
      </c>
      <c r="F502" s="5" t="s">
        <v>1644</v>
      </c>
      <c r="G502" s="5" t="s">
        <v>1087</v>
      </c>
      <c r="H502" s="6"/>
      <c r="I502" s="6"/>
      <c r="J502" s="6"/>
      <c r="K502" s="6"/>
      <c r="L502" s="7" t="s">
        <v>1100</v>
      </c>
      <c r="M502" s="8">
        <v>2475814</v>
      </c>
      <c r="N502" s="8" t="str">
        <f t="shared" si="36"/>
        <v>PEN</v>
      </c>
      <c r="O502" s="13"/>
      <c r="P502" s="13">
        <v>1200</v>
      </c>
      <c r="Q502" s="3">
        <f t="shared" si="37"/>
        <v>1200</v>
      </c>
      <c r="R502" s="3">
        <f t="shared" si="38"/>
        <v>0</v>
      </c>
      <c r="S502" s="3">
        <f t="shared" si="39"/>
        <v>46574.05999999999</v>
      </c>
      <c r="T502" s="24" t="s">
        <v>1081</v>
      </c>
      <c r="U502" s="24" t="s">
        <v>1081</v>
      </c>
      <c r="V502" s="67"/>
      <c r="W502" s="25" t="str">
        <f>IFERROR(VLOOKUP(BCP_Soles[[#This Row],[DESTINATARIO]],CHOOSE({1,2},Clientes_Proveedores[Razon Social],Clientes_Proveedores[Ruc / Dni]),2,0),"")</f>
        <v/>
      </c>
      <c r="X502" s="25" t="s">
        <v>1090</v>
      </c>
      <c r="Y502" s="25" t="s">
        <v>1645</v>
      </c>
      <c r="Z502" s="25"/>
      <c r="AA502" s="99"/>
      <c r="AB502" s="3" t="str">
        <f>IF(BCP_Soles[[#This Row],[FECHA]]&gt;0,TEXT(BCP_Soles[[#This Row],[FECHA]],"mmmm"),0)</f>
        <v>Febrero</v>
      </c>
    </row>
    <row r="503" spans="2:28" ht="72" x14ac:dyDescent="0.3">
      <c r="B503" s="2">
        <f>IF(BCP_Soles[[#This Row],[TIPO DE R.]]="R",COUNTIFS($D$4:$D502,"R")+1,"")</f>
        <v>373</v>
      </c>
      <c r="C503" s="19" t="str">
        <f t="shared" si="35"/>
        <v>B-BCP - Soles</v>
      </c>
      <c r="D503" s="3" t="s">
        <v>1074</v>
      </c>
      <c r="E503" s="14">
        <v>45702</v>
      </c>
      <c r="F503" s="5" t="s">
        <v>156</v>
      </c>
      <c r="G503" s="5" t="s">
        <v>1087</v>
      </c>
      <c r="H503" s="6"/>
      <c r="I503" s="6"/>
      <c r="J503" s="6"/>
      <c r="K503" s="6"/>
      <c r="L503" s="7" t="s">
        <v>1646</v>
      </c>
      <c r="M503" s="8">
        <v>2371851</v>
      </c>
      <c r="N503" s="8" t="str">
        <f t="shared" si="36"/>
        <v>PEN</v>
      </c>
      <c r="O503" s="13"/>
      <c r="P503" s="13">
        <v>1025.49</v>
      </c>
      <c r="Q503" s="3">
        <f t="shared" si="37"/>
        <v>1025.49</v>
      </c>
      <c r="R503" s="3">
        <f t="shared" si="38"/>
        <v>0</v>
      </c>
      <c r="S503" s="3">
        <f t="shared" si="39"/>
        <v>47599.549999999988</v>
      </c>
      <c r="T503" s="24" t="s">
        <v>1081</v>
      </c>
      <c r="U503" s="24" t="s">
        <v>1081</v>
      </c>
      <c r="V503" s="67"/>
      <c r="W503" s="25" t="str">
        <f>IFERROR(VLOOKUP(BCP_Soles[[#This Row],[DESTINATARIO]],CHOOSE({1,2},Clientes_Proveedores[Razon Social],Clientes_Proveedores[Ruc / Dni]),2,0),"")</f>
        <v/>
      </c>
      <c r="X503" s="25" t="s">
        <v>1090</v>
      </c>
      <c r="Y503" s="25" t="s">
        <v>1647</v>
      </c>
      <c r="Z503" s="25"/>
      <c r="AA503" s="99"/>
      <c r="AB503" s="3" t="str">
        <f>IF(BCP_Soles[[#This Row],[FECHA]]&gt;0,TEXT(BCP_Soles[[#This Row],[FECHA]],"mmmm"),0)</f>
        <v>Febrero</v>
      </c>
    </row>
    <row r="504" spans="2:28" x14ac:dyDescent="0.3">
      <c r="B504" s="2">
        <f>IF(BCP_Soles[[#This Row],[TIPO DE R.]]="R",COUNTIFS($D$4:$D503,"R")+1,"")</f>
        <v>374</v>
      </c>
      <c r="C504" s="19" t="str">
        <f t="shared" si="35"/>
        <v>B-BCP - Soles</v>
      </c>
      <c r="D504" s="3" t="s">
        <v>1074</v>
      </c>
      <c r="E504" s="14">
        <v>45702</v>
      </c>
      <c r="F504" s="5" t="s">
        <v>278</v>
      </c>
      <c r="G504" s="5" t="s">
        <v>1087</v>
      </c>
      <c r="H504" s="6"/>
      <c r="I504" s="6"/>
      <c r="J504" s="6"/>
      <c r="K504" s="6"/>
      <c r="L504" s="7" t="s">
        <v>1648</v>
      </c>
      <c r="M504" s="8">
        <v>2002814</v>
      </c>
      <c r="N504" s="8" t="str">
        <f t="shared" si="36"/>
        <v>PEN</v>
      </c>
      <c r="O504" s="13"/>
      <c r="P504" s="13">
        <v>1008.73</v>
      </c>
      <c r="Q504" s="3">
        <f t="shared" si="37"/>
        <v>1008.73</v>
      </c>
      <c r="R504" s="3">
        <f t="shared" si="38"/>
        <v>0</v>
      </c>
      <c r="S504" s="3">
        <f t="shared" si="39"/>
        <v>48608.279999999992</v>
      </c>
      <c r="T504" s="24" t="s">
        <v>1081</v>
      </c>
      <c r="U504" s="24" t="s">
        <v>1081</v>
      </c>
      <c r="V504" s="67"/>
      <c r="W504" s="25" t="str">
        <f>IFERROR(VLOOKUP(BCP_Soles[[#This Row],[DESTINATARIO]],CHOOSE({1,2},Clientes_Proveedores[Razon Social],Clientes_Proveedores[Ruc / Dni]),2,0),"")</f>
        <v/>
      </c>
      <c r="X504" s="25" t="s">
        <v>1090</v>
      </c>
      <c r="Y504" s="25" t="s">
        <v>1649</v>
      </c>
      <c r="Z504" s="25"/>
      <c r="AA504" s="99"/>
      <c r="AB504" s="3" t="str">
        <f>IF(BCP_Soles[[#This Row],[FECHA]]&gt;0,TEXT(BCP_Soles[[#This Row],[FECHA]],"mmmm"),0)</f>
        <v>Febrero</v>
      </c>
    </row>
    <row r="505" spans="2:28" ht="24" x14ac:dyDescent="0.3">
      <c r="B505" s="2">
        <f>IF(BCP_Soles[[#This Row],[TIPO DE R.]]="R",COUNTIFS($D$4:$D504,"R")+1,"")</f>
        <v>375</v>
      </c>
      <c r="C505" s="19" t="str">
        <f t="shared" si="35"/>
        <v>B-BCP - Soles</v>
      </c>
      <c r="D505" s="3" t="s">
        <v>1074</v>
      </c>
      <c r="E505" s="14">
        <v>45702</v>
      </c>
      <c r="F505" s="5" t="s">
        <v>1407</v>
      </c>
      <c r="G505" s="5" t="s">
        <v>1087</v>
      </c>
      <c r="H505" s="6"/>
      <c r="I505" s="6"/>
      <c r="J505" s="6"/>
      <c r="K505" s="6"/>
      <c r="L505" s="7" t="s">
        <v>1100</v>
      </c>
      <c r="M505" s="8">
        <v>2509796</v>
      </c>
      <c r="N505" s="8" t="str">
        <f t="shared" si="36"/>
        <v>PEN</v>
      </c>
      <c r="O505" s="13"/>
      <c r="P505" s="13">
        <v>300</v>
      </c>
      <c r="Q505" s="3">
        <f t="shared" si="37"/>
        <v>300</v>
      </c>
      <c r="R505" s="3">
        <f t="shared" si="38"/>
        <v>0</v>
      </c>
      <c r="S505" s="3">
        <f t="shared" si="39"/>
        <v>48908.279999999992</v>
      </c>
      <c r="T505" s="24" t="s">
        <v>1081</v>
      </c>
      <c r="U505" s="24" t="s">
        <v>1081</v>
      </c>
      <c r="V505" s="67"/>
      <c r="W505" s="25" t="str">
        <f>IFERROR(VLOOKUP(BCP_Soles[[#This Row],[DESTINATARIO]],CHOOSE({1,2},Clientes_Proveedores[Razon Social],Clientes_Proveedores[Ruc / Dni]),2,0),"")</f>
        <v/>
      </c>
      <c r="X505" s="25" t="s">
        <v>1090</v>
      </c>
      <c r="Y505" s="25" t="s">
        <v>1583</v>
      </c>
      <c r="Z505" s="25"/>
      <c r="AA505" s="99"/>
      <c r="AB505" s="3" t="str">
        <f>IF(BCP_Soles[[#This Row],[FECHA]]&gt;0,TEXT(BCP_Soles[[#This Row],[FECHA]],"mmmm"),0)</f>
        <v>Febrero</v>
      </c>
    </row>
    <row r="506" spans="2:28" ht="24" x14ac:dyDescent="0.3">
      <c r="B506" s="2">
        <f>IF(BCP_Soles[[#This Row],[TIPO DE R.]]="R",COUNTIFS($D$4:$D505,"R")+1,"")</f>
        <v>376</v>
      </c>
      <c r="C506" s="19" t="str">
        <f t="shared" si="35"/>
        <v>B-BCP - Soles</v>
      </c>
      <c r="D506" s="3" t="s">
        <v>1074</v>
      </c>
      <c r="E506" s="14">
        <v>45702</v>
      </c>
      <c r="F506" s="5" t="s">
        <v>1650</v>
      </c>
      <c r="G506" s="5" t="s">
        <v>1087</v>
      </c>
      <c r="H506" s="6"/>
      <c r="I506" s="6"/>
      <c r="J506" s="6"/>
      <c r="K506" s="6"/>
      <c r="L506" s="7" t="s">
        <v>1100</v>
      </c>
      <c r="M506" s="8">
        <v>3484015</v>
      </c>
      <c r="N506" s="8" t="str">
        <f t="shared" si="36"/>
        <v>PEN</v>
      </c>
      <c r="O506" s="13"/>
      <c r="P506" s="13">
        <v>282</v>
      </c>
      <c r="Q506" s="3">
        <f t="shared" si="37"/>
        <v>282</v>
      </c>
      <c r="R506" s="3">
        <f t="shared" si="38"/>
        <v>0</v>
      </c>
      <c r="S506" s="3">
        <f t="shared" si="39"/>
        <v>49190.279999999992</v>
      </c>
      <c r="T506" s="24" t="s">
        <v>1081</v>
      </c>
      <c r="U506" s="24" t="s">
        <v>1081</v>
      </c>
      <c r="V506" s="67"/>
      <c r="W506" s="25" t="str">
        <f>IFERROR(VLOOKUP(BCP_Soles[[#This Row],[DESTINATARIO]],CHOOSE({1,2},Clientes_Proveedores[Razon Social],Clientes_Proveedores[Ruc / Dni]),2,0),"")</f>
        <v/>
      </c>
      <c r="X506" s="25" t="s">
        <v>1090</v>
      </c>
      <c r="Y506" s="25" t="s">
        <v>1651</v>
      </c>
      <c r="Z506" s="25"/>
      <c r="AA506" s="99"/>
      <c r="AB506" s="3" t="str">
        <f>IF(BCP_Soles[[#This Row],[FECHA]]&gt;0,TEXT(BCP_Soles[[#This Row],[FECHA]],"mmmm"),0)</f>
        <v>Febrero</v>
      </c>
    </row>
    <row r="507" spans="2:28" x14ac:dyDescent="0.3">
      <c r="B507" s="2">
        <f>IF(BCP_Soles[[#This Row],[TIPO DE R.]]="R",COUNTIFS($D$4:$D506,"R")+1,"")</f>
        <v>377</v>
      </c>
      <c r="C507" s="19" t="str">
        <f t="shared" si="35"/>
        <v>B-BCP - Soles</v>
      </c>
      <c r="D507" s="3" t="s">
        <v>1074</v>
      </c>
      <c r="E507" s="14">
        <v>45702</v>
      </c>
      <c r="F507" s="5" t="s">
        <v>578</v>
      </c>
      <c r="G507" s="5" t="s">
        <v>1087</v>
      </c>
      <c r="H507" s="6"/>
      <c r="I507" s="6"/>
      <c r="J507" s="6"/>
      <c r="K507" s="6"/>
      <c r="L507" s="7" t="s">
        <v>1652</v>
      </c>
      <c r="M507" s="8">
        <v>2146528</v>
      </c>
      <c r="N507" s="8" t="str">
        <f t="shared" si="36"/>
        <v>PEN</v>
      </c>
      <c r="O507" s="13"/>
      <c r="P507" s="13">
        <v>250</v>
      </c>
      <c r="Q507" s="3">
        <f t="shared" si="37"/>
        <v>250</v>
      </c>
      <c r="R507" s="3">
        <f t="shared" si="38"/>
        <v>0</v>
      </c>
      <c r="S507" s="3">
        <f t="shared" si="39"/>
        <v>49440.279999999992</v>
      </c>
      <c r="T507" s="24" t="s">
        <v>1081</v>
      </c>
      <c r="U507" s="24" t="s">
        <v>1081</v>
      </c>
      <c r="V507" s="67"/>
      <c r="W507" s="25" t="str">
        <f>IFERROR(VLOOKUP(BCP_Soles[[#This Row],[DESTINATARIO]],CHOOSE({1,2},Clientes_Proveedores[Razon Social],Clientes_Proveedores[Ruc / Dni]),2,0),"")</f>
        <v/>
      </c>
      <c r="X507" s="25" t="s">
        <v>1090</v>
      </c>
      <c r="Y507" s="25" t="s">
        <v>1653</v>
      </c>
      <c r="Z507" s="25"/>
      <c r="AA507" s="99"/>
      <c r="AB507" s="3" t="str">
        <f>IF(BCP_Soles[[#This Row],[FECHA]]&gt;0,TEXT(BCP_Soles[[#This Row],[FECHA]],"mmmm"),0)</f>
        <v>Febrero</v>
      </c>
    </row>
    <row r="508" spans="2:28" ht="84" x14ac:dyDescent="0.3">
      <c r="B508" s="2">
        <f>IF(BCP_Soles[[#This Row],[TIPO DE R.]]="R",COUNTIFS($D$4:$D507,"R")+1,"")</f>
        <v>378</v>
      </c>
      <c r="C508" s="19" t="str">
        <f t="shared" si="35"/>
        <v>B-BCP - Soles</v>
      </c>
      <c r="D508" s="3" t="s">
        <v>1074</v>
      </c>
      <c r="E508" s="14">
        <v>45702</v>
      </c>
      <c r="F508" s="5" t="s">
        <v>301</v>
      </c>
      <c r="G508" s="5" t="s">
        <v>1087</v>
      </c>
      <c r="H508" s="6"/>
      <c r="I508" s="6"/>
      <c r="J508" s="6"/>
      <c r="K508" s="6"/>
      <c r="L508" s="7" t="s">
        <v>1127</v>
      </c>
      <c r="M508" s="8">
        <v>9373</v>
      </c>
      <c r="N508" s="8" t="str">
        <f t="shared" si="36"/>
        <v>PEN</v>
      </c>
      <c r="O508" s="13"/>
      <c r="P508" s="13">
        <v>191.17</v>
      </c>
      <c r="Q508" s="3">
        <f t="shared" si="37"/>
        <v>191.17</v>
      </c>
      <c r="R508" s="3">
        <f t="shared" si="38"/>
        <v>0</v>
      </c>
      <c r="S508" s="3">
        <f t="shared" si="39"/>
        <v>49631.44999999999</v>
      </c>
      <c r="T508" s="24" t="s">
        <v>1081</v>
      </c>
      <c r="U508" s="24" t="s">
        <v>1081</v>
      </c>
      <c r="V508" s="67"/>
      <c r="W508" s="25" t="str">
        <f>IFERROR(VLOOKUP(BCP_Soles[[#This Row],[DESTINATARIO]],CHOOSE({1,2},Clientes_Proveedores[Razon Social],Clientes_Proveedores[Ruc / Dni]),2,0),"")</f>
        <v/>
      </c>
      <c r="X508" s="25" t="s">
        <v>1090</v>
      </c>
      <c r="Y508" s="25" t="s">
        <v>1654</v>
      </c>
      <c r="Z508" s="25"/>
      <c r="AA508" s="99"/>
      <c r="AB508" s="3" t="str">
        <f>IF(BCP_Soles[[#This Row],[FECHA]]&gt;0,TEXT(BCP_Soles[[#This Row],[FECHA]],"mmmm"),0)</f>
        <v>Febrero</v>
      </c>
    </row>
    <row r="509" spans="2:28" x14ac:dyDescent="0.3">
      <c r="B509" s="2">
        <f>IF(BCP_Soles[[#This Row],[TIPO DE R.]]="R",COUNTIFS($D$4:$D508,"R")+1,"")</f>
        <v>379</v>
      </c>
      <c r="C509" s="19" t="str">
        <f t="shared" si="35"/>
        <v>B-BCP - Soles</v>
      </c>
      <c r="D509" s="3" t="s">
        <v>1074</v>
      </c>
      <c r="E509" s="14">
        <v>45702</v>
      </c>
      <c r="F509" s="5" t="s">
        <v>1078</v>
      </c>
      <c r="G509" s="5" t="s">
        <v>1079</v>
      </c>
      <c r="H509" s="6"/>
      <c r="I509" s="6"/>
      <c r="J509" s="6"/>
      <c r="K509" s="6"/>
      <c r="L509" s="7" t="s">
        <v>1080</v>
      </c>
      <c r="M509" s="8"/>
      <c r="N509" s="8" t="str">
        <f t="shared" si="36"/>
        <v>PEN</v>
      </c>
      <c r="O509" s="13"/>
      <c r="P509" s="13">
        <v>0.45</v>
      </c>
      <c r="Q509" s="3">
        <f t="shared" si="37"/>
        <v>0</v>
      </c>
      <c r="R509" s="3">
        <f t="shared" si="38"/>
        <v>0.45</v>
      </c>
      <c r="S509" s="3">
        <f t="shared" si="39"/>
        <v>49630.999999999993</v>
      </c>
      <c r="T509" s="24"/>
      <c r="U509" s="24" t="s">
        <v>1081</v>
      </c>
      <c r="V509" s="67"/>
      <c r="W509" s="25" t="str">
        <f>IFERROR(VLOOKUP(BCP_Soles[[#This Row],[DESTINATARIO]],CHOOSE({1,2},Clientes_Proveedores[Razon Social],Clientes_Proveedores[Ruc / Dni]),2,0),"")</f>
        <v/>
      </c>
      <c r="X509" s="25"/>
      <c r="Y509" s="25"/>
      <c r="Z509" s="25"/>
      <c r="AA509" s="99"/>
      <c r="AB509" s="3" t="str">
        <f>IF(BCP_Soles[[#This Row],[FECHA]]&gt;0,TEXT(BCP_Soles[[#This Row],[FECHA]],"mmmm"),0)</f>
        <v>Febrero</v>
      </c>
    </row>
    <row r="510" spans="2:28" x14ac:dyDescent="0.3">
      <c r="B510" s="2">
        <f>IF(BCP_Soles[[#This Row],[TIPO DE R.]]="R",COUNTIFS($D$4:$D509,"R")+1,"")</f>
        <v>380</v>
      </c>
      <c r="C510" s="19" t="str">
        <f t="shared" si="35"/>
        <v>B-BCP - Soles</v>
      </c>
      <c r="D510" s="3" t="s">
        <v>1074</v>
      </c>
      <c r="E510" s="14">
        <v>45702</v>
      </c>
      <c r="F510" s="5" t="s">
        <v>1078</v>
      </c>
      <c r="G510" s="5" t="s">
        <v>1079</v>
      </c>
      <c r="H510" s="6"/>
      <c r="I510" s="6"/>
      <c r="J510" s="6"/>
      <c r="K510" s="6"/>
      <c r="L510" s="7" t="s">
        <v>1141</v>
      </c>
      <c r="M510" s="8">
        <v>448</v>
      </c>
      <c r="N510" s="8" t="str">
        <f t="shared" si="36"/>
        <v>PEN</v>
      </c>
      <c r="O510" s="13"/>
      <c r="P510" s="13">
        <v>3.5</v>
      </c>
      <c r="Q510" s="3">
        <f t="shared" si="37"/>
        <v>0</v>
      </c>
      <c r="R510" s="3">
        <f t="shared" si="38"/>
        <v>3.5</v>
      </c>
      <c r="S510" s="3">
        <f t="shared" si="39"/>
        <v>49627.499999999993</v>
      </c>
      <c r="T510" s="24"/>
      <c r="U510" s="24" t="s">
        <v>1081</v>
      </c>
      <c r="V510" s="67"/>
      <c r="W510" s="25" t="str">
        <f>IFERROR(VLOOKUP(BCP_Soles[[#This Row],[DESTINATARIO]],CHOOSE({1,2},Clientes_Proveedores[Razon Social],Clientes_Proveedores[Ruc / Dni]),2,0),"")</f>
        <v/>
      </c>
      <c r="X510" s="25" t="s">
        <v>1078</v>
      </c>
      <c r="Y510" s="25" t="s">
        <v>1655</v>
      </c>
      <c r="Z510" s="25"/>
      <c r="AA510" s="99"/>
      <c r="AB510" s="3" t="str">
        <f>IF(BCP_Soles[[#This Row],[FECHA]]&gt;0,TEXT(BCP_Soles[[#This Row],[FECHA]],"mmmm"),0)</f>
        <v>Febrero</v>
      </c>
    </row>
    <row r="511" spans="2:28" ht="48" x14ac:dyDescent="0.3">
      <c r="B511" s="2">
        <f>IF(BCP_Soles[[#This Row],[TIPO DE R.]]="R",COUNTIFS($D$4:$D510,"R")+1,"")</f>
        <v>381</v>
      </c>
      <c r="C511" s="19" t="str">
        <f t="shared" si="35"/>
        <v>B-BCP - Soles</v>
      </c>
      <c r="D511" s="3" t="s">
        <v>1074</v>
      </c>
      <c r="E511" s="14">
        <v>45702</v>
      </c>
      <c r="F511" s="5" t="s">
        <v>1082</v>
      </c>
      <c r="G511" s="5" t="s">
        <v>1079</v>
      </c>
      <c r="H511" s="6" t="s">
        <v>444</v>
      </c>
      <c r="I511" s="6" t="s">
        <v>14</v>
      </c>
      <c r="J511" s="6" t="s">
        <v>1266</v>
      </c>
      <c r="K511" s="6">
        <v>9449</v>
      </c>
      <c r="L511" s="7" t="s">
        <v>1656</v>
      </c>
      <c r="M511" s="8">
        <v>1021124</v>
      </c>
      <c r="N511" s="8" t="str">
        <f t="shared" si="36"/>
        <v>PEN</v>
      </c>
      <c r="O511" s="13"/>
      <c r="P511" s="13">
        <v>285</v>
      </c>
      <c r="Q511" s="3">
        <f t="shared" si="37"/>
        <v>0</v>
      </c>
      <c r="R511" s="3">
        <f t="shared" si="38"/>
        <v>285</v>
      </c>
      <c r="S511" s="3">
        <f t="shared" si="39"/>
        <v>49342.499999999993</v>
      </c>
      <c r="T511" s="24" t="s">
        <v>1081</v>
      </c>
      <c r="U511" s="24" t="s">
        <v>1081</v>
      </c>
      <c r="V511" s="67"/>
      <c r="W511" s="25">
        <f>IFERROR(VLOOKUP(BCP_Soles[[#This Row],[DESTINATARIO]],CHOOSE({1,2},Clientes_Proveedores[Razon Social],Clientes_Proveedores[Ruc / Dni]),2,0),"")</f>
        <v>20602978274</v>
      </c>
      <c r="X511" s="25" t="s">
        <v>1268</v>
      </c>
      <c r="Y511" s="25" t="s">
        <v>1657</v>
      </c>
      <c r="Z511" s="25"/>
      <c r="AA511" s="99"/>
      <c r="AB511" s="3" t="str">
        <f>IF(BCP_Soles[[#This Row],[FECHA]]&gt;0,TEXT(BCP_Soles[[#This Row],[FECHA]],"mmmm"),0)</f>
        <v>Febrero</v>
      </c>
    </row>
    <row r="512" spans="2:28" ht="24" x14ac:dyDescent="0.3">
      <c r="B512" s="2">
        <f>IF(BCP_Soles[[#This Row],[TIPO DE R.]]="R",COUNTIFS($D$4:$D511,"R")+1,"")</f>
        <v>382</v>
      </c>
      <c r="C512" s="19" t="str">
        <f t="shared" si="35"/>
        <v>B-BCP - Soles</v>
      </c>
      <c r="D512" s="3" t="s">
        <v>1074</v>
      </c>
      <c r="E512" s="14">
        <v>45702</v>
      </c>
      <c r="F512" s="5" t="s">
        <v>1082</v>
      </c>
      <c r="G512" s="5" t="s">
        <v>1079</v>
      </c>
      <c r="H512" s="6" t="s">
        <v>807</v>
      </c>
      <c r="I512" s="6" t="s">
        <v>87</v>
      </c>
      <c r="J512" s="6">
        <v>1</v>
      </c>
      <c r="K512" s="6">
        <v>122025</v>
      </c>
      <c r="L512" s="7" t="s">
        <v>1658</v>
      </c>
      <c r="M512" s="8">
        <v>1219016</v>
      </c>
      <c r="N512" s="8" t="str">
        <f t="shared" si="36"/>
        <v>PEN</v>
      </c>
      <c r="O512" s="13"/>
      <c r="P512" s="13">
        <v>450</v>
      </c>
      <c r="Q512" s="3">
        <f t="shared" si="37"/>
        <v>0</v>
      </c>
      <c r="R512" s="3">
        <f t="shared" si="38"/>
        <v>450</v>
      </c>
      <c r="S512" s="3">
        <f t="shared" si="39"/>
        <v>48892.499999999993</v>
      </c>
      <c r="T512" s="24" t="s">
        <v>1081</v>
      </c>
      <c r="U512" s="24" t="s">
        <v>1081</v>
      </c>
      <c r="V512" s="67"/>
      <c r="W512" s="25">
        <f>IFERROR(VLOOKUP(BCP_Soles[[#This Row],[DESTINATARIO]],CHOOSE({1,2},Clientes_Proveedores[Razon Social],Clientes_Proveedores[Ruc / Dni]),2,0),"")</f>
        <v>45921913</v>
      </c>
      <c r="X512" s="25"/>
      <c r="Y512" s="25"/>
      <c r="Z512" s="25"/>
      <c r="AA512" s="99"/>
      <c r="AB512" s="3" t="str">
        <f>IF(BCP_Soles[[#This Row],[FECHA]]&gt;0,TEXT(BCP_Soles[[#This Row],[FECHA]],"mmmm"),0)</f>
        <v>Febrero</v>
      </c>
    </row>
    <row r="513" spans="2:28" x14ac:dyDescent="0.3">
      <c r="B513" s="2">
        <f>IF(BCP_Soles[[#This Row],[TIPO DE R.]]="R",COUNTIFS($D$4:$D512,"R")+1,"")</f>
        <v>383</v>
      </c>
      <c r="C513" s="19" t="str">
        <f t="shared" si="35"/>
        <v>B-BCP - Soles</v>
      </c>
      <c r="D513" s="3" t="s">
        <v>1074</v>
      </c>
      <c r="E513" s="14">
        <v>45702</v>
      </c>
      <c r="F513" s="5" t="s">
        <v>1158</v>
      </c>
      <c r="G513" s="5" t="s">
        <v>1079</v>
      </c>
      <c r="H513" s="6"/>
      <c r="I513" s="6"/>
      <c r="J513" s="6"/>
      <c r="K513" s="6"/>
      <c r="L513" s="7" t="s">
        <v>1659</v>
      </c>
      <c r="M513" s="8">
        <v>1007219</v>
      </c>
      <c r="N513" s="8" t="str">
        <f t="shared" si="36"/>
        <v>PEN</v>
      </c>
      <c r="O513" s="13"/>
      <c r="P513" s="13">
        <v>533</v>
      </c>
      <c r="Q513" s="3">
        <f t="shared" si="37"/>
        <v>0</v>
      </c>
      <c r="R513" s="3">
        <f t="shared" si="38"/>
        <v>533</v>
      </c>
      <c r="S513" s="3">
        <f t="shared" si="39"/>
        <v>48359.499999999993</v>
      </c>
      <c r="T513" s="24"/>
      <c r="U513" s="24"/>
      <c r="V513" s="67"/>
      <c r="W513" s="25" t="str">
        <f>IFERROR(VLOOKUP(BCP_Soles[[#This Row],[DESTINATARIO]],CHOOSE({1,2},Clientes_Proveedores[Razon Social],Clientes_Proveedores[Ruc / Dni]),2,0),"")</f>
        <v/>
      </c>
      <c r="X513" s="25" t="s">
        <v>1133</v>
      </c>
      <c r="Y513" s="25"/>
      <c r="Z513" s="25"/>
      <c r="AA513" s="99"/>
      <c r="AB513" s="3" t="str">
        <f>IF(BCP_Soles[[#This Row],[FECHA]]&gt;0,TEXT(BCP_Soles[[#This Row],[FECHA]],"mmmm"),0)</f>
        <v>Febrero</v>
      </c>
    </row>
    <row r="514" spans="2:28" ht="24" x14ac:dyDescent="0.3">
      <c r="B514" s="2">
        <f>IF(BCP_Soles[[#This Row],[TIPO DE R.]]="R",COUNTIFS($D$4:$D513,"R")+1,"")</f>
        <v>384</v>
      </c>
      <c r="C514" s="19" t="str">
        <f t="shared" si="35"/>
        <v>B-BCP - Soles</v>
      </c>
      <c r="D514" s="3" t="s">
        <v>1074</v>
      </c>
      <c r="E514" s="14">
        <v>45702</v>
      </c>
      <c r="F514" s="5" t="s">
        <v>1163</v>
      </c>
      <c r="G514" s="5" t="s">
        <v>1079</v>
      </c>
      <c r="H514" s="6"/>
      <c r="I514" s="6"/>
      <c r="J514" s="6"/>
      <c r="K514" s="6"/>
      <c r="L514" s="7" t="s">
        <v>1100</v>
      </c>
      <c r="M514" s="8">
        <v>3197631</v>
      </c>
      <c r="N514" s="8" t="str">
        <f t="shared" si="36"/>
        <v>PEN</v>
      </c>
      <c r="O514" s="13"/>
      <c r="P514" s="13">
        <v>3000</v>
      </c>
      <c r="Q514" s="3">
        <f t="shared" si="37"/>
        <v>0</v>
      </c>
      <c r="R514" s="3">
        <f t="shared" si="38"/>
        <v>3000</v>
      </c>
      <c r="S514" s="3">
        <f t="shared" si="39"/>
        <v>45359.499999999993</v>
      </c>
      <c r="T514" s="24"/>
      <c r="U514" s="24"/>
      <c r="V514" s="67"/>
      <c r="W514" s="25" t="str">
        <f>IFERROR(VLOOKUP(BCP_Soles[[#This Row],[DESTINATARIO]],CHOOSE({1,2},Clientes_Proveedores[Razon Social],Clientes_Proveedores[Ruc / Dni]),2,0),"")</f>
        <v/>
      </c>
      <c r="X514" s="25"/>
      <c r="Y514" s="25" t="s">
        <v>1172</v>
      </c>
      <c r="Z514" s="25"/>
      <c r="AA514" s="99"/>
      <c r="AB514" s="3" t="str">
        <f>IF(BCP_Soles[[#This Row],[FECHA]]&gt;0,TEXT(BCP_Soles[[#This Row],[FECHA]],"mmmm"),0)</f>
        <v>Febrero</v>
      </c>
    </row>
    <row r="515" spans="2:28" x14ac:dyDescent="0.3">
      <c r="B515" s="2">
        <f>IF(BCP_Soles[[#This Row],[TIPO DE R.]]="R",COUNTIFS($D$4:$D514,"R")+1,"")</f>
        <v>385</v>
      </c>
      <c r="C515" s="19" t="str">
        <f t="shared" si="35"/>
        <v>B-BCP - Soles</v>
      </c>
      <c r="D515" s="3" t="s">
        <v>1074</v>
      </c>
      <c r="E515" s="14">
        <v>45705</v>
      </c>
      <c r="F515" s="5" t="s">
        <v>1163</v>
      </c>
      <c r="G515" s="5" t="s">
        <v>1079</v>
      </c>
      <c r="H515" s="6"/>
      <c r="I515" s="6"/>
      <c r="J515" s="6"/>
      <c r="K515" s="6"/>
      <c r="L515" s="7" t="s">
        <v>1322</v>
      </c>
      <c r="M515" s="8">
        <v>1002352</v>
      </c>
      <c r="N515" s="8" t="str">
        <f t="shared" si="36"/>
        <v>PEN</v>
      </c>
      <c r="O515" s="13"/>
      <c r="P515" s="13">
        <v>2804.95</v>
      </c>
      <c r="Q515" s="3">
        <f t="shared" si="37"/>
        <v>0</v>
      </c>
      <c r="R515" s="3">
        <f t="shared" si="38"/>
        <v>2804.95</v>
      </c>
      <c r="S515" s="3">
        <f t="shared" si="39"/>
        <v>42554.549999999996</v>
      </c>
      <c r="T515" s="24"/>
      <c r="U515" s="24"/>
      <c r="V515" s="67"/>
      <c r="W515" s="25" t="str">
        <f>IFERROR(VLOOKUP(BCP_Soles[[#This Row],[DESTINATARIO]],CHOOSE({1,2},Clientes_Proveedores[Razon Social],Clientes_Proveedores[Ruc / Dni]),2,0),"")</f>
        <v/>
      </c>
      <c r="X515" s="25"/>
      <c r="Y515" s="25"/>
      <c r="Z515" s="25"/>
      <c r="AA515" s="99"/>
      <c r="AB515" s="3" t="str">
        <f>IF(BCP_Soles[[#This Row],[FECHA]]&gt;0,TEXT(BCP_Soles[[#This Row],[FECHA]],"mmmm"),0)</f>
        <v>Febrero</v>
      </c>
    </row>
    <row r="516" spans="2:28" ht="24" x14ac:dyDescent="0.3">
      <c r="B516" s="2">
        <f>IF(BCP_Soles[[#This Row],[TIPO DE R.]]="R",COUNTIFS($D$4:$D515,"R")+1,"")</f>
        <v>386</v>
      </c>
      <c r="C516" s="19" t="str">
        <f t="shared" si="35"/>
        <v>B-BCP - Soles</v>
      </c>
      <c r="D516" s="3" t="s">
        <v>1074</v>
      </c>
      <c r="E516" s="14">
        <v>45705</v>
      </c>
      <c r="F516" s="5" t="s">
        <v>1082</v>
      </c>
      <c r="G516" s="5" t="s">
        <v>1079</v>
      </c>
      <c r="H516" s="6" t="s">
        <v>192</v>
      </c>
      <c r="I516" s="6"/>
      <c r="J516" s="6"/>
      <c r="K516" s="6"/>
      <c r="L516" s="7" t="s">
        <v>1660</v>
      </c>
      <c r="M516" s="8">
        <v>1018108</v>
      </c>
      <c r="N516" s="8" t="str">
        <f t="shared" si="36"/>
        <v>PEN</v>
      </c>
      <c r="O516" s="13"/>
      <c r="P516" s="13">
        <v>503.15</v>
      </c>
      <c r="Q516" s="3">
        <f t="shared" si="37"/>
        <v>0</v>
      </c>
      <c r="R516" s="3">
        <f t="shared" si="38"/>
        <v>503.15</v>
      </c>
      <c r="S516" s="3">
        <f t="shared" si="39"/>
        <v>42051.399999999994</v>
      </c>
      <c r="T516" s="24"/>
      <c r="U516" s="24"/>
      <c r="V516" s="67"/>
      <c r="W516" s="25">
        <f>IFERROR(VLOOKUP(BCP_Soles[[#This Row],[DESTINATARIO]],CHOOSE({1,2},Clientes_Proveedores[Razon Social],Clientes_Proveedores[Ruc / Dni]),2,0),"")</f>
        <v>20302891452</v>
      </c>
      <c r="X516" s="25" t="s">
        <v>192</v>
      </c>
      <c r="Y516" s="25"/>
      <c r="Z516" s="25"/>
      <c r="AA516" s="99"/>
      <c r="AB516" s="3" t="str">
        <f>IF(BCP_Soles[[#This Row],[FECHA]]&gt;0,TEXT(BCP_Soles[[#This Row],[FECHA]],"mmmm"),0)</f>
        <v>Febrero</v>
      </c>
    </row>
    <row r="517" spans="2:28" x14ac:dyDescent="0.3">
      <c r="B517" s="2">
        <f>IF(BCP_Soles[[#This Row],[TIPO DE R.]]="R",COUNTIFS($D$4:$D516,"R")+1,"")</f>
        <v>387</v>
      </c>
      <c r="C517" s="19" t="str">
        <f t="shared" ref="C517:C580" si="40">"B-BCP - Soles"</f>
        <v>B-BCP - Soles</v>
      </c>
      <c r="D517" s="3" t="s">
        <v>1074</v>
      </c>
      <c r="E517" s="14">
        <v>45705</v>
      </c>
      <c r="F517" s="5" t="s">
        <v>1082</v>
      </c>
      <c r="G517" s="5" t="s">
        <v>1079</v>
      </c>
      <c r="H517" s="6" t="s">
        <v>637</v>
      </c>
      <c r="I517" s="6" t="s">
        <v>14</v>
      </c>
      <c r="J517" s="6" t="s">
        <v>1453</v>
      </c>
      <c r="K517" s="6">
        <v>128057</v>
      </c>
      <c r="L517" s="7" t="s">
        <v>1123</v>
      </c>
      <c r="M517" s="8">
        <v>83</v>
      </c>
      <c r="N517" s="8" t="str">
        <f t="shared" ref="N517:N580" si="41">"PEN"</f>
        <v>PEN</v>
      </c>
      <c r="O517" s="13"/>
      <c r="P517" s="13">
        <v>1633.29</v>
      </c>
      <c r="Q517" s="3">
        <f t="shared" ref="Q517:Q580" si="42">+IF(OR($G517="SALDO",$G517="INGRESO"),$P517,0)</f>
        <v>0</v>
      </c>
      <c r="R517" s="3">
        <f t="shared" ref="R517:R580" si="43">+IF($G517="EGRESO",$P517,0)</f>
        <v>1633.29</v>
      </c>
      <c r="S517" s="3">
        <f t="shared" ref="S517:S580" si="44">IFERROR(IF(G517="SALDO",Q517,S516+Q517-R517),0)</f>
        <v>40418.109999999993</v>
      </c>
      <c r="T517" s="24" t="s">
        <v>1081</v>
      </c>
      <c r="U517" s="24" t="s">
        <v>1081</v>
      </c>
      <c r="V517" s="67"/>
      <c r="W517" s="25">
        <f>IFERROR(VLOOKUP(BCP_Soles[[#This Row],[DESTINATARIO]],CHOOSE({1,2},Clientes_Proveedores[Razon Social],Clientes_Proveedores[Ruc / Dni]),2,0),"")</f>
        <v>20127765279</v>
      </c>
      <c r="X517" s="25" t="s">
        <v>1124</v>
      </c>
      <c r="Y517" s="25" t="s">
        <v>1661</v>
      </c>
      <c r="Z517" s="25"/>
      <c r="AA517" s="99"/>
      <c r="AB517" s="3" t="str">
        <f>IF(BCP_Soles[[#This Row],[FECHA]]&gt;0,TEXT(BCP_Soles[[#This Row],[FECHA]],"mmmm"),0)</f>
        <v>Febrero</v>
      </c>
    </row>
    <row r="518" spans="2:28" x14ac:dyDescent="0.3">
      <c r="B518" s="2">
        <f>IF(BCP_Soles[[#This Row],[TIPO DE R.]]="R",COUNTIFS($D$4:$D517,"R")+1,"")</f>
        <v>388</v>
      </c>
      <c r="C518" s="19" t="str">
        <f t="shared" si="40"/>
        <v>B-BCP - Soles</v>
      </c>
      <c r="D518" s="3" t="s">
        <v>1074</v>
      </c>
      <c r="E518" s="14">
        <v>45705</v>
      </c>
      <c r="F518" s="5" t="s">
        <v>1082</v>
      </c>
      <c r="G518" s="5" t="s">
        <v>1079</v>
      </c>
      <c r="H518" s="6" t="s">
        <v>637</v>
      </c>
      <c r="I518" s="6" t="s">
        <v>14</v>
      </c>
      <c r="J518" s="6" t="s">
        <v>1453</v>
      </c>
      <c r="K518" s="6">
        <v>128049</v>
      </c>
      <c r="L518" s="7" t="s">
        <v>1123</v>
      </c>
      <c r="M518" s="8">
        <v>9086</v>
      </c>
      <c r="N518" s="8" t="str">
        <f t="shared" si="41"/>
        <v>PEN</v>
      </c>
      <c r="O518" s="13"/>
      <c r="P518" s="13">
        <v>3750.58</v>
      </c>
      <c r="Q518" s="3">
        <f t="shared" si="42"/>
        <v>0</v>
      </c>
      <c r="R518" s="3">
        <f t="shared" si="43"/>
        <v>3750.58</v>
      </c>
      <c r="S518" s="3">
        <f t="shared" si="44"/>
        <v>36667.529999999992</v>
      </c>
      <c r="T518" s="24" t="s">
        <v>1081</v>
      </c>
      <c r="U518" s="24" t="s">
        <v>1081</v>
      </c>
      <c r="V518" s="67"/>
      <c r="W518" s="25">
        <f>IFERROR(VLOOKUP(BCP_Soles[[#This Row],[DESTINATARIO]],CHOOSE({1,2},Clientes_Proveedores[Razon Social],Clientes_Proveedores[Ruc / Dni]),2,0),"")</f>
        <v>20127765279</v>
      </c>
      <c r="X518" s="25" t="s">
        <v>1124</v>
      </c>
      <c r="Y518" s="25" t="s">
        <v>1662</v>
      </c>
      <c r="Z518" s="25"/>
      <c r="AA518" s="99"/>
      <c r="AB518" s="3" t="str">
        <f>IF(BCP_Soles[[#This Row],[FECHA]]&gt;0,TEXT(BCP_Soles[[#This Row],[FECHA]],"mmmm"),0)</f>
        <v>Febrero</v>
      </c>
    </row>
    <row r="519" spans="2:28" ht="24" x14ac:dyDescent="0.3">
      <c r="B519" s="2">
        <f>IF(BCP_Soles[[#This Row],[TIPO DE R.]]="R",COUNTIFS($D$4:$D518,"R")+1,"")</f>
        <v>389</v>
      </c>
      <c r="C519" s="19" t="str">
        <f t="shared" si="40"/>
        <v>B-BCP - Soles</v>
      </c>
      <c r="D519" s="3" t="s">
        <v>1074</v>
      </c>
      <c r="E519" s="14">
        <v>45705</v>
      </c>
      <c r="F519" s="5" t="s">
        <v>1082</v>
      </c>
      <c r="G519" s="5" t="s">
        <v>1079</v>
      </c>
      <c r="H519" s="6"/>
      <c r="I519" s="6" t="s">
        <v>52</v>
      </c>
      <c r="J519" s="6" t="s">
        <v>1399</v>
      </c>
      <c r="K519" s="6">
        <v>520109127</v>
      </c>
      <c r="L519" s="7" t="s">
        <v>1663</v>
      </c>
      <c r="M519" s="8">
        <v>21077</v>
      </c>
      <c r="N519" s="8" t="str">
        <f t="shared" si="41"/>
        <v>PEN</v>
      </c>
      <c r="O519" s="13"/>
      <c r="P519" s="13">
        <v>1091.42</v>
      </c>
      <c r="Q519" s="3">
        <f t="shared" si="42"/>
        <v>0</v>
      </c>
      <c r="R519" s="3">
        <f t="shared" si="43"/>
        <v>1091.42</v>
      </c>
      <c r="S519" s="3">
        <f t="shared" si="44"/>
        <v>35576.109999999993</v>
      </c>
      <c r="T519" s="24" t="s">
        <v>1081</v>
      </c>
      <c r="U519" s="24" t="s">
        <v>1081</v>
      </c>
      <c r="V519" s="67"/>
      <c r="W519" s="25" t="str">
        <f>IFERROR(VLOOKUP(BCP_Soles[[#This Row],[DESTINATARIO]],CHOOSE({1,2},Clientes_Proveedores[Razon Social],Clientes_Proveedores[Ruc / Dni]),2,0),"")</f>
        <v/>
      </c>
      <c r="X519" s="25" t="s">
        <v>1397</v>
      </c>
      <c r="Y519" s="25" t="s">
        <v>1664</v>
      </c>
      <c r="Z519" s="25"/>
      <c r="AA519" s="99"/>
      <c r="AB519" s="3" t="str">
        <f>IF(BCP_Soles[[#This Row],[FECHA]]&gt;0,TEXT(BCP_Soles[[#This Row],[FECHA]],"mmmm"),0)</f>
        <v>Febrero</v>
      </c>
    </row>
    <row r="520" spans="2:28" ht="24" x14ac:dyDescent="0.3">
      <c r="B520" s="2">
        <f>IF(BCP_Soles[[#This Row],[TIPO DE R.]]="R",COUNTIFS($D$4:$D519,"R")+1,"")</f>
        <v>390</v>
      </c>
      <c r="C520" s="19" t="str">
        <f t="shared" si="40"/>
        <v>B-BCP - Soles</v>
      </c>
      <c r="D520" s="3" t="s">
        <v>1074</v>
      </c>
      <c r="E520" s="14">
        <v>45705</v>
      </c>
      <c r="F520" s="5" t="s">
        <v>1082</v>
      </c>
      <c r="G520" s="5" t="s">
        <v>1079</v>
      </c>
      <c r="H520" s="6" t="s">
        <v>192</v>
      </c>
      <c r="I520" s="6"/>
      <c r="J520" s="6"/>
      <c r="K520" s="6"/>
      <c r="L520" s="7" t="s">
        <v>1660</v>
      </c>
      <c r="M520" s="8">
        <v>1024084</v>
      </c>
      <c r="N520" s="8" t="str">
        <f t="shared" si="41"/>
        <v>PEN</v>
      </c>
      <c r="O520" s="13"/>
      <c r="P520" s="13">
        <v>827.89</v>
      </c>
      <c r="Q520" s="3">
        <f t="shared" si="42"/>
        <v>0</v>
      </c>
      <c r="R520" s="3">
        <f t="shared" si="43"/>
        <v>827.89</v>
      </c>
      <c r="S520" s="3">
        <f t="shared" si="44"/>
        <v>34748.219999999994</v>
      </c>
      <c r="T520" s="24"/>
      <c r="U520" s="24"/>
      <c r="V520" s="67"/>
      <c r="W520" s="25">
        <f>IFERROR(VLOOKUP(BCP_Soles[[#This Row],[DESTINATARIO]],CHOOSE({1,2},Clientes_Proveedores[Razon Social],Clientes_Proveedores[Ruc / Dni]),2,0),"")</f>
        <v>20302891452</v>
      </c>
      <c r="X520" s="25" t="s">
        <v>192</v>
      </c>
      <c r="Y520" s="25"/>
      <c r="Z520" s="25"/>
      <c r="AA520" s="99"/>
      <c r="AB520" s="3" t="str">
        <f>IF(BCP_Soles[[#This Row],[FECHA]]&gt;0,TEXT(BCP_Soles[[#This Row],[FECHA]],"mmmm"),0)</f>
        <v>Febrero</v>
      </c>
    </row>
    <row r="521" spans="2:28" ht="24" x14ac:dyDescent="0.3">
      <c r="B521" s="2">
        <f>IF(BCP_Soles[[#This Row],[TIPO DE R.]]="R",COUNTIFS($D$4:$D520,"R")+1,"")</f>
        <v>391</v>
      </c>
      <c r="C521" s="19" t="str">
        <f t="shared" si="40"/>
        <v>B-BCP - Soles</v>
      </c>
      <c r="D521" s="3" t="s">
        <v>1074</v>
      </c>
      <c r="E521" s="14">
        <v>45705</v>
      </c>
      <c r="F521" s="5" t="s">
        <v>1407</v>
      </c>
      <c r="G521" s="5" t="s">
        <v>1087</v>
      </c>
      <c r="H521" s="6"/>
      <c r="I521" s="6"/>
      <c r="J521" s="6"/>
      <c r="K521" s="6"/>
      <c r="L521" s="7" t="s">
        <v>1100</v>
      </c>
      <c r="M521" s="8">
        <v>553474</v>
      </c>
      <c r="N521" s="8" t="str">
        <f t="shared" si="41"/>
        <v>PEN</v>
      </c>
      <c r="O521" s="13"/>
      <c r="P521" s="13">
        <v>1220</v>
      </c>
      <c r="Q521" s="3">
        <f t="shared" si="42"/>
        <v>1220</v>
      </c>
      <c r="R521" s="3">
        <f t="shared" si="43"/>
        <v>0</v>
      </c>
      <c r="S521" s="3">
        <f t="shared" si="44"/>
        <v>35968.219999999994</v>
      </c>
      <c r="T521" s="24" t="s">
        <v>1081</v>
      </c>
      <c r="U521" s="24" t="s">
        <v>1081</v>
      </c>
      <c r="V521" s="67"/>
      <c r="W521" s="25" t="str">
        <f>IFERROR(VLOOKUP(BCP_Soles[[#This Row],[DESTINATARIO]],CHOOSE({1,2},Clientes_Proveedores[Razon Social],Clientes_Proveedores[Ruc / Dni]),2,0),"")</f>
        <v/>
      </c>
      <c r="X521" s="25" t="s">
        <v>1090</v>
      </c>
      <c r="Y521" s="25" t="s">
        <v>1583</v>
      </c>
      <c r="Z521" s="25"/>
      <c r="AA521" s="99"/>
      <c r="AB521" s="3" t="str">
        <f>IF(BCP_Soles[[#This Row],[FECHA]]&gt;0,TEXT(BCP_Soles[[#This Row],[FECHA]],"mmmm"),0)</f>
        <v>Febrero</v>
      </c>
    </row>
    <row r="522" spans="2:28" ht="24" x14ac:dyDescent="0.3">
      <c r="B522" s="2">
        <f>IF(BCP_Soles[[#This Row],[TIPO DE R.]]="R",COUNTIFS($D$4:$D521,"R")+1,"")</f>
        <v>392</v>
      </c>
      <c r="C522" s="19" t="str">
        <f t="shared" si="40"/>
        <v>B-BCP - Soles</v>
      </c>
      <c r="D522" s="3" t="s">
        <v>1074</v>
      </c>
      <c r="E522" s="14">
        <v>45705</v>
      </c>
      <c r="F522" s="5" t="s">
        <v>367</v>
      </c>
      <c r="G522" s="5" t="s">
        <v>1087</v>
      </c>
      <c r="H522" s="6"/>
      <c r="I522" s="6"/>
      <c r="J522" s="6"/>
      <c r="K522" s="6"/>
      <c r="L522" s="7" t="s">
        <v>1665</v>
      </c>
      <c r="M522" s="8">
        <v>6037351</v>
      </c>
      <c r="N522" s="8" t="str">
        <f t="shared" si="41"/>
        <v>PEN</v>
      </c>
      <c r="O522" s="13"/>
      <c r="P522" s="13">
        <v>301</v>
      </c>
      <c r="Q522" s="3">
        <f t="shared" si="42"/>
        <v>301</v>
      </c>
      <c r="R522" s="3">
        <f t="shared" si="43"/>
        <v>0</v>
      </c>
      <c r="S522" s="3">
        <f t="shared" si="44"/>
        <v>36269.219999999994</v>
      </c>
      <c r="T522" s="24" t="s">
        <v>1081</v>
      </c>
      <c r="U522" s="24" t="s">
        <v>1081</v>
      </c>
      <c r="V522" s="67"/>
      <c r="W522" s="25" t="str">
        <f>IFERROR(VLOOKUP(BCP_Soles[[#This Row],[DESTINATARIO]],CHOOSE({1,2},Clientes_Proveedores[Razon Social],Clientes_Proveedores[Ruc / Dni]),2,0),"")</f>
        <v/>
      </c>
      <c r="X522" s="25" t="s">
        <v>1090</v>
      </c>
      <c r="Y522" s="25" t="s">
        <v>1666</v>
      </c>
      <c r="Z522" s="25"/>
      <c r="AA522" s="99"/>
      <c r="AB522" s="3" t="str">
        <f>IF(BCP_Soles[[#This Row],[FECHA]]&gt;0,TEXT(BCP_Soles[[#This Row],[FECHA]],"mmmm"),0)</f>
        <v>Febrero</v>
      </c>
    </row>
    <row r="523" spans="2:28" ht="24" x14ac:dyDescent="0.3">
      <c r="B523" s="2">
        <f>IF(BCP_Soles[[#This Row],[TIPO DE R.]]="R",COUNTIFS($D$4:$D522,"R")+1,"")</f>
        <v>393</v>
      </c>
      <c r="C523" s="19" t="str">
        <f t="shared" si="40"/>
        <v>B-BCP - Soles</v>
      </c>
      <c r="D523" s="3" t="s">
        <v>1074</v>
      </c>
      <c r="E523" s="14">
        <v>45705</v>
      </c>
      <c r="F523" s="5" t="s">
        <v>584</v>
      </c>
      <c r="G523" s="5" t="s">
        <v>1087</v>
      </c>
      <c r="H523" s="6"/>
      <c r="I523" s="6"/>
      <c r="J523" s="6"/>
      <c r="K523" s="6"/>
      <c r="L523" s="7" t="s">
        <v>1100</v>
      </c>
      <c r="M523" s="8">
        <v>1471944</v>
      </c>
      <c r="N523" s="8" t="str">
        <f t="shared" si="41"/>
        <v>PEN</v>
      </c>
      <c r="O523" s="13"/>
      <c r="P523" s="13">
        <v>250</v>
      </c>
      <c r="Q523" s="3">
        <f t="shared" si="42"/>
        <v>250</v>
      </c>
      <c r="R523" s="3">
        <f t="shared" si="43"/>
        <v>0</v>
      </c>
      <c r="S523" s="3">
        <f t="shared" si="44"/>
        <v>36519.219999999994</v>
      </c>
      <c r="T523" s="24" t="s">
        <v>1081</v>
      </c>
      <c r="U523" s="24" t="s">
        <v>1081</v>
      </c>
      <c r="V523" s="67"/>
      <c r="W523" s="25" t="str">
        <f>IFERROR(VLOOKUP(BCP_Soles[[#This Row],[DESTINATARIO]],CHOOSE({1,2},Clientes_Proveedores[Razon Social],Clientes_Proveedores[Ruc / Dni]),2,0),"")</f>
        <v/>
      </c>
      <c r="X523" s="25" t="s">
        <v>1090</v>
      </c>
      <c r="Y523" s="25" t="s">
        <v>1667</v>
      </c>
      <c r="Z523" s="25"/>
      <c r="AA523" s="99"/>
      <c r="AB523" s="3" t="str">
        <f>IF(BCP_Soles[[#This Row],[FECHA]]&gt;0,TEXT(BCP_Soles[[#This Row],[FECHA]],"mmmm"),0)</f>
        <v>Febrero</v>
      </c>
    </row>
    <row r="524" spans="2:28" x14ac:dyDescent="0.3">
      <c r="B524" s="2">
        <f>IF(BCP_Soles[[#This Row],[TIPO DE R.]]="R",COUNTIFS($D$4:$D523,"R")+1,"")</f>
        <v>394</v>
      </c>
      <c r="C524" s="19" t="str">
        <f t="shared" si="40"/>
        <v>B-BCP - Soles</v>
      </c>
      <c r="D524" s="3" t="s">
        <v>1074</v>
      </c>
      <c r="E524" s="14">
        <v>45705</v>
      </c>
      <c r="F524" s="5" t="s">
        <v>278</v>
      </c>
      <c r="G524" s="5" t="s">
        <v>1087</v>
      </c>
      <c r="H524" s="6"/>
      <c r="I524" s="6"/>
      <c r="J524" s="6"/>
      <c r="K524" s="6"/>
      <c r="L524" s="7" t="s">
        <v>1648</v>
      </c>
      <c r="M524" s="8">
        <v>2057482</v>
      </c>
      <c r="N524" s="8" t="str">
        <f t="shared" si="41"/>
        <v>PEN</v>
      </c>
      <c r="O524" s="13"/>
      <c r="P524" s="13">
        <v>42.56</v>
      </c>
      <c r="Q524" s="3">
        <f t="shared" si="42"/>
        <v>42.56</v>
      </c>
      <c r="R524" s="3">
        <f t="shared" si="43"/>
        <v>0</v>
      </c>
      <c r="S524" s="3">
        <f t="shared" si="44"/>
        <v>36561.779999999992</v>
      </c>
      <c r="T524" s="24" t="s">
        <v>1081</v>
      </c>
      <c r="U524" s="24" t="s">
        <v>1081</v>
      </c>
      <c r="V524" s="67"/>
      <c r="W524" s="25" t="str">
        <f>IFERROR(VLOOKUP(BCP_Soles[[#This Row],[DESTINATARIO]],CHOOSE({1,2},Clientes_Proveedores[Razon Social],Clientes_Proveedores[Ruc / Dni]),2,0),"")</f>
        <v/>
      </c>
      <c r="X524" s="25" t="s">
        <v>1090</v>
      </c>
      <c r="Y524" s="25" t="s">
        <v>1668</v>
      </c>
      <c r="Z524" s="25"/>
      <c r="AA524" s="99"/>
      <c r="AB524" s="3" t="str">
        <f>IF(BCP_Soles[[#This Row],[FECHA]]&gt;0,TEXT(BCP_Soles[[#This Row],[FECHA]],"mmmm"),0)</f>
        <v>Febrero</v>
      </c>
    </row>
    <row r="525" spans="2:28" x14ac:dyDescent="0.3">
      <c r="B525" s="2">
        <f>IF(BCP_Soles[[#This Row],[TIPO DE R.]]="R",COUNTIFS($D$4:$D524,"R")+1,"")</f>
        <v>395</v>
      </c>
      <c r="C525" s="19" t="str">
        <f t="shared" si="40"/>
        <v>B-BCP - Soles</v>
      </c>
      <c r="D525" s="3" t="s">
        <v>1074</v>
      </c>
      <c r="E525" s="14">
        <v>45705</v>
      </c>
      <c r="F525" s="5" t="s">
        <v>1082</v>
      </c>
      <c r="G525" s="5" t="s">
        <v>1079</v>
      </c>
      <c r="H525" s="6" t="s">
        <v>357</v>
      </c>
      <c r="I525" s="6" t="s">
        <v>14</v>
      </c>
      <c r="J525" s="6" t="s">
        <v>1119</v>
      </c>
      <c r="K525" s="6">
        <v>13435</v>
      </c>
      <c r="L525" s="7" t="s">
        <v>1669</v>
      </c>
      <c r="M525" s="8">
        <v>1064490</v>
      </c>
      <c r="N525" s="8" t="str">
        <f t="shared" si="41"/>
        <v>PEN</v>
      </c>
      <c r="O525" s="13"/>
      <c r="P525" s="13">
        <v>16549.34</v>
      </c>
      <c r="Q525" s="3">
        <f t="shared" si="42"/>
        <v>0</v>
      </c>
      <c r="R525" s="3">
        <f t="shared" si="43"/>
        <v>16549.34</v>
      </c>
      <c r="S525" s="3">
        <f t="shared" si="44"/>
        <v>20012.439999999991</v>
      </c>
      <c r="T525" s="24" t="s">
        <v>1081</v>
      </c>
      <c r="U525" s="24" t="s">
        <v>1081</v>
      </c>
      <c r="V525" s="67"/>
      <c r="W525" s="25">
        <f>IFERROR(VLOOKUP(BCP_Soles[[#This Row],[DESTINATARIO]],CHOOSE({1,2},Clientes_Proveedores[Razon Social],Clientes_Proveedores[Ruc / Dni]),2,0),"")</f>
        <v>20553255709</v>
      </c>
      <c r="X525" s="25" t="s">
        <v>357</v>
      </c>
      <c r="Y525" s="25" t="s">
        <v>1670</v>
      </c>
      <c r="Z525" s="25"/>
      <c r="AA525" s="99"/>
      <c r="AB525" s="3" t="str">
        <f>IF(BCP_Soles[[#This Row],[FECHA]]&gt;0,TEXT(BCP_Soles[[#This Row],[FECHA]],"mmmm"),0)</f>
        <v>Febrero</v>
      </c>
    </row>
    <row r="526" spans="2:28" x14ac:dyDescent="0.3">
      <c r="B526" s="2">
        <f>IF(BCP_Soles[[#This Row],[TIPO DE R.]]="R",COUNTIFS($D$4:$D525,"R")+1,"")</f>
        <v>396</v>
      </c>
      <c r="C526" s="19" t="str">
        <f t="shared" si="40"/>
        <v>B-BCP - Soles</v>
      </c>
      <c r="D526" s="3" t="s">
        <v>1074</v>
      </c>
      <c r="E526" s="14">
        <v>45705</v>
      </c>
      <c r="F526" s="5" t="s">
        <v>1078</v>
      </c>
      <c r="G526" s="5" t="s">
        <v>1079</v>
      </c>
      <c r="H526" s="6"/>
      <c r="I526" s="6"/>
      <c r="J526" s="6"/>
      <c r="K526" s="6"/>
      <c r="L526" s="7" t="s">
        <v>1671</v>
      </c>
      <c r="M526" s="8">
        <v>3314498</v>
      </c>
      <c r="N526" s="8" t="str">
        <f t="shared" si="41"/>
        <v>PEN</v>
      </c>
      <c r="O526" s="13"/>
      <c r="P526" s="13">
        <v>2.5</v>
      </c>
      <c r="Q526" s="3">
        <f t="shared" si="42"/>
        <v>0</v>
      </c>
      <c r="R526" s="3">
        <f t="shared" si="43"/>
        <v>2.5</v>
      </c>
      <c r="S526" s="3">
        <f t="shared" si="44"/>
        <v>20009.939999999991</v>
      </c>
      <c r="T526" s="24"/>
      <c r="U526" s="24" t="s">
        <v>1672</v>
      </c>
      <c r="V526" s="67"/>
      <c r="W526" s="25" t="str">
        <f>IFERROR(VLOOKUP(BCP_Soles[[#This Row],[DESTINATARIO]],CHOOSE({1,2},Clientes_Proveedores[Razon Social],Clientes_Proveedores[Ruc / Dni]),2,0),"")</f>
        <v/>
      </c>
      <c r="X526" s="25" t="s">
        <v>1078</v>
      </c>
      <c r="Y526" s="25" t="s">
        <v>1673</v>
      </c>
      <c r="Z526" s="25"/>
      <c r="AA526" s="99"/>
      <c r="AB526" s="3" t="str">
        <f>IF(BCP_Soles[[#This Row],[FECHA]]&gt;0,TEXT(BCP_Soles[[#This Row],[FECHA]],"mmmm"),0)</f>
        <v>Febrero</v>
      </c>
    </row>
    <row r="527" spans="2:28" x14ac:dyDescent="0.3">
      <c r="B527" s="2">
        <f>IF(BCP_Soles[[#This Row],[TIPO DE R.]]="R",COUNTIFS($D$4:$D526,"R")+1,"")</f>
        <v>397</v>
      </c>
      <c r="C527" s="19" t="str">
        <f t="shared" si="40"/>
        <v>B-BCP - Soles</v>
      </c>
      <c r="D527" s="3" t="s">
        <v>1074</v>
      </c>
      <c r="E527" s="14">
        <v>45705</v>
      </c>
      <c r="F527" s="5" t="s">
        <v>1082</v>
      </c>
      <c r="G527" s="5" t="s">
        <v>1079</v>
      </c>
      <c r="H527" s="6"/>
      <c r="I527" s="6"/>
      <c r="J527" s="6"/>
      <c r="K527" s="6"/>
      <c r="L527" s="7" t="s">
        <v>1674</v>
      </c>
      <c r="M527" s="8">
        <v>3314491</v>
      </c>
      <c r="N527" s="8" t="str">
        <f t="shared" si="41"/>
        <v>PEN</v>
      </c>
      <c r="O527" s="13"/>
      <c r="P527" s="13">
        <v>4907.76</v>
      </c>
      <c r="Q527" s="3">
        <f t="shared" si="42"/>
        <v>0</v>
      </c>
      <c r="R527" s="3">
        <f t="shared" si="43"/>
        <v>4907.76</v>
      </c>
      <c r="S527" s="3">
        <f t="shared" si="44"/>
        <v>15102.179999999991</v>
      </c>
      <c r="T527" s="24" t="s">
        <v>1081</v>
      </c>
      <c r="U527" s="24" t="s">
        <v>1081</v>
      </c>
      <c r="V527" s="67"/>
      <c r="W527" s="25" t="str">
        <f>IFERROR(VLOOKUP(BCP_Soles[[#This Row],[DESTINATARIO]],CHOOSE({1,2},Clientes_Proveedores[Razon Social],Clientes_Proveedores[Ruc / Dni]),2,0),"")</f>
        <v/>
      </c>
      <c r="X527" s="25" t="s">
        <v>1118</v>
      </c>
      <c r="Y527" s="25"/>
      <c r="Z527" s="25"/>
      <c r="AA527" s="99"/>
      <c r="AB527" s="3" t="str">
        <f>IF(BCP_Soles[[#This Row],[FECHA]]&gt;0,TEXT(BCP_Soles[[#This Row],[FECHA]],"mmmm"),0)</f>
        <v>Febrero</v>
      </c>
    </row>
    <row r="528" spans="2:28" x14ac:dyDescent="0.3">
      <c r="B528" s="2" t="str">
        <f>IF(BCP_Soles[[#This Row],[TIPO DE R.]]="R",COUNTIFS($D$4:$D527,"R")+1,"")</f>
        <v/>
      </c>
      <c r="C528" s="19" t="str">
        <f t="shared" si="40"/>
        <v>B-BCP - Soles</v>
      </c>
      <c r="D528" s="3" t="s">
        <v>1101</v>
      </c>
      <c r="E528" s="14">
        <v>45705</v>
      </c>
      <c r="F528" s="5" t="s">
        <v>1082</v>
      </c>
      <c r="G528" s="5"/>
      <c r="H528" s="6" t="s">
        <v>289</v>
      </c>
      <c r="I528" s="6" t="s">
        <v>14</v>
      </c>
      <c r="J528" s="6" t="s">
        <v>1202</v>
      </c>
      <c r="K528" s="6">
        <v>38820</v>
      </c>
      <c r="L528" s="7" t="s">
        <v>1674</v>
      </c>
      <c r="M528" s="8">
        <v>3314491</v>
      </c>
      <c r="N528" s="8" t="str">
        <f t="shared" si="41"/>
        <v>PEN</v>
      </c>
      <c r="O528" s="13">
        <v>1285.5</v>
      </c>
      <c r="P528" s="13"/>
      <c r="Q528" s="3">
        <f t="shared" si="42"/>
        <v>0</v>
      </c>
      <c r="R528" s="3">
        <f t="shared" si="43"/>
        <v>0</v>
      </c>
      <c r="S528" s="3">
        <f t="shared" si="44"/>
        <v>15102.179999999991</v>
      </c>
      <c r="T528" s="24"/>
      <c r="U528" s="24"/>
      <c r="V528" s="67"/>
      <c r="W528" s="25">
        <f>IFERROR(VLOOKUP(BCP_Soles[[#This Row],[DESTINATARIO]],CHOOSE({1,2},Clientes_Proveedores[Razon Social],Clientes_Proveedores[Ruc / Dni]),2,0),"")</f>
        <v>20505675836</v>
      </c>
      <c r="X528" s="25"/>
      <c r="Y528" s="25"/>
      <c r="Z528" s="25"/>
      <c r="AA528" s="99"/>
      <c r="AB528" s="3" t="str">
        <f>IF(BCP_Soles[[#This Row],[FECHA]]&gt;0,TEXT(BCP_Soles[[#This Row],[FECHA]],"mmmm"),0)</f>
        <v>Febrero</v>
      </c>
    </row>
    <row r="529" spans="2:28" x14ac:dyDescent="0.3">
      <c r="B529" s="2" t="str">
        <f>IF(BCP_Soles[[#This Row],[TIPO DE R.]]="R",COUNTIFS($D$4:$D528,"R")+1,"")</f>
        <v/>
      </c>
      <c r="C529" s="19" t="str">
        <f t="shared" si="40"/>
        <v>B-BCP - Soles</v>
      </c>
      <c r="D529" s="3" t="s">
        <v>1101</v>
      </c>
      <c r="E529" s="14">
        <v>45705</v>
      </c>
      <c r="F529" s="5" t="s">
        <v>1082</v>
      </c>
      <c r="G529" s="5"/>
      <c r="H529" s="6" t="s">
        <v>289</v>
      </c>
      <c r="I529" s="6" t="s">
        <v>14</v>
      </c>
      <c r="J529" s="6" t="s">
        <v>1202</v>
      </c>
      <c r="K529" s="6">
        <v>38821</v>
      </c>
      <c r="L529" s="7" t="s">
        <v>1674</v>
      </c>
      <c r="M529" s="8">
        <v>3314491</v>
      </c>
      <c r="N529" s="8" t="str">
        <f t="shared" si="41"/>
        <v>PEN</v>
      </c>
      <c r="O529" s="13">
        <v>340.4</v>
      </c>
      <c r="P529" s="13"/>
      <c r="Q529" s="3">
        <f t="shared" si="42"/>
        <v>0</v>
      </c>
      <c r="R529" s="3">
        <f t="shared" si="43"/>
        <v>0</v>
      </c>
      <c r="S529" s="3">
        <f t="shared" si="44"/>
        <v>15102.179999999991</v>
      </c>
      <c r="T529" s="24"/>
      <c r="U529" s="24"/>
      <c r="V529" s="67"/>
      <c r="W529" s="25">
        <f>IFERROR(VLOOKUP(BCP_Soles[[#This Row],[DESTINATARIO]],CHOOSE({1,2},Clientes_Proveedores[Razon Social],Clientes_Proveedores[Ruc / Dni]),2,0),"")</f>
        <v>20505675836</v>
      </c>
      <c r="X529" s="25"/>
      <c r="Y529" s="25"/>
      <c r="Z529" s="25"/>
      <c r="AA529" s="99"/>
      <c r="AB529" s="3" t="str">
        <f>IF(BCP_Soles[[#This Row],[FECHA]]&gt;0,TEXT(BCP_Soles[[#This Row],[FECHA]],"mmmm"),0)</f>
        <v>Febrero</v>
      </c>
    </row>
    <row r="530" spans="2:28" ht="24" x14ac:dyDescent="0.3">
      <c r="B530" s="2" t="str">
        <f>IF(BCP_Soles[[#This Row],[TIPO DE R.]]="R",COUNTIFS($D$4:$D529,"R")+1,"")</f>
        <v/>
      </c>
      <c r="C530" s="19" t="str">
        <f t="shared" si="40"/>
        <v>B-BCP - Soles</v>
      </c>
      <c r="D530" s="3" t="s">
        <v>1101</v>
      </c>
      <c r="E530" s="14">
        <v>45705</v>
      </c>
      <c r="F530" s="5" t="s">
        <v>1082</v>
      </c>
      <c r="G530" s="5"/>
      <c r="H530" s="6" t="s">
        <v>214</v>
      </c>
      <c r="I530" s="6" t="s">
        <v>14</v>
      </c>
      <c r="J530" s="6" t="s">
        <v>1120</v>
      </c>
      <c r="K530" s="6">
        <v>6854</v>
      </c>
      <c r="L530" s="7" t="s">
        <v>1674</v>
      </c>
      <c r="M530" s="8">
        <v>3314491</v>
      </c>
      <c r="N530" s="8" t="str">
        <f t="shared" si="41"/>
        <v>PEN</v>
      </c>
      <c r="O530" s="13">
        <v>542.1</v>
      </c>
      <c r="P530" s="13"/>
      <c r="Q530" s="3">
        <f t="shared" si="42"/>
        <v>0</v>
      </c>
      <c r="R530" s="3">
        <f t="shared" si="43"/>
        <v>0</v>
      </c>
      <c r="S530" s="3">
        <f t="shared" si="44"/>
        <v>15102.179999999991</v>
      </c>
      <c r="T530" s="24"/>
      <c r="U530" s="24"/>
      <c r="V530" s="67"/>
      <c r="W530" s="25">
        <f>IFERROR(VLOOKUP(BCP_Soles[[#This Row],[DESTINATARIO]],CHOOSE({1,2},Clientes_Proveedores[Razon Social],Clientes_Proveedores[Ruc / Dni]),2,0),"")</f>
        <v>20419158462</v>
      </c>
      <c r="X530" s="25"/>
      <c r="Y530" s="25"/>
      <c r="Z530" s="25"/>
      <c r="AA530" s="99"/>
      <c r="AB530" s="3" t="str">
        <f>IF(BCP_Soles[[#This Row],[FECHA]]&gt;0,TEXT(BCP_Soles[[#This Row],[FECHA]],"mmmm"),0)</f>
        <v>Febrero</v>
      </c>
    </row>
    <row r="531" spans="2:28" x14ac:dyDescent="0.3">
      <c r="B531" s="2" t="str">
        <f>IF(BCP_Soles[[#This Row],[TIPO DE R.]]="R",COUNTIFS($D$4:$D530,"R")+1,"")</f>
        <v/>
      </c>
      <c r="C531" s="19" t="str">
        <f t="shared" si="40"/>
        <v>B-BCP - Soles</v>
      </c>
      <c r="D531" s="3" t="s">
        <v>1101</v>
      </c>
      <c r="E531" s="14">
        <v>45705</v>
      </c>
      <c r="F531" s="5" t="s">
        <v>1082</v>
      </c>
      <c r="G531" s="5"/>
      <c r="H531" s="6" t="s">
        <v>229</v>
      </c>
      <c r="I531" s="6" t="s">
        <v>14</v>
      </c>
      <c r="J531" s="6" t="s">
        <v>1148</v>
      </c>
      <c r="K531" s="6">
        <v>612</v>
      </c>
      <c r="L531" s="7" t="s">
        <v>1674</v>
      </c>
      <c r="M531" s="8">
        <v>3314491</v>
      </c>
      <c r="N531" s="8" t="str">
        <f t="shared" si="41"/>
        <v>PEN</v>
      </c>
      <c r="O531" s="13">
        <v>2276.61</v>
      </c>
      <c r="P531" s="13"/>
      <c r="Q531" s="3">
        <f t="shared" si="42"/>
        <v>0</v>
      </c>
      <c r="R531" s="3">
        <f t="shared" si="43"/>
        <v>0</v>
      </c>
      <c r="S531" s="3">
        <f t="shared" si="44"/>
        <v>15102.179999999991</v>
      </c>
      <c r="T531" s="24"/>
      <c r="U531" s="24"/>
      <c r="V531" s="67"/>
      <c r="W531" s="25">
        <f>IFERROR(VLOOKUP(BCP_Soles[[#This Row],[DESTINATARIO]],CHOOSE({1,2},Clientes_Proveedores[Razon Social],Clientes_Proveedores[Ruc / Dni]),2,0),"")</f>
        <v>20454186002</v>
      </c>
      <c r="X531" s="25"/>
      <c r="Y531" s="25"/>
      <c r="Z531" s="25"/>
      <c r="AA531" s="99"/>
      <c r="AB531" s="3" t="str">
        <f>IF(BCP_Soles[[#This Row],[FECHA]]&gt;0,TEXT(BCP_Soles[[#This Row],[FECHA]],"mmmm"),0)</f>
        <v>Febrero</v>
      </c>
    </row>
    <row r="532" spans="2:28" x14ac:dyDescent="0.3">
      <c r="B532" s="2" t="str">
        <f>IF(BCP_Soles[[#This Row],[TIPO DE R.]]="R",COUNTIFS($D$4:$D531,"R")+1,"")</f>
        <v/>
      </c>
      <c r="C532" s="19" t="str">
        <f t="shared" si="40"/>
        <v>B-BCP - Soles</v>
      </c>
      <c r="D532" s="3" t="s">
        <v>1101</v>
      </c>
      <c r="E532" s="14">
        <v>45705</v>
      </c>
      <c r="F532" s="5" t="s">
        <v>1082</v>
      </c>
      <c r="G532" s="5"/>
      <c r="H532" s="6" t="s">
        <v>465</v>
      </c>
      <c r="I532" s="6" t="s">
        <v>14</v>
      </c>
      <c r="J532" s="6" t="s">
        <v>1121</v>
      </c>
      <c r="K532" s="6">
        <v>3680</v>
      </c>
      <c r="L532" s="7" t="s">
        <v>1674</v>
      </c>
      <c r="M532" s="8">
        <v>3314491</v>
      </c>
      <c r="N532" s="8" t="str">
        <f t="shared" si="41"/>
        <v>PEN</v>
      </c>
      <c r="O532" s="13">
        <v>250.75</v>
      </c>
      <c r="P532" s="13"/>
      <c r="Q532" s="3">
        <f t="shared" si="42"/>
        <v>0</v>
      </c>
      <c r="R532" s="3">
        <f t="shared" si="43"/>
        <v>0</v>
      </c>
      <c r="S532" s="3">
        <f t="shared" si="44"/>
        <v>15102.179999999991</v>
      </c>
      <c r="T532" s="24"/>
      <c r="U532" s="24"/>
      <c r="V532" s="67"/>
      <c r="W532" s="25">
        <f>IFERROR(VLOOKUP(BCP_Soles[[#This Row],[DESTINATARIO]],CHOOSE({1,2},Clientes_Proveedores[Razon Social],Clientes_Proveedores[Ruc / Dni]),2,0),"")</f>
        <v>20603974817</v>
      </c>
      <c r="X532" s="25"/>
      <c r="Y532" s="25"/>
      <c r="Z532" s="25"/>
      <c r="AA532" s="99"/>
      <c r="AB532" s="3" t="str">
        <f>IF(BCP_Soles[[#This Row],[FECHA]]&gt;0,TEXT(BCP_Soles[[#This Row],[FECHA]],"mmmm"),0)</f>
        <v>Febrero</v>
      </c>
    </row>
    <row r="533" spans="2:28" ht="24" x14ac:dyDescent="0.3">
      <c r="B533" s="2" t="str">
        <f>IF(BCP_Soles[[#This Row],[TIPO DE R.]]="R",COUNTIFS($D$4:$D532,"R")+1,"")</f>
        <v/>
      </c>
      <c r="C533" s="19" t="str">
        <f t="shared" si="40"/>
        <v>B-BCP - Soles</v>
      </c>
      <c r="D533" s="3" t="s">
        <v>1101</v>
      </c>
      <c r="E533" s="14">
        <v>45705</v>
      </c>
      <c r="F533" s="5" t="s">
        <v>1082</v>
      </c>
      <c r="G533" s="5"/>
      <c r="H533" s="6" t="s">
        <v>536</v>
      </c>
      <c r="I533" s="6" t="s">
        <v>14</v>
      </c>
      <c r="J533" s="6" t="s">
        <v>1121</v>
      </c>
      <c r="K533" s="6">
        <v>1952</v>
      </c>
      <c r="L533" s="7" t="s">
        <v>1674</v>
      </c>
      <c r="M533" s="8">
        <v>3314491</v>
      </c>
      <c r="N533" s="8" t="str">
        <f t="shared" si="41"/>
        <v>PEN</v>
      </c>
      <c r="O533" s="13">
        <v>212.4</v>
      </c>
      <c r="P533" s="13"/>
      <c r="Q533" s="3">
        <f t="shared" si="42"/>
        <v>0</v>
      </c>
      <c r="R533" s="3">
        <f t="shared" si="43"/>
        <v>0</v>
      </c>
      <c r="S533" s="3">
        <f t="shared" si="44"/>
        <v>15102.179999999991</v>
      </c>
      <c r="T533" s="24"/>
      <c r="U533" s="24"/>
      <c r="V533" s="67"/>
      <c r="W533" s="25">
        <f>IFERROR(VLOOKUP(BCP_Soles[[#This Row],[DESTINATARIO]],CHOOSE({1,2},Clientes_Proveedores[Razon Social],Clientes_Proveedores[Ruc / Dni]),2,0),"")</f>
        <v>20609764261</v>
      </c>
      <c r="X533" s="25"/>
      <c r="Y533" s="25"/>
      <c r="Z533" s="25"/>
      <c r="AA533" s="99"/>
      <c r="AB533" s="3" t="str">
        <f>IF(BCP_Soles[[#This Row],[FECHA]]&gt;0,TEXT(BCP_Soles[[#This Row],[FECHA]],"mmmm"),0)</f>
        <v>Febrero</v>
      </c>
    </row>
    <row r="534" spans="2:28" ht="24" x14ac:dyDescent="0.3">
      <c r="B534" s="2">
        <f>IF(BCP_Soles[[#This Row],[TIPO DE R.]]="R",COUNTIFS($D$4:$D533,"R")+1,"")</f>
        <v>398</v>
      </c>
      <c r="C534" s="19" t="str">
        <f t="shared" si="40"/>
        <v>B-BCP - Soles</v>
      </c>
      <c r="D534" s="3" t="s">
        <v>1074</v>
      </c>
      <c r="E534" s="14">
        <v>45705</v>
      </c>
      <c r="F534" s="5" t="s">
        <v>1082</v>
      </c>
      <c r="G534" s="5" t="s">
        <v>1079</v>
      </c>
      <c r="H534" s="6" t="s">
        <v>798</v>
      </c>
      <c r="I534" s="6" t="s">
        <v>87</v>
      </c>
      <c r="J534" s="6">
        <v>1</v>
      </c>
      <c r="K534" s="6">
        <v>152025</v>
      </c>
      <c r="L534" s="7" t="s">
        <v>1675</v>
      </c>
      <c r="M534" s="8">
        <v>1009632</v>
      </c>
      <c r="N534" s="8" t="str">
        <f t="shared" si="41"/>
        <v>PEN</v>
      </c>
      <c r="O534" s="13"/>
      <c r="P534" s="13">
        <v>147</v>
      </c>
      <c r="Q534" s="3">
        <f t="shared" si="42"/>
        <v>0</v>
      </c>
      <c r="R534" s="3">
        <f t="shared" si="43"/>
        <v>147</v>
      </c>
      <c r="S534" s="3">
        <f t="shared" si="44"/>
        <v>14955.179999999991</v>
      </c>
      <c r="T534" s="24" t="s">
        <v>1081</v>
      </c>
      <c r="U534" s="24" t="s">
        <v>1081</v>
      </c>
      <c r="V534" s="67"/>
      <c r="W534" s="25">
        <f>IFERROR(VLOOKUP(BCP_Soles[[#This Row],[DESTINATARIO]],CHOOSE({1,2},Clientes_Proveedores[Razon Social],Clientes_Proveedores[Ruc / Dni]),2,0),"")</f>
        <v>70666331</v>
      </c>
      <c r="X534" s="25"/>
      <c r="Y534" s="25"/>
      <c r="Z534" s="25"/>
      <c r="AA534" s="99"/>
      <c r="AB534" s="3" t="str">
        <f>IF(BCP_Soles[[#This Row],[FECHA]]&gt;0,TEXT(BCP_Soles[[#This Row],[FECHA]],"mmmm"),0)</f>
        <v>Febrero</v>
      </c>
    </row>
    <row r="535" spans="2:28" ht="24" x14ac:dyDescent="0.3">
      <c r="B535" s="2">
        <f>IF(BCP_Soles[[#This Row],[TIPO DE R.]]="R",COUNTIFS($D$4:$D534,"R")+1,"")</f>
        <v>399</v>
      </c>
      <c r="C535" s="19" t="str">
        <f t="shared" si="40"/>
        <v>B-BCP - Soles</v>
      </c>
      <c r="D535" s="3" t="s">
        <v>1074</v>
      </c>
      <c r="E535" s="14">
        <v>45705</v>
      </c>
      <c r="F535" s="5" t="s">
        <v>1082</v>
      </c>
      <c r="G535" s="5" t="s">
        <v>1079</v>
      </c>
      <c r="H535" s="6" t="s">
        <v>798</v>
      </c>
      <c r="I535" s="6" t="s">
        <v>87</v>
      </c>
      <c r="J535" s="6">
        <v>1</v>
      </c>
      <c r="K535" s="6">
        <v>52025</v>
      </c>
      <c r="L535" s="7" t="s">
        <v>1676</v>
      </c>
      <c r="M535" s="8">
        <v>1062658</v>
      </c>
      <c r="N535" s="8" t="str">
        <f t="shared" si="41"/>
        <v>PEN</v>
      </c>
      <c r="O535" s="13"/>
      <c r="P535" s="13">
        <v>21</v>
      </c>
      <c r="Q535" s="3">
        <f t="shared" si="42"/>
        <v>0</v>
      </c>
      <c r="R535" s="3">
        <f t="shared" si="43"/>
        <v>21</v>
      </c>
      <c r="S535" s="3">
        <f t="shared" si="44"/>
        <v>14934.179999999991</v>
      </c>
      <c r="T535" s="24" t="s">
        <v>1081</v>
      </c>
      <c r="U535" s="24"/>
      <c r="V535" s="67"/>
      <c r="W535" s="25">
        <f>IFERROR(VLOOKUP(BCP_Soles[[#This Row],[DESTINATARIO]],CHOOSE({1,2},Clientes_Proveedores[Razon Social],Clientes_Proveedores[Ruc / Dni]),2,0),"")</f>
        <v>70666331</v>
      </c>
      <c r="X535" s="25"/>
      <c r="Y535" s="25"/>
      <c r="Z535" s="25"/>
      <c r="AA535" s="99"/>
      <c r="AB535" s="3" t="str">
        <f>IF(BCP_Soles[[#This Row],[FECHA]]&gt;0,TEXT(BCP_Soles[[#This Row],[FECHA]],"mmmm"),0)</f>
        <v>Febrero</v>
      </c>
    </row>
    <row r="536" spans="2:28" x14ac:dyDescent="0.3">
      <c r="B536" s="2">
        <f>IF(BCP_Soles[[#This Row],[TIPO DE R.]]="R",COUNTIFS($D$4:$D535,"R")+1,"")</f>
        <v>400</v>
      </c>
      <c r="C536" s="19" t="str">
        <f t="shared" si="40"/>
        <v>B-BCP - Soles</v>
      </c>
      <c r="D536" s="3" t="s">
        <v>1074</v>
      </c>
      <c r="E536" s="14">
        <v>45705</v>
      </c>
      <c r="F536" s="5"/>
      <c r="G536" s="5" t="s">
        <v>1087</v>
      </c>
      <c r="H536" s="6"/>
      <c r="I536" s="6"/>
      <c r="J536" s="6"/>
      <c r="K536" s="6"/>
      <c r="L536" s="7" t="s">
        <v>1100</v>
      </c>
      <c r="M536" s="8">
        <v>4616761</v>
      </c>
      <c r="N536" s="8" t="str">
        <f t="shared" si="41"/>
        <v>PEN</v>
      </c>
      <c r="O536" s="13"/>
      <c r="P536" s="13">
        <v>250</v>
      </c>
      <c r="Q536" s="3">
        <f t="shared" si="42"/>
        <v>250</v>
      </c>
      <c r="R536" s="3">
        <f t="shared" si="43"/>
        <v>0</v>
      </c>
      <c r="S536" s="3">
        <f t="shared" si="44"/>
        <v>15184.179999999991</v>
      </c>
      <c r="T536" s="24"/>
      <c r="U536" s="24"/>
      <c r="V536" s="67"/>
      <c r="W536" s="25" t="str">
        <f>IFERROR(VLOOKUP(BCP_Soles[[#This Row],[DESTINATARIO]],CHOOSE({1,2},Clientes_Proveedores[Razon Social],Clientes_Proveedores[Ruc / Dni]),2,0),"")</f>
        <v/>
      </c>
      <c r="X536" s="25" t="s">
        <v>1090</v>
      </c>
      <c r="Y536" s="25"/>
      <c r="Z536" s="25"/>
      <c r="AA536" s="99"/>
      <c r="AB536" s="3" t="str">
        <f>IF(BCP_Soles[[#This Row],[FECHA]]&gt;0,TEXT(BCP_Soles[[#This Row],[FECHA]],"mmmm"),0)</f>
        <v>Febrero</v>
      </c>
    </row>
    <row r="537" spans="2:28" x14ac:dyDescent="0.3">
      <c r="B537" s="2">
        <f>IF(BCP_Soles[[#This Row],[TIPO DE R.]]="R",COUNTIFS($D$4:$D536,"R")+1,"")</f>
        <v>401</v>
      </c>
      <c r="C537" s="19" t="str">
        <f t="shared" si="40"/>
        <v>B-BCP - Soles</v>
      </c>
      <c r="D537" s="3" t="s">
        <v>1074</v>
      </c>
      <c r="E537" s="14">
        <v>45705</v>
      </c>
      <c r="F537" s="5" t="s">
        <v>1078</v>
      </c>
      <c r="G537" s="5" t="s">
        <v>1079</v>
      </c>
      <c r="H537" s="6"/>
      <c r="I537" s="6"/>
      <c r="J537" s="6"/>
      <c r="K537" s="6"/>
      <c r="L537" s="7" t="s">
        <v>1080</v>
      </c>
      <c r="M537" s="8"/>
      <c r="N537" s="8" t="str">
        <f t="shared" si="41"/>
        <v>PEN</v>
      </c>
      <c r="O537" s="13"/>
      <c r="P537" s="13">
        <v>1.1499999999999999</v>
      </c>
      <c r="Q537" s="3">
        <f t="shared" si="42"/>
        <v>0</v>
      </c>
      <c r="R537" s="3">
        <f t="shared" si="43"/>
        <v>1.1499999999999999</v>
      </c>
      <c r="S537" s="3">
        <f t="shared" si="44"/>
        <v>15183.029999999992</v>
      </c>
      <c r="T537" s="24"/>
      <c r="U537" s="24" t="s">
        <v>1081</v>
      </c>
      <c r="V537" s="67"/>
      <c r="W537" s="25" t="str">
        <f>IFERROR(VLOOKUP(BCP_Soles[[#This Row],[DESTINATARIO]],CHOOSE({1,2},Clientes_Proveedores[Razon Social],Clientes_Proveedores[Ruc / Dni]),2,0),"")</f>
        <v/>
      </c>
      <c r="X537" s="25"/>
      <c r="Y537" s="25"/>
      <c r="Z537" s="25"/>
      <c r="AA537" s="99"/>
      <c r="AB537" s="3" t="str">
        <f>IF(BCP_Soles[[#This Row],[FECHA]]&gt;0,TEXT(BCP_Soles[[#This Row],[FECHA]],"mmmm"),0)</f>
        <v>Febrero</v>
      </c>
    </row>
    <row r="538" spans="2:28" x14ac:dyDescent="0.3">
      <c r="B538" s="2">
        <f>IF(BCP_Soles[[#This Row],[TIPO DE R.]]="R",COUNTIFS($D$4:$D537,"R")+1,"")</f>
        <v>402</v>
      </c>
      <c r="C538" s="19" t="str">
        <f t="shared" si="40"/>
        <v>B-BCP - Soles</v>
      </c>
      <c r="D538" s="3" t="s">
        <v>1074</v>
      </c>
      <c r="E538" s="14">
        <v>45705</v>
      </c>
      <c r="F538" s="5" t="s">
        <v>1078</v>
      </c>
      <c r="G538" s="5" t="s">
        <v>1079</v>
      </c>
      <c r="H538" s="6"/>
      <c r="I538" s="6"/>
      <c r="J538" s="6"/>
      <c r="K538" s="6"/>
      <c r="L538" s="7" t="s">
        <v>1292</v>
      </c>
      <c r="M538" s="8">
        <v>961974</v>
      </c>
      <c r="N538" s="8" t="str">
        <f t="shared" si="41"/>
        <v>PEN</v>
      </c>
      <c r="O538" s="13"/>
      <c r="P538" s="13">
        <v>10</v>
      </c>
      <c r="Q538" s="3">
        <f t="shared" si="42"/>
        <v>0</v>
      </c>
      <c r="R538" s="3">
        <f t="shared" si="43"/>
        <v>10</v>
      </c>
      <c r="S538" s="3">
        <f t="shared" si="44"/>
        <v>15173.029999999992</v>
      </c>
      <c r="T538" s="24"/>
      <c r="U538" s="24" t="s">
        <v>1081</v>
      </c>
      <c r="V538" s="67"/>
      <c r="W538" s="25" t="str">
        <f>IFERROR(VLOOKUP(BCP_Soles[[#This Row],[DESTINATARIO]],CHOOSE({1,2},Clientes_Proveedores[Razon Social],Clientes_Proveedores[Ruc / Dni]),2,0),"")</f>
        <v/>
      </c>
      <c r="X538" s="25" t="s">
        <v>1078</v>
      </c>
      <c r="Y538" s="25" t="s">
        <v>1677</v>
      </c>
      <c r="Z538" s="25"/>
      <c r="AA538" s="99"/>
      <c r="AB538" s="3" t="str">
        <f>IF(BCP_Soles[[#This Row],[FECHA]]&gt;0,TEXT(BCP_Soles[[#This Row],[FECHA]],"mmmm"),0)</f>
        <v>Febrero</v>
      </c>
    </row>
    <row r="539" spans="2:28" x14ac:dyDescent="0.3">
      <c r="B539" s="2">
        <f>IF(BCP_Soles[[#This Row],[TIPO DE R.]]="R",COUNTIFS($D$4:$D538,"R")+1,"")</f>
        <v>403</v>
      </c>
      <c r="C539" s="19" t="str">
        <f t="shared" si="40"/>
        <v>B-BCP - Soles</v>
      </c>
      <c r="D539" s="3" t="s">
        <v>1074</v>
      </c>
      <c r="E539" s="14">
        <v>45705</v>
      </c>
      <c r="F539" s="5" t="s">
        <v>1082</v>
      </c>
      <c r="G539" s="5" t="s">
        <v>1079</v>
      </c>
      <c r="H539" s="6"/>
      <c r="I539" s="6"/>
      <c r="J539" s="6"/>
      <c r="K539" s="6"/>
      <c r="L539" s="7" t="s">
        <v>1678</v>
      </c>
      <c r="M539" s="8">
        <v>102481</v>
      </c>
      <c r="N539" s="8" t="str">
        <f t="shared" si="41"/>
        <v>PEN</v>
      </c>
      <c r="O539" s="13"/>
      <c r="P539" s="13">
        <v>676.47</v>
      </c>
      <c r="Q539" s="3">
        <f t="shared" si="42"/>
        <v>0</v>
      </c>
      <c r="R539" s="3">
        <f t="shared" si="43"/>
        <v>676.47</v>
      </c>
      <c r="S539" s="3">
        <f t="shared" si="44"/>
        <v>14496.559999999992</v>
      </c>
      <c r="T539" s="24" t="s">
        <v>1081</v>
      </c>
      <c r="U539" s="24" t="s">
        <v>1081</v>
      </c>
      <c r="V539" s="67"/>
      <c r="W539" s="25" t="str">
        <f>IFERROR(VLOOKUP(BCP_Soles[[#This Row],[DESTINATARIO]],CHOOSE({1,2},Clientes_Proveedores[Razon Social],Clientes_Proveedores[Ruc / Dni]),2,0),"")</f>
        <v/>
      </c>
      <c r="X539" s="25" t="s">
        <v>1679</v>
      </c>
      <c r="Y539" s="25" t="s">
        <v>1680</v>
      </c>
      <c r="Z539" s="25"/>
      <c r="AA539" s="99"/>
      <c r="AB539" s="3" t="str">
        <f>IF(BCP_Soles[[#This Row],[FECHA]]&gt;0,TEXT(BCP_Soles[[#This Row],[FECHA]],"mmmm"),0)</f>
        <v>Febrero</v>
      </c>
    </row>
    <row r="540" spans="2:28" ht="24" x14ac:dyDescent="0.3">
      <c r="B540" s="2">
        <f>IF(BCP_Soles[[#This Row],[TIPO DE R.]]="R",COUNTIFS($D$4:$D539,"R")+1,"")</f>
        <v>404</v>
      </c>
      <c r="C540" s="19" t="str">
        <f t="shared" si="40"/>
        <v>B-BCP - Soles</v>
      </c>
      <c r="D540" s="3" t="s">
        <v>1074</v>
      </c>
      <c r="E540" s="14">
        <v>45706</v>
      </c>
      <c r="F540" s="5" t="s">
        <v>1681</v>
      </c>
      <c r="G540" s="5" t="s">
        <v>1087</v>
      </c>
      <c r="H540" s="6"/>
      <c r="I540" s="6"/>
      <c r="J540" s="6"/>
      <c r="K540" s="6"/>
      <c r="L540" s="7" t="s">
        <v>1100</v>
      </c>
      <c r="M540" s="8">
        <v>3392374</v>
      </c>
      <c r="N540" s="8" t="str">
        <f t="shared" si="41"/>
        <v>PEN</v>
      </c>
      <c r="O540" s="13"/>
      <c r="P540" s="13">
        <v>1318</v>
      </c>
      <c r="Q540" s="3">
        <f t="shared" si="42"/>
        <v>1318</v>
      </c>
      <c r="R540" s="3">
        <f t="shared" si="43"/>
        <v>0</v>
      </c>
      <c r="S540" s="3">
        <f t="shared" si="44"/>
        <v>15814.559999999992</v>
      </c>
      <c r="T540" s="24" t="s">
        <v>1081</v>
      </c>
      <c r="U540" s="24" t="s">
        <v>1081</v>
      </c>
      <c r="V540" s="67"/>
      <c r="W540" s="25" t="str">
        <f>IFERROR(VLOOKUP(BCP_Soles[[#This Row],[DESTINATARIO]],CHOOSE({1,2},Clientes_Proveedores[Razon Social],Clientes_Proveedores[Ruc / Dni]),2,0),"")</f>
        <v/>
      </c>
      <c r="X540" s="25" t="s">
        <v>1090</v>
      </c>
      <c r="Y540" s="25" t="s">
        <v>1682</v>
      </c>
      <c r="Z540" s="25"/>
      <c r="AA540" s="99"/>
      <c r="AB540" s="3" t="str">
        <f>IF(BCP_Soles[[#This Row],[FECHA]]&gt;0,TEXT(BCP_Soles[[#This Row],[FECHA]],"mmmm"),0)</f>
        <v>Febrero</v>
      </c>
    </row>
    <row r="541" spans="2:28" ht="60" x14ac:dyDescent="0.3">
      <c r="B541" s="2">
        <f>IF(BCP_Soles[[#This Row],[TIPO DE R.]]="R",COUNTIFS($D$4:$D540,"R")+1,"")</f>
        <v>405</v>
      </c>
      <c r="C541" s="19" t="str">
        <f t="shared" si="40"/>
        <v>B-BCP - Soles</v>
      </c>
      <c r="D541" s="3" t="s">
        <v>1074</v>
      </c>
      <c r="E541" s="14">
        <v>45706</v>
      </c>
      <c r="F541" s="5" t="s">
        <v>1683</v>
      </c>
      <c r="G541" s="5" t="s">
        <v>1087</v>
      </c>
      <c r="H541" s="6"/>
      <c r="I541" s="6"/>
      <c r="J541" s="6"/>
      <c r="K541" s="6"/>
      <c r="L541" s="7" t="s">
        <v>1100</v>
      </c>
      <c r="M541" s="8">
        <v>961133</v>
      </c>
      <c r="N541" s="8" t="str">
        <f t="shared" si="41"/>
        <v>PEN</v>
      </c>
      <c r="O541" s="13"/>
      <c r="P541" s="13">
        <v>589.79999999999995</v>
      </c>
      <c r="Q541" s="3">
        <f t="shared" si="42"/>
        <v>589.79999999999995</v>
      </c>
      <c r="R541" s="3">
        <f t="shared" si="43"/>
        <v>0</v>
      </c>
      <c r="S541" s="3">
        <f t="shared" si="44"/>
        <v>16404.359999999993</v>
      </c>
      <c r="T541" s="24" t="s">
        <v>1081</v>
      </c>
      <c r="U541" s="24" t="s">
        <v>1081</v>
      </c>
      <c r="V541" s="67"/>
      <c r="W541" s="25" t="str">
        <f>IFERROR(VLOOKUP(BCP_Soles[[#This Row],[DESTINATARIO]],CHOOSE({1,2},Clientes_Proveedores[Razon Social],Clientes_Proveedores[Ruc / Dni]),2,0),"")</f>
        <v/>
      </c>
      <c r="X541" s="25" t="s">
        <v>1090</v>
      </c>
      <c r="Y541" s="25" t="s">
        <v>1684</v>
      </c>
      <c r="Z541" s="25"/>
      <c r="AA541" s="99"/>
      <c r="AB541" s="3" t="str">
        <f>IF(BCP_Soles[[#This Row],[FECHA]]&gt;0,TEXT(BCP_Soles[[#This Row],[FECHA]],"mmmm"),0)</f>
        <v>Febrero</v>
      </c>
    </row>
    <row r="542" spans="2:28" ht="24" x14ac:dyDescent="0.3">
      <c r="B542" s="2">
        <f>IF(BCP_Soles[[#This Row],[TIPO DE R.]]="R",COUNTIFS($D$4:$D541,"R")+1,"")</f>
        <v>406</v>
      </c>
      <c r="C542" s="19" t="str">
        <f t="shared" si="40"/>
        <v>B-BCP - Soles</v>
      </c>
      <c r="D542" s="3" t="s">
        <v>1074</v>
      </c>
      <c r="E542" s="14">
        <v>45706</v>
      </c>
      <c r="F542" s="5" t="s">
        <v>585</v>
      </c>
      <c r="G542" s="5" t="s">
        <v>1087</v>
      </c>
      <c r="H542" s="6"/>
      <c r="I542" s="6"/>
      <c r="J542" s="6"/>
      <c r="K542" s="6"/>
      <c r="L542" s="7" t="s">
        <v>1685</v>
      </c>
      <c r="M542" s="8">
        <v>3743803</v>
      </c>
      <c r="N542" s="8" t="str">
        <f t="shared" si="41"/>
        <v>PEN</v>
      </c>
      <c r="O542" s="13"/>
      <c r="P542" s="13">
        <v>375.95</v>
      </c>
      <c r="Q542" s="3">
        <f t="shared" si="42"/>
        <v>375.95</v>
      </c>
      <c r="R542" s="3">
        <f t="shared" si="43"/>
        <v>0</v>
      </c>
      <c r="S542" s="3">
        <f t="shared" si="44"/>
        <v>16780.309999999994</v>
      </c>
      <c r="T542" s="24" t="s">
        <v>1081</v>
      </c>
      <c r="U542" s="24" t="s">
        <v>1081</v>
      </c>
      <c r="V542" s="67"/>
      <c r="W542" s="25" t="str">
        <f>IFERROR(VLOOKUP(BCP_Soles[[#This Row],[DESTINATARIO]],CHOOSE({1,2},Clientes_Proveedores[Razon Social],Clientes_Proveedores[Ruc / Dni]),2,0),"")</f>
        <v/>
      </c>
      <c r="X542" s="25" t="s">
        <v>1090</v>
      </c>
      <c r="Y542" s="25" t="s">
        <v>1686</v>
      </c>
      <c r="Z542" s="25"/>
      <c r="AA542" s="99"/>
      <c r="AB542" s="3" t="str">
        <f>IF(BCP_Soles[[#This Row],[FECHA]]&gt;0,TEXT(BCP_Soles[[#This Row],[FECHA]],"mmmm"),0)</f>
        <v>Febrero</v>
      </c>
    </row>
    <row r="543" spans="2:28" x14ac:dyDescent="0.3">
      <c r="B543" s="2">
        <f>IF(BCP_Soles[[#This Row],[TIPO DE R.]]="R",COUNTIFS($D$4:$D542,"R")+1,"")</f>
        <v>407</v>
      </c>
      <c r="C543" s="19" t="str">
        <f t="shared" si="40"/>
        <v>B-BCP - Soles</v>
      </c>
      <c r="D543" s="3" t="s">
        <v>1074</v>
      </c>
      <c r="E543" s="14">
        <v>45706</v>
      </c>
      <c r="F543" s="5" t="s">
        <v>1078</v>
      </c>
      <c r="G543" s="5" t="s">
        <v>1079</v>
      </c>
      <c r="H543" s="6"/>
      <c r="I543" s="6"/>
      <c r="J543" s="6"/>
      <c r="K543" s="6"/>
      <c r="L543" s="7" t="s">
        <v>1080</v>
      </c>
      <c r="M543" s="8"/>
      <c r="N543" s="8" t="str">
        <f t="shared" si="41"/>
        <v>PEN</v>
      </c>
      <c r="O543" s="13"/>
      <c r="P543" s="13">
        <v>0.3</v>
      </c>
      <c r="Q543" s="3">
        <f t="shared" si="42"/>
        <v>0</v>
      </c>
      <c r="R543" s="3">
        <f t="shared" si="43"/>
        <v>0.3</v>
      </c>
      <c r="S543" s="3">
        <f t="shared" si="44"/>
        <v>16780.009999999995</v>
      </c>
      <c r="T543" s="24"/>
      <c r="U543" s="24" t="s">
        <v>1081</v>
      </c>
      <c r="V543" s="67"/>
      <c r="W543" s="25" t="str">
        <f>IFERROR(VLOOKUP(BCP_Soles[[#This Row],[DESTINATARIO]],CHOOSE({1,2},Clientes_Proveedores[Razon Social],Clientes_Proveedores[Ruc / Dni]),2,0),"")</f>
        <v/>
      </c>
      <c r="X543" s="25"/>
      <c r="Y543" s="25"/>
      <c r="Z543" s="25"/>
      <c r="AA543" s="99"/>
      <c r="AB543" s="3" t="str">
        <f>IF(BCP_Soles[[#This Row],[FECHA]]&gt;0,TEXT(BCP_Soles[[#This Row],[FECHA]],"mmmm"),0)</f>
        <v>Febrero</v>
      </c>
    </row>
    <row r="544" spans="2:28" ht="36" x14ac:dyDescent="0.3">
      <c r="B544" s="2">
        <f>IF(BCP_Soles[[#This Row],[TIPO DE R.]]="R",COUNTIFS($D$4:$D543,"R")+1,"")</f>
        <v>408</v>
      </c>
      <c r="C544" s="19" t="str">
        <f t="shared" si="40"/>
        <v>B-BCP - Soles</v>
      </c>
      <c r="D544" s="3" t="s">
        <v>1074</v>
      </c>
      <c r="E544" s="14">
        <v>45706</v>
      </c>
      <c r="F544" s="5" t="s">
        <v>1082</v>
      </c>
      <c r="G544" s="5" t="s">
        <v>1079</v>
      </c>
      <c r="H544" s="6" t="s">
        <v>644</v>
      </c>
      <c r="I544" s="6" t="s">
        <v>14</v>
      </c>
      <c r="J544" s="6" t="s">
        <v>1204</v>
      </c>
      <c r="K544" s="6">
        <v>609322</v>
      </c>
      <c r="L544" s="7" t="s">
        <v>1432</v>
      </c>
      <c r="M544" s="8">
        <v>112332</v>
      </c>
      <c r="N544" s="8" t="str">
        <f t="shared" si="41"/>
        <v>PEN</v>
      </c>
      <c r="O544" s="13"/>
      <c r="P544" s="13">
        <v>35.4</v>
      </c>
      <c r="Q544" s="3">
        <f t="shared" si="42"/>
        <v>0</v>
      </c>
      <c r="R544" s="3">
        <f t="shared" si="43"/>
        <v>35.4</v>
      </c>
      <c r="S544" s="3">
        <f t="shared" si="44"/>
        <v>16744.609999999993</v>
      </c>
      <c r="T544" s="24" t="s">
        <v>1081</v>
      </c>
      <c r="U544" s="24" t="s">
        <v>1081</v>
      </c>
      <c r="V544" s="67"/>
      <c r="W544" s="25">
        <f>IFERROR(VLOOKUP(BCP_Soles[[#This Row],[DESTINATARIO]],CHOOSE({1,2},Clientes_Proveedores[Razon Social],Clientes_Proveedores[Ruc / Dni]),2,0),"")</f>
        <v>20454073143</v>
      </c>
      <c r="X544" s="25" t="s">
        <v>1206</v>
      </c>
      <c r="Y544" s="25" t="s">
        <v>1687</v>
      </c>
      <c r="Z544" s="25"/>
      <c r="AA544" s="99"/>
      <c r="AB544" s="3" t="str">
        <f>IF(BCP_Soles[[#This Row],[FECHA]]&gt;0,TEXT(BCP_Soles[[#This Row],[FECHA]],"mmmm"),0)</f>
        <v>Febrero</v>
      </c>
    </row>
    <row r="545" spans="2:28" ht="24" x14ac:dyDescent="0.3">
      <c r="B545" s="2">
        <f>IF(BCP_Soles[[#This Row],[TIPO DE R.]]="R",COUNTIFS($D$4:$D544,"R")+1,"")</f>
        <v>409</v>
      </c>
      <c r="C545" s="19" t="str">
        <f t="shared" si="40"/>
        <v>B-BCP - Soles</v>
      </c>
      <c r="D545" s="3" t="s">
        <v>1074</v>
      </c>
      <c r="E545" s="14">
        <v>45706</v>
      </c>
      <c r="F545" s="5" t="s">
        <v>1082</v>
      </c>
      <c r="G545" s="5" t="s">
        <v>1079</v>
      </c>
      <c r="H545" s="6"/>
      <c r="I545" s="6" t="s">
        <v>14</v>
      </c>
      <c r="J545" s="6" t="s">
        <v>1121</v>
      </c>
      <c r="K545" s="6">
        <v>396</v>
      </c>
      <c r="L545" s="7" t="s">
        <v>1688</v>
      </c>
      <c r="M545" s="8">
        <v>1105309</v>
      </c>
      <c r="N545" s="8" t="str">
        <f t="shared" si="41"/>
        <v>PEN</v>
      </c>
      <c r="O545" s="13"/>
      <c r="P545" s="13">
        <v>40</v>
      </c>
      <c r="Q545" s="3">
        <f t="shared" si="42"/>
        <v>0</v>
      </c>
      <c r="R545" s="3">
        <f t="shared" si="43"/>
        <v>40</v>
      </c>
      <c r="S545" s="3">
        <f t="shared" si="44"/>
        <v>16704.609999999993</v>
      </c>
      <c r="T545" s="24" t="s">
        <v>1081</v>
      </c>
      <c r="U545" s="24" t="s">
        <v>1081</v>
      </c>
      <c r="V545" s="67"/>
      <c r="W545" s="25" t="str">
        <f>IFERROR(VLOOKUP(BCP_Soles[[#This Row],[DESTINATARIO]],CHOOSE({1,2},Clientes_Proveedores[Razon Social],Clientes_Proveedores[Ruc / Dni]),2,0),"")</f>
        <v/>
      </c>
      <c r="X545" s="25" t="s">
        <v>1689</v>
      </c>
      <c r="Y545" s="25" t="s">
        <v>1690</v>
      </c>
      <c r="Z545" s="25"/>
      <c r="AA545" s="99"/>
      <c r="AB545" s="3" t="str">
        <f>IF(BCP_Soles[[#This Row],[FECHA]]&gt;0,TEXT(BCP_Soles[[#This Row],[FECHA]],"mmmm"),0)</f>
        <v>Febrero</v>
      </c>
    </row>
    <row r="546" spans="2:28" ht="36" x14ac:dyDescent="0.3">
      <c r="B546" s="2">
        <f>IF(BCP_Soles[[#This Row],[TIPO DE R.]]="R",COUNTIFS($D$4:$D545,"R")+1,"")</f>
        <v>410</v>
      </c>
      <c r="C546" s="19" t="str">
        <f t="shared" si="40"/>
        <v>B-BCP - Soles</v>
      </c>
      <c r="D546" s="3" t="s">
        <v>1074</v>
      </c>
      <c r="E546" s="14">
        <v>45706</v>
      </c>
      <c r="F546" s="5" t="s">
        <v>1082</v>
      </c>
      <c r="G546" s="5" t="s">
        <v>1079</v>
      </c>
      <c r="H546" s="6" t="s">
        <v>644</v>
      </c>
      <c r="I546" s="6" t="s">
        <v>14</v>
      </c>
      <c r="J546" s="6" t="s">
        <v>1204</v>
      </c>
      <c r="K546" s="6">
        <v>482204</v>
      </c>
      <c r="L546" s="7" t="s">
        <v>1205</v>
      </c>
      <c r="M546" s="8">
        <v>101345</v>
      </c>
      <c r="N546" s="8" t="str">
        <f t="shared" si="41"/>
        <v>PEN</v>
      </c>
      <c r="O546" s="13"/>
      <c r="P546" s="13">
        <v>88.5</v>
      </c>
      <c r="Q546" s="3">
        <f t="shared" si="42"/>
        <v>0</v>
      </c>
      <c r="R546" s="3">
        <f t="shared" si="43"/>
        <v>88.5</v>
      </c>
      <c r="S546" s="3">
        <f t="shared" si="44"/>
        <v>16616.109999999993</v>
      </c>
      <c r="T546" s="24" t="s">
        <v>1081</v>
      </c>
      <c r="U546" s="24" t="s">
        <v>1081</v>
      </c>
      <c r="V546" s="67"/>
      <c r="W546" s="25">
        <f>IFERROR(VLOOKUP(BCP_Soles[[#This Row],[DESTINATARIO]],CHOOSE({1,2},Clientes_Proveedores[Razon Social],Clientes_Proveedores[Ruc / Dni]),2,0),"")</f>
        <v>20454073143</v>
      </c>
      <c r="X546" s="25" t="s">
        <v>1206</v>
      </c>
      <c r="Y546" s="25" t="s">
        <v>1691</v>
      </c>
      <c r="Z546" s="25"/>
      <c r="AA546" s="99"/>
      <c r="AB546" s="3" t="str">
        <f>IF(BCP_Soles[[#This Row],[FECHA]]&gt;0,TEXT(BCP_Soles[[#This Row],[FECHA]],"mmmm"),0)</f>
        <v>Febrero</v>
      </c>
    </row>
    <row r="547" spans="2:28" ht="24" x14ac:dyDescent="0.3">
      <c r="B547" s="2">
        <f>IF(BCP_Soles[[#This Row],[TIPO DE R.]]="R",COUNTIFS($D$4:$D546,"R")+1,"")</f>
        <v>411</v>
      </c>
      <c r="C547" s="19" t="str">
        <f t="shared" si="40"/>
        <v>B-BCP - Soles</v>
      </c>
      <c r="D547" s="3" t="s">
        <v>1074</v>
      </c>
      <c r="E547" s="14">
        <v>45706</v>
      </c>
      <c r="F547" s="5" t="s">
        <v>1158</v>
      </c>
      <c r="G547" s="5" t="s">
        <v>1079</v>
      </c>
      <c r="H547" s="6"/>
      <c r="I547" s="6"/>
      <c r="J547" s="6"/>
      <c r="K547" s="6"/>
      <c r="L547" s="7" t="s">
        <v>1692</v>
      </c>
      <c r="M547" s="8">
        <v>1120280</v>
      </c>
      <c r="N547" s="8" t="str">
        <f t="shared" si="41"/>
        <v>PEN</v>
      </c>
      <c r="O547" s="13"/>
      <c r="P547" s="13">
        <v>180</v>
      </c>
      <c r="Q547" s="3">
        <f t="shared" si="42"/>
        <v>0</v>
      </c>
      <c r="R547" s="3">
        <f t="shared" si="43"/>
        <v>180</v>
      </c>
      <c r="S547" s="3">
        <f t="shared" si="44"/>
        <v>16436.109999999993</v>
      </c>
      <c r="T547" s="24"/>
      <c r="U547" s="24"/>
      <c r="V547" s="67"/>
      <c r="W547" s="25" t="str">
        <f>IFERROR(VLOOKUP(BCP_Soles[[#This Row],[DESTINATARIO]],CHOOSE({1,2},Clientes_Proveedores[Razon Social],Clientes_Proveedores[Ruc / Dni]),2,0),"")</f>
        <v/>
      </c>
      <c r="X547" s="25" t="s">
        <v>962</v>
      </c>
      <c r="Y547" s="25"/>
      <c r="Z547" s="25"/>
      <c r="AA547" s="99"/>
      <c r="AB547" s="3" t="str">
        <f>IF(BCP_Soles[[#This Row],[FECHA]]&gt;0,TEXT(BCP_Soles[[#This Row],[FECHA]],"mmmm"),0)</f>
        <v>Febrero</v>
      </c>
    </row>
    <row r="548" spans="2:28" ht="24" x14ac:dyDescent="0.3">
      <c r="B548" s="2">
        <f>IF(BCP_Soles[[#This Row],[TIPO DE R.]]="R",COUNTIFS($D$4:$D547,"R")+1,"")</f>
        <v>412</v>
      </c>
      <c r="C548" s="19" t="str">
        <f t="shared" si="40"/>
        <v>B-BCP - Soles</v>
      </c>
      <c r="D548" s="3" t="s">
        <v>1074</v>
      </c>
      <c r="E548" s="14">
        <v>45706</v>
      </c>
      <c r="F548" s="5" t="s">
        <v>1158</v>
      </c>
      <c r="G548" s="5" t="s">
        <v>1079</v>
      </c>
      <c r="H548" s="6" t="s">
        <v>731</v>
      </c>
      <c r="I548" s="6" t="s">
        <v>87</v>
      </c>
      <c r="J548" s="6">
        <v>1</v>
      </c>
      <c r="K548" s="6">
        <v>252025</v>
      </c>
      <c r="L548" s="7" t="s">
        <v>1693</v>
      </c>
      <c r="M548" s="8">
        <v>1104311</v>
      </c>
      <c r="N548" s="8" t="str">
        <f t="shared" si="41"/>
        <v>PEN</v>
      </c>
      <c r="O548" s="13"/>
      <c r="P548" s="13">
        <v>230</v>
      </c>
      <c r="Q548" s="3">
        <f t="shared" si="42"/>
        <v>0</v>
      </c>
      <c r="R548" s="3">
        <f t="shared" si="43"/>
        <v>230</v>
      </c>
      <c r="S548" s="3">
        <f t="shared" si="44"/>
        <v>16206.109999999993</v>
      </c>
      <c r="T548" s="24" t="s">
        <v>1081</v>
      </c>
      <c r="U548" s="24" t="s">
        <v>1081</v>
      </c>
      <c r="V548" s="67"/>
      <c r="W548" s="25">
        <f>IFERROR(VLOOKUP(BCP_Soles[[#This Row],[DESTINATARIO]],CHOOSE({1,2},Clientes_Proveedores[Razon Social],Clientes_Proveedores[Ruc / Dni]),2,0),"")</f>
        <v>72169020</v>
      </c>
      <c r="X548" s="25"/>
      <c r="Y548" s="25"/>
      <c r="Z548" s="25"/>
      <c r="AA548" s="99"/>
      <c r="AB548" s="3" t="str">
        <f>IF(BCP_Soles[[#This Row],[FECHA]]&gt;0,TEXT(BCP_Soles[[#This Row],[FECHA]],"mmmm"),0)</f>
        <v>Febrero</v>
      </c>
    </row>
    <row r="549" spans="2:28" ht="36" x14ac:dyDescent="0.3">
      <c r="B549" s="2">
        <f>IF(BCP_Soles[[#This Row],[TIPO DE R.]]="R",COUNTIFS($D$4:$D548,"R")+1,"")</f>
        <v>413</v>
      </c>
      <c r="C549" s="19" t="str">
        <f t="shared" si="40"/>
        <v>B-BCP - Soles</v>
      </c>
      <c r="D549" s="3" t="s">
        <v>1074</v>
      </c>
      <c r="E549" s="14">
        <v>45706</v>
      </c>
      <c r="F549" s="5" t="s">
        <v>1082</v>
      </c>
      <c r="G549" s="5" t="s">
        <v>1079</v>
      </c>
      <c r="H549" s="6" t="s">
        <v>880</v>
      </c>
      <c r="I549" s="6" t="s">
        <v>87</v>
      </c>
      <c r="J549" s="6">
        <v>1</v>
      </c>
      <c r="K549" s="6">
        <v>142025</v>
      </c>
      <c r="L549" s="7" t="s">
        <v>1695</v>
      </c>
      <c r="M549" s="8">
        <v>1149280</v>
      </c>
      <c r="N549" s="8" t="str">
        <f t="shared" si="41"/>
        <v>PEN</v>
      </c>
      <c r="O549" s="13"/>
      <c r="P549" s="13">
        <v>266</v>
      </c>
      <c r="Q549" s="3">
        <f t="shared" si="42"/>
        <v>0</v>
      </c>
      <c r="R549" s="3">
        <f t="shared" si="43"/>
        <v>266</v>
      </c>
      <c r="S549" s="3">
        <f t="shared" si="44"/>
        <v>15940.109999999993</v>
      </c>
      <c r="T549" s="24" t="s">
        <v>1081</v>
      </c>
      <c r="U549" s="24" t="s">
        <v>1081</v>
      </c>
      <c r="V549" s="67"/>
      <c r="W549" s="25">
        <f>IFERROR(VLOOKUP(BCP_Soles[[#This Row],[DESTINATARIO]],CHOOSE({1,2},Clientes_Proveedores[Razon Social],Clientes_Proveedores[Ruc / Dni]),2,0),"")</f>
        <v>72531546</v>
      </c>
      <c r="X549" s="25"/>
      <c r="Y549" s="25"/>
      <c r="Z549" s="25"/>
      <c r="AA549" s="99"/>
      <c r="AB549" s="3" t="str">
        <f>IF(BCP_Soles[[#This Row],[FECHA]]&gt;0,TEXT(BCP_Soles[[#This Row],[FECHA]],"mmmm"),0)</f>
        <v>Febrero</v>
      </c>
    </row>
    <row r="550" spans="2:28" ht="24" x14ac:dyDescent="0.3">
      <c r="B550" s="2">
        <f>IF(BCP_Soles[[#This Row],[TIPO DE R.]]="R",COUNTIFS($D$4:$D549,"R")+1,"")</f>
        <v>414</v>
      </c>
      <c r="C550" s="19" t="str">
        <f t="shared" si="40"/>
        <v>B-BCP - Soles</v>
      </c>
      <c r="D550" s="3" t="s">
        <v>1074</v>
      </c>
      <c r="E550" s="14">
        <v>45706</v>
      </c>
      <c r="F550" s="5" t="s">
        <v>1158</v>
      </c>
      <c r="G550" s="5" t="s">
        <v>1079</v>
      </c>
      <c r="H550" s="6"/>
      <c r="I550" s="6"/>
      <c r="J550" s="6"/>
      <c r="K550" s="6"/>
      <c r="L550" s="7" t="s">
        <v>1696</v>
      </c>
      <c r="M550" s="8">
        <v>1092323</v>
      </c>
      <c r="N550" s="8" t="str">
        <f t="shared" si="41"/>
        <v>PEN</v>
      </c>
      <c r="O550" s="13"/>
      <c r="P550" s="13">
        <v>300</v>
      </c>
      <c r="Q550" s="3">
        <f t="shared" si="42"/>
        <v>0</v>
      </c>
      <c r="R550" s="3">
        <f t="shared" si="43"/>
        <v>300</v>
      </c>
      <c r="S550" s="3">
        <f t="shared" si="44"/>
        <v>15640.109999999993</v>
      </c>
      <c r="T550" s="24"/>
      <c r="U550" s="24"/>
      <c r="V550" s="67"/>
      <c r="W550" s="25" t="str">
        <f>IFERROR(VLOOKUP(BCP_Soles[[#This Row],[DESTINATARIO]],CHOOSE({1,2},Clientes_Proveedores[Razon Social],Clientes_Proveedores[Ruc / Dni]),2,0),"")</f>
        <v/>
      </c>
      <c r="X550" s="25" t="s">
        <v>798</v>
      </c>
      <c r="Y550" s="25"/>
      <c r="Z550" s="25"/>
      <c r="AA550" s="99"/>
      <c r="AB550" s="3" t="str">
        <f>IF(BCP_Soles[[#This Row],[FECHA]]&gt;0,TEXT(BCP_Soles[[#This Row],[FECHA]],"mmmm"),0)</f>
        <v>Febrero</v>
      </c>
    </row>
    <row r="551" spans="2:28" x14ac:dyDescent="0.3">
      <c r="B551" s="2">
        <f>IF(BCP_Soles[[#This Row],[TIPO DE R.]]="R",COUNTIFS($D$4:$D550,"R")+1,"")</f>
        <v>415</v>
      </c>
      <c r="C551" s="19" t="str">
        <f t="shared" si="40"/>
        <v>B-BCP - Soles</v>
      </c>
      <c r="D551" s="3" t="s">
        <v>1074</v>
      </c>
      <c r="E551" s="14">
        <v>45706</v>
      </c>
      <c r="F551" s="5" t="s">
        <v>1158</v>
      </c>
      <c r="G551" s="5" t="s">
        <v>1079</v>
      </c>
      <c r="H551" s="6"/>
      <c r="I551" s="6"/>
      <c r="J551" s="6"/>
      <c r="K551" s="6"/>
      <c r="L551" s="7" t="s">
        <v>1697</v>
      </c>
      <c r="M551" s="8">
        <v>1165235</v>
      </c>
      <c r="N551" s="8" t="str">
        <f t="shared" si="41"/>
        <v>PEN</v>
      </c>
      <c r="O551" s="13"/>
      <c r="P551" s="13">
        <v>350</v>
      </c>
      <c r="Q551" s="3">
        <f t="shared" si="42"/>
        <v>0</v>
      </c>
      <c r="R551" s="3">
        <f t="shared" si="43"/>
        <v>350</v>
      </c>
      <c r="S551" s="3">
        <f t="shared" si="44"/>
        <v>15290.109999999993</v>
      </c>
      <c r="T551" s="24"/>
      <c r="U551" s="24"/>
      <c r="V551" s="67"/>
      <c r="W551" s="25" t="str">
        <f>IFERROR(VLOOKUP(BCP_Soles[[#This Row],[DESTINATARIO]],CHOOSE({1,2},Clientes_Proveedores[Razon Social],Clientes_Proveedores[Ruc / Dni]),2,0),"")</f>
        <v/>
      </c>
      <c r="X551" s="25" t="s">
        <v>854</v>
      </c>
      <c r="Y551" s="25"/>
      <c r="Z551" s="25"/>
      <c r="AA551" s="99"/>
      <c r="AB551" s="3" t="str">
        <f>IF(BCP_Soles[[#This Row],[FECHA]]&gt;0,TEXT(BCP_Soles[[#This Row],[FECHA]],"mmmm"),0)</f>
        <v>Febrero</v>
      </c>
    </row>
    <row r="552" spans="2:28" ht="24" x14ac:dyDescent="0.3">
      <c r="B552" s="2">
        <f>IF(BCP_Soles[[#This Row],[TIPO DE R.]]="R",COUNTIFS($D$4:$D551,"R")+1,"")</f>
        <v>416</v>
      </c>
      <c r="C552" s="19" t="str">
        <f t="shared" si="40"/>
        <v>B-BCP - Soles</v>
      </c>
      <c r="D552" s="3" t="s">
        <v>1074</v>
      </c>
      <c r="E552" s="14">
        <v>45706</v>
      </c>
      <c r="F552" s="5" t="s">
        <v>1158</v>
      </c>
      <c r="G552" s="5" t="s">
        <v>1079</v>
      </c>
      <c r="H552" s="6"/>
      <c r="I552" s="6"/>
      <c r="J552" s="6"/>
      <c r="K552" s="6"/>
      <c r="L552" s="7" t="s">
        <v>1698</v>
      </c>
      <c r="M552" s="8">
        <v>1130253</v>
      </c>
      <c r="N552" s="8" t="str">
        <f t="shared" si="41"/>
        <v>PEN</v>
      </c>
      <c r="O552" s="13"/>
      <c r="P552" s="13">
        <v>400</v>
      </c>
      <c r="Q552" s="3">
        <f t="shared" si="42"/>
        <v>0</v>
      </c>
      <c r="R552" s="3">
        <f t="shared" si="43"/>
        <v>400</v>
      </c>
      <c r="S552" s="3">
        <f t="shared" si="44"/>
        <v>14890.109999999993</v>
      </c>
      <c r="T552" s="24"/>
      <c r="U552" s="24"/>
      <c r="V552" s="67"/>
      <c r="W552" s="25" t="str">
        <f>IFERROR(VLOOKUP(BCP_Soles[[#This Row],[DESTINATARIO]],CHOOSE({1,2},Clientes_Proveedores[Razon Social],Clientes_Proveedores[Ruc / Dni]),2,0),"")</f>
        <v/>
      </c>
      <c r="X552" s="25" t="s">
        <v>1334</v>
      </c>
      <c r="Y552" s="25"/>
      <c r="Z552" s="25"/>
      <c r="AA552" s="99"/>
      <c r="AB552" s="3" t="str">
        <f>IF(BCP_Soles[[#This Row],[FECHA]]&gt;0,TEXT(BCP_Soles[[#This Row],[FECHA]],"mmmm"),0)</f>
        <v>Febrero</v>
      </c>
    </row>
    <row r="553" spans="2:28" ht="24" x14ac:dyDescent="0.3">
      <c r="B553" s="2">
        <f>IF(BCP_Soles[[#This Row],[TIPO DE R.]]="R",COUNTIFS($D$4:$D552,"R")+1,"")</f>
        <v>417</v>
      </c>
      <c r="C553" s="19" t="str">
        <f t="shared" si="40"/>
        <v>B-BCP - Soles</v>
      </c>
      <c r="D553" s="3" t="s">
        <v>1074</v>
      </c>
      <c r="E553" s="14">
        <v>45706</v>
      </c>
      <c r="F553" s="5" t="s">
        <v>1158</v>
      </c>
      <c r="G553" s="5" t="s">
        <v>1079</v>
      </c>
      <c r="H553" s="6"/>
      <c r="I553" s="6"/>
      <c r="J553" s="6"/>
      <c r="K553" s="6"/>
      <c r="L553" s="7" t="s">
        <v>1699</v>
      </c>
      <c r="M553" s="8">
        <v>1157244</v>
      </c>
      <c r="N553" s="8" t="str">
        <f t="shared" si="41"/>
        <v>PEN</v>
      </c>
      <c r="O553" s="13"/>
      <c r="P553" s="13">
        <v>400</v>
      </c>
      <c r="Q553" s="3">
        <f t="shared" si="42"/>
        <v>0</v>
      </c>
      <c r="R553" s="3">
        <f t="shared" si="43"/>
        <v>400</v>
      </c>
      <c r="S553" s="3">
        <f t="shared" si="44"/>
        <v>14490.109999999993</v>
      </c>
      <c r="T553" s="24"/>
      <c r="U553" s="24"/>
      <c r="V553" s="67"/>
      <c r="W553" s="25" t="str">
        <f>IFERROR(VLOOKUP(BCP_Soles[[#This Row],[DESTINATARIO]],CHOOSE({1,2},Clientes_Proveedores[Razon Social],Clientes_Proveedores[Ruc / Dni]),2,0),"")</f>
        <v/>
      </c>
      <c r="X553" s="25" t="s">
        <v>807</v>
      </c>
      <c r="Y553" s="25"/>
      <c r="Z553" s="25"/>
      <c r="AA553" s="99"/>
      <c r="AB553" s="3" t="str">
        <f>IF(BCP_Soles[[#This Row],[FECHA]]&gt;0,TEXT(BCP_Soles[[#This Row],[FECHA]],"mmmm"),0)</f>
        <v>Febrero</v>
      </c>
    </row>
    <row r="554" spans="2:28" ht="24" x14ac:dyDescent="0.3">
      <c r="B554" s="2">
        <f>IF(BCP_Soles[[#This Row],[TIPO DE R.]]="R",COUNTIFS($D$4:$D553,"R")+1,"")</f>
        <v>418</v>
      </c>
      <c r="C554" s="19" t="str">
        <f t="shared" si="40"/>
        <v>B-BCP - Soles</v>
      </c>
      <c r="D554" s="3" t="s">
        <v>1074</v>
      </c>
      <c r="E554" s="14">
        <v>45706</v>
      </c>
      <c r="F554" s="5" t="s">
        <v>1158</v>
      </c>
      <c r="G554" s="5" t="s">
        <v>1079</v>
      </c>
      <c r="H554" s="6" t="s">
        <v>850</v>
      </c>
      <c r="I554" s="6"/>
      <c r="J554" s="6"/>
      <c r="K554" s="6"/>
      <c r="L554" s="7" t="s">
        <v>1700</v>
      </c>
      <c r="M554" s="8">
        <v>1166247</v>
      </c>
      <c r="N554" s="8" t="str">
        <f t="shared" si="41"/>
        <v>PEN</v>
      </c>
      <c r="O554" s="13"/>
      <c r="P554" s="13">
        <v>500</v>
      </c>
      <c r="Q554" s="3">
        <f t="shared" si="42"/>
        <v>0</v>
      </c>
      <c r="R554" s="3">
        <f t="shared" si="43"/>
        <v>500</v>
      </c>
      <c r="S554" s="3">
        <f t="shared" si="44"/>
        <v>13990.109999999993</v>
      </c>
      <c r="T554" s="24"/>
      <c r="U554" s="24"/>
      <c r="V554" s="67"/>
      <c r="W554" s="25">
        <f>IFERROR(VLOOKUP(BCP_Soles[[#This Row],[DESTINATARIO]],CHOOSE({1,2},Clientes_Proveedores[Razon Social],Clientes_Proveedores[Ruc / Dni]),2,0),"")</f>
        <v>44314304</v>
      </c>
      <c r="X554" s="25" t="s">
        <v>850</v>
      </c>
      <c r="Y554" s="25"/>
      <c r="Z554" s="25"/>
      <c r="AA554" s="99"/>
      <c r="AB554" s="3" t="str">
        <f>IF(BCP_Soles[[#This Row],[FECHA]]&gt;0,TEXT(BCP_Soles[[#This Row],[FECHA]],"mmmm"),0)</f>
        <v>Febrero</v>
      </c>
    </row>
    <row r="555" spans="2:28" ht="24" x14ac:dyDescent="0.3">
      <c r="B555" s="2">
        <f>IF(BCP_Soles[[#This Row],[TIPO DE R.]]="R",COUNTIFS($D$4:$D554,"R")+1,"")</f>
        <v>419</v>
      </c>
      <c r="C555" s="19" t="str">
        <f t="shared" si="40"/>
        <v>B-BCP - Soles</v>
      </c>
      <c r="D555" s="3" t="s">
        <v>1074</v>
      </c>
      <c r="E555" s="14">
        <v>45706</v>
      </c>
      <c r="F555" s="5" t="s">
        <v>1158</v>
      </c>
      <c r="G555" s="5" t="s">
        <v>1079</v>
      </c>
      <c r="H555" s="6"/>
      <c r="I555" s="6"/>
      <c r="J555" s="6"/>
      <c r="K555" s="6"/>
      <c r="L555" s="7" t="s">
        <v>1701</v>
      </c>
      <c r="M555" s="8">
        <v>1104310</v>
      </c>
      <c r="N555" s="8" t="str">
        <f t="shared" si="41"/>
        <v>PEN</v>
      </c>
      <c r="O555" s="13"/>
      <c r="P555" s="13">
        <v>550</v>
      </c>
      <c r="Q555" s="3">
        <f t="shared" si="42"/>
        <v>0</v>
      </c>
      <c r="R555" s="3">
        <f t="shared" si="43"/>
        <v>550</v>
      </c>
      <c r="S555" s="3">
        <f t="shared" si="44"/>
        <v>13440.109999999993</v>
      </c>
      <c r="T555" s="24"/>
      <c r="U555" s="24"/>
      <c r="V555" s="67"/>
      <c r="W555" s="25" t="str">
        <f>IFERROR(VLOOKUP(BCP_Soles[[#This Row],[DESTINATARIO]],CHOOSE({1,2},Clientes_Proveedores[Razon Social],Clientes_Proveedores[Ruc / Dni]),2,0),"")</f>
        <v/>
      </c>
      <c r="X555" s="25" t="s">
        <v>1338</v>
      </c>
      <c r="Y555" s="25"/>
      <c r="Z555" s="25"/>
      <c r="AA555" s="99"/>
      <c r="AB555" s="3" t="str">
        <f>IF(BCP_Soles[[#This Row],[FECHA]]&gt;0,TEXT(BCP_Soles[[#This Row],[FECHA]],"mmmm"),0)</f>
        <v>Febrero</v>
      </c>
    </row>
    <row r="556" spans="2:28" ht="24" x14ac:dyDescent="0.3">
      <c r="B556" s="2">
        <f>IF(BCP_Soles[[#This Row],[TIPO DE R.]]="R",COUNTIFS($D$4:$D555,"R")+1,"")</f>
        <v>420</v>
      </c>
      <c r="C556" s="19" t="str">
        <f t="shared" si="40"/>
        <v>B-BCP - Soles</v>
      </c>
      <c r="D556" s="3" t="s">
        <v>1074</v>
      </c>
      <c r="E556" s="14">
        <v>45706</v>
      </c>
      <c r="F556" s="5" t="s">
        <v>1082</v>
      </c>
      <c r="G556" s="5" t="s">
        <v>1079</v>
      </c>
      <c r="H556" s="6"/>
      <c r="I556" s="6"/>
      <c r="J556" s="6"/>
      <c r="K556" s="6"/>
      <c r="L556" s="7" t="s">
        <v>1702</v>
      </c>
      <c r="M556" s="8">
        <v>1156290</v>
      </c>
      <c r="N556" s="8" t="str">
        <f t="shared" si="41"/>
        <v>PEN</v>
      </c>
      <c r="O556" s="13"/>
      <c r="P556" s="13">
        <v>915</v>
      </c>
      <c r="Q556" s="3">
        <f t="shared" si="42"/>
        <v>0</v>
      </c>
      <c r="R556" s="3">
        <f t="shared" si="43"/>
        <v>915</v>
      </c>
      <c r="S556" s="3">
        <f t="shared" si="44"/>
        <v>12525.109999999993</v>
      </c>
      <c r="T556" s="24" t="s">
        <v>1081</v>
      </c>
      <c r="U556" s="24" t="s">
        <v>1081</v>
      </c>
      <c r="V556" s="67"/>
      <c r="W556" s="25" t="str">
        <f>IFERROR(VLOOKUP(BCP_Soles[[#This Row],[DESTINATARIO]],CHOOSE({1,2},Clientes_Proveedores[Razon Social],Clientes_Proveedores[Ruc / Dni]),2,0),"")</f>
        <v/>
      </c>
      <c r="X556" s="25" t="s">
        <v>1689</v>
      </c>
      <c r="Y556" s="25" t="s">
        <v>1703</v>
      </c>
      <c r="Z556" s="25"/>
      <c r="AA556" s="99"/>
      <c r="AB556" s="3" t="str">
        <f>IF(BCP_Soles[[#This Row],[FECHA]]&gt;0,TEXT(BCP_Soles[[#This Row],[FECHA]],"mmmm"),0)</f>
        <v>Febrero</v>
      </c>
    </row>
    <row r="557" spans="2:28" ht="24" x14ac:dyDescent="0.3">
      <c r="B557" s="2">
        <f>IF(BCP_Soles[[#This Row],[TIPO DE R.]]="R",COUNTIFS($D$4:$D556,"R")+1,"")</f>
        <v>421</v>
      </c>
      <c r="C557" s="19" t="str">
        <f t="shared" si="40"/>
        <v>B-BCP - Soles</v>
      </c>
      <c r="D557" s="3" t="s">
        <v>1074</v>
      </c>
      <c r="E557" s="14">
        <v>45706</v>
      </c>
      <c r="F557" s="5" t="s">
        <v>1251</v>
      </c>
      <c r="G557" s="5" t="s">
        <v>1079</v>
      </c>
      <c r="H557" s="6" t="s">
        <v>829</v>
      </c>
      <c r="I557" s="6" t="s">
        <v>91</v>
      </c>
      <c r="J557" s="6">
        <v>13</v>
      </c>
      <c r="K557" s="6">
        <v>28</v>
      </c>
      <c r="L557" s="7" t="s">
        <v>1704</v>
      </c>
      <c r="M557" s="8">
        <v>1096315</v>
      </c>
      <c r="N557" s="8" t="str">
        <f t="shared" si="41"/>
        <v>PEN</v>
      </c>
      <c r="O557" s="13"/>
      <c r="P557" s="13">
        <v>1165</v>
      </c>
      <c r="Q557" s="3">
        <f t="shared" si="42"/>
        <v>0</v>
      </c>
      <c r="R557" s="3">
        <f t="shared" si="43"/>
        <v>1165</v>
      </c>
      <c r="S557" s="3">
        <f t="shared" si="44"/>
        <v>11360.109999999993</v>
      </c>
      <c r="T557" s="24"/>
      <c r="U557" s="24"/>
      <c r="V557" s="67"/>
      <c r="W557" s="25">
        <f>IFERROR(VLOOKUP(BCP_Soles[[#This Row],[DESTINATARIO]],CHOOSE({1,2},Clientes_Proveedores[Razon Social],Clientes_Proveedores[Ruc / Dni]),2,0),"")</f>
        <v>47461440</v>
      </c>
      <c r="X557" s="25"/>
      <c r="Y557" s="25"/>
      <c r="Z557" s="25"/>
      <c r="AA557" s="99"/>
      <c r="AB557" s="3" t="str">
        <f>IF(BCP_Soles[[#This Row],[FECHA]]&gt;0,TEXT(BCP_Soles[[#This Row],[FECHA]],"mmmm"),0)</f>
        <v>Febrero</v>
      </c>
    </row>
    <row r="558" spans="2:28" ht="24" x14ac:dyDescent="0.3">
      <c r="B558" s="2">
        <f>IF(BCP_Soles[[#This Row],[TIPO DE R.]]="R",COUNTIFS($D$4:$D557,"R")+1,"")</f>
        <v>422</v>
      </c>
      <c r="C558" s="19" t="str">
        <f t="shared" si="40"/>
        <v>B-BCP - Soles</v>
      </c>
      <c r="D558" s="3" t="s">
        <v>1074</v>
      </c>
      <c r="E558" s="14">
        <v>45706</v>
      </c>
      <c r="F558" s="5" t="s">
        <v>1082</v>
      </c>
      <c r="G558" s="5" t="s">
        <v>1079</v>
      </c>
      <c r="H558" s="6" t="s">
        <v>126</v>
      </c>
      <c r="I558" s="6" t="s">
        <v>14</v>
      </c>
      <c r="J558" s="6" t="s">
        <v>1121</v>
      </c>
      <c r="K558" s="6">
        <v>98</v>
      </c>
      <c r="L558" s="7" t="s">
        <v>1705</v>
      </c>
      <c r="M558" s="8">
        <v>1109313</v>
      </c>
      <c r="N558" s="8" t="str">
        <f t="shared" si="41"/>
        <v>PEN</v>
      </c>
      <c r="O558" s="13"/>
      <c r="P558" s="13">
        <v>1172.92</v>
      </c>
      <c r="Q558" s="3">
        <f t="shared" si="42"/>
        <v>0</v>
      </c>
      <c r="R558" s="3">
        <f t="shared" si="43"/>
        <v>1172.92</v>
      </c>
      <c r="S558" s="3">
        <f t="shared" si="44"/>
        <v>10187.189999999993</v>
      </c>
      <c r="T558" s="24" t="s">
        <v>1081</v>
      </c>
      <c r="U558" s="24" t="s">
        <v>1081</v>
      </c>
      <c r="V558" s="67"/>
      <c r="W558" s="25">
        <f>IFERROR(VLOOKUP(BCP_Soles[[#This Row],[DESTINATARIO]],CHOOSE({1,2},Clientes_Proveedores[Razon Social],Clientes_Proveedores[Ruc / Dni]),2,0),"")</f>
        <v>10486253725</v>
      </c>
      <c r="X558" s="25" t="s">
        <v>1706</v>
      </c>
      <c r="Y558" s="25" t="s">
        <v>1707</v>
      </c>
      <c r="Z558" s="25"/>
      <c r="AA558" s="99"/>
      <c r="AB558" s="3" t="str">
        <f>IF(BCP_Soles[[#This Row],[FECHA]]&gt;0,TEXT(BCP_Soles[[#This Row],[FECHA]],"mmmm"),0)</f>
        <v>Febrero</v>
      </c>
    </row>
    <row r="559" spans="2:28" ht="36" x14ac:dyDescent="0.3">
      <c r="B559" s="2">
        <f>IF(BCP_Soles[[#This Row],[TIPO DE R.]]="R",COUNTIFS($D$4:$D558,"R")+1,"")</f>
        <v>423</v>
      </c>
      <c r="C559" s="19" t="str">
        <f t="shared" si="40"/>
        <v>B-BCP - Soles</v>
      </c>
      <c r="D559" s="3" t="s">
        <v>1074</v>
      </c>
      <c r="E559" s="14">
        <v>45706</v>
      </c>
      <c r="F559" s="5" t="s">
        <v>1082</v>
      </c>
      <c r="G559" s="5" t="s">
        <v>1079</v>
      </c>
      <c r="H559" s="6"/>
      <c r="I559" s="6" t="s">
        <v>14</v>
      </c>
      <c r="J559" s="6" t="s">
        <v>1119</v>
      </c>
      <c r="K559" s="6">
        <v>23074</v>
      </c>
      <c r="L559" s="7" t="s">
        <v>1708</v>
      </c>
      <c r="M559" s="8">
        <v>1163254</v>
      </c>
      <c r="N559" s="8" t="str">
        <f t="shared" si="41"/>
        <v>PEN</v>
      </c>
      <c r="O559" s="13"/>
      <c r="P559" s="13">
        <v>1636.7</v>
      </c>
      <c r="Q559" s="3">
        <f t="shared" si="42"/>
        <v>0</v>
      </c>
      <c r="R559" s="3">
        <f t="shared" si="43"/>
        <v>1636.7</v>
      </c>
      <c r="S559" s="3">
        <f t="shared" si="44"/>
        <v>8550.4899999999925</v>
      </c>
      <c r="T559" s="24" t="s">
        <v>1081</v>
      </c>
      <c r="U559" s="24" t="s">
        <v>1081</v>
      </c>
      <c r="V559" s="67"/>
      <c r="W559" s="25" t="str">
        <f>IFERROR(VLOOKUP(BCP_Soles[[#This Row],[DESTINATARIO]],CHOOSE({1,2},Clientes_Proveedores[Razon Social],Clientes_Proveedores[Ruc / Dni]),2,0),"")</f>
        <v/>
      </c>
      <c r="X559" s="25" t="s">
        <v>654</v>
      </c>
      <c r="Y559" s="25" t="s">
        <v>1709</v>
      </c>
      <c r="Z559" s="25"/>
      <c r="AA559" s="99"/>
      <c r="AB559" s="3" t="str">
        <f>IF(BCP_Soles[[#This Row],[FECHA]]&gt;0,TEXT(BCP_Soles[[#This Row],[FECHA]],"mmmm"),0)</f>
        <v>Febrero</v>
      </c>
    </row>
    <row r="560" spans="2:28" ht="24" x14ac:dyDescent="0.3">
      <c r="B560" s="2">
        <f>IF(BCP_Soles[[#This Row],[TIPO DE R.]]="R",COUNTIFS($D$4:$D559,"R")+1,"")</f>
        <v>424</v>
      </c>
      <c r="C560" s="19" t="str">
        <f t="shared" si="40"/>
        <v>B-BCP - Soles</v>
      </c>
      <c r="D560" s="3" t="s">
        <v>1074</v>
      </c>
      <c r="E560" s="14">
        <v>45706</v>
      </c>
      <c r="F560" s="5" t="s">
        <v>1082</v>
      </c>
      <c r="G560" s="5" t="s">
        <v>1079</v>
      </c>
      <c r="H560" s="6"/>
      <c r="I560" s="6"/>
      <c r="J560" s="6"/>
      <c r="K560" s="6"/>
      <c r="L560" s="21" t="s">
        <v>1710</v>
      </c>
      <c r="M560" s="8">
        <v>3762044</v>
      </c>
      <c r="N560" s="8" t="str">
        <f t="shared" si="41"/>
        <v>PEN</v>
      </c>
      <c r="O560" s="13"/>
      <c r="P560" s="13">
        <v>2526.65</v>
      </c>
      <c r="Q560" s="3">
        <f t="shared" si="42"/>
        <v>0</v>
      </c>
      <c r="R560" s="3">
        <f t="shared" si="43"/>
        <v>2526.65</v>
      </c>
      <c r="S560" s="3">
        <f t="shared" si="44"/>
        <v>6023.8399999999929</v>
      </c>
      <c r="T560" s="24" t="s">
        <v>1081</v>
      </c>
      <c r="U560" s="24" t="s">
        <v>1586</v>
      </c>
      <c r="V560" s="67"/>
      <c r="W560" s="25" t="str">
        <f>IFERROR(VLOOKUP(BCP_Soles[[#This Row],[DESTINATARIO]],CHOOSE({1,2},Clientes_Proveedores[Razon Social],Clientes_Proveedores[Ruc / Dni]),2,0),"")</f>
        <v/>
      </c>
      <c r="X560" s="25" t="s">
        <v>1118</v>
      </c>
      <c r="Y560" s="25"/>
      <c r="Z560" s="25"/>
      <c r="AA560" s="99"/>
      <c r="AB560" s="3" t="str">
        <f>IF(BCP_Soles[[#This Row],[FECHA]]&gt;0,TEXT(BCP_Soles[[#This Row],[FECHA]],"mmmm"),0)</f>
        <v>Febrero</v>
      </c>
    </row>
    <row r="561" spans="2:28" x14ac:dyDescent="0.3">
      <c r="B561" s="2">
        <f>IF(BCP_Soles[[#This Row],[TIPO DE R.]]="R",COUNTIFS($D$4:$D560,"R")+1,"")</f>
        <v>425</v>
      </c>
      <c r="C561" s="19" t="str">
        <f t="shared" si="40"/>
        <v>B-BCP - Soles</v>
      </c>
      <c r="D561" s="3" t="s">
        <v>1074</v>
      </c>
      <c r="E561" s="14">
        <v>45707</v>
      </c>
      <c r="F561" s="5" t="s">
        <v>1078</v>
      </c>
      <c r="G561" s="5" t="s">
        <v>1079</v>
      </c>
      <c r="H561" s="6"/>
      <c r="I561" s="6"/>
      <c r="J561" s="6"/>
      <c r="K561" s="6"/>
      <c r="L561" s="7" t="s">
        <v>1080</v>
      </c>
      <c r="M561" s="8"/>
      <c r="N561" s="8" t="str">
        <f t="shared" si="41"/>
        <v>PEN</v>
      </c>
      <c r="O561" s="13"/>
      <c r="P561" s="13">
        <v>0.35</v>
      </c>
      <c r="Q561" s="3">
        <f t="shared" si="42"/>
        <v>0</v>
      </c>
      <c r="R561" s="3">
        <f t="shared" si="43"/>
        <v>0.35</v>
      </c>
      <c r="S561" s="3">
        <f t="shared" si="44"/>
        <v>6023.4899999999925</v>
      </c>
      <c r="T561" s="24"/>
      <c r="U561" s="24" t="s">
        <v>1081</v>
      </c>
      <c r="V561" s="67"/>
      <c r="W561" s="25" t="str">
        <f>IFERROR(VLOOKUP(BCP_Soles[[#This Row],[DESTINATARIO]],CHOOSE({1,2},Clientes_Proveedores[Razon Social],Clientes_Proveedores[Ruc / Dni]),2,0),"")</f>
        <v/>
      </c>
      <c r="X561" s="25"/>
      <c r="Y561" s="25"/>
      <c r="Z561" s="25"/>
      <c r="AA561" s="99"/>
      <c r="AB561" s="3" t="str">
        <f>IF(BCP_Soles[[#This Row],[FECHA]]&gt;0,TEXT(BCP_Soles[[#This Row],[FECHA]],"mmmm"),0)</f>
        <v>Febrero</v>
      </c>
    </row>
    <row r="562" spans="2:28" ht="24" x14ac:dyDescent="0.3">
      <c r="B562" s="2">
        <f>IF(BCP_Soles[[#This Row],[TIPO DE R.]]="R",COUNTIFS($D$4:$D561,"R")+1,"")</f>
        <v>426</v>
      </c>
      <c r="C562" s="19" t="str">
        <f t="shared" si="40"/>
        <v>B-BCP - Soles</v>
      </c>
      <c r="D562" s="3" t="s">
        <v>1074</v>
      </c>
      <c r="E562" s="14">
        <v>45707</v>
      </c>
      <c r="F562" s="5" t="s">
        <v>1082</v>
      </c>
      <c r="G562" s="5" t="s">
        <v>1079</v>
      </c>
      <c r="H562" s="6" t="s">
        <v>842</v>
      </c>
      <c r="I562" s="6"/>
      <c r="J562" s="6"/>
      <c r="K562" s="6"/>
      <c r="L562" s="7" t="s">
        <v>1711</v>
      </c>
      <c r="M562" s="8">
        <v>1076119</v>
      </c>
      <c r="N562" s="8" t="str">
        <f t="shared" si="41"/>
        <v>PEN</v>
      </c>
      <c r="O562" s="13"/>
      <c r="P562" s="13">
        <v>3000.1</v>
      </c>
      <c r="Q562" s="3">
        <f t="shared" si="42"/>
        <v>0</v>
      </c>
      <c r="R562" s="3">
        <f t="shared" si="43"/>
        <v>3000.1</v>
      </c>
      <c r="S562" s="3">
        <f t="shared" si="44"/>
        <v>3023.3899999999926</v>
      </c>
      <c r="T562" s="24"/>
      <c r="U562" s="24" t="s">
        <v>1081</v>
      </c>
      <c r="V562" s="67"/>
      <c r="W562" s="25">
        <f>IFERROR(VLOOKUP(BCP_Soles[[#This Row],[DESTINATARIO]],CHOOSE({1,2},Clientes_Proveedores[Razon Social],Clientes_Proveedores[Ruc / Dni]),2,0),"")</f>
        <v>72131384</v>
      </c>
      <c r="X562" s="25" t="s">
        <v>842</v>
      </c>
      <c r="Y562" s="25" t="s">
        <v>1712</v>
      </c>
      <c r="Z562" s="25"/>
      <c r="AA562" s="99"/>
      <c r="AB562" s="3" t="str">
        <f>IF(BCP_Soles[[#This Row],[FECHA]]&gt;0,TEXT(BCP_Soles[[#This Row],[FECHA]],"mmmm"),0)</f>
        <v>Febrero</v>
      </c>
    </row>
    <row r="563" spans="2:28" ht="24" x14ac:dyDescent="0.3">
      <c r="B563" s="2">
        <f>IF(BCP_Soles[[#This Row],[TIPO DE R.]]="R",COUNTIFS($D$4:$D562,"R")+1,"")</f>
        <v>427</v>
      </c>
      <c r="C563" s="19" t="str">
        <f t="shared" si="40"/>
        <v>B-BCP - Soles</v>
      </c>
      <c r="D563" s="3" t="s">
        <v>1074</v>
      </c>
      <c r="E563" s="14">
        <v>45707</v>
      </c>
      <c r="F563" s="5" t="s">
        <v>1082</v>
      </c>
      <c r="G563" s="5" t="s">
        <v>1079</v>
      </c>
      <c r="H563" s="6"/>
      <c r="I563" s="6"/>
      <c r="J563" s="6"/>
      <c r="K563" s="6"/>
      <c r="L563" s="7" t="s">
        <v>1713</v>
      </c>
      <c r="M563" s="8">
        <v>1052859</v>
      </c>
      <c r="N563" s="8" t="str">
        <f t="shared" si="41"/>
        <v>PEN</v>
      </c>
      <c r="O563" s="13"/>
      <c r="P563" s="13">
        <v>1834.6</v>
      </c>
      <c r="Q563" s="3">
        <f t="shared" si="42"/>
        <v>0</v>
      </c>
      <c r="R563" s="3">
        <f t="shared" si="43"/>
        <v>1834.6</v>
      </c>
      <c r="S563" s="3">
        <f t="shared" si="44"/>
        <v>1188.7899999999927</v>
      </c>
      <c r="T563" s="24"/>
      <c r="U563" s="24"/>
      <c r="V563" s="67"/>
      <c r="W563" s="25" t="str">
        <f>IFERROR(VLOOKUP(BCP_Soles[[#This Row],[DESTINATARIO]],CHOOSE({1,2},Clientes_Proveedores[Razon Social],Clientes_Proveedores[Ruc / Dni]),2,0),"")</f>
        <v/>
      </c>
      <c r="X563" s="25" t="s">
        <v>1378</v>
      </c>
      <c r="Y563" s="25"/>
      <c r="Z563" s="25"/>
      <c r="AA563" s="99"/>
      <c r="AB563" s="3" t="str">
        <f>IF(BCP_Soles[[#This Row],[FECHA]]&gt;0,TEXT(BCP_Soles[[#This Row],[FECHA]],"mmmm"),0)</f>
        <v>Febrero</v>
      </c>
    </row>
    <row r="564" spans="2:28" ht="24" x14ac:dyDescent="0.3">
      <c r="B564" s="2">
        <f>IF(BCP_Soles[[#This Row],[TIPO DE R.]]="R",COUNTIFS($D$4:$D563,"R")+1,"")</f>
        <v>428</v>
      </c>
      <c r="C564" s="19" t="str">
        <f t="shared" si="40"/>
        <v>B-BCP - Soles</v>
      </c>
      <c r="D564" s="3" t="s">
        <v>1074</v>
      </c>
      <c r="E564" s="14">
        <v>45707</v>
      </c>
      <c r="F564" s="5" t="s">
        <v>1082</v>
      </c>
      <c r="G564" s="5" t="s">
        <v>1079</v>
      </c>
      <c r="H564" s="6" t="s">
        <v>210</v>
      </c>
      <c r="I564" s="6" t="s">
        <v>14</v>
      </c>
      <c r="J564" s="6" t="s">
        <v>1714</v>
      </c>
      <c r="K564" s="6">
        <v>25749</v>
      </c>
      <c r="L564" s="7" t="s">
        <v>1715</v>
      </c>
      <c r="M564" s="8">
        <v>1053841</v>
      </c>
      <c r="N564" s="8" t="str">
        <f t="shared" si="41"/>
        <v>PEN</v>
      </c>
      <c r="O564" s="13"/>
      <c r="P564" s="13">
        <v>1651.49</v>
      </c>
      <c r="Q564" s="3">
        <f t="shared" si="42"/>
        <v>0</v>
      </c>
      <c r="R564" s="3">
        <f t="shared" si="43"/>
        <v>1651.49</v>
      </c>
      <c r="S564" s="3">
        <f t="shared" si="44"/>
        <v>-462.70000000000732</v>
      </c>
      <c r="T564" s="24" t="s">
        <v>1081</v>
      </c>
      <c r="U564" s="24" t="s">
        <v>1081</v>
      </c>
      <c r="V564" s="67"/>
      <c r="W564" s="25">
        <f>IFERROR(VLOOKUP(BCP_Soles[[#This Row],[DESTINATARIO]],CHOOSE({1,2},Clientes_Proveedores[Razon Social],Clientes_Proveedores[Ruc / Dni]),2,0),"")</f>
        <v>20413666130</v>
      </c>
      <c r="X564" s="25" t="s">
        <v>1716</v>
      </c>
      <c r="Y564" s="25" t="s">
        <v>1717</v>
      </c>
      <c r="Z564" s="25"/>
      <c r="AA564" s="99"/>
      <c r="AB564" s="3" t="str">
        <f>IF(BCP_Soles[[#This Row],[FECHA]]&gt;0,TEXT(BCP_Soles[[#This Row],[FECHA]],"mmmm"),0)</f>
        <v>Febrero</v>
      </c>
    </row>
    <row r="565" spans="2:28" ht="24" x14ac:dyDescent="0.3">
      <c r="B565" s="2">
        <f>IF(BCP_Soles[[#This Row],[TIPO DE R.]]="R",COUNTIFS($D$4:$D564,"R")+1,"")</f>
        <v>429</v>
      </c>
      <c r="C565" s="19" t="str">
        <f t="shared" si="40"/>
        <v>B-BCP - Soles</v>
      </c>
      <c r="D565" s="3" t="s">
        <v>1074</v>
      </c>
      <c r="E565" s="14">
        <v>45707</v>
      </c>
      <c r="F565" s="5" t="s">
        <v>1082</v>
      </c>
      <c r="G565" s="5" t="s">
        <v>1079</v>
      </c>
      <c r="H565" s="6" t="s">
        <v>695</v>
      </c>
      <c r="I565" s="6" t="s">
        <v>18</v>
      </c>
      <c r="J565" s="6" t="s">
        <v>1121</v>
      </c>
      <c r="K565" s="6">
        <v>17</v>
      </c>
      <c r="L565" s="7" t="s">
        <v>1718</v>
      </c>
      <c r="M565" s="8">
        <v>1138416</v>
      </c>
      <c r="N565" s="8" t="str">
        <f t="shared" si="41"/>
        <v>PEN</v>
      </c>
      <c r="O565" s="13"/>
      <c r="P565" s="13">
        <v>650</v>
      </c>
      <c r="Q565" s="3">
        <f t="shared" si="42"/>
        <v>0</v>
      </c>
      <c r="R565" s="3">
        <f t="shared" si="43"/>
        <v>650</v>
      </c>
      <c r="S565" s="3">
        <f t="shared" si="44"/>
        <v>-1112.7000000000073</v>
      </c>
      <c r="T565" s="24" t="s">
        <v>1081</v>
      </c>
      <c r="U565" s="24" t="s">
        <v>1081</v>
      </c>
      <c r="V565" s="67"/>
      <c r="W565" s="25">
        <f>IFERROR(VLOOKUP(BCP_Soles[[#This Row],[DESTINATARIO]],CHOOSE({1,2},Clientes_Proveedores[Razon Social],Clientes_Proveedores[Ruc / Dni]),2,0),"")</f>
        <v>10723875914</v>
      </c>
      <c r="X565" s="25" t="s">
        <v>695</v>
      </c>
      <c r="Y565" s="25" t="s">
        <v>1719</v>
      </c>
      <c r="Z565" s="25"/>
      <c r="AA565" s="99"/>
      <c r="AB565" s="3" t="str">
        <f>IF(BCP_Soles[[#This Row],[FECHA]]&gt;0,TEXT(BCP_Soles[[#This Row],[FECHA]],"mmmm"),0)</f>
        <v>Febrero</v>
      </c>
    </row>
    <row r="566" spans="2:28" ht="24" x14ac:dyDescent="0.3">
      <c r="B566" s="2">
        <f>IF(BCP_Soles[[#This Row],[TIPO DE R.]]="R",COUNTIFS($D$4:$D565,"R")+1,"")</f>
        <v>430</v>
      </c>
      <c r="C566" s="19" t="str">
        <f t="shared" si="40"/>
        <v>B-BCP - Soles</v>
      </c>
      <c r="D566" s="3" t="s">
        <v>1074</v>
      </c>
      <c r="E566" s="14">
        <v>45707</v>
      </c>
      <c r="F566" s="5" t="s">
        <v>1082</v>
      </c>
      <c r="G566" s="5" t="s">
        <v>1079</v>
      </c>
      <c r="H566" s="6" t="s">
        <v>807</v>
      </c>
      <c r="I566" s="6" t="s">
        <v>87</v>
      </c>
      <c r="J566" s="6">
        <v>1</v>
      </c>
      <c r="K566" s="6">
        <v>132025</v>
      </c>
      <c r="L566" s="7" t="s">
        <v>1720</v>
      </c>
      <c r="M566" s="8">
        <v>1137426</v>
      </c>
      <c r="N566" s="8" t="str">
        <f t="shared" si="41"/>
        <v>PEN</v>
      </c>
      <c r="O566" s="13"/>
      <c r="P566" s="13">
        <v>514</v>
      </c>
      <c r="Q566" s="3">
        <f t="shared" si="42"/>
        <v>0</v>
      </c>
      <c r="R566" s="3">
        <f t="shared" si="43"/>
        <v>514</v>
      </c>
      <c r="S566" s="3">
        <f t="shared" si="44"/>
        <v>-1626.7000000000073</v>
      </c>
      <c r="T566" s="24" t="s">
        <v>1081</v>
      </c>
      <c r="U566" s="24" t="s">
        <v>1081</v>
      </c>
      <c r="V566" s="67"/>
      <c r="W566" s="25">
        <f>IFERROR(VLOOKUP(BCP_Soles[[#This Row],[DESTINATARIO]],CHOOSE({1,2},Clientes_Proveedores[Razon Social],Clientes_Proveedores[Ruc / Dni]),2,0),"")</f>
        <v>45921913</v>
      </c>
      <c r="X566" s="25"/>
      <c r="Y566" s="25"/>
      <c r="Z566" s="25"/>
      <c r="AA566" s="99"/>
      <c r="AB566" s="3" t="str">
        <f>IF(BCP_Soles[[#This Row],[FECHA]]&gt;0,TEXT(BCP_Soles[[#This Row],[FECHA]],"mmmm"),0)</f>
        <v>Febrero</v>
      </c>
    </row>
    <row r="567" spans="2:28" x14ac:dyDescent="0.3">
      <c r="B567" s="2">
        <f>IF(BCP_Soles[[#This Row],[TIPO DE R.]]="R",COUNTIFS($D$4:$D566,"R")+1,"")</f>
        <v>431</v>
      </c>
      <c r="C567" s="19" t="str">
        <f t="shared" si="40"/>
        <v>B-BCP - Soles</v>
      </c>
      <c r="D567" s="3" t="s">
        <v>1074</v>
      </c>
      <c r="E567" s="14">
        <v>45707</v>
      </c>
      <c r="F567" s="5" t="s">
        <v>1082</v>
      </c>
      <c r="G567" s="5" t="s">
        <v>1079</v>
      </c>
      <c r="H567" s="6" t="s">
        <v>869</v>
      </c>
      <c r="I567" s="6" t="s">
        <v>87</v>
      </c>
      <c r="J567" s="6">
        <v>1</v>
      </c>
      <c r="K567" s="6">
        <v>82025</v>
      </c>
      <c r="L567" s="7" t="s">
        <v>1721</v>
      </c>
      <c r="M567" s="8">
        <v>1136453</v>
      </c>
      <c r="N567" s="8" t="str">
        <f t="shared" si="41"/>
        <v>PEN</v>
      </c>
      <c r="O567" s="13"/>
      <c r="P567" s="13">
        <v>400</v>
      </c>
      <c r="Q567" s="3">
        <f t="shared" si="42"/>
        <v>0</v>
      </c>
      <c r="R567" s="3">
        <f t="shared" si="43"/>
        <v>400</v>
      </c>
      <c r="S567" s="3">
        <f t="shared" si="44"/>
        <v>-2026.7000000000073</v>
      </c>
      <c r="T567" s="24" t="s">
        <v>1081</v>
      </c>
      <c r="U567" s="24" t="s">
        <v>1081</v>
      </c>
      <c r="V567" s="67"/>
      <c r="W567" s="25">
        <f>IFERROR(VLOOKUP(BCP_Soles[[#This Row],[DESTINATARIO]],CHOOSE({1,2},Clientes_Proveedores[Razon Social],Clientes_Proveedores[Ruc / Dni]),2,0),"")</f>
        <v>46126507</v>
      </c>
      <c r="X567" s="25"/>
      <c r="Y567" s="25"/>
      <c r="Z567" s="25"/>
      <c r="AA567" s="99"/>
      <c r="AB567" s="3" t="str">
        <f>IF(BCP_Soles[[#This Row],[FECHA]]&gt;0,TEXT(BCP_Soles[[#This Row],[FECHA]],"mmmm"),0)</f>
        <v>Febrero</v>
      </c>
    </row>
    <row r="568" spans="2:28" ht="24" x14ac:dyDescent="0.3">
      <c r="B568" s="2">
        <f>IF(BCP_Soles[[#This Row],[TIPO DE R.]]="R",COUNTIFS($D$4:$D567,"R")+1,"")</f>
        <v>432</v>
      </c>
      <c r="C568" s="19" t="str">
        <f t="shared" si="40"/>
        <v>B-BCP - Soles</v>
      </c>
      <c r="D568" s="3" t="s">
        <v>1074</v>
      </c>
      <c r="E568" s="14">
        <v>45707</v>
      </c>
      <c r="F568" s="5" t="s">
        <v>1082</v>
      </c>
      <c r="G568" s="5" t="s">
        <v>1079</v>
      </c>
      <c r="H568" s="6" t="s">
        <v>155</v>
      </c>
      <c r="I568" s="6" t="s">
        <v>14</v>
      </c>
      <c r="J568" s="6" t="s">
        <v>1148</v>
      </c>
      <c r="K568" s="6">
        <v>767</v>
      </c>
      <c r="L568" s="7" t="s">
        <v>1722</v>
      </c>
      <c r="M568" s="8">
        <v>1052360</v>
      </c>
      <c r="N568" s="8" t="str">
        <f t="shared" si="41"/>
        <v>PEN</v>
      </c>
      <c r="O568" s="13"/>
      <c r="P568" s="13">
        <v>60.54</v>
      </c>
      <c r="Q568" s="3">
        <f t="shared" si="42"/>
        <v>0</v>
      </c>
      <c r="R568" s="3">
        <f t="shared" si="43"/>
        <v>60.54</v>
      </c>
      <c r="S568" s="3">
        <f t="shared" si="44"/>
        <v>-2087.2400000000075</v>
      </c>
      <c r="T568" s="24" t="s">
        <v>1081</v>
      </c>
      <c r="U568" s="24" t="s">
        <v>1081</v>
      </c>
      <c r="V568" s="67"/>
      <c r="W568" s="25">
        <f>IFERROR(VLOOKUP(BCP_Soles[[#This Row],[DESTINATARIO]],CHOOSE({1,2},Clientes_Proveedores[Razon Social],Clientes_Proveedores[Ruc / Dni]),2,0),"")</f>
        <v>20100235138</v>
      </c>
      <c r="X568" s="25" t="s">
        <v>1503</v>
      </c>
      <c r="Y568" s="25" t="s">
        <v>1723</v>
      </c>
      <c r="Z568" s="25"/>
      <c r="AA568" s="99"/>
      <c r="AB568" s="3" t="str">
        <f>IF(BCP_Soles[[#This Row],[FECHA]]&gt;0,TEXT(BCP_Soles[[#This Row],[FECHA]],"mmmm"),0)</f>
        <v>Febrero</v>
      </c>
    </row>
    <row r="569" spans="2:28" ht="36" x14ac:dyDescent="0.3">
      <c r="B569" s="2">
        <f>IF(BCP_Soles[[#This Row],[TIPO DE R.]]="R",COUNTIFS($D$4:$D568,"R")+1,"")</f>
        <v>433</v>
      </c>
      <c r="C569" s="19" t="str">
        <f t="shared" si="40"/>
        <v>B-BCP - Soles</v>
      </c>
      <c r="D569" s="3" t="s">
        <v>1074</v>
      </c>
      <c r="E569" s="14">
        <v>45707</v>
      </c>
      <c r="F569" s="5" t="s">
        <v>1368</v>
      </c>
      <c r="G569" s="5" t="s">
        <v>1087</v>
      </c>
      <c r="H569" s="6"/>
      <c r="I569" s="6"/>
      <c r="J569" s="6"/>
      <c r="K569" s="6"/>
      <c r="L569" s="7" t="s">
        <v>1100</v>
      </c>
      <c r="M569" s="8">
        <v>1689193</v>
      </c>
      <c r="N569" s="8" t="str">
        <f t="shared" si="41"/>
        <v>PEN</v>
      </c>
      <c r="O569" s="13"/>
      <c r="P569" s="13">
        <v>2960</v>
      </c>
      <c r="Q569" s="3">
        <f t="shared" si="42"/>
        <v>2960</v>
      </c>
      <c r="R569" s="3">
        <f t="shared" si="43"/>
        <v>0</v>
      </c>
      <c r="S569" s="3">
        <f t="shared" si="44"/>
        <v>872.75999999999249</v>
      </c>
      <c r="T569" s="24" t="s">
        <v>1081</v>
      </c>
      <c r="U569" s="24" t="s">
        <v>1081</v>
      </c>
      <c r="V569" s="67"/>
      <c r="W569" s="25" t="str">
        <f>IFERROR(VLOOKUP(BCP_Soles[[#This Row],[DESTINATARIO]],CHOOSE({1,2},Clientes_Proveedores[Razon Social],Clientes_Proveedores[Ruc / Dni]),2,0),"")</f>
        <v/>
      </c>
      <c r="X569" s="25" t="s">
        <v>1090</v>
      </c>
      <c r="Y569" s="25" t="s">
        <v>1724</v>
      </c>
      <c r="Z569" s="25"/>
      <c r="AA569" s="99"/>
      <c r="AB569" s="3" t="str">
        <f>IF(BCP_Soles[[#This Row],[FECHA]]&gt;0,TEXT(BCP_Soles[[#This Row],[FECHA]],"mmmm"),0)</f>
        <v>Febrero</v>
      </c>
    </row>
    <row r="570" spans="2:28" ht="24" x14ac:dyDescent="0.3">
      <c r="B570" s="2">
        <f>IF(BCP_Soles[[#This Row],[TIPO DE R.]]="R",COUNTIFS($D$4:$D569,"R")+1,"")</f>
        <v>434</v>
      </c>
      <c r="C570" s="19" t="str">
        <f t="shared" si="40"/>
        <v>B-BCP - Soles</v>
      </c>
      <c r="D570" s="3" t="s">
        <v>1074</v>
      </c>
      <c r="E570" s="14">
        <v>45707</v>
      </c>
      <c r="F570" s="5" t="s">
        <v>1245</v>
      </c>
      <c r="G570" s="5" t="s">
        <v>1087</v>
      </c>
      <c r="H570" s="6"/>
      <c r="I570" s="6"/>
      <c r="J570" s="6"/>
      <c r="K570" s="6"/>
      <c r="L570" s="7" t="s">
        <v>1100</v>
      </c>
      <c r="M570" s="8">
        <v>3632819</v>
      </c>
      <c r="N570" s="8" t="str">
        <f t="shared" si="41"/>
        <v>PEN</v>
      </c>
      <c r="O570" s="13"/>
      <c r="P570" s="13">
        <v>720</v>
      </c>
      <c r="Q570" s="3">
        <f t="shared" si="42"/>
        <v>720</v>
      </c>
      <c r="R570" s="3">
        <f t="shared" si="43"/>
        <v>0</v>
      </c>
      <c r="S570" s="3">
        <f t="shared" si="44"/>
        <v>1592.7599999999925</v>
      </c>
      <c r="T570" s="24" t="s">
        <v>1081</v>
      </c>
      <c r="U570" s="24" t="s">
        <v>1081</v>
      </c>
      <c r="V570" s="67"/>
      <c r="W570" s="25" t="str">
        <f>IFERROR(VLOOKUP(BCP_Soles[[#This Row],[DESTINATARIO]],CHOOSE({1,2},Clientes_Proveedores[Razon Social],Clientes_Proveedores[Ruc / Dni]),2,0),"")</f>
        <v/>
      </c>
      <c r="X570" s="25" t="s">
        <v>1090</v>
      </c>
      <c r="Y570" s="25" t="s">
        <v>1725</v>
      </c>
      <c r="Z570" s="25"/>
      <c r="AA570" s="99"/>
      <c r="AB570" s="3" t="str">
        <f>IF(BCP_Soles[[#This Row],[FECHA]]&gt;0,TEXT(BCP_Soles[[#This Row],[FECHA]],"mmmm"),0)</f>
        <v>Febrero</v>
      </c>
    </row>
    <row r="571" spans="2:28" x14ac:dyDescent="0.3">
      <c r="B571" s="2">
        <f>IF(BCP_Soles[[#This Row],[TIPO DE R.]]="R",COUNTIFS($D$4:$D570,"R")+1,"")</f>
        <v>435</v>
      </c>
      <c r="C571" s="19" t="str">
        <f t="shared" si="40"/>
        <v>B-BCP - Soles</v>
      </c>
      <c r="D571" s="3" t="s">
        <v>1074</v>
      </c>
      <c r="E571" s="14">
        <v>45707</v>
      </c>
      <c r="F571" s="5"/>
      <c r="G571" s="5" t="s">
        <v>1087</v>
      </c>
      <c r="H571" s="6"/>
      <c r="I571" s="6"/>
      <c r="J571" s="6"/>
      <c r="K571" s="6"/>
      <c r="L571" s="7" t="s">
        <v>1100</v>
      </c>
      <c r="M571" s="8">
        <v>2174234</v>
      </c>
      <c r="N571" s="8" t="str">
        <f t="shared" si="41"/>
        <v>PEN</v>
      </c>
      <c r="O571" s="13"/>
      <c r="P571" s="13">
        <v>167.2</v>
      </c>
      <c r="Q571" s="3">
        <f t="shared" si="42"/>
        <v>167.2</v>
      </c>
      <c r="R571" s="3">
        <f t="shared" si="43"/>
        <v>0</v>
      </c>
      <c r="S571" s="3">
        <f t="shared" si="44"/>
        <v>1759.9599999999925</v>
      </c>
      <c r="T571" s="24"/>
      <c r="U571" s="24"/>
      <c r="V571" s="67"/>
      <c r="W571" s="25" t="str">
        <f>IFERROR(VLOOKUP(BCP_Soles[[#This Row],[DESTINATARIO]],CHOOSE({1,2},Clientes_Proveedores[Razon Social],Clientes_Proveedores[Ruc / Dni]),2,0),"")</f>
        <v/>
      </c>
      <c r="X571" s="25" t="s">
        <v>1090</v>
      </c>
      <c r="Y571" s="25"/>
      <c r="Z571" s="25"/>
      <c r="AA571" s="99"/>
      <c r="AB571" s="3" t="str">
        <f>IF(BCP_Soles[[#This Row],[FECHA]]&gt;0,TEXT(BCP_Soles[[#This Row],[FECHA]],"mmmm"),0)</f>
        <v>Febrero</v>
      </c>
    </row>
    <row r="572" spans="2:28" x14ac:dyDescent="0.3">
      <c r="B572" s="2">
        <f>IF(BCP_Soles[[#This Row],[TIPO DE R.]]="R",COUNTIFS($D$4:$D571,"R")+1,"")</f>
        <v>436</v>
      </c>
      <c r="C572" s="19" t="str">
        <f t="shared" si="40"/>
        <v>B-BCP - Soles</v>
      </c>
      <c r="D572" s="3" t="s">
        <v>1074</v>
      </c>
      <c r="E572" s="14">
        <v>45708</v>
      </c>
      <c r="F572" s="5" t="s">
        <v>1078</v>
      </c>
      <c r="G572" s="5" t="s">
        <v>1079</v>
      </c>
      <c r="H572" s="6"/>
      <c r="I572" s="6"/>
      <c r="J572" s="6"/>
      <c r="K572" s="6"/>
      <c r="L572" s="7" t="s">
        <v>1080</v>
      </c>
      <c r="M572" s="8"/>
      <c r="N572" s="8" t="str">
        <f t="shared" si="41"/>
        <v>PEN</v>
      </c>
      <c r="O572" s="13"/>
      <c r="P572" s="13">
        <v>1.2</v>
      </c>
      <c r="Q572" s="3">
        <f t="shared" si="42"/>
        <v>0</v>
      </c>
      <c r="R572" s="3">
        <f t="shared" si="43"/>
        <v>1.2</v>
      </c>
      <c r="S572" s="3">
        <f t="shared" si="44"/>
        <v>1758.7599999999925</v>
      </c>
      <c r="T572" s="24"/>
      <c r="U572" s="24" t="s">
        <v>1081</v>
      </c>
      <c r="V572" s="67"/>
      <c r="W572" s="25" t="str">
        <f>IFERROR(VLOOKUP(BCP_Soles[[#This Row],[DESTINATARIO]],CHOOSE({1,2},Clientes_Proveedores[Razon Social],Clientes_Proveedores[Ruc / Dni]),2,0),"")</f>
        <v/>
      </c>
      <c r="X572" s="25"/>
      <c r="Y572" s="25"/>
      <c r="Z572" s="25"/>
      <c r="AA572" s="99"/>
      <c r="AB572" s="3" t="str">
        <f>IF(BCP_Soles[[#This Row],[FECHA]]&gt;0,TEXT(BCP_Soles[[#This Row],[FECHA]],"mmmm"),0)</f>
        <v>Febrero</v>
      </c>
    </row>
    <row r="573" spans="2:28" x14ac:dyDescent="0.3">
      <c r="B573" s="2">
        <f>IF(BCP_Soles[[#This Row],[TIPO DE R.]]="R",COUNTIFS($D$4:$D572,"R")+1,"")</f>
        <v>437</v>
      </c>
      <c r="C573" s="19" t="str">
        <f t="shared" si="40"/>
        <v>B-BCP - Soles</v>
      </c>
      <c r="D573" s="3" t="s">
        <v>1074</v>
      </c>
      <c r="E573" s="14">
        <v>45708</v>
      </c>
      <c r="F573" s="5" t="s">
        <v>1726</v>
      </c>
      <c r="G573" s="5" t="s">
        <v>1079</v>
      </c>
      <c r="H573" s="6"/>
      <c r="I573" s="6"/>
      <c r="J573" s="6"/>
      <c r="K573" s="6"/>
      <c r="L573" s="7" t="s">
        <v>1727</v>
      </c>
      <c r="M573" s="8">
        <v>1013765</v>
      </c>
      <c r="N573" s="8" t="str">
        <f t="shared" si="41"/>
        <v>PEN</v>
      </c>
      <c r="O573" s="13"/>
      <c r="P573" s="13">
        <v>4622</v>
      </c>
      <c r="Q573" s="3">
        <f t="shared" si="42"/>
        <v>0</v>
      </c>
      <c r="R573" s="3">
        <f t="shared" si="43"/>
        <v>4622</v>
      </c>
      <c r="S573" s="3">
        <f t="shared" si="44"/>
        <v>-2863.2400000000075</v>
      </c>
      <c r="T573" s="24"/>
      <c r="U573" s="24"/>
      <c r="V573" s="67"/>
      <c r="W573" s="25" t="str">
        <f>IFERROR(VLOOKUP(BCP_Soles[[#This Row],[DESTINATARIO]],CHOOSE({1,2},Clientes_Proveedores[Razon Social],Clientes_Proveedores[Ruc / Dni]),2,0),"")</f>
        <v/>
      </c>
      <c r="X573" s="25" t="s">
        <v>1133</v>
      </c>
      <c r="Y573" s="25"/>
      <c r="Z573" s="25"/>
      <c r="AA573" s="99"/>
      <c r="AB573" s="3" t="str">
        <f>IF(BCP_Soles[[#This Row],[FECHA]]&gt;0,TEXT(BCP_Soles[[#This Row],[FECHA]],"mmmm"),0)</f>
        <v>Febrero</v>
      </c>
    </row>
    <row r="574" spans="2:28" x14ac:dyDescent="0.3">
      <c r="B574" s="2">
        <f>IF(BCP_Soles[[#This Row],[TIPO DE R.]]="R",COUNTIFS($D$4:$D573,"R")+1,"")</f>
        <v>438</v>
      </c>
      <c r="C574" s="19" t="str">
        <f t="shared" si="40"/>
        <v>B-BCP - Soles</v>
      </c>
      <c r="D574" s="3" t="s">
        <v>1074</v>
      </c>
      <c r="E574" s="14">
        <v>45708</v>
      </c>
      <c r="F574" s="5" t="s">
        <v>1082</v>
      </c>
      <c r="G574" s="5" t="s">
        <v>1079</v>
      </c>
      <c r="H574" s="6" t="s">
        <v>637</v>
      </c>
      <c r="I574" s="6" t="s">
        <v>14</v>
      </c>
      <c r="J574" s="6" t="s">
        <v>1453</v>
      </c>
      <c r="K574" s="6">
        <v>128977</v>
      </c>
      <c r="L574" s="7" t="s">
        <v>1123</v>
      </c>
      <c r="M574" s="8">
        <v>83480</v>
      </c>
      <c r="N574" s="8" t="str">
        <f t="shared" si="41"/>
        <v>PEN</v>
      </c>
      <c r="O574" s="13"/>
      <c r="P574" s="13">
        <v>2730.65</v>
      </c>
      <c r="Q574" s="3">
        <f t="shared" si="42"/>
        <v>0</v>
      </c>
      <c r="R574" s="3">
        <f t="shared" si="43"/>
        <v>2730.65</v>
      </c>
      <c r="S574" s="3">
        <f t="shared" si="44"/>
        <v>-5593.8900000000076</v>
      </c>
      <c r="T574" s="24" t="s">
        <v>1081</v>
      </c>
      <c r="U574" s="24" t="s">
        <v>1081</v>
      </c>
      <c r="V574" s="67"/>
      <c r="W574" s="25">
        <f>IFERROR(VLOOKUP(BCP_Soles[[#This Row],[DESTINATARIO]],CHOOSE({1,2},Clientes_Proveedores[Razon Social],Clientes_Proveedores[Ruc / Dni]),2,0),"")</f>
        <v>20127765279</v>
      </c>
      <c r="X574" s="25" t="s">
        <v>1124</v>
      </c>
      <c r="Y574" s="25" t="s">
        <v>1728</v>
      </c>
      <c r="Z574" s="25"/>
      <c r="AA574" s="99"/>
      <c r="AB574" s="3" t="str">
        <f>IF(BCP_Soles[[#This Row],[FECHA]]&gt;0,TEXT(BCP_Soles[[#This Row],[FECHA]],"mmmm"),0)</f>
        <v>Febrero</v>
      </c>
    </row>
    <row r="575" spans="2:28" ht="36" x14ac:dyDescent="0.3">
      <c r="B575" s="2">
        <f>IF(BCP_Soles[[#This Row],[TIPO DE R.]]="R",COUNTIFS($D$4:$D574,"R")+1,"")</f>
        <v>439</v>
      </c>
      <c r="C575" s="19" t="str">
        <f t="shared" si="40"/>
        <v>B-BCP - Soles</v>
      </c>
      <c r="D575" s="3" t="s">
        <v>1074</v>
      </c>
      <c r="E575" s="14">
        <v>45708</v>
      </c>
      <c r="F575" s="5" t="s">
        <v>1082</v>
      </c>
      <c r="G575" s="5" t="s">
        <v>1079</v>
      </c>
      <c r="H575" s="6" t="s">
        <v>220</v>
      </c>
      <c r="I575" s="6" t="s">
        <v>14</v>
      </c>
      <c r="J575" s="6" t="s">
        <v>1148</v>
      </c>
      <c r="K575" s="6">
        <v>1640</v>
      </c>
      <c r="L575" s="7" t="s">
        <v>1729</v>
      </c>
      <c r="M575" s="8">
        <v>1155162</v>
      </c>
      <c r="N575" s="8" t="str">
        <f t="shared" si="41"/>
        <v>PEN</v>
      </c>
      <c r="O575" s="13"/>
      <c r="P575" s="13">
        <v>2544</v>
      </c>
      <c r="Q575" s="3">
        <f t="shared" si="42"/>
        <v>0</v>
      </c>
      <c r="R575" s="3">
        <f t="shared" si="43"/>
        <v>2544</v>
      </c>
      <c r="S575" s="3">
        <f t="shared" si="44"/>
        <v>-8137.8900000000076</v>
      </c>
      <c r="T575" s="24" t="s">
        <v>1081</v>
      </c>
      <c r="U575" s="24" t="s">
        <v>1081</v>
      </c>
      <c r="V575" s="67"/>
      <c r="W575" s="25">
        <f>IFERROR(VLOOKUP(BCP_Soles[[#This Row],[DESTINATARIO]],CHOOSE({1,2},Clientes_Proveedores[Razon Social],Clientes_Proveedores[Ruc / Dni]),2,0),"")</f>
        <v>20429640939</v>
      </c>
      <c r="X575" s="25" t="s">
        <v>1150</v>
      </c>
      <c r="Y575" s="25" t="s">
        <v>1730</v>
      </c>
      <c r="Z575" s="25"/>
      <c r="AA575" s="99"/>
      <c r="AB575" s="3" t="str">
        <f>IF(BCP_Soles[[#This Row],[FECHA]]&gt;0,TEXT(BCP_Soles[[#This Row],[FECHA]],"mmmm"),0)</f>
        <v>Febrero</v>
      </c>
    </row>
    <row r="576" spans="2:28" ht="24" x14ac:dyDescent="0.3">
      <c r="B576" s="2">
        <f>IF(BCP_Soles[[#This Row],[TIPO DE R.]]="R",COUNTIFS($D$4:$D575,"R")+1,"")</f>
        <v>440</v>
      </c>
      <c r="C576" s="19" t="str">
        <f t="shared" si="40"/>
        <v>B-BCP - Soles</v>
      </c>
      <c r="D576" s="3" t="s">
        <v>1074</v>
      </c>
      <c r="E576" s="14">
        <v>45708</v>
      </c>
      <c r="F576" s="5" t="s">
        <v>1082</v>
      </c>
      <c r="G576" s="5" t="s">
        <v>1079</v>
      </c>
      <c r="H576" s="6" t="s">
        <v>115</v>
      </c>
      <c r="I576" s="6" t="s">
        <v>14</v>
      </c>
      <c r="J576" s="6" t="s">
        <v>1121</v>
      </c>
      <c r="K576" s="6">
        <v>879</v>
      </c>
      <c r="L576" s="7" t="s">
        <v>1731</v>
      </c>
      <c r="M576" s="8">
        <v>1104049</v>
      </c>
      <c r="N576" s="8" t="str">
        <f t="shared" si="41"/>
        <v>PEN</v>
      </c>
      <c r="O576" s="13"/>
      <c r="P576" s="13">
        <v>1074.08</v>
      </c>
      <c r="Q576" s="3">
        <f t="shared" si="42"/>
        <v>0</v>
      </c>
      <c r="R576" s="3">
        <f t="shared" si="43"/>
        <v>1074.08</v>
      </c>
      <c r="S576" s="3">
        <f t="shared" si="44"/>
        <v>-9211.9700000000084</v>
      </c>
      <c r="T576" s="24" t="s">
        <v>1081</v>
      </c>
      <c r="U576" s="24" t="s">
        <v>1081</v>
      </c>
      <c r="V576" s="67"/>
      <c r="W576" s="25">
        <f>IFERROR(VLOOKUP(BCP_Soles[[#This Row],[DESTINATARIO]],CHOOSE({1,2},Clientes_Proveedores[Razon Social],Clientes_Proveedores[Ruc / Dni]),2,0),"")</f>
        <v>10459427525</v>
      </c>
      <c r="X576" s="25" t="s">
        <v>115</v>
      </c>
      <c r="Y576" s="25" t="s">
        <v>1732</v>
      </c>
      <c r="Z576" s="25"/>
      <c r="AA576" s="99"/>
      <c r="AB576" s="3" t="str">
        <f>IF(BCP_Soles[[#This Row],[FECHA]]&gt;0,TEXT(BCP_Soles[[#This Row],[FECHA]],"mmmm"),0)</f>
        <v>Febrero</v>
      </c>
    </row>
    <row r="577" spans="2:28" x14ac:dyDescent="0.3">
      <c r="B577" s="2">
        <f>IF(BCP_Soles[[#This Row],[TIPO DE R.]]="R",COUNTIFS($D$4:$D576,"R")+1,"")</f>
        <v>441</v>
      </c>
      <c r="C577" s="19" t="str">
        <f t="shared" si="40"/>
        <v>B-BCP - Soles</v>
      </c>
      <c r="D577" s="3" t="s">
        <v>1074</v>
      </c>
      <c r="E577" s="14">
        <v>45708</v>
      </c>
      <c r="F577" s="5" t="s">
        <v>1082</v>
      </c>
      <c r="G577" s="5" t="s">
        <v>1079</v>
      </c>
      <c r="H577" s="6" t="s">
        <v>637</v>
      </c>
      <c r="I577" s="6" t="s">
        <v>14</v>
      </c>
      <c r="J577" s="6" t="s">
        <v>1253</v>
      </c>
      <c r="K577" s="6">
        <v>146808</v>
      </c>
      <c r="L577" s="7" t="s">
        <v>1123</v>
      </c>
      <c r="M577" s="8">
        <v>87459</v>
      </c>
      <c r="N577" s="8" t="str">
        <f t="shared" si="41"/>
        <v>PEN</v>
      </c>
      <c r="O577" s="13"/>
      <c r="P577" s="13">
        <v>925.51</v>
      </c>
      <c r="Q577" s="3">
        <f t="shared" si="42"/>
        <v>0</v>
      </c>
      <c r="R577" s="3">
        <f t="shared" si="43"/>
        <v>925.51</v>
      </c>
      <c r="S577" s="3">
        <f t="shared" si="44"/>
        <v>-10137.480000000009</v>
      </c>
      <c r="T577" s="24" t="s">
        <v>1081</v>
      </c>
      <c r="U577" s="24" t="s">
        <v>1081</v>
      </c>
      <c r="V577" s="67"/>
      <c r="W577" s="25">
        <f>IFERROR(VLOOKUP(BCP_Soles[[#This Row],[DESTINATARIO]],CHOOSE({1,2},Clientes_Proveedores[Razon Social],Clientes_Proveedores[Ruc / Dni]),2,0),"")</f>
        <v>20127765279</v>
      </c>
      <c r="X577" s="25" t="s">
        <v>1124</v>
      </c>
      <c r="Y577" s="25" t="s">
        <v>1733</v>
      </c>
      <c r="Z577" s="25"/>
      <c r="AA577" s="99"/>
      <c r="AB577" s="3" t="str">
        <f>IF(BCP_Soles[[#This Row],[FECHA]]&gt;0,TEXT(BCP_Soles[[#This Row],[FECHA]],"mmmm"),0)</f>
        <v>Febrero</v>
      </c>
    </row>
    <row r="578" spans="2:28" ht="36" x14ac:dyDescent="0.3">
      <c r="B578" s="2">
        <f>IF(BCP_Soles[[#This Row],[TIPO DE R.]]="R",COUNTIFS($D$4:$D577,"R")+1,"")</f>
        <v>442</v>
      </c>
      <c r="C578" s="19" t="str">
        <f t="shared" si="40"/>
        <v>B-BCP - Soles</v>
      </c>
      <c r="D578" s="3" t="s">
        <v>1074</v>
      </c>
      <c r="E578" s="14">
        <v>45708</v>
      </c>
      <c r="F578" s="5" t="s">
        <v>1082</v>
      </c>
      <c r="G578" s="5" t="s">
        <v>1079</v>
      </c>
      <c r="H578" s="6" t="s">
        <v>625</v>
      </c>
      <c r="I578" s="6" t="s">
        <v>14</v>
      </c>
      <c r="J578" s="6" t="s">
        <v>1119</v>
      </c>
      <c r="K578" s="6">
        <v>1983</v>
      </c>
      <c r="L578" s="7" t="s">
        <v>1734</v>
      </c>
      <c r="M578" s="8">
        <v>1102093</v>
      </c>
      <c r="N578" s="8" t="str">
        <f t="shared" si="41"/>
        <v>PEN</v>
      </c>
      <c r="O578" s="13"/>
      <c r="P578" s="13">
        <v>917.16</v>
      </c>
      <c r="Q578" s="3">
        <f t="shared" si="42"/>
        <v>0</v>
      </c>
      <c r="R578" s="3">
        <f t="shared" si="43"/>
        <v>917.16</v>
      </c>
      <c r="S578" s="3">
        <f t="shared" si="44"/>
        <v>-11054.640000000009</v>
      </c>
      <c r="T578" s="24" t="s">
        <v>1081</v>
      </c>
      <c r="U578" s="24" t="s">
        <v>1081</v>
      </c>
      <c r="V578" s="67"/>
      <c r="W578" s="25">
        <f>IFERROR(VLOOKUP(BCP_Soles[[#This Row],[DESTINATARIO]],CHOOSE({1,2},Clientes_Proveedores[Razon Social],Clientes_Proveedores[Ruc / Dni]),2,0),"")</f>
        <v>20512528458</v>
      </c>
      <c r="X578" s="25" t="s">
        <v>1735</v>
      </c>
      <c r="Y578" s="25" t="s">
        <v>1736</v>
      </c>
      <c r="Z578" s="25"/>
      <c r="AA578" s="99"/>
      <c r="AB578" s="3" t="str">
        <f>IF(BCP_Soles[[#This Row],[FECHA]]&gt;0,TEXT(BCP_Soles[[#This Row],[FECHA]],"mmmm"),0)</f>
        <v>Febrero</v>
      </c>
    </row>
    <row r="579" spans="2:28" ht="24" x14ac:dyDescent="0.3">
      <c r="B579" s="2">
        <f>IF(BCP_Soles[[#This Row],[TIPO DE R.]]="R",COUNTIFS($D$4:$D578,"R")+1,"")</f>
        <v>443</v>
      </c>
      <c r="C579" s="19" t="str">
        <f t="shared" si="40"/>
        <v>B-BCP - Soles</v>
      </c>
      <c r="D579" s="3" t="s">
        <v>1074</v>
      </c>
      <c r="E579" s="14">
        <v>45708</v>
      </c>
      <c r="F579" s="5" t="s">
        <v>1082</v>
      </c>
      <c r="G579" s="5" t="s">
        <v>1079</v>
      </c>
      <c r="H579" s="6" t="s">
        <v>83</v>
      </c>
      <c r="I579" s="6" t="s">
        <v>14</v>
      </c>
      <c r="J579" s="6" t="s">
        <v>1121</v>
      </c>
      <c r="K579" s="6">
        <v>168</v>
      </c>
      <c r="L579" s="7" t="s">
        <v>1737</v>
      </c>
      <c r="M579" s="8">
        <v>1153698</v>
      </c>
      <c r="N579" s="8" t="str">
        <f t="shared" si="41"/>
        <v>PEN</v>
      </c>
      <c r="O579" s="13"/>
      <c r="P579" s="13">
        <v>300</v>
      </c>
      <c r="Q579" s="3">
        <f t="shared" si="42"/>
        <v>0</v>
      </c>
      <c r="R579" s="3">
        <f t="shared" si="43"/>
        <v>300</v>
      </c>
      <c r="S579" s="3">
        <f t="shared" si="44"/>
        <v>-11354.640000000009</v>
      </c>
      <c r="T579" s="24" t="s">
        <v>1081</v>
      </c>
      <c r="U579" s="24" t="s">
        <v>1081</v>
      </c>
      <c r="V579" s="67"/>
      <c r="W579" s="25">
        <f>IFERROR(VLOOKUP(BCP_Soles[[#This Row],[DESTINATARIO]],CHOOSE({1,2},Clientes_Proveedores[Razon Social],Clientes_Proveedores[Ruc / Dni]),2,0),"")</f>
        <v>10297259305</v>
      </c>
      <c r="X579" s="25" t="s">
        <v>83</v>
      </c>
      <c r="Y579" s="25" t="s">
        <v>1738</v>
      </c>
      <c r="Z579" s="25"/>
      <c r="AA579" s="99"/>
      <c r="AB579" s="3" t="str">
        <f>IF(BCP_Soles[[#This Row],[FECHA]]&gt;0,TEXT(BCP_Soles[[#This Row],[FECHA]],"mmmm"),0)</f>
        <v>Febrero</v>
      </c>
    </row>
    <row r="580" spans="2:28" x14ac:dyDescent="0.3">
      <c r="B580" s="2">
        <f>IF(BCP_Soles[[#This Row],[TIPO DE R.]]="R",COUNTIFS($D$4:$D579,"R")+1,"")</f>
        <v>444</v>
      </c>
      <c r="C580" s="19" t="str">
        <f t="shared" si="40"/>
        <v>B-BCP - Soles</v>
      </c>
      <c r="D580" s="3" t="s">
        <v>1074</v>
      </c>
      <c r="E580" s="14">
        <v>45708</v>
      </c>
      <c r="F580" s="5" t="s">
        <v>1078</v>
      </c>
      <c r="G580" s="5" t="s">
        <v>1079</v>
      </c>
      <c r="H580" s="6"/>
      <c r="I580" s="6"/>
      <c r="J580" s="6"/>
      <c r="K580" s="6"/>
      <c r="L580" s="7" t="s">
        <v>1141</v>
      </c>
      <c r="M580" s="8">
        <v>404</v>
      </c>
      <c r="N580" s="8" t="str">
        <f t="shared" si="41"/>
        <v>PEN</v>
      </c>
      <c r="O580" s="13"/>
      <c r="P580" s="13">
        <v>10</v>
      </c>
      <c r="Q580" s="3">
        <f t="shared" si="42"/>
        <v>0</v>
      </c>
      <c r="R580" s="3">
        <f t="shared" si="43"/>
        <v>10</v>
      </c>
      <c r="S580" s="3">
        <f t="shared" si="44"/>
        <v>-11364.640000000009</v>
      </c>
      <c r="T580" s="24"/>
      <c r="U580" s="24" t="s">
        <v>1081</v>
      </c>
      <c r="V580" s="67"/>
      <c r="W580" s="25" t="str">
        <f>IFERROR(VLOOKUP(BCP_Soles[[#This Row],[DESTINATARIO]],CHOOSE({1,2},Clientes_Proveedores[Razon Social],Clientes_Proveedores[Ruc / Dni]),2,0),"")</f>
        <v/>
      </c>
      <c r="X580" s="25" t="s">
        <v>1078</v>
      </c>
      <c r="Y580" s="25" t="s">
        <v>1739</v>
      </c>
      <c r="Z580" s="25"/>
      <c r="AA580" s="99"/>
      <c r="AB580" s="3" t="str">
        <f>IF(BCP_Soles[[#This Row],[FECHA]]&gt;0,TEXT(BCP_Soles[[#This Row],[FECHA]],"mmmm"),0)</f>
        <v>Febrero</v>
      </c>
    </row>
    <row r="581" spans="2:28" ht="24" x14ac:dyDescent="0.3">
      <c r="B581" s="2">
        <f>IF(BCP_Soles[[#This Row],[TIPO DE R.]]="R",COUNTIFS($D$4:$D580,"R")+1,"")</f>
        <v>445</v>
      </c>
      <c r="C581" s="19" t="str">
        <f t="shared" ref="C581:C644" si="45">"B-BCP - Soles"</f>
        <v>B-BCP - Soles</v>
      </c>
      <c r="D581" s="3" t="s">
        <v>1074</v>
      </c>
      <c r="E581" s="14">
        <v>45708</v>
      </c>
      <c r="F581" s="5" t="s">
        <v>587</v>
      </c>
      <c r="G581" s="5" t="s">
        <v>1087</v>
      </c>
      <c r="H581" s="6"/>
      <c r="I581" s="6"/>
      <c r="J581" s="6"/>
      <c r="K581" s="6"/>
      <c r="L581" s="7" t="s">
        <v>1740</v>
      </c>
      <c r="M581" s="8">
        <v>2104788</v>
      </c>
      <c r="N581" s="8" t="str">
        <f t="shared" ref="N581:N644" si="46">"PEN"</f>
        <v>PEN</v>
      </c>
      <c r="O581" s="13"/>
      <c r="P581" s="13">
        <v>17780</v>
      </c>
      <c r="Q581" s="3">
        <f t="shared" ref="Q581:Q644" si="47">+IF(OR($G581="SALDO",$G581="INGRESO"),$P581,0)</f>
        <v>17780</v>
      </c>
      <c r="R581" s="3">
        <f t="shared" ref="R581:R644" si="48">+IF($G581="EGRESO",$P581,0)</f>
        <v>0</v>
      </c>
      <c r="S581" s="3">
        <f t="shared" ref="S581:S644" si="49">IFERROR(IF(G581="SALDO",Q581,S580+Q581-R581),0)</f>
        <v>6415.3599999999915</v>
      </c>
      <c r="T581" s="24" t="s">
        <v>1081</v>
      </c>
      <c r="U581" s="24" t="s">
        <v>1081</v>
      </c>
      <c r="V581" s="67"/>
      <c r="W581" s="25" t="str">
        <f>IFERROR(VLOOKUP(BCP_Soles[[#This Row],[DESTINATARIO]],CHOOSE({1,2},Clientes_Proveedores[Razon Social],Clientes_Proveedores[Ruc / Dni]),2,0),"")</f>
        <v/>
      </c>
      <c r="X581" s="25" t="s">
        <v>1090</v>
      </c>
      <c r="Y581" s="25" t="s">
        <v>1741</v>
      </c>
      <c r="Z581" s="25"/>
      <c r="AA581" s="99"/>
      <c r="AB581" s="3" t="str">
        <f>IF(BCP_Soles[[#This Row],[FECHA]]&gt;0,TEXT(BCP_Soles[[#This Row],[FECHA]],"mmmm"),0)</f>
        <v>Febrero</v>
      </c>
    </row>
    <row r="582" spans="2:28" x14ac:dyDescent="0.3">
      <c r="B582" s="2">
        <f>IF(BCP_Soles[[#This Row],[TIPO DE R.]]="R",COUNTIFS($D$4:$D581,"R")+1,"")</f>
        <v>446</v>
      </c>
      <c r="C582" s="19" t="str">
        <f t="shared" si="45"/>
        <v>B-BCP - Soles</v>
      </c>
      <c r="D582" s="3" t="s">
        <v>1074</v>
      </c>
      <c r="E582" s="14">
        <v>45708</v>
      </c>
      <c r="F582" s="5" t="s">
        <v>1251</v>
      </c>
      <c r="G582" s="5" t="s">
        <v>1087</v>
      </c>
      <c r="H582" s="6"/>
      <c r="I582" s="6"/>
      <c r="J582" s="6"/>
      <c r="K582" s="6"/>
      <c r="L582" s="7" t="s">
        <v>1374</v>
      </c>
      <c r="M582" s="8">
        <v>2498905</v>
      </c>
      <c r="N582" s="8" t="str">
        <f t="shared" si="46"/>
        <v>PEN</v>
      </c>
      <c r="O582" s="13"/>
      <c r="P582" s="13">
        <v>13000</v>
      </c>
      <c r="Q582" s="3">
        <f t="shared" si="47"/>
        <v>13000</v>
      </c>
      <c r="R582" s="3">
        <f t="shared" si="48"/>
        <v>0</v>
      </c>
      <c r="S582" s="3">
        <f t="shared" si="49"/>
        <v>19415.359999999993</v>
      </c>
      <c r="T582" s="24"/>
      <c r="U582" s="24"/>
      <c r="V582" s="67"/>
      <c r="W582" s="25" t="str">
        <f>IFERROR(VLOOKUP(BCP_Soles[[#This Row],[DESTINATARIO]],CHOOSE({1,2},Clientes_Proveedores[Razon Social],Clientes_Proveedores[Ruc / Dni]),2,0),"")</f>
        <v/>
      </c>
      <c r="X582" s="25" t="s">
        <v>1090</v>
      </c>
      <c r="Y582" s="25"/>
      <c r="Z582" s="25"/>
      <c r="AA582" s="99"/>
      <c r="AB582" s="3" t="str">
        <f>IF(BCP_Soles[[#This Row],[FECHA]]&gt;0,TEXT(BCP_Soles[[#This Row],[FECHA]],"mmmm"),0)</f>
        <v>Febrero</v>
      </c>
    </row>
    <row r="583" spans="2:28" ht="24" x14ac:dyDescent="0.3">
      <c r="B583" s="2">
        <f>IF(BCP_Soles[[#This Row],[TIPO DE R.]]="R",COUNTIFS($D$4:$D582,"R")+1,"")</f>
        <v>447</v>
      </c>
      <c r="C583" s="19" t="str">
        <f t="shared" si="45"/>
        <v>B-BCP - Soles</v>
      </c>
      <c r="D583" s="3" t="s">
        <v>1074</v>
      </c>
      <c r="E583" s="14">
        <v>45708</v>
      </c>
      <c r="F583" s="5" t="s">
        <v>1435</v>
      </c>
      <c r="G583" s="5" t="s">
        <v>1087</v>
      </c>
      <c r="H583" s="6"/>
      <c r="I583" s="6"/>
      <c r="J583" s="6"/>
      <c r="K583" s="6"/>
      <c r="L583" s="7" t="s">
        <v>1100</v>
      </c>
      <c r="M583" s="8">
        <v>1883536</v>
      </c>
      <c r="N583" s="8" t="str">
        <f t="shared" si="46"/>
        <v>PEN</v>
      </c>
      <c r="O583" s="13"/>
      <c r="P583" s="13">
        <v>64</v>
      </c>
      <c r="Q583" s="3">
        <f t="shared" si="47"/>
        <v>64</v>
      </c>
      <c r="R583" s="3">
        <f t="shared" si="48"/>
        <v>0</v>
      </c>
      <c r="S583" s="3">
        <f t="shared" si="49"/>
        <v>19479.359999999993</v>
      </c>
      <c r="T583" s="24" t="s">
        <v>1081</v>
      </c>
      <c r="U583" s="24" t="s">
        <v>1081</v>
      </c>
      <c r="V583" s="67"/>
      <c r="W583" s="25" t="str">
        <f>IFERROR(VLOOKUP(BCP_Soles[[#This Row],[DESTINATARIO]],CHOOSE({1,2},Clientes_Proveedores[Razon Social],Clientes_Proveedores[Ruc / Dni]),2,0),"")</f>
        <v/>
      </c>
      <c r="X583" s="25" t="s">
        <v>1090</v>
      </c>
      <c r="Y583" s="25" t="s">
        <v>1487</v>
      </c>
      <c r="Z583" s="25"/>
      <c r="AA583" s="99"/>
      <c r="AB583" s="3" t="str">
        <f>IF(BCP_Soles[[#This Row],[FECHA]]&gt;0,TEXT(BCP_Soles[[#This Row],[FECHA]],"mmmm"),0)</f>
        <v>Febrero</v>
      </c>
    </row>
    <row r="584" spans="2:28" x14ac:dyDescent="0.3">
      <c r="B584" s="2">
        <f>IF(BCP_Soles[[#This Row],[TIPO DE R.]]="R",COUNTIFS($D$4:$D583,"R")+1,"")</f>
        <v>448</v>
      </c>
      <c r="C584" s="19" t="str">
        <f t="shared" si="45"/>
        <v>B-BCP - Soles</v>
      </c>
      <c r="D584" s="3" t="s">
        <v>1074</v>
      </c>
      <c r="E584" s="14">
        <v>45709</v>
      </c>
      <c r="F584" s="5" t="s">
        <v>1082</v>
      </c>
      <c r="G584" s="5" t="s">
        <v>1079</v>
      </c>
      <c r="H584" s="6" t="s">
        <v>517</v>
      </c>
      <c r="I584" s="6"/>
      <c r="J584" s="6"/>
      <c r="K584" s="6"/>
      <c r="L584" s="7" t="s">
        <v>1473</v>
      </c>
      <c r="M584" s="8">
        <v>4008646</v>
      </c>
      <c r="N584" s="8" t="str">
        <f t="shared" si="46"/>
        <v>PEN</v>
      </c>
      <c r="O584" s="13"/>
      <c r="P584" s="13">
        <v>600.5</v>
      </c>
      <c r="Q584" s="3">
        <f t="shared" si="47"/>
        <v>0</v>
      </c>
      <c r="R584" s="3">
        <f t="shared" si="48"/>
        <v>600.5</v>
      </c>
      <c r="S584" s="3">
        <f t="shared" si="49"/>
        <v>18878.859999999993</v>
      </c>
      <c r="T584" s="24" t="s">
        <v>1081</v>
      </c>
      <c r="U584" s="24"/>
      <c r="V584" s="67"/>
      <c r="W584" s="25">
        <f>IFERROR(VLOOKUP(BCP_Soles[[#This Row],[DESTINATARIO]],CHOOSE({1,2},Clientes_Proveedores[Razon Social],Clientes_Proveedores[Ruc / Dni]),2,0),"")</f>
        <v>20608970909</v>
      </c>
      <c r="X584" s="25" t="s">
        <v>517</v>
      </c>
      <c r="Y584" s="25" t="s">
        <v>1742</v>
      </c>
      <c r="Z584" s="204" t="s">
        <v>7943</v>
      </c>
      <c r="AA584" s="99"/>
      <c r="AB584" s="3" t="str">
        <f>IF(BCP_Soles[[#This Row],[FECHA]]&gt;0,TEXT(BCP_Soles[[#This Row],[FECHA]],"mmmm"),0)</f>
        <v>Febrero</v>
      </c>
    </row>
    <row r="585" spans="2:28" x14ac:dyDescent="0.3">
      <c r="B585" s="2" t="str">
        <f>IF(BCP_Soles[[#This Row],[TIPO DE R.]]="R",COUNTIFS($D$4:$D584,"R")+1,"")</f>
        <v/>
      </c>
      <c r="C585" s="19" t="str">
        <f t="shared" si="45"/>
        <v>B-BCP - Soles</v>
      </c>
      <c r="D585" s="3" t="s">
        <v>1101</v>
      </c>
      <c r="E585" s="14">
        <v>45709</v>
      </c>
      <c r="F585" s="5" t="s">
        <v>1082</v>
      </c>
      <c r="G585" s="5"/>
      <c r="H585" s="6" t="s">
        <v>517</v>
      </c>
      <c r="I585" s="6" t="s">
        <v>14</v>
      </c>
      <c r="J585" s="6" t="s">
        <v>1121</v>
      </c>
      <c r="K585" s="6">
        <v>969</v>
      </c>
      <c r="L585" s="7" t="s">
        <v>1473</v>
      </c>
      <c r="M585" s="8">
        <v>4008646</v>
      </c>
      <c r="N585" s="8" t="str">
        <f t="shared" si="46"/>
        <v>PEN</v>
      </c>
      <c r="O585" s="13">
        <v>590</v>
      </c>
      <c r="P585" s="13"/>
      <c r="Q585" s="3">
        <f t="shared" si="47"/>
        <v>0</v>
      </c>
      <c r="R585" s="3">
        <f t="shared" si="48"/>
        <v>0</v>
      </c>
      <c r="S585" s="3">
        <f t="shared" si="49"/>
        <v>18878.859999999993</v>
      </c>
      <c r="T585" s="24" t="s">
        <v>1081</v>
      </c>
      <c r="U585" s="24"/>
      <c r="V585" s="67"/>
      <c r="W585" s="25">
        <f>IFERROR(VLOOKUP(BCP_Soles[[#This Row],[DESTINATARIO]],CHOOSE({1,2},Clientes_Proveedores[Razon Social],Clientes_Proveedores[Ruc / Dni]),2,0),"")</f>
        <v>20608970909</v>
      </c>
      <c r="X585" s="25"/>
      <c r="Y585" s="25"/>
      <c r="Z585" s="25"/>
      <c r="AA585" s="99"/>
      <c r="AB585" s="3" t="str">
        <f>IF(BCP_Soles[[#This Row],[FECHA]]&gt;0,TEXT(BCP_Soles[[#This Row],[FECHA]],"mmmm"),0)</f>
        <v>Febrero</v>
      </c>
    </row>
    <row r="586" spans="2:28" ht="24" x14ac:dyDescent="0.3">
      <c r="B586" s="2" t="str">
        <f>IF(BCP_Soles[[#This Row],[TIPO DE R.]]="R",COUNTIFS($D$4:$D585,"R")+1,"")</f>
        <v/>
      </c>
      <c r="C586" s="19" t="str">
        <f t="shared" si="45"/>
        <v>B-BCP - Soles</v>
      </c>
      <c r="D586" s="3" t="s">
        <v>1101</v>
      </c>
      <c r="E586" s="14">
        <v>45709</v>
      </c>
      <c r="F586" s="5" t="s">
        <v>1082</v>
      </c>
      <c r="G586" s="5"/>
      <c r="H586" s="6" t="s">
        <v>1001</v>
      </c>
      <c r="I586" s="6" t="s">
        <v>14</v>
      </c>
      <c r="J586" s="6" t="s">
        <v>3128</v>
      </c>
      <c r="K586" s="6">
        <v>29883748</v>
      </c>
      <c r="L586" s="7" t="s">
        <v>1473</v>
      </c>
      <c r="M586" s="8">
        <v>4008646</v>
      </c>
      <c r="N586" s="8" t="str">
        <f t="shared" si="46"/>
        <v>PEN</v>
      </c>
      <c r="O586" s="13">
        <v>10.5</v>
      </c>
      <c r="P586" s="13"/>
      <c r="Q586" s="3">
        <f t="shared" si="47"/>
        <v>0</v>
      </c>
      <c r="R586" s="3">
        <f t="shared" si="48"/>
        <v>0</v>
      </c>
      <c r="S586" s="3">
        <f t="shared" si="49"/>
        <v>18878.859999999993</v>
      </c>
      <c r="T586" s="24" t="s">
        <v>1081</v>
      </c>
      <c r="U586" s="24"/>
      <c r="V586" s="67"/>
      <c r="W586" s="25">
        <f>IFERROR(VLOOKUP(BCP_Soles[[#This Row],[DESTINATARIO]],CHOOSE({1,2},Clientes_Proveedores[Razon Social],Clientes_Proveedores[Ruc / Dni]),2,0),"")</f>
        <v>20100047218</v>
      </c>
      <c r="X586" s="25"/>
      <c r="Y586" s="25"/>
      <c r="Z586" s="25"/>
      <c r="AA586" s="99"/>
      <c r="AB586" s="3" t="str">
        <f>IF(BCP_Soles[[#This Row],[FECHA]]&gt;0,TEXT(BCP_Soles[[#This Row],[FECHA]],"mmmm"),0)</f>
        <v>Febrero</v>
      </c>
    </row>
    <row r="587" spans="2:28" ht="36" x14ac:dyDescent="0.3">
      <c r="B587" s="2">
        <f>IF(BCP_Soles[[#This Row],[TIPO DE R.]]="R",COUNTIFS($D$4:$D586,"R")+1,"")</f>
        <v>449</v>
      </c>
      <c r="C587" s="19" t="str">
        <f t="shared" si="45"/>
        <v>B-BCP - Soles</v>
      </c>
      <c r="D587" s="3" t="s">
        <v>1074</v>
      </c>
      <c r="E587" s="14">
        <v>45709</v>
      </c>
      <c r="F587" s="5" t="s">
        <v>1082</v>
      </c>
      <c r="G587" s="5" t="s">
        <v>1079</v>
      </c>
      <c r="H587" s="6" t="s">
        <v>530</v>
      </c>
      <c r="I587" s="6" t="s">
        <v>14</v>
      </c>
      <c r="J587" s="6" t="s">
        <v>1121</v>
      </c>
      <c r="K587" s="6">
        <v>346</v>
      </c>
      <c r="L587" s="7" t="s">
        <v>1743</v>
      </c>
      <c r="M587" s="8">
        <v>1069283</v>
      </c>
      <c r="N587" s="8" t="str">
        <f t="shared" si="46"/>
        <v>PEN</v>
      </c>
      <c r="O587" s="13"/>
      <c r="P587" s="13">
        <v>70.680000000000007</v>
      </c>
      <c r="Q587" s="3">
        <f t="shared" si="47"/>
        <v>0</v>
      </c>
      <c r="R587" s="3">
        <f t="shared" si="48"/>
        <v>70.680000000000007</v>
      </c>
      <c r="S587" s="3">
        <f t="shared" si="49"/>
        <v>18808.179999999993</v>
      </c>
      <c r="T587" s="24" t="s">
        <v>1081</v>
      </c>
      <c r="U587" s="24" t="s">
        <v>1081</v>
      </c>
      <c r="V587" s="67"/>
      <c r="W587" s="25">
        <f>IFERROR(VLOOKUP(BCP_Soles[[#This Row],[DESTINATARIO]],CHOOSE({1,2},Clientes_Proveedores[Razon Social],Clientes_Proveedores[Ruc / Dni]),2,0),"")</f>
        <v>20609368773</v>
      </c>
      <c r="X587" s="25" t="s">
        <v>1181</v>
      </c>
      <c r="Y587" s="25" t="s">
        <v>1744</v>
      </c>
      <c r="Z587" s="25"/>
      <c r="AA587" s="99"/>
      <c r="AB587" s="3" t="str">
        <f>IF(BCP_Soles[[#This Row],[FECHA]]&gt;0,TEXT(BCP_Soles[[#This Row],[FECHA]],"mmmm"),0)</f>
        <v>Febrero</v>
      </c>
    </row>
    <row r="588" spans="2:28" ht="24" x14ac:dyDescent="0.3">
      <c r="B588" s="2">
        <f>IF(BCP_Soles[[#This Row],[TIPO DE R.]]="R",COUNTIFS($D$4:$D587,"R")+1,"")</f>
        <v>450</v>
      </c>
      <c r="C588" s="19" t="str">
        <f t="shared" si="45"/>
        <v>B-BCP - Soles</v>
      </c>
      <c r="D588" s="3" t="s">
        <v>1074</v>
      </c>
      <c r="E588" s="14">
        <v>45709</v>
      </c>
      <c r="F588" s="5" t="s">
        <v>1745</v>
      </c>
      <c r="G588" s="5" t="s">
        <v>1087</v>
      </c>
      <c r="H588" s="6"/>
      <c r="I588" s="6"/>
      <c r="J588" s="6"/>
      <c r="K588" s="6"/>
      <c r="L588" s="7" t="s">
        <v>1100</v>
      </c>
      <c r="M588" s="8">
        <v>1499393</v>
      </c>
      <c r="N588" s="8" t="str">
        <f t="shared" si="46"/>
        <v>PEN</v>
      </c>
      <c r="O588" s="13"/>
      <c r="P588" s="13">
        <v>130</v>
      </c>
      <c r="Q588" s="3">
        <f t="shared" si="47"/>
        <v>130</v>
      </c>
      <c r="R588" s="3">
        <f t="shared" si="48"/>
        <v>0</v>
      </c>
      <c r="S588" s="3">
        <f t="shared" si="49"/>
        <v>18938.179999999993</v>
      </c>
      <c r="T588" s="24" t="s">
        <v>1081</v>
      </c>
      <c r="U588" s="24" t="s">
        <v>1081</v>
      </c>
      <c r="V588" s="67"/>
      <c r="W588" s="25" t="str">
        <f>IFERROR(VLOOKUP(BCP_Soles[[#This Row],[DESTINATARIO]],CHOOSE({1,2},Clientes_Proveedores[Razon Social],Clientes_Proveedores[Ruc / Dni]),2,0),"")</f>
        <v/>
      </c>
      <c r="X588" s="25" t="s">
        <v>1090</v>
      </c>
      <c r="Y588" s="25" t="s">
        <v>1746</v>
      </c>
      <c r="Z588" s="25"/>
      <c r="AA588" s="99"/>
      <c r="AB588" s="3" t="str">
        <f>IF(BCP_Soles[[#This Row],[FECHA]]&gt;0,TEXT(BCP_Soles[[#This Row],[FECHA]],"mmmm"),0)</f>
        <v>Febrero</v>
      </c>
    </row>
    <row r="589" spans="2:28" ht="24" x14ac:dyDescent="0.3">
      <c r="B589" s="2">
        <f>IF(BCP_Soles[[#This Row],[TIPO DE R.]]="R",COUNTIFS($D$4:$D588,"R")+1,"")</f>
        <v>451</v>
      </c>
      <c r="C589" s="19" t="str">
        <f t="shared" si="45"/>
        <v>B-BCP - Soles</v>
      </c>
      <c r="D589" s="3" t="s">
        <v>1074</v>
      </c>
      <c r="E589" s="14">
        <v>45709</v>
      </c>
      <c r="F589" s="5" t="s">
        <v>319</v>
      </c>
      <c r="G589" s="5" t="s">
        <v>1087</v>
      </c>
      <c r="H589" s="6"/>
      <c r="I589" s="6"/>
      <c r="J589" s="6"/>
      <c r="K589" s="6"/>
      <c r="L589" s="7" t="s">
        <v>1127</v>
      </c>
      <c r="M589" s="8">
        <v>6459</v>
      </c>
      <c r="N589" s="8" t="str">
        <f t="shared" si="46"/>
        <v>PEN</v>
      </c>
      <c r="O589" s="13"/>
      <c r="P589" s="13">
        <v>5282.66</v>
      </c>
      <c r="Q589" s="3">
        <f t="shared" si="47"/>
        <v>5282.66</v>
      </c>
      <c r="R589" s="3">
        <f t="shared" si="48"/>
        <v>0</v>
      </c>
      <c r="S589" s="3">
        <f t="shared" si="49"/>
        <v>24220.839999999993</v>
      </c>
      <c r="T589" s="24" t="s">
        <v>1081</v>
      </c>
      <c r="U589" s="24" t="s">
        <v>1081</v>
      </c>
      <c r="V589" s="67"/>
      <c r="W589" s="25" t="str">
        <f>IFERROR(VLOOKUP(BCP_Soles[[#This Row],[DESTINATARIO]],CHOOSE({1,2},Clientes_Proveedores[Razon Social],Clientes_Proveedores[Ruc / Dni]),2,0),"")</f>
        <v/>
      </c>
      <c r="X589" s="25" t="s">
        <v>1090</v>
      </c>
      <c r="Y589" s="25" t="s">
        <v>1747</v>
      </c>
      <c r="Z589" s="25"/>
      <c r="AA589" s="99"/>
      <c r="AB589" s="3" t="str">
        <f>IF(BCP_Soles[[#This Row],[FECHA]]&gt;0,TEXT(BCP_Soles[[#This Row],[FECHA]],"mmmm"),0)</f>
        <v>Febrero</v>
      </c>
    </row>
    <row r="590" spans="2:28" x14ac:dyDescent="0.3">
      <c r="B590" s="2">
        <f>IF(BCP_Soles[[#This Row],[TIPO DE R.]]="R",COUNTIFS($D$4:$D589,"R")+1,"")</f>
        <v>452</v>
      </c>
      <c r="C590" s="19" t="str">
        <f t="shared" si="45"/>
        <v>B-BCP - Soles</v>
      </c>
      <c r="D590" s="3" t="s">
        <v>1074</v>
      </c>
      <c r="E590" s="14">
        <v>45709</v>
      </c>
      <c r="F590" s="5" t="s">
        <v>229</v>
      </c>
      <c r="G590" s="5" t="s">
        <v>1087</v>
      </c>
      <c r="H590" s="6"/>
      <c r="I590" s="6"/>
      <c r="J590" s="6"/>
      <c r="K590" s="6"/>
      <c r="L590" s="7" t="s">
        <v>1127</v>
      </c>
      <c r="M590" s="8">
        <v>6458</v>
      </c>
      <c r="N590" s="8" t="str">
        <f t="shared" si="46"/>
        <v>PEN</v>
      </c>
      <c r="O590" s="13"/>
      <c r="P590" s="13">
        <v>4151.3999999999996</v>
      </c>
      <c r="Q590" s="3">
        <f t="shared" si="47"/>
        <v>4151.3999999999996</v>
      </c>
      <c r="R590" s="3">
        <f t="shared" si="48"/>
        <v>0</v>
      </c>
      <c r="S590" s="3">
        <f t="shared" si="49"/>
        <v>28372.239999999991</v>
      </c>
      <c r="T590" s="24" t="s">
        <v>1081</v>
      </c>
      <c r="U590" s="24" t="s">
        <v>1081</v>
      </c>
      <c r="V590" s="67"/>
      <c r="W590" s="25" t="str">
        <f>IFERROR(VLOOKUP(BCP_Soles[[#This Row],[DESTINATARIO]],CHOOSE({1,2},Clientes_Proveedores[Razon Social],Clientes_Proveedores[Ruc / Dni]),2,0),"")</f>
        <v/>
      </c>
      <c r="X590" s="25" t="s">
        <v>1090</v>
      </c>
      <c r="Y590" s="25" t="s">
        <v>1748</v>
      </c>
      <c r="Z590" s="25"/>
      <c r="AA590" s="99"/>
      <c r="AB590" s="3" t="str">
        <f>IF(BCP_Soles[[#This Row],[FECHA]]&gt;0,TEXT(BCP_Soles[[#This Row],[FECHA]],"mmmm"),0)</f>
        <v>Febrero</v>
      </c>
    </row>
    <row r="591" spans="2:28" x14ac:dyDescent="0.3">
      <c r="B591" s="2">
        <f>IF(BCP_Soles[[#This Row],[TIPO DE R.]]="R",COUNTIFS($D$4:$D590,"R")+1,"")</f>
        <v>453</v>
      </c>
      <c r="C591" s="19" t="str">
        <f t="shared" si="45"/>
        <v>B-BCP - Soles</v>
      </c>
      <c r="D591" s="3" t="s">
        <v>1074</v>
      </c>
      <c r="E591" s="14">
        <v>45709</v>
      </c>
      <c r="F591" s="5" t="s">
        <v>1078</v>
      </c>
      <c r="G591" s="5" t="s">
        <v>1079</v>
      </c>
      <c r="H591" s="6"/>
      <c r="I591" s="6"/>
      <c r="J591" s="6"/>
      <c r="K591" s="6"/>
      <c r="L591" s="7" t="s">
        <v>1080</v>
      </c>
      <c r="M591" s="8"/>
      <c r="N591" s="8" t="str">
        <f t="shared" si="46"/>
        <v>PEN</v>
      </c>
      <c r="O591" s="13"/>
      <c r="P591" s="13">
        <v>0.5</v>
      </c>
      <c r="Q591" s="3">
        <f t="shared" si="47"/>
        <v>0</v>
      </c>
      <c r="R591" s="3">
        <f t="shared" si="48"/>
        <v>0.5</v>
      </c>
      <c r="S591" s="3">
        <f t="shared" si="49"/>
        <v>28371.739999999991</v>
      </c>
      <c r="T591" s="24"/>
      <c r="U591" s="24" t="s">
        <v>1081</v>
      </c>
      <c r="V591" s="67"/>
      <c r="W591" s="25" t="str">
        <f>IFERROR(VLOOKUP(BCP_Soles[[#This Row],[DESTINATARIO]],CHOOSE({1,2},Clientes_Proveedores[Razon Social],Clientes_Proveedores[Ruc / Dni]),2,0),"")</f>
        <v/>
      </c>
      <c r="X591" s="25"/>
      <c r="Y591" s="25"/>
      <c r="Z591" s="25"/>
      <c r="AA591" s="99"/>
      <c r="AB591" s="3" t="str">
        <f>IF(BCP_Soles[[#This Row],[FECHA]]&gt;0,TEXT(BCP_Soles[[#This Row],[FECHA]],"mmmm"),0)</f>
        <v>Febrero</v>
      </c>
    </row>
    <row r="592" spans="2:28" ht="24" x14ac:dyDescent="0.3">
      <c r="B592" s="2">
        <f>IF(BCP_Soles[[#This Row],[TIPO DE R.]]="R",COUNTIFS($D$4:$D591,"R")+1,"")</f>
        <v>454</v>
      </c>
      <c r="C592" s="19" t="str">
        <f t="shared" si="45"/>
        <v>B-BCP - Soles</v>
      </c>
      <c r="D592" s="3" t="s">
        <v>1074</v>
      </c>
      <c r="E592" s="14">
        <v>45709</v>
      </c>
      <c r="F592" s="5" t="s">
        <v>1082</v>
      </c>
      <c r="G592" s="5" t="s">
        <v>1079</v>
      </c>
      <c r="H592" s="6" t="s">
        <v>336</v>
      </c>
      <c r="I592" s="6" t="s">
        <v>14</v>
      </c>
      <c r="J592" s="6" t="s">
        <v>1121</v>
      </c>
      <c r="K592" s="6">
        <v>3211</v>
      </c>
      <c r="L592" s="7" t="s">
        <v>1749</v>
      </c>
      <c r="M592" s="8">
        <v>1182356</v>
      </c>
      <c r="N592" s="8" t="str">
        <f t="shared" si="46"/>
        <v>PEN</v>
      </c>
      <c r="O592" s="13"/>
      <c r="P592" s="13">
        <v>1728</v>
      </c>
      <c r="Q592" s="3">
        <f t="shared" si="47"/>
        <v>0</v>
      </c>
      <c r="R592" s="3">
        <f t="shared" si="48"/>
        <v>1728</v>
      </c>
      <c r="S592" s="3">
        <f t="shared" si="49"/>
        <v>26643.739999999991</v>
      </c>
      <c r="T592" s="24" t="s">
        <v>1081</v>
      </c>
      <c r="U592" s="24" t="s">
        <v>1081</v>
      </c>
      <c r="V592" s="67"/>
      <c r="W592" s="25">
        <f>IFERROR(VLOOKUP(BCP_Soles[[#This Row],[DESTINATARIO]],CHOOSE({1,2},Clientes_Proveedores[Razon Social],Clientes_Proveedores[Ruc / Dni]),2,0),"")</f>
        <v>20543323943</v>
      </c>
      <c r="X592" s="25" t="s">
        <v>336</v>
      </c>
      <c r="Y592" s="25" t="s">
        <v>1750</v>
      </c>
      <c r="Z592" s="25"/>
      <c r="AA592" s="99"/>
      <c r="AB592" s="3" t="str">
        <f>IF(BCP_Soles[[#This Row],[FECHA]]&gt;0,TEXT(BCP_Soles[[#This Row],[FECHA]],"mmmm"),0)</f>
        <v>Febrero</v>
      </c>
    </row>
    <row r="593" spans="2:28" ht="36" x14ac:dyDescent="0.3">
      <c r="B593" s="2">
        <f>IF(BCP_Soles[[#This Row],[TIPO DE R.]]="R",COUNTIFS($D$4:$D592,"R")+1,"")</f>
        <v>455</v>
      </c>
      <c r="C593" s="19" t="str">
        <f t="shared" si="45"/>
        <v>B-BCP - Soles</v>
      </c>
      <c r="D593" s="3" t="s">
        <v>1074</v>
      </c>
      <c r="E593" s="14">
        <v>45709</v>
      </c>
      <c r="F593" s="5" t="s">
        <v>1082</v>
      </c>
      <c r="G593" s="5" t="s">
        <v>1079</v>
      </c>
      <c r="H593" s="6" t="s">
        <v>440</v>
      </c>
      <c r="I593" s="6" t="s">
        <v>14</v>
      </c>
      <c r="J593" s="6" t="s">
        <v>1148</v>
      </c>
      <c r="K593" s="6">
        <v>18416</v>
      </c>
      <c r="L593" s="7" t="s">
        <v>1751</v>
      </c>
      <c r="M593" s="8">
        <v>1195012</v>
      </c>
      <c r="N593" s="8" t="str">
        <f t="shared" si="46"/>
        <v>PEN</v>
      </c>
      <c r="O593" s="13"/>
      <c r="P593" s="13">
        <v>454</v>
      </c>
      <c r="Q593" s="3">
        <f t="shared" si="47"/>
        <v>0</v>
      </c>
      <c r="R593" s="3">
        <f t="shared" si="48"/>
        <v>454</v>
      </c>
      <c r="S593" s="3">
        <f t="shared" si="49"/>
        <v>26189.739999999991</v>
      </c>
      <c r="T593" s="24" t="s">
        <v>1081</v>
      </c>
      <c r="U593" s="24" t="s">
        <v>1081</v>
      </c>
      <c r="V593" s="67"/>
      <c r="W593" s="25">
        <f>IFERROR(VLOOKUP(BCP_Soles[[#This Row],[DESTINATARIO]],CHOOSE({1,2},Clientes_Proveedores[Razon Social],Clientes_Proveedores[Ruc / Dni]),2,0),"")</f>
        <v>20602810497</v>
      </c>
      <c r="X593" s="25" t="s">
        <v>1331</v>
      </c>
      <c r="Y593" s="25" t="s">
        <v>1752</v>
      </c>
      <c r="Z593" s="25"/>
      <c r="AA593" s="99"/>
      <c r="AB593" s="3" t="str">
        <f>IF(BCP_Soles[[#This Row],[FECHA]]&gt;0,TEXT(BCP_Soles[[#This Row],[FECHA]],"mmmm"),0)</f>
        <v>Febrero</v>
      </c>
    </row>
    <row r="594" spans="2:28" ht="24" x14ac:dyDescent="0.3">
      <c r="B594" s="2">
        <f>IF(BCP_Soles[[#This Row],[TIPO DE R.]]="R",COUNTIFS($D$4:$D593,"R")+1,"")</f>
        <v>456</v>
      </c>
      <c r="C594" s="19" t="str">
        <f t="shared" si="45"/>
        <v>B-BCP - Soles</v>
      </c>
      <c r="D594" s="3" t="s">
        <v>1074</v>
      </c>
      <c r="E594" s="14">
        <v>45709</v>
      </c>
      <c r="F594" s="5" t="s">
        <v>1082</v>
      </c>
      <c r="G594" s="5" t="s">
        <v>1079</v>
      </c>
      <c r="H594" s="6" t="s">
        <v>582</v>
      </c>
      <c r="I594" s="6" t="s">
        <v>14</v>
      </c>
      <c r="J594" s="6" t="s">
        <v>1121</v>
      </c>
      <c r="K594" s="6">
        <v>31</v>
      </c>
      <c r="L594" s="7" t="s">
        <v>1753</v>
      </c>
      <c r="M594" s="8">
        <v>1195011</v>
      </c>
      <c r="N594" s="8" t="str">
        <f t="shared" si="46"/>
        <v>PEN</v>
      </c>
      <c r="O594" s="13"/>
      <c r="P594" s="13">
        <v>334</v>
      </c>
      <c r="Q594" s="3">
        <f t="shared" si="47"/>
        <v>0</v>
      </c>
      <c r="R594" s="3">
        <f t="shared" si="48"/>
        <v>334</v>
      </c>
      <c r="S594" s="3">
        <f t="shared" si="49"/>
        <v>25855.739999999991</v>
      </c>
      <c r="T594" s="24" t="s">
        <v>1081</v>
      </c>
      <c r="U594" s="24" t="s">
        <v>1081</v>
      </c>
      <c r="V594" s="67"/>
      <c r="W594" s="25">
        <f>IFERROR(VLOOKUP(BCP_Soles[[#This Row],[DESTINATARIO]],CHOOSE({1,2},Clientes_Proveedores[Razon Social],Clientes_Proveedores[Ruc / Dni]),2,0),"")</f>
        <v>20612298808</v>
      </c>
      <c r="X594" s="25" t="s">
        <v>1754</v>
      </c>
      <c r="Y594" s="25" t="s">
        <v>1755</v>
      </c>
      <c r="Z594" s="25"/>
      <c r="AA594" s="99"/>
      <c r="AB594" s="3" t="str">
        <f>IF(BCP_Soles[[#This Row],[FECHA]]&gt;0,TEXT(BCP_Soles[[#This Row],[FECHA]],"mmmm"),0)</f>
        <v>Febrero</v>
      </c>
    </row>
    <row r="595" spans="2:28" x14ac:dyDescent="0.3">
      <c r="B595" s="2">
        <f>IF(BCP_Soles[[#This Row],[TIPO DE R.]]="R",COUNTIFS($D$4:$D594,"R")+1,"")</f>
        <v>457</v>
      </c>
      <c r="C595" s="19" t="str">
        <f t="shared" si="45"/>
        <v>B-BCP - Soles</v>
      </c>
      <c r="D595" s="3" t="s">
        <v>1074</v>
      </c>
      <c r="E595" s="14">
        <v>45710</v>
      </c>
      <c r="F595" s="5" t="s">
        <v>370</v>
      </c>
      <c r="G595" s="5" t="s">
        <v>1087</v>
      </c>
      <c r="H595" s="6"/>
      <c r="I595" s="6"/>
      <c r="J595" s="6"/>
      <c r="K595" s="6"/>
      <c r="L595" s="7" t="s">
        <v>1756</v>
      </c>
      <c r="M595" s="8">
        <v>262095</v>
      </c>
      <c r="N595" s="8" t="str">
        <f t="shared" si="46"/>
        <v>PEN</v>
      </c>
      <c r="O595" s="13"/>
      <c r="P595" s="13">
        <v>4374.51</v>
      </c>
      <c r="Q595" s="3">
        <f t="shared" si="47"/>
        <v>4374.51</v>
      </c>
      <c r="R595" s="3">
        <f t="shared" si="48"/>
        <v>0</v>
      </c>
      <c r="S595" s="3">
        <f t="shared" si="49"/>
        <v>30230.249999999993</v>
      </c>
      <c r="T595" s="24" t="s">
        <v>1081</v>
      </c>
      <c r="U595" s="24" t="s">
        <v>1081</v>
      </c>
      <c r="V595" s="67"/>
      <c r="W595" s="25" t="str">
        <f>IFERROR(VLOOKUP(BCP_Soles[[#This Row],[DESTINATARIO]],CHOOSE({1,2},Clientes_Proveedores[Razon Social],Clientes_Proveedores[Ruc / Dni]),2,0),"")</f>
        <v/>
      </c>
      <c r="X595" s="25" t="s">
        <v>1090</v>
      </c>
      <c r="Y595" s="25" t="s">
        <v>1757</v>
      </c>
      <c r="Z595" s="25"/>
      <c r="AA595" s="99"/>
      <c r="AB595" s="3" t="str">
        <f>IF(BCP_Soles[[#This Row],[FECHA]]&gt;0,TEXT(BCP_Soles[[#This Row],[FECHA]],"mmmm"),0)</f>
        <v>Febrero</v>
      </c>
    </row>
    <row r="596" spans="2:28" ht="36" x14ac:dyDescent="0.3">
      <c r="B596" s="2">
        <f>IF(BCP_Soles[[#This Row],[TIPO DE R.]]="R",COUNTIFS($D$4:$D595,"R")+1,"")</f>
        <v>458</v>
      </c>
      <c r="C596" s="19" t="str">
        <f t="shared" si="45"/>
        <v>B-BCP - Soles</v>
      </c>
      <c r="D596" s="3" t="s">
        <v>1074</v>
      </c>
      <c r="E596" s="14">
        <v>45710</v>
      </c>
      <c r="F596" s="5" t="s">
        <v>586</v>
      </c>
      <c r="G596" s="5" t="s">
        <v>1087</v>
      </c>
      <c r="H596" s="6"/>
      <c r="I596" s="6"/>
      <c r="J596" s="6"/>
      <c r="K596" s="6"/>
      <c r="L596" s="7" t="s">
        <v>1100</v>
      </c>
      <c r="M596" s="8">
        <v>506725</v>
      </c>
      <c r="N596" s="8" t="str">
        <f t="shared" si="46"/>
        <v>PEN</v>
      </c>
      <c r="O596" s="13"/>
      <c r="P596" s="13">
        <v>1502.06</v>
      </c>
      <c r="Q596" s="3">
        <f t="shared" si="47"/>
        <v>1502.06</v>
      </c>
      <c r="R596" s="3">
        <f t="shared" si="48"/>
        <v>0</v>
      </c>
      <c r="S596" s="3">
        <f t="shared" si="49"/>
        <v>31732.309999999994</v>
      </c>
      <c r="T596" s="24" t="s">
        <v>1081</v>
      </c>
      <c r="U596" s="24" t="s">
        <v>1081</v>
      </c>
      <c r="V596" s="67"/>
      <c r="W596" s="25" t="str">
        <f>IFERROR(VLOOKUP(BCP_Soles[[#This Row],[DESTINATARIO]],CHOOSE({1,2},Clientes_Proveedores[Razon Social],Clientes_Proveedores[Ruc / Dni]),2,0),"")</f>
        <v/>
      </c>
      <c r="X596" s="25" t="s">
        <v>1090</v>
      </c>
      <c r="Y596" s="25" t="s">
        <v>1758</v>
      </c>
      <c r="Z596" s="25"/>
      <c r="AA596" s="99"/>
      <c r="AB596" s="3" t="str">
        <f>IF(BCP_Soles[[#This Row],[FECHA]]&gt;0,TEXT(BCP_Soles[[#This Row],[FECHA]],"mmmm"),0)</f>
        <v>Febrero</v>
      </c>
    </row>
    <row r="597" spans="2:28" x14ac:dyDescent="0.3">
      <c r="B597" s="2">
        <f>IF(BCP_Soles[[#This Row],[TIPO DE R.]]="R",COUNTIFS($D$4:$D596,"R")+1,"")</f>
        <v>459</v>
      </c>
      <c r="C597" s="19" t="str">
        <f t="shared" si="45"/>
        <v>B-BCP - Soles</v>
      </c>
      <c r="D597" s="3" t="s">
        <v>1074</v>
      </c>
      <c r="E597" s="14">
        <v>45711</v>
      </c>
      <c r="F597" s="5" t="s">
        <v>1078</v>
      </c>
      <c r="G597" s="5" t="s">
        <v>1079</v>
      </c>
      <c r="H597" s="6"/>
      <c r="I597" s="6"/>
      <c r="J597" s="6"/>
      <c r="K597" s="6"/>
      <c r="L597" s="7" t="s">
        <v>1080</v>
      </c>
      <c r="M597" s="8"/>
      <c r="N597" s="8" t="str">
        <f t="shared" si="46"/>
        <v>PEN</v>
      </c>
      <c r="O597" s="13"/>
      <c r="P597" s="13">
        <v>0.25</v>
      </c>
      <c r="Q597" s="3">
        <f t="shared" si="47"/>
        <v>0</v>
      </c>
      <c r="R597" s="3">
        <f t="shared" si="48"/>
        <v>0.25</v>
      </c>
      <c r="S597" s="3">
        <f t="shared" si="49"/>
        <v>31732.059999999994</v>
      </c>
      <c r="T597" s="24"/>
      <c r="U597" s="24" t="s">
        <v>1081</v>
      </c>
      <c r="V597" s="67"/>
      <c r="W597" s="25" t="str">
        <f>IFERROR(VLOOKUP(BCP_Soles[[#This Row],[DESTINATARIO]],CHOOSE({1,2},Clientes_Proveedores[Razon Social],Clientes_Proveedores[Ruc / Dni]),2,0),"")</f>
        <v/>
      </c>
      <c r="X597" s="25"/>
      <c r="Y597" s="25"/>
      <c r="Z597" s="25"/>
      <c r="AA597" s="99"/>
      <c r="AB597" s="3" t="str">
        <f>IF(BCP_Soles[[#This Row],[FECHA]]&gt;0,TEXT(BCP_Soles[[#This Row],[FECHA]],"mmmm"),0)</f>
        <v>Febrero</v>
      </c>
    </row>
    <row r="598" spans="2:28" ht="24" x14ac:dyDescent="0.3">
      <c r="B598" s="2">
        <f>IF(BCP_Soles[[#This Row],[TIPO DE R.]]="R",COUNTIFS($D$4:$D597,"R")+1,"")</f>
        <v>460</v>
      </c>
      <c r="C598" s="19" t="str">
        <f t="shared" si="45"/>
        <v>B-BCP - Soles</v>
      </c>
      <c r="D598" s="3" t="s">
        <v>1074</v>
      </c>
      <c r="E598" s="14">
        <v>45711</v>
      </c>
      <c r="F598" s="5" t="s">
        <v>1163</v>
      </c>
      <c r="G598" s="5" t="s">
        <v>1079</v>
      </c>
      <c r="H598" s="6"/>
      <c r="I598" s="6"/>
      <c r="J598" s="6"/>
      <c r="K598" s="6"/>
      <c r="L598" s="7" t="s">
        <v>1100</v>
      </c>
      <c r="M598" s="8">
        <v>1430729</v>
      </c>
      <c r="N598" s="8" t="str">
        <f t="shared" si="46"/>
        <v>PEN</v>
      </c>
      <c r="O598" s="13"/>
      <c r="P598" s="13">
        <v>500</v>
      </c>
      <c r="Q598" s="3">
        <f t="shared" si="47"/>
        <v>0</v>
      </c>
      <c r="R598" s="3">
        <f t="shared" si="48"/>
        <v>500</v>
      </c>
      <c r="S598" s="3">
        <f t="shared" si="49"/>
        <v>31232.059999999994</v>
      </c>
      <c r="T598" s="24"/>
      <c r="U598" s="24"/>
      <c r="V598" s="67"/>
      <c r="W598" s="25" t="str">
        <f>IFERROR(VLOOKUP(BCP_Soles[[#This Row],[DESTINATARIO]],CHOOSE({1,2},Clientes_Proveedores[Razon Social],Clientes_Proveedores[Ruc / Dni]),2,0),"")</f>
        <v/>
      </c>
      <c r="X598" s="25"/>
      <c r="Y598" s="25" t="s">
        <v>1172</v>
      </c>
      <c r="Z598" s="25"/>
      <c r="AA598" s="99"/>
      <c r="AB598" s="3" t="str">
        <f>IF(BCP_Soles[[#This Row],[FECHA]]&gt;0,TEXT(BCP_Soles[[#This Row],[FECHA]],"mmmm"),0)</f>
        <v>Febrero</v>
      </c>
    </row>
    <row r="599" spans="2:28" x14ac:dyDescent="0.3">
      <c r="B599" s="2">
        <f>IF(BCP_Soles[[#This Row],[TIPO DE R.]]="R",COUNTIFS($D$4:$D598,"R")+1,"")</f>
        <v>461</v>
      </c>
      <c r="C599" s="19" t="str">
        <f t="shared" si="45"/>
        <v>B-BCP - Soles</v>
      </c>
      <c r="D599" s="3" t="s">
        <v>1074</v>
      </c>
      <c r="E599" s="14">
        <v>45712</v>
      </c>
      <c r="F599" s="5"/>
      <c r="G599" s="5" t="s">
        <v>1087</v>
      </c>
      <c r="H599" s="6"/>
      <c r="I599" s="6"/>
      <c r="J599" s="6"/>
      <c r="K599" s="6"/>
      <c r="L599" s="7" t="s">
        <v>1100</v>
      </c>
      <c r="M599" s="8">
        <v>511336</v>
      </c>
      <c r="N599" s="8" t="str">
        <f t="shared" si="46"/>
        <v>PEN</v>
      </c>
      <c r="O599" s="13"/>
      <c r="P599" s="13">
        <v>3957.2</v>
      </c>
      <c r="Q599" s="3">
        <f t="shared" si="47"/>
        <v>3957.2</v>
      </c>
      <c r="R599" s="3">
        <f t="shared" si="48"/>
        <v>0</v>
      </c>
      <c r="S599" s="3">
        <f t="shared" si="49"/>
        <v>35189.259999999995</v>
      </c>
      <c r="T599" s="24" t="s">
        <v>1081</v>
      </c>
      <c r="U599" s="24" t="s">
        <v>1081</v>
      </c>
      <c r="V599" s="67"/>
      <c r="W599" s="25" t="str">
        <f>IFERROR(VLOOKUP(BCP_Soles[[#This Row],[DESTINATARIO]],CHOOSE({1,2},Clientes_Proveedores[Razon Social],Clientes_Proveedores[Ruc / Dni]),2,0),"")</f>
        <v/>
      </c>
      <c r="X599" s="25" t="s">
        <v>1090</v>
      </c>
      <c r="Y599" s="25"/>
      <c r="Z599" s="25"/>
      <c r="AA599" s="99"/>
      <c r="AB599" s="3" t="str">
        <f>IF(BCP_Soles[[#This Row],[FECHA]]&gt;0,TEXT(BCP_Soles[[#This Row],[FECHA]],"mmmm"),0)</f>
        <v>Febrero</v>
      </c>
    </row>
    <row r="600" spans="2:28" ht="36" x14ac:dyDescent="0.3">
      <c r="B600" s="2" t="str">
        <f>IF(BCP_Soles[[#This Row],[TIPO DE R.]]="R",COUNTIFS($D$4:$D599,"R")+1,"")</f>
        <v/>
      </c>
      <c r="C600" s="19" t="str">
        <f t="shared" si="45"/>
        <v>B-BCP - Soles</v>
      </c>
      <c r="D600" s="3" t="s">
        <v>1101</v>
      </c>
      <c r="E600" s="14">
        <v>45712</v>
      </c>
      <c r="F600" s="5" t="s">
        <v>1368</v>
      </c>
      <c r="G600" s="5"/>
      <c r="H600" s="6"/>
      <c r="I600" s="6"/>
      <c r="J600" s="6"/>
      <c r="K600" s="6"/>
      <c r="L600" s="7" t="s">
        <v>1100</v>
      </c>
      <c r="M600" s="8">
        <v>511336</v>
      </c>
      <c r="N600" s="8" t="str">
        <f t="shared" si="46"/>
        <v>PEN</v>
      </c>
      <c r="O600" s="13"/>
      <c r="P600" s="13">
        <v>167.2</v>
      </c>
      <c r="Q600" s="3">
        <f t="shared" si="47"/>
        <v>0</v>
      </c>
      <c r="R600" s="3">
        <f t="shared" si="48"/>
        <v>0</v>
      </c>
      <c r="S600" s="3">
        <f t="shared" si="49"/>
        <v>35189.259999999995</v>
      </c>
      <c r="T600" s="24" t="s">
        <v>1081</v>
      </c>
      <c r="U600" s="24" t="s">
        <v>1081</v>
      </c>
      <c r="V600" s="67"/>
      <c r="W600" s="25" t="str">
        <f>IFERROR(VLOOKUP(BCP_Soles[[#This Row],[DESTINATARIO]],CHOOSE({1,2},Clientes_Proveedores[Razon Social],Clientes_Proveedores[Ruc / Dni]),2,0),"")</f>
        <v/>
      </c>
      <c r="X600" s="25" t="s">
        <v>1090</v>
      </c>
      <c r="Y600" s="25" t="s">
        <v>1759</v>
      </c>
      <c r="Z600" s="25"/>
      <c r="AA600" s="99"/>
      <c r="AB600" s="3" t="str">
        <f>IF(BCP_Soles[[#This Row],[FECHA]]&gt;0,TEXT(BCP_Soles[[#This Row],[FECHA]],"mmmm"),0)</f>
        <v>Febrero</v>
      </c>
    </row>
    <row r="601" spans="2:28" ht="36" x14ac:dyDescent="0.3">
      <c r="B601" s="2" t="str">
        <f>IF(BCP_Soles[[#This Row],[TIPO DE R.]]="R",COUNTIFS($D$4:$D600,"R")+1,"")</f>
        <v/>
      </c>
      <c r="C601" s="19" t="str">
        <f t="shared" si="45"/>
        <v>B-BCP - Soles</v>
      </c>
      <c r="D601" s="3" t="s">
        <v>1101</v>
      </c>
      <c r="E601" s="14">
        <v>45712</v>
      </c>
      <c r="F601" s="5" t="s">
        <v>1368</v>
      </c>
      <c r="G601" s="5"/>
      <c r="H601" s="6"/>
      <c r="I601" s="6"/>
      <c r="J601" s="6"/>
      <c r="K601" s="6"/>
      <c r="L601" s="7" t="s">
        <v>1100</v>
      </c>
      <c r="M601" s="8">
        <v>511336</v>
      </c>
      <c r="N601" s="8" t="str">
        <f t="shared" si="46"/>
        <v>PEN</v>
      </c>
      <c r="O601" s="13"/>
      <c r="P601" s="13">
        <v>3790</v>
      </c>
      <c r="Q601" s="3">
        <f t="shared" si="47"/>
        <v>0</v>
      </c>
      <c r="R601" s="3">
        <f t="shared" si="48"/>
        <v>0</v>
      </c>
      <c r="S601" s="3">
        <f t="shared" si="49"/>
        <v>35189.259999999995</v>
      </c>
      <c r="T601" s="24" t="s">
        <v>1081</v>
      </c>
      <c r="U601" s="24" t="s">
        <v>1081</v>
      </c>
      <c r="V601" s="67"/>
      <c r="W601" s="25" t="str">
        <f>IFERROR(VLOOKUP(BCP_Soles[[#This Row],[DESTINATARIO]],CHOOSE({1,2},Clientes_Proveedores[Razon Social],Clientes_Proveedores[Ruc / Dni]),2,0),"")</f>
        <v/>
      </c>
      <c r="X601" s="25" t="s">
        <v>1090</v>
      </c>
      <c r="Y601" s="25" t="s">
        <v>1760</v>
      </c>
      <c r="Z601" s="25"/>
      <c r="AA601" s="99"/>
      <c r="AB601" s="3" t="str">
        <f>IF(BCP_Soles[[#This Row],[FECHA]]&gt;0,TEXT(BCP_Soles[[#This Row],[FECHA]],"mmmm"),0)</f>
        <v>Febrero</v>
      </c>
    </row>
    <row r="602" spans="2:28" x14ac:dyDescent="0.3">
      <c r="B602" s="2">
        <f>IF(BCP_Soles[[#This Row],[TIPO DE R.]]="R",COUNTIFS($D$4:$D601,"R")+1,"")</f>
        <v>462</v>
      </c>
      <c r="C602" s="19" t="str">
        <f t="shared" si="45"/>
        <v>B-BCP - Soles</v>
      </c>
      <c r="D602" s="3" t="s">
        <v>1074</v>
      </c>
      <c r="E602" s="14">
        <v>45712</v>
      </c>
      <c r="F602" s="5"/>
      <c r="G602" s="5" t="s">
        <v>1087</v>
      </c>
      <c r="H602" s="6"/>
      <c r="I602" s="6"/>
      <c r="J602" s="6"/>
      <c r="K602" s="6"/>
      <c r="L602" s="7" t="s">
        <v>1100</v>
      </c>
      <c r="M602" s="8">
        <v>806721</v>
      </c>
      <c r="N602" s="8" t="str">
        <f t="shared" si="46"/>
        <v>PEN</v>
      </c>
      <c r="O602" s="13"/>
      <c r="P602" s="13">
        <v>4946</v>
      </c>
      <c r="Q602" s="3">
        <f t="shared" si="47"/>
        <v>4946</v>
      </c>
      <c r="R602" s="3">
        <f t="shared" si="48"/>
        <v>0</v>
      </c>
      <c r="S602" s="3">
        <f t="shared" si="49"/>
        <v>40135.259999999995</v>
      </c>
      <c r="T602" s="24" t="s">
        <v>1081</v>
      </c>
      <c r="U602" s="24" t="s">
        <v>1081</v>
      </c>
      <c r="V602" s="67"/>
      <c r="W602" s="25" t="str">
        <f>IFERROR(VLOOKUP(BCP_Soles[[#This Row],[DESTINATARIO]],CHOOSE({1,2},Clientes_Proveedores[Razon Social],Clientes_Proveedores[Ruc / Dni]),2,0),"")</f>
        <v/>
      </c>
      <c r="X602" s="25" t="s">
        <v>1090</v>
      </c>
      <c r="Y602" s="25"/>
      <c r="Z602" s="25"/>
      <c r="AA602" s="99"/>
      <c r="AB602" s="3" t="str">
        <f>IF(BCP_Soles[[#This Row],[FECHA]]&gt;0,TEXT(BCP_Soles[[#This Row],[FECHA]],"mmmm"),0)</f>
        <v>Febrero</v>
      </c>
    </row>
    <row r="603" spans="2:28" ht="24" x14ac:dyDescent="0.3">
      <c r="B603" s="2" t="str">
        <f>IF(BCP_Soles[[#This Row],[TIPO DE R.]]="R",COUNTIFS($D$4:$D602,"R")+1,"")</f>
        <v/>
      </c>
      <c r="C603" s="19" t="str">
        <f t="shared" si="45"/>
        <v>B-BCP - Soles</v>
      </c>
      <c r="D603" s="3" t="s">
        <v>1101</v>
      </c>
      <c r="E603" s="14">
        <v>45712</v>
      </c>
      <c r="F603" s="5" t="s">
        <v>479</v>
      </c>
      <c r="G603" s="5"/>
      <c r="H603" s="6"/>
      <c r="I603" s="6"/>
      <c r="J603" s="6"/>
      <c r="K603" s="6"/>
      <c r="L603" s="7" t="s">
        <v>1100</v>
      </c>
      <c r="M603" s="8">
        <v>806721</v>
      </c>
      <c r="N603" s="8" t="str">
        <f t="shared" si="46"/>
        <v>PEN</v>
      </c>
      <c r="O603" s="13"/>
      <c r="P603" s="13">
        <v>825</v>
      </c>
      <c r="Q603" s="3">
        <f t="shared" si="47"/>
        <v>0</v>
      </c>
      <c r="R603" s="3">
        <f t="shared" si="48"/>
        <v>0</v>
      </c>
      <c r="S603" s="3">
        <f t="shared" si="49"/>
        <v>40135.259999999995</v>
      </c>
      <c r="T603" s="24" t="s">
        <v>1081</v>
      </c>
      <c r="U603" s="24" t="s">
        <v>1081</v>
      </c>
      <c r="V603" s="67"/>
      <c r="W603" s="25" t="str">
        <f>IFERROR(VLOOKUP(BCP_Soles[[#This Row],[DESTINATARIO]],CHOOSE({1,2},Clientes_Proveedores[Razon Social],Clientes_Proveedores[Ruc / Dni]),2,0),"")</f>
        <v/>
      </c>
      <c r="X603" s="25" t="s">
        <v>1090</v>
      </c>
      <c r="Y603" s="25" t="s">
        <v>1761</v>
      </c>
      <c r="Z603" s="25"/>
      <c r="AA603" s="99"/>
      <c r="AB603" s="3" t="str">
        <f>IF(BCP_Soles[[#This Row],[FECHA]]&gt;0,TEXT(BCP_Soles[[#This Row],[FECHA]],"mmmm"),0)</f>
        <v>Febrero</v>
      </c>
    </row>
    <row r="604" spans="2:28" ht="24" x14ac:dyDescent="0.3">
      <c r="B604" s="2" t="str">
        <f>IF(BCP_Soles[[#This Row],[TIPO DE R.]]="R",COUNTIFS($D$4:$D603,"R")+1,"")</f>
        <v/>
      </c>
      <c r="C604" s="19" t="str">
        <f t="shared" si="45"/>
        <v>B-BCP - Soles</v>
      </c>
      <c r="D604" s="3" t="s">
        <v>1101</v>
      </c>
      <c r="E604" s="14">
        <v>45712</v>
      </c>
      <c r="F604" s="5" t="s">
        <v>479</v>
      </c>
      <c r="G604" s="5"/>
      <c r="H604" s="6"/>
      <c r="I604" s="6"/>
      <c r="J604" s="6"/>
      <c r="K604" s="6"/>
      <c r="L604" s="7" t="s">
        <v>1100</v>
      </c>
      <c r="M604" s="8">
        <v>806721</v>
      </c>
      <c r="N604" s="8" t="str">
        <f t="shared" si="46"/>
        <v>PEN</v>
      </c>
      <c r="O604" s="13"/>
      <c r="P604" s="13">
        <v>1105</v>
      </c>
      <c r="Q604" s="3">
        <f t="shared" si="47"/>
        <v>0</v>
      </c>
      <c r="R604" s="3">
        <f t="shared" si="48"/>
        <v>0</v>
      </c>
      <c r="S604" s="3">
        <f t="shared" si="49"/>
        <v>40135.259999999995</v>
      </c>
      <c r="T604" s="24" t="s">
        <v>1081</v>
      </c>
      <c r="U604" s="24" t="s">
        <v>1081</v>
      </c>
      <c r="V604" s="67"/>
      <c r="W604" s="25" t="str">
        <f>IFERROR(VLOOKUP(BCP_Soles[[#This Row],[DESTINATARIO]],CHOOSE({1,2},Clientes_Proveedores[Razon Social],Clientes_Proveedores[Ruc / Dni]),2,0),"")</f>
        <v/>
      </c>
      <c r="X604" s="25" t="s">
        <v>1090</v>
      </c>
      <c r="Y604" s="25" t="s">
        <v>1762</v>
      </c>
      <c r="Z604" s="25"/>
      <c r="AA604" s="99"/>
      <c r="AB604" s="3" t="str">
        <f>IF(BCP_Soles[[#This Row],[FECHA]]&gt;0,TEXT(BCP_Soles[[#This Row],[FECHA]],"mmmm"),0)</f>
        <v>Febrero</v>
      </c>
    </row>
    <row r="605" spans="2:28" ht="24" x14ac:dyDescent="0.3">
      <c r="B605" s="2" t="str">
        <f>IF(BCP_Soles[[#This Row],[TIPO DE R.]]="R",COUNTIFS($D$4:$D604,"R")+1,"")</f>
        <v/>
      </c>
      <c r="C605" s="19" t="str">
        <f t="shared" si="45"/>
        <v>B-BCP - Soles</v>
      </c>
      <c r="D605" s="3" t="s">
        <v>1101</v>
      </c>
      <c r="E605" s="14">
        <v>45712</v>
      </c>
      <c r="F605" s="5" t="s">
        <v>479</v>
      </c>
      <c r="G605" s="5"/>
      <c r="H605" s="6"/>
      <c r="I605" s="6"/>
      <c r="J605" s="6"/>
      <c r="K605" s="6"/>
      <c r="L605" s="7" t="s">
        <v>1100</v>
      </c>
      <c r="M605" s="8">
        <v>806721</v>
      </c>
      <c r="N605" s="8" t="str">
        <f t="shared" si="46"/>
        <v>PEN</v>
      </c>
      <c r="O605" s="13"/>
      <c r="P605" s="13">
        <v>3016</v>
      </c>
      <c r="Q605" s="3">
        <f t="shared" si="47"/>
        <v>0</v>
      </c>
      <c r="R605" s="3">
        <f t="shared" si="48"/>
        <v>0</v>
      </c>
      <c r="S605" s="3">
        <f t="shared" si="49"/>
        <v>40135.259999999995</v>
      </c>
      <c r="T605" s="24" t="s">
        <v>1081</v>
      </c>
      <c r="U605" s="24" t="s">
        <v>1081</v>
      </c>
      <c r="V605" s="67"/>
      <c r="W605" s="25" t="str">
        <f>IFERROR(VLOOKUP(BCP_Soles[[#This Row],[DESTINATARIO]],CHOOSE({1,2},Clientes_Proveedores[Razon Social],Clientes_Proveedores[Ruc / Dni]),2,0),"")</f>
        <v/>
      </c>
      <c r="X605" s="25" t="s">
        <v>1090</v>
      </c>
      <c r="Y605" s="25" t="s">
        <v>1763</v>
      </c>
      <c r="Z605" s="25"/>
      <c r="AA605" s="99"/>
      <c r="AB605" s="3" t="str">
        <f>IF(BCP_Soles[[#This Row],[FECHA]]&gt;0,TEXT(BCP_Soles[[#This Row],[FECHA]],"mmmm"),0)</f>
        <v>Febrero</v>
      </c>
    </row>
    <row r="606" spans="2:28" ht="36" x14ac:dyDescent="0.3">
      <c r="B606" s="2">
        <f>IF(BCP_Soles[[#This Row],[TIPO DE R.]]="R",COUNTIFS($D$4:$D605,"R")+1,"")</f>
        <v>463</v>
      </c>
      <c r="C606" s="19" t="str">
        <f t="shared" si="45"/>
        <v>B-BCP - Soles</v>
      </c>
      <c r="D606" s="3" t="s">
        <v>1074</v>
      </c>
      <c r="E606" s="14">
        <v>45712</v>
      </c>
      <c r="F606" s="5" t="s">
        <v>267</v>
      </c>
      <c r="G606" s="5" t="s">
        <v>1087</v>
      </c>
      <c r="H606" s="6"/>
      <c r="I606" s="6"/>
      <c r="J606" s="6"/>
      <c r="K606" s="6"/>
      <c r="L606" s="7" t="s">
        <v>1764</v>
      </c>
      <c r="M606" s="8">
        <v>5453720</v>
      </c>
      <c r="N606" s="8" t="str">
        <f t="shared" si="46"/>
        <v>PEN</v>
      </c>
      <c r="O606" s="13"/>
      <c r="P606" s="13">
        <v>4027.32</v>
      </c>
      <c r="Q606" s="3">
        <f t="shared" si="47"/>
        <v>4027.32</v>
      </c>
      <c r="R606" s="3">
        <f t="shared" si="48"/>
        <v>0</v>
      </c>
      <c r="S606" s="3">
        <f t="shared" si="49"/>
        <v>44162.579999999994</v>
      </c>
      <c r="T606" s="24" t="s">
        <v>1081</v>
      </c>
      <c r="U606" s="24" t="s">
        <v>1081</v>
      </c>
      <c r="V606" s="67"/>
      <c r="W606" s="25" t="str">
        <f>IFERROR(VLOOKUP(BCP_Soles[[#This Row],[DESTINATARIO]],CHOOSE({1,2},Clientes_Proveedores[Razon Social],Clientes_Proveedores[Ruc / Dni]),2,0),"")</f>
        <v/>
      </c>
      <c r="X606" s="25" t="s">
        <v>1090</v>
      </c>
      <c r="Y606" s="25" t="s">
        <v>1765</v>
      </c>
      <c r="Z606" s="25"/>
      <c r="AA606" s="99"/>
      <c r="AB606" s="3" t="str">
        <f>IF(BCP_Soles[[#This Row],[FECHA]]&gt;0,TEXT(BCP_Soles[[#This Row],[FECHA]],"mmmm"),0)</f>
        <v>Febrero</v>
      </c>
    </row>
    <row r="607" spans="2:28" ht="24" x14ac:dyDescent="0.3">
      <c r="B607" s="2">
        <f>IF(BCP_Soles[[#This Row],[TIPO DE R.]]="R",COUNTIFS($D$4:$D606,"R")+1,"")</f>
        <v>464</v>
      </c>
      <c r="C607" s="19" t="str">
        <f t="shared" si="45"/>
        <v>B-BCP - Soles</v>
      </c>
      <c r="D607" s="3" t="s">
        <v>1074</v>
      </c>
      <c r="E607" s="14">
        <v>45712</v>
      </c>
      <c r="F607" s="5" t="s">
        <v>1082</v>
      </c>
      <c r="G607" s="5" t="s">
        <v>1079</v>
      </c>
      <c r="H607" s="6" t="s">
        <v>192</v>
      </c>
      <c r="I607" s="6"/>
      <c r="J607" s="6"/>
      <c r="K607" s="6"/>
      <c r="L607" s="7" t="s">
        <v>1766</v>
      </c>
      <c r="M607" s="8">
        <v>1036965</v>
      </c>
      <c r="N607" s="8" t="str">
        <f t="shared" si="46"/>
        <v>PEN</v>
      </c>
      <c r="O607" s="13"/>
      <c r="P607" s="13">
        <v>656.08</v>
      </c>
      <c r="Q607" s="3">
        <f t="shared" si="47"/>
        <v>0</v>
      </c>
      <c r="R607" s="3">
        <f t="shared" si="48"/>
        <v>656.08</v>
      </c>
      <c r="S607" s="3">
        <f t="shared" si="49"/>
        <v>43506.499999999993</v>
      </c>
      <c r="T607" s="24"/>
      <c r="U607" s="24"/>
      <c r="V607" s="67"/>
      <c r="W607" s="25">
        <f>IFERROR(VLOOKUP(BCP_Soles[[#This Row],[DESTINATARIO]],CHOOSE({1,2},Clientes_Proveedores[Razon Social],Clientes_Proveedores[Ruc / Dni]),2,0),"")</f>
        <v>20302891452</v>
      </c>
      <c r="X607" s="25" t="s">
        <v>192</v>
      </c>
      <c r="Y607" s="25"/>
      <c r="Z607" s="25"/>
      <c r="AA607" s="99"/>
      <c r="AB607" s="3" t="str">
        <f>IF(BCP_Soles[[#This Row],[FECHA]]&gt;0,TEXT(BCP_Soles[[#This Row],[FECHA]],"mmmm"),0)</f>
        <v>Febrero</v>
      </c>
    </row>
    <row r="608" spans="2:28" ht="24" x14ac:dyDescent="0.3">
      <c r="B608" s="2">
        <f>IF(BCP_Soles[[#This Row],[TIPO DE R.]]="R",COUNTIFS($D$4:$D607,"R")+1,"")</f>
        <v>465</v>
      </c>
      <c r="C608" s="19" t="str">
        <f t="shared" si="45"/>
        <v>B-BCP - Soles</v>
      </c>
      <c r="D608" s="3" t="s">
        <v>1074</v>
      </c>
      <c r="E608" s="14">
        <v>45712</v>
      </c>
      <c r="F608" s="5" t="s">
        <v>1082</v>
      </c>
      <c r="G608" s="5" t="s">
        <v>1079</v>
      </c>
      <c r="H608" s="6" t="s">
        <v>192</v>
      </c>
      <c r="I608" s="6"/>
      <c r="J608" s="6"/>
      <c r="K608" s="6"/>
      <c r="L608" s="7" t="s">
        <v>1767</v>
      </c>
      <c r="M608" s="8">
        <v>1037450</v>
      </c>
      <c r="N608" s="8" t="str">
        <f t="shared" si="46"/>
        <v>PEN</v>
      </c>
      <c r="O608" s="13"/>
      <c r="P608" s="13">
        <v>2836.72</v>
      </c>
      <c r="Q608" s="3">
        <f t="shared" si="47"/>
        <v>0</v>
      </c>
      <c r="R608" s="3">
        <f t="shared" si="48"/>
        <v>2836.72</v>
      </c>
      <c r="S608" s="3">
        <f t="shared" si="49"/>
        <v>40669.779999999992</v>
      </c>
      <c r="T608" s="24"/>
      <c r="U608" s="24"/>
      <c r="V608" s="67"/>
      <c r="W608" s="25">
        <f>IFERROR(VLOOKUP(BCP_Soles[[#This Row],[DESTINATARIO]],CHOOSE({1,2},Clientes_Proveedores[Razon Social],Clientes_Proveedores[Ruc / Dni]),2,0),"")</f>
        <v>20302891452</v>
      </c>
      <c r="X608" s="25" t="s">
        <v>192</v>
      </c>
      <c r="Y608" s="25"/>
      <c r="Z608" s="25"/>
      <c r="AA608" s="99"/>
      <c r="AB608" s="3" t="str">
        <f>IF(BCP_Soles[[#This Row],[FECHA]]&gt;0,TEXT(BCP_Soles[[#This Row],[FECHA]],"mmmm"),0)</f>
        <v>Febrero</v>
      </c>
    </row>
    <row r="609" spans="2:28" x14ac:dyDescent="0.3">
      <c r="B609" s="2">
        <f>IF(BCP_Soles[[#This Row],[TIPO DE R.]]="R",COUNTIFS($D$4:$D608,"R")+1,"")</f>
        <v>466</v>
      </c>
      <c r="C609" s="19" t="str">
        <f t="shared" si="45"/>
        <v>B-BCP - Soles</v>
      </c>
      <c r="D609" s="3" t="s">
        <v>1074</v>
      </c>
      <c r="E609" s="14">
        <v>45712</v>
      </c>
      <c r="F609" s="5"/>
      <c r="G609" s="5" t="s">
        <v>1087</v>
      </c>
      <c r="H609" s="6"/>
      <c r="I609" s="6"/>
      <c r="J609" s="6"/>
      <c r="K609" s="6"/>
      <c r="L609" s="7" t="s">
        <v>1100</v>
      </c>
      <c r="M609" s="8">
        <v>3262654</v>
      </c>
      <c r="N609" s="8" t="str">
        <f t="shared" si="46"/>
        <v>PEN</v>
      </c>
      <c r="O609" s="13"/>
      <c r="P609" s="13">
        <v>15870</v>
      </c>
      <c r="Q609" s="3">
        <f t="shared" si="47"/>
        <v>15870</v>
      </c>
      <c r="R609" s="3">
        <f t="shared" si="48"/>
        <v>0</v>
      </c>
      <c r="S609" s="3">
        <f t="shared" si="49"/>
        <v>56539.779999999992</v>
      </c>
      <c r="T609" s="24" t="s">
        <v>1081</v>
      </c>
      <c r="U609" s="24" t="s">
        <v>1081</v>
      </c>
      <c r="V609" s="67"/>
      <c r="W609" s="25" t="str">
        <f>IFERROR(VLOOKUP(BCP_Soles[[#This Row],[DESTINATARIO]],CHOOSE({1,2},Clientes_Proveedores[Razon Social],Clientes_Proveedores[Ruc / Dni]),2,0),"")</f>
        <v/>
      </c>
      <c r="X609" s="25" t="s">
        <v>1090</v>
      </c>
      <c r="Y609" s="25"/>
      <c r="Z609" s="25"/>
      <c r="AA609" s="99"/>
      <c r="AB609" s="3" t="str">
        <f>IF(BCP_Soles[[#This Row],[FECHA]]&gt;0,TEXT(BCP_Soles[[#This Row],[FECHA]],"mmmm"),0)</f>
        <v>Febrero</v>
      </c>
    </row>
    <row r="610" spans="2:28" ht="24" x14ac:dyDescent="0.3">
      <c r="B610" s="2" t="str">
        <f>IF(BCP_Soles[[#This Row],[TIPO DE R.]]="R",COUNTIFS($D$4:$D609,"R")+1,"")</f>
        <v/>
      </c>
      <c r="C610" s="19" t="str">
        <f t="shared" si="45"/>
        <v>B-BCP - Soles</v>
      </c>
      <c r="D610" s="3" t="s">
        <v>1101</v>
      </c>
      <c r="E610" s="14">
        <v>45712</v>
      </c>
      <c r="F610" s="5" t="s">
        <v>1768</v>
      </c>
      <c r="G610" s="5"/>
      <c r="H610" s="6"/>
      <c r="I610" s="6"/>
      <c r="J610" s="6"/>
      <c r="K610" s="6"/>
      <c r="L610" s="7" t="s">
        <v>1100</v>
      </c>
      <c r="M610" s="8">
        <v>3262654</v>
      </c>
      <c r="N610" s="8" t="str">
        <f t="shared" si="46"/>
        <v>PEN</v>
      </c>
      <c r="O610" s="13"/>
      <c r="P610" s="13">
        <v>13818</v>
      </c>
      <c r="Q610" s="3">
        <f t="shared" si="47"/>
        <v>0</v>
      </c>
      <c r="R610" s="3">
        <f t="shared" si="48"/>
        <v>0</v>
      </c>
      <c r="S610" s="3">
        <f t="shared" si="49"/>
        <v>56539.779999999992</v>
      </c>
      <c r="T610" s="24" t="s">
        <v>1081</v>
      </c>
      <c r="U610" s="24" t="s">
        <v>1081</v>
      </c>
      <c r="V610" s="67"/>
      <c r="W610" s="25" t="str">
        <f>IFERROR(VLOOKUP(BCP_Soles[[#This Row],[DESTINATARIO]],CHOOSE({1,2},Clientes_Proveedores[Razon Social],Clientes_Proveedores[Ruc / Dni]),2,0),"")</f>
        <v/>
      </c>
      <c r="X610" s="25" t="s">
        <v>1090</v>
      </c>
      <c r="Y610" s="25" t="s">
        <v>1769</v>
      </c>
      <c r="Z610" s="25"/>
      <c r="AA610" s="99"/>
      <c r="AB610" s="3" t="str">
        <f>IF(BCP_Soles[[#This Row],[FECHA]]&gt;0,TEXT(BCP_Soles[[#This Row],[FECHA]],"mmmm"),0)</f>
        <v>Febrero</v>
      </c>
    </row>
    <row r="611" spans="2:28" ht="24" x14ac:dyDescent="0.3">
      <c r="B611" s="2" t="str">
        <f>IF(BCP_Soles[[#This Row],[TIPO DE R.]]="R",COUNTIFS($D$4:$D610,"R")+1,"")</f>
        <v/>
      </c>
      <c r="C611" s="19" t="str">
        <f t="shared" si="45"/>
        <v>B-BCP - Soles</v>
      </c>
      <c r="D611" s="3" t="s">
        <v>1101</v>
      </c>
      <c r="E611" s="14">
        <v>45712</v>
      </c>
      <c r="F611" s="5" t="s">
        <v>1768</v>
      </c>
      <c r="G611" s="5"/>
      <c r="H611" s="6"/>
      <c r="I611" s="6"/>
      <c r="J611" s="6"/>
      <c r="K611" s="6"/>
      <c r="L611" s="7" t="s">
        <v>1100</v>
      </c>
      <c r="M611" s="8">
        <v>3262654</v>
      </c>
      <c r="N611" s="8" t="str">
        <f t="shared" si="46"/>
        <v>PEN</v>
      </c>
      <c r="O611" s="13"/>
      <c r="P611" s="13">
        <v>2052</v>
      </c>
      <c r="Q611" s="3">
        <f t="shared" si="47"/>
        <v>0</v>
      </c>
      <c r="R611" s="3">
        <f t="shared" si="48"/>
        <v>0</v>
      </c>
      <c r="S611" s="3">
        <f t="shared" si="49"/>
        <v>56539.779999999992</v>
      </c>
      <c r="T611" s="24" t="s">
        <v>1081</v>
      </c>
      <c r="U611" s="24" t="s">
        <v>1081</v>
      </c>
      <c r="V611" s="67"/>
      <c r="W611" s="25" t="str">
        <f>IFERROR(VLOOKUP(BCP_Soles[[#This Row],[DESTINATARIO]],CHOOSE({1,2},Clientes_Proveedores[Razon Social],Clientes_Proveedores[Ruc / Dni]),2,0),"")</f>
        <v/>
      </c>
      <c r="X611" s="25" t="s">
        <v>1090</v>
      </c>
      <c r="Y611" s="25" t="s">
        <v>1770</v>
      </c>
      <c r="Z611" s="25"/>
      <c r="AA611" s="99"/>
      <c r="AB611" s="3" t="str">
        <f>IF(BCP_Soles[[#This Row],[FECHA]]&gt;0,TEXT(BCP_Soles[[#This Row],[FECHA]],"mmmm"),0)</f>
        <v>Febrero</v>
      </c>
    </row>
    <row r="612" spans="2:28" x14ac:dyDescent="0.3">
      <c r="B612" s="2">
        <f>IF(BCP_Soles[[#This Row],[TIPO DE R.]]="R",COUNTIFS($D$4:$D611,"R")+1,"")</f>
        <v>467</v>
      </c>
      <c r="C612" s="19" t="str">
        <f t="shared" si="45"/>
        <v>B-BCP - Soles</v>
      </c>
      <c r="D612" s="3" t="s">
        <v>1074</v>
      </c>
      <c r="E612" s="14">
        <v>45712</v>
      </c>
      <c r="F612" s="5" t="s">
        <v>1078</v>
      </c>
      <c r="G612" s="5" t="s">
        <v>1079</v>
      </c>
      <c r="H612" s="6"/>
      <c r="I612" s="6"/>
      <c r="J612" s="6"/>
      <c r="K612" s="6"/>
      <c r="L612" s="7" t="s">
        <v>1080</v>
      </c>
      <c r="M612" s="8"/>
      <c r="N612" s="8" t="str">
        <f t="shared" si="46"/>
        <v>PEN</v>
      </c>
      <c r="O612" s="13"/>
      <c r="P612" s="13">
        <v>1.85</v>
      </c>
      <c r="Q612" s="3">
        <f t="shared" si="47"/>
        <v>0</v>
      </c>
      <c r="R612" s="3">
        <f t="shared" si="48"/>
        <v>1.85</v>
      </c>
      <c r="S612" s="3">
        <f t="shared" si="49"/>
        <v>56537.929999999993</v>
      </c>
      <c r="T612" s="24"/>
      <c r="U612" s="24" t="s">
        <v>1081</v>
      </c>
      <c r="V612" s="67"/>
      <c r="W612" s="25" t="str">
        <f>IFERROR(VLOOKUP(BCP_Soles[[#This Row],[DESTINATARIO]],CHOOSE({1,2},Clientes_Proveedores[Razon Social],Clientes_Proveedores[Ruc / Dni]),2,0),"")</f>
        <v/>
      </c>
      <c r="X612" s="25"/>
      <c r="Y612" s="25"/>
      <c r="Z612" s="25"/>
      <c r="AA612" s="99"/>
      <c r="AB612" s="3" t="str">
        <f>IF(BCP_Soles[[#This Row],[FECHA]]&gt;0,TEXT(BCP_Soles[[#This Row],[FECHA]],"mmmm"),0)</f>
        <v>Febrero</v>
      </c>
    </row>
    <row r="613" spans="2:28" ht="24" x14ac:dyDescent="0.3">
      <c r="B613" s="2">
        <f>IF(BCP_Soles[[#This Row],[TIPO DE R.]]="R",COUNTIFS($D$4:$D612,"R")+1,"")</f>
        <v>468</v>
      </c>
      <c r="C613" s="19" t="str">
        <f t="shared" si="45"/>
        <v>B-BCP - Soles</v>
      </c>
      <c r="D613" s="3" t="s">
        <v>1074</v>
      </c>
      <c r="E613" s="14">
        <v>45712</v>
      </c>
      <c r="F613" s="5" t="s">
        <v>1163</v>
      </c>
      <c r="G613" s="5" t="s">
        <v>1079</v>
      </c>
      <c r="H613" s="6"/>
      <c r="I613" s="6"/>
      <c r="J613" s="6"/>
      <c r="K613" s="6"/>
      <c r="L613" s="7" t="s">
        <v>1100</v>
      </c>
      <c r="M613" s="8">
        <v>3725780</v>
      </c>
      <c r="N613" s="8" t="str">
        <f t="shared" si="46"/>
        <v>PEN</v>
      </c>
      <c r="O613" s="13"/>
      <c r="P613" s="13">
        <v>1000</v>
      </c>
      <c r="Q613" s="3">
        <f t="shared" si="47"/>
        <v>0</v>
      </c>
      <c r="R613" s="3">
        <f t="shared" si="48"/>
        <v>1000</v>
      </c>
      <c r="S613" s="3">
        <f t="shared" si="49"/>
        <v>55537.929999999993</v>
      </c>
      <c r="T613" s="24"/>
      <c r="U613" s="24"/>
      <c r="V613" s="67"/>
      <c r="W613" s="25" t="str">
        <f>IFERROR(VLOOKUP(BCP_Soles[[#This Row],[DESTINATARIO]],CHOOSE({1,2},Clientes_Proveedores[Razon Social],Clientes_Proveedores[Ruc / Dni]),2,0),"")</f>
        <v/>
      </c>
      <c r="X613" s="25"/>
      <c r="Y613" s="25" t="s">
        <v>1172</v>
      </c>
      <c r="Z613" s="25"/>
      <c r="AA613" s="99"/>
      <c r="AB613" s="3" t="str">
        <f>IF(BCP_Soles[[#This Row],[FECHA]]&gt;0,TEXT(BCP_Soles[[#This Row],[FECHA]],"mmmm"),0)</f>
        <v>Febrero</v>
      </c>
    </row>
    <row r="614" spans="2:28" ht="24" x14ac:dyDescent="0.3">
      <c r="B614" s="2">
        <f>IF(BCP_Soles[[#This Row],[TIPO DE R.]]="R",COUNTIFS($D$4:$D613,"R")+1,"")</f>
        <v>469</v>
      </c>
      <c r="C614" s="19" t="str">
        <f t="shared" si="45"/>
        <v>B-BCP - Soles</v>
      </c>
      <c r="D614" s="3" t="s">
        <v>1074</v>
      </c>
      <c r="E614" s="14">
        <v>45712</v>
      </c>
      <c r="F614" s="5" t="s">
        <v>1082</v>
      </c>
      <c r="G614" s="5" t="s">
        <v>1079</v>
      </c>
      <c r="H614" s="6" t="s">
        <v>192</v>
      </c>
      <c r="I614" s="6"/>
      <c r="J614" s="6"/>
      <c r="K614" s="6"/>
      <c r="L614" s="7" t="s">
        <v>1771</v>
      </c>
      <c r="M614" s="8">
        <v>1135499</v>
      </c>
      <c r="N614" s="8" t="str">
        <f t="shared" si="46"/>
        <v>PEN</v>
      </c>
      <c r="O614" s="13"/>
      <c r="P614" s="13">
        <v>1048.78</v>
      </c>
      <c r="Q614" s="3">
        <f t="shared" si="47"/>
        <v>0</v>
      </c>
      <c r="R614" s="3">
        <f t="shared" si="48"/>
        <v>1048.78</v>
      </c>
      <c r="S614" s="3">
        <f t="shared" si="49"/>
        <v>54489.149999999994</v>
      </c>
      <c r="T614" s="24"/>
      <c r="U614" s="24"/>
      <c r="V614" s="67"/>
      <c r="W614" s="25">
        <f>IFERROR(VLOOKUP(BCP_Soles[[#This Row],[DESTINATARIO]],CHOOSE({1,2},Clientes_Proveedores[Razon Social],Clientes_Proveedores[Ruc / Dni]),2,0),"")</f>
        <v>20302891452</v>
      </c>
      <c r="X614" s="25" t="s">
        <v>192</v>
      </c>
      <c r="Y614" s="25"/>
      <c r="Z614" s="25"/>
      <c r="AA614" s="99"/>
      <c r="AB614" s="3" t="str">
        <f>IF(BCP_Soles[[#This Row],[FECHA]]&gt;0,TEXT(BCP_Soles[[#This Row],[FECHA]],"mmmm"),0)</f>
        <v>Febrero</v>
      </c>
    </row>
    <row r="615" spans="2:28" x14ac:dyDescent="0.3">
      <c r="B615" s="2">
        <f>IF(BCP_Soles[[#This Row],[TIPO DE R.]]="R",COUNTIFS($D$4:$D614,"R")+1,"")</f>
        <v>470</v>
      </c>
      <c r="C615" s="19" t="str">
        <f t="shared" si="45"/>
        <v>B-BCP - Soles</v>
      </c>
      <c r="D615" s="3" t="s">
        <v>1074</v>
      </c>
      <c r="E615" s="14">
        <v>45712</v>
      </c>
      <c r="F615" s="5" t="s">
        <v>1082</v>
      </c>
      <c r="G615" s="5" t="s">
        <v>1079</v>
      </c>
      <c r="H615" s="6"/>
      <c r="I615" s="6"/>
      <c r="J615" s="6"/>
      <c r="K615" s="6"/>
      <c r="L615" s="7" t="s">
        <v>1772</v>
      </c>
      <c r="M615" s="8">
        <v>5566614</v>
      </c>
      <c r="N615" s="8" t="str">
        <f t="shared" si="46"/>
        <v>PEN</v>
      </c>
      <c r="O615" s="13"/>
      <c r="P615" s="13">
        <v>7268.41</v>
      </c>
      <c r="Q615" s="3">
        <f t="shared" si="47"/>
        <v>0</v>
      </c>
      <c r="R615" s="3">
        <f t="shared" si="48"/>
        <v>7268.41</v>
      </c>
      <c r="S615" s="3">
        <f t="shared" si="49"/>
        <v>47220.739999999991</v>
      </c>
      <c r="T615" s="24" t="s">
        <v>1081</v>
      </c>
      <c r="U615" s="24" t="s">
        <v>1081</v>
      </c>
      <c r="V615" s="67"/>
      <c r="W615" s="25" t="str">
        <f>IFERROR(VLOOKUP(BCP_Soles[[#This Row],[DESTINATARIO]],CHOOSE({1,2},Clientes_Proveedores[Razon Social],Clientes_Proveedores[Ruc / Dni]),2,0),"")</f>
        <v/>
      </c>
      <c r="X615" s="25" t="s">
        <v>1118</v>
      </c>
      <c r="Y615" s="25"/>
      <c r="Z615" s="25"/>
      <c r="AA615" s="99"/>
      <c r="AB615" s="3" t="str">
        <f>IF(BCP_Soles[[#This Row],[FECHA]]&gt;0,TEXT(BCP_Soles[[#This Row],[FECHA]],"mmmm"),0)</f>
        <v>Febrero</v>
      </c>
    </row>
    <row r="616" spans="2:28" x14ac:dyDescent="0.3">
      <c r="B616" s="2">
        <f>IF(BCP_Soles[[#This Row],[TIPO DE R.]]="R",COUNTIFS($D$4:$D615,"R")+1,"")</f>
        <v>471</v>
      </c>
      <c r="C616" s="19" t="str">
        <f t="shared" si="45"/>
        <v>B-BCP - Soles</v>
      </c>
      <c r="D616" s="3" t="s">
        <v>1074</v>
      </c>
      <c r="E616" s="14">
        <v>45713</v>
      </c>
      <c r="F616" s="5" t="s">
        <v>1078</v>
      </c>
      <c r="G616" s="5" t="s">
        <v>1079</v>
      </c>
      <c r="H616" s="6"/>
      <c r="I616" s="6"/>
      <c r="J616" s="6"/>
      <c r="K616" s="6"/>
      <c r="L616" s="7" t="s">
        <v>1080</v>
      </c>
      <c r="M616" s="8"/>
      <c r="N616" s="8" t="str">
        <f t="shared" si="46"/>
        <v>PEN</v>
      </c>
      <c r="O616" s="13"/>
      <c r="P616" s="13">
        <v>0.2</v>
      </c>
      <c r="Q616" s="3">
        <f t="shared" si="47"/>
        <v>0</v>
      </c>
      <c r="R616" s="3">
        <f t="shared" si="48"/>
        <v>0.2</v>
      </c>
      <c r="S616" s="3">
        <f t="shared" si="49"/>
        <v>47220.539999999994</v>
      </c>
      <c r="T616" s="24"/>
      <c r="U616" s="24" t="s">
        <v>1081</v>
      </c>
      <c r="V616" s="67"/>
      <c r="W616" s="25" t="str">
        <f>IFERROR(VLOOKUP(BCP_Soles[[#This Row],[DESTINATARIO]],CHOOSE({1,2},Clientes_Proveedores[Razon Social],Clientes_Proveedores[Ruc / Dni]),2,0),"")</f>
        <v/>
      </c>
      <c r="X616" s="25"/>
      <c r="Y616" s="25"/>
      <c r="Z616" s="25"/>
      <c r="AA616" s="99"/>
      <c r="AB616" s="3" t="str">
        <f>IF(BCP_Soles[[#This Row],[FECHA]]&gt;0,TEXT(BCP_Soles[[#This Row],[FECHA]],"mmmm"),0)</f>
        <v>Febrero</v>
      </c>
    </row>
    <row r="617" spans="2:28" x14ac:dyDescent="0.3">
      <c r="B617" s="2">
        <f>IF(BCP_Soles[[#This Row],[TIPO DE R.]]="R",COUNTIFS($D$4:$D616,"R")+1,"")</f>
        <v>472</v>
      </c>
      <c r="C617" s="19" t="str">
        <f t="shared" si="45"/>
        <v>B-BCP - Soles</v>
      </c>
      <c r="D617" s="3" t="s">
        <v>1074</v>
      </c>
      <c r="E617" s="14">
        <v>45713</v>
      </c>
      <c r="F617" s="5" t="s">
        <v>1726</v>
      </c>
      <c r="G617" s="5" t="s">
        <v>1079</v>
      </c>
      <c r="H617" s="6"/>
      <c r="I617" s="6"/>
      <c r="J617" s="6"/>
      <c r="K617" s="6"/>
      <c r="L617" s="7" t="s">
        <v>1773</v>
      </c>
      <c r="M617" s="8">
        <v>1010442</v>
      </c>
      <c r="N617" s="8" t="str">
        <f t="shared" si="46"/>
        <v>PEN</v>
      </c>
      <c r="O617" s="13"/>
      <c r="P617" s="13">
        <v>3274</v>
      </c>
      <c r="Q617" s="3">
        <f t="shared" si="47"/>
        <v>0</v>
      </c>
      <c r="R617" s="3">
        <f t="shared" si="48"/>
        <v>3274</v>
      </c>
      <c r="S617" s="3">
        <f t="shared" si="49"/>
        <v>43946.539999999994</v>
      </c>
      <c r="T617" s="24"/>
      <c r="U617" s="24"/>
      <c r="V617" s="67"/>
      <c r="W617" s="25" t="str">
        <f>IFERROR(VLOOKUP(BCP_Soles[[#This Row],[DESTINATARIO]],CHOOSE({1,2},Clientes_Proveedores[Razon Social],Clientes_Proveedores[Ruc / Dni]),2,0),"")</f>
        <v/>
      </c>
      <c r="X617" s="25" t="s">
        <v>1133</v>
      </c>
      <c r="Y617" s="25"/>
      <c r="Z617" s="25"/>
      <c r="AA617" s="99"/>
      <c r="AB617" s="3" t="str">
        <f>IF(BCP_Soles[[#This Row],[FECHA]]&gt;0,TEXT(BCP_Soles[[#This Row],[FECHA]],"mmmm"),0)</f>
        <v>Febrero</v>
      </c>
    </row>
    <row r="618" spans="2:28" ht="24" x14ac:dyDescent="0.3">
      <c r="B618" s="2">
        <f>IF(BCP_Soles[[#This Row],[TIPO DE R.]]="R",COUNTIFS($D$4:$D617,"R")+1,"")</f>
        <v>473</v>
      </c>
      <c r="C618" s="19" t="str">
        <f t="shared" si="45"/>
        <v>B-BCP - Soles</v>
      </c>
      <c r="D618" s="3" t="s">
        <v>1074</v>
      </c>
      <c r="E618" s="14">
        <v>45713</v>
      </c>
      <c r="F618" s="5" t="s">
        <v>1163</v>
      </c>
      <c r="G618" s="5" t="s">
        <v>1079</v>
      </c>
      <c r="H618" s="6"/>
      <c r="I618" s="6"/>
      <c r="J618" s="6"/>
      <c r="K618" s="6"/>
      <c r="L618" s="7" t="s">
        <v>1100</v>
      </c>
      <c r="M618" s="8">
        <v>3464074</v>
      </c>
      <c r="N618" s="8" t="str">
        <f t="shared" si="46"/>
        <v>PEN</v>
      </c>
      <c r="O618" s="13"/>
      <c r="P618" s="13">
        <v>1800</v>
      </c>
      <c r="Q618" s="3">
        <f t="shared" si="47"/>
        <v>0</v>
      </c>
      <c r="R618" s="3">
        <f t="shared" si="48"/>
        <v>1800</v>
      </c>
      <c r="S618" s="3">
        <f t="shared" si="49"/>
        <v>42146.539999999994</v>
      </c>
      <c r="T618" s="24"/>
      <c r="U618" s="24"/>
      <c r="V618" s="67"/>
      <c r="W618" s="25" t="str">
        <f>IFERROR(VLOOKUP(BCP_Soles[[#This Row],[DESTINATARIO]],CHOOSE({1,2},Clientes_Proveedores[Razon Social],Clientes_Proveedores[Ruc / Dni]),2,0),"")</f>
        <v/>
      </c>
      <c r="X618" s="25"/>
      <c r="Y618" s="25" t="s">
        <v>1172</v>
      </c>
      <c r="Z618" s="25"/>
      <c r="AA618" s="99"/>
      <c r="AB618" s="3" t="str">
        <f>IF(BCP_Soles[[#This Row],[FECHA]]&gt;0,TEXT(BCP_Soles[[#This Row],[FECHA]],"mmmm"),0)</f>
        <v>Febrero</v>
      </c>
    </row>
    <row r="619" spans="2:28" ht="24" x14ac:dyDescent="0.3">
      <c r="B619" s="2">
        <f>IF(BCP_Soles[[#This Row],[TIPO DE R.]]="R",COUNTIFS($D$4:$D618,"R")+1,"")</f>
        <v>474</v>
      </c>
      <c r="C619" s="19" t="str">
        <f t="shared" si="45"/>
        <v>B-BCP - Soles</v>
      </c>
      <c r="D619" s="3" t="s">
        <v>1074</v>
      </c>
      <c r="E619" s="14">
        <v>45713</v>
      </c>
      <c r="F619" s="5" t="s">
        <v>1082</v>
      </c>
      <c r="G619" s="5" t="s">
        <v>1079</v>
      </c>
      <c r="H619" s="6" t="s">
        <v>184</v>
      </c>
      <c r="I619" s="6" t="s">
        <v>14</v>
      </c>
      <c r="J619" s="6" t="s">
        <v>1083</v>
      </c>
      <c r="K619" s="6">
        <v>7168</v>
      </c>
      <c r="L619" s="7" t="s">
        <v>1774</v>
      </c>
      <c r="M619" s="8">
        <v>1120177</v>
      </c>
      <c r="N619" s="8" t="str">
        <f t="shared" si="46"/>
        <v>PEN</v>
      </c>
      <c r="O619" s="13"/>
      <c r="P619" s="13">
        <v>533.9</v>
      </c>
      <c r="Q619" s="3">
        <f t="shared" si="47"/>
        <v>0</v>
      </c>
      <c r="R619" s="3">
        <f t="shared" si="48"/>
        <v>533.9</v>
      </c>
      <c r="S619" s="3">
        <f t="shared" si="49"/>
        <v>41612.639999999992</v>
      </c>
      <c r="T619" s="24" t="s">
        <v>1081</v>
      </c>
      <c r="U619" s="24" t="s">
        <v>1081</v>
      </c>
      <c r="V619" s="67"/>
      <c r="W619" s="25">
        <f>IFERROR(VLOOKUP(BCP_Soles[[#This Row],[DESTINATARIO]],CHOOSE({1,2},Clientes_Proveedores[Razon Social],Clientes_Proveedores[Ruc / Dni]),2,0),"")</f>
        <v>20170040938</v>
      </c>
      <c r="X619" s="25" t="s">
        <v>1085</v>
      </c>
      <c r="Y619" s="25" t="s">
        <v>1775</v>
      </c>
      <c r="Z619" s="25"/>
      <c r="AA619" s="99"/>
      <c r="AB619" s="3" t="str">
        <f>IF(BCP_Soles[[#This Row],[FECHA]]&gt;0,TEXT(BCP_Soles[[#This Row],[FECHA]],"mmmm"),0)</f>
        <v>Febrero</v>
      </c>
    </row>
    <row r="620" spans="2:28" x14ac:dyDescent="0.3">
      <c r="B620" s="2">
        <f>IF(BCP_Soles[[#This Row],[TIPO DE R.]]="R",COUNTIFS($D$4:$D619,"R")+1,"")</f>
        <v>475</v>
      </c>
      <c r="C620" s="19" t="str">
        <f t="shared" si="45"/>
        <v>B-BCP - Soles</v>
      </c>
      <c r="D620" s="3" t="s">
        <v>1074</v>
      </c>
      <c r="E620" s="14">
        <v>45713</v>
      </c>
      <c r="F620" s="5" t="s">
        <v>1078</v>
      </c>
      <c r="G620" s="5" t="s">
        <v>1079</v>
      </c>
      <c r="H620" s="6"/>
      <c r="I620" s="6"/>
      <c r="J620" s="6"/>
      <c r="K620" s="6"/>
      <c r="L620" s="7" t="s">
        <v>1141</v>
      </c>
      <c r="M620" s="8">
        <v>425</v>
      </c>
      <c r="N620" s="8" t="str">
        <f t="shared" si="46"/>
        <v>PEN</v>
      </c>
      <c r="O620" s="13"/>
      <c r="P620" s="13">
        <v>10</v>
      </c>
      <c r="Q620" s="3">
        <f t="shared" si="47"/>
        <v>0</v>
      </c>
      <c r="R620" s="3">
        <f t="shared" si="48"/>
        <v>10</v>
      </c>
      <c r="S620" s="3">
        <f t="shared" si="49"/>
        <v>41602.639999999992</v>
      </c>
      <c r="T620" s="24"/>
      <c r="U620" s="24" t="s">
        <v>1081</v>
      </c>
      <c r="V620" s="67"/>
      <c r="W620" s="25" t="str">
        <f>IFERROR(VLOOKUP(BCP_Soles[[#This Row],[DESTINATARIO]],CHOOSE({1,2},Clientes_Proveedores[Razon Social],Clientes_Proveedores[Ruc / Dni]),2,0),"")</f>
        <v/>
      </c>
      <c r="X620" s="25" t="s">
        <v>1078</v>
      </c>
      <c r="Y620" s="25" t="s">
        <v>1776</v>
      </c>
      <c r="Z620" s="25"/>
      <c r="AA620" s="99"/>
      <c r="AB620" s="3" t="str">
        <f>IF(BCP_Soles[[#This Row],[FECHA]]&gt;0,TEXT(BCP_Soles[[#This Row],[FECHA]],"mmmm"),0)</f>
        <v>Febrero</v>
      </c>
    </row>
    <row r="621" spans="2:28" ht="24" x14ac:dyDescent="0.3">
      <c r="B621" s="2">
        <f>IF(BCP_Soles[[#This Row],[TIPO DE R.]]="R",COUNTIFS($D$4:$D620,"R")+1,"")</f>
        <v>476</v>
      </c>
      <c r="C621" s="19" t="str">
        <f t="shared" si="45"/>
        <v>B-BCP - Soles</v>
      </c>
      <c r="D621" s="3" t="s">
        <v>1074</v>
      </c>
      <c r="E621" s="14">
        <v>45714</v>
      </c>
      <c r="F621" s="5" t="s">
        <v>1745</v>
      </c>
      <c r="G621" s="5" t="s">
        <v>1087</v>
      </c>
      <c r="H621" s="6"/>
      <c r="I621" s="6"/>
      <c r="J621" s="6"/>
      <c r="K621" s="6"/>
      <c r="L621" s="7" t="s">
        <v>1100</v>
      </c>
      <c r="M621" s="8">
        <v>953810</v>
      </c>
      <c r="N621" s="8" t="str">
        <f t="shared" si="46"/>
        <v>PEN</v>
      </c>
      <c r="O621" s="13"/>
      <c r="P621" s="13">
        <v>1460</v>
      </c>
      <c r="Q621" s="3">
        <f t="shared" si="47"/>
        <v>1460</v>
      </c>
      <c r="R621" s="3">
        <f t="shared" si="48"/>
        <v>0</v>
      </c>
      <c r="S621" s="3">
        <f t="shared" si="49"/>
        <v>43062.639999999992</v>
      </c>
      <c r="T621" s="24" t="s">
        <v>1081</v>
      </c>
      <c r="U621" s="24" t="s">
        <v>1081</v>
      </c>
      <c r="V621" s="67"/>
      <c r="W621" s="25" t="str">
        <f>IFERROR(VLOOKUP(BCP_Soles[[#This Row],[DESTINATARIO]],CHOOSE({1,2},Clientes_Proveedores[Razon Social],Clientes_Proveedores[Ruc / Dni]),2,0),"")</f>
        <v/>
      </c>
      <c r="X621" s="25" t="s">
        <v>1090</v>
      </c>
      <c r="Y621" s="25" t="s">
        <v>1777</v>
      </c>
      <c r="Z621" s="25"/>
      <c r="AA621" s="99"/>
      <c r="AB621" s="3" t="str">
        <f>IF(BCP_Soles[[#This Row],[FECHA]]&gt;0,TEXT(BCP_Soles[[#This Row],[FECHA]],"mmmm"),0)</f>
        <v>Febrero</v>
      </c>
    </row>
    <row r="622" spans="2:28" ht="36" x14ac:dyDescent="0.3">
      <c r="B622" s="2">
        <f>IF(BCP_Soles[[#This Row],[TIPO DE R.]]="R",COUNTIFS($D$4:$D621,"R")+1,"")</f>
        <v>477</v>
      </c>
      <c r="C622" s="19" t="str">
        <f t="shared" si="45"/>
        <v>B-BCP - Soles</v>
      </c>
      <c r="D622" s="3" t="s">
        <v>1074</v>
      </c>
      <c r="E622" s="14">
        <v>45714</v>
      </c>
      <c r="F622" s="5" t="s">
        <v>459</v>
      </c>
      <c r="G622" s="5" t="s">
        <v>1087</v>
      </c>
      <c r="H622" s="6"/>
      <c r="I622" s="6"/>
      <c r="J622" s="6"/>
      <c r="K622" s="6"/>
      <c r="L622" s="7" t="s">
        <v>1474</v>
      </c>
      <c r="M622" s="8">
        <v>2194477</v>
      </c>
      <c r="N622" s="8" t="str">
        <f t="shared" si="46"/>
        <v>PEN</v>
      </c>
      <c r="O622" s="13"/>
      <c r="P622" s="13">
        <v>4126.1400000000003</v>
      </c>
      <c r="Q622" s="3">
        <f t="shared" si="47"/>
        <v>4126.1400000000003</v>
      </c>
      <c r="R622" s="3">
        <f t="shared" si="48"/>
        <v>0</v>
      </c>
      <c r="S622" s="3">
        <f t="shared" si="49"/>
        <v>47188.779999999992</v>
      </c>
      <c r="T622" s="24" t="s">
        <v>1081</v>
      </c>
      <c r="U622" s="24" t="s">
        <v>1081</v>
      </c>
      <c r="V622" s="67"/>
      <c r="W622" s="25" t="str">
        <f>IFERROR(VLOOKUP(BCP_Soles[[#This Row],[DESTINATARIO]],CHOOSE({1,2},Clientes_Proveedores[Razon Social],Clientes_Proveedores[Ruc / Dni]),2,0),"")</f>
        <v/>
      </c>
      <c r="X622" s="25" t="s">
        <v>1090</v>
      </c>
      <c r="Y622" s="25" t="s">
        <v>1778</v>
      </c>
      <c r="Z622" s="25"/>
      <c r="AA622" s="99"/>
      <c r="AB622" s="3" t="str">
        <f>IF(BCP_Soles[[#This Row],[FECHA]]&gt;0,TEXT(BCP_Soles[[#This Row],[FECHA]],"mmmm"),0)</f>
        <v>Febrero</v>
      </c>
    </row>
    <row r="623" spans="2:28" ht="24" x14ac:dyDescent="0.3">
      <c r="B623" s="2">
        <f>IF(BCP_Soles[[#This Row],[TIPO DE R.]]="R",COUNTIFS($D$4:$D622,"R")+1,"")</f>
        <v>478</v>
      </c>
      <c r="C623" s="19" t="str">
        <f t="shared" si="45"/>
        <v>B-BCP - Soles</v>
      </c>
      <c r="D623" s="3" t="s">
        <v>1074</v>
      </c>
      <c r="E623" s="14">
        <v>45714</v>
      </c>
      <c r="F623" s="5" t="s">
        <v>1779</v>
      </c>
      <c r="G623" s="5" t="s">
        <v>1087</v>
      </c>
      <c r="H623" s="6"/>
      <c r="I623" s="6"/>
      <c r="J623" s="6"/>
      <c r="K623" s="6"/>
      <c r="L623" s="7" t="s">
        <v>1100</v>
      </c>
      <c r="M623" s="8">
        <v>1548440</v>
      </c>
      <c r="N623" s="8" t="str">
        <f t="shared" si="46"/>
        <v>PEN</v>
      </c>
      <c r="O623" s="13"/>
      <c r="P623" s="13">
        <v>1500</v>
      </c>
      <c r="Q623" s="3">
        <f t="shared" si="47"/>
        <v>1500</v>
      </c>
      <c r="R623" s="3">
        <f t="shared" si="48"/>
        <v>0</v>
      </c>
      <c r="S623" s="3">
        <f t="shared" si="49"/>
        <v>48688.779999999992</v>
      </c>
      <c r="T623" s="24" t="s">
        <v>1081</v>
      </c>
      <c r="U623" s="24" t="s">
        <v>1081</v>
      </c>
      <c r="V623" s="67"/>
      <c r="W623" s="25" t="str">
        <f>IFERROR(VLOOKUP(BCP_Soles[[#This Row],[DESTINATARIO]],CHOOSE({1,2},Clientes_Proveedores[Razon Social],Clientes_Proveedores[Ruc / Dni]),2,0),"")</f>
        <v/>
      </c>
      <c r="X623" s="25" t="s">
        <v>1090</v>
      </c>
      <c r="Y623" s="25" t="s">
        <v>1780</v>
      </c>
      <c r="Z623" s="25"/>
      <c r="AA623" s="99"/>
      <c r="AB623" s="3" t="str">
        <f>IF(BCP_Soles[[#This Row],[FECHA]]&gt;0,TEXT(BCP_Soles[[#This Row],[FECHA]],"mmmm"),0)</f>
        <v>Febrero</v>
      </c>
    </row>
    <row r="624" spans="2:28" x14ac:dyDescent="0.3">
      <c r="B624" s="2">
        <f>IF(BCP_Soles[[#This Row],[TIPO DE R.]]="R",COUNTIFS($D$4:$D623,"R")+1,"")</f>
        <v>479</v>
      </c>
      <c r="C624" s="19" t="str">
        <f t="shared" si="45"/>
        <v>B-BCP - Soles</v>
      </c>
      <c r="D624" s="3" t="s">
        <v>1074</v>
      </c>
      <c r="E624" s="14">
        <v>45714</v>
      </c>
      <c r="F624" s="5" t="s">
        <v>1078</v>
      </c>
      <c r="G624" s="5" t="s">
        <v>1079</v>
      </c>
      <c r="H624" s="6"/>
      <c r="I624" s="6"/>
      <c r="J624" s="6"/>
      <c r="K624" s="6"/>
      <c r="L624" s="7" t="s">
        <v>1080</v>
      </c>
      <c r="M624" s="8"/>
      <c r="N624" s="8" t="str">
        <f t="shared" si="46"/>
        <v>PEN</v>
      </c>
      <c r="O624" s="13"/>
      <c r="P624" s="13">
        <v>0.5</v>
      </c>
      <c r="Q624" s="3">
        <f t="shared" si="47"/>
        <v>0</v>
      </c>
      <c r="R624" s="3">
        <f t="shared" si="48"/>
        <v>0.5</v>
      </c>
      <c r="S624" s="3">
        <f t="shared" si="49"/>
        <v>48688.279999999992</v>
      </c>
      <c r="T624" s="24"/>
      <c r="U624" s="24" t="s">
        <v>1081</v>
      </c>
      <c r="V624" s="67"/>
      <c r="W624" s="25" t="str">
        <f>IFERROR(VLOOKUP(BCP_Soles[[#This Row],[DESTINATARIO]],CHOOSE({1,2},Clientes_Proveedores[Razon Social],Clientes_Proveedores[Ruc / Dni]),2,0),"")</f>
        <v/>
      </c>
      <c r="X624" s="25"/>
      <c r="Y624" s="25"/>
      <c r="Z624" s="25"/>
      <c r="AA624" s="99"/>
      <c r="AB624" s="3" t="str">
        <f>IF(BCP_Soles[[#This Row],[FECHA]]&gt;0,TEXT(BCP_Soles[[#This Row],[FECHA]],"mmmm"),0)</f>
        <v>Febrero</v>
      </c>
    </row>
    <row r="625" spans="2:28" ht="24" x14ac:dyDescent="0.3">
      <c r="B625" s="2">
        <f>IF(BCP_Soles[[#This Row],[TIPO DE R.]]="R",COUNTIFS($D$4:$D624,"R")+1,"")</f>
        <v>480</v>
      </c>
      <c r="C625" s="19" t="str">
        <f t="shared" si="45"/>
        <v>B-BCP - Soles</v>
      </c>
      <c r="D625" s="3" t="s">
        <v>1074</v>
      </c>
      <c r="E625" s="14">
        <v>45714</v>
      </c>
      <c r="F625" s="5" t="s">
        <v>1082</v>
      </c>
      <c r="G625" s="5" t="s">
        <v>1079</v>
      </c>
      <c r="H625" s="6"/>
      <c r="I625" s="6" t="s">
        <v>14</v>
      </c>
      <c r="J625" s="6" t="s">
        <v>1121</v>
      </c>
      <c r="K625" s="6">
        <v>2203</v>
      </c>
      <c r="L625" s="7" t="s">
        <v>1781</v>
      </c>
      <c r="M625" s="8">
        <v>1206093</v>
      </c>
      <c r="N625" s="8" t="str">
        <f t="shared" si="46"/>
        <v>PEN</v>
      </c>
      <c r="O625" s="13"/>
      <c r="P625" s="13">
        <v>45</v>
      </c>
      <c r="Q625" s="3">
        <f t="shared" si="47"/>
        <v>0</v>
      </c>
      <c r="R625" s="3">
        <f t="shared" si="48"/>
        <v>45</v>
      </c>
      <c r="S625" s="3">
        <f t="shared" si="49"/>
        <v>48643.279999999992</v>
      </c>
      <c r="T625" s="24" t="s">
        <v>1081</v>
      </c>
      <c r="U625" s="24" t="s">
        <v>1081</v>
      </c>
      <c r="V625" s="67"/>
      <c r="W625" s="25" t="str">
        <f>IFERROR(VLOOKUP(BCP_Soles[[#This Row],[DESTINATARIO]],CHOOSE({1,2},Clientes_Proveedores[Razon Social],Clientes_Proveedores[Ruc / Dni]),2,0),"")</f>
        <v/>
      </c>
      <c r="X625" s="25" t="s">
        <v>1782</v>
      </c>
      <c r="Y625" s="25" t="s">
        <v>1783</v>
      </c>
      <c r="Z625" s="25"/>
      <c r="AA625" s="99"/>
      <c r="AB625" s="3" t="str">
        <f>IF(BCP_Soles[[#This Row],[FECHA]]&gt;0,TEXT(BCP_Soles[[#This Row],[FECHA]],"mmmm"),0)</f>
        <v>Febrero</v>
      </c>
    </row>
    <row r="626" spans="2:28" ht="24" x14ac:dyDescent="0.3">
      <c r="B626" s="2">
        <f>IF(BCP_Soles[[#This Row],[TIPO DE R.]]="R",COUNTIFS($D$4:$D625,"R")+1,"")</f>
        <v>481</v>
      </c>
      <c r="C626" s="19" t="str">
        <f t="shared" si="45"/>
        <v>B-BCP - Soles</v>
      </c>
      <c r="D626" s="3" t="s">
        <v>1074</v>
      </c>
      <c r="E626" s="14">
        <v>45714</v>
      </c>
      <c r="F626" s="5" t="s">
        <v>1082</v>
      </c>
      <c r="G626" s="5" t="s">
        <v>1079</v>
      </c>
      <c r="H626" s="6" t="s">
        <v>192</v>
      </c>
      <c r="I626" s="6"/>
      <c r="J626" s="6"/>
      <c r="K626" s="6"/>
      <c r="L626" s="7" t="s">
        <v>1784</v>
      </c>
      <c r="M626" s="8">
        <v>1114048</v>
      </c>
      <c r="N626" s="8" t="str">
        <f t="shared" si="46"/>
        <v>PEN</v>
      </c>
      <c r="O626" s="13"/>
      <c r="P626" s="13">
        <v>81.42</v>
      </c>
      <c r="Q626" s="3">
        <f t="shared" si="47"/>
        <v>0</v>
      </c>
      <c r="R626" s="3">
        <f t="shared" si="48"/>
        <v>81.42</v>
      </c>
      <c r="S626" s="3">
        <f t="shared" si="49"/>
        <v>48561.859999999993</v>
      </c>
      <c r="T626" s="24"/>
      <c r="U626" s="24"/>
      <c r="V626" s="67"/>
      <c r="W626" s="25">
        <f>IFERROR(VLOOKUP(BCP_Soles[[#This Row],[DESTINATARIO]],CHOOSE({1,2},Clientes_Proveedores[Razon Social],Clientes_Proveedores[Ruc / Dni]),2,0),"")</f>
        <v>20302891452</v>
      </c>
      <c r="X626" s="25" t="s">
        <v>192</v>
      </c>
      <c r="Y626" s="25"/>
      <c r="Z626" s="25"/>
      <c r="AA626" s="99"/>
      <c r="AB626" s="3" t="str">
        <f>IF(BCP_Soles[[#This Row],[FECHA]]&gt;0,TEXT(BCP_Soles[[#This Row],[FECHA]],"mmmm"),0)</f>
        <v>Febrero</v>
      </c>
    </row>
    <row r="627" spans="2:28" ht="24" x14ac:dyDescent="0.3">
      <c r="B627" s="2">
        <f>IF(BCP_Soles[[#This Row],[TIPO DE R.]]="R",COUNTIFS($D$4:$D626,"R")+1,"")</f>
        <v>482</v>
      </c>
      <c r="C627" s="19" t="str">
        <f t="shared" si="45"/>
        <v>B-BCP - Soles</v>
      </c>
      <c r="D627" s="3" t="s">
        <v>1074</v>
      </c>
      <c r="E627" s="14">
        <v>45714</v>
      </c>
      <c r="F627" s="5" t="s">
        <v>1082</v>
      </c>
      <c r="G627" s="5" t="s">
        <v>1079</v>
      </c>
      <c r="H627" s="6" t="s">
        <v>697</v>
      </c>
      <c r="I627" s="6" t="s">
        <v>18</v>
      </c>
      <c r="J627" s="6" t="s">
        <v>1121</v>
      </c>
      <c r="K627" s="6">
        <v>1263</v>
      </c>
      <c r="L627" s="7" t="s">
        <v>1785</v>
      </c>
      <c r="M627" s="8">
        <v>1207546</v>
      </c>
      <c r="N627" s="8" t="str">
        <f t="shared" si="46"/>
        <v>PEN</v>
      </c>
      <c r="O627" s="13"/>
      <c r="P627" s="13">
        <v>120</v>
      </c>
      <c r="Q627" s="3">
        <f t="shared" si="47"/>
        <v>0</v>
      </c>
      <c r="R627" s="3">
        <f t="shared" si="48"/>
        <v>120</v>
      </c>
      <c r="S627" s="3">
        <f t="shared" si="49"/>
        <v>48441.859999999993</v>
      </c>
      <c r="T627" s="24"/>
      <c r="U627" s="24" t="s">
        <v>1081</v>
      </c>
      <c r="V627" s="67"/>
      <c r="W627" s="25">
        <f>IFERROR(VLOOKUP(BCP_Soles[[#This Row],[DESTINATARIO]],CHOOSE({1,2},Clientes_Proveedores[Razon Social],Clientes_Proveedores[Ruc / Dni]),2,0),"")</f>
        <v>10450776578</v>
      </c>
      <c r="X627" s="25" t="s">
        <v>697</v>
      </c>
      <c r="Y627" s="25" t="s">
        <v>1786</v>
      </c>
      <c r="Z627" s="25"/>
      <c r="AA627" s="99"/>
      <c r="AB627" s="3" t="str">
        <f>IF(BCP_Soles[[#This Row],[FECHA]]&gt;0,TEXT(BCP_Soles[[#This Row],[FECHA]],"mmmm"),0)</f>
        <v>Febrero</v>
      </c>
    </row>
    <row r="628" spans="2:28" ht="36" x14ac:dyDescent="0.3">
      <c r="B628" s="2">
        <f>IF(BCP_Soles[[#This Row],[TIPO DE R.]]="R",COUNTIFS($D$4:$D627,"R")+1,"")</f>
        <v>483</v>
      </c>
      <c r="C628" s="19" t="str">
        <f t="shared" si="45"/>
        <v>B-BCP - Soles</v>
      </c>
      <c r="D628" s="3" t="s">
        <v>1074</v>
      </c>
      <c r="E628" s="14">
        <v>45714</v>
      </c>
      <c r="F628" s="5" t="s">
        <v>1082</v>
      </c>
      <c r="G628" s="5" t="s">
        <v>1079</v>
      </c>
      <c r="H628" s="6" t="s">
        <v>588</v>
      </c>
      <c r="I628" s="6" t="s">
        <v>14</v>
      </c>
      <c r="J628" s="6"/>
      <c r="K628" s="6"/>
      <c r="L628" s="7" t="s">
        <v>1787</v>
      </c>
      <c r="M628" s="8">
        <v>1113558</v>
      </c>
      <c r="N628" s="8" t="str">
        <f t="shared" si="46"/>
        <v>PEN</v>
      </c>
      <c r="O628" s="13"/>
      <c r="P628" s="13">
        <v>438.4</v>
      </c>
      <c r="Q628" s="3">
        <f t="shared" si="47"/>
        <v>0</v>
      </c>
      <c r="R628" s="3">
        <f t="shared" si="48"/>
        <v>438.4</v>
      </c>
      <c r="S628" s="3">
        <f t="shared" si="49"/>
        <v>48003.459999999992</v>
      </c>
      <c r="T628" s="24"/>
      <c r="U628" s="24"/>
      <c r="V628" s="67"/>
      <c r="W628" s="25">
        <f>IFERROR(VLOOKUP(BCP_Soles[[#This Row],[DESTINATARIO]],CHOOSE({1,2},Clientes_Proveedores[Razon Social],Clientes_Proveedores[Ruc / Dni]),2,0),"")</f>
        <v>20100036101</v>
      </c>
      <c r="X628" s="25" t="s">
        <v>1788</v>
      </c>
      <c r="Y628" s="25"/>
      <c r="Z628" s="25"/>
      <c r="AA628" s="99"/>
      <c r="AB628" s="3" t="str">
        <f>IF(BCP_Soles[[#This Row],[FECHA]]&gt;0,TEXT(BCP_Soles[[#This Row],[FECHA]],"mmmm"),0)</f>
        <v>Febrero</v>
      </c>
    </row>
    <row r="629" spans="2:28" ht="24" x14ac:dyDescent="0.3">
      <c r="B629" s="2">
        <f>IF(BCP_Soles[[#This Row],[TIPO DE R.]]="R",COUNTIFS($D$4:$D628,"R")+1,"")</f>
        <v>484</v>
      </c>
      <c r="C629" s="19" t="str">
        <f t="shared" si="45"/>
        <v>B-BCP - Soles</v>
      </c>
      <c r="D629" s="3" t="s">
        <v>1074</v>
      </c>
      <c r="E629" s="14">
        <v>45714</v>
      </c>
      <c r="F629" s="5" t="s">
        <v>1163</v>
      </c>
      <c r="G629" s="5" t="s">
        <v>1079</v>
      </c>
      <c r="H629" s="6"/>
      <c r="I629" s="6"/>
      <c r="J629" s="6"/>
      <c r="K629" s="6"/>
      <c r="L629" s="7" t="s">
        <v>1100</v>
      </c>
      <c r="M629" s="8">
        <v>1758703</v>
      </c>
      <c r="N629" s="8" t="str">
        <f t="shared" si="46"/>
        <v>PEN</v>
      </c>
      <c r="O629" s="13"/>
      <c r="P629" s="13">
        <v>1000</v>
      </c>
      <c r="Q629" s="3">
        <f t="shared" si="47"/>
        <v>0</v>
      </c>
      <c r="R629" s="3">
        <f t="shared" si="48"/>
        <v>1000</v>
      </c>
      <c r="S629" s="3">
        <f t="shared" si="49"/>
        <v>47003.459999999992</v>
      </c>
      <c r="T629" s="24"/>
      <c r="U629" s="24"/>
      <c r="V629" s="67"/>
      <c r="W629" s="25" t="str">
        <f>IFERROR(VLOOKUP(BCP_Soles[[#This Row],[DESTINATARIO]],CHOOSE({1,2},Clientes_Proveedores[Razon Social],Clientes_Proveedores[Ruc / Dni]),2,0),"")</f>
        <v/>
      </c>
      <c r="X629" s="25"/>
      <c r="Y629" s="25" t="s">
        <v>1172</v>
      </c>
      <c r="Z629" s="25"/>
      <c r="AA629" s="99"/>
      <c r="AB629" s="3" t="str">
        <f>IF(BCP_Soles[[#This Row],[FECHA]]&gt;0,TEXT(BCP_Soles[[#This Row],[FECHA]],"mmmm"),0)</f>
        <v>Febrero</v>
      </c>
    </row>
    <row r="630" spans="2:28" x14ac:dyDescent="0.3">
      <c r="B630" s="2">
        <f>IF(BCP_Soles[[#This Row],[TIPO DE R.]]="R",COUNTIFS($D$4:$D629,"R")+1,"")</f>
        <v>485</v>
      </c>
      <c r="C630" s="19" t="str">
        <f t="shared" si="45"/>
        <v>B-BCP - Soles</v>
      </c>
      <c r="D630" s="3" t="s">
        <v>1074</v>
      </c>
      <c r="E630" s="14">
        <v>45714</v>
      </c>
      <c r="F630" s="5" t="s">
        <v>1082</v>
      </c>
      <c r="G630" s="5" t="s">
        <v>1079</v>
      </c>
      <c r="H630" s="6"/>
      <c r="I630" s="6"/>
      <c r="J630" s="6"/>
      <c r="K630" s="6"/>
      <c r="L630" s="7" t="s">
        <v>1789</v>
      </c>
      <c r="M630" s="8">
        <v>6319837</v>
      </c>
      <c r="N630" s="8" t="str">
        <f t="shared" si="46"/>
        <v>PEN</v>
      </c>
      <c r="O630" s="13"/>
      <c r="P630" s="13">
        <v>3264.16</v>
      </c>
      <c r="Q630" s="3">
        <f t="shared" si="47"/>
        <v>0</v>
      </c>
      <c r="R630" s="3">
        <f t="shared" si="48"/>
        <v>3264.16</v>
      </c>
      <c r="S630" s="3">
        <f t="shared" si="49"/>
        <v>43739.299999999988</v>
      </c>
      <c r="T630" s="24" t="s">
        <v>1081</v>
      </c>
      <c r="U630" s="24" t="s">
        <v>1081</v>
      </c>
      <c r="V630" s="67"/>
      <c r="W630" s="25" t="str">
        <f>IFERROR(VLOOKUP(BCP_Soles[[#This Row],[DESTINATARIO]],CHOOSE({1,2},Clientes_Proveedores[Razon Social],Clientes_Proveedores[Ruc / Dni]),2,0),"")</f>
        <v/>
      </c>
      <c r="X630" s="25" t="s">
        <v>1118</v>
      </c>
      <c r="Y630" s="25"/>
      <c r="Z630" s="25"/>
      <c r="AA630" s="99"/>
      <c r="AB630" s="3" t="str">
        <f>IF(BCP_Soles[[#This Row],[FECHA]]&gt;0,TEXT(BCP_Soles[[#This Row],[FECHA]],"mmmm"),0)</f>
        <v>Febrero</v>
      </c>
    </row>
    <row r="631" spans="2:28" ht="24" x14ac:dyDescent="0.3">
      <c r="B631" s="2">
        <f>IF(BCP_Soles[[#This Row],[TIPO DE R.]]="R",COUNTIFS($D$4:$D630,"R")+1,"")</f>
        <v>486</v>
      </c>
      <c r="C631" s="19" t="str">
        <f t="shared" si="45"/>
        <v>B-BCP - Soles</v>
      </c>
      <c r="D631" s="3" t="s">
        <v>1074</v>
      </c>
      <c r="E631" s="14">
        <v>45715</v>
      </c>
      <c r="F631" s="5" t="s">
        <v>147</v>
      </c>
      <c r="G631" s="5" t="s">
        <v>1087</v>
      </c>
      <c r="H631" s="6"/>
      <c r="I631" s="6"/>
      <c r="J631" s="6"/>
      <c r="K631" s="6"/>
      <c r="L631" s="7" t="s">
        <v>1095</v>
      </c>
      <c r="M631" s="8">
        <v>6702794</v>
      </c>
      <c r="N631" s="8" t="str">
        <f t="shared" si="46"/>
        <v>PEN</v>
      </c>
      <c r="O631" s="13"/>
      <c r="P631" s="13">
        <v>11443.19</v>
      </c>
      <c r="Q631" s="3">
        <f t="shared" si="47"/>
        <v>11443.19</v>
      </c>
      <c r="R631" s="3">
        <f t="shared" si="48"/>
        <v>0</v>
      </c>
      <c r="S631" s="3">
        <f t="shared" si="49"/>
        <v>55182.489999999991</v>
      </c>
      <c r="T631" s="24" t="s">
        <v>1081</v>
      </c>
      <c r="U631" s="24" t="s">
        <v>1081</v>
      </c>
      <c r="V631" s="67"/>
      <c r="W631" s="25" t="str">
        <f>IFERROR(VLOOKUP(BCP_Soles[[#This Row],[DESTINATARIO]],CHOOSE({1,2},Clientes_Proveedores[Razon Social],Clientes_Proveedores[Ruc / Dni]),2,0),"")</f>
        <v/>
      </c>
      <c r="X631" s="25" t="s">
        <v>1090</v>
      </c>
      <c r="Y631" s="25" t="s">
        <v>1790</v>
      </c>
      <c r="Z631" s="25"/>
      <c r="AA631" s="99"/>
      <c r="AB631" s="3" t="str">
        <f>IF(BCP_Soles[[#This Row],[FECHA]]&gt;0,TEXT(BCP_Soles[[#This Row],[FECHA]],"mmmm"),0)</f>
        <v>Febrero</v>
      </c>
    </row>
    <row r="632" spans="2:28" ht="60" x14ac:dyDescent="0.3">
      <c r="B632" s="2">
        <f>IF(BCP_Soles[[#This Row],[TIPO DE R.]]="R",COUNTIFS($D$4:$D631,"R")+1,"")</f>
        <v>487</v>
      </c>
      <c r="C632" s="19" t="str">
        <f t="shared" si="45"/>
        <v>B-BCP - Soles</v>
      </c>
      <c r="D632" s="3" t="s">
        <v>1074</v>
      </c>
      <c r="E632" s="14">
        <v>45715</v>
      </c>
      <c r="F632" s="5" t="s">
        <v>238</v>
      </c>
      <c r="G632" s="5" t="s">
        <v>1087</v>
      </c>
      <c r="H632" s="6"/>
      <c r="I632" s="6"/>
      <c r="J632" s="6"/>
      <c r="K632" s="6"/>
      <c r="L632" s="7" t="s">
        <v>1170</v>
      </c>
      <c r="M632" s="8">
        <v>2235853</v>
      </c>
      <c r="N632" s="8" t="str">
        <f t="shared" si="46"/>
        <v>PEN</v>
      </c>
      <c r="O632" s="13"/>
      <c r="P632" s="13">
        <v>2789.58</v>
      </c>
      <c r="Q632" s="3">
        <f t="shared" si="47"/>
        <v>2789.58</v>
      </c>
      <c r="R632" s="3">
        <f t="shared" si="48"/>
        <v>0</v>
      </c>
      <c r="S632" s="3">
        <f t="shared" si="49"/>
        <v>57972.069999999992</v>
      </c>
      <c r="T632" s="24" t="s">
        <v>1081</v>
      </c>
      <c r="U632" s="24" t="s">
        <v>1081</v>
      </c>
      <c r="V632" s="67"/>
      <c r="W632" s="25" t="str">
        <f>IFERROR(VLOOKUP(BCP_Soles[[#This Row],[DESTINATARIO]],CHOOSE({1,2},Clientes_Proveedores[Razon Social],Clientes_Proveedores[Ruc / Dni]),2,0),"")</f>
        <v/>
      </c>
      <c r="X632" s="25" t="s">
        <v>1090</v>
      </c>
      <c r="Y632" s="25" t="s">
        <v>1791</v>
      </c>
      <c r="Z632" s="25"/>
      <c r="AA632" s="99"/>
      <c r="AB632" s="3" t="str">
        <f>IF(BCP_Soles[[#This Row],[FECHA]]&gt;0,TEXT(BCP_Soles[[#This Row],[FECHA]],"mmmm"),0)</f>
        <v>Febrero</v>
      </c>
    </row>
    <row r="633" spans="2:28" ht="24" x14ac:dyDescent="0.3">
      <c r="B633" s="2">
        <f>IF(BCP_Soles[[#This Row],[TIPO DE R.]]="R",COUNTIFS($D$4:$D632,"R")+1,"")</f>
        <v>488</v>
      </c>
      <c r="C633" s="19" t="str">
        <f t="shared" si="45"/>
        <v>B-BCP - Soles</v>
      </c>
      <c r="D633" s="3" t="s">
        <v>1074</v>
      </c>
      <c r="E633" s="14">
        <v>45715</v>
      </c>
      <c r="F633" s="5" t="s">
        <v>1768</v>
      </c>
      <c r="G633" s="5" t="s">
        <v>1087</v>
      </c>
      <c r="H633" s="6"/>
      <c r="I633" s="6"/>
      <c r="J633" s="6"/>
      <c r="K633" s="6"/>
      <c r="L633" s="7" t="s">
        <v>1792</v>
      </c>
      <c r="M633" s="8">
        <v>543480</v>
      </c>
      <c r="N633" s="8" t="str">
        <f t="shared" si="46"/>
        <v>PEN</v>
      </c>
      <c r="O633" s="13"/>
      <c r="P633" s="13">
        <v>2712.2</v>
      </c>
      <c r="Q633" s="3">
        <f t="shared" si="47"/>
        <v>2712.2</v>
      </c>
      <c r="R633" s="3">
        <f t="shared" si="48"/>
        <v>0</v>
      </c>
      <c r="S633" s="3">
        <f t="shared" si="49"/>
        <v>60684.26999999999</v>
      </c>
      <c r="T633" s="24" t="s">
        <v>1081</v>
      </c>
      <c r="U633" s="24" t="s">
        <v>1081</v>
      </c>
      <c r="V633" s="67"/>
      <c r="W633" s="25" t="str">
        <f>IFERROR(VLOOKUP(BCP_Soles[[#This Row],[DESTINATARIO]],CHOOSE({1,2},Clientes_Proveedores[Razon Social],Clientes_Proveedores[Ruc / Dni]),2,0),"")</f>
        <v/>
      </c>
      <c r="X633" s="25" t="s">
        <v>1090</v>
      </c>
      <c r="Y633" s="25" t="s">
        <v>1770</v>
      </c>
      <c r="Z633" s="25"/>
      <c r="AA633" s="99"/>
      <c r="AB633" s="3" t="str">
        <f>IF(BCP_Soles[[#This Row],[FECHA]]&gt;0,TEXT(BCP_Soles[[#This Row],[FECHA]],"mmmm"),0)</f>
        <v>Febrero</v>
      </c>
    </row>
    <row r="634" spans="2:28" ht="36" x14ac:dyDescent="0.3">
      <c r="B634" s="2">
        <f>IF(BCP_Soles[[#This Row],[TIPO DE R.]]="R",COUNTIFS($D$4:$D633,"R")+1,"")</f>
        <v>489</v>
      </c>
      <c r="C634" s="19" t="str">
        <f t="shared" si="45"/>
        <v>B-BCP - Soles</v>
      </c>
      <c r="D634" s="3" t="s">
        <v>1074</v>
      </c>
      <c r="E634" s="14">
        <v>45715</v>
      </c>
      <c r="F634" s="5" t="s">
        <v>497</v>
      </c>
      <c r="G634" s="5" t="s">
        <v>1087</v>
      </c>
      <c r="H634" s="6"/>
      <c r="I634" s="6"/>
      <c r="J634" s="6"/>
      <c r="K634" s="6"/>
      <c r="L634" s="7" t="s">
        <v>1093</v>
      </c>
      <c r="M634" s="8">
        <v>2211248</v>
      </c>
      <c r="N634" s="8" t="str">
        <f t="shared" si="46"/>
        <v>PEN</v>
      </c>
      <c r="O634" s="13"/>
      <c r="P634" s="13">
        <v>1877.96</v>
      </c>
      <c r="Q634" s="3">
        <f t="shared" si="47"/>
        <v>1877.96</v>
      </c>
      <c r="R634" s="3">
        <f t="shared" si="48"/>
        <v>0</v>
      </c>
      <c r="S634" s="3">
        <f t="shared" si="49"/>
        <v>62562.229999999989</v>
      </c>
      <c r="T634" s="24" t="s">
        <v>1081</v>
      </c>
      <c r="U634" s="24" t="s">
        <v>1081</v>
      </c>
      <c r="V634" s="67"/>
      <c r="W634" s="25" t="str">
        <f>IFERROR(VLOOKUP(BCP_Soles[[#This Row],[DESTINATARIO]],CHOOSE({1,2},Clientes_Proveedores[Razon Social],Clientes_Proveedores[Ruc / Dni]),2,0),"")</f>
        <v/>
      </c>
      <c r="X634" s="25" t="s">
        <v>1090</v>
      </c>
      <c r="Y634" s="25" t="s">
        <v>1793</v>
      </c>
      <c r="Z634" s="25"/>
      <c r="AA634" s="99"/>
      <c r="AB634" s="3" t="str">
        <f>IF(BCP_Soles[[#This Row],[FECHA]]&gt;0,TEXT(BCP_Soles[[#This Row],[FECHA]],"mmmm"),0)</f>
        <v>Febrero</v>
      </c>
    </row>
    <row r="635" spans="2:28" ht="36" x14ac:dyDescent="0.3">
      <c r="B635" s="2">
        <f>IF(BCP_Soles[[#This Row],[TIPO DE R.]]="R",COUNTIFS($D$4:$D634,"R")+1,"")</f>
        <v>490</v>
      </c>
      <c r="C635" s="19" t="str">
        <f t="shared" si="45"/>
        <v>B-BCP - Soles</v>
      </c>
      <c r="D635" s="3" t="s">
        <v>1074</v>
      </c>
      <c r="E635" s="14">
        <v>45715</v>
      </c>
      <c r="F635" s="5" t="s">
        <v>497</v>
      </c>
      <c r="G635" s="5" t="s">
        <v>1087</v>
      </c>
      <c r="H635" s="6"/>
      <c r="I635" s="6"/>
      <c r="J635" s="6"/>
      <c r="K635" s="6"/>
      <c r="L635" s="7" t="s">
        <v>1093</v>
      </c>
      <c r="M635" s="8">
        <v>2208662</v>
      </c>
      <c r="N635" s="8" t="str">
        <f t="shared" si="46"/>
        <v>PEN</v>
      </c>
      <c r="O635" s="13"/>
      <c r="P635" s="13">
        <v>1475.96</v>
      </c>
      <c r="Q635" s="3">
        <f t="shared" si="47"/>
        <v>1475.96</v>
      </c>
      <c r="R635" s="3">
        <f t="shared" si="48"/>
        <v>0</v>
      </c>
      <c r="S635" s="3">
        <f t="shared" si="49"/>
        <v>64038.189999999988</v>
      </c>
      <c r="T635" s="24" t="s">
        <v>1081</v>
      </c>
      <c r="U635" s="24" t="s">
        <v>1081</v>
      </c>
      <c r="V635" s="67"/>
      <c r="W635" s="25" t="str">
        <f>IFERROR(VLOOKUP(BCP_Soles[[#This Row],[DESTINATARIO]],CHOOSE({1,2},Clientes_Proveedores[Razon Social],Clientes_Proveedores[Ruc / Dni]),2,0),"")</f>
        <v/>
      </c>
      <c r="X635" s="25" t="s">
        <v>1090</v>
      </c>
      <c r="Y635" s="25" t="s">
        <v>1794</v>
      </c>
      <c r="Z635" s="25"/>
      <c r="AA635" s="99"/>
      <c r="AB635" s="3" t="str">
        <f>IF(BCP_Soles[[#This Row],[FECHA]]&gt;0,TEXT(BCP_Soles[[#This Row],[FECHA]],"mmmm"),0)</f>
        <v>Febrero</v>
      </c>
    </row>
    <row r="636" spans="2:28" ht="36" x14ac:dyDescent="0.3">
      <c r="B636" s="2">
        <f>IF(BCP_Soles[[#This Row],[TIPO DE R.]]="R",COUNTIFS($D$4:$D635,"R")+1,"")</f>
        <v>491</v>
      </c>
      <c r="C636" s="19" t="str">
        <f t="shared" si="45"/>
        <v>B-BCP - Soles</v>
      </c>
      <c r="D636" s="3" t="s">
        <v>1074</v>
      </c>
      <c r="E636" s="14">
        <v>45715</v>
      </c>
      <c r="F636" s="5" t="s">
        <v>497</v>
      </c>
      <c r="G636" s="5" t="s">
        <v>1087</v>
      </c>
      <c r="H636" s="6"/>
      <c r="I636" s="6"/>
      <c r="J636" s="6"/>
      <c r="K636" s="6"/>
      <c r="L636" s="7" t="s">
        <v>1093</v>
      </c>
      <c r="M636" s="8">
        <v>2206500</v>
      </c>
      <c r="N636" s="8" t="str">
        <f t="shared" si="46"/>
        <v>PEN</v>
      </c>
      <c r="O636" s="13"/>
      <c r="P636" s="13">
        <v>1003</v>
      </c>
      <c r="Q636" s="3">
        <f t="shared" si="47"/>
        <v>1003</v>
      </c>
      <c r="R636" s="3">
        <f t="shared" si="48"/>
        <v>0</v>
      </c>
      <c r="S636" s="3">
        <f t="shared" si="49"/>
        <v>65041.189999999988</v>
      </c>
      <c r="T636" s="24" t="s">
        <v>1081</v>
      </c>
      <c r="U636" s="24" t="s">
        <v>1081</v>
      </c>
      <c r="V636" s="67"/>
      <c r="W636" s="25" t="str">
        <f>IFERROR(VLOOKUP(BCP_Soles[[#This Row],[DESTINATARIO]],CHOOSE({1,2},Clientes_Proveedores[Razon Social],Clientes_Proveedores[Ruc / Dni]),2,0),"")</f>
        <v/>
      </c>
      <c r="X636" s="25" t="s">
        <v>1090</v>
      </c>
      <c r="Y636" s="25" t="s">
        <v>1795</v>
      </c>
      <c r="Z636" s="25"/>
      <c r="AA636" s="99"/>
      <c r="AB636" s="3" t="str">
        <f>IF(BCP_Soles[[#This Row],[FECHA]]&gt;0,TEXT(BCP_Soles[[#This Row],[FECHA]],"mmmm"),0)</f>
        <v>Febrero</v>
      </c>
    </row>
    <row r="637" spans="2:28" ht="36" x14ac:dyDescent="0.3">
      <c r="B637" s="2">
        <f>IF(BCP_Soles[[#This Row],[TIPO DE R.]]="R",COUNTIFS($D$4:$D636,"R")+1,"")</f>
        <v>492</v>
      </c>
      <c r="C637" s="19" t="str">
        <f t="shared" si="45"/>
        <v>B-BCP - Soles</v>
      </c>
      <c r="D637" s="3" t="s">
        <v>1074</v>
      </c>
      <c r="E637" s="14">
        <v>45715</v>
      </c>
      <c r="F637" s="5" t="s">
        <v>497</v>
      </c>
      <c r="G637" s="5" t="s">
        <v>1087</v>
      </c>
      <c r="H637" s="6"/>
      <c r="I637" s="6"/>
      <c r="J637" s="6"/>
      <c r="K637" s="6"/>
      <c r="L637" s="7" t="s">
        <v>1093</v>
      </c>
      <c r="M637" s="8">
        <v>2204783</v>
      </c>
      <c r="N637" s="8" t="str">
        <f t="shared" si="46"/>
        <v>PEN</v>
      </c>
      <c r="O637" s="13"/>
      <c r="P637" s="13">
        <v>745.92</v>
      </c>
      <c r="Q637" s="3">
        <f t="shared" si="47"/>
        <v>745.92</v>
      </c>
      <c r="R637" s="3">
        <f t="shared" si="48"/>
        <v>0</v>
      </c>
      <c r="S637" s="3">
        <f t="shared" si="49"/>
        <v>65787.109999999986</v>
      </c>
      <c r="T637" s="24" t="s">
        <v>1081</v>
      </c>
      <c r="U637" s="24" t="s">
        <v>1081</v>
      </c>
      <c r="V637" s="67"/>
      <c r="W637" s="25" t="str">
        <f>IFERROR(VLOOKUP(BCP_Soles[[#This Row],[DESTINATARIO]],CHOOSE({1,2},Clientes_Proveedores[Razon Social],Clientes_Proveedores[Ruc / Dni]),2,0),"")</f>
        <v/>
      </c>
      <c r="X637" s="25" t="s">
        <v>1090</v>
      </c>
      <c r="Y637" s="25" t="s">
        <v>1796</v>
      </c>
      <c r="Z637" s="25"/>
      <c r="AA637" s="99"/>
      <c r="AB637" s="3" t="str">
        <f>IF(BCP_Soles[[#This Row],[FECHA]]&gt;0,TEXT(BCP_Soles[[#This Row],[FECHA]],"mmmm"),0)</f>
        <v>Febrero</v>
      </c>
    </row>
    <row r="638" spans="2:28" ht="24" x14ac:dyDescent="0.3">
      <c r="B638" s="2">
        <f>IF(BCP_Soles[[#This Row],[TIPO DE R.]]="R",COUNTIFS($D$4:$D637,"R")+1,"")</f>
        <v>493</v>
      </c>
      <c r="C638" s="19" t="str">
        <f t="shared" si="45"/>
        <v>B-BCP - Soles</v>
      </c>
      <c r="D638" s="3" t="s">
        <v>1074</v>
      </c>
      <c r="E638" s="14">
        <v>45715</v>
      </c>
      <c r="F638" s="5" t="s">
        <v>585</v>
      </c>
      <c r="G638" s="5" t="s">
        <v>1087</v>
      </c>
      <c r="H638" s="6"/>
      <c r="I638" s="6"/>
      <c r="J638" s="6"/>
      <c r="K638" s="6"/>
      <c r="L638" s="7" t="s">
        <v>1797</v>
      </c>
      <c r="M638" s="8">
        <v>6741716</v>
      </c>
      <c r="N638" s="8" t="str">
        <f t="shared" si="46"/>
        <v>PEN</v>
      </c>
      <c r="O638" s="13"/>
      <c r="P638" s="13">
        <v>362.07</v>
      </c>
      <c r="Q638" s="3">
        <f t="shared" si="47"/>
        <v>362.07</v>
      </c>
      <c r="R638" s="3">
        <f t="shared" si="48"/>
        <v>0</v>
      </c>
      <c r="S638" s="3">
        <f t="shared" si="49"/>
        <v>66149.179999999993</v>
      </c>
      <c r="T638" s="24" t="s">
        <v>1081</v>
      </c>
      <c r="U638" s="24" t="s">
        <v>1081</v>
      </c>
      <c r="V638" s="67"/>
      <c r="W638" s="25" t="str">
        <f>IFERROR(VLOOKUP(BCP_Soles[[#This Row],[DESTINATARIO]],CHOOSE({1,2},Clientes_Proveedores[Razon Social],Clientes_Proveedores[Ruc / Dni]),2,0),"")</f>
        <v/>
      </c>
      <c r="X638" s="25" t="s">
        <v>1090</v>
      </c>
      <c r="Y638" s="25" t="s">
        <v>1798</v>
      </c>
      <c r="Z638" s="25"/>
      <c r="AA638" s="99"/>
      <c r="AB638" s="3" t="str">
        <f>IF(BCP_Soles[[#This Row],[FECHA]]&gt;0,TEXT(BCP_Soles[[#This Row],[FECHA]],"mmmm"),0)</f>
        <v>Febrero</v>
      </c>
    </row>
    <row r="639" spans="2:28" x14ac:dyDescent="0.3">
      <c r="B639" s="2">
        <f>IF(BCP_Soles[[#This Row],[TIPO DE R.]]="R",COUNTIFS($D$4:$D638,"R")+1,"")</f>
        <v>494</v>
      </c>
      <c r="C639" s="19" t="str">
        <f t="shared" si="45"/>
        <v>B-BCP - Soles</v>
      </c>
      <c r="D639" s="3" t="s">
        <v>1074</v>
      </c>
      <c r="E639" s="14">
        <v>45715</v>
      </c>
      <c r="F639" s="5" t="s">
        <v>1078</v>
      </c>
      <c r="G639" s="5" t="s">
        <v>1079</v>
      </c>
      <c r="H639" s="6"/>
      <c r="I639" s="6"/>
      <c r="J639" s="6"/>
      <c r="K639" s="6"/>
      <c r="L639" s="7" t="s">
        <v>1080</v>
      </c>
      <c r="M639" s="8"/>
      <c r="N639" s="8" t="str">
        <f t="shared" si="46"/>
        <v>PEN</v>
      </c>
      <c r="O639" s="13"/>
      <c r="P639" s="13">
        <v>0.95</v>
      </c>
      <c r="Q639" s="3">
        <f t="shared" si="47"/>
        <v>0</v>
      </c>
      <c r="R639" s="3">
        <f t="shared" si="48"/>
        <v>0.95</v>
      </c>
      <c r="S639" s="3">
        <f t="shared" si="49"/>
        <v>66148.23</v>
      </c>
      <c r="T639" s="24"/>
      <c r="U639" s="24" t="s">
        <v>1081</v>
      </c>
      <c r="V639" s="67"/>
      <c r="W639" s="25" t="str">
        <f>IFERROR(VLOOKUP(BCP_Soles[[#This Row],[DESTINATARIO]],CHOOSE({1,2},Clientes_Proveedores[Razon Social],Clientes_Proveedores[Ruc / Dni]),2,0),"")</f>
        <v/>
      </c>
      <c r="X639" s="25"/>
      <c r="Y639" s="25"/>
      <c r="Z639" s="25"/>
      <c r="AA639" s="99"/>
      <c r="AB639" s="3" t="str">
        <f>IF(BCP_Soles[[#This Row],[FECHA]]&gt;0,TEXT(BCP_Soles[[#This Row],[FECHA]],"mmmm"),0)</f>
        <v>Febrero</v>
      </c>
    </row>
    <row r="640" spans="2:28" ht="24" x14ac:dyDescent="0.3">
      <c r="B640" s="2">
        <f>IF(BCP_Soles[[#This Row],[TIPO DE R.]]="R",COUNTIFS($D$4:$D639,"R")+1,"")</f>
        <v>495</v>
      </c>
      <c r="C640" s="19" t="str">
        <f t="shared" si="45"/>
        <v>B-BCP - Soles</v>
      </c>
      <c r="D640" s="3" t="s">
        <v>1074</v>
      </c>
      <c r="E640" s="14">
        <v>45715</v>
      </c>
      <c r="F640" s="5" t="s">
        <v>1082</v>
      </c>
      <c r="G640" s="5" t="s">
        <v>1079</v>
      </c>
      <c r="H640" s="6" t="s">
        <v>192</v>
      </c>
      <c r="I640" s="6"/>
      <c r="J640" s="6"/>
      <c r="K640" s="6"/>
      <c r="L640" s="7" t="s">
        <v>1784</v>
      </c>
      <c r="M640" s="8">
        <v>1126869</v>
      </c>
      <c r="N640" s="8" t="str">
        <f t="shared" si="46"/>
        <v>PEN</v>
      </c>
      <c r="O640" s="13"/>
      <c r="P640" s="13">
        <v>41.93</v>
      </c>
      <c r="Q640" s="3">
        <f t="shared" si="47"/>
        <v>0</v>
      </c>
      <c r="R640" s="3">
        <f t="shared" si="48"/>
        <v>41.93</v>
      </c>
      <c r="S640" s="3">
        <f t="shared" si="49"/>
        <v>66106.3</v>
      </c>
      <c r="T640" s="24"/>
      <c r="U640" s="24"/>
      <c r="V640" s="67"/>
      <c r="W640" s="25">
        <f>IFERROR(VLOOKUP(BCP_Soles[[#This Row],[DESTINATARIO]],CHOOSE({1,2},Clientes_Proveedores[Razon Social],Clientes_Proveedores[Ruc / Dni]),2,0),"")</f>
        <v>20302891452</v>
      </c>
      <c r="X640" s="25" t="s">
        <v>192</v>
      </c>
      <c r="Y640" s="25"/>
      <c r="Z640" s="25"/>
      <c r="AA640" s="99"/>
      <c r="AB640" s="3" t="str">
        <f>IF(BCP_Soles[[#This Row],[FECHA]]&gt;0,TEXT(BCP_Soles[[#This Row],[FECHA]],"mmmm"),0)</f>
        <v>Febrero</v>
      </c>
    </row>
    <row r="641" spans="2:28" ht="24" x14ac:dyDescent="0.3">
      <c r="B641" s="2">
        <f>IF(BCP_Soles[[#This Row],[TIPO DE R.]]="R",COUNTIFS($D$4:$D640,"R")+1,"")</f>
        <v>496</v>
      </c>
      <c r="C641" s="19" t="str">
        <f t="shared" si="45"/>
        <v>B-BCP - Soles</v>
      </c>
      <c r="D641" s="3" t="s">
        <v>1074</v>
      </c>
      <c r="E641" s="14">
        <v>45715</v>
      </c>
      <c r="F641" s="5" t="s">
        <v>1082</v>
      </c>
      <c r="G641" s="5" t="s">
        <v>1079</v>
      </c>
      <c r="H641" s="6" t="s">
        <v>829</v>
      </c>
      <c r="I641" s="6" t="s">
        <v>14</v>
      </c>
      <c r="J641" s="6" t="s">
        <v>1799</v>
      </c>
      <c r="K641" s="6">
        <v>1852</v>
      </c>
      <c r="L641" s="7" t="s">
        <v>1800</v>
      </c>
      <c r="M641" s="8">
        <v>1238730</v>
      </c>
      <c r="N641" s="8" t="str">
        <f t="shared" si="46"/>
        <v>PEN</v>
      </c>
      <c r="O641" s="13"/>
      <c r="P641" s="13">
        <v>110</v>
      </c>
      <c r="Q641" s="3">
        <f t="shared" si="47"/>
        <v>0</v>
      </c>
      <c r="R641" s="3">
        <f t="shared" si="48"/>
        <v>110</v>
      </c>
      <c r="S641" s="3">
        <f t="shared" si="49"/>
        <v>65996.3</v>
      </c>
      <c r="T641" s="24" t="s">
        <v>1081</v>
      </c>
      <c r="U641" s="24" t="s">
        <v>1081</v>
      </c>
      <c r="V641" s="67"/>
      <c r="W641" s="25">
        <f>IFERROR(VLOOKUP(BCP_Soles[[#This Row],[DESTINATARIO]],CHOOSE({1,2},Clientes_Proveedores[Razon Social],Clientes_Proveedores[Ruc / Dni]),2,0),"")</f>
        <v>47461440</v>
      </c>
      <c r="X641" s="25" t="s">
        <v>829</v>
      </c>
      <c r="Y641" s="25" t="s">
        <v>1801</v>
      </c>
      <c r="Z641" s="25"/>
      <c r="AA641" s="99"/>
      <c r="AB641" s="3" t="str">
        <f>IF(BCP_Soles[[#This Row],[FECHA]]&gt;0,TEXT(BCP_Soles[[#This Row],[FECHA]],"mmmm"),0)</f>
        <v>Febrero</v>
      </c>
    </row>
    <row r="642" spans="2:28" ht="24" x14ac:dyDescent="0.3">
      <c r="B642" s="2">
        <f>IF(BCP_Soles[[#This Row],[TIPO DE R.]]="R",COUNTIFS($D$4:$D641,"R")+1,"")</f>
        <v>497</v>
      </c>
      <c r="C642" s="19" t="str">
        <f t="shared" si="45"/>
        <v>B-BCP - Soles</v>
      </c>
      <c r="D642" s="3" t="s">
        <v>1074</v>
      </c>
      <c r="E642" s="14">
        <v>45715</v>
      </c>
      <c r="F642" s="5" t="s">
        <v>1082</v>
      </c>
      <c r="G642" s="5" t="s">
        <v>1079</v>
      </c>
      <c r="H642" s="6" t="s">
        <v>184</v>
      </c>
      <c r="I642" s="6" t="s">
        <v>14</v>
      </c>
      <c r="J642" s="6" t="s">
        <v>1083</v>
      </c>
      <c r="K642" s="6">
        <v>7169</v>
      </c>
      <c r="L642" s="7" t="s">
        <v>1802</v>
      </c>
      <c r="M642" s="8">
        <v>1170618</v>
      </c>
      <c r="N642" s="8" t="str">
        <f t="shared" si="46"/>
        <v>PEN</v>
      </c>
      <c r="O642" s="13"/>
      <c r="P642" s="13">
        <v>682.4</v>
      </c>
      <c r="Q642" s="3">
        <f t="shared" si="47"/>
        <v>0</v>
      </c>
      <c r="R642" s="3">
        <f t="shared" si="48"/>
        <v>682.4</v>
      </c>
      <c r="S642" s="3">
        <f t="shared" si="49"/>
        <v>65313.9</v>
      </c>
      <c r="T642" s="24" t="s">
        <v>1081</v>
      </c>
      <c r="U642" s="24" t="s">
        <v>1081</v>
      </c>
      <c r="V642" s="67"/>
      <c r="W642" s="25">
        <f>IFERROR(VLOOKUP(BCP_Soles[[#This Row],[DESTINATARIO]],CHOOSE({1,2},Clientes_Proveedores[Razon Social],Clientes_Proveedores[Ruc / Dni]),2,0),"")</f>
        <v>20170040938</v>
      </c>
      <c r="X642" s="25" t="s">
        <v>1085</v>
      </c>
      <c r="Y642" s="25" t="s">
        <v>1803</v>
      </c>
      <c r="Z642" s="25"/>
      <c r="AA642" s="99"/>
      <c r="AB642" s="3" t="str">
        <f>IF(BCP_Soles[[#This Row],[FECHA]]&gt;0,TEXT(BCP_Soles[[#This Row],[FECHA]],"mmmm"),0)</f>
        <v>Febrero</v>
      </c>
    </row>
    <row r="643" spans="2:28" ht="24" x14ac:dyDescent="0.3">
      <c r="B643" s="2">
        <f>IF(BCP_Soles[[#This Row],[TIPO DE R.]]="R",COUNTIFS($D$4:$D642,"R")+1,"")</f>
        <v>498</v>
      </c>
      <c r="C643" s="19" t="str">
        <f t="shared" si="45"/>
        <v>B-BCP - Soles</v>
      </c>
      <c r="D643" s="3" t="s">
        <v>1074</v>
      </c>
      <c r="E643" s="14">
        <v>45715</v>
      </c>
      <c r="F643" s="5" t="s">
        <v>1082</v>
      </c>
      <c r="G643" s="5" t="s">
        <v>1079</v>
      </c>
      <c r="H643" s="6" t="s">
        <v>600</v>
      </c>
      <c r="I643" s="6" t="s">
        <v>14</v>
      </c>
      <c r="J643" s="6" t="s">
        <v>1121</v>
      </c>
      <c r="K643" s="6">
        <v>30</v>
      </c>
      <c r="L643" s="7" t="s">
        <v>1804</v>
      </c>
      <c r="M643" s="8">
        <v>1127856</v>
      </c>
      <c r="N643" s="8" t="str">
        <f t="shared" si="46"/>
        <v>PEN</v>
      </c>
      <c r="O643" s="13"/>
      <c r="P643" s="13">
        <v>1298</v>
      </c>
      <c r="Q643" s="3">
        <f t="shared" si="47"/>
        <v>0</v>
      </c>
      <c r="R643" s="3">
        <f t="shared" si="48"/>
        <v>1298</v>
      </c>
      <c r="S643" s="3">
        <f t="shared" si="49"/>
        <v>64015.9</v>
      </c>
      <c r="T643" s="24" t="s">
        <v>1081</v>
      </c>
      <c r="U643" s="24" t="s">
        <v>1081</v>
      </c>
      <c r="V643" s="67"/>
      <c r="W643" s="25">
        <f>IFERROR(VLOOKUP(BCP_Soles[[#This Row],[DESTINATARIO]],CHOOSE({1,2},Clientes_Proveedores[Razon Social],Clientes_Proveedores[Ruc / Dni]),2,0),"")</f>
        <v>15609125303</v>
      </c>
      <c r="X643" s="25" t="s">
        <v>600</v>
      </c>
      <c r="Y643" s="25" t="s">
        <v>1805</v>
      </c>
      <c r="Z643" s="25"/>
      <c r="AA643" s="99"/>
      <c r="AB643" s="3" t="str">
        <f>IF(BCP_Soles[[#This Row],[FECHA]]&gt;0,TEXT(BCP_Soles[[#This Row],[FECHA]],"mmmm"),0)</f>
        <v>Febrero</v>
      </c>
    </row>
    <row r="644" spans="2:28" ht="24" x14ac:dyDescent="0.3">
      <c r="B644" s="2">
        <f>IF(BCP_Soles[[#This Row],[TIPO DE R.]]="R",COUNTIFS($D$4:$D643,"R")+1,"")</f>
        <v>499</v>
      </c>
      <c r="C644" s="19" t="str">
        <f t="shared" si="45"/>
        <v>B-BCP - Soles</v>
      </c>
      <c r="D644" s="3" t="s">
        <v>1074</v>
      </c>
      <c r="E644" s="14">
        <v>45716</v>
      </c>
      <c r="F644" s="5" t="s">
        <v>1562</v>
      </c>
      <c r="G644" s="5" t="s">
        <v>1087</v>
      </c>
      <c r="H644" s="6"/>
      <c r="I644" s="6"/>
      <c r="J644" s="6"/>
      <c r="K644" s="6"/>
      <c r="L644" s="7" t="s">
        <v>1806</v>
      </c>
      <c r="M644" s="8">
        <v>2209291</v>
      </c>
      <c r="N644" s="8" t="str">
        <f t="shared" si="46"/>
        <v>PEN</v>
      </c>
      <c r="O644" s="13"/>
      <c r="P644" s="13">
        <v>16000</v>
      </c>
      <c r="Q644" s="3">
        <f t="shared" si="47"/>
        <v>16000</v>
      </c>
      <c r="R644" s="3">
        <f t="shared" si="48"/>
        <v>0</v>
      </c>
      <c r="S644" s="3">
        <f t="shared" si="49"/>
        <v>80015.899999999994</v>
      </c>
      <c r="T644" s="24" t="s">
        <v>1081</v>
      </c>
      <c r="U644" s="24" t="s">
        <v>1081</v>
      </c>
      <c r="V644" s="67"/>
      <c r="W644" s="25" t="str">
        <f>IFERROR(VLOOKUP(BCP_Soles[[#This Row],[DESTINATARIO]],CHOOSE({1,2},Clientes_Proveedores[Razon Social],Clientes_Proveedores[Ruc / Dni]),2,0),"")</f>
        <v/>
      </c>
      <c r="X644" s="25" t="s">
        <v>1090</v>
      </c>
      <c r="Y644" s="25" t="s">
        <v>1807</v>
      </c>
      <c r="Z644" s="25"/>
      <c r="AA644" s="99"/>
      <c r="AB644" s="3" t="str">
        <f>IF(BCP_Soles[[#This Row],[FECHA]]&gt;0,TEXT(BCP_Soles[[#This Row],[FECHA]],"mmmm"),0)</f>
        <v>Febrero</v>
      </c>
    </row>
    <row r="645" spans="2:28" ht="24" x14ac:dyDescent="0.3">
      <c r="B645" s="2">
        <f>IF(BCP_Soles[[#This Row],[TIPO DE R.]]="R",COUNTIFS($D$4:$D644,"R")+1,"")</f>
        <v>500</v>
      </c>
      <c r="C645" s="19" t="str">
        <f t="shared" ref="C645:C708" si="50">"B-BCP - Soles"</f>
        <v>B-BCP - Soles</v>
      </c>
      <c r="D645" s="3" t="s">
        <v>1074</v>
      </c>
      <c r="E645" s="14">
        <v>45716</v>
      </c>
      <c r="F645" s="5" t="s">
        <v>229</v>
      </c>
      <c r="G645" s="5" t="s">
        <v>1087</v>
      </c>
      <c r="H645" s="6"/>
      <c r="I645" s="6"/>
      <c r="J645" s="6"/>
      <c r="K645" s="6"/>
      <c r="L645" s="7" t="s">
        <v>1127</v>
      </c>
      <c r="M645" s="8">
        <v>15775</v>
      </c>
      <c r="N645" s="8" t="str">
        <f t="shared" ref="N645:N708" si="51">"PEN"</f>
        <v>PEN</v>
      </c>
      <c r="O645" s="13"/>
      <c r="P645" s="13">
        <v>9228.25</v>
      </c>
      <c r="Q645" s="3">
        <f t="shared" ref="Q645:Q708" si="52">+IF(OR($G645="SALDO",$G645="INGRESO"),$P645,0)</f>
        <v>9228.25</v>
      </c>
      <c r="R645" s="3">
        <f t="shared" ref="R645:R708" si="53">+IF($G645="EGRESO",$P645,0)</f>
        <v>0</v>
      </c>
      <c r="S645" s="3">
        <f t="shared" ref="S645:S708" si="54">IFERROR(IF(G645="SALDO",Q645,S644+Q645-R645),0)</f>
        <v>89244.15</v>
      </c>
      <c r="T645" s="24" t="s">
        <v>1081</v>
      </c>
      <c r="U645" s="24" t="s">
        <v>1081</v>
      </c>
      <c r="V645" s="67"/>
      <c r="W645" s="25" t="str">
        <f>IFERROR(VLOOKUP(BCP_Soles[[#This Row],[DESTINATARIO]],CHOOSE({1,2},Clientes_Proveedores[Razon Social],Clientes_Proveedores[Ruc / Dni]),2,0),"")</f>
        <v/>
      </c>
      <c r="X645" s="25" t="s">
        <v>1090</v>
      </c>
      <c r="Y645" s="25" t="s">
        <v>1808</v>
      </c>
      <c r="Z645" s="25"/>
      <c r="AA645" s="99"/>
      <c r="AB645" s="3" t="str">
        <f>IF(BCP_Soles[[#This Row],[FECHA]]&gt;0,TEXT(BCP_Soles[[#This Row],[FECHA]],"mmmm"),0)</f>
        <v>Febrero</v>
      </c>
    </row>
    <row r="646" spans="2:28" ht="60" x14ac:dyDescent="0.3">
      <c r="B646" s="2">
        <f>IF(BCP_Soles[[#This Row],[TIPO DE R.]]="R",COUNTIFS($D$4:$D645,"R")+1,"")</f>
        <v>501</v>
      </c>
      <c r="C646" s="19" t="str">
        <f t="shared" si="50"/>
        <v>B-BCP - Soles</v>
      </c>
      <c r="D646" s="3" t="s">
        <v>1074</v>
      </c>
      <c r="E646" s="14">
        <v>45716</v>
      </c>
      <c r="F646" s="5" t="s">
        <v>238</v>
      </c>
      <c r="G646" s="5" t="s">
        <v>1087</v>
      </c>
      <c r="H646" s="6"/>
      <c r="I646" s="6"/>
      <c r="J646" s="6"/>
      <c r="K646" s="6"/>
      <c r="L646" s="7" t="s">
        <v>1170</v>
      </c>
      <c r="M646" s="8">
        <v>2316999</v>
      </c>
      <c r="N646" s="8" t="str">
        <f t="shared" si="51"/>
        <v>PEN</v>
      </c>
      <c r="O646" s="13"/>
      <c r="P646" s="13">
        <v>4469.08</v>
      </c>
      <c r="Q646" s="3">
        <f t="shared" si="52"/>
        <v>4469.08</v>
      </c>
      <c r="R646" s="3">
        <f t="shared" si="53"/>
        <v>0</v>
      </c>
      <c r="S646" s="3">
        <f t="shared" si="54"/>
        <v>93713.23</v>
      </c>
      <c r="T646" s="24" t="s">
        <v>1081</v>
      </c>
      <c r="U646" s="24" t="s">
        <v>1081</v>
      </c>
      <c r="V646" s="67"/>
      <c r="W646" s="25" t="str">
        <f>IFERROR(VLOOKUP(BCP_Soles[[#This Row],[DESTINATARIO]],CHOOSE({1,2},Clientes_Proveedores[Razon Social],Clientes_Proveedores[Ruc / Dni]),2,0),"")</f>
        <v/>
      </c>
      <c r="X646" s="25" t="s">
        <v>1090</v>
      </c>
      <c r="Y646" s="25" t="s">
        <v>1809</v>
      </c>
      <c r="Z646" s="25"/>
      <c r="AA646" s="99"/>
      <c r="AB646" s="3" t="str">
        <f>IF(BCP_Soles[[#This Row],[FECHA]]&gt;0,TEXT(BCP_Soles[[#This Row],[FECHA]],"mmmm"),0)</f>
        <v>Febrero</v>
      </c>
    </row>
    <row r="647" spans="2:28" x14ac:dyDescent="0.3">
      <c r="B647" s="2">
        <f>IF(BCP_Soles[[#This Row],[TIPO DE R.]]="R",COUNTIFS($D$4:$D646,"R")+1,"")</f>
        <v>502</v>
      </c>
      <c r="C647" s="19" t="str">
        <f t="shared" si="50"/>
        <v>B-BCP - Soles</v>
      </c>
      <c r="D647" s="3" t="s">
        <v>1074</v>
      </c>
      <c r="E647" s="14">
        <v>45716</v>
      </c>
      <c r="F647" s="5"/>
      <c r="G647" s="5" t="s">
        <v>1087</v>
      </c>
      <c r="H647" s="6"/>
      <c r="I647" s="6"/>
      <c r="J647" s="6"/>
      <c r="K647" s="6"/>
      <c r="L647" s="7" t="s">
        <v>1810</v>
      </c>
      <c r="M647" s="8">
        <v>7837636</v>
      </c>
      <c r="N647" s="8" t="str">
        <f t="shared" si="51"/>
        <v>PEN</v>
      </c>
      <c r="O647" s="13"/>
      <c r="P647" s="13">
        <v>1388.59</v>
      </c>
      <c r="Q647" s="3">
        <f t="shared" si="52"/>
        <v>1388.59</v>
      </c>
      <c r="R647" s="3">
        <f t="shared" si="53"/>
        <v>0</v>
      </c>
      <c r="S647" s="3">
        <f t="shared" si="54"/>
        <v>95101.819999999992</v>
      </c>
      <c r="T647" s="24"/>
      <c r="U647" s="24"/>
      <c r="V647" s="67"/>
      <c r="W647" s="25" t="str">
        <f>IFERROR(VLOOKUP(BCP_Soles[[#This Row],[DESTINATARIO]],CHOOSE({1,2},Clientes_Proveedores[Razon Social],Clientes_Proveedores[Ruc / Dni]),2,0),"")</f>
        <v/>
      </c>
      <c r="X647" s="25" t="s">
        <v>1090</v>
      </c>
      <c r="Y647" s="25"/>
      <c r="Z647" s="25"/>
      <c r="AA647" s="99"/>
      <c r="AB647" s="3" t="str">
        <f>IF(BCP_Soles[[#This Row],[FECHA]]&gt;0,TEXT(BCP_Soles[[#This Row],[FECHA]],"mmmm"),0)</f>
        <v>Febrero</v>
      </c>
    </row>
    <row r="648" spans="2:28" ht="24" x14ac:dyDescent="0.3">
      <c r="B648" s="2">
        <f>IF(BCP_Soles[[#This Row],[TIPO DE R.]]="R",COUNTIFS($D$4:$D647,"R")+1,"")</f>
        <v>503</v>
      </c>
      <c r="C648" s="19" t="str">
        <f t="shared" si="50"/>
        <v>B-BCP - Soles</v>
      </c>
      <c r="D648" s="3" t="s">
        <v>1074</v>
      </c>
      <c r="E648" s="14">
        <v>45716</v>
      </c>
      <c r="F648" s="5" t="s">
        <v>155</v>
      </c>
      <c r="G648" s="5" t="s">
        <v>1087</v>
      </c>
      <c r="H648" s="6"/>
      <c r="I648" s="6"/>
      <c r="J648" s="6"/>
      <c r="K648" s="6"/>
      <c r="L648" s="7" t="s">
        <v>1811</v>
      </c>
      <c r="M648" s="8">
        <v>7782923</v>
      </c>
      <c r="N648" s="8" t="str">
        <f t="shared" si="51"/>
        <v>PEN</v>
      </c>
      <c r="O648" s="13"/>
      <c r="P648" s="13">
        <v>1356.79</v>
      </c>
      <c r="Q648" s="3">
        <f t="shared" si="52"/>
        <v>1356.79</v>
      </c>
      <c r="R648" s="3">
        <f t="shared" si="53"/>
        <v>0</v>
      </c>
      <c r="S648" s="3">
        <f t="shared" si="54"/>
        <v>96458.609999999986</v>
      </c>
      <c r="T648" s="24" t="s">
        <v>1081</v>
      </c>
      <c r="U648" s="24" t="s">
        <v>1081</v>
      </c>
      <c r="V648" s="67"/>
      <c r="W648" s="25" t="str">
        <f>IFERROR(VLOOKUP(BCP_Soles[[#This Row],[DESTINATARIO]],CHOOSE({1,2},Clientes_Proveedores[Razon Social],Clientes_Proveedores[Ruc / Dni]),2,0),"")</f>
        <v/>
      </c>
      <c r="X648" s="25" t="s">
        <v>1090</v>
      </c>
      <c r="Y648" s="25" t="s">
        <v>1812</v>
      </c>
      <c r="Z648" s="25"/>
      <c r="AA648" s="99"/>
      <c r="AB648" s="3" t="str">
        <f>IF(BCP_Soles[[#This Row],[FECHA]]&gt;0,TEXT(BCP_Soles[[#This Row],[FECHA]],"mmmm"),0)</f>
        <v>Febrero</v>
      </c>
    </row>
    <row r="649" spans="2:28" ht="24" x14ac:dyDescent="0.3">
      <c r="B649" s="2">
        <f>IF(BCP_Soles[[#This Row],[TIPO DE R.]]="R",COUNTIFS($D$4:$D648,"R")+1,"")</f>
        <v>504</v>
      </c>
      <c r="C649" s="19" t="str">
        <f t="shared" si="50"/>
        <v>B-BCP - Soles</v>
      </c>
      <c r="D649" s="3" t="s">
        <v>1074</v>
      </c>
      <c r="E649" s="14">
        <v>45716</v>
      </c>
      <c r="F649" s="5" t="s">
        <v>1145</v>
      </c>
      <c r="G649" s="5" t="s">
        <v>1087</v>
      </c>
      <c r="H649" s="6"/>
      <c r="I649" s="6"/>
      <c r="J649" s="6"/>
      <c r="K649" s="6"/>
      <c r="L649" s="7" t="s">
        <v>1813</v>
      </c>
      <c r="M649" s="8">
        <v>33783</v>
      </c>
      <c r="N649" s="8" t="str">
        <f t="shared" si="51"/>
        <v>PEN</v>
      </c>
      <c r="O649" s="13"/>
      <c r="P649" s="13">
        <v>500</v>
      </c>
      <c r="Q649" s="3">
        <f t="shared" si="52"/>
        <v>500</v>
      </c>
      <c r="R649" s="3">
        <f t="shared" si="53"/>
        <v>0</v>
      </c>
      <c r="S649" s="3">
        <f t="shared" si="54"/>
        <v>96958.609999999986</v>
      </c>
      <c r="T649" s="24" t="s">
        <v>1081</v>
      </c>
      <c r="U649" s="24" t="s">
        <v>1081</v>
      </c>
      <c r="V649" s="67"/>
      <c r="W649" s="25" t="str">
        <f>IFERROR(VLOOKUP(BCP_Soles[[#This Row],[DESTINATARIO]],CHOOSE({1,2},Clientes_Proveedores[Razon Social],Clientes_Proveedores[Ruc / Dni]),2,0),"")</f>
        <v/>
      </c>
      <c r="X649" s="25" t="s">
        <v>1090</v>
      </c>
      <c r="Y649" s="25" t="s">
        <v>1146</v>
      </c>
      <c r="Z649" s="25"/>
      <c r="AA649" s="99"/>
      <c r="AB649" s="3" t="str">
        <f>IF(BCP_Soles[[#This Row],[FECHA]]&gt;0,TEXT(BCP_Soles[[#This Row],[FECHA]],"mmmm"),0)</f>
        <v>Febrero</v>
      </c>
    </row>
    <row r="650" spans="2:28" ht="24" x14ac:dyDescent="0.3">
      <c r="B650" s="2">
        <f>IF(BCP_Soles[[#This Row],[TIPO DE R.]]="R",COUNTIFS($D$4:$D649,"R")+1,"")</f>
        <v>505</v>
      </c>
      <c r="C650" s="19" t="str">
        <f t="shared" si="50"/>
        <v>B-BCP - Soles</v>
      </c>
      <c r="D650" s="3" t="s">
        <v>1074</v>
      </c>
      <c r="E650" s="14">
        <v>45716</v>
      </c>
      <c r="F650" s="5" t="s">
        <v>1745</v>
      </c>
      <c r="G650" s="5" t="s">
        <v>1087</v>
      </c>
      <c r="H650" s="6"/>
      <c r="I650" s="6"/>
      <c r="J650" s="6"/>
      <c r="K650" s="6"/>
      <c r="L650" s="7" t="s">
        <v>1100</v>
      </c>
      <c r="M650" s="8">
        <v>4071452</v>
      </c>
      <c r="N650" s="8" t="str">
        <f t="shared" si="51"/>
        <v>PEN</v>
      </c>
      <c r="O650" s="13"/>
      <c r="P650" s="13">
        <v>460</v>
      </c>
      <c r="Q650" s="3">
        <f t="shared" si="52"/>
        <v>460</v>
      </c>
      <c r="R650" s="3">
        <f t="shared" si="53"/>
        <v>0</v>
      </c>
      <c r="S650" s="3">
        <f t="shared" si="54"/>
        <v>97418.609999999986</v>
      </c>
      <c r="T650" s="24" t="s">
        <v>1081</v>
      </c>
      <c r="U650" s="24" t="s">
        <v>1081</v>
      </c>
      <c r="V650" s="67"/>
      <c r="W650" s="25" t="str">
        <f>IFERROR(VLOOKUP(BCP_Soles[[#This Row],[DESTINATARIO]],CHOOSE({1,2},Clientes_Proveedores[Razon Social],Clientes_Proveedores[Ruc / Dni]),2,0),"")</f>
        <v/>
      </c>
      <c r="X650" s="25" t="s">
        <v>1090</v>
      </c>
      <c r="Y650" s="25" t="s">
        <v>1814</v>
      </c>
      <c r="Z650" s="25"/>
      <c r="AA650" s="99"/>
      <c r="AB650" s="3" t="str">
        <f>IF(BCP_Soles[[#This Row],[FECHA]]&gt;0,TEXT(BCP_Soles[[#This Row],[FECHA]],"mmmm"),0)</f>
        <v>Febrero</v>
      </c>
    </row>
    <row r="651" spans="2:28" ht="24" x14ac:dyDescent="0.3">
      <c r="B651" s="2">
        <f>IF(BCP_Soles[[#This Row],[TIPO DE R.]]="R",COUNTIFS($D$4:$D650,"R")+1,"")</f>
        <v>506</v>
      </c>
      <c r="C651" s="19" t="str">
        <f t="shared" si="50"/>
        <v>B-BCP - Soles</v>
      </c>
      <c r="D651" s="3" t="s">
        <v>1074</v>
      </c>
      <c r="E651" s="14">
        <v>45716</v>
      </c>
      <c r="F651" s="5" t="s">
        <v>1815</v>
      </c>
      <c r="G651" s="5" t="s">
        <v>1087</v>
      </c>
      <c r="H651" s="6"/>
      <c r="I651" s="6"/>
      <c r="J651" s="6"/>
      <c r="K651" s="6"/>
      <c r="L651" s="7" t="s">
        <v>1100</v>
      </c>
      <c r="M651" s="8">
        <v>4040780</v>
      </c>
      <c r="N651" s="8" t="str">
        <f t="shared" si="51"/>
        <v>PEN</v>
      </c>
      <c r="O651" s="13"/>
      <c r="P651" s="13">
        <v>370</v>
      </c>
      <c r="Q651" s="3">
        <f t="shared" si="52"/>
        <v>370</v>
      </c>
      <c r="R651" s="3">
        <f t="shared" si="53"/>
        <v>0</v>
      </c>
      <c r="S651" s="3">
        <f t="shared" si="54"/>
        <v>97788.609999999986</v>
      </c>
      <c r="T651" s="24" t="s">
        <v>1081</v>
      </c>
      <c r="U651" s="24" t="s">
        <v>1081</v>
      </c>
      <c r="V651" s="67"/>
      <c r="W651" s="25" t="str">
        <f>IFERROR(VLOOKUP(BCP_Soles[[#This Row],[DESTINATARIO]],CHOOSE({1,2},Clientes_Proveedores[Razon Social],Clientes_Proveedores[Ruc / Dni]),2,0),"")</f>
        <v/>
      </c>
      <c r="X651" s="25" t="s">
        <v>1090</v>
      </c>
      <c r="Y651" s="25" t="s">
        <v>1816</v>
      </c>
      <c r="Z651" s="25"/>
      <c r="AA651" s="99"/>
      <c r="AB651" s="3" t="str">
        <f>IF(BCP_Soles[[#This Row],[FECHA]]&gt;0,TEXT(BCP_Soles[[#This Row],[FECHA]],"mmmm"),0)</f>
        <v>Febrero</v>
      </c>
    </row>
    <row r="652" spans="2:28" x14ac:dyDescent="0.3">
      <c r="B652" s="2">
        <f>IF(BCP_Soles[[#This Row],[TIPO DE R.]]="R",COUNTIFS($D$4:$D651,"R")+1,"")</f>
        <v>507</v>
      </c>
      <c r="C652" s="19" t="str">
        <f t="shared" si="50"/>
        <v>B-BCP - Soles</v>
      </c>
      <c r="D652" s="3" t="s">
        <v>1074</v>
      </c>
      <c r="E652" s="14">
        <v>45716</v>
      </c>
      <c r="F652" s="5" t="s">
        <v>1078</v>
      </c>
      <c r="G652" s="5" t="s">
        <v>1079</v>
      </c>
      <c r="H652" s="6"/>
      <c r="I652" s="6"/>
      <c r="J652" s="6"/>
      <c r="K652" s="6"/>
      <c r="L652" s="7" t="s">
        <v>1080</v>
      </c>
      <c r="M652" s="8"/>
      <c r="N652" s="8" t="str">
        <f t="shared" si="51"/>
        <v>PEN</v>
      </c>
      <c r="O652" s="13"/>
      <c r="P652" s="13">
        <v>5.3</v>
      </c>
      <c r="Q652" s="3">
        <f t="shared" si="52"/>
        <v>0</v>
      </c>
      <c r="R652" s="3">
        <f t="shared" si="53"/>
        <v>5.3</v>
      </c>
      <c r="S652" s="3">
        <f t="shared" si="54"/>
        <v>97783.309999999983</v>
      </c>
      <c r="T652" s="24"/>
      <c r="U652" s="24" t="s">
        <v>1081</v>
      </c>
      <c r="V652" s="67"/>
      <c r="W652" s="25" t="str">
        <f>IFERROR(VLOOKUP(BCP_Soles[[#This Row],[DESTINATARIO]],CHOOSE({1,2},Clientes_Proveedores[Razon Social],Clientes_Proveedores[Ruc / Dni]),2,0),"")</f>
        <v/>
      </c>
      <c r="X652" s="25"/>
      <c r="Y652" s="25"/>
      <c r="Z652" s="25"/>
      <c r="AA652" s="99"/>
      <c r="AB652" s="3" t="str">
        <f>IF(BCP_Soles[[#This Row],[FECHA]]&gt;0,TEXT(BCP_Soles[[#This Row],[FECHA]],"mmmm"),0)</f>
        <v>Febrero</v>
      </c>
    </row>
    <row r="653" spans="2:28" ht="24" x14ac:dyDescent="0.3">
      <c r="B653" s="2">
        <f>IF(BCP_Soles[[#This Row],[TIPO DE R.]]="R",COUNTIFS($D$4:$D652,"R")+1,"")</f>
        <v>508</v>
      </c>
      <c r="C653" s="19" t="str">
        <f t="shared" si="50"/>
        <v>B-BCP - Soles</v>
      </c>
      <c r="D653" s="3" t="s">
        <v>1074</v>
      </c>
      <c r="E653" s="14">
        <v>45716</v>
      </c>
      <c r="F653" s="5" t="s">
        <v>1078</v>
      </c>
      <c r="G653" s="5" t="s">
        <v>1079</v>
      </c>
      <c r="H653" s="6" t="s">
        <v>1001</v>
      </c>
      <c r="I653" s="6" t="s">
        <v>14</v>
      </c>
      <c r="J653" s="6" t="s">
        <v>3759</v>
      </c>
      <c r="K653" s="6">
        <v>14324556</v>
      </c>
      <c r="L653" s="7" t="s">
        <v>1495</v>
      </c>
      <c r="M653" s="8">
        <v>971767</v>
      </c>
      <c r="N653" s="8" t="str">
        <f t="shared" si="51"/>
        <v>PEN</v>
      </c>
      <c r="O653" s="13"/>
      <c r="P653" s="13">
        <v>5.5</v>
      </c>
      <c r="Q653" s="3">
        <f t="shared" si="52"/>
        <v>0</v>
      </c>
      <c r="R653" s="3">
        <f t="shared" si="53"/>
        <v>5.5</v>
      </c>
      <c r="S653" s="3">
        <f t="shared" si="54"/>
        <v>97777.809999999983</v>
      </c>
      <c r="T653" s="24" t="s">
        <v>1081</v>
      </c>
      <c r="U653" s="24" t="s">
        <v>1081</v>
      </c>
      <c r="V653" s="67"/>
      <c r="W653" s="25">
        <f>IFERROR(VLOOKUP(BCP_Soles[[#This Row],[DESTINATARIO]],CHOOSE({1,2},Clientes_Proveedores[Razon Social],Clientes_Proveedores[Ruc / Dni]),2,0),"")</f>
        <v>20100047218</v>
      </c>
      <c r="X653" s="25" t="s">
        <v>1078</v>
      </c>
      <c r="Y653" s="25"/>
      <c r="Z653" s="25"/>
      <c r="AA653" s="99"/>
      <c r="AB653" s="3" t="str">
        <f>IF(BCP_Soles[[#This Row],[FECHA]]&gt;0,TEXT(BCP_Soles[[#This Row],[FECHA]],"mmmm"),0)</f>
        <v>Febrero</v>
      </c>
    </row>
    <row r="654" spans="2:28" ht="24" x14ac:dyDescent="0.3">
      <c r="B654" s="2">
        <f>IF(BCP_Soles[[#This Row],[TIPO DE R.]]="R",COUNTIFS($D$4:$D653,"R")+1,"")</f>
        <v>509</v>
      </c>
      <c r="C654" s="19" t="str">
        <f t="shared" si="50"/>
        <v>B-BCP - Soles</v>
      </c>
      <c r="D654" s="3" t="s">
        <v>1074</v>
      </c>
      <c r="E654" s="14">
        <v>45716</v>
      </c>
      <c r="F654" s="5" t="s">
        <v>1078</v>
      </c>
      <c r="G654" s="5" t="s">
        <v>1079</v>
      </c>
      <c r="H654" s="6" t="s">
        <v>1001</v>
      </c>
      <c r="I654" s="6"/>
      <c r="J654" s="6"/>
      <c r="K654" s="6"/>
      <c r="L654" s="7" t="s">
        <v>1141</v>
      </c>
      <c r="M654" s="8">
        <v>886</v>
      </c>
      <c r="N654" s="8" t="str">
        <f t="shared" si="51"/>
        <v>PEN</v>
      </c>
      <c r="O654" s="13"/>
      <c r="P654" s="13">
        <v>10</v>
      </c>
      <c r="Q654" s="3">
        <f t="shared" si="52"/>
        <v>0</v>
      </c>
      <c r="R654" s="3">
        <f t="shared" si="53"/>
        <v>10</v>
      </c>
      <c r="S654" s="3">
        <f t="shared" si="54"/>
        <v>97767.809999999983</v>
      </c>
      <c r="T654" s="24"/>
      <c r="U654" s="24" t="s">
        <v>1081</v>
      </c>
      <c r="V654" s="67"/>
      <c r="W654" s="25">
        <f>IFERROR(VLOOKUP(BCP_Soles[[#This Row],[DESTINATARIO]],CHOOSE({1,2},Clientes_Proveedores[Razon Social],Clientes_Proveedores[Ruc / Dni]),2,0),"")</f>
        <v>20100047218</v>
      </c>
      <c r="X654" s="25" t="s">
        <v>1078</v>
      </c>
      <c r="Y654" s="25" t="s">
        <v>1817</v>
      </c>
      <c r="Z654" s="25"/>
      <c r="AA654" s="99"/>
      <c r="AB654" s="3" t="str">
        <f>IF(BCP_Soles[[#This Row],[FECHA]]&gt;0,TEXT(BCP_Soles[[#This Row],[FECHA]],"mmmm"),0)</f>
        <v>Febrero</v>
      </c>
    </row>
    <row r="655" spans="2:28" ht="24" x14ac:dyDescent="0.3">
      <c r="B655" s="2">
        <f>IF(BCP_Soles[[#This Row],[TIPO DE R.]]="R",COUNTIFS($D$4:$D654,"R")+1,"")</f>
        <v>510</v>
      </c>
      <c r="C655" s="19" t="str">
        <f t="shared" si="50"/>
        <v>B-BCP - Soles</v>
      </c>
      <c r="D655" s="3" t="s">
        <v>1074</v>
      </c>
      <c r="E655" s="14">
        <v>45716</v>
      </c>
      <c r="F655" s="5" t="s">
        <v>1078</v>
      </c>
      <c r="G655" s="5" t="s">
        <v>1079</v>
      </c>
      <c r="H655" s="6" t="s">
        <v>1001</v>
      </c>
      <c r="I655" s="6" t="s">
        <v>14</v>
      </c>
      <c r="J655" s="6" t="s">
        <v>3759</v>
      </c>
      <c r="K655" s="6">
        <v>14324556</v>
      </c>
      <c r="L655" s="7" t="s">
        <v>1493</v>
      </c>
      <c r="M655" s="8" t="s">
        <v>1494</v>
      </c>
      <c r="N655" s="8" t="str">
        <f t="shared" si="51"/>
        <v>PEN</v>
      </c>
      <c r="O655" s="13"/>
      <c r="P655" s="13">
        <v>35</v>
      </c>
      <c r="Q655" s="3">
        <f t="shared" si="52"/>
        <v>0</v>
      </c>
      <c r="R655" s="3">
        <f t="shared" si="53"/>
        <v>35</v>
      </c>
      <c r="S655" s="3">
        <f t="shared" si="54"/>
        <v>97732.809999999983</v>
      </c>
      <c r="T655" s="24" t="s">
        <v>1081</v>
      </c>
      <c r="U655" s="24" t="s">
        <v>1081</v>
      </c>
      <c r="V655" s="67"/>
      <c r="W655" s="25">
        <f>IFERROR(VLOOKUP(BCP_Soles[[#This Row],[DESTINATARIO]],CHOOSE({1,2},Clientes_Proveedores[Razon Social],Clientes_Proveedores[Ruc / Dni]),2,0),"")</f>
        <v>20100047218</v>
      </c>
      <c r="X655" s="25" t="s">
        <v>1078</v>
      </c>
      <c r="Y655" s="25"/>
      <c r="Z655" s="25"/>
      <c r="AA655" s="99"/>
      <c r="AB655" s="3" t="str">
        <f>IF(BCP_Soles[[#This Row],[FECHA]]&gt;0,TEXT(BCP_Soles[[#This Row],[FECHA]],"mmmm"),0)</f>
        <v>Febrero</v>
      </c>
    </row>
    <row r="656" spans="2:28" ht="36" x14ac:dyDescent="0.3">
      <c r="B656" s="2">
        <f>IF(BCP_Soles[[#This Row],[TIPO DE R.]]="R",COUNTIFS($D$4:$D655,"R")+1,"")</f>
        <v>511</v>
      </c>
      <c r="C656" s="19" t="str">
        <f t="shared" si="50"/>
        <v>B-BCP - Soles</v>
      </c>
      <c r="D656" s="3" t="s">
        <v>1074</v>
      </c>
      <c r="E656" s="14">
        <v>45716</v>
      </c>
      <c r="F656" s="5" t="s">
        <v>1082</v>
      </c>
      <c r="G656" s="5" t="s">
        <v>1079</v>
      </c>
      <c r="H656" s="6" t="s">
        <v>656</v>
      </c>
      <c r="I656" s="6" t="s">
        <v>14</v>
      </c>
      <c r="J656" s="6" t="s">
        <v>1119</v>
      </c>
      <c r="K656" s="6">
        <v>39630</v>
      </c>
      <c r="L656" s="7" t="s">
        <v>1818</v>
      </c>
      <c r="M656" s="8">
        <v>1338643</v>
      </c>
      <c r="N656" s="8" t="str">
        <f t="shared" si="51"/>
        <v>PEN</v>
      </c>
      <c r="O656" s="13"/>
      <c r="P656" s="13">
        <v>145</v>
      </c>
      <c r="Q656" s="3">
        <f t="shared" si="52"/>
        <v>0</v>
      </c>
      <c r="R656" s="3">
        <f t="shared" si="53"/>
        <v>145</v>
      </c>
      <c r="S656" s="3">
        <f t="shared" si="54"/>
        <v>97587.809999999983</v>
      </c>
      <c r="T656" s="24" t="s">
        <v>1081</v>
      </c>
      <c r="U656" s="24" t="s">
        <v>1081</v>
      </c>
      <c r="V656" s="67"/>
      <c r="W656" s="25">
        <f>IFERROR(VLOOKUP(BCP_Soles[[#This Row],[DESTINATARIO]],CHOOSE({1,2},Clientes_Proveedores[Razon Social],Clientes_Proveedores[Ruc / Dni]),2,0),"")</f>
        <v>20514464881</v>
      </c>
      <c r="X656" s="25" t="s">
        <v>656</v>
      </c>
      <c r="Y656" s="25" t="s">
        <v>1819</v>
      </c>
      <c r="Z656" s="25"/>
      <c r="AA656" s="99"/>
      <c r="AB656" s="3" t="str">
        <f>IF(BCP_Soles[[#This Row],[FECHA]]&gt;0,TEXT(BCP_Soles[[#This Row],[FECHA]],"mmmm"),0)</f>
        <v>Febrero</v>
      </c>
    </row>
    <row r="657" spans="2:28" ht="24" x14ac:dyDescent="0.3">
      <c r="B657" s="2">
        <f>IF(BCP_Soles[[#This Row],[TIPO DE R.]]="R",COUNTIFS($D$4:$D656,"R")+1,"")</f>
        <v>512</v>
      </c>
      <c r="C657" s="19" t="str">
        <f t="shared" si="50"/>
        <v>B-BCP - Soles</v>
      </c>
      <c r="D657" s="3" t="s">
        <v>1074</v>
      </c>
      <c r="E657" s="14">
        <v>45716</v>
      </c>
      <c r="F657" s="5" t="s">
        <v>1082</v>
      </c>
      <c r="G657" s="5" t="s">
        <v>1079</v>
      </c>
      <c r="H657" s="6" t="s">
        <v>731</v>
      </c>
      <c r="I657" s="6" t="s">
        <v>87</v>
      </c>
      <c r="J657" s="6">
        <v>1</v>
      </c>
      <c r="K657" s="6">
        <v>162025</v>
      </c>
      <c r="L657" s="7" t="s">
        <v>1820</v>
      </c>
      <c r="M657" s="8">
        <v>1340111</v>
      </c>
      <c r="N657" s="8" t="str">
        <f t="shared" si="51"/>
        <v>PEN</v>
      </c>
      <c r="O657" s="13"/>
      <c r="P657" s="13">
        <v>180</v>
      </c>
      <c r="Q657" s="3">
        <f t="shared" si="52"/>
        <v>0</v>
      </c>
      <c r="R657" s="3">
        <f t="shared" si="53"/>
        <v>180</v>
      </c>
      <c r="S657" s="3">
        <f t="shared" si="54"/>
        <v>97407.809999999983</v>
      </c>
      <c r="T657" s="24" t="s">
        <v>1081</v>
      </c>
      <c r="U657" s="24" t="s">
        <v>1081</v>
      </c>
      <c r="V657" s="67"/>
      <c r="W657" s="25">
        <f>IFERROR(VLOOKUP(BCP_Soles[[#This Row],[DESTINATARIO]],CHOOSE({1,2},Clientes_Proveedores[Razon Social],Clientes_Proveedores[Ruc / Dni]),2,0),"")</f>
        <v>72169020</v>
      </c>
      <c r="X657" s="25"/>
      <c r="Y657" s="25"/>
      <c r="Z657" s="25"/>
      <c r="AA657" s="99"/>
      <c r="AB657" s="3" t="str">
        <f>IF(BCP_Soles[[#This Row],[FECHA]]&gt;0,TEXT(BCP_Soles[[#This Row],[FECHA]],"mmmm"),0)</f>
        <v>Febrero</v>
      </c>
    </row>
    <row r="658" spans="2:28" ht="48" x14ac:dyDescent="0.3">
      <c r="B658" s="2">
        <f>IF(BCP_Soles[[#This Row],[TIPO DE R.]]="R",COUNTIFS($D$4:$D657,"R")+1,"")</f>
        <v>513</v>
      </c>
      <c r="C658" s="19" t="str">
        <f t="shared" si="50"/>
        <v>B-BCP - Soles</v>
      </c>
      <c r="D658" s="3" t="s">
        <v>1074</v>
      </c>
      <c r="E658" s="14">
        <v>45716</v>
      </c>
      <c r="F658" s="5" t="s">
        <v>1163</v>
      </c>
      <c r="G658" s="5" t="s">
        <v>1079</v>
      </c>
      <c r="H658" s="6" t="s">
        <v>657</v>
      </c>
      <c r="I658" s="6" t="s">
        <v>14</v>
      </c>
      <c r="J658" s="6" t="s">
        <v>1821</v>
      </c>
      <c r="K658" s="6">
        <v>68</v>
      </c>
      <c r="L658" s="7" t="s">
        <v>1822</v>
      </c>
      <c r="M658" s="8">
        <v>1365319</v>
      </c>
      <c r="N658" s="8" t="str">
        <f t="shared" si="51"/>
        <v>PEN</v>
      </c>
      <c r="O658" s="13"/>
      <c r="P658" s="13">
        <v>400</v>
      </c>
      <c r="Q658" s="3">
        <f t="shared" si="52"/>
        <v>0</v>
      </c>
      <c r="R658" s="3">
        <f t="shared" si="53"/>
        <v>400</v>
      </c>
      <c r="S658" s="3">
        <f t="shared" si="54"/>
        <v>97007.809999999983</v>
      </c>
      <c r="T658" s="24" t="s">
        <v>1081</v>
      </c>
      <c r="U658" s="24" t="s">
        <v>1081</v>
      </c>
      <c r="V658" s="67"/>
      <c r="W658" s="25">
        <f>IFERROR(VLOOKUP(BCP_Soles[[#This Row],[DESTINATARIO]],CHOOSE({1,2},Clientes_Proveedores[Razon Social],Clientes_Proveedores[Ruc / Dni]),2,0),"")</f>
        <v>20555236817</v>
      </c>
      <c r="X658" s="25" t="s">
        <v>1823</v>
      </c>
      <c r="Y658" s="25" t="s">
        <v>1824</v>
      </c>
      <c r="Z658" s="25"/>
      <c r="AA658" s="99"/>
      <c r="AB658" s="3" t="str">
        <f>IF(BCP_Soles[[#This Row],[FECHA]]&gt;0,TEXT(BCP_Soles[[#This Row],[FECHA]],"mmmm"),0)</f>
        <v>Febrero</v>
      </c>
    </row>
    <row r="659" spans="2:28" ht="24" x14ac:dyDescent="0.3">
      <c r="B659" s="2">
        <f>IF(BCP_Soles[[#This Row],[TIPO DE R.]]="R",COUNTIFS($D$4:$D658,"R")+1,"")</f>
        <v>514</v>
      </c>
      <c r="C659" s="19" t="str">
        <f t="shared" si="50"/>
        <v>B-BCP - Soles</v>
      </c>
      <c r="D659" s="3" t="s">
        <v>1074</v>
      </c>
      <c r="E659" s="14">
        <v>45716</v>
      </c>
      <c r="F659" s="5" t="s">
        <v>1082</v>
      </c>
      <c r="G659" s="5" t="s">
        <v>1079</v>
      </c>
      <c r="H659" s="6" t="s">
        <v>525</v>
      </c>
      <c r="I659" s="6" t="s">
        <v>14</v>
      </c>
      <c r="J659" s="6" t="s">
        <v>1121</v>
      </c>
      <c r="K659" s="6">
        <v>670</v>
      </c>
      <c r="L659" s="7" t="s">
        <v>1825</v>
      </c>
      <c r="M659" s="8">
        <v>1339618</v>
      </c>
      <c r="N659" s="8" t="str">
        <f t="shared" si="51"/>
        <v>PEN</v>
      </c>
      <c r="O659" s="13"/>
      <c r="P659" s="13">
        <v>645.01</v>
      </c>
      <c r="Q659" s="3">
        <f t="shared" si="52"/>
        <v>0</v>
      </c>
      <c r="R659" s="3">
        <f t="shared" si="53"/>
        <v>645.01</v>
      </c>
      <c r="S659" s="3">
        <f t="shared" si="54"/>
        <v>96362.799999999988</v>
      </c>
      <c r="T659" s="24" t="s">
        <v>1081</v>
      </c>
      <c r="U659" s="24" t="s">
        <v>1081</v>
      </c>
      <c r="V659" s="67"/>
      <c r="W659" s="25">
        <f>IFERROR(VLOOKUP(BCP_Soles[[#This Row],[DESTINATARIO]],CHOOSE({1,2},Clientes_Proveedores[Razon Social],Clientes_Proveedores[Ruc / Dni]),2,0),"")</f>
        <v>20609155303</v>
      </c>
      <c r="X659" s="25" t="s">
        <v>1632</v>
      </c>
      <c r="Y659" s="25" t="s">
        <v>1826</v>
      </c>
      <c r="Z659" s="25"/>
      <c r="AA659" s="99"/>
      <c r="AB659" s="3" t="str">
        <f>IF(BCP_Soles[[#This Row],[FECHA]]&gt;0,TEXT(BCP_Soles[[#This Row],[FECHA]],"mmmm"),0)</f>
        <v>Febrero</v>
      </c>
    </row>
    <row r="660" spans="2:28" x14ac:dyDescent="0.3">
      <c r="B660" s="2">
        <f>IF(BCP_Soles[[#This Row],[TIPO DE R.]]="R",COUNTIFS($D$4:$D659,"R")+1,"")</f>
        <v>515</v>
      </c>
      <c r="C660" s="19" t="str">
        <f t="shared" si="50"/>
        <v>B-BCP - Soles</v>
      </c>
      <c r="D660" s="3" t="s">
        <v>1074</v>
      </c>
      <c r="E660" s="14">
        <v>45716</v>
      </c>
      <c r="F660" s="5" t="s">
        <v>1082</v>
      </c>
      <c r="G660" s="5" t="s">
        <v>1079</v>
      </c>
      <c r="H660" s="6"/>
      <c r="I660" s="6"/>
      <c r="J660" s="6"/>
      <c r="K660" s="6"/>
      <c r="L660" s="7" t="s">
        <v>1827</v>
      </c>
      <c r="M660" s="8">
        <v>1000937</v>
      </c>
      <c r="N660" s="8" t="str">
        <f t="shared" si="51"/>
        <v>PEN</v>
      </c>
      <c r="O660" s="13"/>
      <c r="P660" s="13">
        <v>866</v>
      </c>
      <c r="Q660" s="3">
        <f t="shared" si="52"/>
        <v>0</v>
      </c>
      <c r="R660" s="3">
        <f t="shared" si="53"/>
        <v>866</v>
      </c>
      <c r="S660" s="3">
        <f t="shared" si="54"/>
        <v>95496.799999999988</v>
      </c>
      <c r="T660" s="24"/>
      <c r="U660" s="24"/>
      <c r="V660" s="67"/>
      <c r="W660" s="25" t="str">
        <f>IFERROR(VLOOKUP(BCP_Soles[[#This Row],[DESTINATARIO]],CHOOSE({1,2},Clientes_Proveedores[Razon Social],Clientes_Proveedores[Ruc / Dni]),2,0),"")</f>
        <v/>
      </c>
      <c r="X660" s="25" t="s">
        <v>1133</v>
      </c>
      <c r="Y660" s="25"/>
      <c r="Z660" s="25"/>
      <c r="AA660" s="99"/>
      <c r="AB660" s="3" t="str">
        <f>IF(BCP_Soles[[#This Row],[FECHA]]&gt;0,TEXT(BCP_Soles[[#This Row],[FECHA]],"mmmm"),0)</f>
        <v>Febrero</v>
      </c>
    </row>
    <row r="661" spans="2:28" x14ac:dyDescent="0.3">
      <c r="B661" s="2">
        <f>IF(BCP_Soles[[#This Row],[TIPO DE R.]]="R",COUNTIFS($D$4:$D660,"R")+1,"")</f>
        <v>516</v>
      </c>
      <c r="C661" s="19" t="str">
        <f t="shared" si="50"/>
        <v>B-BCP - Soles</v>
      </c>
      <c r="D661" s="3" t="s">
        <v>1074</v>
      </c>
      <c r="E661" s="14">
        <v>45716</v>
      </c>
      <c r="F661" s="5" t="s">
        <v>1082</v>
      </c>
      <c r="G661" s="5" t="s">
        <v>1079</v>
      </c>
      <c r="H661" s="6"/>
      <c r="I661" s="6"/>
      <c r="J661" s="6"/>
      <c r="K661" s="6"/>
      <c r="L661" s="7" t="s">
        <v>1828</v>
      </c>
      <c r="M661" s="8">
        <v>339617</v>
      </c>
      <c r="N661" s="8" t="str">
        <f t="shared" si="51"/>
        <v>PEN</v>
      </c>
      <c r="O661" s="13"/>
      <c r="P661" s="13">
        <v>1008.2</v>
      </c>
      <c r="Q661" s="3">
        <f t="shared" si="52"/>
        <v>0</v>
      </c>
      <c r="R661" s="3">
        <f t="shared" si="53"/>
        <v>1008.2</v>
      </c>
      <c r="S661" s="3">
        <f t="shared" si="54"/>
        <v>94488.599999999991</v>
      </c>
      <c r="T661" s="24"/>
      <c r="U661" s="24"/>
      <c r="V661" s="67"/>
      <c r="W661" s="25" t="str">
        <f>IFERROR(VLOOKUP(BCP_Soles[[#This Row],[DESTINATARIO]],CHOOSE({1,2},Clientes_Proveedores[Razon Social],Clientes_Proveedores[Ruc / Dni]),2,0),"")</f>
        <v/>
      </c>
      <c r="X661" s="25" t="s">
        <v>1456</v>
      </c>
      <c r="Y661" s="25"/>
      <c r="Z661" s="25"/>
      <c r="AA661" s="99"/>
      <c r="AB661" s="3" t="str">
        <f>IF(BCP_Soles[[#This Row],[FECHA]]&gt;0,TEXT(BCP_Soles[[#This Row],[FECHA]],"mmmm"),0)</f>
        <v>Febrero</v>
      </c>
    </row>
    <row r="662" spans="2:28" x14ac:dyDescent="0.3">
      <c r="B662" s="2">
        <f>IF(BCP_Soles[[#This Row],[TIPO DE R.]]="R",COUNTIFS($D$4:$D661,"R")+1,"")</f>
        <v>517</v>
      </c>
      <c r="C662" s="19" t="str">
        <f t="shared" si="50"/>
        <v>B-BCP - Soles</v>
      </c>
      <c r="D662" s="3" t="s">
        <v>1074</v>
      </c>
      <c r="E662" s="14">
        <v>45716</v>
      </c>
      <c r="F662" s="5" t="s">
        <v>1082</v>
      </c>
      <c r="G662" s="5" t="s">
        <v>1079</v>
      </c>
      <c r="H662" s="6"/>
      <c r="I662" s="6"/>
      <c r="J662" s="6"/>
      <c r="K662" s="6"/>
      <c r="L662" s="7" t="s">
        <v>1829</v>
      </c>
      <c r="M662" s="8">
        <v>336776</v>
      </c>
      <c r="N662" s="8" t="str">
        <f t="shared" si="51"/>
        <v>PEN</v>
      </c>
      <c r="O662" s="13"/>
      <c r="P662" s="13">
        <v>1011.98</v>
      </c>
      <c r="Q662" s="3">
        <f t="shared" si="52"/>
        <v>0</v>
      </c>
      <c r="R662" s="3">
        <f t="shared" si="53"/>
        <v>1011.98</v>
      </c>
      <c r="S662" s="3">
        <f t="shared" si="54"/>
        <v>93476.62</v>
      </c>
      <c r="T662" s="24"/>
      <c r="U662" s="24"/>
      <c r="V662" s="67"/>
      <c r="W662" s="25" t="str">
        <f>IFERROR(VLOOKUP(BCP_Soles[[#This Row],[DESTINATARIO]],CHOOSE({1,2},Clientes_Proveedores[Razon Social],Clientes_Proveedores[Ruc / Dni]),2,0),"")</f>
        <v/>
      </c>
      <c r="X662" s="25" t="s">
        <v>1456</v>
      </c>
      <c r="Y662" s="25"/>
      <c r="Z662" s="25"/>
      <c r="AA662" s="99"/>
      <c r="AB662" s="3" t="str">
        <f>IF(BCP_Soles[[#This Row],[FECHA]]&gt;0,TEXT(BCP_Soles[[#This Row],[FECHA]],"mmmm"),0)</f>
        <v>Febrero</v>
      </c>
    </row>
    <row r="663" spans="2:28" ht="36" x14ac:dyDescent="0.3">
      <c r="B663" s="2">
        <f>IF(BCP_Soles[[#This Row],[TIPO DE R.]]="R",COUNTIFS($D$4:$D662,"R")+1,"")</f>
        <v>518</v>
      </c>
      <c r="C663" s="19" t="str">
        <f t="shared" si="50"/>
        <v>B-BCP - Soles</v>
      </c>
      <c r="D663" s="3" t="s">
        <v>1074</v>
      </c>
      <c r="E663" s="14">
        <v>45716</v>
      </c>
      <c r="F663" s="5" t="s">
        <v>1082</v>
      </c>
      <c r="G663" s="5" t="s">
        <v>1079</v>
      </c>
      <c r="H663" s="6" t="s">
        <v>438</v>
      </c>
      <c r="I663" s="6" t="s">
        <v>14</v>
      </c>
      <c r="J663" s="6" t="s">
        <v>1121</v>
      </c>
      <c r="K663" s="6">
        <v>3741</v>
      </c>
      <c r="L663" s="7" t="s">
        <v>1830</v>
      </c>
      <c r="M663" s="8">
        <v>1337198</v>
      </c>
      <c r="N663" s="8" t="str">
        <f t="shared" si="51"/>
        <v>PEN</v>
      </c>
      <c r="O663" s="13"/>
      <c r="P663" s="13">
        <v>1152</v>
      </c>
      <c r="Q663" s="3">
        <f t="shared" si="52"/>
        <v>0</v>
      </c>
      <c r="R663" s="3">
        <f t="shared" si="53"/>
        <v>1152</v>
      </c>
      <c r="S663" s="3">
        <f t="shared" si="54"/>
        <v>92324.62</v>
      </c>
      <c r="T663" s="24" t="s">
        <v>1081</v>
      </c>
      <c r="U663" s="24" t="s">
        <v>1081</v>
      </c>
      <c r="V663" s="67"/>
      <c r="W663" s="25">
        <f>IFERROR(VLOOKUP(BCP_Soles[[#This Row],[DESTINATARIO]],CHOOSE({1,2},Clientes_Proveedores[Razon Social],Clientes_Proveedores[Ruc / Dni]),2,0),"")</f>
        <v>20602778861</v>
      </c>
      <c r="X663" s="25" t="s">
        <v>438</v>
      </c>
      <c r="Y663" s="25" t="s">
        <v>1831</v>
      </c>
      <c r="Z663" s="25"/>
      <c r="AA663" s="99"/>
      <c r="AB663" s="3" t="str">
        <f>IF(BCP_Soles[[#This Row],[FECHA]]&gt;0,TEXT(BCP_Soles[[#This Row],[FECHA]],"mmmm"),0)</f>
        <v>Febrero</v>
      </c>
    </row>
    <row r="664" spans="2:28" x14ac:dyDescent="0.3">
      <c r="B664" s="2">
        <f>IF(BCP_Soles[[#This Row],[TIPO DE R.]]="R",COUNTIFS($D$4:$D663,"R")+1,"")</f>
        <v>519</v>
      </c>
      <c r="C664" s="19" t="str">
        <f t="shared" si="50"/>
        <v>B-BCP - Soles</v>
      </c>
      <c r="D664" s="3" t="s">
        <v>1074</v>
      </c>
      <c r="E664" s="14">
        <v>45716</v>
      </c>
      <c r="F664" s="5" t="s">
        <v>1082</v>
      </c>
      <c r="G664" s="5" t="s">
        <v>1079</v>
      </c>
      <c r="H664" s="6" t="s">
        <v>637</v>
      </c>
      <c r="I664" s="6" t="s">
        <v>14</v>
      </c>
      <c r="J664" s="6" t="s">
        <v>1122</v>
      </c>
      <c r="K664" s="6">
        <v>149176</v>
      </c>
      <c r="L664" s="7" t="s">
        <v>1123</v>
      </c>
      <c r="M664" s="8">
        <v>339619</v>
      </c>
      <c r="N664" s="8" t="str">
        <f t="shared" si="51"/>
        <v>PEN</v>
      </c>
      <c r="O664" s="13"/>
      <c r="P664" s="13">
        <v>1716.42</v>
      </c>
      <c r="Q664" s="3">
        <f t="shared" si="52"/>
        <v>0</v>
      </c>
      <c r="R664" s="3">
        <f t="shared" si="53"/>
        <v>1716.42</v>
      </c>
      <c r="S664" s="3">
        <f t="shared" si="54"/>
        <v>90608.2</v>
      </c>
      <c r="T664" s="24" t="s">
        <v>1081</v>
      </c>
      <c r="U664" s="24" t="s">
        <v>1081</v>
      </c>
      <c r="V664" s="67"/>
      <c r="W664" s="25">
        <f>IFERROR(VLOOKUP(BCP_Soles[[#This Row],[DESTINATARIO]],CHOOSE({1,2},Clientes_Proveedores[Razon Social],Clientes_Proveedores[Ruc / Dni]),2,0),"")</f>
        <v>20127765279</v>
      </c>
      <c r="X664" s="25" t="s">
        <v>1124</v>
      </c>
      <c r="Y664" s="25" t="s">
        <v>1832</v>
      </c>
      <c r="Z664" s="25"/>
      <c r="AA664" s="99"/>
      <c r="AB664" s="3" t="str">
        <f>IF(BCP_Soles[[#This Row],[FECHA]]&gt;0,TEXT(BCP_Soles[[#This Row],[FECHA]],"mmmm"),0)</f>
        <v>Febrero</v>
      </c>
    </row>
    <row r="665" spans="2:28" x14ac:dyDescent="0.3">
      <c r="B665" s="2">
        <f>IF(BCP_Soles[[#This Row],[TIPO DE R.]]="R",COUNTIFS($D$4:$D664,"R")+1,"")</f>
        <v>520</v>
      </c>
      <c r="C665" s="19" t="str">
        <f t="shared" si="50"/>
        <v>B-BCP - Soles</v>
      </c>
      <c r="D665" s="3" t="s">
        <v>1074</v>
      </c>
      <c r="E665" s="14">
        <v>45716</v>
      </c>
      <c r="F665" s="5" t="s">
        <v>1082</v>
      </c>
      <c r="G665" s="5" t="s">
        <v>1079</v>
      </c>
      <c r="H665" s="6" t="s">
        <v>637</v>
      </c>
      <c r="I665" s="6" t="s">
        <v>14</v>
      </c>
      <c r="J665" s="6" t="s">
        <v>1253</v>
      </c>
      <c r="K665" s="6">
        <v>148068</v>
      </c>
      <c r="L665" s="7" t="s">
        <v>1123</v>
      </c>
      <c r="M665" s="8">
        <v>337679</v>
      </c>
      <c r="N665" s="8" t="str">
        <f t="shared" si="51"/>
        <v>PEN</v>
      </c>
      <c r="O665" s="13"/>
      <c r="P665" s="13">
        <v>3805.2</v>
      </c>
      <c r="Q665" s="3">
        <f t="shared" si="52"/>
        <v>0</v>
      </c>
      <c r="R665" s="3">
        <f t="shared" si="53"/>
        <v>3805.2</v>
      </c>
      <c r="S665" s="3">
        <f t="shared" si="54"/>
        <v>86803</v>
      </c>
      <c r="T665" s="24" t="s">
        <v>1081</v>
      </c>
      <c r="U665" s="24" t="s">
        <v>1081</v>
      </c>
      <c r="V665" s="67"/>
      <c r="W665" s="25">
        <f>IFERROR(VLOOKUP(BCP_Soles[[#This Row],[DESTINATARIO]],CHOOSE({1,2},Clientes_Proveedores[Razon Social],Clientes_Proveedores[Ruc / Dni]),2,0),"")</f>
        <v>20127765279</v>
      </c>
      <c r="X665" s="25" t="s">
        <v>1124</v>
      </c>
      <c r="Y665" s="25" t="s">
        <v>1833</v>
      </c>
      <c r="Z665" s="25"/>
      <c r="AA665" s="99"/>
      <c r="AB665" s="3" t="str">
        <f>IF(BCP_Soles[[#This Row],[FECHA]]&gt;0,TEXT(BCP_Soles[[#This Row],[FECHA]],"mmmm"),0)</f>
        <v>Febrero</v>
      </c>
    </row>
    <row r="666" spans="2:28" x14ac:dyDescent="0.3">
      <c r="B666" s="2">
        <f>IF(BCP_Soles[[#This Row],[TIPO DE R.]]="R",COUNTIFS($D$4:$D665,"R")+1,"")</f>
        <v>521</v>
      </c>
      <c r="C666" s="19" t="str">
        <f t="shared" si="50"/>
        <v>B-BCP - Soles</v>
      </c>
      <c r="D666" s="3" t="s">
        <v>1074</v>
      </c>
      <c r="E666" s="14">
        <v>45716</v>
      </c>
      <c r="F666" s="5" t="s">
        <v>1726</v>
      </c>
      <c r="G666" s="5" t="s">
        <v>1079</v>
      </c>
      <c r="H666" s="6"/>
      <c r="I666" s="6"/>
      <c r="J666" s="6"/>
      <c r="K666" s="6"/>
      <c r="L666" s="7" t="s">
        <v>1834</v>
      </c>
      <c r="M666" s="8">
        <v>1011321</v>
      </c>
      <c r="N666" s="8" t="str">
        <f t="shared" si="51"/>
        <v>PEN</v>
      </c>
      <c r="O666" s="13"/>
      <c r="P666" s="13">
        <v>4245</v>
      </c>
      <c r="Q666" s="3">
        <f t="shared" si="52"/>
        <v>0</v>
      </c>
      <c r="R666" s="3">
        <f t="shared" si="53"/>
        <v>4245</v>
      </c>
      <c r="S666" s="3">
        <f t="shared" si="54"/>
        <v>82558</v>
      </c>
      <c r="T666" s="24"/>
      <c r="U666" s="24"/>
      <c r="V666" s="67"/>
      <c r="W666" s="25" t="str">
        <f>IFERROR(VLOOKUP(BCP_Soles[[#This Row],[DESTINATARIO]],CHOOSE({1,2},Clientes_Proveedores[Razon Social],Clientes_Proveedores[Ruc / Dni]),2,0),"")</f>
        <v/>
      </c>
      <c r="X666" s="25" t="s">
        <v>1133</v>
      </c>
      <c r="Y666" s="25"/>
      <c r="Z666" s="25"/>
      <c r="AA666" s="99"/>
      <c r="AB666" s="3" t="str">
        <f>IF(BCP_Soles[[#This Row],[FECHA]]&gt;0,TEXT(BCP_Soles[[#This Row],[FECHA]],"mmmm"),0)</f>
        <v>Febrero</v>
      </c>
    </row>
    <row r="667" spans="2:28" x14ac:dyDescent="0.3">
      <c r="B667" s="2">
        <f>IF(BCP_Soles[[#This Row],[TIPO DE R.]]="R",COUNTIFS($D$4:$D666,"R")+1,"")</f>
        <v>522</v>
      </c>
      <c r="C667" s="19" t="str">
        <f t="shared" si="50"/>
        <v>B-BCP - Soles</v>
      </c>
      <c r="D667" s="3" t="s">
        <v>1074</v>
      </c>
      <c r="E667" s="14">
        <v>45716</v>
      </c>
      <c r="F667" s="5" t="s">
        <v>1082</v>
      </c>
      <c r="G667" s="5" t="s">
        <v>1079</v>
      </c>
      <c r="H667" s="6"/>
      <c r="I667" s="6"/>
      <c r="J667" s="6"/>
      <c r="K667" s="6"/>
      <c r="L667" s="7" t="s">
        <v>1835</v>
      </c>
      <c r="M667" s="8">
        <v>7837407</v>
      </c>
      <c r="N667" s="8" t="str">
        <f t="shared" si="51"/>
        <v>PEN</v>
      </c>
      <c r="O667" s="13"/>
      <c r="P667" s="13">
        <v>71573.25</v>
      </c>
      <c r="Q667" s="3">
        <f t="shared" si="52"/>
        <v>0</v>
      </c>
      <c r="R667" s="3">
        <f t="shared" si="53"/>
        <v>71573.25</v>
      </c>
      <c r="S667" s="3">
        <f t="shared" si="54"/>
        <v>10984.75</v>
      </c>
      <c r="T667" s="24"/>
      <c r="U667" s="24"/>
      <c r="V667" s="67"/>
      <c r="W667" s="25" t="str">
        <f>IFERROR(VLOOKUP(BCP_Soles[[#This Row],[DESTINATARIO]],CHOOSE({1,2},Clientes_Proveedores[Razon Social],Clientes_Proveedores[Ruc / Dni]),2,0),"")</f>
        <v/>
      </c>
      <c r="X667" s="25" t="s">
        <v>1118</v>
      </c>
      <c r="Y667" s="25"/>
      <c r="Z667" s="25"/>
      <c r="AA667" s="99"/>
      <c r="AB667" s="3" t="str">
        <f>IF(BCP_Soles[[#This Row],[FECHA]]&gt;0,TEXT(BCP_Soles[[#This Row],[FECHA]],"mmmm"),0)</f>
        <v>Febrero</v>
      </c>
    </row>
    <row r="668" spans="2:28" x14ac:dyDescent="0.3">
      <c r="B668" s="2">
        <f>IF(BCP_Soles[[#This Row],[TIPO DE R.]]="R",COUNTIFS($D$4:$D667,"R")+1,"")</f>
        <v>523</v>
      </c>
      <c r="C668" s="19" t="str">
        <f t="shared" si="50"/>
        <v>B-BCP - Soles</v>
      </c>
      <c r="D668" s="3" t="s">
        <v>1074</v>
      </c>
      <c r="E668" s="14">
        <v>45717</v>
      </c>
      <c r="F668" s="5" t="s">
        <v>1078</v>
      </c>
      <c r="G668" s="5" t="s">
        <v>1087</v>
      </c>
      <c r="H668" s="6"/>
      <c r="I668" s="6"/>
      <c r="J668" s="6"/>
      <c r="K668" s="6"/>
      <c r="L668" s="7" t="s">
        <v>1836</v>
      </c>
      <c r="M668" s="8"/>
      <c r="N668" s="8" t="str">
        <f t="shared" si="51"/>
        <v>PEN</v>
      </c>
      <c r="O668" s="13"/>
      <c r="P668" s="13">
        <v>0.05</v>
      </c>
      <c r="Q668" s="3">
        <f t="shared" si="52"/>
        <v>0.05</v>
      </c>
      <c r="R668" s="3">
        <f t="shared" si="53"/>
        <v>0</v>
      </c>
      <c r="S668" s="3">
        <f t="shared" si="54"/>
        <v>10984.8</v>
      </c>
      <c r="T668" s="24"/>
      <c r="U668" s="24"/>
      <c r="V668" s="67"/>
      <c r="W668" s="25" t="str">
        <f>IFERROR(VLOOKUP(BCP_Soles[[#This Row],[DESTINATARIO]],CHOOSE({1,2},Clientes_Proveedores[Razon Social],Clientes_Proveedores[Ruc / Dni]),2,0),"")</f>
        <v/>
      </c>
      <c r="X668" s="25" t="s">
        <v>1090</v>
      </c>
      <c r="Y668" s="25"/>
      <c r="Z668" s="25"/>
      <c r="AA668" s="99"/>
      <c r="AB668" s="3" t="str">
        <f>IF(BCP_Soles[[#This Row],[FECHA]]&gt;0,TEXT(BCP_Soles[[#This Row],[FECHA]],"mmmm"),0)</f>
        <v>Marzo</v>
      </c>
    </row>
    <row r="669" spans="2:28" ht="36" x14ac:dyDescent="0.3">
      <c r="B669" s="2">
        <f>IF(BCP_Soles[[#This Row],[TIPO DE R.]]="R",COUNTIFS($D$4:$D668,"R")+1,"")</f>
        <v>524</v>
      </c>
      <c r="C669" s="19" t="str">
        <f t="shared" si="50"/>
        <v>B-BCP - Soles</v>
      </c>
      <c r="D669" s="3" t="s">
        <v>1074</v>
      </c>
      <c r="E669" s="14">
        <v>45719</v>
      </c>
      <c r="F669" s="5" t="s">
        <v>180</v>
      </c>
      <c r="G669" s="5" t="s">
        <v>1087</v>
      </c>
      <c r="H669" s="6"/>
      <c r="I669" s="6"/>
      <c r="J669" s="6"/>
      <c r="K669" s="6"/>
      <c r="L669" s="7" t="s">
        <v>1127</v>
      </c>
      <c r="M669" s="8">
        <v>26694</v>
      </c>
      <c r="N669" s="8" t="str">
        <f t="shared" si="51"/>
        <v>PEN</v>
      </c>
      <c r="O669" s="13"/>
      <c r="P669" s="13">
        <v>5673.52</v>
      </c>
      <c r="Q669" s="3">
        <f t="shared" si="52"/>
        <v>5673.52</v>
      </c>
      <c r="R669" s="3">
        <f t="shared" si="53"/>
        <v>0</v>
      </c>
      <c r="S669" s="3">
        <f t="shared" si="54"/>
        <v>16658.32</v>
      </c>
      <c r="T669" s="24" t="s">
        <v>1081</v>
      </c>
      <c r="U669" s="24" t="s">
        <v>1081</v>
      </c>
      <c r="V669" s="67"/>
      <c r="W669" s="25" t="str">
        <f>IFERROR(VLOOKUP(BCP_Soles[[#This Row],[DESTINATARIO]],CHOOSE({1,2},Clientes_Proveedores[Razon Social],Clientes_Proveedores[Ruc / Dni]),2,0),"")</f>
        <v/>
      </c>
      <c r="X669" s="25" t="s">
        <v>1090</v>
      </c>
      <c r="Y669" s="25" t="s">
        <v>1837</v>
      </c>
      <c r="Z669" s="25"/>
      <c r="AA669" s="99"/>
      <c r="AB669" s="3" t="str">
        <f>IF(BCP_Soles[[#This Row],[FECHA]]&gt;0,TEXT(BCP_Soles[[#This Row],[FECHA]],"mmmm"),0)</f>
        <v>Marzo</v>
      </c>
    </row>
    <row r="670" spans="2:28" ht="24" x14ac:dyDescent="0.3">
      <c r="B670" s="2">
        <f>IF(BCP_Soles[[#This Row],[TIPO DE R.]]="R",COUNTIFS($D$4:$D669,"R")+1,"")</f>
        <v>525</v>
      </c>
      <c r="C670" s="19" t="str">
        <f t="shared" si="50"/>
        <v>B-BCP - Soles</v>
      </c>
      <c r="D670" s="3" t="s">
        <v>1074</v>
      </c>
      <c r="E670" s="14">
        <v>45719</v>
      </c>
      <c r="F670" s="5" t="s">
        <v>1838</v>
      </c>
      <c r="G670" s="5" t="s">
        <v>1087</v>
      </c>
      <c r="H670" s="6"/>
      <c r="I670" s="6"/>
      <c r="J670" s="6"/>
      <c r="K670" s="6"/>
      <c r="L670" s="7" t="s">
        <v>1740</v>
      </c>
      <c r="M670" s="8">
        <v>2112655</v>
      </c>
      <c r="N670" s="8" t="str">
        <f t="shared" si="51"/>
        <v>PEN</v>
      </c>
      <c r="O670" s="13"/>
      <c r="P670" s="13">
        <v>7590</v>
      </c>
      <c r="Q670" s="3">
        <f t="shared" si="52"/>
        <v>7590</v>
      </c>
      <c r="R670" s="3">
        <f t="shared" si="53"/>
        <v>0</v>
      </c>
      <c r="S670" s="3">
        <f t="shared" si="54"/>
        <v>24248.32</v>
      </c>
      <c r="T670" s="24" t="s">
        <v>1081</v>
      </c>
      <c r="U670" s="24" t="s">
        <v>1081</v>
      </c>
      <c r="V670" s="67"/>
      <c r="W670" s="25" t="str">
        <f>IFERROR(VLOOKUP(BCP_Soles[[#This Row],[DESTINATARIO]],CHOOSE({1,2},Clientes_Proveedores[Razon Social],Clientes_Proveedores[Ruc / Dni]),2,0),"")</f>
        <v/>
      </c>
      <c r="X670" s="25" t="s">
        <v>1090</v>
      </c>
      <c r="Y670" s="25" t="s">
        <v>1839</v>
      </c>
      <c r="Z670" s="25"/>
      <c r="AA670" s="99"/>
      <c r="AB670" s="3" t="str">
        <f>IF(BCP_Soles[[#This Row],[FECHA]]&gt;0,TEXT(BCP_Soles[[#This Row],[FECHA]],"mmmm"),0)</f>
        <v>Marzo</v>
      </c>
    </row>
    <row r="671" spans="2:28" ht="24" x14ac:dyDescent="0.3">
      <c r="B671" s="2">
        <f>IF(BCP_Soles[[#This Row],[TIPO DE R.]]="R",COUNTIFS($D$4:$D670,"R")+1,"")</f>
        <v>526</v>
      </c>
      <c r="C671" s="19" t="str">
        <f t="shared" si="50"/>
        <v>B-BCP - Soles</v>
      </c>
      <c r="D671" s="3" t="s">
        <v>1074</v>
      </c>
      <c r="E671" s="14">
        <v>45719</v>
      </c>
      <c r="F671" s="5" t="s">
        <v>587</v>
      </c>
      <c r="G671" s="5" t="s">
        <v>1087</v>
      </c>
      <c r="H671" s="6"/>
      <c r="I671" s="6"/>
      <c r="J671" s="6"/>
      <c r="K671" s="6"/>
      <c r="L671" s="7" t="s">
        <v>1740</v>
      </c>
      <c r="M671" s="8">
        <v>2112023</v>
      </c>
      <c r="N671" s="8" t="str">
        <f t="shared" si="51"/>
        <v>PEN</v>
      </c>
      <c r="O671" s="13"/>
      <c r="P671" s="13">
        <v>5060</v>
      </c>
      <c r="Q671" s="3">
        <f t="shared" si="52"/>
        <v>5060</v>
      </c>
      <c r="R671" s="3">
        <f t="shared" si="53"/>
        <v>0</v>
      </c>
      <c r="S671" s="3">
        <f t="shared" si="54"/>
        <v>29308.32</v>
      </c>
      <c r="T671" s="24" t="s">
        <v>1081</v>
      </c>
      <c r="U671" s="24" t="s">
        <v>1081</v>
      </c>
      <c r="V671" s="67"/>
      <c r="W671" s="25" t="str">
        <f>IFERROR(VLOOKUP(BCP_Soles[[#This Row],[DESTINATARIO]],CHOOSE({1,2},Clientes_Proveedores[Razon Social],Clientes_Proveedores[Ruc / Dni]),2,0),"")</f>
        <v/>
      </c>
      <c r="X671" s="25" t="s">
        <v>1090</v>
      </c>
      <c r="Y671" s="25" t="s">
        <v>1840</v>
      </c>
      <c r="Z671" s="25"/>
      <c r="AA671" s="99"/>
      <c r="AB671" s="3" t="str">
        <f>IF(BCP_Soles[[#This Row],[FECHA]]&gt;0,TEXT(BCP_Soles[[#This Row],[FECHA]],"mmmm"),0)</f>
        <v>Marzo</v>
      </c>
    </row>
    <row r="672" spans="2:28" x14ac:dyDescent="0.3">
      <c r="B672" s="2">
        <f>IF(BCP_Soles[[#This Row],[TIPO DE R.]]="R",COUNTIFS($D$4:$D671,"R")+1,"")</f>
        <v>527</v>
      </c>
      <c r="C672" s="19" t="str">
        <f t="shared" si="50"/>
        <v>B-BCP - Soles</v>
      </c>
      <c r="D672" s="3" t="s">
        <v>1074</v>
      </c>
      <c r="E672" s="14">
        <v>45719</v>
      </c>
      <c r="F672" s="5" t="s">
        <v>1078</v>
      </c>
      <c r="G672" s="5" t="s">
        <v>1079</v>
      </c>
      <c r="H672" s="6"/>
      <c r="I672" s="6"/>
      <c r="J672" s="6"/>
      <c r="K672" s="6"/>
      <c r="L672" s="7" t="s">
        <v>1841</v>
      </c>
      <c r="M672" s="8">
        <v>8637699</v>
      </c>
      <c r="N672" s="8" t="str">
        <f t="shared" si="51"/>
        <v>PEN</v>
      </c>
      <c r="O672" s="13"/>
      <c r="P672" s="13">
        <v>7.5</v>
      </c>
      <c r="Q672" s="3">
        <f t="shared" si="52"/>
        <v>0</v>
      </c>
      <c r="R672" s="3">
        <f t="shared" si="53"/>
        <v>7.5</v>
      </c>
      <c r="S672" s="3">
        <f t="shared" si="54"/>
        <v>29300.82</v>
      </c>
      <c r="T672" s="24"/>
      <c r="U672" s="24" t="s">
        <v>1081</v>
      </c>
      <c r="V672" s="67"/>
      <c r="W672" s="25" t="str">
        <f>IFERROR(VLOOKUP(BCP_Soles[[#This Row],[DESTINATARIO]],CHOOSE({1,2},Clientes_Proveedores[Razon Social],Clientes_Proveedores[Ruc / Dni]),2,0),"")</f>
        <v/>
      </c>
      <c r="X672" s="25" t="s">
        <v>1078</v>
      </c>
      <c r="Y672" s="25" t="s">
        <v>1842</v>
      </c>
      <c r="Z672" s="25"/>
      <c r="AA672" s="99"/>
      <c r="AB672" s="3" t="str">
        <f>IF(BCP_Soles[[#This Row],[FECHA]]&gt;0,TEXT(BCP_Soles[[#This Row],[FECHA]],"mmmm"),0)</f>
        <v>Marzo</v>
      </c>
    </row>
    <row r="673" spans="2:28" x14ac:dyDescent="0.3">
      <c r="B673" s="2">
        <f>IF(BCP_Soles[[#This Row],[TIPO DE R.]]="R",COUNTIFS($D$4:$D672,"R")+1,"")</f>
        <v>528</v>
      </c>
      <c r="C673" s="19" t="str">
        <f t="shared" si="50"/>
        <v>B-BCP - Soles</v>
      </c>
      <c r="D673" s="3" t="s">
        <v>1074</v>
      </c>
      <c r="E673" s="14">
        <v>45719</v>
      </c>
      <c r="F673" s="5" t="s">
        <v>1082</v>
      </c>
      <c r="G673" s="5" t="s">
        <v>1079</v>
      </c>
      <c r="H673" s="6"/>
      <c r="I673" s="6"/>
      <c r="J673" s="6"/>
      <c r="K673" s="6"/>
      <c r="L673" s="7" t="s">
        <v>1843</v>
      </c>
      <c r="M673" s="8">
        <v>8637682</v>
      </c>
      <c r="N673" s="8" t="str">
        <f t="shared" si="51"/>
        <v>PEN</v>
      </c>
      <c r="O673" s="13"/>
      <c r="P673" s="13">
        <v>5724.36</v>
      </c>
      <c r="Q673" s="3">
        <f t="shared" si="52"/>
        <v>0</v>
      </c>
      <c r="R673" s="3">
        <f t="shared" si="53"/>
        <v>5724.36</v>
      </c>
      <c r="S673" s="3">
        <f t="shared" si="54"/>
        <v>23576.46</v>
      </c>
      <c r="T673" s="24" t="s">
        <v>1081</v>
      </c>
      <c r="U673" s="24" t="s">
        <v>1081</v>
      </c>
      <c r="V673" s="67"/>
      <c r="W673" s="25" t="str">
        <f>IFERROR(VLOOKUP(BCP_Soles[[#This Row],[DESTINATARIO]],CHOOSE({1,2},Clientes_Proveedores[Razon Social],Clientes_Proveedores[Ruc / Dni]),2,0),"")</f>
        <v/>
      </c>
      <c r="X673" s="25" t="s">
        <v>1118</v>
      </c>
      <c r="Y673" s="25"/>
      <c r="Z673" s="25"/>
      <c r="AA673" s="99"/>
      <c r="AB673" s="3" t="str">
        <f>IF(BCP_Soles[[#This Row],[FECHA]]&gt;0,TEXT(BCP_Soles[[#This Row],[FECHA]],"mmmm"),0)</f>
        <v>Marzo</v>
      </c>
    </row>
    <row r="674" spans="2:28" x14ac:dyDescent="0.3">
      <c r="B674" s="2" t="str">
        <f>IF(BCP_Soles[[#This Row],[TIPO DE R.]]="R",COUNTIFS($D$4:$D673,"R")+1,"")</f>
        <v/>
      </c>
      <c r="C674" s="19" t="str">
        <f t="shared" si="50"/>
        <v>B-BCP - Soles</v>
      </c>
      <c r="D674" s="3" t="s">
        <v>1101</v>
      </c>
      <c r="E674" s="14">
        <v>45719</v>
      </c>
      <c r="F674" s="5" t="s">
        <v>1082</v>
      </c>
      <c r="G674" s="5"/>
      <c r="H674" s="6" t="s">
        <v>245</v>
      </c>
      <c r="I674" s="6" t="s">
        <v>14</v>
      </c>
      <c r="J674" s="6" t="s">
        <v>1119</v>
      </c>
      <c r="K674" s="6">
        <v>18675</v>
      </c>
      <c r="L674" s="7" t="s">
        <v>1843</v>
      </c>
      <c r="M674" s="8">
        <v>8637682</v>
      </c>
      <c r="N674" s="8" t="str">
        <f t="shared" si="51"/>
        <v>PEN</v>
      </c>
      <c r="O674" s="13">
        <v>761.81</v>
      </c>
      <c r="P674" s="13"/>
      <c r="Q674" s="3">
        <f t="shared" si="52"/>
        <v>0</v>
      </c>
      <c r="R674" s="3">
        <f t="shared" si="53"/>
        <v>0</v>
      </c>
      <c r="S674" s="3">
        <f t="shared" si="54"/>
        <v>23576.46</v>
      </c>
      <c r="T674" s="24"/>
      <c r="U674" s="24"/>
      <c r="V674" s="67"/>
      <c r="W674" s="25">
        <f>IFERROR(VLOOKUP(BCP_Soles[[#This Row],[DESTINATARIO]],CHOOSE({1,2},Clientes_Proveedores[Razon Social],Clientes_Proveedores[Ruc / Dni]),2,0),"")</f>
        <v>20455731926</v>
      </c>
      <c r="X674" s="25"/>
      <c r="Y674" s="25"/>
      <c r="Z674" s="25"/>
      <c r="AA674" s="99"/>
      <c r="AB674" s="3" t="str">
        <f>IF(BCP_Soles[[#This Row],[FECHA]]&gt;0,TEXT(BCP_Soles[[#This Row],[FECHA]],"mmmm"),0)</f>
        <v>Marzo</v>
      </c>
    </row>
    <row r="675" spans="2:28" x14ac:dyDescent="0.3">
      <c r="B675" s="2" t="str">
        <f>IF(BCP_Soles[[#This Row],[TIPO DE R.]]="R",COUNTIFS($D$4:$D674,"R")+1,"")</f>
        <v/>
      </c>
      <c r="C675" s="19" t="str">
        <f t="shared" si="50"/>
        <v>B-BCP - Soles</v>
      </c>
      <c r="D675" s="3" t="s">
        <v>1101</v>
      </c>
      <c r="E675" s="14">
        <v>45719</v>
      </c>
      <c r="F675" s="5" t="s">
        <v>1082</v>
      </c>
      <c r="G675" s="5"/>
      <c r="H675" s="6" t="s">
        <v>436</v>
      </c>
      <c r="I675" s="6" t="s">
        <v>14</v>
      </c>
      <c r="J675" s="6" t="s">
        <v>1578</v>
      </c>
      <c r="K675" s="6">
        <v>74</v>
      </c>
      <c r="L675" s="7" t="s">
        <v>1843</v>
      </c>
      <c r="M675" s="8">
        <v>8637682</v>
      </c>
      <c r="N675" s="8" t="str">
        <f t="shared" si="51"/>
        <v>PEN</v>
      </c>
      <c r="O675" s="13">
        <v>558.75</v>
      </c>
      <c r="P675" s="13"/>
      <c r="Q675" s="3">
        <f t="shared" si="52"/>
        <v>0</v>
      </c>
      <c r="R675" s="3">
        <f t="shared" si="53"/>
        <v>0</v>
      </c>
      <c r="S675" s="3">
        <f t="shared" si="54"/>
        <v>23576.46</v>
      </c>
      <c r="T675" s="24"/>
      <c r="U675" s="24"/>
      <c r="V675" s="67"/>
      <c r="W675" s="25">
        <f>IFERROR(VLOOKUP(BCP_Soles[[#This Row],[DESTINATARIO]],CHOOSE({1,2},Clientes_Proveedores[Razon Social],Clientes_Proveedores[Ruc / Dni]),2,0),"")</f>
        <v>20602751326</v>
      </c>
      <c r="X675" s="25"/>
      <c r="Y675" s="25"/>
      <c r="Z675" s="25"/>
      <c r="AA675" s="99"/>
      <c r="AB675" s="3" t="str">
        <f>IF(BCP_Soles[[#This Row],[FECHA]]&gt;0,TEXT(BCP_Soles[[#This Row],[FECHA]],"mmmm"),0)</f>
        <v>Marzo</v>
      </c>
    </row>
    <row r="676" spans="2:28" ht="24" x14ac:dyDescent="0.3">
      <c r="B676" s="2" t="str">
        <f>IF(BCP_Soles[[#This Row],[TIPO DE R.]]="R",COUNTIFS($D$4:$D675,"R")+1,"")</f>
        <v/>
      </c>
      <c r="C676" s="19" t="str">
        <f t="shared" si="50"/>
        <v>B-BCP - Soles</v>
      </c>
      <c r="D676" s="3" t="s">
        <v>1101</v>
      </c>
      <c r="E676" s="14">
        <v>45719</v>
      </c>
      <c r="F676" s="5" t="s">
        <v>1082</v>
      </c>
      <c r="G676" s="5"/>
      <c r="H676" s="6" t="s">
        <v>536</v>
      </c>
      <c r="I676" s="6" t="s">
        <v>14</v>
      </c>
      <c r="J676" s="6" t="s">
        <v>1121</v>
      </c>
      <c r="K676" s="6">
        <v>1966</v>
      </c>
      <c r="L676" s="7" t="s">
        <v>1843</v>
      </c>
      <c r="M676" s="8">
        <v>8637682</v>
      </c>
      <c r="N676" s="8" t="str">
        <f t="shared" si="51"/>
        <v>PEN</v>
      </c>
      <c r="O676" s="13">
        <v>283.2</v>
      </c>
      <c r="P676" s="13"/>
      <c r="Q676" s="3">
        <f t="shared" si="52"/>
        <v>0</v>
      </c>
      <c r="R676" s="3">
        <f t="shared" si="53"/>
        <v>0</v>
      </c>
      <c r="S676" s="3">
        <f t="shared" si="54"/>
        <v>23576.46</v>
      </c>
      <c r="T676" s="24"/>
      <c r="U676" s="24"/>
      <c r="V676" s="67"/>
      <c r="W676" s="25">
        <f>IFERROR(VLOOKUP(BCP_Soles[[#This Row],[DESTINATARIO]],CHOOSE({1,2},Clientes_Proveedores[Razon Social],Clientes_Proveedores[Ruc / Dni]),2,0),"")</f>
        <v>20609764261</v>
      </c>
      <c r="X676" s="25"/>
      <c r="Y676" s="25"/>
      <c r="Z676" s="25"/>
      <c r="AA676" s="99"/>
      <c r="AB676" s="3" t="str">
        <f>IF(BCP_Soles[[#This Row],[FECHA]]&gt;0,TEXT(BCP_Soles[[#This Row],[FECHA]],"mmmm"),0)</f>
        <v>Marzo</v>
      </c>
    </row>
    <row r="677" spans="2:28" ht="24" x14ac:dyDescent="0.3">
      <c r="B677" s="2" t="str">
        <f>IF(BCP_Soles[[#This Row],[TIPO DE R.]]="R",COUNTIFS($D$4:$D676,"R")+1,"")</f>
        <v/>
      </c>
      <c r="C677" s="19" t="str">
        <f t="shared" si="50"/>
        <v>B-BCP - Soles</v>
      </c>
      <c r="D677" s="3" t="s">
        <v>1101</v>
      </c>
      <c r="E677" s="14">
        <v>45719</v>
      </c>
      <c r="F677" s="5" t="s">
        <v>1082</v>
      </c>
      <c r="G677" s="5"/>
      <c r="H677" s="6" t="s">
        <v>536</v>
      </c>
      <c r="I677" s="6" t="s">
        <v>14</v>
      </c>
      <c r="J677" s="6" t="s">
        <v>1121</v>
      </c>
      <c r="K677" s="6">
        <v>1967</v>
      </c>
      <c r="L677" s="7" t="s">
        <v>1843</v>
      </c>
      <c r="M677" s="8">
        <v>8637682</v>
      </c>
      <c r="N677" s="8" t="str">
        <f t="shared" si="51"/>
        <v>PEN</v>
      </c>
      <c r="O677" s="13">
        <v>118</v>
      </c>
      <c r="P677" s="13"/>
      <c r="Q677" s="3">
        <f t="shared" si="52"/>
        <v>0</v>
      </c>
      <c r="R677" s="3">
        <f t="shared" si="53"/>
        <v>0</v>
      </c>
      <c r="S677" s="3">
        <f t="shared" si="54"/>
        <v>23576.46</v>
      </c>
      <c r="T677" s="24"/>
      <c r="U677" s="24"/>
      <c r="V677" s="67"/>
      <c r="W677" s="25">
        <f>IFERROR(VLOOKUP(BCP_Soles[[#This Row],[DESTINATARIO]],CHOOSE({1,2},Clientes_Proveedores[Razon Social],Clientes_Proveedores[Ruc / Dni]),2,0),"")</f>
        <v>20609764261</v>
      </c>
      <c r="X677" s="25"/>
      <c r="Y677" s="25"/>
      <c r="Z677" s="25"/>
      <c r="AA677" s="99"/>
      <c r="AB677" s="3" t="str">
        <f>IF(BCP_Soles[[#This Row],[FECHA]]&gt;0,TEXT(BCP_Soles[[#This Row],[FECHA]],"mmmm"),0)</f>
        <v>Marzo</v>
      </c>
    </row>
    <row r="678" spans="2:28" ht="24" x14ac:dyDescent="0.3">
      <c r="B678" s="2" t="str">
        <f>IF(BCP_Soles[[#This Row],[TIPO DE R.]]="R",COUNTIFS($D$4:$D677,"R")+1,"")</f>
        <v/>
      </c>
      <c r="C678" s="19" t="str">
        <f t="shared" si="50"/>
        <v>B-BCP - Soles</v>
      </c>
      <c r="D678" s="3" t="s">
        <v>1101</v>
      </c>
      <c r="E678" s="14">
        <v>45719</v>
      </c>
      <c r="F678" s="5" t="s">
        <v>1082</v>
      </c>
      <c r="G678" s="5"/>
      <c r="H678" s="6" t="s">
        <v>130</v>
      </c>
      <c r="I678" s="6" t="s">
        <v>14</v>
      </c>
      <c r="J678" s="6" t="s">
        <v>1121</v>
      </c>
      <c r="K678" s="6">
        <v>259</v>
      </c>
      <c r="L678" s="7" t="s">
        <v>1843</v>
      </c>
      <c r="M678" s="8">
        <v>8637682</v>
      </c>
      <c r="N678" s="8" t="str">
        <f t="shared" si="51"/>
        <v>PEN</v>
      </c>
      <c r="O678" s="13">
        <v>70</v>
      </c>
      <c r="P678" s="13"/>
      <c r="Q678" s="3">
        <f t="shared" si="52"/>
        <v>0</v>
      </c>
      <c r="R678" s="3">
        <f t="shared" si="53"/>
        <v>0</v>
      </c>
      <c r="S678" s="3">
        <f t="shared" si="54"/>
        <v>23576.46</v>
      </c>
      <c r="T678" s="24"/>
      <c r="U678" s="24"/>
      <c r="V678" s="67"/>
      <c r="W678" s="25">
        <f>IFERROR(VLOOKUP(BCP_Soles[[#This Row],[DESTINATARIO]],CHOOSE({1,2},Clientes_Proveedores[Razon Social],Clientes_Proveedores[Ruc / Dni]),2,0),"")</f>
        <v>10706063426</v>
      </c>
      <c r="X678" s="25"/>
      <c r="Y678" s="25"/>
      <c r="Z678" s="25"/>
      <c r="AA678" s="99"/>
      <c r="AB678" s="3" t="str">
        <f>IF(BCP_Soles[[#This Row],[FECHA]]&gt;0,TEXT(BCP_Soles[[#This Row],[FECHA]],"mmmm"),0)</f>
        <v>Marzo</v>
      </c>
    </row>
    <row r="679" spans="2:28" ht="24" x14ac:dyDescent="0.3">
      <c r="B679" s="2" t="str">
        <f>IF(BCP_Soles[[#This Row],[TIPO DE R.]]="R",COUNTIFS($D$4:$D678,"R")+1,"")</f>
        <v/>
      </c>
      <c r="C679" s="19" t="str">
        <f t="shared" si="50"/>
        <v>B-BCP - Soles</v>
      </c>
      <c r="D679" s="3" t="s">
        <v>1101</v>
      </c>
      <c r="E679" s="14">
        <v>45719</v>
      </c>
      <c r="F679" s="5" t="s">
        <v>1082</v>
      </c>
      <c r="G679" s="5"/>
      <c r="H679" s="6" t="s">
        <v>108</v>
      </c>
      <c r="I679" s="6" t="s">
        <v>14</v>
      </c>
      <c r="J679" s="6" t="s">
        <v>1121</v>
      </c>
      <c r="K679" s="6">
        <v>4475</v>
      </c>
      <c r="L679" s="7" t="s">
        <v>1843</v>
      </c>
      <c r="M679" s="8">
        <v>8637682</v>
      </c>
      <c r="N679" s="8" t="str">
        <f t="shared" si="51"/>
        <v>PEN</v>
      </c>
      <c r="O679" s="13">
        <v>59</v>
      </c>
      <c r="P679" s="13"/>
      <c r="Q679" s="3">
        <f t="shared" si="52"/>
        <v>0</v>
      </c>
      <c r="R679" s="3">
        <f t="shared" si="53"/>
        <v>0</v>
      </c>
      <c r="S679" s="3">
        <f t="shared" si="54"/>
        <v>23576.46</v>
      </c>
      <c r="T679" s="24"/>
      <c r="U679" s="24"/>
      <c r="V679" s="67"/>
      <c r="W679" s="25">
        <f>IFERROR(VLOOKUP(BCP_Soles[[#This Row],[DESTINATARIO]],CHOOSE({1,2},Clientes_Proveedores[Razon Social],Clientes_Proveedores[Ruc / Dni]),2,0),"")</f>
        <v>10425371652</v>
      </c>
      <c r="X679" s="25"/>
      <c r="Y679" s="25"/>
      <c r="Z679" s="25"/>
      <c r="AA679" s="99"/>
      <c r="AB679" s="3" t="str">
        <f>IF(BCP_Soles[[#This Row],[FECHA]]&gt;0,TEXT(BCP_Soles[[#This Row],[FECHA]],"mmmm"),0)</f>
        <v>Marzo</v>
      </c>
    </row>
    <row r="680" spans="2:28" ht="24" x14ac:dyDescent="0.3">
      <c r="B680" s="2" t="str">
        <f>IF(BCP_Soles[[#This Row],[TIPO DE R.]]="R",COUNTIFS($D$4:$D679,"R")+1,"")</f>
        <v/>
      </c>
      <c r="C680" s="19" t="str">
        <f t="shared" si="50"/>
        <v>B-BCP - Soles</v>
      </c>
      <c r="D680" s="3" t="s">
        <v>1101</v>
      </c>
      <c r="E680" s="14">
        <v>45719</v>
      </c>
      <c r="F680" s="5" t="s">
        <v>1082</v>
      </c>
      <c r="G680" s="5"/>
      <c r="H680" s="6" t="s">
        <v>108</v>
      </c>
      <c r="I680" s="6" t="s">
        <v>14</v>
      </c>
      <c r="J680" s="6" t="s">
        <v>1121</v>
      </c>
      <c r="K680" s="6">
        <v>4470</v>
      </c>
      <c r="L680" s="7" t="s">
        <v>1843</v>
      </c>
      <c r="M680" s="8">
        <v>8637682</v>
      </c>
      <c r="N680" s="8" t="str">
        <f t="shared" si="51"/>
        <v>PEN</v>
      </c>
      <c r="O680" s="13">
        <v>59</v>
      </c>
      <c r="P680" s="13"/>
      <c r="Q680" s="3">
        <f t="shared" si="52"/>
        <v>0</v>
      </c>
      <c r="R680" s="3">
        <f t="shared" si="53"/>
        <v>0</v>
      </c>
      <c r="S680" s="3">
        <f t="shared" si="54"/>
        <v>23576.46</v>
      </c>
      <c r="T680" s="24"/>
      <c r="U680" s="24"/>
      <c r="V680" s="67"/>
      <c r="W680" s="25">
        <f>IFERROR(VLOOKUP(BCP_Soles[[#This Row],[DESTINATARIO]],CHOOSE({1,2},Clientes_Proveedores[Razon Social],Clientes_Proveedores[Ruc / Dni]),2,0),"")</f>
        <v>10425371652</v>
      </c>
      <c r="X680" s="25"/>
      <c r="Y680" s="25"/>
      <c r="Z680" s="25"/>
      <c r="AA680" s="99"/>
      <c r="AB680" s="3" t="str">
        <f>IF(BCP_Soles[[#This Row],[FECHA]]&gt;0,TEXT(BCP_Soles[[#This Row],[FECHA]],"mmmm"),0)</f>
        <v>Marzo</v>
      </c>
    </row>
    <row r="681" spans="2:28" x14ac:dyDescent="0.3">
      <c r="B681" s="2" t="str">
        <f>IF(BCP_Soles[[#This Row],[TIPO DE R.]]="R",COUNTIFS($D$4:$D680,"R")+1,"")</f>
        <v/>
      </c>
      <c r="C681" s="19" t="str">
        <f t="shared" si="50"/>
        <v>B-BCP - Soles</v>
      </c>
      <c r="D681" s="3" t="s">
        <v>1101</v>
      </c>
      <c r="E681" s="14">
        <v>45719</v>
      </c>
      <c r="F681" s="5" t="s">
        <v>1082</v>
      </c>
      <c r="G681" s="5"/>
      <c r="H681" s="6" t="s">
        <v>309</v>
      </c>
      <c r="I681" s="6" t="s">
        <v>14</v>
      </c>
      <c r="J681" s="6" t="s">
        <v>1119</v>
      </c>
      <c r="K681" s="6">
        <v>140</v>
      </c>
      <c r="L681" s="7" t="s">
        <v>1843</v>
      </c>
      <c r="M681" s="8">
        <v>8637682</v>
      </c>
      <c r="N681" s="8" t="str">
        <f t="shared" si="51"/>
        <v>PEN</v>
      </c>
      <c r="O681" s="13">
        <v>264.5</v>
      </c>
      <c r="P681" s="13"/>
      <c r="Q681" s="3">
        <f t="shared" si="52"/>
        <v>0</v>
      </c>
      <c r="R681" s="3">
        <f t="shared" si="53"/>
        <v>0</v>
      </c>
      <c r="S681" s="3">
        <f t="shared" si="54"/>
        <v>23576.46</v>
      </c>
      <c r="T681" s="24"/>
      <c r="U681" s="24"/>
      <c r="V681" s="67"/>
      <c r="W681" s="25">
        <f>IFERROR(VLOOKUP(BCP_Soles[[#This Row],[DESTINATARIO]],CHOOSE({1,2},Clientes_Proveedores[Razon Social],Clientes_Proveedores[Ruc / Dni]),2,0),"")</f>
        <v>20517355951</v>
      </c>
      <c r="X681" s="25"/>
      <c r="Y681" s="25"/>
      <c r="Z681" s="25"/>
      <c r="AA681" s="99"/>
      <c r="AB681" s="3" t="str">
        <f>IF(BCP_Soles[[#This Row],[FECHA]]&gt;0,TEXT(BCP_Soles[[#This Row],[FECHA]],"mmmm"),0)</f>
        <v>Marzo</v>
      </c>
    </row>
    <row r="682" spans="2:28" ht="36" x14ac:dyDescent="0.3">
      <c r="B682" s="2" t="str">
        <f>IF(BCP_Soles[[#This Row],[TIPO DE R.]]="R",COUNTIFS($D$4:$D681,"R")+1,"")</f>
        <v/>
      </c>
      <c r="C682" s="19" t="str">
        <f t="shared" si="50"/>
        <v>B-BCP - Soles</v>
      </c>
      <c r="D682" s="3" t="s">
        <v>1101</v>
      </c>
      <c r="E682" s="14">
        <v>45719</v>
      </c>
      <c r="F682" s="5" t="s">
        <v>1082</v>
      </c>
      <c r="G682" s="5"/>
      <c r="H682" s="6" t="s">
        <v>326</v>
      </c>
      <c r="I682" s="6" t="s">
        <v>14</v>
      </c>
      <c r="J682" s="6" t="s">
        <v>1541</v>
      </c>
      <c r="K682" s="6">
        <v>747</v>
      </c>
      <c r="L682" s="7" t="s">
        <v>1843</v>
      </c>
      <c r="M682" s="8">
        <v>8637682</v>
      </c>
      <c r="N682" s="8" t="str">
        <f t="shared" si="51"/>
        <v>PEN</v>
      </c>
      <c r="O682" s="13">
        <v>71</v>
      </c>
      <c r="P682" s="13"/>
      <c r="Q682" s="3">
        <f t="shared" si="52"/>
        <v>0</v>
      </c>
      <c r="R682" s="3">
        <f t="shared" si="53"/>
        <v>0</v>
      </c>
      <c r="S682" s="3">
        <f t="shared" si="54"/>
        <v>23576.46</v>
      </c>
      <c r="T682" s="24"/>
      <c r="U682" s="24"/>
      <c r="V682" s="67"/>
      <c r="W682" s="25">
        <f>IFERROR(VLOOKUP(BCP_Soles[[#This Row],[DESTINATARIO]],CHOOSE({1,2},Clientes_Proveedores[Razon Social],Clientes_Proveedores[Ruc / Dni]),2,0),"")</f>
        <v>20538593053</v>
      </c>
      <c r="X682" s="25"/>
      <c r="Y682" s="25"/>
      <c r="Z682" s="25"/>
      <c r="AA682" s="99"/>
      <c r="AB682" s="3" t="str">
        <f>IF(BCP_Soles[[#This Row],[FECHA]]&gt;0,TEXT(BCP_Soles[[#This Row],[FECHA]],"mmmm"),0)</f>
        <v>Marzo</v>
      </c>
    </row>
    <row r="683" spans="2:28" x14ac:dyDescent="0.3">
      <c r="B683" s="2" t="str">
        <f>IF(BCP_Soles[[#This Row],[TIPO DE R.]]="R",COUNTIFS($D$4:$D682,"R")+1,"")</f>
        <v/>
      </c>
      <c r="C683" s="19" t="str">
        <f t="shared" si="50"/>
        <v>B-BCP - Soles</v>
      </c>
      <c r="D683" s="3" t="s">
        <v>1101</v>
      </c>
      <c r="E683" s="14">
        <v>45719</v>
      </c>
      <c r="F683" s="5" t="s">
        <v>1082</v>
      </c>
      <c r="G683" s="5"/>
      <c r="H683" s="6" t="s">
        <v>229</v>
      </c>
      <c r="I683" s="6" t="s">
        <v>14</v>
      </c>
      <c r="J683" s="6" t="s">
        <v>1429</v>
      </c>
      <c r="K683" s="6">
        <v>1682</v>
      </c>
      <c r="L683" s="7" t="s">
        <v>1843</v>
      </c>
      <c r="M683" s="8">
        <v>8637682</v>
      </c>
      <c r="N683" s="8" t="str">
        <f t="shared" si="51"/>
        <v>PEN</v>
      </c>
      <c r="O683" s="13">
        <v>596.1</v>
      </c>
      <c r="P683" s="13"/>
      <c r="Q683" s="3">
        <f t="shared" si="52"/>
        <v>0</v>
      </c>
      <c r="R683" s="3">
        <f t="shared" si="53"/>
        <v>0</v>
      </c>
      <c r="S683" s="3">
        <f t="shared" si="54"/>
        <v>23576.46</v>
      </c>
      <c r="T683" s="24"/>
      <c r="U683" s="24"/>
      <c r="V683" s="67"/>
      <c r="W683" s="25">
        <f>IFERROR(VLOOKUP(BCP_Soles[[#This Row],[DESTINATARIO]],CHOOSE({1,2},Clientes_Proveedores[Razon Social],Clientes_Proveedores[Ruc / Dni]),2,0),"")</f>
        <v>20454186002</v>
      </c>
      <c r="X683" s="25"/>
      <c r="Y683" s="25"/>
      <c r="Z683" s="25"/>
      <c r="AA683" s="99"/>
      <c r="AB683" s="3" t="str">
        <f>IF(BCP_Soles[[#This Row],[FECHA]]&gt;0,TEXT(BCP_Soles[[#This Row],[FECHA]],"mmmm"),0)</f>
        <v>Marzo</v>
      </c>
    </row>
    <row r="684" spans="2:28" x14ac:dyDescent="0.3">
      <c r="B684" s="2" t="str">
        <f>IF(BCP_Soles[[#This Row],[TIPO DE R.]]="R",COUNTIFS($D$4:$D683,"R")+1,"")</f>
        <v/>
      </c>
      <c r="C684" s="19" t="str">
        <f t="shared" si="50"/>
        <v>B-BCP - Soles</v>
      </c>
      <c r="D684" s="3" t="s">
        <v>1101</v>
      </c>
      <c r="E684" s="14">
        <v>45719</v>
      </c>
      <c r="F684" s="5" t="s">
        <v>1082</v>
      </c>
      <c r="G684" s="5"/>
      <c r="H684" s="6" t="s">
        <v>229</v>
      </c>
      <c r="I684" s="6" t="s">
        <v>14</v>
      </c>
      <c r="J684" s="6" t="s">
        <v>1148</v>
      </c>
      <c r="K684" s="6">
        <v>614</v>
      </c>
      <c r="L684" s="7" t="s">
        <v>1843</v>
      </c>
      <c r="M684" s="8">
        <v>8637682</v>
      </c>
      <c r="N684" s="8" t="str">
        <f t="shared" si="51"/>
        <v>PEN</v>
      </c>
      <c r="O684" s="13">
        <v>217</v>
      </c>
      <c r="P684" s="13"/>
      <c r="Q684" s="3">
        <f t="shared" si="52"/>
        <v>0</v>
      </c>
      <c r="R684" s="3">
        <f t="shared" si="53"/>
        <v>0</v>
      </c>
      <c r="S684" s="3">
        <f t="shared" si="54"/>
        <v>23576.46</v>
      </c>
      <c r="T684" s="24"/>
      <c r="U684" s="24"/>
      <c r="V684" s="67"/>
      <c r="W684" s="25">
        <f>IFERROR(VLOOKUP(BCP_Soles[[#This Row],[DESTINATARIO]],CHOOSE({1,2},Clientes_Proveedores[Razon Social],Clientes_Proveedores[Ruc / Dni]),2,0),"")</f>
        <v>20454186002</v>
      </c>
      <c r="X684" s="25"/>
      <c r="Y684" s="25"/>
      <c r="Z684" s="25"/>
      <c r="AA684" s="99"/>
      <c r="AB684" s="3" t="str">
        <f>IF(BCP_Soles[[#This Row],[FECHA]]&gt;0,TEXT(BCP_Soles[[#This Row],[FECHA]],"mmmm"),0)</f>
        <v>Marzo</v>
      </c>
    </row>
    <row r="685" spans="2:28" x14ac:dyDescent="0.3">
      <c r="B685" s="2" t="str">
        <f>IF(BCP_Soles[[#This Row],[TIPO DE R.]]="R",COUNTIFS($D$4:$D684,"R")+1,"")</f>
        <v/>
      </c>
      <c r="C685" s="19" t="str">
        <f t="shared" si="50"/>
        <v>B-BCP - Soles</v>
      </c>
      <c r="D685" s="3" t="s">
        <v>1101</v>
      </c>
      <c r="E685" s="14">
        <v>45719</v>
      </c>
      <c r="F685" s="5" t="s">
        <v>1082</v>
      </c>
      <c r="G685" s="5"/>
      <c r="H685" s="6" t="s">
        <v>229</v>
      </c>
      <c r="I685" s="6" t="s">
        <v>14</v>
      </c>
      <c r="J685" s="6" t="s">
        <v>1429</v>
      </c>
      <c r="K685" s="6">
        <v>1681</v>
      </c>
      <c r="L685" s="7" t="s">
        <v>1843</v>
      </c>
      <c r="M685" s="8">
        <v>8637682</v>
      </c>
      <c r="N685" s="8" t="str">
        <f t="shared" si="51"/>
        <v>PEN</v>
      </c>
      <c r="O685" s="13">
        <v>735.99</v>
      </c>
      <c r="P685" s="13"/>
      <c r="Q685" s="3">
        <f t="shared" si="52"/>
        <v>0</v>
      </c>
      <c r="R685" s="3">
        <f t="shared" si="53"/>
        <v>0</v>
      </c>
      <c r="S685" s="3">
        <f t="shared" si="54"/>
        <v>23576.46</v>
      </c>
      <c r="T685" s="24"/>
      <c r="U685" s="24"/>
      <c r="V685" s="67"/>
      <c r="W685" s="25">
        <f>IFERROR(VLOOKUP(BCP_Soles[[#This Row],[DESTINATARIO]],CHOOSE({1,2},Clientes_Proveedores[Razon Social],Clientes_Proveedores[Ruc / Dni]),2,0),"")</f>
        <v>20454186002</v>
      </c>
      <c r="X685" s="25"/>
      <c r="Y685" s="25"/>
      <c r="Z685" s="25"/>
      <c r="AA685" s="99"/>
      <c r="AB685" s="3" t="str">
        <f>IF(BCP_Soles[[#This Row],[FECHA]]&gt;0,TEXT(BCP_Soles[[#This Row],[FECHA]],"mmmm"),0)</f>
        <v>Marzo</v>
      </c>
    </row>
    <row r="686" spans="2:28" ht="24" x14ac:dyDescent="0.3">
      <c r="B686" s="2" t="str">
        <f>IF(BCP_Soles[[#This Row],[TIPO DE R.]]="R",COUNTIFS($D$4:$D685,"R")+1,"")</f>
        <v/>
      </c>
      <c r="C686" s="19" t="str">
        <f t="shared" si="50"/>
        <v>B-BCP - Soles</v>
      </c>
      <c r="D686" s="3" t="s">
        <v>1101</v>
      </c>
      <c r="E686" s="14">
        <v>45719</v>
      </c>
      <c r="F686" s="5" t="s">
        <v>1082</v>
      </c>
      <c r="G686" s="5"/>
      <c r="H686" s="6" t="s">
        <v>118</v>
      </c>
      <c r="I686" s="6" t="s">
        <v>14</v>
      </c>
      <c r="J686" s="6" t="s">
        <v>1121</v>
      </c>
      <c r="K686" s="6">
        <v>377</v>
      </c>
      <c r="L686" s="7" t="s">
        <v>1843</v>
      </c>
      <c r="M686" s="8">
        <v>8637682</v>
      </c>
      <c r="N686" s="8" t="str">
        <f t="shared" si="51"/>
        <v>PEN</v>
      </c>
      <c r="O686" s="13">
        <v>510</v>
      </c>
      <c r="P686" s="13"/>
      <c r="Q686" s="3">
        <f t="shared" si="52"/>
        <v>0</v>
      </c>
      <c r="R686" s="3">
        <f t="shared" si="53"/>
        <v>0</v>
      </c>
      <c r="S686" s="3">
        <f t="shared" si="54"/>
        <v>23576.46</v>
      </c>
      <c r="T686" s="24"/>
      <c r="U686" s="24"/>
      <c r="V686" s="67"/>
      <c r="W686" s="25">
        <f>IFERROR(VLOOKUP(BCP_Soles[[#This Row],[DESTINATARIO]],CHOOSE({1,2},Clientes_Proveedores[Razon Social],Clientes_Proveedores[Ruc / Dni]),2,0),"")</f>
        <v>10470065147</v>
      </c>
      <c r="X686" s="25"/>
      <c r="Y686" s="25"/>
      <c r="Z686" s="25"/>
      <c r="AA686" s="99"/>
      <c r="AB686" s="3" t="str">
        <f>IF(BCP_Soles[[#This Row],[FECHA]]&gt;0,TEXT(BCP_Soles[[#This Row],[FECHA]],"mmmm"),0)</f>
        <v>Marzo</v>
      </c>
    </row>
    <row r="687" spans="2:28" ht="36" x14ac:dyDescent="0.3">
      <c r="B687" s="2" t="str">
        <f>IF(BCP_Soles[[#This Row],[TIPO DE R.]]="R",COUNTIFS($D$4:$D686,"R")+1,"")</f>
        <v/>
      </c>
      <c r="C687" s="19" t="str">
        <f t="shared" si="50"/>
        <v>B-BCP - Soles</v>
      </c>
      <c r="D687" s="3" t="s">
        <v>1101</v>
      </c>
      <c r="E687" s="14">
        <v>45719</v>
      </c>
      <c r="F687" s="5" t="s">
        <v>1082</v>
      </c>
      <c r="G687" s="5"/>
      <c r="H687" s="6" t="s">
        <v>511</v>
      </c>
      <c r="I687" s="6" t="s">
        <v>14</v>
      </c>
      <c r="J687" s="6" t="s">
        <v>1121</v>
      </c>
      <c r="K687" s="6">
        <v>600</v>
      </c>
      <c r="L687" s="7" t="s">
        <v>1843</v>
      </c>
      <c r="M687" s="8">
        <v>8637682</v>
      </c>
      <c r="N687" s="8" t="str">
        <f t="shared" si="51"/>
        <v>PEN</v>
      </c>
      <c r="O687" s="13">
        <v>350.01</v>
      </c>
      <c r="P687" s="13"/>
      <c r="Q687" s="3">
        <f t="shared" si="52"/>
        <v>0</v>
      </c>
      <c r="R687" s="3">
        <f t="shared" si="53"/>
        <v>0</v>
      </c>
      <c r="S687" s="3">
        <f t="shared" si="54"/>
        <v>23576.46</v>
      </c>
      <c r="T687" s="24"/>
      <c r="U687" s="24"/>
      <c r="V687" s="67"/>
      <c r="W687" s="25">
        <f>IFERROR(VLOOKUP(BCP_Soles[[#This Row],[DESTINATARIO]],CHOOSE({1,2},Clientes_Proveedores[Razon Social],Clientes_Proveedores[Ruc / Dni]),2,0),"")</f>
        <v>20608686747</v>
      </c>
      <c r="X687" s="25"/>
      <c r="Y687" s="25"/>
      <c r="Z687" s="25"/>
      <c r="AA687" s="99"/>
      <c r="AB687" s="3" t="str">
        <f>IF(BCP_Soles[[#This Row],[FECHA]]&gt;0,TEXT(BCP_Soles[[#This Row],[FECHA]],"mmmm"),0)</f>
        <v>Marzo</v>
      </c>
    </row>
    <row r="688" spans="2:28" ht="36" x14ac:dyDescent="0.3">
      <c r="B688" s="2" t="str">
        <f>IF(BCP_Soles[[#This Row],[TIPO DE R.]]="R",COUNTIFS($D$4:$D687,"R")+1,"")</f>
        <v/>
      </c>
      <c r="C688" s="19" t="str">
        <f t="shared" si="50"/>
        <v>B-BCP - Soles</v>
      </c>
      <c r="D688" s="3" t="s">
        <v>1101</v>
      </c>
      <c r="E688" s="14">
        <v>45719</v>
      </c>
      <c r="F688" s="5" t="s">
        <v>1082</v>
      </c>
      <c r="G688" s="5"/>
      <c r="H688" s="6" t="s">
        <v>417</v>
      </c>
      <c r="I688" s="6" t="s">
        <v>14</v>
      </c>
      <c r="J688" s="6" t="s">
        <v>1121</v>
      </c>
      <c r="K688" s="6">
        <v>716</v>
      </c>
      <c r="L688" s="7" t="s">
        <v>1843</v>
      </c>
      <c r="M688" s="8">
        <v>8637682</v>
      </c>
      <c r="N688" s="8" t="str">
        <f t="shared" si="51"/>
        <v>PEN</v>
      </c>
      <c r="O688" s="13">
        <v>960</v>
      </c>
      <c r="P688" s="13"/>
      <c r="Q688" s="3">
        <f t="shared" si="52"/>
        <v>0</v>
      </c>
      <c r="R688" s="3">
        <f t="shared" si="53"/>
        <v>0</v>
      </c>
      <c r="S688" s="3">
        <f t="shared" si="54"/>
        <v>23576.46</v>
      </c>
      <c r="T688" s="24"/>
      <c r="U688" s="24"/>
      <c r="V688" s="67"/>
      <c r="W688" s="25">
        <f>IFERROR(VLOOKUP(BCP_Soles[[#This Row],[DESTINATARIO]],CHOOSE({1,2},Clientes_Proveedores[Razon Social],Clientes_Proveedores[Ruc / Dni]),2,0),"")</f>
        <v>20602075177</v>
      </c>
      <c r="X688" s="25"/>
      <c r="Y688" s="25"/>
      <c r="Z688" s="25"/>
      <c r="AA688" s="99"/>
      <c r="AB688" s="3" t="str">
        <f>IF(BCP_Soles[[#This Row],[FECHA]]&gt;0,TEXT(BCP_Soles[[#This Row],[FECHA]],"mmmm"),0)</f>
        <v>Marzo</v>
      </c>
    </row>
    <row r="689" spans="2:28" ht="24" x14ac:dyDescent="0.3">
      <c r="B689" s="2" t="str">
        <f>IF(BCP_Soles[[#This Row],[TIPO DE R.]]="R",COUNTIFS($D$4:$D688,"R")+1,"")</f>
        <v/>
      </c>
      <c r="C689" s="19" t="str">
        <f t="shared" si="50"/>
        <v>B-BCP - Soles</v>
      </c>
      <c r="D689" s="3" t="s">
        <v>1101</v>
      </c>
      <c r="E689" s="14">
        <v>45719</v>
      </c>
      <c r="F689" s="5" t="s">
        <v>1082</v>
      </c>
      <c r="G689" s="5"/>
      <c r="H689" s="6" t="s">
        <v>446</v>
      </c>
      <c r="I689" s="6" t="s">
        <v>14</v>
      </c>
      <c r="J689" s="6" t="s">
        <v>1121</v>
      </c>
      <c r="K689" s="6">
        <v>614</v>
      </c>
      <c r="L689" s="7" t="s">
        <v>1843</v>
      </c>
      <c r="M689" s="8">
        <v>8637682</v>
      </c>
      <c r="N689" s="8" t="str">
        <f t="shared" si="51"/>
        <v>PEN</v>
      </c>
      <c r="O689" s="13">
        <v>110</v>
      </c>
      <c r="P689" s="13"/>
      <c r="Q689" s="3">
        <f t="shared" si="52"/>
        <v>0</v>
      </c>
      <c r="R689" s="3">
        <f t="shared" si="53"/>
        <v>0</v>
      </c>
      <c r="S689" s="3">
        <f t="shared" si="54"/>
        <v>23576.46</v>
      </c>
      <c r="T689" s="24"/>
      <c r="U689" s="24"/>
      <c r="V689" s="67"/>
      <c r="W689" s="25">
        <f>IFERROR(VLOOKUP(BCP_Soles[[#This Row],[DESTINATARIO]],CHOOSE({1,2},Clientes_Proveedores[Razon Social],Clientes_Proveedores[Ruc / Dni]),2,0),"")</f>
        <v>20603001461</v>
      </c>
      <c r="X689" s="25"/>
      <c r="Y689" s="25"/>
      <c r="Z689" s="25"/>
      <c r="AA689" s="99"/>
      <c r="AB689" s="3" t="str">
        <f>IF(BCP_Soles[[#This Row],[FECHA]]&gt;0,TEXT(BCP_Soles[[#This Row],[FECHA]],"mmmm"),0)</f>
        <v>Marzo</v>
      </c>
    </row>
    <row r="690" spans="2:28" ht="24" x14ac:dyDescent="0.3">
      <c r="B690" s="2">
        <f>IF(BCP_Soles[[#This Row],[TIPO DE R.]]="R",COUNTIFS($D$4:$D689,"R")+1,"")</f>
        <v>529</v>
      </c>
      <c r="C690" s="19" t="str">
        <f t="shared" si="50"/>
        <v>B-BCP - Soles</v>
      </c>
      <c r="D690" s="3" t="s">
        <v>1074</v>
      </c>
      <c r="E690" s="14">
        <v>45719</v>
      </c>
      <c r="F690" s="5" t="s">
        <v>1082</v>
      </c>
      <c r="G690" s="5" t="s">
        <v>1079</v>
      </c>
      <c r="H690" s="6"/>
      <c r="I690" s="6" t="s">
        <v>18</v>
      </c>
      <c r="J690" s="6" t="s">
        <v>1121</v>
      </c>
      <c r="K690" s="6">
        <v>104</v>
      </c>
      <c r="L690" s="7" t="s">
        <v>1844</v>
      </c>
      <c r="M690" s="8">
        <v>1065439</v>
      </c>
      <c r="N690" s="8" t="str">
        <f t="shared" si="51"/>
        <v>PEN</v>
      </c>
      <c r="O690" s="13"/>
      <c r="P690" s="13">
        <v>1061.6300000000001</v>
      </c>
      <c r="Q690" s="3">
        <f t="shared" si="52"/>
        <v>0</v>
      </c>
      <c r="R690" s="3">
        <f t="shared" si="53"/>
        <v>1061.6300000000001</v>
      </c>
      <c r="S690" s="3">
        <f t="shared" si="54"/>
        <v>22514.829999999998</v>
      </c>
      <c r="T690" s="24" t="s">
        <v>1081</v>
      </c>
      <c r="U690" s="24" t="s">
        <v>1081</v>
      </c>
      <c r="V690" s="67"/>
      <c r="W690" s="25" t="str">
        <f>IFERROR(VLOOKUP(BCP_Soles[[#This Row],[DESTINATARIO]],CHOOSE({1,2},Clientes_Proveedores[Razon Social],Clientes_Proveedores[Ruc / Dni]),2,0),"")</f>
        <v/>
      </c>
      <c r="X690" s="25" t="s">
        <v>1845</v>
      </c>
      <c r="Y690" s="25" t="s">
        <v>1846</v>
      </c>
      <c r="Z690" s="25"/>
      <c r="AA690" s="99"/>
      <c r="AB690" s="3" t="str">
        <f>IF(BCP_Soles[[#This Row],[FECHA]]&gt;0,TEXT(BCP_Soles[[#This Row],[FECHA]],"mmmm"),0)</f>
        <v>Marzo</v>
      </c>
    </row>
    <row r="691" spans="2:28" ht="24" x14ac:dyDescent="0.3">
      <c r="B691" s="2">
        <f>IF(BCP_Soles[[#This Row],[TIPO DE R.]]="R",COUNTIFS($D$4:$D690,"R")+1,"")</f>
        <v>530</v>
      </c>
      <c r="C691" s="19" t="str">
        <f t="shared" si="50"/>
        <v>B-BCP - Soles</v>
      </c>
      <c r="D691" s="3" t="s">
        <v>1074</v>
      </c>
      <c r="E691" s="14">
        <v>45719</v>
      </c>
      <c r="F691" s="5" t="s">
        <v>1082</v>
      </c>
      <c r="G691" s="5" t="s">
        <v>1079</v>
      </c>
      <c r="H691" s="6" t="s">
        <v>271</v>
      </c>
      <c r="I691" s="6" t="s">
        <v>14</v>
      </c>
      <c r="J691" s="6" t="s">
        <v>1119</v>
      </c>
      <c r="K691" s="6">
        <v>7932</v>
      </c>
      <c r="L691" s="7" t="s">
        <v>1847</v>
      </c>
      <c r="M691" s="8">
        <v>1066437</v>
      </c>
      <c r="N691" s="8" t="str">
        <f t="shared" si="51"/>
        <v>PEN</v>
      </c>
      <c r="O691" s="13"/>
      <c r="P691" s="13">
        <v>1207</v>
      </c>
      <c r="Q691" s="3">
        <f t="shared" si="52"/>
        <v>0</v>
      </c>
      <c r="R691" s="3">
        <f t="shared" si="53"/>
        <v>1207</v>
      </c>
      <c r="S691" s="3">
        <f t="shared" si="54"/>
        <v>21307.829999999998</v>
      </c>
      <c r="T691" s="24" t="s">
        <v>1081</v>
      </c>
      <c r="U691" s="24" t="s">
        <v>1081</v>
      </c>
      <c r="V691" s="67"/>
      <c r="W691" s="25">
        <f>IFERROR(VLOOKUP(BCP_Soles[[#This Row],[DESTINATARIO]],CHOOSE({1,2},Clientes_Proveedores[Razon Social],Clientes_Proveedores[Ruc / Dni]),2,0),"")</f>
        <v>20498041567</v>
      </c>
      <c r="X691" s="25" t="s">
        <v>271</v>
      </c>
      <c r="Y691" s="25" t="s">
        <v>1848</v>
      </c>
      <c r="Z691" s="25"/>
      <c r="AA691" s="99"/>
      <c r="AB691" s="3" t="str">
        <f>IF(BCP_Soles[[#This Row],[FECHA]]&gt;0,TEXT(BCP_Soles[[#This Row],[FECHA]],"mmmm"),0)</f>
        <v>Marzo</v>
      </c>
    </row>
    <row r="692" spans="2:28" x14ac:dyDescent="0.3">
      <c r="B692" s="2">
        <f>IF(BCP_Soles[[#This Row],[TIPO DE R.]]="R",COUNTIFS($D$4:$D691,"R")+1,"")</f>
        <v>531</v>
      </c>
      <c r="C692" s="19" t="str">
        <f t="shared" si="50"/>
        <v>B-BCP - Soles</v>
      </c>
      <c r="D692" s="3" t="s">
        <v>1074</v>
      </c>
      <c r="E692" s="14">
        <v>45719</v>
      </c>
      <c r="F692" s="5" t="s">
        <v>1078</v>
      </c>
      <c r="G692" s="5" t="s">
        <v>1079</v>
      </c>
      <c r="H692" s="6"/>
      <c r="I692" s="6"/>
      <c r="J692" s="6"/>
      <c r="K692" s="6"/>
      <c r="L692" s="7" t="s">
        <v>1080</v>
      </c>
      <c r="M692" s="8"/>
      <c r="N692" s="8" t="str">
        <f t="shared" si="51"/>
        <v>PEN</v>
      </c>
      <c r="O692" s="13"/>
      <c r="P692" s="13">
        <v>1.7</v>
      </c>
      <c r="Q692" s="3">
        <f t="shared" si="52"/>
        <v>0</v>
      </c>
      <c r="R692" s="3">
        <f t="shared" si="53"/>
        <v>1.7</v>
      </c>
      <c r="S692" s="3">
        <f t="shared" si="54"/>
        <v>21306.129999999997</v>
      </c>
      <c r="T692" s="24"/>
      <c r="U692" s="24" t="s">
        <v>1081</v>
      </c>
      <c r="V692" s="67"/>
      <c r="W692" s="25" t="str">
        <f>IFERROR(VLOOKUP(BCP_Soles[[#This Row],[DESTINATARIO]],CHOOSE({1,2},Clientes_Proveedores[Razon Social],Clientes_Proveedores[Ruc / Dni]),2,0),"")</f>
        <v/>
      </c>
      <c r="X692" s="25"/>
      <c r="Y692" s="25"/>
      <c r="Z692" s="25"/>
      <c r="AA692" s="99"/>
      <c r="AB692" s="3" t="str">
        <f>IF(BCP_Soles[[#This Row],[FECHA]]&gt;0,TEXT(BCP_Soles[[#This Row],[FECHA]],"mmmm"),0)</f>
        <v>Marzo</v>
      </c>
    </row>
    <row r="693" spans="2:28" x14ac:dyDescent="0.3">
      <c r="B693" s="2">
        <f>IF(BCP_Soles[[#This Row],[TIPO DE R.]]="R",COUNTIFS($D$4:$D692,"R")+1,"")</f>
        <v>532</v>
      </c>
      <c r="C693" s="19" t="str">
        <f t="shared" si="50"/>
        <v>B-BCP - Soles</v>
      </c>
      <c r="D693" s="3" t="s">
        <v>1074</v>
      </c>
      <c r="E693" s="14">
        <v>45719</v>
      </c>
      <c r="F693" s="5" t="s">
        <v>1078</v>
      </c>
      <c r="G693" s="5" t="s">
        <v>1079</v>
      </c>
      <c r="H693" s="6"/>
      <c r="I693" s="6"/>
      <c r="J693" s="6"/>
      <c r="K693" s="6"/>
      <c r="L693" s="7" t="s">
        <v>1849</v>
      </c>
      <c r="M693" s="8">
        <v>8760618</v>
      </c>
      <c r="N693" s="8" t="str">
        <f t="shared" si="51"/>
        <v>PEN</v>
      </c>
      <c r="O693" s="13"/>
      <c r="P693" s="13">
        <v>10</v>
      </c>
      <c r="Q693" s="3">
        <f t="shared" si="52"/>
        <v>0</v>
      </c>
      <c r="R693" s="3">
        <f t="shared" si="53"/>
        <v>10</v>
      </c>
      <c r="S693" s="3">
        <f t="shared" si="54"/>
        <v>21296.129999999997</v>
      </c>
      <c r="T693" s="24"/>
      <c r="U693" s="24" t="s">
        <v>1081</v>
      </c>
      <c r="V693" s="67"/>
      <c r="W693" s="25" t="str">
        <f>IFERROR(VLOOKUP(BCP_Soles[[#This Row],[DESTINATARIO]],CHOOSE({1,2},Clientes_Proveedores[Razon Social],Clientes_Proveedores[Ruc / Dni]),2,0),"")</f>
        <v/>
      </c>
      <c r="X693" s="25" t="s">
        <v>1078</v>
      </c>
      <c r="Y693" s="25" t="s">
        <v>1842</v>
      </c>
      <c r="Z693" s="25"/>
      <c r="AA693" s="99"/>
      <c r="AB693" s="3" t="str">
        <f>IF(BCP_Soles[[#This Row],[FECHA]]&gt;0,TEXT(BCP_Soles[[#This Row],[FECHA]],"mmmm"),0)</f>
        <v>Marzo</v>
      </c>
    </row>
    <row r="694" spans="2:28" ht="24" x14ac:dyDescent="0.3">
      <c r="B694" s="2">
        <f>IF(BCP_Soles[[#This Row],[TIPO DE R.]]="R",COUNTIFS($D$4:$D693,"R")+1,"")</f>
        <v>533</v>
      </c>
      <c r="C694" s="19" t="str">
        <f t="shared" si="50"/>
        <v>B-BCP - Soles</v>
      </c>
      <c r="D694" s="3" t="s">
        <v>1074</v>
      </c>
      <c r="E694" s="14">
        <v>45719</v>
      </c>
      <c r="F694" s="5" t="s">
        <v>1082</v>
      </c>
      <c r="G694" s="5" t="s">
        <v>1079</v>
      </c>
      <c r="H694" s="6"/>
      <c r="I694" s="6" t="s">
        <v>52</v>
      </c>
      <c r="J694" s="6" t="s">
        <v>1303</v>
      </c>
      <c r="K694" s="6">
        <v>65920124</v>
      </c>
      <c r="L694" s="7" t="s">
        <v>1304</v>
      </c>
      <c r="M694" s="8">
        <v>4199695</v>
      </c>
      <c r="N694" s="8" t="str">
        <f t="shared" si="51"/>
        <v>PEN</v>
      </c>
      <c r="O694" s="13"/>
      <c r="P694" s="13">
        <v>79.900000000000006</v>
      </c>
      <c r="Q694" s="3">
        <f t="shared" si="52"/>
        <v>0</v>
      </c>
      <c r="R694" s="3">
        <f t="shared" si="53"/>
        <v>79.900000000000006</v>
      </c>
      <c r="S694" s="3">
        <f t="shared" si="54"/>
        <v>21216.229999999996</v>
      </c>
      <c r="T694" s="24" t="s">
        <v>1081</v>
      </c>
      <c r="U694" s="24" t="s">
        <v>1081</v>
      </c>
      <c r="V694" s="67"/>
      <c r="W694" s="25" t="str">
        <f>IFERROR(VLOOKUP(BCP_Soles[[#This Row],[DESTINATARIO]],CHOOSE({1,2},Clientes_Proveedores[Razon Social],Clientes_Proveedores[Ruc / Dni]),2,0),"")</f>
        <v/>
      </c>
      <c r="X694" s="25" t="s">
        <v>1305</v>
      </c>
      <c r="Y694" s="25" t="s">
        <v>1850</v>
      </c>
      <c r="Z694" s="25"/>
      <c r="AA694" s="99"/>
      <c r="AB694" s="3" t="str">
        <f>IF(BCP_Soles[[#This Row],[FECHA]]&gt;0,TEXT(BCP_Soles[[#This Row],[FECHA]],"mmmm"),0)</f>
        <v>Marzo</v>
      </c>
    </row>
    <row r="695" spans="2:28" ht="36" x14ac:dyDescent="0.3">
      <c r="B695" s="2">
        <f>IF(BCP_Soles[[#This Row],[TIPO DE R.]]="R",COUNTIFS($D$4:$D694,"R")+1,"")</f>
        <v>534</v>
      </c>
      <c r="C695" s="19" t="str">
        <f t="shared" si="50"/>
        <v>B-BCP - Soles</v>
      </c>
      <c r="D695" s="3" t="s">
        <v>1074</v>
      </c>
      <c r="E695" s="14">
        <v>45719</v>
      </c>
      <c r="F695" s="5" t="s">
        <v>1082</v>
      </c>
      <c r="G695" s="5" t="s">
        <v>1079</v>
      </c>
      <c r="H695" s="6" t="s">
        <v>880</v>
      </c>
      <c r="I695" s="6" t="s">
        <v>87</v>
      </c>
      <c r="J695" s="6">
        <v>1</v>
      </c>
      <c r="K695" s="6">
        <v>182025</v>
      </c>
      <c r="L695" s="7" t="s">
        <v>1851</v>
      </c>
      <c r="M695" s="8">
        <v>1199230</v>
      </c>
      <c r="N695" s="8" t="str">
        <f t="shared" si="51"/>
        <v>PEN</v>
      </c>
      <c r="O695" s="13"/>
      <c r="P695" s="13">
        <v>400</v>
      </c>
      <c r="Q695" s="3">
        <f t="shared" si="52"/>
        <v>0</v>
      </c>
      <c r="R695" s="3">
        <f t="shared" si="53"/>
        <v>400</v>
      </c>
      <c r="S695" s="3">
        <f t="shared" si="54"/>
        <v>20816.229999999996</v>
      </c>
      <c r="T695" s="24" t="s">
        <v>1081</v>
      </c>
      <c r="U695" s="24" t="s">
        <v>1081</v>
      </c>
      <c r="V695" s="67"/>
      <c r="W695" s="25">
        <f>IFERROR(VLOOKUP(BCP_Soles[[#This Row],[DESTINATARIO]],CHOOSE({1,2},Clientes_Proveedores[Razon Social],Clientes_Proveedores[Ruc / Dni]),2,0),"")</f>
        <v>72531546</v>
      </c>
      <c r="X695" s="25"/>
      <c r="Y695" s="25"/>
      <c r="Z695" s="25"/>
      <c r="AA695" s="99"/>
      <c r="AB695" s="3" t="str">
        <f>IF(BCP_Soles[[#This Row],[FECHA]]&gt;0,TEXT(BCP_Soles[[#This Row],[FECHA]],"mmmm"),0)</f>
        <v>Marzo</v>
      </c>
    </row>
    <row r="696" spans="2:28" ht="24" x14ac:dyDescent="0.3">
      <c r="B696" s="2">
        <f>IF(BCP_Soles[[#This Row],[TIPO DE R.]]="R",COUNTIFS($D$4:$D695,"R")+1,"")</f>
        <v>535</v>
      </c>
      <c r="C696" s="19" t="str">
        <f t="shared" si="50"/>
        <v>B-BCP - Soles</v>
      </c>
      <c r="D696" s="3" t="s">
        <v>1074</v>
      </c>
      <c r="E696" s="14">
        <v>45719</v>
      </c>
      <c r="F696" s="5" t="s">
        <v>1158</v>
      </c>
      <c r="G696" s="5" t="s">
        <v>1079</v>
      </c>
      <c r="H696" s="6"/>
      <c r="I696" s="6"/>
      <c r="J696" s="6"/>
      <c r="K696" s="6"/>
      <c r="L696" s="7" t="s">
        <v>1852</v>
      </c>
      <c r="M696" s="8">
        <v>8760598</v>
      </c>
      <c r="N696" s="8" t="str">
        <f t="shared" si="51"/>
        <v>PEN</v>
      </c>
      <c r="O696" s="13"/>
      <c r="P696" s="13">
        <v>401.79</v>
      </c>
      <c r="Q696" s="3">
        <f t="shared" si="52"/>
        <v>0</v>
      </c>
      <c r="R696" s="3">
        <f t="shared" si="53"/>
        <v>401.79</v>
      </c>
      <c r="S696" s="3">
        <f t="shared" si="54"/>
        <v>20414.439999999995</v>
      </c>
      <c r="T696" s="24"/>
      <c r="U696" s="24"/>
      <c r="V696" s="67"/>
      <c r="W696" s="25" t="str">
        <f>IFERROR(VLOOKUP(BCP_Soles[[#This Row],[DESTINATARIO]],CHOOSE({1,2},Clientes_Proveedores[Razon Social],Clientes_Proveedores[Ruc / Dni]),2,0),"")</f>
        <v/>
      </c>
      <c r="X696" s="25" t="s">
        <v>958</v>
      </c>
      <c r="Y696" s="25"/>
      <c r="Z696" s="25"/>
      <c r="AA696" s="99"/>
      <c r="AB696" s="3" t="str">
        <f>IF(BCP_Soles[[#This Row],[FECHA]]&gt;0,TEXT(BCP_Soles[[#This Row],[FECHA]],"mmmm"),0)</f>
        <v>Marzo</v>
      </c>
    </row>
    <row r="697" spans="2:28" ht="24" x14ac:dyDescent="0.3">
      <c r="B697" s="2">
        <f>IF(BCP_Soles[[#This Row],[TIPO DE R.]]="R",COUNTIFS($D$4:$D696,"R")+1,"")</f>
        <v>536</v>
      </c>
      <c r="C697" s="19" t="str">
        <f t="shared" si="50"/>
        <v>B-BCP - Soles</v>
      </c>
      <c r="D697" s="3" t="s">
        <v>1074</v>
      </c>
      <c r="E697" s="14">
        <v>45719</v>
      </c>
      <c r="F697" s="5" t="s">
        <v>1082</v>
      </c>
      <c r="G697" s="5" t="s">
        <v>1079</v>
      </c>
      <c r="H697" s="6"/>
      <c r="I697" s="6"/>
      <c r="J697" s="6"/>
      <c r="K697" s="6"/>
      <c r="L697" s="7" t="s">
        <v>1853</v>
      </c>
      <c r="M697" s="8">
        <v>8760596</v>
      </c>
      <c r="N697" s="8" t="str">
        <f t="shared" si="51"/>
        <v>PEN</v>
      </c>
      <c r="O697" s="13"/>
      <c r="P697" s="13">
        <v>1388.6</v>
      </c>
      <c r="Q697" s="3">
        <f t="shared" si="52"/>
        <v>0</v>
      </c>
      <c r="R697" s="3">
        <f t="shared" si="53"/>
        <v>1388.6</v>
      </c>
      <c r="S697" s="3">
        <f t="shared" si="54"/>
        <v>19025.839999999997</v>
      </c>
      <c r="T697" s="24"/>
      <c r="U697" s="24"/>
      <c r="V697" s="67"/>
      <c r="W697" s="25" t="str">
        <f>IFERROR(VLOOKUP(BCP_Soles[[#This Row],[DESTINATARIO]],CHOOSE({1,2},Clientes_Proveedores[Razon Social],Clientes_Proveedores[Ruc / Dni]),2,0),"")</f>
        <v/>
      </c>
      <c r="X697" s="25" t="s">
        <v>825</v>
      </c>
      <c r="Y697" s="25"/>
      <c r="Z697" s="25"/>
      <c r="AA697" s="99"/>
      <c r="AB697" s="3" t="str">
        <f>IF(BCP_Soles[[#This Row],[FECHA]]&gt;0,TEXT(BCP_Soles[[#This Row],[FECHA]],"mmmm"),0)</f>
        <v>Marzo</v>
      </c>
    </row>
    <row r="698" spans="2:28" ht="24" x14ac:dyDescent="0.3">
      <c r="B698" s="2">
        <f>IF(BCP_Soles[[#This Row],[TIPO DE R.]]="R",COUNTIFS($D$4:$D697,"R")+1,"")</f>
        <v>537</v>
      </c>
      <c r="C698" s="19" t="str">
        <f t="shared" si="50"/>
        <v>B-BCP - Soles</v>
      </c>
      <c r="D698" s="3" t="s">
        <v>1074</v>
      </c>
      <c r="E698" s="14">
        <v>45719</v>
      </c>
      <c r="F698" s="5" t="s">
        <v>1082</v>
      </c>
      <c r="G698" s="5" t="s">
        <v>1079</v>
      </c>
      <c r="H698" s="6" t="s">
        <v>829</v>
      </c>
      <c r="I698" s="6" t="s">
        <v>91</v>
      </c>
      <c r="J698" s="6">
        <v>14</v>
      </c>
      <c r="K698" s="6">
        <v>29</v>
      </c>
      <c r="L698" s="7" t="s">
        <v>1854</v>
      </c>
      <c r="M698" s="8">
        <v>1198738</v>
      </c>
      <c r="N698" s="8" t="str">
        <f t="shared" si="51"/>
        <v>PEN</v>
      </c>
      <c r="O698" s="13"/>
      <c r="P698" s="13">
        <v>1957.54</v>
      </c>
      <c r="Q698" s="3">
        <f t="shared" si="52"/>
        <v>0</v>
      </c>
      <c r="R698" s="3">
        <f t="shared" si="53"/>
        <v>1957.54</v>
      </c>
      <c r="S698" s="3">
        <f t="shared" si="54"/>
        <v>17068.299999999996</v>
      </c>
      <c r="T698" s="24"/>
      <c r="U698" s="24"/>
      <c r="V698" s="67"/>
      <c r="W698" s="25">
        <f>IFERROR(VLOOKUP(BCP_Soles[[#This Row],[DESTINATARIO]],CHOOSE({1,2},Clientes_Proveedores[Razon Social],Clientes_Proveedores[Ruc / Dni]),2,0),"")</f>
        <v>47461440</v>
      </c>
      <c r="X698" s="25"/>
      <c r="Y698" s="25"/>
      <c r="Z698" s="25"/>
      <c r="AA698" s="99"/>
      <c r="AB698" s="3" t="str">
        <f>IF(BCP_Soles[[#This Row],[FECHA]]&gt;0,TEXT(BCP_Soles[[#This Row],[FECHA]],"mmmm"),0)</f>
        <v>Marzo</v>
      </c>
    </row>
    <row r="699" spans="2:28" ht="36" x14ac:dyDescent="0.3">
      <c r="B699" s="2">
        <f>IF(BCP_Soles[[#This Row],[TIPO DE R.]]="R",COUNTIFS($D$4:$D698,"R")+1,"")</f>
        <v>538</v>
      </c>
      <c r="C699" s="19" t="str">
        <f t="shared" si="50"/>
        <v>B-BCP - Soles</v>
      </c>
      <c r="D699" s="3" t="s">
        <v>1074</v>
      </c>
      <c r="E699" s="14">
        <v>45719</v>
      </c>
      <c r="F699" s="5" t="s">
        <v>1082</v>
      </c>
      <c r="G699" s="5" t="s">
        <v>1079</v>
      </c>
      <c r="H699" s="6" t="s">
        <v>889</v>
      </c>
      <c r="I699" s="6"/>
      <c r="J699" s="6"/>
      <c r="K699" s="6"/>
      <c r="L699" s="7" t="s">
        <v>7903</v>
      </c>
      <c r="M699" s="8">
        <v>1196312</v>
      </c>
      <c r="N699" s="8" t="str">
        <f t="shared" si="51"/>
        <v>PEN</v>
      </c>
      <c r="O699" s="13"/>
      <c r="P699" s="13">
        <v>3993.6</v>
      </c>
      <c r="Q699" s="3">
        <f t="shared" si="52"/>
        <v>0</v>
      </c>
      <c r="R699" s="3">
        <f t="shared" si="53"/>
        <v>3993.6</v>
      </c>
      <c r="S699" s="3">
        <f t="shared" si="54"/>
        <v>13074.699999999995</v>
      </c>
      <c r="T699" s="24"/>
      <c r="U699" s="24"/>
      <c r="V699" s="67"/>
      <c r="W699" s="25">
        <f>IFERROR(VLOOKUP(BCP_Soles[[#This Row],[DESTINATARIO]],CHOOSE({1,2},Clientes_Proveedores[Razon Social],Clientes_Proveedores[Ruc / Dni]),2,0),"")</f>
        <v>71311214</v>
      </c>
      <c r="X699" s="25" t="s">
        <v>889</v>
      </c>
      <c r="Y699" s="25"/>
      <c r="Z699" s="25"/>
      <c r="AA699" s="99"/>
      <c r="AB699" s="3" t="str">
        <f>IF(BCP_Soles[[#This Row],[FECHA]]&gt;0,TEXT(BCP_Soles[[#This Row],[FECHA]],"mmmm"),0)</f>
        <v>Marzo</v>
      </c>
    </row>
    <row r="700" spans="2:28" x14ac:dyDescent="0.3">
      <c r="B700" s="2">
        <f>IF(BCP_Soles[[#This Row],[TIPO DE R.]]="R",COUNTIFS($D$4:$D699,"R")+1,"")</f>
        <v>539</v>
      </c>
      <c r="C700" s="19" t="str">
        <f t="shared" si="50"/>
        <v>B-BCP - Soles</v>
      </c>
      <c r="D700" s="3" t="s">
        <v>1074</v>
      </c>
      <c r="E700" s="14">
        <v>45719</v>
      </c>
      <c r="F700" s="5" t="s">
        <v>1082</v>
      </c>
      <c r="G700" s="5" t="s">
        <v>1079</v>
      </c>
      <c r="H700" s="6"/>
      <c r="I700" s="6"/>
      <c r="J700" s="6"/>
      <c r="K700" s="6"/>
      <c r="L700" s="7" t="s">
        <v>1856</v>
      </c>
      <c r="M700" s="8">
        <v>8760609</v>
      </c>
      <c r="N700" s="8" t="str">
        <f t="shared" si="51"/>
        <v>PEN</v>
      </c>
      <c r="O700" s="13"/>
      <c r="P700" s="13">
        <v>5874.35</v>
      </c>
      <c r="Q700" s="3">
        <f t="shared" si="52"/>
        <v>0</v>
      </c>
      <c r="R700" s="3">
        <f t="shared" si="53"/>
        <v>5874.35</v>
      </c>
      <c r="S700" s="3">
        <f t="shared" si="54"/>
        <v>7200.3499999999949</v>
      </c>
      <c r="T700" s="24" t="s">
        <v>1081</v>
      </c>
      <c r="U700" s="24" t="s">
        <v>1081</v>
      </c>
      <c r="V700" s="67"/>
      <c r="W700" s="25" t="str">
        <f>IFERROR(VLOOKUP(BCP_Soles[[#This Row],[DESTINATARIO]],CHOOSE({1,2},Clientes_Proveedores[Razon Social],Clientes_Proveedores[Ruc / Dni]),2,0),"")</f>
        <v/>
      </c>
      <c r="X700" s="25" t="s">
        <v>1118</v>
      </c>
      <c r="Y700" s="25"/>
      <c r="Z700" s="25"/>
      <c r="AA700" s="99"/>
      <c r="AB700" s="3" t="str">
        <f>IF(BCP_Soles[[#This Row],[FECHA]]&gt;0,TEXT(BCP_Soles[[#This Row],[FECHA]],"mmmm"),0)</f>
        <v>Marzo</v>
      </c>
    </row>
    <row r="701" spans="2:28" ht="36" x14ac:dyDescent="0.3">
      <c r="B701" s="2" t="str">
        <f>IF(BCP_Soles[[#This Row],[TIPO DE R.]]="R",COUNTIFS($D$4:$D700,"R")+1,"")</f>
        <v/>
      </c>
      <c r="C701" s="19" t="str">
        <f t="shared" si="50"/>
        <v>B-BCP - Soles</v>
      </c>
      <c r="D701" s="3" t="s">
        <v>1101</v>
      </c>
      <c r="E701" s="14">
        <v>45719</v>
      </c>
      <c r="F701" s="5" t="s">
        <v>1082</v>
      </c>
      <c r="G701" s="5"/>
      <c r="H701" s="6" t="s">
        <v>588</v>
      </c>
      <c r="I701" s="6" t="s">
        <v>14</v>
      </c>
      <c r="J701" s="6" t="s">
        <v>1857</v>
      </c>
      <c r="K701" s="6">
        <v>1736</v>
      </c>
      <c r="L701" s="7" t="s">
        <v>1856</v>
      </c>
      <c r="M701" s="8">
        <v>8760609</v>
      </c>
      <c r="N701" s="8" t="str">
        <f t="shared" si="51"/>
        <v>PEN</v>
      </c>
      <c r="O701" s="13">
        <v>438.4</v>
      </c>
      <c r="P701" s="13"/>
      <c r="Q701" s="3">
        <f t="shared" si="52"/>
        <v>0</v>
      </c>
      <c r="R701" s="3">
        <f t="shared" si="53"/>
        <v>0</v>
      </c>
      <c r="S701" s="3">
        <f t="shared" si="54"/>
        <v>7200.3499999999949</v>
      </c>
      <c r="T701" s="24"/>
      <c r="U701" s="24"/>
      <c r="V701" s="67"/>
      <c r="W701" s="25">
        <f>IFERROR(VLOOKUP(BCP_Soles[[#This Row],[DESTINATARIO]],CHOOSE({1,2},Clientes_Proveedores[Razon Social],Clientes_Proveedores[Ruc / Dni]),2,0),"")</f>
        <v>20100036101</v>
      </c>
      <c r="X701" s="25"/>
      <c r="Y701" s="25"/>
      <c r="Z701" s="25"/>
      <c r="AA701" s="99"/>
      <c r="AB701" s="3" t="str">
        <f>IF(BCP_Soles[[#This Row],[FECHA]]&gt;0,TEXT(BCP_Soles[[#This Row],[FECHA]],"mmmm"),0)</f>
        <v>Marzo</v>
      </c>
    </row>
    <row r="702" spans="2:28" ht="24" x14ac:dyDescent="0.3">
      <c r="B702" s="2" t="str">
        <f>IF(BCP_Soles[[#This Row],[TIPO DE R.]]="R",COUNTIFS($D$4:$D701,"R")+1,"")</f>
        <v/>
      </c>
      <c r="C702" s="19" t="str">
        <f t="shared" si="50"/>
        <v>B-BCP - Soles</v>
      </c>
      <c r="D702" s="3" t="s">
        <v>1101</v>
      </c>
      <c r="E702" s="14">
        <v>45719</v>
      </c>
      <c r="F702" s="5" t="s">
        <v>1082</v>
      </c>
      <c r="G702" s="5"/>
      <c r="H702" s="6" t="s">
        <v>480</v>
      </c>
      <c r="I702" s="6" t="s">
        <v>14</v>
      </c>
      <c r="J702" s="6" t="s">
        <v>1121</v>
      </c>
      <c r="K702" s="6">
        <v>789</v>
      </c>
      <c r="L702" s="7" t="s">
        <v>1856</v>
      </c>
      <c r="M702" s="8">
        <v>8760609</v>
      </c>
      <c r="N702" s="8" t="str">
        <f t="shared" si="51"/>
        <v>PEN</v>
      </c>
      <c r="O702" s="13">
        <v>671</v>
      </c>
      <c r="P702" s="13"/>
      <c r="Q702" s="3">
        <f t="shared" si="52"/>
        <v>0</v>
      </c>
      <c r="R702" s="3">
        <f t="shared" si="53"/>
        <v>0</v>
      </c>
      <c r="S702" s="3">
        <f t="shared" si="54"/>
        <v>7200.3499999999949</v>
      </c>
      <c r="T702" s="24"/>
      <c r="U702" s="24"/>
      <c r="V702" s="67"/>
      <c r="W702" s="25">
        <f>IFERROR(VLOOKUP(BCP_Soles[[#This Row],[DESTINATARIO]],CHOOSE({1,2},Clientes_Proveedores[Razon Social],Clientes_Proveedores[Ruc / Dni]),2,0),"")</f>
        <v>20605447814</v>
      </c>
      <c r="X702" s="25"/>
      <c r="Y702" s="25"/>
      <c r="Z702" s="25"/>
      <c r="AA702" s="99"/>
      <c r="AB702" s="3" t="str">
        <f>IF(BCP_Soles[[#This Row],[FECHA]]&gt;0,TEXT(BCP_Soles[[#This Row],[FECHA]],"mmmm"),0)</f>
        <v>Marzo</v>
      </c>
    </row>
    <row r="703" spans="2:28" x14ac:dyDescent="0.3">
      <c r="B703" s="2" t="str">
        <f>IF(BCP_Soles[[#This Row],[TIPO DE R.]]="R",COUNTIFS($D$4:$D702,"R")+1,"")</f>
        <v/>
      </c>
      <c r="C703" s="19" t="str">
        <f t="shared" si="50"/>
        <v>B-BCP - Soles</v>
      </c>
      <c r="D703" s="3" t="s">
        <v>1101</v>
      </c>
      <c r="E703" s="14">
        <v>45719</v>
      </c>
      <c r="F703" s="5" t="s">
        <v>1082</v>
      </c>
      <c r="G703" s="5"/>
      <c r="H703" s="6" t="s">
        <v>229</v>
      </c>
      <c r="I703" s="6" t="s">
        <v>14</v>
      </c>
      <c r="J703" s="6" t="s">
        <v>1148</v>
      </c>
      <c r="K703" s="6">
        <v>619</v>
      </c>
      <c r="L703" s="7" t="s">
        <v>1856</v>
      </c>
      <c r="M703" s="8">
        <v>8760609</v>
      </c>
      <c r="N703" s="8" t="str">
        <f t="shared" si="51"/>
        <v>PEN</v>
      </c>
      <c r="O703" s="13">
        <v>916.1</v>
      </c>
      <c r="P703" s="13"/>
      <c r="Q703" s="3">
        <f t="shared" si="52"/>
        <v>0</v>
      </c>
      <c r="R703" s="3">
        <f t="shared" si="53"/>
        <v>0</v>
      </c>
      <c r="S703" s="3">
        <f t="shared" si="54"/>
        <v>7200.3499999999949</v>
      </c>
      <c r="T703" s="24"/>
      <c r="U703" s="24"/>
      <c r="V703" s="67"/>
      <c r="W703" s="25">
        <f>IFERROR(VLOOKUP(BCP_Soles[[#This Row],[DESTINATARIO]],CHOOSE({1,2},Clientes_Proveedores[Razon Social],Clientes_Proveedores[Ruc / Dni]),2,0),"")</f>
        <v>20454186002</v>
      </c>
      <c r="X703" s="25"/>
      <c r="Y703" s="25"/>
      <c r="Z703" s="25"/>
      <c r="AA703" s="99"/>
      <c r="AB703" s="3" t="str">
        <f>IF(BCP_Soles[[#This Row],[FECHA]]&gt;0,TEXT(BCP_Soles[[#This Row],[FECHA]],"mmmm"),0)</f>
        <v>Marzo</v>
      </c>
    </row>
    <row r="704" spans="2:28" x14ac:dyDescent="0.3">
      <c r="B704" s="2" t="str">
        <f>IF(BCP_Soles[[#This Row],[TIPO DE R.]]="R",COUNTIFS($D$4:$D703,"R")+1,"")</f>
        <v/>
      </c>
      <c r="C704" s="19" t="str">
        <f t="shared" si="50"/>
        <v>B-BCP - Soles</v>
      </c>
      <c r="D704" s="3" t="s">
        <v>1101</v>
      </c>
      <c r="E704" s="14">
        <v>45719</v>
      </c>
      <c r="F704" s="5" t="s">
        <v>1082</v>
      </c>
      <c r="G704" s="5"/>
      <c r="H704" s="6" t="s">
        <v>229</v>
      </c>
      <c r="I704" s="6" t="s">
        <v>14</v>
      </c>
      <c r="J704" s="6" t="s">
        <v>1148</v>
      </c>
      <c r="K704" s="6">
        <v>616</v>
      </c>
      <c r="L704" s="7" t="s">
        <v>1856</v>
      </c>
      <c r="M704" s="8">
        <v>8760609</v>
      </c>
      <c r="N704" s="8" t="str">
        <f t="shared" si="51"/>
        <v>PEN</v>
      </c>
      <c r="O704" s="13">
        <v>1768</v>
      </c>
      <c r="P704" s="13"/>
      <c r="Q704" s="3">
        <f t="shared" si="52"/>
        <v>0</v>
      </c>
      <c r="R704" s="3">
        <f t="shared" si="53"/>
        <v>0</v>
      </c>
      <c r="S704" s="3">
        <f t="shared" si="54"/>
        <v>7200.3499999999949</v>
      </c>
      <c r="T704" s="24"/>
      <c r="U704" s="24"/>
      <c r="V704" s="67"/>
      <c r="W704" s="25">
        <f>IFERROR(VLOOKUP(BCP_Soles[[#This Row],[DESTINATARIO]],CHOOSE({1,2},Clientes_Proveedores[Razon Social],Clientes_Proveedores[Ruc / Dni]),2,0),"")</f>
        <v>20454186002</v>
      </c>
      <c r="X704" s="25"/>
      <c r="Y704" s="25"/>
      <c r="Z704" s="25"/>
      <c r="AA704" s="99"/>
      <c r="AB704" s="3" t="str">
        <f>IF(BCP_Soles[[#This Row],[FECHA]]&gt;0,TEXT(BCP_Soles[[#This Row],[FECHA]],"mmmm"),0)</f>
        <v>Marzo</v>
      </c>
    </row>
    <row r="705" spans="2:28" x14ac:dyDescent="0.3">
      <c r="B705" s="2" t="str">
        <f>IF(BCP_Soles[[#This Row],[TIPO DE R.]]="R",COUNTIFS($D$4:$D704,"R")+1,"")</f>
        <v/>
      </c>
      <c r="C705" s="19" t="str">
        <f t="shared" si="50"/>
        <v>B-BCP - Soles</v>
      </c>
      <c r="D705" s="3" t="s">
        <v>1101</v>
      </c>
      <c r="E705" s="14">
        <v>45719</v>
      </c>
      <c r="F705" s="5" t="s">
        <v>1082</v>
      </c>
      <c r="G705" s="5"/>
      <c r="H705" s="6" t="s">
        <v>229</v>
      </c>
      <c r="I705" s="6" t="s">
        <v>14</v>
      </c>
      <c r="J705" s="6" t="s">
        <v>1429</v>
      </c>
      <c r="K705" s="6">
        <v>1683</v>
      </c>
      <c r="L705" s="7" t="s">
        <v>1856</v>
      </c>
      <c r="M705" s="8">
        <v>8760609</v>
      </c>
      <c r="N705" s="8" t="str">
        <f t="shared" si="51"/>
        <v>PEN</v>
      </c>
      <c r="O705" s="13">
        <v>241</v>
      </c>
      <c r="P705" s="13"/>
      <c r="Q705" s="3">
        <f t="shared" si="52"/>
        <v>0</v>
      </c>
      <c r="R705" s="3">
        <f t="shared" si="53"/>
        <v>0</v>
      </c>
      <c r="S705" s="3">
        <f t="shared" si="54"/>
        <v>7200.3499999999949</v>
      </c>
      <c r="T705" s="24"/>
      <c r="U705" s="24"/>
      <c r="V705" s="67"/>
      <c r="W705" s="25">
        <f>IFERROR(VLOOKUP(BCP_Soles[[#This Row],[DESTINATARIO]],CHOOSE({1,2},Clientes_Proveedores[Razon Social],Clientes_Proveedores[Ruc / Dni]),2,0),"")</f>
        <v>20454186002</v>
      </c>
      <c r="X705" s="25"/>
      <c r="Y705" s="25"/>
      <c r="Z705" s="25"/>
      <c r="AA705" s="99"/>
      <c r="AB705" s="3" t="str">
        <f>IF(BCP_Soles[[#This Row],[FECHA]]&gt;0,TEXT(BCP_Soles[[#This Row],[FECHA]],"mmmm"),0)</f>
        <v>Marzo</v>
      </c>
    </row>
    <row r="706" spans="2:28" x14ac:dyDescent="0.3">
      <c r="B706" s="2" t="str">
        <f>IF(BCP_Soles[[#This Row],[TIPO DE R.]]="R",COUNTIFS($D$4:$D705,"R")+1,"")</f>
        <v/>
      </c>
      <c r="C706" s="19" t="str">
        <f t="shared" si="50"/>
        <v>B-BCP - Soles</v>
      </c>
      <c r="D706" s="3" t="s">
        <v>1101</v>
      </c>
      <c r="E706" s="14">
        <v>45719</v>
      </c>
      <c r="F706" s="5" t="s">
        <v>1082</v>
      </c>
      <c r="G706" s="5"/>
      <c r="H706" s="6" t="s">
        <v>229</v>
      </c>
      <c r="I706" s="6" t="s">
        <v>14</v>
      </c>
      <c r="J706" s="6" t="s">
        <v>1148</v>
      </c>
      <c r="K706" s="6">
        <v>617</v>
      </c>
      <c r="L706" s="7" t="s">
        <v>1856</v>
      </c>
      <c r="M706" s="8">
        <v>8760609</v>
      </c>
      <c r="N706" s="8" t="str">
        <f t="shared" si="51"/>
        <v>PEN</v>
      </c>
      <c r="O706" s="13">
        <v>360</v>
      </c>
      <c r="P706" s="13"/>
      <c r="Q706" s="3">
        <f t="shared" si="52"/>
        <v>0</v>
      </c>
      <c r="R706" s="3">
        <f t="shared" si="53"/>
        <v>0</v>
      </c>
      <c r="S706" s="3">
        <f t="shared" si="54"/>
        <v>7200.3499999999949</v>
      </c>
      <c r="T706" s="24"/>
      <c r="U706" s="24"/>
      <c r="V706" s="67"/>
      <c r="W706" s="25">
        <f>IFERROR(VLOOKUP(BCP_Soles[[#This Row],[DESTINATARIO]],CHOOSE({1,2},Clientes_Proveedores[Razon Social],Clientes_Proveedores[Ruc / Dni]),2,0),"")</f>
        <v>20454186002</v>
      </c>
      <c r="X706" s="25"/>
      <c r="Y706" s="25"/>
      <c r="Z706" s="25"/>
      <c r="AA706" s="99"/>
      <c r="AB706" s="3" t="str">
        <f>IF(BCP_Soles[[#This Row],[FECHA]]&gt;0,TEXT(BCP_Soles[[#This Row],[FECHA]],"mmmm"),0)</f>
        <v>Marzo</v>
      </c>
    </row>
    <row r="707" spans="2:28" ht="24" x14ac:dyDescent="0.3">
      <c r="B707" s="2" t="str">
        <f>IF(BCP_Soles[[#This Row],[TIPO DE R.]]="R",COUNTIFS($D$4:$D706,"R")+1,"")</f>
        <v/>
      </c>
      <c r="C707" s="19" t="str">
        <f t="shared" si="50"/>
        <v>B-BCP - Soles</v>
      </c>
      <c r="D707" s="3" t="s">
        <v>1101</v>
      </c>
      <c r="E707" s="14">
        <v>45719</v>
      </c>
      <c r="F707" s="5" t="s">
        <v>1082</v>
      </c>
      <c r="G707" s="5"/>
      <c r="H707" s="6" t="s">
        <v>214</v>
      </c>
      <c r="I707" s="6" t="s">
        <v>14</v>
      </c>
      <c r="J707" s="6" t="s">
        <v>1120</v>
      </c>
      <c r="K707" s="6">
        <v>6855</v>
      </c>
      <c r="L707" s="7" t="s">
        <v>1856</v>
      </c>
      <c r="M707" s="8">
        <v>8760609</v>
      </c>
      <c r="N707" s="8" t="str">
        <f t="shared" si="51"/>
        <v>PEN</v>
      </c>
      <c r="O707" s="13">
        <v>917.65</v>
      </c>
      <c r="P707" s="13"/>
      <c r="Q707" s="3">
        <f t="shared" si="52"/>
        <v>0</v>
      </c>
      <c r="R707" s="3">
        <f t="shared" si="53"/>
        <v>0</v>
      </c>
      <c r="S707" s="3">
        <f t="shared" si="54"/>
        <v>7200.3499999999949</v>
      </c>
      <c r="T707" s="24"/>
      <c r="U707" s="24"/>
      <c r="V707" s="67"/>
      <c r="W707" s="25">
        <f>IFERROR(VLOOKUP(BCP_Soles[[#This Row],[DESTINATARIO]],CHOOSE({1,2},Clientes_Proveedores[Razon Social],Clientes_Proveedores[Ruc / Dni]),2,0),"")</f>
        <v>20419158462</v>
      </c>
      <c r="X707" s="25"/>
      <c r="Y707" s="25"/>
      <c r="Z707" s="25"/>
      <c r="AA707" s="99"/>
      <c r="AB707" s="3" t="str">
        <f>IF(BCP_Soles[[#This Row],[FECHA]]&gt;0,TEXT(BCP_Soles[[#This Row],[FECHA]],"mmmm"),0)</f>
        <v>Marzo</v>
      </c>
    </row>
    <row r="708" spans="2:28" ht="24" x14ac:dyDescent="0.3">
      <c r="B708" s="2" t="str">
        <f>IF(BCP_Soles[[#This Row],[TIPO DE R.]]="R",COUNTIFS($D$4:$D707,"R")+1,"")</f>
        <v/>
      </c>
      <c r="C708" s="19" t="str">
        <f t="shared" si="50"/>
        <v>B-BCP - Soles</v>
      </c>
      <c r="D708" s="3" t="s">
        <v>1101</v>
      </c>
      <c r="E708" s="14">
        <v>45719</v>
      </c>
      <c r="F708" s="5" t="s">
        <v>1082</v>
      </c>
      <c r="G708" s="5"/>
      <c r="H708" s="6" t="s">
        <v>214</v>
      </c>
      <c r="I708" s="6" t="s">
        <v>14</v>
      </c>
      <c r="J708" s="6" t="s">
        <v>1120</v>
      </c>
      <c r="K708" s="6">
        <v>6860</v>
      </c>
      <c r="L708" s="7" t="s">
        <v>1856</v>
      </c>
      <c r="M708" s="8">
        <v>8760609</v>
      </c>
      <c r="N708" s="8" t="str">
        <f t="shared" si="51"/>
        <v>PEN</v>
      </c>
      <c r="O708" s="13">
        <v>562.20000000000005</v>
      </c>
      <c r="P708" s="13"/>
      <c r="Q708" s="3">
        <f t="shared" si="52"/>
        <v>0</v>
      </c>
      <c r="R708" s="3">
        <f t="shared" si="53"/>
        <v>0</v>
      </c>
      <c r="S708" s="3">
        <f t="shared" si="54"/>
        <v>7200.3499999999949</v>
      </c>
      <c r="T708" s="24"/>
      <c r="U708" s="24"/>
      <c r="V708" s="67"/>
      <c r="W708" s="25">
        <f>IFERROR(VLOOKUP(BCP_Soles[[#This Row],[DESTINATARIO]],CHOOSE({1,2},Clientes_Proveedores[Razon Social],Clientes_Proveedores[Ruc / Dni]),2,0),"")</f>
        <v>20419158462</v>
      </c>
      <c r="X708" s="25"/>
      <c r="Y708" s="25"/>
      <c r="Z708" s="25"/>
      <c r="AA708" s="99"/>
      <c r="AB708" s="3" t="str">
        <f>IF(BCP_Soles[[#This Row],[FECHA]]&gt;0,TEXT(BCP_Soles[[#This Row],[FECHA]],"mmmm"),0)</f>
        <v>Marzo</v>
      </c>
    </row>
    <row r="709" spans="2:28" x14ac:dyDescent="0.3">
      <c r="B709" s="2">
        <f>IF(BCP_Soles[[#This Row],[TIPO DE R.]]="R",COUNTIFS($D$4:$D708,"R")+1,"")</f>
        <v>540</v>
      </c>
      <c r="C709" s="19" t="str">
        <f t="shared" ref="C709:C772" si="55">"B-BCP - Soles"</f>
        <v>B-BCP - Soles</v>
      </c>
      <c r="D709" s="3" t="s">
        <v>1074</v>
      </c>
      <c r="E709" s="14">
        <v>45720</v>
      </c>
      <c r="F709" s="5"/>
      <c r="G709" s="5" t="s">
        <v>1087</v>
      </c>
      <c r="H709" s="6"/>
      <c r="I709" s="6"/>
      <c r="J709" s="6"/>
      <c r="K709" s="6"/>
      <c r="L709" s="7" t="s">
        <v>1100</v>
      </c>
      <c r="M709" s="8">
        <v>2517689</v>
      </c>
      <c r="N709" s="8" t="str">
        <f t="shared" ref="N709:N772" si="56">"PEN"</f>
        <v>PEN</v>
      </c>
      <c r="O709" s="13"/>
      <c r="P709" s="13">
        <v>4440</v>
      </c>
      <c r="Q709" s="3">
        <f t="shared" ref="Q709:Q772" si="57">+IF(OR($G709="SALDO",$G709="INGRESO"),$P709,0)</f>
        <v>4440</v>
      </c>
      <c r="R709" s="3">
        <f t="shared" ref="R709:R772" si="58">+IF($G709="EGRESO",$P709,0)</f>
        <v>0</v>
      </c>
      <c r="S709" s="3">
        <f t="shared" ref="S709:S772" si="59">IFERROR(IF(G709="SALDO",Q709,S708+Q709-R709),0)</f>
        <v>11640.349999999995</v>
      </c>
      <c r="T709" s="24" t="s">
        <v>1081</v>
      </c>
      <c r="U709" s="24" t="s">
        <v>1081</v>
      </c>
      <c r="V709" s="67"/>
      <c r="W709" s="25" t="str">
        <f>IFERROR(VLOOKUP(BCP_Soles[[#This Row],[DESTINATARIO]],CHOOSE({1,2},Clientes_Proveedores[Razon Social],Clientes_Proveedores[Ruc / Dni]),2,0),"")</f>
        <v/>
      </c>
      <c r="X709" s="25" t="s">
        <v>1090</v>
      </c>
      <c r="Y709" s="25"/>
      <c r="Z709" s="25"/>
      <c r="AA709" s="99"/>
      <c r="AB709" s="3" t="str">
        <f>IF(BCP_Soles[[#This Row],[FECHA]]&gt;0,TEXT(BCP_Soles[[#This Row],[FECHA]],"mmmm"),0)</f>
        <v>Marzo</v>
      </c>
    </row>
    <row r="710" spans="2:28" ht="24" x14ac:dyDescent="0.3">
      <c r="B710" s="2" t="str">
        <f>IF(BCP_Soles[[#This Row],[TIPO DE R.]]="R",COUNTIFS($D$4:$D709,"R")+1,"")</f>
        <v/>
      </c>
      <c r="C710" s="19" t="str">
        <f t="shared" si="55"/>
        <v>B-BCP - Soles</v>
      </c>
      <c r="D710" s="3" t="s">
        <v>1101</v>
      </c>
      <c r="E710" s="14">
        <v>45720</v>
      </c>
      <c r="F710" s="5" t="s">
        <v>479</v>
      </c>
      <c r="G710" s="5"/>
      <c r="H710" s="6"/>
      <c r="I710" s="6"/>
      <c r="J710" s="6"/>
      <c r="K710" s="6"/>
      <c r="L710" s="7" t="s">
        <v>1100</v>
      </c>
      <c r="M710" s="8">
        <v>2517689</v>
      </c>
      <c r="N710" s="8" t="str">
        <f t="shared" si="56"/>
        <v>PEN</v>
      </c>
      <c r="O710" s="13"/>
      <c r="P710" s="13">
        <v>2405.5</v>
      </c>
      <c r="Q710" s="3">
        <f t="shared" si="57"/>
        <v>0</v>
      </c>
      <c r="R710" s="3">
        <f t="shared" si="58"/>
        <v>0</v>
      </c>
      <c r="S710" s="3">
        <f t="shared" si="59"/>
        <v>11640.349999999995</v>
      </c>
      <c r="T710" s="24" t="s">
        <v>1081</v>
      </c>
      <c r="U710" s="24" t="s">
        <v>1081</v>
      </c>
      <c r="V710" s="67"/>
      <c r="W710" s="25" t="str">
        <f>IFERROR(VLOOKUP(BCP_Soles[[#This Row],[DESTINATARIO]],CHOOSE({1,2},Clientes_Proveedores[Razon Social],Clientes_Proveedores[Ruc / Dni]),2,0),"")</f>
        <v/>
      </c>
      <c r="X710" s="25" t="s">
        <v>1090</v>
      </c>
      <c r="Y710" s="25" t="s">
        <v>1858</v>
      </c>
      <c r="Z710" s="25"/>
      <c r="AA710" s="99"/>
      <c r="AB710" s="3" t="str">
        <f>IF(BCP_Soles[[#This Row],[FECHA]]&gt;0,TEXT(BCP_Soles[[#This Row],[FECHA]],"mmmm"),0)</f>
        <v>Marzo</v>
      </c>
    </row>
    <row r="711" spans="2:28" ht="24" x14ac:dyDescent="0.3">
      <c r="B711" s="2" t="str">
        <f>IF(BCP_Soles[[#This Row],[TIPO DE R.]]="R",COUNTIFS($D$4:$D710,"R")+1,"")</f>
        <v/>
      </c>
      <c r="C711" s="19" t="str">
        <f t="shared" si="55"/>
        <v>B-BCP - Soles</v>
      </c>
      <c r="D711" s="3" t="s">
        <v>1101</v>
      </c>
      <c r="E711" s="14">
        <v>45720</v>
      </c>
      <c r="F711" s="5" t="s">
        <v>479</v>
      </c>
      <c r="G711" s="5"/>
      <c r="H711" s="6"/>
      <c r="I711" s="6"/>
      <c r="J711" s="6"/>
      <c r="K711" s="6"/>
      <c r="L711" s="7" t="s">
        <v>1100</v>
      </c>
      <c r="M711" s="8">
        <v>2517689</v>
      </c>
      <c r="N711" s="8" t="str">
        <f t="shared" si="56"/>
        <v>PEN</v>
      </c>
      <c r="O711" s="13"/>
      <c r="P711" s="13">
        <v>1326</v>
      </c>
      <c r="Q711" s="3">
        <f t="shared" si="57"/>
        <v>0</v>
      </c>
      <c r="R711" s="3">
        <f t="shared" si="58"/>
        <v>0</v>
      </c>
      <c r="S711" s="3">
        <f t="shared" si="59"/>
        <v>11640.349999999995</v>
      </c>
      <c r="T711" s="24" t="s">
        <v>1081</v>
      </c>
      <c r="U711" s="24" t="s">
        <v>1081</v>
      </c>
      <c r="V711" s="67"/>
      <c r="W711" s="25" t="str">
        <f>IFERROR(VLOOKUP(BCP_Soles[[#This Row],[DESTINATARIO]],CHOOSE({1,2},Clientes_Proveedores[Razon Social],Clientes_Proveedores[Ruc / Dni]),2,0),"")</f>
        <v/>
      </c>
      <c r="X711" s="25" t="s">
        <v>1090</v>
      </c>
      <c r="Y711" s="25" t="s">
        <v>1859</v>
      </c>
      <c r="Z711" s="25"/>
      <c r="AA711" s="99"/>
      <c r="AB711" s="3" t="str">
        <f>IF(BCP_Soles[[#This Row],[FECHA]]&gt;0,TEXT(BCP_Soles[[#This Row],[FECHA]],"mmmm"),0)</f>
        <v>Marzo</v>
      </c>
    </row>
    <row r="712" spans="2:28" ht="24" x14ac:dyDescent="0.3">
      <c r="B712" s="2" t="str">
        <f>IF(BCP_Soles[[#This Row],[TIPO DE R.]]="R",COUNTIFS($D$4:$D711,"R")+1,"")</f>
        <v/>
      </c>
      <c r="C712" s="19" t="str">
        <f t="shared" si="55"/>
        <v>B-BCP - Soles</v>
      </c>
      <c r="D712" s="3" t="s">
        <v>1101</v>
      </c>
      <c r="E712" s="14">
        <v>45720</v>
      </c>
      <c r="F712" s="5" t="s">
        <v>479</v>
      </c>
      <c r="G712" s="5"/>
      <c r="H712" s="6"/>
      <c r="I712" s="6"/>
      <c r="J712" s="6"/>
      <c r="K712" s="6"/>
      <c r="L712" s="7" t="s">
        <v>1100</v>
      </c>
      <c r="M712" s="8">
        <v>2517689</v>
      </c>
      <c r="N712" s="8" t="str">
        <f t="shared" si="56"/>
        <v>PEN</v>
      </c>
      <c r="O712" s="13"/>
      <c r="P712" s="13">
        <v>708.5</v>
      </c>
      <c r="Q712" s="3">
        <f t="shared" si="57"/>
        <v>0</v>
      </c>
      <c r="R712" s="3">
        <f t="shared" si="58"/>
        <v>0</v>
      </c>
      <c r="S712" s="3">
        <f t="shared" si="59"/>
        <v>11640.349999999995</v>
      </c>
      <c r="T712" s="24" t="s">
        <v>1081</v>
      </c>
      <c r="U712" s="24" t="s">
        <v>1081</v>
      </c>
      <c r="V712" s="67"/>
      <c r="W712" s="25" t="str">
        <f>IFERROR(VLOOKUP(BCP_Soles[[#This Row],[DESTINATARIO]],CHOOSE({1,2},Clientes_Proveedores[Razon Social],Clientes_Proveedores[Ruc / Dni]),2,0),"")</f>
        <v/>
      </c>
      <c r="X712" s="25" t="s">
        <v>1090</v>
      </c>
      <c r="Y712" s="25" t="s">
        <v>1860</v>
      </c>
      <c r="Z712" s="25"/>
      <c r="AA712" s="99"/>
      <c r="AB712" s="3" t="str">
        <f>IF(BCP_Soles[[#This Row],[FECHA]]&gt;0,TEXT(BCP_Soles[[#This Row],[FECHA]],"mmmm"),0)</f>
        <v>Marzo</v>
      </c>
    </row>
    <row r="713" spans="2:28" ht="24" x14ac:dyDescent="0.3">
      <c r="B713" s="2">
        <f>IF(BCP_Soles[[#This Row],[TIPO DE R.]]="R",COUNTIFS($D$4:$D712,"R")+1,"")</f>
        <v>541</v>
      </c>
      <c r="C713" s="19" t="str">
        <f t="shared" si="55"/>
        <v>B-BCP - Soles</v>
      </c>
      <c r="D713" s="3" t="s">
        <v>1074</v>
      </c>
      <c r="E713" s="14">
        <v>45720</v>
      </c>
      <c r="F713" s="5" t="s">
        <v>1407</v>
      </c>
      <c r="G713" s="5" t="s">
        <v>1087</v>
      </c>
      <c r="H713" s="6"/>
      <c r="I713" s="6"/>
      <c r="J713" s="6"/>
      <c r="K713" s="6"/>
      <c r="L713" s="7" t="s">
        <v>1100</v>
      </c>
      <c r="M713" s="8">
        <v>2194339</v>
      </c>
      <c r="N713" s="8" t="str">
        <f t="shared" si="56"/>
        <v>PEN</v>
      </c>
      <c r="O713" s="13"/>
      <c r="P713" s="13">
        <v>1965</v>
      </c>
      <c r="Q713" s="3">
        <f t="shared" si="57"/>
        <v>1965</v>
      </c>
      <c r="R713" s="3">
        <f t="shared" si="58"/>
        <v>0</v>
      </c>
      <c r="S713" s="3">
        <f t="shared" si="59"/>
        <v>13605.349999999995</v>
      </c>
      <c r="T713" s="24" t="s">
        <v>1081</v>
      </c>
      <c r="U713" s="24" t="s">
        <v>1081</v>
      </c>
      <c r="V713" s="67"/>
      <c r="W713" s="25" t="str">
        <f>IFERROR(VLOOKUP(BCP_Soles[[#This Row],[DESTINATARIO]],CHOOSE({1,2},Clientes_Proveedores[Razon Social],Clientes_Proveedores[Ruc / Dni]),2,0),"")</f>
        <v/>
      </c>
      <c r="X713" s="25" t="s">
        <v>1090</v>
      </c>
      <c r="Y713" s="25" t="s">
        <v>1861</v>
      </c>
      <c r="Z713" s="25"/>
      <c r="AA713" s="99"/>
      <c r="AB713" s="3" t="str">
        <f>IF(BCP_Soles[[#This Row],[FECHA]]&gt;0,TEXT(BCP_Soles[[#This Row],[FECHA]],"mmmm"),0)</f>
        <v>Marzo</v>
      </c>
    </row>
    <row r="714" spans="2:28" ht="36" x14ac:dyDescent="0.3">
      <c r="B714" s="2">
        <f>IF(BCP_Soles[[#This Row],[TIPO DE R.]]="R",COUNTIFS($D$4:$D713,"R")+1,"")</f>
        <v>542</v>
      </c>
      <c r="C714" s="19" t="str">
        <f t="shared" si="55"/>
        <v>B-BCP - Soles</v>
      </c>
      <c r="D714" s="3" t="s">
        <v>1074</v>
      </c>
      <c r="E714" s="14">
        <v>45720</v>
      </c>
      <c r="F714" s="5" t="s">
        <v>497</v>
      </c>
      <c r="G714" s="5" t="s">
        <v>1087</v>
      </c>
      <c r="H714" s="6"/>
      <c r="I714" s="6"/>
      <c r="J714" s="6"/>
      <c r="K714" s="6"/>
      <c r="L714" s="7" t="s">
        <v>1093</v>
      </c>
      <c r="M714" s="8">
        <v>2175460</v>
      </c>
      <c r="N714" s="8" t="str">
        <f t="shared" si="56"/>
        <v>PEN</v>
      </c>
      <c r="O714" s="13"/>
      <c r="P714" s="13">
        <v>898.28</v>
      </c>
      <c r="Q714" s="3">
        <f t="shared" si="57"/>
        <v>898.28</v>
      </c>
      <c r="R714" s="3">
        <f t="shared" si="58"/>
        <v>0</v>
      </c>
      <c r="S714" s="3">
        <f t="shared" si="59"/>
        <v>14503.629999999996</v>
      </c>
      <c r="T714" s="24" t="s">
        <v>1081</v>
      </c>
      <c r="U714" s="24" t="s">
        <v>1081</v>
      </c>
      <c r="V714" s="67"/>
      <c r="W714" s="25" t="str">
        <f>IFERROR(VLOOKUP(BCP_Soles[[#This Row],[DESTINATARIO]],CHOOSE({1,2},Clientes_Proveedores[Razon Social],Clientes_Proveedores[Ruc / Dni]),2,0),"")</f>
        <v/>
      </c>
      <c r="X714" s="25" t="s">
        <v>1090</v>
      </c>
      <c r="Y714" s="25" t="s">
        <v>1862</v>
      </c>
      <c r="Z714" s="25"/>
      <c r="AA714" s="99"/>
      <c r="AB714" s="3" t="str">
        <f>IF(BCP_Soles[[#This Row],[FECHA]]&gt;0,TEXT(BCP_Soles[[#This Row],[FECHA]],"mmmm"),0)</f>
        <v>Marzo</v>
      </c>
    </row>
    <row r="715" spans="2:28" ht="36" x14ac:dyDescent="0.3">
      <c r="B715" s="2">
        <f>IF(BCP_Soles[[#This Row],[TIPO DE R.]]="R",COUNTIFS($D$4:$D714,"R")+1,"")</f>
        <v>543</v>
      </c>
      <c r="C715" s="19" t="str">
        <f t="shared" si="55"/>
        <v>B-BCP - Soles</v>
      </c>
      <c r="D715" s="3" t="s">
        <v>1074</v>
      </c>
      <c r="E715" s="14">
        <v>45720</v>
      </c>
      <c r="F715" s="5" t="s">
        <v>497</v>
      </c>
      <c r="G715" s="5" t="s">
        <v>1087</v>
      </c>
      <c r="H715" s="6"/>
      <c r="I715" s="6"/>
      <c r="J715" s="6"/>
      <c r="K715" s="6"/>
      <c r="L715" s="7" t="s">
        <v>1093</v>
      </c>
      <c r="M715" s="8">
        <v>2172964</v>
      </c>
      <c r="N715" s="8" t="str">
        <f t="shared" si="56"/>
        <v>PEN</v>
      </c>
      <c r="O715" s="13"/>
      <c r="P715" s="13">
        <v>649.64</v>
      </c>
      <c r="Q715" s="3">
        <f t="shared" si="57"/>
        <v>649.64</v>
      </c>
      <c r="R715" s="3">
        <f t="shared" si="58"/>
        <v>0</v>
      </c>
      <c r="S715" s="3">
        <f t="shared" si="59"/>
        <v>15153.269999999995</v>
      </c>
      <c r="T715" s="24" t="s">
        <v>1081</v>
      </c>
      <c r="U715" s="24" t="s">
        <v>1081</v>
      </c>
      <c r="V715" s="67"/>
      <c r="W715" s="25" t="str">
        <f>IFERROR(VLOOKUP(BCP_Soles[[#This Row],[DESTINATARIO]],CHOOSE({1,2},Clientes_Proveedores[Razon Social],Clientes_Proveedores[Ruc / Dni]),2,0),"")</f>
        <v/>
      </c>
      <c r="X715" s="25" t="s">
        <v>1090</v>
      </c>
      <c r="Y715" s="25" t="s">
        <v>1863</v>
      </c>
      <c r="Z715" s="25"/>
      <c r="AA715" s="99"/>
      <c r="AB715" s="3" t="str">
        <f>IF(BCP_Soles[[#This Row],[FECHA]]&gt;0,TEXT(BCP_Soles[[#This Row],[FECHA]],"mmmm"),0)</f>
        <v>Marzo</v>
      </c>
    </row>
    <row r="716" spans="2:28" ht="36" x14ac:dyDescent="0.3">
      <c r="B716" s="2">
        <f>IF(BCP_Soles[[#This Row],[TIPO DE R.]]="R",COUNTIFS($D$4:$D715,"R")+1,"")</f>
        <v>544</v>
      </c>
      <c r="C716" s="19" t="str">
        <f t="shared" si="55"/>
        <v>B-BCP - Soles</v>
      </c>
      <c r="D716" s="3" t="s">
        <v>1074</v>
      </c>
      <c r="E716" s="14">
        <v>45720</v>
      </c>
      <c r="F716" s="5" t="s">
        <v>497</v>
      </c>
      <c r="G716" s="5" t="s">
        <v>1087</v>
      </c>
      <c r="H716" s="6"/>
      <c r="I716" s="6"/>
      <c r="J716" s="6"/>
      <c r="K716" s="6"/>
      <c r="L716" s="7" t="s">
        <v>1093</v>
      </c>
      <c r="M716" s="8">
        <v>2175300</v>
      </c>
      <c r="N716" s="8" t="str">
        <f t="shared" si="56"/>
        <v>PEN</v>
      </c>
      <c r="O716" s="13"/>
      <c r="P716" s="13">
        <v>609.44000000000005</v>
      </c>
      <c r="Q716" s="3">
        <f t="shared" si="57"/>
        <v>609.44000000000005</v>
      </c>
      <c r="R716" s="3">
        <f t="shared" si="58"/>
        <v>0</v>
      </c>
      <c r="S716" s="3">
        <f t="shared" si="59"/>
        <v>15762.709999999995</v>
      </c>
      <c r="T716" s="24" t="s">
        <v>1081</v>
      </c>
      <c r="U716" s="24" t="s">
        <v>1081</v>
      </c>
      <c r="V716" s="67"/>
      <c r="W716" s="25" t="str">
        <f>IFERROR(VLOOKUP(BCP_Soles[[#This Row],[DESTINATARIO]],CHOOSE({1,2},Clientes_Proveedores[Razon Social],Clientes_Proveedores[Ruc / Dni]),2,0),"")</f>
        <v/>
      </c>
      <c r="X716" s="25" t="s">
        <v>1090</v>
      </c>
      <c r="Y716" s="25" t="s">
        <v>1864</v>
      </c>
      <c r="Z716" s="25"/>
      <c r="AA716" s="99"/>
      <c r="AB716" s="3" t="str">
        <f>IF(BCP_Soles[[#This Row],[FECHA]]&gt;0,TEXT(BCP_Soles[[#This Row],[FECHA]],"mmmm"),0)</f>
        <v>Marzo</v>
      </c>
    </row>
    <row r="717" spans="2:28" x14ac:dyDescent="0.3">
      <c r="B717" s="2">
        <f>IF(BCP_Soles[[#This Row],[TIPO DE R.]]="R",COUNTIFS($D$4:$D716,"R")+1,"")</f>
        <v>545</v>
      </c>
      <c r="C717" s="19" t="str">
        <f t="shared" si="55"/>
        <v>B-BCP - Soles</v>
      </c>
      <c r="D717" s="3" t="s">
        <v>1074</v>
      </c>
      <c r="E717" s="14">
        <v>45720</v>
      </c>
      <c r="F717" s="5" t="s">
        <v>1078</v>
      </c>
      <c r="G717" s="5" t="s">
        <v>1079</v>
      </c>
      <c r="H717" s="6"/>
      <c r="I717" s="6"/>
      <c r="J717" s="6"/>
      <c r="K717" s="6"/>
      <c r="L717" s="7" t="s">
        <v>1080</v>
      </c>
      <c r="M717" s="8"/>
      <c r="N717" s="8" t="str">
        <f t="shared" si="56"/>
        <v>PEN</v>
      </c>
      <c r="O717" s="13"/>
      <c r="P717" s="13">
        <v>0.8</v>
      </c>
      <c r="Q717" s="3">
        <f t="shared" si="57"/>
        <v>0</v>
      </c>
      <c r="R717" s="3">
        <f t="shared" si="58"/>
        <v>0.8</v>
      </c>
      <c r="S717" s="3">
        <f t="shared" si="59"/>
        <v>15761.909999999996</v>
      </c>
      <c r="T717" s="24"/>
      <c r="U717" s="24" t="s">
        <v>1081</v>
      </c>
      <c r="V717" s="67"/>
      <c r="W717" s="25" t="str">
        <f>IFERROR(VLOOKUP(BCP_Soles[[#This Row],[DESTINATARIO]],CHOOSE({1,2},Clientes_Proveedores[Razon Social],Clientes_Proveedores[Ruc / Dni]),2,0),"")</f>
        <v/>
      </c>
      <c r="X717" s="25"/>
      <c r="Y717" s="25"/>
      <c r="Z717" s="25"/>
      <c r="AA717" s="99"/>
      <c r="AB717" s="3" t="str">
        <f>IF(BCP_Soles[[#This Row],[FECHA]]&gt;0,TEXT(BCP_Soles[[#This Row],[FECHA]],"mmmm"),0)</f>
        <v>Marzo</v>
      </c>
    </row>
    <row r="718" spans="2:28" x14ac:dyDescent="0.3">
      <c r="B718" s="2">
        <f>IF(BCP_Soles[[#This Row],[TIPO DE R.]]="R",COUNTIFS($D$4:$D717,"R")+1,"")</f>
        <v>546</v>
      </c>
      <c r="C718" s="19" t="str">
        <f t="shared" si="55"/>
        <v>B-BCP - Soles</v>
      </c>
      <c r="D718" s="3" t="s">
        <v>1074</v>
      </c>
      <c r="E718" s="14">
        <v>45720</v>
      </c>
      <c r="F718" s="5" t="s">
        <v>1270</v>
      </c>
      <c r="G718" s="5" t="s">
        <v>1079</v>
      </c>
      <c r="H718" s="6"/>
      <c r="I718" s="6"/>
      <c r="J718" s="6"/>
      <c r="K718" s="6"/>
      <c r="L718" s="7" t="s">
        <v>1141</v>
      </c>
      <c r="M718" s="8">
        <v>545</v>
      </c>
      <c r="N718" s="8" t="str">
        <f t="shared" si="56"/>
        <v>PEN</v>
      </c>
      <c r="O718" s="13"/>
      <c r="P718" s="13">
        <v>10</v>
      </c>
      <c r="Q718" s="3">
        <f t="shared" si="57"/>
        <v>0</v>
      </c>
      <c r="R718" s="3">
        <f t="shared" si="58"/>
        <v>10</v>
      </c>
      <c r="S718" s="3">
        <f t="shared" si="59"/>
        <v>15751.909999999996</v>
      </c>
      <c r="T718" s="24"/>
      <c r="U718" s="24" t="s">
        <v>1081</v>
      </c>
      <c r="V718" s="67"/>
      <c r="W718" s="25" t="str">
        <f>IFERROR(VLOOKUP(BCP_Soles[[#This Row],[DESTINATARIO]],CHOOSE({1,2},Clientes_Proveedores[Razon Social],Clientes_Proveedores[Ruc / Dni]),2,0),"")</f>
        <v/>
      </c>
      <c r="X718" s="25" t="s">
        <v>1078</v>
      </c>
      <c r="Y718" s="25" t="s">
        <v>1865</v>
      </c>
      <c r="Z718" s="25"/>
      <c r="AA718" s="99"/>
      <c r="AB718" s="3" t="str">
        <f>IF(BCP_Soles[[#This Row],[FECHA]]&gt;0,TEXT(BCP_Soles[[#This Row],[FECHA]],"mmmm"),0)</f>
        <v>Marzo</v>
      </c>
    </row>
    <row r="719" spans="2:28" ht="24" x14ac:dyDescent="0.3">
      <c r="B719" s="2">
        <f>IF(BCP_Soles[[#This Row],[TIPO DE R.]]="R",COUNTIFS($D$4:$D718,"R")+1,"")</f>
        <v>547</v>
      </c>
      <c r="C719" s="19" t="str">
        <f t="shared" si="55"/>
        <v>B-BCP - Soles</v>
      </c>
      <c r="D719" s="3" t="s">
        <v>1074</v>
      </c>
      <c r="E719" s="14">
        <v>45720</v>
      </c>
      <c r="F719" s="5" t="s">
        <v>1082</v>
      </c>
      <c r="G719" s="5" t="s">
        <v>1079</v>
      </c>
      <c r="H719" s="6" t="s">
        <v>138</v>
      </c>
      <c r="I719" s="6" t="s">
        <v>14</v>
      </c>
      <c r="J719" s="6" t="s">
        <v>1119</v>
      </c>
      <c r="K719" s="6">
        <v>66419</v>
      </c>
      <c r="L719" s="7" t="s">
        <v>1866</v>
      </c>
      <c r="M719" s="8">
        <v>201274</v>
      </c>
      <c r="N719" s="8" t="str">
        <f t="shared" si="56"/>
        <v>PEN</v>
      </c>
      <c r="O719" s="13"/>
      <c r="P719" s="13">
        <v>50.5</v>
      </c>
      <c r="Q719" s="3">
        <f t="shared" si="57"/>
        <v>0</v>
      </c>
      <c r="R719" s="3">
        <f t="shared" si="58"/>
        <v>50.5</v>
      </c>
      <c r="S719" s="3">
        <f t="shared" si="59"/>
        <v>15701.409999999996</v>
      </c>
      <c r="T719" s="24" t="s">
        <v>1081</v>
      </c>
      <c r="U719" s="24" t="s">
        <v>1081</v>
      </c>
      <c r="V719" s="67"/>
      <c r="W719" s="25">
        <f>IFERROR(VLOOKUP(BCP_Soles[[#This Row],[DESTINATARIO]],CHOOSE({1,2},Clientes_Proveedores[Razon Social],Clientes_Proveedores[Ruc / Dni]),2,0),"")</f>
        <v>20100039207</v>
      </c>
      <c r="X719" s="25" t="s">
        <v>1161</v>
      </c>
      <c r="Y719" s="25" t="s">
        <v>1867</v>
      </c>
      <c r="Z719" s="25"/>
      <c r="AA719" s="99"/>
      <c r="AB719" s="3" t="str">
        <f>IF(BCP_Soles[[#This Row],[FECHA]]&gt;0,TEXT(BCP_Soles[[#This Row],[FECHA]],"mmmm"),0)</f>
        <v>Marzo</v>
      </c>
    </row>
    <row r="720" spans="2:28" ht="36" x14ac:dyDescent="0.3">
      <c r="B720" s="2">
        <f>IF(BCP_Soles[[#This Row],[TIPO DE R.]]="R",COUNTIFS($D$4:$D719,"R")+1,"")</f>
        <v>548</v>
      </c>
      <c r="C720" s="19" t="str">
        <f t="shared" si="55"/>
        <v>B-BCP - Soles</v>
      </c>
      <c r="D720" s="3" t="s">
        <v>1074</v>
      </c>
      <c r="E720" s="14">
        <v>45720</v>
      </c>
      <c r="F720" s="5" t="s">
        <v>1082</v>
      </c>
      <c r="G720" s="5" t="s">
        <v>1079</v>
      </c>
      <c r="H720" s="6" t="s">
        <v>530</v>
      </c>
      <c r="I720" s="6" t="s">
        <v>14</v>
      </c>
      <c r="J720" s="6" t="s">
        <v>1121</v>
      </c>
      <c r="K720" s="6">
        <v>357</v>
      </c>
      <c r="L720" s="7" t="s">
        <v>1868</v>
      </c>
      <c r="M720" s="8">
        <v>1143261</v>
      </c>
      <c r="N720" s="8" t="str">
        <f t="shared" si="56"/>
        <v>PEN</v>
      </c>
      <c r="O720" s="13"/>
      <c r="P720" s="13">
        <v>94.28</v>
      </c>
      <c r="Q720" s="3">
        <f t="shared" si="57"/>
        <v>0</v>
      </c>
      <c r="R720" s="3">
        <f t="shared" si="58"/>
        <v>94.28</v>
      </c>
      <c r="S720" s="3">
        <f t="shared" si="59"/>
        <v>15607.129999999996</v>
      </c>
      <c r="T720" s="24" t="s">
        <v>1081</v>
      </c>
      <c r="U720" s="24" t="s">
        <v>1081</v>
      </c>
      <c r="V720" s="67"/>
      <c r="W720" s="25">
        <f>IFERROR(VLOOKUP(BCP_Soles[[#This Row],[DESTINATARIO]],CHOOSE({1,2},Clientes_Proveedores[Razon Social],Clientes_Proveedores[Ruc / Dni]),2,0),"")</f>
        <v>20609368773</v>
      </c>
      <c r="X720" s="25" t="s">
        <v>1181</v>
      </c>
      <c r="Y720" s="25" t="s">
        <v>1869</v>
      </c>
      <c r="Z720" s="25"/>
      <c r="AA720" s="99"/>
      <c r="AB720" s="3" t="str">
        <f>IF(BCP_Soles[[#This Row],[FECHA]]&gt;0,TEXT(BCP_Soles[[#This Row],[FECHA]],"mmmm"),0)</f>
        <v>Marzo</v>
      </c>
    </row>
    <row r="721" spans="2:28" ht="24" x14ac:dyDescent="0.3">
      <c r="B721" s="2">
        <f>IF(BCP_Soles[[#This Row],[TIPO DE R.]]="R",COUNTIFS($D$4:$D720,"R")+1,"")</f>
        <v>549</v>
      </c>
      <c r="C721" s="19" t="str">
        <f t="shared" si="55"/>
        <v>B-BCP - Soles</v>
      </c>
      <c r="D721" s="3" t="s">
        <v>1074</v>
      </c>
      <c r="E721" s="14">
        <v>45720</v>
      </c>
      <c r="F721" s="5" t="s">
        <v>1082</v>
      </c>
      <c r="G721" s="5" t="s">
        <v>1079</v>
      </c>
      <c r="H721" s="6" t="s">
        <v>184</v>
      </c>
      <c r="I721" s="6" t="s">
        <v>14</v>
      </c>
      <c r="J721" s="6" t="s">
        <v>1083</v>
      </c>
      <c r="K721" s="6">
        <v>7282</v>
      </c>
      <c r="L721" s="7" t="s">
        <v>1866</v>
      </c>
      <c r="M721" s="8">
        <v>1202255</v>
      </c>
      <c r="N721" s="8" t="str">
        <f t="shared" si="56"/>
        <v>PEN</v>
      </c>
      <c r="O721" s="13"/>
      <c r="P721" s="13">
        <v>459.5</v>
      </c>
      <c r="Q721" s="3">
        <f t="shared" si="57"/>
        <v>0</v>
      </c>
      <c r="R721" s="3">
        <f t="shared" si="58"/>
        <v>459.5</v>
      </c>
      <c r="S721" s="3">
        <f t="shared" si="59"/>
        <v>15147.629999999996</v>
      </c>
      <c r="T721" s="24" t="s">
        <v>1081</v>
      </c>
      <c r="U721" s="24" t="s">
        <v>1081</v>
      </c>
      <c r="V721" s="67"/>
      <c r="W721" s="25">
        <f>IFERROR(VLOOKUP(BCP_Soles[[#This Row],[DESTINATARIO]],CHOOSE({1,2},Clientes_Proveedores[Razon Social],Clientes_Proveedores[Ruc / Dni]),2,0),"")</f>
        <v>20170040938</v>
      </c>
      <c r="X721" s="25" t="s">
        <v>1085</v>
      </c>
      <c r="Y721" s="25" t="s">
        <v>1870</v>
      </c>
      <c r="Z721" s="25"/>
      <c r="AA721" s="99"/>
      <c r="AB721" s="3" t="str">
        <f>IF(BCP_Soles[[#This Row],[FECHA]]&gt;0,TEXT(BCP_Soles[[#This Row],[FECHA]],"mmmm"),0)</f>
        <v>Marzo</v>
      </c>
    </row>
    <row r="722" spans="2:28" ht="24" x14ac:dyDescent="0.3">
      <c r="B722" s="2">
        <f>IF(BCP_Soles[[#This Row],[TIPO DE R.]]="R",COUNTIFS($D$4:$D721,"R")+1,"")</f>
        <v>550</v>
      </c>
      <c r="C722" s="19" t="str">
        <f t="shared" si="55"/>
        <v>B-BCP - Soles</v>
      </c>
      <c r="D722" s="3" t="s">
        <v>1074</v>
      </c>
      <c r="E722" s="14">
        <v>45720</v>
      </c>
      <c r="F722" s="5" t="s">
        <v>1082</v>
      </c>
      <c r="G722" s="5" t="s">
        <v>1079</v>
      </c>
      <c r="H722" s="6" t="s">
        <v>192</v>
      </c>
      <c r="I722" s="6"/>
      <c r="J722" s="6"/>
      <c r="K722" s="6"/>
      <c r="L722" s="7" t="s">
        <v>1871</v>
      </c>
      <c r="M722" s="8">
        <v>1143755</v>
      </c>
      <c r="N722" s="8" t="str">
        <f t="shared" si="56"/>
        <v>PEN</v>
      </c>
      <c r="O722" s="13"/>
      <c r="P722" s="13">
        <v>472</v>
      </c>
      <c r="Q722" s="3">
        <f t="shared" si="57"/>
        <v>0</v>
      </c>
      <c r="R722" s="3">
        <f t="shared" si="58"/>
        <v>472</v>
      </c>
      <c r="S722" s="3">
        <f t="shared" si="59"/>
        <v>14675.629999999996</v>
      </c>
      <c r="T722" s="24"/>
      <c r="U722" s="24"/>
      <c r="V722" s="67"/>
      <c r="W722" s="25">
        <f>IFERROR(VLOOKUP(BCP_Soles[[#This Row],[DESTINATARIO]],CHOOSE({1,2},Clientes_Proveedores[Razon Social],Clientes_Proveedores[Ruc / Dni]),2,0),"")</f>
        <v>20302891452</v>
      </c>
      <c r="X722" s="25" t="s">
        <v>192</v>
      </c>
      <c r="Y722" s="25"/>
      <c r="Z722" s="25"/>
      <c r="AA722" s="99"/>
      <c r="AB722" s="3" t="str">
        <f>IF(BCP_Soles[[#This Row],[FECHA]]&gt;0,TEXT(BCP_Soles[[#This Row],[FECHA]],"mmmm"),0)</f>
        <v>Marzo</v>
      </c>
    </row>
    <row r="723" spans="2:28" ht="36" x14ac:dyDescent="0.3">
      <c r="B723" s="2">
        <f>IF(BCP_Soles[[#This Row],[TIPO DE R.]]="R",COUNTIFS($D$4:$D722,"R")+1,"")</f>
        <v>551</v>
      </c>
      <c r="C723" s="19" t="str">
        <f t="shared" si="55"/>
        <v>B-BCP - Soles</v>
      </c>
      <c r="D723" s="3" t="s">
        <v>1074</v>
      </c>
      <c r="E723" s="14">
        <v>45720</v>
      </c>
      <c r="F723" s="5" t="s">
        <v>1082</v>
      </c>
      <c r="G723" s="5" t="s">
        <v>1079</v>
      </c>
      <c r="H723" s="6" t="s">
        <v>440</v>
      </c>
      <c r="I723" s="6" t="s">
        <v>14</v>
      </c>
      <c r="J723" s="6" t="s">
        <v>1148</v>
      </c>
      <c r="K723" s="6">
        <v>18499</v>
      </c>
      <c r="L723" s="7" t="s">
        <v>1872</v>
      </c>
      <c r="M723" s="8">
        <v>1144247</v>
      </c>
      <c r="N723" s="8" t="str">
        <f t="shared" si="56"/>
        <v>PEN</v>
      </c>
      <c r="O723" s="13"/>
      <c r="P723" s="13">
        <v>515</v>
      </c>
      <c r="Q723" s="3">
        <f t="shared" si="57"/>
        <v>0</v>
      </c>
      <c r="R723" s="3">
        <f t="shared" si="58"/>
        <v>515</v>
      </c>
      <c r="S723" s="3">
        <f t="shared" si="59"/>
        <v>14160.629999999996</v>
      </c>
      <c r="T723" s="24" t="s">
        <v>1081</v>
      </c>
      <c r="U723" s="24"/>
      <c r="V723" s="67"/>
      <c r="W723" s="25">
        <f>IFERROR(VLOOKUP(BCP_Soles[[#This Row],[DESTINATARIO]],CHOOSE({1,2},Clientes_Proveedores[Razon Social],Clientes_Proveedores[Ruc / Dni]),2,0),"")</f>
        <v>20602810497</v>
      </c>
      <c r="X723" s="25" t="s">
        <v>1331</v>
      </c>
      <c r="Y723" s="25"/>
      <c r="Z723" s="25"/>
      <c r="AA723" s="99"/>
      <c r="AB723" s="3" t="str">
        <f>IF(BCP_Soles[[#This Row],[FECHA]]&gt;0,TEXT(BCP_Soles[[#This Row],[FECHA]],"mmmm"),0)</f>
        <v>Marzo</v>
      </c>
    </row>
    <row r="724" spans="2:28" ht="24" x14ac:dyDescent="0.3">
      <c r="B724" s="2">
        <f>IF(BCP_Soles[[#This Row],[TIPO DE R.]]="R",COUNTIFS($D$4:$D723,"R")+1,"")</f>
        <v>552</v>
      </c>
      <c r="C724" s="19" t="str">
        <f t="shared" si="55"/>
        <v>B-BCP - Soles</v>
      </c>
      <c r="D724" s="3" t="s">
        <v>1074</v>
      </c>
      <c r="E724" s="14">
        <v>45720</v>
      </c>
      <c r="F724" s="5" t="s">
        <v>1082</v>
      </c>
      <c r="G724" s="5" t="s">
        <v>1079</v>
      </c>
      <c r="H724" s="6" t="s">
        <v>807</v>
      </c>
      <c r="I724" s="6" t="s">
        <v>87</v>
      </c>
      <c r="J724" s="6">
        <v>1</v>
      </c>
      <c r="K724" s="6">
        <v>232025</v>
      </c>
      <c r="L724" s="7" t="s">
        <v>1873</v>
      </c>
      <c r="M724" s="8">
        <v>1141819</v>
      </c>
      <c r="N724" s="8" t="str">
        <f t="shared" si="56"/>
        <v>PEN</v>
      </c>
      <c r="O724" s="13"/>
      <c r="P724" s="13">
        <v>960</v>
      </c>
      <c r="Q724" s="3">
        <f t="shared" si="57"/>
        <v>0</v>
      </c>
      <c r="R724" s="3">
        <f t="shared" si="58"/>
        <v>960</v>
      </c>
      <c r="S724" s="3">
        <f t="shared" si="59"/>
        <v>13200.629999999996</v>
      </c>
      <c r="T724" s="24" t="s">
        <v>1081</v>
      </c>
      <c r="U724" s="24" t="s">
        <v>1081</v>
      </c>
      <c r="V724" s="67"/>
      <c r="W724" s="25">
        <f>IFERROR(VLOOKUP(BCP_Soles[[#This Row],[DESTINATARIO]],CHOOSE({1,2},Clientes_Proveedores[Razon Social],Clientes_Proveedores[Ruc / Dni]),2,0),"")</f>
        <v>45921913</v>
      </c>
      <c r="X724" s="25"/>
      <c r="Y724" s="25"/>
      <c r="Z724" s="25"/>
      <c r="AA724" s="99"/>
      <c r="AB724" s="3" t="str">
        <f>IF(BCP_Soles[[#This Row],[FECHA]]&gt;0,TEXT(BCP_Soles[[#This Row],[FECHA]],"mmmm"),0)</f>
        <v>Marzo</v>
      </c>
    </row>
    <row r="725" spans="2:28" ht="24" x14ac:dyDescent="0.3">
      <c r="B725" s="2">
        <f>IF(BCP_Soles[[#This Row],[TIPO DE R.]]="R",COUNTIFS($D$4:$D724,"R")+1,"")</f>
        <v>553</v>
      </c>
      <c r="C725" s="19" t="str">
        <f t="shared" si="55"/>
        <v>B-BCP - Soles</v>
      </c>
      <c r="D725" s="3" t="s">
        <v>1074</v>
      </c>
      <c r="E725" s="14">
        <v>45720</v>
      </c>
      <c r="F725" s="5" t="s">
        <v>1082</v>
      </c>
      <c r="G725" s="5" t="s">
        <v>1079</v>
      </c>
      <c r="H725" s="6" t="s">
        <v>192</v>
      </c>
      <c r="I725" s="6"/>
      <c r="J725" s="6"/>
      <c r="K725" s="6"/>
      <c r="L725" s="7" t="s">
        <v>1874</v>
      </c>
      <c r="M725" s="8">
        <v>1143754</v>
      </c>
      <c r="N725" s="8" t="str">
        <f t="shared" si="56"/>
        <v>PEN</v>
      </c>
      <c r="O725" s="13"/>
      <c r="P725" s="13">
        <v>1276.29</v>
      </c>
      <c r="Q725" s="3">
        <f t="shared" si="57"/>
        <v>0</v>
      </c>
      <c r="R725" s="3">
        <f t="shared" si="58"/>
        <v>1276.29</v>
      </c>
      <c r="S725" s="3">
        <f t="shared" si="59"/>
        <v>11924.339999999997</v>
      </c>
      <c r="T725" s="24"/>
      <c r="U725" s="24"/>
      <c r="V725" s="67"/>
      <c r="W725" s="25">
        <f>IFERROR(VLOOKUP(BCP_Soles[[#This Row],[DESTINATARIO]],CHOOSE({1,2},Clientes_Proveedores[Razon Social],Clientes_Proveedores[Ruc / Dni]),2,0),"")</f>
        <v>20302891452</v>
      </c>
      <c r="X725" s="25" t="s">
        <v>192</v>
      </c>
      <c r="Y725" s="25"/>
      <c r="Z725" s="25"/>
      <c r="AA725" s="99"/>
      <c r="AB725" s="3" t="str">
        <f>IF(BCP_Soles[[#This Row],[FECHA]]&gt;0,TEXT(BCP_Soles[[#This Row],[FECHA]],"mmmm"),0)</f>
        <v>Marzo</v>
      </c>
    </row>
    <row r="726" spans="2:28" x14ac:dyDescent="0.3">
      <c r="B726" s="2">
        <f>IF(BCP_Soles[[#This Row],[TIPO DE R.]]="R",COUNTIFS($D$4:$D725,"R")+1,"")</f>
        <v>554</v>
      </c>
      <c r="C726" s="19" t="str">
        <f t="shared" si="55"/>
        <v>B-BCP - Soles</v>
      </c>
      <c r="D726" s="3" t="s">
        <v>1074</v>
      </c>
      <c r="E726" s="14">
        <v>45720</v>
      </c>
      <c r="F726" s="5" t="s">
        <v>1082</v>
      </c>
      <c r="G726" s="5" t="s">
        <v>1079</v>
      </c>
      <c r="H726" s="6"/>
      <c r="I726" s="6"/>
      <c r="J726" s="6"/>
      <c r="K726" s="6"/>
      <c r="L726" s="7" t="s">
        <v>1875</v>
      </c>
      <c r="M726" s="8">
        <v>1008662</v>
      </c>
      <c r="N726" s="8" t="str">
        <f t="shared" si="56"/>
        <v>PEN</v>
      </c>
      <c r="O726" s="13"/>
      <c r="P726" s="13">
        <v>1537</v>
      </c>
      <c r="Q726" s="3">
        <f t="shared" si="57"/>
        <v>0</v>
      </c>
      <c r="R726" s="3">
        <f t="shared" si="58"/>
        <v>1537</v>
      </c>
      <c r="S726" s="3">
        <f t="shared" si="59"/>
        <v>10387.339999999997</v>
      </c>
      <c r="T726" s="24"/>
      <c r="U726" s="24"/>
      <c r="V726" s="67"/>
      <c r="W726" s="25" t="str">
        <f>IFERROR(VLOOKUP(BCP_Soles[[#This Row],[DESTINATARIO]],CHOOSE({1,2},Clientes_Proveedores[Razon Social],Clientes_Proveedores[Ruc / Dni]),2,0),"")</f>
        <v/>
      </c>
      <c r="X726" s="25" t="s">
        <v>1133</v>
      </c>
      <c r="Y726" s="25"/>
      <c r="Z726" s="25"/>
      <c r="AA726" s="99"/>
      <c r="AB726" s="3" t="str">
        <f>IF(BCP_Soles[[#This Row],[FECHA]]&gt;0,TEXT(BCP_Soles[[#This Row],[FECHA]],"mmmm"),0)</f>
        <v>Marzo</v>
      </c>
    </row>
    <row r="727" spans="2:28" ht="24" x14ac:dyDescent="0.3">
      <c r="B727" s="2">
        <f>IF(BCP_Soles[[#This Row],[TIPO DE R.]]="R",COUNTIFS($D$4:$D726,"R")+1,"")</f>
        <v>555</v>
      </c>
      <c r="C727" s="19" t="str">
        <f t="shared" si="55"/>
        <v>B-BCP - Soles</v>
      </c>
      <c r="D727" s="3" t="s">
        <v>1074</v>
      </c>
      <c r="E727" s="14">
        <v>45720</v>
      </c>
      <c r="F727" s="5" t="s">
        <v>1082</v>
      </c>
      <c r="G727" s="5" t="s">
        <v>1079</v>
      </c>
      <c r="H727" s="6" t="s">
        <v>600</v>
      </c>
      <c r="I727" s="6" t="s">
        <v>14</v>
      </c>
      <c r="J727" s="6" t="s">
        <v>1121</v>
      </c>
      <c r="K727" s="6">
        <v>33</v>
      </c>
      <c r="L727" s="7" t="s">
        <v>1876</v>
      </c>
      <c r="M727" s="8">
        <v>1011017</v>
      </c>
      <c r="N727" s="8" t="str">
        <f t="shared" si="56"/>
        <v>PEN</v>
      </c>
      <c r="O727" s="13"/>
      <c r="P727" s="13">
        <v>4450.96</v>
      </c>
      <c r="Q727" s="3">
        <f t="shared" si="57"/>
        <v>0</v>
      </c>
      <c r="R727" s="3">
        <f t="shared" si="58"/>
        <v>4450.96</v>
      </c>
      <c r="S727" s="3">
        <f t="shared" si="59"/>
        <v>5936.3799999999965</v>
      </c>
      <c r="T727" s="24" t="s">
        <v>1081</v>
      </c>
      <c r="U727" s="24" t="s">
        <v>1081</v>
      </c>
      <c r="V727" s="67"/>
      <c r="W727" s="25">
        <f>IFERROR(VLOOKUP(BCP_Soles[[#This Row],[DESTINATARIO]],CHOOSE({1,2},Clientes_Proveedores[Razon Social],Clientes_Proveedores[Ruc / Dni]),2,0),"")</f>
        <v>15609125303</v>
      </c>
      <c r="X727" s="25" t="s">
        <v>600</v>
      </c>
      <c r="Y727" s="25" t="s">
        <v>1877</v>
      </c>
      <c r="Z727" s="25"/>
      <c r="AA727" s="99"/>
      <c r="AB727" s="3" t="str">
        <f>IF(BCP_Soles[[#This Row],[FECHA]]&gt;0,TEXT(BCP_Soles[[#This Row],[FECHA]],"mmmm"),0)</f>
        <v>Marzo</v>
      </c>
    </row>
    <row r="728" spans="2:28" x14ac:dyDescent="0.3">
      <c r="B728" s="2">
        <f>IF(BCP_Soles[[#This Row],[TIPO DE R.]]="R",COUNTIFS($D$4:$D727,"R")+1,"")</f>
        <v>556</v>
      </c>
      <c r="C728" s="19" t="str">
        <f t="shared" si="55"/>
        <v>B-BCP - Soles</v>
      </c>
      <c r="D728" s="3" t="s">
        <v>1074</v>
      </c>
      <c r="E728" s="14">
        <v>45720</v>
      </c>
      <c r="F728" s="5" t="s">
        <v>1082</v>
      </c>
      <c r="G728" s="5" t="s">
        <v>1079</v>
      </c>
      <c r="H728" s="6"/>
      <c r="I728" s="6"/>
      <c r="J728" s="6"/>
      <c r="K728" s="6"/>
      <c r="L728" s="7" t="s">
        <v>1878</v>
      </c>
      <c r="M728" s="8">
        <v>9155997</v>
      </c>
      <c r="N728" s="8" t="str">
        <f t="shared" si="56"/>
        <v>PEN</v>
      </c>
      <c r="O728" s="13"/>
      <c r="P728" s="13">
        <v>5307.75</v>
      </c>
      <c r="Q728" s="3">
        <f t="shared" si="57"/>
        <v>0</v>
      </c>
      <c r="R728" s="3">
        <f t="shared" si="58"/>
        <v>5307.75</v>
      </c>
      <c r="S728" s="3">
        <f t="shared" si="59"/>
        <v>628.62999999999647</v>
      </c>
      <c r="T728" s="24" t="s">
        <v>1081</v>
      </c>
      <c r="U728" s="24" t="s">
        <v>1081</v>
      </c>
      <c r="V728" s="67"/>
      <c r="W728" s="25" t="str">
        <f>IFERROR(VLOOKUP(BCP_Soles[[#This Row],[DESTINATARIO]],CHOOSE({1,2},Clientes_Proveedores[Razon Social],Clientes_Proveedores[Ruc / Dni]),2,0),"")</f>
        <v/>
      </c>
      <c r="X728" s="25" t="s">
        <v>1118</v>
      </c>
      <c r="Y728" s="25"/>
      <c r="Z728" s="25"/>
      <c r="AA728" s="99"/>
      <c r="AB728" s="3" t="str">
        <f>IF(BCP_Soles[[#This Row],[FECHA]]&gt;0,TEXT(BCP_Soles[[#This Row],[FECHA]],"mmmm"),0)</f>
        <v>Marzo</v>
      </c>
    </row>
    <row r="729" spans="2:28" ht="24" x14ac:dyDescent="0.3">
      <c r="B729" s="2" t="str">
        <f>IF(BCP_Soles[[#This Row],[TIPO DE R.]]="R",COUNTIFS($D$4:$D728,"R")+1,"")</f>
        <v/>
      </c>
      <c r="C729" s="19" t="str">
        <f t="shared" si="55"/>
        <v>B-BCP - Soles</v>
      </c>
      <c r="D729" s="3" t="s">
        <v>1101</v>
      </c>
      <c r="E729" s="14">
        <v>45720</v>
      </c>
      <c r="F729" s="5" t="s">
        <v>1082</v>
      </c>
      <c r="G729" s="5"/>
      <c r="H729" s="6" t="s">
        <v>407</v>
      </c>
      <c r="I729" s="6" t="s">
        <v>14</v>
      </c>
      <c r="J729" s="6" t="s">
        <v>1121</v>
      </c>
      <c r="K729" s="6">
        <v>778</v>
      </c>
      <c r="L729" s="7" t="s">
        <v>1878</v>
      </c>
      <c r="M729" s="8">
        <v>9155997</v>
      </c>
      <c r="N729" s="8" t="str">
        <f t="shared" si="56"/>
        <v>PEN</v>
      </c>
      <c r="O729" s="13">
        <v>1344</v>
      </c>
      <c r="P729" s="13"/>
      <c r="Q729" s="3">
        <f t="shared" si="57"/>
        <v>0</v>
      </c>
      <c r="R729" s="3">
        <f t="shared" si="58"/>
        <v>0</v>
      </c>
      <c r="S729" s="3">
        <f t="shared" si="59"/>
        <v>628.62999999999647</v>
      </c>
      <c r="T729" s="24"/>
      <c r="U729" s="24"/>
      <c r="V729" s="67"/>
      <c r="W729" s="25">
        <f>IFERROR(VLOOKUP(BCP_Soles[[#This Row],[DESTINATARIO]],CHOOSE({1,2},Clientes_Proveedores[Razon Social],Clientes_Proveedores[Ruc / Dni]),2,0),"")</f>
        <v>20601279666</v>
      </c>
      <c r="X729" s="25"/>
      <c r="Y729" s="25"/>
      <c r="Z729" s="25"/>
      <c r="AA729" s="99"/>
      <c r="AB729" s="3" t="str">
        <f>IF(BCP_Soles[[#This Row],[FECHA]]&gt;0,TEXT(BCP_Soles[[#This Row],[FECHA]],"mmmm"),0)</f>
        <v>Marzo</v>
      </c>
    </row>
    <row r="730" spans="2:28" ht="36" x14ac:dyDescent="0.3">
      <c r="B730" s="2" t="str">
        <f>IF(BCP_Soles[[#This Row],[TIPO DE R.]]="R",COUNTIFS($D$4:$D729,"R")+1,"")</f>
        <v/>
      </c>
      <c r="C730" s="19" t="str">
        <f t="shared" si="55"/>
        <v>B-BCP - Soles</v>
      </c>
      <c r="D730" s="3" t="s">
        <v>1101</v>
      </c>
      <c r="E730" s="14">
        <v>45720</v>
      </c>
      <c r="F730" s="5" t="s">
        <v>1082</v>
      </c>
      <c r="G730" s="5"/>
      <c r="H730" s="6" t="s">
        <v>511</v>
      </c>
      <c r="I730" s="6" t="s">
        <v>14</v>
      </c>
      <c r="J730" s="6" t="s">
        <v>1121</v>
      </c>
      <c r="K730" s="6">
        <v>601</v>
      </c>
      <c r="L730" s="7" t="s">
        <v>1878</v>
      </c>
      <c r="M730" s="8">
        <v>9155997</v>
      </c>
      <c r="N730" s="8" t="str">
        <f t="shared" si="56"/>
        <v>PEN</v>
      </c>
      <c r="O730" s="13">
        <v>816</v>
      </c>
      <c r="P730" s="13"/>
      <c r="Q730" s="3">
        <f t="shared" si="57"/>
        <v>0</v>
      </c>
      <c r="R730" s="3">
        <f t="shared" si="58"/>
        <v>0</v>
      </c>
      <c r="S730" s="3">
        <f t="shared" si="59"/>
        <v>628.62999999999647</v>
      </c>
      <c r="T730" s="24"/>
      <c r="U730" s="24"/>
      <c r="V730" s="67"/>
      <c r="W730" s="25">
        <f>IFERROR(VLOOKUP(BCP_Soles[[#This Row],[DESTINATARIO]],CHOOSE({1,2},Clientes_Proveedores[Razon Social],Clientes_Proveedores[Ruc / Dni]),2,0),"")</f>
        <v>20608686747</v>
      </c>
      <c r="X730" s="25"/>
      <c r="Y730" s="25"/>
      <c r="Z730" s="25"/>
      <c r="AA730" s="99"/>
      <c r="AB730" s="3" t="str">
        <f>IF(BCP_Soles[[#This Row],[FECHA]]&gt;0,TEXT(BCP_Soles[[#This Row],[FECHA]],"mmmm"),0)</f>
        <v>Marzo</v>
      </c>
    </row>
    <row r="731" spans="2:28" ht="36" x14ac:dyDescent="0.3">
      <c r="B731" s="2" t="str">
        <f>IF(BCP_Soles[[#This Row],[TIPO DE R.]]="R",COUNTIFS($D$4:$D730,"R")+1,"")</f>
        <v/>
      </c>
      <c r="C731" s="19" t="str">
        <f t="shared" si="55"/>
        <v>B-BCP - Soles</v>
      </c>
      <c r="D731" s="3" t="s">
        <v>1101</v>
      </c>
      <c r="E731" s="14">
        <v>45720</v>
      </c>
      <c r="F731" s="5" t="s">
        <v>1082</v>
      </c>
      <c r="G731" s="5"/>
      <c r="H731" s="6" t="s">
        <v>417</v>
      </c>
      <c r="I731" s="6" t="s">
        <v>14</v>
      </c>
      <c r="J731" s="6" t="s">
        <v>1121</v>
      </c>
      <c r="K731" s="6">
        <v>714</v>
      </c>
      <c r="L731" s="7" t="s">
        <v>1878</v>
      </c>
      <c r="M731" s="8">
        <v>9155997</v>
      </c>
      <c r="N731" s="8" t="str">
        <f t="shared" si="56"/>
        <v>PEN</v>
      </c>
      <c r="O731" s="13">
        <v>850</v>
      </c>
      <c r="P731" s="13"/>
      <c r="Q731" s="3">
        <f t="shared" si="57"/>
        <v>0</v>
      </c>
      <c r="R731" s="3">
        <f t="shared" si="58"/>
        <v>0</v>
      </c>
      <c r="S731" s="3">
        <f t="shared" si="59"/>
        <v>628.62999999999647</v>
      </c>
      <c r="T731" s="24"/>
      <c r="U731" s="24"/>
      <c r="V731" s="67"/>
      <c r="W731" s="25">
        <f>IFERROR(VLOOKUP(BCP_Soles[[#This Row],[DESTINATARIO]],CHOOSE({1,2},Clientes_Proveedores[Razon Social],Clientes_Proveedores[Ruc / Dni]),2,0),"")</f>
        <v>20602075177</v>
      </c>
      <c r="X731" s="25"/>
      <c r="Y731" s="25"/>
      <c r="Z731" s="25"/>
      <c r="AA731" s="99"/>
      <c r="AB731" s="3" t="str">
        <f>IF(BCP_Soles[[#This Row],[FECHA]]&gt;0,TEXT(BCP_Soles[[#This Row],[FECHA]],"mmmm"),0)</f>
        <v>Marzo</v>
      </c>
    </row>
    <row r="732" spans="2:28" ht="36" x14ac:dyDescent="0.3">
      <c r="B732" s="2" t="str">
        <f>IF(BCP_Soles[[#This Row],[TIPO DE R.]]="R",COUNTIFS($D$4:$D731,"R")+1,"")</f>
        <v/>
      </c>
      <c r="C732" s="19" t="str">
        <f t="shared" si="55"/>
        <v>B-BCP - Soles</v>
      </c>
      <c r="D732" s="3" t="s">
        <v>1101</v>
      </c>
      <c r="E732" s="14">
        <v>45720</v>
      </c>
      <c r="F732" s="5" t="s">
        <v>1082</v>
      </c>
      <c r="G732" s="5"/>
      <c r="H732" s="6" t="s">
        <v>565</v>
      </c>
      <c r="I732" s="6" t="s">
        <v>14</v>
      </c>
      <c r="J732" s="6" t="s">
        <v>1119</v>
      </c>
      <c r="K732" s="6">
        <v>7492</v>
      </c>
      <c r="L732" s="7" t="s">
        <v>1878</v>
      </c>
      <c r="M732" s="8">
        <v>9155997</v>
      </c>
      <c r="N732" s="8" t="str">
        <f t="shared" si="56"/>
        <v>PEN</v>
      </c>
      <c r="O732" s="13">
        <v>2297.75</v>
      </c>
      <c r="P732" s="13"/>
      <c r="Q732" s="3">
        <f t="shared" si="57"/>
        <v>0</v>
      </c>
      <c r="R732" s="3">
        <f t="shared" si="58"/>
        <v>0</v>
      </c>
      <c r="S732" s="3">
        <f t="shared" si="59"/>
        <v>628.62999999999647</v>
      </c>
      <c r="T732" s="24"/>
      <c r="U732" s="24"/>
      <c r="V732" s="67"/>
      <c r="W732" s="25">
        <f>IFERROR(VLOOKUP(BCP_Soles[[#This Row],[DESTINATARIO]],CHOOSE({1,2},Clientes_Proveedores[Razon Social],Clientes_Proveedores[Ruc / Dni]),2,0),"")</f>
        <v>20454819137</v>
      </c>
      <c r="X732" s="25"/>
      <c r="Y732" s="25"/>
      <c r="Z732" s="25"/>
      <c r="AA732" s="99"/>
      <c r="AB732" s="3" t="str">
        <f>IF(BCP_Soles[[#This Row],[FECHA]]&gt;0,TEXT(BCP_Soles[[#This Row],[FECHA]],"mmmm"),0)</f>
        <v>Marzo</v>
      </c>
    </row>
    <row r="733" spans="2:28" ht="36" x14ac:dyDescent="0.3">
      <c r="B733" s="2">
        <f>IF(BCP_Soles[[#This Row],[TIPO DE R.]]="R",COUNTIFS($D$4:$D732,"R")+1,"")</f>
        <v>557</v>
      </c>
      <c r="C733" s="19" t="str">
        <f t="shared" si="55"/>
        <v>B-BCP - Soles</v>
      </c>
      <c r="D733" s="3" t="s">
        <v>1074</v>
      </c>
      <c r="E733" s="14">
        <v>45721</v>
      </c>
      <c r="F733" s="5" t="s">
        <v>198</v>
      </c>
      <c r="G733" s="5" t="s">
        <v>1087</v>
      </c>
      <c r="H733" s="6"/>
      <c r="I733" s="6"/>
      <c r="J733" s="6"/>
      <c r="K733" s="6"/>
      <c r="L733" s="7" t="s">
        <v>1879</v>
      </c>
      <c r="M733" s="8">
        <v>9497656</v>
      </c>
      <c r="N733" s="8" t="str">
        <f t="shared" si="56"/>
        <v>PEN</v>
      </c>
      <c r="O733" s="13"/>
      <c r="P733" s="13">
        <v>20874.04</v>
      </c>
      <c r="Q733" s="3">
        <f t="shared" si="57"/>
        <v>20874.04</v>
      </c>
      <c r="R733" s="3">
        <f t="shared" si="58"/>
        <v>0</v>
      </c>
      <c r="S733" s="3">
        <f t="shared" si="59"/>
        <v>21502.67</v>
      </c>
      <c r="T733" s="24" t="s">
        <v>1081</v>
      </c>
      <c r="U733" s="24" t="s">
        <v>1081</v>
      </c>
      <c r="V733" s="67"/>
      <c r="W733" s="25" t="str">
        <f>IFERROR(VLOOKUP(BCP_Soles[[#This Row],[DESTINATARIO]],CHOOSE({1,2},Clientes_Proveedores[Razon Social],Clientes_Proveedores[Ruc / Dni]),2,0),"")</f>
        <v/>
      </c>
      <c r="X733" s="25" t="s">
        <v>1090</v>
      </c>
      <c r="Y733" s="25" t="s">
        <v>1880</v>
      </c>
      <c r="Z733" s="25"/>
      <c r="AA733" s="99"/>
      <c r="AB733" s="3" t="str">
        <f>IF(BCP_Soles[[#This Row],[FECHA]]&gt;0,TEXT(BCP_Soles[[#This Row],[FECHA]],"mmmm"),0)</f>
        <v>Marzo</v>
      </c>
    </row>
    <row r="734" spans="2:28" ht="24" x14ac:dyDescent="0.3">
      <c r="B734" s="2">
        <f>IF(BCP_Soles[[#This Row],[TIPO DE R.]]="R",COUNTIFS($D$4:$D733,"R")+1,"")</f>
        <v>558</v>
      </c>
      <c r="C734" s="19" t="str">
        <f t="shared" si="55"/>
        <v>B-BCP - Soles</v>
      </c>
      <c r="D734" s="3" t="s">
        <v>1074</v>
      </c>
      <c r="E734" s="14">
        <v>45721</v>
      </c>
      <c r="F734" s="5" t="s">
        <v>592</v>
      </c>
      <c r="G734" s="5" t="s">
        <v>1087</v>
      </c>
      <c r="H734" s="6"/>
      <c r="I734" s="6"/>
      <c r="J734" s="6"/>
      <c r="K734" s="6"/>
      <c r="L734" s="7" t="s">
        <v>1881</v>
      </c>
      <c r="M734" s="8">
        <v>864269</v>
      </c>
      <c r="N734" s="8" t="str">
        <f t="shared" si="56"/>
        <v>PEN</v>
      </c>
      <c r="O734" s="13"/>
      <c r="P734" s="13">
        <v>3480</v>
      </c>
      <c r="Q734" s="3">
        <f t="shared" si="57"/>
        <v>3480</v>
      </c>
      <c r="R734" s="3">
        <f t="shared" si="58"/>
        <v>0</v>
      </c>
      <c r="S734" s="3">
        <f t="shared" si="59"/>
        <v>24982.67</v>
      </c>
      <c r="T734" s="24" t="s">
        <v>1081</v>
      </c>
      <c r="U734" s="24" t="s">
        <v>1081</v>
      </c>
      <c r="V734" s="67"/>
      <c r="W734" s="25" t="str">
        <f>IFERROR(VLOOKUP(BCP_Soles[[#This Row],[DESTINATARIO]],CHOOSE({1,2},Clientes_Proveedores[Razon Social],Clientes_Proveedores[Ruc / Dni]),2,0),"")</f>
        <v/>
      </c>
      <c r="X734" s="25" t="s">
        <v>1090</v>
      </c>
      <c r="Y734" s="25" t="s">
        <v>1882</v>
      </c>
      <c r="Z734" s="25"/>
      <c r="AA734" s="99"/>
      <c r="AB734" s="3" t="str">
        <f>IF(BCP_Soles[[#This Row],[FECHA]]&gt;0,TEXT(BCP_Soles[[#This Row],[FECHA]],"mmmm"),0)</f>
        <v>Marzo</v>
      </c>
    </row>
    <row r="735" spans="2:28" x14ac:dyDescent="0.3">
      <c r="B735" s="2">
        <f>IF(BCP_Soles[[#This Row],[TIPO DE R.]]="R",COUNTIFS($D$4:$D734,"R")+1,"")</f>
        <v>559</v>
      </c>
      <c r="C735" s="19" t="str">
        <f t="shared" si="55"/>
        <v>B-BCP - Soles</v>
      </c>
      <c r="D735" s="3" t="s">
        <v>1074</v>
      </c>
      <c r="E735" s="14">
        <v>45721</v>
      </c>
      <c r="F735" s="5"/>
      <c r="G735" s="5" t="s">
        <v>1087</v>
      </c>
      <c r="H735" s="6"/>
      <c r="I735" s="6"/>
      <c r="J735" s="6"/>
      <c r="K735" s="6"/>
      <c r="L735" s="7" t="s">
        <v>1100</v>
      </c>
      <c r="M735" s="8">
        <v>679451</v>
      </c>
      <c r="N735" s="8" t="str">
        <f t="shared" si="56"/>
        <v>PEN</v>
      </c>
      <c r="O735" s="13"/>
      <c r="P735" s="13">
        <v>739.05</v>
      </c>
      <c r="Q735" s="3">
        <f t="shared" si="57"/>
        <v>739.05</v>
      </c>
      <c r="R735" s="3">
        <f t="shared" si="58"/>
        <v>0</v>
      </c>
      <c r="S735" s="3">
        <f t="shared" si="59"/>
        <v>25721.719999999998</v>
      </c>
      <c r="T735" s="24"/>
      <c r="U735" s="24"/>
      <c r="V735" s="67"/>
      <c r="W735" s="25" t="str">
        <f>IFERROR(VLOOKUP(BCP_Soles[[#This Row],[DESTINATARIO]],CHOOSE({1,2},Clientes_Proveedores[Razon Social],Clientes_Proveedores[Ruc / Dni]),2,0),"")</f>
        <v/>
      </c>
      <c r="X735" s="25" t="s">
        <v>1090</v>
      </c>
      <c r="Y735" s="25"/>
      <c r="Z735" s="25"/>
      <c r="AA735" s="99"/>
      <c r="AB735" s="3" t="str">
        <f>IF(BCP_Soles[[#This Row],[FECHA]]&gt;0,TEXT(BCP_Soles[[#This Row],[FECHA]],"mmmm"),0)</f>
        <v>Marzo</v>
      </c>
    </row>
    <row r="736" spans="2:28" ht="36" x14ac:dyDescent="0.3">
      <c r="B736" s="2">
        <f>IF(BCP_Soles[[#This Row],[TIPO DE R.]]="R",COUNTIFS($D$4:$D735,"R")+1,"")</f>
        <v>560</v>
      </c>
      <c r="C736" s="19" t="str">
        <f t="shared" si="55"/>
        <v>B-BCP - Soles</v>
      </c>
      <c r="D736" s="3" t="s">
        <v>1074</v>
      </c>
      <c r="E736" s="14">
        <v>45721</v>
      </c>
      <c r="F736" s="5" t="s">
        <v>880</v>
      </c>
      <c r="G736" s="5" t="s">
        <v>1087</v>
      </c>
      <c r="H736" s="6" t="s">
        <v>368</v>
      </c>
      <c r="I736" s="6" t="s">
        <v>87</v>
      </c>
      <c r="J736" s="6">
        <v>1</v>
      </c>
      <c r="K736" s="6">
        <v>62025</v>
      </c>
      <c r="L736" s="7" t="s">
        <v>1883</v>
      </c>
      <c r="M736" s="8">
        <v>3031781</v>
      </c>
      <c r="N736" s="8" t="str">
        <f t="shared" si="56"/>
        <v>PEN</v>
      </c>
      <c r="O736" s="13"/>
      <c r="P736" s="13">
        <v>9.3000000000000007</v>
      </c>
      <c r="Q736" s="3">
        <f t="shared" si="57"/>
        <v>9.3000000000000007</v>
      </c>
      <c r="R736" s="3">
        <f t="shared" si="58"/>
        <v>0</v>
      </c>
      <c r="S736" s="3">
        <f t="shared" si="59"/>
        <v>25731.019999999997</v>
      </c>
      <c r="T736" s="24"/>
      <c r="U736" s="24"/>
      <c r="V736" s="67"/>
      <c r="W736" s="25">
        <f>IFERROR(VLOOKUP(BCP_Soles[[#This Row],[DESTINATARIO]],CHOOSE({1,2},Clientes_Proveedores[Razon Social],Clientes_Proveedores[Ruc / Dni]),2,0),"")</f>
        <v>20558226979</v>
      </c>
      <c r="X736" s="25"/>
      <c r="Y736" s="25"/>
      <c r="Z736" s="25"/>
      <c r="AA736" s="99"/>
      <c r="AB736" s="3" t="str">
        <f>IF(BCP_Soles[[#This Row],[FECHA]]&gt;0,TEXT(BCP_Soles[[#This Row],[FECHA]],"mmmm"),0)</f>
        <v>Marzo</v>
      </c>
    </row>
    <row r="737" spans="2:28" x14ac:dyDescent="0.3">
      <c r="B737" s="2">
        <f>IF(BCP_Soles[[#This Row],[TIPO DE R.]]="R",COUNTIFS($D$4:$D736,"R")+1,"")</f>
        <v>561</v>
      </c>
      <c r="C737" s="19" t="str">
        <f t="shared" si="55"/>
        <v>B-BCP - Soles</v>
      </c>
      <c r="D737" s="3" t="s">
        <v>1074</v>
      </c>
      <c r="E737" s="14">
        <v>45721</v>
      </c>
      <c r="F737" s="5" t="s">
        <v>1078</v>
      </c>
      <c r="G737" s="5" t="s">
        <v>1079</v>
      </c>
      <c r="H737" s="6"/>
      <c r="I737" s="6"/>
      <c r="J737" s="6"/>
      <c r="K737" s="6"/>
      <c r="L737" s="7" t="s">
        <v>1080</v>
      </c>
      <c r="M737" s="8"/>
      <c r="N737" s="8" t="str">
        <f t="shared" si="56"/>
        <v>PEN</v>
      </c>
      <c r="O737" s="13"/>
      <c r="P737" s="13">
        <v>1.4</v>
      </c>
      <c r="Q737" s="3">
        <f t="shared" si="57"/>
        <v>0</v>
      </c>
      <c r="R737" s="3">
        <f t="shared" si="58"/>
        <v>1.4</v>
      </c>
      <c r="S737" s="3">
        <f t="shared" si="59"/>
        <v>25729.619999999995</v>
      </c>
      <c r="T737" s="24"/>
      <c r="U737" s="24" t="s">
        <v>1081</v>
      </c>
      <c r="V737" s="67"/>
      <c r="W737" s="25" t="str">
        <f>IFERROR(VLOOKUP(BCP_Soles[[#This Row],[DESTINATARIO]],CHOOSE({1,2},Clientes_Proveedores[Razon Social],Clientes_Proveedores[Ruc / Dni]),2,0),"")</f>
        <v/>
      </c>
      <c r="X737" s="25"/>
      <c r="Y737" s="25"/>
      <c r="Z737" s="25"/>
      <c r="AA737" s="99"/>
      <c r="AB737" s="3" t="str">
        <f>IF(BCP_Soles[[#This Row],[FECHA]]&gt;0,TEXT(BCP_Soles[[#This Row],[FECHA]],"mmmm"),0)</f>
        <v>Marzo</v>
      </c>
    </row>
    <row r="738" spans="2:28" ht="24" x14ac:dyDescent="0.3">
      <c r="B738" s="2">
        <f>IF(BCP_Soles[[#This Row],[TIPO DE R.]]="R",COUNTIFS($D$4:$D737,"R")+1,"")</f>
        <v>562</v>
      </c>
      <c r="C738" s="19" t="str">
        <f t="shared" si="55"/>
        <v>B-BCP - Soles</v>
      </c>
      <c r="D738" s="3" t="s">
        <v>1074</v>
      </c>
      <c r="E738" s="14">
        <v>45721</v>
      </c>
      <c r="F738" s="5" t="s">
        <v>1251</v>
      </c>
      <c r="G738" s="5" t="s">
        <v>1079</v>
      </c>
      <c r="H738" s="6" t="s">
        <v>798</v>
      </c>
      <c r="I738" s="6" t="s">
        <v>87</v>
      </c>
      <c r="J738" s="6">
        <v>1</v>
      </c>
      <c r="K738" s="6">
        <v>92025</v>
      </c>
      <c r="L738" s="7" t="s">
        <v>1884</v>
      </c>
      <c r="M738" s="8">
        <v>1215059</v>
      </c>
      <c r="N738" s="8" t="str">
        <f t="shared" si="56"/>
        <v>PEN</v>
      </c>
      <c r="O738" s="13"/>
      <c r="P738" s="13">
        <v>11</v>
      </c>
      <c r="Q738" s="3">
        <f t="shared" si="57"/>
        <v>0</v>
      </c>
      <c r="R738" s="3">
        <f t="shared" si="58"/>
        <v>11</v>
      </c>
      <c r="S738" s="3">
        <f t="shared" si="59"/>
        <v>25718.619999999995</v>
      </c>
      <c r="T738" s="24" t="s">
        <v>1081</v>
      </c>
      <c r="U738" s="24"/>
      <c r="V738" s="67"/>
      <c r="W738" s="25">
        <f>IFERROR(VLOOKUP(BCP_Soles[[#This Row],[DESTINATARIO]],CHOOSE({1,2},Clientes_Proveedores[Razon Social],Clientes_Proveedores[Ruc / Dni]),2,0),"")</f>
        <v>70666331</v>
      </c>
      <c r="X738" s="25"/>
      <c r="Y738" s="25"/>
      <c r="Z738" s="25"/>
      <c r="AA738" s="99"/>
      <c r="AB738" s="3" t="str">
        <f>IF(BCP_Soles[[#This Row],[FECHA]]&gt;0,TEXT(BCP_Soles[[#This Row],[FECHA]],"mmmm"),0)</f>
        <v>Marzo</v>
      </c>
    </row>
    <row r="739" spans="2:28" ht="36" x14ac:dyDescent="0.3">
      <c r="B739" s="2">
        <f>IF(BCP_Soles[[#This Row],[TIPO DE R.]]="R",COUNTIFS($D$4:$D738,"R")+1,"")</f>
        <v>563</v>
      </c>
      <c r="C739" s="19" t="str">
        <f t="shared" si="55"/>
        <v>B-BCP - Soles</v>
      </c>
      <c r="D739" s="3" t="s">
        <v>1074</v>
      </c>
      <c r="E739" s="14">
        <v>45721</v>
      </c>
      <c r="F739" s="5" t="s">
        <v>1251</v>
      </c>
      <c r="G739" s="5" t="s">
        <v>1079</v>
      </c>
      <c r="H739" s="6" t="s">
        <v>880</v>
      </c>
      <c r="I739" s="6" t="s">
        <v>87</v>
      </c>
      <c r="J739" s="6">
        <v>1</v>
      </c>
      <c r="K739" s="6">
        <v>102025</v>
      </c>
      <c r="L739" s="7" t="s">
        <v>1885</v>
      </c>
      <c r="M739" s="8">
        <v>1215058</v>
      </c>
      <c r="N739" s="8" t="str">
        <f t="shared" si="56"/>
        <v>PEN</v>
      </c>
      <c r="O739" s="13"/>
      <c r="P739" s="13">
        <v>21.5</v>
      </c>
      <c r="Q739" s="3">
        <f t="shared" si="57"/>
        <v>0</v>
      </c>
      <c r="R739" s="3">
        <f t="shared" si="58"/>
        <v>21.5</v>
      </c>
      <c r="S739" s="3">
        <f t="shared" si="59"/>
        <v>25697.119999999995</v>
      </c>
      <c r="T739" s="24" t="s">
        <v>1081</v>
      </c>
      <c r="U739" s="24"/>
      <c r="V739" s="67"/>
      <c r="W739" s="25">
        <f>IFERROR(VLOOKUP(BCP_Soles[[#This Row],[DESTINATARIO]],CHOOSE({1,2},Clientes_Proveedores[Razon Social],Clientes_Proveedores[Ruc / Dni]),2,0),"")</f>
        <v>72531546</v>
      </c>
      <c r="X739" s="25"/>
      <c r="Y739" s="25"/>
      <c r="Z739" s="25"/>
      <c r="AA739" s="99"/>
      <c r="AB739" s="3" t="str">
        <f>IF(BCP_Soles[[#This Row],[FECHA]]&gt;0,TEXT(BCP_Soles[[#This Row],[FECHA]],"mmmm"),0)</f>
        <v>Marzo</v>
      </c>
    </row>
    <row r="740" spans="2:28" ht="36" x14ac:dyDescent="0.3">
      <c r="B740" s="2">
        <f>IF(BCP_Soles[[#This Row],[TIPO DE R.]]="R",COUNTIFS($D$4:$D739,"R")+1,"")</f>
        <v>564</v>
      </c>
      <c r="C740" s="19" t="str">
        <f t="shared" si="55"/>
        <v>B-BCP - Soles</v>
      </c>
      <c r="D740" s="3" t="s">
        <v>1074</v>
      </c>
      <c r="E740" s="14">
        <v>45721</v>
      </c>
      <c r="F740" s="5" t="s">
        <v>1158</v>
      </c>
      <c r="G740" s="5" t="s">
        <v>1079</v>
      </c>
      <c r="H740" s="6" t="s">
        <v>880</v>
      </c>
      <c r="I740" s="6" t="s">
        <v>87</v>
      </c>
      <c r="J740" s="6">
        <v>1</v>
      </c>
      <c r="K740" s="6">
        <v>142025</v>
      </c>
      <c r="L740" s="7" t="s">
        <v>1886</v>
      </c>
      <c r="M740" s="8">
        <v>1213112</v>
      </c>
      <c r="N740" s="8" t="str">
        <f t="shared" si="56"/>
        <v>PEN</v>
      </c>
      <c r="O740" s="13"/>
      <c r="P740" s="13">
        <v>21.6</v>
      </c>
      <c r="Q740" s="3">
        <f t="shared" si="57"/>
        <v>0</v>
      </c>
      <c r="R740" s="3">
        <f t="shared" si="58"/>
        <v>21.6</v>
      </c>
      <c r="S740" s="3">
        <f t="shared" si="59"/>
        <v>25675.519999999997</v>
      </c>
      <c r="T740" s="24" t="s">
        <v>1081</v>
      </c>
      <c r="U740" s="24"/>
      <c r="V740" s="67"/>
      <c r="W740" s="25">
        <f>IFERROR(VLOOKUP(BCP_Soles[[#This Row],[DESTINATARIO]],CHOOSE({1,2},Clientes_Proveedores[Razon Social],Clientes_Proveedores[Ruc / Dni]),2,0),"")</f>
        <v>72531546</v>
      </c>
      <c r="X740" s="25"/>
      <c r="Y740" s="25"/>
      <c r="Z740" s="25"/>
      <c r="AA740" s="99"/>
      <c r="AB740" s="3" t="str">
        <f>IF(BCP_Soles[[#This Row],[FECHA]]&gt;0,TEXT(BCP_Soles[[#This Row],[FECHA]],"mmmm"),0)</f>
        <v>Marzo</v>
      </c>
    </row>
    <row r="741" spans="2:28" ht="36" x14ac:dyDescent="0.3">
      <c r="B741" s="2">
        <f>IF(BCP_Soles[[#This Row],[TIPO DE R.]]="R",COUNTIFS($D$4:$D740,"R")+1,"")</f>
        <v>565</v>
      </c>
      <c r="C741" s="19" t="str">
        <f t="shared" si="55"/>
        <v>B-BCP - Soles</v>
      </c>
      <c r="D741" s="3" t="s">
        <v>1074</v>
      </c>
      <c r="E741" s="14">
        <v>45721</v>
      </c>
      <c r="F741" s="5" t="s">
        <v>1082</v>
      </c>
      <c r="G741" s="5" t="s">
        <v>1079</v>
      </c>
      <c r="H741" s="6"/>
      <c r="I741" s="6" t="s">
        <v>14</v>
      </c>
      <c r="J741" s="6" t="s">
        <v>1119</v>
      </c>
      <c r="K741" s="6">
        <v>3573</v>
      </c>
      <c r="L741" s="7" t="s">
        <v>1887</v>
      </c>
      <c r="M741" s="8">
        <v>1081167</v>
      </c>
      <c r="N741" s="8" t="str">
        <f t="shared" si="56"/>
        <v>PEN</v>
      </c>
      <c r="O741" s="13"/>
      <c r="P741" s="13">
        <v>439.92</v>
      </c>
      <c r="Q741" s="3">
        <f t="shared" si="57"/>
        <v>0</v>
      </c>
      <c r="R741" s="3">
        <f t="shared" si="58"/>
        <v>439.92</v>
      </c>
      <c r="S741" s="3">
        <f t="shared" si="59"/>
        <v>25235.599999999999</v>
      </c>
      <c r="T741" s="24" t="s">
        <v>1081</v>
      </c>
      <c r="U741" s="24" t="s">
        <v>1081</v>
      </c>
      <c r="V741" s="67"/>
      <c r="W741" s="25" t="str">
        <f>IFERROR(VLOOKUP(BCP_Soles[[#This Row],[DESTINATARIO]],CHOOSE({1,2},Clientes_Proveedores[Razon Social],Clientes_Proveedores[Ruc / Dni]),2,0),"")</f>
        <v/>
      </c>
      <c r="X741" s="25" t="s">
        <v>1888</v>
      </c>
      <c r="Y741" s="25" t="s">
        <v>1889</v>
      </c>
      <c r="Z741" s="25"/>
      <c r="AA741" s="99"/>
      <c r="AB741" s="3" t="str">
        <f>IF(BCP_Soles[[#This Row],[FECHA]]&gt;0,TEXT(BCP_Soles[[#This Row],[FECHA]],"mmmm"),0)</f>
        <v>Marzo</v>
      </c>
    </row>
    <row r="742" spans="2:28" ht="24" x14ac:dyDescent="0.3">
      <c r="B742" s="2">
        <f>IF(BCP_Soles[[#This Row],[TIPO DE R.]]="R",COUNTIFS($D$4:$D741,"R")+1,"")</f>
        <v>566</v>
      </c>
      <c r="C742" s="19" t="str">
        <f t="shared" si="55"/>
        <v>B-BCP - Soles</v>
      </c>
      <c r="D742" s="3" t="s">
        <v>1074</v>
      </c>
      <c r="E742" s="14">
        <v>45721</v>
      </c>
      <c r="F742" s="5" t="s">
        <v>1082</v>
      </c>
      <c r="G742" s="5" t="s">
        <v>1079</v>
      </c>
      <c r="H742" s="6" t="s">
        <v>525</v>
      </c>
      <c r="I742" s="6" t="s">
        <v>14</v>
      </c>
      <c r="J742" s="6" t="s">
        <v>1121</v>
      </c>
      <c r="K742" s="6">
        <v>671</v>
      </c>
      <c r="L742" s="7" t="s">
        <v>1890</v>
      </c>
      <c r="M742" s="8">
        <v>1215536</v>
      </c>
      <c r="N742" s="8" t="str">
        <f t="shared" si="56"/>
        <v>PEN</v>
      </c>
      <c r="O742" s="13"/>
      <c r="P742" s="13">
        <v>719.99</v>
      </c>
      <c r="Q742" s="3">
        <f t="shared" si="57"/>
        <v>0</v>
      </c>
      <c r="R742" s="3">
        <f t="shared" si="58"/>
        <v>719.99</v>
      </c>
      <c r="S742" s="3">
        <f t="shared" si="59"/>
        <v>24515.609999999997</v>
      </c>
      <c r="T742" s="24" t="s">
        <v>1081</v>
      </c>
      <c r="U742" s="24" t="s">
        <v>1081</v>
      </c>
      <c r="V742" s="67"/>
      <c r="W742" s="25">
        <f>IFERROR(VLOOKUP(BCP_Soles[[#This Row],[DESTINATARIO]],CHOOSE({1,2},Clientes_Proveedores[Razon Social],Clientes_Proveedores[Ruc / Dni]),2,0),"")</f>
        <v>20609155303</v>
      </c>
      <c r="X742" s="25" t="s">
        <v>1632</v>
      </c>
      <c r="Y742" s="25" t="s">
        <v>1634</v>
      </c>
      <c r="Z742" s="25"/>
      <c r="AA742" s="99"/>
      <c r="AB742" s="3" t="str">
        <f>IF(BCP_Soles[[#This Row],[FECHA]]&gt;0,TEXT(BCP_Soles[[#This Row],[FECHA]],"mmmm"),0)</f>
        <v>Marzo</v>
      </c>
    </row>
    <row r="743" spans="2:28" ht="24" x14ac:dyDescent="0.3">
      <c r="B743" s="2">
        <f>IF(BCP_Soles[[#This Row],[TIPO DE R.]]="R",COUNTIFS($D$4:$D742,"R")+1,"")</f>
        <v>567</v>
      </c>
      <c r="C743" s="19" t="str">
        <f t="shared" si="55"/>
        <v>B-BCP - Soles</v>
      </c>
      <c r="D743" s="3" t="s">
        <v>1074</v>
      </c>
      <c r="E743" s="14">
        <v>45721</v>
      </c>
      <c r="F743" s="5" t="s">
        <v>1082</v>
      </c>
      <c r="G743" s="5" t="s">
        <v>1079</v>
      </c>
      <c r="H743" s="6" t="s">
        <v>699</v>
      </c>
      <c r="I743" s="6" t="s">
        <v>18</v>
      </c>
      <c r="J743" s="6" t="s">
        <v>1121</v>
      </c>
      <c r="K743" s="6">
        <v>15</v>
      </c>
      <c r="L743" s="7" t="s">
        <v>1891</v>
      </c>
      <c r="M743" s="8">
        <v>1215537</v>
      </c>
      <c r="N743" s="8" t="str">
        <f t="shared" si="56"/>
        <v>PEN</v>
      </c>
      <c r="O743" s="13"/>
      <c r="P743" s="13">
        <v>1000</v>
      </c>
      <c r="Q743" s="3">
        <f t="shared" si="57"/>
        <v>0</v>
      </c>
      <c r="R743" s="3">
        <f t="shared" si="58"/>
        <v>1000</v>
      </c>
      <c r="S743" s="3">
        <f t="shared" si="59"/>
        <v>23515.609999999997</v>
      </c>
      <c r="T743" s="24"/>
      <c r="U743" s="24" t="s">
        <v>1081</v>
      </c>
      <c r="V743" s="67"/>
      <c r="W743" s="25">
        <f>IFERROR(VLOOKUP(BCP_Soles[[#This Row],[DESTINATARIO]],CHOOSE({1,2},Clientes_Proveedores[Razon Social],Clientes_Proveedores[Ruc / Dni]),2,0),"")</f>
        <v>10108661343</v>
      </c>
      <c r="X743" s="25" t="s">
        <v>1892</v>
      </c>
      <c r="Y743" s="25"/>
      <c r="Z743" s="25"/>
      <c r="AA743" s="99"/>
      <c r="AB743" s="3" t="str">
        <f>IF(BCP_Soles[[#This Row],[FECHA]]&gt;0,TEXT(BCP_Soles[[#This Row],[FECHA]],"mmmm"),0)</f>
        <v>Marzo</v>
      </c>
    </row>
    <row r="744" spans="2:28" ht="24" x14ac:dyDescent="0.3">
      <c r="B744" s="2">
        <f>IF(BCP_Soles[[#This Row],[TIPO DE R.]]="R",COUNTIFS($D$4:$D743,"R")+1,"")</f>
        <v>568</v>
      </c>
      <c r="C744" s="19" t="str">
        <f t="shared" si="55"/>
        <v>B-BCP - Soles</v>
      </c>
      <c r="D744" s="3" t="s">
        <v>1074</v>
      </c>
      <c r="E744" s="14">
        <v>45721</v>
      </c>
      <c r="F744" s="5" t="s">
        <v>1082</v>
      </c>
      <c r="G744" s="5" t="s">
        <v>1079</v>
      </c>
      <c r="H744" s="6" t="s">
        <v>698</v>
      </c>
      <c r="I744" s="6" t="s">
        <v>18</v>
      </c>
      <c r="J744" s="6" t="s">
        <v>1121</v>
      </c>
      <c r="K744" s="6">
        <v>235</v>
      </c>
      <c r="L744" s="7" t="s">
        <v>1893</v>
      </c>
      <c r="M744" s="8">
        <v>1213113</v>
      </c>
      <c r="N744" s="8" t="str">
        <f t="shared" si="56"/>
        <v>PEN</v>
      </c>
      <c r="O744" s="13"/>
      <c r="P744" s="13">
        <v>1350</v>
      </c>
      <c r="Q744" s="3">
        <f t="shared" si="57"/>
        <v>0</v>
      </c>
      <c r="R744" s="3">
        <f t="shared" si="58"/>
        <v>1350</v>
      </c>
      <c r="S744" s="3">
        <f t="shared" si="59"/>
        <v>22165.609999999997</v>
      </c>
      <c r="T744" s="24"/>
      <c r="U744" s="24"/>
      <c r="V744" s="67"/>
      <c r="W744" s="25">
        <f>IFERROR(VLOOKUP(BCP_Soles[[#This Row],[DESTINATARIO]],CHOOSE({1,2},Clientes_Proveedores[Razon Social],Clientes_Proveedores[Ruc / Dni]),2,0),"")</f>
        <v>10107341655</v>
      </c>
      <c r="X744" s="25" t="s">
        <v>1894</v>
      </c>
      <c r="Y744" s="25"/>
      <c r="Z744" s="25"/>
      <c r="AA744" s="99"/>
      <c r="AB744" s="3" t="str">
        <f>IF(BCP_Soles[[#This Row],[FECHA]]&gt;0,TEXT(BCP_Soles[[#This Row],[FECHA]],"mmmm"),0)</f>
        <v>Marzo</v>
      </c>
    </row>
    <row r="745" spans="2:28" ht="36" x14ac:dyDescent="0.3">
      <c r="B745" s="2">
        <f>IF(BCP_Soles[[#This Row],[TIPO DE R.]]="R",COUNTIFS($D$4:$D744,"R")+1,"")</f>
        <v>569</v>
      </c>
      <c r="C745" s="19" t="str">
        <f t="shared" si="55"/>
        <v>B-BCP - Soles</v>
      </c>
      <c r="D745" s="3" t="s">
        <v>1074</v>
      </c>
      <c r="E745" s="14">
        <v>45721</v>
      </c>
      <c r="F745" s="5" t="s">
        <v>1082</v>
      </c>
      <c r="G745" s="5" t="s">
        <v>1079</v>
      </c>
      <c r="H745" s="6" t="s">
        <v>220</v>
      </c>
      <c r="I745" s="6" t="s">
        <v>14</v>
      </c>
      <c r="J745" s="6" t="s">
        <v>1148</v>
      </c>
      <c r="K745" s="6">
        <v>1649</v>
      </c>
      <c r="L745" s="7" t="s">
        <v>1895</v>
      </c>
      <c r="M745" s="8">
        <v>1215538</v>
      </c>
      <c r="N745" s="8" t="str">
        <f t="shared" si="56"/>
        <v>PEN</v>
      </c>
      <c r="O745" s="13"/>
      <c r="P745" s="13">
        <v>1728</v>
      </c>
      <c r="Q745" s="3">
        <f t="shared" si="57"/>
        <v>0</v>
      </c>
      <c r="R745" s="3">
        <f t="shared" si="58"/>
        <v>1728</v>
      </c>
      <c r="S745" s="3">
        <f t="shared" si="59"/>
        <v>20437.609999999997</v>
      </c>
      <c r="T745" s="24" t="s">
        <v>1081</v>
      </c>
      <c r="U745" s="24" t="s">
        <v>1081</v>
      </c>
      <c r="V745" s="67"/>
      <c r="W745" s="25">
        <f>IFERROR(VLOOKUP(BCP_Soles[[#This Row],[DESTINATARIO]],CHOOSE({1,2},Clientes_Proveedores[Razon Social],Clientes_Proveedores[Ruc / Dni]),2,0),"")</f>
        <v>20429640939</v>
      </c>
      <c r="X745" s="25" t="s">
        <v>1150</v>
      </c>
      <c r="Y745" s="25" t="s">
        <v>1896</v>
      </c>
      <c r="Z745" s="25"/>
      <c r="AA745" s="99"/>
      <c r="AB745" s="3" t="str">
        <f>IF(BCP_Soles[[#This Row],[FECHA]]&gt;0,TEXT(BCP_Soles[[#This Row],[FECHA]],"mmmm"),0)</f>
        <v>Marzo</v>
      </c>
    </row>
    <row r="746" spans="2:28" ht="24" x14ac:dyDescent="0.3">
      <c r="B746" s="2">
        <f>IF(BCP_Soles[[#This Row],[TIPO DE R.]]="R",COUNTIFS($D$4:$D745,"R")+1,"")</f>
        <v>570</v>
      </c>
      <c r="C746" s="19" t="str">
        <f t="shared" si="55"/>
        <v>B-BCP - Soles</v>
      </c>
      <c r="D746" s="3" t="s">
        <v>1074</v>
      </c>
      <c r="E746" s="14">
        <v>45721</v>
      </c>
      <c r="F746" s="5" t="s">
        <v>1082</v>
      </c>
      <c r="G746" s="5" t="s">
        <v>1079</v>
      </c>
      <c r="H746" s="6" t="s">
        <v>525</v>
      </c>
      <c r="I746" s="6" t="s">
        <v>14</v>
      </c>
      <c r="J746" s="6" t="s">
        <v>1121</v>
      </c>
      <c r="K746" s="6">
        <v>693</v>
      </c>
      <c r="L746" s="7" t="s">
        <v>1897</v>
      </c>
      <c r="M746" s="8">
        <v>1212647</v>
      </c>
      <c r="N746" s="8" t="str">
        <f t="shared" si="56"/>
        <v>PEN</v>
      </c>
      <c r="O746" s="13"/>
      <c r="P746" s="13">
        <v>2490.19</v>
      </c>
      <c r="Q746" s="3">
        <f t="shared" si="57"/>
        <v>0</v>
      </c>
      <c r="R746" s="3">
        <f t="shared" si="58"/>
        <v>2490.19</v>
      </c>
      <c r="S746" s="3">
        <f t="shared" si="59"/>
        <v>17947.419999999998</v>
      </c>
      <c r="T746" s="24" t="s">
        <v>1081</v>
      </c>
      <c r="U746" s="24" t="s">
        <v>1081</v>
      </c>
      <c r="V746" s="67"/>
      <c r="W746" s="25">
        <f>IFERROR(VLOOKUP(BCP_Soles[[#This Row],[DESTINATARIO]],CHOOSE({1,2},Clientes_Proveedores[Razon Social],Clientes_Proveedores[Ruc / Dni]),2,0),"")</f>
        <v>20609155303</v>
      </c>
      <c r="X746" s="25" t="s">
        <v>1632</v>
      </c>
      <c r="Y746" s="25" t="s">
        <v>1898</v>
      </c>
      <c r="Z746" s="25"/>
      <c r="AA746" s="99"/>
      <c r="AB746" s="3" t="str">
        <f>IF(BCP_Soles[[#This Row],[FECHA]]&gt;0,TEXT(BCP_Soles[[#This Row],[FECHA]],"mmmm"),0)</f>
        <v>Marzo</v>
      </c>
    </row>
    <row r="747" spans="2:28" x14ac:dyDescent="0.3">
      <c r="B747" s="2">
        <f>IF(BCP_Soles[[#This Row],[TIPO DE R.]]="R",COUNTIFS($D$4:$D746,"R")+1,"")</f>
        <v>571</v>
      </c>
      <c r="C747" s="19" t="str">
        <f t="shared" si="55"/>
        <v>B-BCP - Soles</v>
      </c>
      <c r="D747" s="3" t="s">
        <v>1074</v>
      </c>
      <c r="E747" s="14">
        <v>45722</v>
      </c>
      <c r="F747" s="5" t="s">
        <v>139</v>
      </c>
      <c r="G747" s="5" t="s">
        <v>1087</v>
      </c>
      <c r="H747" s="6"/>
      <c r="I747" s="6"/>
      <c r="J747" s="6"/>
      <c r="K747" s="6"/>
      <c r="L747" s="7" t="s">
        <v>1899</v>
      </c>
      <c r="M747" s="8">
        <v>13666</v>
      </c>
      <c r="N747" s="8" t="str">
        <f t="shared" si="56"/>
        <v>PEN</v>
      </c>
      <c r="O747" s="13"/>
      <c r="P747" s="13">
        <v>1687.73</v>
      </c>
      <c r="Q747" s="3">
        <f t="shared" si="57"/>
        <v>1687.73</v>
      </c>
      <c r="R747" s="3">
        <f t="shared" si="58"/>
        <v>0</v>
      </c>
      <c r="S747" s="3">
        <f t="shared" si="59"/>
        <v>19635.149999999998</v>
      </c>
      <c r="T747" s="24" t="s">
        <v>1081</v>
      </c>
      <c r="U747" s="24" t="s">
        <v>1081</v>
      </c>
      <c r="V747" s="67"/>
      <c r="W747" s="25" t="str">
        <f>IFERROR(VLOOKUP(BCP_Soles[[#This Row],[DESTINATARIO]],CHOOSE({1,2},Clientes_Proveedores[Razon Social],Clientes_Proveedores[Ruc / Dni]),2,0),"")</f>
        <v/>
      </c>
      <c r="X747" s="25" t="s">
        <v>1090</v>
      </c>
      <c r="Y747" s="25" t="s">
        <v>1900</v>
      </c>
      <c r="Z747" s="25"/>
      <c r="AA747" s="99"/>
      <c r="AB747" s="3" t="str">
        <f>IF(BCP_Soles[[#This Row],[FECHA]]&gt;0,TEXT(BCP_Soles[[#This Row],[FECHA]],"mmmm"),0)</f>
        <v>Marzo</v>
      </c>
    </row>
    <row r="748" spans="2:28" ht="36" x14ac:dyDescent="0.3">
      <c r="B748" s="2">
        <f>IF(BCP_Soles[[#This Row],[TIPO DE R.]]="R",COUNTIFS($D$4:$D747,"R")+1,"")</f>
        <v>572</v>
      </c>
      <c r="C748" s="19" t="str">
        <f t="shared" si="55"/>
        <v>B-BCP - Soles</v>
      </c>
      <c r="D748" s="3" t="s">
        <v>1074</v>
      </c>
      <c r="E748" s="14">
        <v>45722</v>
      </c>
      <c r="F748" s="5" t="s">
        <v>1694</v>
      </c>
      <c r="G748" s="5" t="s">
        <v>1087</v>
      </c>
      <c r="H748" s="6" t="s">
        <v>368</v>
      </c>
      <c r="I748" s="6" t="s">
        <v>87</v>
      </c>
      <c r="J748" s="6">
        <v>1</v>
      </c>
      <c r="K748" s="6">
        <v>162025</v>
      </c>
      <c r="L748" s="7" t="s">
        <v>1901</v>
      </c>
      <c r="M748" s="8">
        <v>2552555</v>
      </c>
      <c r="N748" s="8" t="str">
        <f t="shared" si="56"/>
        <v>PEN</v>
      </c>
      <c r="O748" s="13"/>
      <c r="P748" s="13">
        <v>27.7</v>
      </c>
      <c r="Q748" s="3">
        <f t="shared" si="57"/>
        <v>27.7</v>
      </c>
      <c r="R748" s="3">
        <f t="shared" si="58"/>
        <v>0</v>
      </c>
      <c r="S748" s="3">
        <f t="shared" si="59"/>
        <v>19662.849999999999</v>
      </c>
      <c r="T748" s="24" t="s">
        <v>1081</v>
      </c>
      <c r="U748" s="24"/>
      <c r="V748" s="67"/>
      <c r="W748" s="25">
        <f>IFERROR(VLOOKUP(BCP_Soles[[#This Row],[DESTINATARIO]],CHOOSE({1,2},Clientes_Proveedores[Razon Social],Clientes_Proveedores[Ruc / Dni]),2,0),"")</f>
        <v>20558226979</v>
      </c>
      <c r="X748" s="25"/>
      <c r="Y748" s="25"/>
      <c r="Z748" s="25"/>
      <c r="AA748" s="99"/>
      <c r="AB748" s="3" t="str">
        <f>IF(BCP_Soles[[#This Row],[FECHA]]&gt;0,TEXT(BCP_Soles[[#This Row],[FECHA]],"mmmm"),0)</f>
        <v>Marzo</v>
      </c>
    </row>
    <row r="749" spans="2:28" x14ac:dyDescent="0.3">
      <c r="B749" s="2">
        <f>IF(BCP_Soles[[#This Row],[TIPO DE R.]]="R",COUNTIFS($D$4:$D748,"R")+1,"")</f>
        <v>573</v>
      </c>
      <c r="C749" s="19" t="str">
        <f t="shared" si="55"/>
        <v>B-BCP - Soles</v>
      </c>
      <c r="D749" s="3" t="s">
        <v>1074</v>
      </c>
      <c r="E749" s="14">
        <v>45722</v>
      </c>
      <c r="F749" s="5" t="s">
        <v>1078</v>
      </c>
      <c r="G749" s="5" t="s">
        <v>1079</v>
      </c>
      <c r="H749" s="6"/>
      <c r="I749" s="6"/>
      <c r="J749" s="6"/>
      <c r="K749" s="6"/>
      <c r="L749" s="7" t="s">
        <v>1080</v>
      </c>
      <c r="M749" s="8"/>
      <c r="N749" s="8" t="str">
        <f t="shared" si="56"/>
        <v>PEN</v>
      </c>
      <c r="O749" s="13"/>
      <c r="P749" s="13">
        <v>0.25</v>
      </c>
      <c r="Q749" s="3">
        <f t="shared" si="57"/>
        <v>0</v>
      </c>
      <c r="R749" s="3">
        <f t="shared" si="58"/>
        <v>0.25</v>
      </c>
      <c r="S749" s="3">
        <f t="shared" si="59"/>
        <v>19662.599999999999</v>
      </c>
      <c r="T749" s="24"/>
      <c r="U749" s="24" t="s">
        <v>1081</v>
      </c>
      <c r="V749" s="67"/>
      <c r="W749" s="25" t="str">
        <f>IFERROR(VLOOKUP(BCP_Soles[[#This Row],[DESTINATARIO]],CHOOSE({1,2},Clientes_Proveedores[Razon Social],Clientes_Proveedores[Ruc / Dni]),2,0),"")</f>
        <v/>
      </c>
      <c r="X749" s="25"/>
      <c r="Y749" s="25"/>
      <c r="Z749" s="25"/>
      <c r="AA749" s="99"/>
      <c r="AB749" s="3" t="str">
        <f>IF(BCP_Soles[[#This Row],[FECHA]]&gt;0,TEXT(BCP_Soles[[#This Row],[FECHA]],"mmmm"),0)</f>
        <v>Marzo</v>
      </c>
    </row>
    <row r="750" spans="2:28" ht="36" x14ac:dyDescent="0.3">
      <c r="B750" s="2">
        <f>IF(BCP_Soles[[#This Row],[TIPO DE R.]]="R",COUNTIFS($D$4:$D749,"R")+1,"")</f>
        <v>574</v>
      </c>
      <c r="C750" s="19" t="str">
        <f t="shared" si="55"/>
        <v>B-BCP - Soles</v>
      </c>
      <c r="D750" s="3" t="s">
        <v>1074</v>
      </c>
      <c r="E750" s="14">
        <v>45722</v>
      </c>
      <c r="F750" s="5" t="s">
        <v>1082</v>
      </c>
      <c r="G750" s="5" t="s">
        <v>1079</v>
      </c>
      <c r="H750" s="6"/>
      <c r="I750" s="6" t="s">
        <v>14</v>
      </c>
      <c r="J750" s="6" t="s">
        <v>1119</v>
      </c>
      <c r="K750" s="6">
        <v>39862</v>
      </c>
      <c r="L750" s="7" t="s">
        <v>1902</v>
      </c>
      <c r="M750" s="8">
        <v>1095853</v>
      </c>
      <c r="N750" s="8" t="str">
        <f t="shared" si="56"/>
        <v>PEN</v>
      </c>
      <c r="O750" s="13"/>
      <c r="P750" s="13">
        <v>30</v>
      </c>
      <c r="Q750" s="3">
        <f t="shared" si="57"/>
        <v>0</v>
      </c>
      <c r="R750" s="3">
        <f t="shared" si="58"/>
        <v>30</v>
      </c>
      <c r="S750" s="3">
        <f t="shared" si="59"/>
        <v>19632.599999999999</v>
      </c>
      <c r="T750" s="24" t="s">
        <v>1081</v>
      </c>
      <c r="U750" s="24" t="s">
        <v>1081</v>
      </c>
      <c r="V750" s="67"/>
      <c r="W750" s="25" t="str">
        <f>IFERROR(VLOOKUP(BCP_Soles[[#This Row],[DESTINATARIO]],CHOOSE({1,2},Clientes_Proveedores[Razon Social],Clientes_Proveedores[Ruc / Dni]),2,0),"")</f>
        <v/>
      </c>
      <c r="X750" s="25" t="s">
        <v>656</v>
      </c>
      <c r="Y750" s="25" t="s">
        <v>1903</v>
      </c>
      <c r="Z750" s="25"/>
      <c r="AA750" s="99"/>
      <c r="AB750" s="3" t="str">
        <f>IF(BCP_Soles[[#This Row],[FECHA]]&gt;0,TEXT(BCP_Soles[[#This Row],[FECHA]],"mmmm"),0)</f>
        <v>Marzo</v>
      </c>
    </row>
    <row r="751" spans="2:28" x14ac:dyDescent="0.3">
      <c r="B751" s="2">
        <f>IF(BCP_Soles[[#This Row],[TIPO DE R.]]="R",COUNTIFS($D$4:$D750,"R")+1,"")</f>
        <v>575</v>
      </c>
      <c r="C751" s="19" t="str">
        <f t="shared" si="55"/>
        <v>B-BCP - Soles</v>
      </c>
      <c r="D751" s="3" t="s">
        <v>1074</v>
      </c>
      <c r="E751" s="14">
        <v>45722</v>
      </c>
      <c r="F751" s="5" t="s">
        <v>1082</v>
      </c>
      <c r="G751" s="5" t="s">
        <v>1079</v>
      </c>
      <c r="H751" s="6"/>
      <c r="I751" s="6" t="s">
        <v>14</v>
      </c>
      <c r="J751" s="6" t="s">
        <v>1395</v>
      </c>
      <c r="K751" s="6">
        <v>273334</v>
      </c>
      <c r="L751" s="7" t="s">
        <v>1396</v>
      </c>
      <c r="M751" s="8">
        <v>95366</v>
      </c>
      <c r="N751" s="8" t="str">
        <f t="shared" si="56"/>
        <v>PEN</v>
      </c>
      <c r="O751" s="13"/>
      <c r="P751" s="13">
        <v>30.68</v>
      </c>
      <c r="Q751" s="3">
        <f t="shared" si="57"/>
        <v>0</v>
      </c>
      <c r="R751" s="3">
        <f t="shared" si="58"/>
        <v>30.68</v>
      </c>
      <c r="S751" s="3">
        <f t="shared" si="59"/>
        <v>19601.919999999998</v>
      </c>
      <c r="T751" s="24" t="s">
        <v>1081</v>
      </c>
      <c r="U751" s="24" t="s">
        <v>1081</v>
      </c>
      <c r="V751" s="67"/>
      <c r="W751" s="25" t="str">
        <f>IFERROR(VLOOKUP(BCP_Soles[[#This Row],[DESTINATARIO]],CHOOSE({1,2},Clientes_Proveedores[Razon Social],Clientes_Proveedores[Ruc / Dni]),2,0),"")</f>
        <v/>
      </c>
      <c r="X751" s="25" t="s">
        <v>1397</v>
      </c>
      <c r="Y751" s="25" t="s">
        <v>1904</v>
      </c>
      <c r="Z751" s="25"/>
      <c r="AA751" s="99"/>
      <c r="AB751" s="3" t="str">
        <f>IF(BCP_Soles[[#This Row],[FECHA]]&gt;0,TEXT(BCP_Soles[[#This Row],[FECHA]],"mmmm"),0)</f>
        <v>Marzo</v>
      </c>
    </row>
    <row r="752" spans="2:28" ht="24" x14ac:dyDescent="0.3">
      <c r="B752" s="2">
        <f>IF(BCP_Soles[[#This Row],[TIPO DE R.]]="R",COUNTIFS($D$4:$D751,"R")+1,"")</f>
        <v>576</v>
      </c>
      <c r="C752" s="19" t="str">
        <f t="shared" si="55"/>
        <v>B-BCP - Soles</v>
      </c>
      <c r="D752" s="3" t="s">
        <v>1074</v>
      </c>
      <c r="E752" s="14">
        <v>45722</v>
      </c>
      <c r="F752" s="5" t="s">
        <v>1082</v>
      </c>
      <c r="G752" s="5" t="s">
        <v>1079</v>
      </c>
      <c r="H752" s="6" t="s">
        <v>192</v>
      </c>
      <c r="I752" s="6"/>
      <c r="J752" s="6"/>
      <c r="K752" s="6"/>
      <c r="L752" s="7" t="s">
        <v>1905</v>
      </c>
      <c r="M752" s="8">
        <v>1093399</v>
      </c>
      <c r="N752" s="8" t="str">
        <f t="shared" si="56"/>
        <v>PEN</v>
      </c>
      <c r="O752" s="13"/>
      <c r="P752" s="13">
        <v>40.71</v>
      </c>
      <c r="Q752" s="3">
        <f t="shared" si="57"/>
        <v>0</v>
      </c>
      <c r="R752" s="3">
        <f t="shared" si="58"/>
        <v>40.71</v>
      </c>
      <c r="S752" s="3">
        <f t="shared" si="59"/>
        <v>19561.21</v>
      </c>
      <c r="T752" s="24"/>
      <c r="U752" s="24"/>
      <c r="V752" s="67"/>
      <c r="W752" s="25">
        <f>IFERROR(VLOOKUP(BCP_Soles[[#This Row],[DESTINATARIO]],CHOOSE({1,2},Clientes_Proveedores[Razon Social],Clientes_Proveedores[Ruc / Dni]),2,0),"")</f>
        <v>20302891452</v>
      </c>
      <c r="X752" s="25" t="s">
        <v>192</v>
      </c>
      <c r="Y752" s="25"/>
      <c r="Z752" s="25"/>
      <c r="AA752" s="99"/>
      <c r="AB752" s="3" t="str">
        <f>IF(BCP_Soles[[#This Row],[FECHA]]&gt;0,TEXT(BCP_Soles[[#This Row],[FECHA]],"mmmm"),0)</f>
        <v>Marzo</v>
      </c>
    </row>
    <row r="753" spans="2:28" ht="24" x14ac:dyDescent="0.3">
      <c r="B753" s="2">
        <f>IF(BCP_Soles[[#This Row],[TIPO DE R.]]="R",COUNTIFS($D$4:$D752,"R")+1,"")</f>
        <v>577</v>
      </c>
      <c r="C753" s="19" t="str">
        <f t="shared" si="55"/>
        <v>B-BCP - Soles</v>
      </c>
      <c r="D753" s="3" t="s">
        <v>1074</v>
      </c>
      <c r="E753" s="14">
        <v>45722</v>
      </c>
      <c r="F753" s="5" t="s">
        <v>1082</v>
      </c>
      <c r="G753" s="5" t="s">
        <v>1079</v>
      </c>
      <c r="H753" s="6" t="s">
        <v>798</v>
      </c>
      <c r="I753" s="6" t="s">
        <v>87</v>
      </c>
      <c r="J753" s="6">
        <v>1</v>
      </c>
      <c r="K753" s="6">
        <v>222025</v>
      </c>
      <c r="L753" s="7" t="s">
        <v>1906</v>
      </c>
      <c r="M753" s="8">
        <v>1197275</v>
      </c>
      <c r="N753" s="8" t="str">
        <f t="shared" si="56"/>
        <v>PEN</v>
      </c>
      <c r="O753" s="13"/>
      <c r="P753" s="13">
        <v>140</v>
      </c>
      <c r="Q753" s="3">
        <f t="shared" si="57"/>
        <v>0</v>
      </c>
      <c r="R753" s="3">
        <f t="shared" si="58"/>
        <v>140</v>
      </c>
      <c r="S753" s="3">
        <f t="shared" si="59"/>
        <v>19421.21</v>
      </c>
      <c r="T753" s="24" t="s">
        <v>1081</v>
      </c>
      <c r="U753" s="24" t="s">
        <v>1081</v>
      </c>
      <c r="V753" s="67"/>
      <c r="W753" s="25">
        <f>IFERROR(VLOOKUP(BCP_Soles[[#This Row],[DESTINATARIO]],CHOOSE({1,2},Clientes_Proveedores[Razon Social],Clientes_Proveedores[Ruc / Dni]),2,0),"")</f>
        <v>70666331</v>
      </c>
      <c r="X753" s="25"/>
      <c r="Y753" s="25"/>
      <c r="Z753" s="25"/>
      <c r="AA753" s="99"/>
      <c r="AB753" s="3" t="str">
        <f>IF(BCP_Soles[[#This Row],[FECHA]]&gt;0,TEXT(BCP_Soles[[#This Row],[FECHA]],"mmmm"),0)</f>
        <v>Marzo</v>
      </c>
    </row>
    <row r="754" spans="2:28" ht="24" x14ac:dyDescent="0.3">
      <c r="B754" s="2">
        <f>IF(BCP_Soles[[#This Row],[TIPO DE R.]]="R",COUNTIFS($D$4:$D753,"R")+1,"")</f>
        <v>578</v>
      </c>
      <c r="C754" s="19" t="str">
        <f t="shared" si="55"/>
        <v>B-BCP - Soles</v>
      </c>
      <c r="D754" s="3" t="s">
        <v>1074</v>
      </c>
      <c r="E754" s="14">
        <v>45722</v>
      </c>
      <c r="F754" s="5" t="s">
        <v>1082</v>
      </c>
      <c r="G754" s="5" t="s">
        <v>1079</v>
      </c>
      <c r="H754" s="6" t="s">
        <v>343</v>
      </c>
      <c r="I754" s="6" t="s">
        <v>14</v>
      </c>
      <c r="J754" s="6" t="s">
        <v>1626</v>
      </c>
      <c r="K754" s="6">
        <v>32983</v>
      </c>
      <c r="L754" s="7" t="s">
        <v>1907</v>
      </c>
      <c r="M754" s="8">
        <v>1100737</v>
      </c>
      <c r="N754" s="8" t="str">
        <f t="shared" si="56"/>
        <v>PEN</v>
      </c>
      <c r="O754" s="13"/>
      <c r="P754" s="13">
        <v>200</v>
      </c>
      <c r="Q754" s="3">
        <f t="shared" si="57"/>
        <v>0</v>
      </c>
      <c r="R754" s="3">
        <f t="shared" si="58"/>
        <v>200</v>
      </c>
      <c r="S754" s="3">
        <f t="shared" si="59"/>
        <v>19221.21</v>
      </c>
      <c r="T754" s="24" t="s">
        <v>1081</v>
      </c>
      <c r="U754" s="24" t="s">
        <v>1081</v>
      </c>
      <c r="V754" s="67"/>
      <c r="W754" s="25">
        <f>IFERROR(VLOOKUP(BCP_Soles[[#This Row],[DESTINATARIO]],CHOOSE({1,2},Clientes_Proveedores[Razon Social],Clientes_Proveedores[Ruc / Dni]),2,0),"")</f>
        <v>20546153372</v>
      </c>
      <c r="X754" s="25" t="s">
        <v>1628</v>
      </c>
      <c r="Y754" s="25" t="s">
        <v>1908</v>
      </c>
      <c r="Z754" s="25"/>
      <c r="AA754" s="99"/>
      <c r="AB754" s="3" t="str">
        <f>IF(BCP_Soles[[#This Row],[FECHA]]&gt;0,TEXT(BCP_Soles[[#This Row],[FECHA]],"mmmm"),0)</f>
        <v>Marzo</v>
      </c>
    </row>
    <row r="755" spans="2:28" ht="36" x14ac:dyDescent="0.3">
      <c r="B755" s="2">
        <f>IF(BCP_Soles[[#This Row],[TIPO DE R.]]="R",COUNTIFS($D$4:$D754,"R")+1,"")</f>
        <v>579</v>
      </c>
      <c r="C755" s="19" t="str">
        <f t="shared" si="55"/>
        <v>B-BCP - Soles</v>
      </c>
      <c r="D755" s="3" t="s">
        <v>1074</v>
      </c>
      <c r="E755" s="14">
        <v>45722</v>
      </c>
      <c r="F755" s="5" t="s">
        <v>1082</v>
      </c>
      <c r="G755" s="5" t="s">
        <v>1079</v>
      </c>
      <c r="H755" s="6" t="s">
        <v>880</v>
      </c>
      <c r="I755" s="6" t="s">
        <v>87</v>
      </c>
      <c r="J755" s="6">
        <v>1</v>
      </c>
      <c r="K755" s="6">
        <v>192025</v>
      </c>
      <c r="L755" s="7" t="s">
        <v>1909</v>
      </c>
      <c r="M755" s="8">
        <v>1197754</v>
      </c>
      <c r="N755" s="8" t="str">
        <f t="shared" si="56"/>
        <v>PEN</v>
      </c>
      <c r="O755" s="13"/>
      <c r="P755" s="13">
        <v>203</v>
      </c>
      <c r="Q755" s="3">
        <f t="shared" si="57"/>
        <v>0</v>
      </c>
      <c r="R755" s="3">
        <f t="shared" si="58"/>
        <v>203</v>
      </c>
      <c r="S755" s="3">
        <f t="shared" si="59"/>
        <v>19018.21</v>
      </c>
      <c r="T755" s="24" t="s">
        <v>1081</v>
      </c>
      <c r="U755" s="24" t="s">
        <v>1081</v>
      </c>
      <c r="V755" s="67"/>
      <c r="W755" s="25">
        <f>IFERROR(VLOOKUP(BCP_Soles[[#This Row],[DESTINATARIO]],CHOOSE({1,2},Clientes_Proveedores[Razon Social],Clientes_Proveedores[Ruc / Dni]),2,0),"")</f>
        <v>72531546</v>
      </c>
      <c r="X755" s="25"/>
      <c r="Y755" s="25"/>
      <c r="Z755" s="25"/>
      <c r="AA755" s="99"/>
      <c r="AB755" s="3" t="str">
        <f>IF(BCP_Soles[[#This Row],[FECHA]]&gt;0,TEXT(BCP_Soles[[#This Row],[FECHA]],"mmmm"),0)</f>
        <v>Marzo</v>
      </c>
    </row>
    <row r="756" spans="2:28" ht="36" x14ac:dyDescent="0.3">
      <c r="B756" s="2">
        <f>IF(BCP_Soles[[#This Row],[TIPO DE R.]]="R",COUNTIFS($D$4:$D755,"R")+1,"")</f>
        <v>580</v>
      </c>
      <c r="C756" s="19" t="str">
        <f t="shared" si="55"/>
        <v>B-BCP - Soles</v>
      </c>
      <c r="D756" s="3" t="s">
        <v>1074</v>
      </c>
      <c r="E756" s="14">
        <v>45722</v>
      </c>
      <c r="F756" s="5" t="s">
        <v>1082</v>
      </c>
      <c r="G756" s="5" t="s">
        <v>1079</v>
      </c>
      <c r="H756" s="6" t="s">
        <v>440</v>
      </c>
      <c r="I756" s="6" t="s">
        <v>14</v>
      </c>
      <c r="J756" s="6" t="s">
        <v>1148</v>
      </c>
      <c r="K756" s="6">
        <v>18508</v>
      </c>
      <c r="L756" s="7" t="s">
        <v>1910</v>
      </c>
      <c r="M756" s="8">
        <v>1095852</v>
      </c>
      <c r="N756" s="8" t="str">
        <f t="shared" si="56"/>
        <v>PEN</v>
      </c>
      <c r="O756" s="13"/>
      <c r="P756" s="13">
        <v>440</v>
      </c>
      <c r="Q756" s="3">
        <f t="shared" si="57"/>
        <v>0</v>
      </c>
      <c r="R756" s="3">
        <f t="shared" si="58"/>
        <v>440</v>
      </c>
      <c r="S756" s="3">
        <f t="shared" si="59"/>
        <v>18578.21</v>
      </c>
      <c r="T756" s="24" t="s">
        <v>1081</v>
      </c>
      <c r="U756" s="24" t="s">
        <v>1081</v>
      </c>
      <c r="V756" s="67"/>
      <c r="W756" s="25">
        <f>IFERROR(VLOOKUP(BCP_Soles[[#This Row],[DESTINATARIO]],CHOOSE({1,2},Clientes_Proveedores[Razon Social],Clientes_Proveedores[Ruc / Dni]),2,0),"")</f>
        <v>20602810497</v>
      </c>
      <c r="X756" s="25" t="s">
        <v>1331</v>
      </c>
      <c r="Y756" s="25" t="s">
        <v>1911</v>
      </c>
      <c r="Z756" s="25"/>
      <c r="AA756" s="99"/>
      <c r="AB756" s="3" t="str">
        <f>IF(BCP_Soles[[#This Row],[FECHA]]&gt;0,TEXT(BCP_Soles[[#This Row],[FECHA]],"mmmm"),0)</f>
        <v>Marzo</v>
      </c>
    </row>
    <row r="757" spans="2:28" ht="24" x14ac:dyDescent="0.3">
      <c r="B757" s="2">
        <f>IF(BCP_Soles[[#This Row],[TIPO DE R.]]="R",COUNTIFS($D$4:$D756,"R")+1,"")</f>
        <v>581</v>
      </c>
      <c r="C757" s="19" t="str">
        <f t="shared" si="55"/>
        <v>B-BCP - Soles</v>
      </c>
      <c r="D757" s="3" t="s">
        <v>1074</v>
      </c>
      <c r="E757" s="14">
        <v>45722</v>
      </c>
      <c r="F757" s="5" t="s">
        <v>1082</v>
      </c>
      <c r="G757" s="5" t="s">
        <v>1079</v>
      </c>
      <c r="H757" s="6" t="s">
        <v>192</v>
      </c>
      <c r="I757" s="6"/>
      <c r="J757" s="6"/>
      <c r="K757" s="6"/>
      <c r="L757" s="7" t="s">
        <v>1905</v>
      </c>
      <c r="M757" s="8">
        <v>1093398</v>
      </c>
      <c r="N757" s="8" t="str">
        <f t="shared" si="56"/>
        <v>PEN</v>
      </c>
      <c r="O757" s="13"/>
      <c r="P757" s="13">
        <v>547.52</v>
      </c>
      <c r="Q757" s="3">
        <f t="shared" si="57"/>
        <v>0</v>
      </c>
      <c r="R757" s="3">
        <f t="shared" si="58"/>
        <v>547.52</v>
      </c>
      <c r="S757" s="3">
        <f t="shared" si="59"/>
        <v>18030.689999999999</v>
      </c>
      <c r="T757" s="24"/>
      <c r="U757" s="24"/>
      <c r="V757" s="67"/>
      <c r="W757" s="25">
        <f>IFERROR(VLOOKUP(BCP_Soles[[#This Row],[DESTINATARIO]],CHOOSE({1,2},Clientes_Proveedores[Razon Social],Clientes_Proveedores[Ruc / Dni]),2,0),"")</f>
        <v>20302891452</v>
      </c>
      <c r="X757" s="25" t="s">
        <v>192</v>
      </c>
      <c r="Y757" s="25"/>
      <c r="Z757" s="25"/>
      <c r="AA757" s="99"/>
      <c r="AB757" s="3" t="str">
        <f>IF(BCP_Soles[[#This Row],[FECHA]]&gt;0,TEXT(BCP_Soles[[#This Row],[FECHA]],"mmmm"),0)</f>
        <v>Marzo</v>
      </c>
    </row>
    <row r="758" spans="2:28" ht="24" x14ac:dyDescent="0.3">
      <c r="B758" s="2">
        <f>IF(BCP_Soles[[#This Row],[TIPO DE R.]]="R",COUNTIFS($D$4:$D757,"R")+1,"")</f>
        <v>582</v>
      </c>
      <c r="C758" s="19" t="str">
        <f t="shared" si="55"/>
        <v>B-BCP - Soles</v>
      </c>
      <c r="D758" s="3" t="s">
        <v>1074</v>
      </c>
      <c r="E758" s="14">
        <v>45722</v>
      </c>
      <c r="F758" s="5" t="s">
        <v>1082</v>
      </c>
      <c r="G758" s="5" t="s">
        <v>1079</v>
      </c>
      <c r="H758" s="6" t="s">
        <v>184</v>
      </c>
      <c r="I758" s="6" t="s">
        <v>14</v>
      </c>
      <c r="J758" s="6" t="s">
        <v>1083</v>
      </c>
      <c r="K758" s="6">
        <v>7283</v>
      </c>
      <c r="L758" s="7" t="s">
        <v>1912</v>
      </c>
      <c r="M758" s="8">
        <v>1100739</v>
      </c>
      <c r="N758" s="8" t="str">
        <f t="shared" si="56"/>
        <v>PEN</v>
      </c>
      <c r="O758" s="13"/>
      <c r="P758" s="13">
        <v>699.6</v>
      </c>
      <c r="Q758" s="3">
        <f t="shared" si="57"/>
        <v>0</v>
      </c>
      <c r="R758" s="3">
        <f t="shared" si="58"/>
        <v>699.6</v>
      </c>
      <c r="S758" s="3">
        <f t="shared" si="59"/>
        <v>17331.09</v>
      </c>
      <c r="T758" s="24" t="s">
        <v>1081</v>
      </c>
      <c r="U758" s="24" t="s">
        <v>1081</v>
      </c>
      <c r="V758" s="67"/>
      <c r="W758" s="25">
        <f>IFERROR(VLOOKUP(BCP_Soles[[#This Row],[DESTINATARIO]],CHOOSE({1,2},Clientes_Proveedores[Razon Social],Clientes_Proveedores[Ruc / Dni]),2,0),"")</f>
        <v>20170040938</v>
      </c>
      <c r="X758" s="25" t="s">
        <v>1085</v>
      </c>
      <c r="Y758" s="25" t="s">
        <v>1913</v>
      </c>
      <c r="Z758" s="25"/>
      <c r="AA758" s="99"/>
      <c r="AB758" s="3" t="str">
        <f>IF(BCP_Soles[[#This Row],[FECHA]]&gt;0,TEXT(BCP_Soles[[#This Row],[FECHA]],"mmmm"),0)</f>
        <v>Marzo</v>
      </c>
    </row>
    <row r="759" spans="2:28" x14ac:dyDescent="0.3">
      <c r="B759" s="2">
        <f>IF(BCP_Soles[[#This Row],[TIPO DE R.]]="R",COUNTIFS($D$4:$D758,"R")+1,"")</f>
        <v>583</v>
      </c>
      <c r="C759" s="19" t="str">
        <f t="shared" si="55"/>
        <v>B-BCP - Soles</v>
      </c>
      <c r="D759" s="3" t="s">
        <v>1074</v>
      </c>
      <c r="E759" s="14">
        <v>45722</v>
      </c>
      <c r="F759" s="5" t="s">
        <v>1082</v>
      </c>
      <c r="G759" s="5" t="s">
        <v>1079</v>
      </c>
      <c r="H759" s="6"/>
      <c r="I759" s="6"/>
      <c r="J759" s="6"/>
      <c r="K759" s="6"/>
      <c r="L759" s="7" t="s">
        <v>1914</v>
      </c>
      <c r="M759" s="8">
        <v>9814031</v>
      </c>
      <c r="N759" s="8" t="str">
        <f t="shared" si="56"/>
        <v>PEN</v>
      </c>
      <c r="O759" s="13"/>
      <c r="P759" s="13">
        <v>1038.95</v>
      </c>
      <c r="Q759" s="3">
        <f t="shared" si="57"/>
        <v>0</v>
      </c>
      <c r="R759" s="3">
        <f t="shared" si="58"/>
        <v>1038.95</v>
      </c>
      <c r="S759" s="3">
        <f t="shared" si="59"/>
        <v>16292.14</v>
      </c>
      <c r="T759" s="24" t="s">
        <v>1081</v>
      </c>
      <c r="U759" s="24" t="s">
        <v>1081</v>
      </c>
      <c r="V759" s="67"/>
      <c r="W759" s="25" t="str">
        <f>IFERROR(VLOOKUP(BCP_Soles[[#This Row],[DESTINATARIO]],CHOOSE({1,2},Clientes_Proveedores[Razon Social],Clientes_Proveedores[Ruc / Dni]),2,0),"")</f>
        <v/>
      </c>
      <c r="X759" s="25" t="s">
        <v>1118</v>
      </c>
      <c r="Y759" s="25"/>
      <c r="Z759" s="25"/>
      <c r="AA759" s="99"/>
      <c r="AB759" s="3" t="str">
        <f>IF(BCP_Soles[[#This Row],[FECHA]]&gt;0,TEXT(BCP_Soles[[#This Row],[FECHA]],"mmmm"),0)</f>
        <v>Marzo</v>
      </c>
    </row>
    <row r="760" spans="2:28" ht="24" x14ac:dyDescent="0.3">
      <c r="B760" s="2" t="str">
        <f>IF(BCP_Soles[[#This Row],[TIPO DE R.]]="R",COUNTIFS($D$4:$D759,"R")+1,"")</f>
        <v/>
      </c>
      <c r="C760" s="19" t="str">
        <f t="shared" si="55"/>
        <v>B-BCP - Soles</v>
      </c>
      <c r="D760" s="3" t="s">
        <v>1101</v>
      </c>
      <c r="E760" s="14">
        <v>45722</v>
      </c>
      <c r="F760" s="5" t="s">
        <v>1082</v>
      </c>
      <c r="G760" s="5"/>
      <c r="H760" s="6" t="s">
        <v>130</v>
      </c>
      <c r="I760" s="6" t="s">
        <v>14</v>
      </c>
      <c r="J760" s="6" t="s">
        <v>1121</v>
      </c>
      <c r="K760" s="6">
        <v>245</v>
      </c>
      <c r="L760" s="7" t="s">
        <v>1914</v>
      </c>
      <c r="M760" s="8">
        <v>9814031</v>
      </c>
      <c r="N760" s="8" t="str">
        <f t="shared" si="56"/>
        <v>PEN</v>
      </c>
      <c r="O760" s="13">
        <v>120</v>
      </c>
      <c r="P760" s="13"/>
      <c r="Q760" s="3">
        <f t="shared" si="57"/>
        <v>0</v>
      </c>
      <c r="R760" s="3">
        <f t="shared" si="58"/>
        <v>0</v>
      </c>
      <c r="S760" s="3">
        <f t="shared" si="59"/>
        <v>16292.14</v>
      </c>
      <c r="T760" s="24"/>
      <c r="U760" s="24"/>
      <c r="V760" s="67"/>
      <c r="W760" s="25">
        <f>IFERROR(VLOOKUP(BCP_Soles[[#This Row],[DESTINATARIO]],CHOOSE({1,2},Clientes_Proveedores[Razon Social],Clientes_Proveedores[Ruc / Dni]),2,0),"")</f>
        <v>10706063426</v>
      </c>
      <c r="X760" s="25"/>
      <c r="Y760" s="25"/>
      <c r="Z760" s="25"/>
      <c r="AA760" s="99"/>
      <c r="AB760" s="3" t="str">
        <f>IF(BCP_Soles[[#This Row],[FECHA]]&gt;0,TEXT(BCP_Soles[[#This Row],[FECHA]],"mmmm"),0)</f>
        <v>Marzo</v>
      </c>
    </row>
    <row r="761" spans="2:28" ht="24" x14ac:dyDescent="0.3">
      <c r="B761" s="2" t="str">
        <f>IF(BCP_Soles[[#This Row],[TIPO DE R.]]="R",COUNTIFS($D$4:$D760,"R")+1,"")</f>
        <v/>
      </c>
      <c r="C761" s="19" t="str">
        <f t="shared" si="55"/>
        <v>B-BCP - Soles</v>
      </c>
      <c r="D761" s="3" t="s">
        <v>1101</v>
      </c>
      <c r="E761" s="14">
        <v>45722</v>
      </c>
      <c r="F761" s="5" t="s">
        <v>1082</v>
      </c>
      <c r="G761" s="5"/>
      <c r="H761" s="6" t="s">
        <v>130</v>
      </c>
      <c r="I761" s="6" t="s">
        <v>14</v>
      </c>
      <c r="J761" s="6" t="s">
        <v>1121</v>
      </c>
      <c r="K761" s="6">
        <v>286</v>
      </c>
      <c r="L761" s="7" t="s">
        <v>1914</v>
      </c>
      <c r="M761" s="8">
        <v>9814031</v>
      </c>
      <c r="N761" s="8" t="str">
        <f t="shared" si="56"/>
        <v>PEN</v>
      </c>
      <c r="O761" s="13">
        <v>90</v>
      </c>
      <c r="P761" s="13"/>
      <c r="Q761" s="3">
        <f t="shared" si="57"/>
        <v>0</v>
      </c>
      <c r="R761" s="3">
        <f t="shared" si="58"/>
        <v>0</v>
      </c>
      <c r="S761" s="3">
        <f t="shared" si="59"/>
        <v>16292.14</v>
      </c>
      <c r="T761" s="24"/>
      <c r="U761" s="24"/>
      <c r="V761" s="67"/>
      <c r="W761" s="25">
        <f>IFERROR(VLOOKUP(BCP_Soles[[#This Row],[DESTINATARIO]],CHOOSE({1,2},Clientes_Proveedores[Razon Social],Clientes_Proveedores[Ruc / Dni]),2,0),"")</f>
        <v>10706063426</v>
      </c>
      <c r="X761" s="25"/>
      <c r="Y761" s="25"/>
      <c r="Z761" s="25"/>
      <c r="AA761" s="99"/>
      <c r="AB761" s="3" t="str">
        <f>IF(BCP_Soles[[#This Row],[FECHA]]&gt;0,TEXT(BCP_Soles[[#This Row],[FECHA]],"mmmm"),0)</f>
        <v>Marzo</v>
      </c>
    </row>
    <row r="762" spans="2:28" x14ac:dyDescent="0.3">
      <c r="B762" s="2" t="str">
        <f>IF(BCP_Soles[[#This Row],[TIPO DE R.]]="R",COUNTIFS($D$4:$D761,"R")+1,"")</f>
        <v/>
      </c>
      <c r="C762" s="19" t="str">
        <f t="shared" si="55"/>
        <v>B-BCP - Soles</v>
      </c>
      <c r="D762" s="3" t="s">
        <v>1101</v>
      </c>
      <c r="E762" s="14">
        <v>45722</v>
      </c>
      <c r="F762" s="5" t="s">
        <v>1082</v>
      </c>
      <c r="G762" s="5"/>
      <c r="H762" s="6" t="s">
        <v>465</v>
      </c>
      <c r="I762" s="6" t="s">
        <v>14</v>
      </c>
      <c r="J762" s="6" t="s">
        <v>1121</v>
      </c>
      <c r="K762" s="6">
        <v>3702</v>
      </c>
      <c r="L762" s="7" t="s">
        <v>1914</v>
      </c>
      <c r="M762" s="8">
        <v>9814031</v>
      </c>
      <c r="N762" s="8" t="str">
        <f t="shared" si="56"/>
        <v>PEN</v>
      </c>
      <c r="O762" s="13">
        <v>150.44999999999999</v>
      </c>
      <c r="P762" s="13"/>
      <c r="Q762" s="3">
        <f t="shared" si="57"/>
        <v>0</v>
      </c>
      <c r="R762" s="3">
        <f t="shared" si="58"/>
        <v>0</v>
      </c>
      <c r="S762" s="3">
        <f t="shared" si="59"/>
        <v>16292.14</v>
      </c>
      <c r="T762" s="24"/>
      <c r="U762" s="24"/>
      <c r="V762" s="67"/>
      <c r="W762" s="25">
        <f>IFERROR(VLOOKUP(BCP_Soles[[#This Row],[DESTINATARIO]],CHOOSE({1,2},Clientes_Proveedores[Razon Social],Clientes_Proveedores[Ruc / Dni]),2,0),"")</f>
        <v>20603974817</v>
      </c>
      <c r="X762" s="25"/>
      <c r="Y762" s="25"/>
      <c r="Z762" s="25"/>
      <c r="AA762" s="99"/>
      <c r="AB762" s="3" t="str">
        <f>IF(BCP_Soles[[#This Row],[FECHA]]&gt;0,TEXT(BCP_Soles[[#This Row],[FECHA]],"mmmm"),0)</f>
        <v>Marzo</v>
      </c>
    </row>
    <row r="763" spans="2:28" x14ac:dyDescent="0.3">
      <c r="B763" s="2" t="str">
        <f>IF(BCP_Soles[[#This Row],[TIPO DE R.]]="R",COUNTIFS($D$4:$D762,"R")+1,"")</f>
        <v/>
      </c>
      <c r="C763" s="19" t="str">
        <f t="shared" si="55"/>
        <v>B-BCP - Soles</v>
      </c>
      <c r="D763" s="3" t="s">
        <v>1101</v>
      </c>
      <c r="E763" s="14">
        <v>45722</v>
      </c>
      <c r="F763" s="5" t="s">
        <v>1082</v>
      </c>
      <c r="G763" s="5"/>
      <c r="H763" s="6" t="s">
        <v>465</v>
      </c>
      <c r="I763" s="6" t="s">
        <v>14</v>
      </c>
      <c r="J763" s="6" t="s">
        <v>1121</v>
      </c>
      <c r="K763" s="6">
        <v>3709</v>
      </c>
      <c r="L763" s="7" t="s">
        <v>1914</v>
      </c>
      <c r="M763" s="8">
        <v>9814031</v>
      </c>
      <c r="N763" s="8" t="str">
        <f t="shared" si="56"/>
        <v>PEN</v>
      </c>
      <c r="O763" s="13">
        <v>150.44999999999999</v>
      </c>
      <c r="P763" s="13"/>
      <c r="Q763" s="3">
        <f t="shared" si="57"/>
        <v>0</v>
      </c>
      <c r="R763" s="3">
        <f t="shared" si="58"/>
        <v>0</v>
      </c>
      <c r="S763" s="3">
        <f t="shared" si="59"/>
        <v>16292.14</v>
      </c>
      <c r="T763" s="24"/>
      <c r="U763" s="24"/>
      <c r="V763" s="67"/>
      <c r="W763" s="25">
        <f>IFERROR(VLOOKUP(BCP_Soles[[#This Row],[DESTINATARIO]],CHOOSE({1,2},Clientes_Proveedores[Razon Social],Clientes_Proveedores[Ruc / Dni]),2,0),"")</f>
        <v>20603974817</v>
      </c>
      <c r="X763" s="25"/>
      <c r="Y763" s="25"/>
      <c r="Z763" s="25"/>
      <c r="AA763" s="99"/>
      <c r="AB763" s="3" t="str">
        <f>IF(BCP_Soles[[#This Row],[FECHA]]&gt;0,TEXT(BCP_Soles[[#This Row],[FECHA]],"mmmm"),0)</f>
        <v>Marzo</v>
      </c>
    </row>
    <row r="764" spans="2:28" x14ac:dyDescent="0.3">
      <c r="B764" s="2" t="str">
        <f>IF(BCP_Soles[[#This Row],[TIPO DE R.]]="R",COUNTIFS($D$4:$D763,"R")+1,"")</f>
        <v/>
      </c>
      <c r="C764" s="19" t="str">
        <f t="shared" si="55"/>
        <v>B-BCP - Soles</v>
      </c>
      <c r="D764" s="3" t="s">
        <v>1101</v>
      </c>
      <c r="E764" s="14">
        <v>45722</v>
      </c>
      <c r="F764" s="5" t="s">
        <v>1082</v>
      </c>
      <c r="G764" s="5"/>
      <c r="H764" s="6" t="s">
        <v>465</v>
      </c>
      <c r="I764" s="6" t="s">
        <v>14</v>
      </c>
      <c r="J764" s="6" t="s">
        <v>1121</v>
      </c>
      <c r="K764" s="6">
        <v>3700</v>
      </c>
      <c r="L764" s="7" t="s">
        <v>1914</v>
      </c>
      <c r="M764" s="8">
        <v>9814031</v>
      </c>
      <c r="N764" s="8" t="str">
        <f t="shared" si="56"/>
        <v>PEN</v>
      </c>
      <c r="O764" s="13">
        <v>150.44999999999999</v>
      </c>
      <c r="P764" s="13"/>
      <c r="Q764" s="3">
        <f t="shared" si="57"/>
        <v>0</v>
      </c>
      <c r="R764" s="3">
        <f t="shared" si="58"/>
        <v>0</v>
      </c>
      <c r="S764" s="3">
        <f t="shared" si="59"/>
        <v>16292.14</v>
      </c>
      <c r="T764" s="24"/>
      <c r="U764" s="24"/>
      <c r="V764" s="67"/>
      <c r="W764" s="25">
        <f>IFERROR(VLOOKUP(BCP_Soles[[#This Row],[DESTINATARIO]],CHOOSE({1,2},Clientes_Proveedores[Razon Social],Clientes_Proveedores[Ruc / Dni]),2,0),"")</f>
        <v>20603974817</v>
      </c>
      <c r="X764" s="25"/>
      <c r="Y764" s="25"/>
      <c r="Z764" s="25"/>
      <c r="AA764" s="99"/>
      <c r="AB764" s="3" t="str">
        <f>IF(BCP_Soles[[#This Row],[FECHA]]&gt;0,TEXT(BCP_Soles[[#This Row],[FECHA]],"mmmm"),0)</f>
        <v>Marzo</v>
      </c>
    </row>
    <row r="765" spans="2:28" ht="24" x14ac:dyDescent="0.3">
      <c r="B765" s="2" t="str">
        <f>IF(BCP_Soles[[#This Row],[TIPO DE R.]]="R",COUNTIFS($D$4:$D764,"R")+1,"")</f>
        <v/>
      </c>
      <c r="C765" s="19" t="str">
        <f t="shared" si="55"/>
        <v>B-BCP - Soles</v>
      </c>
      <c r="D765" s="3" t="s">
        <v>1101</v>
      </c>
      <c r="E765" s="14">
        <v>45722</v>
      </c>
      <c r="F765" s="5" t="s">
        <v>1082</v>
      </c>
      <c r="G765" s="5"/>
      <c r="H765" s="6" t="s">
        <v>108</v>
      </c>
      <c r="I765" s="6" t="s">
        <v>14</v>
      </c>
      <c r="J765" s="6" t="s">
        <v>1121</v>
      </c>
      <c r="K765" s="6">
        <v>4489</v>
      </c>
      <c r="L765" s="7" t="s">
        <v>1914</v>
      </c>
      <c r="M765" s="8">
        <v>9814031</v>
      </c>
      <c r="N765" s="8" t="str">
        <f t="shared" si="56"/>
        <v>PEN</v>
      </c>
      <c r="O765" s="13">
        <v>236</v>
      </c>
      <c r="P765" s="13"/>
      <c r="Q765" s="3">
        <f t="shared" si="57"/>
        <v>0</v>
      </c>
      <c r="R765" s="3">
        <f t="shared" si="58"/>
        <v>0</v>
      </c>
      <c r="S765" s="3">
        <f t="shared" si="59"/>
        <v>16292.14</v>
      </c>
      <c r="T765" s="24"/>
      <c r="U765" s="24"/>
      <c r="V765" s="67"/>
      <c r="W765" s="25">
        <f>IFERROR(VLOOKUP(BCP_Soles[[#This Row],[DESTINATARIO]],CHOOSE({1,2},Clientes_Proveedores[Razon Social],Clientes_Proveedores[Ruc / Dni]),2,0),"")</f>
        <v>10425371652</v>
      </c>
      <c r="X765" s="25"/>
      <c r="Y765" s="25"/>
      <c r="Z765" s="25"/>
      <c r="AA765" s="99"/>
      <c r="AB765" s="3" t="str">
        <f>IF(BCP_Soles[[#This Row],[FECHA]]&gt;0,TEXT(BCP_Soles[[#This Row],[FECHA]],"mmmm"),0)</f>
        <v>Marzo</v>
      </c>
    </row>
    <row r="766" spans="2:28" ht="24" x14ac:dyDescent="0.3">
      <c r="B766" s="2" t="str">
        <f>IF(BCP_Soles[[#This Row],[TIPO DE R.]]="R",COUNTIFS($D$4:$D765,"R")+1,"")</f>
        <v/>
      </c>
      <c r="C766" s="19" t="str">
        <f t="shared" si="55"/>
        <v>B-BCP - Soles</v>
      </c>
      <c r="D766" s="3" t="s">
        <v>1101</v>
      </c>
      <c r="E766" s="14">
        <v>45722</v>
      </c>
      <c r="F766" s="5" t="s">
        <v>1082</v>
      </c>
      <c r="G766" s="5"/>
      <c r="H766" s="6" t="s">
        <v>536</v>
      </c>
      <c r="I766" s="6" t="s">
        <v>14</v>
      </c>
      <c r="J766" s="6" t="s">
        <v>1121</v>
      </c>
      <c r="K766" s="6">
        <v>1984</v>
      </c>
      <c r="L766" s="7" t="s">
        <v>1914</v>
      </c>
      <c r="M766" s="8">
        <v>9814031</v>
      </c>
      <c r="N766" s="8" t="str">
        <f t="shared" si="56"/>
        <v>PEN</v>
      </c>
      <c r="O766" s="13">
        <v>141.6</v>
      </c>
      <c r="P766" s="13"/>
      <c r="Q766" s="3">
        <f t="shared" si="57"/>
        <v>0</v>
      </c>
      <c r="R766" s="3">
        <f t="shared" si="58"/>
        <v>0</v>
      </c>
      <c r="S766" s="3">
        <f t="shared" si="59"/>
        <v>16292.14</v>
      </c>
      <c r="T766" s="24"/>
      <c r="U766" s="24"/>
      <c r="V766" s="67"/>
      <c r="W766" s="25">
        <f>IFERROR(VLOOKUP(BCP_Soles[[#This Row],[DESTINATARIO]],CHOOSE({1,2},Clientes_Proveedores[Razon Social],Clientes_Proveedores[Ruc / Dni]),2,0),"")</f>
        <v>20609764261</v>
      </c>
      <c r="X766" s="25"/>
      <c r="Y766" s="25"/>
      <c r="Z766" s="25"/>
      <c r="AA766" s="99"/>
      <c r="AB766" s="3" t="str">
        <f>IF(BCP_Soles[[#This Row],[FECHA]]&gt;0,TEXT(BCP_Soles[[#This Row],[FECHA]],"mmmm"),0)</f>
        <v>Marzo</v>
      </c>
    </row>
    <row r="767" spans="2:28" x14ac:dyDescent="0.3">
      <c r="B767" s="2">
        <f>IF(BCP_Soles[[#This Row],[TIPO DE R.]]="R",COUNTIFS($D$4:$D766,"R")+1,"")</f>
        <v>584</v>
      </c>
      <c r="C767" s="19" t="str">
        <f t="shared" si="55"/>
        <v>B-BCP - Soles</v>
      </c>
      <c r="D767" s="3" t="s">
        <v>1074</v>
      </c>
      <c r="E767" s="14">
        <v>45722</v>
      </c>
      <c r="F767" s="5" t="s">
        <v>1082</v>
      </c>
      <c r="G767" s="5" t="s">
        <v>1079</v>
      </c>
      <c r="H767" s="6" t="s">
        <v>637</v>
      </c>
      <c r="I767" s="6" t="s">
        <v>14</v>
      </c>
      <c r="J767" s="6" t="s">
        <v>1453</v>
      </c>
      <c r="K767" s="6">
        <v>130611</v>
      </c>
      <c r="L767" s="7" t="s">
        <v>1123</v>
      </c>
      <c r="M767" s="8">
        <v>95854</v>
      </c>
      <c r="N767" s="8" t="str">
        <f t="shared" si="56"/>
        <v>PEN</v>
      </c>
      <c r="O767" s="13"/>
      <c r="P767" s="13">
        <v>1251.04</v>
      </c>
      <c r="Q767" s="3">
        <f t="shared" si="57"/>
        <v>0</v>
      </c>
      <c r="R767" s="3">
        <f t="shared" si="58"/>
        <v>1251.04</v>
      </c>
      <c r="S767" s="3">
        <f t="shared" si="59"/>
        <v>15041.099999999999</v>
      </c>
      <c r="T767" s="24" t="s">
        <v>1081</v>
      </c>
      <c r="U767" s="24" t="s">
        <v>1081</v>
      </c>
      <c r="V767" s="67"/>
      <c r="W767" s="25">
        <f>IFERROR(VLOOKUP(BCP_Soles[[#This Row],[DESTINATARIO]],CHOOSE({1,2},Clientes_Proveedores[Razon Social],Clientes_Proveedores[Ruc / Dni]),2,0),"")</f>
        <v>20127765279</v>
      </c>
      <c r="X767" s="25" t="s">
        <v>1124</v>
      </c>
      <c r="Y767" s="25" t="s">
        <v>1915</v>
      </c>
      <c r="Z767" s="25"/>
      <c r="AA767" s="99"/>
      <c r="AB767" s="3" t="str">
        <f>IF(BCP_Soles[[#This Row],[FECHA]]&gt;0,TEXT(BCP_Soles[[#This Row],[FECHA]],"mmmm"),0)</f>
        <v>Marzo</v>
      </c>
    </row>
    <row r="768" spans="2:28" x14ac:dyDescent="0.3">
      <c r="B768" s="2">
        <f>IF(BCP_Soles[[#This Row],[TIPO DE R.]]="R",COUNTIFS($D$4:$D767,"R")+1,"")</f>
        <v>585</v>
      </c>
      <c r="C768" s="19" t="str">
        <f t="shared" si="55"/>
        <v>B-BCP - Soles</v>
      </c>
      <c r="D768" s="3" t="s">
        <v>1074</v>
      </c>
      <c r="E768" s="14">
        <v>45722</v>
      </c>
      <c r="F768" s="5" t="s">
        <v>1082</v>
      </c>
      <c r="G768" s="5" t="s">
        <v>1079</v>
      </c>
      <c r="H768" s="6" t="s">
        <v>637</v>
      </c>
      <c r="I768" s="6" t="s">
        <v>14</v>
      </c>
      <c r="J768" s="6" t="s">
        <v>1122</v>
      </c>
      <c r="K768" s="6">
        <v>150351</v>
      </c>
      <c r="L768" s="7" t="s">
        <v>1123</v>
      </c>
      <c r="M768" s="8">
        <v>96345</v>
      </c>
      <c r="N768" s="8" t="str">
        <f t="shared" si="56"/>
        <v>PEN</v>
      </c>
      <c r="O768" s="13"/>
      <c r="P768" s="13">
        <v>2344.7199999999998</v>
      </c>
      <c r="Q768" s="3">
        <f t="shared" si="57"/>
        <v>0</v>
      </c>
      <c r="R768" s="3">
        <f t="shared" si="58"/>
        <v>2344.7199999999998</v>
      </c>
      <c r="S768" s="3">
        <f t="shared" si="59"/>
        <v>12696.38</v>
      </c>
      <c r="T768" s="24" t="s">
        <v>1081</v>
      </c>
      <c r="U768" s="24" t="s">
        <v>1081</v>
      </c>
      <c r="V768" s="67"/>
      <c r="W768" s="25">
        <f>IFERROR(VLOOKUP(BCP_Soles[[#This Row],[DESTINATARIO]],CHOOSE({1,2},Clientes_Proveedores[Razon Social],Clientes_Proveedores[Ruc / Dni]),2,0),"")</f>
        <v>20127765279</v>
      </c>
      <c r="X768" s="25" t="s">
        <v>1124</v>
      </c>
      <c r="Y768" s="25" t="s">
        <v>1916</v>
      </c>
      <c r="Z768" s="25"/>
      <c r="AA768" s="99"/>
      <c r="AB768" s="3" t="str">
        <f>IF(BCP_Soles[[#This Row],[FECHA]]&gt;0,TEXT(BCP_Soles[[#This Row],[FECHA]],"mmmm"),0)</f>
        <v>Marzo</v>
      </c>
    </row>
    <row r="769" spans="2:28" ht="24" x14ac:dyDescent="0.3">
      <c r="B769" s="2">
        <f>IF(BCP_Soles[[#This Row],[TIPO DE R.]]="R",COUNTIFS($D$4:$D768,"R")+1,"")</f>
        <v>586</v>
      </c>
      <c r="C769" s="19" t="str">
        <f t="shared" si="55"/>
        <v>B-BCP - Soles</v>
      </c>
      <c r="D769" s="3" t="s">
        <v>1074</v>
      </c>
      <c r="E769" s="14">
        <v>45722</v>
      </c>
      <c r="F769" s="5" t="s">
        <v>1082</v>
      </c>
      <c r="G769" s="5" t="s">
        <v>1079</v>
      </c>
      <c r="H769" s="6" t="s">
        <v>640</v>
      </c>
      <c r="I769" s="6"/>
      <c r="J769" s="6"/>
      <c r="K769" s="6"/>
      <c r="L769" s="7" t="s">
        <v>1917</v>
      </c>
      <c r="M769" s="8">
        <v>4010590</v>
      </c>
      <c r="N769" s="8" t="str">
        <f t="shared" si="56"/>
        <v>PEN</v>
      </c>
      <c r="O769" s="13"/>
      <c r="P769" s="13">
        <v>3219.5</v>
      </c>
      <c r="Q769" s="3">
        <f t="shared" si="57"/>
        <v>0</v>
      </c>
      <c r="R769" s="3">
        <f t="shared" si="58"/>
        <v>3219.5</v>
      </c>
      <c r="S769" s="3">
        <f t="shared" si="59"/>
        <v>9476.8799999999992</v>
      </c>
      <c r="T769" s="24" t="s">
        <v>1081</v>
      </c>
      <c r="U769" s="24"/>
      <c r="V769" s="67"/>
      <c r="W769" s="25">
        <f>IFERROR(VLOOKUP(BCP_Soles[[#This Row],[DESTINATARIO]],CHOOSE({1,2},Clientes_Proveedores[Razon Social],Clientes_Proveedores[Ruc / Dni]),2,0),"")</f>
        <v>10296347634</v>
      </c>
      <c r="X769" s="25" t="s">
        <v>640</v>
      </c>
      <c r="Y769" s="25"/>
      <c r="Z769" s="25"/>
      <c r="AA769" s="99"/>
      <c r="AB769" s="3" t="str">
        <f>IF(BCP_Soles[[#This Row],[FECHA]]&gt;0,TEXT(BCP_Soles[[#This Row],[FECHA]],"mmmm"),0)</f>
        <v>Marzo</v>
      </c>
    </row>
    <row r="770" spans="2:28" ht="24" x14ac:dyDescent="0.3">
      <c r="B770" s="2" t="str">
        <f>IF(BCP_Soles[[#This Row],[TIPO DE R.]]="R",COUNTIFS($D$4:$D769,"R")+1,"")</f>
        <v/>
      </c>
      <c r="C770" s="19" t="str">
        <f t="shared" si="55"/>
        <v>B-BCP - Soles</v>
      </c>
      <c r="D770" s="3" t="s">
        <v>1101</v>
      </c>
      <c r="E770" s="14">
        <v>45722</v>
      </c>
      <c r="F770" s="5" t="s">
        <v>1082</v>
      </c>
      <c r="G770" s="5"/>
      <c r="H770" s="6" t="s">
        <v>640</v>
      </c>
      <c r="I770" s="6" t="s">
        <v>10</v>
      </c>
      <c r="J770" s="6"/>
      <c r="K770" s="6"/>
      <c r="L770" s="7" t="s">
        <v>1917</v>
      </c>
      <c r="M770" s="8">
        <v>4010590</v>
      </c>
      <c r="N770" s="8" t="str">
        <f t="shared" si="56"/>
        <v>PEN</v>
      </c>
      <c r="O770" s="13">
        <v>3200</v>
      </c>
      <c r="P770" s="13"/>
      <c r="Q770" s="3">
        <f t="shared" si="57"/>
        <v>0</v>
      </c>
      <c r="R770" s="3">
        <f t="shared" si="58"/>
        <v>0</v>
      </c>
      <c r="S770" s="3">
        <f t="shared" si="59"/>
        <v>9476.8799999999992</v>
      </c>
      <c r="T770" s="24" t="s">
        <v>1081</v>
      </c>
      <c r="U770" s="24"/>
      <c r="V770" s="67"/>
      <c r="W770" s="25">
        <f>IFERROR(VLOOKUP(BCP_Soles[[#This Row],[DESTINATARIO]],CHOOSE({1,2},Clientes_Proveedores[Razon Social],Clientes_Proveedores[Ruc / Dni]),2,0),"")</f>
        <v>10296347634</v>
      </c>
      <c r="X770" s="25"/>
      <c r="Y770" s="25"/>
      <c r="Z770" s="25"/>
      <c r="AA770" s="99"/>
      <c r="AB770" s="3" t="str">
        <f>IF(BCP_Soles[[#This Row],[FECHA]]&gt;0,TEXT(BCP_Soles[[#This Row],[FECHA]],"mmmm"),0)</f>
        <v>Marzo</v>
      </c>
    </row>
    <row r="771" spans="2:28" ht="24" x14ac:dyDescent="0.3">
      <c r="B771" s="2" t="str">
        <f>IF(BCP_Soles[[#This Row],[TIPO DE R.]]="R",COUNTIFS($D$4:$D770,"R")+1,"")</f>
        <v/>
      </c>
      <c r="C771" s="19" t="str">
        <f t="shared" si="55"/>
        <v>B-BCP - Soles</v>
      </c>
      <c r="D771" s="3" t="s">
        <v>1101</v>
      </c>
      <c r="E771" s="14">
        <v>45722</v>
      </c>
      <c r="F771" s="5" t="s">
        <v>1082</v>
      </c>
      <c r="G771" s="5"/>
      <c r="H771" s="6" t="s">
        <v>1001</v>
      </c>
      <c r="I771" s="6" t="s">
        <v>14</v>
      </c>
      <c r="J771" s="6" t="s">
        <v>3128</v>
      </c>
      <c r="K771" s="6">
        <v>30206424</v>
      </c>
      <c r="L771" s="7" t="s">
        <v>1917</v>
      </c>
      <c r="M771" s="8">
        <v>4010590</v>
      </c>
      <c r="N771" s="8" t="str">
        <f t="shared" si="56"/>
        <v>PEN</v>
      </c>
      <c r="O771" s="13">
        <v>19.5</v>
      </c>
      <c r="P771" s="13"/>
      <c r="Q771" s="3">
        <f t="shared" si="57"/>
        <v>0</v>
      </c>
      <c r="R771" s="3">
        <f t="shared" si="58"/>
        <v>0</v>
      </c>
      <c r="S771" s="3">
        <f t="shared" si="59"/>
        <v>9476.8799999999992</v>
      </c>
      <c r="T771" s="24" t="s">
        <v>1081</v>
      </c>
      <c r="U771" s="24"/>
      <c r="V771" s="67"/>
      <c r="W771" s="25">
        <f>IFERROR(VLOOKUP(BCP_Soles[[#This Row],[DESTINATARIO]],CHOOSE({1,2},Clientes_Proveedores[Razon Social],Clientes_Proveedores[Ruc / Dni]),2,0),"")</f>
        <v>20100047218</v>
      </c>
      <c r="X771" s="25"/>
      <c r="Y771" s="25"/>
      <c r="Z771" s="25"/>
      <c r="AA771" s="99"/>
      <c r="AB771" s="3" t="str">
        <f>IF(BCP_Soles[[#This Row],[FECHA]]&gt;0,TEXT(BCP_Soles[[#This Row],[FECHA]],"mmmm"),0)</f>
        <v>Marzo</v>
      </c>
    </row>
    <row r="772" spans="2:28" x14ac:dyDescent="0.3">
      <c r="B772" s="2">
        <f>IF(BCP_Soles[[#This Row],[TIPO DE R.]]="R",COUNTIFS($D$4:$D771,"R")+1,"")</f>
        <v>587</v>
      </c>
      <c r="C772" s="19" t="str">
        <f t="shared" si="55"/>
        <v>B-BCP - Soles</v>
      </c>
      <c r="D772" s="3" t="s">
        <v>1074</v>
      </c>
      <c r="E772" s="14">
        <v>45723</v>
      </c>
      <c r="F772" s="5" t="s">
        <v>229</v>
      </c>
      <c r="G772" s="5" t="s">
        <v>1087</v>
      </c>
      <c r="H772" s="6"/>
      <c r="I772" s="6"/>
      <c r="J772" s="6"/>
      <c r="K772" s="6"/>
      <c r="L772" s="7" t="s">
        <v>1127</v>
      </c>
      <c r="M772" s="8">
        <v>6197</v>
      </c>
      <c r="N772" s="8" t="str">
        <f t="shared" si="56"/>
        <v>PEN</v>
      </c>
      <c r="O772" s="13"/>
      <c r="P772" s="13">
        <v>4477.54</v>
      </c>
      <c r="Q772" s="3">
        <f t="shared" si="57"/>
        <v>4477.54</v>
      </c>
      <c r="R772" s="3">
        <f t="shared" si="58"/>
        <v>0</v>
      </c>
      <c r="S772" s="3">
        <f t="shared" si="59"/>
        <v>13954.419999999998</v>
      </c>
      <c r="T772" s="24" t="s">
        <v>1081</v>
      </c>
      <c r="U772" s="24" t="s">
        <v>1081</v>
      </c>
      <c r="V772" s="67"/>
      <c r="W772" s="25" t="str">
        <f>IFERROR(VLOOKUP(BCP_Soles[[#This Row],[DESTINATARIO]],CHOOSE({1,2},Clientes_Proveedores[Razon Social],Clientes_Proveedores[Ruc / Dni]),2,0),"")</f>
        <v/>
      </c>
      <c r="X772" s="25" t="s">
        <v>1090</v>
      </c>
      <c r="Y772" s="25" t="s">
        <v>1918</v>
      </c>
      <c r="Z772" s="25"/>
      <c r="AA772" s="99"/>
      <c r="AB772" s="3" t="str">
        <f>IF(BCP_Soles[[#This Row],[FECHA]]&gt;0,TEXT(BCP_Soles[[#This Row],[FECHA]],"mmmm"),0)</f>
        <v>Marzo</v>
      </c>
    </row>
    <row r="773" spans="2:28" x14ac:dyDescent="0.3">
      <c r="B773" s="2">
        <f>IF(BCP_Soles[[#This Row],[TIPO DE R.]]="R",COUNTIFS($D$4:$D772,"R")+1,"")</f>
        <v>588</v>
      </c>
      <c r="C773" s="19" t="str">
        <f t="shared" ref="C773:C836" si="60">"B-BCP - Soles"</f>
        <v>B-BCP - Soles</v>
      </c>
      <c r="D773" s="3" t="s">
        <v>1074</v>
      </c>
      <c r="E773" s="14">
        <v>45723</v>
      </c>
      <c r="F773" s="5" t="s">
        <v>1078</v>
      </c>
      <c r="G773" s="5" t="s">
        <v>1079</v>
      </c>
      <c r="H773" s="6"/>
      <c r="I773" s="6"/>
      <c r="J773" s="6"/>
      <c r="K773" s="6"/>
      <c r="L773" s="7" t="s">
        <v>1080</v>
      </c>
      <c r="M773" s="8"/>
      <c r="N773" s="8" t="str">
        <f t="shared" ref="N773:N836" si="61">"PEN"</f>
        <v>PEN</v>
      </c>
      <c r="O773" s="13"/>
      <c r="P773" s="13">
        <v>0.6</v>
      </c>
      <c r="Q773" s="3">
        <f t="shared" ref="Q773:Q836" si="62">+IF(OR($G773="SALDO",$G773="INGRESO"),$P773,0)</f>
        <v>0</v>
      </c>
      <c r="R773" s="3">
        <f t="shared" ref="R773:R836" si="63">+IF($G773="EGRESO",$P773,0)</f>
        <v>0.6</v>
      </c>
      <c r="S773" s="3">
        <f t="shared" ref="S773:S836" si="64">IFERROR(IF(G773="SALDO",Q773,S772+Q773-R773),0)</f>
        <v>13953.819999999998</v>
      </c>
      <c r="T773" s="24"/>
      <c r="U773" s="24" t="s">
        <v>1081</v>
      </c>
      <c r="V773" s="67"/>
      <c r="W773" s="25" t="str">
        <f>IFERROR(VLOOKUP(BCP_Soles[[#This Row],[DESTINATARIO]],CHOOSE({1,2},Clientes_Proveedores[Razon Social],Clientes_Proveedores[Ruc / Dni]),2,0),"")</f>
        <v/>
      </c>
      <c r="X773" s="25"/>
      <c r="Y773" s="25"/>
      <c r="Z773" s="25"/>
      <c r="AA773" s="99"/>
      <c r="AB773" s="3" t="str">
        <f>IF(BCP_Soles[[#This Row],[FECHA]]&gt;0,TEXT(BCP_Soles[[#This Row],[FECHA]],"mmmm"),0)</f>
        <v>Marzo</v>
      </c>
    </row>
    <row r="774" spans="2:28" x14ac:dyDescent="0.3">
      <c r="B774" s="2">
        <f>IF(BCP_Soles[[#This Row],[TIPO DE R.]]="R",COUNTIFS($D$4:$D773,"R")+1,"")</f>
        <v>589</v>
      </c>
      <c r="C774" s="19" t="str">
        <f t="shared" si="60"/>
        <v>B-BCP - Soles</v>
      </c>
      <c r="D774" s="3" t="s">
        <v>1074</v>
      </c>
      <c r="E774" s="14">
        <v>45723</v>
      </c>
      <c r="F774" s="5" t="s">
        <v>1078</v>
      </c>
      <c r="G774" s="5" t="s">
        <v>1079</v>
      </c>
      <c r="H774" s="6"/>
      <c r="I774" s="6"/>
      <c r="J774" s="6"/>
      <c r="K774" s="6"/>
      <c r="L774" s="7" t="s">
        <v>1141</v>
      </c>
      <c r="M774" s="8">
        <v>1639</v>
      </c>
      <c r="N774" s="8" t="str">
        <f t="shared" si="61"/>
        <v>PEN</v>
      </c>
      <c r="O774" s="13"/>
      <c r="P774" s="13">
        <v>10</v>
      </c>
      <c r="Q774" s="3">
        <f t="shared" si="62"/>
        <v>0</v>
      </c>
      <c r="R774" s="3">
        <f t="shared" si="63"/>
        <v>10</v>
      </c>
      <c r="S774" s="3">
        <f t="shared" si="64"/>
        <v>13943.819999999998</v>
      </c>
      <c r="T774" s="24"/>
      <c r="U774" s="24" t="s">
        <v>1081</v>
      </c>
      <c r="V774" s="67"/>
      <c r="W774" s="25" t="str">
        <f>IFERROR(VLOOKUP(BCP_Soles[[#This Row],[DESTINATARIO]],CHOOSE({1,2},Clientes_Proveedores[Razon Social],Clientes_Proveedores[Ruc / Dni]),2,0),"")</f>
        <v/>
      </c>
      <c r="X774" s="25" t="s">
        <v>1078</v>
      </c>
      <c r="Y774" s="25" t="s">
        <v>1919</v>
      </c>
      <c r="Z774" s="25"/>
      <c r="AA774" s="99"/>
      <c r="AB774" s="3" t="str">
        <f>IF(BCP_Soles[[#This Row],[FECHA]]&gt;0,TEXT(BCP_Soles[[#This Row],[FECHA]],"mmmm"),0)</f>
        <v>Marzo</v>
      </c>
    </row>
    <row r="775" spans="2:28" ht="24" x14ac:dyDescent="0.3">
      <c r="B775" s="2">
        <f>IF(BCP_Soles[[#This Row],[TIPO DE R.]]="R",COUNTIFS($D$4:$D774,"R")+1,"")</f>
        <v>590</v>
      </c>
      <c r="C775" s="19" t="str">
        <f t="shared" si="60"/>
        <v>B-BCP - Soles</v>
      </c>
      <c r="D775" s="3" t="s">
        <v>1074</v>
      </c>
      <c r="E775" s="14">
        <v>45723</v>
      </c>
      <c r="F775" s="5" t="s">
        <v>1082</v>
      </c>
      <c r="G775" s="5" t="s">
        <v>1079</v>
      </c>
      <c r="H775" s="6" t="s">
        <v>701</v>
      </c>
      <c r="I775" s="6" t="s">
        <v>18</v>
      </c>
      <c r="J775" s="6" t="s">
        <v>1121</v>
      </c>
      <c r="K775" s="6">
        <v>3</v>
      </c>
      <c r="L775" s="7" t="s">
        <v>1920</v>
      </c>
      <c r="M775" s="8">
        <v>1277104</v>
      </c>
      <c r="N775" s="8" t="str">
        <f t="shared" si="61"/>
        <v>PEN</v>
      </c>
      <c r="O775" s="13"/>
      <c r="P775" s="13">
        <v>350</v>
      </c>
      <c r="Q775" s="3">
        <f t="shared" si="62"/>
        <v>0</v>
      </c>
      <c r="R775" s="3">
        <f t="shared" si="63"/>
        <v>350</v>
      </c>
      <c r="S775" s="3">
        <f t="shared" si="64"/>
        <v>13593.819999999998</v>
      </c>
      <c r="T775" s="24"/>
      <c r="U775" s="24" t="s">
        <v>1081</v>
      </c>
      <c r="V775" s="67"/>
      <c r="W775" s="25">
        <f>IFERROR(VLOOKUP(BCP_Soles[[#This Row],[DESTINATARIO]],CHOOSE({1,2},Clientes_Proveedores[Razon Social],Clientes_Proveedores[Ruc / Dni]),2,0),"")</f>
        <v>10100554785</v>
      </c>
      <c r="X775" s="25" t="s">
        <v>1921</v>
      </c>
      <c r="Y775" s="25" t="s">
        <v>1922</v>
      </c>
      <c r="Z775" s="25"/>
      <c r="AA775" s="99"/>
      <c r="AB775" s="3" t="str">
        <f>IF(BCP_Soles[[#This Row],[FECHA]]&gt;0,TEXT(BCP_Soles[[#This Row],[FECHA]],"mmmm"),0)</f>
        <v>Marzo</v>
      </c>
    </row>
    <row r="776" spans="2:28" x14ac:dyDescent="0.3">
      <c r="B776" s="2">
        <f>IF(BCP_Soles[[#This Row],[TIPO DE R.]]="R",COUNTIFS($D$4:$D775,"R")+1,"")</f>
        <v>591</v>
      </c>
      <c r="C776" s="19" t="str">
        <f t="shared" si="60"/>
        <v>B-BCP - Soles</v>
      </c>
      <c r="D776" s="3" t="s">
        <v>1074</v>
      </c>
      <c r="E776" s="14">
        <v>45723</v>
      </c>
      <c r="F776" s="5" t="s">
        <v>1082</v>
      </c>
      <c r="G776" s="5" t="s">
        <v>1079</v>
      </c>
      <c r="H776" s="6"/>
      <c r="I776" s="6" t="s">
        <v>14</v>
      </c>
      <c r="J776" s="6" t="s">
        <v>1395</v>
      </c>
      <c r="K776" s="6">
        <v>273333</v>
      </c>
      <c r="L776" s="7" t="s">
        <v>1396</v>
      </c>
      <c r="M776" s="8">
        <v>196608</v>
      </c>
      <c r="N776" s="8" t="str">
        <f t="shared" si="61"/>
        <v>PEN</v>
      </c>
      <c r="O776" s="13"/>
      <c r="P776" s="13">
        <v>518.02</v>
      </c>
      <c r="Q776" s="3">
        <f t="shared" si="62"/>
        <v>0</v>
      </c>
      <c r="R776" s="3">
        <f t="shared" si="63"/>
        <v>518.02</v>
      </c>
      <c r="S776" s="3">
        <f t="shared" si="64"/>
        <v>13075.799999999997</v>
      </c>
      <c r="T776" s="24" t="s">
        <v>1081</v>
      </c>
      <c r="U776" s="24" t="s">
        <v>1081</v>
      </c>
      <c r="V776" s="67"/>
      <c r="W776" s="25" t="str">
        <f>IFERROR(VLOOKUP(BCP_Soles[[#This Row],[DESTINATARIO]],CHOOSE({1,2},Clientes_Proveedores[Razon Social],Clientes_Proveedores[Ruc / Dni]),2,0),"")</f>
        <v/>
      </c>
      <c r="X776" s="25" t="s">
        <v>1397</v>
      </c>
      <c r="Y776" s="25" t="s">
        <v>1923</v>
      </c>
      <c r="Z776" s="25"/>
      <c r="AA776" s="99"/>
      <c r="AB776" s="3" t="str">
        <f>IF(BCP_Soles[[#This Row],[FECHA]]&gt;0,TEXT(BCP_Soles[[#This Row],[FECHA]],"mmmm"),0)</f>
        <v>Marzo</v>
      </c>
    </row>
    <row r="777" spans="2:28" ht="24" x14ac:dyDescent="0.3">
      <c r="B777" s="2">
        <f>IF(BCP_Soles[[#This Row],[TIPO DE R.]]="R",COUNTIFS($D$4:$D776,"R")+1,"")</f>
        <v>592</v>
      </c>
      <c r="C777" s="19" t="str">
        <f t="shared" si="60"/>
        <v>B-BCP - Soles</v>
      </c>
      <c r="D777" s="3" t="s">
        <v>1074</v>
      </c>
      <c r="E777" s="14">
        <v>45723</v>
      </c>
      <c r="F777" s="5" t="s">
        <v>1082</v>
      </c>
      <c r="G777" s="5" t="s">
        <v>1079</v>
      </c>
      <c r="H777" s="6" t="s">
        <v>825</v>
      </c>
      <c r="I777" s="6" t="s">
        <v>87</v>
      </c>
      <c r="J777" s="6">
        <v>1</v>
      </c>
      <c r="K777" s="6">
        <v>172025</v>
      </c>
      <c r="L777" s="7" t="s">
        <v>1924</v>
      </c>
      <c r="M777" s="8">
        <v>1277106</v>
      </c>
      <c r="N777" s="8" t="str">
        <f t="shared" si="61"/>
        <v>PEN</v>
      </c>
      <c r="O777" s="13"/>
      <c r="P777" s="13">
        <v>648</v>
      </c>
      <c r="Q777" s="3">
        <f t="shared" si="62"/>
        <v>0</v>
      </c>
      <c r="R777" s="3">
        <f t="shared" si="63"/>
        <v>648</v>
      </c>
      <c r="S777" s="3">
        <f t="shared" si="64"/>
        <v>12427.799999999997</v>
      </c>
      <c r="T777" s="24" t="s">
        <v>1081</v>
      </c>
      <c r="U777" s="24" t="s">
        <v>1081</v>
      </c>
      <c r="V777" s="67"/>
      <c r="W777" s="25">
        <f>IFERROR(VLOOKUP(BCP_Soles[[#This Row],[DESTINATARIO]],CHOOSE({1,2},Clientes_Proveedores[Razon Social],Clientes_Proveedores[Ruc / Dni]),2,0),"")</f>
        <v>71979355</v>
      </c>
      <c r="X777" s="25"/>
      <c r="Y777" s="25"/>
      <c r="Z777" s="25"/>
      <c r="AA777" s="99"/>
      <c r="AB777" s="3" t="str">
        <f>IF(BCP_Soles[[#This Row],[FECHA]]&gt;0,TEXT(BCP_Soles[[#This Row],[FECHA]],"mmmm"),0)</f>
        <v>Marzo</v>
      </c>
    </row>
    <row r="778" spans="2:28" ht="24" x14ac:dyDescent="0.3">
      <c r="B778" s="2">
        <f>IF(BCP_Soles[[#This Row],[TIPO DE R.]]="R",COUNTIFS($D$4:$D777,"R")+1,"")</f>
        <v>593</v>
      </c>
      <c r="C778" s="19" t="str">
        <f t="shared" si="60"/>
        <v>B-BCP - Soles</v>
      </c>
      <c r="D778" s="3" t="s">
        <v>1074</v>
      </c>
      <c r="E778" s="14">
        <v>45723</v>
      </c>
      <c r="F778" s="5" t="s">
        <v>1082</v>
      </c>
      <c r="G778" s="5" t="s">
        <v>1079</v>
      </c>
      <c r="H778" s="6" t="s">
        <v>599</v>
      </c>
      <c r="I778" s="6" t="s">
        <v>14</v>
      </c>
      <c r="J778" s="6" t="s">
        <v>1119</v>
      </c>
      <c r="K778" s="6">
        <v>9346</v>
      </c>
      <c r="L778" s="7" t="s">
        <v>1925</v>
      </c>
      <c r="M778" s="8">
        <v>1277105</v>
      </c>
      <c r="N778" s="8" t="str">
        <f t="shared" si="61"/>
        <v>PEN</v>
      </c>
      <c r="O778" s="13"/>
      <c r="P778" s="13">
        <v>884</v>
      </c>
      <c r="Q778" s="3">
        <f t="shared" si="62"/>
        <v>0</v>
      </c>
      <c r="R778" s="3">
        <f t="shared" si="63"/>
        <v>884</v>
      </c>
      <c r="S778" s="3">
        <f t="shared" si="64"/>
        <v>11543.799999999997</v>
      </c>
      <c r="T778" s="24" t="s">
        <v>1081</v>
      </c>
      <c r="U778" s="24" t="s">
        <v>1081</v>
      </c>
      <c r="V778" s="67"/>
      <c r="W778" s="25">
        <f>IFERROR(VLOOKUP(BCP_Soles[[#This Row],[DESTINATARIO]],CHOOSE({1,2},Clientes_Proveedores[Razon Social],Clientes_Proveedores[Ruc / Dni]),2,0),"")</f>
        <v>20603002190</v>
      </c>
      <c r="X778" s="25" t="s">
        <v>599</v>
      </c>
      <c r="Y778" s="25" t="s">
        <v>1926</v>
      </c>
      <c r="Z778" s="25"/>
      <c r="AA778" s="99"/>
      <c r="AB778" s="3" t="str">
        <f>IF(BCP_Soles[[#This Row],[FECHA]]&gt;0,TEXT(BCP_Soles[[#This Row],[FECHA]],"mmmm"),0)</f>
        <v>Marzo</v>
      </c>
    </row>
    <row r="779" spans="2:28" ht="60" x14ac:dyDescent="0.3">
      <c r="B779" s="2">
        <f>IF(BCP_Soles[[#This Row],[TIPO DE R.]]="R",COUNTIFS($D$4:$D778,"R")+1,"")</f>
        <v>594</v>
      </c>
      <c r="C779" s="19" t="str">
        <f t="shared" si="60"/>
        <v>B-BCP - Soles</v>
      </c>
      <c r="D779" s="3" t="s">
        <v>1074</v>
      </c>
      <c r="E779" s="14">
        <v>45723</v>
      </c>
      <c r="F779" s="5" t="s">
        <v>1082</v>
      </c>
      <c r="G779" s="5" t="s">
        <v>1079</v>
      </c>
      <c r="H779" s="6" t="s">
        <v>612</v>
      </c>
      <c r="I779" s="6" t="s">
        <v>14</v>
      </c>
      <c r="J779" s="6" t="s">
        <v>1119</v>
      </c>
      <c r="K779" s="6">
        <v>31</v>
      </c>
      <c r="L779" s="7" t="s">
        <v>1927</v>
      </c>
      <c r="M779" s="8">
        <v>1276623</v>
      </c>
      <c r="N779" s="8" t="str">
        <f t="shared" si="61"/>
        <v>PEN</v>
      </c>
      <c r="O779" s="13"/>
      <c r="P779" s="13">
        <v>1162.5999999999999</v>
      </c>
      <c r="Q779" s="3">
        <f t="shared" si="62"/>
        <v>0</v>
      </c>
      <c r="R779" s="3">
        <f t="shared" si="63"/>
        <v>1162.5999999999999</v>
      </c>
      <c r="S779" s="3">
        <f t="shared" si="64"/>
        <v>10381.199999999997</v>
      </c>
      <c r="T779" s="24" t="s">
        <v>1081</v>
      </c>
      <c r="U779" s="24" t="s">
        <v>1081</v>
      </c>
      <c r="V779" s="67"/>
      <c r="W779" s="25">
        <f>IFERROR(VLOOKUP(BCP_Soles[[#This Row],[DESTINATARIO]],CHOOSE({1,2},Clientes_Proveedores[Razon Social],Clientes_Proveedores[Ruc / Dni]),2,0),"")</f>
        <v>20523363337</v>
      </c>
      <c r="X779" s="25" t="s">
        <v>1928</v>
      </c>
      <c r="Y779" s="25" t="s">
        <v>1929</v>
      </c>
      <c r="Z779" s="25"/>
      <c r="AA779" s="99"/>
      <c r="AB779" s="3" t="str">
        <f>IF(BCP_Soles[[#This Row],[FECHA]]&gt;0,TEXT(BCP_Soles[[#This Row],[FECHA]],"mmmm"),0)</f>
        <v>Marzo</v>
      </c>
    </row>
    <row r="780" spans="2:28" ht="24" x14ac:dyDescent="0.3">
      <c r="B780" s="2">
        <f>IF(BCP_Soles[[#This Row],[TIPO DE R.]]="R",COUNTIFS($D$4:$D779,"R")+1,"")</f>
        <v>595</v>
      </c>
      <c r="C780" s="19" t="str">
        <f t="shared" si="60"/>
        <v>B-BCP - Soles</v>
      </c>
      <c r="D780" s="3" t="s">
        <v>1074</v>
      </c>
      <c r="E780" s="14">
        <v>45723</v>
      </c>
      <c r="F780" s="5" t="s">
        <v>1163</v>
      </c>
      <c r="G780" s="5" t="s">
        <v>1079</v>
      </c>
      <c r="H780" s="6"/>
      <c r="I780" s="6"/>
      <c r="J780" s="6"/>
      <c r="K780" s="6"/>
      <c r="L780" s="7" t="s">
        <v>1100</v>
      </c>
      <c r="M780" s="8">
        <v>4391530</v>
      </c>
      <c r="N780" s="8" t="str">
        <f t="shared" si="61"/>
        <v>PEN</v>
      </c>
      <c r="O780" s="13"/>
      <c r="P780" s="13">
        <v>1500</v>
      </c>
      <c r="Q780" s="3">
        <f t="shared" si="62"/>
        <v>0</v>
      </c>
      <c r="R780" s="3">
        <f t="shared" si="63"/>
        <v>1500</v>
      </c>
      <c r="S780" s="3">
        <f t="shared" si="64"/>
        <v>8881.1999999999971</v>
      </c>
      <c r="T780" s="24"/>
      <c r="U780" s="24"/>
      <c r="V780" s="67"/>
      <c r="W780" s="25" t="str">
        <f>IFERROR(VLOOKUP(BCP_Soles[[#This Row],[DESTINATARIO]],CHOOSE({1,2},Clientes_Proveedores[Razon Social],Clientes_Proveedores[Ruc / Dni]),2,0),"")</f>
        <v/>
      </c>
      <c r="X780" s="25"/>
      <c r="Y780" s="25" t="s">
        <v>1172</v>
      </c>
      <c r="Z780" s="25"/>
      <c r="AA780" s="99"/>
      <c r="AB780" s="3" t="str">
        <f>IF(BCP_Soles[[#This Row],[FECHA]]&gt;0,TEXT(BCP_Soles[[#This Row],[FECHA]],"mmmm"),0)</f>
        <v>Marzo</v>
      </c>
    </row>
    <row r="781" spans="2:28" x14ac:dyDescent="0.3">
      <c r="B781" s="2">
        <f>IF(BCP_Soles[[#This Row],[TIPO DE R.]]="R",COUNTIFS($D$4:$D780,"R")+1,"")</f>
        <v>596</v>
      </c>
      <c r="C781" s="19" t="str">
        <f t="shared" si="60"/>
        <v>B-BCP - Soles</v>
      </c>
      <c r="D781" s="3" t="s">
        <v>1074</v>
      </c>
      <c r="E781" s="14">
        <v>45723</v>
      </c>
      <c r="F781" s="5" t="s">
        <v>1082</v>
      </c>
      <c r="G781" s="5" t="s">
        <v>1079</v>
      </c>
      <c r="H781" s="6"/>
      <c r="I781" s="6"/>
      <c r="J781" s="6"/>
      <c r="K781" s="6"/>
      <c r="L781" s="7" t="s">
        <v>1930</v>
      </c>
      <c r="M781" s="8">
        <v>296456</v>
      </c>
      <c r="N781" s="8" t="str">
        <f t="shared" si="61"/>
        <v>PEN</v>
      </c>
      <c r="O781" s="13"/>
      <c r="P781" s="13">
        <v>2048</v>
      </c>
      <c r="Q781" s="3">
        <f t="shared" si="62"/>
        <v>0</v>
      </c>
      <c r="R781" s="3">
        <f t="shared" si="63"/>
        <v>2048</v>
      </c>
      <c r="S781" s="3">
        <f t="shared" si="64"/>
        <v>6833.1999999999971</v>
      </c>
      <c r="T781" s="24" t="s">
        <v>1081</v>
      </c>
      <c r="U781" s="24" t="s">
        <v>1081</v>
      </c>
      <c r="V781" s="67"/>
      <c r="W781" s="25" t="str">
        <f>IFERROR(VLOOKUP(BCP_Soles[[#This Row],[DESTINATARIO]],CHOOSE({1,2},Clientes_Proveedores[Razon Social],Clientes_Proveedores[Ruc / Dni]),2,0),"")</f>
        <v/>
      </c>
      <c r="X781" s="25" t="s">
        <v>1118</v>
      </c>
      <c r="Y781" s="25"/>
      <c r="Z781" s="25"/>
      <c r="AA781" s="99"/>
      <c r="AB781" s="3" t="str">
        <f>IF(BCP_Soles[[#This Row],[FECHA]]&gt;0,TEXT(BCP_Soles[[#This Row],[FECHA]],"mmmm"),0)</f>
        <v>Marzo</v>
      </c>
    </row>
    <row r="782" spans="2:28" ht="24" x14ac:dyDescent="0.3">
      <c r="B782" s="2" t="str">
        <f>IF(BCP_Soles[[#This Row],[TIPO DE R.]]="R",COUNTIFS($D$4:$D781,"R")+1,"")</f>
        <v/>
      </c>
      <c r="C782" s="19" t="str">
        <f t="shared" si="60"/>
        <v>B-BCP - Soles</v>
      </c>
      <c r="D782" s="3" t="s">
        <v>1101</v>
      </c>
      <c r="E782" s="14">
        <v>45723</v>
      </c>
      <c r="F782" s="5" t="s">
        <v>1082</v>
      </c>
      <c r="G782" s="5"/>
      <c r="H782" s="6" t="s">
        <v>593</v>
      </c>
      <c r="I782" s="6" t="s">
        <v>14</v>
      </c>
      <c r="J782" s="6" t="s">
        <v>1121</v>
      </c>
      <c r="K782" s="6">
        <v>9</v>
      </c>
      <c r="L782" s="7" t="s">
        <v>1930</v>
      </c>
      <c r="M782" s="8">
        <v>296456</v>
      </c>
      <c r="N782" s="8" t="str">
        <f t="shared" si="61"/>
        <v>PEN</v>
      </c>
      <c r="O782" s="13">
        <v>1536</v>
      </c>
      <c r="P782" s="13"/>
      <c r="Q782" s="3">
        <f t="shared" si="62"/>
        <v>0</v>
      </c>
      <c r="R782" s="3">
        <f t="shared" si="63"/>
        <v>0</v>
      </c>
      <c r="S782" s="3">
        <f t="shared" si="64"/>
        <v>6833.1999999999971</v>
      </c>
      <c r="T782" s="24"/>
      <c r="U782" s="24"/>
      <c r="V782" s="67"/>
      <c r="W782" s="25">
        <f>IFERROR(VLOOKUP(BCP_Soles[[#This Row],[DESTINATARIO]],CHOOSE({1,2},Clientes_Proveedores[Razon Social],Clientes_Proveedores[Ruc / Dni]),2,0),"")</f>
        <v>10024073951</v>
      </c>
      <c r="X782" s="25"/>
      <c r="Y782" s="25"/>
      <c r="Z782" s="25"/>
      <c r="AA782" s="99"/>
      <c r="AB782" s="3" t="str">
        <f>IF(BCP_Soles[[#This Row],[FECHA]]&gt;0,TEXT(BCP_Soles[[#This Row],[FECHA]],"mmmm"),0)</f>
        <v>Marzo</v>
      </c>
    </row>
    <row r="783" spans="2:28" ht="36" x14ac:dyDescent="0.3">
      <c r="B783" s="2" t="str">
        <f>IF(BCP_Soles[[#This Row],[TIPO DE R.]]="R",COUNTIFS($D$4:$D782,"R")+1,"")</f>
        <v/>
      </c>
      <c r="C783" s="19" t="str">
        <f t="shared" si="60"/>
        <v>B-BCP - Soles</v>
      </c>
      <c r="D783" s="3" t="s">
        <v>1101</v>
      </c>
      <c r="E783" s="14">
        <v>45723</v>
      </c>
      <c r="F783" s="5" t="s">
        <v>1082</v>
      </c>
      <c r="G783" s="5"/>
      <c r="H783" s="6" t="s">
        <v>61</v>
      </c>
      <c r="I783" s="6" t="s">
        <v>14</v>
      </c>
      <c r="J783" s="6" t="s">
        <v>1121</v>
      </c>
      <c r="K783" s="6">
        <v>431</v>
      </c>
      <c r="L783" s="7" t="s">
        <v>1930</v>
      </c>
      <c r="M783" s="8">
        <v>296456</v>
      </c>
      <c r="N783" s="8" t="str">
        <f t="shared" si="61"/>
        <v>PEN</v>
      </c>
      <c r="O783" s="13">
        <v>453</v>
      </c>
      <c r="P783" s="13"/>
      <c r="Q783" s="3">
        <f t="shared" si="62"/>
        <v>0</v>
      </c>
      <c r="R783" s="3">
        <f t="shared" si="63"/>
        <v>0</v>
      </c>
      <c r="S783" s="3">
        <f t="shared" si="64"/>
        <v>6833.1999999999971</v>
      </c>
      <c r="T783" s="24"/>
      <c r="U783" s="24"/>
      <c r="V783" s="67"/>
      <c r="W783" s="25">
        <f>IFERROR(VLOOKUP(BCP_Soles[[#This Row],[DESTINATARIO]],CHOOSE({1,2},Clientes_Proveedores[Razon Social],Clientes_Proveedores[Ruc / Dni]),2,0),"")</f>
        <v>10295492908</v>
      </c>
      <c r="X783" s="25"/>
      <c r="Y783" s="25"/>
      <c r="Z783" s="25"/>
      <c r="AA783" s="99"/>
      <c r="AB783" s="3" t="str">
        <f>IF(BCP_Soles[[#This Row],[FECHA]]&gt;0,TEXT(BCP_Soles[[#This Row],[FECHA]],"mmmm"),0)</f>
        <v>Marzo</v>
      </c>
    </row>
    <row r="784" spans="2:28" ht="24" x14ac:dyDescent="0.3">
      <c r="B784" s="2" t="str">
        <f>IF(BCP_Soles[[#This Row],[TIPO DE R.]]="R",COUNTIFS($D$4:$D783,"R")+1,"")</f>
        <v/>
      </c>
      <c r="C784" s="19" t="str">
        <f t="shared" si="60"/>
        <v>B-BCP - Soles</v>
      </c>
      <c r="D784" s="3" t="s">
        <v>1101</v>
      </c>
      <c r="E784" s="14">
        <v>45723</v>
      </c>
      <c r="F784" s="5" t="s">
        <v>1082</v>
      </c>
      <c r="G784" s="5"/>
      <c r="H784" s="6" t="s">
        <v>108</v>
      </c>
      <c r="I784" s="6" t="s">
        <v>14</v>
      </c>
      <c r="J784" s="6" t="s">
        <v>1121</v>
      </c>
      <c r="K784" s="6">
        <v>4502</v>
      </c>
      <c r="L784" s="7" t="s">
        <v>1930</v>
      </c>
      <c r="M784" s="8">
        <v>296456</v>
      </c>
      <c r="N784" s="8" t="str">
        <f t="shared" si="61"/>
        <v>PEN</v>
      </c>
      <c r="O784" s="13">
        <v>59</v>
      </c>
      <c r="P784" s="13"/>
      <c r="Q784" s="3">
        <f t="shared" si="62"/>
        <v>0</v>
      </c>
      <c r="R784" s="3">
        <f t="shared" si="63"/>
        <v>0</v>
      </c>
      <c r="S784" s="3">
        <f t="shared" si="64"/>
        <v>6833.1999999999971</v>
      </c>
      <c r="T784" s="24"/>
      <c r="U784" s="24"/>
      <c r="V784" s="67"/>
      <c r="W784" s="25">
        <f>IFERROR(VLOOKUP(BCP_Soles[[#This Row],[DESTINATARIO]],CHOOSE({1,2},Clientes_Proveedores[Razon Social],Clientes_Proveedores[Ruc / Dni]),2,0),"")</f>
        <v>10425371652</v>
      </c>
      <c r="X784" s="25"/>
      <c r="Y784" s="25"/>
      <c r="Z784" s="25"/>
      <c r="AA784" s="99"/>
      <c r="AB784" s="3" t="str">
        <f>IF(BCP_Soles[[#This Row],[FECHA]]&gt;0,TEXT(BCP_Soles[[#This Row],[FECHA]],"mmmm"),0)</f>
        <v>Marzo</v>
      </c>
    </row>
    <row r="785" spans="2:28" x14ac:dyDescent="0.3">
      <c r="B785" s="2">
        <f>IF(BCP_Soles[[#This Row],[TIPO DE R.]]="R",COUNTIFS($D$4:$D784,"R")+1,"")</f>
        <v>597</v>
      </c>
      <c r="C785" s="19" t="str">
        <f t="shared" si="60"/>
        <v>B-BCP - Soles</v>
      </c>
      <c r="D785" s="3" t="s">
        <v>1074</v>
      </c>
      <c r="E785" s="14">
        <v>45723</v>
      </c>
      <c r="F785" s="5" t="s">
        <v>1082</v>
      </c>
      <c r="G785" s="5" t="s">
        <v>1079</v>
      </c>
      <c r="H785" s="6"/>
      <c r="I785" s="6"/>
      <c r="J785" s="6"/>
      <c r="K785" s="6"/>
      <c r="L785" s="7" t="s">
        <v>1931</v>
      </c>
      <c r="M785" s="8">
        <v>1014127</v>
      </c>
      <c r="N785" s="8" t="str">
        <f t="shared" si="61"/>
        <v>PEN</v>
      </c>
      <c r="O785" s="13"/>
      <c r="P785" s="13">
        <v>2385</v>
      </c>
      <c r="Q785" s="3">
        <f t="shared" si="62"/>
        <v>0</v>
      </c>
      <c r="R785" s="3">
        <f t="shared" si="63"/>
        <v>2385</v>
      </c>
      <c r="S785" s="3">
        <f t="shared" si="64"/>
        <v>4448.1999999999971</v>
      </c>
      <c r="T785" s="24"/>
      <c r="U785" s="24"/>
      <c r="V785" s="67"/>
      <c r="W785" s="25" t="str">
        <f>IFERROR(VLOOKUP(BCP_Soles[[#This Row],[DESTINATARIO]],CHOOSE({1,2},Clientes_Proveedores[Razon Social],Clientes_Proveedores[Ruc / Dni]),2,0),"")</f>
        <v/>
      </c>
      <c r="X785" s="25" t="s">
        <v>1133</v>
      </c>
      <c r="Y785" s="25"/>
      <c r="Z785" s="25"/>
      <c r="AA785" s="99"/>
      <c r="AB785" s="3" t="str">
        <f>IF(BCP_Soles[[#This Row],[FECHA]]&gt;0,TEXT(BCP_Soles[[#This Row],[FECHA]],"mmmm"),0)</f>
        <v>Marzo</v>
      </c>
    </row>
    <row r="786" spans="2:28" ht="24" x14ac:dyDescent="0.3">
      <c r="B786" s="2">
        <f>IF(BCP_Soles[[#This Row],[TIPO DE R.]]="R",COUNTIFS($D$4:$D785,"R")+1,"")</f>
        <v>598</v>
      </c>
      <c r="C786" s="19" t="str">
        <f t="shared" si="60"/>
        <v>B-BCP - Soles</v>
      </c>
      <c r="D786" s="3" t="s">
        <v>1074</v>
      </c>
      <c r="E786" s="14">
        <v>45723</v>
      </c>
      <c r="F786" s="5" t="s">
        <v>1082</v>
      </c>
      <c r="G786" s="5" t="s">
        <v>1079</v>
      </c>
      <c r="H786" s="6" t="s">
        <v>842</v>
      </c>
      <c r="I786" s="6"/>
      <c r="J786" s="6"/>
      <c r="K786" s="6"/>
      <c r="L786" s="7" t="s">
        <v>1932</v>
      </c>
      <c r="M786" s="8">
        <v>1277103</v>
      </c>
      <c r="N786" s="8" t="str">
        <f t="shared" si="61"/>
        <v>PEN</v>
      </c>
      <c r="O786" s="13"/>
      <c r="P786" s="13">
        <v>2604.1</v>
      </c>
      <c r="Q786" s="3">
        <f t="shared" si="62"/>
        <v>0</v>
      </c>
      <c r="R786" s="3">
        <f t="shared" si="63"/>
        <v>2604.1</v>
      </c>
      <c r="S786" s="3">
        <f t="shared" si="64"/>
        <v>1844.0999999999972</v>
      </c>
      <c r="T786" s="24"/>
      <c r="U786" s="24" t="s">
        <v>1081</v>
      </c>
      <c r="V786" s="67"/>
      <c r="W786" s="25">
        <f>IFERROR(VLOOKUP(BCP_Soles[[#This Row],[DESTINATARIO]],CHOOSE({1,2},Clientes_Proveedores[Razon Social],Clientes_Proveedores[Ruc / Dni]),2,0),"")</f>
        <v>72131384</v>
      </c>
      <c r="X786" s="25" t="s">
        <v>842</v>
      </c>
      <c r="Y786" s="25" t="s">
        <v>1712</v>
      </c>
      <c r="Z786" s="25"/>
      <c r="AA786" s="99"/>
      <c r="AB786" s="3" t="str">
        <f>IF(BCP_Soles[[#This Row],[FECHA]]&gt;0,TEXT(BCP_Soles[[#This Row],[FECHA]],"mmmm"),0)</f>
        <v>Marzo</v>
      </c>
    </row>
    <row r="787" spans="2:28" ht="24" x14ac:dyDescent="0.3">
      <c r="B787" s="2">
        <f>IF(BCP_Soles[[#This Row],[TIPO DE R.]]="R",COUNTIFS($D$4:$D786,"R")+1,"")</f>
        <v>599</v>
      </c>
      <c r="C787" s="19" t="str">
        <f t="shared" si="60"/>
        <v>B-BCP - Soles</v>
      </c>
      <c r="D787" s="3" t="s">
        <v>1074</v>
      </c>
      <c r="E787" s="14">
        <v>45726</v>
      </c>
      <c r="F787" s="5" t="s">
        <v>1245</v>
      </c>
      <c r="G787" s="5" t="s">
        <v>1087</v>
      </c>
      <c r="H787" s="6"/>
      <c r="I787" s="6"/>
      <c r="J787" s="6"/>
      <c r="K787" s="6"/>
      <c r="L787" s="7" t="s">
        <v>1100</v>
      </c>
      <c r="M787" s="8">
        <v>851443</v>
      </c>
      <c r="N787" s="8" t="str">
        <f t="shared" si="61"/>
        <v>PEN</v>
      </c>
      <c r="O787" s="13"/>
      <c r="P787" s="13">
        <v>2740</v>
      </c>
      <c r="Q787" s="3">
        <f t="shared" si="62"/>
        <v>2740</v>
      </c>
      <c r="R787" s="3">
        <f t="shared" si="63"/>
        <v>0</v>
      </c>
      <c r="S787" s="3">
        <f t="shared" si="64"/>
        <v>4584.0999999999967</v>
      </c>
      <c r="T787" s="24" t="s">
        <v>1081</v>
      </c>
      <c r="U787" s="24" t="s">
        <v>1081</v>
      </c>
      <c r="V787" s="67"/>
      <c r="W787" s="25" t="str">
        <f>IFERROR(VLOOKUP(BCP_Soles[[#This Row],[DESTINATARIO]],CHOOSE({1,2},Clientes_Proveedores[Razon Social],Clientes_Proveedores[Ruc / Dni]),2,0),"")</f>
        <v/>
      </c>
      <c r="X787" s="25" t="s">
        <v>1090</v>
      </c>
      <c r="Y787" s="25" t="s">
        <v>1933</v>
      </c>
      <c r="Z787" s="25"/>
      <c r="AA787" s="99"/>
      <c r="AB787" s="3" t="str">
        <f>IF(BCP_Soles[[#This Row],[FECHA]]&gt;0,TEXT(BCP_Soles[[#This Row],[FECHA]],"mmmm"),0)</f>
        <v>Marzo</v>
      </c>
    </row>
    <row r="788" spans="2:28" ht="24" x14ac:dyDescent="0.3">
      <c r="B788" s="2">
        <f>IF(BCP_Soles[[#This Row],[TIPO DE R.]]="R",COUNTIFS($D$4:$D787,"R")+1,"")</f>
        <v>600</v>
      </c>
      <c r="C788" s="19" t="str">
        <f t="shared" si="60"/>
        <v>B-BCP - Soles</v>
      </c>
      <c r="D788" s="3" t="s">
        <v>1074</v>
      </c>
      <c r="E788" s="14">
        <v>45726</v>
      </c>
      <c r="F788" s="5" t="s">
        <v>1082</v>
      </c>
      <c r="G788" s="5" t="s">
        <v>1079</v>
      </c>
      <c r="H788" s="6" t="s">
        <v>192</v>
      </c>
      <c r="I788" s="6"/>
      <c r="J788" s="6"/>
      <c r="K788" s="6"/>
      <c r="L788" s="7" t="s">
        <v>1934</v>
      </c>
      <c r="M788" s="8">
        <v>1057229</v>
      </c>
      <c r="N788" s="8" t="str">
        <f t="shared" si="61"/>
        <v>PEN</v>
      </c>
      <c r="O788" s="13"/>
      <c r="P788" s="13">
        <v>212.4</v>
      </c>
      <c r="Q788" s="3">
        <f t="shared" si="62"/>
        <v>0</v>
      </c>
      <c r="R788" s="3">
        <f t="shared" si="63"/>
        <v>212.4</v>
      </c>
      <c r="S788" s="3">
        <f t="shared" si="64"/>
        <v>4371.6999999999971</v>
      </c>
      <c r="T788" s="24"/>
      <c r="U788" s="24"/>
      <c r="V788" s="67"/>
      <c r="W788" s="25">
        <f>IFERROR(VLOOKUP(BCP_Soles[[#This Row],[DESTINATARIO]],CHOOSE({1,2},Clientes_Proveedores[Razon Social],Clientes_Proveedores[Ruc / Dni]),2,0),"")</f>
        <v>20302891452</v>
      </c>
      <c r="X788" s="25" t="s">
        <v>192</v>
      </c>
      <c r="Y788" s="25"/>
      <c r="Z788" s="25"/>
      <c r="AA788" s="99"/>
      <c r="AB788" s="3" t="str">
        <f>IF(BCP_Soles[[#This Row],[FECHA]]&gt;0,TEXT(BCP_Soles[[#This Row],[FECHA]],"mmmm"),0)</f>
        <v>Marzo</v>
      </c>
    </row>
    <row r="789" spans="2:28" x14ac:dyDescent="0.3">
      <c r="B789" s="2">
        <f>IF(BCP_Soles[[#This Row],[TIPO DE R.]]="R",COUNTIFS($D$4:$D788,"R")+1,"")</f>
        <v>601</v>
      </c>
      <c r="C789" s="19" t="str">
        <f t="shared" si="60"/>
        <v>B-BCP - Soles</v>
      </c>
      <c r="D789" s="3" t="s">
        <v>1074</v>
      </c>
      <c r="E789" s="14">
        <v>45726</v>
      </c>
      <c r="F789" s="5" t="s">
        <v>1082</v>
      </c>
      <c r="G789" s="5" t="s">
        <v>1079</v>
      </c>
      <c r="H789" s="6" t="s">
        <v>517</v>
      </c>
      <c r="I789" s="6"/>
      <c r="J789" s="6"/>
      <c r="K789" s="6"/>
      <c r="L789" s="7" t="s">
        <v>1473</v>
      </c>
      <c r="M789" s="8">
        <v>4005588</v>
      </c>
      <c r="N789" s="8" t="str">
        <f t="shared" si="61"/>
        <v>PEN</v>
      </c>
      <c r="O789" s="13"/>
      <c r="P789" s="13">
        <v>720.5</v>
      </c>
      <c r="Q789" s="3">
        <f t="shared" si="62"/>
        <v>0</v>
      </c>
      <c r="R789" s="3">
        <f t="shared" si="63"/>
        <v>720.5</v>
      </c>
      <c r="S789" s="3">
        <f t="shared" si="64"/>
        <v>3651.1999999999971</v>
      </c>
      <c r="T789" s="24" t="s">
        <v>1081</v>
      </c>
      <c r="U789" s="24"/>
      <c r="V789" s="67"/>
      <c r="W789" s="25">
        <f>IFERROR(VLOOKUP(BCP_Soles[[#This Row],[DESTINATARIO]],CHOOSE({1,2},Clientes_Proveedores[Razon Social],Clientes_Proveedores[Ruc / Dni]),2,0),"")</f>
        <v>20608970909</v>
      </c>
      <c r="X789" s="25" t="s">
        <v>517</v>
      </c>
      <c r="Y789" s="25" t="s">
        <v>1935</v>
      </c>
      <c r="Z789" s="25"/>
      <c r="AA789" s="99"/>
      <c r="AB789" s="3" t="str">
        <f>IF(BCP_Soles[[#This Row],[FECHA]]&gt;0,TEXT(BCP_Soles[[#This Row],[FECHA]],"mmmm"),0)</f>
        <v>Marzo</v>
      </c>
    </row>
    <row r="790" spans="2:28" x14ac:dyDescent="0.3">
      <c r="B790" s="2" t="str">
        <f>IF(BCP_Soles[[#This Row],[TIPO DE R.]]="R",COUNTIFS($D$4:$D789,"R")+1,"")</f>
        <v/>
      </c>
      <c r="C790" s="19" t="str">
        <f t="shared" si="60"/>
        <v>B-BCP - Soles</v>
      </c>
      <c r="D790" s="3" t="s">
        <v>1101</v>
      </c>
      <c r="E790" s="14">
        <v>45726</v>
      </c>
      <c r="F790" s="5" t="s">
        <v>1082</v>
      </c>
      <c r="G790" s="5"/>
      <c r="H790" s="6" t="s">
        <v>517</v>
      </c>
      <c r="I790" s="6" t="s">
        <v>14</v>
      </c>
      <c r="J790" s="6" t="s">
        <v>1121</v>
      </c>
      <c r="K790" s="6">
        <v>1007</v>
      </c>
      <c r="L790" s="7" t="s">
        <v>1473</v>
      </c>
      <c r="M790" s="8">
        <v>4005588</v>
      </c>
      <c r="N790" s="8" t="str">
        <f t="shared" si="61"/>
        <v>PEN</v>
      </c>
      <c r="O790" s="13">
        <v>710</v>
      </c>
      <c r="P790" s="13"/>
      <c r="Q790" s="3">
        <f t="shared" si="62"/>
        <v>0</v>
      </c>
      <c r="R790" s="3">
        <f t="shared" si="63"/>
        <v>0</v>
      </c>
      <c r="S790" s="3">
        <f t="shared" si="64"/>
        <v>3651.1999999999971</v>
      </c>
      <c r="T790" s="24" t="s">
        <v>1081</v>
      </c>
      <c r="U790" s="24"/>
      <c r="V790" s="67"/>
      <c r="W790" s="25">
        <f>IFERROR(VLOOKUP(BCP_Soles[[#This Row],[DESTINATARIO]],CHOOSE({1,2},Clientes_Proveedores[Razon Social],Clientes_Proveedores[Ruc / Dni]),2,0),"")</f>
        <v>20608970909</v>
      </c>
      <c r="X790" s="25"/>
      <c r="Y790" s="25"/>
      <c r="Z790" s="25"/>
      <c r="AA790" s="99"/>
      <c r="AB790" s="3" t="str">
        <f>IF(BCP_Soles[[#This Row],[FECHA]]&gt;0,TEXT(BCP_Soles[[#This Row],[FECHA]],"mmmm"),0)</f>
        <v>Marzo</v>
      </c>
    </row>
    <row r="791" spans="2:28" ht="24" x14ac:dyDescent="0.3">
      <c r="B791" s="2" t="str">
        <f>IF(BCP_Soles[[#This Row],[TIPO DE R.]]="R",COUNTIFS($D$4:$D790,"R")+1,"")</f>
        <v/>
      </c>
      <c r="C791" s="19" t="str">
        <f t="shared" si="60"/>
        <v>B-BCP - Soles</v>
      </c>
      <c r="D791" s="3" t="s">
        <v>1101</v>
      </c>
      <c r="E791" s="14">
        <v>45726</v>
      </c>
      <c r="F791" s="5" t="s">
        <v>1082</v>
      </c>
      <c r="G791" s="5"/>
      <c r="H791" s="6" t="s">
        <v>1001</v>
      </c>
      <c r="I791" s="6" t="s">
        <v>14</v>
      </c>
      <c r="J791" s="6" t="s">
        <v>3128</v>
      </c>
      <c r="K791" s="6">
        <v>30270879</v>
      </c>
      <c r="L791" s="7" t="s">
        <v>1473</v>
      </c>
      <c r="M791" s="8">
        <v>4005588</v>
      </c>
      <c r="N791" s="8" t="str">
        <f t="shared" si="61"/>
        <v>PEN</v>
      </c>
      <c r="O791" s="13">
        <v>10.5</v>
      </c>
      <c r="P791" s="13"/>
      <c r="Q791" s="3">
        <f t="shared" si="62"/>
        <v>0</v>
      </c>
      <c r="R791" s="3">
        <f t="shared" si="63"/>
        <v>0</v>
      </c>
      <c r="S791" s="3">
        <f t="shared" si="64"/>
        <v>3651.1999999999971</v>
      </c>
      <c r="T791" s="24" t="s">
        <v>1081</v>
      </c>
      <c r="U791" s="24"/>
      <c r="V791" s="67"/>
      <c r="W791" s="25">
        <f>IFERROR(VLOOKUP(BCP_Soles[[#This Row],[DESTINATARIO]],CHOOSE({1,2},Clientes_Proveedores[Razon Social],Clientes_Proveedores[Ruc / Dni]),2,0),"")</f>
        <v>20100047218</v>
      </c>
      <c r="X791" s="25"/>
      <c r="Y791" s="25"/>
      <c r="Z791" s="25"/>
      <c r="AA791" s="99"/>
      <c r="AB791" s="3" t="str">
        <f>IF(BCP_Soles[[#This Row],[FECHA]]&gt;0,TEXT(BCP_Soles[[#This Row],[FECHA]],"mmmm"),0)</f>
        <v>Marzo</v>
      </c>
    </row>
    <row r="792" spans="2:28" ht="24" x14ac:dyDescent="0.3">
      <c r="B792" s="2">
        <f>IF(BCP_Soles[[#This Row],[TIPO DE R.]]="R",COUNTIFS($D$4:$D791,"R")+1,"")</f>
        <v>602</v>
      </c>
      <c r="C792" s="19" t="str">
        <f t="shared" si="60"/>
        <v>B-BCP - Soles</v>
      </c>
      <c r="D792" s="3" t="s">
        <v>1074</v>
      </c>
      <c r="E792" s="14">
        <v>45726</v>
      </c>
      <c r="F792" s="5" t="s">
        <v>1082</v>
      </c>
      <c r="G792" s="5" t="s">
        <v>1079</v>
      </c>
      <c r="H792" s="6" t="s">
        <v>192</v>
      </c>
      <c r="I792" s="6"/>
      <c r="J792" s="6"/>
      <c r="K792" s="6"/>
      <c r="L792" s="7" t="s">
        <v>1934</v>
      </c>
      <c r="M792" s="8">
        <v>1059204</v>
      </c>
      <c r="N792" s="8" t="str">
        <f t="shared" si="61"/>
        <v>PEN</v>
      </c>
      <c r="O792" s="13"/>
      <c r="P792" s="13">
        <v>2828.11</v>
      </c>
      <c r="Q792" s="3">
        <f t="shared" si="62"/>
        <v>0</v>
      </c>
      <c r="R792" s="3">
        <f t="shared" si="63"/>
        <v>2828.11</v>
      </c>
      <c r="S792" s="3">
        <f t="shared" si="64"/>
        <v>823.08999999999696</v>
      </c>
      <c r="T792" s="24"/>
      <c r="U792" s="24"/>
      <c r="V792" s="67"/>
      <c r="W792" s="25">
        <f>IFERROR(VLOOKUP(BCP_Soles[[#This Row],[DESTINATARIO]],CHOOSE({1,2},Clientes_Proveedores[Razon Social],Clientes_Proveedores[Ruc / Dni]),2,0),"")</f>
        <v>20302891452</v>
      </c>
      <c r="X792" s="25" t="s">
        <v>192</v>
      </c>
      <c r="Y792" s="25"/>
      <c r="Z792" s="25"/>
      <c r="AA792" s="99"/>
      <c r="AB792" s="3" t="str">
        <f>IF(BCP_Soles[[#This Row],[FECHA]]&gt;0,TEXT(BCP_Soles[[#This Row],[FECHA]],"mmmm"),0)</f>
        <v>Marzo</v>
      </c>
    </row>
    <row r="793" spans="2:28" ht="24" x14ac:dyDescent="0.3">
      <c r="B793" s="2">
        <f>IF(BCP_Soles[[#This Row],[TIPO DE R.]]="R",COUNTIFS($D$4:$D792,"R")+1,"")</f>
        <v>603</v>
      </c>
      <c r="C793" s="19" t="str">
        <f t="shared" si="60"/>
        <v>B-BCP - Soles</v>
      </c>
      <c r="D793" s="3" t="s">
        <v>1074</v>
      </c>
      <c r="E793" s="14">
        <v>45726</v>
      </c>
      <c r="F793" s="5" t="s">
        <v>1936</v>
      </c>
      <c r="G793" s="5" t="s">
        <v>1087</v>
      </c>
      <c r="H793" s="6"/>
      <c r="I793" s="6"/>
      <c r="J793" s="6"/>
      <c r="K793" s="6"/>
      <c r="L793" s="7" t="s">
        <v>1100</v>
      </c>
      <c r="M793" s="8">
        <v>1802567</v>
      </c>
      <c r="N793" s="8" t="str">
        <f t="shared" si="61"/>
        <v>PEN</v>
      </c>
      <c r="O793" s="13"/>
      <c r="P793" s="13">
        <v>6300</v>
      </c>
      <c r="Q793" s="3">
        <f t="shared" si="62"/>
        <v>6300</v>
      </c>
      <c r="R793" s="3">
        <f t="shared" si="63"/>
        <v>0</v>
      </c>
      <c r="S793" s="3">
        <f t="shared" si="64"/>
        <v>7123.0899999999965</v>
      </c>
      <c r="T793" s="24" t="s">
        <v>1081</v>
      </c>
      <c r="U793" s="24" t="s">
        <v>1081</v>
      </c>
      <c r="V793" s="67"/>
      <c r="W793" s="25" t="str">
        <f>IFERROR(VLOOKUP(BCP_Soles[[#This Row],[DESTINATARIO]],CHOOSE({1,2},Clientes_Proveedores[Razon Social],Clientes_Proveedores[Ruc / Dni]),2,0),"")</f>
        <v/>
      </c>
      <c r="X793" s="25" t="s">
        <v>1090</v>
      </c>
      <c r="Y793" s="25" t="s">
        <v>1937</v>
      </c>
      <c r="Z793" s="25"/>
      <c r="AA793" s="99"/>
      <c r="AB793" s="3" t="str">
        <f>IF(BCP_Soles[[#This Row],[FECHA]]&gt;0,TEXT(BCP_Soles[[#This Row],[FECHA]],"mmmm"),0)</f>
        <v>Marzo</v>
      </c>
    </row>
    <row r="794" spans="2:28" ht="24" x14ac:dyDescent="0.3">
      <c r="B794" s="2">
        <f>IF(BCP_Soles[[#This Row],[TIPO DE R.]]="R",COUNTIFS($D$4:$D793,"R")+1,"")</f>
        <v>604</v>
      </c>
      <c r="C794" s="19" t="str">
        <f t="shared" si="60"/>
        <v>B-BCP - Soles</v>
      </c>
      <c r="D794" s="3" t="s">
        <v>1074</v>
      </c>
      <c r="E794" s="14">
        <v>45726</v>
      </c>
      <c r="F794" s="5" t="s">
        <v>587</v>
      </c>
      <c r="G794" s="5" t="s">
        <v>1087</v>
      </c>
      <c r="H794" s="6"/>
      <c r="I794" s="6"/>
      <c r="J794" s="6"/>
      <c r="K794" s="6"/>
      <c r="L794" s="7" t="s">
        <v>1740</v>
      </c>
      <c r="M794" s="8">
        <v>2167335</v>
      </c>
      <c r="N794" s="8" t="str">
        <f t="shared" si="61"/>
        <v>PEN</v>
      </c>
      <c r="O794" s="13"/>
      <c r="P794" s="13">
        <v>14800</v>
      </c>
      <c r="Q794" s="3">
        <f t="shared" si="62"/>
        <v>14800</v>
      </c>
      <c r="R794" s="3">
        <f t="shared" si="63"/>
        <v>0</v>
      </c>
      <c r="S794" s="3">
        <f t="shared" si="64"/>
        <v>21923.089999999997</v>
      </c>
      <c r="T794" s="24" t="s">
        <v>1081</v>
      </c>
      <c r="U794" s="24" t="s">
        <v>1081</v>
      </c>
      <c r="V794" s="67"/>
      <c r="W794" s="25" t="str">
        <f>IFERROR(VLOOKUP(BCP_Soles[[#This Row],[DESTINATARIO]],CHOOSE({1,2},Clientes_Proveedores[Razon Social],Clientes_Proveedores[Ruc / Dni]),2,0),"")</f>
        <v/>
      </c>
      <c r="X794" s="25" t="s">
        <v>1090</v>
      </c>
      <c r="Y794" s="25" t="s">
        <v>1938</v>
      </c>
      <c r="Z794" s="25"/>
      <c r="AA794" s="99"/>
      <c r="AB794" s="3" t="str">
        <f>IF(BCP_Soles[[#This Row],[FECHA]]&gt;0,TEXT(BCP_Soles[[#This Row],[FECHA]],"mmmm"),0)</f>
        <v>Marzo</v>
      </c>
    </row>
    <row r="795" spans="2:28" ht="36" x14ac:dyDescent="0.3">
      <c r="B795" s="2">
        <f>IF(BCP_Soles[[#This Row],[TIPO DE R.]]="R",COUNTIFS($D$4:$D794,"R")+1,"")</f>
        <v>605</v>
      </c>
      <c r="C795" s="19" t="str">
        <f t="shared" si="60"/>
        <v>B-BCP - Soles</v>
      </c>
      <c r="D795" s="3" t="s">
        <v>1074</v>
      </c>
      <c r="E795" s="14">
        <v>45726</v>
      </c>
      <c r="F795" s="5" t="s">
        <v>497</v>
      </c>
      <c r="G795" s="5" t="s">
        <v>1087</v>
      </c>
      <c r="H795" s="6"/>
      <c r="I795" s="6"/>
      <c r="J795" s="6"/>
      <c r="K795" s="6"/>
      <c r="L795" s="7" t="s">
        <v>1093</v>
      </c>
      <c r="M795" s="8">
        <v>2181623</v>
      </c>
      <c r="N795" s="8" t="str">
        <f t="shared" si="61"/>
        <v>PEN</v>
      </c>
      <c r="O795" s="13"/>
      <c r="P795" s="13">
        <v>1051.6400000000001</v>
      </c>
      <c r="Q795" s="3">
        <f t="shared" si="62"/>
        <v>1051.6400000000001</v>
      </c>
      <c r="R795" s="3">
        <f t="shared" si="63"/>
        <v>0</v>
      </c>
      <c r="S795" s="3">
        <f t="shared" si="64"/>
        <v>22974.729999999996</v>
      </c>
      <c r="T795" s="24" t="s">
        <v>1081</v>
      </c>
      <c r="U795" s="24" t="s">
        <v>1081</v>
      </c>
      <c r="V795" s="67"/>
      <c r="W795" s="25" t="str">
        <f>IFERROR(VLOOKUP(BCP_Soles[[#This Row],[DESTINATARIO]],CHOOSE({1,2},Clientes_Proveedores[Razon Social],Clientes_Proveedores[Ruc / Dni]),2,0),"")</f>
        <v/>
      </c>
      <c r="X795" s="25" t="s">
        <v>1090</v>
      </c>
      <c r="Y795" s="25" t="s">
        <v>1939</v>
      </c>
      <c r="Z795" s="25"/>
      <c r="AA795" s="99"/>
      <c r="AB795" s="3" t="str">
        <f>IF(BCP_Soles[[#This Row],[FECHA]]&gt;0,TEXT(BCP_Soles[[#This Row],[FECHA]],"mmmm"),0)</f>
        <v>Marzo</v>
      </c>
    </row>
    <row r="796" spans="2:28" ht="24" x14ac:dyDescent="0.3">
      <c r="B796" s="2">
        <f>IF(BCP_Soles[[#This Row],[TIPO DE R.]]="R",COUNTIFS($D$4:$D795,"R")+1,"")</f>
        <v>606</v>
      </c>
      <c r="C796" s="19" t="str">
        <f t="shared" si="60"/>
        <v>B-BCP - Soles</v>
      </c>
      <c r="D796" s="3" t="s">
        <v>1074</v>
      </c>
      <c r="E796" s="14">
        <v>45726</v>
      </c>
      <c r="F796" s="5" t="s">
        <v>1082</v>
      </c>
      <c r="G796" s="5" t="s">
        <v>1079</v>
      </c>
      <c r="H796" s="6" t="s">
        <v>184</v>
      </c>
      <c r="I796" s="6" t="s">
        <v>14</v>
      </c>
      <c r="J796" s="6" t="s">
        <v>1083</v>
      </c>
      <c r="K796" s="6">
        <v>7284</v>
      </c>
      <c r="L796" s="7" t="s">
        <v>1940</v>
      </c>
      <c r="M796" s="8">
        <v>1178135</v>
      </c>
      <c r="N796" s="8" t="str">
        <f t="shared" si="61"/>
        <v>PEN</v>
      </c>
      <c r="O796" s="13"/>
      <c r="P796" s="13">
        <v>271.60000000000002</v>
      </c>
      <c r="Q796" s="3">
        <f t="shared" si="62"/>
        <v>0</v>
      </c>
      <c r="R796" s="3">
        <f t="shared" si="63"/>
        <v>271.60000000000002</v>
      </c>
      <c r="S796" s="3">
        <f t="shared" si="64"/>
        <v>22703.129999999997</v>
      </c>
      <c r="T796" s="24" t="s">
        <v>1081</v>
      </c>
      <c r="U796" s="24" t="s">
        <v>1081</v>
      </c>
      <c r="V796" s="67"/>
      <c r="W796" s="25">
        <f>IFERROR(VLOOKUP(BCP_Soles[[#This Row],[DESTINATARIO]],CHOOSE({1,2},Clientes_Proveedores[Razon Social],Clientes_Proveedores[Ruc / Dni]),2,0),"")</f>
        <v>20170040938</v>
      </c>
      <c r="X796" s="25" t="s">
        <v>1085</v>
      </c>
      <c r="Y796" s="25" t="s">
        <v>1941</v>
      </c>
      <c r="Z796" s="25"/>
      <c r="AA796" s="99"/>
      <c r="AB796" s="3" t="str">
        <f>IF(BCP_Soles[[#This Row],[FECHA]]&gt;0,TEXT(BCP_Soles[[#This Row],[FECHA]],"mmmm"),0)</f>
        <v>Marzo</v>
      </c>
    </row>
    <row r="797" spans="2:28" x14ac:dyDescent="0.3">
      <c r="B797" s="2">
        <f>IF(BCP_Soles[[#This Row],[TIPO DE R.]]="R",COUNTIFS($D$4:$D796,"R")+1,"")</f>
        <v>607</v>
      </c>
      <c r="C797" s="19" t="str">
        <f t="shared" si="60"/>
        <v>B-BCP - Soles</v>
      </c>
      <c r="D797" s="3" t="s">
        <v>1074</v>
      </c>
      <c r="E797" s="14">
        <v>45726</v>
      </c>
      <c r="F797" s="5" t="s">
        <v>1082</v>
      </c>
      <c r="G797" s="5" t="s">
        <v>1079</v>
      </c>
      <c r="H797" s="6"/>
      <c r="I797" s="6"/>
      <c r="J797" s="6"/>
      <c r="K797" s="6"/>
      <c r="L797" s="7" t="s">
        <v>1942</v>
      </c>
      <c r="M797" s="8">
        <v>975178</v>
      </c>
      <c r="N797" s="8" t="str">
        <f t="shared" si="61"/>
        <v>PEN</v>
      </c>
      <c r="O797" s="13"/>
      <c r="P797" s="13">
        <v>3033.11</v>
      </c>
      <c r="Q797" s="3">
        <f t="shared" si="62"/>
        <v>0</v>
      </c>
      <c r="R797" s="3">
        <f t="shared" si="63"/>
        <v>3033.11</v>
      </c>
      <c r="S797" s="3">
        <f t="shared" si="64"/>
        <v>19670.019999999997</v>
      </c>
      <c r="T797" s="24" t="s">
        <v>1081</v>
      </c>
      <c r="U797" s="24" t="s">
        <v>1081</v>
      </c>
      <c r="V797" s="67"/>
      <c r="W797" s="25" t="str">
        <f>IFERROR(VLOOKUP(BCP_Soles[[#This Row],[DESTINATARIO]],CHOOSE({1,2},Clientes_Proveedores[Razon Social],Clientes_Proveedores[Ruc / Dni]),2,0),"")</f>
        <v/>
      </c>
      <c r="X797" s="25" t="s">
        <v>1118</v>
      </c>
      <c r="Y797" s="25"/>
      <c r="Z797" s="25"/>
      <c r="AA797" s="99"/>
      <c r="AB797" s="3" t="str">
        <f>IF(BCP_Soles[[#This Row],[FECHA]]&gt;0,TEXT(BCP_Soles[[#This Row],[FECHA]],"mmmm"),0)</f>
        <v>Marzo</v>
      </c>
    </row>
    <row r="798" spans="2:28" ht="36" x14ac:dyDescent="0.3">
      <c r="B798" s="2">
        <f>IF(BCP_Soles[[#This Row],[TIPO DE R.]]="R",COUNTIFS($D$4:$D797,"R")+1,"")</f>
        <v>608</v>
      </c>
      <c r="C798" s="19" t="str">
        <f t="shared" si="60"/>
        <v>B-BCP - Soles</v>
      </c>
      <c r="D798" s="3" t="s">
        <v>1074</v>
      </c>
      <c r="E798" s="14">
        <v>45726</v>
      </c>
      <c r="F798" s="5" t="s">
        <v>497</v>
      </c>
      <c r="G798" s="5" t="s">
        <v>1087</v>
      </c>
      <c r="H798" s="6"/>
      <c r="I798" s="6"/>
      <c r="J798" s="6"/>
      <c r="K798" s="6"/>
      <c r="L798" s="7" t="s">
        <v>1093</v>
      </c>
      <c r="M798" s="8">
        <v>2183860</v>
      </c>
      <c r="N798" s="8" t="str">
        <f t="shared" si="61"/>
        <v>PEN</v>
      </c>
      <c r="O798" s="13"/>
      <c r="P798" s="13">
        <v>3671.98</v>
      </c>
      <c r="Q798" s="3">
        <f t="shared" si="62"/>
        <v>3671.98</v>
      </c>
      <c r="R798" s="3">
        <f t="shared" si="63"/>
        <v>0</v>
      </c>
      <c r="S798" s="3">
        <f t="shared" si="64"/>
        <v>23341.999999999996</v>
      </c>
      <c r="T798" s="24" t="s">
        <v>1081</v>
      </c>
      <c r="U798" s="24" t="s">
        <v>1081</v>
      </c>
      <c r="V798" s="67"/>
      <c r="W798" s="25" t="str">
        <f>IFERROR(VLOOKUP(BCP_Soles[[#This Row],[DESTINATARIO]],CHOOSE({1,2},Clientes_Proveedores[Razon Social],Clientes_Proveedores[Ruc / Dni]),2,0),"")</f>
        <v/>
      </c>
      <c r="X798" s="25" t="s">
        <v>1090</v>
      </c>
      <c r="Y798" s="25" t="s">
        <v>1943</v>
      </c>
      <c r="Z798" s="25"/>
      <c r="AA798" s="99"/>
      <c r="AB798" s="3" t="str">
        <f>IF(BCP_Soles[[#This Row],[FECHA]]&gt;0,TEXT(BCP_Soles[[#This Row],[FECHA]],"mmmm"),0)</f>
        <v>Marzo</v>
      </c>
    </row>
    <row r="799" spans="2:28" x14ac:dyDescent="0.3">
      <c r="B799" s="2">
        <f>IF(BCP_Soles[[#This Row],[TIPO DE R.]]="R",COUNTIFS($D$4:$D798,"R")+1,"")</f>
        <v>609</v>
      </c>
      <c r="C799" s="19" t="str">
        <f t="shared" si="60"/>
        <v>B-BCP - Soles</v>
      </c>
      <c r="D799" s="3" t="s">
        <v>1074</v>
      </c>
      <c r="E799" s="14">
        <v>45726</v>
      </c>
      <c r="F799" s="5" t="s">
        <v>1078</v>
      </c>
      <c r="G799" s="5" t="s">
        <v>1079</v>
      </c>
      <c r="H799" s="6"/>
      <c r="I799" s="6"/>
      <c r="J799" s="6"/>
      <c r="K799" s="6"/>
      <c r="L799" s="7" t="s">
        <v>1080</v>
      </c>
      <c r="M799" s="8"/>
      <c r="N799" s="8" t="str">
        <f t="shared" si="61"/>
        <v>PEN</v>
      </c>
      <c r="O799" s="13"/>
      <c r="P799" s="13">
        <v>1.8</v>
      </c>
      <c r="Q799" s="3">
        <f t="shared" si="62"/>
        <v>0</v>
      </c>
      <c r="R799" s="3">
        <f t="shared" si="63"/>
        <v>1.8</v>
      </c>
      <c r="S799" s="3">
        <f t="shared" si="64"/>
        <v>23340.199999999997</v>
      </c>
      <c r="T799" s="24"/>
      <c r="U799" s="24" t="s">
        <v>1081</v>
      </c>
      <c r="V799" s="67"/>
      <c r="W799" s="25" t="str">
        <f>IFERROR(VLOOKUP(BCP_Soles[[#This Row],[DESTINATARIO]],CHOOSE({1,2},Clientes_Proveedores[Razon Social],Clientes_Proveedores[Ruc / Dni]),2,0),"")</f>
        <v/>
      </c>
      <c r="X799" s="25"/>
      <c r="Y799" s="25"/>
      <c r="Z799" s="25"/>
      <c r="AA799" s="99"/>
      <c r="AB799" s="3" t="str">
        <f>IF(BCP_Soles[[#This Row],[FECHA]]&gt;0,TEXT(BCP_Soles[[#This Row],[FECHA]],"mmmm"),0)</f>
        <v>Marzo</v>
      </c>
    </row>
    <row r="800" spans="2:28" x14ac:dyDescent="0.3">
      <c r="B800" s="2">
        <f>IF(BCP_Soles[[#This Row],[TIPO DE R.]]="R",COUNTIFS($D$4:$D799,"R")+1,"")</f>
        <v>610</v>
      </c>
      <c r="C800" s="19" t="str">
        <f t="shared" si="60"/>
        <v>B-BCP - Soles</v>
      </c>
      <c r="D800" s="3" t="s">
        <v>1074</v>
      </c>
      <c r="E800" s="14">
        <v>45726</v>
      </c>
      <c r="F800" s="5" t="s">
        <v>1251</v>
      </c>
      <c r="G800" s="5" t="s">
        <v>1079</v>
      </c>
      <c r="H800" s="6"/>
      <c r="I800" s="6"/>
      <c r="J800" s="6"/>
      <c r="K800" s="6"/>
      <c r="L800" s="7" t="s">
        <v>1279</v>
      </c>
      <c r="M800" s="8">
        <v>4744</v>
      </c>
      <c r="N800" s="8" t="str">
        <f t="shared" si="61"/>
        <v>PEN</v>
      </c>
      <c r="O800" s="13"/>
      <c r="P800" s="13">
        <v>280.55</v>
      </c>
      <c r="Q800" s="3">
        <f t="shared" si="62"/>
        <v>0</v>
      </c>
      <c r="R800" s="3">
        <f t="shared" si="63"/>
        <v>280.55</v>
      </c>
      <c r="S800" s="3">
        <f t="shared" si="64"/>
        <v>23059.649999999998</v>
      </c>
      <c r="T800" s="24"/>
      <c r="U800" s="24"/>
      <c r="V800" s="67"/>
      <c r="W800" s="25" t="str">
        <f>IFERROR(VLOOKUP(BCP_Soles[[#This Row],[DESTINATARIO]],CHOOSE({1,2},Clientes_Proveedores[Razon Social],Clientes_Proveedores[Ruc / Dni]),2,0),"")</f>
        <v/>
      </c>
      <c r="X800" s="25" t="s">
        <v>1280</v>
      </c>
      <c r="Y800" s="25"/>
      <c r="Z800" s="25"/>
      <c r="AA800" s="99"/>
      <c r="AB800" s="3" t="str">
        <f>IF(BCP_Soles[[#This Row],[FECHA]]&gt;0,TEXT(BCP_Soles[[#This Row],[FECHA]],"mmmm"),0)</f>
        <v>Marzo</v>
      </c>
    </row>
    <row r="801" spans="2:28" x14ac:dyDescent="0.3">
      <c r="B801" s="2">
        <f>IF(BCP_Soles[[#This Row],[TIPO DE R.]]="R",COUNTIFS($D$4:$D800,"R")+1,"")</f>
        <v>611</v>
      </c>
      <c r="C801" s="19" t="str">
        <f t="shared" si="60"/>
        <v>B-BCP - Soles</v>
      </c>
      <c r="D801" s="3" t="s">
        <v>1074</v>
      </c>
      <c r="E801" s="14">
        <v>45726</v>
      </c>
      <c r="F801" s="5" t="s">
        <v>1158</v>
      </c>
      <c r="G801" s="5" t="s">
        <v>1079</v>
      </c>
      <c r="H801" s="6"/>
      <c r="I801" s="6"/>
      <c r="J801" s="6"/>
      <c r="K801" s="6"/>
      <c r="L801" s="7" t="s">
        <v>1277</v>
      </c>
      <c r="M801" s="8">
        <v>4739</v>
      </c>
      <c r="N801" s="8" t="str">
        <f t="shared" si="61"/>
        <v>PEN</v>
      </c>
      <c r="O801" s="13"/>
      <c r="P801" s="13">
        <v>813.08</v>
      </c>
      <c r="Q801" s="3">
        <f t="shared" si="62"/>
        <v>0</v>
      </c>
      <c r="R801" s="3">
        <f t="shared" si="63"/>
        <v>813.08</v>
      </c>
      <c r="S801" s="3">
        <f t="shared" si="64"/>
        <v>22246.569999999996</v>
      </c>
      <c r="T801" s="24"/>
      <c r="U801" s="24"/>
      <c r="V801" s="67"/>
      <c r="W801" s="25" t="str">
        <f>IFERROR(VLOOKUP(BCP_Soles[[#This Row],[DESTINATARIO]],CHOOSE({1,2},Clientes_Proveedores[Razon Social],Clientes_Proveedores[Ruc / Dni]),2,0),"")</f>
        <v/>
      </c>
      <c r="X801" s="25" t="s">
        <v>1278</v>
      </c>
      <c r="Y801" s="25"/>
      <c r="Z801" s="25"/>
      <c r="AA801" s="99"/>
      <c r="AB801" s="3" t="str">
        <f>IF(BCP_Soles[[#This Row],[FECHA]]&gt;0,TEXT(BCP_Soles[[#This Row],[FECHA]],"mmmm"),0)</f>
        <v>Marzo</v>
      </c>
    </row>
    <row r="802" spans="2:28" x14ac:dyDescent="0.3">
      <c r="B802" s="2">
        <f>IF(BCP_Soles[[#This Row],[TIPO DE R.]]="R",COUNTIFS($D$4:$D801,"R")+1,"")</f>
        <v>612</v>
      </c>
      <c r="C802" s="19" t="str">
        <f t="shared" si="60"/>
        <v>B-BCP - Soles</v>
      </c>
      <c r="D802" s="3" t="s">
        <v>1074</v>
      </c>
      <c r="E802" s="14">
        <v>45726</v>
      </c>
      <c r="F802" s="5" t="s">
        <v>1158</v>
      </c>
      <c r="G802" s="5" t="s">
        <v>1079</v>
      </c>
      <c r="H802" s="6"/>
      <c r="I802" s="6"/>
      <c r="J802" s="6"/>
      <c r="K802" s="6"/>
      <c r="L802" s="7" t="s">
        <v>1274</v>
      </c>
      <c r="M802" s="8">
        <v>4743</v>
      </c>
      <c r="N802" s="8" t="str">
        <f t="shared" si="61"/>
        <v>PEN</v>
      </c>
      <c r="O802" s="13"/>
      <c r="P802" s="13">
        <v>1642.94</v>
      </c>
      <c r="Q802" s="3">
        <f t="shared" si="62"/>
        <v>0</v>
      </c>
      <c r="R802" s="3">
        <f t="shared" si="63"/>
        <v>1642.94</v>
      </c>
      <c r="S802" s="3">
        <f t="shared" si="64"/>
        <v>20603.629999999997</v>
      </c>
      <c r="T802" s="24"/>
      <c r="U802" s="24"/>
      <c r="V802" s="67"/>
      <c r="W802" s="25" t="str">
        <f>IFERROR(VLOOKUP(BCP_Soles[[#This Row],[DESTINATARIO]],CHOOSE({1,2},Clientes_Proveedores[Razon Social],Clientes_Proveedores[Ruc / Dni]),2,0),"")</f>
        <v/>
      </c>
      <c r="X802" s="25" t="s">
        <v>1275</v>
      </c>
      <c r="Y802" s="25"/>
      <c r="Z802" s="25"/>
      <c r="AA802" s="99"/>
      <c r="AB802" s="3" t="str">
        <f>IF(BCP_Soles[[#This Row],[FECHA]]&gt;0,TEXT(BCP_Soles[[#This Row],[FECHA]],"mmmm"),0)</f>
        <v>Marzo</v>
      </c>
    </row>
    <row r="803" spans="2:28" x14ac:dyDescent="0.3">
      <c r="B803" s="2">
        <f>IF(BCP_Soles[[#This Row],[TIPO DE R.]]="R",COUNTIFS($D$4:$D802,"R")+1,"")</f>
        <v>613</v>
      </c>
      <c r="C803" s="19" t="str">
        <f t="shared" si="60"/>
        <v>B-BCP - Soles</v>
      </c>
      <c r="D803" s="3" t="s">
        <v>1074</v>
      </c>
      <c r="E803" s="14">
        <v>45726</v>
      </c>
      <c r="F803" s="5" t="s">
        <v>1158</v>
      </c>
      <c r="G803" s="5" t="s">
        <v>1079</v>
      </c>
      <c r="H803" s="6"/>
      <c r="I803" s="6"/>
      <c r="J803" s="6"/>
      <c r="K803" s="6"/>
      <c r="L803" s="7" t="s">
        <v>1271</v>
      </c>
      <c r="M803" s="8">
        <v>4742</v>
      </c>
      <c r="N803" s="8" t="str">
        <f t="shared" si="61"/>
        <v>PEN</v>
      </c>
      <c r="O803" s="13"/>
      <c r="P803" s="13">
        <v>4404.5600000000004</v>
      </c>
      <c r="Q803" s="3">
        <f t="shared" si="62"/>
        <v>0</v>
      </c>
      <c r="R803" s="3">
        <f t="shared" si="63"/>
        <v>4404.5600000000004</v>
      </c>
      <c r="S803" s="3">
        <f t="shared" si="64"/>
        <v>16199.069999999996</v>
      </c>
      <c r="T803" s="24"/>
      <c r="U803" s="24"/>
      <c r="V803" s="67"/>
      <c r="W803" s="25" t="str">
        <f>IFERROR(VLOOKUP(BCP_Soles[[#This Row],[DESTINATARIO]],CHOOSE({1,2},Clientes_Proveedores[Razon Social],Clientes_Proveedores[Ruc / Dni]),2,0),"")</f>
        <v/>
      </c>
      <c r="X803" s="25" t="s">
        <v>1272</v>
      </c>
      <c r="Y803" s="25"/>
      <c r="Z803" s="25"/>
      <c r="AA803" s="99"/>
      <c r="AB803" s="3" t="str">
        <f>IF(BCP_Soles[[#This Row],[FECHA]]&gt;0,TEXT(BCP_Soles[[#This Row],[FECHA]],"mmmm"),0)</f>
        <v>Marzo</v>
      </c>
    </row>
    <row r="804" spans="2:28" ht="36" x14ac:dyDescent="0.3">
      <c r="B804" s="2">
        <f>IF(BCP_Soles[[#This Row],[TIPO DE R.]]="R",COUNTIFS($D$4:$D803,"R")+1,"")</f>
        <v>614</v>
      </c>
      <c r="C804" s="19" t="str">
        <f t="shared" si="60"/>
        <v>B-BCP - Soles</v>
      </c>
      <c r="D804" s="3" t="s">
        <v>1074</v>
      </c>
      <c r="E804" s="14">
        <v>45727</v>
      </c>
      <c r="F804" s="5" t="s">
        <v>175</v>
      </c>
      <c r="G804" s="5" t="s">
        <v>1087</v>
      </c>
      <c r="H804" s="6"/>
      <c r="I804" s="6"/>
      <c r="J804" s="6"/>
      <c r="K804" s="6"/>
      <c r="L804" s="7" t="s">
        <v>1944</v>
      </c>
      <c r="M804" s="8">
        <v>2096283</v>
      </c>
      <c r="N804" s="8" t="str">
        <f t="shared" si="61"/>
        <v>PEN</v>
      </c>
      <c r="O804" s="13"/>
      <c r="P804" s="13">
        <v>8598.6</v>
      </c>
      <c r="Q804" s="3">
        <f t="shared" si="62"/>
        <v>8598.6</v>
      </c>
      <c r="R804" s="3">
        <f t="shared" si="63"/>
        <v>0</v>
      </c>
      <c r="S804" s="3">
        <f t="shared" si="64"/>
        <v>24797.67</v>
      </c>
      <c r="T804" s="24" t="s">
        <v>1081</v>
      </c>
      <c r="U804" s="24" t="s">
        <v>1081</v>
      </c>
      <c r="V804" s="67"/>
      <c r="W804" s="25" t="str">
        <f>IFERROR(VLOOKUP(BCP_Soles[[#This Row],[DESTINATARIO]],CHOOSE({1,2},Clientes_Proveedores[Razon Social],Clientes_Proveedores[Ruc / Dni]),2,0),"")</f>
        <v/>
      </c>
      <c r="X804" s="25" t="s">
        <v>1090</v>
      </c>
      <c r="Y804" s="25" t="s">
        <v>1945</v>
      </c>
      <c r="Z804" s="25"/>
      <c r="AA804" s="99"/>
      <c r="AB804" s="3" t="str">
        <f>IF(BCP_Soles[[#This Row],[FECHA]]&gt;0,TEXT(BCP_Soles[[#This Row],[FECHA]],"mmmm"),0)</f>
        <v>Marzo</v>
      </c>
    </row>
    <row r="805" spans="2:28" x14ac:dyDescent="0.3">
      <c r="B805" s="2">
        <f>IF(BCP_Soles[[#This Row],[TIPO DE R.]]="R",COUNTIFS($D$4:$D804,"R")+1,"")</f>
        <v>615</v>
      </c>
      <c r="C805" s="19" t="str">
        <f t="shared" si="60"/>
        <v>B-BCP - Soles</v>
      </c>
      <c r="D805" s="3" t="s">
        <v>1074</v>
      </c>
      <c r="E805" s="14">
        <v>45727</v>
      </c>
      <c r="F805" s="5" t="s">
        <v>309</v>
      </c>
      <c r="G805" s="5" t="s">
        <v>1087</v>
      </c>
      <c r="H805" s="6"/>
      <c r="I805" s="6"/>
      <c r="J805" s="6"/>
      <c r="K805" s="6"/>
      <c r="L805" s="7" t="s">
        <v>1946</v>
      </c>
      <c r="M805" s="8">
        <v>2194003</v>
      </c>
      <c r="N805" s="8" t="str">
        <f t="shared" si="61"/>
        <v>PEN</v>
      </c>
      <c r="O805" s="13"/>
      <c r="P805" s="13">
        <v>3444.2</v>
      </c>
      <c r="Q805" s="3">
        <f t="shared" si="62"/>
        <v>3444.2</v>
      </c>
      <c r="R805" s="3">
        <f t="shared" si="63"/>
        <v>0</v>
      </c>
      <c r="S805" s="3">
        <f t="shared" si="64"/>
        <v>28241.87</v>
      </c>
      <c r="T805" s="24" t="s">
        <v>1081</v>
      </c>
      <c r="U805" s="24" t="s">
        <v>1081</v>
      </c>
      <c r="V805" s="67"/>
      <c r="W805" s="25" t="str">
        <f>IFERROR(VLOOKUP(BCP_Soles[[#This Row],[DESTINATARIO]],CHOOSE({1,2},Clientes_Proveedores[Razon Social],Clientes_Proveedores[Ruc / Dni]),2,0),"")</f>
        <v/>
      </c>
      <c r="X805" s="25" t="s">
        <v>1090</v>
      </c>
      <c r="Y805" s="25" t="s">
        <v>1947</v>
      </c>
      <c r="Z805" s="25"/>
      <c r="AA805" s="99"/>
      <c r="AB805" s="3" t="str">
        <f>IF(BCP_Soles[[#This Row],[FECHA]]&gt;0,TEXT(BCP_Soles[[#This Row],[FECHA]],"mmmm"),0)</f>
        <v>Marzo</v>
      </c>
    </row>
    <row r="806" spans="2:28" ht="48" x14ac:dyDescent="0.3">
      <c r="B806" s="2">
        <f>IF(BCP_Soles[[#This Row],[TIPO DE R.]]="R",COUNTIFS($D$4:$D805,"R")+1,"")</f>
        <v>616</v>
      </c>
      <c r="C806" s="19" t="str">
        <f t="shared" si="60"/>
        <v>B-BCP - Soles</v>
      </c>
      <c r="D806" s="3" t="s">
        <v>1074</v>
      </c>
      <c r="E806" s="14">
        <v>45727</v>
      </c>
      <c r="F806" s="5" t="s">
        <v>263</v>
      </c>
      <c r="G806" s="5" t="s">
        <v>1087</v>
      </c>
      <c r="H806" s="6"/>
      <c r="I806" s="6"/>
      <c r="J806" s="6"/>
      <c r="K806" s="6"/>
      <c r="L806" s="7" t="s">
        <v>1286</v>
      </c>
      <c r="M806" s="8">
        <v>2805</v>
      </c>
      <c r="N806" s="8" t="str">
        <f t="shared" si="61"/>
        <v>PEN</v>
      </c>
      <c r="O806" s="13"/>
      <c r="P806" s="13">
        <v>1212.3699999999999</v>
      </c>
      <c r="Q806" s="3">
        <f t="shared" si="62"/>
        <v>1212.3699999999999</v>
      </c>
      <c r="R806" s="3">
        <f t="shared" si="63"/>
        <v>0</v>
      </c>
      <c r="S806" s="3">
        <f t="shared" si="64"/>
        <v>29454.239999999998</v>
      </c>
      <c r="T806" s="24" t="s">
        <v>1081</v>
      </c>
      <c r="U806" s="24" t="s">
        <v>1081</v>
      </c>
      <c r="V806" s="67"/>
      <c r="W806" s="25" t="str">
        <f>IFERROR(VLOOKUP(BCP_Soles[[#This Row],[DESTINATARIO]],CHOOSE({1,2},Clientes_Proveedores[Razon Social],Clientes_Proveedores[Ruc / Dni]),2,0),"")</f>
        <v/>
      </c>
      <c r="X806" s="25" t="s">
        <v>1090</v>
      </c>
      <c r="Y806" s="25" t="s">
        <v>1539</v>
      </c>
      <c r="Z806" s="25"/>
      <c r="AA806" s="99"/>
      <c r="AB806" s="3" t="str">
        <f>IF(BCP_Soles[[#This Row],[FECHA]]&gt;0,TEXT(BCP_Soles[[#This Row],[FECHA]],"mmmm"),0)</f>
        <v>Marzo</v>
      </c>
    </row>
    <row r="807" spans="2:28" ht="36" x14ac:dyDescent="0.3">
      <c r="B807" s="2">
        <f>IF(BCP_Soles[[#This Row],[TIPO DE R.]]="R",COUNTIFS($D$4:$D806,"R")+1,"")</f>
        <v>617</v>
      </c>
      <c r="C807" s="19" t="str">
        <f t="shared" si="60"/>
        <v>B-BCP - Soles</v>
      </c>
      <c r="D807" s="3" t="s">
        <v>1074</v>
      </c>
      <c r="E807" s="14">
        <v>45727</v>
      </c>
      <c r="F807" s="5" t="s">
        <v>1614</v>
      </c>
      <c r="G807" s="5" t="s">
        <v>1087</v>
      </c>
      <c r="H807" s="6" t="s">
        <v>368</v>
      </c>
      <c r="I807" s="6" t="s">
        <v>87</v>
      </c>
      <c r="J807" s="6">
        <v>1</v>
      </c>
      <c r="K807" s="6"/>
      <c r="L807" s="7" t="s">
        <v>1948</v>
      </c>
      <c r="M807" s="8">
        <v>438197</v>
      </c>
      <c r="N807" s="8" t="str">
        <f t="shared" si="61"/>
        <v>PEN</v>
      </c>
      <c r="O807" s="13"/>
      <c r="P807" s="13">
        <v>93</v>
      </c>
      <c r="Q807" s="3">
        <f t="shared" si="62"/>
        <v>93</v>
      </c>
      <c r="R807" s="3">
        <f t="shared" si="63"/>
        <v>0</v>
      </c>
      <c r="S807" s="3">
        <f t="shared" si="64"/>
        <v>29547.239999999998</v>
      </c>
      <c r="T807" s="24" t="s">
        <v>1081</v>
      </c>
      <c r="U807" s="24"/>
      <c r="V807" s="67"/>
      <c r="W807" s="25">
        <f>IFERROR(VLOOKUP(BCP_Soles[[#This Row],[DESTINATARIO]],CHOOSE({1,2},Clientes_Proveedores[Razon Social],Clientes_Proveedores[Ruc / Dni]),2,0),"")</f>
        <v>20558226979</v>
      </c>
      <c r="X807" s="25" t="s">
        <v>1090</v>
      </c>
      <c r="Y807" s="25" t="s">
        <v>1949</v>
      </c>
      <c r="Z807" s="25"/>
      <c r="AA807" s="99"/>
      <c r="AB807" s="3" t="str">
        <f>IF(BCP_Soles[[#This Row],[FECHA]]&gt;0,TEXT(BCP_Soles[[#This Row],[FECHA]],"mmmm"),0)</f>
        <v>Marzo</v>
      </c>
    </row>
    <row r="808" spans="2:28" x14ac:dyDescent="0.3">
      <c r="B808" s="2">
        <f>IF(BCP_Soles[[#This Row],[TIPO DE R.]]="R",COUNTIFS($D$4:$D807,"R")+1,"")</f>
        <v>618</v>
      </c>
      <c r="C808" s="19" t="str">
        <f t="shared" si="60"/>
        <v>B-BCP - Soles</v>
      </c>
      <c r="D808" s="3" t="s">
        <v>1074</v>
      </c>
      <c r="E808" s="14">
        <v>45727</v>
      </c>
      <c r="F808" s="5" t="s">
        <v>1078</v>
      </c>
      <c r="G808" s="5" t="s">
        <v>1079</v>
      </c>
      <c r="H808" s="6"/>
      <c r="I808" s="6"/>
      <c r="J808" s="6"/>
      <c r="K808" s="6"/>
      <c r="L808" s="7" t="s">
        <v>1080</v>
      </c>
      <c r="M808" s="8"/>
      <c r="N808" s="8" t="str">
        <f t="shared" si="61"/>
        <v>PEN</v>
      </c>
      <c r="O808" s="13"/>
      <c r="P808" s="13">
        <v>0.6</v>
      </c>
      <c r="Q808" s="3">
        <f t="shared" si="62"/>
        <v>0</v>
      </c>
      <c r="R808" s="3">
        <f t="shared" si="63"/>
        <v>0.6</v>
      </c>
      <c r="S808" s="3">
        <f t="shared" si="64"/>
        <v>29546.639999999999</v>
      </c>
      <c r="T808" s="24"/>
      <c r="U808" s="24" t="s">
        <v>1081</v>
      </c>
      <c r="V808" s="67"/>
      <c r="W808" s="25" t="str">
        <f>IFERROR(VLOOKUP(BCP_Soles[[#This Row],[DESTINATARIO]],CHOOSE({1,2},Clientes_Proveedores[Razon Social],Clientes_Proveedores[Ruc / Dni]),2,0),"")</f>
        <v/>
      </c>
      <c r="X808" s="25"/>
      <c r="Y808" s="25"/>
      <c r="Z808" s="25"/>
      <c r="AA808" s="99"/>
      <c r="AB808" s="3" t="str">
        <f>IF(BCP_Soles[[#This Row],[FECHA]]&gt;0,TEXT(BCP_Soles[[#This Row],[FECHA]],"mmmm"),0)</f>
        <v>Marzo</v>
      </c>
    </row>
    <row r="809" spans="2:28" ht="36" x14ac:dyDescent="0.3">
      <c r="B809" s="2">
        <f>IF(BCP_Soles[[#This Row],[TIPO DE R.]]="R",COUNTIFS($D$4:$D808,"R")+1,"")</f>
        <v>619</v>
      </c>
      <c r="C809" s="19" t="str">
        <f t="shared" si="60"/>
        <v>B-BCP - Soles</v>
      </c>
      <c r="D809" s="3" t="s">
        <v>1074</v>
      </c>
      <c r="E809" s="14">
        <v>45727</v>
      </c>
      <c r="F809" s="5" t="s">
        <v>1082</v>
      </c>
      <c r="G809" s="5" t="s">
        <v>1079</v>
      </c>
      <c r="H809" s="6"/>
      <c r="I809" s="6"/>
      <c r="J809" s="6"/>
      <c r="K809" s="6"/>
      <c r="L809" s="7" t="s">
        <v>1950</v>
      </c>
      <c r="M809" s="8">
        <v>1197206</v>
      </c>
      <c r="N809" s="8" t="str">
        <f t="shared" si="61"/>
        <v>PEN</v>
      </c>
      <c r="O809" s="13"/>
      <c r="P809" s="13">
        <v>50</v>
      </c>
      <c r="Q809" s="3">
        <f t="shared" si="62"/>
        <v>0</v>
      </c>
      <c r="R809" s="3">
        <f t="shared" si="63"/>
        <v>50</v>
      </c>
      <c r="S809" s="3">
        <f t="shared" si="64"/>
        <v>29496.639999999999</v>
      </c>
      <c r="T809" s="24"/>
      <c r="U809" s="24"/>
      <c r="V809" s="67"/>
      <c r="W809" s="25" t="str">
        <f>IFERROR(VLOOKUP(BCP_Soles[[#This Row],[DESTINATARIO]],CHOOSE({1,2},Clientes_Proveedores[Razon Social],Clientes_Proveedores[Ruc / Dni]),2,0),"")</f>
        <v/>
      </c>
      <c r="X809" s="25" t="s">
        <v>656</v>
      </c>
      <c r="Y809" s="25"/>
      <c r="Z809" s="25"/>
      <c r="AA809" s="99"/>
      <c r="AB809" s="3" t="str">
        <f>IF(BCP_Soles[[#This Row],[FECHA]]&gt;0,TEXT(BCP_Soles[[#This Row],[FECHA]],"mmmm"),0)</f>
        <v>Marzo</v>
      </c>
    </row>
    <row r="810" spans="2:28" x14ac:dyDescent="0.3">
      <c r="B810" s="2">
        <f>IF(BCP_Soles[[#This Row],[TIPO DE R.]]="R",COUNTIFS($D$4:$D809,"R")+1,"")</f>
        <v>620</v>
      </c>
      <c r="C810" s="19" t="str">
        <f t="shared" si="60"/>
        <v>B-BCP - Soles</v>
      </c>
      <c r="D810" s="3" t="s">
        <v>1074</v>
      </c>
      <c r="E810" s="14">
        <v>45727</v>
      </c>
      <c r="F810" s="5" t="s">
        <v>1082</v>
      </c>
      <c r="G810" s="5" t="s">
        <v>1079</v>
      </c>
      <c r="H810" s="6" t="s">
        <v>350</v>
      </c>
      <c r="I810" s="6" t="s">
        <v>14</v>
      </c>
      <c r="J810" s="6" t="s">
        <v>1951</v>
      </c>
      <c r="K810" s="6">
        <v>17585</v>
      </c>
      <c r="L810" s="7" t="s">
        <v>1222</v>
      </c>
      <c r="M810" s="8">
        <v>94932</v>
      </c>
      <c r="N810" s="8" t="str">
        <f t="shared" si="61"/>
        <v>PEN</v>
      </c>
      <c r="O810" s="13"/>
      <c r="P810" s="13">
        <v>196.52</v>
      </c>
      <c r="Q810" s="3">
        <f t="shared" si="62"/>
        <v>0</v>
      </c>
      <c r="R810" s="3">
        <f t="shared" si="63"/>
        <v>196.52</v>
      </c>
      <c r="S810" s="3">
        <f t="shared" si="64"/>
        <v>29300.12</v>
      </c>
      <c r="T810" s="24" t="s">
        <v>1081</v>
      </c>
      <c r="U810" s="24" t="s">
        <v>1081</v>
      </c>
      <c r="V810" s="67"/>
      <c r="W810" s="25">
        <f>IFERROR(VLOOKUP(BCP_Soles[[#This Row],[DESTINATARIO]],CHOOSE({1,2},Clientes_Proveedores[Razon Social],Clientes_Proveedores[Ruc / Dni]),2,0),"")</f>
        <v>20549068201</v>
      </c>
      <c r="X810" s="25" t="s">
        <v>1223</v>
      </c>
      <c r="Y810" s="25" t="s">
        <v>1952</v>
      </c>
      <c r="Z810" s="25"/>
      <c r="AA810" s="99"/>
      <c r="AB810" s="3" t="str">
        <f>IF(BCP_Soles[[#This Row],[FECHA]]&gt;0,TEXT(BCP_Soles[[#This Row],[FECHA]],"mmmm"),0)</f>
        <v>Marzo</v>
      </c>
    </row>
    <row r="811" spans="2:28" x14ac:dyDescent="0.3">
      <c r="B811" s="2">
        <f>IF(BCP_Soles[[#This Row],[TIPO DE R.]]="R",COUNTIFS($D$4:$D810,"R")+1,"")</f>
        <v>621</v>
      </c>
      <c r="C811" s="19" t="str">
        <f t="shared" si="60"/>
        <v>B-BCP - Soles</v>
      </c>
      <c r="D811" s="3" t="s">
        <v>1074</v>
      </c>
      <c r="E811" s="14">
        <v>45727</v>
      </c>
      <c r="F811" s="5" t="s">
        <v>1082</v>
      </c>
      <c r="G811" s="5" t="s">
        <v>1079</v>
      </c>
      <c r="H811" s="6" t="s">
        <v>139</v>
      </c>
      <c r="I811" s="6" t="s">
        <v>14</v>
      </c>
      <c r="J811" s="6" t="s">
        <v>1953</v>
      </c>
      <c r="K811" s="6">
        <v>6010</v>
      </c>
      <c r="L811" s="7" t="s">
        <v>1954</v>
      </c>
      <c r="M811" s="8">
        <v>95874</v>
      </c>
      <c r="N811" s="8" t="str">
        <f t="shared" si="61"/>
        <v>PEN</v>
      </c>
      <c r="O811" s="13"/>
      <c r="P811" s="13">
        <v>252.3</v>
      </c>
      <c r="Q811" s="3">
        <f t="shared" si="62"/>
        <v>0</v>
      </c>
      <c r="R811" s="3">
        <f t="shared" si="63"/>
        <v>252.3</v>
      </c>
      <c r="S811" s="3">
        <f t="shared" si="64"/>
        <v>29047.82</v>
      </c>
      <c r="T811" s="24" t="s">
        <v>1081</v>
      </c>
      <c r="U811" s="24" t="s">
        <v>1081</v>
      </c>
      <c r="V811" s="67"/>
      <c r="W811" s="25">
        <f>IFERROR(VLOOKUP(BCP_Soles[[#This Row],[DESTINATARIO]],CHOOSE({1,2},Clientes_Proveedores[Razon Social],Clientes_Proveedores[Ruc / Dni]),2,0),"")</f>
        <v>20100055237</v>
      </c>
      <c r="X811" s="25" t="s">
        <v>1955</v>
      </c>
      <c r="Y811" s="25" t="s">
        <v>1956</v>
      </c>
      <c r="Z811" s="25"/>
      <c r="AA811" s="99"/>
      <c r="AB811" s="3" t="str">
        <f>IF(BCP_Soles[[#This Row],[FECHA]]&gt;0,TEXT(BCP_Soles[[#This Row],[FECHA]],"mmmm"),0)</f>
        <v>Marzo</v>
      </c>
    </row>
    <row r="812" spans="2:28" ht="24" x14ac:dyDescent="0.3">
      <c r="B812" s="2">
        <f>IF(BCP_Soles[[#This Row],[TIPO DE R.]]="R",COUNTIFS($D$4:$D811,"R")+1,"")</f>
        <v>622</v>
      </c>
      <c r="C812" s="19" t="str">
        <f t="shared" si="60"/>
        <v>B-BCP - Soles</v>
      </c>
      <c r="D812" s="3" t="s">
        <v>1074</v>
      </c>
      <c r="E812" s="14">
        <v>45727</v>
      </c>
      <c r="F812" s="5" t="s">
        <v>1082</v>
      </c>
      <c r="G812" s="5" t="s">
        <v>1079</v>
      </c>
      <c r="H812" s="6"/>
      <c r="I812" s="6"/>
      <c r="J812" s="6"/>
      <c r="K812" s="6"/>
      <c r="L812" s="7" t="s">
        <v>1957</v>
      </c>
      <c r="M812" s="8">
        <v>1199592</v>
      </c>
      <c r="N812" s="8" t="str">
        <f t="shared" si="61"/>
        <v>PEN</v>
      </c>
      <c r="O812" s="13"/>
      <c r="P812" s="13">
        <v>300</v>
      </c>
      <c r="Q812" s="3">
        <f t="shared" si="62"/>
        <v>0</v>
      </c>
      <c r="R812" s="3">
        <f t="shared" si="63"/>
        <v>300</v>
      </c>
      <c r="S812" s="3">
        <f t="shared" si="64"/>
        <v>28747.82</v>
      </c>
      <c r="T812" s="24" t="s">
        <v>1081</v>
      </c>
      <c r="U812" s="24" t="s">
        <v>1081</v>
      </c>
      <c r="V812" s="67"/>
      <c r="W812" s="25" t="str">
        <f>IFERROR(VLOOKUP(BCP_Soles[[#This Row],[DESTINATARIO]],CHOOSE({1,2},Clientes_Proveedores[Razon Social],Clientes_Proveedores[Ruc / Dni]),2,0),"")</f>
        <v/>
      </c>
      <c r="X812" s="25" t="s">
        <v>825</v>
      </c>
      <c r="Y812" s="25" t="s">
        <v>1958</v>
      </c>
      <c r="Z812" s="25"/>
      <c r="AA812" s="99"/>
      <c r="AB812" s="3" t="str">
        <f>IF(BCP_Soles[[#This Row],[FECHA]]&gt;0,TEXT(BCP_Soles[[#This Row],[FECHA]],"mmmm"),0)</f>
        <v>Marzo</v>
      </c>
    </row>
    <row r="813" spans="2:28" ht="24" x14ac:dyDescent="0.3">
      <c r="B813" s="2">
        <f>IF(BCP_Soles[[#This Row],[TIPO DE R.]]="R",COUNTIFS($D$4:$D812,"R")+1,"")</f>
        <v>623</v>
      </c>
      <c r="C813" s="19" t="str">
        <f t="shared" si="60"/>
        <v>B-BCP - Soles</v>
      </c>
      <c r="D813" s="3" t="s">
        <v>1074</v>
      </c>
      <c r="E813" s="14">
        <v>45727</v>
      </c>
      <c r="F813" s="5" t="s">
        <v>1082</v>
      </c>
      <c r="G813" s="5" t="s">
        <v>1079</v>
      </c>
      <c r="H813" s="6" t="s">
        <v>645</v>
      </c>
      <c r="I813" s="6" t="s">
        <v>52</v>
      </c>
      <c r="J813" s="6" t="s">
        <v>1225</v>
      </c>
      <c r="K813" s="6">
        <v>29207019</v>
      </c>
      <c r="L813" s="7" t="s">
        <v>1301</v>
      </c>
      <c r="M813" s="8">
        <v>96007</v>
      </c>
      <c r="N813" s="8" t="str">
        <f t="shared" si="61"/>
        <v>PEN</v>
      </c>
      <c r="O813" s="13"/>
      <c r="P813" s="13">
        <v>354.6</v>
      </c>
      <c r="Q813" s="3">
        <f t="shared" si="62"/>
        <v>0</v>
      </c>
      <c r="R813" s="3">
        <f t="shared" si="63"/>
        <v>354.6</v>
      </c>
      <c r="S813" s="3">
        <f t="shared" si="64"/>
        <v>28393.22</v>
      </c>
      <c r="T813" s="24" t="s">
        <v>1081</v>
      </c>
      <c r="U813" s="24" t="s">
        <v>1081</v>
      </c>
      <c r="V813" s="67"/>
      <c r="W813" s="25">
        <f>IFERROR(VLOOKUP(BCP_Soles[[#This Row],[DESTINATARIO]],CHOOSE({1,2},Clientes_Proveedores[Razon Social],Clientes_Proveedores[Ruc / Dni]),2,0),"")</f>
        <v>20100188628</v>
      </c>
      <c r="X813" s="25" t="s">
        <v>1227</v>
      </c>
      <c r="Y813" s="25" t="s">
        <v>1959</v>
      </c>
      <c r="Z813" s="25"/>
      <c r="AA813" s="99"/>
      <c r="AB813" s="3" t="str">
        <f>IF(BCP_Soles[[#This Row],[FECHA]]&gt;0,TEXT(BCP_Soles[[#This Row],[FECHA]],"mmmm"),0)</f>
        <v>Marzo</v>
      </c>
    </row>
    <row r="814" spans="2:28" x14ac:dyDescent="0.3">
      <c r="B814" s="2">
        <f>IF(BCP_Soles[[#This Row],[TIPO DE R.]]="R",COUNTIFS($D$4:$D813,"R")+1,"")</f>
        <v>624</v>
      </c>
      <c r="C814" s="19" t="str">
        <f t="shared" si="60"/>
        <v>B-BCP - Soles</v>
      </c>
      <c r="D814" s="3" t="s">
        <v>1074</v>
      </c>
      <c r="E814" s="14">
        <v>45727</v>
      </c>
      <c r="F814" s="5" t="s">
        <v>1082</v>
      </c>
      <c r="G814" s="5" t="s">
        <v>1079</v>
      </c>
      <c r="H814" s="6" t="s">
        <v>139</v>
      </c>
      <c r="I814" s="6" t="s">
        <v>14</v>
      </c>
      <c r="J814" s="6" t="s">
        <v>1953</v>
      </c>
      <c r="K814" s="6">
        <v>6011</v>
      </c>
      <c r="L814" s="7" t="s">
        <v>1954</v>
      </c>
      <c r="M814" s="8">
        <v>94933</v>
      </c>
      <c r="N814" s="8" t="str">
        <f t="shared" si="61"/>
        <v>PEN</v>
      </c>
      <c r="O814" s="13"/>
      <c r="P814" s="13">
        <v>415.52</v>
      </c>
      <c r="Q814" s="3">
        <f t="shared" si="62"/>
        <v>0</v>
      </c>
      <c r="R814" s="3">
        <f t="shared" si="63"/>
        <v>415.52</v>
      </c>
      <c r="S814" s="3">
        <f t="shared" si="64"/>
        <v>27977.7</v>
      </c>
      <c r="T814" s="24" t="s">
        <v>1081</v>
      </c>
      <c r="U814" s="24" t="s">
        <v>1081</v>
      </c>
      <c r="V814" s="67"/>
      <c r="W814" s="25">
        <f>IFERROR(VLOOKUP(BCP_Soles[[#This Row],[DESTINATARIO]],CHOOSE({1,2},Clientes_Proveedores[Razon Social],Clientes_Proveedores[Ruc / Dni]),2,0),"")</f>
        <v>20100055237</v>
      </c>
      <c r="X814" s="25" t="s">
        <v>1955</v>
      </c>
      <c r="Y814" s="25" t="s">
        <v>1960</v>
      </c>
      <c r="Z814" s="25"/>
      <c r="AA814" s="99"/>
      <c r="AB814" s="3" t="str">
        <f>IF(BCP_Soles[[#This Row],[FECHA]]&gt;0,TEXT(BCP_Soles[[#This Row],[FECHA]],"mmmm"),0)</f>
        <v>Marzo</v>
      </c>
    </row>
    <row r="815" spans="2:28" x14ac:dyDescent="0.3">
      <c r="B815" s="2">
        <f>IF(BCP_Soles[[#This Row],[TIPO DE R.]]="R",COUNTIFS($D$4:$D814,"R")+1,"")</f>
        <v>625</v>
      </c>
      <c r="C815" s="19" t="str">
        <f t="shared" si="60"/>
        <v>B-BCP - Soles</v>
      </c>
      <c r="D815" s="3" t="s">
        <v>1074</v>
      </c>
      <c r="E815" s="14">
        <v>45727</v>
      </c>
      <c r="F815" s="5" t="s">
        <v>1082</v>
      </c>
      <c r="G815" s="5" t="s">
        <v>1079</v>
      </c>
      <c r="H815" s="6" t="s">
        <v>139</v>
      </c>
      <c r="I815" s="6" t="s">
        <v>14</v>
      </c>
      <c r="J815" s="6" t="s">
        <v>1953</v>
      </c>
      <c r="K815" s="6">
        <v>6012</v>
      </c>
      <c r="L815" s="7" t="s">
        <v>1954</v>
      </c>
      <c r="M815" s="8">
        <v>93954</v>
      </c>
      <c r="N815" s="8" t="str">
        <f t="shared" si="61"/>
        <v>PEN</v>
      </c>
      <c r="O815" s="13"/>
      <c r="P815" s="13">
        <v>1483.22</v>
      </c>
      <c r="Q815" s="3">
        <f t="shared" si="62"/>
        <v>0</v>
      </c>
      <c r="R815" s="3">
        <f t="shared" si="63"/>
        <v>1483.22</v>
      </c>
      <c r="S815" s="3">
        <f t="shared" si="64"/>
        <v>26494.48</v>
      </c>
      <c r="T815" s="24" t="s">
        <v>1081</v>
      </c>
      <c r="U815" s="24" t="s">
        <v>1081</v>
      </c>
      <c r="V815" s="67"/>
      <c r="W815" s="25">
        <f>IFERROR(VLOOKUP(BCP_Soles[[#This Row],[DESTINATARIO]],CHOOSE({1,2},Clientes_Proveedores[Razon Social],Clientes_Proveedores[Ruc / Dni]),2,0),"")</f>
        <v>20100055237</v>
      </c>
      <c r="X815" s="25" t="s">
        <v>1955</v>
      </c>
      <c r="Y815" s="25" t="s">
        <v>1961</v>
      </c>
      <c r="Z815" s="25"/>
      <c r="AA815" s="99"/>
      <c r="AB815" s="3" t="str">
        <f>IF(BCP_Soles[[#This Row],[FECHA]]&gt;0,TEXT(BCP_Soles[[#This Row],[FECHA]],"mmmm"),0)</f>
        <v>Marzo</v>
      </c>
    </row>
    <row r="816" spans="2:28" x14ac:dyDescent="0.3">
      <c r="B816" s="2">
        <f>IF(BCP_Soles[[#This Row],[TIPO DE R.]]="R",COUNTIFS($D$4:$D815,"R")+1,"")</f>
        <v>626</v>
      </c>
      <c r="C816" s="19" t="str">
        <f t="shared" si="60"/>
        <v>B-BCP - Soles</v>
      </c>
      <c r="D816" s="3" t="s">
        <v>1074</v>
      </c>
      <c r="E816" s="14">
        <v>45728</v>
      </c>
      <c r="F816" s="5" t="s">
        <v>1184</v>
      </c>
      <c r="G816" s="5" t="s">
        <v>1087</v>
      </c>
      <c r="H816" s="6"/>
      <c r="I816" s="6"/>
      <c r="J816" s="6"/>
      <c r="K816" s="6"/>
      <c r="L816" s="7" t="s">
        <v>1100</v>
      </c>
      <c r="M816" s="8">
        <v>2248471</v>
      </c>
      <c r="N816" s="8" t="str">
        <f t="shared" si="61"/>
        <v>PEN</v>
      </c>
      <c r="O816" s="13"/>
      <c r="P816" s="13">
        <v>7029</v>
      </c>
      <c r="Q816" s="3">
        <f t="shared" si="62"/>
        <v>7029</v>
      </c>
      <c r="R816" s="3">
        <f t="shared" si="63"/>
        <v>0</v>
      </c>
      <c r="S816" s="3">
        <f t="shared" si="64"/>
        <v>33523.479999999996</v>
      </c>
      <c r="T816" s="24" t="s">
        <v>1081</v>
      </c>
      <c r="U816" s="24" t="s">
        <v>1081</v>
      </c>
      <c r="V816" s="67"/>
      <c r="W816" s="25" t="str">
        <f>IFERROR(VLOOKUP(BCP_Soles[[#This Row],[DESTINATARIO]],CHOOSE({1,2},Clientes_Proveedores[Razon Social],Clientes_Proveedores[Ruc / Dni]),2,0),"")</f>
        <v/>
      </c>
      <c r="X816" s="25" t="s">
        <v>1090</v>
      </c>
      <c r="Y816" s="25" t="s">
        <v>1962</v>
      </c>
      <c r="Z816" s="25"/>
      <c r="AA816" s="99"/>
      <c r="AB816" s="3" t="str">
        <f>IF(BCP_Soles[[#This Row],[FECHA]]&gt;0,TEXT(BCP_Soles[[#This Row],[FECHA]],"mmmm"),0)</f>
        <v>Marzo</v>
      </c>
    </row>
    <row r="817" spans="2:28" x14ac:dyDescent="0.3">
      <c r="B817" s="2">
        <f>IF(BCP_Soles[[#This Row],[TIPO DE R.]]="R",COUNTIFS($D$4:$D816,"R")+1,"")</f>
        <v>627</v>
      </c>
      <c r="C817" s="19" t="str">
        <f t="shared" si="60"/>
        <v>B-BCP - Soles</v>
      </c>
      <c r="D817" s="3" t="s">
        <v>1074</v>
      </c>
      <c r="E817" s="14">
        <v>45728</v>
      </c>
      <c r="F817" s="5" t="s">
        <v>1438</v>
      </c>
      <c r="G817" s="5" t="s">
        <v>1087</v>
      </c>
      <c r="H817" s="6"/>
      <c r="I817" s="6"/>
      <c r="J817" s="6"/>
      <c r="K817" s="6"/>
      <c r="L817" s="7" t="s">
        <v>1100</v>
      </c>
      <c r="M817" s="8">
        <v>2015092</v>
      </c>
      <c r="N817" s="8" t="str">
        <f t="shared" si="61"/>
        <v>PEN</v>
      </c>
      <c r="O817" s="13"/>
      <c r="P817" s="13">
        <v>1848</v>
      </c>
      <c r="Q817" s="3">
        <f t="shared" si="62"/>
        <v>1848</v>
      </c>
      <c r="R817" s="3">
        <f t="shared" si="63"/>
        <v>0</v>
      </c>
      <c r="S817" s="3">
        <f t="shared" si="64"/>
        <v>35371.479999999996</v>
      </c>
      <c r="T817" s="24" t="s">
        <v>1081</v>
      </c>
      <c r="U817" s="24" t="s">
        <v>1081</v>
      </c>
      <c r="V817" s="67"/>
      <c r="W817" s="25" t="str">
        <f>IFERROR(VLOOKUP(BCP_Soles[[#This Row],[DESTINATARIO]],CHOOSE({1,2},Clientes_Proveedores[Razon Social],Clientes_Proveedores[Ruc / Dni]),2,0),"")</f>
        <v/>
      </c>
      <c r="X817" s="25" t="s">
        <v>1090</v>
      </c>
      <c r="Y817" s="25" t="s">
        <v>1963</v>
      </c>
      <c r="Z817" s="25"/>
      <c r="AA817" s="99"/>
      <c r="AB817" s="3" t="str">
        <f>IF(BCP_Soles[[#This Row],[FECHA]]&gt;0,TEXT(BCP_Soles[[#This Row],[FECHA]],"mmmm"),0)</f>
        <v>Marzo</v>
      </c>
    </row>
    <row r="818" spans="2:28" ht="36" x14ac:dyDescent="0.3">
      <c r="B818" s="2">
        <f>IF(BCP_Soles[[#This Row],[TIPO DE R.]]="R",COUNTIFS($D$4:$D817,"R")+1,"")</f>
        <v>628</v>
      </c>
      <c r="C818" s="19" t="str">
        <f t="shared" si="60"/>
        <v>B-BCP - Soles</v>
      </c>
      <c r="D818" s="3" t="s">
        <v>1074</v>
      </c>
      <c r="E818" s="14">
        <v>45728</v>
      </c>
      <c r="F818" s="5" t="s">
        <v>198</v>
      </c>
      <c r="G818" s="5" t="s">
        <v>1087</v>
      </c>
      <c r="H818" s="6"/>
      <c r="I818" s="6"/>
      <c r="J818" s="6"/>
      <c r="K818" s="6"/>
      <c r="L818" s="7" t="s">
        <v>1964</v>
      </c>
      <c r="M818" s="8">
        <v>1554646</v>
      </c>
      <c r="N818" s="8" t="str">
        <f t="shared" si="61"/>
        <v>PEN</v>
      </c>
      <c r="O818" s="13"/>
      <c r="P818" s="13">
        <v>705.78</v>
      </c>
      <c r="Q818" s="3">
        <f t="shared" si="62"/>
        <v>705.78</v>
      </c>
      <c r="R818" s="3">
        <f t="shared" si="63"/>
        <v>0</v>
      </c>
      <c r="S818" s="3">
        <f t="shared" si="64"/>
        <v>36077.259999999995</v>
      </c>
      <c r="T818" s="24" t="s">
        <v>1081</v>
      </c>
      <c r="U818" s="24" t="s">
        <v>1081</v>
      </c>
      <c r="V818" s="67"/>
      <c r="W818" s="25" t="str">
        <f>IFERROR(VLOOKUP(BCP_Soles[[#This Row],[DESTINATARIO]],CHOOSE({1,2},Clientes_Proveedores[Razon Social],Clientes_Proveedores[Ruc / Dni]),2,0),"")</f>
        <v/>
      </c>
      <c r="X818" s="25" t="s">
        <v>1090</v>
      </c>
      <c r="Y818" s="25" t="s">
        <v>1965</v>
      </c>
      <c r="Z818" s="25"/>
      <c r="AA818" s="99"/>
      <c r="AB818" s="3" t="str">
        <f>IF(BCP_Soles[[#This Row],[FECHA]]&gt;0,TEXT(BCP_Soles[[#This Row],[FECHA]],"mmmm"),0)</f>
        <v>Marzo</v>
      </c>
    </row>
    <row r="819" spans="2:28" ht="24" x14ac:dyDescent="0.3">
      <c r="B819" s="2">
        <f>IF(BCP_Soles[[#This Row],[TIPO DE R.]]="R",COUNTIFS($D$4:$D818,"R")+1,"")</f>
        <v>629</v>
      </c>
      <c r="C819" s="19" t="str">
        <f t="shared" si="60"/>
        <v>B-BCP - Soles</v>
      </c>
      <c r="D819" s="3" t="s">
        <v>1074</v>
      </c>
      <c r="E819" s="14">
        <v>45728</v>
      </c>
      <c r="F819" s="5" t="s">
        <v>1082</v>
      </c>
      <c r="G819" s="5" t="s">
        <v>1079</v>
      </c>
      <c r="H819" s="6" t="s">
        <v>192</v>
      </c>
      <c r="I819" s="6"/>
      <c r="J819" s="6"/>
      <c r="K819" s="6"/>
      <c r="L819" s="7" t="s">
        <v>1934</v>
      </c>
      <c r="M819" s="8">
        <v>1095302</v>
      </c>
      <c r="N819" s="8" t="str">
        <f t="shared" si="61"/>
        <v>PEN</v>
      </c>
      <c r="O819" s="13"/>
      <c r="P819" s="13">
        <v>308.19</v>
      </c>
      <c r="Q819" s="3">
        <f t="shared" si="62"/>
        <v>0</v>
      </c>
      <c r="R819" s="3">
        <f t="shared" si="63"/>
        <v>308.19</v>
      </c>
      <c r="S819" s="3">
        <f t="shared" si="64"/>
        <v>35769.069999999992</v>
      </c>
      <c r="T819" s="24"/>
      <c r="U819" s="24"/>
      <c r="V819" s="67"/>
      <c r="W819" s="25">
        <f>IFERROR(VLOOKUP(BCP_Soles[[#This Row],[DESTINATARIO]],CHOOSE({1,2},Clientes_Proveedores[Razon Social],Clientes_Proveedores[Ruc / Dni]),2,0),"")</f>
        <v>20302891452</v>
      </c>
      <c r="X819" s="25" t="s">
        <v>192</v>
      </c>
      <c r="Y819" s="25"/>
      <c r="Z819" s="25"/>
      <c r="AA819" s="99"/>
      <c r="AB819" s="3" t="str">
        <f>IF(BCP_Soles[[#This Row],[FECHA]]&gt;0,TEXT(BCP_Soles[[#This Row],[FECHA]],"mmmm"),0)</f>
        <v>Marzo</v>
      </c>
    </row>
    <row r="820" spans="2:28" ht="24" x14ac:dyDescent="0.3">
      <c r="B820" s="2">
        <f>IF(BCP_Soles[[#This Row],[TIPO DE R.]]="R",COUNTIFS($D$4:$D819,"R")+1,"")</f>
        <v>630</v>
      </c>
      <c r="C820" s="19" t="str">
        <f t="shared" si="60"/>
        <v>B-BCP - Soles</v>
      </c>
      <c r="D820" s="3" t="s">
        <v>1074</v>
      </c>
      <c r="E820" s="14">
        <v>45728</v>
      </c>
      <c r="F820" s="5" t="s">
        <v>1082</v>
      </c>
      <c r="G820" s="5" t="s">
        <v>1079</v>
      </c>
      <c r="H820" s="6" t="s">
        <v>192</v>
      </c>
      <c r="I820" s="6"/>
      <c r="J820" s="6"/>
      <c r="K820" s="6"/>
      <c r="L820" s="7" t="s">
        <v>1966</v>
      </c>
      <c r="M820" s="8">
        <v>1095796</v>
      </c>
      <c r="N820" s="8" t="str">
        <f t="shared" si="61"/>
        <v>PEN</v>
      </c>
      <c r="O820" s="13"/>
      <c r="P820" s="13">
        <v>377.6</v>
      </c>
      <c r="Q820" s="3">
        <f t="shared" si="62"/>
        <v>0</v>
      </c>
      <c r="R820" s="3">
        <f t="shared" si="63"/>
        <v>377.6</v>
      </c>
      <c r="S820" s="3">
        <f t="shared" si="64"/>
        <v>35391.469999999994</v>
      </c>
      <c r="T820" s="24"/>
      <c r="U820" s="24"/>
      <c r="V820" s="67"/>
      <c r="W820" s="25">
        <f>IFERROR(VLOOKUP(BCP_Soles[[#This Row],[DESTINATARIO]],CHOOSE({1,2},Clientes_Proveedores[Razon Social],Clientes_Proveedores[Ruc / Dni]),2,0),"")</f>
        <v>20302891452</v>
      </c>
      <c r="X820" s="25" t="s">
        <v>192</v>
      </c>
      <c r="Y820" s="25"/>
      <c r="Z820" s="25"/>
      <c r="AA820" s="99"/>
      <c r="AB820" s="3" t="str">
        <f>IF(BCP_Soles[[#This Row],[FECHA]]&gt;0,TEXT(BCP_Soles[[#This Row],[FECHA]],"mmmm"),0)</f>
        <v>Marzo</v>
      </c>
    </row>
    <row r="821" spans="2:28" ht="36" x14ac:dyDescent="0.3">
      <c r="B821" s="2">
        <f>IF(BCP_Soles[[#This Row],[TIPO DE R.]]="R",COUNTIFS($D$4:$D820,"R")+1,"")</f>
        <v>631</v>
      </c>
      <c r="C821" s="19" t="str">
        <f t="shared" si="60"/>
        <v>B-BCP - Soles</v>
      </c>
      <c r="D821" s="3" t="s">
        <v>1074</v>
      </c>
      <c r="E821" s="14">
        <v>45728</v>
      </c>
      <c r="F821" s="5" t="s">
        <v>1082</v>
      </c>
      <c r="G821" s="5" t="s">
        <v>1079</v>
      </c>
      <c r="H821" s="6"/>
      <c r="I821" s="6" t="s">
        <v>14</v>
      </c>
      <c r="J821" s="6" t="s">
        <v>1821</v>
      </c>
      <c r="K821" s="6">
        <v>68</v>
      </c>
      <c r="L821" s="7" t="s">
        <v>1967</v>
      </c>
      <c r="M821" s="8">
        <v>1092396</v>
      </c>
      <c r="N821" s="8" t="str">
        <f t="shared" si="61"/>
        <v>PEN</v>
      </c>
      <c r="O821" s="13"/>
      <c r="P821" s="13">
        <v>440</v>
      </c>
      <c r="Q821" s="3">
        <f t="shared" si="62"/>
        <v>0</v>
      </c>
      <c r="R821" s="3">
        <f t="shared" si="63"/>
        <v>440</v>
      </c>
      <c r="S821" s="3">
        <f t="shared" si="64"/>
        <v>34951.469999999994</v>
      </c>
      <c r="T821" s="24" t="s">
        <v>1081</v>
      </c>
      <c r="U821" s="24" t="s">
        <v>1081</v>
      </c>
      <c r="V821" s="67"/>
      <c r="W821" s="25" t="str">
        <f>IFERROR(VLOOKUP(BCP_Soles[[#This Row],[DESTINATARIO]],CHOOSE({1,2},Clientes_Proveedores[Razon Social],Clientes_Proveedores[Ruc / Dni]),2,0),"")</f>
        <v/>
      </c>
      <c r="X821" s="25" t="s">
        <v>1823</v>
      </c>
      <c r="Y821" s="25" t="s">
        <v>1824</v>
      </c>
      <c r="Z821" s="25"/>
      <c r="AA821" s="99"/>
      <c r="AB821" s="3" t="str">
        <f>IF(BCP_Soles[[#This Row],[FECHA]]&gt;0,TEXT(BCP_Soles[[#This Row],[FECHA]],"mmmm"),0)</f>
        <v>Marzo</v>
      </c>
    </row>
    <row r="822" spans="2:28" ht="24" x14ac:dyDescent="0.3">
      <c r="B822" s="2">
        <f>IF(BCP_Soles[[#This Row],[TIPO DE R.]]="R",COUNTIFS($D$4:$D821,"R")+1,"")</f>
        <v>632</v>
      </c>
      <c r="C822" s="19" t="str">
        <f t="shared" si="60"/>
        <v>B-BCP - Soles</v>
      </c>
      <c r="D822" s="3" t="s">
        <v>1074</v>
      </c>
      <c r="E822" s="14">
        <v>45728</v>
      </c>
      <c r="F822" s="5" t="s">
        <v>184</v>
      </c>
      <c r="G822" s="5" t="s">
        <v>1087</v>
      </c>
      <c r="H822" s="6"/>
      <c r="I822" s="6"/>
      <c r="J822" s="6"/>
      <c r="K822" s="6"/>
      <c r="L822" s="7" t="s">
        <v>1968</v>
      </c>
      <c r="M822" s="8">
        <v>1665678</v>
      </c>
      <c r="N822" s="8" t="str">
        <f t="shared" si="61"/>
        <v>PEN</v>
      </c>
      <c r="O822" s="13"/>
      <c r="P822" s="13">
        <v>11628.64</v>
      </c>
      <c r="Q822" s="3">
        <f t="shared" si="62"/>
        <v>11628.64</v>
      </c>
      <c r="R822" s="3">
        <f t="shared" si="63"/>
        <v>0</v>
      </c>
      <c r="S822" s="3">
        <f t="shared" si="64"/>
        <v>46580.109999999993</v>
      </c>
      <c r="T822" s="24" t="s">
        <v>1081</v>
      </c>
      <c r="U822" s="24" t="s">
        <v>1081</v>
      </c>
      <c r="V822" s="67"/>
      <c r="W822" s="25" t="str">
        <f>IFERROR(VLOOKUP(BCP_Soles[[#This Row],[DESTINATARIO]],CHOOSE({1,2},Clientes_Proveedores[Razon Social],Clientes_Proveedores[Ruc / Dni]),2,0),"")</f>
        <v/>
      </c>
      <c r="X822" s="25" t="s">
        <v>1090</v>
      </c>
      <c r="Y822" s="25" t="s">
        <v>1969</v>
      </c>
      <c r="Z822" s="25"/>
      <c r="AA822" s="99"/>
      <c r="AB822" s="3" t="str">
        <f>IF(BCP_Soles[[#This Row],[FECHA]]&gt;0,TEXT(BCP_Soles[[#This Row],[FECHA]],"mmmm"),0)</f>
        <v>Marzo</v>
      </c>
    </row>
    <row r="823" spans="2:28" ht="84" x14ac:dyDescent="0.3">
      <c r="B823" s="2">
        <f>IF(BCP_Soles[[#This Row],[TIPO DE R.]]="R",COUNTIFS($D$4:$D822,"R")+1,"")</f>
        <v>633</v>
      </c>
      <c r="C823" s="19" t="str">
        <f t="shared" si="60"/>
        <v>B-BCP - Soles</v>
      </c>
      <c r="D823" s="3" t="s">
        <v>1074</v>
      </c>
      <c r="E823" s="14">
        <v>45728</v>
      </c>
      <c r="F823" s="5" t="s">
        <v>301</v>
      </c>
      <c r="G823" s="5" t="s">
        <v>1087</v>
      </c>
      <c r="H823" s="6"/>
      <c r="I823" s="6"/>
      <c r="J823" s="6"/>
      <c r="K823" s="6"/>
      <c r="L823" s="7" t="s">
        <v>1260</v>
      </c>
      <c r="M823" s="8">
        <v>2226528</v>
      </c>
      <c r="N823" s="8" t="str">
        <f t="shared" si="61"/>
        <v>PEN</v>
      </c>
      <c r="O823" s="13"/>
      <c r="P823" s="13">
        <v>169.89</v>
      </c>
      <c r="Q823" s="3">
        <f t="shared" si="62"/>
        <v>169.89</v>
      </c>
      <c r="R823" s="3">
        <f t="shared" si="63"/>
        <v>0</v>
      </c>
      <c r="S823" s="3">
        <f t="shared" si="64"/>
        <v>46749.999999999993</v>
      </c>
      <c r="T823" s="24" t="s">
        <v>1081</v>
      </c>
      <c r="U823" s="24" t="s">
        <v>1081</v>
      </c>
      <c r="V823" s="67"/>
      <c r="W823" s="25" t="str">
        <f>IFERROR(VLOOKUP(BCP_Soles[[#This Row],[DESTINATARIO]],CHOOSE({1,2},Clientes_Proveedores[Razon Social],Clientes_Proveedores[Ruc / Dni]),2,0),"")</f>
        <v/>
      </c>
      <c r="X823" s="25" t="s">
        <v>1090</v>
      </c>
      <c r="Y823" s="25" t="s">
        <v>1970</v>
      </c>
      <c r="Z823" s="25"/>
      <c r="AA823" s="99"/>
      <c r="AB823" s="3" t="str">
        <f>IF(BCP_Soles[[#This Row],[FECHA]]&gt;0,TEXT(BCP_Soles[[#This Row],[FECHA]],"mmmm"),0)</f>
        <v>Marzo</v>
      </c>
    </row>
    <row r="824" spans="2:28" x14ac:dyDescent="0.3">
      <c r="B824" s="2">
        <f>IF(BCP_Soles[[#This Row],[TIPO DE R.]]="R",COUNTIFS($D$4:$D823,"R")+1,"")</f>
        <v>634</v>
      </c>
      <c r="C824" s="19" t="str">
        <f t="shared" si="60"/>
        <v>B-BCP - Soles</v>
      </c>
      <c r="D824" s="3" t="s">
        <v>1074</v>
      </c>
      <c r="E824" s="14">
        <v>45728</v>
      </c>
      <c r="F824" s="5" t="s">
        <v>1078</v>
      </c>
      <c r="G824" s="5" t="s">
        <v>1079</v>
      </c>
      <c r="H824" s="6"/>
      <c r="I824" s="6"/>
      <c r="J824" s="6"/>
      <c r="K824" s="6"/>
      <c r="L824" s="7" t="s">
        <v>1080</v>
      </c>
      <c r="M824" s="8"/>
      <c r="N824" s="8" t="str">
        <f t="shared" si="61"/>
        <v>PEN</v>
      </c>
      <c r="O824" s="13"/>
      <c r="P824" s="13">
        <v>0.95</v>
      </c>
      <c r="Q824" s="3">
        <f t="shared" si="62"/>
        <v>0</v>
      </c>
      <c r="R824" s="3">
        <f t="shared" si="63"/>
        <v>0.95</v>
      </c>
      <c r="S824" s="3">
        <f t="shared" si="64"/>
        <v>46749.049999999996</v>
      </c>
      <c r="T824" s="24"/>
      <c r="U824" s="24" t="s">
        <v>1081</v>
      </c>
      <c r="V824" s="67"/>
      <c r="W824" s="25" t="str">
        <f>IFERROR(VLOOKUP(BCP_Soles[[#This Row],[DESTINATARIO]],CHOOSE({1,2},Clientes_Proveedores[Razon Social],Clientes_Proveedores[Ruc / Dni]),2,0),"")</f>
        <v/>
      </c>
      <c r="X824" s="25"/>
      <c r="Y824" s="25"/>
      <c r="Z824" s="25"/>
      <c r="AA824" s="99"/>
      <c r="AB824" s="3" t="str">
        <f>IF(BCP_Soles[[#This Row],[FECHA]]&gt;0,TEXT(BCP_Soles[[#This Row],[FECHA]],"mmmm"),0)</f>
        <v>Marzo</v>
      </c>
    </row>
    <row r="825" spans="2:28" ht="24" x14ac:dyDescent="0.3">
      <c r="B825" s="2">
        <f>IF(BCP_Soles[[#This Row],[TIPO DE R.]]="R",COUNTIFS($D$4:$D824,"R")+1,"")</f>
        <v>635</v>
      </c>
      <c r="C825" s="19" t="str">
        <f t="shared" si="60"/>
        <v>B-BCP - Soles</v>
      </c>
      <c r="D825" s="3" t="s">
        <v>1074</v>
      </c>
      <c r="E825" s="14">
        <v>45728</v>
      </c>
      <c r="F825" s="5" t="s">
        <v>1082</v>
      </c>
      <c r="G825" s="5" t="s">
        <v>1079</v>
      </c>
      <c r="H825" s="6"/>
      <c r="I825" s="6" t="s">
        <v>14</v>
      </c>
      <c r="J825" s="6" t="s">
        <v>1121</v>
      </c>
      <c r="K825" s="6">
        <v>377</v>
      </c>
      <c r="L825" s="7" t="s">
        <v>1971</v>
      </c>
      <c r="M825" s="8">
        <v>1196835</v>
      </c>
      <c r="N825" s="8" t="str">
        <f t="shared" si="61"/>
        <v>PEN</v>
      </c>
      <c r="O825" s="13"/>
      <c r="P825" s="13">
        <v>70</v>
      </c>
      <c r="Q825" s="3">
        <f t="shared" si="62"/>
        <v>0</v>
      </c>
      <c r="R825" s="3">
        <f t="shared" si="63"/>
        <v>70</v>
      </c>
      <c r="S825" s="3">
        <f t="shared" si="64"/>
        <v>46679.049999999996</v>
      </c>
      <c r="T825" s="24" t="s">
        <v>1081</v>
      </c>
      <c r="U825" s="24" t="s">
        <v>1081</v>
      </c>
      <c r="V825" s="67"/>
      <c r="W825" s="25" t="str">
        <f>IFERROR(VLOOKUP(BCP_Soles[[#This Row],[DESTINATARIO]],CHOOSE({1,2},Clientes_Proveedores[Razon Social],Clientes_Proveedores[Ruc / Dni]),2,0),"")</f>
        <v/>
      </c>
      <c r="X825" s="25" t="s">
        <v>682</v>
      </c>
      <c r="Y825" s="25" t="s">
        <v>1972</v>
      </c>
      <c r="Z825" s="25"/>
      <c r="AA825" s="99"/>
      <c r="AB825" s="3" t="str">
        <f>IF(BCP_Soles[[#This Row],[FECHA]]&gt;0,TEXT(BCP_Soles[[#This Row],[FECHA]],"mmmm"),0)</f>
        <v>Marzo</v>
      </c>
    </row>
    <row r="826" spans="2:28" ht="24" x14ac:dyDescent="0.3">
      <c r="B826" s="2">
        <f>IF(BCP_Soles[[#This Row],[TIPO DE R.]]="R",COUNTIFS($D$4:$D825,"R")+1,"")</f>
        <v>636</v>
      </c>
      <c r="C826" s="19" t="str">
        <f t="shared" si="60"/>
        <v>B-BCP - Soles</v>
      </c>
      <c r="D826" s="3" t="s">
        <v>1074</v>
      </c>
      <c r="E826" s="14">
        <v>45728</v>
      </c>
      <c r="F826" s="5" t="s">
        <v>1082</v>
      </c>
      <c r="G826" s="5" t="s">
        <v>1079</v>
      </c>
      <c r="H826" s="6" t="s">
        <v>192</v>
      </c>
      <c r="I826" s="6"/>
      <c r="J826" s="6"/>
      <c r="K826" s="6"/>
      <c r="L826" s="7" t="s">
        <v>1973</v>
      </c>
      <c r="M826" s="8">
        <v>1196360</v>
      </c>
      <c r="N826" s="8" t="str">
        <f t="shared" si="61"/>
        <v>PEN</v>
      </c>
      <c r="O826" s="13"/>
      <c r="P826" s="13">
        <v>278.01</v>
      </c>
      <c r="Q826" s="3">
        <f t="shared" si="62"/>
        <v>0</v>
      </c>
      <c r="R826" s="3">
        <f t="shared" si="63"/>
        <v>278.01</v>
      </c>
      <c r="S826" s="3">
        <f t="shared" si="64"/>
        <v>46401.039999999994</v>
      </c>
      <c r="T826" s="24"/>
      <c r="U826" s="24"/>
      <c r="V826" s="67"/>
      <c r="W826" s="25">
        <f>IFERROR(VLOOKUP(BCP_Soles[[#This Row],[DESTINATARIO]],CHOOSE({1,2},Clientes_Proveedores[Razon Social],Clientes_Proveedores[Ruc / Dni]),2,0),"")</f>
        <v>20302891452</v>
      </c>
      <c r="X826" s="25" t="s">
        <v>192</v>
      </c>
      <c r="Y826" s="25"/>
      <c r="Z826" s="25"/>
      <c r="AA826" s="99"/>
      <c r="AB826" s="3" t="str">
        <f>IF(BCP_Soles[[#This Row],[FECHA]]&gt;0,TEXT(BCP_Soles[[#This Row],[FECHA]],"mmmm"),0)</f>
        <v>Marzo</v>
      </c>
    </row>
    <row r="827" spans="2:28" ht="24" x14ac:dyDescent="0.3">
      <c r="B827" s="2">
        <f>IF(BCP_Soles[[#This Row],[TIPO DE R.]]="R",COUNTIFS($D$4:$D826,"R")+1,"")</f>
        <v>637</v>
      </c>
      <c r="C827" s="19" t="str">
        <f t="shared" si="60"/>
        <v>B-BCP - Soles</v>
      </c>
      <c r="D827" s="3" t="s">
        <v>1074</v>
      </c>
      <c r="E827" s="14">
        <v>45728</v>
      </c>
      <c r="F827" s="5" t="s">
        <v>1082</v>
      </c>
      <c r="G827" s="5" t="s">
        <v>1079</v>
      </c>
      <c r="H827" s="6" t="s">
        <v>192</v>
      </c>
      <c r="I827" s="6"/>
      <c r="J827" s="6"/>
      <c r="K827" s="6"/>
      <c r="L827" s="7" t="s">
        <v>1974</v>
      </c>
      <c r="M827" s="8">
        <v>1199775</v>
      </c>
      <c r="N827" s="8" t="str">
        <f t="shared" si="61"/>
        <v>PEN</v>
      </c>
      <c r="O827" s="13"/>
      <c r="P827" s="13">
        <v>388.93</v>
      </c>
      <c r="Q827" s="3">
        <f t="shared" si="62"/>
        <v>0</v>
      </c>
      <c r="R827" s="3">
        <f t="shared" si="63"/>
        <v>388.93</v>
      </c>
      <c r="S827" s="3">
        <f t="shared" si="64"/>
        <v>46012.109999999993</v>
      </c>
      <c r="T827" s="24"/>
      <c r="U827" s="24"/>
      <c r="V827" s="67"/>
      <c r="W827" s="25">
        <f>IFERROR(VLOOKUP(BCP_Soles[[#This Row],[DESTINATARIO]],CHOOSE({1,2},Clientes_Proveedores[Razon Social],Clientes_Proveedores[Ruc / Dni]),2,0),"")</f>
        <v>20302891452</v>
      </c>
      <c r="X827" s="25" t="s">
        <v>192</v>
      </c>
      <c r="Y827" s="25"/>
      <c r="Z827" s="25"/>
      <c r="AA827" s="99"/>
      <c r="AB827" s="3" t="str">
        <f>IF(BCP_Soles[[#This Row],[FECHA]]&gt;0,TEXT(BCP_Soles[[#This Row],[FECHA]],"mmmm"),0)</f>
        <v>Marzo</v>
      </c>
    </row>
    <row r="828" spans="2:28" x14ac:dyDescent="0.3">
      <c r="B828" s="2">
        <f>IF(BCP_Soles[[#This Row],[TIPO DE R.]]="R",COUNTIFS($D$4:$D827,"R")+1,"")</f>
        <v>638</v>
      </c>
      <c r="C828" s="19" t="str">
        <f t="shared" si="60"/>
        <v>B-BCP - Soles</v>
      </c>
      <c r="D828" s="3" t="s">
        <v>1074</v>
      </c>
      <c r="E828" s="14">
        <v>45729</v>
      </c>
      <c r="F828" s="5" t="s">
        <v>1078</v>
      </c>
      <c r="G828" s="5" t="s">
        <v>1079</v>
      </c>
      <c r="H828" s="6"/>
      <c r="I828" s="6"/>
      <c r="J828" s="6"/>
      <c r="K828" s="6"/>
      <c r="L828" s="7" t="s">
        <v>1975</v>
      </c>
      <c r="M828" s="8">
        <v>1883046</v>
      </c>
      <c r="N828" s="8" t="str">
        <f t="shared" si="61"/>
        <v>PEN</v>
      </c>
      <c r="O828" s="13"/>
      <c r="P828" s="13">
        <v>17.5</v>
      </c>
      <c r="Q828" s="3">
        <f t="shared" si="62"/>
        <v>0</v>
      </c>
      <c r="R828" s="3">
        <f t="shared" si="63"/>
        <v>17.5</v>
      </c>
      <c r="S828" s="3">
        <f t="shared" si="64"/>
        <v>45994.609999999993</v>
      </c>
      <c r="T828" s="24"/>
      <c r="U828" s="24" t="s">
        <v>1081</v>
      </c>
      <c r="V828" s="67"/>
      <c r="W828" s="25" t="str">
        <f>IFERROR(VLOOKUP(BCP_Soles[[#This Row],[DESTINATARIO]],CHOOSE({1,2},Clientes_Proveedores[Razon Social],Clientes_Proveedores[Ruc / Dni]),2,0),"")</f>
        <v/>
      </c>
      <c r="X828" s="25" t="s">
        <v>1078</v>
      </c>
      <c r="Y828" s="25" t="s">
        <v>1976</v>
      </c>
      <c r="Z828" s="25"/>
      <c r="AA828" s="99"/>
      <c r="AB828" s="3" t="str">
        <f>IF(BCP_Soles[[#This Row],[FECHA]]&gt;0,TEXT(BCP_Soles[[#This Row],[FECHA]],"mmmm"),0)</f>
        <v>Marzo</v>
      </c>
    </row>
    <row r="829" spans="2:28" ht="24" x14ac:dyDescent="0.3">
      <c r="B829" s="2">
        <f>IF(BCP_Soles[[#This Row],[TIPO DE R.]]="R",COUNTIFS($D$4:$D828,"R")+1,"")</f>
        <v>639</v>
      </c>
      <c r="C829" s="19" t="str">
        <f t="shared" si="60"/>
        <v>B-BCP - Soles</v>
      </c>
      <c r="D829" s="3" t="s">
        <v>1074</v>
      </c>
      <c r="E829" s="14">
        <v>45729</v>
      </c>
      <c r="F829" s="5" t="s">
        <v>1082</v>
      </c>
      <c r="G829" s="5" t="s">
        <v>1079</v>
      </c>
      <c r="H829" s="6" t="s">
        <v>192</v>
      </c>
      <c r="I829" s="6"/>
      <c r="J829" s="6"/>
      <c r="K829" s="6"/>
      <c r="L829" s="7" t="s">
        <v>1977</v>
      </c>
      <c r="M829" s="8">
        <v>1100431</v>
      </c>
      <c r="N829" s="8" t="str">
        <f t="shared" si="61"/>
        <v>PEN</v>
      </c>
      <c r="O829" s="13"/>
      <c r="P829" s="13">
        <v>81.42</v>
      </c>
      <c r="Q829" s="3">
        <f t="shared" si="62"/>
        <v>0</v>
      </c>
      <c r="R829" s="3">
        <f t="shared" si="63"/>
        <v>81.42</v>
      </c>
      <c r="S829" s="3">
        <f t="shared" si="64"/>
        <v>45913.189999999995</v>
      </c>
      <c r="T829" s="24"/>
      <c r="U829" s="24"/>
      <c r="V829" s="67"/>
      <c r="W829" s="25">
        <f>IFERROR(VLOOKUP(BCP_Soles[[#This Row],[DESTINATARIO]],CHOOSE({1,2},Clientes_Proveedores[Razon Social],Clientes_Proveedores[Ruc / Dni]),2,0),"")</f>
        <v>20302891452</v>
      </c>
      <c r="X829" s="25" t="s">
        <v>192</v>
      </c>
      <c r="Y829" s="25"/>
      <c r="Z829" s="25"/>
      <c r="AA829" s="99"/>
      <c r="AB829" s="3" t="str">
        <f>IF(BCP_Soles[[#This Row],[FECHA]]&gt;0,TEXT(BCP_Soles[[#This Row],[FECHA]],"mmmm"),0)</f>
        <v>Marzo</v>
      </c>
    </row>
    <row r="830" spans="2:28" ht="24" x14ac:dyDescent="0.3">
      <c r="B830" s="2">
        <f>IF(BCP_Soles[[#This Row],[TIPO DE R.]]="R",COUNTIFS($D$4:$D829,"R")+1,"")</f>
        <v>640</v>
      </c>
      <c r="C830" s="19" t="str">
        <f t="shared" si="60"/>
        <v>B-BCP - Soles</v>
      </c>
      <c r="D830" s="3" t="s">
        <v>1074</v>
      </c>
      <c r="E830" s="14">
        <v>45729</v>
      </c>
      <c r="F830" s="5" t="s">
        <v>1082</v>
      </c>
      <c r="G830" s="5" t="s">
        <v>1079</v>
      </c>
      <c r="H830" s="6" t="s">
        <v>192</v>
      </c>
      <c r="I830" s="6"/>
      <c r="J830" s="6"/>
      <c r="K830" s="6"/>
      <c r="L830" s="7" t="s">
        <v>1978</v>
      </c>
      <c r="M830" s="8">
        <v>1101413</v>
      </c>
      <c r="N830" s="8" t="str">
        <f t="shared" si="61"/>
        <v>PEN</v>
      </c>
      <c r="O830" s="13"/>
      <c r="P830" s="13">
        <v>94.4</v>
      </c>
      <c r="Q830" s="3">
        <f t="shared" si="62"/>
        <v>0</v>
      </c>
      <c r="R830" s="3">
        <f t="shared" si="63"/>
        <v>94.4</v>
      </c>
      <c r="S830" s="3">
        <f t="shared" si="64"/>
        <v>45818.789999999994</v>
      </c>
      <c r="T830" s="24"/>
      <c r="U830" s="24"/>
      <c r="V830" s="67"/>
      <c r="W830" s="25">
        <f>IFERROR(VLOOKUP(BCP_Soles[[#This Row],[DESTINATARIO]],CHOOSE({1,2},Clientes_Proveedores[Razon Social],Clientes_Proveedores[Ruc / Dni]),2,0),"")</f>
        <v>20302891452</v>
      </c>
      <c r="X830" s="25" t="s">
        <v>192</v>
      </c>
      <c r="Y830" s="25"/>
      <c r="Z830" s="25"/>
      <c r="AA830" s="99"/>
      <c r="AB830" s="3" t="str">
        <f>IF(BCP_Soles[[#This Row],[FECHA]]&gt;0,TEXT(BCP_Soles[[#This Row],[FECHA]],"mmmm"),0)</f>
        <v>Marzo</v>
      </c>
    </row>
    <row r="831" spans="2:28" x14ac:dyDescent="0.3">
      <c r="B831" s="2">
        <f>IF(BCP_Soles[[#This Row],[TIPO DE R.]]="R",COUNTIFS($D$4:$D830,"R")+1,"")</f>
        <v>641</v>
      </c>
      <c r="C831" s="19" t="str">
        <f t="shared" si="60"/>
        <v>B-BCP - Soles</v>
      </c>
      <c r="D831" s="3" t="s">
        <v>1074</v>
      </c>
      <c r="E831" s="14">
        <v>45729</v>
      </c>
      <c r="F831" s="5" t="s">
        <v>1082</v>
      </c>
      <c r="G831" s="5" t="s">
        <v>1079</v>
      </c>
      <c r="H831" s="6" t="s">
        <v>637</v>
      </c>
      <c r="I831" s="6" t="s">
        <v>14</v>
      </c>
      <c r="J831" s="6" t="s">
        <v>1122</v>
      </c>
      <c r="K831" s="6">
        <v>151925</v>
      </c>
      <c r="L831" s="7" t="s">
        <v>1123</v>
      </c>
      <c r="M831" s="8">
        <v>100924</v>
      </c>
      <c r="N831" s="8" t="str">
        <f t="shared" si="61"/>
        <v>PEN</v>
      </c>
      <c r="O831" s="13"/>
      <c r="P831" s="13">
        <v>920.69</v>
      </c>
      <c r="Q831" s="3">
        <f t="shared" si="62"/>
        <v>0</v>
      </c>
      <c r="R831" s="3">
        <f t="shared" si="63"/>
        <v>920.69</v>
      </c>
      <c r="S831" s="3">
        <f t="shared" si="64"/>
        <v>44898.099999999991</v>
      </c>
      <c r="T831" s="24" t="s">
        <v>1081</v>
      </c>
      <c r="U831" s="24" t="s">
        <v>1081</v>
      </c>
      <c r="V831" s="67"/>
      <c r="W831" s="25">
        <f>IFERROR(VLOOKUP(BCP_Soles[[#This Row],[DESTINATARIO]],CHOOSE({1,2},Clientes_Proveedores[Razon Social],Clientes_Proveedores[Ruc / Dni]),2,0),"")</f>
        <v>20127765279</v>
      </c>
      <c r="X831" s="25" t="s">
        <v>1124</v>
      </c>
      <c r="Y831" s="25" t="s">
        <v>1979</v>
      </c>
      <c r="Z831" s="25"/>
      <c r="AA831" s="99"/>
      <c r="AB831" s="3" t="str">
        <f>IF(BCP_Soles[[#This Row],[FECHA]]&gt;0,TEXT(BCP_Soles[[#This Row],[FECHA]],"mmmm"),0)</f>
        <v>Marzo</v>
      </c>
    </row>
    <row r="832" spans="2:28" x14ac:dyDescent="0.3">
      <c r="B832" s="2">
        <f>IF(BCP_Soles[[#This Row],[TIPO DE R.]]="R",COUNTIFS($D$4:$D831,"R")+1,"")</f>
        <v>642</v>
      </c>
      <c r="C832" s="19" t="str">
        <f t="shared" si="60"/>
        <v>B-BCP - Soles</v>
      </c>
      <c r="D832" s="3" t="s">
        <v>1074</v>
      </c>
      <c r="E832" s="14">
        <v>45729</v>
      </c>
      <c r="F832" s="5" t="s">
        <v>1082</v>
      </c>
      <c r="G832" s="5" t="s">
        <v>1079</v>
      </c>
      <c r="H832" s="6" t="s">
        <v>637</v>
      </c>
      <c r="I832" s="6" t="s">
        <v>14</v>
      </c>
      <c r="J832" s="6" t="s">
        <v>1122</v>
      </c>
      <c r="K832" s="6">
        <v>151883</v>
      </c>
      <c r="L832" s="7" t="s">
        <v>1123</v>
      </c>
      <c r="M832" s="8">
        <v>100432</v>
      </c>
      <c r="N832" s="8" t="str">
        <f t="shared" si="61"/>
        <v>PEN</v>
      </c>
      <c r="O832" s="13"/>
      <c r="P832" s="13">
        <v>1344.94</v>
      </c>
      <c r="Q832" s="3">
        <f t="shared" si="62"/>
        <v>0</v>
      </c>
      <c r="R832" s="3">
        <f t="shared" si="63"/>
        <v>1344.94</v>
      </c>
      <c r="S832" s="3">
        <f t="shared" si="64"/>
        <v>43553.159999999989</v>
      </c>
      <c r="T832" s="24" t="s">
        <v>1081</v>
      </c>
      <c r="U832" s="24" t="s">
        <v>1081</v>
      </c>
      <c r="V832" s="67"/>
      <c r="W832" s="25">
        <f>IFERROR(VLOOKUP(BCP_Soles[[#This Row],[DESTINATARIO]],CHOOSE({1,2},Clientes_Proveedores[Razon Social],Clientes_Proveedores[Ruc / Dni]),2,0),"")</f>
        <v>20127765279</v>
      </c>
      <c r="X832" s="25" t="s">
        <v>1124</v>
      </c>
      <c r="Y832" s="25" t="s">
        <v>1980</v>
      </c>
      <c r="Z832" s="25"/>
      <c r="AA832" s="99"/>
      <c r="AB832" s="3" t="str">
        <f>IF(BCP_Soles[[#This Row],[FECHA]]&gt;0,TEXT(BCP_Soles[[#This Row],[FECHA]],"mmmm"),0)</f>
        <v>Marzo</v>
      </c>
    </row>
    <row r="833" spans="2:28" x14ac:dyDescent="0.3">
      <c r="B833" s="2">
        <f>IF(BCP_Soles[[#This Row],[TIPO DE R.]]="R",COUNTIFS($D$4:$D832,"R")+1,"")</f>
        <v>643</v>
      </c>
      <c r="C833" s="19" t="str">
        <f t="shared" si="60"/>
        <v>B-BCP - Soles</v>
      </c>
      <c r="D833" s="3" t="s">
        <v>1074</v>
      </c>
      <c r="E833" s="14">
        <v>45729</v>
      </c>
      <c r="F833" s="5" t="s">
        <v>1082</v>
      </c>
      <c r="G833" s="5" t="s">
        <v>1079</v>
      </c>
      <c r="H833" s="6"/>
      <c r="I833" s="6"/>
      <c r="J833" s="6"/>
      <c r="K833" s="6"/>
      <c r="L833" s="7" t="s">
        <v>1981</v>
      </c>
      <c r="M833" s="8">
        <v>1883025</v>
      </c>
      <c r="N833" s="8" t="str">
        <f t="shared" si="61"/>
        <v>PEN</v>
      </c>
      <c r="O833" s="13"/>
      <c r="P833" s="13">
        <v>8399.85</v>
      </c>
      <c r="Q833" s="3">
        <f t="shared" si="62"/>
        <v>0</v>
      </c>
      <c r="R833" s="3">
        <f t="shared" si="63"/>
        <v>8399.85</v>
      </c>
      <c r="S833" s="3">
        <f t="shared" si="64"/>
        <v>35153.30999999999</v>
      </c>
      <c r="T833" s="24" t="s">
        <v>1081</v>
      </c>
      <c r="U833" s="24" t="s">
        <v>1081</v>
      </c>
      <c r="V833" s="67"/>
      <c r="W833" s="25" t="str">
        <f>IFERROR(VLOOKUP(BCP_Soles[[#This Row],[DESTINATARIO]],CHOOSE({1,2},Clientes_Proveedores[Razon Social],Clientes_Proveedores[Ruc / Dni]),2,0),"")</f>
        <v/>
      </c>
      <c r="X833" s="25" t="s">
        <v>1118</v>
      </c>
      <c r="Y833" s="25"/>
      <c r="Z833" s="25"/>
      <c r="AA833" s="99"/>
      <c r="AB833" s="3" t="str">
        <f>IF(BCP_Soles[[#This Row],[FECHA]]&gt;0,TEXT(BCP_Soles[[#This Row],[FECHA]],"mmmm"),0)</f>
        <v>Marzo</v>
      </c>
    </row>
    <row r="834" spans="2:28" ht="24" x14ac:dyDescent="0.3">
      <c r="B834" s="2" t="str">
        <f>IF(BCP_Soles[[#This Row],[TIPO DE R.]]="R",COUNTIFS($D$4:$D833,"R")+1,"")</f>
        <v/>
      </c>
      <c r="C834" s="19" t="str">
        <f t="shared" si="60"/>
        <v>B-BCP - Soles</v>
      </c>
      <c r="D834" s="3" t="s">
        <v>1101</v>
      </c>
      <c r="E834" s="14">
        <v>45729</v>
      </c>
      <c r="F834" s="5" t="s">
        <v>1082</v>
      </c>
      <c r="G834" s="5"/>
      <c r="H834" s="6" t="s">
        <v>176</v>
      </c>
      <c r="I834" s="6" t="s">
        <v>14</v>
      </c>
      <c r="J834" s="6" t="s">
        <v>1119</v>
      </c>
      <c r="K834" s="6">
        <v>40799</v>
      </c>
      <c r="L834" s="7" t="s">
        <v>1981</v>
      </c>
      <c r="M834" s="8">
        <v>1883025</v>
      </c>
      <c r="N834" s="8" t="str">
        <f t="shared" si="61"/>
        <v>PEN</v>
      </c>
      <c r="O834" s="13">
        <v>843.7</v>
      </c>
      <c r="P834" s="13"/>
      <c r="Q834" s="3">
        <f t="shared" si="62"/>
        <v>0</v>
      </c>
      <c r="R834" s="3">
        <f t="shared" si="63"/>
        <v>0</v>
      </c>
      <c r="S834" s="3">
        <f t="shared" si="64"/>
        <v>35153.30999999999</v>
      </c>
      <c r="T834" s="24"/>
      <c r="U834" s="24"/>
      <c r="V834" s="67"/>
      <c r="W834" s="25">
        <f>IFERROR(VLOOKUP(BCP_Soles[[#This Row],[DESTINATARIO]],CHOOSE({1,2},Clientes_Proveedores[Razon Social],Clientes_Proveedores[Ruc / Dni]),2,0),"")</f>
        <v>20137976171</v>
      </c>
      <c r="X834" s="25"/>
      <c r="Y834" s="25"/>
      <c r="Z834" s="25"/>
      <c r="AA834" s="99"/>
      <c r="AB834" s="3" t="str">
        <f>IF(BCP_Soles[[#This Row],[FECHA]]&gt;0,TEXT(BCP_Soles[[#This Row],[FECHA]],"mmmm"),0)</f>
        <v>Marzo</v>
      </c>
    </row>
    <row r="835" spans="2:28" x14ac:dyDescent="0.3">
      <c r="B835" s="2" t="str">
        <f>IF(BCP_Soles[[#This Row],[TIPO DE R.]]="R",COUNTIFS($D$4:$D834,"R")+1,"")</f>
        <v/>
      </c>
      <c r="C835" s="19" t="str">
        <f t="shared" si="60"/>
        <v>B-BCP - Soles</v>
      </c>
      <c r="D835" s="3" t="s">
        <v>1101</v>
      </c>
      <c r="E835" s="14">
        <v>45729</v>
      </c>
      <c r="F835" s="5" t="s">
        <v>1082</v>
      </c>
      <c r="G835" s="5"/>
      <c r="H835" s="6" t="s">
        <v>340</v>
      </c>
      <c r="I835" s="6" t="s">
        <v>14</v>
      </c>
      <c r="J835" s="6" t="s">
        <v>1121</v>
      </c>
      <c r="K835" s="6">
        <v>375</v>
      </c>
      <c r="L835" s="7" t="s">
        <v>1981</v>
      </c>
      <c r="M835" s="8">
        <v>1883025</v>
      </c>
      <c r="N835" s="8" t="str">
        <f t="shared" si="61"/>
        <v>PEN</v>
      </c>
      <c r="O835" s="13">
        <v>1038</v>
      </c>
      <c r="P835" s="13"/>
      <c r="Q835" s="3">
        <f t="shared" si="62"/>
        <v>0</v>
      </c>
      <c r="R835" s="3">
        <f t="shared" si="63"/>
        <v>0</v>
      </c>
      <c r="S835" s="3">
        <f t="shared" si="64"/>
        <v>35153.30999999999</v>
      </c>
      <c r="T835" s="24"/>
      <c r="U835" s="24"/>
      <c r="V835" s="67"/>
      <c r="W835" s="25">
        <f>IFERROR(VLOOKUP(BCP_Soles[[#This Row],[DESTINATARIO]],CHOOSE({1,2},Clientes_Proveedores[Razon Social],Clientes_Proveedores[Ruc / Dni]),2,0),"")</f>
        <v>20545577870</v>
      </c>
      <c r="X835" s="25"/>
      <c r="Y835" s="25"/>
      <c r="Z835" s="25"/>
      <c r="AA835" s="99"/>
      <c r="AB835" s="3" t="str">
        <f>IF(BCP_Soles[[#This Row],[FECHA]]&gt;0,TEXT(BCP_Soles[[#This Row],[FECHA]],"mmmm"),0)</f>
        <v>Marzo</v>
      </c>
    </row>
    <row r="836" spans="2:28" x14ac:dyDescent="0.3">
      <c r="B836" s="2" t="str">
        <f>IF(BCP_Soles[[#This Row],[TIPO DE R.]]="R",COUNTIFS($D$4:$D835,"R")+1,"")</f>
        <v/>
      </c>
      <c r="C836" s="19" t="str">
        <f t="shared" si="60"/>
        <v>B-BCP - Soles</v>
      </c>
      <c r="D836" s="3" t="s">
        <v>1101</v>
      </c>
      <c r="E836" s="14">
        <v>45729</v>
      </c>
      <c r="F836" s="5" t="s">
        <v>1082</v>
      </c>
      <c r="G836" s="5"/>
      <c r="H836" s="6" t="s">
        <v>465</v>
      </c>
      <c r="I836" s="6" t="s">
        <v>14</v>
      </c>
      <c r="J836" s="6" t="s">
        <v>1121</v>
      </c>
      <c r="K836" s="6">
        <v>3731</v>
      </c>
      <c r="L836" s="7" t="s">
        <v>1981</v>
      </c>
      <c r="M836" s="8">
        <v>1883025</v>
      </c>
      <c r="N836" s="8" t="str">
        <f t="shared" si="61"/>
        <v>PEN</v>
      </c>
      <c r="O836" s="13">
        <v>250.75</v>
      </c>
      <c r="P836" s="13"/>
      <c r="Q836" s="3">
        <f t="shared" si="62"/>
        <v>0</v>
      </c>
      <c r="R836" s="3">
        <f t="shared" si="63"/>
        <v>0</v>
      </c>
      <c r="S836" s="3">
        <f t="shared" si="64"/>
        <v>35153.30999999999</v>
      </c>
      <c r="T836" s="24"/>
      <c r="U836" s="24"/>
      <c r="V836" s="67"/>
      <c r="W836" s="25">
        <f>IFERROR(VLOOKUP(BCP_Soles[[#This Row],[DESTINATARIO]],CHOOSE({1,2},Clientes_Proveedores[Razon Social],Clientes_Proveedores[Ruc / Dni]),2,0),"")</f>
        <v>20603974817</v>
      </c>
      <c r="X836" s="25"/>
      <c r="Y836" s="25"/>
      <c r="Z836" s="25"/>
      <c r="AA836" s="99"/>
      <c r="AB836" s="3" t="str">
        <f>IF(BCP_Soles[[#This Row],[FECHA]]&gt;0,TEXT(BCP_Soles[[#This Row],[FECHA]],"mmmm"),0)</f>
        <v>Marzo</v>
      </c>
    </row>
    <row r="837" spans="2:28" x14ac:dyDescent="0.3">
      <c r="B837" s="2" t="str">
        <f>IF(BCP_Soles[[#This Row],[TIPO DE R.]]="R",COUNTIFS($D$4:$D836,"R")+1,"")</f>
        <v/>
      </c>
      <c r="C837" s="19" t="str">
        <f t="shared" ref="C837:C900" si="65">"B-BCP - Soles"</f>
        <v>B-BCP - Soles</v>
      </c>
      <c r="D837" s="3" t="s">
        <v>1101</v>
      </c>
      <c r="E837" s="14">
        <v>45729</v>
      </c>
      <c r="F837" s="5" t="s">
        <v>1082</v>
      </c>
      <c r="G837" s="5"/>
      <c r="H837" s="6" t="s">
        <v>465</v>
      </c>
      <c r="I837" s="6" t="s">
        <v>14</v>
      </c>
      <c r="J837" s="6" t="s">
        <v>1121</v>
      </c>
      <c r="K837" s="6">
        <v>3721</v>
      </c>
      <c r="L837" s="7" t="s">
        <v>1981</v>
      </c>
      <c r="M837" s="8">
        <v>1883025</v>
      </c>
      <c r="N837" s="8" t="str">
        <f t="shared" ref="N837:N900" si="66">"PEN"</f>
        <v>PEN</v>
      </c>
      <c r="O837" s="13">
        <v>150.44999999999999</v>
      </c>
      <c r="P837" s="13"/>
      <c r="Q837" s="3">
        <f t="shared" ref="Q837:Q900" si="67">+IF(OR($G837="SALDO",$G837="INGRESO"),$P837,0)</f>
        <v>0</v>
      </c>
      <c r="R837" s="3">
        <f t="shared" ref="R837:R900" si="68">+IF($G837="EGRESO",$P837,0)</f>
        <v>0</v>
      </c>
      <c r="S837" s="3">
        <f t="shared" ref="S837:S900" si="69">IFERROR(IF(G837="SALDO",Q837,S836+Q837-R837),0)</f>
        <v>35153.30999999999</v>
      </c>
      <c r="T837" s="24"/>
      <c r="U837" s="24"/>
      <c r="V837" s="67"/>
      <c r="W837" s="25">
        <f>IFERROR(VLOOKUP(BCP_Soles[[#This Row],[DESTINATARIO]],CHOOSE({1,2},Clientes_Proveedores[Razon Social],Clientes_Proveedores[Ruc / Dni]),2,0),"")</f>
        <v>20603974817</v>
      </c>
      <c r="X837" s="25"/>
      <c r="Y837" s="25"/>
      <c r="Z837" s="25"/>
      <c r="AA837" s="99"/>
      <c r="AB837" s="3" t="str">
        <f>IF(BCP_Soles[[#This Row],[FECHA]]&gt;0,TEXT(BCP_Soles[[#This Row],[FECHA]],"mmmm"),0)</f>
        <v>Marzo</v>
      </c>
    </row>
    <row r="838" spans="2:28" x14ac:dyDescent="0.3">
      <c r="B838" s="2" t="str">
        <f>IF(BCP_Soles[[#This Row],[TIPO DE R.]]="R",COUNTIFS($D$4:$D837,"R")+1,"")</f>
        <v/>
      </c>
      <c r="C838" s="19" t="str">
        <f t="shared" si="65"/>
        <v>B-BCP - Soles</v>
      </c>
      <c r="D838" s="3" t="s">
        <v>1101</v>
      </c>
      <c r="E838" s="14">
        <v>45729</v>
      </c>
      <c r="F838" s="5" t="s">
        <v>1082</v>
      </c>
      <c r="G838" s="5"/>
      <c r="H838" s="6" t="s">
        <v>465</v>
      </c>
      <c r="I838" s="6" t="s">
        <v>14</v>
      </c>
      <c r="J838" s="6" t="s">
        <v>1121</v>
      </c>
      <c r="K838" s="6">
        <v>3711</v>
      </c>
      <c r="L838" s="7" t="s">
        <v>1981</v>
      </c>
      <c r="M838" s="8">
        <v>1883025</v>
      </c>
      <c r="N838" s="8" t="str">
        <f t="shared" si="66"/>
        <v>PEN</v>
      </c>
      <c r="O838" s="13">
        <v>651.95000000000005</v>
      </c>
      <c r="P838" s="13"/>
      <c r="Q838" s="3">
        <f t="shared" si="67"/>
        <v>0</v>
      </c>
      <c r="R838" s="3">
        <f t="shared" si="68"/>
        <v>0</v>
      </c>
      <c r="S838" s="3">
        <f t="shared" si="69"/>
        <v>35153.30999999999</v>
      </c>
      <c r="T838" s="24"/>
      <c r="U838" s="24"/>
      <c r="V838" s="67"/>
      <c r="W838" s="25">
        <f>IFERROR(VLOOKUP(BCP_Soles[[#This Row],[DESTINATARIO]],CHOOSE({1,2},Clientes_Proveedores[Razon Social],Clientes_Proveedores[Ruc / Dni]),2,0),"")</f>
        <v>20603974817</v>
      </c>
      <c r="X838" s="25"/>
      <c r="Y838" s="25"/>
      <c r="Z838" s="25"/>
      <c r="AA838" s="99"/>
      <c r="AB838" s="3" t="str">
        <f>IF(BCP_Soles[[#This Row],[FECHA]]&gt;0,TEXT(BCP_Soles[[#This Row],[FECHA]],"mmmm"),0)</f>
        <v>Marzo</v>
      </c>
    </row>
    <row r="839" spans="2:28" ht="24" x14ac:dyDescent="0.3">
      <c r="B839" s="2" t="str">
        <f>IF(BCP_Soles[[#This Row],[TIPO DE R.]]="R",COUNTIFS($D$4:$D838,"R")+1,"")</f>
        <v/>
      </c>
      <c r="C839" s="19" t="str">
        <f t="shared" si="65"/>
        <v>B-BCP - Soles</v>
      </c>
      <c r="D839" s="3" t="s">
        <v>1101</v>
      </c>
      <c r="E839" s="14">
        <v>45729</v>
      </c>
      <c r="F839" s="5" t="s">
        <v>1082</v>
      </c>
      <c r="G839" s="5"/>
      <c r="H839" s="6" t="s">
        <v>536</v>
      </c>
      <c r="I839" s="6" t="s">
        <v>14</v>
      </c>
      <c r="J839" s="6" t="s">
        <v>1121</v>
      </c>
      <c r="K839" s="6">
        <v>2009</v>
      </c>
      <c r="L839" s="7" t="s">
        <v>1981</v>
      </c>
      <c r="M839" s="8">
        <v>1883025</v>
      </c>
      <c r="N839" s="8" t="str">
        <f t="shared" si="66"/>
        <v>PEN</v>
      </c>
      <c r="O839" s="13">
        <v>94.4</v>
      </c>
      <c r="P839" s="13"/>
      <c r="Q839" s="3">
        <f t="shared" si="67"/>
        <v>0</v>
      </c>
      <c r="R839" s="3">
        <f t="shared" si="68"/>
        <v>0</v>
      </c>
      <c r="S839" s="3">
        <f t="shared" si="69"/>
        <v>35153.30999999999</v>
      </c>
      <c r="T839" s="24"/>
      <c r="U839" s="24"/>
      <c r="V839" s="67"/>
      <c r="W839" s="25">
        <f>IFERROR(VLOOKUP(BCP_Soles[[#This Row],[DESTINATARIO]],CHOOSE({1,2},Clientes_Proveedores[Razon Social],Clientes_Proveedores[Ruc / Dni]),2,0),"")</f>
        <v>20609764261</v>
      </c>
      <c r="X839" s="25"/>
      <c r="Y839" s="25"/>
      <c r="Z839" s="25"/>
      <c r="AA839" s="99"/>
      <c r="AB839" s="3" t="str">
        <f>IF(BCP_Soles[[#This Row],[FECHA]]&gt;0,TEXT(BCP_Soles[[#This Row],[FECHA]],"mmmm"),0)</f>
        <v>Marzo</v>
      </c>
    </row>
    <row r="840" spans="2:28" ht="24" x14ac:dyDescent="0.3">
      <c r="B840" s="2" t="str">
        <f>IF(BCP_Soles[[#This Row],[TIPO DE R.]]="R",COUNTIFS($D$4:$D839,"R")+1,"")</f>
        <v/>
      </c>
      <c r="C840" s="19" t="str">
        <f t="shared" si="65"/>
        <v>B-BCP - Soles</v>
      </c>
      <c r="D840" s="3" t="s">
        <v>1101</v>
      </c>
      <c r="E840" s="14">
        <v>45729</v>
      </c>
      <c r="F840" s="5" t="s">
        <v>1082</v>
      </c>
      <c r="G840" s="5"/>
      <c r="H840" s="6" t="s">
        <v>536</v>
      </c>
      <c r="I840" s="6" t="s">
        <v>14</v>
      </c>
      <c r="J840" s="6" t="s">
        <v>1121</v>
      </c>
      <c r="K840" s="6">
        <v>2007</v>
      </c>
      <c r="L840" s="7" t="s">
        <v>1981</v>
      </c>
      <c r="M840" s="8">
        <v>1883025</v>
      </c>
      <c r="N840" s="8" t="str">
        <f t="shared" si="66"/>
        <v>PEN</v>
      </c>
      <c r="O840" s="13">
        <v>70.8</v>
      </c>
      <c r="P840" s="13"/>
      <c r="Q840" s="3">
        <f t="shared" si="67"/>
        <v>0</v>
      </c>
      <c r="R840" s="3">
        <f t="shared" si="68"/>
        <v>0</v>
      </c>
      <c r="S840" s="3">
        <f t="shared" si="69"/>
        <v>35153.30999999999</v>
      </c>
      <c r="T840" s="24"/>
      <c r="U840" s="24"/>
      <c r="V840" s="67"/>
      <c r="W840" s="25">
        <f>IFERROR(VLOOKUP(BCP_Soles[[#This Row],[DESTINATARIO]],CHOOSE({1,2},Clientes_Proveedores[Razon Social],Clientes_Proveedores[Ruc / Dni]),2,0),"")</f>
        <v>20609764261</v>
      </c>
      <c r="X840" s="25"/>
      <c r="Y840" s="25"/>
      <c r="Z840" s="25"/>
      <c r="AA840" s="99"/>
      <c r="AB840" s="3" t="str">
        <f>IF(BCP_Soles[[#This Row],[FECHA]]&gt;0,TEXT(BCP_Soles[[#This Row],[FECHA]],"mmmm"),0)</f>
        <v>Marzo</v>
      </c>
    </row>
    <row r="841" spans="2:28" ht="24" x14ac:dyDescent="0.3">
      <c r="B841" s="2" t="str">
        <f>IF(BCP_Soles[[#This Row],[TIPO DE R.]]="R",COUNTIFS($D$4:$D840,"R")+1,"")</f>
        <v/>
      </c>
      <c r="C841" s="19" t="str">
        <f t="shared" si="65"/>
        <v>B-BCP - Soles</v>
      </c>
      <c r="D841" s="3" t="s">
        <v>1101</v>
      </c>
      <c r="E841" s="14">
        <v>45729</v>
      </c>
      <c r="F841" s="5" t="s">
        <v>1082</v>
      </c>
      <c r="G841" s="5"/>
      <c r="H841" s="6" t="s">
        <v>536</v>
      </c>
      <c r="I841" s="6" t="s">
        <v>14</v>
      </c>
      <c r="J841" s="6" t="s">
        <v>1121</v>
      </c>
      <c r="K841" s="6">
        <v>2012</v>
      </c>
      <c r="L841" s="7" t="s">
        <v>1981</v>
      </c>
      <c r="M841" s="8">
        <v>1883025</v>
      </c>
      <c r="N841" s="8" t="str">
        <f t="shared" si="66"/>
        <v>PEN</v>
      </c>
      <c r="O841" s="13">
        <v>283.2</v>
      </c>
      <c r="P841" s="13"/>
      <c r="Q841" s="3">
        <f t="shared" si="67"/>
        <v>0</v>
      </c>
      <c r="R841" s="3">
        <f t="shared" si="68"/>
        <v>0</v>
      </c>
      <c r="S841" s="3">
        <f t="shared" si="69"/>
        <v>35153.30999999999</v>
      </c>
      <c r="T841" s="24"/>
      <c r="U841" s="24"/>
      <c r="V841" s="67"/>
      <c r="W841" s="25">
        <f>IFERROR(VLOOKUP(BCP_Soles[[#This Row],[DESTINATARIO]],CHOOSE({1,2},Clientes_Proveedores[Razon Social],Clientes_Proveedores[Ruc / Dni]),2,0),"")</f>
        <v>20609764261</v>
      </c>
      <c r="X841" s="25"/>
      <c r="Y841" s="25"/>
      <c r="Z841" s="25"/>
      <c r="AA841" s="99"/>
      <c r="AB841" s="3" t="str">
        <f>IF(BCP_Soles[[#This Row],[FECHA]]&gt;0,TEXT(BCP_Soles[[#This Row],[FECHA]],"mmmm"),0)</f>
        <v>Marzo</v>
      </c>
    </row>
    <row r="842" spans="2:28" ht="24" x14ac:dyDescent="0.3">
      <c r="B842" s="2" t="str">
        <f>IF(BCP_Soles[[#This Row],[TIPO DE R.]]="R",COUNTIFS($D$4:$D841,"R")+1,"")</f>
        <v/>
      </c>
      <c r="C842" s="19" t="str">
        <f t="shared" si="65"/>
        <v>B-BCP - Soles</v>
      </c>
      <c r="D842" s="3" t="s">
        <v>1101</v>
      </c>
      <c r="E842" s="14">
        <v>45729</v>
      </c>
      <c r="F842" s="5" t="s">
        <v>1082</v>
      </c>
      <c r="G842" s="5"/>
      <c r="H842" s="6" t="s">
        <v>414</v>
      </c>
      <c r="I842" s="6" t="s">
        <v>14</v>
      </c>
      <c r="J842" s="6" t="s">
        <v>1121</v>
      </c>
      <c r="K842" s="6">
        <v>363</v>
      </c>
      <c r="L842" s="7" t="s">
        <v>1981</v>
      </c>
      <c r="M842" s="8">
        <v>1883025</v>
      </c>
      <c r="N842" s="8" t="str">
        <f t="shared" si="66"/>
        <v>PEN</v>
      </c>
      <c r="O842" s="13">
        <v>1812</v>
      </c>
      <c r="P842" s="13"/>
      <c r="Q842" s="3">
        <f t="shared" si="67"/>
        <v>0</v>
      </c>
      <c r="R842" s="3">
        <f t="shared" si="68"/>
        <v>0</v>
      </c>
      <c r="S842" s="3">
        <f t="shared" si="69"/>
        <v>35153.30999999999</v>
      </c>
      <c r="T842" s="24"/>
      <c r="U842" s="24"/>
      <c r="V842" s="67"/>
      <c r="W842" s="25">
        <f>IFERROR(VLOOKUP(BCP_Soles[[#This Row],[DESTINATARIO]],CHOOSE({1,2},Clientes_Proveedores[Razon Social],Clientes_Proveedores[Ruc / Dni]),2,0),"")</f>
        <v>20601883270</v>
      </c>
      <c r="X842" s="25"/>
      <c r="Y842" s="25"/>
      <c r="Z842" s="25"/>
      <c r="AA842" s="99"/>
      <c r="AB842" s="3" t="str">
        <f>IF(BCP_Soles[[#This Row],[FECHA]]&gt;0,TEXT(BCP_Soles[[#This Row],[FECHA]],"mmmm"),0)</f>
        <v>Marzo</v>
      </c>
    </row>
    <row r="843" spans="2:28" x14ac:dyDescent="0.3">
      <c r="B843" s="2" t="str">
        <f>IF(BCP_Soles[[#This Row],[TIPO DE R.]]="R",COUNTIFS($D$4:$D842,"R")+1,"")</f>
        <v/>
      </c>
      <c r="C843" s="19" t="str">
        <f t="shared" si="65"/>
        <v>B-BCP - Soles</v>
      </c>
      <c r="D843" s="3" t="s">
        <v>1101</v>
      </c>
      <c r="E843" s="14">
        <v>45729</v>
      </c>
      <c r="F843" s="5" t="s">
        <v>1082</v>
      </c>
      <c r="G843" s="5"/>
      <c r="H843" s="6" t="s">
        <v>465</v>
      </c>
      <c r="I843" s="6" t="s">
        <v>14</v>
      </c>
      <c r="J843" s="6" t="s">
        <v>1121</v>
      </c>
      <c r="K843" s="6">
        <v>3734</v>
      </c>
      <c r="L843" s="7" t="s">
        <v>1981</v>
      </c>
      <c r="M843" s="8">
        <v>1883025</v>
      </c>
      <c r="N843" s="8" t="str">
        <f t="shared" si="66"/>
        <v>PEN</v>
      </c>
      <c r="O843" s="13">
        <v>250.75</v>
      </c>
      <c r="P843" s="13"/>
      <c r="Q843" s="3">
        <f t="shared" si="67"/>
        <v>0</v>
      </c>
      <c r="R843" s="3">
        <f t="shared" si="68"/>
        <v>0</v>
      </c>
      <c r="S843" s="3">
        <f t="shared" si="69"/>
        <v>35153.30999999999</v>
      </c>
      <c r="T843" s="24"/>
      <c r="U843" s="24"/>
      <c r="V843" s="67"/>
      <c r="W843" s="25">
        <f>IFERROR(VLOOKUP(BCP_Soles[[#This Row],[DESTINATARIO]],CHOOSE({1,2},Clientes_Proveedores[Razon Social],Clientes_Proveedores[Ruc / Dni]),2,0),"")</f>
        <v>20603974817</v>
      </c>
      <c r="X843" s="25"/>
      <c r="Y843" s="25"/>
      <c r="Z843" s="25"/>
      <c r="AA843" s="99"/>
      <c r="AB843" s="3" t="str">
        <f>IF(BCP_Soles[[#This Row],[FECHA]]&gt;0,TEXT(BCP_Soles[[#This Row],[FECHA]],"mmmm"),0)</f>
        <v>Marzo</v>
      </c>
    </row>
    <row r="844" spans="2:28" x14ac:dyDescent="0.3">
      <c r="B844" s="2" t="str">
        <f>IF(BCP_Soles[[#This Row],[TIPO DE R.]]="R",COUNTIFS($D$4:$D843,"R")+1,"")</f>
        <v/>
      </c>
      <c r="C844" s="19" t="str">
        <f t="shared" si="65"/>
        <v>B-BCP - Soles</v>
      </c>
      <c r="D844" s="3" t="s">
        <v>1101</v>
      </c>
      <c r="E844" s="14">
        <v>45729</v>
      </c>
      <c r="F844" s="5" t="s">
        <v>1082</v>
      </c>
      <c r="G844" s="5"/>
      <c r="H844" s="6" t="s">
        <v>465</v>
      </c>
      <c r="I844" s="6" t="s">
        <v>14</v>
      </c>
      <c r="J844" s="6" t="s">
        <v>1121</v>
      </c>
      <c r="K844" s="6">
        <v>3722</v>
      </c>
      <c r="L844" s="7" t="s">
        <v>1981</v>
      </c>
      <c r="M844" s="8">
        <v>1883025</v>
      </c>
      <c r="N844" s="8" t="str">
        <f t="shared" si="66"/>
        <v>PEN</v>
      </c>
      <c r="O844" s="13">
        <v>501.5</v>
      </c>
      <c r="P844" s="13"/>
      <c r="Q844" s="3">
        <f t="shared" si="67"/>
        <v>0</v>
      </c>
      <c r="R844" s="3">
        <f t="shared" si="68"/>
        <v>0</v>
      </c>
      <c r="S844" s="3">
        <f t="shared" si="69"/>
        <v>35153.30999999999</v>
      </c>
      <c r="T844" s="24"/>
      <c r="U844" s="24"/>
      <c r="V844" s="67"/>
      <c r="W844" s="25">
        <f>IFERROR(VLOOKUP(BCP_Soles[[#This Row],[DESTINATARIO]],CHOOSE({1,2},Clientes_Proveedores[Razon Social],Clientes_Proveedores[Ruc / Dni]),2,0),"")</f>
        <v>20603974817</v>
      </c>
      <c r="X844" s="25"/>
      <c r="Y844" s="25"/>
      <c r="Z844" s="25"/>
      <c r="AA844" s="99"/>
      <c r="AB844" s="3" t="str">
        <f>IF(BCP_Soles[[#This Row],[FECHA]]&gt;0,TEXT(BCP_Soles[[#This Row],[FECHA]],"mmmm"),0)</f>
        <v>Marzo</v>
      </c>
    </row>
    <row r="845" spans="2:28" x14ac:dyDescent="0.3">
      <c r="B845" s="2" t="str">
        <f>IF(BCP_Soles[[#This Row],[TIPO DE R.]]="R",COUNTIFS($D$4:$D844,"R")+1,"")</f>
        <v/>
      </c>
      <c r="C845" s="19" t="str">
        <f t="shared" si="65"/>
        <v>B-BCP - Soles</v>
      </c>
      <c r="D845" s="3" t="s">
        <v>1101</v>
      </c>
      <c r="E845" s="14">
        <v>45729</v>
      </c>
      <c r="F845" s="5" t="s">
        <v>1082</v>
      </c>
      <c r="G845" s="5"/>
      <c r="H845" s="6" t="s">
        <v>465</v>
      </c>
      <c r="I845" s="6" t="s">
        <v>14</v>
      </c>
      <c r="J845" s="6" t="s">
        <v>1121</v>
      </c>
      <c r="K845" s="6">
        <v>3729</v>
      </c>
      <c r="L845" s="7" t="s">
        <v>1981</v>
      </c>
      <c r="M845" s="8">
        <v>1883025</v>
      </c>
      <c r="N845" s="8" t="str">
        <f t="shared" si="66"/>
        <v>PEN</v>
      </c>
      <c r="O845" s="13">
        <v>451.35</v>
      </c>
      <c r="P845" s="13"/>
      <c r="Q845" s="3">
        <f t="shared" si="67"/>
        <v>0</v>
      </c>
      <c r="R845" s="3">
        <f t="shared" si="68"/>
        <v>0</v>
      </c>
      <c r="S845" s="3">
        <f t="shared" si="69"/>
        <v>35153.30999999999</v>
      </c>
      <c r="T845" s="24"/>
      <c r="U845" s="24"/>
      <c r="V845" s="67"/>
      <c r="W845" s="25">
        <f>IFERROR(VLOOKUP(BCP_Soles[[#This Row],[DESTINATARIO]],CHOOSE({1,2},Clientes_Proveedores[Razon Social],Clientes_Proveedores[Ruc / Dni]),2,0),"")</f>
        <v>20603974817</v>
      </c>
      <c r="X845" s="25"/>
      <c r="Y845" s="25"/>
      <c r="Z845" s="25"/>
      <c r="AA845" s="99"/>
      <c r="AB845" s="3" t="str">
        <f>IF(BCP_Soles[[#This Row],[FECHA]]&gt;0,TEXT(BCP_Soles[[#This Row],[FECHA]],"mmmm"),0)</f>
        <v>Marzo</v>
      </c>
    </row>
    <row r="846" spans="2:28" ht="36" x14ac:dyDescent="0.3">
      <c r="B846" s="2" t="str">
        <f>IF(BCP_Soles[[#This Row],[TIPO DE R.]]="R",COUNTIFS($D$4:$D845,"R")+1,"")</f>
        <v/>
      </c>
      <c r="C846" s="19" t="str">
        <f t="shared" si="65"/>
        <v>B-BCP - Soles</v>
      </c>
      <c r="D846" s="3" t="s">
        <v>1101</v>
      </c>
      <c r="E846" s="14">
        <v>45729</v>
      </c>
      <c r="F846" s="5" t="s">
        <v>1082</v>
      </c>
      <c r="G846" s="5"/>
      <c r="H846" s="6" t="s">
        <v>250</v>
      </c>
      <c r="I846" s="6" t="s">
        <v>14</v>
      </c>
      <c r="J846" s="6" t="s">
        <v>1121</v>
      </c>
      <c r="K846" s="6">
        <v>154</v>
      </c>
      <c r="L846" s="7" t="s">
        <v>1981</v>
      </c>
      <c r="M846" s="8">
        <v>1883025</v>
      </c>
      <c r="N846" s="8" t="str">
        <f t="shared" si="66"/>
        <v>PEN</v>
      </c>
      <c r="O846" s="13">
        <v>1248</v>
      </c>
      <c r="P846" s="13"/>
      <c r="Q846" s="3">
        <f t="shared" si="67"/>
        <v>0</v>
      </c>
      <c r="R846" s="3">
        <f t="shared" si="68"/>
        <v>0</v>
      </c>
      <c r="S846" s="3">
        <f t="shared" si="69"/>
        <v>35153.30999999999</v>
      </c>
      <c r="T846" s="24"/>
      <c r="U846" s="24"/>
      <c r="V846" s="67"/>
      <c r="W846" s="25">
        <f>IFERROR(VLOOKUP(BCP_Soles[[#This Row],[DESTINATARIO]],CHOOSE({1,2},Clientes_Proveedores[Razon Social],Clientes_Proveedores[Ruc / Dni]),2,0),"")</f>
        <v>20455932824</v>
      </c>
      <c r="X846" s="25"/>
      <c r="Y846" s="25"/>
      <c r="Z846" s="25"/>
      <c r="AA846" s="99"/>
      <c r="AB846" s="3" t="str">
        <f>IF(BCP_Soles[[#This Row],[FECHA]]&gt;0,TEXT(BCP_Soles[[#This Row],[FECHA]],"mmmm"),0)</f>
        <v>Marzo</v>
      </c>
    </row>
    <row r="847" spans="2:28" ht="24" x14ac:dyDescent="0.3">
      <c r="B847" s="2" t="str">
        <f>IF(BCP_Soles[[#This Row],[TIPO DE R.]]="R",COUNTIFS($D$4:$D846,"R")+1,"")</f>
        <v/>
      </c>
      <c r="C847" s="19" t="str">
        <f t="shared" si="65"/>
        <v>B-BCP - Soles</v>
      </c>
      <c r="D847" s="3" t="s">
        <v>1101</v>
      </c>
      <c r="E847" s="14">
        <v>45729</v>
      </c>
      <c r="F847" s="5" t="s">
        <v>1082</v>
      </c>
      <c r="G847" s="5"/>
      <c r="H847" s="6" t="s">
        <v>83</v>
      </c>
      <c r="I847" s="6" t="s">
        <v>14</v>
      </c>
      <c r="J847" s="6" t="s">
        <v>1121</v>
      </c>
      <c r="K847" s="6">
        <v>170</v>
      </c>
      <c r="L847" s="7" t="s">
        <v>1981</v>
      </c>
      <c r="M847" s="8">
        <v>1883025</v>
      </c>
      <c r="N847" s="8" t="str">
        <f t="shared" si="66"/>
        <v>PEN</v>
      </c>
      <c r="O847" s="13">
        <v>300</v>
      </c>
      <c r="P847" s="13"/>
      <c r="Q847" s="3">
        <f t="shared" si="67"/>
        <v>0</v>
      </c>
      <c r="R847" s="3">
        <f t="shared" si="68"/>
        <v>0</v>
      </c>
      <c r="S847" s="3">
        <f t="shared" si="69"/>
        <v>35153.30999999999</v>
      </c>
      <c r="T847" s="24"/>
      <c r="U847" s="24"/>
      <c r="V847" s="67"/>
      <c r="W847" s="25">
        <f>IFERROR(VLOOKUP(BCP_Soles[[#This Row],[DESTINATARIO]],CHOOSE({1,2},Clientes_Proveedores[Razon Social],Clientes_Proveedores[Ruc / Dni]),2,0),"")</f>
        <v>10297259305</v>
      </c>
      <c r="X847" s="25"/>
      <c r="Y847" s="25"/>
      <c r="Z847" s="25"/>
      <c r="AA847" s="99"/>
      <c r="AB847" s="3" t="str">
        <f>IF(BCP_Soles[[#This Row],[FECHA]]&gt;0,TEXT(BCP_Soles[[#This Row],[FECHA]],"mmmm"),0)</f>
        <v>Marzo</v>
      </c>
    </row>
    <row r="848" spans="2:28" ht="36" x14ac:dyDescent="0.3">
      <c r="B848" s="2" t="str">
        <f>IF(BCP_Soles[[#This Row],[TIPO DE R.]]="R",COUNTIFS($D$4:$D847,"R")+1,"")</f>
        <v/>
      </c>
      <c r="C848" s="19" t="str">
        <f t="shared" si="65"/>
        <v>B-BCP - Soles</v>
      </c>
      <c r="D848" s="3" t="s">
        <v>1101</v>
      </c>
      <c r="E848" s="14">
        <v>45729</v>
      </c>
      <c r="F848" s="5" t="s">
        <v>1082</v>
      </c>
      <c r="G848" s="5"/>
      <c r="H848" s="6" t="s">
        <v>597</v>
      </c>
      <c r="I848" s="6" t="s">
        <v>14</v>
      </c>
      <c r="J848" s="6" t="s">
        <v>1121</v>
      </c>
      <c r="K848" s="6">
        <v>171</v>
      </c>
      <c r="L848" s="7" t="s">
        <v>1981</v>
      </c>
      <c r="M848" s="8">
        <v>1883025</v>
      </c>
      <c r="N848" s="8" t="str">
        <f t="shared" si="66"/>
        <v>PEN</v>
      </c>
      <c r="O848" s="13">
        <v>453</v>
      </c>
      <c r="P848" s="13"/>
      <c r="Q848" s="3">
        <f t="shared" si="67"/>
        <v>0</v>
      </c>
      <c r="R848" s="3">
        <f t="shared" si="68"/>
        <v>0</v>
      </c>
      <c r="S848" s="3">
        <f t="shared" si="69"/>
        <v>35153.30999999999</v>
      </c>
      <c r="T848" s="24"/>
      <c r="U848" s="24"/>
      <c r="V848" s="67"/>
      <c r="W848" s="25">
        <f>IFERROR(VLOOKUP(BCP_Soles[[#This Row],[DESTINATARIO]],CHOOSE({1,2},Clientes_Proveedores[Razon Social],Clientes_Proveedores[Ruc / Dni]),2,0),"")</f>
        <v>10306634351</v>
      </c>
      <c r="X848" s="25"/>
      <c r="Y848" s="25"/>
      <c r="Z848" s="25"/>
      <c r="AA848" s="99"/>
      <c r="AB848" s="3" t="str">
        <f>IF(BCP_Soles[[#This Row],[FECHA]]&gt;0,TEXT(BCP_Soles[[#This Row],[FECHA]],"mmmm"),0)</f>
        <v>Marzo</v>
      </c>
    </row>
    <row r="849" spans="2:28" ht="24" x14ac:dyDescent="0.3">
      <c r="B849" s="2">
        <f>IF(BCP_Soles[[#This Row],[TIPO DE R.]]="R",COUNTIFS($D$4:$D848,"R")+1,"")</f>
        <v>644</v>
      </c>
      <c r="C849" s="19" t="str">
        <f t="shared" si="65"/>
        <v>B-BCP - Soles</v>
      </c>
      <c r="D849" s="3" t="s">
        <v>1074</v>
      </c>
      <c r="E849" s="14">
        <v>45729</v>
      </c>
      <c r="F849" s="5" t="s">
        <v>1245</v>
      </c>
      <c r="G849" s="5" t="s">
        <v>1087</v>
      </c>
      <c r="H849" s="6"/>
      <c r="I849" s="6"/>
      <c r="J849" s="6"/>
      <c r="K849" s="6"/>
      <c r="L849" s="7" t="s">
        <v>1100</v>
      </c>
      <c r="M849" s="8">
        <v>3313868</v>
      </c>
      <c r="N849" s="8" t="str">
        <f t="shared" si="66"/>
        <v>PEN</v>
      </c>
      <c r="O849" s="13"/>
      <c r="P849" s="13">
        <v>4732</v>
      </c>
      <c r="Q849" s="3">
        <f t="shared" si="67"/>
        <v>4732</v>
      </c>
      <c r="R849" s="3">
        <f t="shared" si="68"/>
        <v>0</v>
      </c>
      <c r="S849" s="3">
        <f t="shared" si="69"/>
        <v>39885.30999999999</v>
      </c>
      <c r="T849" s="24" t="s">
        <v>1081</v>
      </c>
      <c r="U849" s="24" t="s">
        <v>1081</v>
      </c>
      <c r="V849" s="67"/>
      <c r="W849" s="25" t="str">
        <f>IFERROR(VLOOKUP(BCP_Soles[[#This Row],[DESTINATARIO]],CHOOSE({1,2},Clientes_Proveedores[Razon Social],Clientes_Proveedores[Ruc / Dni]),2,0),"")</f>
        <v/>
      </c>
      <c r="X849" s="25" t="s">
        <v>1090</v>
      </c>
      <c r="Y849" s="25" t="s">
        <v>1982</v>
      </c>
      <c r="Z849" s="25"/>
      <c r="AA849" s="99"/>
      <c r="AB849" s="3" t="str">
        <f>IF(BCP_Soles[[#This Row],[FECHA]]&gt;0,TEXT(BCP_Soles[[#This Row],[FECHA]],"mmmm"),0)</f>
        <v>Marzo</v>
      </c>
    </row>
    <row r="850" spans="2:28" ht="24" x14ac:dyDescent="0.3">
      <c r="B850" s="2">
        <f>IF(BCP_Soles[[#This Row],[TIPO DE R.]]="R",COUNTIFS($D$4:$D849,"R")+1,"")</f>
        <v>645</v>
      </c>
      <c r="C850" s="19" t="str">
        <f t="shared" si="65"/>
        <v>B-BCP - Soles</v>
      </c>
      <c r="D850" s="3" t="s">
        <v>1074</v>
      </c>
      <c r="E850" s="14">
        <v>45729</v>
      </c>
      <c r="F850" s="5" t="s">
        <v>1983</v>
      </c>
      <c r="G850" s="5" t="s">
        <v>1087</v>
      </c>
      <c r="H850" s="6"/>
      <c r="I850" s="6"/>
      <c r="J850" s="6"/>
      <c r="K850" s="6"/>
      <c r="L850" s="7" t="s">
        <v>1100</v>
      </c>
      <c r="M850" s="8">
        <v>2252219</v>
      </c>
      <c r="N850" s="8" t="str">
        <f t="shared" si="66"/>
        <v>PEN</v>
      </c>
      <c r="O850" s="13"/>
      <c r="P850" s="13">
        <v>275</v>
      </c>
      <c r="Q850" s="3">
        <f t="shared" si="67"/>
        <v>275</v>
      </c>
      <c r="R850" s="3">
        <f t="shared" si="68"/>
        <v>0</v>
      </c>
      <c r="S850" s="3">
        <f t="shared" si="69"/>
        <v>40160.30999999999</v>
      </c>
      <c r="T850" s="24" t="s">
        <v>1081</v>
      </c>
      <c r="U850" s="24" t="s">
        <v>1081</v>
      </c>
      <c r="V850" s="67"/>
      <c r="W850" s="25" t="str">
        <f>IFERROR(VLOOKUP(BCP_Soles[[#This Row],[DESTINATARIO]],CHOOSE({1,2},Clientes_Proveedores[Razon Social],Clientes_Proveedores[Ruc / Dni]),2,0),"")</f>
        <v/>
      </c>
      <c r="X850" s="25" t="s">
        <v>1090</v>
      </c>
      <c r="Y850" s="25" t="s">
        <v>1984</v>
      </c>
      <c r="Z850" s="25"/>
      <c r="AA850" s="99"/>
      <c r="AB850" s="3" t="str">
        <f>IF(BCP_Soles[[#This Row],[FECHA]]&gt;0,TEXT(BCP_Soles[[#This Row],[FECHA]],"mmmm"),0)</f>
        <v>Marzo</v>
      </c>
    </row>
    <row r="851" spans="2:28" x14ac:dyDescent="0.3">
      <c r="B851" s="2">
        <f>IF(BCP_Soles[[#This Row],[TIPO DE R.]]="R",COUNTIFS($D$4:$D850,"R")+1,"")</f>
        <v>646</v>
      </c>
      <c r="C851" s="19" t="str">
        <f t="shared" si="65"/>
        <v>B-BCP - Soles</v>
      </c>
      <c r="D851" s="3" t="s">
        <v>1074</v>
      </c>
      <c r="E851" s="14">
        <v>45729</v>
      </c>
      <c r="F851" s="5" t="s">
        <v>1078</v>
      </c>
      <c r="G851" s="5" t="s">
        <v>1079</v>
      </c>
      <c r="H851" s="6"/>
      <c r="I851" s="6"/>
      <c r="J851" s="6"/>
      <c r="K851" s="6"/>
      <c r="L851" s="7" t="s">
        <v>1080</v>
      </c>
      <c r="M851" s="8"/>
      <c r="N851" s="8" t="str">
        <f t="shared" si="66"/>
        <v>PEN</v>
      </c>
      <c r="O851" s="13"/>
      <c r="P851" s="13">
        <v>0.6</v>
      </c>
      <c r="Q851" s="3">
        <f t="shared" si="67"/>
        <v>0</v>
      </c>
      <c r="R851" s="3">
        <f t="shared" si="68"/>
        <v>0.6</v>
      </c>
      <c r="S851" s="3">
        <f t="shared" si="69"/>
        <v>40159.709999999992</v>
      </c>
      <c r="T851" s="24"/>
      <c r="U851" s="24" t="s">
        <v>1081</v>
      </c>
      <c r="V851" s="67"/>
      <c r="W851" s="25" t="str">
        <f>IFERROR(VLOOKUP(BCP_Soles[[#This Row],[DESTINATARIO]],CHOOSE({1,2},Clientes_Proveedores[Razon Social],Clientes_Proveedores[Ruc / Dni]),2,0),"")</f>
        <v/>
      </c>
      <c r="X851" s="25"/>
      <c r="Y851" s="25"/>
      <c r="Z851" s="25"/>
      <c r="AA851" s="99"/>
      <c r="AB851" s="3" t="str">
        <f>IF(BCP_Soles[[#This Row],[FECHA]]&gt;0,TEXT(BCP_Soles[[#This Row],[FECHA]],"mmmm"),0)</f>
        <v>Marzo</v>
      </c>
    </row>
    <row r="852" spans="2:28" ht="24" x14ac:dyDescent="0.3">
      <c r="B852" s="2">
        <f>IF(BCP_Soles[[#This Row],[TIPO DE R.]]="R",COUNTIFS($D$4:$D851,"R")+1,"")</f>
        <v>647</v>
      </c>
      <c r="C852" s="19" t="str">
        <f t="shared" si="65"/>
        <v>B-BCP - Soles</v>
      </c>
      <c r="D852" s="3" t="s">
        <v>1074</v>
      </c>
      <c r="E852" s="14">
        <v>45729</v>
      </c>
      <c r="F852" s="5" t="s">
        <v>1082</v>
      </c>
      <c r="G852" s="5" t="s">
        <v>1079</v>
      </c>
      <c r="H852" s="6" t="s">
        <v>688</v>
      </c>
      <c r="I852" s="6" t="s">
        <v>18</v>
      </c>
      <c r="J852" s="6" t="s">
        <v>1121</v>
      </c>
      <c r="K852" s="6">
        <v>28</v>
      </c>
      <c r="L852" s="7" t="s">
        <v>1985</v>
      </c>
      <c r="M852" s="8">
        <v>1224243</v>
      </c>
      <c r="N852" s="8" t="str">
        <f t="shared" si="66"/>
        <v>PEN</v>
      </c>
      <c r="O852" s="13"/>
      <c r="P852" s="13">
        <v>200</v>
      </c>
      <c r="Q852" s="3">
        <f t="shared" si="67"/>
        <v>0</v>
      </c>
      <c r="R852" s="3">
        <f t="shared" si="68"/>
        <v>200</v>
      </c>
      <c r="S852" s="3">
        <f t="shared" si="69"/>
        <v>39959.709999999992</v>
      </c>
      <c r="T852" s="24"/>
      <c r="U852" s="24" t="s">
        <v>1081</v>
      </c>
      <c r="V852" s="67"/>
      <c r="W852" s="25">
        <f>IFERROR(VLOOKUP(BCP_Soles[[#This Row],[DESTINATARIO]],CHOOSE({1,2},Clientes_Proveedores[Razon Social],Clientes_Proveedores[Ruc / Dni]),2,0),"")</f>
        <v>10446328129</v>
      </c>
      <c r="X852" s="25" t="s">
        <v>1422</v>
      </c>
      <c r="Y852" s="25" t="s">
        <v>1986</v>
      </c>
      <c r="Z852" s="25"/>
      <c r="AA852" s="99"/>
      <c r="AB852" s="3" t="str">
        <f>IF(BCP_Soles[[#This Row],[FECHA]]&gt;0,TEXT(BCP_Soles[[#This Row],[FECHA]],"mmmm"),0)</f>
        <v>Marzo</v>
      </c>
    </row>
    <row r="853" spans="2:28" ht="24" x14ac:dyDescent="0.3">
      <c r="B853" s="2">
        <f>IF(BCP_Soles[[#This Row],[TIPO DE R.]]="R",COUNTIFS($D$4:$D852,"R")+1,"")</f>
        <v>648</v>
      </c>
      <c r="C853" s="19" t="str">
        <f t="shared" si="65"/>
        <v>B-BCP - Soles</v>
      </c>
      <c r="D853" s="3" t="s">
        <v>1074</v>
      </c>
      <c r="E853" s="14">
        <v>45729</v>
      </c>
      <c r="F853" s="5" t="s">
        <v>1082</v>
      </c>
      <c r="G853" s="5" t="s">
        <v>1079</v>
      </c>
      <c r="H853" s="6"/>
      <c r="I853" s="6" t="s">
        <v>14</v>
      </c>
      <c r="J853" s="6" t="s">
        <v>1119</v>
      </c>
      <c r="K853" s="6">
        <v>1017</v>
      </c>
      <c r="L853" s="7" t="s">
        <v>1987</v>
      </c>
      <c r="M853" s="8">
        <v>1227173</v>
      </c>
      <c r="N853" s="8" t="str">
        <f t="shared" si="66"/>
        <v>PEN</v>
      </c>
      <c r="O853" s="13"/>
      <c r="P853" s="13">
        <v>216</v>
      </c>
      <c r="Q853" s="3">
        <f t="shared" si="67"/>
        <v>0</v>
      </c>
      <c r="R853" s="3">
        <f t="shared" si="68"/>
        <v>216</v>
      </c>
      <c r="S853" s="3">
        <f t="shared" si="69"/>
        <v>39743.709999999992</v>
      </c>
      <c r="T853" s="24" t="s">
        <v>1081</v>
      </c>
      <c r="U853" s="24" t="s">
        <v>1081</v>
      </c>
      <c r="V853" s="67"/>
      <c r="W853" s="25" t="str">
        <f>IFERROR(VLOOKUP(BCP_Soles[[#This Row],[DESTINATARIO]],CHOOSE({1,2},Clientes_Proveedores[Razon Social],Clientes_Proveedores[Ruc / Dni]),2,0),"")</f>
        <v/>
      </c>
      <c r="X853" s="25" t="s">
        <v>1988</v>
      </c>
      <c r="Y853" s="25" t="s">
        <v>1989</v>
      </c>
      <c r="Z853" s="25"/>
      <c r="AA853" s="99"/>
      <c r="AB853" s="3" t="str">
        <f>IF(BCP_Soles[[#This Row],[FECHA]]&gt;0,TEXT(BCP_Soles[[#This Row],[FECHA]],"mmmm"),0)</f>
        <v>Marzo</v>
      </c>
    </row>
    <row r="854" spans="2:28" ht="24" x14ac:dyDescent="0.3">
      <c r="B854" s="2">
        <f>IF(BCP_Soles[[#This Row],[TIPO DE R.]]="R",COUNTIFS($D$4:$D853,"R")+1,"")</f>
        <v>649</v>
      </c>
      <c r="C854" s="19" t="str">
        <f t="shared" si="65"/>
        <v>B-BCP - Soles</v>
      </c>
      <c r="D854" s="3" t="s">
        <v>1074</v>
      </c>
      <c r="E854" s="14">
        <v>45729</v>
      </c>
      <c r="F854" s="5" t="s">
        <v>1082</v>
      </c>
      <c r="G854" s="5" t="s">
        <v>1079</v>
      </c>
      <c r="H854" s="6"/>
      <c r="I854" s="6" t="s">
        <v>14</v>
      </c>
      <c r="J854" s="6" t="s">
        <v>1121</v>
      </c>
      <c r="K854" s="6">
        <v>1</v>
      </c>
      <c r="L854" s="7" t="s">
        <v>1990</v>
      </c>
      <c r="M854" s="8">
        <v>1225234</v>
      </c>
      <c r="N854" s="8" t="str">
        <f t="shared" si="66"/>
        <v>PEN</v>
      </c>
      <c r="O854" s="13"/>
      <c r="P854" s="13">
        <v>650</v>
      </c>
      <c r="Q854" s="3">
        <f t="shared" si="67"/>
        <v>0</v>
      </c>
      <c r="R854" s="3">
        <f t="shared" si="68"/>
        <v>650</v>
      </c>
      <c r="S854" s="3">
        <f t="shared" si="69"/>
        <v>39093.709999999992</v>
      </c>
      <c r="T854" s="24" t="s">
        <v>1081</v>
      </c>
      <c r="U854" s="24" t="s">
        <v>1081</v>
      </c>
      <c r="V854" s="67"/>
      <c r="W854" s="25" t="str">
        <f>IFERROR(VLOOKUP(BCP_Soles[[#This Row],[DESTINATARIO]],CHOOSE({1,2},Clientes_Proveedores[Razon Social],Clientes_Proveedores[Ruc / Dni]),2,0),"")</f>
        <v/>
      </c>
      <c r="X854" s="25" t="s">
        <v>1991</v>
      </c>
      <c r="Y854" s="25" t="s">
        <v>1992</v>
      </c>
      <c r="Z854" s="25"/>
      <c r="AA854" s="99"/>
      <c r="AB854" s="3" t="str">
        <f>IF(BCP_Soles[[#This Row],[FECHA]]&gt;0,TEXT(BCP_Soles[[#This Row],[FECHA]],"mmmm"),0)</f>
        <v>Marzo</v>
      </c>
    </row>
    <row r="855" spans="2:28" x14ac:dyDescent="0.3">
      <c r="B855" s="2">
        <f>IF(BCP_Soles[[#This Row],[TIPO DE R.]]="R",COUNTIFS($D$4:$D854,"R")+1,"")</f>
        <v>650</v>
      </c>
      <c r="C855" s="19" t="str">
        <f t="shared" si="65"/>
        <v>B-BCP - Soles</v>
      </c>
      <c r="D855" s="3" t="s">
        <v>1074</v>
      </c>
      <c r="E855" s="14">
        <v>45730</v>
      </c>
      <c r="F855" s="5" t="s">
        <v>1078</v>
      </c>
      <c r="G855" s="5" t="s">
        <v>1079</v>
      </c>
      <c r="H855" s="6"/>
      <c r="I855" s="6"/>
      <c r="J855" s="6"/>
      <c r="K855" s="6"/>
      <c r="L855" s="7" t="s">
        <v>1080</v>
      </c>
      <c r="M855" s="8"/>
      <c r="N855" s="8" t="str">
        <f t="shared" si="66"/>
        <v>PEN</v>
      </c>
      <c r="O855" s="13"/>
      <c r="P855" s="13">
        <v>2</v>
      </c>
      <c r="Q855" s="3">
        <f t="shared" si="67"/>
        <v>0</v>
      </c>
      <c r="R855" s="3">
        <f t="shared" si="68"/>
        <v>2</v>
      </c>
      <c r="S855" s="3">
        <f t="shared" si="69"/>
        <v>39091.709999999992</v>
      </c>
      <c r="T855" s="24"/>
      <c r="U855" s="24" t="s">
        <v>1081</v>
      </c>
      <c r="V855" s="67"/>
      <c r="W855" s="25" t="str">
        <f>IFERROR(VLOOKUP(BCP_Soles[[#This Row],[DESTINATARIO]],CHOOSE({1,2},Clientes_Proveedores[Razon Social],Clientes_Proveedores[Ruc / Dni]),2,0),"")</f>
        <v/>
      </c>
      <c r="X855" s="25"/>
      <c r="Y855" s="25"/>
      <c r="Z855" s="25"/>
      <c r="AA855" s="99"/>
      <c r="AB855" s="3" t="str">
        <f>IF(BCP_Soles[[#This Row],[FECHA]]&gt;0,TEXT(BCP_Soles[[#This Row],[FECHA]],"mmmm"),0)</f>
        <v>Marzo</v>
      </c>
    </row>
    <row r="856" spans="2:28" x14ac:dyDescent="0.3">
      <c r="B856" s="2">
        <f>IF(BCP_Soles[[#This Row],[TIPO DE R.]]="R",COUNTIFS($D$4:$D855,"R")+1,"")</f>
        <v>651</v>
      </c>
      <c r="C856" s="19" t="str">
        <f t="shared" si="65"/>
        <v>B-BCP - Soles</v>
      </c>
      <c r="D856" s="3" t="s">
        <v>1074</v>
      </c>
      <c r="E856" s="14">
        <v>45730</v>
      </c>
      <c r="F856" s="5" t="s">
        <v>1082</v>
      </c>
      <c r="G856" s="5" t="s">
        <v>1079</v>
      </c>
      <c r="H856" s="6"/>
      <c r="I856" s="6"/>
      <c r="J856" s="6"/>
      <c r="K856" s="6"/>
      <c r="L856" s="7" t="s">
        <v>1993</v>
      </c>
      <c r="M856" s="8">
        <v>2694289</v>
      </c>
      <c r="N856" s="8" t="str">
        <f t="shared" si="66"/>
        <v>PEN</v>
      </c>
      <c r="O856" s="13"/>
      <c r="P856" s="13">
        <v>18008.79</v>
      </c>
      <c r="Q856" s="3">
        <f t="shared" si="67"/>
        <v>0</v>
      </c>
      <c r="R856" s="3">
        <f t="shared" si="68"/>
        <v>18008.79</v>
      </c>
      <c r="S856" s="3">
        <f t="shared" si="69"/>
        <v>21082.919999999991</v>
      </c>
      <c r="T856" s="24" t="s">
        <v>1081</v>
      </c>
      <c r="U856" s="24" t="s">
        <v>1081</v>
      </c>
      <c r="V856" s="67"/>
      <c r="W856" s="25" t="str">
        <f>IFERROR(VLOOKUP(BCP_Soles[[#This Row],[DESTINATARIO]],CHOOSE({1,2},Clientes_Proveedores[Razon Social],Clientes_Proveedores[Ruc / Dni]),2,0),"")</f>
        <v/>
      </c>
      <c r="X856" s="25" t="s">
        <v>1118</v>
      </c>
      <c r="Y856" s="25"/>
      <c r="Z856" s="25"/>
      <c r="AA856" s="99"/>
      <c r="AB856" s="3" t="str">
        <f>IF(BCP_Soles[[#This Row],[FECHA]]&gt;0,TEXT(BCP_Soles[[#This Row],[FECHA]],"mmmm"),0)</f>
        <v>Marzo</v>
      </c>
    </row>
    <row r="857" spans="2:28" x14ac:dyDescent="0.3">
      <c r="B857" s="2" t="str">
        <f>IF(BCP_Soles[[#This Row],[TIPO DE R.]]="R",COUNTIFS($D$4:$D856,"R")+1,"")</f>
        <v/>
      </c>
      <c r="C857" s="19" t="str">
        <f t="shared" si="65"/>
        <v>B-BCP - Soles</v>
      </c>
      <c r="D857" s="3" t="s">
        <v>1101</v>
      </c>
      <c r="E857" s="14">
        <v>45730</v>
      </c>
      <c r="F857" s="5" t="s">
        <v>1082</v>
      </c>
      <c r="G857" s="5"/>
      <c r="H857" s="6" t="s">
        <v>357</v>
      </c>
      <c r="I857" s="6" t="s">
        <v>14</v>
      </c>
      <c r="J857" s="6" t="s">
        <v>1119</v>
      </c>
      <c r="K857" s="6">
        <v>13605</v>
      </c>
      <c r="L857" s="7" t="s">
        <v>1993</v>
      </c>
      <c r="M857" s="8">
        <v>2694289</v>
      </c>
      <c r="N857" s="8" t="str">
        <f t="shared" si="66"/>
        <v>PEN</v>
      </c>
      <c r="O857" s="13">
        <v>16663.27</v>
      </c>
      <c r="P857" s="13"/>
      <c r="Q857" s="3">
        <f t="shared" si="67"/>
        <v>0</v>
      </c>
      <c r="R857" s="3">
        <f t="shared" si="68"/>
        <v>0</v>
      </c>
      <c r="S857" s="3">
        <f t="shared" si="69"/>
        <v>21082.919999999991</v>
      </c>
      <c r="T857" s="24"/>
      <c r="U857" s="24"/>
      <c r="V857" s="67"/>
      <c r="W857" s="25">
        <f>IFERROR(VLOOKUP(BCP_Soles[[#This Row],[DESTINATARIO]],CHOOSE({1,2},Clientes_Proveedores[Razon Social],Clientes_Proveedores[Ruc / Dni]),2,0),"")</f>
        <v>20553255709</v>
      </c>
      <c r="X857" s="25"/>
      <c r="Y857" s="25"/>
      <c r="Z857" s="25"/>
      <c r="AA857" s="99"/>
      <c r="AB857" s="3" t="str">
        <f>IF(BCP_Soles[[#This Row],[FECHA]]&gt;0,TEXT(BCP_Soles[[#This Row],[FECHA]],"mmmm"),0)</f>
        <v>Marzo</v>
      </c>
    </row>
    <row r="858" spans="2:28" x14ac:dyDescent="0.3">
      <c r="B858" s="2" t="str">
        <f>IF(BCP_Soles[[#This Row],[TIPO DE R.]]="R",COUNTIFS($D$4:$D857,"R")+1,"")</f>
        <v/>
      </c>
      <c r="C858" s="19" t="str">
        <f t="shared" si="65"/>
        <v>B-BCP - Soles</v>
      </c>
      <c r="D858" s="3" t="s">
        <v>1101</v>
      </c>
      <c r="E858" s="14">
        <v>45730</v>
      </c>
      <c r="F858" s="5" t="s">
        <v>1082</v>
      </c>
      <c r="G858" s="5"/>
      <c r="H858" s="6" t="s">
        <v>465</v>
      </c>
      <c r="I858" s="6" t="s">
        <v>14</v>
      </c>
      <c r="J858" s="6" t="s">
        <v>1121</v>
      </c>
      <c r="K858" s="6">
        <v>3741</v>
      </c>
      <c r="L858" s="7" t="s">
        <v>1993</v>
      </c>
      <c r="M858" s="8">
        <v>2694289</v>
      </c>
      <c r="N858" s="8" t="str">
        <f t="shared" si="66"/>
        <v>PEN</v>
      </c>
      <c r="O858" s="13">
        <v>250.75</v>
      </c>
      <c r="P858" s="13"/>
      <c r="Q858" s="3">
        <f t="shared" si="67"/>
        <v>0</v>
      </c>
      <c r="R858" s="3">
        <f t="shared" si="68"/>
        <v>0</v>
      </c>
      <c r="S858" s="3">
        <f t="shared" si="69"/>
        <v>21082.919999999991</v>
      </c>
      <c r="T858" s="24"/>
      <c r="U858" s="24"/>
      <c r="V858" s="67"/>
      <c r="W858" s="25">
        <f>IFERROR(VLOOKUP(BCP_Soles[[#This Row],[DESTINATARIO]],CHOOSE({1,2},Clientes_Proveedores[Razon Social],Clientes_Proveedores[Ruc / Dni]),2,0),"")</f>
        <v>20603974817</v>
      </c>
      <c r="X858" s="25"/>
      <c r="Y858" s="25"/>
      <c r="Z858" s="25"/>
      <c r="AA858" s="99"/>
      <c r="AB858" s="3" t="str">
        <f>IF(BCP_Soles[[#This Row],[FECHA]]&gt;0,TEXT(BCP_Soles[[#This Row],[FECHA]],"mmmm"),0)</f>
        <v>Marzo</v>
      </c>
    </row>
    <row r="859" spans="2:28" x14ac:dyDescent="0.3">
      <c r="B859" s="2" t="str">
        <f>IF(BCP_Soles[[#This Row],[TIPO DE R.]]="R",COUNTIFS($D$4:$D858,"R")+1,"")</f>
        <v/>
      </c>
      <c r="C859" s="19" t="str">
        <f t="shared" si="65"/>
        <v>B-BCP - Soles</v>
      </c>
      <c r="D859" s="3" t="s">
        <v>1101</v>
      </c>
      <c r="E859" s="14">
        <v>45730</v>
      </c>
      <c r="F859" s="5" t="s">
        <v>1082</v>
      </c>
      <c r="G859" s="5"/>
      <c r="H859" s="6" t="s">
        <v>465</v>
      </c>
      <c r="I859" s="6" t="s">
        <v>14</v>
      </c>
      <c r="J859" s="6" t="s">
        <v>1121</v>
      </c>
      <c r="K859" s="6">
        <v>3738</v>
      </c>
      <c r="L859" s="7" t="s">
        <v>1993</v>
      </c>
      <c r="M859" s="8">
        <v>2694289</v>
      </c>
      <c r="N859" s="8" t="str">
        <f t="shared" si="66"/>
        <v>PEN</v>
      </c>
      <c r="O859" s="13">
        <v>351.05</v>
      </c>
      <c r="P859" s="13"/>
      <c r="Q859" s="3">
        <f t="shared" si="67"/>
        <v>0</v>
      </c>
      <c r="R859" s="3">
        <f t="shared" si="68"/>
        <v>0</v>
      </c>
      <c r="S859" s="3">
        <f t="shared" si="69"/>
        <v>21082.919999999991</v>
      </c>
      <c r="T859" s="24"/>
      <c r="U859" s="24"/>
      <c r="V859" s="67"/>
      <c r="W859" s="25">
        <f>IFERROR(VLOOKUP(BCP_Soles[[#This Row],[DESTINATARIO]],CHOOSE({1,2},Clientes_Proveedores[Razon Social],Clientes_Proveedores[Ruc / Dni]),2,0),"")</f>
        <v>20603974817</v>
      </c>
      <c r="X859" s="25"/>
      <c r="Y859" s="25"/>
      <c r="Z859" s="25"/>
      <c r="AA859" s="99"/>
      <c r="AB859" s="3" t="str">
        <f>IF(BCP_Soles[[#This Row],[FECHA]]&gt;0,TEXT(BCP_Soles[[#This Row],[FECHA]],"mmmm"),0)</f>
        <v>Marzo</v>
      </c>
    </row>
    <row r="860" spans="2:28" x14ac:dyDescent="0.3">
      <c r="B860" s="2" t="str">
        <f>IF(BCP_Soles[[#This Row],[TIPO DE R.]]="R",COUNTIFS($D$4:$D859,"R")+1,"")</f>
        <v/>
      </c>
      <c r="C860" s="19" t="str">
        <f t="shared" si="65"/>
        <v>B-BCP - Soles</v>
      </c>
      <c r="D860" s="3" t="s">
        <v>1101</v>
      </c>
      <c r="E860" s="14">
        <v>45730</v>
      </c>
      <c r="F860" s="5" t="s">
        <v>1082</v>
      </c>
      <c r="G860" s="5"/>
      <c r="H860" s="6" t="s">
        <v>465</v>
      </c>
      <c r="I860" s="6" t="s">
        <v>14</v>
      </c>
      <c r="J860" s="6" t="s">
        <v>1121</v>
      </c>
      <c r="K860" s="6">
        <v>3736</v>
      </c>
      <c r="L860" s="7" t="s">
        <v>1993</v>
      </c>
      <c r="M860" s="8">
        <v>2694289</v>
      </c>
      <c r="N860" s="8" t="str">
        <f t="shared" si="66"/>
        <v>PEN</v>
      </c>
      <c r="O860" s="13">
        <v>653.72</v>
      </c>
      <c r="P860" s="13"/>
      <c r="Q860" s="3">
        <f t="shared" si="67"/>
        <v>0</v>
      </c>
      <c r="R860" s="3">
        <f t="shared" si="68"/>
        <v>0</v>
      </c>
      <c r="S860" s="3">
        <f t="shared" si="69"/>
        <v>21082.919999999991</v>
      </c>
      <c r="T860" s="24"/>
      <c r="U860" s="24"/>
      <c r="V860" s="67"/>
      <c r="W860" s="25">
        <f>IFERROR(VLOOKUP(BCP_Soles[[#This Row],[DESTINATARIO]],CHOOSE({1,2},Clientes_Proveedores[Razon Social],Clientes_Proveedores[Ruc / Dni]),2,0),"")</f>
        <v>20603974817</v>
      </c>
      <c r="X860" s="25"/>
      <c r="Y860" s="25"/>
      <c r="Z860" s="25"/>
      <c r="AA860" s="99"/>
      <c r="AB860" s="3" t="str">
        <f>IF(BCP_Soles[[#This Row],[FECHA]]&gt;0,TEXT(BCP_Soles[[#This Row],[FECHA]],"mmmm"),0)</f>
        <v>Marzo</v>
      </c>
    </row>
    <row r="861" spans="2:28" ht="24" x14ac:dyDescent="0.3">
      <c r="B861" s="2" t="str">
        <f>IF(BCP_Soles[[#This Row],[TIPO DE R.]]="R",COUNTIFS($D$4:$D860,"R")+1,"")</f>
        <v/>
      </c>
      <c r="C861" s="19" t="str">
        <f t="shared" si="65"/>
        <v>B-BCP - Soles</v>
      </c>
      <c r="D861" s="3" t="s">
        <v>1101</v>
      </c>
      <c r="E861" s="14">
        <v>45730</v>
      </c>
      <c r="F861" s="5" t="s">
        <v>1082</v>
      </c>
      <c r="G861" s="5"/>
      <c r="H861" s="6" t="s">
        <v>130</v>
      </c>
      <c r="I861" s="6" t="s">
        <v>14</v>
      </c>
      <c r="J861" s="6" t="s">
        <v>1121</v>
      </c>
      <c r="K861" s="6">
        <v>299</v>
      </c>
      <c r="L861" s="7" t="s">
        <v>1993</v>
      </c>
      <c r="M861" s="8">
        <v>2694289</v>
      </c>
      <c r="N861" s="8" t="str">
        <f t="shared" si="66"/>
        <v>PEN</v>
      </c>
      <c r="O861" s="13">
        <v>90</v>
      </c>
      <c r="P861" s="13"/>
      <c r="Q861" s="3">
        <f t="shared" si="67"/>
        <v>0</v>
      </c>
      <c r="R861" s="3">
        <f t="shared" si="68"/>
        <v>0</v>
      </c>
      <c r="S861" s="3">
        <f t="shared" si="69"/>
        <v>21082.919999999991</v>
      </c>
      <c r="T861" s="24"/>
      <c r="U861" s="24"/>
      <c r="V861" s="67"/>
      <c r="W861" s="25">
        <f>IFERROR(VLOOKUP(BCP_Soles[[#This Row],[DESTINATARIO]],CHOOSE({1,2},Clientes_Proveedores[Razon Social],Clientes_Proveedores[Ruc / Dni]),2,0),"")</f>
        <v>10706063426</v>
      </c>
      <c r="X861" s="25"/>
      <c r="Y861" s="25"/>
      <c r="Z861" s="25"/>
      <c r="AA861" s="99"/>
      <c r="AB861" s="3" t="str">
        <f>IF(BCP_Soles[[#This Row],[FECHA]]&gt;0,TEXT(BCP_Soles[[#This Row],[FECHA]],"mmmm"),0)</f>
        <v>Marzo</v>
      </c>
    </row>
    <row r="862" spans="2:28" ht="24" x14ac:dyDescent="0.3">
      <c r="B862" s="2">
        <f>IF(BCP_Soles[[#This Row],[TIPO DE R.]]="R",COUNTIFS($D$4:$D861,"R")+1,"")</f>
        <v>652</v>
      </c>
      <c r="C862" s="19" t="str">
        <f t="shared" si="65"/>
        <v>B-BCP - Soles</v>
      </c>
      <c r="D862" s="3" t="s">
        <v>1074</v>
      </c>
      <c r="E862" s="14">
        <v>45730</v>
      </c>
      <c r="F862" s="5" t="s">
        <v>1082</v>
      </c>
      <c r="G862" s="5" t="s">
        <v>1079</v>
      </c>
      <c r="H862" s="6" t="s">
        <v>750</v>
      </c>
      <c r="I862" s="6"/>
      <c r="J862" s="6"/>
      <c r="K862" s="6"/>
      <c r="L862" s="7" t="s">
        <v>1994</v>
      </c>
      <c r="M862" s="8">
        <v>1284909</v>
      </c>
      <c r="N862" s="8" t="str">
        <f t="shared" si="66"/>
        <v>PEN</v>
      </c>
      <c r="O862" s="13"/>
      <c r="P862" s="13">
        <v>3000</v>
      </c>
      <c r="Q862" s="3">
        <f t="shared" si="67"/>
        <v>0</v>
      </c>
      <c r="R862" s="3">
        <f t="shared" si="68"/>
        <v>3000</v>
      </c>
      <c r="S862" s="3">
        <f t="shared" si="69"/>
        <v>18082.919999999991</v>
      </c>
      <c r="T862" s="24"/>
      <c r="U862" s="24"/>
      <c r="V862" s="67"/>
      <c r="W862" s="25">
        <f>IFERROR(VLOOKUP(BCP_Soles[[#This Row],[DESTINATARIO]],CHOOSE({1,2},Clientes_Proveedores[Razon Social],Clientes_Proveedores[Ruc / Dni]),2,0),"")</f>
        <v>45286301</v>
      </c>
      <c r="X862" s="25" t="s">
        <v>750</v>
      </c>
      <c r="Y862" s="25"/>
      <c r="Z862" s="25"/>
      <c r="AA862" s="99"/>
      <c r="AB862" s="3" t="str">
        <f>IF(BCP_Soles[[#This Row],[FECHA]]&gt;0,TEXT(BCP_Soles[[#This Row],[FECHA]],"mmmm"),0)</f>
        <v>Marzo</v>
      </c>
    </row>
    <row r="863" spans="2:28" ht="24" x14ac:dyDescent="0.3">
      <c r="B863" s="2">
        <f>IF(BCP_Soles[[#This Row],[TIPO DE R.]]="R",COUNTIFS($D$4:$D862,"R")+1,"")</f>
        <v>653</v>
      </c>
      <c r="C863" s="19" t="str">
        <f t="shared" si="65"/>
        <v>B-BCP - Soles</v>
      </c>
      <c r="D863" s="3" t="s">
        <v>1074</v>
      </c>
      <c r="E863" s="14">
        <v>45730</v>
      </c>
      <c r="F863" s="5" t="s">
        <v>1163</v>
      </c>
      <c r="G863" s="5" t="s">
        <v>1079</v>
      </c>
      <c r="H863" s="6"/>
      <c r="I863" s="6"/>
      <c r="J863" s="6"/>
      <c r="K863" s="6"/>
      <c r="L863" s="7" t="s">
        <v>1100</v>
      </c>
      <c r="M863" s="8">
        <v>3507366</v>
      </c>
      <c r="N863" s="8" t="str">
        <f t="shared" si="66"/>
        <v>PEN</v>
      </c>
      <c r="O863" s="13"/>
      <c r="P863" s="13">
        <v>2000</v>
      </c>
      <c r="Q863" s="3">
        <f t="shared" si="67"/>
        <v>0</v>
      </c>
      <c r="R863" s="3">
        <f t="shared" si="68"/>
        <v>2000</v>
      </c>
      <c r="S863" s="3">
        <f t="shared" si="69"/>
        <v>16082.919999999991</v>
      </c>
      <c r="T863" s="24"/>
      <c r="U863" s="24"/>
      <c r="V863" s="67"/>
      <c r="W863" s="25" t="str">
        <f>IFERROR(VLOOKUP(BCP_Soles[[#This Row],[DESTINATARIO]],CHOOSE({1,2},Clientes_Proveedores[Razon Social],Clientes_Proveedores[Ruc / Dni]),2,0),"")</f>
        <v/>
      </c>
      <c r="X863" s="25"/>
      <c r="Y863" s="25" t="s">
        <v>1172</v>
      </c>
      <c r="Z863" s="25"/>
      <c r="AA863" s="99"/>
      <c r="AB863" s="3" t="str">
        <f>IF(BCP_Soles[[#This Row],[FECHA]]&gt;0,TEXT(BCP_Soles[[#This Row],[FECHA]],"mmmm"),0)</f>
        <v>Marzo</v>
      </c>
    </row>
    <row r="864" spans="2:28" ht="24" x14ac:dyDescent="0.3">
      <c r="B864" s="2">
        <f>IF(BCP_Soles[[#This Row],[TIPO DE R.]]="R",COUNTIFS($D$4:$D863,"R")+1,"")</f>
        <v>654</v>
      </c>
      <c r="C864" s="19" t="str">
        <f t="shared" si="65"/>
        <v>B-BCP - Soles</v>
      </c>
      <c r="D864" s="3" t="s">
        <v>1074</v>
      </c>
      <c r="E864" s="14">
        <v>45730</v>
      </c>
      <c r="F864" s="5" t="s">
        <v>1082</v>
      </c>
      <c r="G864" s="5" t="s">
        <v>1079</v>
      </c>
      <c r="H864" s="6" t="s">
        <v>850</v>
      </c>
      <c r="I864" s="6"/>
      <c r="J864" s="6"/>
      <c r="K864" s="6"/>
      <c r="L864" s="7" t="s">
        <v>1995</v>
      </c>
      <c r="M864" s="8">
        <v>1285401</v>
      </c>
      <c r="N864" s="8" t="str">
        <f t="shared" si="66"/>
        <v>PEN</v>
      </c>
      <c r="O864" s="13"/>
      <c r="P864" s="13">
        <v>1500</v>
      </c>
      <c r="Q864" s="3">
        <f t="shared" si="67"/>
        <v>0</v>
      </c>
      <c r="R864" s="3">
        <f t="shared" si="68"/>
        <v>1500</v>
      </c>
      <c r="S864" s="3">
        <f t="shared" si="69"/>
        <v>14582.919999999991</v>
      </c>
      <c r="T864" s="24"/>
      <c r="U864" s="24"/>
      <c r="V864" s="67"/>
      <c r="W864" s="25">
        <f>IFERROR(VLOOKUP(BCP_Soles[[#This Row],[DESTINATARIO]],CHOOSE({1,2},Clientes_Proveedores[Razon Social],Clientes_Proveedores[Ruc / Dni]),2,0),"")</f>
        <v>44314304</v>
      </c>
      <c r="X864" s="25" t="s">
        <v>850</v>
      </c>
      <c r="Y864" s="25"/>
      <c r="Z864" s="25"/>
      <c r="AA864" s="99"/>
      <c r="AB864" s="3" t="str">
        <f>IF(BCP_Soles[[#This Row],[FECHA]]&gt;0,TEXT(BCP_Soles[[#This Row],[FECHA]],"mmmm"),0)</f>
        <v>Marzo</v>
      </c>
    </row>
    <row r="865" spans="2:28" ht="24" x14ac:dyDescent="0.3">
      <c r="B865" s="2">
        <f>IF(BCP_Soles[[#This Row],[TIPO DE R.]]="R",COUNTIFS($D$4:$D864,"R")+1,"")</f>
        <v>655</v>
      </c>
      <c r="C865" s="19" t="str">
        <f t="shared" si="65"/>
        <v>B-BCP - Soles</v>
      </c>
      <c r="D865" s="3" t="s">
        <v>1074</v>
      </c>
      <c r="E865" s="14">
        <v>45730</v>
      </c>
      <c r="F865" s="5" t="s">
        <v>1996</v>
      </c>
      <c r="G865" s="5" t="s">
        <v>1079</v>
      </c>
      <c r="H865" s="6"/>
      <c r="I865" s="6" t="s">
        <v>14</v>
      </c>
      <c r="J865" s="6" t="s">
        <v>1997</v>
      </c>
      <c r="K865" s="6">
        <v>116797</v>
      </c>
      <c r="L865" s="7" t="s">
        <v>1998</v>
      </c>
      <c r="M865" s="8">
        <v>1032909</v>
      </c>
      <c r="N865" s="8" t="str">
        <f t="shared" si="66"/>
        <v>PEN</v>
      </c>
      <c r="O865" s="13"/>
      <c r="P865" s="13">
        <v>1129.8399999999999</v>
      </c>
      <c r="Q865" s="3">
        <f t="shared" si="67"/>
        <v>0</v>
      </c>
      <c r="R865" s="3">
        <f t="shared" si="68"/>
        <v>1129.8399999999999</v>
      </c>
      <c r="S865" s="3">
        <f t="shared" si="69"/>
        <v>13453.079999999991</v>
      </c>
      <c r="T865" s="24" t="s">
        <v>1081</v>
      </c>
      <c r="U865" s="24" t="s">
        <v>1081</v>
      </c>
      <c r="V865" s="67"/>
      <c r="W865" s="25" t="str">
        <f>IFERROR(VLOOKUP(BCP_Soles[[#This Row],[DESTINATARIO]],CHOOSE({1,2},Clientes_Proveedores[Razon Social],Clientes_Proveedores[Ruc / Dni]),2,0),"")</f>
        <v/>
      </c>
      <c r="X865" s="25" t="s">
        <v>1999</v>
      </c>
      <c r="Y865" s="25" t="s">
        <v>2000</v>
      </c>
      <c r="Z865" s="25"/>
      <c r="AA865" s="99"/>
      <c r="AB865" s="3" t="str">
        <f>IF(BCP_Soles[[#This Row],[FECHA]]&gt;0,TEXT(BCP_Soles[[#This Row],[FECHA]],"mmmm"),0)</f>
        <v>Marzo</v>
      </c>
    </row>
    <row r="866" spans="2:28" ht="24" x14ac:dyDescent="0.3">
      <c r="B866" s="2">
        <f>IF(BCP_Soles[[#This Row],[TIPO DE R.]]="R",COUNTIFS($D$4:$D865,"R")+1,"")</f>
        <v>656</v>
      </c>
      <c r="C866" s="19" t="str">
        <f t="shared" si="65"/>
        <v>B-BCP - Soles</v>
      </c>
      <c r="D866" s="3" t="s">
        <v>1074</v>
      </c>
      <c r="E866" s="14">
        <v>45730</v>
      </c>
      <c r="F866" s="5" t="s">
        <v>1082</v>
      </c>
      <c r="G866" s="5" t="s">
        <v>1079</v>
      </c>
      <c r="H866" s="6"/>
      <c r="I866" s="6"/>
      <c r="J866" s="6"/>
      <c r="K866" s="6"/>
      <c r="L866" s="7" t="s">
        <v>2001</v>
      </c>
      <c r="M866" s="8">
        <v>1125978</v>
      </c>
      <c r="N866" s="8" t="str">
        <f t="shared" si="66"/>
        <v>PEN</v>
      </c>
      <c r="O866" s="13"/>
      <c r="P866" s="13">
        <v>700</v>
      </c>
      <c r="Q866" s="3">
        <f t="shared" si="67"/>
        <v>0</v>
      </c>
      <c r="R866" s="3">
        <f t="shared" si="68"/>
        <v>700</v>
      </c>
      <c r="S866" s="3">
        <f t="shared" si="69"/>
        <v>12753.079999999991</v>
      </c>
      <c r="T866" s="24"/>
      <c r="U866" s="24"/>
      <c r="V866" s="67"/>
      <c r="W866" s="25" t="str">
        <f>IFERROR(VLOOKUP(BCP_Soles[[#This Row],[DESTINATARIO]],CHOOSE({1,2},Clientes_Proveedores[Razon Social],Clientes_Proveedores[Ruc / Dni]),2,0),"")</f>
        <v/>
      </c>
      <c r="X866" s="25" t="s">
        <v>955</v>
      </c>
      <c r="Y866" s="25"/>
      <c r="Z866" s="25"/>
      <c r="AA866" s="99"/>
      <c r="AB866" s="3" t="str">
        <f>IF(BCP_Soles[[#This Row],[FECHA]]&gt;0,TEXT(BCP_Soles[[#This Row],[FECHA]],"mmmm"),0)</f>
        <v>Marzo</v>
      </c>
    </row>
    <row r="867" spans="2:28" ht="24" x14ac:dyDescent="0.3">
      <c r="B867" s="2">
        <f>IF(BCP_Soles[[#This Row],[TIPO DE R.]]="R",COUNTIFS($D$4:$D866,"R")+1,"")</f>
        <v>657</v>
      </c>
      <c r="C867" s="19" t="str">
        <f t="shared" si="65"/>
        <v>B-BCP - Soles</v>
      </c>
      <c r="D867" s="3" t="s">
        <v>1074</v>
      </c>
      <c r="E867" s="14">
        <v>45730</v>
      </c>
      <c r="F867" s="5" t="s">
        <v>1082</v>
      </c>
      <c r="G867" s="5" t="s">
        <v>1079</v>
      </c>
      <c r="H867" s="6" t="s">
        <v>825</v>
      </c>
      <c r="I867" s="6" t="s">
        <v>87</v>
      </c>
      <c r="J867" s="6">
        <v>1</v>
      </c>
      <c r="K867" s="6">
        <v>202025</v>
      </c>
      <c r="L867" s="7" t="s">
        <v>2002</v>
      </c>
      <c r="M867" s="8">
        <v>1284417</v>
      </c>
      <c r="N867" s="8" t="str">
        <f t="shared" si="66"/>
        <v>PEN</v>
      </c>
      <c r="O867" s="13"/>
      <c r="P867" s="13">
        <v>631.5</v>
      </c>
      <c r="Q867" s="3">
        <f t="shared" si="67"/>
        <v>0</v>
      </c>
      <c r="R867" s="3">
        <f t="shared" si="68"/>
        <v>631.5</v>
      </c>
      <c r="S867" s="3">
        <f t="shared" si="69"/>
        <v>12121.579999999991</v>
      </c>
      <c r="T867" s="24" t="s">
        <v>1081</v>
      </c>
      <c r="U867" s="24" t="s">
        <v>1081</v>
      </c>
      <c r="V867" s="67"/>
      <c r="W867" s="25">
        <f>IFERROR(VLOOKUP(BCP_Soles[[#This Row],[DESTINATARIO]],CHOOSE({1,2},Clientes_Proveedores[Razon Social],Clientes_Proveedores[Ruc / Dni]),2,0),"")</f>
        <v>71979355</v>
      </c>
      <c r="X867" s="25"/>
      <c r="Y867" s="25"/>
      <c r="Z867" s="25"/>
      <c r="AA867" s="99"/>
      <c r="AB867" s="3" t="str">
        <f>IF(BCP_Soles[[#This Row],[FECHA]]&gt;0,TEXT(BCP_Soles[[#This Row],[FECHA]],"mmmm"),0)</f>
        <v>Marzo</v>
      </c>
    </row>
    <row r="868" spans="2:28" ht="24" x14ac:dyDescent="0.3">
      <c r="B868" s="2">
        <f>IF(BCP_Soles[[#This Row],[TIPO DE R.]]="R",COUNTIFS($D$4:$D867,"R")+1,"")</f>
        <v>658</v>
      </c>
      <c r="C868" s="19" t="str">
        <f t="shared" si="65"/>
        <v>B-BCP - Soles</v>
      </c>
      <c r="D868" s="3" t="s">
        <v>1074</v>
      </c>
      <c r="E868" s="14">
        <v>45730</v>
      </c>
      <c r="F868" s="5" t="s">
        <v>1082</v>
      </c>
      <c r="G868" s="5" t="s">
        <v>1079</v>
      </c>
      <c r="H868" s="6"/>
      <c r="I868" s="6"/>
      <c r="J868" s="6"/>
      <c r="K868" s="6"/>
      <c r="L868" s="7" t="s">
        <v>2003</v>
      </c>
      <c r="M868" s="8">
        <v>1285402</v>
      </c>
      <c r="N868" s="8" t="str">
        <f t="shared" si="66"/>
        <v>PEN</v>
      </c>
      <c r="O868" s="13"/>
      <c r="P868" s="13">
        <v>630</v>
      </c>
      <c r="Q868" s="3">
        <f t="shared" si="67"/>
        <v>0</v>
      </c>
      <c r="R868" s="3">
        <f t="shared" si="68"/>
        <v>630</v>
      </c>
      <c r="S868" s="3">
        <f t="shared" si="69"/>
        <v>11491.579999999991</v>
      </c>
      <c r="T868" s="24"/>
      <c r="U868" s="24"/>
      <c r="V868" s="67"/>
      <c r="W868" s="25" t="str">
        <f>IFERROR(VLOOKUP(BCP_Soles[[#This Row],[DESTINATARIO]],CHOOSE({1,2},Clientes_Proveedores[Razon Social],Clientes_Proveedores[Ruc / Dni]),2,0),"")</f>
        <v/>
      </c>
      <c r="X868" s="25" t="s">
        <v>859</v>
      </c>
      <c r="Y868" s="25"/>
      <c r="Z868" s="25"/>
      <c r="AA868" s="99"/>
      <c r="AB868" s="3" t="str">
        <f>IF(BCP_Soles[[#This Row],[FECHA]]&gt;0,TEXT(BCP_Soles[[#This Row],[FECHA]],"mmmm"),0)</f>
        <v>Marzo</v>
      </c>
    </row>
    <row r="869" spans="2:28" ht="24" x14ac:dyDescent="0.3">
      <c r="B869" s="2">
        <f>IF(BCP_Soles[[#This Row],[TIPO DE R.]]="R",COUNTIFS($D$4:$D868,"R")+1,"")</f>
        <v>659</v>
      </c>
      <c r="C869" s="19" t="str">
        <f t="shared" si="65"/>
        <v>B-BCP - Soles</v>
      </c>
      <c r="D869" s="3" t="s">
        <v>1074</v>
      </c>
      <c r="E869" s="14">
        <v>45730</v>
      </c>
      <c r="F869" s="5" t="s">
        <v>1082</v>
      </c>
      <c r="G869" s="5" t="s">
        <v>1079</v>
      </c>
      <c r="H869" s="6"/>
      <c r="I869" s="6"/>
      <c r="J869" s="6"/>
      <c r="K869" s="6"/>
      <c r="L869" s="7" t="s">
        <v>2004</v>
      </c>
      <c r="M869" s="8">
        <v>1286381</v>
      </c>
      <c r="N869" s="8" t="str">
        <f t="shared" si="66"/>
        <v>PEN</v>
      </c>
      <c r="O869" s="13"/>
      <c r="P869" s="13">
        <v>600</v>
      </c>
      <c r="Q869" s="3">
        <f t="shared" si="67"/>
        <v>0</v>
      </c>
      <c r="R869" s="3">
        <f t="shared" si="68"/>
        <v>600</v>
      </c>
      <c r="S869" s="3">
        <f t="shared" si="69"/>
        <v>10891.579999999991</v>
      </c>
      <c r="T869" s="24"/>
      <c r="U869" s="24"/>
      <c r="V869" s="67"/>
      <c r="W869" s="25" t="str">
        <f>IFERROR(VLOOKUP(BCP_Soles[[#This Row],[DESTINATARIO]],CHOOSE({1,2},Clientes_Proveedores[Razon Social],Clientes_Proveedores[Ruc / Dni]),2,0),"")</f>
        <v/>
      </c>
      <c r="X869" s="25" t="s">
        <v>1334</v>
      </c>
      <c r="Y869" s="25"/>
      <c r="Z869" s="25"/>
      <c r="AA869" s="99"/>
      <c r="AB869" s="3" t="str">
        <f>IF(BCP_Soles[[#This Row],[FECHA]]&gt;0,TEXT(BCP_Soles[[#This Row],[FECHA]],"mmmm"),0)</f>
        <v>Marzo</v>
      </c>
    </row>
    <row r="870" spans="2:28" ht="24" x14ac:dyDescent="0.3">
      <c r="B870" s="2">
        <f>IF(BCP_Soles[[#This Row],[TIPO DE R.]]="R",COUNTIFS($D$4:$D869,"R")+1,"")</f>
        <v>660</v>
      </c>
      <c r="C870" s="19" t="str">
        <f t="shared" si="65"/>
        <v>B-BCP - Soles</v>
      </c>
      <c r="D870" s="3" t="s">
        <v>1074</v>
      </c>
      <c r="E870" s="14">
        <v>45730</v>
      </c>
      <c r="F870" s="5" t="s">
        <v>1082</v>
      </c>
      <c r="G870" s="5" t="s">
        <v>1079</v>
      </c>
      <c r="H870" s="6"/>
      <c r="I870" s="6"/>
      <c r="J870" s="6"/>
      <c r="K870" s="6"/>
      <c r="L870" s="7" t="s">
        <v>2005</v>
      </c>
      <c r="M870" s="8">
        <v>1287805</v>
      </c>
      <c r="N870" s="8" t="str">
        <f t="shared" si="66"/>
        <v>PEN</v>
      </c>
      <c r="O870" s="13"/>
      <c r="P870" s="13">
        <v>400</v>
      </c>
      <c r="Q870" s="3">
        <f t="shared" si="67"/>
        <v>0</v>
      </c>
      <c r="R870" s="3">
        <f t="shared" si="68"/>
        <v>400</v>
      </c>
      <c r="S870" s="3">
        <f t="shared" si="69"/>
        <v>10491.579999999991</v>
      </c>
      <c r="T870" s="24"/>
      <c r="U870" s="24"/>
      <c r="V870" s="67"/>
      <c r="W870" s="25" t="str">
        <f>IFERROR(VLOOKUP(BCP_Soles[[#This Row],[DESTINATARIO]],CHOOSE({1,2},Clientes_Proveedores[Razon Social],Clientes_Proveedores[Ruc / Dni]),2,0),"")</f>
        <v/>
      </c>
      <c r="X870" s="25" t="s">
        <v>1338</v>
      </c>
      <c r="Y870" s="25"/>
      <c r="Z870" s="25"/>
      <c r="AA870" s="99"/>
      <c r="AB870" s="3" t="str">
        <f>IF(BCP_Soles[[#This Row],[FECHA]]&gt;0,TEXT(BCP_Soles[[#This Row],[FECHA]],"mmmm"),0)</f>
        <v>Marzo</v>
      </c>
    </row>
    <row r="871" spans="2:28" ht="24" x14ac:dyDescent="0.3">
      <c r="B871" s="2">
        <f>IF(BCP_Soles[[#This Row],[TIPO DE R.]]="R",COUNTIFS($D$4:$D870,"R")+1,"")</f>
        <v>661</v>
      </c>
      <c r="C871" s="19" t="str">
        <f t="shared" si="65"/>
        <v>B-BCP - Soles</v>
      </c>
      <c r="D871" s="3" t="s">
        <v>1074</v>
      </c>
      <c r="E871" s="14">
        <v>45730</v>
      </c>
      <c r="F871" s="5" t="s">
        <v>1082</v>
      </c>
      <c r="G871" s="5" t="s">
        <v>1079</v>
      </c>
      <c r="H871" s="6" t="s">
        <v>281</v>
      </c>
      <c r="I871" s="6" t="s">
        <v>14</v>
      </c>
      <c r="J871" s="6" t="s">
        <v>1121</v>
      </c>
      <c r="K871" s="6">
        <v>460</v>
      </c>
      <c r="L871" s="7" t="s">
        <v>2006</v>
      </c>
      <c r="M871" s="8">
        <v>1285400</v>
      </c>
      <c r="N871" s="8" t="str">
        <f t="shared" si="66"/>
        <v>PEN</v>
      </c>
      <c r="O871" s="13"/>
      <c r="P871" s="13">
        <v>354</v>
      </c>
      <c r="Q871" s="3">
        <f t="shared" si="67"/>
        <v>0</v>
      </c>
      <c r="R871" s="3">
        <f t="shared" si="68"/>
        <v>354</v>
      </c>
      <c r="S871" s="3">
        <f t="shared" si="69"/>
        <v>10137.579999999991</v>
      </c>
      <c r="T871" s="24" t="s">
        <v>1081</v>
      </c>
      <c r="U871" s="24" t="s">
        <v>1081</v>
      </c>
      <c r="V871" s="67"/>
      <c r="W871" s="25">
        <f>IFERROR(VLOOKUP(BCP_Soles[[#This Row],[DESTINATARIO]],CHOOSE({1,2},Clientes_Proveedores[Razon Social],Clientes_Proveedores[Ruc / Dni]),2,0),"")</f>
        <v>20498380931</v>
      </c>
      <c r="X871" s="25" t="s">
        <v>281</v>
      </c>
      <c r="Y871" s="25" t="s">
        <v>2007</v>
      </c>
      <c r="Z871" s="25"/>
      <c r="AA871" s="99"/>
      <c r="AB871" s="3" t="str">
        <f>IF(BCP_Soles[[#This Row],[FECHA]]&gt;0,TEXT(BCP_Soles[[#This Row],[FECHA]],"mmmm"),0)</f>
        <v>Marzo</v>
      </c>
    </row>
    <row r="872" spans="2:28" ht="24" x14ac:dyDescent="0.3">
      <c r="B872" s="2">
        <f>IF(BCP_Soles[[#This Row],[TIPO DE R.]]="R",COUNTIFS($D$4:$D871,"R")+1,"")</f>
        <v>662</v>
      </c>
      <c r="C872" s="19" t="str">
        <f t="shared" si="65"/>
        <v>B-BCP - Soles</v>
      </c>
      <c r="D872" s="3" t="s">
        <v>1074</v>
      </c>
      <c r="E872" s="14">
        <v>45730</v>
      </c>
      <c r="F872" s="5" t="s">
        <v>1082</v>
      </c>
      <c r="G872" s="5" t="s">
        <v>1079</v>
      </c>
      <c r="H872" s="6" t="s">
        <v>192</v>
      </c>
      <c r="I872" s="6"/>
      <c r="J872" s="6"/>
      <c r="K872" s="6"/>
      <c r="L872" s="7" t="s">
        <v>2008</v>
      </c>
      <c r="M872" s="8">
        <v>1286862</v>
      </c>
      <c r="N872" s="8" t="str">
        <f t="shared" si="66"/>
        <v>PEN</v>
      </c>
      <c r="O872" s="13"/>
      <c r="P872" s="13">
        <v>304.51</v>
      </c>
      <c r="Q872" s="3">
        <f t="shared" si="67"/>
        <v>0</v>
      </c>
      <c r="R872" s="3">
        <f t="shared" si="68"/>
        <v>304.51</v>
      </c>
      <c r="S872" s="3">
        <f t="shared" si="69"/>
        <v>9833.0699999999906</v>
      </c>
      <c r="T872" s="24"/>
      <c r="U872" s="24"/>
      <c r="V872" s="67"/>
      <c r="W872" s="25">
        <f>IFERROR(VLOOKUP(BCP_Soles[[#This Row],[DESTINATARIO]],CHOOSE({1,2},Clientes_Proveedores[Razon Social],Clientes_Proveedores[Ruc / Dni]),2,0),"")</f>
        <v>20302891452</v>
      </c>
      <c r="X872" s="25" t="s">
        <v>192</v>
      </c>
      <c r="Y872" s="25"/>
      <c r="Z872" s="25"/>
      <c r="AA872" s="99"/>
      <c r="AB872" s="3" t="str">
        <f>IF(BCP_Soles[[#This Row],[FECHA]]&gt;0,TEXT(BCP_Soles[[#This Row],[FECHA]],"mmmm"),0)</f>
        <v>Marzo</v>
      </c>
    </row>
    <row r="873" spans="2:28" ht="24" x14ac:dyDescent="0.3">
      <c r="B873" s="2">
        <f>IF(BCP_Soles[[#This Row],[TIPO DE R.]]="R",COUNTIFS($D$4:$D872,"R")+1,"")</f>
        <v>663</v>
      </c>
      <c r="C873" s="19" t="str">
        <f t="shared" si="65"/>
        <v>B-BCP - Soles</v>
      </c>
      <c r="D873" s="3" t="s">
        <v>1074</v>
      </c>
      <c r="E873" s="14">
        <v>45730</v>
      </c>
      <c r="F873" s="5" t="s">
        <v>1082</v>
      </c>
      <c r="G873" s="5" t="s">
        <v>1079</v>
      </c>
      <c r="H873" s="6" t="s">
        <v>192</v>
      </c>
      <c r="I873" s="6"/>
      <c r="J873" s="6"/>
      <c r="K873" s="6"/>
      <c r="L873" s="7" t="s">
        <v>2009</v>
      </c>
      <c r="M873" s="8">
        <v>1125977</v>
      </c>
      <c r="N873" s="8" t="str">
        <f t="shared" si="66"/>
        <v>PEN</v>
      </c>
      <c r="O873" s="13"/>
      <c r="P873" s="13">
        <v>293.58999999999997</v>
      </c>
      <c r="Q873" s="3">
        <f t="shared" si="67"/>
        <v>0</v>
      </c>
      <c r="R873" s="3">
        <f t="shared" si="68"/>
        <v>293.58999999999997</v>
      </c>
      <c r="S873" s="3">
        <f t="shared" si="69"/>
        <v>9539.4799999999905</v>
      </c>
      <c r="T873" s="24"/>
      <c r="U873" s="24"/>
      <c r="V873" s="67"/>
      <c r="W873" s="25">
        <f>IFERROR(VLOOKUP(BCP_Soles[[#This Row],[DESTINATARIO]],CHOOSE({1,2},Clientes_Proveedores[Razon Social],Clientes_Proveedores[Ruc / Dni]),2,0),"")</f>
        <v>20302891452</v>
      </c>
      <c r="X873" s="25" t="s">
        <v>192</v>
      </c>
      <c r="Y873" s="25"/>
      <c r="Z873" s="25"/>
      <c r="AA873" s="99"/>
      <c r="AB873" s="3" t="str">
        <f>IF(BCP_Soles[[#This Row],[FECHA]]&gt;0,TEXT(BCP_Soles[[#This Row],[FECHA]],"mmmm"),0)</f>
        <v>Marzo</v>
      </c>
    </row>
    <row r="874" spans="2:28" x14ac:dyDescent="0.3">
      <c r="B874" s="2">
        <f>IF(BCP_Soles[[#This Row],[TIPO DE R.]]="R",COUNTIFS($D$4:$D873,"R")+1,"")</f>
        <v>664</v>
      </c>
      <c r="C874" s="19" t="str">
        <f t="shared" si="65"/>
        <v>B-BCP - Soles</v>
      </c>
      <c r="D874" s="3" t="s">
        <v>1074</v>
      </c>
      <c r="E874" s="14">
        <v>45730</v>
      </c>
      <c r="F874" s="5" t="s">
        <v>1996</v>
      </c>
      <c r="G874" s="5" t="s">
        <v>1079</v>
      </c>
      <c r="H874" s="6" t="s">
        <v>507</v>
      </c>
      <c r="I874" s="6" t="s">
        <v>14</v>
      </c>
      <c r="J874" s="6" t="s">
        <v>1174</v>
      </c>
      <c r="K874" s="6">
        <v>129</v>
      </c>
      <c r="L874" s="7" t="s">
        <v>2010</v>
      </c>
      <c r="M874" s="8">
        <v>1127454</v>
      </c>
      <c r="N874" s="8" t="str">
        <f t="shared" si="66"/>
        <v>PEN</v>
      </c>
      <c r="O874" s="13"/>
      <c r="P874" s="13">
        <v>180</v>
      </c>
      <c r="Q874" s="3">
        <f t="shared" si="67"/>
        <v>0</v>
      </c>
      <c r="R874" s="3">
        <f t="shared" si="68"/>
        <v>180</v>
      </c>
      <c r="S874" s="3">
        <f t="shared" si="69"/>
        <v>9359.4799999999905</v>
      </c>
      <c r="T874" s="24" t="s">
        <v>1081</v>
      </c>
      <c r="U874" s="24" t="s">
        <v>1081</v>
      </c>
      <c r="V874" s="67"/>
      <c r="W874" s="25">
        <f>IFERROR(VLOOKUP(BCP_Soles[[#This Row],[DESTINATARIO]],CHOOSE({1,2},Clientes_Proveedores[Razon Social],Clientes_Proveedores[Ruc / Dni]),2,0),"")</f>
        <v>20608587803</v>
      </c>
      <c r="X874" s="25" t="s">
        <v>507</v>
      </c>
      <c r="Y874" s="25" t="s">
        <v>2011</v>
      </c>
      <c r="Z874" s="25"/>
      <c r="AA874" s="99"/>
      <c r="AB874" s="3" t="str">
        <f>IF(BCP_Soles[[#This Row],[FECHA]]&gt;0,TEXT(BCP_Soles[[#This Row],[FECHA]],"mmmm"),0)</f>
        <v>Marzo</v>
      </c>
    </row>
    <row r="875" spans="2:28" ht="24" x14ac:dyDescent="0.3">
      <c r="B875" s="2">
        <f>IF(BCP_Soles[[#This Row],[TIPO DE R.]]="R",COUNTIFS($D$4:$D874,"R")+1,"")</f>
        <v>665</v>
      </c>
      <c r="C875" s="19" t="str">
        <f t="shared" si="65"/>
        <v>B-BCP - Soles</v>
      </c>
      <c r="D875" s="3" t="s">
        <v>1074</v>
      </c>
      <c r="E875" s="14">
        <v>45730</v>
      </c>
      <c r="F875" s="5" t="s">
        <v>1082</v>
      </c>
      <c r="G875" s="5" t="s">
        <v>1079</v>
      </c>
      <c r="H875" s="6"/>
      <c r="I875" s="6"/>
      <c r="J875" s="6"/>
      <c r="K875" s="6"/>
      <c r="L875" s="7" t="s">
        <v>2012</v>
      </c>
      <c r="M875" s="8">
        <v>1287806</v>
      </c>
      <c r="N875" s="8" t="str">
        <f t="shared" si="66"/>
        <v>PEN</v>
      </c>
      <c r="O875" s="13"/>
      <c r="P875" s="13">
        <v>100</v>
      </c>
      <c r="Q875" s="3">
        <f t="shared" si="67"/>
        <v>0</v>
      </c>
      <c r="R875" s="3">
        <f t="shared" si="68"/>
        <v>100</v>
      </c>
      <c r="S875" s="3">
        <f t="shared" si="69"/>
        <v>9259.4799999999905</v>
      </c>
      <c r="T875" s="24"/>
      <c r="U875" s="24"/>
      <c r="V875" s="67"/>
      <c r="W875" s="25" t="str">
        <f>IFERROR(VLOOKUP(BCP_Soles[[#This Row],[DESTINATARIO]],CHOOSE({1,2},Clientes_Proveedores[Razon Social],Clientes_Proveedores[Ruc / Dni]),2,0),"")</f>
        <v/>
      </c>
      <c r="X875" s="25" t="s">
        <v>807</v>
      </c>
      <c r="Y875" s="25"/>
      <c r="Z875" s="25"/>
      <c r="AA875" s="99"/>
      <c r="AB875" s="3" t="str">
        <f>IF(BCP_Soles[[#This Row],[FECHA]]&gt;0,TEXT(BCP_Soles[[#This Row],[FECHA]],"mmmm"),0)</f>
        <v>Marzo</v>
      </c>
    </row>
    <row r="876" spans="2:28" ht="36" x14ac:dyDescent="0.3">
      <c r="B876" s="2">
        <f>IF(BCP_Soles[[#This Row],[TIPO DE R.]]="R",COUNTIFS($D$4:$D875,"R")+1,"")</f>
        <v>666</v>
      </c>
      <c r="C876" s="19" t="str">
        <f t="shared" si="65"/>
        <v>B-BCP - Soles</v>
      </c>
      <c r="D876" s="3" t="s">
        <v>1074</v>
      </c>
      <c r="E876" s="14">
        <v>45730</v>
      </c>
      <c r="F876" s="5" t="s">
        <v>229</v>
      </c>
      <c r="G876" s="5" t="s">
        <v>1087</v>
      </c>
      <c r="H876" s="6"/>
      <c r="I876" s="6"/>
      <c r="J876" s="6"/>
      <c r="K876" s="6"/>
      <c r="L876" s="7" t="s">
        <v>1127</v>
      </c>
      <c r="M876" s="8">
        <v>11210</v>
      </c>
      <c r="N876" s="8" t="str">
        <f t="shared" si="66"/>
        <v>PEN</v>
      </c>
      <c r="O876" s="13"/>
      <c r="P876" s="13">
        <v>12374.53</v>
      </c>
      <c r="Q876" s="3">
        <f t="shared" si="67"/>
        <v>12374.53</v>
      </c>
      <c r="R876" s="3">
        <f t="shared" si="68"/>
        <v>0</v>
      </c>
      <c r="S876" s="3">
        <f t="shared" si="69"/>
        <v>21634.009999999991</v>
      </c>
      <c r="T876" s="24" t="s">
        <v>1081</v>
      </c>
      <c r="U876" s="24" t="s">
        <v>1081</v>
      </c>
      <c r="V876" s="67"/>
      <c r="W876" s="25" t="str">
        <f>IFERROR(VLOOKUP(BCP_Soles[[#This Row],[DESTINATARIO]],CHOOSE({1,2},Clientes_Proveedores[Razon Social],Clientes_Proveedores[Ruc / Dni]),2,0),"")</f>
        <v/>
      </c>
      <c r="X876" s="25" t="s">
        <v>1090</v>
      </c>
      <c r="Y876" s="25" t="s">
        <v>2013</v>
      </c>
      <c r="Z876" s="25"/>
      <c r="AA876" s="99"/>
      <c r="AB876" s="3" t="str">
        <f>IF(BCP_Soles[[#This Row],[FECHA]]&gt;0,TEXT(BCP_Soles[[#This Row],[FECHA]],"mmmm"),0)</f>
        <v>Marzo</v>
      </c>
    </row>
    <row r="877" spans="2:28" ht="24" x14ac:dyDescent="0.3">
      <c r="B877" s="2">
        <f>IF(BCP_Soles[[#This Row],[TIPO DE R.]]="R",COUNTIFS($D$4:$D876,"R")+1,"")</f>
        <v>667</v>
      </c>
      <c r="C877" s="19" t="str">
        <f t="shared" si="65"/>
        <v>B-BCP - Soles</v>
      </c>
      <c r="D877" s="3" t="s">
        <v>1074</v>
      </c>
      <c r="E877" s="14">
        <v>45730</v>
      </c>
      <c r="F877" s="5" t="s">
        <v>1245</v>
      </c>
      <c r="G877" s="5" t="s">
        <v>1087</v>
      </c>
      <c r="H877" s="6"/>
      <c r="I877" s="6"/>
      <c r="J877" s="6"/>
      <c r="K877" s="6"/>
      <c r="L877" s="7" t="s">
        <v>1100</v>
      </c>
      <c r="M877" s="8">
        <v>4379579</v>
      </c>
      <c r="N877" s="8" t="str">
        <f t="shared" si="66"/>
        <v>PEN</v>
      </c>
      <c r="O877" s="13"/>
      <c r="P877" s="13">
        <v>2159</v>
      </c>
      <c r="Q877" s="3">
        <f t="shared" si="67"/>
        <v>2159</v>
      </c>
      <c r="R877" s="3">
        <f t="shared" si="68"/>
        <v>0</v>
      </c>
      <c r="S877" s="3">
        <f t="shared" si="69"/>
        <v>23793.009999999991</v>
      </c>
      <c r="T877" s="24" t="s">
        <v>1081</v>
      </c>
      <c r="U877" s="24" t="s">
        <v>1081</v>
      </c>
      <c r="V877" s="67"/>
      <c r="W877" s="25" t="str">
        <f>IFERROR(VLOOKUP(BCP_Soles[[#This Row],[DESTINATARIO]],CHOOSE({1,2},Clientes_Proveedores[Razon Social],Clientes_Proveedores[Ruc / Dni]),2,0),"")</f>
        <v/>
      </c>
      <c r="X877" s="25" t="s">
        <v>1090</v>
      </c>
      <c r="Y877" s="25" t="s">
        <v>1982</v>
      </c>
      <c r="Z877" s="25"/>
      <c r="AA877" s="99"/>
      <c r="AB877" s="3" t="str">
        <f>IF(BCP_Soles[[#This Row],[FECHA]]&gt;0,TEXT(BCP_Soles[[#This Row],[FECHA]],"mmmm"),0)</f>
        <v>Marzo</v>
      </c>
    </row>
    <row r="878" spans="2:28" ht="24" x14ac:dyDescent="0.3">
      <c r="B878" s="2">
        <f>IF(BCP_Soles[[#This Row],[TIPO DE R.]]="R",COUNTIFS($D$4:$D877,"R")+1,"")</f>
        <v>668</v>
      </c>
      <c r="C878" s="19" t="str">
        <f t="shared" si="65"/>
        <v>B-BCP - Soles</v>
      </c>
      <c r="D878" s="3" t="s">
        <v>1074</v>
      </c>
      <c r="E878" s="14">
        <v>45730</v>
      </c>
      <c r="F878" s="5" t="s">
        <v>405</v>
      </c>
      <c r="G878" s="5" t="s">
        <v>1087</v>
      </c>
      <c r="H878" s="6"/>
      <c r="I878" s="6"/>
      <c r="J878" s="6"/>
      <c r="K878" s="6"/>
      <c r="L878" s="7" t="s">
        <v>1100</v>
      </c>
      <c r="M878" s="8">
        <v>3070921</v>
      </c>
      <c r="N878" s="8" t="str">
        <f t="shared" si="66"/>
        <v>PEN</v>
      </c>
      <c r="O878" s="13"/>
      <c r="P878" s="13">
        <v>564</v>
      </c>
      <c r="Q878" s="3">
        <f t="shared" si="67"/>
        <v>564</v>
      </c>
      <c r="R878" s="3">
        <f t="shared" si="68"/>
        <v>0</v>
      </c>
      <c r="S878" s="3">
        <f t="shared" si="69"/>
        <v>24357.009999999991</v>
      </c>
      <c r="T878" s="24" t="s">
        <v>1081</v>
      </c>
      <c r="U878" s="24" t="s">
        <v>1081</v>
      </c>
      <c r="V878" s="67"/>
      <c r="W878" s="25" t="str">
        <f>IFERROR(VLOOKUP(BCP_Soles[[#This Row],[DESTINATARIO]],CHOOSE({1,2},Clientes_Proveedores[Razon Social],Clientes_Proveedores[Ruc / Dni]),2,0),"")</f>
        <v/>
      </c>
      <c r="X878" s="25" t="s">
        <v>1090</v>
      </c>
      <c r="Y878" s="25" t="s">
        <v>1423</v>
      </c>
      <c r="Z878" s="25"/>
      <c r="AA878" s="99"/>
      <c r="AB878" s="3" t="str">
        <f>IF(BCP_Soles[[#This Row],[FECHA]]&gt;0,TEXT(BCP_Soles[[#This Row],[FECHA]],"mmmm"),0)</f>
        <v>Marzo</v>
      </c>
    </row>
    <row r="879" spans="2:28" ht="24" x14ac:dyDescent="0.3">
      <c r="B879" s="2">
        <f>IF(BCP_Soles[[#This Row],[TIPO DE R.]]="R",COUNTIFS($D$4:$D878,"R")+1,"")</f>
        <v>669</v>
      </c>
      <c r="C879" s="19" t="str">
        <f t="shared" si="65"/>
        <v>B-BCP - Soles</v>
      </c>
      <c r="D879" s="3" t="s">
        <v>1074</v>
      </c>
      <c r="E879" s="14">
        <v>45730</v>
      </c>
      <c r="F879" s="5" t="s">
        <v>155</v>
      </c>
      <c r="G879" s="5" t="s">
        <v>1087</v>
      </c>
      <c r="H879" s="6"/>
      <c r="I879" s="6"/>
      <c r="J879" s="6"/>
      <c r="K879" s="6"/>
      <c r="L879" s="7" t="s">
        <v>2014</v>
      </c>
      <c r="M879" s="8">
        <v>2587777</v>
      </c>
      <c r="N879" s="8" t="str">
        <f t="shared" si="66"/>
        <v>PEN</v>
      </c>
      <c r="O879" s="13"/>
      <c r="P879" s="13">
        <v>76</v>
      </c>
      <c r="Q879" s="3">
        <f t="shared" si="67"/>
        <v>76</v>
      </c>
      <c r="R879" s="3">
        <f t="shared" si="68"/>
        <v>0</v>
      </c>
      <c r="S879" s="3">
        <f t="shared" si="69"/>
        <v>24433.009999999991</v>
      </c>
      <c r="T879" s="24" t="s">
        <v>1081</v>
      </c>
      <c r="U879" s="24" t="s">
        <v>1081</v>
      </c>
      <c r="V879" s="67"/>
      <c r="W879" s="25" t="str">
        <f>IFERROR(VLOOKUP(BCP_Soles[[#This Row],[DESTINATARIO]],CHOOSE({1,2},Clientes_Proveedores[Razon Social],Clientes_Proveedores[Ruc / Dni]),2,0),"")</f>
        <v/>
      </c>
      <c r="X879" s="25" t="s">
        <v>1090</v>
      </c>
      <c r="Y879" s="25" t="s">
        <v>2015</v>
      </c>
      <c r="Z879" s="25"/>
      <c r="AA879" s="99"/>
      <c r="AB879" s="3" t="str">
        <f>IF(BCP_Soles[[#This Row],[FECHA]]&gt;0,TEXT(BCP_Soles[[#This Row],[FECHA]],"mmmm"),0)</f>
        <v>Marzo</v>
      </c>
    </row>
    <row r="880" spans="2:28" ht="24" x14ac:dyDescent="0.3">
      <c r="B880" s="2">
        <f>IF(BCP_Soles[[#This Row],[TIPO DE R.]]="R",COUNTIFS($D$4:$D879,"R")+1,"")</f>
        <v>670</v>
      </c>
      <c r="C880" s="19" t="str">
        <f t="shared" si="65"/>
        <v>B-BCP - Soles</v>
      </c>
      <c r="D880" s="3" t="s">
        <v>1074</v>
      </c>
      <c r="E880" s="14">
        <v>45730</v>
      </c>
      <c r="F880" s="5" t="s">
        <v>1357</v>
      </c>
      <c r="G880" s="5" t="s">
        <v>1087</v>
      </c>
      <c r="H880" s="6"/>
      <c r="I880" s="6"/>
      <c r="J880" s="6"/>
      <c r="K880" s="6"/>
      <c r="L880" s="7" t="s">
        <v>1358</v>
      </c>
      <c r="M880" s="8">
        <v>59243</v>
      </c>
      <c r="N880" s="8" t="str">
        <f t="shared" si="66"/>
        <v>PEN</v>
      </c>
      <c r="O880" s="13"/>
      <c r="P880" s="13">
        <v>36.799999999999997</v>
      </c>
      <c r="Q880" s="3">
        <f t="shared" si="67"/>
        <v>36.799999999999997</v>
      </c>
      <c r="R880" s="3">
        <f t="shared" si="68"/>
        <v>0</v>
      </c>
      <c r="S880" s="3">
        <f t="shared" si="69"/>
        <v>24469.80999999999</v>
      </c>
      <c r="T880" s="24" t="s">
        <v>1081</v>
      </c>
      <c r="U880" s="24" t="s">
        <v>1081</v>
      </c>
      <c r="V880" s="67"/>
      <c r="W880" s="25" t="str">
        <f>IFERROR(VLOOKUP(BCP_Soles[[#This Row],[DESTINATARIO]],CHOOSE({1,2},Clientes_Proveedores[Razon Social],Clientes_Proveedores[Ruc / Dni]),2,0),"")</f>
        <v/>
      </c>
      <c r="X880" s="25" t="s">
        <v>1090</v>
      </c>
      <c r="Y880" s="25" t="s">
        <v>2016</v>
      </c>
      <c r="Z880" s="25"/>
      <c r="AA880" s="99"/>
      <c r="AB880" s="3" t="str">
        <f>IF(BCP_Soles[[#This Row],[FECHA]]&gt;0,TEXT(BCP_Soles[[#This Row],[FECHA]],"mmmm"),0)</f>
        <v>Marzo</v>
      </c>
    </row>
    <row r="881" spans="2:28" ht="24" x14ac:dyDescent="0.3">
      <c r="B881" s="2">
        <f>IF(BCP_Soles[[#This Row],[TIPO DE R.]]="R",COUNTIFS($D$4:$D880,"R")+1,"")</f>
        <v>671</v>
      </c>
      <c r="C881" s="19" t="str">
        <f t="shared" si="65"/>
        <v>B-BCP - Soles</v>
      </c>
      <c r="D881" s="3" t="s">
        <v>1074</v>
      </c>
      <c r="E881" s="14">
        <v>45730</v>
      </c>
      <c r="F881" s="5" t="s">
        <v>1357</v>
      </c>
      <c r="G881" s="5" t="s">
        <v>1087</v>
      </c>
      <c r="H881" s="6"/>
      <c r="I881" s="6"/>
      <c r="J881" s="6"/>
      <c r="K881" s="6"/>
      <c r="L881" s="7" t="s">
        <v>1358</v>
      </c>
      <c r="M881" s="8">
        <v>59238</v>
      </c>
      <c r="N881" s="8" t="str">
        <f t="shared" si="66"/>
        <v>PEN</v>
      </c>
      <c r="O881" s="13"/>
      <c r="P881" s="13">
        <v>1000</v>
      </c>
      <c r="Q881" s="3">
        <f t="shared" si="67"/>
        <v>1000</v>
      </c>
      <c r="R881" s="3">
        <f t="shared" si="68"/>
        <v>0</v>
      </c>
      <c r="S881" s="3">
        <f t="shared" si="69"/>
        <v>25469.80999999999</v>
      </c>
      <c r="T881" s="24" t="s">
        <v>1081</v>
      </c>
      <c r="U881" s="24" t="s">
        <v>1081</v>
      </c>
      <c r="V881" s="67"/>
      <c r="W881" s="25" t="str">
        <f>IFERROR(VLOOKUP(BCP_Soles[[#This Row],[DESTINATARIO]],CHOOSE({1,2},Clientes_Proveedores[Razon Social],Clientes_Proveedores[Ruc / Dni]),2,0),"")</f>
        <v/>
      </c>
      <c r="X881" s="25" t="s">
        <v>1090</v>
      </c>
      <c r="Y881" s="25" t="s">
        <v>2016</v>
      </c>
      <c r="Z881" s="25"/>
      <c r="AA881" s="99"/>
      <c r="AB881" s="3" t="str">
        <f>IF(BCP_Soles[[#This Row],[FECHA]]&gt;0,TEXT(BCP_Soles[[#This Row],[FECHA]],"mmmm"),0)</f>
        <v>Marzo</v>
      </c>
    </row>
    <row r="882" spans="2:28" ht="24" x14ac:dyDescent="0.3">
      <c r="B882" s="2">
        <f>IF(BCP_Soles[[#This Row],[TIPO DE R.]]="R",COUNTIFS($D$4:$D881,"R")+1,"")</f>
        <v>672</v>
      </c>
      <c r="C882" s="19" t="str">
        <f t="shared" si="65"/>
        <v>B-BCP - Soles</v>
      </c>
      <c r="D882" s="3" t="s">
        <v>1074</v>
      </c>
      <c r="E882" s="14">
        <v>45731</v>
      </c>
      <c r="F882" s="5" t="s">
        <v>1163</v>
      </c>
      <c r="G882" s="5" t="s">
        <v>1079</v>
      </c>
      <c r="H882" s="6"/>
      <c r="I882" s="6"/>
      <c r="J882" s="6"/>
      <c r="K882" s="6"/>
      <c r="L882" s="7" t="s">
        <v>1100</v>
      </c>
      <c r="M882" s="8">
        <v>5131433</v>
      </c>
      <c r="N882" s="8" t="str">
        <f t="shared" si="66"/>
        <v>PEN</v>
      </c>
      <c r="O882" s="13"/>
      <c r="P882" s="13">
        <v>1000</v>
      </c>
      <c r="Q882" s="3">
        <f t="shared" si="67"/>
        <v>0</v>
      </c>
      <c r="R882" s="3">
        <f t="shared" si="68"/>
        <v>1000</v>
      </c>
      <c r="S882" s="3">
        <f t="shared" si="69"/>
        <v>24469.80999999999</v>
      </c>
      <c r="T882" s="24"/>
      <c r="U882" s="24"/>
      <c r="V882" s="67"/>
      <c r="W882" s="25" t="str">
        <f>IFERROR(VLOOKUP(BCP_Soles[[#This Row],[DESTINATARIO]],CHOOSE({1,2},Clientes_Proveedores[Razon Social],Clientes_Proveedores[Ruc / Dni]),2,0),"")</f>
        <v/>
      </c>
      <c r="X882" s="25"/>
      <c r="Y882" s="25" t="s">
        <v>1172</v>
      </c>
      <c r="Z882" s="25"/>
      <c r="AA882" s="99"/>
      <c r="AB882" s="3" t="str">
        <f>IF(BCP_Soles[[#This Row],[FECHA]]&gt;0,TEXT(BCP_Soles[[#This Row],[FECHA]],"mmmm"),0)</f>
        <v>Marzo</v>
      </c>
    </row>
    <row r="883" spans="2:28" x14ac:dyDescent="0.3">
      <c r="B883" s="2">
        <f>IF(BCP_Soles[[#This Row],[TIPO DE R.]]="R",COUNTIFS($D$4:$D882,"R")+1,"")</f>
        <v>673</v>
      </c>
      <c r="C883" s="19" t="str">
        <f t="shared" si="65"/>
        <v>B-BCP - Soles</v>
      </c>
      <c r="D883" s="3" t="s">
        <v>1074</v>
      </c>
      <c r="E883" s="14">
        <v>45732</v>
      </c>
      <c r="F883" s="5" t="s">
        <v>1078</v>
      </c>
      <c r="G883" s="5" t="s">
        <v>1079</v>
      </c>
      <c r="H883" s="6"/>
      <c r="I883" s="6"/>
      <c r="J883" s="6"/>
      <c r="K883" s="6"/>
      <c r="L883" s="7" t="s">
        <v>1080</v>
      </c>
      <c r="M883" s="8"/>
      <c r="N883" s="8" t="str">
        <f t="shared" si="66"/>
        <v>PEN</v>
      </c>
      <c r="O883" s="13"/>
      <c r="P883" s="13">
        <v>0.05</v>
      </c>
      <c r="Q883" s="3">
        <f t="shared" si="67"/>
        <v>0</v>
      </c>
      <c r="R883" s="3">
        <f t="shared" si="68"/>
        <v>0.05</v>
      </c>
      <c r="S883" s="3">
        <f t="shared" si="69"/>
        <v>24469.759999999991</v>
      </c>
      <c r="T883" s="24"/>
      <c r="U883" s="24" t="s">
        <v>1081</v>
      </c>
      <c r="V883" s="67"/>
      <c r="W883" s="25" t="str">
        <f>IFERROR(VLOOKUP(BCP_Soles[[#This Row],[DESTINATARIO]],CHOOSE({1,2},Clientes_Proveedores[Razon Social],Clientes_Proveedores[Ruc / Dni]),2,0),"")</f>
        <v/>
      </c>
      <c r="X883" s="25"/>
      <c r="Y883" s="25"/>
      <c r="Z883" s="25"/>
      <c r="AA883" s="99"/>
      <c r="AB883" s="3" t="str">
        <f>IF(BCP_Soles[[#This Row],[FECHA]]&gt;0,TEXT(BCP_Soles[[#This Row],[FECHA]],"mmmm"),0)</f>
        <v>Marzo</v>
      </c>
    </row>
    <row r="884" spans="2:28" ht="36" x14ac:dyDescent="0.3">
      <c r="B884" s="2">
        <f>IF(BCP_Soles[[#This Row],[TIPO DE R.]]="R",COUNTIFS($D$4:$D883,"R")+1,"")</f>
        <v>674</v>
      </c>
      <c r="C884" s="19" t="str">
        <f t="shared" si="65"/>
        <v>B-BCP - Soles</v>
      </c>
      <c r="D884" s="3" t="s">
        <v>1074</v>
      </c>
      <c r="E884" s="14">
        <v>45733</v>
      </c>
      <c r="F884" s="5" t="s">
        <v>1996</v>
      </c>
      <c r="G884" s="5" t="s">
        <v>1079</v>
      </c>
      <c r="H884" s="6" t="s">
        <v>438</v>
      </c>
      <c r="I884" s="6" t="s">
        <v>14</v>
      </c>
      <c r="J884" s="6" t="s">
        <v>1121</v>
      </c>
      <c r="K884" s="6">
        <v>3764</v>
      </c>
      <c r="L884" s="7" t="s">
        <v>2017</v>
      </c>
      <c r="M884" s="8">
        <v>1001765</v>
      </c>
      <c r="N884" s="8" t="str">
        <f t="shared" si="66"/>
        <v>PEN</v>
      </c>
      <c r="O884" s="13"/>
      <c r="P884" s="13">
        <v>2400</v>
      </c>
      <c r="Q884" s="3">
        <f t="shared" si="67"/>
        <v>0</v>
      </c>
      <c r="R884" s="3">
        <f t="shared" si="68"/>
        <v>2400</v>
      </c>
      <c r="S884" s="3">
        <f t="shared" si="69"/>
        <v>22069.759999999991</v>
      </c>
      <c r="T884" s="24" t="s">
        <v>1081</v>
      </c>
      <c r="U884" s="24" t="s">
        <v>1081</v>
      </c>
      <c r="V884" s="67"/>
      <c r="W884" s="25">
        <f>IFERROR(VLOOKUP(BCP_Soles[[#This Row],[DESTINATARIO]],CHOOSE({1,2},Clientes_Proveedores[Razon Social],Clientes_Proveedores[Ruc / Dni]),2,0),"")</f>
        <v>20602778861</v>
      </c>
      <c r="X884" s="25" t="s">
        <v>438</v>
      </c>
      <c r="Y884" s="25" t="s">
        <v>2018</v>
      </c>
      <c r="Z884" s="25"/>
      <c r="AA884" s="99"/>
      <c r="AB884" s="3" t="str">
        <f>IF(BCP_Soles[[#This Row],[FECHA]]&gt;0,TEXT(BCP_Soles[[#This Row],[FECHA]],"mmmm"),0)</f>
        <v>Marzo</v>
      </c>
    </row>
    <row r="885" spans="2:28" x14ac:dyDescent="0.3">
      <c r="B885" s="2">
        <f>IF(BCP_Soles[[#This Row],[TIPO DE R.]]="R",COUNTIFS($D$4:$D884,"R")+1,"")</f>
        <v>675</v>
      </c>
      <c r="C885" s="19" t="str">
        <f t="shared" si="65"/>
        <v>B-BCP - Soles</v>
      </c>
      <c r="D885" s="3" t="s">
        <v>1074</v>
      </c>
      <c r="E885" s="14">
        <v>45733</v>
      </c>
      <c r="F885" s="5" t="s">
        <v>1078</v>
      </c>
      <c r="G885" s="5" t="s">
        <v>1079</v>
      </c>
      <c r="H885" s="6"/>
      <c r="I885" s="6"/>
      <c r="J885" s="6"/>
      <c r="K885" s="6"/>
      <c r="L885" s="7" t="s">
        <v>1080</v>
      </c>
      <c r="M885" s="8"/>
      <c r="N885" s="8" t="str">
        <f t="shared" si="66"/>
        <v>PEN</v>
      </c>
      <c r="O885" s="13"/>
      <c r="P885" s="13">
        <v>0.2</v>
      </c>
      <c r="Q885" s="3">
        <f t="shared" si="67"/>
        <v>0</v>
      </c>
      <c r="R885" s="3">
        <f t="shared" si="68"/>
        <v>0.2</v>
      </c>
      <c r="S885" s="3">
        <f t="shared" si="69"/>
        <v>22069.55999999999</v>
      </c>
      <c r="T885" s="24"/>
      <c r="U885" s="24" t="s">
        <v>1081</v>
      </c>
      <c r="V885" s="67"/>
      <c r="W885" s="25" t="str">
        <f>IFERROR(VLOOKUP(BCP_Soles[[#This Row],[DESTINATARIO]],CHOOSE({1,2},Clientes_Proveedores[Razon Social],Clientes_Proveedores[Ruc / Dni]),2,0),"")</f>
        <v/>
      </c>
      <c r="X885" s="25"/>
      <c r="Y885" s="25"/>
      <c r="Z885" s="25"/>
      <c r="AA885" s="99"/>
      <c r="AB885" s="3" t="str">
        <f>IF(BCP_Soles[[#This Row],[FECHA]]&gt;0,TEXT(BCP_Soles[[#This Row],[FECHA]],"mmmm"),0)</f>
        <v>Marzo</v>
      </c>
    </row>
    <row r="886" spans="2:28" ht="24" x14ac:dyDescent="0.3">
      <c r="B886" s="2">
        <f>IF(BCP_Soles[[#This Row],[TIPO DE R.]]="R",COUNTIFS($D$4:$D885,"R")+1,"")</f>
        <v>676</v>
      </c>
      <c r="C886" s="19" t="str">
        <f t="shared" si="65"/>
        <v>B-BCP - Soles</v>
      </c>
      <c r="D886" s="3" t="s">
        <v>1074</v>
      </c>
      <c r="E886" s="14">
        <v>45733</v>
      </c>
      <c r="F886" s="5" t="s">
        <v>1078</v>
      </c>
      <c r="G886" s="5" t="s">
        <v>1079</v>
      </c>
      <c r="H886" s="6"/>
      <c r="I886" s="6"/>
      <c r="J886" s="6"/>
      <c r="K886" s="6"/>
      <c r="L886" s="7" t="s">
        <v>1292</v>
      </c>
      <c r="M886" s="8">
        <v>962962</v>
      </c>
      <c r="N886" s="8" t="str">
        <f t="shared" si="66"/>
        <v>PEN</v>
      </c>
      <c r="O886" s="13"/>
      <c r="P886" s="13">
        <v>10</v>
      </c>
      <c r="Q886" s="3">
        <f t="shared" si="67"/>
        <v>0</v>
      </c>
      <c r="R886" s="3">
        <f t="shared" si="68"/>
        <v>10</v>
      </c>
      <c r="S886" s="3">
        <f t="shared" si="69"/>
        <v>22059.55999999999</v>
      </c>
      <c r="T886" s="24"/>
      <c r="U886" s="24" t="s">
        <v>1081</v>
      </c>
      <c r="V886" s="67"/>
      <c r="W886" s="25" t="str">
        <f>IFERROR(VLOOKUP(BCP_Soles[[#This Row],[DESTINATARIO]],CHOOSE({1,2},Clientes_Proveedores[Razon Social],Clientes_Proveedores[Ruc / Dni]),2,0),"")</f>
        <v/>
      </c>
      <c r="X886" s="25" t="s">
        <v>1078</v>
      </c>
      <c r="Y886" s="25" t="s">
        <v>2019</v>
      </c>
      <c r="Z886" s="25"/>
      <c r="AA886" s="99"/>
      <c r="AB886" s="3" t="str">
        <f>IF(BCP_Soles[[#This Row],[FECHA]]&gt;0,TEXT(BCP_Soles[[#This Row],[FECHA]],"mmmm"),0)</f>
        <v>Marzo</v>
      </c>
    </row>
    <row r="887" spans="2:28" ht="24" x14ac:dyDescent="0.3">
      <c r="B887" s="2">
        <f>IF(BCP_Soles[[#This Row],[TIPO DE R.]]="R",COUNTIFS($D$4:$D886,"R")+1,"")</f>
        <v>677</v>
      </c>
      <c r="C887" s="19" t="str">
        <f t="shared" si="65"/>
        <v>B-BCP - Soles</v>
      </c>
      <c r="D887" s="3" t="s">
        <v>1074</v>
      </c>
      <c r="E887" s="14">
        <v>45733</v>
      </c>
      <c r="F887" s="5" t="s">
        <v>1996</v>
      </c>
      <c r="G887" s="5" t="s">
        <v>1079</v>
      </c>
      <c r="H887" s="6" t="s">
        <v>128</v>
      </c>
      <c r="I887" s="6" t="s">
        <v>14</v>
      </c>
      <c r="J887" s="6" t="s">
        <v>1121</v>
      </c>
      <c r="K887" s="6">
        <v>127</v>
      </c>
      <c r="L887" s="7" t="s">
        <v>2020</v>
      </c>
      <c r="M887" s="8">
        <v>1207423</v>
      </c>
      <c r="N887" s="8" t="str">
        <f t="shared" si="66"/>
        <v>PEN</v>
      </c>
      <c r="O887" s="13"/>
      <c r="P887" s="13">
        <v>1359</v>
      </c>
      <c r="Q887" s="3">
        <f t="shared" si="67"/>
        <v>0</v>
      </c>
      <c r="R887" s="3">
        <f t="shared" si="68"/>
        <v>1359</v>
      </c>
      <c r="S887" s="3">
        <f t="shared" si="69"/>
        <v>20700.55999999999</v>
      </c>
      <c r="T887" s="24" t="s">
        <v>1081</v>
      </c>
      <c r="U887" s="24" t="s">
        <v>1081</v>
      </c>
      <c r="V887" s="67"/>
      <c r="W887" s="25">
        <f>IFERROR(VLOOKUP(BCP_Soles[[#This Row],[DESTINATARIO]],CHOOSE({1,2},Clientes_Proveedores[Razon Social],Clientes_Proveedores[Ruc / Dni]),2,0),"")</f>
        <v>10489531963</v>
      </c>
      <c r="X887" s="25" t="s">
        <v>128</v>
      </c>
      <c r="Y887" s="25" t="s">
        <v>2021</v>
      </c>
      <c r="Z887" s="25"/>
      <c r="AA887" s="99"/>
      <c r="AB887" s="3" t="str">
        <f>IF(BCP_Soles[[#This Row],[FECHA]]&gt;0,TEXT(BCP_Soles[[#This Row],[FECHA]],"mmmm"),0)</f>
        <v>Marzo</v>
      </c>
    </row>
    <row r="888" spans="2:28" ht="24" x14ac:dyDescent="0.3">
      <c r="B888" s="2">
        <f>IF(BCP_Soles[[#This Row],[TIPO DE R.]]="R",COUNTIFS($D$4:$D887,"R")+1,"")</f>
        <v>678</v>
      </c>
      <c r="C888" s="19" t="str">
        <f t="shared" si="65"/>
        <v>B-BCP - Soles</v>
      </c>
      <c r="D888" s="3" t="s">
        <v>1074</v>
      </c>
      <c r="E888" s="14">
        <v>45733</v>
      </c>
      <c r="F888" s="5" t="s">
        <v>1996</v>
      </c>
      <c r="G888" s="5" t="s">
        <v>1079</v>
      </c>
      <c r="H888" s="6" t="s">
        <v>829</v>
      </c>
      <c r="I888" s="6" t="s">
        <v>91</v>
      </c>
      <c r="J888" s="6">
        <v>13</v>
      </c>
      <c r="K888" s="6">
        <v>29</v>
      </c>
      <c r="L888" s="7" t="s">
        <v>2022</v>
      </c>
      <c r="M888" s="8">
        <v>1139529</v>
      </c>
      <c r="N888" s="8" t="str">
        <f t="shared" si="66"/>
        <v>PEN</v>
      </c>
      <c r="O888" s="13"/>
      <c r="P888" s="13">
        <v>1165</v>
      </c>
      <c r="Q888" s="3">
        <f t="shared" si="67"/>
        <v>0</v>
      </c>
      <c r="R888" s="3">
        <f t="shared" si="68"/>
        <v>1165</v>
      </c>
      <c r="S888" s="3">
        <f t="shared" si="69"/>
        <v>19535.55999999999</v>
      </c>
      <c r="T888" s="24"/>
      <c r="U888" s="24"/>
      <c r="V888" s="67"/>
      <c r="W888" s="25">
        <f>IFERROR(VLOOKUP(BCP_Soles[[#This Row],[DESTINATARIO]],CHOOSE({1,2},Clientes_Proveedores[Razon Social],Clientes_Proveedores[Ruc / Dni]),2,0),"")</f>
        <v>47461440</v>
      </c>
      <c r="X888" s="25"/>
      <c r="Y888" s="25"/>
      <c r="Z888" s="25"/>
      <c r="AA888" s="99"/>
      <c r="AB888" s="3" t="str">
        <f>IF(BCP_Soles[[#This Row],[FECHA]]&gt;0,TEXT(BCP_Soles[[#This Row],[FECHA]],"mmmm"),0)</f>
        <v>Marzo</v>
      </c>
    </row>
    <row r="889" spans="2:28" ht="24" x14ac:dyDescent="0.3">
      <c r="B889" s="2">
        <f>IF(BCP_Soles[[#This Row],[TIPO DE R.]]="R",COUNTIFS($D$4:$D888,"R")+1,"")</f>
        <v>679</v>
      </c>
      <c r="C889" s="19" t="str">
        <f t="shared" si="65"/>
        <v>B-BCP - Soles</v>
      </c>
      <c r="D889" s="3" t="s">
        <v>1074</v>
      </c>
      <c r="E889" s="14">
        <v>45733</v>
      </c>
      <c r="F889" s="5" t="s">
        <v>1082</v>
      </c>
      <c r="G889" s="5" t="s">
        <v>1079</v>
      </c>
      <c r="H889" s="6" t="s">
        <v>271</v>
      </c>
      <c r="I889" s="6" t="s">
        <v>14</v>
      </c>
      <c r="J889" s="6" t="s">
        <v>1119</v>
      </c>
      <c r="K889" s="6">
        <v>7994</v>
      </c>
      <c r="L889" s="7" t="s">
        <v>2023</v>
      </c>
      <c r="M889" s="8">
        <v>1106112</v>
      </c>
      <c r="N889" s="8" t="str">
        <f t="shared" si="66"/>
        <v>PEN</v>
      </c>
      <c r="O889" s="13"/>
      <c r="P889" s="13">
        <v>613</v>
      </c>
      <c r="Q889" s="3">
        <f t="shared" si="67"/>
        <v>0</v>
      </c>
      <c r="R889" s="3">
        <f t="shared" si="68"/>
        <v>613</v>
      </c>
      <c r="S889" s="3">
        <f t="shared" si="69"/>
        <v>18922.55999999999</v>
      </c>
      <c r="T889" s="24" t="s">
        <v>1081</v>
      </c>
      <c r="U889" s="24" t="s">
        <v>1081</v>
      </c>
      <c r="V889" s="67"/>
      <c r="W889" s="25">
        <f>IFERROR(VLOOKUP(BCP_Soles[[#This Row],[DESTINATARIO]],CHOOSE({1,2},Clientes_Proveedores[Razon Social],Clientes_Proveedores[Ruc / Dni]),2,0),"")</f>
        <v>20498041567</v>
      </c>
      <c r="X889" s="25" t="s">
        <v>271</v>
      </c>
      <c r="Y889" s="25" t="s">
        <v>2024</v>
      </c>
      <c r="Z889" s="25"/>
      <c r="AA889" s="99"/>
      <c r="AB889" s="3" t="str">
        <f>IF(BCP_Soles[[#This Row],[FECHA]]&gt;0,TEXT(BCP_Soles[[#This Row],[FECHA]],"mmmm"),0)</f>
        <v>Marzo</v>
      </c>
    </row>
    <row r="890" spans="2:28" ht="24" x14ac:dyDescent="0.3">
      <c r="B890" s="2">
        <f>IF(BCP_Soles[[#This Row],[TIPO DE R.]]="R",COUNTIFS($D$4:$D889,"R")+1,"")</f>
        <v>680</v>
      </c>
      <c r="C890" s="19" t="str">
        <f t="shared" si="65"/>
        <v>B-BCP - Soles</v>
      </c>
      <c r="D890" s="3" t="s">
        <v>1074</v>
      </c>
      <c r="E890" s="14">
        <v>45733</v>
      </c>
      <c r="F890" s="5" t="s">
        <v>1082</v>
      </c>
      <c r="G890" s="5" t="s">
        <v>1079</v>
      </c>
      <c r="H890" s="6" t="s">
        <v>192</v>
      </c>
      <c r="I890" s="6"/>
      <c r="J890" s="6"/>
      <c r="K890" s="6"/>
      <c r="L890" s="7" t="s">
        <v>2025</v>
      </c>
      <c r="M890" s="8">
        <v>1139043</v>
      </c>
      <c r="N890" s="8" t="str">
        <f t="shared" si="66"/>
        <v>PEN</v>
      </c>
      <c r="O890" s="13"/>
      <c r="P890" s="13">
        <v>573.95000000000005</v>
      </c>
      <c r="Q890" s="3">
        <f t="shared" si="67"/>
        <v>0</v>
      </c>
      <c r="R890" s="3">
        <f t="shared" si="68"/>
        <v>573.95000000000005</v>
      </c>
      <c r="S890" s="3">
        <f t="shared" si="69"/>
        <v>18348.60999999999</v>
      </c>
      <c r="T890" s="24"/>
      <c r="U890" s="24"/>
      <c r="V890" s="67"/>
      <c r="W890" s="25">
        <f>IFERROR(VLOOKUP(BCP_Soles[[#This Row],[DESTINATARIO]],CHOOSE({1,2},Clientes_Proveedores[Razon Social],Clientes_Proveedores[Ruc / Dni]),2,0),"")</f>
        <v>20302891452</v>
      </c>
      <c r="X890" s="25" t="s">
        <v>192</v>
      </c>
      <c r="Y890" s="25"/>
      <c r="Z890" s="25"/>
      <c r="AA890" s="99"/>
      <c r="AB890" s="3" t="str">
        <f>IF(BCP_Soles[[#This Row],[FECHA]]&gt;0,TEXT(BCP_Soles[[#This Row],[FECHA]],"mmmm"),0)</f>
        <v>Marzo</v>
      </c>
    </row>
    <row r="891" spans="2:28" ht="24" x14ac:dyDescent="0.3">
      <c r="B891" s="2">
        <f>IF(BCP_Soles[[#This Row],[TIPO DE R.]]="R",COUNTIFS($D$4:$D890,"R")+1,"")</f>
        <v>681</v>
      </c>
      <c r="C891" s="19" t="str">
        <f t="shared" si="65"/>
        <v>B-BCP - Soles</v>
      </c>
      <c r="D891" s="3" t="s">
        <v>1074</v>
      </c>
      <c r="E891" s="14">
        <v>45733</v>
      </c>
      <c r="F891" s="5" t="s">
        <v>1082</v>
      </c>
      <c r="G891" s="5" t="s">
        <v>1079</v>
      </c>
      <c r="H891" s="6"/>
      <c r="I891" s="6" t="s">
        <v>14</v>
      </c>
      <c r="J891" s="6" t="s">
        <v>1121</v>
      </c>
      <c r="K891" s="6">
        <v>2795</v>
      </c>
      <c r="L891" s="7" t="s">
        <v>2026</v>
      </c>
      <c r="M891" s="8">
        <v>1107103</v>
      </c>
      <c r="N891" s="8" t="str">
        <f t="shared" si="66"/>
        <v>PEN</v>
      </c>
      <c r="O891" s="13"/>
      <c r="P891" s="13">
        <v>283.2</v>
      </c>
      <c r="Q891" s="3">
        <f t="shared" si="67"/>
        <v>0</v>
      </c>
      <c r="R891" s="3">
        <f t="shared" si="68"/>
        <v>283.2</v>
      </c>
      <c r="S891" s="3">
        <f t="shared" si="69"/>
        <v>18065.409999999989</v>
      </c>
      <c r="T891" s="24" t="s">
        <v>1081</v>
      </c>
      <c r="U891" s="24" t="s">
        <v>1081</v>
      </c>
      <c r="V891" s="67"/>
      <c r="W891" s="25" t="str">
        <f>IFERROR(VLOOKUP(BCP_Soles[[#This Row],[DESTINATARIO]],CHOOSE({1,2},Clientes_Proveedores[Razon Social],Clientes_Proveedores[Ruc / Dni]),2,0),"")</f>
        <v/>
      </c>
      <c r="X891" s="25" t="s">
        <v>2027</v>
      </c>
      <c r="Y891" s="25" t="s">
        <v>2028</v>
      </c>
      <c r="Z891" s="25"/>
      <c r="AA891" s="99"/>
      <c r="AB891" s="3" t="str">
        <f>IF(BCP_Soles[[#This Row],[FECHA]]&gt;0,TEXT(BCP_Soles[[#This Row],[FECHA]],"mmmm"),0)</f>
        <v>Marzo</v>
      </c>
    </row>
    <row r="892" spans="2:28" ht="36" x14ac:dyDescent="0.3">
      <c r="B892" s="2">
        <f>IF(BCP_Soles[[#This Row],[TIPO DE R.]]="R",COUNTIFS($D$4:$D891,"R")+1,"")</f>
        <v>682</v>
      </c>
      <c r="C892" s="19" t="str">
        <f t="shared" si="65"/>
        <v>B-BCP - Soles</v>
      </c>
      <c r="D892" s="3" t="s">
        <v>1074</v>
      </c>
      <c r="E892" s="14">
        <v>45733</v>
      </c>
      <c r="F892" s="5" t="s">
        <v>1082</v>
      </c>
      <c r="G892" s="5" t="s">
        <v>1079</v>
      </c>
      <c r="H892" s="6"/>
      <c r="I892" s="6" t="s">
        <v>14</v>
      </c>
      <c r="J892" s="6" t="s">
        <v>1121</v>
      </c>
      <c r="K892" s="6">
        <v>5541</v>
      </c>
      <c r="L892" s="7" t="s">
        <v>2029</v>
      </c>
      <c r="M892" s="8">
        <v>1104620</v>
      </c>
      <c r="N892" s="8" t="str">
        <f t="shared" si="66"/>
        <v>PEN</v>
      </c>
      <c r="O892" s="13"/>
      <c r="P892" s="13">
        <v>100.3</v>
      </c>
      <c r="Q892" s="3">
        <f t="shared" si="67"/>
        <v>0</v>
      </c>
      <c r="R892" s="3">
        <f t="shared" si="68"/>
        <v>100.3</v>
      </c>
      <c r="S892" s="3">
        <f t="shared" si="69"/>
        <v>17965.10999999999</v>
      </c>
      <c r="T892" s="24" t="s">
        <v>1081</v>
      </c>
      <c r="U892" s="24" t="s">
        <v>1081</v>
      </c>
      <c r="V892" s="67"/>
      <c r="W892" s="25" t="str">
        <f>IFERROR(VLOOKUP(BCP_Soles[[#This Row],[DESTINATARIO]],CHOOSE({1,2},Clientes_Proveedores[Razon Social],Clientes_Proveedores[Ruc / Dni]),2,0),"")</f>
        <v/>
      </c>
      <c r="X892" s="25" t="s">
        <v>2030</v>
      </c>
      <c r="Y892" s="25" t="s">
        <v>2031</v>
      </c>
      <c r="Z892" s="25"/>
      <c r="AA892" s="99"/>
      <c r="AB892" s="3" t="str">
        <f>IF(BCP_Soles[[#This Row],[FECHA]]&gt;0,TEXT(BCP_Soles[[#This Row],[FECHA]],"mmmm"),0)</f>
        <v>Marzo</v>
      </c>
    </row>
    <row r="893" spans="2:28" ht="24" x14ac:dyDescent="0.3">
      <c r="B893" s="2">
        <f>IF(BCP_Soles[[#This Row],[TIPO DE R.]]="R",COUNTIFS($D$4:$D892,"R")+1,"")</f>
        <v>683</v>
      </c>
      <c r="C893" s="19" t="str">
        <f t="shared" si="65"/>
        <v>B-BCP - Soles</v>
      </c>
      <c r="D893" s="3" t="s">
        <v>1074</v>
      </c>
      <c r="E893" s="14">
        <v>45733</v>
      </c>
      <c r="F893" s="5" t="s">
        <v>1082</v>
      </c>
      <c r="G893" s="5" t="s">
        <v>1079</v>
      </c>
      <c r="H893" s="6" t="s">
        <v>192</v>
      </c>
      <c r="I893" s="6"/>
      <c r="J893" s="6"/>
      <c r="K893" s="6"/>
      <c r="L893" s="7" t="s">
        <v>2032</v>
      </c>
      <c r="M893" s="8">
        <v>1207930</v>
      </c>
      <c r="N893" s="8" t="str">
        <f t="shared" si="66"/>
        <v>PEN</v>
      </c>
      <c r="O893" s="13"/>
      <c r="P893" s="13">
        <v>40.71</v>
      </c>
      <c r="Q893" s="3">
        <f t="shared" si="67"/>
        <v>0</v>
      </c>
      <c r="R893" s="3">
        <f t="shared" si="68"/>
        <v>40.71</v>
      </c>
      <c r="S893" s="3">
        <f t="shared" si="69"/>
        <v>17924.399999999991</v>
      </c>
      <c r="T893" s="24"/>
      <c r="U893" s="24"/>
      <c r="V893" s="67"/>
      <c r="W893" s="25">
        <f>IFERROR(VLOOKUP(BCP_Soles[[#This Row],[DESTINATARIO]],CHOOSE({1,2},Clientes_Proveedores[Razon Social],Clientes_Proveedores[Ruc / Dni]),2,0),"")</f>
        <v>20302891452</v>
      </c>
      <c r="X893" s="25" t="s">
        <v>192</v>
      </c>
      <c r="Y893" s="25"/>
      <c r="Z893" s="25"/>
      <c r="AA893" s="99"/>
      <c r="AB893" s="3" t="str">
        <f>IF(BCP_Soles[[#This Row],[FECHA]]&gt;0,TEXT(BCP_Soles[[#This Row],[FECHA]],"mmmm"),0)</f>
        <v>Marzo</v>
      </c>
    </row>
    <row r="894" spans="2:28" x14ac:dyDescent="0.3">
      <c r="B894" s="2">
        <f>IF(BCP_Soles[[#This Row],[TIPO DE R.]]="R",COUNTIFS($D$4:$D893,"R")+1,"")</f>
        <v>684</v>
      </c>
      <c r="C894" s="19" t="str">
        <f t="shared" si="65"/>
        <v>B-BCP - Soles</v>
      </c>
      <c r="D894" s="3" t="s">
        <v>1074</v>
      </c>
      <c r="E894" s="14">
        <v>45734</v>
      </c>
      <c r="F894" s="5" t="s">
        <v>1163</v>
      </c>
      <c r="G894" s="5" t="s">
        <v>1079</v>
      </c>
      <c r="H894" s="6"/>
      <c r="I894" s="6"/>
      <c r="J894" s="6"/>
      <c r="K894" s="6"/>
      <c r="L894" s="7" t="s">
        <v>1322</v>
      </c>
      <c r="M894" s="8">
        <v>1000444</v>
      </c>
      <c r="N894" s="8" t="str">
        <f t="shared" si="66"/>
        <v>PEN</v>
      </c>
      <c r="O894" s="13"/>
      <c r="P894" s="13">
        <v>2800.56</v>
      </c>
      <c r="Q894" s="3">
        <f t="shared" si="67"/>
        <v>0</v>
      </c>
      <c r="R894" s="3">
        <f t="shared" si="68"/>
        <v>2800.56</v>
      </c>
      <c r="S894" s="3">
        <f t="shared" si="69"/>
        <v>15123.839999999991</v>
      </c>
      <c r="T894" s="24"/>
      <c r="U894" s="24"/>
      <c r="V894" s="67"/>
      <c r="W894" s="25" t="str">
        <f>IFERROR(VLOOKUP(BCP_Soles[[#This Row],[DESTINATARIO]],CHOOSE({1,2},Clientes_Proveedores[Razon Social],Clientes_Proveedores[Ruc / Dni]),2,0),"")</f>
        <v/>
      </c>
      <c r="X894" s="25"/>
      <c r="Y894" s="25"/>
      <c r="Z894" s="25"/>
      <c r="AA894" s="99"/>
      <c r="AB894" s="3" t="str">
        <f>IF(BCP_Soles[[#This Row],[FECHA]]&gt;0,TEXT(BCP_Soles[[#This Row],[FECHA]],"mmmm"),0)</f>
        <v>Marzo</v>
      </c>
    </row>
    <row r="895" spans="2:28" ht="24" x14ac:dyDescent="0.3">
      <c r="B895" s="2">
        <f>IF(BCP_Soles[[#This Row],[TIPO DE R.]]="R",COUNTIFS($D$4:$D894,"R")+1,"")</f>
        <v>685</v>
      </c>
      <c r="C895" s="19" t="str">
        <f t="shared" si="65"/>
        <v>B-BCP - Soles</v>
      </c>
      <c r="D895" s="3" t="s">
        <v>1074</v>
      </c>
      <c r="E895" s="14">
        <v>45734</v>
      </c>
      <c r="F895" s="5" t="s">
        <v>1779</v>
      </c>
      <c r="G895" s="5" t="s">
        <v>1087</v>
      </c>
      <c r="H895" s="6"/>
      <c r="I895" s="6"/>
      <c r="J895" s="6"/>
      <c r="K895" s="6"/>
      <c r="L895" s="7" t="s">
        <v>1100</v>
      </c>
      <c r="M895" s="8">
        <v>705868</v>
      </c>
      <c r="N895" s="8" t="str">
        <f t="shared" si="66"/>
        <v>PEN</v>
      </c>
      <c r="O895" s="13"/>
      <c r="P895" s="13">
        <v>1500</v>
      </c>
      <c r="Q895" s="3">
        <f t="shared" si="67"/>
        <v>1500</v>
      </c>
      <c r="R895" s="3">
        <f t="shared" si="68"/>
        <v>0</v>
      </c>
      <c r="S895" s="3">
        <f t="shared" si="69"/>
        <v>16623.839999999989</v>
      </c>
      <c r="T895" s="24" t="s">
        <v>1081</v>
      </c>
      <c r="U895" s="24" t="s">
        <v>1081</v>
      </c>
      <c r="V895" s="67"/>
      <c r="W895" s="25" t="str">
        <f>IFERROR(VLOOKUP(BCP_Soles[[#This Row],[DESTINATARIO]],CHOOSE({1,2},Clientes_Proveedores[Razon Social],Clientes_Proveedores[Ruc / Dni]),2,0),"")</f>
        <v/>
      </c>
      <c r="X895" s="25" t="s">
        <v>1090</v>
      </c>
      <c r="Y895" s="25" t="s">
        <v>1780</v>
      </c>
      <c r="Z895" s="25"/>
      <c r="AA895" s="99"/>
      <c r="AB895" s="3" t="str">
        <f>IF(BCP_Soles[[#This Row],[FECHA]]&gt;0,TEXT(BCP_Soles[[#This Row],[FECHA]],"mmmm"),0)</f>
        <v>Marzo</v>
      </c>
    </row>
    <row r="896" spans="2:28" ht="48" x14ac:dyDescent="0.3">
      <c r="B896" s="2">
        <f>IF(BCP_Soles[[#This Row],[TIPO DE R.]]="R",COUNTIFS($D$4:$D895,"R")+1,"")</f>
        <v>686</v>
      </c>
      <c r="C896" s="19" t="str">
        <f t="shared" si="65"/>
        <v>B-BCP - Soles</v>
      </c>
      <c r="D896" s="3" t="s">
        <v>1074</v>
      </c>
      <c r="E896" s="14">
        <v>45734</v>
      </c>
      <c r="F896" s="5" t="s">
        <v>562</v>
      </c>
      <c r="G896" s="5" t="s">
        <v>1087</v>
      </c>
      <c r="H896" s="6"/>
      <c r="I896" s="6"/>
      <c r="J896" s="6"/>
      <c r="K896" s="6"/>
      <c r="L896" s="7" t="s">
        <v>2033</v>
      </c>
      <c r="M896" s="8">
        <v>2244876</v>
      </c>
      <c r="N896" s="8" t="str">
        <f t="shared" si="66"/>
        <v>PEN</v>
      </c>
      <c r="O896" s="13"/>
      <c r="P896" s="13">
        <v>6299.81</v>
      </c>
      <c r="Q896" s="3">
        <f t="shared" si="67"/>
        <v>6299.81</v>
      </c>
      <c r="R896" s="3">
        <f t="shared" si="68"/>
        <v>0</v>
      </c>
      <c r="S896" s="3">
        <f t="shared" si="69"/>
        <v>22923.649999999991</v>
      </c>
      <c r="T896" s="24" t="s">
        <v>1081</v>
      </c>
      <c r="U896" s="24" t="s">
        <v>1081</v>
      </c>
      <c r="V896" s="67"/>
      <c r="W896" s="25" t="str">
        <f>IFERROR(VLOOKUP(BCP_Soles[[#This Row],[DESTINATARIO]],CHOOSE({1,2},Clientes_Proveedores[Razon Social],Clientes_Proveedores[Ruc / Dni]),2,0),"")</f>
        <v/>
      </c>
      <c r="X896" s="25" t="s">
        <v>1090</v>
      </c>
      <c r="Y896" s="25" t="s">
        <v>2034</v>
      </c>
      <c r="Z896" s="25"/>
      <c r="AA896" s="99"/>
      <c r="AB896" s="3" t="str">
        <f>IF(BCP_Soles[[#This Row],[FECHA]]&gt;0,TEXT(BCP_Soles[[#This Row],[FECHA]],"mmmm"),0)</f>
        <v>Marzo</v>
      </c>
    </row>
    <row r="897" spans="2:28" ht="24" x14ac:dyDescent="0.3">
      <c r="B897" s="2">
        <f>IF(BCP_Soles[[#This Row],[TIPO DE R.]]="R",COUNTIFS($D$4:$D896,"R")+1,"")</f>
        <v>687</v>
      </c>
      <c r="C897" s="19" t="str">
        <f t="shared" si="65"/>
        <v>B-BCP - Soles</v>
      </c>
      <c r="D897" s="3" t="s">
        <v>1074</v>
      </c>
      <c r="E897" s="14">
        <v>45734</v>
      </c>
      <c r="F897" s="5" t="s">
        <v>405</v>
      </c>
      <c r="G897" s="5" t="s">
        <v>1087</v>
      </c>
      <c r="H897" s="6"/>
      <c r="I897" s="6"/>
      <c r="J897" s="6"/>
      <c r="K897" s="6"/>
      <c r="L897" s="7" t="s">
        <v>1100</v>
      </c>
      <c r="M897" s="8">
        <v>2772996</v>
      </c>
      <c r="N897" s="8" t="str">
        <f t="shared" si="66"/>
        <v>PEN</v>
      </c>
      <c r="O897" s="13"/>
      <c r="P897" s="13">
        <v>1719.98</v>
      </c>
      <c r="Q897" s="3">
        <f t="shared" si="67"/>
        <v>1719.98</v>
      </c>
      <c r="R897" s="3">
        <f t="shared" si="68"/>
        <v>0</v>
      </c>
      <c r="S897" s="3">
        <f t="shared" si="69"/>
        <v>24643.62999999999</v>
      </c>
      <c r="T897" s="24" t="s">
        <v>1081</v>
      </c>
      <c r="U897" s="24" t="s">
        <v>1081</v>
      </c>
      <c r="V897" s="67"/>
      <c r="W897" s="25" t="str">
        <f>IFERROR(VLOOKUP(BCP_Soles[[#This Row],[DESTINATARIO]],CHOOSE({1,2},Clientes_Proveedores[Razon Social],Clientes_Proveedores[Ruc / Dni]),2,0),"")</f>
        <v/>
      </c>
      <c r="X897" s="25" t="s">
        <v>1090</v>
      </c>
      <c r="Y897" s="25" t="s">
        <v>1805</v>
      </c>
      <c r="Z897" s="25"/>
      <c r="AA897" s="99"/>
      <c r="AB897" s="3" t="str">
        <f>IF(BCP_Soles[[#This Row],[FECHA]]&gt;0,TEXT(BCP_Soles[[#This Row],[FECHA]],"mmmm"),0)</f>
        <v>Marzo</v>
      </c>
    </row>
    <row r="898" spans="2:28" ht="24" x14ac:dyDescent="0.3">
      <c r="B898" s="2">
        <f>IF(BCP_Soles[[#This Row],[TIPO DE R.]]="R",COUNTIFS($D$4:$D897,"R")+1,"")</f>
        <v>688</v>
      </c>
      <c r="C898" s="19" t="str">
        <f t="shared" si="65"/>
        <v>B-BCP - Soles</v>
      </c>
      <c r="D898" s="3" t="s">
        <v>1074</v>
      </c>
      <c r="E898" s="14">
        <v>45734</v>
      </c>
      <c r="F898" s="5" t="s">
        <v>405</v>
      </c>
      <c r="G898" s="5" t="s">
        <v>1087</v>
      </c>
      <c r="H898" s="6"/>
      <c r="I898" s="6"/>
      <c r="J898" s="6"/>
      <c r="K898" s="6"/>
      <c r="L898" s="7" t="s">
        <v>1100</v>
      </c>
      <c r="M898" s="8">
        <v>2787035</v>
      </c>
      <c r="N898" s="8" t="str">
        <f t="shared" si="66"/>
        <v>PEN</v>
      </c>
      <c r="O898" s="13"/>
      <c r="P898" s="13">
        <v>1553.5</v>
      </c>
      <c r="Q898" s="3">
        <f t="shared" si="67"/>
        <v>1553.5</v>
      </c>
      <c r="R898" s="3">
        <f t="shared" si="68"/>
        <v>0</v>
      </c>
      <c r="S898" s="3">
        <f t="shared" si="69"/>
        <v>26197.12999999999</v>
      </c>
      <c r="T898" s="24" t="s">
        <v>1081</v>
      </c>
      <c r="U898" s="24" t="s">
        <v>1081</v>
      </c>
      <c r="V898" s="67"/>
      <c r="W898" s="25" t="str">
        <f>IFERROR(VLOOKUP(BCP_Soles[[#This Row],[DESTINATARIO]],CHOOSE({1,2},Clientes_Proveedores[Razon Social],Clientes_Proveedores[Ruc / Dni]),2,0),"")</f>
        <v/>
      </c>
      <c r="X898" s="25" t="s">
        <v>1090</v>
      </c>
      <c r="Y898" s="25" t="s">
        <v>2035</v>
      </c>
      <c r="Z898" s="25"/>
      <c r="AA898" s="99"/>
      <c r="AB898" s="3" t="str">
        <f>IF(BCP_Soles[[#This Row],[FECHA]]&gt;0,TEXT(BCP_Soles[[#This Row],[FECHA]],"mmmm"),0)</f>
        <v>Marzo</v>
      </c>
    </row>
    <row r="899" spans="2:28" ht="24" x14ac:dyDescent="0.3">
      <c r="B899" s="2">
        <f>IF(BCP_Soles[[#This Row],[TIPO DE R.]]="R",COUNTIFS($D$4:$D898,"R")+1,"")</f>
        <v>689</v>
      </c>
      <c r="C899" s="19" t="str">
        <f t="shared" si="65"/>
        <v>B-BCP - Soles</v>
      </c>
      <c r="D899" s="3" t="s">
        <v>1074</v>
      </c>
      <c r="E899" s="14">
        <v>45734</v>
      </c>
      <c r="F899" s="5" t="s">
        <v>1082</v>
      </c>
      <c r="G899" s="5" t="s">
        <v>1079</v>
      </c>
      <c r="H899" s="6"/>
      <c r="I899" s="6"/>
      <c r="J899" s="6"/>
      <c r="K899" s="6"/>
      <c r="L899" s="7" t="s">
        <v>2036</v>
      </c>
      <c r="M899" s="8">
        <v>1139962</v>
      </c>
      <c r="N899" s="8" t="str">
        <f t="shared" si="66"/>
        <v>PEN</v>
      </c>
      <c r="O899" s="13"/>
      <c r="P899" s="13">
        <v>1500</v>
      </c>
      <c r="Q899" s="3">
        <f t="shared" si="67"/>
        <v>0</v>
      </c>
      <c r="R899" s="3">
        <f t="shared" si="68"/>
        <v>1500</v>
      </c>
      <c r="S899" s="3">
        <f t="shared" si="69"/>
        <v>24697.12999999999</v>
      </c>
      <c r="T899" s="24"/>
      <c r="U899" s="24"/>
      <c r="V899" s="67"/>
      <c r="W899" s="25" t="str">
        <f>IFERROR(VLOOKUP(BCP_Soles[[#This Row],[DESTINATARIO]],CHOOSE({1,2},Clientes_Proveedores[Razon Social],Clientes_Proveedores[Ruc / Dni]),2,0),"")</f>
        <v/>
      </c>
      <c r="X899" s="25" t="s">
        <v>850</v>
      </c>
      <c r="Y899" s="25"/>
      <c r="Z899" s="25"/>
      <c r="AA899" s="99"/>
      <c r="AB899" s="3" t="str">
        <f>IF(BCP_Soles[[#This Row],[FECHA]]&gt;0,TEXT(BCP_Soles[[#This Row],[FECHA]],"mmmm"),0)</f>
        <v>Marzo</v>
      </c>
    </row>
    <row r="900" spans="2:28" x14ac:dyDescent="0.3">
      <c r="B900" s="2">
        <f>IF(BCP_Soles[[#This Row],[TIPO DE R.]]="R",COUNTIFS($D$4:$D899,"R")+1,"")</f>
        <v>690</v>
      </c>
      <c r="C900" s="19" t="str">
        <f t="shared" si="65"/>
        <v>B-BCP - Soles</v>
      </c>
      <c r="D900" s="3" t="s">
        <v>1074</v>
      </c>
      <c r="E900" s="14">
        <v>45734</v>
      </c>
      <c r="F900" s="5" t="s">
        <v>1078</v>
      </c>
      <c r="G900" s="5" t="s">
        <v>1079</v>
      </c>
      <c r="H900" s="6"/>
      <c r="I900" s="6"/>
      <c r="J900" s="6"/>
      <c r="K900" s="6"/>
      <c r="L900" s="7" t="s">
        <v>1080</v>
      </c>
      <c r="M900" s="8"/>
      <c r="N900" s="8" t="str">
        <f t="shared" si="66"/>
        <v>PEN</v>
      </c>
      <c r="O900" s="13"/>
      <c r="P900" s="13">
        <v>0.75</v>
      </c>
      <c r="Q900" s="3">
        <f t="shared" si="67"/>
        <v>0</v>
      </c>
      <c r="R900" s="3">
        <f t="shared" si="68"/>
        <v>0.75</v>
      </c>
      <c r="S900" s="3">
        <f t="shared" si="69"/>
        <v>24696.37999999999</v>
      </c>
      <c r="T900" s="24"/>
      <c r="U900" s="24" t="s">
        <v>1081</v>
      </c>
      <c r="V900" s="67"/>
      <c r="W900" s="25" t="str">
        <f>IFERROR(VLOOKUP(BCP_Soles[[#This Row],[DESTINATARIO]],CHOOSE({1,2},Clientes_Proveedores[Razon Social],Clientes_Proveedores[Ruc / Dni]),2,0),"")</f>
        <v/>
      </c>
      <c r="X900" s="25"/>
      <c r="Y900" s="25"/>
      <c r="Z900" s="25"/>
      <c r="AA900" s="99"/>
      <c r="AB900" s="3" t="str">
        <f>IF(BCP_Soles[[#This Row],[FECHA]]&gt;0,TEXT(BCP_Soles[[#This Row],[FECHA]],"mmmm"),0)</f>
        <v>Marzo</v>
      </c>
    </row>
    <row r="901" spans="2:28" x14ac:dyDescent="0.3">
      <c r="B901" s="2">
        <f>IF(BCP_Soles[[#This Row],[TIPO DE R.]]="R",COUNTIFS($D$4:$D900,"R")+1,"")</f>
        <v>691</v>
      </c>
      <c r="C901" s="19" t="str">
        <f t="shared" ref="C901:C964" si="70">"B-BCP - Soles"</f>
        <v>B-BCP - Soles</v>
      </c>
      <c r="D901" s="3" t="s">
        <v>1074</v>
      </c>
      <c r="E901" s="14">
        <v>45734</v>
      </c>
      <c r="F901" s="5" t="s">
        <v>1078</v>
      </c>
      <c r="G901" s="5" t="s">
        <v>1079</v>
      </c>
      <c r="H901" s="6"/>
      <c r="I901" s="6"/>
      <c r="J901" s="6"/>
      <c r="K901" s="6"/>
      <c r="L901" s="7" t="s">
        <v>1141</v>
      </c>
      <c r="M901" s="8">
        <v>426</v>
      </c>
      <c r="N901" s="8" t="str">
        <f t="shared" ref="N901:N964" si="71">"PEN"</f>
        <v>PEN</v>
      </c>
      <c r="O901" s="13"/>
      <c r="P901" s="13">
        <v>10</v>
      </c>
      <c r="Q901" s="3">
        <f t="shared" ref="Q901:Q964" si="72">+IF(OR($G901="SALDO",$G901="INGRESO"),$P901,0)</f>
        <v>0</v>
      </c>
      <c r="R901" s="3">
        <f t="shared" ref="R901:R964" si="73">+IF($G901="EGRESO",$P901,0)</f>
        <v>10</v>
      </c>
      <c r="S901" s="3">
        <f t="shared" ref="S901:S964" si="74">IFERROR(IF(G901="SALDO",Q901,S900+Q901-R901),0)</f>
        <v>24686.37999999999</v>
      </c>
      <c r="T901" s="24"/>
      <c r="U901" s="24" t="s">
        <v>1081</v>
      </c>
      <c r="V901" s="67"/>
      <c r="W901" s="25" t="str">
        <f>IFERROR(VLOOKUP(BCP_Soles[[#This Row],[DESTINATARIO]],CHOOSE({1,2},Clientes_Proveedores[Razon Social],Clientes_Proveedores[Ruc / Dni]),2,0),"")</f>
        <v/>
      </c>
      <c r="X901" s="25" t="s">
        <v>1078</v>
      </c>
      <c r="Y901" s="25" t="s">
        <v>2037</v>
      </c>
      <c r="Z901" s="25"/>
      <c r="AA901" s="99"/>
      <c r="AB901" s="3" t="str">
        <f>IF(BCP_Soles[[#This Row],[FECHA]]&gt;0,TEXT(BCP_Soles[[#This Row],[FECHA]],"mmmm"),0)</f>
        <v>Marzo</v>
      </c>
    </row>
    <row r="902" spans="2:28" x14ac:dyDescent="0.3">
      <c r="B902" s="2">
        <f>IF(BCP_Soles[[#This Row],[TIPO DE R.]]="R",COUNTIFS($D$4:$D901,"R")+1,"")</f>
        <v>692</v>
      </c>
      <c r="C902" s="19" t="str">
        <f t="shared" si="70"/>
        <v>B-BCP - Soles</v>
      </c>
      <c r="D902" s="3" t="s">
        <v>1074</v>
      </c>
      <c r="E902" s="14">
        <v>45734</v>
      </c>
      <c r="F902" s="5" t="s">
        <v>1082</v>
      </c>
      <c r="G902" s="5" t="s">
        <v>1079</v>
      </c>
      <c r="H902" s="6"/>
      <c r="I902" s="6"/>
      <c r="J902" s="6"/>
      <c r="K902" s="6"/>
      <c r="L902" s="7" t="s">
        <v>2038</v>
      </c>
      <c r="M902" s="8">
        <v>1015303</v>
      </c>
      <c r="N902" s="8" t="str">
        <f t="shared" si="71"/>
        <v>PEN</v>
      </c>
      <c r="O902" s="13"/>
      <c r="P902" s="13">
        <v>3157</v>
      </c>
      <c r="Q902" s="3">
        <f t="shared" si="72"/>
        <v>0</v>
      </c>
      <c r="R902" s="3">
        <f t="shared" si="73"/>
        <v>3157</v>
      </c>
      <c r="S902" s="3">
        <f t="shared" si="74"/>
        <v>21529.37999999999</v>
      </c>
      <c r="T902" s="24"/>
      <c r="U902" s="24"/>
      <c r="V902" s="67"/>
      <c r="W902" s="25" t="str">
        <f>IFERROR(VLOOKUP(BCP_Soles[[#This Row],[DESTINATARIO]],CHOOSE({1,2},Clientes_Proveedores[Razon Social],Clientes_Proveedores[Ruc / Dni]),2,0),"")</f>
        <v/>
      </c>
      <c r="X902" s="25" t="s">
        <v>1133</v>
      </c>
      <c r="Y902" s="25"/>
      <c r="Z902" s="25"/>
      <c r="AA902" s="99"/>
      <c r="AB902" s="3" t="str">
        <f>IF(BCP_Soles[[#This Row],[FECHA]]&gt;0,TEXT(BCP_Soles[[#This Row],[FECHA]],"mmmm"),0)</f>
        <v>Marzo</v>
      </c>
    </row>
    <row r="903" spans="2:28" x14ac:dyDescent="0.3">
      <c r="B903" s="2">
        <f>IF(BCP_Soles[[#This Row],[TIPO DE R.]]="R",COUNTIFS($D$4:$D902,"R")+1,"")</f>
        <v>693</v>
      </c>
      <c r="C903" s="19" t="str">
        <f t="shared" si="70"/>
        <v>B-BCP - Soles</v>
      </c>
      <c r="D903" s="3" t="s">
        <v>1074</v>
      </c>
      <c r="E903" s="14">
        <v>45735</v>
      </c>
      <c r="F903" s="5"/>
      <c r="G903" s="5" t="s">
        <v>1087</v>
      </c>
      <c r="H903" s="6"/>
      <c r="I903" s="6"/>
      <c r="J903" s="6"/>
      <c r="K903" s="6"/>
      <c r="L903" s="7" t="s">
        <v>1100</v>
      </c>
      <c r="M903" s="8">
        <v>1932483</v>
      </c>
      <c r="N903" s="8" t="str">
        <f t="shared" si="71"/>
        <v>PEN</v>
      </c>
      <c r="O903" s="13"/>
      <c r="P903" s="13">
        <v>4000</v>
      </c>
      <c r="Q903" s="3">
        <f t="shared" si="72"/>
        <v>4000</v>
      </c>
      <c r="R903" s="3">
        <f t="shared" si="73"/>
        <v>0</v>
      </c>
      <c r="S903" s="3">
        <f t="shared" si="74"/>
        <v>25529.37999999999</v>
      </c>
      <c r="T903" s="24" t="s">
        <v>1081</v>
      </c>
      <c r="U903" s="24" t="s">
        <v>1081</v>
      </c>
      <c r="V903" s="67"/>
      <c r="W903" s="25" t="str">
        <f>IFERROR(VLOOKUP(BCP_Soles[[#This Row],[DESTINATARIO]],CHOOSE({1,2},Clientes_Proveedores[Razon Social],Clientes_Proveedores[Ruc / Dni]),2,0),"")</f>
        <v/>
      </c>
      <c r="X903" s="25" t="s">
        <v>1090</v>
      </c>
      <c r="Y903" s="25"/>
      <c r="Z903" s="25"/>
      <c r="AA903" s="99"/>
      <c r="AB903" s="3" t="str">
        <f>IF(BCP_Soles[[#This Row],[FECHA]]&gt;0,TEXT(BCP_Soles[[#This Row],[FECHA]],"mmmm"),0)</f>
        <v>Marzo</v>
      </c>
    </row>
    <row r="904" spans="2:28" x14ac:dyDescent="0.3">
      <c r="B904" s="2" t="str">
        <f>IF(BCP_Soles[[#This Row],[TIPO DE R.]]="R",COUNTIFS($D$4:$D903,"R")+1,"")</f>
        <v/>
      </c>
      <c r="C904" s="19" t="str">
        <f t="shared" si="70"/>
        <v>B-BCP - Soles</v>
      </c>
      <c r="D904" s="3" t="s">
        <v>1101</v>
      </c>
      <c r="E904" s="14">
        <v>45735</v>
      </c>
      <c r="F904" s="5" t="s">
        <v>1262</v>
      </c>
      <c r="G904" s="5"/>
      <c r="H904" s="6"/>
      <c r="I904" s="6"/>
      <c r="J904" s="6"/>
      <c r="K904" s="6"/>
      <c r="L904" s="7" t="s">
        <v>1100</v>
      </c>
      <c r="M904" s="8">
        <v>1932483</v>
      </c>
      <c r="N904" s="8" t="str">
        <f t="shared" si="71"/>
        <v>PEN</v>
      </c>
      <c r="O904" s="13"/>
      <c r="P904" s="13">
        <v>3009</v>
      </c>
      <c r="Q904" s="3">
        <f t="shared" si="72"/>
        <v>0</v>
      </c>
      <c r="R904" s="3">
        <f t="shared" si="73"/>
        <v>0</v>
      </c>
      <c r="S904" s="3">
        <f t="shared" si="74"/>
        <v>25529.37999999999</v>
      </c>
      <c r="T904" s="24" t="s">
        <v>1081</v>
      </c>
      <c r="U904" s="24" t="s">
        <v>1081</v>
      </c>
      <c r="V904" s="67"/>
      <c r="W904" s="25" t="str">
        <f>IFERROR(VLOOKUP(BCP_Soles[[#This Row],[DESTINATARIO]],CHOOSE({1,2},Clientes_Proveedores[Razon Social],Clientes_Proveedores[Ruc / Dni]),2,0),"")</f>
        <v/>
      </c>
      <c r="X904" s="25" t="s">
        <v>1090</v>
      </c>
      <c r="Y904" s="25" t="s">
        <v>2039</v>
      </c>
      <c r="Z904" s="25"/>
      <c r="AA904" s="99"/>
      <c r="AB904" s="3" t="str">
        <f>IF(BCP_Soles[[#This Row],[FECHA]]&gt;0,TEXT(BCP_Soles[[#This Row],[FECHA]],"mmmm"),0)</f>
        <v>Marzo</v>
      </c>
    </row>
    <row r="905" spans="2:28" x14ac:dyDescent="0.3">
      <c r="B905" s="2" t="str">
        <f>IF(BCP_Soles[[#This Row],[TIPO DE R.]]="R",COUNTIFS($D$4:$D904,"R")+1,"")</f>
        <v/>
      </c>
      <c r="C905" s="19" t="str">
        <f t="shared" si="70"/>
        <v>B-BCP - Soles</v>
      </c>
      <c r="D905" s="3" t="s">
        <v>1101</v>
      </c>
      <c r="E905" s="14">
        <v>45735</v>
      </c>
      <c r="F905" s="5" t="s">
        <v>1262</v>
      </c>
      <c r="G905" s="5"/>
      <c r="H905" s="6"/>
      <c r="I905" s="6"/>
      <c r="J905" s="6"/>
      <c r="K905" s="6"/>
      <c r="L905" s="7" t="s">
        <v>1100</v>
      </c>
      <c r="M905" s="8">
        <v>1932483</v>
      </c>
      <c r="N905" s="8" t="str">
        <f t="shared" si="71"/>
        <v>PEN</v>
      </c>
      <c r="O905" s="13"/>
      <c r="P905" s="13">
        <v>991</v>
      </c>
      <c r="Q905" s="3">
        <f t="shared" si="72"/>
        <v>0</v>
      </c>
      <c r="R905" s="3">
        <f t="shared" si="73"/>
        <v>0</v>
      </c>
      <c r="S905" s="3">
        <f t="shared" si="74"/>
        <v>25529.37999999999</v>
      </c>
      <c r="T905" s="24" t="s">
        <v>1081</v>
      </c>
      <c r="U905" s="24" t="s">
        <v>1081</v>
      </c>
      <c r="V905" s="67"/>
      <c r="W905" s="25" t="str">
        <f>IFERROR(VLOOKUP(BCP_Soles[[#This Row],[DESTINATARIO]],CHOOSE({1,2},Clientes_Proveedores[Razon Social],Clientes_Proveedores[Ruc / Dni]),2,0),"")</f>
        <v/>
      </c>
      <c r="X905" s="25" t="s">
        <v>1090</v>
      </c>
      <c r="Y905" s="25" t="s">
        <v>2040</v>
      </c>
      <c r="Z905" s="25"/>
      <c r="AA905" s="99"/>
      <c r="AB905" s="3" t="str">
        <f>IF(BCP_Soles[[#This Row],[FECHA]]&gt;0,TEXT(BCP_Soles[[#This Row],[FECHA]],"mmmm"),0)</f>
        <v>Marzo</v>
      </c>
    </row>
    <row r="906" spans="2:28" ht="24" x14ac:dyDescent="0.3">
      <c r="B906" s="2">
        <f>IF(BCP_Soles[[#This Row],[TIPO DE R.]]="R",COUNTIFS($D$4:$D905,"R")+1,"")</f>
        <v>694</v>
      </c>
      <c r="C906" s="19" t="str">
        <f t="shared" si="70"/>
        <v>B-BCP - Soles</v>
      </c>
      <c r="D906" s="3" t="s">
        <v>1074</v>
      </c>
      <c r="E906" s="14">
        <v>45735</v>
      </c>
      <c r="F906" s="5" t="s">
        <v>1082</v>
      </c>
      <c r="G906" s="5" t="s">
        <v>1079</v>
      </c>
      <c r="H906" s="6" t="s">
        <v>192</v>
      </c>
      <c r="I906" s="6"/>
      <c r="J906" s="6"/>
      <c r="K906" s="6"/>
      <c r="L906" s="7" t="s">
        <v>2041</v>
      </c>
      <c r="M906" s="8">
        <v>1112087</v>
      </c>
      <c r="N906" s="8" t="str">
        <f t="shared" si="71"/>
        <v>PEN</v>
      </c>
      <c r="O906" s="13"/>
      <c r="P906" s="13">
        <v>40.71</v>
      </c>
      <c r="Q906" s="3">
        <f t="shared" si="72"/>
        <v>0</v>
      </c>
      <c r="R906" s="3">
        <f t="shared" si="73"/>
        <v>40.71</v>
      </c>
      <c r="S906" s="3">
        <f t="shared" si="74"/>
        <v>25488.669999999991</v>
      </c>
      <c r="T906" s="24"/>
      <c r="U906" s="24"/>
      <c r="V906" s="67"/>
      <c r="W906" s="25">
        <f>IFERROR(VLOOKUP(BCP_Soles[[#This Row],[DESTINATARIO]],CHOOSE({1,2},Clientes_Proveedores[Razon Social],Clientes_Proveedores[Ruc / Dni]),2,0),"")</f>
        <v>20302891452</v>
      </c>
      <c r="X906" s="25" t="s">
        <v>192</v>
      </c>
      <c r="Y906" s="25"/>
      <c r="Z906" s="25"/>
      <c r="AA906" s="99"/>
      <c r="AB906" s="3" t="str">
        <f>IF(BCP_Soles[[#This Row],[FECHA]]&gt;0,TEXT(BCP_Soles[[#This Row],[FECHA]],"mmmm"),0)</f>
        <v>Marzo</v>
      </c>
    </row>
    <row r="907" spans="2:28" ht="24" x14ac:dyDescent="0.3">
      <c r="B907" s="2">
        <f>IF(BCP_Soles[[#This Row],[TIPO DE R.]]="R",COUNTIFS($D$4:$D906,"R")+1,"")</f>
        <v>695</v>
      </c>
      <c r="C907" s="19" t="str">
        <f t="shared" si="70"/>
        <v>B-BCP - Soles</v>
      </c>
      <c r="D907" s="3" t="s">
        <v>1074</v>
      </c>
      <c r="E907" s="14">
        <v>45735</v>
      </c>
      <c r="F907" s="5" t="s">
        <v>1082</v>
      </c>
      <c r="G907" s="5" t="s">
        <v>1079</v>
      </c>
      <c r="H907" s="6" t="s">
        <v>192</v>
      </c>
      <c r="I907" s="6"/>
      <c r="J907" s="6"/>
      <c r="K907" s="6"/>
      <c r="L907" s="7" t="s">
        <v>2042</v>
      </c>
      <c r="M907" s="8">
        <v>1113065</v>
      </c>
      <c r="N907" s="8" t="str">
        <f t="shared" si="71"/>
        <v>PEN</v>
      </c>
      <c r="O907" s="13"/>
      <c r="P907" s="13">
        <v>40.71</v>
      </c>
      <c r="Q907" s="3">
        <f t="shared" si="72"/>
        <v>0</v>
      </c>
      <c r="R907" s="3">
        <f t="shared" si="73"/>
        <v>40.71</v>
      </c>
      <c r="S907" s="3">
        <f t="shared" si="74"/>
        <v>25447.959999999992</v>
      </c>
      <c r="T907" s="24"/>
      <c r="U907" s="24"/>
      <c r="V907" s="67"/>
      <c r="W907" s="25">
        <f>IFERROR(VLOOKUP(BCP_Soles[[#This Row],[DESTINATARIO]],CHOOSE({1,2},Clientes_Proveedores[Razon Social],Clientes_Proveedores[Ruc / Dni]),2,0),"")</f>
        <v>20302891452</v>
      </c>
      <c r="X907" s="25" t="s">
        <v>192</v>
      </c>
      <c r="Y907" s="25"/>
      <c r="Z907" s="25"/>
      <c r="AA907" s="99"/>
      <c r="AB907" s="3" t="str">
        <f>IF(BCP_Soles[[#This Row],[FECHA]]&gt;0,TEXT(BCP_Soles[[#This Row],[FECHA]],"mmmm"),0)</f>
        <v>Marzo</v>
      </c>
    </row>
    <row r="908" spans="2:28" ht="24" x14ac:dyDescent="0.3">
      <c r="B908" s="2">
        <f>IF(BCP_Soles[[#This Row],[TIPO DE R.]]="R",COUNTIFS($D$4:$D907,"R")+1,"")</f>
        <v>696</v>
      </c>
      <c r="C908" s="19" t="str">
        <f t="shared" si="70"/>
        <v>B-BCP - Soles</v>
      </c>
      <c r="D908" s="3" t="s">
        <v>1074</v>
      </c>
      <c r="E908" s="14">
        <v>45735</v>
      </c>
      <c r="F908" s="5" t="s">
        <v>1082</v>
      </c>
      <c r="G908" s="5" t="s">
        <v>1079</v>
      </c>
      <c r="H908" s="6"/>
      <c r="I908" s="6" t="s">
        <v>52</v>
      </c>
      <c r="J908" s="6" t="s">
        <v>1303</v>
      </c>
      <c r="K908" s="6">
        <v>67066289</v>
      </c>
      <c r="L908" s="7" t="s">
        <v>2043</v>
      </c>
      <c r="M908" s="8">
        <v>4113066</v>
      </c>
      <c r="N908" s="8" t="str">
        <f t="shared" si="71"/>
        <v>PEN</v>
      </c>
      <c r="O908" s="13"/>
      <c r="P908" s="13">
        <v>79.900000000000006</v>
      </c>
      <c r="Q908" s="3">
        <f t="shared" si="72"/>
        <v>0</v>
      </c>
      <c r="R908" s="3">
        <f t="shared" si="73"/>
        <v>79.900000000000006</v>
      </c>
      <c r="S908" s="3">
        <f t="shared" si="74"/>
        <v>25368.05999999999</v>
      </c>
      <c r="T908" s="24" t="s">
        <v>1081</v>
      </c>
      <c r="U908" s="24" t="s">
        <v>1081</v>
      </c>
      <c r="V908" s="67"/>
      <c r="W908" s="25" t="str">
        <f>IFERROR(VLOOKUP(BCP_Soles[[#This Row],[DESTINATARIO]],CHOOSE({1,2},Clientes_Proveedores[Razon Social],Clientes_Proveedores[Ruc / Dni]),2,0),"")</f>
        <v/>
      </c>
      <c r="X908" s="25" t="s">
        <v>1305</v>
      </c>
      <c r="Y908" s="25" t="s">
        <v>2044</v>
      </c>
      <c r="Z908" s="25"/>
      <c r="AA908" s="99"/>
      <c r="AB908" s="3" t="str">
        <f>IF(BCP_Soles[[#This Row],[FECHA]]&gt;0,TEXT(BCP_Soles[[#This Row],[FECHA]],"mmmm"),0)</f>
        <v>Marzo</v>
      </c>
    </row>
    <row r="909" spans="2:28" x14ac:dyDescent="0.3">
      <c r="B909" s="2">
        <f>IF(BCP_Soles[[#This Row],[TIPO DE R.]]="R",COUNTIFS($D$4:$D908,"R")+1,"")</f>
        <v>697</v>
      </c>
      <c r="C909" s="19" t="str">
        <f t="shared" si="70"/>
        <v>B-BCP - Soles</v>
      </c>
      <c r="D909" s="3" t="s">
        <v>1074</v>
      </c>
      <c r="E909" s="14">
        <v>45735</v>
      </c>
      <c r="F909" s="5" t="s">
        <v>1090</v>
      </c>
      <c r="G909" s="5" t="s">
        <v>1087</v>
      </c>
      <c r="H909" s="6"/>
      <c r="I909" s="6"/>
      <c r="J909" s="6"/>
      <c r="K909" s="6"/>
      <c r="L909" s="7" t="s">
        <v>2045</v>
      </c>
      <c r="M909" s="8">
        <v>2146343</v>
      </c>
      <c r="N909" s="8" t="str">
        <f t="shared" si="71"/>
        <v>PEN</v>
      </c>
      <c r="O909" s="13"/>
      <c r="P909" s="13">
        <v>36130</v>
      </c>
      <c r="Q909" s="3">
        <f t="shared" si="72"/>
        <v>36130</v>
      </c>
      <c r="R909" s="3">
        <f t="shared" si="73"/>
        <v>0</v>
      </c>
      <c r="S909" s="3">
        <f t="shared" si="74"/>
        <v>61498.05999999999</v>
      </c>
      <c r="T909" s="24"/>
      <c r="U909" s="24"/>
      <c r="V909" s="67"/>
      <c r="W909" s="25" t="str">
        <f>IFERROR(VLOOKUP(BCP_Soles[[#This Row],[DESTINATARIO]],CHOOSE({1,2},Clientes_Proveedores[Razon Social],Clientes_Proveedores[Ruc / Dni]),2,0),"")</f>
        <v/>
      </c>
      <c r="X909" s="25" t="s">
        <v>1090</v>
      </c>
      <c r="Y909" s="25"/>
      <c r="Z909" s="25"/>
      <c r="AA909" s="99"/>
      <c r="AB909" s="3" t="str">
        <f>IF(BCP_Soles[[#This Row],[FECHA]]&gt;0,TEXT(BCP_Soles[[#This Row],[FECHA]],"mmmm"),0)</f>
        <v>Marzo</v>
      </c>
    </row>
    <row r="910" spans="2:28" x14ac:dyDescent="0.3">
      <c r="B910" s="2">
        <f>IF(BCP_Soles[[#This Row],[TIPO DE R.]]="R",COUNTIFS($D$4:$D909,"R")+1,"")</f>
        <v>698</v>
      </c>
      <c r="C910" s="19" t="str">
        <f t="shared" si="70"/>
        <v>B-BCP - Soles</v>
      </c>
      <c r="D910" s="3" t="s">
        <v>1074</v>
      </c>
      <c r="E910" s="14">
        <v>45735</v>
      </c>
      <c r="F910" s="5"/>
      <c r="G910" s="5" t="s">
        <v>1087</v>
      </c>
      <c r="H910" s="6"/>
      <c r="I910" s="6"/>
      <c r="J910" s="6"/>
      <c r="K910" s="6"/>
      <c r="L910" s="7" t="s">
        <v>1100</v>
      </c>
      <c r="M910" s="8">
        <v>2505511</v>
      </c>
      <c r="N910" s="8" t="str">
        <f t="shared" si="71"/>
        <v>PEN</v>
      </c>
      <c r="O910" s="13"/>
      <c r="P910" s="13">
        <v>2951</v>
      </c>
      <c r="Q910" s="3">
        <f t="shared" si="72"/>
        <v>2951</v>
      </c>
      <c r="R910" s="3">
        <f t="shared" si="73"/>
        <v>0</v>
      </c>
      <c r="S910" s="3">
        <f t="shared" si="74"/>
        <v>64449.05999999999</v>
      </c>
      <c r="T910" s="24" t="s">
        <v>1081</v>
      </c>
      <c r="U910" s="24" t="s">
        <v>1081</v>
      </c>
      <c r="V910" s="67"/>
      <c r="W910" s="25" t="str">
        <f>IFERROR(VLOOKUP(BCP_Soles[[#This Row],[DESTINATARIO]],CHOOSE({1,2},Clientes_Proveedores[Razon Social],Clientes_Proveedores[Ruc / Dni]),2,0),"")</f>
        <v/>
      </c>
      <c r="X910" s="25" t="s">
        <v>1090</v>
      </c>
      <c r="Y910" s="25"/>
      <c r="Z910" s="25"/>
      <c r="AA910" s="99"/>
      <c r="AB910" s="3" t="str">
        <f>IF(BCP_Soles[[#This Row],[FECHA]]&gt;0,TEXT(BCP_Soles[[#This Row],[FECHA]],"mmmm"),0)</f>
        <v>Marzo</v>
      </c>
    </row>
    <row r="911" spans="2:28" ht="24" x14ac:dyDescent="0.3">
      <c r="B911" s="2" t="str">
        <f>IF(BCP_Soles[[#This Row],[TIPO DE R.]]="R",COUNTIFS($D$4:$D910,"R")+1,"")</f>
        <v/>
      </c>
      <c r="C911" s="19" t="str">
        <f t="shared" si="70"/>
        <v>B-BCP - Soles</v>
      </c>
      <c r="D911" s="3" t="s">
        <v>1101</v>
      </c>
      <c r="E911" s="14">
        <v>45735</v>
      </c>
      <c r="F911" s="5" t="s">
        <v>479</v>
      </c>
      <c r="G911" s="5"/>
      <c r="H911" s="6"/>
      <c r="I911" s="6"/>
      <c r="J911" s="6"/>
      <c r="K911" s="6"/>
      <c r="L911" s="7" t="s">
        <v>1100</v>
      </c>
      <c r="M911" s="8">
        <v>2505511</v>
      </c>
      <c r="N911" s="8" t="str">
        <f t="shared" si="71"/>
        <v>PEN</v>
      </c>
      <c r="O911" s="13"/>
      <c r="P911" s="13">
        <v>727</v>
      </c>
      <c r="Q911" s="3">
        <f t="shared" si="72"/>
        <v>0</v>
      </c>
      <c r="R911" s="3">
        <f t="shared" si="73"/>
        <v>0</v>
      </c>
      <c r="S911" s="3">
        <f t="shared" si="74"/>
        <v>64449.05999999999</v>
      </c>
      <c r="T911" s="24" t="s">
        <v>1081</v>
      </c>
      <c r="U911" s="24" t="s">
        <v>1081</v>
      </c>
      <c r="V911" s="67"/>
      <c r="W911" s="25" t="str">
        <f>IFERROR(VLOOKUP(BCP_Soles[[#This Row],[DESTINATARIO]],CHOOSE({1,2},Clientes_Proveedores[Razon Social],Clientes_Proveedores[Ruc / Dni]),2,0),"")</f>
        <v/>
      </c>
      <c r="X911" s="25" t="s">
        <v>1090</v>
      </c>
      <c r="Y911" s="25" t="s">
        <v>2046</v>
      </c>
      <c r="Z911" s="25"/>
      <c r="AA911" s="99"/>
      <c r="AB911" s="3" t="str">
        <f>IF(BCP_Soles[[#This Row],[FECHA]]&gt;0,TEXT(BCP_Soles[[#This Row],[FECHA]],"mmmm"),0)</f>
        <v>Marzo</v>
      </c>
    </row>
    <row r="912" spans="2:28" ht="24" x14ac:dyDescent="0.3">
      <c r="B912" s="2" t="str">
        <f>IF(BCP_Soles[[#This Row],[TIPO DE R.]]="R",COUNTIFS($D$4:$D911,"R")+1,"")</f>
        <v/>
      </c>
      <c r="C912" s="19" t="str">
        <f t="shared" si="70"/>
        <v>B-BCP - Soles</v>
      </c>
      <c r="D912" s="3" t="s">
        <v>1101</v>
      </c>
      <c r="E912" s="14">
        <v>45735</v>
      </c>
      <c r="F912" s="5" t="s">
        <v>479</v>
      </c>
      <c r="G912" s="5"/>
      <c r="H912" s="6"/>
      <c r="I912" s="6"/>
      <c r="J912" s="6"/>
      <c r="K912" s="6"/>
      <c r="L912" s="7" t="s">
        <v>1100</v>
      </c>
      <c r="M912" s="8">
        <v>2505511</v>
      </c>
      <c r="N912" s="8" t="str">
        <f t="shared" si="71"/>
        <v>PEN</v>
      </c>
      <c r="O912" s="13"/>
      <c r="P912" s="13">
        <v>992</v>
      </c>
      <c r="Q912" s="3">
        <f t="shared" si="72"/>
        <v>0</v>
      </c>
      <c r="R912" s="3">
        <f t="shared" si="73"/>
        <v>0</v>
      </c>
      <c r="S912" s="3">
        <f t="shared" si="74"/>
        <v>64449.05999999999</v>
      </c>
      <c r="T912" s="24" t="s">
        <v>1081</v>
      </c>
      <c r="U912" s="24" t="s">
        <v>1081</v>
      </c>
      <c r="V912" s="67"/>
      <c r="W912" s="25" t="str">
        <f>IFERROR(VLOOKUP(BCP_Soles[[#This Row],[DESTINATARIO]],CHOOSE({1,2},Clientes_Proveedores[Razon Social],Clientes_Proveedores[Ruc / Dni]),2,0),"")</f>
        <v/>
      </c>
      <c r="X912" s="25" t="s">
        <v>1090</v>
      </c>
      <c r="Y912" s="25" t="s">
        <v>2047</v>
      </c>
      <c r="Z912" s="25"/>
      <c r="AA912" s="99"/>
      <c r="AB912" s="3" t="str">
        <f>IF(BCP_Soles[[#This Row],[FECHA]]&gt;0,TEXT(BCP_Soles[[#This Row],[FECHA]],"mmmm"),0)</f>
        <v>Marzo</v>
      </c>
    </row>
    <row r="913" spans="2:28" ht="24" x14ac:dyDescent="0.3">
      <c r="B913" s="2" t="str">
        <f>IF(BCP_Soles[[#This Row],[TIPO DE R.]]="R",COUNTIFS($D$4:$D912,"R")+1,"")</f>
        <v/>
      </c>
      <c r="C913" s="19" t="str">
        <f t="shared" si="70"/>
        <v>B-BCP - Soles</v>
      </c>
      <c r="D913" s="3" t="s">
        <v>1101</v>
      </c>
      <c r="E913" s="14">
        <v>45735</v>
      </c>
      <c r="F913" s="5" t="s">
        <v>479</v>
      </c>
      <c r="G913" s="5"/>
      <c r="H913" s="6"/>
      <c r="I913" s="6"/>
      <c r="J913" s="6"/>
      <c r="K913" s="6"/>
      <c r="L913" s="7" t="s">
        <v>1100</v>
      </c>
      <c r="M913" s="8">
        <v>2505511</v>
      </c>
      <c r="N913" s="8" t="str">
        <f t="shared" si="71"/>
        <v>PEN</v>
      </c>
      <c r="O913" s="13"/>
      <c r="P913" s="13">
        <v>1232</v>
      </c>
      <c r="Q913" s="3">
        <f t="shared" si="72"/>
        <v>0</v>
      </c>
      <c r="R913" s="3">
        <f t="shared" si="73"/>
        <v>0</v>
      </c>
      <c r="S913" s="3">
        <f t="shared" si="74"/>
        <v>64449.05999999999</v>
      </c>
      <c r="T913" s="24" t="s">
        <v>1081</v>
      </c>
      <c r="U913" s="24" t="s">
        <v>1081</v>
      </c>
      <c r="V913" s="67"/>
      <c r="W913" s="25" t="str">
        <f>IFERROR(VLOOKUP(BCP_Soles[[#This Row],[DESTINATARIO]],CHOOSE({1,2},Clientes_Proveedores[Razon Social],Clientes_Proveedores[Ruc / Dni]),2,0),"")</f>
        <v/>
      </c>
      <c r="X913" s="25" t="s">
        <v>1090</v>
      </c>
      <c r="Y913" s="25" t="s">
        <v>2048</v>
      </c>
      <c r="Z913" s="25"/>
      <c r="AA913" s="99"/>
      <c r="AB913" s="3" t="str">
        <f>IF(BCP_Soles[[#This Row],[FECHA]]&gt;0,TEXT(BCP_Soles[[#This Row],[FECHA]],"mmmm"),0)</f>
        <v>Marzo</v>
      </c>
    </row>
    <row r="914" spans="2:28" x14ac:dyDescent="0.3">
      <c r="B914" s="2">
        <f>IF(BCP_Soles[[#This Row],[TIPO DE R.]]="R",COUNTIFS($D$4:$D913,"R")+1,"")</f>
        <v>699</v>
      </c>
      <c r="C914" s="19" t="str">
        <f t="shared" si="70"/>
        <v>B-BCP - Soles</v>
      </c>
      <c r="D914" s="3" t="s">
        <v>1074</v>
      </c>
      <c r="E914" s="14">
        <v>45735</v>
      </c>
      <c r="F914" s="5" t="s">
        <v>278</v>
      </c>
      <c r="G914" s="5" t="s">
        <v>1087</v>
      </c>
      <c r="H914" s="6"/>
      <c r="I914" s="6"/>
      <c r="J914" s="6"/>
      <c r="K914" s="6"/>
      <c r="L914" s="7" t="s">
        <v>1648</v>
      </c>
      <c r="M914" s="8">
        <v>2215336</v>
      </c>
      <c r="N914" s="8" t="str">
        <f t="shared" si="71"/>
        <v>PEN</v>
      </c>
      <c r="O914" s="13"/>
      <c r="P914" s="13">
        <v>670.73</v>
      </c>
      <c r="Q914" s="3">
        <f t="shared" si="72"/>
        <v>670.73</v>
      </c>
      <c r="R914" s="3">
        <f t="shared" si="73"/>
        <v>0</v>
      </c>
      <c r="S914" s="3">
        <f t="shared" si="74"/>
        <v>65119.789999999994</v>
      </c>
      <c r="T914" s="24" t="s">
        <v>1081</v>
      </c>
      <c r="U914" s="24" t="s">
        <v>1081</v>
      </c>
      <c r="V914" s="67"/>
      <c r="W914" s="25" t="str">
        <f>IFERROR(VLOOKUP(BCP_Soles[[#This Row],[DESTINATARIO]],CHOOSE({1,2},Clientes_Proveedores[Razon Social],Clientes_Proveedores[Ruc / Dni]),2,0),"")</f>
        <v/>
      </c>
      <c r="X914" s="25" t="s">
        <v>1090</v>
      </c>
      <c r="Y914" s="25" t="s">
        <v>2049</v>
      </c>
      <c r="Z914" s="25"/>
      <c r="AA914" s="99"/>
      <c r="AB914" s="3" t="str">
        <f>IF(BCP_Soles[[#This Row],[FECHA]]&gt;0,TEXT(BCP_Soles[[#This Row],[FECHA]],"mmmm"),0)</f>
        <v>Marzo</v>
      </c>
    </row>
    <row r="915" spans="2:28" x14ac:dyDescent="0.3">
      <c r="B915" s="2">
        <f>IF(BCP_Soles[[#This Row],[TIPO DE R.]]="R",COUNTIFS($D$4:$D914,"R")+1,"")</f>
        <v>700</v>
      </c>
      <c r="C915" s="19" t="str">
        <f t="shared" si="70"/>
        <v>B-BCP - Soles</v>
      </c>
      <c r="D915" s="3" t="s">
        <v>1074</v>
      </c>
      <c r="E915" s="14">
        <v>45735</v>
      </c>
      <c r="F915" s="5" t="s">
        <v>1078</v>
      </c>
      <c r="G915" s="5" t="s">
        <v>1079</v>
      </c>
      <c r="H915" s="6"/>
      <c r="I915" s="6"/>
      <c r="J915" s="6"/>
      <c r="K915" s="6"/>
      <c r="L915" s="7" t="s">
        <v>1080</v>
      </c>
      <c r="M915" s="8"/>
      <c r="N915" s="8" t="str">
        <f t="shared" si="71"/>
        <v>PEN</v>
      </c>
      <c r="O915" s="13"/>
      <c r="P915" s="13">
        <v>0.8</v>
      </c>
      <c r="Q915" s="3">
        <f t="shared" si="72"/>
        <v>0</v>
      </c>
      <c r="R915" s="3">
        <f t="shared" si="73"/>
        <v>0.8</v>
      </c>
      <c r="S915" s="3">
        <f t="shared" si="74"/>
        <v>65118.989999999991</v>
      </c>
      <c r="T915" s="24"/>
      <c r="U915" s="24" t="s">
        <v>1081</v>
      </c>
      <c r="V915" s="67"/>
      <c r="W915" s="25" t="str">
        <f>IFERROR(VLOOKUP(BCP_Soles[[#This Row],[DESTINATARIO]],CHOOSE({1,2},Clientes_Proveedores[Razon Social],Clientes_Proveedores[Ruc / Dni]),2,0),"")</f>
        <v/>
      </c>
      <c r="X915" s="25"/>
      <c r="Y915" s="25"/>
      <c r="Z915" s="25"/>
      <c r="AA915" s="99"/>
      <c r="AB915" s="3" t="str">
        <f>IF(BCP_Soles[[#This Row],[FECHA]]&gt;0,TEXT(BCP_Soles[[#This Row],[FECHA]],"mmmm"),0)</f>
        <v>Marzo</v>
      </c>
    </row>
    <row r="916" spans="2:28" x14ac:dyDescent="0.3">
      <c r="B916" s="2">
        <f>IF(BCP_Soles[[#This Row],[TIPO DE R.]]="R",COUNTIFS($D$4:$D915,"R")+1,"")</f>
        <v>701</v>
      </c>
      <c r="C916" s="19" t="str">
        <f t="shared" si="70"/>
        <v>B-BCP - Soles</v>
      </c>
      <c r="D916" s="3" t="s">
        <v>1074</v>
      </c>
      <c r="E916" s="14">
        <v>45735</v>
      </c>
      <c r="F916" s="5" t="s">
        <v>1078</v>
      </c>
      <c r="G916" s="5" t="s">
        <v>1079</v>
      </c>
      <c r="H916" s="6"/>
      <c r="I916" s="6"/>
      <c r="J916" s="6"/>
      <c r="K916" s="6"/>
      <c r="L916" s="7" t="s">
        <v>2050</v>
      </c>
      <c r="M916" s="8">
        <v>4392964</v>
      </c>
      <c r="N916" s="8" t="str">
        <f t="shared" si="71"/>
        <v>PEN</v>
      </c>
      <c r="O916" s="13"/>
      <c r="P916" s="13">
        <v>2.5</v>
      </c>
      <c r="Q916" s="3">
        <f t="shared" si="72"/>
        <v>0</v>
      </c>
      <c r="R916" s="3">
        <f t="shared" si="73"/>
        <v>2.5</v>
      </c>
      <c r="S916" s="3">
        <f t="shared" si="74"/>
        <v>65116.489999999991</v>
      </c>
      <c r="T916" s="24"/>
      <c r="U916" s="24" t="s">
        <v>1081</v>
      </c>
      <c r="V916" s="67"/>
      <c r="W916" s="25" t="str">
        <f>IFERROR(VLOOKUP(BCP_Soles[[#This Row],[DESTINATARIO]],CHOOSE({1,2},Clientes_Proveedores[Razon Social],Clientes_Proveedores[Ruc / Dni]),2,0),"")</f>
        <v/>
      </c>
      <c r="X916" s="25" t="s">
        <v>1078</v>
      </c>
      <c r="Y916" s="25" t="s">
        <v>2051</v>
      </c>
      <c r="Z916" s="25"/>
      <c r="AA916" s="99"/>
      <c r="AB916" s="3" t="str">
        <f>IF(BCP_Soles[[#This Row],[FECHA]]&gt;0,TEXT(BCP_Soles[[#This Row],[FECHA]],"mmmm"),0)</f>
        <v>Marzo</v>
      </c>
    </row>
    <row r="917" spans="2:28" ht="24" x14ac:dyDescent="0.3">
      <c r="B917" s="2">
        <f>IF(BCP_Soles[[#This Row],[TIPO DE R.]]="R",COUNTIFS($D$4:$D916,"R")+1,"")</f>
        <v>702</v>
      </c>
      <c r="C917" s="19" t="str">
        <f t="shared" si="70"/>
        <v>B-BCP - Soles</v>
      </c>
      <c r="D917" s="3" t="s">
        <v>1074</v>
      </c>
      <c r="E917" s="14">
        <v>45735</v>
      </c>
      <c r="F917" s="5" t="s">
        <v>1996</v>
      </c>
      <c r="G917" s="5" t="s">
        <v>1079</v>
      </c>
      <c r="H917" s="6" t="s">
        <v>646</v>
      </c>
      <c r="I917" s="6" t="s">
        <v>52</v>
      </c>
      <c r="J917" s="6" t="s">
        <v>1299</v>
      </c>
      <c r="K917" s="6">
        <v>3935844</v>
      </c>
      <c r="L917" s="7" t="s">
        <v>1231</v>
      </c>
      <c r="M917" s="8">
        <v>4206704</v>
      </c>
      <c r="N917" s="8" t="str">
        <f t="shared" si="71"/>
        <v>PEN</v>
      </c>
      <c r="O917" s="13"/>
      <c r="P917" s="13">
        <v>15.2</v>
      </c>
      <c r="Q917" s="3">
        <f t="shared" si="72"/>
        <v>0</v>
      </c>
      <c r="R917" s="3">
        <f t="shared" si="73"/>
        <v>15.2</v>
      </c>
      <c r="S917" s="3">
        <f t="shared" si="74"/>
        <v>65101.289999999994</v>
      </c>
      <c r="T917" s="24" t="s">
        <v>1081</v>
      </c>
      <c r="U917" s="24" t="s">
        <v>1081</v>
      </c>
      <c r="V917" s="67"/>
      <c r="W917" s="25">
        <f>IFERROR(VLOOKUP(BCP_Soles[[#This Row],[DESTINATARIO]],CHOOSE({1,2},Clientes_Proveedores[Razon Social],Clientes_Proveedores[Ruc / Dni]),2,0),"")</f>
        <v>20100152356</v>
      </c>
      <c r="X917" s="25" t="s">
        <v>646</v>
      </c>
      <c r="Y917" s="25" t="s">
        <v>2052</v>
      </c>
      <c r="Z917" s="25"/>
      <c r="AA917" s="99"/>
      <c r="AB917" s="3" t="str">
        <f>IF(BCP_Soles[[#This Row],[FECHA]]&gt;0,TEXT(BCP_Soles[[#This Row],[FECHA]],"mmmm"),0)</f>
        <v>Marzo</v>
      </c>
    </row>
    <row r="918" spans="2:28" ht="24" x14ac:dyDescent="0.3">
      <c r="B918" s="2">
        <f>IF(BCP_Soles[[#This Row],[TIPO DE R.]]="R",COUNTIFS($D$4:$D917,"R")+1,"")</f>
        <v>703</v>
      </c>
      <c r="C918" s="19" t="str">
        <f t="shared" si="70"/>
        <v>B-BCP - Soles</v>
      </c>
      <c r="D918" s="3" t="s">
        <v>1074</v>
      </c>
      <c r="E918" s="14">
        <v>45735</v>
      </c>
      <c r="F918" s="5" t="s">
        <v>1082</v>
      </c>
      <c r="G918" s="5" t="s">
        <v>1079</v>
      </c>
      <c r="H918" s="6"/>
      <c r="I918" s="6" t="s">
        <v>52</v>
      </c>
      <c r="J918" s="6" t="s">
        <v>1617</v>
      </c>
      <c r="K918" s="6">
        <v>69619855</v>
      </c>
      <c r="L918" s="7" t="s">
        <v>1307</v>
      </c>
      <c r="M918" s="8">
        <v>4207649</v>
      </c>
      <c r="N918" s="8" t="str">
        <f t="shared" si="71"/>
        <v>PEN</v>
      </c>
      <c r="O918" s="13"/>
      <c r="P918" s="13">
        <v>18.3</v>
      </c>
      <c r="Q918" s="3">
        <f t="shared" si="72"/>
        <v>0</v>
      </c>
      <c r="R918" s="3">
        <f t="shared" si="73"/>
        <v>18.3</v>
      </c>
      <c r="S918" s="3">
        <f t="shared" si="74"/>
        <v>65082.989999999991</v>
      </c>
      <c r="T918" s="24" t="s">
        <v>1081</v>
      </c>
      <c r="U918" s="24" t="s">
        <v>1081</v>
      </c>
      <c r="V918" s="67"/>
      <c r="W918" s="25" t="str">
        <f>IFERROR(VLOOKUP(BCP_Soles[[#This Row],[DESTINATARIO]],CHOOSE({1,2},Clientes_Proveedores[Razon Social],Clientes_Proveedores[Ruc / Dni]),2,0),"")</f>
        <v/>
      </c>
      <c r="X918" s="25" t="s">
        <v>1309</v>
      </c>
      <c r="Y918" s="25" t="s">
        <v>2053</v>
      </c>
      <c r="Z918" s="25"/>
      <c r="AA918" s="99"/>
      <c r="AB918" s="3" t="str">
        <f>IF(BCP_Soles[[#This Row],[FECHA]]&gt;0,TEXT(BCP_Soles[[#This Row],[FECHA]],"mmmm"),0)</f>
        <v>Marzo</v>
      </c>
    </row>
    <row r="919" spans="2:28" ht="36" x14ac:dyDescent="0.3">
      <c r="B919" s="2">
        <f>IF(BCP_Soles[[#This Row],[TIPO DE R.]]="R",COUNTIFS($D$4:$D918,"R")+1,"")</f>
        <v>704</v>
      </c>
      <c r="C919" s="19" t="str">
        <f t="shared" si="70"/>
        <v>B-BCP - Soles</v>
      </c>
      <c r="D919" s="3" t="s">
        <v>1074</v>
      </c>
      <c r="E919" s="14">
        <v>45735</v>
      </c>
      <c r="F919" s="5" t="s">
        <v>1996</v>
      </c>
      <c r="G919" s="5" t="s">
        <v>1079</v>
      </c>
      <c r="H919" s="6" t="s">
        <v>530</v>
      </c>
      <c r="I919" s="6" t="s">
        <v>14</v>
      </c>
      <c r="J919" s="6" t="s">
        <v>1121</v>
      </c>
      <c r="K919" s="6">
        <v>367</v>
      </c>
      <c r="L919" s="7" t="s">
        <v>2054</v>
      </c>
      <c r="M919" s="8">
        <v>1205719</v>
      </c>
      <c r="N919" s="8" t="str">
        <f t="shared" si="71"/>
        <v>PEN</v>
      </c>
      <c r="O919" s="13"/>
      <c r="P919" s="13">
        <v>70.680000000000007</v>
      </c>
      <c r="Q919" s="3">
        <f t="shared" si="72"/>
        <v>0</v>
      </c>
      <c r="R919" s="3">
        <f t="shared" si="73"/>
        <v>70.680000000000007</v>
      </c>
      <c r="S919" s="3">
        <f t="shared" si="74"/>
        <v>65012.30999999999</v>
      </c>
      <c r="T919" s="24" t="s">
        <v>1081</v>
      </c>
      <c r="U919" s="24" t="s">
        <v>1081</v>
      </c>
      <c r="V919" s="67"/>
      <c r="W919" s="25">
        <f>IFERROR(VLOOKUP(BCP_Soles[[#This Row],[DESTINATARIO]],CHOOSE({1,2},Clientes_Proveedores[Razon Social],Clientes_Proveedores[Ruc / Dni]),2,0),"")</f>
        <v>20609368773</v>
      </c>
      <c r="X919" s="25" t="s">
        <v>1181</v>
      </c>
      <c r="Y919" s="25" t="s">
        <v>2055</v>
      </c>
      <c r="Z919" s="25"/>
      <c r="AA919" s="99"/>
      <c r="AB919" s="3" t="str">
        <f>IF(BCP_Soles[[#This Row],[FECHA]]&gt;0,TEXT(BCP_Soles[[#This Row],[FECHA]],"mmmm"),0)</f>
        <v>Marzo</v>
      </c>
    </row>
    <row r="920" spans="2:28" ht="24" x14ac:dyDescent="0.3">
      <c r="B920" s="2">
        <f>IF(BCP_Soles[[#This Row],[TIPO DE R.]]="R",COUNTIFS($D$4:$D919,"R")+1,"")</f>
        <v>705</v>
      </c>
      <c r="C920" s="19" t="str">
        <f t="shared" si="70"/>
        <v>B-BCP - Soles</v>
      </c>
      <c r="D920" s="3" t="s">
        <v>1074</v>
      </c>
      <c r="E920" s="14">
        <v>45735</v>
      </c>
      <c r="F920" s="5" t="s">
        <v>1996</v>
      </c>
      <c r="G920" s="5" t="s">
        <v>1079</v>
      </c>
      <c r="H920" s="6" t="s">
        <v>645</v>
      </c>
      <c r="I920" s="6" t="s">
        <v>52</v>
      </c>
      <c r="J920" s="6" t="s">
        <v>1225</v>
      </c>
      <c r="K920" s="6">
        <v>29206866</v>
      </c>
      <c r="L920" s="7" t="s">
        <v>2056</v>
      </c>
      <c r="M920" s="8">
        <v>207193</v>
      </c>
      <c r="N920" s="8" t="str">
        <f t="shared" si="71"/>
        <v>PEN</v>
      </c>
      <c r="O920" s="13"/>
      <c r="P920" s="13">
        <v>114</v>
      </c>
      <c r="Q920" s="3">
        <f t="shared" si="72"/>
        <v>0</v>
      </c>
      <c r="R920" s="3">
        <f t="shared" si="73"/>
        <v>114</v>
      </c>
      <c r="S920" s="3">
        <f t="shared" si="74"/>
        <v>64898.30999999999</v>
      </c>
      <c r="T920" s="24" t="s">
        <v>1081</v>
      </c>
      <c r="U920" s="24" t="s">
        <v>1081</v>
      </c>
      <c r="V920" s="67"/>
      <c r="W920" s="25">
        <f>IFERROR(VLOOKUP(BCP_Soles[[#This Row],[DESTINATARIO]],CHOOSE({1,2},Clientes_Proveedores[Razon Social],Clientes_Proveedores[Ruc / Dni]),2,0),"")</f>
        <v>20100188628</v>
      </c>
      <c r="X920" s="25" t="s">
        <v>1227</v>
      </c>
      <c r="Y920" s="25" t="s">
        <v>2057</v>
      </c>
      <c r="Z920" s="25"/>
      <c r="AA920" s="99"/>
      <c r="AB920" s="3" t="str">
        <f>IF(BCP_Soles[[#This Row],[FECHA]]&gt;0,TEXT(BCP_Soles[[#This Row],[FECHA]],"mmmm"),0)</f>
        <v>Marzo</v>
      </c>
    </row>
    <row r="921" spans="2:28" ht="24" x14ac:dyDescent="0.3">
      <c r="B921" s="2">
        <f>IF(BCP_Soles[[#This Row],[TIPO DE R.]]="R",COUNTIFS($D$4:$D920,"R")+1,"")</f>
        <v>706</v>
      </c>
      <c r="C921" s="19" t="str">
        <f t="shared" si="70"/>
        <v>B-BCP - Soles</v>
      </c>
      <c r="D921" s="3" t="s">
        <v>1074</v>
      </c>
      <c r="E921" s="14">
        <v>45735</v>
      </c>
      <c r="F921" s="5" t="s">
        <v>1996</v>
      </c>
      <c r="G921" s="5" t="s">
        <v>1079</v>
      </c>
      <c r="H921" s="6"/>
      <c r="I921" s="6" t="s">
        <v>14</v>
      </c>
      <c r="J921" s="6" t="s">
        <v>2058</v>
      </c>
      <c r="K921" s="6">
        <v>4611</v>
      </c>
      <c r="L921" s="7" t="s">
        <v>2059</v>
      </c>
      <c r="M921" s="8">
        <v>1207192</v>
      </c>
      <c r="N921" s="8" t="str">
        <f t="shared" si="71"/>
        <v>PEN</v>
      </c>
      <c r="O921" s="13"/>
      <c r="P921" s="13">
        <v>240</v>
      </c>
      <c r="Q921" s="3">
        <f t="shared" si="72"/>
        <v>0</v>
      </c>
      <c r="R921" s="3">
        <f t="shared" si="73"/>
        <v>240</v>
      </c>
      <c r="S921" s="3">
        <f t="shared" si="74"/>
        <v>64658.30999999999</v>
      </c>
      <c r="T921" s="24" t="s">
        <v>1081</v>
      </c>
      <c r="U921" s="24" t="s">
        <v>1081</v>
      </c>
      <c r="V921" s="67"/>
      <c r="W921" s="25" t="str">
        <f>IFERROR(VLOOKUP(BCP_Soles[[#This Row],[DESTINATARIO]],CHOOSE({1,2},Clientes_Proveedores[Razon Social],Clientes_Proveedores[Ruc / Dni]),2,0),"")</f>
        <v/>
      </c>
      <c r="X921" s="25" t="s">
        <v>863</v>
      </c>
      <c r="Y921" s="25" t="s">
        <v>2060</v>
      </c>
      <c r="Z921" s="25"/>
      <c r="AA921" s="99"/>
      <c r="AB921" s="3" t="str">
        <f>IF(BCP_Soles[[#This Row],[FECHA]]&gt;0,TEXT(BCP_Soles[[#This Row],[FECHA]],"mmmm"),0)</f>
        <v>Marzo</v>
      </c>
    </row>
    <row r="922" spans="2:28" ht="24" x14ac:dyDescent="0.3">
      <c r="B922" s="2">
        <f>IF(BCP_Soles[[#This Row],[TIPO DE R.]]="R",COUNTIFS($D$4:$D921,"R")+1,"")</f>
        <v>707</v>
      </c>
      <c r="C922" s="19" t="str">
        <f t="shared" si="70"/>
        <v>B-BCP - Soles</v>
      </c>
      <c r="D922" s="3" t="s">
        <v>1074</v>
      </c>
      <c r="E922" s="14">
        <v>45735</v>
      </c>
      <c r="F922" s="5" t="s">
        <v>1082</v>
      </c>
      <c r="G922" s="5" t="s">
        <v>1079</v>
      </c>
      <c r="H922" s="6"/>
      <c r="I922" s="6" t="s">
        <v>52</v>
      </c>
      <c r="J922" s="6"/>
      <c r="K922" s="6">
        <v>58494881</v>
      </c>
      <c r="L922" s="7" t="s">
        <v>1218</v>
      </c>
      <c r="M922" s="8">
        <v>204250</v>
      </c>
      <c r="N922" s="8" t="str">
        <f t="shared" si="71"/>
        <v>PEN</v>
      </c>
      <c r="O922" s="13"/>
      <c r="P922" s="13">
        <v>245.3</v>
      </c>
      <c r="Q922" s="3">
        <f t="shared" si="72"/>
        <v>0</v>
      </c>
      <c r="R922" s="3">
        <f t="shared" si="73"/>
        <v>245.3</v>
      </c>
      <c r="S922" s="3">
        <f t="shared" si="74"/>
        <v>64413.009999999987</v>
      </c>
      <c r="T922" s="24" t="s">
        <v>1081</v>
      </c>
      <c r="U922" s="24" t="s">
        <v>1081</v>
      </c>
      <c r="V922" s="67"/>
      <c r="W922" s="25" t="str">
        <f>IFERROR(VLOOKUP(BCP_Soles[[#This Row],[DESTINATARIO]],CHOOSE({1,2},Clientes_Proveedores[Razon Social],Clientes_Proveedores[Ruc / Dni]),2,0),"")</f>
        <v/>
      </c>
      <c r="X922" s="25" t="s">
        <v>1219</v>
      </c>
      <c r="Y922" s="25" t="s">
        <v>2061</v>
      </c>
      <c r="Z922" s="25"/>
      <c r="AA922" s="99"/>
      <c r="AB922" s="3" t="str">
        <f>IF(BCP_Soles[[#This Row],[FECHA]]&gt;0,TEXT(BCP_Soles[[#This Row],[FECHA]],"mmmm"),0)</f>
        <v>Marzo</v>
      </c>
    </row>
    <row r="923" spans="2:28" ht="24" x14ac:dyDescent="0.3">
      <c r="B923" s="2">
        <f>IF(BCP_Soles[[#This Row],[TIPO DE R.]]="R",COUNTIFS($D$4:$D922,"R")+1,"")</f>
        <v>708</v>
      </c>
      <c r="C923" s="19" t="str">
        <f t="shared" si="70"/>
        <v>B-BCP - Soles</v>
      </c>
      <c r="D923" s="3" t="s">
        <v>1074</v>
      </c>
      <c r="E923" s="14">
        <v>45735</v>
      </c>
      <c r="F923" s="5" t="s">
        <v>1996</v>
      </c>
      <c r="G923" s="5" t="s">
        <v>1079</v>
      </c>
      <c r="H923" s="6" t="s">
        <v>552</v>
      </c>
      <c r="I923" s="6" t="s">
        <v>14</v>
      </c>
      <c r="J923" s="6" t="s">
        <v>2062</v>
      </c>
      <c r="K923" s="6">
        <v>146</v>
      </c>
      <c r="L923" s="7" t="s">
        <v>2063</v>
      </c>
      <c r="M923" s="8">
        <v>1205229</v>
      </c>
      <c r="N923" s="8" t="str">
        <f t="shared" si="71"/>
        <v>PEN</v>
      </c>
      <c r="O923" s="13"/>
      <c r="P923" s="13">
        <v>252</v>
      </c>
      <c r="Q923" s="3">
        <f t="shared" si="72"/>
        <v>0</v>
      </c>
      <c r="R923" s="3">
        <f t="shared" si="73"/>
        <v>252</v>
      </c>
      <c r="S923" s="3">
        <f t="shared" si="74"/>
        <v>64161.009999999987</v>
      </c>
      <c r="T923" s="24" t="s">
        <v>1081</v>
      </c>
      <c r="U923" s="24" t="s">
        <v>1081</v>
      </c>
      <c r="V923" s="67"/>
      <c r="W923" s="25">
        <f>IFERROR(VLOOKUP(BCP_Soles[[#This Row],[DESTINATARIO]],CHOOSE({1,2},Clientes_Proveedores[Razon Social],Clientes_Proveedores[Ruc / Dni]),2,0),"")</f>
        <v>20612094862</v>
      </c>
      <c r="X923" s="25" t="s">
        <v>2064</v>
      </c>
      <c r="Y923" s="25" t="s">
        <v>2065</v>
      </c>
      <c r="Z923" s="25"/>
      <c r="AA923" s="99"/>
      <c r="AB923" s="3" t="str">
        <f>IF(BCP_Soles[[#This Row],[FECHA]]&gt;0,TEXT(BCP_Soles[[#This Row],[FECHA]],"mmmm"),0)</f>
        <v>Marzo</v>
      </c>
    </row>
    <row r="924" spans="2:28" ht="24" x14ac:dyDescent="0.3">
      <c r="B924" s="2">
        <f>IF(BCP_Soles[[#This Row],[TIPO DE R.]]="R",COUNTIFS($D$4:$D923,"R")+1,"")</f>
        <v>709</v>
      </c>
      <c r="C924" s="19" t="str">
        <f t="shared" si="70"/>
        <v>B-BCP - Soles</v>
      </c>
      <c r="D924" s="3" t="s">
        <v>1074</v>
      </c>
      <c r="E924" s="14">
        <v>45735</v>
      </c>
      <c r="F924" s="5" t="s">
        <v>1996</v>
      </c>
      <c r="G924" s="5" t="s">
        <v>1079</v>
      </c>
      <c r="H924" s="6" t="s">
        <v>552</v>
      </c>
      <c r="I924" s="6" t="s">
        <v>14</v>
      </c>
      <c r="J924" s="6" t="s">
        <v>2062</v>
      </c>
      <c r="K924" s="6">
        <v>147</v>
      </c>
      <c r="L924" s="7" t="s">
        <v>2066</v>
      </c>
      <c r="M924" s="8">
        <v>1204744</v>
      </c>
      <c r="N924" s="8" t="str">
        <f t="shared" si="71"/>
        <v>PEN</v>
      </c>
      <c r="O924" s="13"/>
      <c r="P924" s="13">
        <v>284</v>
      </c>
      <c r="Q924" s="3">
        <f t="shared" si="72"/>
        <v>0</v>
      </c>
      <c r="R924" s="3">
        <f t="shared" si="73"/>
        <v>284</v>
      </c>
      <c r="S924" s="3">
        <f t="shared" si="74"/>
        <v>63877.009999999987</v>
      </c>
      <c r="T924" s="24" t="s">
        <v>1081</v>
      </c>
      <c r="U924" s="24" t="s">
        <v>1081</v>
      </c>
      <c r="V924" s="67"/>
      <c r="W924" s="25">
        <f>IFERROR(VLOOKUP(BCP_Soles[[#This Row],[DESTINATARIO]],CHOOSE({1,2},Clientes_Proveedores[Razon Social],Clientes_Proveedores[Ruc / Dni]),2,0),"")</f>
        <v>20612094862</v>
      </c>
      <c r="X924" s="25" t="s">
        <v>2064</v>
      </c>
      <c r="Y924" s="25" t="s">
        <v>2067</v>
      </c>
      <c r="Z924" s="25"/>
      <c r="AA924" s="99"/>
      <c r="AB924" s="3" t="str">
        <f>IF(BCP_Soles[[#This Row],[FECHA]]&gt;0,TEXT(BCP_Soles[[#This Row],[FECHA]],"mmmm"),0)</f>
        <v>Marzo</v>
      </c>
    </row>
    <row r="925" spans="2:28" ht="36" x14ac:dyDescent="0.3">
      <c r="B925" s="2">
        <f>IF(BCP_Soles[[#This Row],[TIPO DE R.]]="R",COUNTIFS($D$4:$D924,"R")+1,"")</f>
        <v>710</v>
      </c>
      <c r="C925" s="19" t="str">
        <f t="shared" si="70"/>
        <v>B-BCP - Soles</v>
      </c>
      <c r="D925" s="3" t="s">
        <v>1074</v>
      </c>
      <c r="E925" s="14">
        <v>45735</v>
      </c>
      <c r="F925" s="5" t="s">
        <v>1082</v>
      </c>
      <c r="G925" s="5" t="s">
        <v>1079</v>
      </c>
      <c r="H925" s="6" t="s">
        <v>268</v>
      </c>
      <c r="I925" s="6" t="s">
        <v>14</v>
      </c>
      <c r="J925" s="6" t="s">
        <v>1121</v>
      </c>
      <c r="K925" s="6">
        <v>4505</v>
      </c>
      <c r="L925" s="7" t="s">
        <v>2068</v>
      </c>
      <c r="M925" s="8">
        <v>1207648</v>
      </c>
      <c r="N925" s="8" t="str">
        <f t="shared" si="71"/>
        <v>PEN</v>
      </c>
      <c r="O925" s="13"/>
      <c r="P925" s="13">
        <v>413</v>
      </c>
      <c r="Q925" s="3">
        <f t="shared" si="72"/>
        <v>0</v>
      </c>
      <c r="R925" s="3">
        <f t="shared" si="73"/>
        <v>413</v>
      </c>
      <c r="S925" s="3">
        <f t="shared" si="74"/>
        <v>63464.009999999987</v>
      </c>
      <c r="T925" s="24" t="s">
        <v>1081</v>
      </c>
      <c r="U925" s="24" t="s">
        <v>1081</v>
      </c>
      <c r="V925" s="67"/>
      <c r="W925" s="25">
        <f>IFERROR(VLOOKUP(BCP_Soles[[#This Row],[DESTINATARIO]],CHOOSE({1,2},Clientes_Proveedores[Razon Social],Clientes_Proveedores[Ruc / Dni]),2,0),"")</f>
        <v>20497262101</v>
      </c>
      <c r="X925" s="25" t="s">
        <v>268</v>
      </c>
      <c r="Y925" s="25" t="s">
        <v>2069</v>
      </c>
      <c r="Z925" s="25"/>
      <c r="AA925" s="99"/>
      <c r="AB925" s="3" t="str">
        <f>IF(BCP_Soles[[#This Row],[FECHA]]&gt;0,TEXT(BCP_Soles[[#This Row],[FECHA]],"mmmm"),0)</f>
        <v>Marzo</v>
      </c>
    </row>
    <row r="926" spans="2:28" ht="24" x14ac:dyDescent="0.3">
      <c r="B926" s="2">
        <f>IF(BCP_Soles[[#This Row],[TIPO DE R.]]="R",COUNTIFS($D$4:$D925,"R")+1,"")</f>
        <v>711</v>
      </c>
      <c r="C926" s="19" t="str">
        <f t="shared" si="70"/>
        <v>B-BCP - Soles</v>
      </c>
      <c r="D926" s="3" t="s">
        <v>1074</v>
      </c>
      <c r="E926" s="14">
        <v>45735</v>
      </c>
      <c r="F926" s="5" t="s">
        <v>1996</v>
      </c>
      <c r="G926" s="5" t="s">
        <v>1079</v>
      </c>
      <c r="H926" s="6"/>
      <c r="I926" s="6" t="s">
        <v>52</v>
      </c>
      <c r="J926" s="6" t="s">
        <v>1399</v>
      </c>
      <c r="K926" s="6">
        <v>526492956</v>
      </c>
      <c r="L926" s="7" t="s">
        <v>2070</v>
      </c>
      <c r="M926" s="8">
        <v>204745</v>
      </c>
      <c r="N926" s="8" t="str">
        <f t="shared" si="71"/>
        <v>PEN</v>
      </c>
      <c r="O926" s="13"/>
      <c r="P926" s="13">
        <v>1069.33</v>
      </c>
      <c r="Q926" s="3">
        <f t="shared" si="72"/>
        <v>0</v>
      </c>
      <c r="R926" s="3">
        <f t="shared" si="73"/>
        <v>1069.33</v>
      </c>
      <c r="S926" s="3">
        <f t="shared" si="74"/>
        <v>62394.679999999986</v>
      </c>
      <c r="T926" s="24" t="s">
        <v>1081</v>
      </c>
      <c r="U926" s="24" t="s">
        <v>1081</v>
      </c>
      <c r="V926" s="67"/>
      <c r="W926" s="25" t="str">
        <f>IFERROR(VLOOKUP(BCP_Soles[[#This Row],[DESTINATARIO]],CHOOSE({1,2},Clientes_Proveedores[Razon Social],Clientes_Proveedores[Ruc / Dni]),2,0),"")</f>
        <v/>
      </c>
      <c r="X926" s="25" t="s">
        <v>1397</v>
      </c>
      <c r="Y926" s="25" t="s">
        <v>2071</v>
      </c>
      <c r="Z926" s="25"/>
      <c r="AA926" s="99"/>
      <c r="AB926" s="3" t="str">
        <f>IF(BCP_Soles[[#This Row],[FECHA]]&gt;0,TEXT(BCP_Soles[[#This Row],[FECHA]],"mmmm"),0)</f>
        <v>Marzo</v>
      </c>
    </row>
    <row r="927" spans="2:28" x14ac:dyDescent="0.3">
      <c r="B927" s="2">
        <f>IF(BCP_Soles[[#This Row],[TIPO DE R.]]="R",COUNTIFS($D$4:$D926,"R")+1,"")</f>
        <v>712</v>
      </c>
      <c r="C927" s="19" t="str">
        <f t="shared" si="70"/>
        <v>B-BCP - Soles</v>
      </c>
      <c r="D927" s="3" t="s">
        <v>1074</v>
      </c>
      <c r="E927" s="14">
        <v>45735</v>
      </c>
      <c r="F927" s="5" t="s">
        <v>1082</v>
      </c>
      <c r="G927" s="5" t="s">
        <v>1079</v>
      </c>
      <c r="H927" s="6"/>
      <c r="I927" s="6"/>
      <c r="J927" s="6"/>
      <c r="K927" s="6"/>
      <c r="L927" s="7" t="s">
        <v>2072</v>
      </c>
      <c r="M927" s="8">
        <v>4392959</v>
      </c>
      <c r="N927" s="8" t="str">
        <f t="shared" si="71"/>
        <v>PEN</v>
      </c>
      <c r="O927" s="13"/>
      <c r="P927" s="13">
        <v>4031.8</v>
      </c>
      <c r="Q927" s="3">
        <f t="shared" si="72"/>
        <v>0</v>
      </c>
      <c r="R927" s="3">
        <f t="shared" si="73"/>
        <v>4031.8</v>
      </c>
      <c r="S927" s="3">
        <f t="shared" si="74"/>
        <v>58362.879999999983</v>
      </c>
      <c r="T927" s="24" t="s">
        <v>1081</v>
      </c>
      <c r="U927" s="24" t="s">
        <v>1081</v>
      </c>
      <c r="V927" s="67"/>
      <c r="W927" s="25" t="str">
        <f>IFERROR(VLOOKUP(BCP_Soles[[#This Row],[DESTINATARIO]],CHOOSE({1,2},Clientes_Proveedores[Razon Social],Clientes_Proveedores[Ruc / Dni]),2,0),"")</f>
        <v/>
      </c>
      <c r="X927" s="25" t="s">
        <v>1118</v>
      </c>
      <c r="Y927" s="25"/>
      <c r="Z927" s="25"/>
      <c r="AA927" s="99"/>
      <c r="AB927" s="3" t="str">
        <f>IF(BCP_Soles[[#This Row],[FECHA]]&gt;0,TEXT(BCP_Soles[[#This Row],[FECHA]],"mmmm"),0)</f>
        <v>Marzo</v>
      </c>
    </row>
    <row r="928" spans="2:28" ht="36" x14ac:dyDescent="0.3">
      <c r="B928" s="2" t="str">
        <f>IF(BCP_Soles[[#This Row],[TIPO DE R.]]="R",COUNTIFS($D$4:$D927,"R")+1,"")</f>
        <v/>
      </c>
      <c r="C928" s="19" t="str">
        <f t="shared" si="70"/>
        <v>B-BCP - Soles</v>
      </c>
      <c r="D928" s="3" t="s">
        <v>1101</v>
      </c>
      <c r="E928" s="14">
        <v>45735</v>
      </c>
      <c r="F928" s="5" t="s">
        <v>1082</v>
      </c>
      <c r="G928" s="5"/>
      <c r="H928" s="6" t="s">
        <v>220</v>
      </c>
      <c r="I928" s="6" t="s">
        <v>14</v>
      </c>
      <c r="J928" s="6" t="s">
        <v>1148</v>
      </c>
      <c r="K928" s="6">
        <v>1670</v>
      </c>
      <c r="L928" s="7" t="s">
        <v>2072</v>
      </c>
      <c r="M928" s="8">
        <v>4392959</v>
      </c>
      <c r="N928" s="8" t="str">
        <f t="shared" si="71"/>
        <v>PEN</v>
      </c>
      <c r="O928" s="13">
        <v>1056</v>
      </c>
      <c r="P928" s="13"/>
      <c r="Q928" s="3">
        <f t="shared" si="72"/>
        <v>0</v>
      </c>
      <c r="R928" s="3">
        <f t="shared" si="73"/>
        <v>0</v>
      </c>
      <c r="S928" s="3">
        <f t="shared" si="74"/>
        <v>58362.879999999983</v>
      </c>
      <c r="T928" s="24"/>
      <c r="U928" s="24"/>
      <c r="V928" s="67"/>
      <c r="W928" s="25">
        <f>IFERROR(VLOOKUP(BCP_Soles[[#This Row],[DESTINATARIO]],CHOOSE({1,2},Clientes_Proveedores[Razon Social],Clientes_Proveedores[Ruc / Dni]),2,0),"")</f>
        <v>20429640939</v>
      </c>
      <c r="X928" s="25"/>
      <c r="Y928" s="25"/>
      <c r="Z928" s="25"/>
      <c r="AA928" s="99"/>
      <c r="AB928" s="3" t="str">
        <f>IF(BCP_Soles[[#This Row],[FECHA]]&gt;0,TEXT(BCP_Soles[[#This Row],[FECHA]],"mmmm"),0)</f>
        <v>Marzo</v>
      </c>
    </row>
    <row r="929" spans="2:28" ht="36" x14ac:dyDescent="0.3">
      <c r="B929" s="2" t="str">
        <f>IF(BCP_Soles[[#This Row],[TIPO DE R.]]="R",COUNTIFS($D$4:$D928,"R")+1,"")</f>
        <v/>
      </c>
      <c r="C929" s="19" t="str">
        <f t="shared" si="70"/>
        <v>B-BCP - Soles</v>
      </c>
      <c r="D929" s="3" t="s">
        <v>1101</v>
      </c>
      <c r="E929" s="14">
        <v>45735</v>
      </c>
      <c r="F929" s="5" t="s">
        <v>1082</v>
      </c>
      <c r="G929" s="5"/>
      <c r="H929" s="6" t="s">
        <v>220</v>
      </c>
      <c r="I929" s="6" t="s">
        <v>14</v>
      </c>
      <c r="J929" s="6" t="s">
        <v>1148</v>
      </c>
      <c r="K929" s="6">
        <v>1668</v>
      </c>
      <c r="L929" s="7" t="s">
        <v>2072</v>
      </c>
      <c r="M929" s="8">
        <v>4392959</v>
      </c>
      <c r="N929" s="8" t="str">
        <f t="shared" si="71"/>
        <v>PEN</v>
      </c>
      <c r="O929" s="13">
        <v>2544</v>
      </c>
      <c r="P929" s="13"/>
      <c r="Q929" s="3">
        <f t="shared" si="72"/>
        <v>0</v>
      </c>
      <c r="R929" s="3">
        <f t="shared" si="73"/>
        <v>0</v>
      </c>
      <c r="S929" s="3">
        <f t="shared" si="74"/>
        <v>58362.879999999983</v>
      </c>
      <c r="T929" s="24"/>
      <c r="U929" s="24"/>
      <c r="V929" s="67"/>
      <c r="W929" s="25">
        <f>IFERROR(VLOOKUP(BCP_Soles[[#This Row],[DESTINATARIO]],CHOOSE({1,2},Clientes_Proveedores[Razon Social],Clientes_Proveedores[Ruc / Dni]),2,0),"")</f>
        <v>20429640939</v>
      </c>
      <c r="X929" s="25"/>
      <c r="Y929" s="25"/>
      <c r="Z929" s="25"/>
      <c r="AA929" s="99"/>
      <c r="AB929" s="3" t="str">
        <f>IF(BCP_Soles[[#This Row],[FECHA]]&gt;0,TEXT(BCP_Soles[[#This Row],[FECHA]],"mmmm"),0)</f>
        <v>Marzo</v>
      </c>
    </row>
    <row r="930" spans="2:28" ht="36" x14ac:dyDescent="0.3">
      <c r="B930" s="2" t="str">
        <f>IF(BCP_Soles[[#This Row],[TIPO DE R.]]="R",COUNTIFS($D$4:$D929,"R")+1,"")</f>
        <v/>
      </c>
      <c r="C930" s="19" t="str">
        <f t="shared" si="70"/>
        <v>B-BCP - Soles</v>
      </c>
      <c r="D930" s="3" t="s">
        <v>1101</v>
      </c>
      <c r="E930" s="14">
        <v>45735</v>
      </c>
      <c r="F930" s="5" t="s">
        <v>1082</v>
      </c>
      <c r="G930" s="5"/>
      <c r="H930" s="6" t="s">
        <v>258</v>
      </c>
      <c r="I930" s="6" t="s">
        <v>14</v>
      </c>
      <c r="J930" s="6" t="s">
        <v>1121</v>
      </c>
      <c r="K930" s="6">
        <v>2310</v>
      </c>
      <c r="L930" s="7" t="s">
        <v>2072</v>
      </c>
      <c r="M930" s="8">
        <v>4392959</v>
      </c>
      <c r="N930" s="8" t="str">
        <f t="shared" si="71"/>
        <v>PEN</v>
      </c>
      <c r="O930" s="13">
        <v>58.9</v>
      </c>
      <c r="P930" s="13"/>
      <c r="Q930" s="3">
        <f t="shared" si="72"/>
        <v>0</v>
      </c>
      <c r="R930" s="3">
        <f t="shared" si="73"/>
        <v>0</v>
      </c>
      <c r="S930" s="3">
        <f t="shared" si="74"/>
        <v>58362.879999999983</v>
      </c>
      <c r="T930" s="24"/>
      <c r="U930" s="24"/>
      <c r="V930" s="67"/>
      <c r="W930" s="25">
        <f>IFERROR(VLOOKUP(BCP_Soles[[#This Row],[DESTINATARIO]],CHOOSE({1,2},Clientes_Proveedores[Razon Social],Clientes_Proveedores[Ruc / Dni]),2,0),"")</f>
        <v>20456565353</v>
      </c>
      <c r="X930" s="25"/>
      <c r="Y930" s="25"/>
      <c r="Z930" s="25"/>
      <c r="AA930" s="99"/>
      <c r="AB930" s="3" t="str">
        <f>IF(BCP_Soles[[#This Row],[FECHA]]&gt;0,TEXT(BCP_Soles[[#This Row],[FECHA]],"mmmm"),0)</f>
        <v>Marzo</v>
      </c>
    </row>
    <row r="931" spans="2:28" x14ac:dyDescent="0.3">
      <c r="B931" s="2" t="str">
        <f>IF(BCP_Soles[[#This Row],[TIPO DE R.]]="R",COUNTIFS($D$4:$D930,"R")+1,"")</f>
        <v/>
      </c>
      <c r="C931" s="19" t="str">
        <f t="shared" si="70"/>
        <v>B-BCP - Soles</v>
      </c>
      <c r="D931" s="3" t="s">
        <v>1101</v>
      </c>
      <c r="E931" s="14">
        <v>45735</v>
      </c>
      <c r="F931" s="5" t="s">
        <v>1082</v>
      </c>
      <c r="G931" s="5"/>
      <c r="H931" s="6" t="s">
        <v>229</v>
      </c>
      <c r="I931" s="6" t="s">
        <v>14</v>
      </c>
      <c r="J931" s="6" t="s">
        <v>1148</v>
      </c>
      <c r="K931" s="6">
        <v>620</v>
      </c>
      <c r="L931" s="7" t="s">
        <v>2072</v>
      </c>
      <c r="M931" s="8">
        <v>4392959</v>
      </c>
      <c r="N931" s="8" t="str">
        <f t="shared" si="71"/>
        <v>PEN</v>
      </c>
      <c r="O931" s="13">
        <v>372.9</v>
      </c>
      <c r="P931" s="13"/>
      <c r="Q931" s="3">
        <f t="shared" si="72"/>
        <v>0</v>
      </c>
      <c r="R931" s="3">
        <f t="shared" si="73"/>
        <v>0</v>
      </c>
      <c r="S931" s="3">
        <f t="shared" si="74"/>
        <v>58362.879999999983</v>
      </c>
      <c r="T931" s="24"/>
      <c r="U931" s="24"/>
      <c r="V931" s="67"/>
      <c r="W931" s="25">
        <f>IFERROR(VLOOKUP(BCP_Soles[[#This Row],[DESTINATARIO]],CHOOSE({1,2},Clientes_Proveedores[Razon Social],Clientes_Proveedores[Ruc / Dni]),2,0),"")</f>
        <v>20454186002</v>
      </c>
      <c r="X931" s="25"/>
      <c r="Y931" s="25"/>
      <c r="Z931" s="25"/>
      <c r="AA931" s="99"/>
      <c r="AB931" s="3" t="str">
        <f>IF(BCP_Soles[[#This Row],[FECHA]]&gt;0,TEXT(BCP_Soles[[#This Row],[FECHA]],"mmmm"),0)</f>
        <v>Marzo</v>
      </c>
    </row>
    <row r="932" spans="2:28" ht="24" x14ac:dyDescent="0.3">
      <c r="B932" s="2">
        <f>IF(BCP_Soles[[#This Row],[TIPO DE R.]]="R",COUNTIFS($D$4:$D931,"R")+1,"")</f>
        <v>713</v>
      </c>
      <c r="C932" s="19" t="str">
        <f t="shared" si="70"/>
        <v>B-BCP - Soles</v>
      </c>
      <c r="D932" s="3" t="s">
        <v>1074</v>
      </c>
      <c r="E932" s="14">
        <v>45735</v>
      </c>
      <c r="F932" s="5" t="s">
        <v>1082</v>
      </c>
      <c r="G932" s="5" t="s">
        <v>1079</v>
      </c>
      <c r="H932" s="6" t="s">
        <v>750</v>
      </c>
      <c r="I932" s="6"/>
      <c r="J932" s="6"/>
      <c r="K932" s="6"/>
      <c r="L932" s="7" t="s">
        <v>2073</v>
      </c>
      <c r="M932" s="8">
        <v>1207650</v>
      </c>
      <c r="N932" s="8" t="str">
        <f t="shared" si="71"/>
        <v>PEN</v>
      </c>
      <c r="O932" s="13"/>
      <c r="P932" s="13">
        <v>6000</v>
      </c>
      <c r="Q932" s="3">
        <f t="shared" si="72"/>
        <v>0</v>
      </c>
      <c r="R932" s="3">
        <f t="shared" si="73"/>
        <v>6000</v>
      </c>
      <c r="S932" s="3">
        <f t="shared" si="74"/>
        <v>52362.879999999983</v>
      </c>
      <c r="T932" s="24"/>
      <c r="U932" s="24"/>
      <c r="V932" s="67"/>
      <c r="W932" s="25">
        <f>IFERROR(VLOOKUP(BCP_Soles[[#This Row],[DESTINATARIO]],CHOOSE({1,2},Clientes_Proveedores[Razon Social],Clientes_Proveedores[Ruc / Dni]),2,0),"")</f>
        <v>45286301</v>
      </c>
      <c r="X932" s="25" t="s">
        <v>750</v>
      </c>
      <c r="Y932" s="25"/>
      <c r="Z932" s="25"/>
      <c r="AA932" s="99"/>
      <c r="AB932" s="3" t="str">
        <f>IF(BCP_Soles[[#This Row],[FECHA]]&gt;0,TEXT(BCP_Soles[[#This Row],[FECHA]],"mmmm"),0)</f>
        <v>Marzo</v>
      </c>
    </row>
    <row r="933" spans="2:28" ht="36" x14ac:dyDescent="0.3">
      <c r="B933" s="2">
        <f>IF(BCP_Soles[[#This Row],[TIPO DE R.]]="R",COUNTIFS($D$4:$D932,"R")+1,"")</f>
        <v>714</v>
      </c>
      <c r="C933" s="19" t="str">
        <f t="shared" si="70"/>
        <v>B-BCP - Soles</v>
      </c>
      <c r="D933" s="3" t="s">
        <v>1074</v>
      </c>
      <c r="E933" s="14">
        <v>45736</v>
      </c>
      <c r="F933" s="5" t="s">
        <v>1996</v>
      </c>
      <c r="G933" s="5" t="s">
        <v>1079</v>
      </c>
      <c r="H933" s="6" t="s">
        <v>644</v>
      </c>
      <c r="I933" s="6" t="s">
        <v>14</v>
      </c>
      <c r="J933" s="6" t="s">
        <v>1204</v>
      </c>
      <c r="K933" s="6">
        <v>629327</v>
      </c>
      <c r="L933" s="7" t="s">
        <v>2074</v>
      </c>
      <c r="M933" s="8">
        <v>140995</v>
      </c>
      <c r="N933" s="8" t="str">
        <f t="shared" si="71"/>
        <v>PEN</v>
      </c>
      <c r="O933" s="13"/>
      <c r="P933" s="13">
        <v>35.4</v>
      </c>
      <c r="Q933" s="3">
        <f t="shared" si="72"/>
        <v>0</v>
      </c>
      <c r="R933" s="3">
        <f t="shared" si="73"/>
        <v>35.4</v>
      </c>
      <c r="S933" s="3">
        <f t="shared" si="74"/>
        <v>52327.479999999981</v>
      </c>
      <c r="T933" s="24" t="s">
        <v>1081</v>
      </c>
      <c r="U933" s="24" t="s">
        <v>1081</v>
      </c>
      <c r="V933" s="67"/>
      <c r="W933" s="25">
        <f>IFERROR(VLOOKUP(BCP_Soles[[#This Row],[DESTINATARIO]],CHOOSE({1,2},Clientes_Proveedores[Razon Social],Clientes_Proveedores[Ruc / Dni]),2,0),"")</f>
        <v>20454073143</v>
      </c>
      <c r="X933" s="25" t="s">
        <v>1206</v>
      </c>
      <c r="Y933" s="25" t="s">
        <v>2075</v>
      </c>
      <c r="Z933" s="25"/>
      <c r="AA933" s="99"/>
      <c r="AB933" s="3" t="str">
        <f>IF(BCP_Soles[[#This Row],[FECHA]]&gt;0,TEXT(BCP_Soles[[#This Row],[FECHA]],"mmmm"),0)</f>
        <v>Marzo</v>
      </c>
    </row>
    <row r="934" spans="2:28" ht="36" x14ac:dyDescent="0.3">
      <c r="B934" s="2">
        <f>IF(BCP_Soles[[#This Row],[TIPO DE R.]]="R",COUNTIFS($D$4:$D933,"R")+1,"")</f>
        <v>715</v>
      </c>
      <c r="C934" s="19" t="str">
        <f t="shared" si="70"/>
        <v>B-BCP - Soles</v>
      </c>
      <c r="D934" s="3" t="s">
        <v>1074</v>
      </c>
      <c r="E934" s="14">
        <v>45736</v>
      </c>
      <c r="F934" s="5" t="s">
        <v>1996</v>
      </c>
      <c r="G934" s="5" t="s">
        <v>1079</v>
      </c>
      <c r="H934" s="6" t="s">
        <v>644</v>
      </c>
      <c r="I934" s="6" t="s">
        <v>14</v>
      </c>
      <c r="J934" s="6" t="s">
        <v>1204</v>
      </c>
      <c r="K934" s="6">
        <v>496180</v>
      </c>
      <c r="L934" s="7" t="s">
        <v>1547</v>
      </c>
      <c r="M934" s="8">
        <v>144007</v>
      </c>
      <c r="N934" s="8" t="str">
        <f t="shared" si="71"/>
        <v>PEN</v>
      </c>
      <c r="O934" s="13"/>
      <c r="P934" s="13">
        <v>59</v>
      </c>
      <c r="Q934" s="3">
        <f t="shared" si="72"/>
        <v>0</v>
      </c>
      <c r="R934" s="3">
        <f t="shared" si="73"/>
        <v>59</v>
      </c>
      <c r="S934" s="3">
        <f t="shared" si="74"/>
        <v>52268.479999999981</v>
      </c>
      <c r="T934" s="24" t="s">
        <v>1081</v>
      </c>
      <c r="U934" s="24" t="s">
        <v>1081</v>
      </c>
      <c r="V934" s="67"/>
      <c r="W934" s="25">
        <f>IFERROR(VLOOKUP(BCP_Soles[[#This Row],[DESTINATARIO]],CHOOSE({1,2},Clientes_Proveedores[Razon Social],Clientes_Proveedores[Ruc / Dni]),2,0),"")</f>
        <v>20454073143</v>
      </c>
      <c r="X934" s="25" t="s">
        <v>1206</v>
      </c>
      <c r="Y934" s="25" t="s">
        <v>2076</v>
      </c>
      <c r="Z934" s="25"/>
      <c r="AA934" s="99"/>
      <c r="AB934" s="3" t="str">
        <f>IF(BCP_Soles[[#This Row],[FECHA]]&gt;0,TEXT(BCP_Soles[[#This Row],[FECHA]],"mmmm"),0)</f>
        <v>Marzo</v>
      </c>
    </row>
    <row r="935" spans="2:28" ht="24" x14ac:dyDescent="0.3">
      <c r="B935" s="2">
        <f>IF(BCP_Soles[[#This Row],[TIPO DE R.]]="R",COUNTIFS($D$4:$D934,"R")+1,"")</f>
        <v>716</v>
      </c>
      <c r="C935" s="19" t="str">
        <f t="shared" si="70"/>
        <v>B-BCP - Soles</v>
      </c>
      <c r="D935" s="3" t="s">
        <v>1074</v>
      </c>
      <c r="E935" s="14">
        <v>45736</v>
      </c>
      <c r="F935" s="5" t="s">
        <v>1996</v>
      </c>
      <c r="G935" s="5" t="s">
        <v>1079</v>
      </c>
      <c r="H935" s="6" t="s">
        <v>807</v>
      </c>
      <c r="I935" s="6" t="s">
        <v>87</v>
      </c>
      <c r="J935" s="6">
        <v>1</v>
      </c>
      <c r="K935" s="6">
        <v>242025</v>
      </c>
      <c r="L935" s="7" t="s">
        <v>2077</v>
      </c>
      <c r="M935" s="8">
        <v>1144006</v>
      </c>
      <c r="N935" s="8" t="str">
        <f t="shared" si="71"/>
        <v>PEN</v>
      </c>
      <c r="O935" s="13"/>
      <c r="P935" s="13">
        <v>400</v>
      </c>
      <c r="Q935" s="3">
        <f t="shared" si="72"/>
        <v>0</v>
      </c>
      <c r="R935" s="3">
        <f t="shared" si="73"/>
        <v>400</v>
      </c>
      <c r="S935" s="3">
        <f t="shared" si="74"/>
        <v>51868.479999999981</v>
      </c>
      <c r="T935" s="24" t="s">
        <v>1081</v>
      </c>
      <c r="U935" s="24" t="s">
        <v>1081</v>
      </c>
      <c r="V935" s="67"/>
      <c r="W935" s="25">
        <f>IFERROR(VLOOKUP(BCP_Soles[[#This Row],[DESTINATARIO]],CHOOSE({1,2},Clientes_Proveedores[Razon Social],Clientes_Proveedores[Ruc / Dni]),2,0),"")</f>
        <v>45921913</v>
      </c>
      <c r="X935" s="25"/>
      <c r="Y935" s="25"/>
      <c r="Z935" s="25"/>
      <c r="AA935" s="99"/>
      <c r="AB935" s="3" t="str">
        <f>IF(BCP_Soles[[#This Row],[FECHA]]&gt;0,TEXT(BCP_Soles[[#This Row],[FECHA]],"mmmm"),0)</f>
        <v>Marzo</v>
      </c>
    </row>
    <row r="936" spans="2:28" ht="24" x14ac:dyDescent="0.3">
      <c r="B936" s="2">
        <f>IF(BCP_Soles[[#This Row],[TIPO DE R.]]="R",COUNTIFS($D$4:$D935,"R")+1,"")</f>
        <v>717</v>
      </c>
      <c r="C936" s="19" t="str">
        <f t="shared" si="70"/>
        <v>B-BCP - Soles</v>
      </c>
      <c r="D936" s="3" t="s">
        <v>1074</v>
      </c>
      <c r="E936" s="14">
        <v>45736</v>
      </c>
      <c r="F936" s="5" t="s">
        <v>147</v>
      </c>
      <c r="G936" s="5" t="s">
        <v>1087</v>
      </c>
      <c r="H936" s="6"/>
      <c r="I936" s="6"/>
      <c r="J936" s="6"/>
      <c r="K936" s="6"/>
      <c r="L936" s="7" t="s">
        <v>2078</v>
      </c>
      <c r="M936" s="8">
        <v>4726440</v>
      </c>
      <c r="N936" s="8" t="str">
        <f t="shared" si="71"/>
        <v>PEN</v>
      </c>
      <c r="O936" s="13"/>
      <c r="P936" s="13">
        <v>1888.59</v>
      </c>
      <c r="Q936" s="3">
        <f t="shared" si="72"/>
        <v>1888.59</v>
      </c>
      <c r="R936" s="3">
        <f t="shared" si="73"/>
        <v>0</v>
      </c>
      <c r="S936" s="3">
        <f t="shared" si="74"/>
        <v>53757.069999999978</v>
      </c>
      <c r="T936" s="24" t="s">
        <v>1081</v>
      </c>
      <c r="U936" s="24" t="s">
        <v>1081</v>
      </c>
      <c r="V936" s="67"/>
      <c r="W936" s="25" t="str">
        <f>IFERROR(VLOOKUP(BCP_Soles[[#This Row],[DESTINATARIO]],CHOOSE({1,2},Clientes_Proveedores[Razon Social],Clientes_Proveedores[Ruc / Dni]),2,0),"")</f>
        <v/>
      </c>
      <c r="X936" s="25" t="s">
        <v>1090</v>
      </c>
      <c r="Y936" s="25" t="s">
        <v>2079</v>
      </c>
      <c r="Z936" s="25"/>
      <c r="AA936" s="99"/>
      <c r="AB936" s="3" t="str">
        <f>IF(BCP_Soles[[#This Row],[FECHA]]&gt;0,TEXT(BCP_Soles[[#This Row],[FECHA]],"mmmm"),0)</f>
        <v>Marzo</v>
      </c>
    </row>
    <row r="937" spans="2:28" ht="36" x14ac:dyDescent="0.3">
      <c r="B937" s="2">
        <f>IF(BCP_Soles[[#This Row],[TIPO DE R.]]="R",COUNTIFS($D$4:$D936,"R")+1,"")</f>
        <v>718</v>
      </c>
      <c r="C937" s="19" t="str">
        <f t="shared" si="70"/>
        <v>B-BCP - Soles</v>
      </c>
      <c r="D937" s="3" t="s">
        <v>1074</v>
      </c>
      <c r="E937" s="14">
        <v>45736</v>
      </c>
      <c r="F937" s="5" t="s">
        <v>1996</v>
      </c>
      <c r="G937" s="5" t="s">
        <v>1079</v>
      </c>
      <c r="H937" s="6" t="s">
        <v>880</v>
      </c>
      <c r="I937" s="6" t="s">
        <v>87</v>
      </c>
      <c r="J937" s="6">
        <v>1</v>
      </c>
      <c r="K937" s="6">
        <v>192025</v>
      </c>
      <c r="L937" s="7" t="s">
        <v>2080</v>
      </c>
      <c r="M937" s="8">
        <v>1210329</v>
      </c>
      <c r="N937" s="8" t="str">
        <f t="shared" si="71"/>
        <v>PEN</v>
      </c>
      <c r="O937" s="13"/>
      <c r="P937" s="13">
        <v>17.100000000000001</v>
      </c>
      <c r="Q937" s="3">
        <f t="shared" si="72"/>
        <v>0</v>
      </c>
      <c r="R937" s="3">
        <f t="shared" si="73"/>
        <v>17.100000000000001</v>
      </c>
      <c r="S937" s="3">
        <f t="shared" si="74"/>
        <v>53739.969999999979</v>
      </c>
      <c r="T937" s="24" t="s">
        <v>1081</v>
      </c>
      <c r="U937" s="24"/>
      <c r="V937" s="67"/>
      <c r="W937" s="25">
        <f>IFERROR(VLOOKUP(BCP_Soles[[#This Row],[DESTINATARIO]],CHOOSE({1,2},Clientes_Proveedores[Razon Social],Clientes_Proveedores[Ruc / Dni]),2,0),"")</f>
        <v>72531546</v>
      </c>
      <c r="X937" s="25"/>
      <c r="Y937" s="25"/>
      <c r="Z937" s="25"/>
      <c r="AA937" s="99"/>
      <c r="AB937" s="3" t="str">
        <f>IF(BCP_Soles[[#This Row],[FECHA]]&gt;0,TEXT(BCP_Soles[[#This Row],[FECHA]],"mmmm"),0)</f>
        <v>Marzo</v>
      </c>
    </row>
    <row r="938" spans="2:28" ht="36" x14ac:dyDescent="0.3">
      <c r="B938" s="2">
        <f>IF(BCP_Soles[[#This Row],[TIPO DE R.]]="R",COUNTIFS($D$4:$D937,"R")+1,"")</f>
        <v>719</v>
      </c>
      <c r="C938" s="19" t="str">
        <f t="shared" si="70"/>
        <v>B-BCP - Soles</v>
      </c>
      <c r="D938" s="3" t="s">
        <v>1074</v>
      </c>
      <c r="E938" s="14">
        <v>45736</v>
      </c>
      <c r="F938" s="5" t="s">
        <v>1996</v>
      </c>
      <c r="G938" s="5" t="s">
        <v>1079</v>
      </c>
      <c r="H938" s="6" t="s">
        <v>880</v>
      </c>
      <c r="I938" s="6" t="s">
        <v>87</v>
      </c>
      <c r="J938" s="6">
        <v>1</v>
      </c>
      <c r="K938" s="6">
        <v>182025</v>
      </c>
      <c r="L938" s="7" t="s">
        <v>2081</v>
      </c>
      <c r="M938" s="8">
        <v>1208858</v>
      </c>
      <c r="N938" s="8" t="str">
        <f t="shared" si="71"/>
        <v>PEN</v>
      </c>
      <c r="O938" s="13"/>
      <c r="P938" s="13">
        <v>101</v>
      </c>
      <c r="Q938" s="3">
        <f t="shared" si="72"/>
        <v>0</v>
      </c>
      <c r="R938" s="3">
        <f t="shared" si="73"/>
        <v>101</v>
      </c>
      <c r="S938" s="3">
        <f t="shared" si="74"/>
        <v>53638.969999999979</v>
      </c>
      <c r="T938" s="24" t="s">
        <v>1081</v>
      </c>
      <c r="U938" s="24"/>
      <c r="V938" s="67"/>
      <c r="W938" s="25">
        <f>IFERROR(VLOOKUP(BCP_Soles[[#This Row],[DESTINATARIO]],CHOOSE({1,2},Clientes_Proveedores[Razon Social],Clientes_Proveedores[Ruc / Dni]),2,0),"")</f>
        <v>72531546</v>
      </c>
      <c r="X938" s="25"/>
      <c r="Y938" s="25"/>
      <c r="Z938" s="25"/>
      <c r="AA938" s="99"/>
      <c r="AB938" s="3" t="str">
        <f>IF(BCP_Soles[[#This Row],[FECHA]]&gt;0,TEXT(BCP_Soles[[#This Row],[FECHA]],"mmmm"),0)</f>
        <v>Marzo</v>
      </c>
    </row>
    <row r="939" spans="2:28" x14ac:dyDescent="0.3">
      <c r="B939" s="2">
        <f>IF(BCP_Soles[[#This Row],[TIPO DE R.]]="R",COUNTIFS($D$4:$D938,"R")+1,"")</f>
        <v>720</v>
      </c>
      <c r="C939" s="19" t="str">
        <f t="shared" si="70"/>
        <v>B-BCP - Soles</v>
      </c>
      <c r="D939" s="3" t="s">
        <v>1074</v>
      </c>
      <c r="E939" s="14">
        <v>45736</v>
      </c>
      <c r="F939" s="5" t="s">
        <v>139</v>
      </c>
      <c r="G939" s="5" t="s">
        <v>1087</v>
      </c>
      <c r="H939" s="6"/>
      <c r="I939" s="6"/>
      <c r="J939" s="6"/>
      <c r="K939" s="6"/>
      <c r="L939" s="7" t="s">
        <v>2082</v>
      </c>
      <c r="M939" s="8">
        <v>12639</v>
      </c>
      <c r="N939" s="8" t="str">
        <f t="shared" si="71"/>
        <v>PEN</v>
      </c>
      <c r="O939" s="13"/>
      <c r="P939" s="13">
        <v>3036.91</v>
      </c>
      <c r="Q939" s="3">
        <f t="shared" si="72"/>
        <v>3036.91</v>
      </c>
      <c r="R939" s="3">
        <f t="shared" si="73"/>
        <v>0</v>
      </c>
      <c r="S939" s="3">
        <f t="shared" si="74"/>
        <v>56675.879999999976</v>
      </c>
      <c r="T939" s="24" t="s">
        <v>1081</v>
      </c>
      <c r="U939" s="24" t="s">
        <v>1081</v>
      </c>
      <c r="V939" s="67"/>
      <c r="W939" s="25" t="str">
        <f>IFERROR(VLOOKUP(BCP_Soles[[#This Row],[DESTINATARIO]],CHOOSE({1,2},Clientes_Proveedores[Razon Social],Clientes_Proveedores[Ruc / Dni]),2,0),"")</f>
        <v/>
      </c>
      <c r="X939" s="25" t="s">
        <v>1090</v>
      </c>
      <c r="Y939" s="25" t="s">
        <v>2083</v>
      </c>
      <c r="Z939" s="25"/>
      <c r="AA939" s="99"/>
      <c r="AB939" s="3" t="str">
        <f>IF(BCP_Soles[[#This Row],[FECHA]]&gt;0,TEXT(BCP_Soles[[#This Row],[FECHA]],"mmmm"),0)</f>
        <v>Marzo</v>
      </c>
    </row>
    <row r="940" spans="2:28" x14ac:dyDescent="0.3">
      <c r="B940" s="2">
        <f>IF(BCP_Soles[[#This Row],[TIPO DE R.]]="R",COUNTIFS($D$4:$D939,"R")+1,"")</f>
        <v>721</v>
      </c>
      <c r="C940" s="19" t="str">
        <f t="shared" si="70"/>
        <v>B-BCP - Soles</v>
      </c>
      <c r="D940" s="3" t="s">
        <v>1074</v>
      </c>
      <c r="E940" s="14">
        <v>45736</v>
      </c>
      <c r="F940" s="5" t="s">
        <v>1078</v>
      </c>
      <c r="G940" s="5" t="s">
        <v>1079</v>
      </c>
      <c r="H940" s="6"/>
      <c r="I940" s="6"/>
      <c r="J940" s="6"/>
      <c r="K940" s="6"/>
      <c r="L940" s="7" t="s">
        <v>1080</v>
      </c>
      <c r="M940" s="8"/>
      <c r="N940" s="8" t="str">
        <f t="shared" si="71"/>
        <v>PEN</v>
      </c>
      <c r="O940" s="13"/>
      <c r="P940" s="13">
        <v>0.2</v>
      </c>
      <c r="Q940" s="3">
        <f t="shared" si="72"/>
        <v>0</v>
      </c>
      <c r="R940" s="3">
        <f t="shared" si="73"/>
        <v>0.2</v>
      </c>
      <c r="S940" s="3">
        <f t="shared" si="74"/>
        <v>56675.679999999978</v>
      </c>
      <c r="T940" s="24"/>
      <c r="U940" s="24" t="s">
        <v>1081</v>
      </c>
      <c r="V940" s="67"/>
      <c r="W940" s="25" t="str">
        <f>IFERROR(VLOOKUP(BCP_Soles[[#This Row],[DESTINATARIO]],CHOOSE({1,2},Clientes_Proveedores[Razon Social],Clientes_Proveedores[Ruc / Dni]),2,0),"")</f>
        <v/>
      </c>
      <c r="X940" s="25"/>
      <c r="Y940" s="25"/>
      <c r="Z940" s="25"/>
      <c r="AA940" s="99"/>
      <c r="AB940" s="3" t="str">
        <f>IF(BCP_Soles[[#This Row],[FECHA]]&gt;0,TEXT(BCP_Soles[[#This Row],[FECHA]],"mmmm"),0)</f>
        <v>Marzo</v>
      </c>
    </row>
    <row r="941" spans="2:28" ht="36" x14ac:dyDescent="0.3">
      <c r="B941" s="2">
        <f>IF(BCP_Soles[[#This Row],[TIPO DE R.]]="R",COUNTIFS($D$4:$D940,"R")+1,"")</f>
        <v>722</v>
      </c>
      <c r="C941" s="19" t="str">
        <f t="shared" si="70"/>
        <v>B-BCP - Soles</v>
      </c>
      <c r="D941" s="3" t="s">
        <v>1074</v>
      </c>
      <c r="E941" s="14">
        <v>45737</v>
      </c>
      <c r="F941" s="5" t="s">
        <v>459</v>
      </c>
      <c r="G941" s="5" t="s">
        <v>1087</v>
      </c>
      <c r="H941" s="6"/>
      <c r="I941" s="6"/>
      <c r="J941" s="6"/>
      <c r="K941" s="6"/>
      <c r="L941" s="7" t="s">
        <v>1474</v>
      </c>
      <c r="M941" s="8">
        <v>2261211</v>
      </c>
      <c r="N941" s="8" t="str">
        <f t="shared" si="71"/>
        <v>PEN</v>
      </c>
      <c r="O941" s="13"/>
      <c r="P941" s="13">
        <v>9317.49</v>
      </c>
      <c r="Q941" s="3">
        <f t="shared" si="72"/>
        <v>9317.49</v>
      </c>
      <c r="R941" s="3">
        <f t="shared" si="73"/>
        <v>0</v>
      </c>
      <c r="S941" s="3">
        <f t="shared" si="74"/>
        <v>65993.169999999984</v>
      </c>
      <c r="T941" s="24" t="s">
        <v>1081</v>
      </c>
      <c r="U941" s="24" t="s">
        <v>1081</v>
      </c>
      <c r="V941" s="67"/>
      <c r="W941" s="25" t="str">
        <f>IFERROR(VLOOKUP(BCP_Soles[[#This Row],[DESTINATARIO]],CHOOSE({1,2},Clientes_Proveedores[Razon Social],Clientes_Proveedores[Ruc / Dni]),2,0),"")</f>
        <v/>
      </c>
      <c r="X941" s="25" t="s">
        <v>1090</v>
      </c>
      <c r="Y941" s="25" t="s">
        <v>2084</v>
      </c>
      <c r="Z941" s="25"/>
      <c r="AA941" s="99"/>
      <c r="AB941" s="3" t="str">
        <f>IF(BCP_Soles[[#This Row],[FECHA]]&gt;0,TEXT(BCP_Soles[[#This Row],[FECHA]],"mmmm"),0)</f>
        <v>Marzo</v>
      </c>
    </row>
    <row r="942" spans="2:28" x14ac:dyDescent="0.3">
      <c r="B942" s="2">
        <f>IF(BCP_Soles[[#This Row],[TIPO DE R.]]="R",COUNTIFS($D$4:$D941,"R")+1,"")</f>
        <v>723</v>
      </c>
      <c r="C942" s="19" t="str">
        <f t="shared" si="70"/>
        <v>B-BCP - Soles</v>
      </c>
      <c r="D942" s="3" t="s">
        <v>1074</v>
      </c>
      <c r="E942" s="14">
        <v>45737</v>
      </c>
      <c r="F942" s="5" t="s">
        <v>229</v>
      </c>
      <c r="G942" s="5" t="s">
        <v>1087</v>
      </c>
      <c r="H942" s="6"/>
      <c r="I942" s="6"/>
      <c r="J942" s="6"/>
      <c r="K942" s="6"/>
      <c r="L942" s="7" t="s">
        <v>1127</v>
      </c>
      <c r="M942" s="8">
        <v>4557</v>
      </c>
      <c r="N942" s="8" t="str">
        <f t="shared" si="71"/>
        <v>PEN</v>
      </c>
      <c r="O942" s="13"/>
      <c r="P942" s="13">
        <v>4459.87</v>
      </c>
      <c r="Q942" s="3">
        <f t="shared" si="72"/>
        <v>4459.87</v>
      </c>
      <c r="R942" s="3">
        <f t="shared" si="73"/>
        <v>0</v>
      </c>
      <c r="S942" s="3">
        <f t="shared" si="74"/>
        <v>70453.039999999979</v>
      </c>
      <c r="T942" s="24" t="s">
        <v>1081</v>
      </c>
      <c r="U942" s="24" t="s">
        <v>1081</v>
      </c>
      <c r="V942" s="67"/>
      <c r="W942" s="25" t="str">
        <f>IFERROR(VLOOKUP(BCP_Soles[[#This Row],[DESTINATARIO]],CHOOSE({1,2},Clientes_Proveedores[Razon Social],Clientes_Proveedores[Ruc / Dni]),2,0),"")</f>
        <v/>
      </c>
      <c r="X942" s="25" t="s">
        <v>1090</v>
      </c>
      <c r="Y942" s="25" t="s">
        <v>2085</v>
      </c>
      <c r="Z942" s="25"/>
      <c r="AA942" s="99"/>
      <c r="AB942" s="3" t="str">
        <f>IF(BCP_Soles[[#This Row],[FECHA]]&gt;0,TEXT(BCP_Soles[[#This Row],[FECHA]],"mmmm"),0)</f>
        <v>Marzo</v>
      </c>
    </row>
    <row r="943" spans="2:28" ht="24" x14ac:dyDescent="0.3">
      <c r="B943" s="2">
        <f>IF(BCP_Soles[[#This Row],[TIPO DE R.]]="R",COUNTIFS($D$4:$D942,"R")+1,"")</f>
        <v>724</v>
      </c>
      <c r="C943" s="19" t="str">
        <f t="shared" si="70"/>
        <v>B-BCP - Soles</v>
      </c>
      <c r="D943" s="3" t="s">
        <v>1074</v>
      </c>
      <c r="E943" s="14">
        <v>45737</v>
      </c>
      <c r="F943" s="5" t="s">
        <v>222</v>
      </c>
      <c r="G943" s="5" t="s">
        <v>1087</v>
      </c>
      <c r="H943" s="6"/>
      <c r="I943" s="6"/>
      <c r="J943" s="6"/>
      <c r="K943" s="6"/>
      <c r="L943" s="7" t="s">
        <v>2086</v>
      </c>
      <c r="M943" s="8">
        <v>5276577</v>
      </c>
      <c r="N943" s="8" t="str">
        <f t="shared" si="71"/>
        <v>PEN</v>
      </c>
      <c r="O943" s="13"/>
      <c r="P943" s="13">
        <v>1146.01</v>
      </c>
      <c r="Q943" s="3">
        <f t="shared" si="72"/>
        <v>1146.01</v>
      </c>
      <c r="R943" s="3">
        <f t="shared" si="73"/>
        <v>0</v>
      </c>
      <c r="S943" s="3">
        <f t="shared" si="74"/>
        <v>71599.049999999974</v>
      </c>
      <c r="T943" s="24" t="s">
        <v>1081</v>
      </c>
      <c r="U943" s="24" t="s">
        <v>1081</v>
      </c>
      <c r="V943" s="67"/>
      <c r="W943" s="25" t="str">
        <f>IFERROR(VLOOKUP(BCP_Soles[[#This Row],[DESTINATARIO]],CHOOSE({1,2},Clientes_Proveedores[Razon Social],Clientes_Proveedores[Ruc / Dni]),2,0),"")</f>
        <v/>
      </c>
      <c r="X943" s="25" t="s">
        <v>1090</v>
      </c>
      <c r="Y943" s="25" t="s">
        <v>2087</v>
      </c>
      <c r="Z943" s="25"/>
      <c r="AA943" s="99"/>
      <c r="AB943" s="3" t="str">
        <f>IF(BCP_Soles[[#This Row],[FECHA]]&gt;0,TEXT(BCP_Soles[[#This Row],[FECHA]],"mmmm"),0)</f>
        <v>Marzo</v>
      </c>
    </row>
    <row r="944" spans="2:28" x14ac:dyDescent="0.3">
      <c r="B944" s="2">
        <f>IF(BCP_Soles[[#This Row],[TIPO DE R.]]="R",COUNTIFS($D$4:$D943,"R")+1,"")</f>
        <v>725</v>
      </c>
      <c r="C944" s="19" t="str">
        <f t="shared" si="70"/>
        <v>B-BCP - Soles</v>
      </c>
      <c r="D944" s="3" t="s">
        <v>1074</v>
      </c>
      <c r="E944" s="14">
        <v>45737</v>
      </c>
      <c r="F944" s="5" t="s">
        <v>1078</v>
      </c>
      <c r="G944" s="5" t="s">
        <v>1079</v>
      </c>
      <c r="H944" s="6"/>
      <c r="I944" s="6"/>
      <c r="J944" s="6"/>
      <c r="K944" s="6"/>
      <c r="L944" s="7" t="s">
        <v>1080</v>
      </c>
      <c r="M944" s="8"/>
      <c r="N944" s="8" t="str">
        <f t="shared" si="71"/>
        <v>PEN</v>
      </c>
      <c r="O944" s="13"/>
      <c r="P944" s="13">
        <v>1</v>
      </c>
      <c r="Q944" s="3">
        <f t="shared" si="72"/>
        <v>0</v>
      </c>
      <c r="R944" s="3">
        <f t="shared" si="73"/>
        <v>1</v>
      </c>
      <c r="S944" s="3">
        <f t="shared" si="74"/>
        <v>71598.049999999974</v>
      </c>
      <c r="T944" s="24"/>
      <c r="U944" s="24" t="s">
        <v>1081</v>
      </c>
      <c r="V944" s="67"/>
      <c r="W944" s="25" t="str">
        <f>IFERROR(VLOOKUP(BCP_Soles[[#This Row],[DESTINATARIO]],CHOOSE({1,2},Clientes_Proveedores[Razon Social],Clientes_Proveedores[Ruc / Dni]),2,0),"")</f>
        <v/>
      </c>
      <c r="X944" s="25"/>
      <c r="Y944" s="25"/>
      <c r="Z944" s="25"/>
      <c r="AA944" s="99"/>
      <c r="AB944" s="3" t="str">
        <f>IF(BCP_Soles[[#This Row],[FECHA]]&gt;0,TEXT(BCP_Soles[[#This Row],[FECHA]],"mmmm"),0)</f>
        <v>Marzo</v>
      </c>
    </row>
    <row r="945" spans="2:28" x14ac:dyDescent="0.3">
      <c r="B945" s="2">
        <f>IF(BCP_Soles[[#This Row],[TIPO DE R.]]="R",COUNTIFS($D$4:$D944,"R")+1,"")</f>
        <v>726</v>
      </c>
      <c r="C945" s="19" t="str">
        <f t="shared" si="70"/>
        <v>B-BCP - Soles</v>
      </c>
      <c r="D945" s="3" t="s">
        <v>1074</v>
      </c>
      <c r="E945" s="14">
        <v>45737</v>
      </c>
      <c r="F945" s="5" t="s">
        <v>1078</v>
      </c>
      <c r="G945" s="5" t="s">
        <v>1079</v>
      </c>
      <c r="H945" s="6"/>
      <c r="I945" s="6"/>
      <c r="J945" s="6"/>
      <c r="K945" s="6"/>
      <c r="L945" s="7" t="s">
        <v>1141</v>
      </c>
      <c r="M945" s="8">
        <v>517</v>
      </c>
      <c r="N945" s="8" t="str">
        <f t="shared" si="71"/>
        <v>PEN</v>
      </c>
      <c r="O945" s="13"/>
      <c r="P945" s="13">
        <v>10</v>
      </c>
      <c r="Q945" s="3">
        <f t="shared" si="72"/>
        <v>0</v>
      </c>
      <c r="R945" s="3">
        <f t="shared" si="73"/>
        <v>10</v>
      </c>
      <c r="S945" s="3">
        <f t="shared" si="74"/>
        <v>71588.049999999974</v>
      </c>
      <c r="T945" s="24"/>
      <c r="U945" s="24" t="s">
        <v>1081</v>
      </c>
      <c r="V945" s="67"/>
      <c r="W945" s="25" t="str">
        <f>IFERROR(VLOOKUP(BCP_Soles[[#This Row],[DESTINATARIO]],CHOOSE({1,2},Clientes_Proveedores[Razon Social],Clientes_Proveedores[Ruc / Dni]),2,0),"")</f>
        <v/>
      </c>
      <c r="X945" s="25" t="s">
        <v>1078</v>
      </c>
      <c r="Y945" s="25" t="s">
        <v>2088</v>
      </c>
      <c r="Z945" s="25"/>
      <c r="AA945" s="99"/>
      <c r="AB945" s="3" t="str">
        <f>IF(BCP_Soles[[#This Row],[FECHA]]&gt;0,TEXT(BCP_Soles[[#This Row],[FECHA]],"mmmm"),0)</f>
        <v>Marzo</v>
      </c>
    </row>
    <row r="946" spans="2:28" ht="36" x14ac:dyDescent="0.3">
      <c r="B946" s="2">
        <f>IF(BCP_Soles[[#This Row],[TIPO DE R.]]="R",COUNTIFS($D$4:$D945,"R")+1,"")</f>
        <v>727</v>
      </c>
      <c r="C946" s="19" t="str">
        <f t="shared" si="70"/>
        <v>B-BCP - Soles</v>
      </c>
      <c r="D946" s="3" t="s">
        <v>1074</v>
      </c>
      <c r="E946" s="14">
        <v>45737</v>
      </c>
      <c r="F946" s="5" t="s">
        <v>1082</v>
      </c>
      <c r="G946" s="5" t="s">
        <v>1079</v>
      </c>
      <c r="H946" s="6" t="s">
        <v>552</v>
      </c>
      <c r="I946" s="6" t="s">
        <v>14</v>
      </c>
      <c r="J946" s="6" t="s">
        <v>2062</v>
      </c>
      <c r="K946" s="6">
        <v>148</v>
      </c>
      <c r="L946" s="7" t="s">
        <v>2089</v>
      </c>
      <c r="M946" s="8">
        <v>1279112</v>
      </c>
      <c r="N946" s="8" t="str">
        <f t="shared" si="71"/>
        <v>PEN</v>
      </c>
      <c r="O946" s="13"/>
      <c r="P946" s="13">
        <v>224</v>
      </c>
      <c r="Q946" s="3">
        <f t="shared" si="72"/>
        <v>0</v>
      </c>
      <c r="R946" s="3">
        <f t="shared" si="73"/>
        <v>224</v>
      </c>
      <c r="S946" s="3">
        <f t="shared" si="74"/>
        <v>71364.049999999974</v>
      </c>
      <c r="T946" s="24" t="s">
        <v>1081</v>
      </c>
      <c r="U946" s="24" t="s">
        <v>1081</v>
      </c>
      <c r="V946" s="67"/>
      <c r="W946" s="25">
        <f>IFERROR(VLOOKUP(BCP_Soles[[#This Row],[DESTINATARIO]],CHOOSE({1,2},Clientes_Proveedores[Razon Social],Clientes_Proveedores[Ruc / Dni]),2,0),"")</f>
        <v>20612094862</v>
      </c>
      <c r="X946" s="25" t="s">
        <v>2064</v>
      </c>
      <c r="Y946" s="25" t="s">
        <v>2090</v>
      </c>
      <c r="Z946" s="25"/>
      <c r="AA946" s="99"/>
      <c r="AB946" s="3" t="str">
        <f>IF(BCP_Soles[[#This Row],[FECHA]]&gt;0,TEXT(BCP_Soles[[#This Row],[FECHA]],"mmmm"),0)</f>
        <v>Marzo</v>
      </c>
    </row>
    <row r="947" spans="2:28" ht="24" x14ac:dyDescent="0.3">
      <c r="B947" s="2">
        <f>IF(BCP_Soles[[#This Row],[TIPO DE R.]]="R",COUNTIFS($D$4:$D946,"R")+1,"")</f>
        <v>728</v>
      </c>
      <c r="C947" s="19" t="str">
        <f t="shared" si="70"/>
        <v>B-BCP - Soles</v>
      </c>
      <c r="D947" s="3" t="s">
        <v>1074</v>
      </c>
      <c r="E947" s="14">
        <v>45737</v>
      </c>
      <c r="F947" s="5" t="s">
        <v>1996</v>
      </c>
      <c r="G947" s="5" t="s">
        <v>1079</v>
      </c>
      <c r="H947" s="6"/>
      <c r="I947" s="6" t="s">
        <v>14</v>
      </c>
      <c r="J947" s="6" t="s">
        <v>1121</v>
      </c>
      <c r="K947" s="6">
        <v>3046</v>
      </c>
      <c r="L947" s="7" t="s">
        <v>2091</v>
      </c>
      <c r="M947" s="8">
        <v>1276734</v>
      </c>
      <c r="N947" s="8" t="str">
        <f t="shared" si="71"/>
        <v>PEN</v>
      </c>
      <c r="O947" s="13"/>
      <c r="P947" s="13">
        <v>450</v>
      </c>
      <c r="Q947" s="3">
        <f t="shared" si="72"/>
        <v>0</v>
      </c>
      <c r="R947" s="3">
        <f t="shared" si="73"/>
        <v>450</v>
      </c>
      <c r="S947" s="3">
        <f t="shared" si="74"/>
        <v>70914.049999999974</v>
      </c>
      <c r="T947" s="24" t="s">
        <v>1081</v>
      </c>
      <c r="U947" s="24" t="s">
        <v>1081</v>
      </c>
      <c r="V947" s="67"/>
      <c r="W947" s="25" t="str">
        <f>IFERROR(VLOOKUP(BCP_Soles[[#This Row],[DESTINATARIO]],CHOOSE({1,2},Clientes_Proveedores[Razon Social],Clientes_Proveedores[Ruc / Dni]),2,0),"")</f>
        <v/>
      </c>
      <c r="X947" s="25" t="s">
        <v>664</v>
      </c>
      <c r="Y947" s="25" t="s">
        <v>2092</v>
      </c>
      <c r="Z947" s="25"/>
      <c r="AA947" s="99"/>
      <c r="AB947" s="3" t="str">
        <f>IF(BCP_Soles[[#This Row],[FECHA]]&gt;0,TEXT(BCP_Soles[[#This Row],[FECHA]],"mmmm"),0)</f>
        <v>Marzo</v>
      </c>
    </row>
    <row r="948" spans="2:28" x14ac:dyDescent="0.3">
      <c r="B948" s="2">
        <f>IF(BCP_Soles[[#This Row],[TIPO DE R.]]="R",COUNTIFS($D$4:$D947,"R")+1,"")</f>
        <v>729</v>
      </c>
      <c r="C948" s="19" t="str">
        <f t="shared" si="70"/>
        <v>B-BCP - Soles</v>
      </c>
      <c r="D948" s="3" t="s">
        <v>1074</v>
      </c>
      <c r="E948" s="14">
        <v>45737</v>
      </c>
      <c r="F948" s="5" t="s">
        <v>1996</v>
      </c>
      <c r="G948" s="5" t="s">
        <v>1079</v>
      </c>
      <c r="H948" s="6" t="s">
        <v>637</v>
      </c>
      <c r="I948" s="6" t="s">
        <v>14</v>
      </c>
      <c r="J948" s="6" t="s">
        <v>1122</v>
      </c>
      <c r="K948" s="6">
        <v>153158</v>
      </c>
      <c r="L948" s="7" t="s">
        <v>1123</v>
      </c>
      <c r="M948" s="8">
        <v>176860</v>
      </c>
      <c r="N948" s="8" t="str">
        <f t="shared" si="71"/>
        <v>PEN</v>
      </c>
      <c r="O948" s="13"/>
      <c r="P948" s="13">
        <v>1382.34</v>
      </c>
      <c r="Q948" s="3">
        <f t="shared" si="72"/>
        <v>0</v>
      </c>
      <c r="R948" s="3">
        <f t="shared" si="73"/>
        <v>1382.34</v>
      </c>
      <c r="S948" s="3">
        <f t="shared" si="74"/>
        <v>69531.709999999977</v>
      </c>
      <c r="T948" s="24" t="s">
        <v>1081</v>
      </c>
      <c r="U948" s="24" t="s">
        <v>1081</v>
      </c>
      <c r="V948" s="67"/>
      <c r="W948" s="25">
        <f>IFERROR(VLOOKUP(BCP_Soles[[#This Row],[DESTINATARIO]],CHOOSE({1,2},Clientes_Proveedores[Razon Social],Clientes_Proveedores[Ruc / Dni]),2,0),"")</f>
        <v>20127765279</v>
      </c>
      <c r="X948" s="25" t="s">
        <v>1124</v>
      </c>
      <c r="Y948" s="25" t="s">
        <v>2093</v>
      </c>
      <c r="Z948" s="25"/>
      <c r="AA948" s="99"/>
      <c r="AB948" s="3" t="str">
        <f>IF(BCP_Soles[[#This Row],[FECHA]]&gt;0,TEXT(BCP_Soles[[#This Row],[FECHA]],"mmmm"),0)</f>
        <v>Marzo</v>
      </c>
    </row>
    <row r="949" spans="2:28" x14ac:dyDescent="0.3">
      <c r="B949" s="2">
        <f>IF(BCP_Soles[[#This Row],[TIPO DE R.]]="R",COUNTIFS($D$4:$D948,"R")+1,"")</f>
        <v>730</v>
      </c>
      <c r="C949" s="19" t="str">
        <f t="shared" si="70"/>
        <v>B-BCP - Soles</v>
      </c>
      <c r="D949" s="3" t="s">
        <v>1074</v>
      </c>
      <c r="E949" s="14">
        <v>45737</v>
      </c>
      <c r="F949" s="5" t="s">
        <v>1996</v>
      </c>
      <c r="G949" s="5" t="s">
        <v>1079</v>
      </c>
      <c r="H949" s="6" t="s">
        <v>637</v>
      </c>
      <c r="I949" s="6" t="s">
        <v>14</v>
      </c>
      <c r="J949" s="6" t="s">
        <v>1253</v>
      </c>
      <c r="K949" s="6">
        <v>152179</v>
      </c>
      <c r="L949" s="7" t="s">
        <v>1123</v>
      </c>
      <c r="M949" s="8">
        <v>178295</v>
      </c>
      <c r="N949" s="8" t="str">
        <f t="shared" si="71"/>
        <v>PEN</v>
      </c>
      <c r="O949" s="13"/>
      <c r="P949" s="13">
        <v>1632.58</v>
      </c>
      <c r="Q949" s="3">
        <f t="shared" si="72"/>
        <v>0</v>
      </c>
      <c r="R949" s="3">
        <f t="shared" si="73"/>
        <v>1632.58</v>
      </c>
      <c r="S949" s="3">
        <f t="shared" si="74"/>
        <v>67899.129999999976</v>
      </c>
      <c r="T949" s="24" t="s">
        <v>1081</v>
      </c>
      <c r="U949" s="24" t="s">
        <v>1081</v>
      </c>
      <c r="V949" s="67"/>
      <c r="W949" s="25">
        <f>IFERROR(VLOOKUP(BCP_Soles[[#This Row],[DESTINATARIO]],CHOOSE({1,2},Clientes_Proveedores[Razon Social],Clientes_Proveedores[Ruc / Dni]),2,0),"")</f>
        <v>20127765279</v>
      </c>
      <c r="X949" s="25" t="s">
        <v>1124</v>
      </c>
      <c r="Y949" s="25" t="s">
        <v>2094</v>
      </c>
      <c r="Z949" s="25"/>
      <c r="AA949" s="99"/>
      <c r="AB949" s="3" t="str">
        <f>IF(BCP_Soles[[#This Row],[FECHA]]&gt;0,TEXT(BCP_Soles[[#This Row],[FECHA]],"mmmm"),0)</f>
        <v>Marzo</v>
      </c>
    </row>
    <row r="950" spans="2:28" ht="24" x14ac:dyDescent="0.3">
      <c r="B950" s="2">
        <f>IF(BCP_Soles[[#This Row],[TIPO DE R.]]="R",COUNTIFS($D$4:$D949,"R")+1,"")</f>
        <v>731</v>
      </c>
      <c r="C950" s="19" t="str">
        <f t="shared" si="70"/>
        <v>B-BCP - Soles</v>
      </c>
      <c r="D950" s="3" t="s">
        <v>1074</v>
      </c>
      <c r="E950" s="14">
        <v>45737</v>
      </c>
      <c r="F950" s="5" t="s">
        <v>1996</v>
      </c>
      <c r="G950" s="5" t="s">
        <v>1079</v>
      </c>
      <c r="H950" s="6"/>
      <c r="I950" s="6"/>
      <c r="J950" s="6"/>
      <c r="K950" s="6"/>
      <c r="L950" s="7" t="s">
        <v>2095</v>
      </c>
      <c r="M950" s="8">
        <v>1178296</v>
      </c>
      <c r="N950" s="8" t="str">
        <f t="shared" si="71"/>
        <v>PEN</v>
      </c>
      <c r="O950" s="13"/>
      <c r="P950" s="13">
        <v>1834.6</v>
      </c>
      <c r="Q950" s="3">
        <f t="shared" si="72"/>
        <v>0</v>
      </c>
      <c r="R950" s="3">
        <f t="shared" si="73"/>
        <v>1834.6</v>
      </c>
      <c r="S950" s="3">
        <f t="shared" si="74"/>
        <v>66064.52999999997</v>
      </c>
      <c r="T950" s="24"/>
      <c r="U950" s="24"/>
      <c r="V950" s="67"/>
      <c r="W950" s="25" t="str">
        <f>IFERROR(VLOOKUP(BCP_Soles[[#This Row],[DESTINATARIO]],CHOOSE({1,2},Clientes_Proveedores[Razon Social],Clientes_Proveedores[Ruc / Dni]),2,0),"")</f>
        <v/>
      </c>
      <c r="X950" s="25" t="s">
        <v>1378</v>
      </c>
      <c r="Y950" s="25"/>
      <c r="Z950" s="25"/>
      <c r="AA950" s="99"/>
      <c r="AB950" s="3" t="str">
        <f>IF(BCP_Soles[[#This Row],[FECHA]]&gt;0,TEXT(BCP_Soles[[#This Row],[FECHA]],"mmmm"),0)</f>
        <v>Marzo</v>
      </c>
    </row>
    <row r="951" spans="2:28" ht="36" x14ac:dyDescent="0.3">
      <c r="B951" s="2">
        <f>IF(BCP_Soles[[#This Row],[TIPO DE R.]]="R",COUNTIFS($D$4:$D950,"R")+1,"")</f>
        <v>732</v>
      </c>
      <c r="C951" s="19" t="str">
        <f t="shared" si="70"/>
        <v>B-BCP - Soles</v>
      </c>
      <c r="D951" s="3" t="s">
        <v>1074</v>
      </c>
      <c r="E951" s="14">
        <v>45737</v>
      </c>
      <c r="F951" s="5" t="s">
        <v>1996</v>
      </c>
      <c r="G951" s="5" t="s">
        <v>1079</v>
      </c>
      <c r="H951" s="6" t="s">
        <v>220</v>
      </c>
      <c r="I951" s="6" t="s">
        <v>14</v>
      </c>
      <c r="J951" s="6" t="s">
        <v>1148</v>
      </c>
      <c r="K951" s="6">
        <v>1669</v>
      </c>
      <c r="L951" s="7" t="s">
        <v>2096</v>
      </c>
      <c r="M951" s="8">
        <v>1277657</v>
      </c>
      <c r="N951" s="8" t="str">
        <f t="shared" si="71"/>
        <v>PEN</v>
      </c>
      <c r="O951" s="13"/>
      <c r="P951" s="13">
        <v>2688</v>
      </c>
      <c r="Q951" s="3">
        <f t="shared" si="72"/>
        <v>0</v>
      </c>
      <c r="R951" s="3">
        <f t="shared" si="73"/>
        <v>2688</v>
      </c>
      <c r="S951" s="3">
        <f t="shared" si="74"/>
        <v>63376.52999999997</v>
      </c>
      <c r="T951" s="24" t="s">
        <v>1081</v>
      </c>
      <c r="U951" s="24" t="s">
        <v>1081</v>
      </c>
      <c r="V951" s="67"/>
      <c r="W951" s="25">
        <f>IFERROR(VLOOKUP(BCP_Soles[[#This Row],[DESTINATARIO]],CHOOSE({1,2},Clientes_Proveedores[Razon Social],Clientes_Proveedores[Ruc / Dni]),2,0),"")</f>
        <v>20429640939</v>
      </c>
      <c r="X951" s="25" t="s">
        <v>1150</v>
      </c>
      <c r="Y951" s="25" t="s">
        <v>2097</v>
      </c>
      <c r="Z951" s="25"/>
      <c r="AA951" s="99"/>
      <c r="AB951" s="3" t="str">
        <f>IF(BCP_Soles[[#This Row],[FECHA]]&gt;0,TEXT(BCP_Soles[[#This Row],[FECHA]],"mmmm"),0)</f>
        <v>Marzo</v>
      </c>
    </row>
    <row r="952" spans="2:28" x14ac:dyDescent="0.3">
      <c r="B952" s="2">
        <f>IF(BCP_Soles[[#This Row],[TIPO DE R.]]="R",COUNTIFS($D$4:$D951,"R")+1,"")</f>
        <v>733</v>
      </c>
      <c r="C952" s="19" t="str">
        <f t="shared" si="70"/>
        <v>B-BCP - Soles</v>
      </c>
      <c r="D952" s="3" t="s">
        <v>1074</v>
      </c>
      <c r="E952" s="14">
        <v>45737</v>
      </c>
      <c r="F952" s="5" t="s">
        <v>1996</v>
      </c>
      <c r="G952" s="5" t="s">
        <v>1079</v>
      </c>
      <c r="H952" s="6"/>
      <c r="I952" s="6"/>
      <c r="J952" s="6"/>
      <c r="K952" s="6"/>
      <c r="L952" s="7" t="s">
        <v>2098</v>
      </c>
      <c r="M952" s="8">
        <v>1011662</v>
      </c>
      <c r="N952" s="8" t="str">
        <f t="shared" si="71"/>
        <v>PEN</v>
      </c>
      <c r="O952" s="13"/>
      <c r="P952" s="13">
        <v>3750</v>
      </c>
      <c r="Q952" s="3">
        <f t="shared" si="72"/>
        <v>0</v>
      </c>
      <c r="R952" s="3">
        <f t="shared" si="73"/>
        <v>3750</v>
      </c>
      <c r="S952" s="3">
        <f t="shared" si="74"/>
        <v>59626.52999999997</v>
      </c>
      <c r="T952" s="24"/>
      <c r="U952" s="24"/>
      <c r="V952" s="67"/>
      <c r="W952" s="25" t="str">
        <f>IFERROR(VLOOKUP(BCP_Soles[[#This Row],[DESTINATARIO]],CHOOSE({1,2},Clientes_Proveedores[Razon Social],Clientes_Proveedores[Ruc / Dni]),2,0),"")</f>
        <v/>
      </c>
      <c r="X952" s="25" t="s">
        <v>1133</v>
      </c>
      <c r="Y952" s="25"/>
      <c r="Z952" s="25"/>
      <c r="AA952" s="99"/>
      <c r="AB952" s="3" t="str">
        <f>IF(BCP_Soles[[#This Row],[FECHA]]&gt;0,TEXT(BCP_Soles[[#This Row],[FECHA]],"mmmm"),0)</f>
        <v>Marzo</v>
      </c>
    </row>
    <row r="953" spans="2:28" x14ac:dyDescent="0.3">
      <c r="B953" s="2">
        <f>IF(BCP_Soles[[#This Row],[TIPO DE R.]]="R",COUNTIFS($D$4:$D952,"R")+1,"")</f>
        <v>734</v>
      </c>
      <c r="C953" s="19" t="str">
        <f t="shared" si="70"/>
        <v>B-BCP - Soles</v>
      </c>
      <c r="D953" s="3" t="s">
        <v>1074</v>
      </c>
      <c r="E953" s="14">
        <v>45740</v>
      </c>
      <c r="F953" s="5" t="s">
        <v>1996</v>
      </c>
      <c r="G953" s="5" t="s">
        <v>1079</v>
      </c>
      <c r="H953" s="6"/>
      <c r="I953" s="6"/>
      <c r="J953" s="6"/>
      <c r="K953" s="6"/>
      <c r="L953" s="7" t="s">
        <v>2099</v>
      </c>
      <c r="M953" s="8">
        <v>5940574</v>
      </c>
      <c r="N953" s="8" t="str">
        <f t="shared" si="71"/>
        <v>PEN</v>
      </c>
      <c r="O953" s="13"/>
      <c r="P953" s="13">
        <v>10852.17</v>
      </c>
      <c r="Q953" s="3">
        <f t="shared" si="72"/>
        <v>0</v>
      </c>
      <c r="R953" s="3">
        <f t="shared" si="73"/>
        <v>10852.17</v>
      </c>
      <c r="S953" s="3">
        <f t="shared" si="74"/>
        <v>48774.359999999971</v>
      </c>
      <c r="T953" s="24" t="s">
        <v>1081</v>
      </c>
      <c r="U953" s="24" t="s">
        <v>1081</v>
      </c>
      <c r="V953" s="67"/>
      <c r="W953" s="25" t="str">
        <f>IFERROR(VLOOKUP(BCP_Soles[[#This Row],[DESTINATARIO]],CHOOSE({1,2},Clientes_Proveedores[Razon Social],Clientes_Proveedores[Ruc / Dni]),2,0),"")</f>
        <v/>
      </c>
      <c r="X953" s="25" t="s">
        <v>1118</v>
      </c>
      <c r="Y953" s="25"/>
      <c r="Z953" s="25"/>
      <c r="AA953" s="99"/>
      <c r="AB953" s="3" t="str">
        <f>IF(BCP_Soles[[#This Row],[FECHA]]&gt;0,TEXT(BCP_Soles[[#This Row],[FECHA]],"mmmm"),0)</f>
        <v>Marzo</v>
      </c>
    </row>
    <row r="954" spans="2:28" ht="24" x14ac:dyDescent="0.3">
      <c r="B954" s="2">
        <f>IF(BCP_Soles[[#This Row],[TIPO DE R.]]="R",COUNTIFS($D$4:$D953,"R")+1,"")</f>
        <v>735</v>
      </c>
      <c r="C954" s="19" t="str">
        <f t="shared" si="70"/>
        <v>B-BCP - Soles</v>
      </c>
      <c r="D954" s="3" t="s">
        <v>1074</v>
      </c>
      <c r="E954" s="14">
        <v>45740</v>
      </c>
      <c r="F954" s="5" t="s">
        <v>2100</v>
      </c>
      <c r="G954" s="5" t="s">
        <v>1087</v>
      </c>
      <c r="H954" s="6"/>
      <c r="I954" s="6"/>
      <c r="J954" s="6"/>
      <c r="K954" s="6"/>
      <c r="L954" s="7" t="s">
        <v>1100</v>
      </c>
      <c r="M954" s="8">
        <v>3401470</v>
      </c>
      <c r="N954" s="8" t="str">
        <f t="shared" si="71"/>
        <v>PEN</v>
      </c>
      <c r="O954" s="13"/>
      <c r="P954" s="13">
        <v>780</v>
      </c>
      <c r="Q954" s="3">
        <f t="shared" si="72"/>
        <v>780</v>
      </c>
      <c r="R954" s="3">
        <f t="shared" si="73"/>
        <v>0</v>
      </c>
      <c r="S954" s="3">
        <f t="shared" si="74"/>
        <v>49554.359999999971</v>
      </c>
      <c r="T954" s="24" t="s">
        <v>1081</v>
      </c>
      <c r="U954" s="24" t="s">
        <v>1081</v>
      </c>
      <c r="V954" s="67"/>
      <c r="W954" s="25" t="str">
        <f>IFERROR(VLOOKUP(BCP_Soles[[#This Row],[DESTINATARIO]],CHOOSE({1,2},Clientes_Proveedores[Razon Social],Clientes_Proveedores[Ruc / Dni]),2,0),"")</f>
        <v/>
      </c>
      <c r="X954" s="25" t="s">
        <v>1090</v>
      </c>
      <c r="Y954" s="25" t="s">
        <v>2101</v>
      </c>
      <c r="Z954" s="25"/>
      <c r="AA954" s="99"/>
      <c r="AB954" s="3" t="str">
        <f>IF(BCP_Soles[[#This Row],[FECHA]]&gt;0,TEXT(BCP_Soles[[#This Row],[FECHA]],"mmmm"),0)</f>
        <v>Marzo</v>
      </c>
    </row>
    <row r="955" spans="2:28" x14ac:dyDescent="0.3">
      <c r="B955" s="2">
        <f>IF(BCP_Soles[[#This Row],[TIPO DE R.]]="R",COUNTIFS($D$4:$D954,"R")+1,"")</f>
        <v>736</v>
      </c>
      <c r="C955" s="19" t="str">
        <f t="shared" si="70"/>
        <v>B-BCP - Soles</v>
      </c>
      <c r="D955" s="3" t="s">
        <v>1074</v>
      </c>
      <c r="E955" s="14">
        <v>45740</v>
      </c>
      <c r="F955" s="5" t="s">
        <v>1078</v>
      </c>
      <c r="G955" s="5" t="s">
        <v>1079</v>
      </c>
      <c r="H955" s="6"/>
      <c r="I955" s="6"/>
      <c r="J955" s="6"/>
      <c r="K955" s="6"/>
      <c r="L955" s="7" t="s">
        <v>1080</v>
      </c>
      <c r="M955" s="8"/>
      <c r="N955" s="8" t="str">
        <f t="shared" si="71"/>
        <v>PEN</v>
      </c>
      <c r="O955" s="13"/>
      <c r="P955" s="13">
        <v>0.65</v>
      </c>
      <c r="Q955" s="3">
        <f t="shared" si="72"/>
        <v>0</v>
      </c>
      <c r="R955" s="3">
        <f t="shared" si="73"/>
        <v>0.65</v>
      </c>
      <c r="S955" s="3">
        <f t="shared" si="74"/>
        <v>49553.70999999997</v>
      </c>
      <c r="T955" s="24"/>
      <c r="U955" s="24" t="s">
        <v>1081</v>
      </c>
      <c r="V955" s="67"/>
      <c r="W955" s="25" t="str">
        <f>IFERROR(VLOOKUP(BCP_Soles[[#This Row],[DESTINATARIO]],CHOOSE({1,2},Clientes_Proveedores[Razon Social],Clientes_Proveedores[Ruc / Dni]),2,0),"")</f>
        <v/>
      </c>
      <c r="X955" s="25"/>
      <c r="Y955" s="25"/>
      <c r="Z955" s="25"/>
      <c r="AA955" s="99"/>
      <c r="AB955" s="3" t="str">
        <f>IF(BCP_Soles[[#This Row],[FECHA]]&gt;0,TEXT(BCP_Soles[[#This Row],[FECHA]],"mmmm"),0)</f>
        <v>Marzo</v>
      </c>
    </row>
    <row r="956" spans="2:28" x14ac:dyDescent="0.3">
      <c r="B956" s="2">
        <f>IF(BCP_Soles[[#This Row],[TIPO DE R.]]="R",COUNTIFS($D$4:$D955,"R")+1,"")</f>
        <v>737</v>
      </c>
      <c r="C956" s="19" t="str">
        <f t="shared" si="70"/>
        <v>B-BCP - Soles</v>
      </c>
      <c r="D956" s="3" t="s">
        <v>1074</v>
      </c>
      <c r="E956" s="14">
        <v>45740</v>
      </c>
      <c r="F956" s="5" t="s">
        <v>1082</v>
      </c>
      <c r="G956" s="5" t="s">
        <v>1079</v>
      </c>
      <c r="H956" s="6" t="s">
        <v>139</v>
      </c>
      <c r="I956" s="6" t="s">
        <v>14</v>
      </c>
      <c r="J956" s="6" t="s">
        <v>1953</v>
      </c>
      <c r="K956" s="6">
        <v>6114</v>
      </c>
      <c r="L956" s="7" t="s">
        <v>1954</v>
      </c>
      <c r="M956" s="8">
        <v>201129</v>
      </c>
      <c r="N956" s="8" t="str">
        <f t="shared" si="71"/>
        <v>PEN</v>
      </c>
      <c r="O956" s="13"/>
      <c r="P956" s="13">
        <v>15.05</v>
      </c>
      <c r="Q956" s="3">
        <f t="shared" si="72"/>
        <v>0</v>
      </c>
      <c r="R956" s="3">
        <f t="shared" si="73"/>
        <v>15.05</v>
      </c>
      <c r="S956" s="3">
        <f t="shared" si="74"/>
        <v>49538.659999999967</v>
      </c>
      <c r="T956" s="24" t="s">
        <v>1081</v>
      </c>
      <c r="U956" s="24" t="s">
        <v>1081</v>
      </c>
      <c r="V956" s="67"/>
      <c r="W956" s="25">
        <f>IFERROR(VLOOKUP(BCP_Soles[[#This Row],[DESTINATARIO]],CHOOSE({1,2},Clientes_Proveedores[Razon Social],Clientes_Proveedores[Ruc / Dni]),2,0),"")</f>
        <v>20100055237</v>
      </c>
      <c r="X956" s="25" t="s">
        <v>1955</v>
      </c>
      <c r="Y956" s="25" t="s">
        <v>2102</v>
      </c>
      <c r="Z956" s="25"/>
      <c r="AA956" s="99"/>
      <c r="AB956" s="3" t="str">
        <f>IF(BCP_Soles[[#This Row],[FECHA]]&gt;0,TEXT(BCP_Soles[[#This Row],[FECHA]],"mmmm"),0)</f>
        <v>Marzo</v>
      </c>
    </row>
    <row r="957" spans="2:28" x14ac:dyDescent="0.3">
      <c r="B957" s="2">
        <f>IF(BCP_Soles[[#This Row],[TIPO DE R.]]="R",COUNTIFS($D$4:$D956,"R")+1,"")</f>
        <v>738</v>
      </c>
      <c r="C957" s="19" t="str">
        <f t="shared" si="70"/>
        <v>B-BCP - Soles</v>
      </c>
      <c r="D957" s="3" t="s">
        <v>1074</v>
      </c>
      <c r="E957" s="14">
        <v>45740</v>
      </c>
      <c r="F957" s="5" t="s">
        <v>1082</v>
      </c>
      <c r="G957" s="5" t="s">
        <v>1079</v>
      </c>
      <c r="H957" s="6" t="s">
        <v>139</v>
      </c>
      <c r="I957" s="6" t="s">
        <v>14</v>
      </c>
      <c r="J957" s="6" t="s">
        <v>1953</v>
      </c>
      <c r="K957" s="6">
        <v>6121</v>
      </c>
      <c r="L957" s="7" t="s">
        <v>1954</v>
      </c>
      <c r="M957" s="8">
        <v>200131</v>
      </c>
      <c r="N957" s="8" t="str">
        <f t="shared" si="71"/>
        <v>PEN</v>
      </c>
      <c r="O957" s="13"/>
      <c r="P957" s="13">
        <v>17.89</v>
      </c>
      <c r="Q957" s="3">
        <f t="shared" si="72"/>
        <v>0</v>
      </c>
      <c r="R957" s="3">
        <f t="shared" si="73"/>
        <v>17.89</v>
      </c>
      <c r="S957" s="3">
        <f t="shared" si="74"/>
        <v>49520.769999999968</v>
      </c>
      <c r="T957" s="24" t="s">
        <v>1081</v>
      </c>
      <c r="U957" s="24" t="s">
        <v>1081</v>
      </c>
      <c r="V957" s="67"/>
      <c r="W957" s="25">
        <f>IFERROR(VLOOKUP(BCP_Soles[[#This Row],[DESTINATARIO]],CHOOSE({1,2},Clientes_Proveedores[Razon Social],Clientes_Proveedores[Ruc / Dni]),2,0),"")</f>
        <v>20100055237</v>
      </c>
      <c r="X957" s="25" t="s">
        <v>1955</v>
      </c>
      <c r="Y957" s="25" t="s">
        <v>2103</v>
      </c>
      <c r="Z957" s="25"/>
      <c r="AA957" s="99"/>
      <c r="AB957" s="3" t="str">
        <f>IF(BCP_Soles[[#This Row],[FECHA]]&gt;0,TEXT(BCP_Soles[[#This Row],[FECHA]],"mmmm"),0)</f>
        <v>Marzo</v>
      </c>
    </row>
    <row r="958" spans="2:28" x14ac:dyDescent="0.3">
      <c r="B958" s="2">
        <f>IF(BCP_Soles[[#This Row],[TIPO DE R.]]="R",COUNTIFS($D$4:$D957,"R")+1,"")</f>
        <v>739</v>
      </c>
      <c r="C958" s="19" t="str">
        <f t="shared" si="70"/>
        <v>B-BCP - Soles</v>
      </c>
      <c r="D958" s="3" t="s">
        <v>1074</v>
      </c>
      <c r="E958" s="14">
        <v>45740</v>
      </c>
      <c r="F958" s="5" t="s">
        <v>1082</v>
      </c>
      <c r="G958" s="5" t="s">
        <v>1079</v>
      </c>
      <c r="H958" s="6" t="s">
        <v>139</v>
      </c>
      <c r="I958" s="6" t="s">
        <v>14</v>
      </c>
      <c r="J958" s="6" t="s">
        <v>1953</v>
      </c>
      <c r="K958" s="6">
        <v>6112</v>
      </c>
      <c r="L958" s="7" t="s">
        <v>1954</v>
      </c>
      <c r="M958" s="8">
        <v>202106</v>
      </c>
      <c r="N958" s="8" t="str">
        <f t="shared" si="71"/>
        <v>PEN</v>
      </c>
      <c r="O958" s="13"/>
      <c r="P958" s="13">
        <v>211.51</v>
      </c>
      <c r="Q958" s="3">
        <f t="shared" si="72"/>
        <v>0</v>
      </c>
      <c r="R958" s="3">
        <f t="shared" si="73"/>
        <v>211.51</v>
      </c>
      <c r="S958" s="3">
        <f t="shared" si="74"/>
        <v>49309.259999999966</v>
      </c>
      <c r="T958" s="24" t="s">
        <v>1081</v>
      </c>
      <c r="U958" s="24" t="s">
        <v>1081</v>
      </c>
      <c r="V958" s="67"/>
      <c r="W958" s="25">
        <f>IFERROR(VLOOKUP(BCP_Soles[[#This Row],[DESTINATARIO]],CHOOSE({1,2},Clientes_Proveedores[Razon Social],Clientes_Proveedores[Ruc / Dni]),2,0),"")</f>
        <v>20100055237</v>
      </c>
      <c r="X958" s="25" t="s">
        <v>1955</v>
      </c>
      <c r="Y958" s="25" t="s">
        <v>2104</v>
      </c>
      <c r="Z958" s="25"/>
      <c r="AA958" s="99"/>
      <c r="AB958" s="3" t="str">
        <f>IF(BCP_Soles[[#This Row],[FECHA]]&gt;0,TEXT(BCP_Soles[[#This Row],[FECHA]],"mmmm"),0)</f>
        <v>Marzo</v>
      </c>
    </row>
    <row r="959" spans="2:28" x14ac:dyDescent="0.3">
      <c r="B959" s="2">
        <f>IF(BCP_Soles[[#This Row],[TIPO DE R.]]="R",COUNTIFS($D$4:$D958,"R")+1,"")</f>
        <v>740</v>
      </c>
      <c r="C959" s="19" t="str">
        <f t="shared" si="70"/>
        <v>B-BCP - Soles</v>
      </c>
      <c r="D959" s="3" t="s">
        <v>1074</v>
      </c>
      <c r="E959" s="14">
        <v>45740</v>
      </c>
      <c r="F959" s="5" t="s">
        <v>1082</v>
      </c>
      <c r="G959" s="5" t="s">
        <v>1079</v>
      </c>
      <c r="H959" s="6" t="s">
        <v>139</v>
      </c>
      <c r="I959" s="6" t="s">
        <v>14</v>
      </c>
      <c r="J959" s="6" t="s">
        <v>2105</v>
      </c>
      <c r="K959" s="6">
        <v>6113</v>
      </c>
      <c r="L959" s="7" t="s">
        <v>1954</v>
      </c>
      <c r="M959" s="8">
        <v>201609</v>
      </c>
      <c r="N959" s="8" t="str">
        <f t="shared" si="71"/>
        <v>PEN</v>
      </c>
      <c r="O959" s="13"/>
      <c r="P959" s="13">
        <v>243.74</v>
      </c>
      <c r="Q959" s="3">
        <f t="shared" si="72"/>
        <v>0</v>
      </c>
      <c r="R959" s="3">
        <f t="shared" si="73"/>
        <v>243.74</v>
      </c>
      <c r="S959" s="3">
        <f t="shared" si="74"/>
        <v>49065.519999999968</v>
      </c>
      <c r="T959" s="24" t="s">
        <v>1081</v>
      </c>
      <c r="U959" s="24" t="s">
        <v>1081</v>
      </c>
      <c r="V959" s="67"/>
      <c r="W959" s="25">
        <f>IFERROR(VLOOKUP(BCP_Soles[[#This Row],[DESTINATARIO]],CHOOSE({1,2},Clientes_Proveedores[Razon Social],Clientes_Proveedores[Ruc / Dni]),2,0),"")</f>
        <v>20100055237</v>
      </c>
      <c r="X959" s="25" t="s">
        <v>1955</v>
      </c>
      <c r="Y959" s="25" t="s">
        <v>2106</v>
      </c>
      <c r="Z959" s="25"/>
      <c r="AA959" s="99"/>
      <c r="AB959" s="3" t="str">
        <f>IF(BCP_Soles[[#This Row],[FECHA]]&gt;0,TEXT(BCP_Soles[[#This Row],[FECHA]],"mmmm"),0)</f>
        <v>Marzo</v>
      </c>
    </row>
    <row r="960" spans="2:28" x14ac:dyDescent="0.3">
      <c r="B960" s="2">
        <f>IF(BCP_Soles[[#This Row],[TIPO DE R.]]="R",COUNTIFS($D$4:$D959,"R")+1,"")</f>
        <v>741</v>
      </c>
      <c r="C960" s="19" t="str">
        <f t="shared" si="70"/>
        <v>B-BCP - Soles</v>
      </c>
      <c r="D960" s="3" t="s">
        <v>1074</v>
      </c>
      <c r="E960" s="14">
        <v>45740</v>
      </c>
      <c r="F960" s="5" t="s">
        <v>1082</v>
      </c>
      <c r="G960" s="5" t="s">
        <v>1079</v>
      </c>
      <c r="H960" s="6" t="s">
        <v>139</v>
      </c>
      <c r="I960" s="6" t="s">
        <v>14</v>
      </c>
      <c r="J960" s="6" t="s">
        <v>1953</v>
      </c>
      <c r="K960" s="6">
        <v>6119</v>
      </c>
      <c r="L960" s="7" t="s">
        <v>1954</v>
      </c>
      <c r="M960" s="8">
        <v>201127</v>
      </c>
      <c r="N960" s="8" t="str">
        <f t="shared" si="71"/>
        <v>PEN</v>
      </c>
      <c r="O960" s="13"/>
      <c r="P960" s="13">
        <v>395.16</v>
      </c>
      <c r="Q960" s="3">
        <f t="shared" si="72"/>
        <v>0</v>
      </c>
      <c r="R960" s="3">
        <f t="shared" si="73"/>
        <v>395.16</v>
      </c>
      <c r="S960" s="3">
        <f t="shared" si="74"/>
        <v>48670.359999999964</v>
      </c>
      <c r="T960" s="24" t="s">
        <v>1081</v>
      </c>
      <c r="U960" s="24" t="s">
        <v>1081</v>
      </c>
      <c r="V960" s="67"/>
      <c r="W960" s="25">
        <f>IFERROR(VLOOKUP(BCP_Soles[[#This Row],[DESTINATARIO]],CHOOSE({1,2},Clientes_Proveedores[Razon Social],Clientes_Proveedores[Ruc / Dni]),2,0),"")</f>
        <v>20100055237</v>
      </c>
      <c r="X960" s="25" t="s">
        <v>1955</v>
      </c>
      <c r="Y960" s="25" t="s">
        <v>2107</v>
      </c>
      <c r="Z960" s="25"/>
      <c r="AA960" s="99"/>
      <c r="AB960" s="3" t="str">
        <f>IF(BCP_Soles[[#This Row],[FECHA]]&gt;0,TEXT(BCP_Soles[[#This Row],[FECHA]],"mmmm"),0)</f>
        <v>Marzo</v>
      </c>
    </row>
    <row r="961" spans="2:28" x14ac:dyDescent="0.3">
      <c r="B961" s="2">
        <f>IF(BCP_Soles[[#This Row],[TIPO DE R.]]="R",COUNTIFS($D$4:$D960,"R")+1,"")</f>
        <v>742</v>
      </c>
      <c r="C961" s="19" t="str">
        <f t="shared" si="70"/>
        <v>B-BCP - Soles</v>
      </c>
      <c r="D961" s="3" t="s">
        <v>1074</v>
      </c>
      <c r="E961" s="14">
        <v>45740</v>
      </c>
      <c r="F961" s="5" t="s">
        <v>1082</v>
      </c>
      <c r="G961" s="5" t="s">
        <v>1079</v>
      </c>
      <c r="H961" s="6" t="s">
        <v>139</v>
      </c>
      <c r="I961" s="6" t="s">
        <v>14</v>
      </c>
      <c r="J961" s="6" t="s">
        <v>1953</v>
      </c>
      <c r="K961" s="6">
        <v>6115</v>
      </c>
      <c r="L961" s="7" t="s">
        <v>1954</v>
      </c>
      <c r="M961" s="8">
        <v>203085</v>
      </c>
      <c r="N961" s="8" t="str">
        <f t="shared" si="71"/>
        <v>PEN</v>
      </c>
      <c r="O961" s="13"/>
      <c r="P961" s="13">
        <v>505.72</v>
      </c>
      <c r="Q961" s="3">
        <f t="shared" si="72"/>
        <v>0</v>
      </c>
      <c r="R961" s="3">
        <f t="shared" si="73"/>
        <v>505.72</v>
      </c>
      <c r="S961" s="3">
        <f t="shared" si="74"/>
        <v>48164.639999999963</v>
      </c>
      <c r="T961" s="24" t="s">
        <v>1081</v>
      </c>
      <c r="U961" s="24" t="s">
        <v>1081</v>
      </c>
      <c r="V961" s="67"/>
      <c r="W961" s="25">
        <f>IFERROR(VLOOKUP(BCP_Soles[[#This Row],[DESTINATARIO]],CHOOSE({1,2},Clientes_Proveedores[Razon Social],Clientes_Proveedores[Ruc / Dni]),2,0),"")</f>
        <v>20100055237</v>
      </c>
      <c r="X961" s="25" t="s">
        <v>1955</v>
      </c>
      <c r="Y961" s="25" t="s">
        <v>2108</v>
      </c>
      <c r="Z961" s="25"/>
      <c r="AA961" s="99"/>
      <c r="AB961" s="3" t="str">
        <f>IF(BCP_Soles[[#This Row],[FECHA]]&gt;0,TEXT(BCP_Soles[[#This Row],[FECHA]],"mmmm"),0)</f>
        <v>Marzo</v>
      </c>
    </row>
    <row r="962" spans="2:28" ht="24" x14ac:dyDescent="0.3">
      <c r="B962" s="2">
        <f>IF(BCP_Soles[[#This Row],[TIPO DE R.]]="R",COUNTIFS($D$4:$D961,"R")+1,"")</f>
        <v>743</v>
      </c>
      <c r="C962" s="19" t="str">
        <f t="shared" si="70"/>
        <v>B-BCP - Soles</v>
      </c>
      <c r="D962" s="3" t="s">
        <v>1074</v>
      </c>
      <c r="E962" s="14">
        <v>45740</v>
      </c>
      <c r="F962" s="5" t="s">
        <v>1082</v>
      </c>
      <c r="G962" s="5" t="s">
        <v>1079</v>
      </c>
      <c r="H962" s="6" t="s">
        <v>184</v>
      </c>
      <c r="I962" s="6" t="s">
        <v>14</v>
      </c>
      <c r="J962" s="6" t="s">
        <v>1083</v>
      </c>
      <c r="K962" s="6">
        <v>7320</v>
      </c>
      <c r="L962" s="7" t="s">
        <v>2109</v>
      </c>
      <c r="M962" s="8">
        <v>1134156</v>
      </c>
      <c r="N962" s="8" t="str">
        <f t="shared" si="71"/>
        <v>PEN</v>
      </c>
      <c r="O962" s="13"/>
      <c r="P962" s="13">
        <v>513.20000000000005</v>
      </c>
      <c r="Q962" s="3">
        <f t="shared" si="72"/>
        <v>0</v>
      </c>
      <c r="R962" s="3">
        <f t="shared" si="73"/>
        <v>513.20000000000005</v>
      </c>
      <c r="S962" s="3">
        <f t="shared" si="74"/>
        <v>47651.439999999966</v>
      </c>
      <c r="T962" s="24" t="s">
        <v>1081</v>
      </c>
      <c r="U962" s="24" t="s">
        <v>1081</v>
      </c>
      <c r="V962" s="67"/>
      <c r="W962" s="25">
        <f>IFERROR(VLOOKUP(BCP_Soles[[#This Row],[DESTINATARIO]],CHOOSE({1,2},Clientes_Proveedores[Razon Social],Clientes_Proveedores[Ruc / Dni]),2,0),"")</f>
        <v>20170040938</v>
      </c>
      <c r="X962" s="25" t="s">
        <v>1085</v>
      </c>
      <c r="Y962" s="25" t="s">
        <v>2110</v>
      </c>
      <c r="Z962" s="25"/>
      <c r="AA962" s="99"/>
      <c r="AB962" s="3" t="str">
        <f>IF(BCP_Soles[[#This Row],[FECHA]]&gt;0,TEXT(BCP_Soles[[#This Row],[FECHA]],"mmmm"),0)</f>
        <v>Marzo</v>
      </c>
    </row>
    <row r="963" spans="2:28" x14ac:dyDescent="0.3">
      <c r="B963" s="2">
        <f>IF(BCP_Soles[[#This Row],[TIPO DE R.]]="R",COUNTIFS($D$4:$D962,"R")+1,"")</f>
        <v>744</v>
      </c>
      <c r="C963" s="19" t="str">
        <f t="shared" si="70"/>
        <v>B-BCP - Soles</v>
      </c>
      <c r="D963" s="3" t="s">
        <v>1074</v>
      </c>
      <c r="E963" s="14">
        <v>45740</v>
      </c>
      <c r="F963" s="5" t="s">
        <v>1082</v>
      </c>
      <c r="G963" s="5" t="s">
        <v>1079</v>
      </c>
      <c r="H963" s="6" t="s">
        <v>139</v>
      </c>
      <c r="I963" s="6" t="s">
        <v>14</v>
      </c>
      <c r="J963" s="6" t="s">
        <v>1953</v>
      </c>
      <c r="K963" s="6">
        <v>6122</v>
      </c>
      <c r="L963" s="7" t="s">
        <v>1954</v>
      </c>
      <c r="M963" s="8">
        <v>202104</v>
      </c>
      <c r="N963" s="8" t="str">
        <f t="shared" si="71"/>
        <v>PEN</v>
      </c>
      <c r="O963" s="13"/>
      <c r="P963" s="13">
        <v>589.25</v>
      </c>
      <c r="Q963" s="3">
        <f t="shared" si="72"/>
        <v>0</v>
      </c>
      <c r="R963" s="3">
        <f t="shared" si="73"/>
        <v>589.25</v>
      </c>
      <c r="S963" s="3">
        <f t="shared" si="74"/>
        <v>47062.189999999966</v>
      </c>
      <c r="T963" s="24" t="s">
        <v>1081</v>
      </c>
      <c r="U963" s="24" t="s">
        <v>1081</v>
      </c>
      <c r="V963" s="67"/>
      <c r="W963" s="25">
        <f>IFERROR(VLOOKUP(BCP_Soles[[#This Row],[DESTINATARIO]],CHOOSE({1,2},Clientes_Proveedores[Razon Social],Clientes_Proveedores[Ruc / Dni]),2,0),"")</f>
        <v>20100055237</v>
      </c>
      <c r="X963" s="25" t="s">
        <v>1955</v>
      </c>
      <c r="Y963" s="25" t="s">
        <v>2111</v>
      </c>
      <c r="Z963" s="25"/>
      <c r="AA963" s="99"/>
      <c r="AB963" s="3" t="str">
        <f>IF(BCP_Soles[[#This Row],[FECHA]]&gt;0,TEXT(BCP_Soles[[#This Row],[FECHA]],"mmmm"),0)</f>
        <v>Marzo</v>
      </c>
    </row>
    <row r="964" spans="2:28" x14ac:dyDescent="0.3">
      <c r="B964" s="2">
        <f>IF(BCP_Soles[[#This Row],[TIPO DE R.]]="R",COUNTIFS($D$4:$D963,"R")+1,"")</f>
        <v>745</v>
      </c>
      <c r="C964" s="19" t="str">
        <f t="shared" si="70"/>
        <v>B-BCP - Soles</v>
      </c>
      <c r="D964" s="3" t="s">
        <v>1074</v>
      </c>
      <c r="E964" s="14">
        <v>45740</v>
      </c>
      <c r="F964" s="5" t="s">
        <v>1082</v>
      </c>
      <c r="G964" s="5" t="s">
        <v>1079</v>
      </c>
      <c r="H964" s="6" t="s">
        <v>139</v>
      </c>
      <c r="I964" s="6" t="s">
        <v>14</v>
      </c>
      <c r="J964" s="6" t="s">
        <v>1953</v>
      </c>
      <c r="K964" s="6">
        <v>6120</v>
      </c>
      <c r="L964" s="7" t="s">
        <v>1954</v>
      </c>
      <c r="M964" s="8">
        <v>201128</v>
      </c>
      <c r="N964" s="8" t="str">
        <f t="shared" si="71"/>
        <v>PEN</v>
      </c>
      <c r="O964" s="13"/>
      <c r="P964" s="13">
        <v>622.78</v>
      </c>
      <c r="Q964" s="3">
        <f t="shared" si="72"/>
        <v>0</v>
      </c>
      <c r="R964" s="3">
        <f t="shared" si="73"/>
        <v>622.78</v>
      </c>
      <c r="S964" s="3">
        <f t="shared" si="74"/>
        <v>46439.409999999967</v>
      </c>
      <c r="T964" s="24" t="s">
        <v>1081</v>
      </c>
      <c r="U964" s="24" t="s">
        <v>1081</v>
      </c>
      <c r="V964" s="67"/>
      <c r="W964" s="25">
        <f>IFERROR(VLOOKUP(BCP_Soles[[#This Row],[DESTINATARIO]],CHOOSE({1,2},Clientes_Proveedores[Razon Social],Clientes_Proveedores[Ruc / Dni]),2,0),"")</f>
        <v>20100055237</v>
      </c>
      <c r="X964" s="25" t="s">
        <v>1955</v>
      </c>
      <c r="Y964" s="25" t="s">
        <v>2112</v>
      </c>
      <c r="Z964" s="25"/>
      <c r="AA964" s="99"/>
      <c r="AB964" s="3" t="str">
        <f>IF(BCP_Soles[[#This Row],[FECHA]]&gt;0,TEXT(BCP_Soles[[#This Row],[FECHA]],"mmmm"),0)</f>
        <v>Marzo</v>
      </c>
    </row>
    <row r="965" spans="2:28" x14ac:dyDescent="0.3">
      <c r="B965" s="2">
        <f>IF(BCP_Soles[[#This Row],[TIPO DE R.]]="R",COUNTIFS($D$4:$D964,"R")+1,"")</f>
        <v>746</v>
      </c>
      <c r="C965" s="19" t="str">
        <f t="shared" ref="C965:C1028" si="75">"B-BCP - Soles"</f>
        <v>B-BCP - Soles</v>
      </c>
      <c r="D965" s="3" t="s">
        <v>1074</v>
      </c>
      <c r="E965" s="14">
        <v>45740</v>
      </c>
      <c r="F965" s="5" t="s">
        <v>1082</v>
      </c>
      <c r="G965" s="5" t="s">
        <v>1079</v>
      </c>
      <c r="H965" s="6" t="s">
        <v>139</v>
      </c>
      <c r="I965" s="6" t="s">
        <v>14</v>
      </c>
      <c r="J965" s="6" t="s">
        <v>1953</v>
      </c>
      <c r="K965" s="6">
        <v>6123</v>
      </c>
      <c r="L965" s="7" t="s">
        <v>1954</v>
      </c>
      <c r="M965" s="8">
        <v>202598</v>
      </c>
      <c r="N965" s="8" t="str">
        <f t="shared" ref="N965:N1028" si="76">"PEN"</f>
        <v>PEN</v>
      </c>
      <c r="O965" s="13"/>
      <c r="P965" s="13">
        <v>776.32</v>
      </c>
      <c r="Q965" s="3">
        <f t="shared" ref="Q965:Q1028" si="77">+IF(OR($G965="SALDO",$G965="INGRESO"),$P965,0)</f>
        <v>0</v>
      </c>
      <c r="R965" s="3">
        <f t="shared" ref="R965:R1028" si="78">+IF($G965="EGRESO",$P965,0)</f>
        <v>776.32</v>
      </c>
      <c r="S965" s="3">
        <f t="shared" ref="S965:S1028" si="79">IFERROR(IF(G965="SALDO",Q965,S964+Q965-R965),0)</f>
        <v>45663.089999999967</v>
      </c>
      <c r="T965" s="24" t="s">
        <v>1081</v>
      </c>
      <c r="U965" s="24" t="s">
        <v>1081</v>
      </c>
      <c r="V965" s="67"/>
      <c r="W965" s="25">
        <f>IFERROR(VLOOKUP(BCP_Soles[[#This Row],[DESTINATARIO]],CHOOSE({1,2},Clientes_Proveedores[Razon Social],Clientes_Proveedores[Ruc / Dni]),2,0),"")</f>
        <v>20100055237</v>
      </c>
      <c r="X965" s="25" t="s">
        <v>1955</v>
      </c>
      <c r="Y965" s="25" t="s">
        <v>2113</v>
      </c>
      <c r="Z965" s="25"/>
      <c r="AA965" s="99"/>
      <c r="AB965" s="3" t="str">
        <f>IF(BCP_Soles[[#This Row],[FECHA]]&gt;0,TEXT(BCP_Soles[[#This Row],[FECHA]],"mmmm"),0)</f>
        <v>Marzo</v>
      </c>
    </row>
    <row r="966" spans="2:28" x14ac:dyDescent="0.3">
      <c r="B966" s="2">
        <f>IF(BCP_Soles[[#This Row],[TIPO DE R.]]="R",COUNTIFS($D$4:$D965,"R")+1,"")</f>
        <v>747</v>
      </c>
      <c r="C966" s="19" t="str">
        <f t="shared" si="75"/>
        <v>B-BCP - Soles</v>
      </c>
      <c r="D966" s="3" t="s">
        <v>1074</v>
      </c>
      <c r="E966" s="14">
        <v>45740</v>
      </c>
      <c r="F966" s="5" t="s">
        <v>1082</v>
      </c>
      <c r="G966" s="5" t="s">
        <v>1079</v>
      </c>
      <c r="H966" s="6" t="s">
        <v>139</v>
      </c>
      <c r="I966" s="6" t="s">
        <v>14</v>
      </c>
      <c r="J966" s="6" t="s">
        <v>1953</v>
      </c>
      <c r="K966" s="6">
        <v>6116</v>
      </c>
      <c r="L966" s="7" t="s">
        <v>1954</v>
      </c>
      <c r="M966" s="8">
        <v>203551</v>
      </c>
      <c r="N966" s="8" t="str">
        <f t="shared" si="76"/>
        <v>PEN</v>
      </c>
      <c r="O966" s="13"/>
      <c r="P966" s="13">
        <v>776.32</v>
      </c>
      <c r="Q966" s="3">
        <f t="shared" si="77"/>
        <v>0</v>
      </c>
      <c r="R966" s="3">
        <f t="shared" si="78"/>
        <v>776.32</v>
      </c>
      <c r="S966" s="3">
        <f t="shared" si="79"/>
        <v>44886.769999999968</v>
      </c>
      <c r="T966" s="24" t="s">
        <v>1081</v>
      </c>
      <c r="U966" s="24" t="s">
        <v>1081</v>
      </c>
      <c r="V966" s="67"/>
      <c r="W966" s="25">
        <f>IFERROR(VLOOKUP(BCP_Soles[[#This Row],[DESTINATARIO]],CHOOSE({1,2},Clientes_Proveedores[Razon Social],Clientes_Proveedores[Ruc / Dni]),2,0),"")</f>
        <v>20100055237</v>
      </c>
      <c r="X966" s="25" t="s">
        <v>1955</v>
      </c>
      <c r="Y966" s="25" t="s">
        <v>2114</v>
      </c>
      <c r="Z966" s="25"/>
      <c r="AA966" s="99"/>
      <c r="AB966" s="3" t="str">
        <f>IF(BCP_Soles[[#This Row],[FECHA]]&gt;0,TEXT(BCP_Soles[[#This Row],[FECHA]],"mmmm"),0)</f>
        <v>Marzo</v>
      </c>
    </row>
    <row r="967" spans="2:28" x14ac:dyDescent="0.3">
      <c r="B967" s="2">
        <f>IF(BCP_Soles[[#This Row],[TIPO DE R.]]="R",COUNTIFS($D$4:$D966,"R")+1,"")</f>
        <v>748</v>
      </c>
      <c r="C967" s="19" t="str">
        <f t="shared" si="75"/>
        <v>B-BCP - Soles</v>
      </c>
      <c r="D967" s="3" t="s">
        <v>1074</v>
      </c>
      <c r="E967" s="14">
        <v>45740</v>
      </c>
      <c r="F967" s="5" t="s">
        <v>1082</v>
      </c>
      <c r="G967" s="5" t="s">
        <v>1079</v>
      </c>
      <c r="H967" s="6" t="s">
        <v>139</v>
      </c>
      <c r="I967" s="6" t="s">
        <v>14</v>
      </c>
      <c r="J967" s="6" t="s">
        <v>1953</v>
      </c>
      <c r="K967" s="6">
        <v>6118</v>
      </c>
      <c r="L967" s="7" t="s">
        <v>1954</v>
      </c>
      <c r="M967" s="8">
        <v>202105</v>
      </c>
      <c r="N967" s="8" t="str">
        <f t="shared" si="76"/>
        <v>PEN</v>
      </c>
      <c r="O967" s="13"/>
      <c r="P967" s="13">
        <v>1059.08</v>
      </c>
      <c r="Q967" s="3">
        <f t="shared" si="77"/>
        <v>0</v>
      </c>
      <c r="R967" s="3">
        <f t="shared" si="78"/>
        <v>1059.08</v>
      </c>
      <c r="S967" s="3">
        <f t="shared" si="79"/>
        <v>43827.689999999966</v>
      </c>
      <c r="T967" s="24" t="s">
        <v>1081</v>
      </c>
      <c r="U967" s="24" t="s">
        <v>1081</v>
      </c>
      <c r="V967" s="67"/>
      <c r="W967" s="25">
        <f>IFERROR(VLOOKUP(BCP_Soles[[#This Row],[DESTINATARIO]],CHOOSE({1,2},Clientes_Proveedores[Razon Social],Clientes_Proveedores[Ruc / Dni]),2,0),"")</f>
        <v>20100055237</v>
      </c>
      <c r="X967" s="25" t="s">
        <v>1955</v>
      </c>
      <c r="Y967" s="25" t="s">
        <v>2115</v>
      </c>
      <c r="Z967" s="25"/>
      <c r="AA967" s="99"/>
      <c r="AB967" s="3" t="str">
        <f>IF(BCP_Soles[[#This Row],[FECHA]]&gt;0,TEXT(BCP_Soles[[#This Row],[FECHA]],"mmmm"),0)</f>
        <v>Marzo</v>
      </c>
    </row>
    <row r="968" spans="2:28" x14ac:dyDescent="0.3">
      <c r="B968" s="2">
        <f>IF(BCP_Soles[[#This Row],[TIPO DE R.]]="R",COUNTIFS($D$4:$D967,"R")+1,"")</f>
        <v>749</v>
      </c>
      <c r="C968" s="19" t="str">
        <f t="shared" si="75"/>
        <v>B-BCP - Soles</v>
      </c>
      <c r="D968" s="3" t="s">
        <v>1074</v>
      </c>
      <c r="E968" s="14">
        <v>45740</v>
      </c>
      <c r="F968" s="5" t="s">
        <v>1082</v>
      </c>
      <c r="G968" s="5" t="s">
        <v>1079</v>
      </c>
      <c r="H968" s="6" t="s">
        <v>139</v>
      </c>
      <c r="I968" s="6" t="s">
        <v>14</v>
      </c>
      <c r="J968" s="6" t="s">
        <v>1953</v>
      </c>
      <c r="K968" s="6">
        <v>6111</v>
      </c>
      <c r="L968" s="7" t="s">
        <v>1954</v>
      </c>
      <c r="M968" s="8">
        <v>201130</v>
      </c>
      <c r="N968" s="8" t="str">
        <f t="shared" si="76"/>
        <v>PEN</v>
      </c>
      <c r="O968" s="13"/>
      <c r="P968" s="13">
        <v>1111.44</v>
      </c>
      <c r="Q968" s="3">
        <f t="shared" si="77"/>
        <v>0</v>
      </c>
      <c r="R968" s="3">
        <f t="shared" si="78"/>
        <v>1111.44</v>
      </c>
      <c r="S968" s="3">
        <f t="shared" si="79"/>
        <v>42716.249999999964</v>
      </c>
      <c r="T968" s="24" t="s">
        <v>1081</v>
      </c>
      <c r="U968" s="24" t="s">
        <v>1081</v>
      </c>
      <c r="V968" s="67"/>
      <c r="W968" s="25">
        <f>IFERROR(VLOOKUP(BCP_Soles[[#This Row],[DESTINATARIO]],CHOOSE({1,2},Clientes_Proveedores[Razon Social],Clientes_Proveedores[Ruc / Dni]),2,0),"")</f>
        <v>20100055237</v>
      </c>
      <c r="X968" s="25" t="s">
        <v>1955</v>
      </c>
      <c r="Y968" s="25" t="s">
        <v>2116</v>
      </c>
      <c r="Z968" s="25"/>
      <c r="AA968" s="99"/>
      <c r="AB968" s="3" t="str">
        <f>IF(BCP_Soles[[#This Row],[FECHA]]&gt;0,TEXT(BCP_Soles[[#This Row],[FECHA]],"mmmm"),0)</f>
        <v>Marzo</v>
      </c>
    </row>
    <row r="969" spans="2:28" x14ac:dyDescent="0.3">
      <c r="B969" s="2">
        <f>IF(BCP_Soles[[#This Row],[TIPO DE R.]]="R",COUNTIFS($D$4:$D968,"R")+1,"")</f>
        <v>750</v>
      </c>
      <c r="C969" s="19" t="str">
        <f t="shared" si="75"/>
        <v>B-BCP - Soles</v>
      </c>
      <c r="D969" s="3" t="s">
        <v>1074</v>
      </c>
      <c r="E969" s="14">
        <v>45740</v>
      </c>
      <c r="F969" s="5" t="s">
        <v>1082</v>
      </c>
      <c r="G969" s="5" t="s">
        <v>1079</v>
      </c>
      <c r="H969" s="6" t="s">
        <v>139</v>
      </c>
      <c r="I969" s="6" t="s">
        <v>14</v>
      </c>
      <c r="J969" s="6" t="s">
        <v>1953</v>
      </c>
      <c r="K969" s="6">
        <v>6117</v>
      </c>
      <c r="L969" s="7" t="s">
        <v>1954</v>
      </c>
      <c r="M969" s="8">
        <v>203084</v>
      </c>
      <c r="N969" s="8" t="str">
        <f t="shared" si="76"/>
        <v>PEN</v>
      </c>
      <c r="O969" s="13"/>
      <c r="P969" s="13">
        <v>1640.48</v>
      </c>
      <c r="Q969" s="3">
        <f t="shared" si="77"/>
        <v>0</v>
      </c>
      <c r="R969" s="3">
        <f t="shared" si="78"/>
        <v>1640.48</v>
      </c>
      <c r="S969" s="3">
        <f t="shared" si="79"/>
        <v>41075.76999999996</v>
      </c>
      <c r="T969" s="24" t="s">
        <v>1081</v>
      </c>
      <c r="U969" s="24" t="s">
        <v>1081</v>
      </c>
      <c r="V969" s="67"/>
      <c r="W969" s="25">
        <f>IFERROR(VLOOKUP(BCP_Soles[[#This Row],[DESTINATARIO]],CHOOSE({1,2},Clientes_Proveedores[Razon Social],Clientes_Proveedores[Ruc / Dni]),2,0),"")</f>
        <v>20100055237</v>
      </c>
      <c r="X969" s="25" t="s">
        <v>1955</v>
      </c>
      <c r="Y969" s="25" t="s">
        <v>2117</v>
      </c>
      <c r="Z969" s="25"/>
      <c r="AA969" s="99"/>
      <c r="AB969" s="3" t="str">
        <f>IF(BCP_Soles[[#This Row],[FECHA]]&gt;0,TEXT(BCP_Soles[[#This Row],[FECHA]],"mmmm"),0)</f>
        <v>Marzo</v>
      </c>
    </row>
    <row r="970" spans="2:28" ht="24" x14ac:dyDescent="0.3">
      <c r="B970" s="2">
        <f>IF(BCP_Soles[[#This Row],[TIPO DE R.]]="R",COUNTIFS($D$4:$D969,"R")+1,"")</f>
        <v>751</v>
      </c>
      <c r="C970" s="19" t="str">
        <f t="shared" si="75"/>
        <v>B-BCP - Soles</v>
      </c>
      <c r="D970" s="3" t="s">
        <v>1074</v>
      </c>
      <c r="E970" s="14">
        <v>45740</v>
      </c>
      <c r="F970" s="5" t="s">
        <v>1996</v>
      </c>
      <c r="G970" s="5" t="s">
        <v>1079</v>
      </c>
      <c r="H970" s="6" t="s">
        <v>842</v>
      </c>
      <c r="I970" s="6"/>
      <c r="J970" s="6"/>
      <c r="K970" s="6"/>
      <c r="L970" s="7" t="s">
        <v>2118</v>
      </c>
      <c r="M970" s="8">
        <v>1200132</v>
      </c>
      <c r="N970" s="8" t="str">
        <f t="shared" si="76"/>
        <v>PEN</v>
      </c>
      <c r="O970" s="13"/>
      <c r="P970" s="13">
        <v>3200.2</v>
      </c>
      <c r="Q970" s="3">
        <f t="shared" si="77"/>
        <v>0</v>
      </c>
      <c r="R970" s="3">
        <f t="shared" si="78"/>
        <v>3200.2</v>
      </c>
      <c r="S970" s="3">
        <f t="shared" si="79"/>
        <v>37875.569999999963</v>
      </c>
      <c r="T970" s="24"/>
      <c r="U970" s="24" t="s">
        <v>1081</v>
      </c>
      <c r="V970" s="67"/>
      <c r="W970" s="25">
        <f>IFERROR(VLOOKUP(BCP_Soles[[#This Row],[DESTINATARIO]],CHOOSE({1,2},Clientes_Proveedores[Razon Social],Clientes_Proveedores[Ruc / Dni]),2,0),"")</f>
        <v>72131384</v>
      </c>
      <c r="X970" s="25" t="s">
        <v>842</v>
      </c>
      <c r="Y970" s="25" t="s">
        <v>2119</v>
      </c>
      <c r="Z970" s="25"/>
      <c r="AA970" s="99"/>
      <c r="AB970" s="3" t="str">
        <f>IF(BCP_Soles[[#This Row],[FECHA]]&gt;0,TEXT(BCP_Soles[[#This Row],[FECHA]],"mmmm"),0)</f>
        <v>Marzo</v>
      </c>
    </row>
    <row r="971" spans="2:28" ht="24" x14ac:dyDescent="0.3">
      <c r="B971" s="2">
        <f>IF(BCP_Soles[[#This Row],[TIPO DE R.]]="R",COUNTIFS($D$4:$D970,"R")+1,"")</f>
        <v>752</v>
      </c>
      <c r="C971" s="19" t="str">
        <f t="shared" si="75"/>
        <v>B-BCP - Soles</v>
      </c>
      <c r="D971" s="3" t="s">
        <v>1074</v>
      </c>
      <c r="E971" s="14">
        <v>45741</v>
      </c>
      <c r="F971" s="5" t="s">
        <v>1838</v>
      </c>
      <c r="G971" s="5" t="s">
        <v>1087</v>
      </c>
      <c r="H971" s="6"/>
      <c r="I971" s="6"/>
      <c r="J971" s="6"/>
      <c r="K971" s="6"/>
      <c r="L971" s="7" t="s">
        <v>2120</v>
      </c>
      <c r="M971" s="8">
        <v>2011978</v>
      </c>
      <c r="N971" s="8" t="str">
        <f t="shared" si="76"/>
        <v>PEN</v>
      </c>
      <c r="O971" s="13"/>
      <c r="P971" s="13">
        <v>17650</v>
      </c>
      <c r="Q971" s="3">
        <f t="shared" si="77"/>
        <v>17650</v>
      </c>
      <c r="R971" s="3">
        <f t="shared" si="78"/>
        <v>0</v>
      </c>
      <c r="S971" s="3">
        <f t="shared" si="79"/>
        <v>55525.569999999963</v>
      </c>
      <c r="T971" s="24" t="s">
        <v>1081</v>
      </c>
      <c r="U971" s="24" t="s">
        <v>1081</v>
      </c>
      <c r="V971" s="67"/>
      <c r="W971" s="25" t="str">
        <f>IFERROR(VLOOKUP(BCP_Soles[[#This Row],[DESTINATARIO]],CHOOSE({1,2},Clientes_Proveedores[Razon Social],Clientes_Proveedores[Ruc / Dni]),2,0),"")</f>
        <v/>
      </c>
      <c r="X971" s="25" t="s">
        <v>1090</v>
      </c>
      <c r="Y971" s="25" t="s">
        <v>2121</v>
      </c>
      <c r="Z971" s="25"/>
      <c r="AA971" s="99"/>
      <c r="AB971" s="3" t="str">
        <f>IF(BCP_Soles[[#This Row],[FECHA]]&gt;0,TEXT(BCP_Soles[[#This Row],[FECHA]],"mmmm"),0)</f>
        <v>Marzo</v>
      </c>
    </row>
    <row r="972" spans="2:28" x14ac:dyDescent="0.3">
      <c r="B972" s="2">
        <f>IF(BCP_Soles[[#This Row],[TIPO DE R.]]="R",COUNTIFS($D$4:$D971,"R")+1,"")</f>
        <v>753</v>
      </c>
      <c r="C972" s="19" t="str">
        <f t="shared" si="75"/>
        <v>B-BCP - Soles</v>
      </c>
      <c r="D972" s="3" t="s">
        <v>1074</v>
      </c>
      <c r="E972" s="14">
        <v>45741</v>
      </c>
      <c r="F972" s="5" t="s">
        <v>370</v>
      </c>
      <c r="G972" s="5" t="s">
        <v>1087</v>
      </c>
      <c r="H972" s="6"/>
      <c r="I972" s="6"/>
      <c r="J972" s="6"/>
      <c r="K972" s="6"/>
      <c r="L972" s="7" t="s">
        <v>2122</v>
      </c>
      <c r="M972" s="8">
        <v>528289</v>
      </c>
      <c r="N972" s="8" t="str">
        <f t="shared" si="76"/>
        <v>PEN</v>
      </c>
      <c r="O972" s="13"/>
      <c r="P972" s="13">
        <v>2118.1999999999998</v>
      </c>
      <c r="Q972" s="3">
        <f t="shared" si="77"/>
        <v>2118.1999999999998</v>
      </c>
      <c r="R972" s="3">
        <f t="shared" si="78"/>
        <v>0</v>
      </c>
      <c r="S972" s="3">
        <f t="shared" si="79"/>
        <v>57643.76999999996</v>
      </c>
      <c r="T972" s="24" t="s">
        <v>1081</v>
      </c>
      <c r="U972" s="24" t="s">
        <v>1081</v>
      </c>
      <c r="V972" s="67"/>
      <c r="W972" s="25" t="str">
        <f>IFERROR(VLOOKUP(BCP_Soles[[#This Row],[DESTINATARIO]],CHOOSE({1,2},Clientes_Proveedores[Razon Social],Clientes_Proveedores[Ruc / Dni]),2,0),"")</f>
        <v/>
      </c>
      <c r="X972" s="25" t="s">
        <v>1090</v>
      </c>
      <c r="Y972" s="25" t="s">
        <v>2123</v>
      </c>
      <c r="Z972" s="25"/>
      <c r="AA972" s="99"/>
      <c r="AB972" s="3" t="str">
        <f>IF(BCP_Soles[[#This Row],[FECHA]]&gt;0,TEXT(BCP_Soles[[#This Row],[FECHA]],"mmmm"),0)</f>
        <v>Marzo</v>
      </c>
    </row>
    <row r="973" spans="2:28" ht="24" x14ac:dyDescent="0.3">
      <c r="B973" s="2">
        <f>IF(BCP_Soles[[#This Row],[TIPO DE R.]]="R",COUNTIFS($D$4:$D972,"R")+1,"")</f>
        <v>754</v>
      </c>
      <c r="C973" s="19" t="str">
        <f t="shared" si="75"/>
        <v>B-BCP - Soles</v>
      </c>
      <c r="D973" s="3" t="s">
        <v>1074</v>
      </c>
      <c r="E973" s="14">
        <v>45741</v>
      </c>
      <c r="F973" s="5" t="s">
        <v>1779</v>
      </c>
      <c r="G973" s="5" t="s">
        <v>1087</v>
      </c>
      <c r="H973" s="6"/>
      <c r="I973" s="6"/>
      <c r="J973" s="6"/>
      <c r="K973" s="6"/>
      <c r="L973" s="7" t="s">
        <v>1100</v>
      </c>
      <c r="M973" s="8">
        <v>1921478</v>
      </c>
      <c r="N973" s="8" t="str">
        <f t="shared" si="76"/>
        <v>PEN</v>
      </c>
      <c r="O973" s="13"/>
      <c r="P973" s="13">
        <v>932</v>
      </c>
      <c r="Q973" s="3">
        <f t="shared" si="77"/>
        <v>932</v>
      </c>
      <c r="R973" s="3">
        <f t="shared" si="78"/>
        <v>0</v>
      </c>
      <c r="S973" s="3">
        <f t="shared" si="79"/>
        <v>58575.76999999996</v>
      </c>
      <c r="T973" s="24" t="s">
        <v>1081</v>
      </c>
      <c r="U973" s="24" t="s">
        <v>1081</v>
      </c>
      <c r="V973" s="67"/>
      <c r="W973" s="25" t="str">
        <f>IFERROR(VLOOKUP(BCP_Soles[[#This Row],[DESTINATARIO]],CHOOSE({1,2},Clientes_Proveedores[Razon Social],Clientes_Proveedores[Ruc / Dni]),2,0),"")</f>
        <v/>
      </c>
      <c r="X973" s="25" t="s">
        <v>1090</v>
      </c>
      <c r="Y973" s="25" t="s">
        <v>1780</v>
      </c>
      <c r="Z973" s="25"/>
      <c r="AA973" s="99"/>
      <c r="AB973" s="3" t="str">
        <f>IF(BCP_Soles[[#This Row],[FECHA]]&gt;0,TEXT(BCP_Soles[[#This Row],[FECHA]],"mmmm"),0)</f>
        <v>Marzo</v>
      </c>
    </row>
    <row r="974" spans="2:28" x14ac:dyDescent="0.3">
      <c r="B974" s="2">
        <f>IF(BCP_Soles[[#This Row],[TIPO DE R.]]="R",COUNTIFS($D$4:$D973,"R")+1,"")</f>
        <v>755</v>
      </c>
      <c r="C974" s="19" t="str">
        <f t="shared" si="75"/>
        <v>B-BCP - Soles</v>
      </c>
      <c r="D974" s="3" t="s">
        <v>1074</v>
      </c>
      <c r="E974" s="14">
        <v>45741</v>
      </c>
      <c r="F974" s="5" t="s">
        <v>1184</v>
      </c>
      <c r="G974" s="5" t="s">
        <v>1087</v>
      </c>
      <c r="H974" s="6"/>
      <c r="I974" s="6"/>
      <c r="J974" s="6"/>
      <c r="K974" s="6"/>
      <c r="L974" s="7" t="s">
        <v>1100</v>
      </c>
      <c r="M974" s="8">
        <v>1845380</v>
      </c>
      <c r="N974" s="8" t="str">
        <f t="shared" si="76"/>
        <v>PEN</v>
      </c>
      <c r="O974" s="13"/>
      <c r="P974" s="13">
        <v>370</v>
      </c>
      <c r="Q974" s="3">
        <f t="shared" si="77"/>
        <v>370</v>
      </c>
      <c r="R974" s="3">
        <f t="shared" si="78"/>
        <v>0</v>
      </c>
      <c r="S974" s="3">
        <f t="shared" si="79"/>
        <v>58945.76999999996</v>
      </c>
      <c r="T974" s="24" t="s">
        <v>1081</v>
      </c>
      <c r="U974" s="24" t="s">
        <v>1081</v>
      </c>
      <c r="V974" s="67"/>
      <c r="W974" s="25" t="str">
        <f>IFERROR(VLOOKUP(BCP_Soles[[#This Row],[DESTINATARIO]],CHOOSE({1,2},Clientes_Proveedores[Razon Social],Clientes_Proveedores[Ruc / Dni]),2,0),"")</f>
        <v/>
      </c>
      <c r="X974" s="25" t="s">
        <v>1090</v>
      </c>
      <c r="Y974" s="25" t="s">
        <v>2124</v>
      </c>
      <c r="Z974" s="25"/>
      <c r="AA974" s="99"/>
      <c r="AB974" s="3" t="str">
        <f>IF(BCP_Soles[[#This Row],[FECHA]]&gt;0,TEXT(BCP_Soles[[#This Row],[FECHA]],"mmmm"),0)</f>
        <v>Marzo</v>
      </c>
    </row>
    <row r="975" spans="2:28" ht="24" x14ac:dyDescent="0.3">
      <c r="B975" s="2">
        <f>IF(BCP_Soles[[#This Row],[TIPO DE R.]]="R",COUNTIFS($D$4:$D974,"R")+1,"")</f>
        <v>756</v>
      </c>
      <c r="C975" s="19" t="str">
        <f t="shared" si="75"/>
        <v>B-BCP - Soles</v>
      </c>
      <c r="D975" s="3" t="s">
        <v>1074</v>
      </c>
      <c r="E975" s="14">
        <v>45741</v>
      </c>
      <c r="F975" s="5" t="s">
        <v>1996</v>
      </c>
      <c r="G975" s="5" t="s">
        <v>1079</v>
      </c>
      <c r="H975" s="6" t="s">
        <v>184</v>
      </c>
      <c r="I975" s="6" t="s">
        <v>14</v>
      </c>
      <c r="J975" s="6" t="s">
        <v>1083</v>
      </c>
      <c r="K975" s="6">
        <v>7321</v>
      </c>
      <c r="L975" s="7" t="s">
        <v>2125</v>
      </c>
      <c r="M975" s="8">
        <v>1137720</v>
      </c>
      <c r="N975" s="8" t="str">
        <f t="shared" si="76"/>
        <v>PEN</v>
      </c>
      <c r="O975" s="13"/>
      <c r="P975" s="13">
        <v>56.6</v>
      </c>
      <c r="Q975" s="3">
        <f t="shared" si="77"/>
        <v>0</v>
      </c>
      <c r="R975" s="3">
        <f t="shared" si="78"/>
        <v>56.6</v>
      </c>
      <c r="S975" s="3">
        <f t="shared" si="79"/>
        <v>58889.169999999962</v>
      </c>
      <c r="T975" s="24" t="s">
        <v>1081</v>
      </c>
      <c r="U975" s="24" t="s">
        <v>1081</v>
      </c>
      <c r="V975" s="67"/>
      <c r="W975" s="25">
        <f>IFERROR(VLOOKUP(BCP_Soles[[#This Row],[DESTINATARIO]],CHOOSE({1,2},Clientes_Proveedores[Razon Social],Clientes_Proveedores[Ruc / Dni]),2,0),"")</f>
        <v>20170040938</v>
      </c>
      <c r="X975" s="25" t="s">
        <v>1085</v>
      </c>
      <c r="Y975" s="25" t="s">
        <v>2126</v>
      </c>
      <c r="Z975" s="25"/>
      <c r="AA975" s="99"/>
      <c r="AB975" s="3" t="str">
        <f>IF(BCP_Soles[[#This Row],[FECHA]]&gt;0,TEXT(BCP_Soles[[#This Row],[FECHA]],"mmmm"),0)</f>
        <v>Marzo</v>
      </c>
    </row>
    <row r="976" spans="2:28" ht="24" x14ac:dyDescent="0.3">
      <c r="B976" s="2">
        <f>IF(BCP_Soles[[#This Row],[TIPO DE R.]]="R",COUNTIFS($D$4:$D975,"R")+1,"")</f>
        <v>757</v>
      </c>
      <c r="C976" s="19" t="str">
        <f t="shared" si="75"/>
        <v>B-BCP - Soles</v>
      </c>
      <c r="D976" s="3" t="s">
        <v>1074</v>
      </c>
      <c r="E976" s="14">
        <v>45741</v>
      </c>
      <c r="F976" s="5" t="s">
        <v>1996</v>
      </c>
      <c r="G976" s="5" t="s">
        <v>1079</v>
      </c>
      <c r="H976" s="6" t="s">
        <v>695</v>
      </c>
      <c r="I976" s="6" t="s">
        <v>18</v>
      </c>
      <c r="J976" s="6" t="s">
        <v>1121</v>
      </c>
      <c r="K976" s="6">
        <v>18</v>
      </c>
      <c r="L976" s="7" t="s">
        <v>2127</v>
      </c>
      <c r="M976" s="8">
        <v>1107020</v>
      </c>
      <c r="N976" s="8" t="str">
        <f t="shared" si="76"/>
        <v>PEN</v>
      </c>
      <c r="O976" s="13"/>
      <c r="P976" s="13">
        <v>1800</v>
      </c>
      <c r="Q976" s="3">
        <f t="shared" si="77"/>
        <v>0</v>
      </c>
      <c r="R976" s="3">
        <f t="shared" si="78"/>
        <v>1800</v>
      </c>
      <c r="S976" s="3">
        <f t="shared" si="79"/>
        <v>57089.169999999962</v>
      </c>
      <c r="T976" s="24"/>
      <c r="U976" s="24" t="s">
        <v>1081</v>
      </c>
      <c r="V976" s="67"/>
      <c r="W976" s="25">
        <f>IFERROR(VLOOKUP(BCP_Soles[[#This Row],[DESTINATARIO]],CHOOSE({1,2},Clientes_Proveedores[Razon Social],Clientes_Proveedores[Ruc / Dni]),2,0),"")</f>
        <v>10723875914</v>
      </c>
      <c r="X976" s="25" t="s">
        <v>695</v>
      </c>
      <c r="Y976" s="25" t="s">
        <v>2128</v>
      </c>
      <c r="Z976" s="25"/>
      <c r="AA976" s="99"/>
      <c r="AB976" s="3" t="str">
        <f>IF(BCP_Soles[[#This Row],[FECHA]]&gt;0,TEXT(BCP_Soles[[#This Row],[FECHA]],"mmmm"),0)</f>
        <v>Marzo</v>
      </c>
    </row>
    <row r="977" spans="2:28" ht="24" x14ac:dyDescent="0.3">
      <c r="B977" s="2">
        <f>IF(BCP_Soles[[#This Row],[TIPO DE R.]]="R",COUNTIFS($D$4:$D976,"R")+1,"")</f>
        <v>758</v>
      </c>
      <c r="C977" s="19" t="str">
        <f t="shared" si="75"/>
        <v>B-BCP - Soles</v>
      </c>
      <c r="D977" s="3" t="s">
        <v>1074</v>
      </c>
      <c r="E977" s="14">
        <v>45741</v>
      </c>
      <c r="F977" s="5" t="s">
        <v>1996</v>
      </c>
      <c r="G977" s="5" t="s">
        <v>1079</v>
      </c>
      <c r="H977" s="6"/>
      <c r="I977" s="6"/>
      <c r="J977" s="6"/>
      <c r="K977" s="6"/>
      <c r="L977" s="21" t="s">
        <v>2129</v>
      </c>
      <c r="M977" s="8">
        <v>6397551</v>
      </c>
      <c r="N977" s="8" t="str">
        <f t="shared" si="76"/>
        <v>PEN</v>
      </c>
      <c r="O977" s="13"/>
      <c r="P977" s="13">
        <v>14874.08</v>
      </c>
      <c r="Q977" s="3">
        <f t="shared" si="77"/>
        <v>0</v>
      </c>
      <c r="R977" s="3">
        <f t="shared" si="78"/>
        <v>14874.08</v>
      </c>
      <c r="S977" s="3">
        <f t="shared" si="79"/>
        <v>42215.08999999996</v>
      </c>
      <c r="T977" s="24" t="s">
        <v>1081</v>
      </c>
      <c r="U977" s="24" t="s">
        <v>1586</v>
      </c>
      <c r="V977" s="67"/>
      <c r="W977" s="25" t="str">
        <f>IFERROR(VLOOKUP(BCP_Soles[[#This Row],[DESTINATARIO]],CHOOSE({1,2},Clientes_Proveedores[Razon Social],Clientes_Proveedores[Ruc / Dni]),2,0),"")</f>
        <v/>
      </c>
      <c r="X977" s="25" t="s">
        <v>1118</v>
      </c>
      <c r="Y977" s="25"/>
      <c r="Z977" s="25"/>
      <c r="AA977" s="99"/>
      <c r="AB977" s="3" t="str">
        <f>IF(BCP_Soles[[#This Row],[FECHA]]&gt;0,TEXT(BCP_Soles[[#This Row],[FECHA]],"mmmm"),0)</f>
        <v>Marzo</v>
      </c>
    </row>
    <row r="978" spans="2:28" ht="24" x14ac:dyDescent="0.3">
      <c r="B978" s="2">
        <f>IF(BCP_Soles[[#This Row],[TIPO DE R.]]="R",COUNTIFS($D$4:$D977,"R")+1,"")</f>
        <v>759</v>
      </c>
      <c r="C978" s="19" t="str">
        <f t="shared" si="75"/>
        <v>B-BCP - Soles</v>
      </c>
      <c r="D978" s="3" t="s">
        <v>1074</v>
      </c>
      <c r="E978" s="14">
        <v>45741</v>
      </c>
      <c r="F978" s="5" t="s">
        <v>479</v>
      </c>
      <c r="G978" s="5" t="s">
        <v>1087</v>
      </c>
      <c r="H978" s="6"/>
      <c r="I978" s="6"/>
      <c r="J978" s="6"/>
      <c r="K978" s="6"/>
      <c r="L978" s="7" t="s">
        <v>1100</v>
      </c>
      <c r="M978" s="8">
        <v>3243145</v>
      </c>
      <c r="N978" s="8" t="str">
        <f t="shared" si="76"/>
        <v>PEN</v>
      </c>
      <c r="O978" s="13"/>
      <c r="P978" s="13">
        <v>4536</v>
      </c>
      <c r="Q978" s="3">
        <f t="shared" si="77"/>
        <v>4536</v>
      </c>
      <c r="R978" s="3">
        <f t="shared" si="78"/>
        <v>0</v>
      </c>
      <c r="S978" s="3">
        <f t="shared" si="79"/>
        <v>46751.08999999996</v>
      </c>
      <c r="T978" s="24" t="s">
        <v>1081</v>
      </c>
      <c r="U978" s="24" t="s">
        <v>1081</v>
      </c>
      <c r="V978" s="67"/>
      <c r="W978" s="25" t="str">
        <f>IFERROR(VLOOKUP(BCP_Soles[[#This Row],[DESTINATARIO]],CHOOSE({1,2},Clientes_Proveedores[Razon Social],Clientes_Proveedores[Ruc / Dni]),2,0),"")</f>
        <v/>
      </c>
      <c r="X978" s="25" t="s">
        <v>1090</v>
      </c>
      <c r="Y978" s="25" t="s">
        <v>2130</v>
      </c>
      <c r="Z978" s="25"/>
      <c r="AA978" s="99"/>
      <c r="AB978" s="3" t="str">
        <f>IF(BCP_Soles[[#This Row],[FECHA]]&gt;0,TEXT(BCP_Soles[[#This Row],[FECHA]],"mmmm"),0)</f>
        <v>Marzo</v>
      </c>
    </row>
    <row r="979" spans="2:28" x14ac:dyDescent="0.3">
      <c r="B979" s="2">
        <f>IF(BCP_Soles[[#This Row],[TIPO DE R.]]="R",COUNTIFS($D$4:$D978,"R")+1,"")</f>
        <v>760</v>
      </c>
      <c r="C979" s="19" t="str">
        <f t="shared" si="75"/>
        <v>B-BCP - Soles</v>
      </c>
      <c r="D979" s="3" t="s">
        <v>1074</v>
      </c>
      <c r="E979" s="14">
        <v>45741</v>
      </c>
      <c r="F979" s="5" t="s">
        <v>1078</v>
      </c>
      <c r="G979" s="5" t="s">
        <v>1079</v>
      </c>
      <c r="H979" s="6"/>
      <c r="I979" s="6"/>
      <c r="J979" s="6"/>
      <c r="K979" s="6"/>
      <c r="L979" s="7" t="s">
        <v>1080</v>
      </c>
      <c r="M979" s="8"/>
      <c r="N979" s="8" t="str">
        <f t="shared" si="76"/>
        <v>PEN</v>
      </c>
      <c r="O979" s="13"/>
      <c r="P979" s="13">
        <v>2</v>
      </c>
      <c r="Q979" s="3">
        <f t="shared" si="77"/>
        <v>0</v>
      </c>
      <c r="R979" s="3">
        <f t="shared" si="78"/>
        <v>2</v>
      </c>
      <c r="S979" s="3">
        <f t="shared" si="79"/>
        <v>46749.08999999996</v>
      </c>
      <c r="T979" s="24"/>
      <c r="U979" s="24" t="s">
        <v>1081</v>
      </c>
      <c r="V979" s="67"/>
      <c r="W979" s="25" t="str">
        <f>IFERROR(VLOOKUP(BCP_Soles[[#This Row],[DESTINATARIO]],CHOOSE({1,2},Clientes_Proveedores[Razon Social],Clientes_Proveedores[Ruc / Dni]),2,0),"")</f>
        <v/>
      </c>
      <c r="X979" s="25"/>
      <c r="Y979" s="25"/>
      <c r="Z979" s="25"/>
      <c r="AA979" s="99"/>
      <c r="AB979" s="3" t="str">
        <f>IF(BCP_Soles[[#This Row],[FECHA]]&gt;0,TEXT(BCP_Soles[[#This Row],[FECHA]],"mmmm"),0)</f>
        <v>Marzo</v>
      </c>
    </row>
    <row r="980" spans="2:28" x14ac:dyDescent="0.3">
      <c r="B980" s="2">
        <f>IF(BCP_Soles[[#This Row],[TIPO DE R.]]="R",COUNTIFS($D$4:$D979,"R")+1,"")</f>
        <v>761</v>
      </c>
      <c r="C980" s="19" t="str">
        <f t="shared" si="75"/>
        <v>B-BCP - Soles</v>
      </c>
      <c r="D980" s="3" t="s">
        <v>1074</v>
      </c>
      <c r="E980" s="14">
        <v>45741</v>
      </c>
      <c r="F980" s="5" t="s">
        <v>1078</v>
      </c>
      <c r="G980" s="5" t="s">
        <v>1079</v>
      </c>
      <c r="H980" s="6"/>
      <c r="I980" s="6"/>
      <c r="J980" s="6"/>
      <c r="K980" s="6"/>
      <c r="L980" s="7" t="s">
        <v>1141</v>
      </c>
      <c r="M980" s="8">
        <v>420</v>
      </c>
      <c r="N980" s="8" t="str">
        <f t="shared" si="76"/>
        <v>PEN</v>
      </c>
      <c r="O980" s="13"/>
      <c r="P980" s="13">
        <v>10</v>
      </c>
      <c r="Q980" s="3">
        <f t="shared" si="77"/>
        <v>0</v>
      </c>
      <c r="R980" s="3">
        <f t="shared" si="78"/>
        <v>10</v>
      </c>
      <c r="S980" s="3">
        <f t="shared" si="79"/>
        <v>46739.08999999996</v>
      </c>
      <c r="T980" s="24"/>
      <c r="U980" s="24"/>
      <c r="V980" s="67"/>
      <c r="W980" s="25" t="str">
        <f>IFERROR(VLOOKUP(BCP_Soles[[#This Row],[DESTINATARIO]],CHOOSE({1,2},Clientes_Proveedores[Razon Social],Clientes_Proveedores[Ruc / Dni]),2,0),"")</f>
        <v/>
      </c>
      <c r="X980" s="25" t="s">
        <v>1078</v>
      </c>
      <c r="Y980" s="25" t="s">
        <v>2131</v>
      </c>
      <c r="Z980" s="25"/>
      <c r="AA980" s="99"/>
      <c r="AB980" s="3" t="str">
        <f>IF(BCP_Soles[[#This Row],[FECHA]]&gt;0,TEXT(BCP_Soles[[#This Row],[FECHA]],"mmmm"),0)</f>
        <v>Marzo</v>
      </c>
    </row>
    <row r="981" spans="2:28" x14ac:dyDescent="0.3">
      <c r="B981" s="2">
        <f>IF(BCP_Soles[[#This Row],[TIPO DE R.]]="R",COUNTIFS($D$4:$D980,"R")+1,"")</f>
        <v>762</v>
      </c>
      <c r="C981" s="19" t="str">
        <f t="shared" si="75"/>
        <v>B-BCP - Soles</v>
      </c>
      <c r="D981" s="3" t="s">
        <v>1074</v>
      </c>
      <c r="E981" s="14">
        <v>45741</v>
      </c>
      <c r="F981" s="5" t="s">
        <v>1996</v>
      </c>
      <c r="G981" s="5" t="s">
        <v>1079</v>
      </c>
      <c r="H981" s="6"/>
      <c r="I981" s="6"/>
      <c r="J981" s="6"/>
      <c r="K981" s="6"/>
      <c r="L981" s="7" t="s">
        <v>2132</v>
      </c>
      <c r="M981" s="8">
        <v>1008447</v>
      </c>
      <c r="N981" s="8" t="str">
        <f t="shared" si="76"/>
        <v>PEN</v>
      </c>
      <c r="O981" s="13"/>
      <c r="P981" s="13">
        <v>2450</v>
      </c>
      <c r="Q981" s="3">
        <f t="shared" si="77"/>
        <v>0</v>
      </c>
      <c r="R981" s="3">
        <f t="shared" si="78"/>
        <v>2450</v>
      </c>
      <c r="S981" s="3">
        <f t="shared" si="79"/>
        <v>44289.08999999996</v>
      </c>
      <c r="T981" s="24"/>
      <c r="U981" s="24"/>
      <c r="V981" s="67"/>
      <c r="W981" s="25" t="str">
        <f>IFERROR(VLOOKUP(BCP_Soles[[#This Row],[DESTINATARIO]],CHOOSE({1,2},Clientes_Proveedores[Razon Social],Clientes_Proveedores[Ruc / Dni]),2,0),"")</f>
        <v/>
      </c>
      <c r="X981" s="25" t="s">
        <v>1133</v>
      </c>
      <c r="Y981" s="25"/>
      <c r="Z981" s="25"/>
      <c r="AA981" s="99"/>
      <c r="AB981" s="3" t="str">
        <f>IF(BCP_Soles[[#This Row],[FECHA]]&gt;0,TEXT(BCP_Soles[[#This Row],[FECHA]],"mmmm"),0)</f>
        <v>Marzo</v>
      </c>
    </row>
    <row r="982" spans="2:28" ht="24" x14ac:dyDescent="0.3">
      <c r="B982" s="2">
        <f>IF(BCP_Soles[[#This Row],[TIPO DE R.]]="R",COUNTIFS($D$4:$D981,"R")+1,"")</f>
        <v>763</v>
      </c>
      <c r="C982" s="19" t="str">
        <f t="shared" si="75"/>
        <v>B-BCP - Soles</v>
      </c>
      <c r="D982" s="3" t="s">
        <v>1074</v>
      </c>
      <c r="E982" s="14">
        <v>45742</v>
      </c>
      <c r="F982" s="5" t="s">
        <v>289</v>
      </c>
      <c r="G982" s="5" t="s">
        <v>1087</v>
      </c>
      <c r="H982" s="6"/>
      <c r="I982" s="6"/>
      <c r="J982" s="6"/>
      <c r="K982" s="6"/>
      <c r="L982" s="7" t="s">
        <v>1194</v>
      </c>
      <c r="M982" s="8">
        <v>6894789</v>
      </c>
      <c r="N982" s="8" t="str">
        <f t="shared" si="76"/>
        <v>PEN</v>
      </c>
      <c r="O982" s="13"/>
      <c r="P982" s="13">
        <v>47517.09</v>
      </c>
      <c r="Q982" s="3">
        <f t="shared" si="77"/>
        <v>47517.09</v>
      </c>
      <c r="R982" s="3">
        <f t="shared" si="78"/>
        <v>0</v>
      </c>
      <c r="S982" s="3">
        <f t="shared" si="79"/>
        <v>91806.179999999964</v>
      </c>
      <c r="T982" s="24" t="s">
        <v>1081</v>
      </c>
      <c r="U982" s="24" t="s">
        <v>1081</v>
      </c>
      <c r="V982" s="67"/>
      <c r="W982" s="25" t="str">
        <f>IFERROR(VLOOKUP(BCP_Soles[[#This Row],[DESTINATARIO]],CHOOSE({1,2},Clientes_Proveedores[Razon Social],Clientes_Proveedores[Ruc / Dni]),2,0),"")</f>
        <v/>
      </c>
      <c r="X982" s="25" t="s">
        <v>1090</v>
      </c>
      <c r="Y982" s="25" t="s">
        <v>2133</v>
      </c>
      <c r="Z982" s="25"/>
      <c r="AA982" s="99"/>
      <c r="AB982" s="3" t="str">
        <f>IF(BCP_Soles[[#This Row],[FECHA]]&gt;0,TEXT(BCP_Soles[[#This Row],[FECHA]],"mmmm"),0)</f>
        <v>Marzo</v>
      </c>
    </row>
    <row r="983" spans="2:28" ht="24" x14ac:dyDescent="0.3">
      <c r="B983" s="2">
        <f>IF(BCP_Soles[[#This Row],[TIPO DE R.]]="R",COUNTIFS($D$4:$D982,"R")+1,"")</f>
        <v>764</v>
      </c>
      <c r="C983" s="19" t="str">
        <f t="shared" si="75"/>
        <v>B-BCP - Soles</v>
      </c>
      <c r="D983" s="3" t="s">
        <v>1074</v>
      </c>
      <c r="E983" s="14">
        <v>45742</v>
      </c>
      <c r="F983" s="5" t="s">
        <v>2134</v>
      </c>
      <c r="G983" s="5" t="s">
        <v>1087</v>
      </c>
      <c r="H983" s="6"/>
      <c r="I983" s="6"/>
      <c r="J983" s="6"/>
      <c r="K983" s="6"/>
      <c r="L983" s="7" t="s">
        <v>1100</v>
      </c>
      <c r="M983" s="8">
        <v>2789461</v>
      </c>
      <c r="N983" s="8" t="str">
        <f t="shared" si="76"/>
        <v>PEN</v>
      </c>
      <c r="O983" s="13"/>
      <c r="P983" s="13">
        <v>4647.5</v>
      </c>
      <c r="Q983" s="3">
        <f t="shared" si="77"/>
        <v>4647.5</v>
      </c>
      <c r="R983" s="3">
        <f t="shared" si="78"/>
        <v>0</v>
      </c>
      <c r="S983" s="3">
        <f t="shared" si="79"/>
        <v>96453.679999999964</v>
      </c>
      <c r="T983" s="24" t="s">
        <v>1081</v>
      </c>
      <c r="U983" s="24" t="s">
        <v>1081</v>
      </c>
      <c r="V983" s="67"/>
      <c r="W983" s="25" t="str">
        <f>IFERROR(VLOOKUP(BCP_Soles[[#This Row],[DESTINATARIO]],CHOOSE({1,2},Clientes_Proveedores[Razon Social],Clientes_Proveedores[Ruc / Dni]),2,0),"")</f>
        <v/>
      </c>
      <c r="X983" s="25" t="s">
        <v>1090</v>
      </c>
      <c r="Y983" s="25" t="s">
        <v>2135</v>
      </c>
      <c r="Z983" s="25"/>
      <c r="AA983" s="99"/>
      <c r="AB983" s="3" t="str">
        <f>IF(BCP_Soles[[#This Row],[FECHA]]&gt;0,TEXT(BCP_Soles[[#This Row],[FECHA]],"mmmm"),0)</f>
        <v>Marzo</v>
      </c>
    </row>
    <row r="984" spans="2:28" ht="24" x14ac:dyDescent="0.3">
      <c r="B984" s="2">
        <f>IF(BCP_Soles[[#This Row],[TIPO DE R.]]="R",COUNTIFS($D$4:$D983,"R")+1,"")</f>
        <v>765</v>
      </c>
      <c r="C984" s="19" t="str">
        <f t="shared" si="75"/>
        <v>B-BCP - Soles</v>
      </c>
      <c r="D984" s="3" t="s">
        <v>1074</v>
      </c>
      <c r="E984" s="14">
        <v>45742</v>
      </c>
      <c r="F984" s="5" t="s">
        <v>2136</v>
      </c>
      <c r="G984" s="5" t="s">
        <v>1087</v>
      </c>
      <c r="H984" s="6"/>
      <c r="I984" s="6"/>
      <c r="J984" s="6"/>
      <c r="K984" s="6"/>
      <c r="L984" s="7" t="s">
        <v>2137</v>
      </c>
      <c r="M984" s="8">
        <v>912716</v>
      </c>
      <c r="N984" s="8" t="str">
        <f t="shared" si="76"/>
        <v>PEN</v>
      </c>
      <c r="O984" s="13"/>
      <c r="P984" s="13">
        <v>2000</v>
      </c>
      <c r="Q984" s="3">
        <f t="shared" si="77"/>
        <v>2000</v>
      </c>
      <c r="R984" s="3">
        <f t="shared" si="78"/>
        <v>0</v>
      </c>
      <c r="S984" s="3">
        <f t="shared" si="79"/>
        <v>98453.679999999964</v>
      </c>
      <c r="T984" s="24" t="s">
        <v>1081</v>
      </c>
      <c r="U984" s="24" t="s">
        <v>1081</v>
      </c>
      <c r="V984" s="67"/>
      <c r="W984" s="25" t="str">
        <f>IFERROR(VLOOKUP(BCP_Soles[[#This Row],[DESTINATARIO]],CHOOSE({1,2},Clientes_Proveedores[Razon Social],Clientes_Proveedores[Ruc / Dni]),2,0),"")</f>
        <v/>
      </c>
      <c r="X984" s="25" t="s">
        <v>1090</v>
      </c>
      <c r="Y984" s="25" t="s">
        <v>2138</v>
      </c>
      <c r="Z984" s="25"/>
      <c r="AA984" s="99"/>
      <c r="AB984" s="3" t="str">
        <f>IF(BCP_Soles[[#This Row],[FECHA]]&gt;0,TEXT(BCP_Soles[[#This Row],[FECHA]],"mmmm"),0)</f>
        <v>Marzo</v>
      </c>
    </row>
    <row r="985" spans="2:28" ht="24" x14ac:dyDescent="0.3">
      <c r="B985" s="2">
        <f>IF(BCP_Soles[[#This Row],[TIPO DE R.]]="R",COUNTIFS($D$4:$D984,"R")+1,"")</f>
        <v>766</v>
      </c>
      <c r="C985" s="19" t="str">
        <f t="shared" si="75"/>
        <v>B-BCP - Soles</v>
      </c>
      <c r="D985" s="3" t="s">
        <v>1074</v>
      </c>
      <c r="E985" s="14">
        <v>45742</v>
      </c>
      <c r="F985" s="5" t="s">
        <v>2100</v>
      </c>
      <c r="G985" s="5" t="s">
        <v>1087</v>
      </c>
      <c r="H985" s="6"/>
      <c r="I985" s="6"/>
      <c r="J985" s="6"/>
      <c r="K985" s="6"/>
      <c r="L985" s="7" t="s">
        <v>2139</v>
      </c>
      <c r="M985" s="8">
        <v>10332</v>
      </c>
      <c r="N985" s="8" t="str">
        <f t="shared" si="76"/>
        <v>PEN</v>
      </c>
      <c r="O985" s="13"/>
      <c r="P985" s="13">
        <v>600</v>
      </c>
      <c r="Q985" s="3">
        <f t="shared" si="77"/>
        <v>600</v>
      </c>
      <c r="R985" s="3">
        <f t="shared" si="78"/>
        <v>0</v>
      </c>
      <c r="S985" s="3">
        <f t="shared" si="79"/>
        <v>99053.679999999964</v>
      </c>
      <c r="T985" s="24" t="s">
        <v>1081</v>
      </c>
      <c r="U985" s="24" t="s">
        <v>1081</v>
      </c>
      <c r="V985" s="67"/>
      <c r="W985" s="25" t="str">
        <f>IFERROR(VLOOKUP(BCP_Soles[[#This Row],[DESTINATARIO]],CHOOSE({1,2},Clientes_Proveedores[Razon Social],Clientes_Proveedores[Ruc / Dni]),2,0),"")</f>
        <v/>
      </c>
      <c r="X985" s="25" t="s">
        <v>1090</v>
      </c>
      <c r="Y985" s="25" t="s">
        <v>2101</v>
      </c>
      <c r="Z985" s="25"/>
      <c r="AA985" s="99"/>
      <c r="AB985" s="3" t="str">
        <f>IF(BCP_Soles[[#This Row],[FECHA]]&gt;0,TEXT(BCP_Soles[[#This Row],[FECHA]],"mmmm"),0)</f>
        <v>Marzo</v>
      </c>
    </row>
    <row r="986" spans="2:28" x14ac:dyDescent="0.3">
      <c r="B986" s="2">
        <f>IF(BCP_Soles[[#This Row],[TIPO DE R.]]="R",COUNTIFS($D$4:$D985,"R")+1,"")</f>
        <v>767</v>
      </c>
      <c r="C986" s="19" t="str">
        <f t="shared" si="75"/>
        <v>B-BCP - Soles</v>
      </c>
      <c r="D986" s="3" t="s">
        <v>1074</v>
      </c>
      <c r="E986" s="14">
        <v>45742</v>
      </c>
      <c r="F986" s="5" t="s">
        <v>1239</v>
      </c>
      <c r="G986" s="5" t="s">
        <v>1087</v>
      </c>
      <c r="H986" s="6"/>
      <c r="I986" s="6"/>
      <c r="J986" s="6"/>
      <c r="K986" s="6"/>
      <c r="L986" s="7" t="s">
        <v>1100</v>
      </c>
      <c r="M986" s="8">
        <v>2918466</v>
      </c>
      <c r="N986" s="8" t="str">
        <f t="shared" si="76"/>
        <v>PEN</v>
      </c>
      <c r="O986" s="13"/>
      <c r="P986" s="13">
        <v>75</v>
      </c>
      <c r="Q986" s="3">
        <f t="shared" si="77"/>
        <v>75</v>
      </c>
      <c r="R986" s="3">
        <f t="shared" si="78"/>
        <v>0</v>
      </c>
      <c r="S986" s="3">
        <f t="shared" si="79"/>
        <v>99128.679999999964</v>
      </c>
      <c r="T986" s="24" t="s">
        <v>1081</v>
      </c>
      <c r="U986" s="24" t="s">
        <v>1081</v>
      </c>
      <c r="V986" s="67"/>
      <c r="W986" s="25" t="str">
        <f>IFERROR(VLOOKUP(BCP_Soles[[#This Row],[DESTINATARIO]],CHOOSE({1,2},Clientes_Proveedores[Razon Social],Clientes_Proveedores[Ruc / Dni]),2,0),"")</f>
        <v/>
      </c>
      <c r="X986" s="25" t="s">
        <v>1090</v>
      </c>
      <c r="Y986" s="25" t="s">
        <v>2140</v>
      </c>
      <c r="Z986" s="25"/>
      <c r="AA986" s="99"/>
      <c r="AB986" s="3" t="str">
        <f>IF(BCP_Soles[[#This Row],[FECHA]]&gt;0,TEXT(BCP_Soles[[#This Row],[FECHA]],"mmmm"),0)</f>
        <v>Marzo</v>
      </c>
    </row>
    <row r="987" spans="2:28" x14ac:dyDescent="0.3">
      <c r="B987" s="2">
        <f>IF(BCP_Soles[[#This Row],[TIPO DE R.]]="R",COUNTIFS($D$4:$D986,"R")+1,"")</f>
        <v>768</v>
      </c>
      <c r="C987" s="19" t="str">
        <f t="shared" si="75"/>
        <v>B-BCP - Soles</v>
      </c>
      <c r="D987" s="3" t="s">
        <v>1074</v>
      </c>
      <c r="E987" s="14">
        <v>45742</v>
      </c>
      <c r="F987" s="5" t="s">
        <v>1078</v>
      </c>
      <c r="G987" s="5" t="s">
        <v>1079</v>
      </c>
      <c r="H987" s="6"/>
      <c r="I987" s="6"/>
      <c r="J987" s="6"/>
      <c r="K987" s="6"/>
      <c r="L987" s="7" t="s">
        <v>1080</v>
      </c>
      <c r="M987" s="8"/>
      <c r="N987" s="8" t="str">
        <f t="shared" si="76"/>
        <v>PEN</v>
      </c>
      <c r="O987" s="13"/>
      <c r="P987" s="13">
        <v>2.8</v>
      </c>
      <c r="Q987" s="3">
        <f t="shared" si="77"/>
        <v>0</v>
      </c>
      <c r="R987" s="3">
        <f t="shared" si="78"/>
        <v>2.8</v>
      </c>
      <c r="S987" s="3">
        <f t="shared" si="79"/>
        <v>99125.879999999961</v>
      </c>
      <c r="T987" s="24"/>
      <c r="U987" s="24" t="s">
        <v>1081</v>
      </c>
      <c r="V987" s="67"/>
      <c r="W987" s="25" t="str">
        <f>IFERROR(VLOOKUP(BCP_Soles[[#This Row],[DESTINATARIO]],CHOOSE({1,2},Clientes_Proveedores[Razon Social],Clientes_Proveedores[Ruc / Dni]),2,0),"")</f>
        <v/>
      </c>
      <c r="X987" s="25"/>
      <c r="Y987" s="25"/>
      <c r="Z987" s="25"/>
      <c r="AA987" s="99"/>
      <c r="AB987" s="3" t="str">
        <f>IF(BCP_Soles[[#This Row],[FECHA]]&gt;0,TEXT(BCP_Soles[[#This Row],[FECHA]],"mmmm"),0)</f>
        <v>Marzo</v>
      </c>
    </row>
    <row r="988" spans="2:28" ht="36" x14ac:dyDescent="0.3">
      <c r="B988" s="2">
        <f>IF(BCP_Soles[[#This Row],[TIPO DE R.]]="R",COUNTIFS($D$4:$D987,"R")+1,"")</f>
        <v>769</v>
      </c>
      <c r="C988" s="19" t="str">
        <f t="shared" si="75"/>
        <v>B-BCP - Soles</v>
      </c>
      <c r="D988" s="3" t="s">
        <v>1074</v>
      </c>
      <c r="E988" s="14">
        <v>45742</v>
      </c>
      <c r="F988" s="5" t="s">
        <v>1996</v>
      </c>
      <c r="G988" s="5" t="s">
        <v>1079</v>
      </c>
      <c r="H988" s="6"/>
      <c r="I988" s="6"/>
      <c r="J988" s="6"/>
      <c r="K988" s="6"/>
      <c r="L988" s="7" t="s">
        <v>2141</v>
      </c>
      <c r="M988" s="8">
        <v>1199564</v>
      </c>
      <c r="N988" s="8" t="str">
        <f t="shared" si="76"/>
        <v>PEN</v>
      </c>
      <c r="O988" s="13"/>
      <c r="P988" s="13">
        <v>175</v>
      </c>
      <c r="Q988" s="3">
        <f t="shared" si="77"/>
        <v>0</v>
      </c>
      <c r="R988" s="3">
        <f t="shared" si="78"/>
        <v>175</v>
      </c>
      <c r="S988" s="3">
        <f t="shared" si="79"/>
        <v>98950.879999999961</v>
      </c>
      <c r="T988" s="24" t="s">
        <v>1081</v>
      </c>
      <c r="U988" s="24" t="s">
        <v>1081</v>
      </c>
      <c r="V988" s="67"/>
      <c r="W988" s="25" t="str">
        <f>IFERROR(VLOOKUP(BCP_Soles[[#This Row],[DESTINATARIO]],CHOOSE({1,2},Clientes_Proveedores[Razon Social],Clientes_Proveedores[Ruc / Dni]),2,0),"")</f>
        <v/>
      </c>
      <c r="X988" s="25" t="s">
        <v>76</v>
      </c>
      <c r="Y988" s="25" t="s">
        <v>2142</v>
      </c>
      <c r="Z988" s="25"/>
      <c r="AA988" s="99"/>
      <c r="AB988" s="3" t="str">
        <f>IF(BCP_Soles[[#This Row],[FECHA]]&gt;0,TEXT(BCP_Soles[[#This Row],[FECHA]],"mmmm"),0)</f>
        <v>Marzo</v>
      </c>
    </row>
    <row r="989" spans="2:28" ht="24" x14ac:dyDescent="0.3">
      <c r="B989" s="2">
        <f>IF(BCP_Soles[[#This Row],[TIPO DE R.]]="R",COUNTIFS($D$4:$D988,"R")+1,"")</f>
        <v>770</v>
      </c>
      <c r="C989" s="19" t="str">
        <f t="shared" si="75"/>
        <v>B-BCP - Soles</v>
      </c>
      <c r="D989" s="3" t="s">
        <v>1074</v>
      </c>
      <c r="E989" s="14">
        <v>45742</v>
      </c>
      <c r="F989" s="5" t="s">
        <v>1082</v>
      </c>
      <c r="G989" s="5" t="s">
        <v>1079</v>
      </c>
      <c r="H989" s="6" t="s">
        <v>192</v>
      </c>
      <c r="I989" s="6"/>
      <c r="J989" s="6"/>
      <c r="K989" s="6"/>
      <c r="L989" s="7" t="s">
        <v>2143</v>
      </c>
      <c r="M989" s="8">
        <v>1116477</v>
      </c>
      <c r="N989" s="8" t="str">
        <f t="shared" si="76"/>
        <v>PEN</v>
      </c>
      <c r="O989" s="13"/>
      <c r="P989" s="13">
        <v>188.8</v>
      </c>
      <c r="Q989" s="3">
        <f t="shared" si="77"/>
        <v>0</v>
      </c>
      <c r="R989" s="3">
        <f t="shared" si="78"/>
        <v>188.8</v>
      </c>
      <c r="S989" s="3">
        <f t="shared" si="79"/>
        <v>98762.079999999958</v>
      </c>
      <c r="T989" s="24"/>
      <c r="U989" s="24"/>
      <c r="V989" s="67"/>
      <c r="W989" s="25">
        <f>IFERROR(VLOOKUP(BCP_Soles[[#This Row],[DESTINATARIO]],CHOOSE({1,2},Clientes_Proveedores[Razon Social],Clientes_Proveedores[Ruc / Dni]),2,0),"")</f>
        <v>20302891452</v>
      </c>
      <c r="X989" s="25" t="s">
        <v>192</v>
      </c>
      <c r="Y989" s="25"/>
      <c r="Z989" s="25"/>
      <c r="AA989" s="99"/>
      <c r="AB989" s="3" t="str">
        <f>IF(BCP_Soles[[#This Row],[FECHA]]&gt;0,TEXT(BCP_Soles[[#This Row],[FECHA]],"mmmm"),0)</f>
        <v>Marzo</v>
      </c>
    </row>
    <row r="990" spans="2:28" ht="36" x14ac:dyDescent="0.3">
      <c r="B990" s="2">
        <f>IF(BCP_Soles[[#This Row],[TIPO DE R.]]="R",COUNTIFS($D$4:$D989,"R")+1,"")</f>
        <v>771</v>
      </c>
      <c r="C990" s="19" t="str">
        <f t="shared" si="75"/>
        <v>B-BCP - Soles</v>
      </c>
      <c r="D990" s="3" t="s">
        <v>1074</v>
      </c>
      <c r="E990" s="14">
        <v>45742</v>
      </c>
      <c r="F990" s="5" t="s">
        <v>1996</v>
      </c>
      <c r="G990" s="5" t="s">
        <v>1079</v>
      </c>
      <c r="H990" s="6" t="s">
        <v>511</v>
      </c>
      <c r="I990" s="6" t="s">
        <v>14</v>
      </c>
      <c r="J990" s="6" t="s">
        <v>1121</v>
      </c>
      <c r="K990" s="6">
        <v>608</v>
      </c>
      <c r="L990" s="7" t="s">
        <v>2144</v>
      </c>
      <c r="M990" s="8">
        <v>1200065</v>
      </c>
      <c r="N990" s="8" t="str">
        <f t="shared" si="76"/>
        <v>PEN</v>
      </c>
      <c r="O990" s="13"/>
      <c r="P990" s="13">
        <v>680</v>
      </c>
      <c r="Q990" s="3">
        <f t="shared" si="77"/>
        <v>0</v>
      </c>
      <c r="R990" s="3">
        <f t="shared" si="78"/>
        <v>680</v>
      </c>
      <c r="S990" s="3">
        <f t="shared" si="79"/>
        <v>98082.079999999958</v>
      </c>
      <c r="T990" s="24" t="s">
        <v>1081</v>
      </c>
      <c r="U990" s="24" t="s">
        <v>1081</v>
      </c>
      <c r="V990" s="67"/>
      <c r="W990" s="25">
        <f>IFERROR(VLOOKUP(BCP_Soles[[#This Row],[DESTINATARIO]],CHOOSE({1,2},Clientes_Proveedores[Razon Social],Clientes_Proveedores[Ruc / Dni]),2,0),"")</f>
        <v>20608686747</v>
      </c>
      <c r="X990" s="25" t="s">
        <v>2145</v>
      </c>
      <c r="Y990" s="25" t="s">
        <v>2146</v>
      </c>
      <c r="Z990" s="25"/>
      <c r="AA990" s="99"/>
      <c r="AB990" s="3" t="str">
        <f>IF(BCP_Soles[[#This Row],[FECHA]]&gt;0,TEXT(BCP_Soles[[#This Row],[FECHA]],"mmmm"),0)</f>
        <v>Marzo</v>
      </c>
    </row>
    <row r="991" spans="2:28" ht="36" x14ac:dyDescent="0.3">
      <c r="B991" s="2">
        <f>IF(BCP_Soles[[#This Row],[TIPO DE R.]]="R",COUNTIFS($D$4:$D990,"R")+1,"")</f>
        <v>772</v>
      </c>
      <c r="C991" s="19" t="str">
        <f t="shared" si="75"/>
        <v>B-BCP - Soles</v>
      </c>
      <c r="D991" s="3" t="s">
        <v>1074</v>
      </c>
      <c r="E991" s="14">
        <v>45742</v>
      </c>
      <c r="F991" s="5" t="s">
        <v>1996</v>
      </c>
      <c r="G991" s="5" t="s">
        <v>1079</v>
      </c>
      <c r="H991" s="6" t="s">
        <v>889</v>
      </c>
      <c r="I991" s="6"/>
      <c r="J991" s="6"/>
      <c r="K991" s="6"/>
      <c r="L991" s="7" t="s">
        <v>7904</v>
      </c>
      <c r="M991" s="8">
        <v>1210968</v>
      </c>
      <c r="N991" s="8" t="str">
        <f t="shared" si="76"/>
        <v>PEN</v>
      </c>
      <c r="O991" s="13"/>
      <c r="P991" s="13">
        <v>1896.4</v>
      </c>
      <c r="Q991" s="3">
        <f t="shared" si="77"/>
        <v>0</v>
      </c>
      <c r="R991" s="3">
        <f t="shared" si="78"/>
        <v>1896.4</v>
      </c>
      <c r="S991" s="3">
        <f t="shared" si="79"/>
        <v>96185.679999999964</v>
      </c>
      <c r="T991" s="24"/>
      <c r="U991" s="24"/>
      <c r="V991" s="67"/>
      <c r="W991" s="25">
        <f>IFERROR(VLOOKUP(BCP_Soles[[#This Row],[DESTINATARIO]],CHOOSE({1,2},Clientes_Proveedores[Razon Social],Clientes_Proveedores[Ruc / Dni]),2,0),"")</f>
        <v>71311214</v>
      </c>
      <c r="X991" s="25" t="s">
        <v>889</v>
      </c>
      <c r="Y991" s="25"/>
      <c r="Z991" s="25"/>
      <c r="AA991" s="99"/>
      <c r="AB991" s="3" t="str">
        <f>IF(BCP_Soles[[#This Row],[FECHA]]&gt;0,TEXT(BCP_Soles[[#This Row],[FECHA]],"mmmm"),0)</f>
        <v>Marzo</v>
      </c>
    </row>
    <row r="992" spans="2:28" ht="48" x14ac:dyDescent="0.3">
      <c r="B992" s="2">
        <f>IF(BCP_Soles[[#This Row],[TIPO DE R.]]="R",COUNTIFS($D$4:$D991,"R")+1,"")</f>
        <v>773</v>
      </c>
      <c r="C992" s="19" t="str">
        <f t="shared" si="75"/>
        <v>B-BCP - Soles</v>
      </c>
      <c r="D992" s="3" t="s">
        <v>1074</v>
      </c>
      <c r="E992" s="14">
        <v>45742</v>
      </c>
      <c r="F992" s="5" t="s">
        <v>1082</v>
      </c>
      <c r="G992" s="5" t="s">
        <v>1079</v>
      </c>
      <c r="H992" s="6"/>
      <c r="I992" s="6" t="s">
        <v>14</v>
      </c>
      <c r="J992" s="6" t="s">
        <v>2148</v>
      </c>
      <c r="K992" s="6">
        <v>106078</v>
      </c>
      <c r="L992" s="7" t="s">
        <v>2149</v>
      </c>
      <c r="M992" s="8">
        <v>1115990</v>
      </c>
      <c r="N992" s="8" t="str">
        <f t="shared" si="76"/>
        <v>PEN</v>
      </c>
      <c r="O992" s="13"/>
      <c r="P992" s="13">
        <v>2206.88</v>
      </c>
      <c r="Q992" s="3">
        <f t="shared" si="77"/>
        <v>0</v>
      </c>
      <c r="R992" s="3">
        <f t="shared" si="78"/>
        <v>2206.88</v>
      </c>
      <c r="S992" s="3">
        <f t="shared" si="79"/>
        <v>93978.799999999959</v>
      </c>
      <c r="T992" s="24" t="s">
        <v>1081</v>
      </c>
      <c r="U992" s="24" t="s">
        <v>1081</v>
      </c>
      <c r="V992" s="67"/>
      <c r="W992" s="25" t="str">
        <f>IFERROR(VLOOKUP(BCP_Soles[[#This Row],[DESTINATARIO]],CHOOSE({1,2},Clientes_Proveedores[Razon Social],Clientes_Proveedores[Ruc / Dni]),2,0),"")</f>
        <v/>
      </c>
      <c r="X992" s="25" t="s">
        <v>1999</v>
      </c>
      <c r="Y992" s="25" t="s">
        <v>2150</v>
      </c>
      <c r="Z992" s="25"/>
      <c r="AA992" s="99"/>
      <c r="AB992" s="3" t="str">
        <f>IF(BCP_Soles[[#This Row],[FECHA]]&gt;0,TEXT(BCP_Soles[[#This Row],[FECHA]],"mmmm"),0)</f>
        <v>Marzo</v>
      </c>
    </row>
    <row r="993" spans="2:28" ht="48" x14ac:dyDescent="0.3">
      <c r="B993" s="2">
        <f>IF(BCP_Soles[[#This Row],[TIPO DE R.]]="R",COUNTIFS($D$4:$D992,"R")+1,"")</f>
        <v>774</v>
      </c>
      <c r="C993" s="19" t="str">
        <f t="shared" si="75"/>
        <v>B-BCP - Soles</v>
      </c>
      <c r="D993" s="3" t="s">
        <v>1074</v>
      </c>
      <c r="E993" s="14">
        <v>45743</v>
      </c>
      <c r="F993" s="5" t="s">
        <v>1996</v>
      </c>
      <c r="G993" s="5" t="s">
        <v>1079</v>
      </c>
      <c r="H993" s="6" t="s">
        <v>444</v>
      </c>
      <c r="I993" s="6" t="s">
        <v>14</v>
      </c>
      <c r="J993" s="6" t="s">
        <v>1266</v>
      </c>
      <c r="K993" s="6">
        <v>9840</v>
      </c>
      <c r="L993" s="7" t="s">
        <v>2151</v>
      </c>
      <c r="M993" s="8">
        <v>1010111</v>
      </c>
      <c r="N993" s="8" t="str">
        <f t="shared" si="76"/>
        <v>PEN</v>
      </c>
      <c r="O993" s="13"/>
      <c r="P993" s="13">
        <v>266.43</v>
      </c>
      <c r="Q993" s="3">
        <f t="shared" si="77"/>
        <v>0</v>
      </c>
      <c r="R993" s="3">
        <f t="shared" si="78"/>
        <v>266.43</v>
      </c>
      <c r="S993" s="3">
        <f t="shared" si="79"/>
        <v>93712.369999999966</v>
      </c>
      <c r="T993" s="24" t="s">
        <v>1081</v>
      </c>
      <c r="U993" s="24" t="s">
        <v>1081</v>
      </c>
      <c r="V993" s="67"/>
      <c r="W993" s="25">
        <f>IFERROR(VLOOKUP(BCP_Soles[[#This Row],[DESTINATARIO]],CHOOSE({1,2},Clientes_Proveedores[Razon Social],Clientes_Proveedores[Ruc / Dni]),2,0),"")</f>
        <v>20602978274</v>
      </c>
      <c r="X993" s="25" t="s">
        <v>1268</v>
      </c>
      <c r="Y993" s="25" t="s">
        <v>2152</v>
      </c>
      <c r="Z993" s="25"/>
      <c r="AA993" s="99"/>
      <c r="AB993" s="3" t="str">
        <f>IF(BCP_Soles[[#This Row],[FECHA]]&gt;0,TEXT(BCP_Soles[[#This Row],[FECHA]],"mmmm"),0)</f>
        <v>Marzo</v>
      </c>
    </row>
    <row r="994" spans="2:28" ht="24" x14ac:dyDescent="0.3">
      <c r="B994" s="2">
        <f>IF(BCP_Soles[[#This Row],[TIPO DE R.]]="R",COUNTIFS($D$4:$D993,"R")+1,"")</f>
        <v>775</v>
      </c>
      <c r="C994" s="19" t="str">
        <f t="shared" si="75"/>
        <v>B-BCP - Soles</v>
      </c>
      <c r="D994" s="3" t="s">
        <v>1074</v>
      </c>
      <c r="E994" s="14">
        <v>45743</v>
      </c>
      <c r="F994" s="5" t="s">
        <v>1435</v>
      </c>
      <c r="G994" s="5" t="s">
        <v>1087</v>
      </c>
      <c r="H994" s="6"/>
      <c r="I994" s="6"/>
      <c r="J994" s="6"/>
      <c r="K994" s="6"/>
      <c r="L994" s="7" t="s">
        <v>1100</v>
      </c>
      <c r="M994" s="8">
        <v>1188348</v>
      </c>
      <c r="N994" s="8" t="str">
        <f t="shared" si="76"/>
        <v>PEN</v>
      </c>
      <c r="O994" s="13"/>
      <c r="P994" s="13">
        <v>1210</v>
      </c>
      <c r="Q994" s="3">
        <f t="shared" si="77"/>
        <v>1210</v>
      </c>
      <c r="R994" s="3">
        <f t="shared" si="78"/>
        <v>0</v>
      </c>
      <c r="S994" s="3">
        <f t="shared" si="79"/>
        <v>94922.369999999966</v>
      </c>
      <c r="T994" s="24" t="s">
        <v>1081</v>
      </c>
      <c r="U994" s="24" t="s">
        <v>1081</v>
      </c>
      <c r="V994" s="67"/>
      <c r="W994" s="25" t="str">
        <f>IFERROR(VLOOKUP(BCP_Soles[[#This Row],[DESTINATARIO]],CHOOSE({1,2},Clientes_Proveedores[Razon Social],Clientes_Proveedores[Ruc / Dni]),2,0),"")</f>
        <v/>
      </c>
      <c r="X994" s="25" t="s">
        <v>1090</v>
      </c>
      <c r="Y994" s="25" t="s">
        <v>2153</v>
      </c>
      <c r="Z994" s="25"/>
      <c r="AA994" s="99"/>
      <c r="AB994" s="3" t="str">
        <f>IF(BCP_Soles[[#This Row],[FECHA]]&gt;0,TEXT(BCP_Soles[[#This Row],[FECHA]],"mmmm"),0)</f>
        <v>Marzo</v>
      </c>
    </row>
    <row r="995" spans="2:28" ht="24" x14ac:dyDescent="0.3">
      <c r="B995" s="2">
        <f>IF(BCP_Soles[[#This Row],[TIPO DE R.]]="R",COUNTIFS($D$4:$D994,"R")+1,"")</f>
        <v>776</v>
      </c>
      <c r="C995" s="19" t="str">
        <f t="shared" si="75"/>
        <v>B-BCP - Soles</v>
      </c>
      <c r="D995" s="3" t="s">
        <v>1074</v>
      </c>
      <c r="E995" s="14">
        <v>45743</v>
      </c>
      <c r="F995" s="5" t="s">
        <v>147</v>
      </c>
      <c r="G995" s="5" t="s">
        <v>1087</v>
      </c>
      <c r="H995" s="6"/>
      <c r="I995" s="6"/>
      <c r="J995" s="6"/>
      <c r="K995" s="6"/>
      <c r="L995" s="7" t="s">
        <v>2154</v>
      </c>
      <c r="M995" s="8">
        <v>7257707</v>
      </c>
      <c r="N995" s="8" t="str">
        <f t="shared" si="76"/>
        <v>PEN</v>
      </c>
      <c r="O995" s="13"/>
      <c r="P995" s="13">
        <v>16108.98</v>
      </c>
      <c r="Q995" s="3">
        <f t="shared" si="77"/>
        <v>16108.98</v>
      </c>
      <c r="R995" s="3">
        <f t="shared" si="78"/>
        <v>0</v>
      </c>
      <c r="S995" s="3">
        <f t="shared" si="79"/>
        <v>111031.34999999996</v>
      </c>
      <c r="T995" s="24" t="s">
        <v>1081</v>
      </c>
      <c r="U995" s="24" t="s">
        <v>1081</v>
      </c>
      <c r="V995" s="67"/>
      <c r="W995" s="25" t="str">
        <f>IFERROR(VLOOKUP(BCP_Soles[[#This Row],[DESTINATARIO]],CHOOSE({1,2},Clientes_Proveedores[Razon Social],Clientes_Proveedores[Ruc / Dni]),2,0),"")</f>
        <v/>
      </c>
      <c r="X995" s="25" t="s">
        <v>1090</v>
      </c>
      <c r="Y995" s="25" t="s">
        <v>2155</v>
      </c>
      <c r="Z995" s="25"/>
      <c r="AA995" s="99"/>
      <c r="AB995" s="3" t="str">
        <f>IF(BCP_Soles[[#This Row],[FECHA]]&gt;0,TEXT(BCP_Soles[[#This Row],[FECHA]],"mmmm"),0)</f>
        <v>Marzo</v>
      </c>
    </row>
    <row r="996" spans="2:28" x14ac:dyDescent="0.3">
      <c r="B996" s="2">
        <f>IF(BCP_Soles[[#This Row],[TIPO DE R.]]="R",COUNTIFS($D$4:$D995,"R")+1,"")</f>
        <v>777</v>
      </c>
      <c r="C996" s="19" t="str">
        <f t="shared" si="75"/>
        <v>B-BCP - Soles</v>
      </c>
      <c r="D996" s="3" t="s">
        <v>1074</v>
      </c>
      <c r="E996" s="14">
        <v>45743</v>
      </c>
      <c r="F996" s="5"/>
      <c r="G996" s="5" t="s">
        <v>1087</v>
      </c>
      <c r="H996" s="6"/>
      <c r="I996" s="6"/>
      <c r="J996" s="6"/>
      <c r="K996" s="6"/>
      <c r="L996" s="7" t="s">
        <v>2156</v>
      </c>
      <c r="M996" s="8">
        <v>158209</v>
      </c>
      <c r="N996" s="8" t="str">
        <f t="shared" si="76"/>
        <v>PEN</v>
      </c>
      <c r="O996" s="13"/>
      <c r="P996" s="13">
        <v>1970.6</v>
      </c>
      <c r="Q996" s="3">
        <f t="shared" si="77"/>
        <v>1970.6</v>
      </c>
      <c r="R996" s="3">
        <f t="shared" si="78"/>
        <v>0</v>
      </c>
      <c r="S996" s="3">
        <f t="shared" si="79"/>
        <v>113001.94999999997</v>
      </c>
      <c r="T996" s="24"/>
      <c r="U996" s="24"/>
      <c r="V996" s="67"/>
      <c r="W996" s="25" t="str">
        <f>IFERROR(VLOOKUP(BCP_Soles[[#This Row],[DESTINATARIO]],CHOOSE({1,2},Clientes_Proveedores[Razon Social],Clientes_Proveedores[Ruc / Dni]),2,0),"")</f>
        <v/>
      </c>
      <c r="X996" s="25" t="s">
        <v>1090</v>
      </c>
      <c r="Y996" s="25"/>
      <c r="Z996" s="25"/>
      <c r="AA996" s="99"/>
      <c r="AB996" s="3" t="str">
        <f>IF(BCP_Soles[[#This Row],[FECHA]]&gt;0,TEXT(BCP_Soles[[#This Row],[FECHA]],"mmmm"),0)</f>
        <v>Marzo</v>
      </c>
    </row>
    <row r="997" spans="2:28" x14ac:dyDescent="0.3">
      <c r="B997" s="2">
        <f>IF(BCP_Soles[[#This Row],[TIPO DE R.]]="R",COUNTIFS($D$4:$D996,"R")+1,"")</f>
        <v>778</v>
      </c>
      <c r="C997" s="19" t="str">
        <f t="shared" si="75"/>
        <v>B-BCP - Soles</v>
      </c>
      <c r="D997" s="3" t="s">
        <v>1074</v>
      </c>
      <c r="E997" s="14">
        <v>45743</v>
      </c>
      <c r="F997" s="5"/>
      <c r="G997" s="5" t="s">
        <v>1087</v>
      </c>
      <c r="H997" s="6"/>
      <c r="I997" s="6"/>
      <c r="J997" s="6"/>
      <c r="K997" s="6"/>
      <c r="L997" s="7" t="s">
        <v>2157</v>
      </c>
      <c r="M997" s="8">
        <v>158414</v>
      </c>
      <c r="N997" s="8" t="str">
        <f t="shared" si="76"/>
        <v>PEN</v>
      </c>
      <c r="O997" s="13"/>
      <c r="P997" s="13">
        <v>394.71</v>
      </c>
      <c r="Q997" s="3">
        <f t="shared" si="77"/>
        <v>394.71</v>
      </c>
      <c r="R997" s="3">
        <f t="shared" si="78"/>
        <v>0</v>
      </c>
      <c r="S997" s="3">
        <f t="shared" si="79"/>
        <v>113396.65999999997</v>
      </c>
      <c r="T997" s="24"/>
      <c r="U997" s="24"/>
      <c r="V997" s="67"/>
      <c r="W997" s="25" t="str">
        <f>IFERROR(VLOOKUP(BCP_Soles[[#This Row],[DESTINATARIO]],CHOOSE({1,2},Clientes_Proveedores[Razon Social],Clientes_Proveedores[Ruc / Dni]),2,0),"")</f>
        <v/>
      </c>
      <c r="X997" s="25" t="s">
        <v>1090</v>
      </c>
      <c r="Y997" s="25"/>
      <c r="Z997" s="25"/>
      <c r="AA997" s="99"/>
      <c r="AB997" s="3" t="str">
        <f>IF(BCP_Soles[[#This Row],[FECHA]]&gt;0,TEXT(BCP_Soles[[#This Row],[FECHA]],"mmmm"),0)</f>
        <v>Marzo</v>
      </c>
    </row>
    <row r="998" spans="2:28" x14ac:dyDescent="0.3">
      <c r="B998" s="2">
        <f>IF(BCP_Soles[[#This Row],[TIPO DE R.]]="R",COUNTIFS($D$4:$D997,"R")+1,"")</f>
        <v>779</v>
      </c>
      <c r="C998" s="19" t="str">
        <f t="shared" si="75"/>
        <v>B-BCP - Soles</v>
      </c>
      <c r="D998" s="3" t="s">
        <v>1074</v>
      </c>
      <c r="E998" s="14">
        <v>45743</v>
      </c>
      <c r="F998" s="5" t="s">
        <v>1078</v>
      </c>
      <c r="G998" s="5" t="s">
        <v>1079</v>
      </c>
      <c r="H998" s="6"/>
      <c r="I998" s="6"/>
      <c r="J998" s="6"/>
      <c r="K998" s="6"/>
      <c r="L998" s="7" t="s">
        <v>1080</v>
      </c>
      <c r="M998" s="8"/>
      <c r="N998" s="8" t="str">
        <f t="shared" si="76"/>
        <v>PEN</v>
      </c>
      <c r="O998" s="13"/>
      <c r="P998" s="13">
        <v>0.95</v>
      </c>
      <c r="Q998" s="3">
        <f t="shared" si="77"/>
        <v>0</v>
      </c>
      <c r="R998" s="3">
        <f t="shared" si="78"/>
        <v>0.95</v>
      </c>
      <c r="S998" s="3">
        <f t="shared" si="79"/>
        <v>113395.70999999998</v>
      </c>
      <c r="T998" s="24"/>
      <c r="U998" s="24" t="s">
        <v>1081</v>
      </c>
      <c r="V998" s="67"/>
      <c r="W998" s="25" t="str">
        <f>IFERROR(VLOOKUP(BCP_Soles[[#This Row],[DESTINATARIO]],CHOOSE({1,2},Clientes_Proveedores[Razon Social],Clientes_Proveedores[Ruc / Dni]),2,0),"")</f>
        <v/>
      </c>
      <c r="X998" s="25"/>
      <c r="Y998" s="25"/>
      <c r="Z998" s="25"/>
      <c r="AA998" s="99"/>
      <c r="AB998" s="3" t="str">
        <f>IF(BCP_Soles[[#This Row],[FECHA]]&gt;0,TEXT(BCP_Soles[[#This Row],[FECHA]],"mmmm"),0)</f>
        <v>Marzo</v>
      </c>
    </row>
    <row r="999" spans="2:28" ht="36" x14ac:dyDescent="0.3">
      <c r="B999" s="2">
        <f>IF(BCP_Soles[[#This Row],[TIPO DE R.]]="R",COUNTIFS($D$4:$D998,"R")+1,"")</f>
        <v>780</v>
      </c>
      <c r="C999" s="19" t="str">
        <f t="shared" si="75"/>
        <v>B-BCP - Soles</v>
      </c>
      <c r="D999" s="3" t="s">
        <v>1074</v>
      </c>
      <c r="E999" s="14">
        <v>45743</v>
      </c>
      <c r="F999" s="5" t="s">
        <v>1082</v>
      </c>
      <c r="G999" s="5" t="s">
        <v>1079</v>
      </c>
      <c r="H999" s="6" t="s">
        <v>268</v>
      </c>
      <c r="I999" s="6" t="s">
        <v>14</v>
      </c>
      <c r="J999" s="6" t="s">
        <v>1121</v>
      </c>
      <c r="K999" s="6">
        <v>4534</v>
      </c>
      <c r="L999" s="7" t="s">
        <v>2158</v>
      </c>
      <c r="M999" s="8">
        <v>1211966</v>
      </c>
      <c r="N999" s="8" t="str">
        <f t="shared" si="76"/>
        <v>PEN</v>
      </c>
      <c r="O999" s="13"/>
      <c r="P999" s="13">
        <v>94.4</v>
      </c>
      <c r="Q999" s="3">
        <f t="shared" si="77"/>
        <v>0</v>
      </c>
      <c r="R999" s="3">
        <f t="shared" si="78"/>
        <v>94.4</v>
      </c>
      <c r="S999" s="3">
        <f t="shared" si="79"/>
        <v>113301.30999999998</v>
      </c>
      <c r="T999" s="24" t="s">
        <v>1081</v>
      </c>
      <c r="U999" s="24" t="s">
        <v>1081</v>
      </c>
      <c r="V999" s="67"/>
      <c r="W999" s="25">
        <f>IFERROR(VLOOKUP(BCP_Soles[[#This Row],[DESTINATARIO]],CHOOSE({1,2},Clientes_Proveedores[Razon Social],Clientes_Proveedores[Ruc / Dni]),2,0),"")</f>
        <v>20497262101</v>
      </c>
      <c r="X999" s="25" t="s">
        <v>268</v>
      </c>
      <c r="Y999" s="25" t="s">
        <v>2159</v>
      </c>
      <c r="Z999" s="25"/>
      <c r="AA999" s="99"/>
      <c r="AB999" s="3" t="str">
        <f>IF(BCP_Soles[[#This Row],[FECHA]]&gt;0,TEXT(BCP_Soles[[#This Row],[FECHA]],"mmmm"),0)</f>
        <v>Marzo</v>
      </c>
    </row>
    <row r="1000" spans="2:28" ht="60" x14ac:dyDescent="0.3">
      <c r="B1000" s="2">
        <f>IF(BCP_Soles[[#This Row],[TIPO DE R.]]="R",COUNTIFS($D$4:$D999,"R")+1,"")</f>
        <v>781</v>
      </c>
      <c r="C1000" s="19" t="str">
        <f t="shared" si="75"/>
        <v>B-BCP - Soles</v>
      </c>
      <c r="D1000" s="3" t="s">
        <v>1074</v>
      </c>
      <c r="E1000" s="14">
        <v>45743</v>
      </c>
      <c r="F1000" s="5" t="s">
        <v>1082</v>
      </c>
      <c r="G1000" s="5" t="s">
        <v>1079</v>
      </c>
      <c r="H1000" s="6" t="s">
        <v>612</v>
      </c>
      <c r="I1000" s="6" t="s">
        <v>14</v>
      </c>
      <c r="J1000" s="6" t="s">
        <v>1119</v>
      </c>
      <c r="K1000" s="6">
        <v>50</v>
      </c>
      <c r="L1000" s="7" t="s">
        <v>2160</v>
      </c>
      <c r="M1000" s="8">
        <v>1214502</v>
      </c>
      <c r="N1000" s="8" t="str">
        <f t="shared" si="76"/>
        <v>PEN</v>
      </c>
      <c r="O1000" s="13"/>
      <c r="P1000" s="13">
        <v>188.8</v>
      </c>
      <c r="Q1000" s="3">
        <f t="shared" si="77"/>
        <v>0</v>
      </c>
      <c r="R1000" s="3">
        <f t="shared" si="78"/>
        <v>188.8</v>
      </c>
      <c r="S1000" s="3">
        <f t="shared" si="79"/>
        <v>113112.50999999998</v>
      </c>
      <c r="T1000" s="24" t="s">
        <v>1081</v>
      </c>
      <c r="U1000" s="24" t="s">
        <v>1081</v>
      </c>
      <c r="V1000" s="67"/>
      <c r="W1000" s="25">
        <f>IFERROR(VLOOKUP(BCP_Soles[[#This Row],[DESTINATARIO]],CHOOSE({1,2},Clientes_Proveedores[Razon Social],Clientes_Proveedores[Ruc / Dni]),2,0),"")</f>
        <v>20523363337</v>
      </c>
      <c r="X1000" s="25" t="s">
        <v>1928</v>
      </c>
      <c r="Y1000" s="25" t="s">
        <v>2161</v>
      </c>
      <c r="Z1000" s="25"/>
      <c r="AA1000" s="99"/>
      <c r="AB1000" s="3" t="str">
        <f>IF(BCP_Soles[[#This Row],[FECHA]]&gt;0,TEXT(BCP_Soles[[#This Row],[FECHA]],"mmmm"),0)</f>
        <v>Marzo</v>
      </c>
    </row>
    <row r="1001" spans="2:28" x14ac:dyDescent="0.3">
      <c r="B1001" s="2">
        <f>IF(BCP_Soles[[#This Row],[TIPO DE R.]]="R",COUNTIFS($D$4:$D1000,"R")+1,"")</f>
        <v>782</v>
      </c>
      <c r="C1001" s="19" t="str">
        <f t="shared" si="75"/>
        <v>B-BCP - Soles</v>
      </c>
      <c r="D1001" s="3" t="s">
        <v>1074</v>
      </c>
      <c r="E1001" s="14">
        <v>45743</v>
      </c>
      <c r="F1001" s="5" t="s">
        <v>1996</v>
      </c>
      <c r="G1001" s="5" t="s">
        <v>1079</v>
      </c>
      <c r="H1001" s="6" t="s">
        <v>590</v>
      </c>
      <c r="I1001" s="6" t="s">
        <v>14</v>
      </c>
      <c r="J1001" s="6" t="s">
        <v>1119</v>
      </c>
      <c r="K1001" s="6">
        <v>1012207</v>
      </c>
      <c r="L1001" s="7" t="s">
        <v>1585</v>
      </c>
      <c r="M1001" s="8">
        <v>212521</v>
      </c>
      <c r="N1001" s="8" t="str">
        <f t="shared" si="76"/>
        <v>PEN</v>
      </c>
      <c r="O1001" s="13"/>
      <c r="P1001" s="13">
        <v>198.83</v>
      </c>
      <c r="Q1001" s="3">
        <f t="shared" si="77"/>
        <v>0</v>
      </c>
      <c r="R1001" s="3">
        <f t="shared" si="78"/>
        <v>198.83</v>
      </c>
      <c r="S1001" s="3">
        <f t="shared" si="79"/>
        <v>112913.67999999998</v>
      </c>
      <c r="T1001" s="24" t="s">
        <v>1081</v>
      </c>
      <c r="U1001" s="24" t="s">
        <v>1081</v>
      </c>
      <c r="V1001" s="67"/>
      <c r="W1001" s="25">
        <f>IFERROR(VLOOKUP(BCP_Soles[[#This Row],[DESTINATARIO]],CHOOSE({1,2},Clientes_Proveedores[Razon Social],Clientes_Proveedores[Ruc / Dni]),2,0),"")</f>
        <v>20265681299</v>
      </c>
      <c r="X1001" s="25" t="s">
        <v>590</v>
      </c>
      <c r="Y1001" s="25" t="s">
        <v>2162</v>
      </c>
      <c r="Z1001" s="25"/>
      <c r="AA1001" s="99"/>
      <c r="AB1001" s="3" t="str">
        <f>IF(BCP_Soles[[#This Row],[FECHA]]&gt;0,TEXT(BCP_Soles[[#This Row],[FECHA]],"mmmm"),0)</f>
        <v>Marzo</v>
      </c>
    </row>
    <row r="1002" spans="2:28" ht="24" x14ac:dyDescent="0.3">
      <c r="B1002" s="2">
        <f>IF(BCP_Soles[[#This Row],[TIPO DE R.]]="R",COUNTIFS($D$4:$D1001,"R")+1,"")</f>
        <v>783</v>
      </c>
      <c r="C1002" s="19" t="str">
        <f t="shared" si="75"/>
        <v>B-BCP - Soles</v>
      </c>
      <c r="D1002" s="3" t="s">
        <v>1074</v>
      </c>
      <c r="E1002" s="14">
        <v>45743</v>
      </c>
      <c r="F1002" s="5" t="s">
        <v>1082</v>
      </c>
      <c r="G1002" s="5" t="s">
        <v>1079</v>
      </c>
      <c r="H1002" s="6"/>
      <c r="I1002" s="6"/>
      <c r="J1002" s="6"/>
      <c r="K1002" s="6"/>
      <c r="L1002" s="7" t="s">
        <v>2163</v>
      </c>
      <c r="M1002" s="8">
        <v>1211967</v>
      </c>
      <c r="N1002" s="8" t="str">
        <f t="shared" si="76"/>
        <v>PEN</v>
      </c>
      <c r="O1002" s="13"/>
      <c r="P1002" s="13">
        <v>490</v>
      </c>
      <c r="Q1002" s="3">
        <f t="shared" si="77"/>
        <v>0</v>
      </c>
      <c r="R1002" s="3">
        <f t="shared" si="78"/>
        <v>490</v>
      </c>
      <c r="S1002" s="3">
        <f t="shared" si="79"/>
        <v>112423.67999999998</v>
      </c>
      <c r="T1002" s="24" t="s">
        <v>1081</v>
      </c>
      <c r="U1002" s="24" t="s">
        <v>1081</v>
      </c>
      <c r="V1002" s="67"/>
      <c r="W1002" s="25" t="str">
        <f>IFERROR(VLOOKUP(BCP_Soles[[#This Row],[DESTINATARIO]],CHOOSE({1,2},Clientes_Proveedores[Razon Social],Clientes_Proveedores[Ruc / Dni]),2,0),"")</f>
        <v/>
      </c>
      <c r="X1002" s="25" t="s">
        <v>2164</v>
      </c>
      <c r="Y1002" s="25" t="s">
        <v>2165</v>
      </c>
      <c r="Z1002" s="25"/>
      <c r="AA1002" s="99"/>
      <c r="AB1002" s="3" t="str">
        <f>IF(BCP_Soles[[#This Row],[FECHA]]&gt;0,TEXT(BCP_Soles[[#This Row],[FECHA]],"mmmm"),0)</f>
        <v>Marzo</v>
      </c>
    </row>
    <row r="1003" spans="2:28" x14ac:dyDescent="0.3">
      <c r="B1003" s="2">
        <f>IF(BCP_Soles[[#This Row],[TIPO DE R.]]="R",COUNTIFS($D$4:$D1002,"R")+1,"")</f>
        <v>784</v>
      </c>
      <c r="C1003" s="19" t="str">
        <f t="shared" si="75"/>
        <v>B-BCP - Soles</v>
      </c>
      <c r="D1003" s="3" t="s">
        <v>1074</v>
      </c>
      <c r="E1003" s="14">
        <v>45743</v>
      </c>
      <c r="F1003" s="5" t="s">
        <v>1082</v>
      </c>
      <c r="G1003" s="5" t="s">
        <v>1079</v>
      </c>
      <c r="H1003" s="6" t="s">
        <v>637</v>
      </c>
      <c r="I1003" s="6" t="s">
        <v>14</v>
      </c>
      <c r="J1003" s="6" t="s">
        <v>1122</v>
      </c>
      <c r="K1003" s="6">
        <v>154433</v>
      </c>
      <c r="L1003" s="7" t="s">
        <v>1123</v>
      </c>
      <c r="M1003" s="8">
        <v>212522</v>
      </c>
      <c r="N1003" s="8" t="str">
        <f t="shared" si="76"/>
        <v>PEN</v>
      </c>
      <c r="O1003" s="13"/>
      <c r="P1003" s="13">
        <v>969.9</v>
      </c>
      <c r="Q1003" s="3">
        <f t="shared" si="77"/>
        <v>0</v>
      </c>
      <c r="R1003" s="3">
        <f t="shared" si="78"/>
        <v>969.9</v>
      </c>
      <c r="S1003" s="3">
        <f t="shared" si="79"/>
        <v>111453.77999999998</v>
      </c>
      <c r="T1003" s="24" t="s">
        <v>1081</v>
      </c>
      <c r="U1003" s="24" t="s">
        <v>1081</v>
      </c>
      <c r="V1003" s="67"/>
      <c r="W1003" s="25">
        <f>IFERROR(VLOOKUP(BCP_Soles[[#This Row],[DESTINATARIO]],CHOOSE({1,2},Clientes_Proveedores[Razon Social],Clientes_Proveedores[Ruc / Dni]),2,0),"")</f>
        <v>20127765279</v>
      </c>
      <c r="X1003" s="25" t="s">
        <v>1124</v>
      </c>
      <c r="Y1003" s="25" t="s">
        <v>2166</v>
      </c>
      <c r="Z1003" s="25"/>
      <c r="AA1003" s="99"/>
      <c r="AB1003" s="3" t="str">
        <f>IF(BCP_Soles[[#This Row],[FECHA]]&gt;0,TEXT(BCP_Soles[[#This Row],[FECHA]],"mmmm"),0)</f>
        <v>Marzo</v>
      </c>
    </row>
    <row r="1004" spans="2:28" x14ac:dyDescent="0.3">
      <c r="B1004" s="2">
        <f>IF(BCP_Soles[[#This Row],[TIPO DE R.]]="R",COUNTIFS($D$4:$D1003,"R")+1,"")</f>
        <v>785</v>
      </c>
      <c r="C1004" s="19" t="str">
        <f t="shared" si="75"/>
        <v>B-BCP - Soles</v>
      </c>
      <c r="D1004" s="3" t="s">
        <v>1074</v>
      </c>
      <c r="E1004" s="14">
        <v>45743</v>
      </c>
      <c r="F1004" s="5" t="s">
        <v>1082</v>
      </c>
      <c r="G1004" s="5" t="s">
        <v>1079</v>
      </c>
      <c r="H1004" s="6" t="s">
        <v>637</v>
      </c>
      <c r="I1004" s="6" t="s">
        <v>14</v>
      </c>
      <c r="J1004" s="6" t="s">
        <v>1122</v>
      </c>
      <c r="K1004" s="6">
        <v>154450</v>
      </c>
      <c r="L1004" s="7" t="s">
        <v>1123</v>
      </c>
      <c r="M1004" s="8">
        <v>214503</v>
      </c>
      <c r="N1004" s="8" t="str">
        <f t="shared" si="76"/>
        <v>PEN</v>
      </c>
      <c r="O1004" s="13"/>
      <c r="P1004" s="13">
        <v>1619.8</v>
      </c>
      <c r="Q1004" s="3">
        <f t="shared" si="77"/>
        <v>0</v>
      </c>
      <c r="R1004" s="3">
        <f t="shared" si="78"/>
        <v>1619.8</v>
      </c>
      <c r="S1004" s="3">
        <f t="shared" si="79"/>
        <v>109833.97999999998</v>
      </c>
      <c r="T1004" s="24" t="s">
        <v>1081</v>
      </c>
      <c r="U1004" s="24" t="s">
        <v>1081</v>
      </c>
      <c r="V1004" s="67"/>
      <c r="W1004" s="25">
        <f>IFERROR(VLOOKUP(BCP_Soles[[#This Row],[DESTINATARIO]],CHOOSE({1,2},Clientes_Proveedores[Razon Social],Clientes_Proveedores[Ruc / Dni]),2,0),"")</f>
        <v>20127765279</v>
      </c>
      <c r="X1004" s="25" t="s">
        <v>1124</v>
      </c>
      <c r="Y1004" s="25" t="s">
        <v>2167</v>
      </c>
      <c r="Z1004" s="25"/>
      <c r="AA1004" s="99"/>
      <c r="AB1004" s="3" t="str">
        <f>IF(BCP_Soles[[#This Row],[FECHA]]&gt;0,TEXT(BCP_Soles[[#This Row],[FECHA]],"mmmm"),0)</f>
        <v>Marzo</v>
      </c>
    </row>
    <row r="1005" spans="2:28" ht="36" x14ac:dyDescent="0.3">
      <c r="B1005" s="2">
        <f>IF(BCP_Soles[[#This Row],[TIPO DE R.]]="R",COUNTIFS($D$4:$D1004,"R")+1,"")</f>
        <v>786</v>
      </c>
      <c r="C1005" s="19" t="str">
        <f t="shared" si="75"/>
        <v>B-BCP - Soles</v>
      </c>
      <c r="D1005" s="3" t="s">
        <v>1074</v>
      </c>
      <c r="E1005" s="14">
        <v>45743</v>
      </c>
      <c r="F1005" s="5" t="s">
        <v>1996</v>
      </c>
      <c r="G1005" s="5" t="s">
        <v>1079</v>
      </c>
      <c r="H1005" s="6" t="s">
        <v>580</v>
      </c>
      <c r="I1005" s="6" t="s">
        <v>14</v>
      </c>
      <c r="J1005" s="6" t="s">
        <v>1119</v>
      </c>
      <c r="K1005" s="6">
        <v>15822</v>
      </c>
      <c r="L1005" s="7" t="s">
        <v>2168</v>
      </c>
      <c r="M1005" s="8">
        <v>1211968</v>
      </c>
      <c r="N1005" s="8" t="str">
        <f t="shared" si="76"/>
        <v>PEN</v>
      </c>
      <c r="O1005" s="13"/>
      <c r="P1005" s="13">
        <v>1877.99</v>
      </c>
      <c r="Q1005" s="3">
        <f t="shared" si="77"/>
        <v>0</v>
      </c>
      <c r="R1005" s="3">
        <f t="shared" si="78"/>
        <v>1877.99</v>
      </c>
      <c r="S1005" s="3">
        <f t="shared" si="79"/>
        <v>107955.98999999998</v>
      </c>
      <c r="T1005" s="24" t="s">
        <v>1081</v>
      </c>
      <c r="U1005" s="24" t="s">
        <v>1081</v>
      </c>
      <c r="V1005" s="67"/>
      <c r="W1005" s="25">
        <f>IFERROR(VLOOKUP(BCP_Soles[[#This Row],[DESTINATARIO]],CHOOSE({1,2},Clientes_Proveedores[Razon Social],Clientes_Proveedores[Ruc / Dni]),2,0),"")</f>
        <v>20602484344</v>
      </c>
      <c r="X1005" s="25" t="s">
        <v>2169</v>
      </c>
      <c r="Y1005" s="25" t="s">
        <v>2170</v>
      </c>
      <c r="Z1005" s="25"/>
      <c r="AA1005" s="99"/>
      <c r="AB1005" s="3" t="str">
        <f>IF(BCP_Soles[[#This Row],[FECHA]]&gt;0,TEXT(BCP_Soles[[#This Row],[FECHA]],"mmmm"),0)</f>
        <v>Marzo</v>
      </c>
    </row>
    <row r="1006" spans="2:28" x14ac:dyDescent="0.3">
      <c r="B1006" s="2">
        <f>IF(BCP_Soles[[#This Row],[TIPO DE R.]]="R",COUNTIFS($D$4:$D1005,"R")+1,"")</f>
        <v>787</v>
      </c>
      <c r="C1006" s="19" t="str">
        <f t="shared" si="75"/>
        <v>B-BCP - Soles</v>
      </c>
      <c r="D1006" s="3" t="s">
        <v>1074</v>
      </c>
      <c r="E1006" s="14">
        <v>45744</v>
      </c>
      <c r="F1006" s="5" t="s">
        <v>1078</v>
      </c>
      <c r="G1006" s="5" t="s">
        <v>1079</v>
      </c>
      <c r="H1006" s="6"/>
      <c r="I1006" s="6"/>
      <c r="J1006" s="6"/>
      <c r="K1006" s="6"/>
      <c r="L1006" s="7" t="s">
        <v>1080</v>
      </c>
      <c r="M1006" s="8"/>
      <c r="N1006" s="8" t="str">
        <f t="shared" si="76"/>
        <v>PEN</v>
      </c>
      <c r="O1006" s="13"/>
      <c r="P1006" s="13">
        <v>0.3</v>
      </c>
      <c r="Q1006" s="3">
        <f t="shared" si="77"/>
        <v>0</v>
      </c>
      <c r="R1006" s="3">
        <f t="shared" si="78"/>
        <v>0.3</v>
      </c>
      <c r="S1006" s="3">
        <f t="shared" si="79"/>
        <v>107955.68999999997</v>
      </c>
      <c r="T1006" s="24"/>
      <c r="U1006" s="24" t="s">
        <v>1081</v>
      </c>
      <c r="V1006" s="67"/>
      <c r="W1006" s="25" t="str">
        <f>IFERROR(VLOOKUP(BCP_Soles[[#This Row],[DESTINATARIO]],CHOOSE({1,2},Clientes_Proveedores[Razon Social],Clientes_Proveedores[Ruc / Dni]),2,0),"")</f>
        <v/>
      </c>
      <c r="X1006" s="25"/>
      <c r="Y1006" s="25"/>
      <c r="Z1006" s="25"/>
      <c r="AA1006" s="99"/>
      <c r="AB1006" s="3" t="str">
        <f>IF(BCP_Soles[[#This Row],[FECHA]]&gt;0,TEXT(BCP_Soles[[#This Row],[FECHA]],"mmmm"),0)</f>
        <v>Marzo</v>
      </c>
    </row>
    <row r="1007" spans="2:28" x14ac:dyDescent="0.3">
      <c r="B1007" s="2">
        <f>IF(BCP_Soles[[#This Row],[TIPO DE R.]]="R",COUNTIFS($D$4:$D1006,"R")+1,"")</f>
        <v>788</v>
      </c>
      <c r="C1007" s="19" t="str">
        <f t="shared" si="75"/>
        <v>B-BCP - Soles</v>
      </c>
      <c r="D1007" s="3" t="s">
        <v>1074</v>
      </c>
      <c r="E1007" s="14">
        <v>45744</v>
      </c>
      <c r="F1007" s="5" t="s">
        <v>1996</v>
      </c>
      <c r="G1007" s="5" t="s">
        <v>1079</v>
      </c>
      <c r="H1007" s="6"/>
      <c r="I1007" s="6"/>
      <c r="J1007" s="6"/>
      <c r="K1007" s="6"/>
      <c r="L1007" s="7" t="s">
        <v>2171</v>
      </c>
      <c r="M1007" s="8">
        <v>8042022</v>
      </c>
      <c r="N1007" s="8" t="str">
        <f t="shared" si="76"/>
        <v>PEN</v>
      </c>
      <c r="O1007" s="13"/>
      <c r="P1007" s="13">
        <v>3075.05</v>
      </c>
      <c r="Q1007" s="3">
        <f t="shared" si="77"/>
        <v>0</v>
      </c>
      <c r="R1007" s="3">
        <f t="shared" si="78"/>
        <v>3075.05</v>
      </c>
      <c r="S1007" s="3">
        <f t="shared" si="79"/>
        <v>104880.63999999997</v>
      </c>
      <c r="T1007" s="24" t="s">
        <v>1081</v>
      </c>
      <c r="U1007" s="24" t="s">
        <v>1081</v>
      </c>
      <c r="V1007" s="67"/>
      <c r="W1007" s="25" t="str">
        <f>IFERROR(VLOOKUP(BCP_Soles[[#This Row],[DESTINATARIO]],CHOOSE({1,2},Clientes_Proveedores[Razon Social],Clientes_Proveedores[Ruc / Dni]),2,0),"")</f>
        <v/>
      </c>
      <c r="X1007" s="25" t="s">
        <v>1118</v>
      </c>
      <c r="Y1007" s="25"/>
      <c r="Z1007" s="25"/>
      <c r="AA1007" s="99"/>
      <c r="AB1007" s="3" t="str">
        <f>IF(BCP_Soles[[#This Row],[FECHA]]&gt;0,TEXT(BCP_Soles[[#This Row],[FECHA]],"mmmm"),0)</f>
        <v>Marzo</v>
      </c>
    </row>
    <row r="1008" spans="2:28" x14ac:dyDescent="0.3">
      <c r="B1008" s="2" t="str">
        <f>IF(BCP_Soles[[#This Row],[TIPO DE R.]]="R",COUNTIFS($D$4:$D1007,"R")+1,"")</f>
        <v/>
      </c>
      <c r="C1008" s="19" t="str">
        <f t="shared" si="75"/>
        <v>B-BCP - Soles</v>
      </c>
      <c r="D1008" s="3" t="s">
        <v>1101</v>
      </c>
      <c r="E1008" s="14">
        <v>45744</v>
      </c>
      <c r="F1008" s="5" t="s">
        <v>1996</v>
      </c>
      <c r="G1008" s="5"/>
      <c r="H1008" s="6" t="s">
        <v>465</v>
      </c>
      <c r="I1008" s="6" t="s">
        <v>14</v>
      </c>
      <c r="J1008" s="6" t="s">
        <v>1121</v>
      </c>
      <c r="K1008" s="6">
        <v>3759</v>
      </c>
      <c r="L1008" s="7" t="s">
        <v>2171</v>
      </c>
      <c r="M1008" s="8">
        <v>8042022</v>
      </c>
      <c r="N1008" s="8" t="str">
        <f t="shared" si="76"/>
        <v>PEN</v>
      </c>
      <c r="O1008" s="13">
        <v>351.05</v>
      </c>
      <c r="P1008" s="13"/>
      <c r="Q1008" s="3">
        <f t="shared" si="77"/>
        <v>0</v>
      </c>
      <c r="R1008" s="3">
        <f t="shared" si="78"/>
        <v>0</v>
      </c>
      <c r="S1008" s="3">
        <f t="shared" si="79"/>
        <v>104880.63999999997</v>
      </c>
      <c r="T1008" s="24"/>
      <c r="U1008" s="24"/>
      <c r="V1008" s="67"/>
      <c r="W1008" s="25">
        <f>IFERROR(VLOOKUP(BCP_Soles[[#This Row],[DESTINATARIO]],CHOOSE({1,2},Clientes_Proveedores[Razon Social],Clientes_Proveedores[Ruc / Dni]),2,0),"")</f>
        <v>20603974817</v>
      </c>
      <c r="X1008" s="25"/>
      <c r="Y1008" s="25"/>
      <c r="Z1008" s="25"/>
      <c r="AA1008" s="99"/>
      <c r="AB1008" s="3" t="str">
        <f>IF(BCP_Soles[[#This Row],[FECHA]]&gt;0,TEXT(BCP_Soles[[#This Row],[FECHA]],"mmmm"),0)</f>
        <v>Marzo</v>
      </c>
    </row>
    <row r="1009" spans="2:28" x14ac:dyDescent="0.3">
      <c r="B1009" s="2" t="str">
        <f>IF(BCP_Soles[[#This Row],[TIPO DE R.]]="R",COUNTIFS($D$4:$D1008,"R")+1,"")</f>
        <v/>
      </c>
      <c r="C1009" s="19" t="str">
        <f t="shared" si="75"/>
        <v>B-BCP - Soles</v>
      </c>
      <c r="D1009" s="3" t="s">
        <v>1101</v>
      </c>
      <c r="E1009" s="14">
        <v>45744</v>
      </c>
      <c r="F1009" s="5" t="s">
        <v>1996</v>
      </c>
      <c r="G1009" s="5"/>
      <c r="H1009" s="6" t="s">
        <v>465</v>
      </c>
      <c r="I1009" s="6" t="s">
        <v>14</v>
      </c>
      <c r="J1009" s="6" t="s">
        <v>1121</v>
      </c>
      <c r="K1009" s="6">
        <v>3757</v>
      </c>
      <c r="L1009" s="7" t="s">
        <v>2171</v>
      </c>
      <c r="M1009" s="8">
        <v>8042022</v>
      </c>
      <c r="N1009" s="8" t="str">
        <f t="shared" si="76"/>
        <v>PEN</v>
      </c>
      <c r="O1009" s="13">
        <v>250.75</v>
      </c>
      <c r="P1009" s="13"/>
      <c r="Q1009" s="3">
        <f t="shared" si="77"/>
        <v>0</v>
      </c>
      <c r="R1009" s="3">
        <f t="shared" si="78"/>
        <v>0</v>
      </c>
      <c r="S1009" s="3">
        <f t="shared" si="79"/>
        <v>104880.63999999997</v>
      </c>
      <c r="T1009" s="24"/>
      <c r="U1009" s="24"/>
      <c r="V1009" s="67"/>
      <c r="W1009" s="25">
        <f>IFERROR(VLOOKUP(BCP_Soles[[#This Row],[DESTINATARIO]],CHOOSE({1,2},Clientes_Proveedores[Razon Social],Clientes_Proveedores[Ruc / Dni]),2,0),"")</f>
        <v>20603974817</v>
      </c>
      <c r="X1009" s="25"/>
      <c r="Y1009" s="25"/>
      <c r="Z1009" s="25"/>
      <c r="AA1009" s="99"/>
      <c r="AB1009" s="3" t="str">
        <f>IF(BCP_Soles[[#This Row],[FECHA]]&gt;0,TEXT(BCP_Soles[[#This Row],[FECHA]],"mmmm"),0)</f>
        <v>Marzo</v>
      </c>
    </row>
    <row r="1010" spans="2:28" x14ac:dyDescent="0.3">
      <c r="B1010" s="2" t="str">
        <f>IF(BCP_Soles[[#This Row],[TIPO DE R.]]="R",COUNTIFS($D$4:$D1009,"R")+1,"")</f>
        <v/>
      </c>
      <c r="C1010" s="19" t="str">
        <f t="shared" si="75"/>
        <v>B-BCP - Soles</v>
      </c>
      <c r="D1010" s="3" t="s">
        <v>1101</v>
      </c>
      <c r="E1010" s="14">
        <v>45744</v>
      </c>
      <c r="F1010" s="5" t="s">
        <v>1996</v>
      </c>
      <c r="G1010" s="5"/>
      <c r="H1010" s="6" t="s">
        <v>465</v>
      </c>
      <c r="I1010" s="6" t="s">
        <v>14</v>
      </c>
      <c r="J1010" s="6" t="s">
        <v>1121</v>
      </c>
      <c r="K1010" s="6">
        <v>3762</v>
      </c>
      <c r="L1010" s="7" t="s">
        <v>2171</v>
      </c>
      <c r="M1010" s="8">
        <v>8042022</v>
      </c>
      <c r="N1010" s="8" t="str">
        <f t="shared" si="76"/>
        <v>PEN</v>
      </c>
      <c r="O1010" s="13">
        <v>200.6</v>
      </c>
      <c r="P1010" s="13"/>
      <c r="Q1010" s="3">
        <f t="shared" si="77"/>
        <v>0</v>
      </c>
      <c r="R1010" s="3">
        <f t="shared" si="78"/>
        <v>0</v>
      </c>
      <c r="S1010" s="3">
        <f t="shared" si="79"/>
        <v>104880.63999999997</v>
      </c>
      <c r="T1010" s="24"/>
      <c r="U1010" s="24"/>
      <c r="V1010" s="67"/>
      <c r="W1010" s="25">
        <f>IFERROR(VLOOKUP(BCP_Soles[[#This Row],[DESTINATARIO]],CHOOSE({1,2},Clientes_Proveedores[Razon Social],Clientes_Proveedores[Ruc / Dni]),2,0),"")</f>
        <v>20603974817</v>
      </c>
      <c r="X1010" s="25"/>
      <c r="Y1010" s="25"/>
      <c r="Z1010" s="25"/>
      <c r="AA1010" s="99"/>
      <c r="AB1010" s="3" t="str">
        <f>IF(BCP_Soles[[#This Row],[FECHA]]&gt;0,TEXT(BCP_Soles[[#This Row],[FECHA]],"mmmm"),0)</f>
        <v>Marzo</v>
      </c>
    </row>
    <row r="1011" spans="2:28" x14ac:dyDescent="0.3">
      <c r="B1011" s="2" t="str">
        <f>IF(BCP_Soles[[#This Row],[TIPO DE R.]]="R",COUNTIFS($D$4:$D1010,"R")+1,"")</f>
        <v/>
      </c>
      <c r="C1011" s="19" t="str">
        <f t="shared" si="75"/>
        <v>B-BCP - Soles</v>
      </c>
      <c r="D1011" s="3" t="s">
        <v>1101</v>
      </c>
      <c r="E1011" s="14">
        <v>45744</v>
      </c>
      <c r="F1011" s="5" t="s">
        <v>1996</v>
      </c>
      <c r="G1011" s="5"/>
      <c r="H1011" s="6" t="s">
        <v>465</v>
      </c>
      <c r="I1011" s="6" t="s">
        <v>14</v>
      </c>
      <c r="J1011" s="6" t="s">
        <v>1121</v>
      </c>
      <c r="K1011" s="6">
        <v>3755</v>
      </c>
      <c r="L1011" s="7" t="s">
        <v>2171</v>
      </c>
      <c r="M1011" s="8">
        <v>8042022</v>
      </c>
      <c r="N1011" s="8" t="str">
        <f t="shared" si="76"/>
        <v>PEN</v>
      </c>
      <c r="O1011" s="13">
        <v>651.95000000000005</v>
      </c>
      <c r="P1011" s="13"/>
      <c r="Q1011" s="3">
        <f t="shared" si="77"/>
        <v>0</v>
      </c>
      <c r="R1011" s="3">
        <f t="shared" si="78"/>
        <v>0</v>
      </c>
      <c r="S1011" s="3">
        <f t="shared" si="79"/>
        <v>104880.63999999997</v>
      </c>
      <c r="T1011" s="24"/>
      <c r="U1011" s="24"/>
      <c r="V1011" s="67"/>
      <c r="W1011" s="25">
        <f>IFERROR(VLOOKUP(BCP_Soles[[#This Row],[DESTINATARIO]],CHOOSE({1,2},Clientes_Proveedores[Razon Social],Clientes_Proveedores[Ruc / Dni]),2,0),"")</f>
        <v>20603974817</v>
      </c>
      <c r="X1011" s="25"/>
      <c r="Y1011" s="25"/>
      <c r="Z1011" s="25"/>
      <c r="AA1011" s="99"/>
      <c r="AB1011" s="3" t="str">
        <f>IF(BCP_Soles[[#This Row],[FECHA]]&gt;0,TEXT(BCP_Soles[[#This Row],[FECHA]],"mmmm"),0)</f>
        <v>Marzo</v>
      </c>
    </row>
    <row r="1012" spans="2:28" x14ac:dyDescent="0.3">
      <c r="B1012" s="2" t="str">
        <f>IF(BCP_Soles[[#This Row],[TIPO DE R.]]="R",COUNTIFS($D$4:$D1011,"R")+1,"")</f>
        <v/>
      </c>
      <c r="C1012" s="19" t="str">
        <f t="shared" si="75"/>
        <v>B-BCP - Soles</v>
      </c>
      <c r="D1012" s="3" t="s">
        <v>1101</v>
      </c>
      <c r="E1012" s="14">
        <v>45744</v>
      </c>
      <c r="F1012" s="5" t="s">
        <v>1996</v>
      </c>
      <c r="G1012" s="5"/>
      <c r="H1012" s="6" t="s">
        <v>465</v>
      </c>
      <c r="I1012" s="6" t="s">
        <v>14</v>
      </c>
      <c r="J1012" s="6" t="s">
        <v>1121</v>
      </c>
      <c r="K1012" s="6">
        <v>3754</v>
      </c>
      <c r="L1012" s="7" t="s">
        <v>2171</v>
      </c>
      <c r="M1012" s="8">
        <v>8042022</v>
      </c>
      <c r="N1012" s="8" t="str">
        <f t="shared" si="76"/>
        <v>PEN</v>
      </c>
      <c r="O1012" s="13">
        <v>677.25</v>
      </c>
      <c r="P1012" s="13"/>
      <c r="Q1012" s="3">
        <f t="shared" si="77"/>
        <v>0</v>
      </c>
      <c r="R1012" s="3">
        <f t="shared" si="78"/>
        <v>0</v>
      </c>
      <c r="S1012" s="3">
        <f t="shared" si="79"/>
        <v>104880.63999999997</v>
      </c>
      <c r="T1012" s="24"/>
      <c r="U1012" s="24"/>
      <c r="V1012" s="67"/>
      <c r="W1012" s="25">
        <f>IFERROR(VLOOKUP(BCP_Soles[[#This Row],[DESTINATARIO]],CHOOSE({1,2},Clientes_Proveedores[Razon Social],Clientes_Proveedores[Ruc / Dni]),2,0),"")</f>
        <v>20603974817</v>
      </c>
      <c r="X1012" s="25"/>
      <c r="Y1012" s="25"/>
      <c r="Z1012" s="25"/>
      <c r="AA1012" s="99"/>
      <c r="AB1012" s="3" t="str">
        <f>IF(BCP_Soles[[#This Row],[FECHA]]&gt;0,TEXT(BCP_Soles[[#This Row],[FECHA]],"mmmm"),0)</f>
        <v>Marzo</v>
      </c>
    </row>
    <row r="1013" spans="2:28" x14ac:dyDescent="0.3">
      <c r="B1013" s="2" t="str">
        <f>IF(BCP_Soles[[#This Row],[TIPO DE R.]]="R",COUNTIFS($D$4:$D1012,"R")+1,"")</f>
        <v/>
      </c>
      <c r="C1013" s="19" t="str">
        <f t="shared" si="75"/>
        <v>B-BCP - Soles</v>
      </c>
      <c r="D1013" s="3" t="s">
        <v>1101</v>
      </c>
      <c r="E1013" s="14">
        <v>45744</v>
      </c>
      <c r="F1013" s="5" t="s">
        <v>1996</v>
      </c>
      <c r="G1013" s="5"/>
      <c r="H1013" s="6" t="s">
        <v>465</v>
      </c>
      <c r="I1013" s="6" t="s">
        <v>14</v>
      </c>
      <c r="J1013" s="6" t="s">
        <v>1121</v>
      </c>
      <c r="K1013" s="6">
        <v>3761</v>
      </c>
      <c r="L1013" s="7" t="s">
        <v>2171</v>
      </c>
      <c r="M1013" s="8">
        <v>8042022</v>
      </c>
      <c r="N1013" s="8" t="str">
        <f t="shared" si="76"/>
        <v>PEN</v>
      </c>
      <c r="O1013" s="13">
        <v>150.44999999999999</v>
      </c>
      <c r="P1013" s="13"/>
      <c r="Q1013" s="3">
        <f t="shared" si="77"/>
        <v>0</v>
      </c>
      <c r="R1013" s="3">
        <f t="shared" si="78"/>
        <v>0</v>
      </c>
      <c r="S1013" s="3">
        <f t="shared" si="79"/>
        <v>104880.63999999997</v>
      </c>
      <c r="T1013" s="24"/>
      <c r="U1013" s="24"/>
      <c r="V1013" s="67"/>
      <c r="W1013" s="25">
        <f>IFERROR(VLOOKUP(BCP_Soles[[#This Row],[DESTINATARIO]],CHOOSE({1,2},Clientes_Proveedores[Razon Social],Clientes_Proveedores[Ruc / Dni]),2,0),"")</f>
        <v>20603974817</v>
      </c>
      <c r="X1013" s="25"/>
      <c r="Y1013" s="25"/>
      <c r="Z1013" s="25"/>
      <c r="AA1013" s="99"/>
      <c r="AB1013" s="3" t="str">
        <f>IF(BCP_Soles[[#This Row],[FECHA]]&gt;0,TEXT(BCP_Soles[[#This Row],[FECHA]],"mmmm"),0)</f>
        <v>Marzo</v>
      </c>
    </row>
    <row r="1014" spans="2:28" ht="36" x14ac:dyDescent="0.3">
      <c r="B1014" s="2" t="str">
        <f>IF(BCP_Soles[[#This Row],[TIPO DE R.]]="R",COUNTIFS($D$4:$D1013,"R")+1,"")</f>
        <v/>
      </c>
      <c r="C1014" s="19" t="str">
        <f t="shared" si="75"/>
        <v>B-BCP - Soles</v>
      </c>
      <c r="D1014" s="3" t="s">
        <v>1101</v>
      </c>
      <c r="E1014" s="14">
        <v>45744</v>
      </c>
      <c r="F1014" s="5" t="s">
        <v>1996</v>
      </c>
      <c r="G1014" s="5"/>
      <c r="H1014" s="6" t="s">
        <v>417</v>
      </c>
      <c r="I1014" s="6" t="s">
        <v>14</v>
      </c>
      <c r="J1014" s="6" t="s">
        <v>1121</v>
      </c>
      <c r="K1014" s="6">
        <v>724</v>
      </c>
      <c r="L1014" s="7" t="s">
        <v>2171</v>
      </c>
      <c r="M1014" s="8">
        <v>8042022</v>
      </c>
      <c r="N1014" s="8" t="str">
        <f t="shared" si="76"/>
        <v>PEN</v>
      </c>
      <c r="O1014" s="13">
        <v>793</v>
      </c>
      <c r="P1014" s="13"/>
      <c r="Q1014" s="3">
        <f t="shared" si="77"/>
        <v>0</v>
      </c>
      <c r="R1014" s="3">
        <f t="shared" si="78"/>
        <v>0</v>
      </c>
      <c r="S1014" s="3">
        <f t="shared" si="79"/>
        <v>104880.63999999997</v>
      </c>
      <c r="T1014" s="24"/>
      <c r="U1014" s="24"/>
      <c r="V1014" s="67"/>
      <c r="W1014" s="25">
        <f>IFERROR(VLOOKUP(BCP_Soles[[#This Row],[DESTINATARIO]],CHOOSE({1,2},Clientes_Proveedores[Razon Social],Clientes_Proveedores[Ruc / Dni]),2,0),"")</f>
        <v>20602075177</v>
      </c>
      <c r="X1014" s="25"/>
      <c r="Y1014" s="25"/>
      <c r="Z1014" s="25"/>
      <c r="AA1014" s="99"/>
      <c r="AB1014" s="3" t="str">
        <f>IF(BCP_Soles[[#This Row],[FECHA]]&gt;0,TEXT(BCP_Soles[[#This Row],[FECHA]],"mmmm"),0)</f>
        <v>Marzo</v>
      </c>
    </row>
    <row r="1015" spans="2:28" ht="36" x14ac:dyDescent="0.3">
      <c r="B1015" s="2">
        <f>IF(BCP_Soles[[#This Row],[TIPO DE R.]]="R",COUNTIFS($D$4:$D1014,"R")+1,"")</f>
        <v>789</v>
      </c>
      <c r="C1015" s="19" t="str">
        <f t="shared" si="75"/>
        <v>B-BCP - Soles</v>
      </c>
      <c r="D1015" s="3" t="s">
        <v>1074</v>
      </c>
      <c r="E1015" s="14">
        <v>45744</v>
      </c>
      <c r="F1015" s="5" t="s">
        <v>1996</v>
      </c>
      <c r="G1015" s="5" t="s">
        <v>1079</v>
      </c>
      <c r="H1015" s="6" t="s">
        <v>625</v>
      </c>
      <c r="I1015" s="6" t="s">
        <v>14</v>
      </c>
      <c r="J1015" s="6" t="s">
        <v>1119</v>
      </c>
      <c r="K1015" s="6">
        <v>2107</v>
      </c>
      <c r="L1015" s="7" t="s">
        <v>2172</v>
      </c>
      <c r="M1015" s="8">
        <v>1132513</v>
      </c>
      <c r="N1015" s="8" t="str">
        <f t="shared" si="76"/>
        <v>PEN</v>
      </c>
      <c r="O1015" s="13"/>
      <c r="P1015" s="13">
        <v>799</v>
      </c>
      <c r="Q1015" s="3">
        <f t="shared" si="77"/>
        <v>0</v>
      </c>
      <c r="R1015" s="3">
        <f t="shared" si="78"/>
        <v>799</v>
      </c>
      <c r="S1015" s="3">
        <f t="shared" si="79"/>
        <v>104081.63999999997</v>
      </c>
      <c r="T1015" s="24" t="s">
        <v>1081</v>
      </c>
      <c r="U1015" s="24" t="s">
        <v>1081</v>
      </c>
      <c r="V1015" s="67"/>
      <c r="W1015" s="25">
        <f>IFERROR(VLOOKUP(BCP_Soles[[#This Row],[DESTINATARIO]],CHOOSE({1,2},Clientes_Proveedores[Razon Social],Clientes_Proveedores[Ruc / Dni]),2,0),"")</f>
        <v>20512528458</v>
      </c>
      <c r="X1015" s="25" t="s">
        <v>1735</v>
      </c>
      <c r="Y1015" s="25" t="s">
        <v>2173</v>
      </c>
      <c r="Z1015" s="25"/>
      <c r="AA1015" s="99"/>
      <c r="AB1015" s="3" t="str">
        <f>IF(BCP_Soles[[#This Row],[FECHA]]&gt;0,TEXT(BCP_Soles[[#This Row],[FECHA]],"mmmm"),0)</f>
        <v>Marzo</v>
      </c>
    </row>
    <row r="1016" spans="2:28" ht="24" x14ac:dyDescent="0.3">
      <c r="B1016" s="2">
        <f>IF(BCP_Soles[[#This Row],[TIPO DE R.]]="R",COUNTIFS($D$4:$D1015,"R")+1,"")</f>
        <v>790</v>
      </c>
      <c r="C1016" s="19" t="str">
        <f t="shared" si="75"/>
        <v>B-BCP - Soles</v>
      </c>
      <c r="D1016" s="3" t="s">
        <v>1074</v>
      </c>
      <c r="E1016" s="14">
        <v>45744</v>
      </c>
      <c r="F1016" s="5" t="s">
        <v>1082</v>
      </c>
      <c r="G1016" s="5" t="s">
        <v>1079</v>
      </c>
      <c r="H1016" s="6"/>
      <c r="I1016" s="6" t="s">
        <v>14</v>
      </c>
      <c r="J1016" s="6" t="s">
        <v>1121</v>
      </c>
      <c r="K1016" s="6">
        <v>528</v>
      </c>
      <c r="L1016" s="7" t="s">
        <v>2174</v>
      </c>
      <c r="M1016" s="8">
        <v>1130457</v>
      </c>
      <c r="N1016" s="8" t="str">
        <f t="shared" si="76"/>
        <v>PEN</v>
      </c>
      <c r="O1016" s="13"/>
      <c r="P1016" s="13">
        <v>576</v>
      </c>
      <c r="Q1016" s="3">
        <f t="shared" si="77"/>
        <v>0</v>
      </c>
      <c r="R1016" s="3">
        <f t="shared" si="78"/>
        <v>576</v>
      </c>
      <c r="S1016" s="3">
        <f t="shared" si="79"/>
        <v>103505.63999999997</v>
      </c>
      <c r="T1016" s="24" t="s">
        <v>1081</v>
      </c>
      <c r="U1016" s="24"/>
      <c r="V1016" s="67"/>
      <c r="W1016" s="25" t="str">
        <f>IFERROR(VLOOKUP(BCP_Soles[[#This Row],[DESTINATARIO]],CHOOSE({1,2},Clientes_Proveedores[Razon Social],Clientes_Proveedores[Ruc / Dni]),2,0),"")</f>
        <v/>
      </c>
      <c r="X1016" s="25" t="s">
        <v>2175</v>
      </c>
      <c r="Y1016" s="25" t="s">
        <v>2176</v>
      </c>
      <c r="Z1016" s="25"/>
      <c r="AA1016" s="99"/>
      <c r="AB1016" s="3" t="str">
        <f>IF(BCP_Soles[[#This Row],[FECHA]]&gt;0,TEXT(BCP_Soles[[#This Row],[FECHA]],"mmmm"),0)</f>
        <v>Marzo</v>
      </c>
    </row>
    <row r="1017" spans="2:28" ht="24" x14ac:dyDescent="0.3">
      <c r="B1017" s="2">
        <f>IF(BCP_Soles[[#This Row],[TIPO DE R.]]="R",COUNTIFS($D$4:$D1016,"R")+1,"")</f>
        <v>791</v>
      </c>
      <c r="C1017" s="19" t="str">
        <f t="shared" si="75"/>
        <v>B-BCP - Soles</v>
      </c>
      <c r="D1017" s="3" t="s">
        <v>1074</v>
      </c>
      <c r="E1017" s="14">
        <v>45744</v>
      </c>
      <c r="F1017" s="5" t="s">
        <v>1996</v>
      </c>
      <c r="G1017" s="5" t="s">
        <v>1079</v>
      </c>
      <c r="H1017" s="6"/>
      <c r="I1017" s="6" t="s">
        <v>14</v>
      </c>
      <c r="J1017" s="6" t="s">
        <v>1119</v>
      </c>
      <c r="K1017" s="6">
        <v>996</v>
      </c>
      <c r="L1017" s="7" t="s">
        <v>2177</v>
      </c>
      <c r="M1017" s="8">
        <v>1132512</v>
      </c>
      <c r="N1017" s="8" t="str">
        <f t="shared" si="76"/>
        <v>PEN</v>
      </c>
      <c r="O1017" s="13"/>
      <c r="P1017" s="13">
        <v>562</v>
      </c>
      <c r="Q1017" s="3">
        <f t="shared" si="77"/>
        <v>0</v>
      </c>
      <c r="R1017" s="3">
        <f t="shared" si="78"/>
        <v>562</v>
      </c>
      <c r="S1017" s="3">
        <f t="shared" si="79"/>
        <v>102943.63999999997</v>
      </c>
      <c r="T1017" s="24" t="s">
        <v>1081</v>
      </c>
      <c r="U1017" s="24" t="s">
        <v>1081</v>
      </c>
      <c r="V1017" s="67"/>
      <c r="W1017" s="25" t="str">
        <f>IFERROR(VLOOKUP(BCP_Soles[[#This Row],[DESTINATARIO]],CHOOSE({1,2},Clientes_Proveedores[Razon Social],Clientes_Proveedores[Ruc / Dni]),2,0),"")</f>
        <v/>
      </c>
      <c r="X1017" s="25" t="s">
        <v>2178</v>
      </c>
      <c r="Y1017" s="25" t="s">
        <v>2179</v>
      </c>
      <c r="Z1017" s="25"/>
      <c r="AA1017" s="99"/>
      <c r="AB1017" s="3" t="str">
        <f>IF(BCP_Soles[[#This Row],[FECHA]]&gt;0,TEXT(BCP_Soles[[#This Row],[FECHA]],"mmmm"),0)</f>
        <v>Marzo</v>
      </c>
    </row>
    <row r="1018" spans="2:28" ht="24" x14ac:dyDescent="0.3">
      <c r="B1018" s="2">
        <f>IF(BCP_Soles[[#This Row],[TIPO DE R.]]="R",COUNTIFS($D$4:$D1017,"R")+1,"")</f>
        <v>792</v>
      </c>
      <c r="C1018" s="19" t="str">
        <f t="shared" si="75"/>
        <v>B-BCP - Soles</v>
      </c>
      <c r="D1018" s="3" t="s">
        <v>1074</v>
      </c>
      <c r="E1018" s="14">
        <v>45744</v>
      </c>
      <c r="F1018" s="5" t="s">
        <v>1996</v>
      </c>
      <c r="G1018" s="5" t="s">
        <v>1079</v>
      </c>
      <c r="H1018" s="6" t="s">
        <v>525</v>
      </c>
      <c r="I1018" s="6" t="s">
        <v>14</v>
      </c>
      <c r="J1018" s="6" t="s">
        <v>1121</v>
      </c>
      <c r="K1018" s="6">
        <v>728</v>
      </c>
      <c r="L1018" s="7" t="s">
        <v>2180</v>
      </c>
      <c r="M1018" s="8">
        <v>1129956</v>
      </c>
      <c r="N1018" s="8" t="str">
        <f t="shared" si="76"/>
        <v>PEN</v>
      </c>
      <c r="O1018" s="13"/>
      <c r="P1018" s="13">
        <v>450</v>
      </c>
      <c r="Q1018" s="3">
        <f t="shared" si="77"/>
        <v>0</v>
      </c>
      <c r="R1018" s="3">
        <f t="shared" si="78"/>
        <v>450</v>
      </c>
      <c r="S1018" s="3">
        <f t="shared" si="79"/>
        <v>102493.63999999997</v>
      </c>
      <c r="T1018" s="24" t="s">
        <v>1081</v>
      </c>
      <c r="U1018" s="24" t="s">
        <v>1081</v>
      </c>
      <c r="V1018" s="67"/>
      <c r="W1018" s="25">
        <f>IFERROR(VLOOKUP(BCP_Soles[[#This Row],[DESTINATARIO]],CHOOSE({1,2},Clientes_Proveedores[Razon Social],Clientes_Proveedores[Ruc / Dni]),2,0),"")</f>
        <v>20609155303</v>
      </c>
      <c r="X1018" s="25" t="s">
        <v>1632</v>
      </c>
      <c r="Y1018" s="25" t="s">
        <v>2181</v>
      </c>
      <c r="Z1018" s="25"/>
      <c r="AA1018" s="99"/>
      <c r="AB1018" s="3" t="str">
        <f>IF(BCP_Soles[[#This Row],[FECHA]]&gt;0,TEXT(BCP_Soles[[#This Row],[FECHA]],"mmmm"),0)</f>
        <v>Marzo</v>
      </c>
    </row>
    <row r="1019" spans="2:28" ht="24" x14ac:dyDescent="0.3">
      <c r="B1019" s="2">
        <f>IF(BCP_Soles[[#This Row],[TIPO DE R.]]="R",COUNTIFS($D$4:$D1018,"R")+1,"")</f>
        <v>793</v>
      </c>
      <c r="C1019" s="19" t="str">
        <f t="shared" si="75"/>
        <v>B-BCP - Soles</v>
      </c>
      <c r="D1019" s="3" t="s">
        <v>1074</v>
      </c>
      <c r="E1019" s="14">
        <v>45744</v>
      </c>
      <c r="F1019" s="5" t="s">
        <v>1082</v>
      </c>
      <c r="G1019" s="5" t="s">
        <v>1079</v>
      </c>
      <c r="H1019" s="6" t="s">
        <v>525</v>
      </c>
      <c r="I1019" s="6" t="s">
        <v>14</v>
      </c>
      <c r="J1019" s="6" t="s">
        <v>1121</v>
      </c>
      <c r="K1019" s="6">
        <v>729</v>
      </c>
      <c r="L1019" s="7" t="s">
        <v>2182</v>
      </c>
      <c r="M1019" s="8">
        <v>1131441</v>
      </c>
      <c r="N1019" s="8" t="str">
        <f t="shared" si="76"/>
        <v>PEN</v>
      </c>
      <c r="O1019" s="13"/>
      <c r="P1019" s="13">
        <v>300</v>
      </c>
      <c r="Q1019" s="3">
        <f t="shared" si="77"/>
        <v>0</v>
      </c>
      <c r="R1019" s="3">
        <f t="shared" si="78"/>
        <v>300</v>
      </c>
      <c r="S1019" s="3">
        <f t="shared" si="79"/>
        <v>102193.63999999997</v>
      </c>
      <c r="T1019" s="24" t="s">
        <v>1081</v>
      </c>
      <c r="U1019" s="24" t="s">
        <v>1081</v>
      </c>
      <c r="V1019" s="67"/>
      <c r="W1019" s="25">
        <f>IFERROR(VLOOKUP(BCP_Soles[[#This Row],[DESTINATARIO]],CHOOSE({1,2},Clientes_Proveedores[Razon Social],Clientes_Proveedores[Ruc / Dni]),2,0),"")</f>
        <v>20609155303</v>
      </c>
      <c r="X1019" s="25" t="s">
        <v>1632</v>
      </c>
      <c r="Y1019" s="25" t="s">
        <v>2183</v>
      </c>
      <c r="Z1019" s="25"/>
      <c r="AA1019" s="99"/>
      <c r="AB1019" s="3" t="str">
        <f>IF(BCP_Soles[[#This Row],[FECHA]]&gt;0,TEXT(BCP_Soles[[#This Row],[FECHA]],"mmmm"),0)</f>
        <v>Marzo</v>
      </c>
    </row>
    <row r="1020" spans="2:28" ht="36" x14ac:dyDescent="0.3">
      <c r="B1020" s="2">
        <f>IF(BCP_Soles[[#This Row],[TIPO DE R.]]="R",COUNTIFS($D$4:$D1019,"R")+1,"")</f>
        <v>794</v>
      </c>
      <c r="C1020" s="19" t="str">
        <f t="shared" si="75"/>
        <v>B-BCP - Soles</v>
      </c>
      <c r="D1020" s="3" t="s">
        <v>1074</v>
      </c>
      <c r="E1020" s="14">
        <v>45744</v>
      </c>
      <c r="F1020" s="5" t="s">
        <v>1996</v>
      </c>
      <c r="G1020" s="5" t="s">
        <v>1079</v>
      </c>
      <c r="H1020" s="6" t="s">
        <v>625</v>
      </c>
      <c r="I1020" s="6" t="s">
        <v>14</v>
      </c>
      <c r="J1020" s="6" t="s">
        <v>1119</v>
      </c>
      <c r="K1020" s="6">
        <v>2108</v>
      </c>
      <c r="L1020" s="7" t="s">
        <v>2184</v>
      </c>
      <c r="M1020" s="8">
        <v>1129467</v>
      </c>
      <c r="N1020" s="8" t="str">
        <f t="shared" si="76"/>
        <v>PEN</v>
      </c>
      <c r="O1020" s="13"/>
      <c r="P1020" s="13">
        <v>298</v>
      </c>
      <c r="Q1020" s="3">
        <f t="shared" si="77"/>
        <v>0</v>
      </c>
      <c r="R1020" s="3">
        <f t="shared" si="78"/>
        <v>298</v>
      </c>
      <c r="S1020" s="3">
        <f t="shared" si="79"/>
        <v>101895.63999999997</v>
      </c>
      <c r="T1020" s="24" t="s">
        <v>1081</v>
      </c>
      <c r="U1020" s="24" t="s">
        <v>1081</v>
      </c>
      <c r="V1020" s="67"/>
      <c r="W1020" s="25">
        <f>IFERROR(VLOOKUP(BCP_Soles[[#This Row],[DESTINATARIO]],CHOOSE({1,2},Clientes_Proveedores[Razon Social],Clientes_Proveedores[Ruc / Dni]),2,0),"")</f>
        <v>20512528458</v>
      </c>
      <c r="X1020" s="25" t="s">
        <v>1735</v>
      </c>
      <c r="Y1020" s="25" t="s">
        <v>2185</v>
      </c>
      <c r="Z1020" s="25"/>
      <c r="AA1020" s="99"/>
      <c r="AB1020" s="3" t="str">
        <f>IF(BCP_Soles[[#This Row],[FECHA]]&gt;0,TEXT(BCP_Soles[[#This Row],[FECHA]],"mmmm"),0)</f>
        <v>Marzo</v>
      </c>
    </row>
    <row r="1021" spans="2:28" ht="24" x14ac:dyDescent="0.3">
      <c r="B1021" s="2">
        <f>IF(BCP_Soles[[#This Row],[TIPO DE R.]]="R",COUNTIFS($D$4:$D1020,"R")+1,"")</f>
        <v>795</v>
      </c>
      <c r="C1021" s="19" t="str">
        <f t="shared" si="75"/>
        <v>B-BCP - Soles</v>
      </c>
      <c r="D1021" s="3" t="s">
        <v>1074</v>
      </c>
      <c r="E1021" s="14">
        <v>45744</v>
      </c>
      <c r="F1021" s="5" t="s">
        <v>1996</v>
      </c>
      <c r="G1021" s="5" t="s">
        <v>1079</v>
      </c>
      <c r="H1021" s="6" t="s">
        <v>798</v>
      </c>
      <c r="I1021" s="6" t="s">
        <v>87</v>
      </c>
      <c r="J1021" s="6">
        <v>1</v>
      </c>
      <c r="K1021" s="6">
        <v>362025</v>
      </c>
      <c r="L1021" s="7" t="s">
        <v>2186</v>
      </c>
      <c r="M1021" s="8">
        <v>1287271</v>
      </c>
      <c r="N1021" s="8" t="str">
        <f t="shared" si="76"/>
        <v>PEN</v>
      </c>
      <c r="O1021" s="13"/>
      <c r="P1021" s="13">
        <v>268</v>
      </c>
      <c r="Q1021" s="3">
        <f t="shared" si="77"/>
        <v>0</v>
      </c>
      <c r="R1021" s="3">
        <f t="shared" si="78"/>
        <v>268</v>
      </c>
      <c r="S1021" s="3">
        <f t="shared" si="79"/>
        <v>101627.63999999997</v>
      </c>
      <c r="T1021" s="24" t="s">
        <v>1081</v>
      </c>
      <c r="U1021" s="24" t="s">
        <v>1081</v>
      </c>
      <c r="V1021" s="67"/>
      <c r="W1021" s="25">
        <f>IFERROR(VLOOKUP(BCP_Soles[[#This Row],[DESTINATARIO]],CHOOSE({1,2},Clientes_Proveedores[Razon Social],Clientes_Proveedores[Ruc / Dni]),2,0),"")</f>
        <v>70666331</v>
      </c>
      <c r="X1021" s="25"/>
      <c r="Y1021" s="25"/>
      <c r="Z1021" s="25"/>
      <c r="AA1021" s="99"/>
      <c r="AB1021" s="3" t="str">
        <f>IF(BCP_Soles[[#This Row],[FECHA]]&gt;0,TEXT(BCP_Soles[[#This Row],[FECHA]],"mmmm"),0)</f>
        <v>Marzo</v>
      </c>
    </row>
    <row r="1022" spans="2:28" ht="36" x14ac:dyDescent="0.3">
      <c r="B1022" s="2">
        <f>IF(BCP_Soles[[#This Row],[TIPO DE R.]]="R",COUNTIFS($D$4:$D1021,"R")+1,"")</f>
        <v>796</v>
      </c>
      <c r="C1022" s="19" t="str">
        <f t="shared" si="75"/>
        <v>B-BCP - Soles</v>
      </c>
      <c r="D1022" s="3" t="s">
        <v>1074</v>
      </c>
      <c r="E1022" s="14">
        <v>45744</v>
      </c>
      <c r="F1022" s="5" t="s">
        <v>1996</v>
      </c>
      <c r="G1022" s="5" t="s">
        <v>1079</v>
      </c>
      <c r="H1022" s="6" t="s">
        <v>625</v>
      </c>
      <c r="I1022" s="6" t="s">
        <v>14</v>
      </c>
      <c r="J1022" s="6" t="s">
        <v>1119</v>
      </c>
      <c r="K1022" s="6">
        <v>2105</v>
      </c>
      <c r="L1022" s="7" t="s">
        <v>2187</v>
      </c>
      <c r="M1022" s="8">
        <v>1132514</v>
      </c>
      <c r="N1022" s="8" t="str">
        <f t="shared" si="76"/>
        <v>PEN</v>
      </c>
      <c r="O1022" s="13"/>
      <c r="P1022" s="13">
        <v>120</v>
      </c>
      <c r="Q1022" s="3">
        <f t="shared" si="77"/>
        <v>0</v>
      </c>
      <c r="R1022" s="3">
        <f t="shared" si="78"/>
        <v>120</v>
      </c>
      <c r="S1022" s="3">
        <f t="shared" si="79"/>
        <v>101507.63999999997</v>
      </c>
      <c r="T1022" s="24" t="s">
        <v>1081</v>
      </c>
      <c r="U1022" s="24" t="s">
        <v>1081</v>
      </c>
      <c r="V1022" s="67"/>
      <c r="W1022" s="25">
        <f>IFERROR(VLOOKUP(BCP_Soles[[#This Row],[DESTINATARIO]],CHOOSE({1,2},Clientes_Proveedores[Razon Social],Clientes_Proveedores[Ruc / Dni]),2,0),"")</f>
        <v>20512528458</v>
      </c>
      <c r="X1022" s="25" t="s">
        <v>1735</v>
      </c>
      <c r="Y1022" s="25" t="s">
        <v>2188</v>
      </c>
      <c r="Z1022" s="25"/>
      <c r="AA1022" s="99"/>
      <c r="AB1022" s="3" t="str">
        <f>IF(BCP_Soles[[#This Row],[FECHA]]&gt;0,TEXT(BCP_Soles[[#This Row],[FECHA]],"mmmm"),0)</f>
        <v>Marzo</v>
      </c>
    </row>
    <row r="1023" spans="2:28" ht="24" x14ac:dyDescent="0.3">
      <c r="B1023" s="2">
        <f>IF(BCP_Soles[[#This Row],[TIPO DE R.]]="R",COUNTIFS($D$4:$D1022,"R")+1,"")</f>
        <v>797</v>
      </c>
      <c r="C1023" s="19" t="str">
        <f t="shared" si="75"/>
        <v>B-BCP - Soles</v>
      </c>
      <c r="D1023" s="3" t="s">
        <v>1074</v>
      </c>
      <c r="E1023" s="14">
        <v>45744</v>
      </c>
      <c r="F1023" s="5" t="s">
        <v>1996</v>
      </c>
      <c r="G1023" s="5" t="s">
        <v>1079</v>
      </c>
      <c r="H1023" s="6" t="s">
        <v>665</v>
      </c>
      <c r="I1023" s="6" t="s">
        <v>14</v>
      </c>
      <c r="J1023" s="6" t="s">
        <v>1119</v>
      </c>
      <c r="K1023" s="6">
        <v>1001</v>
      </c>
      <c r="L1023" s="7" t="s">
        <v>2189</v>
      </c>
      <c r="M1023" s="8">
        <v>1130456</v>
      </c>
      <c r="N1023" s="8" t="str">
        <f t="shared" si="76"/>
        <v>PEN</v>
      </c>
      <c r="O1023" s="13"/>
      <c r="P1023" s="13">
        <v>84</v>
      </c>
      <c r="Q1023" s="3">
        <f t="shared" si="77"/>
        <v>0</v>
      </c>
      <c r="R1023" s="3">
        <f t="shared" si="78"/>
        <v>84</v>
      </c>
      <c r="S1023" s="3">
        <f t="shared" si="79"/>
        <v>101423.63999999997</v>
      </c>
      <c r="T1023" s="24" t="s">
        <v>1081</v>
      </c>
      <c r="U1023" s="24" t="s">
        <v>1081</v>
      </c>
      <c r="V1023" s="67"/>
      <c r="W1023" s="25">
        <f>IFERROR(VLOOKUP(BCP_Soles[[#This Row],[DESTINATARIO]],CHOOSE({1,2},Clientes_Proveedores[Razon Social],Clientes_Proveedores[Ruc / Dni]),2,0),"")</f>
        <v>20613579941</v>
      </c>
      <c r="X1023" s="25" t="s">
        <v>2178</v>
      </c>
      <c r="Y1023" s="25" t="s">
        <v>2190</v>
      </c>
      <c r="Z1023" s="25"/>
      <c r="AA1023" s="99"/>
      <c r="AB1023" s="3" t="str">
        <f>IF(BCP_Soles[[#This Row],[FECHA]]&gt;0,TEXT(BCP_Soles[[#This Row],[FECHA]],"mmmm"),0)</f>
        <v>Marzo</v>
      </c>
    </row>
    <row r="1024" spans="2:28" ht="36" x14ac:dyDescent="0.3">
      <c r="B1024" s="2">
        <f>IF(BCP_Soles[[#This Row],[TIPO DE R.]]="R",COUNTIFS($D$4:$D1023,"R")+1,"")</f>
        <v>798</v>
      </c>
      <c r="C1024" s="19" t="str">
        <f t="shared" si="75"/>
        <v>B-BCP - Soles</v>
      </c>
      <c r="D1024" s="3" t="s">
        <v>1074</v>
      </c>
      <c r="E1024" s="14">
        <v>45744</v>
      </c>
      <c r="F1024" s="5" t="s">
        <v>1996</v>
      </c>
      <c r="G1024" s="5" t="s">
        <v>1079</v>
      </c>
      <c r="H1024" s="6" t="s">
        <v>625</v>
      </c>
      <c r="I1024" s="6" t="s">
        <v>14</v>
      </c>
      <c r="J1024" s="6" t="s">
        <v>1119</v>
      </c>
      <c r="K1024" s="6">
        <v>2106</v>
      </c>
      <c r="L1024" s="7" t="s">
        <v>2191</v>
      </c>
      <c r="M1024" s="8">
        <v>1131938</v>
      </c>
      <c r="N1024" s="8" t="str">
        <f t="shared" si="76"/>
        <v>PEN</v>
      </c>
      <c r="O1024" s="13"/>
      <c r="P1024" s="13">
        <v>46</v>
      </c>
      <c r="Q1024" s="3">
        <f t="shared" si="77"/>
        <v>0</v>
      </c>
      <c r="R1024" s="3">
        <f t="shared" si="78"/>
        <v>46</v>
      </c>
      <c r="S1024" s="3">
        <f t="shared" si="79"/>
        <v>101377.63999999997</v>
      </c>
      <c r="T1024" s="24" t="s">
        <v>1081</v>
      </c>
      <c r="U1024" s="24" t="s">
        <v>1081</v>
      </c>
      <c r="V1024" s="67"/>
      <c r="W1024" s="25">
        <f>IFERROR(VLOOKUP(BCP_Soles[[#This Row],[DESTINATARIO]],CHOOSE({1,2},Clientes_Proveedores[Razon Social],Clientes_Proveedores[Ruc / Dni]),2,0),"")</f>
        <v>20512528458</v>
      </c>
      <c r="X1024" s="25" t="s">
        <v>1735</v>
      </c>
      <c r="Y1024" s="25" t="s">
        <v>2192</v>
      </c>
      <c r="Z1024" s="25"/>
      <c r="AA1024" s="99"/>
      <c r="AB1024" s="3" t="str">
        <f>IF(BCP_Soles[[#This Row],[FECHA]]&gt;0,TEXT(BCP_Soles[[#This Row],[FECHA]],"mmmm"),0)</f>
        <v>Marzo</v>
      </c>
    </row>
    <row r="1025" spans="2:28" x14ac:dyDescent="0.3">
      <c r="B1025" s="2">
        <f>IF(BCP_Soles[[#This Row],[TIPO DE R.]]="R",COUNTIFS($D$4:$D1024,"R")+1,"")</f>
        <v>799</v>
      </c>
      <c r="C1025" s="19" t="str">
        <f t="shared" si="75"/>
        <v>B-BCP - Soles</v>
      </c>
      <c r="D1025" s="3" t="s">
        <v>1074</v>
      </c>
      <c r="E1025" s="14">
        <v>45744</v>
      </c>
      <c r="F1025" s="5" t="s">
        <v>1996</v>
      </c>
      <c r="G1025" s="5" t="s">
        <v>1079</v>
      </c>
      <c r="H1025" s="6"/>
      <c r="I1025" s="6" t="s">
        <v>14</v>
      </c>
      <c r="J1025" s="6" t="s">
        <v>1395</v>
      </c>
      <c r="K1025" s="6">
        <v>281848</v>
      </c>
      <c r="L1025" s="7" t="s">
        <v>1396</v>
      </c>
      <c r="M1025" s="8">
        <v>284846</v>
      </c>
      <c r="N1025" s="8" t="str">
        <f t="shared" si="76"/>
        <v>PEN</v>
      </c>
      <c r="O1025" s="13"/>
      <c r="P1025" s="13">
        <v>30.68</v>
      </c>
      <c r="Q1025" s="3">
        <f t="shared" si="77"/>
        <v>0</v>
      </c>
      <c r="R1025" s="3">
        <f t="shared" si="78"/>
        <v>30.68</v>
      </c>
      <c r="S1025" s="3">
        <f t="shared" si="79"/>
        <v>101346.95999999998</v>
      </c>
      <c r="T1025" s="24"/>
      <c r="U1025" s="24" t="s">
        <v>1081</v>
      </c>
      <c r="V1025" s="67"/>
      <c r="W1025" s="25" t="str">
        <f>IFERROR(VLOOKUP(BCP_Soles[[#This Row],[DESTINATARIO]],CHOOSE({1,2},Clientes_Proveedores[Razon Social],Clientes_Proveedores[Ruc / Dni]),2,0),"")</f>
        <v/>
      </c>
      <c r="X1025" s="25" t="s">
        <v>1397</v>
      </c>
      <c r="Y1025" s="25" t="s">
        <v>2193</v>
      </c>
      <c r="Z1025" s="25"/>
      <c r="AA1025" s="99"/>
      <c r="AB1025" s="3" t="str">
        <f>IF(BCP_Soles[[#This Row],[FECHA]]&gt;0,TEXT(BCP_Soles[[#This Row],[FECHA]],"mmmm"),0)</f>
        <v>Marzo</v>
      </c>
    </row>
    <row r="1026" spans="2:28" x14ac:dyDescent="0.3">
      <c r="B1026" s="2">
        <f>IF(BCP_Soles[[#This Row],[TIPO DE R.]]="R",COUNTIFS($D$4:$D1025,"R")+1,"")</f>
        <v>800</v>
      </c>
      <c r="C1026" s="19" t="str">
        <f t="shared" si="75"/>
        <v>B-BCP - Soles</v>
      </c>
      <c r="D1026" s="3" t="s">
        <v>1074</v>
      </c>
      <c r="E1026" s="14">
        <v>45744</v>
      </c>
      <c r="F1026" s="5" t="s">
        <v>229</v>
      </c>
      <c r="G1026" s="5" t="s">
        <v>1087</v>
      </c>
      <c r="H1026" s="6"/>
      <c r="I1026" s="6"/>
      <c r="J1026" s="6"/>
      <c r="K1026" s="6"/>
      <c r="L1026" s="7" t="s">
        <v>1127</v>
      </c>
      <c r="M1026" s="8">
        <v>6233</v>
      </c>
      <c r="N1026" s="8" t="str">
        <f t="shared" si="76"/>
        <v>PEN</v>
      </c>
      <c r="O1026" s="13"/>
      <c r="P1026" s="13">
        <v>2111.91</v>
      </c>
      <c r="Q1026" s="3">
        <f t="shared" si="77"/>
        <v>2111.91</v>
      </c>
      <c r="R1026" s="3">
        <f t="shared" si="78"/>
        <v>0</v>
      </c>
      <c r="S1026" s="3">
        <f t="shared" si="79"/>
        <v>103458.86999999998</v>
      </c>
      <c r="T1026" s="24" t="s">
        <v>1081</v>
      </c>
      <c r="U1026" s="24" t="s">
        <v>1081</v>
      </c>
      <c r="V1026" s="67"/>
      <c r="W1026" s="25" t="str">
        <f>IFERROR(VLOOKUP(BCP_Soles[[#This Row],[DESTINATARIO]],CHOOSE({1,2},Clientes_Proveedores[Razon Social],Clientes_Proveedores[Ruc / Dni]),2,0),"")</f>
        <v/>
      </c>
      <c r="X1026" s="25" t="s">
        <v>1090</v>
      </c>
      <c r="Y1026" s="25" t="s">
        <v>2194</v>
      </c>
      <c r="Z1026" s="25"/>
      <c r="AA1026" s="99"/>
      <c r="AB1026" s="3" t="str">
        <f>IF(BCP_Soles[[#This Row],[FECHA]]&gt;0,TEXT(BCP_Soles[[#This Row],[FECHA]],"mmmm"),0)</f>
        <v>Marzo</v>
      </c>
    </row>
    <row r="1027" spans="2:28" ht="36" x14ac:dyDescent="0.3">
      <c r="B1027" s="2">
        <f>IF(BCP_Soles[[#This Row],[TIPO DE R.]]="R",COUNTIFS($D$4:$D1026,"R")+1,"")</f>
        <v>801</v>
      </c>
      <c r="C1027" s="19" t="str">
        <f t="shared" si="75"/>
        <v>B-BCP - Soles</v>
      </c>
      <c r="D1027" s="3" t="s">
        <v>1074</v>
      </c>
      <c r="E1027" s="14">
        <v>45744</v>
      </c>
      <c r="F1027" s="5" t="s">
        <v>180</v>
      </c>
      <c r="G1027" s="5" t="s">
        <v>1087</v>
      </c>
      <c r="H1027" s="6"/>
      <c r="I1027" s="6"/>
      <c r="J1027" s="6"/>
      <c r="K1027" s="6"/>
      <c r="L1027" s="7" t="s">
        <v>1286</v>
      </c>
      <c r="M1027" s="8">
        <v>10375</v>
      </c>
      <c r="N1027" s="8" t="str">
        <f t="shared" si="76"/>
        <v>PEN</v>
      </c>
      <c r="O1027" s="13"/>
      <c r="P1027" s="13">
        <v>1285.8399999999999</v>
      </c>
      <c r="Q1027" s="3">
        <f t="shared" si="77"/>
        <v>1285.8399999999999</v>
      </c>
      <c r="R1027" s="3">
        <f t="shared" si="78"/>
        <v>0</v>
      </c>
      <c r="S1027" s="3">
        <f t="shared" si="79"/>
        <v>104744.70999999998</v>
      </c>
      <c r="T1027" s="24" t="s">
        <v>1081</v>
      </c>
      <c r="U1027" s="24" t="s">
        <v>1081</v>
      </c>
      <c r="V1027" s="67"/>
      <c r="W1027" s="25" t="str">
        <f>IFERROR(VLOOKUP(BCP_Soles[[#This Row],[DESTINATARIO]],CHOOSE({1,2},Clientes_Proveedores[Razon Social],Clientes_Proveedores[Ruc / Dni]),2,0),"")</f>
        <v/>
      </c>
      <c r="X1027" s="25" t="s">
        <v>1090</v>
      </c>
      <c r="Y1027" s="25" t="s">
        <v>2195</v>
      </c>
      <c r="Z1027" s="25"/>
      <c r="AA1027" s="99"/>
      <c r="AB1027" s="3" t="str">
        <f>IF(BCP_Soles[[#This Row],[FECHA]]&gt;0,TEXT(BCP_Soles[[#This Row],[FECHA]],"mmmm"),0)</f>
        <v>Marzo</v>
      </c>
    </row>
    <row r="1028" spans="2:28" ht="36" x14ac:dyDescent="0.3">
      <c r="B1028" s="2">
        <f>IF(BCP_Soles[[#This Row],[TIPO DE R.]]="R",COUNTIFS($D$4:$D1027,"R")+1,"")</f>
        <v>802</v>
      </c>
      <c r="C1028" s="19" t="str">
        <f t="shared" si="75"/>
        <v>B-BCP - Soles</v>
      </c>
      <c r="D1028" s="3" t="s">
        <v>1074</v>
      </c>
      <c r="E1028" s="14">
        <v>45744</v>
      </c>
      <c r="F1028" s="5" t="s">
        <v>180</v>
      </c>
      <c r="G1028" s="5" t="s">
        <v>1087</v>
      </c>
      <c r="H1028" s="6"/>
      <c r="I1028" s="6"/>
      <c r="J1028" s="6"/>
      <c r="K1028" s="6"/>
      <c r="L1028" s="7" t="s">
        <v>1286</v>
      </c>
      <c r="M1028" s="8">
        <v>10889</v>
      </c>
      <c r="N1028" s="8" t="str">
        <f t="shared" si="76"/>
        <v>PEN</v>
      </c>
      <c r="O1028" s="13"/>
      <c r="P1028" s="13">
        <v>692.66</v>
      </c>
      <c r="Q1028" s="3">
        <f t="shared" si="77"/>
        <v>692.66</v>
      </c>
      <c r="R1028" s="3">
        <f t="shared" si="78"/>
        <v>0</v>
      </c>
      <c r="S1028" s="3">
        <f t="shared" si="79"/>
        <v>105437.36999999998</v>
      </c>
      <c r="T1028" s="24" t="s">
        <v>1081</v>
      </c>
      <c r="U1028" s="24" t="s">
        <v>1081</v>
      </c>
      <c r="V1028" s="67"/>
      <c r="W1028" s="25" t="str">
        <f>IFERROR(VLOOKUP(BCP_Soles[[#This Row],[DESTINATARIO]],CHOOSE({1,2},Clientes_Proveedores[Razon Social],Clientes_Proveedores[Ruc / Dni]),2,0),"")</f>
        <v/>
      </c>
      <c r="X1028" s="25" t="s">
        <v>1090</v>
      </c>
      <c r="Y1028" s="25" t="s">
        <v>2196</v>
      </c>
      <c r="Z1028" s="25"/>
      <c r="AA1028" s="99"/>
      <c r="AB1028" s="3" t="str">
        <f>IF(BCP_Soles[[#This Row],[FECHA]]&gt;0,TEXT(BCP_Soles[[#This Row],[FECHA]],"mmmm"),0)</f>
        <v>Marzo</v>
      </c>
    </row>
    <row r="1029" spans="2:28" ht="24" x14ac:dyDescent="0.3">
      <c r="B1029" s="2">
        <f>IF(BCP_Soles[[#This Row],[TIPO DE R.]]="R",COUNTIFS($D$4:$D1028,"R")+1,"")</f>
        <v>803</v>
      </c>
      <c r="C1029" s="19" t="str">
        <f t="shared" ref="C1029:C1092" si="80">"B-BCP - Soles"</f>
        <v>B-BCP - Soles</v>
      </c>
      <c r="D1029" s="3" t="s">
        <v>1074</v>
      </c>
      <c r="E1029" s="14">
        <v>45744</v>
      </c>
      <c r="F1029" s="5" t="s">
        <v>155</v>
      </c>
      <c r="G1029" s="5" t="s">
        <v>1087</v>
      </c>
      <c r="H1029" s="6"/>
      <c r="I1029" s="6"/>
      <c r="J1029" s="6"/>
      <c r="K1029" s="6"/>
      <c r="L1029" s="7" t="s">
        <v>2197</v>
      </c>
      <c r="M1029" s="8">
        <v>7902654</v>
      </c>
      <c r="N1029" s="8" t="str">
        <f t="shared" ref="N1029:N1092" si="81">"PEN"</f>
        <v>PEN</v>
      </c>
      <c r="O1029" s="13"/>
      <c r="P1029" s="13">
        <v>246.15</v>
      </c>
      <c r="Q1029" s="3">
        <f t="shared" ref="Q1029:Q1092" si="82">+IF(OR($G1029="SALDO",$G1029="INGRESO"),$P1029,0)</f>
        <v>246.15</v>
      </c>
      <c r="R1029" s="3">
        <f t="shared" ref="R1029:R1092" si="83">+IF($G1029="EGRESO",$P1029,0)</f>
        <v>0</v>
      </c>
      <c r="S1029" s="3">
        <f t="shared" ref="S1029:S1092" si="84">IFERROR(IF(G1029="SALDO",Q1029,S1028+Q1029-R1029),0)</f>
        <v>105683.51999999997</v>
      </c>
      <c r="T1029" s="24" t="s">
        <v>1081</v>
      </c>
      <c r="U1029" s="24" t="s">
        <v>1081</v>
      </c>
      <c r="V1029" s="67"/>
      <c r="W1029" s="25" t="str">
        <f>IFERROR(VLOOKUP(BCP_Soles[[#This Row],[DESTINATARIO]],CHOOSE({1,2},Clientes_Proveedores[Razon Social],Clientes_Proveedores[Ruc / Dni]),2,0),"")</f>
        <v/>
      </c>
      <c r="X1029" s="25" t="s">
        <v>1090</v>
      </c>
      <c r="Y1029" s="25" t="s">
        <v>1599</v>
      </c>
      <c r="Z1029" s="25"/>
      <c r="AA1029" s="99"/>
      <c r="AB1029" s="3" t="str">
        <f>IF(BCP_Soles[[#This Row],[FECHA]]&gt;0,TEXT(BCP_Soles[[#This Row],[FECHA]],"mmmm"),0)</f>
        <v>Marzo</v>
      </c>
    </row>
    <row r="1030" spans="2:28" ht="24" x14ac:dyDescent="0.3">
      <c r="B1030" s="2">
        <f>IF(BCP_Soles[[#This Row],[TIPO DE R.]]="R",COUNTIFS($D$4:$D1029,"R")+1,"")</f>
        <v>804</v>
      </c>
      <c r="C1030" s="19" t="str">
        <f t="shared" si="80"/>
        <v>B-BCP - Soles</v>
      </c>
      <c r="D1030" s="3" t="s">
        <v>1074</v>
      </c>
      <c r="E1030" s="14">
        <v>45745</v>
      </c>
      <c r="F1030" s="5" t="s">
        <v>1163</v>
      </c>
      <c r="G1030" s="5" t="s">
        <v>1079</v>
      </c>
      <c r="H1030" s="6"/>
      <c r="I1030" s="6"/>
      <c r="J1030" s="6"/>
      <c r="K1030" s="6"/>
      <c r="L1030" s="7" t="s">
        <v>1100</v>
      </c>
      <c r="M1030" s="8">
        <v>3980061</v>
      </c>
      <c r="N1030" s="8" t="str">
        <f t="shared" si="81"/>
        <v>PEN</v>
      </c>
      <c r="O1030" s="13"/>
      <c r="P1030" s="13">
        <v>2000</v>
      </c>
      <c r="Q1030" s="3">
        <f t="shared" si="82"/>
        <v>0</v>
      </c>
      <c r="R1030" s="3">
        <f t="shared" si="83"/>
        <v>2000</v>
      </c>
      <c r="S1030" s="3">
        <f t="shared" si="84"/>
        <v>103683.51999999997</v>
      </c>
      <c r="T1030" s="24"/>
      <c r="U1030" s="24"/>
      <c r="V1030" s="67"/>
      <c r="W1030" s="25" t="str">
        <f>IFERROR(VLOOKUP(BCP_Soles[[#This Row],[DESTINATARIO]],CHOOSE({1,2},Clientes_Proveedores[Razon Social],Clientes_Proveedores[Ruc / Dni]),2,0),"")</f>
        <v/>
      </c>
      <c r="X1030" s="25"/>
      <c r="Y1030" s="25" t="s">
        <v>1172</v>
      </c>
      <c r="Z1030" s="25"/>
      <c r="AA1030" s="99"/>
      <c r="AB1030" s="3" t="str">
        <f>IF(BCP_Soles[[#This Row],[FECHA]]&gt;0,TEXT(BCP_Soles[[#This Row],[FECHA]],"mmmm"),0)</f>
        <v>Marzo</v>
      </c>
    </row>
    <row r="1031" spans="2:28" ht="24" x14ac:dyDescent="0.3">
      <c r="B1031" s="2">
        <f>IF(BCP_Soles[[#This Row],[TIPO DE R.]]="R",COUNTIFS($D$4:$D1030,"R")+1,"")</f>
        <v>805</v>
      </c>
      <c r="C1031" s="19" t="str">
        <f t="shared" si="80"/>
        <v>B-BCP - Soles</v>
      </c>
      <c r="D1031" s="3" t="s">
        <v>1074</v>
      </c>
      <c r="E1031" s="14">
        <v>45745</v>
      </c>
      <c r="F1031" s="5" t="s">
        <v>405</v>
      </c>
      <c r="G1031" s="5" t="s">
        <v>1087</v>
      </c>
      <c r="H1031" s="6"/>
      <c r="I1031" s="6"/>
      <c r="J1031" s="6"/>
      <c r="K1031" s="6"/>
      <c r="L1031" s="7" t="s">
        <v>1100</v>
      </c>
      <c r="M1031" s="8">
        <v>1825550</v>
      </c>
      <c r="N1031" s="8" t="str">
        <f t="shared" si="81"/>
        <v>PEN</v>
      </c>
      <c r="O1031" s="13"/>
      <c r="P1031" s="13">
        <v>801.49</v>
      </c>
      <c r="Q1031" s="3">
        <f t="shared" si="82"/>
        <v>801.49</v>
      </c>
      <c r="R1031" s="3">
        <f t="shared" si="83"/>
        <v>0</v>
      </c>
      <c r="S1031" s="3">
        <f t="shared" si="84"/>
        <v>104485.00999999998</v>
      </c>
      <c r="T1031" s="24" t="s">
        <v>1081</v>
      </c>
      <c r="U1031" s="24" t="s">
        <v>1081</v>
      </c>
      <c r="V1031" s="67"/>
      <c r="W1031" s="25" t="str">
        <f>IFERROR(VLOOKUP(BCP_Soles[[#This Row],[DESTINATARIO]],CHOOSE({1,2},Clientes_Proveedores[Razon Social],Clientes_Proveedores[Ruc / Dni]),2,0),"")</f>
        <v/>
      </c>
      <c r="X1031" s="25" t="s">
        <v>1090</v>
      </c>
      <c r="Y1031" s="25" t="s">
        <v>2198</v>
      </c>
      <c r="Z1031" s="25"/>
      <c r="AA1031" s="99"/>
      <c r="AB1031" s="3" t="str">
        <f>IF(BCP_Soles[[#This Row],[FECHA]]&gt;0,TEXT(BCP_Soles[[#This Row],[FECHA]],"mmmm"),0)</f>
        <v>Marzo</v>
      </c>
    </row>
    <row r="1032" spans="2:28" ht="36" x14ac:dyDescent="0.3">
      <c r="B1032" s="2">
        <f>IF(BCP_Soles[[#This Row],[TIPO DE R.]]="R",COUNTIFS($D$4:$D1031,"R")+1,"")</f>
        <v>806</v>
      </c>
      <c r="C1032" s="19" t="str">
        <f t="shared" si="80"/>
        <v>B-BCP - Soles</v>
      </c>
      <c r="D1032" s="3" t="s">
        <v>1074</v>
      </c>
      <c r="E1032" s="14">
        <v>45745</v>
      </c>
      <c r="F1032" s="5" t="s">
        <v>602</v>
      </c>
      <c r="G1032" s="5" t="s">
        <v>1087</v>
      </c>
      <c r="H1032" s="6"/>
      <c r="I1032" s="6"/>
      <c r="J1032" s="6"/>
      <c r="K1032" s="6"/>
      <c r="L1032" s="7" t="s">
        <v>1100</v>
      </c>
      <c r="M1032" s="8">
        <v>4650714</v>
      </c>
      <c r="N1032" s="8" t="str">
        <f t="shared" si="81"/>
        <v>PEN</v>
      </c>
      <c r="O1032" s="13"/>
      <c r="P1032" s="13">
        <v>660.8</v>
      </c>
      <c r="Q1032" s="3">
        <f t="shared" si="82"/>
        <v>660.8</v>
      </c>
      <c r="R1032" s="3">
        <f t="shared" si="83"/>
        <v>0</v>
      </c>
      <c r="S1032" s="3">
        <f t="shared" si="84"/>
        <v>105145.80999999998</v>
      </c>
      <c r="T1032" s="24" t="s">
        <v>1081</v>
      </c>
      <c r="U1032" s="24" t="s">
        <v>1081</v>
      </c>
      <c r="V1032" s="67"/>
      <c r="W1032" s="25" t="str">
        <f>IFERROR(VLOOKUP(BCP_Soles[[#This Row],[DESTINATARIO]],CHOOSE({1,2},Clientes_Proveedores[Razon Social],Clientes_Proveedores[Ruc / Dni]),2,0),"")</f>
        <v/>
      </c>
      <c r="X1032" s="25" t="s">
        <v>1090</v>
      </c>
      <c r="Y1032" s="25" t="s">
        <v>2199</v>
      </c>
      <c r="Z1032" s="25"/>
      <c r="AA1032" s="99"/>
      <c r="AB1032" s="3" t="str">
        <f>IF(BCP_Soles[[#This Row],[FECHA]]&gt;0,TEXT(BCP_Soles[[#This Row],[FECHA]],"mmmm"),0)</f>
        <v>Marzo</v>
      </c>
    </row>
    <row r="1033" spans="2:28" ht="24" x14ac:dyDescent="0.3">
      <c r="B1033" s="2">
        <f>IF(BCP_Soles[[#This Row],[TIPO DE R.]]="R",COUNTIFS($D$4:$D1032,"R")+1,"")</f>
        <v>807</v>
      </c>
      <c r="C1033" s="19" t="str">
        <f t="shared" si="80"/>
        <v>B-BCP - Soles</v>
      </c>
      <c r="D1033" s="3" t="s">
        <v>1074</v>
      </c>
      <c r="E1033" s="14">
        <v>45745</v>
      </c>
      <c r="F1033" s="5" t="s">
        <v>405</v>
      </c>
      <c r="G1033" s="5" t="s">
        <v>1087</v>
      </c>
      <c r="H1033" s="6"/>
      <c r="I1033" s="6"/>
      <c r="J1033" s="6"/>
      <c r="K1033" s="6"/>
      <c r="L1033" s="7" t="s">
        <v>1100</v>
      </c>
      <c r="M1033" s="8">
        <v>1834420</v>
      </c>
      <c r="N1033" s="8" t="str">
        <f t="shared" si="81"/>
        <v>PEN</v>
      </c>
      <c r="O1033" s="13"/>
      <c r="P1033" s="13">
        <v>498.5</v>
      </c>
      <c r="Q1033" s="3">
        <f t="shared" si="82"/>
        <v>498.5</v>
      </c>
      <c r="R1033" s="3">
        <f t="shared" si="83"/>
        <v>0</v>
      </c>
      <c r="S1033" s="3">
        <f t="shared" si="84"/>
        <v>105644.30999999998</v>
      </c>
      <c r="T1033" s="24" t="s">
        <v>1081</v>
      </c>
      <c r="U1033" s="24" t="s">
        <v>1081</v>
      </c>
      <c r="V1033" s="67"/>
      <c r="W1033" s="25" t="str">
        <f>IFERROR(VLOOKUP(BCP_Soles[[#This Row],[DESTINATARIO]],CHOOSE({1,2},Clientes_Proveedores[Razon Social],Clientes_Proveedores[Ruc / Dni]),2,0),"")</f>
        <v/>
      </c>
      <c r="X1033" s="25" t="s">
        <v>1090</v>
      </c>
      <c r="Y1033" s="25" t="s">
        <v>2200</v>
      </c>
      <c r="Z1033" s="25"/>
      <c r="AA1033" s="99"/>
      <c r="AB1033" s="3" t="str">
        <f>IF(BCP_Soles[[#This Row],[FECHA]]&gt;0,TEXT(BCP_Soles[[#This Row],[FECHA]],"mmmm"),0)</f>
        <v>Marzo</v>
      </c>
    </row>
    <row r="1034" spans="2:28" ht="24" x14ac:dyDescent="0.3">
      <c r="B1034" s="2">
        <f>IF(BCP_Soles[[#This Row],[TIPO DE R.]]="R",COUNTIFS($D$4:$D1033,"R")+1,"")</f>
        <v>808</v>
      </c>
      <c r="C1034" s="19" t="str">
        <f t="shared" si="80"/>
        <v>B-BCP - Soles</v>
      </c>
      <c r="D1034" s="3" t="s">
        <v>1074</v>
      </c>
      <c r="E1034" s="14">
        <v>45745</v>
      </c>
      <c r="F1034" s="5" t="s">
        <v>405</v>
      </c>
      <c r="G1034" s="5" t="s">
        <v>1087</v>
      </c>
      <c r="H1034" s="6"/>
      <c r="I1034" s="6"/>
      <c r="J1034" s="6"/>
      <c r="K1034" s="6"/>
      <c r="L1034" s="7" t="s">
        <v>1100</v>
      </c>
      <c r="M1034" s="8">
        <v>1819730</v>
      </c>
      <c r="N1034" s="8" t="str">
        <f t="shared" si="81"/>
        <v>PEN</v>
      </c>
      <c r="O1034" s="13"/>
      <c r="P1034" s="13">
        <v>448</v>
      </c>
      <c r="Q1034" s="3">
        <f t="shared" si="82"/>
        <v>448</v>
      </c>
      <c r="R1034" s="3">
        <f t="shared" si="83"/>
        <v>0</v>
      </c>
      <c r="S1034" s="3">
        <f t="shared" si="84"/>
        <v>106092.30999999998</v>
      </c>
      <c r="T1034" s="24" t="s">
        <v>1081</v>
      </c>
      <c r="U1034" s="24" t="s">
        <v>1081</v>
      </c>
      <c r="V1034" s="67"/>
      <c r="W1034" s="25" t="str">
        <f>IFERROR(VLOOKUP(BCP_Soles[[#This Row],[DESTINATARIO]],CHOOSE({1,2},Clientes_Proveedores[Razon Social],Clientes_Proveedores[Ruc / Dni]),2,0),"")</f>
        <v/>
      </c>
      <c r="X1034" s="25" t="s">
        <v>1090</v>
      </c>
      <c r="Y1034" s="25" t="s">
        <v>2201</v>
      </c>
      <c r="Z1034" s="25"/>
      <c r="AA1034" s="99"/>
      <c r="AB1034" s="3" t="str">
        <f>IF(BCP_Soles[[#This Row],[FECHA]]&gt;0,TEXT(BCP_Soles[[#This Row],[FECHA]],"mmmm"),0)</f>
        <v>Marzo</v>
      </c>
    </row>
    <row r="1035" spans="2:28" x14ac:dyDescent="0.3">
      <c r="B1035" s="2">
        <f>IF(BCP_Soles[[#This Row],[TIPO DE R.]]="R",COUNTIFS($D$4:$D1034,"R")+1,"")</f>
        <v>809</v>
      </c>
      <c r="C1035" s="19" t="str">
        <f t="shared" si="80"/>
        <v>B-BCP - Soles</v>
      </c>
      <c r="D1035" s="3" t="s">
        <v>1074</v>
      </c>
      <c r="E1035" s="14">
        <v>45746</v>
      </c>
      <c r="F1035" s="5" t="s">
        <v>1078</v>
      </c>
      <c r="G1035" s="5" t="s">
        <v>1079</v>
      </c>
      <c r="H1035" s="6"/>
      <c r="I1035" s="6"/>
      <c r="J1035" s="6"/>
      <c r="K1035" s="6"/>
      <c r="L1035" s="7" t="s">
        <v>1080</v>
      </c>
      <c r="M1035" s="8"/>
      <c r="N1035" s="8" t="str">
        <f t="shared" si="81"/>
        <v>PEN</v>
      </c>
      <c r="O1035" s="13"/>
      <c r="P1035" s="13">
        <v>0.1</v>
      </c>
      <c r="Q1035" s="3">
        <f t="shared" si="82"/>
        <v>0</v>
      </c>
      <c r="R1035" s="3">
        <f t="shared" si="83"/>
        <v>0.1</v>
      </c>
      <c r="S1035" s="3">
        <f t="shared" si="84"/>
        <v>106092.20999999998</v>
      </c>
      <c r="T1035" s="24"/>
      <c r="U1035" s="24" t="s">
        <v>1081</v>
      </c>
      <c r="V1035" s="67"/>
      <c r="W1035" s="25" t="str">
        <f>IFERROR(VLOOKUP(BCP_Soles[[#This Row],[DESTINATARIO]],CHOOSE({1,2},Clientes_Proveedores[Razon Social],Clientes_Proveedores[Ruc / Dni]),2,0),"")</f>
        <v/>
      </c>
      <c r="X1035" s="25"/>
      <c r="Y1035" s="25"/>
      <c r="Z1035" s="25"/>
      <c r="AA1035" s="99"/>
      <c r="AB1035" s="3" t="str">
        <f>IF(BCP_Soles[[#This Row],[FECHA]]&gt;0,TEXT(BCP_Soles[[#This Row],[FECHA]],"mmmm"),0)</f>
        <v>Marzo</v>
      </c>
    </row>
    <row r="1036" spans="2:28" ht="24" x14ac:dyDescent="0.3">
      <c r="B1036" s="2">
        <f>IF(BCP_Soles[[#This Row],[TIPO DE R.]]="R",COUNTIFS($D$4:$D1035,"R")+1,"")</f>
        <v>810</v>
      </c>
      <c r="C1036" s="19" t="str">
        <f t="shared" si="80"/>
        <v>B-BCP - Soles</v>
      </c>
      <c r="D1036" s="3" t="s">
        <v>1074</v>
      </c>
      <c r="E1036" s="14">
        <v>45747</v>
      </c>
      <c r="F1036" s="5" t="s">
        <v>1245</v>
      </c>
      <c r="G1036" s="5" t="s">
        <v>1087</v>
      </c>
      <c r="H1036" s="6"/>
      <c r="I1036" s="6"/>
      <c r="J1036" s="6"/>
      <c r="K1036" s="6"/>
      <c r="L1036" s="7" t="s">
        <v>1100</v>
      </c>
      <c r="M1036" s="8">
        <v>663013</v>
      </c>
      <c r="N1036" s="8" t="str">
        <f t="shared" si="81"/>
        <v>PEN</v>
      </c>
      <c r="O1036" s="13"/>
      <c r="P1036" s="13">
        <v>2397.5</v>
      </c>
      <c r="Q1036" s="3">
        <f t="shared" si="82"/>
        <v>2397.5</v>
      </c>
      <c r="R1036" s="3">
        <f t="shared" si="83"/>
        <v>0</v>
      </c>
      <c r="S1036" s="3">
        <f t="shared" si="84"/>
        <v>108489.70999999998</v>
      </c>
      <c r="T1036" s="24" t="s">
        <v>1081</v>
      </c>
      <c r="U1036" s="24" t="s">
        <v>1081</v>
      </c>
      <c r="V1036" s="67"/>
      <c r="W1036" s="25" t="str">
        <f>IFERROR(VLOOKUP(BCP_Soles[[#This Row],[DESTINATARIO]],CHOOSE({1,2},Clientes_Proveedores[Razon Social],Clientes_Proveedores[Ruc / Dni]),2,0),"")</f>
        <v/>
      </c>
      <c r="X1036" s="25" t="s">
        <v>1090</v>
      </c>
      <c r="Y1036" s="25" t="s">
        <v>2202</v>
      </c>
      <c r="Z1036" s="25"/>
      <c r="AA1036" s="99"/>
      <c r="AB1036" s="3" t="str">
        <f>IF(BCP_Soles[[#This Row],[FECHA]]&gt;0,TEXT(BCP_Soles[[#This Row],[FECHA]],"mmmm"),0)</f>
        <v>Marzo</v>
      </c>
    </row>
    <row r="1037" spans="2:28" ht="36" x14ac:dyDescent="0.3">
      <c r="B1037" s="2">
        <f>IF(BCP_Soles[[#This Row],[TIPO DE R.]]="R",COUNTIFS($D$4:$D1036,"R")+1,"")</f>
        <v>811</v>
      </c>
      <c r="C1037" s="19" t="str">
        <f t="shared" si="80"/>
        <v>B-BCP - Soles</v>
      </c>
      <c r="D1037" s="3" t="s">
        <v>1074</v>
      </c>
      <c r="E1037" s="14">
        <v>45747</v>
      </c>
      <c r="F1037" s="5" t="s">
        <v>180</v>
      </c>
      <c r="G1037" s="5" t="s">
        <v>1087</v>
      </c>
      <c r="H1037" s="6"/>
      <c r="I1037" s="6"/>
      <c r="J1037" s="6"/>
      <c r="K1037" s="6"/>
      <c r="L1037" s="7" t="s">
        <v>1286</v>
      </c>
      <c r="M1037" s="8">
        <v>20379</v>
      </c>
      <c r="N1037" s="8" t="str">
        <f t="shared" si="81"/>
        <v>PEN</v>
      </c>
      <c r="O1037" s="13"/>
      <c r="P1037" s="13">
        <v>2673.32</v>
      </c>
      <c r="Q1037" s="3">
        <f t="shared" si="82"/>
        <v>2673.32</v>
      </c>
      <c r="R1037" s="3">
        <f t="shared" si="83"/>
        <v>0</v>
      </c>
      <c r="S1037" s="3">
        <f t="shared" si="84"/>
        <v>111163.02999999998</v>
      </c>
      <c r="T1037" s="24" t="s">
        <v>1081</v>
      </c>
      <c r="U1037" s="24" t="s">
        <v>1081</v>
      </c>
      <c r="V1037" s="67"/>
      <c r="W1037" s="25" t="str">
        <f>IFERROR(VLOOKUP(BCP_Soles[[#This Row],[DESTINATARIO]],CHOOSE({1,2},Clientes_Proveedores[Razon Social],Clientes_Proveedores[Ruc / Dni]),2,0),"")</f>
        <v/>
      </c>
      <c r="X1037" s="25" t="s">
        <v>1090</v>
      </c>
      <c r="Y1037" s="25" t="s">
        <v>2203</v>
      </c>
      <c r="Z1037" s="25"/>
      <c r="AA1037" s="99"/>
      <c r="AB1037" s="3" t="str">
        <f>IF(BCP_Soles[[#This Row],[FECHA]]&gt;0,TEXT(BCP_Soles[[#This Row],[FECHA]],"mmmm"),0)</f>
        <v>Marzo</v>
      </c>
    </row>
    <row r="1038" spans="2:28" ht="36" x14ac:dyDescent="0.3">
      <c r="B1038" s="2">
        <f>IF(BCP_Soles[[#This Row],[TIPO DE R.]]="R",COUNTIFS($D$4:$D1037,"R")+1,"")</f>
        <v>812</v>
      </c>
      <c r="C1038" s="19" t="str">
        <f t="shared" si="80"/>
        <v>B-BCP - Soles</v>
      </c>
      <c r="D1038" s="3" t="s">
        <v>1074</v>
      </c>
      <c r="E1038" s="14">
        <v>45747</v>
      </c>
      <c r="F1038" s="5" t="s">
        <v>497</v>
      </c>
      <c r="G1038" s="5" t="s">
        <v>1087</v>
      </c>
      <c r="H1038" s="6"/>
      <c r="I1038" s="6"/>
      <c r="J1038" s="6"/>
      <c r="K1038" s="6"/>
      <c r="L1038" s="7" t="s">
        <v>1093</v>
      </c>
      <c r="M1038" s="8">
        <v>2197440</v>
      </c>
      <c r="N1038" s="8" t="str">
        <f t="shared" si="81"/>
        <v>PEN</v>
      </c>
      <c r="O1038" s="13"/>
      <c r="P1038" s="13">
        <v>1236.3499999999999</v>
      </c>
      <c r="Q1038" s="3">
        <f t="shared" si="82"/>
        <v>1236.3499999999999</v>
      </c>
      <c r="R1038" s="3">
        <f t="shared" si="83"/>
        <v>0</v>
      </c>
      <c r="S1038" s="3">
        <f t="shared" si="84"/>
        <v>112399.37999999999</v>
      </c>
      <c r="T1038" s="24" t="s">
        <v>1081</v>
      </c>
      <c r="U1038" s="24" t="s">
        <v>1081</v>
      </c>
      <c r="V1038" s="67"/>
      <c r="W1038" s="25" t="str">
        <f>IFERROR(VLOOKUP(BCP_Soles[[#This Row],[DESTINATARIO]],CHOOSE({1,2},Clientes_Proveedores[Razon Social],Clientes_Proveedores[Ruc / Dni]),2,0),"")</f>
        <v/>
      </c>
      <c r="X1038" s="25" t="s">
        <v>1090</v>
      </c>
      <c r="Y1038" s="25" t="s">
        <v>2204</v>
      </c>
      <c r="Z1038" s="25"/>
      <c r="AA1038" s="99"/>
      <c r="AB1038" s="3" t="str">
        <f>IF(BCP_Soles[[#This Row],[FECHA]]&gt;0,TEXT(BCP_Soles[[#This Row],[FECHA]],"mmmm"),0)</f>
        <v>Marzo</v>
      </c>
    </row>
    <row r="1039" spans="2:28" ht="24" x14ac:dyDescent="0.3">
      <c r="B1039" s="2">
        <f>IF(BCP_Soles[[#This Row],[TIPO DE R.]]="R",COUNTIFS($D$4:$D1038,"R")+1,"")</f>
        <v>813</v>
      </c>
      <c r="C1039" s="19" t="str">
        <f t="shared" si="80"/>
        <v>B-BCP - Soles</v>
      </c>
      <c r="D1039" s="3" t="s">
        <v>1074</v>
      </c>
      <c r="E1039" s="14">
        <v>45747</v>
      </c>
      <c r="F1039" s="5" t="s">
        <v>1357</v>
      </c>
      <c r="G1039" s="5" t="s">
        <v>1087</v>
      </c>
      <c r="H1039" s="6"/>
      <c r="I1039" s="6"/>
      <c r="J1039" s="6"/>
      <c r="K1039" s="6"/>
      <c r="L1039" s="7" t="s">
        <v>1358</v>
      </c>
      <c r="M1039" s="8">
        <v>89096</v>
      </c>
      <c r="N1039" s="8" t="str">
        <f t="shared" si="81"/>
        <v>PEN</v>
      </c>
      <c r="O1039" s="13"/>
      <c r="P1039" s="13">
        <v>1000</v>
      </c>
      <c r="Q1039" s="3">
        <f t="shared" si="82"/>
        <v>1000</v>
      </c>
      <c r="R1039" s="3">
        <f t="shared" si="83"/>
        <v>0</v>
      </c>
      <c r="S1039" s="3">
        <f t="shared" si="84"/>
        <v>113399.37999999999</v>
      </c>
      <c r="T1039" s="24" t="s">
        <v>1081</v>
      </c>
      <c r="U1039" s="24" t="s">
        <v>1081</v>
      </c>
      <c r="V1039" s="67"/>
      <c r="W1039" s="25" t="str">
        <f>IFERROR(VLOOKUP(BCP_Soles[[#This Row],[DESTINATARIO]],CHOOSE({1,2},Clientes_Proveedores[Razon Social],Clientes_Proveedores[Ruc / Dni]),2,0),"")</f>
        <v/>
      </c>
      <c r="X1039" s="25" t="s">
        <v>1090</v>
      </c>
      <c r="Y1039" s="25" t="s">
        <v>2205</v>
      </c>
      <c r="Z1039" s="25"/>
      <c r="AA1039" s="99"/>
      <c r="AB1039" s="3" t="str">
        <f>IF(BCP_Soles[[#This Row],[FECHA]]&gt;0,TEXT(BCP_Soles[[#This Row],[FECHA]],"mmmm"),0)</f>
        <v>Marzo</v>
      </c>
    </row>
    <row r="1040" spans="2:28" ht="36" x14ac:dyDescent="0.3">
      <c r="B1040" s="2">
        <f>IF(BCP_Soles[[#This Row],[TIPO DE R.]]="R",COUNTIFS($D$4:$D1039,"R")+1,"")</f>
        <v>814</v>
      </c>
      <c r="C1040" s="19" t="str">
        <f t="shared" si="80"/>
        <v>B-BCP - Soles</v>
      </c>
      <c r="D1040" s="3" t="s">
        <v>1074</v>
      </c>
      <c r="E1040" s="14">
        <v>45747</v>
      </c>
      <c r="F1040" s="5" t="s">
        <v>497</v>
      </c>
      <c r="G1040" s="5" t="s">
        <v>1087</v>
      </c>
      <c r="H1040" s="6"/>
      <c r="I1040" s="6"/>
      <c r="J1040" s="6"/>
      <c r="K1040" s="6"/>
      <c r="L1040" s="7" t="s">
        <v>1093</v>
      </c>
      <c r="M1040" s="8">
        <v>2200033</v>
      </c>
      <c r="N1040" s="8" t="str">
        <f t="shared" si="81"/>
        <v>PEN</v>
      </c>
      <c r="O1040" s="13"/>
      <c r="P1040" s="13">
        <v>722.6</v>
      </c>
      <c r="Q1040" s="3">
        <f t="shared" si="82"/>
        <v>722.6</v>
      </c>
      <c r="R1040" s="3">
        <f t="shared" si="83"/>
        <v>0</v>
      </c>
      <c r="S1040" s="3">
        <f t="shared" si="84"/>
        <v>114121.98</v>
      </c>
      <c r="T1040" s="24" t="s">
        <v>1081</v>
      </c>
      <c r="U1040" s="24" t="s">
        <v>1081</v>
      </c>
      <c r="V1040" s="67"/>
      <c r="W1040" s="25" t="str">
        <f>IFERROR(VLOOKUP(BCP_Soles[[#This Row],[DESTINATARIO]],CHOOSE({1,2},Clientes_Proveedores[Razon Social],Clientes_Proveedores[Ruc / Dni]),2,0),"")</f>
        <v/>
      </c>
      <c r="X1040" s="25" t="s">
        <v>1090</v>
      </c>
      <c r="Y1040" s="25" t="s">
        <v>2206</v>
      </c>
      <c r="Z1040" s="25"/>
      <c r="AA1040" s="99"/>
      <c r="AB1040" s="3" t="str">
        <f>IF(BCP_Soles[[#This Row],[FECHA]]&gt;0,TEXT(BCP_Soles[[#This Row],[FECHA]],"mmmm"),0)</f>
        <v>Marzo</v>
      </c>
    </row>
    <row r="1041" spans="2:28" ht="36" x14ac:dyDescent="0.3">
      <c r="B1041" s="2">
        <f>IF(BCP_Soles[[#This Row],[TIPO DE R.]]="R",COUNTIFS($D$4:$D1040,"R")+1,"")</f>
        <v>815</v>
      </c>
      <c r="C1041" s="19" t="str">
        <f t="shared" si="80"/>
        <v>B-BCP - Soles</v>
      </c>
      <c r="D1041" s="3" t="s">
        <v>1074</v>
      </c>
      <c r="E1041" s="14">
        <v>45747</v>
      </c>
      <c r="F1041" s="5" t="s">
        <v>180</v>
      </c>
      <c r="G1041" s="5" t="s">
        <v>1087</v>
      </c>
      <c r="H1041" s="6"/>
      <c r="I1041" s="6"/>
      <c r="J1041" s="6"/>
      <c r="K1041" s="6"/>
      <c r="L1041" s="7" t="s">
        <v>1286</v>
      </c>
      <c r="M1041" s="8">
        <v>22235</v>
      </c>
      <c r="N1041" s="8" t="str">
        <f t="shared" si="81"/>
        <v>PEN</v>
      </c>
      <c r="O1041" s="13"/>
      <c r="P1041" s="13">
        <v>648.32000000000005</v>
      </c>
      <c r="Q1041" s="3">
        <f t="shared" si="82"/>
        <v>648.32000000000005</v>
      </c>
      <c r="R1041" s="3">
        <f t="shared" si="83"/>
        <v>0</v>
      </c>
      <c r="S1041" s="3">
        <f t="shared" si="84"/>
        <v>114770.3</v>
      </c>
      <c r="T1041" s="24" t="s">
        <v>1081</v>
      </c>
      <c r="U1041" s="24" t="s">
        <v>1081</v>
      </c>
      <c r="V1041" s="67"/>
      <c r="W1041" s="25" t="str">
        <f>IFERROR(VLOOKUP(BCP_Soles[[#This Row],[DESTINATARIO]],CHOOSE({1,2},Clientes_Proveedores[Razon Social],Clientes_Proveedores[Ruc / Dni]),2,0),"")</f>
        <v/>
      </c>
      <c r="X1041" s="25" t="s">
        <v>1090</v>
      </c>
      <c r="Y1041" s="25" t="s">
        <v>2207</v>
      </c>
      <c r="Z1041" s="25"/>
      <c r="AA1041" s="99"/>
      <c r="AB1041" s="3" t="str">
        <f>IF(BCP_Soles[[#This Row],[FECHA]]&gt;0,TEXT(BCP_Soles[[#This Row],[FECHA]],"mmmm"),0)</f>
        <v>Marzo</v>
      </c>
    </row>
    <row r="1042" spans="2:28" ht="24" x14ac:dyDescent="0.3">
      <c r="B1042" s="2">
        <f>IF(BCP_Soles[[#This Row],[TIPO DE R.]]="R",COUNTIFS($D$4:$D1041,"R")+1,"")</f>
        <v>816</v>
      </c>
      <c r="C1042" s="19" t="str">
        <f t="shared" si="80"/>
        <v>B-BCP - Soles</v>
      </c>
      <c r="D1042" s="3" t="s">
        <v>1074</v>
      </c>
      <c r="E1042" s="14">
        <v>45747</v>
      </c>
      <c r="F1042" s="5" t="s">
        <v>1357</v>
      </c>
      <c r="G1042" s="5" t="s">
        <v>1087</v>
      </c>
      <c r="H1042" s="6"/>
      <c r="I1042" s="6"/>
      <c r="J1042" s="6"/>
      <c r="K1042" s="6"/>
      <c r="L1042" s="7" t="s">
        <v>1358</v>
      </c>
      <c r="M1042" s="8">
        <v>89103</v>
      </c>
      <c r="N1042" s="8" t="str">
        <f t="shared" si="81"/>
        <v>PEN</v>
      </c>
      <c r="O1042" s="13"/>
      <c r="P1042" s="13">
        <v>444.8</v>
      </c>
      <c r="Q1042" s="3">
        <f t="shared" si="82"/>
        <v>444.8</v>
      </c>
      <c r="R1042" s="3">
        <f t="shared" si="83"/>
        <v>0</v>
      </c>
      <c r="S1042" s="3">
        <f t="shared" si="84"/>
        <v>115215.1</v>
      </c>
      <c r="T1042" s="24" t="s">
        <v>1081</v>
      </c>
      <c r="U1042" s="24" t="s">
        <v>1081</v>
      </c>
      <c r="V1042" s="67"/>
      <c r="W1042" s="25" t="str">
        <f>IFERROR(VLOOKUP(BCP_Soles[[#This Row],[DESTINATARIO]],CHOOSE({1,2},Clientes_Proveedores[Razon Social],Clientes_Proveedores[Ruc / Dni]),2,0),"")</f>
        <v/>
      </c>
      <c r="X1042" s="25" t="s">
        <v>1090</v>
      </c>
      <c r="Y1042" s="25" t="s">
        <v>2205</v>
      </c>
      <c r="Z1042" s="25"/>
      <c r="AA1042" s="99"/>
      <c r="AB1042" s="3" t="str">
        <f>IF(BCP_Soles[[#This Row],[FECHA]]&gt;0,TEXT(BCP_Soles[[#This Row],[FECHA]],"mmmm"),0)</f>
        <v>Marzo</v>
      </c>
    </row>
    <row r="1043" spans="2:28" x14ac:dyDescent="0.3">
      <c r="B1043" s="2">
        <f>IF(BCP_Soles[[#This Row],[TIPO DE R.]]="R",COUNTIFS($D$4:$D1042,"R")+1,"")</f>
        <v>817</v>
      </c>
      <c r="C1043" s="19" t="str">
        <f t="shared" si="80"/>
        <v>B-BCP - Soles</v>
      </c>
      <c r="D1043" s="3" t="s">
        <v>1074</v>
      </c>
      <c r="E1043" s="14">
        <v>45747</v>
      </c>
      <c r="F1043" s="5" t="s">
        <v>1078</v>
      </c>
      <c r="G1043" s="5" t="s">
        <v>1079</v>
      </c>
      <c r="H1043" s="6"/>
      <c r="I1043" s="6"/>
      <c r="J1043" s="6"/>
      <c r="K1043" s="6"/>
      <c r="L1043" s="7" t="s">
        <v>1080</v>
      </c>
      <c r="M1043" s="8"/>
      <c r="N1043" s="8" t="str">
        <f t="shared" si="81"/>
        <v>PEN</v>
      </c>
      <c r="O1043" s="13"/>
      <c r="P1043" s="13">
        <v>0.5</v>
      </c>
      <c r="Q1043" s="3">
        <f t="shared" si="82"/>
        <v>0</v>
      </c>
      <c r="R1043" s="3">
        <f t="shared" si="83"/>
        <v>0.5</v>
      </c>
      <c r="S1043" s="3">
        <f t="shared" si="84"/>
        <v>115214.6</v>
      </c>
      <c r="T1043" s="24"/>
      <c r="U1043" s="24" t="s">
        <v>1081</v>
      </c>
      <c r="V1043" s="67"/>
      <c r="W1043" s="25" t="str">
        <f>IFERROR(VLOOKUP(BCP_Soles[[#This Row],[DESTINATARIO]],CHOOSE({1,2},Clientes_Proveedores[Razon Social],Clientes_Proveedores[Ruc / Dni]),2,0),"")</f>
        <v/>
      </c>
      <c r="X1043" s="25"/>
      <c r="Y1043" s="25"/>
      <c r="Z1043" s="25"/>
      <c r="AA1043" s="99"/>
      <c r="AB1043" s="3" t="str">
        <f>IF(BCP_Soles[[#This Row],[FECHA]]&gt;0,TEXT(BCP_Soles[[#This Row],[FECHA]],"mmmm"),0)</f>
        <v>Marzo</v>
      </c>
    </row>
    <row r="1044" spans="2:28" x14ac:dyDescent="0.3">
      <c r="B1044" s="2">
        <f>IF(BCP_Soles[[#This Row],[TIPO DE R.]]="R",COUNTIFS($D$4:$D1043,"R")+1,"")</f>
        <v>818</v>
      </c>
      <c r="C1044" s="19" t="str">
        <f t="shared" si="80"/>
        <v>B-BCP - Soles</v>
      </c>
      <c r="D1044" s="3" t="s">
        <v>1074</v>
      </c>
      <c r="E1044" s="14">
        <v>45747</v>
      </c>
      <c r="F1044" s="5" t="s">
        <v>1078</v>
      </c>
      <c r="G1044" s="5" t="s">
        <v>1079</v>
      </c>
      <c r="H1044" s="6"/>
      <c r="I1044" s="6"/>
      <c r="J1044" s="6"/>
      <c r="K1044" s="6"/>
      <c r="L1044" s="7" t="s">
        <v>1495</v>
      </c>
      <c r="M1044" s="8">
        <v>972127</v>
      </c>
      <c r="N1044" s="8" t="str">
        <f t="shared" si="81"/>
        <v>PEN</v>
      </c>
      <c r="O1044" s="13"/>
      <c r="P1044" s="13">
        <v>5.5</v>
      </c>
      <c r="Q1044" s="3">
        <f t="shared" si="82"/>
        <v>0</v>
      </c>
      <c r="R1044" s="3">
        <f t="shared" si="83"/>
        <v>5.5</v>
      </c>
      <c r="S1044" s="3">
        <f t="shared" si="84"/>
        <v>115209.1</v>
      </c>
      <c r="T1044" s="24" t="s">
        <v>1081</v>
      </c>
      <c r="U1044" s="24" t="s">
        <v>1081</v>
      </c>
      <c r="V1044" s="67"/>
      <c r="W1044" s="25" t="str">
        <f>IFERROR(VLOOKUP(BCP_Soles[[#This Row],[DESTINATARIO]],CHOOSE({1,2},Clientes_Proveedores[Razon Social],Clientes_Proveedores[Ruc / Dni]),2,0),"")</f>
        <v/>
      </c>
      <c r="X1044" s="25" t="s">
        <v>1078</v>
      </c>
      <c r="Y1044" s="25" t="s">
        <v>2208</v>
      </c>
      <c r="Z1044" s="25"/>
      <c r="AA1044" s="99"/>
      <c r="AB1044" s="3" t="str">
        <f>IF(BCP_Soles[[#This Row],[FECHA]]&gt;0,TEXT(BCP_Soles[[#This Row],[FECHA]],"mmmm"),0)</f>
        <v>Marzo</v>
      </c>
    </row>
    <row r="1045" spans="2:28" x14ac:dyDescent="0.3">
      <c r="B1045" s="2">
        <f>IF(BCP_Soles[[#This Row],[TIPO DE R.]]="R",COUNTIFS($D$4:$D1044,"R")+1,"")</f>
        <v>819</v>
      </c>
      <c r="C1045" s="19" t="str">
        <f t="shared" si="80"/>
        <v>B-BCP - Soles</v>
      </c>
      <c r="D1045" s="3" t="s">
        <v>1074</v>
      </c>
      <c r="E1045" s="14">
        <v>45747</v>
      </c>
      <c r="F1045" s="5" t="s">
        <v>1078</v>
      </c>
      <c r="G1045" s="5" t="s">
        <v>1079</v>
      </c>
      <c r="H1045" s="6"/>
      <c r="I1045" s="6"/>
      <c r="J1045" s="6"/>
      <c r="K1045" s="6"/>
      <c r="L1045" s="7" t="s">
        <v>1493</v>
      </c>
      <c r="M1045" s="8" t="s">
        <v>1494</v>
      </c>
      <c r="N1045" s="8" t="str">
        <f t="shared" si="81"/>
        <v>PEN</v>
      </c>
      <c r="O1045" s="13"/>
      <c r="P1045" s="13">
        <v>35</v>
      </c>
      <c r="Q1045" s="3">
        <f t="shared" si="82"/>
        <v>0</v>
      </c>
      <c r="R1045" s="3">
        <f t="shared" si="83"/>
        <v>35</v>
      </c>
      <c r="S1045" s="3">
        <f t="shared" si="84"/>
        <v>115174.1</v>
      </c>
      <c r="T1045" s="24" t="s">
        <v>1081</v>
      </c>
      <c r="U1045" s="24" t="s">
        <v>1081</v>
      </c>
      <c r="V1045" s="67"/>
      <c r="W1045" s="25" t="str">
        <f>IFERROR(VLOOKUP(BCP_Soles[[#This Row],[DESTINATARIO]],CHOOSE({1,2},Clientes_Proveedores[Razon Social],Clientes_Proveedores[Ruc / Dni]),2,0),"")</f>
        <v/>
      </c>
      <c r="X1045" s="25" t="s">
        <v>1078</v>
      </c>
      <c r="Y1045" s="25" t="s">
        <v>2208</v>
      </c>
      <c r="Z1045" s="25"/>
      <c r="AA1045" s="99"/>
      <c r="AB1045" s="3" t="str">
        <f>IF(BCP_Soles[[#This Row],[FECHA]]&gt;0,TEXT(BCP_Soles[[#This Row],[FECHA]],"mmmm"),0)</f>
        <v>Marzo</v>
      </c>
    </row>
    <row r="1046" spans="2:28" ht="24" x14ac:dyDescent="0.3">
      <c r="B1046" s="2">
        <f>IF(BCP_Soles[[#This Row],[TIPO DE R.]]="R",COUNTIFS($D$4:$D1045,"R")+1,"")</f>
        <v>820</v>
      </c>
      <c r="C1046" s="19" t="str">
        <f t="shared" si="80"/>
        <v>B-BCP - Soles</v>
      </c>
      <c r="D1046" s="3" t="s">
        <v>1074</v>
      </c>
      <c r="E1046" s="14">
        <v>45747</v>
      </c>
      <c r="F1046" s="5" t="s">
        <v>1996</v>
      </c>
      <c r="G1046" s="5" t="s">
        <v>1079</v>
      </c>
      <c r="H1046" s="6"/>
      <c r="I1046" s="6" t="s">
        <v>14</v>
      </c>
      <c r="J1046" s="6" t="s">
        <v>1997</v>
      </c>
      <c r="K1046" s="6">
        <v>117692</v>
      </c>
      <c r="L1046" s="7" t="s">
        <v>2209</v>
      </c>
      <c r="M1046" s="8">
        <v>1067928</v>
      </c>
      <c r="N1046" s="8" t="str">
        <f t="shared" si="81"/>
        <v>PEN</v>
      </c>
      <c r="O1046" s="13"/>
      <c r="P1046" s="13">
        <v>84.73</v>
      </c>
      <c r="Q1046" s="3">
        <f t="shared" si="82"/>
        <v>0</v>
      </c>
      <c r="R1046" s="3">
        <f t="shared" si="83"/>
        <v>84.73</v>
      </c>
      <c r="S1046" s="3">
        <f t="shared" si="84"/>
        <v>115089.37000000001</v>
      </c>
      <c r="T1046" s="24" t="s">
        <v>1081</v>
      </c>
      <c r="U1046" s="24" t="s">
        <v>1081</v>
      </c>
      <c r="V1046" s="67"/>
      <c r="W1046" s="25" t="str">
        <f>IFERROR(VLOOKUP(BCP_Soles[[#This Row],[DESTINATARIO]],CHOOSE({1,2},Clientes_Proveedores[Razon Social],Clientes_Proveedores[Ruc / Dni]),2,0),"")</f>
        <v/>
      </c>
      <c r="X1046" s="25" t="s">
        <v>1999</v>
      </c>
      <c r="Y1046" s="25" t="s">
        <v>2210</v>
      </c>
      <c r="Z1046" s="25"/>
      <c r="AA1046" s="99"/>
      <c r="AB1046" s="3" t="str">
        <f>IF(BCP_Soles[[#This Row],[FECHA]]&gt;0,TEXT(BCP_Soles[[#This Row],[FECHA]],"mmmm"),0)</f>
        <v>Marzo</v>
      </c>
    </row>
    <row r="1047" spans="2:28" ht="24" x14ac:dyDescent="0.3">
      <c r="B1047" s="2">
        <f>IF(BCP_Soles[[#This Row],[TIPO DE R.]]="R",COUNTIFS($D$4:$D1046,"R")+1,"")</f>
        <v>821</v>
      </c>
      <c r="C1047" s="19" t="str">
        <f t="shared" si="80"/>
        <v>B-BCP - Soles</v>
      </c>
      <c r="D1047" s="3" t="s">
        <v>1074</v>
      </c>
      <c r="E1047" s="14">
        <v>45747</v>
      </c>
      <c r="F1047" s="5" t="s">
        <v>1996</v>
      </c>
      <c r="G1047" s="5" t="s">
        <v>1079</v>
      </c>
      <c r="H1047" s="6" t="s">
        <v>192</v>
      </c>
      <c r="I1047" s="6"/>
      <c r="J1047" s="6"/>
      <c r="K1047" s="6"/>
      <c r="L1047" s="7" t="s">
        <v>2211</v>
      </c>
      <c r="M1047" s="8">
        <v>1129291</v>
      </c>
      <c r="N1047" s="8" t="str">
        <f t="shared" si="81"/>
        <v>PEN</v>
      </c>
      <c r="O1047" s="13"/>
      <c r="P1047" s="13">
        <v>134.34</v>
      </c>
      <c r="Q1047" s="3">
        <f t="shared" si="82"/>
        <v>0</v>
      </c>
      <c r="R1047" s="3">
        <f t="shared" si="83"/>
        <v>134.34</v>
      </c>
      <c r="S1047" s="3">
        <f t="shared" si="84"/>
        <v>114955.03000000001</v>
      </c>
      <c r="T1047" s="24"/>
      <c r="U1047" s="24"/>
      <c r="V1047" s="67"/>
      <c r="W1047" s="25">
        <f>IFERROR(VLOOKUP(BCP_Soles[[#This Row],[DESTINATARIO]],CHOOSE({1,2},Clientes_Proveedores[Razon Social],Clientes_Proveedores[Ruc / Dni]),2,0),"")</f>
        <v>20302891452</v>
      </c>
      <c r="X1047" s="25" t="s">
        <v>192</v>
      </c>
      <c r="Y1047" s="25"/>
      <c r="Z1047" s="25"/>
      <c r="AA1047" s="99"/>
      <c r="AB1047" s="3" t="str">
        <f>IF(BCP_Soles[[#This Row],[FECHA]]&gt;0,TEXT(BCP_Soles[[#This Row],[FECHA]],"mmmm"),0)</f>
        <v>Marzo</v>
      </c>
    </row>
    <row r="1048" spans="2:28" ht="24" x14ac:dyDescent="0.3">
      <c r="B1048" s="2">
        <f>IF(BCP_Soles[[#This Row],[TIPO DE R.]]="R",COUNTIFS($D$4:$D1047,"R")+1,"")</f>
        <v>822</v>
      </c>
      <c r="C1048" s="19" t="str">
        <f t="shared" si="80"/>
        <v>B-BCP - Soles</v>
      </c>
      <c r="D1048" s="3" t="s">
        <v>1074</v>
      </c>
      <c r="E1048" s="14">
        <v>45747</v>
      </c>
      <c r="F1048" s="5" t="s">
        <v>1996</v>
      </c>
      <c r="G1048" s="5" t="s">
        <v>1079</v>
      </c>
      <c r="H1048" s="6"/>
      <c r="I1048" s="6" t="s">
        <v>52</v>
      </c>
      <c r="J1048" s="6" t="s">
        <v>2212</v>
      </c>
      <c r="K1048" s="6">
        <v>608855304</v>
      </c>
      <c r="L1048" s="7" t="s">
        <v>2213</v>
      </c>
      <c r="M1048" s="8">
        <v>4129292</v>
      </c>
      <c r="N1048" s="8" t="str">
        <f t="shared" si="81"/>
        <v>PEN</v>
      </c>
      <c r="O1048" s="13"/>
      <c r="P1048" s="13">
        <v>203</v>
      </c>
      <c r="Q1048" s="3">
        <f t="shared" si="82"/>
        <v>0</v>
      </c>
      <c r="R1048" s="3">
        <f t="shared" si="83"/>
        <v>203</v>
      </c>
      <c r="S1048" s="3">
        <f t="shared" si="84"/>
        <v>114752.03000000001</v>
      </c>
      <c r="T1048" s="24" t="s">
        <v>1081</v>
      </c>
      <c r="U1048" s="24" t="s">
        <v>1081</v>
      </c>
      <c r="V1048" s="67"/>
      <c r="W1048" s="25" t="str">
        <f>IFERROR(VLOOKUP(BCP_Soles[[#This Row],[DESTINATARIO]],CHOOSE({1,2},Clientes_Proveedores[Razon Social],Clientes_Proveedores[Ruc / Dni]),2,0),"")</f>
        <v/>
      </c>
      <c r="X1048" s="25" t="s">
        <v>1305</v>
      </c>
      <c r="Y1048" s="25" t="s">
        <v>2214</v>
      </c>
      <c r="Z1048" s="25"/>
      <c r="AA1048" s="99"/>
      <c r="AB1048" s="3" t="str">
        <f>IF(BCP_Soles[[#This Row],[FECHA]]&gt;0,TEXT(BCP_Soles[[#This Row],[FECHA]],"mmmm"),0)</f>
        <v>Marzo</v>
      </c>
    </row>
    <row r="1049" spans="2:28" ht="24" x14ac:dyDescent="0.3">
      <c r="B1049" s="2">
        <f>IF(BCP_Soles[[#This Row],[TIPO DE R.]]="R",COUNTIFS($D$4:$D1048,"R")+1,"")</f>
        <v>823</v>
      </c>
      <c r="C1049" s="19" t="str">
        <f t="shared" si="80"/>
        <v>B-BCP - Soles</v>
      </c>
      <c r="D1049" s="3" t="s">
        <v>1074</v>
      </c>
      <c r="E1049" s="14">
        <v>45747</v>
      </c>
      <c r="F1049" s="5" t="s">
        <v>1996</v>
      </c>
      <c r="G1049" s="5" t="s">
        <v>1079</v>
      </c>
      <c r="H1049" s="6" t="s">
        <v>184</v>
      </c>
      <c r="I1049" s="6" t="s">
        <v>14</v>
      </c>
      <c r="J1049" s="6" t="s">
        <v>1083</v>
      </c>
      <c r="K1049" s="6">
        <v>7322</v>
      </c>
      <c r="L1049" s="7" t="s">
        <v>2215</v>
      </c>
      <c r="M1049" s="8">
        <v>1195972</v>
      </c>
      <c r="N1049" s="8" t="str">
        <f t="shared" si="81"/>
        <v>PEN</v>
      </c>
      <c r="O1049" s="13"/>
      <c r="P1049" s="13">
        <v>345.1</v>
      </c>
      <c r="Q1049" s="3">
        <f t="shared" si="82"/>
        <v>0</v>
      </c>
      <c r="R1049" s="3">
        <f t="shared" si="83"/>
        <v>345.1</v>
      </c>
      <c r="S1049" s="3">
        <f t="shared" si="84"/>
        <v>114406.93000000001</v>
      </c>
      <c r="T1049" s="24" t="s">
        <v>1081</v>
      </c>
      <c r="U1049" s="24" t="s">
        <v>1081</v>
      </c>
      <c r="V1049" s="67"/>
      <c r="W1049" s="25">
        <f>IFERROR(VLOOKUP(BCP_Soles[[#This Row],[DESTINATARIO]],CHOOSE({1,2},Clientes_Proveedores[Razon Social],Clientes_Proveedores[Ruc / Dni]),2,0),"")</f>
        <v>20170040938</v>
      </c>
      <c r="X1049" s="25" t="s">
        <v>1085</v>
      </c>
      <c r="Y1049" s="25" t="s">
        <v>2216</v>
      </c>
      <c r="Z1049" s="25"/>
      <c r="AA1049" s="99"/>
      <c r="AB1049" s="3" t="str">
        <f>IF(BCP_Soles[[#This Row],[FECHA]]&gt;0,TEXT(BCP_Soles[[#This Row],[FECHA]],"mmmm"),0)</f>
        <v>Marzo</v>
      </c>
    </row>
    <row r="1050" spans="2:28" x14ac:dyDescent="0.3">
      <c r="B1050" s="2">
        <f>IF(BCP_Soles[[#This Row],[TIPO DE R.]]="R",COUNTIFS($D$4:$D1049,"R")+1,"")</f>
        <v>824</v>
      </c>
      <c r="C1050" s="19" t="str">
        <f t="shared" si="80"/>
        <v>B-BCP - Soles</v>
      </c>
      <c r="D1050" s="3" t="s">
        <v>1074</v>
      </c>
      <c r="E1050" s="14">
        <v>45747</v>
      </c>
      <c r="F1050" s="5" t="s">
        <v>1996</v>
      </c>
      <c r="G1050" s="5" t="s">
        <v>1079</v>
      </c>
      <c r="H1050" s="6"/>
      <c r="I1050" s="6" t="s">
        <v>14</v>
      </c>
      <c r="J1050" s="6" t="s">
        <v>1395</v>
      </c>
      <c r="K1050" s="6">
        <v>281847</v>
      </c>
      <c r="L1050" s="7" t="s">
        <v>2217</v>
      </c>
      <c r="M1050" s="8">
        <v>64980</v>
      </c>
      <c r="N1050" s="8" t="str">
        <f t="shared" si="81"/>
        <v>PEN</v>
      </c>
      <c r="O1050" s="13"/>
      <c r="P1050" s="13">
        <v>548.70000000000005</v>
      </c>
      <c r="Q1050" s="3">
        <f t="shared" si="82"/>
        <v>0</v>
      </c>
      <c r="R1050" s="3">
        <f t="shared" si="83"/>
        <v>548.70000000000005</v>
      </c>
      <c r="S1050" s="3">
        <f t="shared" si="84"/>
        <v>113858.23000000001</v>
      </c>
      <c r="T1050" s="24" t="s">
        <v>1081</v>
      </c>
      <c r="U1050" s="24" t="s">
        <v>1081</v>
      </c>
      <c r="V1050" s="67"/>
      <c r="W1050" s="25" t="str">
        <f>IFERROR(VLOOKUP(BCP_Soles[[#This Row],[DESTINATARIO]],CHOOSE({1,2},Clientes_Proveedores[Razon Social],Clientes_Proveedores[Ruc / Dni]),2,0),"")</f>
        <v/>
      </c>
      <c r="X1050" s="25" t="s">
        <v>1397</v>
      </c>
      <c r="Y1050" s="25" t="s">
        <v>2218</v>
      </c>
      <c r="Z1050" s="25"/>
      <c r="AA1050" s="99"/>
      <c r="AB1050" s="3" t="str">
        <f>IF(BCP_Soles[[#This Row],[FECHA]]&gt;0,TEXT(BCP_Soles[[#This Row],[FECHA]],"mmmm"),0)</f>
        <v>Marzo</v>
      </c>
    </row>
    <row r="1051" spans="2:28" ht="24" x14ac:dyDescent="0.3">
      <c r="B1051" s="2">
        <f>IF(BCP_Soles[[#This Row],[TIPO DE R.]]="R",COUNTIFS($D$4:$D1050,"R")+1,"")</f>
        <v>825</v>
      </c>
      <c r="C1051" s="19" t="str">
        <f t="shared" si="80"/>
        <v>B-BCP - Soles</v>
      </c>
      <c r="D1051" s="3" t="s">
        <v>1074</v>
      </c>
      <c r="E1051" s="14">
        <v>45747</v>
      </c>
      <c r="F1051" s="5" t="s">
        <v>1082</v>
      </c>
      <c r="G1051" s="5" t="s">
        <v>1079</v>
      </c>
      <c r="H1051" s="6"/>
      <c r="I1051" s="6" t="s">
        <v>14</v>
      </c>
      <c r="J1051" s="6" t="s">
        <v>1997</v>
      </c>
      <c r="K1051" s="6">
        <v>117691</v>
      </c>
      <c r="L1051" s="7" t="s">
        <v>2219</v>
      </c>
      <c r="M1051" s="8">
        <v>1065458</v>
      </c>
      <c r="N1051" s="8" t="str">
        <f t="shared" si="81"/>
        <v>PEN</v>
      </c>
      <c r="O1051" s="13"/>
      <c r="P1051" s="13">
        <v>840.2</v>
      </c>
      <c r="Q1051" s="3">
        <f t="shared" si="82"/>
        <v>0</v>
      </c>
      <c r="R1051" s="3">
        <f t="shared" si="83"/>
        <v>840.2</v>
      </c>
      <c r="S1051" s="3">
        <f t="shared" si="84"/>
        <v>113018.03000000001</v>
      </c>
      <c r="T1051" s="24"/>
      <c r="U1051" s="24" t="s">
        <v>1081</v>
      </c>
      <c r="V1051" s="67"/>
      <c r="W1051" s="25" t="str">
        <f>IFERROR(VLOOKUP(BCP_Soles[[#This Row],[DESTINATARIO]],CHOOSE({1,2},Clientes_Proveedores[Razon Social],Clientes_Proveedores[Ruc / Dni]),2,0),"")</f>
        <v/>
      </c>
      <c r="X1051" s="25" t="s">
        <v>1999</v>
      </c>
      <c r="Y1051" s="25" t="s">
        <v>2220</v>
      </c>
      <c r="Z1051" s="25"/>
      <c r="AA1051" s="99"/>
      <c r="AB1051" s="3" t="str">
        <f>IF(BCP_Soles[[#This Row],[FECHA]]&gt;0,TEXT(BCP_Soles[[#This Row],[FECHA]],"mmmm"),0)</f>
        <v>Marzo</v>
      </c>
    </row>
    <row r="1052" spans="2:28" ht="24" x14ac:dyDescent="0.3">
      <c r="B1052" s="2">
        <f>IF(BCP_Soles[[#This Row],[TIPO DE R.]]="R",COUNTIFS($D$4:$D1051,"R")+1,"")</f>
        <v>826</v>
      </c>
      <c r="C1052" s="19" t="str">
        <f t="shared" si="80"/>
        <v>B-BCP - Soles</v>
      </c>
      <c r="D1052" s="3" t="s">
        <v>1074</v>
      </c>
      <c r="E1052" s="14">
        <v>45747</v>
      </c>
      <c r="F1052" s="5" t="s">
        <v>1996</v>
      </c>
      <c r="G1052" s="5" t="s">
        <v>1079</v>
      </c>
      <c r="H1052" s="6" t="s">
        <v>606</v>
      </c>
      <c r="I1052" s="6" t="s">
        <v>14</v>
      </c>
      <c r="J1052" s="6" t="s">
        <v>1121</v>
      </c>
      <c r="K1052" s="6">
        <v>1279</v>
      </c>
      <c r="L1052" s="7" t="s">
        <v>2221</v>
      </c>
      <c r="M1052" s="8">
        <v>1300726</v>
      </c>
      <c r="N1052" s="8" t="str">
        <f t="shared" si="81"/>
        <v>PEN</v>
      </c>
      <c r="O1052" s="13"/>
      <c r="P1052" s="13">
        <v>864</v>
      </c>
      <c r="Q1052" s="3">
        <f t="shared" si="82"/>
        <v>0</v>
      </c>
      <c r="R1052" s="3">
        <f t="shared" si="83"/>
        <v>864</v>
      </c>
      <c r="S1052" s="3">
        <f t="shared" si="84"/>
        <v>112154.03000000001</v>
      </c>
      <c r="T1052" s="24" t="s">
        <v>1081</v>
      </c>
      <c r="U1052" s="24" t="s">
        <v>1081</v>
      </c>
      <c r="V1052" s="67"/>
      <c r="W1052" s="25">
        <f>IFERROR(VLOOKUP(BCP_Soles[[#This Row],[DESTINATARIO]],CHOOSE({1,2},Clientes_Proveedores[Razon Social],Clientes_Proveedores[Ruc / Dni]),2,0),"")</f>
        <v>20556254177</v>
      </c>
      <c r="X1052" s="25" t="s">
        <v>606</v>
      </c>
      <c r="Y1052" s="25" t="s">
        <v>2222</v>
      </c>
      <c r="Z1052" s="25"/>
      <c r="AA1052" s="99"/>
      <c r="AB1052" s="3" t="str">
        <f>IF(BCP_Soles[[#This Row],[FECHA]]&gt;0,TEXT(BCP_Soles[[#This Row],[FECHA]],"mmmm"),0)</f>
        <v>Marzo</v>
      </c>
    </row>
    <row r="1053" spans="2:28" x14ac:dyDescent="0.3">
      <c r="B1053" s="2">
        <f>IF(BCP_Soles[[#This Row],[TIPO DE R.]]="R",COUNTIFS($D$4:$D1052,"R")+1,"")</f>
        <v>827</v>
      </c>
      <c r="C1053" s="19" t="str">
        <f t="shared" si="80"/>
        <v>B-BCP - Soles</v>
      </c>
      <c r="D1053" s="3" t="s">
        <v>1074</v>
      </c>
      <c r="E1053" s="14">
        <v>45747</v>
      </c>
      <c r="F1053" s="5" t="s">
        <v>1082</v>
      </c>
      <c r="G1053" s="5" t="s">
        <v>1079</v>
      </c>
      <c r="H1053" s="6"/>
      <c r="I1053" s="6"/>
      <c r="J1053" s="6"/>
      <c r="K1053" s="6"/>
      <c r="L1053" s="7" t="s">
        <v>2223</v>
      </c>
      <c r="M1053" s="8">
        <v>1003161</v>
      </c>
      <c r="N1053" s="8" t="str">
        <f t="shared" si="81"/>
        <v>PEN</v>
      </c>
      <c r="O1053" s="13"/>
      <c r="P1053" s="13">
        <v>866</v>
      </c>
      <c r="Q1053" s="3">
        <f t="shared" si="82"/>
        <v>0</v>
      </c>
      <c r="R1053" s="3">
        <f t="shared" si="83"/>
        <v>866</v>
      </c>
      <c r="S1053" s="3">
        <f t="shared" si="84"/>
        <v>111288.03000000001</v>
      </c>
      <c r="T1053" s="24"/>
      <c r="U1053" s="24"/>
      <c r="V1053" s="67"/>
      <c r="W1053" s="25" t="str">
        <f>IFERROR(VLOOKUP(BCP_Soles[[#This Row],[DESTINATARIO]],CHOOSE({1,2},Clientes_Proveedores[Razon Social],Clientes_Proveedores[Ruc / Dni]),2,0),"")</f>
        <v/>
      </c>
      <c r="X1053" s="25" t="s">
        <v>1133</v>
      </c>
      <c r="Y1053" s="25"/>
      <c r="Z1053" s="25"/>
      <c r="AA1053" s="99"/>
      <c r="AB1053" s="3" t="str">
        <f>IF(BCP_Soles[[#This Row],[FECHA]]&gt;0,TEXT(BCP_Soles[[#This Row],[FECHA]],"mmmm"),0)</f>
        <v>Marzo</v>
      </c>
    </row>
    <row r="1054" spans="2:28" ht="24" x14ac:dyDescent="0.3">
      <c r="B1054" s="2">
        <f>IF(BCP_Soles[[#This Row],[TIPO DE R.]]="R",COUNTIFS($D$4:$D1053,"R")+1,"")</f>
        <v>828</v>
      </c>
      <c r="C1054" s="19" t="str">
        <f t="shared" si="80"/>
        <v>B-BCP - Soles</v>
      </c>
      <c r="D1054" s="3" t="s">
        <v>1074</v>
      </c>
      <c r="E1054" s="14">
        <v>45747</v>
      </c>
      <c r="F1054" s="5" t="s">
        <v>1996</v>
      </c>
      <c r="G1054" s="5" t="s">
        <v>1079</v>
      </c>
      <c r="H1054" s="6" t="s">
        <v>192</v>
      </c>
      <c r="I1054" s="6"/>
      <c r="J1054" s="6"/>
      <c r="K1054" s="6"/>
      <c r="L1054" s="7" t="s">
        <v>2224</v>
      </c>
      <c r="M1054" s="8">
        <v>1302140</v>
      </c>
      <c r="N1054" s="8" t="str">
        <f t="shared" si="81"/>
        <v>PEN</v>
      </c>
      <c r="O1054" s="13"/>
      <c r="P1054" s="13">
        <v>975.15</v>
      </c>
      <c r="Q1054" s="3">
        <f t="shared" si="82"/>
        <v>0</v>
      </c>
      <c r="R1054" s="3">
        <f t="shared" si="83"/>
        <v>975.15</v>
      </c>
      <c r="S1054" s="3">
        <f t="shared" si="84"/>
        <v>110312.88000000002</v>
      </c>
      <c r="T1054" s="24"/>
      <c r="U1054" s="24"/>
      <c r="V1054" s="67"/>
      <c r="W1054" s="25">
        <f>IFERROR(VLOOKUP(BCP_Soles[[#This Row],[DESTINATARIO]],CHOOSE({1,2},Clientes_Proveedores[Razon Social],Clientes_Proveedores[Ruc / Dni]),2,0),"")</f>
        <v>20302891452</v>
      </c>
      <c r="X1054" s="25" t="s">
        <v>192</v>
      </c>
      <c r="Y1054" s="25"/>
      <c r="Z1054" s="25"/>
      <c r="AA1054" s="99"/>
      <c r="AB1054" s="3" t="str">
        <f>IF(BCP_Soles[[#This Row],[FECHA]]&gt;0,TEXT(BCP_Soles[[#This Row],[FECHA]],"mmmm"),0)</f>
        <v>Marzo</v>
      </c>
    </row>
    <row r="1055" spans="2:28" ht="24" x14ac:dyDescent="0.3">
      <c r="B1055" s="2">
        <f>IF(BCP_Soles[[#This Row],[TIPO DE R.]]="R",COUNTIFS($D$4:$D1054,"R")+1,"")</f>
        <v>829</v>
      </c>
      <c r="C1055" s="19" t="str">
        <f t="shared" si="80"/>
        <v>B-BCP - Soles</v>
      </c>
      <c r="D1055" s="3" t="s">
        <v>1074</v>
      </c>
      <c r="E1055" s="14">
        <v>45747</v>
      </c>
      <c r="F1055" s="5" t="s">
        <v>1996</v>
      </c>
      <c r="G1055" s="5" t="s">
        <v>1079</v>
      </c>
      <c r="H1055" s="6"/>
      <c r="I1055" s="6"/>
      <c r="J1055" s="6"/>
      <c r="K1055" s="6"/>
      <c r="L1055" s="7" t="s">
        <v>2225</v>
      </c>
      <c r="M1055" s="8">
        <v>8884305</v>
      </c>
      <c r="N1055" s="8" t="str">
        <f t="shared" si="81"/>
        <v>PEN</v>
      </c>
      <c r="O1055" s="13"/>
      <c r="P1055" s="13">
        <v>4455.2</v>
      </c>
      <c r="Q1055" s="3">
        <f t="shared" si="82"/>
        <v>0</v>
      </c>
      <c r="R1055" s="3">
        <f t="shared" si="83"/>
        <v>4455.2</v>
      </c>
      <c r="S1055" s="3">
        <f t="shared" si="84"/>
        <v>105857.68000000002</v>
      </c>
      <c r="T1055" s="24" t="s">
        <v>1081</v>
      </c>
      <c r="U1055" s="24" t="s">
        <v>1586</v>
      </c>
      <c r="V1055" s="67"/>
      <c r="W1055" s="25" t="str">
        <f>IFERROR(VLOOKUP(BCP_Soles[[#This Row],[DESTINATARIO]],CHOOSE({1,2},Clientes_Proveedores[Razon Social],Clientes_Proveedores[Ruc / Dni]),2,0),"")</f>
        <v/>
      </c>
      <c r="X1055" s="25" t="s">
        <v>1118</v>
      </c>
      <c r="Y1055" s="25"/>
      <c r="Z1055" s="25"/>
      <c r="AA1055" s="99"/>
      <c r="AB1055" s="3" t="str">
        <f>IF(BCP_Soles[[#This Row],[FECHA]]&gt;0,TEXT(BCP_Soles[[#This Row],[FECHA]],"mmmm"),0)</f>
        <v>Marzo</v>
      </c>
    </row>
    <row r="1056" spans="2:28" ht="36" x14ac:dyDescent="0.3">
      <c r="B1056" s="2" t="str">
        <f>IF(BCP_Soles[[#This Row],[TIPO DE R.]]="R",COUNTIFS($D$4:$D1055,"R")+1,"")</f>
        <v/>
      </c>
      <c r="C1056" s="19" t="str">
        <f t="shared" si="80"/>
        <v>B-BCP - Soles</v>
      </c>
      <c r="D1056" s="3" t="s">
        <v>1101</v>
      </c>
      <c r="E1056" s="14">
        <v>45747</v>
      </c>
      <c r="F1056" s="5" t="s">
        <v>1996</v>
      </c>
      <c r="G1056" s="5"/>
      <c r="H1056" s="6"/>
      <c r="I1056" s="6" t="s">
        <v>14</v>
      </c>
      <c r="J1056" s="6" t="s">
        <v>1541</v>
      </c>
      <c r="K1056" s="6">
        <v>647</v>
      </c>
      <c r="L1056" s="7" t="s">
        <v>2225</v>
      </c>
      <c r="M1056" s="8">
        <v>8884305</v>
      </c>
      <c r="N1056" s="8" t="str">
        <f t="shared" si="81"/>
        <v>PEN</v>
      </c>
      <c r="O1056" s="13">
        <v>183.2</v>
      </c>
      <c r="P1056" s="13"/>
      <c r="Q1056" s="3">
        <f t="shared" si="82"/>
        <v>0</v>
      </c>
      <c r="R1056" s="3">
        <f t="shared" si="83"/>
        <v>0</v>
      </c>
      <c r="S1056" s="3">
        <f t="shared" si="84"/>
        <v>105857.68000000002</v>
      </c>
      <c r="T1056" s="24"/>
      <c r="U1056" s="24"/>
      <c r="V1056" s="67"/>
      <c r="W1056" s="25" t="str">
        <f>IFERROR(VLOOKUP(BCP_Soles[[#This Row],[DESTINATARIO]],CHOOSE({1,2},Clientes_Proveedores[Razon Social],Clientes_Proveedores[Ruc / Dni]),2,0),"")</f>
        <v/>
      </c>
      <c r="X1056" s="25"/>
      <c r="Y1056" s="25" t="s">
        <v>326</v>
      </c>
      <c r="Z1056" s="25"/>
      <c r="AA1056" s="99"/>
      <c r="AB1056" s="3" t="str">
        <f>IF(BCP_Soles[[#This Row],[FECHA]]&gt;0,TEXT(BCP_Soles[[#This Row],[FECHA]],"mmmm"),0)</f>
        <v>Marzo</v>
      </c>
    </row>
    <row r="1057" spans="2:28" ht="48" x14ac:dyDescent="0.3">
      <c r="B1057" s="2" t="str">
        <f>IF(BCP_Soles[[#This Row],[TIPO DE R.]]="R",COUNTIFS($D$4:$D1056,"R")+1,"")</f>
        <v/>
      </c>
      <c r="C1057" s="19" t="str">
        <f t="shared" si="80"/>
        <v>B-BCP - Soles</v>
      </c>
      <c r="D1057" s="3" t="s">
        <v>1101</v>
      </c>
      <c r="E1057" s="14">
        <v>45747</v>
      </c>
      <c r="F1057" s="5" t="s">
        <v>1996</v>
      </c>
      <c r="G1057" s="5"/>
      <c r="H1057" s="6"/>
      <c r="I1057" s="6" t="s">
        <v>14</v>
      </c>
      <c r="J1057" s="6" t="s">
        <v>1148</v>
      </c>
      <c r="K1057" s="6">
        <v>1683</v>
      </c>
      <c r="L1057" s="7" t="s">
        <v>2225</v>
      </c>
      <c r="M1057" s="8">
        <v>8884305</v>
      </c>
      <c r="N1057" s="8" t="str">
        <f t="shared" si="81"/>
        <v>PEN</v>
      </c>
      <c r="O1057" s="13">
        <v>1728</v>
      </c>
      <c r="P1057" s="13"/>
      <c r="Q1057" s="3">
        <f t="shared" si="82"/>
        <v>0</v>
      </c>
      <c r="R1057" s="3">
        <f t="shared" si="83"/>
        <v>0</v>
      </c>
      <c r="S1057" s="3">
        <f t="shared" si="84"/>
        <v>105857.68000000002</v>
      </c>
      <c r="T1057" s="24"/>
      <c r="U1057" s="24"/>
      <c r="V1057" s="67"/>
      <c r="W1057" s="25" t="str">
        <f>IFERROR(VLOOKUP(BCP_Soles[[#This Row],[DESTINATARIO]],CHOOSE({1,2},Clientes_Proveedores[Razon Social],Clientes_Proveedores[Ruc / Dni]),2,0),"")</f>
        <v/>
      </c>
      <c r="X1057" s="25"/>
      <c r="Y1057" s="25" t="s">
        <v>220</v>
      </c>
      <c r="Z1057" s="25"/>
      <c r="AA1057" s="99"/>
      <c r="AB1057" s="3" t="str">
        <f>IF(BCP_Soles[[#This Row],[FECHA]]&gt;0,TEXT(BCP_Soles[[#This Row],[FECHA]],"mmmm"),0)</f>
        <v>Marzo</v>
      </c>
    </row>
    <row r="1058" spans="2:28" ht="48" x14ac:dyDescent="0.3">
      <c r="B1058" s="2" t="str">
        <f>IF(BCP_Soles[[#This Row],[TIPO DE R.]]="R",COUNTIFS($D$4:$D1057,"R")+1,"")</f>
        <v/>
      </c>
      <c r="C1058" s="19" t="str">
        <f t="shared" si="80"/>
        <v>B-BCP - Soles</v>
      </c>
      <c r="D1058" s="3" t="s">
        <v>1101</v>
      </c>
      <c r="E1058" s="14">
        <v>45747</v>
      </c>
      <c r="F1058" s="5" t="s">
        <v>1996</v>
      </c>
      <c r="G1058" s="5"/>
      <c r="H1058" s="6"/>
      <c r="I1058" s="6" t="s">
        <v>14</v>
      </c>
      <c r="J1058" s="6" t="s">
        <v>1148</v>
      </c>
      <c r="K1058" s="6">
        <v>1684</v>
      </c>
      <c r="L1058" s="7" t="s">
        <v>2225</v>
      </c>
      <c r="M1058" s="8">
        <v>8884305</v>
      </c>
      <c r="N1058" s="8" t="str">
        <f t="shared" si="81"/>
        <v>PEN</v>
      </c>
      <c r="O1058" s="13">
        <v>2544</v>
      </c>
      <c r="P1058" s="13"/>
      <c r="Q1058" s="3">
        <f t="shared" si="82"/>
        <v>0</v>
      </c>
      <c r="R1058" s="3">
        <f t="shared" si="83"/>
        <v>0</v>
      </c>
      <c r="S1058" s="3">
        <f t="shared" si="84"/>
        <v>105857.68000000002</v>
      </c>
      <c r="T1058" s="24"/>
      <c r="U1058" s="24"/>
      <c r="V1058" s="67"/>
      <c r="W1058" s="25" t="str">
        <f>IFERROR(VLOOKUP(BCP_Soles[[#This Row],[DESTINATARIO]],CHOOSE({1,2},Clientes_Proveedores[Razon Social],Clientes_Proveedores[Ruc / Dni]),2,0),"")</f>
        <v/>
      </c>
      <c r="X1058" s="25"/>
      <c r="Y1058" s="25" t="s">
        <v>220</v>
      </c>
      <c r="Z1058" s="25"/>
      <c r="AA1058" s="99"/>
      <c r="AB1058" s="3" t="str">
        <f>IF(BCP_Soles[[#This Row],[FECHA]]&gt;0,TEXT(BCP_Soles[[#This Row],[FECHA]],"mmmm"),0)</f>
        <v>Marzo</v>
      </c>
    </row>
    <row r="1059" spans="2:28" ht="24" x14ac:dyDescent="0.3">
      <c r="B1059" s="2">
        <f>IF(BCP_Soles[[#This Row],[TIPO DE R.]]="R",COUNTIFS($D$4:$D1058,"R")+1,"")</f>
        <v>830</v>
      </c>
      <c r="C1059" s="19" t="str">
        <f t="shared" si="80"/>
        <v>B-BCP - Soles</v>
      </c>
      <c r="D1059" s="3" t="s">
        <v>1074</v>
      </c>
      <c r="E1059" s="14">
        <v>45748</v>
      </c>
      <c r="F1059" s="5" t="s">
        <v>2226</v>
      </c>
      <c r="G1059" s="5" t="s">
        <v>1087</v>
      </c>
      <c r="H1059" s="6"/>
      <c r="I1059" s="6"/>
      <c r="J1059" s="6"/>
      <c r="K1059" s="6"/>
      <c r="L1059" s="7" t="s">
        <v>1100</v>
      </c>
      <c r="M1059" s="8">
        <v>3303408</v>
      </c>
      <c r="N1059" s="8" t="str">
        <f t="shared" si="81"/>
        <v>PEN</v>
      </c>
      <c r="O1059" s="13"/>
      <c r="P1059" s="13">
        <v>1000</v>
      </c>
      <c r="Q1059" s="3">
        <f t="shared" si="82"/>
        <v>1000</v>
      </c>
      <c r="R1059" s="3">
        <f t="shared" si="83"/>
        <v>0</v>
      </c>
      <c r="S1059" s="3">
        <f t="shared" si="84"/>
        <v>106857.68000000002</v>
      </c>
      <c r="T1059" s="24" t="s">
        <v>1081</v>
      </c>
      <c r="U1059" s="24" t="s">
        <v>1081</v>
      </c>
      <c r="V1059" s="67"/>
      <c r="W1059" s="25" t="str">
        <f>IFERROR(VLOOKUP(BCP_Soles[[#This Row],[DESTINATARIO]],CHOOSE({1,2},Clientes_Proveedores[Razon Social],Clientes_Proveedores[Ruc / Dni]),2,0),"")</f>
        <v/>
      </c>
      <c r="X1059" s="25" t="s">
        <v>1090</v>
      </c>
      <c r="Y1059" s="25" t="s">
        <v>2227</v>
      </c>
      <c r="Z1059" s="25"/>
      <c r="AA1059" s="99"/>
      <c r="AB1059" s="3" t="str">
        <f>IF(BCP_Soles[[#This Row],[FECHA]]&gt;0,TEXT(BCP_Soles[[#This Row],[FECHA]],"mmmm"),0)</f>
        <v>Abril</v>
      </c>
    </row>
    <row r="1060" spans="2:28" x14ac:dyDescent="0.3">
      <c r="B1060" s="2">
        <f>IF(BCP_Soles[[#This Row],[TIPO DE R.]]="R",COUNTIFS($D$4:$D1059,"R")+1,"")</f>
        <v>831</v>
      </c>
      <c r="C1060" s="19" t="str">
        <f t="shared" si="80"/>
        <v>B-BCP - Soles</v>
      </c>
      <c r="D1060" s="3" t="s">
        <v>1074</v>
      </c>
      <c r="E1060" s="14">
        <v>45748</v>
      </c>
      <c r="F1060" s="5" t="s">
        <v>1078</v>
      </c>
      <c r="G1060" s="5" t="s">
        <v>1079</v>
      </c>
      <c r="H1060" s="6"/>
      <c r="I1060" s="6"/>
      <c r="J1060" s="6"/>
      <c r="K1060" s="6"/>
      <c r="L1060" s="7" t="s">
        <v>2228</v>
      </c>
      <c r="M1060" s="8">
        <v>9805972</v>
      </c>
      <c r="N1060" s="8" t="str">
        <f t="shared" si="81"/>
        <v>PEN</v>
      </c>
      <c r="O1060" s="13"/>
      <c r="P1060" s="13">
        <v>2.5</v>
      </c>
      <c r="Q1060" s="3">
        <f t="shared" si="82"/>
        <v>0</v>
      </c>
      <c r="R1060" s="3">
        <f t="shared" si="83"/>
        <v>2.5</v>
      </c>
      <c r="S1060" s="3">
        <f t="shared" si="84"/>
        <v>106855.18000000002</v>
      </c>
      <c r="T1060" s="24" t="s">
        <v>1081</v>
      </c>
      <c r="U1060" s="24" t="s">
        <v>1081</v>
      </c>
      <c r="V1060" s="67"/>
      <c r="W1060" s="25" t="str">
        <f>IFERROR(VLOOKUP(BCP_Soles[[#This Row],[DESTINATARIO]],CHOOSE({1,2},Clientes_Proveedores[Razon Social],Clientes_Proveedores[Ruc / Dni]),2,0),"")</f>
        <v/>
      </c>
      <c r="X1060" s="25" t="s">
        <v>1078</v>
      </c>
      <c r="Y1060" s="25" t="s">
        <v>2229</v>
      </c>
      <c r="Z1060" s="25"/>
      <c r="AA1060" s="99"/>
      <c r="AB1060" s="3" t="str">
        <f>IF(BCP_Soles[[#This Row],[FECHA]]&gt;0,TEXT(BCP_Soles[[#This Row],[FECHA]],"mmmm"),0)</f>
        <v>Abril</v>
      </c>
    </row>
    <row r="1061" spans="2:28" x14ac:dyDescent="0.3">
      <c r="B1061" s="2">
        <f>IF(BCP_Soles[[#This Row],[TIPO DE R.]]="R",COUNTIFS($D$4:$D1060,"R")+1,"")</f>
        <v>832</v>
      </c>
      <c r="C1061" s="19" t="str">
        <f t="shared" si="80"/>
        <v>B-BCP - Soles</v>
      </c>
      <c r="D1061" s="3" t="s">
        <v>1074</v>
      </c>
      <c r="E1061" s="14">
        <v>45748</v>
      </c>
      <c r="F1061" s="5" t="s">
        <v>1078</v>
      </c>
      <c r="G1061" s="5" t="s">
        <v>1079</v>
      </c>
      <c r="H1061" s="6"/>
      <c r="I1061" s="6"/>
      <c r="J1061" s="6"/>
      <c r="K1061" s="6"/>
      <c r="L1061" s="7" t="s">
        <v>1080</v>
      </c>
      <c r="M1061" s="8"/>
      <c r="N1061" s="8" t="str">
        <f t="shared" si="81"/>
        <v>PEN</v>
      </c>
      <c r="O1061" s="13"/>
      <c r="P1061" s="13">
        <v>3.9</v>
      </c>
      <c r="Q1061" s="3">
        <f t="shared" si="82"/>
        <v>0</v>
      </c>
      <c r="R1061" s="3">
        <f t="shared" si="83"/>
        <v>3.9</v>
      </c>
      <c r="S1061" s="3">
        <f t="shared" si="84"/>
        <v>106851.28000000003</v>
      </c>
      <c r="T1061" s="24"/>
      <c r="U1061" s="24" t="s">
        <v>1081</v>
      </c>
      <c r="V1061" s="67"/>
      <c r="W1061" s="25" t="str">
        <f>IFERROR(VLOOKUP(BCP_Soles[[#This Row],[DESTINATARIO]],CHOOSE({1,2},Clientes_Proveedores[Razon Social],Clientes_Proveedores[Ruc / Dni]),2,0),"")</f>
        <v/>
      </c>
      <c r="X1061" s="25"/>
      <c r="Y1061" s="25"/>
      <c r="Z1061" s="25"/>
      <c r="AA1061" s="99"/>
      <c r="AB1061" s="3" t="str">
        <f>IF(BCP_Soles[[#This Row],[FECHA]]&gt;0,TEXT(BCP_Soles[[#This Row],[FECHA]],"mmmm"),0)</f>
        <v>Abril</v>
      </c>
    </row>
    <row r="1062" spans="2:28" x14ac:dyDescent="0.3">
      <c r="B1062" s="2">
        <f>IF(BCP_Soles[[#This Row],[TIPO DE R.]]="R",COUNTIFS($D$4:$D1061,"R")+1,"")</f>
        <v>833</v>
      </c>
      <c r="C1062" s="19" t="str">
        <f t="shared" si="80"/>
        <v>B-BCP - Soles</v>
      </c>
      <c r="D1062" s="3" t="s">
        <v>1074</v>
      </c>
      <c r="E1062" s="14">
        <v>45748</v>
      </c>
      <c r="F1062" s="5" t="s">
        <v>1082</v>
      </c>
      <c r="G1062" s="5" t="s">
        <v>1079</v>
      </c>
      <c r="H1062" s="6" t="s">
        <v>139</v>
      </c>
      <c r="I1062" s="6" t="s">
        <v>14</v>
      </c>
      <c r="J1062" s="6" t="s">
        <v>1953</v>
      </c>
      <c r="K1062" s="6">
        <v>6148</v>
      </c>
      <c r="L1062" s="7" t="s">
        <v>1954</v>
      </c>
      <c r="M1062" s="8">
        <v>12870</v>
      </c>
      <c r="N1062" s="8" t="str">
        <f t="shared" si="81"/>
        <v>PEN</v>
      </c>
      <c r="O1062" s="13"/>
      <c r="P1062" s="13">
        <v>6.79</v>
      </c>
      <c r="Q1062" s="3">
        <f t="shared" si="82"/>
        <v>0</v>
      </c>
      <c r="R1062" s="3">
        <f t="shared" si="83"/>
        <v>6.79</v>
      </c>
      <c r="S1062" s="3">
        <f t="shared" si="84"/>
        <v>106844.49000000003</v>
      </c>
      <c r="T1062" s="24" t="s">
        <v>1081</v>
      </c>
      <c r="U1062" s="24" t="s">
        <v>1081</v>
      </c>
      <c r="V1062" s="67"/>
      <c r="W1062" s="25">
        <f>IFERROR(VLOOKUP(BCP_Soles[[#This Row],[DESTINATARIO]],CHOOSE({1,2},Clientes_Proveedores[Razon Social],Clientes_Proveedores[Ruc / Dni]),2,0),"")</f>
        <v>20100055237</v>
      </c>
      <c r="X1062" s="25" t="s">
        <v>1955</v>
      </c>
      <c r="Y1062" s="25" t="s">
        <v>2230</v>
      </c>
      <c r="Z1062" s="25"/>
      <c r="AA1062" s="99"/>
      <c r="AB1062" s="3" t="str">
        <f>IF(BCP_Soles[[#This Row],[FECHA]]&gt;0,TEXT(BCP_Soles[[#This Row],[FECHA]],"mmmm"),0)</f>
        <v>Abril</v>
      </c>
    </row>
    <row r="1063" spans="2:28" x14ac:dyDescent="0.3">
      <c r="B1063" s="2">
        <f>IF(BCP_Soles[[#This Row],[TIPO DE R.]]="R",COUNTIFS($D$4:$D1062,"R")+1,"")</f>
        <v>834</v>
      </c>
      <c r="C1063" s="19" t="str">
        <f t="shared" si="80"/>
        <v>B-BCP - Soles</v>
      </c>
      <c r="D1063" s="3" t="s">
        <v>1074</v>
      </c>
      <c r="E1063" s="14">
        <v>45748</v>
      </c>
      <c r="F1063" s="5" t="s">
        <v>1078</v>
      </c>
      <c r="G1063" s="5" t="s">
        <v>1079</v>
      </c>
      <c r="H1063" s="6"/>
      <c r="I1063" s="6"/>
      <c r="J1063" s="6"/>
      <c r="K1063" s="6"/>
      <c r="L1063" s="7" t="s">
        <v>1141</v>
      </c>
      <c r="M1063" s="8">
        <v>527</v>
      </c>
      <c r="N1063" s="8" t="str">
        <f t="shared" si="81"/>
        <v>PEN</v>
      </c>
      <c r="O1063" s="13"/>
      <c r="P1063" s="13">
        <v>10</v>
      </c>
      <c r="Q1063" s="3">
        <f t="shared" si="82"/>
        <v>0</v>
      </c>
      <c r="R1063" s="3">
        <f t="shared" si="83"/>
        <v>10</v>
      </c>
      <c r="S1063" s="3">
        <f t="shared" si="84"/>
        <v>106834.49000000003</v>
      </c>
      <c r="T1063" s="24" t="s">
        <v>1081</v>
      </c>
      <c r="U1063" s="24" t="s">
        <v>1081</v>
      </c>
      <c r="V1063" s="67"/>
      <c r="W1063" s="25" t="str">
        <f>IFERROR(VLOOKUP(BCP_Soles[[#This Row],[DESTINATARIO]],CHOOSE({1,2},Clientes_Proveedores[Razon Social],Clientes_Proveedores[Ruc / Dni]),2,0),"")</f>
        <v/>
      </c>
      <c r="X1063" s="25" t="s">
        <v>1078</v>
      </c>
      <c r="Y1063" s="25" t="s">
        <v>2231</v>
      </c>
      <c r="Z1063" s="25"/>
      <c r="AA1063" s="99"/>
      <c r="AB1063" s="3" t="str">
        <f>IF(BCP_Soles[[#This Row],[FECHA]]&gt;0,TEXT(BCP_Soles[[#This Row],[FECHA]],"mmmm"),0)</f>
        <v>Abril</v>
      </c>
    </row>
    <row r="1064" spans="2:28" x14ac:dyDescent="0.3">
      <c r="B1064" s="2">
        <f>IF(BCP_Soles[[#This Row],[TIPO DE R.]]="R",COUNTIFS($D$4:$D1063,"R")+1,"")</f>
        <v>835</v>
      </c>
      <c r="C1064" s="19" t="str">
        <f t="shared" si="80"/>
        <v>B-BCP - Soles</v>
      </c>
      <c r="D1064" s="3" t="s">
        <v>1074</v>
      </c>
      <c r="E1064" s="14">
        <v>45748</v>
      </c>
      <c r="F1064" s="5" t="s">
        <v>1082</v>
      </c>
      <c r="G1064" s="5" t="s">
        <v>1079</v>
      </c>
      <c r="H1064" s="6" t="s">
        <v>139</v>
      </c>
      <c r="I1064" s="6" t="s">
        <v>14</v>
      </c>
      <c r="J1064" s="6" t="s">
        <v>1953</v>
      </c>
      <c r="K1064" s="6">
        <v>6149</v>
      </c>
      <c r="L1064" s="7" t="s">
        <v>1954</v>
      </c>
      <c r="M1064" s="8">
        <v>15848</v>
      </c>
      <c r="N1064" s="8" t="str">
        <f t="shared" si="81"/>
        <v>PEN</v>
      </c>
      <c r="O1064" s="13"/>
      <c r="P1064" s="13">
        <v>55.49</v>
      </c>
      <c r="Q1064" s="3">
        <f t="shared" si="82"/>
        <v>0</v>
      </c>
      <c r="R1064" s="3">
        <f t="shared" si="83"/>
        <v>55.49</v>
      </c>
      <c r="S1064" s="3">
        <f t="shared" si="84"/>
        <v>106779.00000000003</v>
      </c>
      <c r="T1064" s="24" t="s">
        <v>1081</v>
      </c>
      <c r="U1064" s="24" t="s">
        <v>1081</v>
      </c>
      <c r="V1064" s="67"/>
      <c r="W1064" s="25">
        <f>IFERROR(VLOOKUP(BCP_Soles[[#This Row],[DESTINATARIO]],CHOOSE({1,2},Clientes_Proveedores[Razon Social],Clientes_Proveedores[Ruc / Dni]),2,0),"")</f>
        <v>20100055237</v>
      </c>
      <c r="X1064" s="25" t="s">
        <v>1955</v>
      </c>
      <c r="Y1064" s="25" t="s">
        <v>2232</v>
      </c>
      <c r="Z1064" s="25"/>
      <c r="AA1064" s="99"/>
      <c r="AB1064" s="3" t="str">
        <f>IF(BCP_Soles[[#This Row],[FECHA]]&gt;0,TEXT(BCP_Soles[[#This Row],[FECHA]],"mmmm"),0)</f>
        <v>Abril</v>
      </c>
    </row>
    <row r="1065" spans="2:28" ht="24" x14ac:dyDescent="0.3">
      <c r="B1065" s="2">
        <f>IF(BCP_Soles[[#This Row],[TIPO DE R.]]="R",COUNTIFS($D$4:$D1064,"R")+1,"")</f>
        <v>836</v>
      </c>
      <c r="C1065" s="19" t="str">
        <f t="shared" si="80"/>
        <v>B-BCP - Soles</v>
      </c>
      <c r="D1065" s="3" t="s">
        <v>1074</v>
      </c>
      <c r="E1065" s="14">
        <v>45748</v>
      </c>
      <c r="F1065" s="5" t="s">
        <v>1082</v>
      </c>
      <c r="G1065" s="5" t="s">
        <v>1079</v>
      </c>
      <c r="H1065" s="6" t="s">
        <v>798</v>
      </c>
      <c r="I1065" s="6" t="s">
        <v>87</v>
      </c>
      <c r="J1065" s="6">
        <v>1</v>
      </c>
      <c r="K1065" s="6">
        <v>212025</v>
      </c>
      <c r="L1065" s="7" t="s">
        <v>2233</v>
      </c>
      <c r="M1065" s="8">
        <v>1220477</v>
      </c>
      <c r="N1065" s="8" t="str">
        <f t="shared" si="81"/>
        <v>PEN</v>
      </c>
      <c r="O1065" s="13"/>
      <c r="P1065" s="13">
        <v>145</v>
      </c>
      <c r="Q1065" s="3">
        <f t="shared" si="82"/>
        <v>0</v>
      </c>
      <c r="R1065" s="3">
        <f t="shared" si="83"/>
        <v>145</v>
      </c>
      <c r="S1065" s="3">
        <f t="shared" si="84"/>
        <v>106634.00000000003</v>
      </c>
      <c r="T1065" s="24" t="s">
        <v>1081</v>
      </c>
      <c r="U1065" s="24" t="s">
        <v>1081</v>
      </c>
      <c r="V1065" s="67"/>
      <c r="W1065" s="25">
        <f>IFERROR(VLOOKUP(BCP_Soles[[#This Row],[DESTINATARIO]],CHOOSE({1,2},Clientes_Proveedores[Razon Social],Clientes_Proveedores[Ruc / Dni]),2,0),"")</f>
        <v>70666331</v>
      </c>
      <c r="X1065" s="25"/>
      <c r="Y1065" s="25"/>
      <c r="Z1065" s="25"/>
      <c r="AA1065" s="99"/>
      <c r="AB1065" s="3" t="str">
        <f>IF(BCP_Soles[[#This Row],[FECHA]]&gt;0,TEXT(BCP_Soles[[#This Row],[FECHA]],"mmmm"),0)</f>
        <v>Abril</v>
      </c>
    </row>
    <row r="1066" spans="2:28" x14ac:dyDescent="0.3">
      <c r="B1066" s="2">
        <f>IF(BCP_Soles[[#This Row],[TIPO DE R.]]="R",COUNTIFS($D$4:$D1065,"R")+1,"")</f>
        <v>837</v>
      </c>
      <c r="C1066" s="19" t="str">
        <f t="shared" si="80"/>
        <v>B-BCP - Soles</v>
      </c>
      <c r="D1066" s="3" t="s">
        <v>1074</v>
      </c>
      <c r="E1066" s="14">
        <v>45748</v>
      </c>
      <c r="F1066" s="5" t="s">
        <v>1082</v>
      </c>
      <c r="G1066" s="5" t="s">
        <v>1079</v>
      </c>
      <c r="H1066" s="6" t="s">
        <v>139</v>
      </c>
      <c r="I1066" s="6" t="s">
        <v>14</v>
      </c>
      <c r="J1066" s="6" t="s">
        <v>1953</v>
      </c>
      <c r="K1066" s="6">
        <v>6147</v>
      </c>
      <c r="L1066" s="7" t="s">
        <v>1954</v>
      </c>
      <c r="M1066" s="8">
        <v>15348</v>
      </c>
      <c r="N1066" s="8" t="str">
        <f t="shared" si="81"/>
        <v>PEN</v>
      </c>
      <c r="O1066" s="13"/>
      <c r="P1066" s="13">
        <v>167.53</v>
      </c>
      <c r="Q1066" s="3">
        <f t="shared" si="82"/>
        <v>0</v>
      </c>
      <c r="R1066" s="3">
        <f t="shared" si="83"/>
        <v>167.53</v>
      </c>
      <c r="S1066" s="3">
        <f t="shared" si="84"/>
        <v>106466.47000000003</v>
      </c>
      <c r="T1066" s="24" t="s">
        <v>1081</v>
      </c>
      <c r="U1066" s="24" t="s">
        <v>1081</v>
      </c>
      <c r="V1066" s="67"/>
      <c r="W1066" s="25">
        <f>IFERROR(VLOOKUP(BCP_Soles[[#This Row],[DESTINATARIO]],CHOOSE({1,2},Clientes_Proveedores[Razon Social],Clientes_Proveedores[Ruc / Dni]),2,0),"")</f>
        <v>20100055237</v>
      </c>
      <c r="X1066" s="25" t="s">
        <v>1955</v>
      </c>
      <c r="Y1066" s="25" t="s">
        <v>2234</v>
      </c>
      <c r="Z1066" s="25"/>
      <c r="AA1066" s="99"/>
      <c r="AB1066" s="3" t="str">
        <f>IF(BCP_Soles[[#This Row],[FECHA]]&gt;0,TEXT(BCP_Soles[[#This Row],[FECHA]],"mmmm"),0)</f>
        <v>Abril</v>
      </c>
    </row>
    <row r="1067" spans="2:28" ht="24" x14ac:dyDescent="0.3">
      <c r="B1067" s="2">
        <f>IF(BCP_Soles[[#This Row],[TIPO DE R.]]="R",COUNTIFS($D$4:$D1066,"R")+1,"")</f>
        <v>838</v>
      </c>
      <c r="C1067" s="19" t="str">
        <f t="shared" si="80"/>
        <v>B-BCP - Soles</v>
      </c>
      <c r="D1067" s="3" t="s">
        <v>1074</v>
      </c>
      <c r="E1067" s="14">
        <v>45748</v>
      </c>
      <c r="F1067" s="5" t="s">
        <v>1082</v>
      </c>
      <c r="G1067" s="5" t="s">
        <v>1079</v>
      </c>
      <c r="H1067" s="6" t="s">
        <v>192</v>
      </c>
      <c r="I1067" s="6"/>
      <c r="J1067" s="6"/>
      <c r="K1067" s="6"/>
      <c r="L1067" s="7" t="s">
        <v>2235</v>
      </c>
      <c r="M1067" s="8">
        <v>1015347</v>
      </c>
      <c r="N1067" s="8" t="str">
        <f t="shared" si="81"/>
        <v>PEN</v>
      </c>
      <c r="O1067" s="13"/>
      <c r="P1067" s="13">
        <v>245.72</v>
      </c>
      <c r="Q1067" s="3">
        <f t="shared" si="82"/>
        <v>0</v>
      </c>
      <c r="R1067" s="3">
        <f t="shared" si="83"/>
        <v>245.72</v>
      </c>
      <c r="S1067" s="3">
        <f t="shared" si="84"/>
        <v>106220.75000000003</v>
      </c>
      <c r="T1067" s="24"/>
      <c r="U1067" s="24"/>
      <c r="V1067" s="67"/>
      <c r="W1067" s="25">
        <f>IFERROR(VLOOKUP(BCP_Soles[[#This Row],[DESTINATARIO]],CHOOSE({1,2},Clientes_Proveedores[Razon Social],Clientes_Proveedores[Ruc / Dni]),2,0),"")</f>
        <v>20302891452</v>
      </c>
      <c r="X1067" s="25" t="s">
        <v>192</v>
      </c>
      <c r="Y1067" s="25"/>
      <c r="Z1067" s="25"/>
      <c r="AA1067" s="99"/>
      <c r="AB1067" s="3" t="str">
        <f>IF(BCP_Soles[[#This Row],[FECHA]]&gt;0,TEXT(BCP_Soles[[#This Row],[FECHA]],"mmmm"),0)</f>
        <v>Abril</v>
      </c>
    </row>
    <row r="1068" spans="2:28" x14ac:dyDescent="0.3">
      <c r="B1068" s="2">
        <f>IF(BCP_Soles[[#This Row],[TIPO DE R.]]="R",COUNTIFS($D$4:$D1067,"R")+1,"")</f>
        <v>839</v>
      </c>
      <c r="C1068" s="19" t="str">
        <f t="shared" si="80"/>
        <v>B-BCP - Soles</v>
      </c>
      <c r="D1068" s="3" t="s">
        <v>1074</v>
      </c>
      <c r="E1068" s="14">
        <v>45748</v>
      </c>
      <c r="F1068" s="5" t="s">
        <v>1082</v>
      </c>
      <c r="G1068" s="5" t="s">
        <v>1079</v>
      </c>
      <c r="H1068" s="6" t="s">
        <v>139</v>
      </c>
      <c r="I1068" s="6" t="s">
        <v>14</v>
      </c>
      <c r="J1068" s="6" t="s">
        <v>1953</v>
      </c>
      <c r="K1068" s="6">
        <v>6145</v>
      </c>
      <c r="L1068" s="7" t="s">
        <v>1954</v>
      </c>
      <c r="M1068" s="8">
        <v>12360</v>
      </c>
      <c r="N1068" s="8" t="str">
        <f t="shared" si="81"/>
        <v>PEN</v>
      </c>
      <c r="O1068" s="13"/>
      <c r="P1068" s="13">
        <v>887.12</v>
      </c>
      <c r="Q1068" s="3">
        <f t="shared" si="82"/>
        <v>0</v>
      </c>
      <c r="R1068" s="3">
        <f t="shared" si="83"/>
        <v>887.12</v>
      </c>
      <c r="S1068" s="3">
        <f t="shared" si="84"/>
        <v>105333.63000000003</v>
      </c>
      <c r="T1068" s="24" t="s">
        <v>1081</v>
      </c>
      <c r="U1068" s="24" t="s">
        <v>1081</v>
      </c>
      <c r="V1068" s="67"/>
      <c r="W1068" s="25">
        <f>IFERROR(VLOOKUP(BCP_Soles[[#This Row],[DESTINATARIO]],CHOOSE({1,2},Clientes_Proveedores[Razon Social],Clientes_Proveedores[Ruc / Dni]),2,0),"")</f>
        <v>20100055237</v>
      </c>
      <c r="X1068" s="25" t="s">
        <v>1955</v>
      </c>
      <c r="Y1068" s="25" t="s">
        <v>2236</v>
      </c>
      <c r="Z1068" s="25"/>
      <c r="AA1068" s="99"/>
      <c r="AB1068" s="3" t="str">
        <f>IF(BCP_Soles[[#This Row],[FECHA]]&gt;0,TEXT(BCP_Soles[[#This Row],[FECHA]],"mmmm"),0)</f>
        <v>Abril</v>
      </c>
    </row>
    <row r="1069" spans="2:28" x14ac:dyDescent="0.3">
      <c r="B1069" s="2">
        <f>IF(BCP_Soles[[#This Row],[TIPO DE R.]]="R",COUNTIFS($D$4:$D1068,"R")+1,"")</f>
        <v>840</v>
      </c>
      <c r="C1069" s="19" t="str">
        <f t="shared" si="80"/>
        <v>B-BCP - Soles</v>
      </c>
      <c r="D1069" s="3" t="s">
        <v>1074</v>
      </c>
      <c r="E1069" s="14">
        <v>45748</v>
      </c>
      <c r="F1069" s="5" t="s">
        <v>1082</v>
      </c>
      <c r="G1069" s="5" t="s">
        <v>1079</v>
      </c>
      <c r="H1069" s="6"/>
      <c r="I1069" s="6"/>
      <c r="J1069" s="6"/>
      <c r="K1069" s="6"/>
      <c r="L1069" s="7" t="s">
        <v>2237</v>
      </c>
      <c r="M1069" s="8">
        <v>9805965</v>
      </c>
      <c r="N1069" s="8" t="str">
        <f t="shared" si="81"/>
        <v>PEN</v>
      </c>
      <c r="O1069" s="13"/>
      <c r="P1069" s="13">
        <v>894.08</v>
      </c>
      <c r="Q1069" s="3">
        <f t="shared" si="82"/>
        <v>0</v>
      </c>
      <c r="R1069" s="3">
        <f t="shared" si="83"/>
        <v>894.08</v>
      </c>
      <c r="S1069" s="3">
        <f t="shared" si="84"/>
        <v>104439.55000000003</v>
      </c>
      <c r="T1069" s="24" t="s">
        <v>1081</v>
      </c>
      <c r="U1069" s="24" t="s">
        <v>1081</v>
      </c>
      <c r="V1069" s="67"/>
      <c r="W1069" s="25" t="str">
        <f>IFERROR(VLOOKUP(BCP_Soles[[#This Row],[DESTINATARIO]],CHOOSE({1,2},Clientes_Proveedores[Razon Social],Clientes_Proveedores[Ruc / Dni]),2,0),"")</f>
        <v/>
      </c>
      <c r="X1069" s="25" t="s">
        <v>1118</v>
      </c>
      <c r="Y1069" s="25"/>
      <c r="Z1069" s="25"/>
      <c r="AA1069" s="99"/>
      <c r="AB1069" s="3" t="str">
        <f>IF(BCP_Soles[[#This Row],[FECHA]]&gt;0,TEXT(BCP_Soles[[#This Row],[FECHA]],"mmmm"),0)</f>
        <v>Abril</v>
      </c>
    </row>
    <row r="1070" spans="2:28" ht="24" x14ac:dyDescent="0.3">
      <c r="B1070" s="2" t="str">
        <f>IF(BCP_Soles[[#This Row],[TIPO DE R.]]="R",COUNTIFS($D$4:$D1069,"R")+1,"")</f>
        <v/>
      </c>
      <c r="C1070" s="19" t="str">
        <f t="shared" si="80"/>
        <v>B-BCP - Soles</v>
      </c>
      <c r="D1070" s="3" t="s">
        <v>1101</v>
      </c>
      <c r="E1070" s="14">
        <v>45748</v>
      </c>
      <c r="F1070" s="5" t="s">
        <v>1082</v>
      </c>
      <c r="G1070" s="5"/>
      <c r="H1070" s="6" t="s">
        <v>603</v>
      </c>
      <c r="I1070" s="6" t="s">
        <v>14</v>
      </c>
      <c r="J1070" s="6" t="s">
        <v>2238</v>
      </c>
      <c r="K1070" s="6">
        <v>143</v>
      </c>
      <c r="L1070" s="7" t="s">
        <v>2237</v>
      </c>
      <c r="M1070" s="8">
        <v>9805965</v>
      </c>
      <c r="N1070" s="8" t="str">
        <f t="shared" si="81"/>
        <v>PEN</v>
      </c>
      <c r="O1070" s="13">
        <v>146.80000000000001</v>
      </c>
      <c r="P1070" s="13"/>
      <c r="Q1070" s="3">
        <f t="shared" si="82"/>
        <v>0</v>
      </c>
      <c r="R1070" s="3">
        <f t="shared" si="83"/>
        <v>0</v>
      </c>
      <c r="S1070" s="3">
        <f t="shared" si="84"/>
        <v>104439.55000000003</v>
      </c>
      <c r="T1070" s="24"/>
      <c r="U1070" s="24"/>
      <c r="V1070" s="67"/>
      <c r="W1070" s="25">
        <f>IFERROR(VLOOKUP(BCP_Soles[[#This Row],[DESTINATARIO]],CHOOSE({1,2},Clientes_Proveedores[Razon Social],Clientes_Proveedores[Ruc / Dni]),2,0),"")</f>
        <v>20510942559</v>
      </c>
      <c r="X1070" s="25"/>
      <c r="Y1070" s="25"/>
      <c r="Z1070" s="25"/>
      <c r="AA1070" s="99"/>
      <c r="AB1070" s="3" t="str">
        <f>IF(BCP_Soles[[#This Row],[FECHA]]&gt;0,TEXT(BCP_Soles[[#This Row],[FECHA]],"mmmm"),0)</f>
        <v>Abril</v>
      </c>
    </row>
    <row r="1071" spans="2:28" x14ac:dyDescent="0.3">
      <c r="B1071" s="2" t="str">
        <f>IF(BCP_Soles[[#This Row],[TIPO DE R.]]="R",COUNTIFS($D$4:$D1070,"R")+1,"")</f>
        <v/>
      </c>
      <c r="C1071" s="19" t="str">
        <f t="shared" si="80"/>
        <v>B-BCP - Soles</v>
      </c>
      <c r="D1071" s="3" t="s">
        <v>1101</v>
      </c>
      <c r="E1071" s="14">
        <v>45748</v>
      </c>
      <c r="F1071" s="5" t="s">
        <v>1082</v>
      </c>
      <c r="G1071" s="5"/>
      <c r="H1071" s="6" t="s">
        <v>229</v>
      </c>
      <c r="I1071" s="6" t="s">
        <v>14</v>
      </c>
      <c r="J1071" s="6" t="s">
        <v>1429</v>
      </c>
      <c r="K1071" s="6">
        <v>1685</v>
      </c>
      <c r="L1071" s="7" t="s">
        <v>2237</v>
      </c>
      <c r="M1071" s="8">
        <v>9805965</v>
      </c>
      <c r="N1071" s="8" t="str">
        <f t="shared" si="81"/>
        <v>PEN</v>
      </c>
      <c r="O1071" s="13">
        <v>711.61</v>
      </c>
      <c r="P1071" s="13"/>
      <c r="Q1071" s="3">
        <f t="shared" si="82"/>
        <v>0</v>
      </c>
      <c r="R1071" s="3">
        <f t="shared" si="83"/>
        <v>0</v>
      </c>
      <c r="S1071" s="3">
        <f t="shared" si="84"/>
        <v>104439.55000000003</v>
      </c>
      <c r="T1071" s="24"/>
      <c r="U1071" s="24"/>
      <c r="V1071" s="67"/>
      <c r="W1071" s="25">
        <f>IFERROR(VLOOKUP(BCP_Soles[[#This Row],[DESTINATARIO]],CHOOSE({1,2},Clientes_Proveedores[Razon Social],Clientes_Proveedores[Ruc / Dni]),2,0),"")</f>
        <v>20454186002</v>
      </c>
      <c r="X1071" s="25"/>
      <c r="Y1071" s="25"/>
      <c r="Z1071" s="25"/>
      <c r="AA1071" s="99"/>
      <c r="AB1071" s="3" t="str">
        <f>IF(BCP_Soles[[#This Row],[FECHA]]&gt;0,TEXT(BCP_Soles[[#This Row],[FECHA]],"mmmm"),0)</f>
        <v>Abril</v>
      </c>
    </row>
    <row r="1072" spans="2:28" ht="36" x14ac:dyDescent="0.3">
      <c r="B1072" s="2" t="str">
        <f>IF(BCP_Soles[[#This Row],[TIPO DE R.]]="R",COUNTIFS($D$4:$D1071,"R")+1,"")</f>
        <v/>
      </c>
      <c r="C1072" s="19" t="str">
        <f t="shared" si="80"/>
        <v>B-BCP - Soles</v>
      </c>
      <c r="D1072" s="3" t="s">
        <v>1101</v>
      </c>
      <c r="E1072" s="14">
        <v>45748</v>
      </c>
      <c r="F1072" s="5" t="s">
        <v>1082</v>
      </c>
      <c r="G1072" s="5"/>
      <c r="H1072" s="6" t="s">
        <v>326</v>
      </c>
      <c r="I1072" s="6" t="s">
        <v>14</v>
      </c>
      <c r="J1072" s="6" t="s">
        <v>1541</v>
      </c>
      <c r="K1072" s="6">
        <v>777</v>
      </c>
      <c r="L1072" s="7" t="s">
        <v>2237</v>
      </c>
      <c r="M1072" s="8">
        <v>9805965</v>
      </c>
      <c r="N1072" s="8" t="str">
        <f t="shared" si="81"/>
        <v>PEN</v>
      </c>
      <c r="O1072" s="13">
        <v>35.67</v>
      </c>
      <c r="P1072" s="13"/>
      <c r="Q1072" s="3">
        <f t="shared" si="82"/>
        <v>0</v>
      </c>
      <c r="R1072" s="3">
        <f t="shared" si="83"/>
        <v>0</v>
      </c>
      <c r="S1072" s="3">
        <f t="shared" si="84"/>
        <v>104439.55000000003</v>
      </c>
      <c r="T1072" s="24"/>
      <c r="U1072" s="24"/>
      <c r="V1072" s="67"/>
      <c r="W1072" s="25">
        <f>IFERROR(VLOOKUP(BCP_Soles[[#This Row],[DESTINATARIO]],CHOOSE({1,2},Clientes_Proveedores[Razon Social],Clientes_Proveedores[Ruc / Dni]),2,0),"")</f>
        <v>20538593053</v>
      </c>
      <c r="X1072" s="25"/>
      <c r="Y1072" s="25"/>
      <c r="Z1072" s="25"/>
      <c r="AA1072" s="99"/>
      <c r="AB1072" s="3" t="str">
        <f>IF(BCP_Soles[[#This Row],[FECHA]]&gt;0,TEXT(BCP_Soles[[#This Row],[FECHA]],"mmmm"),0)</f>
        <v>Abril</v>
      </c>
    </row>
    <row r="1073" spans="2:28" ht="24" x14ac:dyDescent="0.3">
      <c r="B1073" s="2">
        <f>IF(BCP_Soles[[#This Row],[TIPO DE R.]]="R",COUNTIFS($D$4:$D1072,"R")+1,"")</f>
        <v>841</v>
      </c>
      <c r="C1073" s="19" t="str">
        <f t="shared" si="80"/>
        <v>B-BCP - Soles</v>
      </c>
      <c r="D1073" s="3" t="s">
        <v>1074</v>
      </c>
      <c r="E1073" s="14">
        <v>45748</v>
      </c>
      <c r="F1073" s="5" t="s">
        <v>1996</v>
      </c>
      <c r="G1073" s="5" t="s">
        <v>1079</v>
      </c>
      <c r="H1073" s="6" t="s">
        <v>192</v>
      </c>
      <c r="I1073" s="6"/>
      <c r="J1073" s="6"/>
      <c r="K1073" s="6"/>
      <c r="L1073" s="7" t="s">
        <v>2235</v>
      </c>
      <c r="M1073" s="8">
        <v>1015350</v>
      </c>
      <c r="N1073" s="8" t="str">
        <f t="shared" si="81"/>
        <v>PEN</v>
      </c>
      <c r="O1073" s="13"/>
      <c r="P1073" s="13">
        <v>1371.4</v>
      </c>
      <c r="Q1073" s="3">
        <f t="shared" si="82"/>
        <v>0</v>
      </c>
      <c r="R1073" s="3">
        <f t="shared" si="83"/>
        <v>1371.4</v>
      </c>
      <c r="S1073" s="3">
        <f t="shared" si="84"/>
        <v>103068.15000000004</v>
      </c>
      <c r="T1073" s="24"/>
      <c r="U1073" s="24"/>
      <c r="V1073" s="67"/>
      <c r="W1073" s="25">
        <f>IFERROR(VLOOKUP(BCP_Soles[[#This Row],[DESTINATARIO]],CHOOSE({1,2},Clientes_Proveedores[Razon Social],Clientes_Proveedores[Ruc / Dni]),2,0),"")</f>
        <v>20302891452</v>
      </c>
      <c r="X1073" s="25" t="s">
        <v>192</v>
      </c>
      <c r="Y1073" s="25"/>
      <c r="Z1073" s="25"/>
      <c r="AA1073" s="99"/>
      <c r="AB1073" s="3" t="str">
        <f>IF(BCP_Soles[[#This Row],[FECHA]]&gt;0,TEXT(BCP_Soles[[#This Row],[FECHA]],"mmmm"),0)</f>
        <v>Abril</v>
      </c>
    </row>
    <row r="1074" spans="2:28" x14ac:dyDescent="0.3">
      <c r="B1074" s="2">
        <f>IF(BCP_Soles[[#This Row],[TIPO DE R.]]="R",COUNTIFS($D$4:$D1073,"R")+1,"")</f>
        <v>842</v>
      </c>
      <c r="C1074" s="19" t="str">
        <f t="shared" si="80"/>
        <v>B-BCP - Soles</v>
      </c>
      <c r="D1074" s="3" t="s">
        <v>1074</v>
      </c>
      <c r="E1074" s="14">
        <v>45748</v>
      </c>
      <c r="F1074" s="5" t="s">
        <v>1082</v>
      </c>
      <c r="G1074" s="5" t="s">
        <v>1079</v>
      </c>
      <c r="H1074" s="6" t="s">
        <v>139</v>
      </c>
      <c r="I1074" s="6" t="s">
        <v>14</v>
      </c>
      <c r="J1074" s="6" t="s">
        <v>1953</v>
      </c>
      <c r="K1074" s="6">
        <v>6146</v>
      </c>
      <c r="L1074" s="7" t="s">
        <v>1954</v>
      </c>
      <c r="M1074" s="8">
        <v>15349</v>
      </c>
      <c r="N1074" s="8" t="str">
        <f t="shared" si="81"/>
        <v>PEN</v>
      </c>
      <c r="O1074" s="13"/>
      <c r="P1074" s="13">
        <v>1558.72</v>
      </c>
      <c r="Q1074" s="3">
        <f t="shared" si="82"/>
        <v>0</v>
      </c>
      <c r="R1074" s="3">
        <f t="shared" si="83"/>
        <v>1558.72</v>
      </c>
      <c r="S1074" s="3">
        <f t="shared" si="84"/>
        <v>101509.43000000004</v>
      </c>
      <c r="T1074" s="24" t="s">
        <v>1081</v>
      </c>
      <c r="U1074" s="24" t="s">
        <v>1081</v>
      </c>
      <c r="V1074" s="67"/>
      <c r="W1074" s="25">
        <f>IFERROR(VLOOKUP(BCP_Soles[[#This Row],[DESTINATARIO]],CHOOSE({1,2},Clientes_Proveedores[Razon Social],Clientes_Proveedores[Ruc / Dni]),2,0),"")</f>
        <v>20100055237</v>
      </c>
      <c r="X1074" s="25" t="s">
        <v>1955</v>
      </c>
      <c r="Y1074" s="25" t="s">
        <v>2239</v>
      </c>
      <c r="Z1074" s="25"/>
      <c r="AA1074" s="99"/>
      <c r="AB1074" s="3" t="str">
        <f>IF(BCP_Soles[[#This Row],[FECHA]]&gt;0,TEXT(BCP_Soles[[#This Row],[FECHA]],"mmmm"),0)</f>
        <v>Abril</v>
      </c>
    </row>
    <row r="1075" spans="2:28" x14ac:dyDescent="0.3">
      <c r="B1075" s="2">
        <f>IF(BCP_Soles[[#This Row],[TIPO DE R.]]="R",COUNTIFS($D$4:$D1074,"R")+1,"")</f>
        <v>843</v>
      </c>
      <c r="C1075" s="19" t="str">
        <f t="shared" si="80"/>
        <v>B-BCP - Soles</v>
      </c>
      <c r="D1075" s="3" t="s">
        <v>1074</v>
      </c>
      <c r="E1075" s="14">
        <v>45748</v>
      </c>
      <c r="F1075" s="5" t="s">
        <v>1082</v>
      </c>
      <c r="G1075" s="5" t="s">
        <v>1079</v>
      </c>
      <c r="H1075" s="6"/>
      <c r="I1075" s="6"/>
      <c r="J1075" s="6"/>
      <c r="K1075" s="6"/>
      <c r="L1075" s="7" t="s">
        <v>2240</v>
      </c>
      <c r="M1075" s="8">
        <v>9714329</v>
      </c>
      <c r="N1075" s="8" t="str">
        <f t="shared" si="81"/>
        <v>PEN</v>
      </c>
      <c r="O1075" s="13"/>
      <c r="P1075" s="13">
        <v>2786.84</v>
      </c>
      <c r="Q1075" s="3">
        <f t="shared" si="82"/>
        <v>0</v>
      </c>
      <c r="R1075" s="3">
        <f t="shared" si="83"/>
        <v>2786.84</v>
      </c>
      <c r="S1075" s="3">
        <f t="shared" si="84"/>
        <v>98722.59000000004</v>
      </c>
      <c r="T1075" s="24"/>
      <c r="U1075" s="24"/>
      <c r="V1075" s="67"/>
      <c r="W1075" s="25" t="str">
        <f>IFERROR(VLOOKUP(BCP_Soles[[#This Row],[DESTINATARIO]],CHOOSE({1,2},Clientes_Proveedores[Razon Social],Clientes_Proveedores[Ruc / Dni]),2,0),"")</f>
        <v/>
      </c>
      <c r="X1075" s="25" t="s">
        <v>1118</v>
      </c>
      <c r="Y1075" s="25"/>
      <c r="Z1075" s="25"/>
      <c r="AA1075" s="99"/>
      <c r="AB1075" s="3" t="str">
        <f>IF(BCP_Soles[[#This Row],[FECHA]]&gt;0,TEXT(BCP_Soles[[#This Row],[FECHA]],"mmmm"),0)</f>
        <v>Abril</v>
      </c>
    </row>
    <row r="1076" spans="2:28" x14ac:dyDescent="0.3">
      <c r="B1076" s="2">
        <f>IF(BCP_Soles[[#This Row],[TIPO DE R.]]="R",COUNTIFS($D$4:$D1075,"R")+1,"")</f>
        <v>844</v>
      </c>
      <c r="C1076" s="19" t="str">
        <f t="shared" si="80"/>
        <v>B-BCP - Soles</v>
      </c>
      <c r="D1076" s="3" t="s">
        <v>1074</v>
      </c>
      <c r="E1076" s="14">
        <v>45748</v>
      </c>
      <c r="F1076" s="5" t="s">
        <v>1082</v>
      </c>
      <c r="G1076" s="5" t="s">
        <v>1079</v>
      </c>
      <c r="H1076" s="6"/>
      <c r="I1076" s="6"/>
      <c r="J1076" s="6"/>
      <c r="K1076" s="6"/>
      <c r="L1076" s="7" t="s">
        <v>2241</v>
      </c>
      <c r="M1076" s="8">
        <v>1009918</v>
      </c>
      <c r="N1076" s="8" t="str">
        <f t="shared" si="81"/>
        <v>PEN</v>
      </c>
      <c r="O1076" s="13"/>
      <c r="P1076" s="13">
        <v>2868</v>
      </c>
      <c r="Q1076" s="3">
        <f t="shared" si="82"/>
        <v>0</v>
      </c>
      <c r="R1076" s="3">
        <f t="shared" si="83"/>
        <v>2868</v>
      </c>
      <c r="S1076" s="3">
        <f t="shared" si="84"/>
        <v>95854.59000000004</v>
      </c>
      <c r="T1076" s="24"/>
      <c r="U1076" s="24"/>
      <c r="V1076" s="67"/>
      <c r="W1076" s="25" t="str">
        <f>IFERROR(VLOOKUP(BCP_Soles[[#This Row],[DESTINATARIO]],CHOOSE({1,2},Clientes_Proveedores[Razon Social],Clientes_Proveedores[Ruc / Dni]),2,0),"")</f>
        <v/>
      </c>
      <c r="X1076" s="25" t="s">
        <v>1133</v>
      </c>
      <c r="Y1076" s="25"/>
      <c r="Z1076" s="25"/>
      <c r="AA1076" s="99"/>
      <c r="AB1076" s="3" t="str">
        <f>IF(BCP_Soles[[#This Row],[FECHA]]&gt;0,TEXT(BCP_Soles[[#This Row],[FECHA]],"mmmm"),0)</f>
        <v>Abril</v>
      </c>
    </row>
    <row r="1077" spans="2:28" x14ac:dyDescent="0.3">
      <c r="B1077" s="2">
        <f>IF(BCP_Soles[[#This Row],[TIPO DE R.]]="R",COUNTIFS($D$4:$D1076,"R")+1,"")</f>
        <v>845</v>
      </c>
      <c r="C1077" s="19" t="str">
        <f t="shared" si="80"/>
        <v>B-BCP - Soles</v>
      </c>
      <c r="D1077" s="3" t="s">
        <v>1074</v>
      </c>
      <c r="E1077" s="14">
        <v>45748</v>
      </c>
      <c r="F1077" s="5" t="s">
        <v>1996</v>
      </c>
      <c r="G1077" s="5" t="s">
        <v>1079</v>
      </c>
      <c r="H1077" s="6"/>
      <c r="I1077" s="6"/>
      <c r="J1077" s="6"/>
      <c r="K1077" s="6"/>
      <c r="L1077" s="7" t="s">
        <v>2242</v>
      </c>
      <c r="M1077" s="8">
        <v>9805995</v>
      </c>
      <c r="N1077" s="8" t="str">
        <f t="shared" si="81"/>
        <v>PEN</v>
      </c>
      <c r="O1077" s="13"/>
      <c r="P1077" s="13">
        <v>71141.45</v>
      </c>
      <c r="Q1077" s="3">
        <f t="shared" si="82"/>
        <v>0</v>
      </c>
      <c r="R1077" s="3">
        <f t="shared" si="83"/>
        <v>71141.45</v>
      </c>
      <c r="S1077" s="3">
        <f t="shared" si="84"/>
        <v>24713.140000000043</v>
      </c>
      <c r="T1077" s="24"/>
      <c r="U1077" s="24"/>
      <c r="V1077" s="67"/>
      <c r="W1077" s="25" t="str">
        <f>IFERROR(VLOOKUP(BCP_Soles[[#This Row],[DESTINATARIO]],CHOOSE({1,2},Clientes_Proveedores[Razon Social],Clientes_Proveedores[Ruc / Dni]),2,0),"")</f>
        <v/>
      </c>
      <c r="X1077" s="25" t="s">
        <v>1118</v>
      </c>
      <c r="Y1077" s="25"/>
      <c r="Z1077" s="25"/>
      <c r="AA1077" s="99"/>
      <c r="AB1077" s="3" t="str">
        <f>IF(BCP_Soles[[#This Row],[FECHA]]&gt;0,TEXT(BCP_Soles[[#This Row],[FECHA]],"mmmm"),0)</f>
        <v>Abril</v>
      </c>
    </row>
    <row r="1078" spans="2:28" ht="36" x14ac:dyDescent="0.3">
      <c r="B1078" s="2">
        <f>IF(BCP_Soles[[#This Row],[TIPO DE R.]]="R",COUNTIFS($D$4:$D1077,"R")+1,"")</f>
        <v>846</v>
      </c>
      <c r="C1078" s="19" t="str">
        <f t="shared" si="80"/>
        <v>B-BCP - Soles</v>
      </c>
      <c r="D1078" s="3" t="s">
        <v>1074</v>
      </c>
      <c r="E1078" s="14">
        <v>45749</v>
      </c>
      <c r="F1078" s="5" t="s">
        <v>605</v>
      </c>
      <c r="G1078" s="5" t="s">
        <v>1087</v>
      </c>
      <c r="H1078" s="6"/>
      <c r="I1078" s="6"/>
      <c r="J1078" s="6"/>
      <c r="K1078" s="6"/>
      <c r="L1078" s="7" t="s">
        <v>1127</v>
      </c>
      <c r="M1078" s="8">
        <v>1937</v>
      </c>
      <c r="N1078" s="8" t="str">
        <f t="shared" si="81"/>
        <v>PEN</v>
      </c>
      <c r="O1078" s="13"/>
      <c r="P1078" s="13">
        <v>4400</v>
      </c>
      <c r="Q1078" s="3">
        <f t="shared" si="82"/>
        <v>4400</v>
      </c>
      <c r="R1078" s="3">
        <f t="shared" si="83"/>
        <v>0</v>
      </c>
      <c r="S1078" s="3">
        <f t="shared" si="84"/>
        <v>29113.140000000043</v>
      </c>
      <c r="T1078" s="24" t="s">
        <v>1081</v>
      </c>
      <c r="U1078" s="24" t="s">
        <v>1081</v>
      </c>
      <c r="V1078" s="67"/>
      <c r="W1078" s="25" t="str">
        <f>IFERROR(VLOOKUP(BCP_Soles[[#This Row],[DESTINATARIO]],CHOOSE({1,2},Clientes_Proveedores[Razon Social],Clientes_Proveedores[Ruc / Dni]),2,0),"")</f>
        <v/>
      </c>
      <c r="X1078" s="25" t="s">
        <v>1090</v>
      </c>
      <c r="Y1078" s="25" t="s">
        <v>2243</v>
      </c>
      <c r="Z1078" s="25"/>
      <c r="AA1078" s="99"/>
      <c r="AB1078" s="3" t="str">
        <f>IF(BCP_Soles[[#This Row],[FECHA]]&gt;0,TEXT(BCP_Soles[[#This Row],[FECHA]],"mmmm"),0)</f>
        <v>Abril</v>
      </c>
    </row>
    <row r="1079" spans="2:28" ht="48" x14ac:dyDescent="0.3">
      <c r="B1079" s="2">
        <f>IF(BCP_Soles[[#This Row],[TIPO DE R.]]="R",COUNTIFS($D$4:$D1078,"R")+1,"")</f>
        <v>847</v>
      </c>
      <c r="C1079" s="19" t="str">
        <f t="shared" si="80"/>
        <v>B-BCP - Soles</v>
      </c>
      <c r="D1079" s="3" t="s">
        <v>1074</v>
      </c>
      <c r="E1079" s="14">
        <v>45749</v>
      </c>
      <c r="F1079" s="5" t="s">
        <v>188</v>
      </c>
      <c r="G1079" s="5" t="s">
        <v>1087</v>
      </c>
      <c r="H1079" s="6" t="s">
        <v>368</v>
      </c>
      <c r="I1079" s="6"/>
      <c r="J1079" s="6"/>
      <c r="K1079" s="6"/>
      <c r="L1079" s="7" t="s">
        <v>2244</v>
      </c>
      <c r="M1079" s="8">
        <v>625207</v>
      </c>
      <c r="N1079" s="8" t="str">
        <f t="shared" si="81"/>
        <v>PEN</v>
      </c>
      <c r="O1079" s="13"/>
      <c r="P1079" s="13">
        <v>2349.69</v>
      </c>
      <c r="Q1079" s="3">
        <f t="shared" si="82"/>
        <v>2349.69</v>
      </c>
      <c r="R1079" s="3">
        <f t="shared" si="83"/>
        <v>0</v>
      </c>
      <c r="S1079" s="3">
        <f t="shared" si="84"/>
        <v>31462.830000000042</v>
      </c>
      <c r="T1079" s="24" t="s">
        <v>1081</v>
      </c>
      <c r="U1079" s="24" t="s">
        <v>1081</v>
      </c>
      <c r="V1079" s="67"/>
      <c r="W1079" s="25">
        <f>IFERROR(VLOOKUP(BCP_Soles[[#This Row],[DESTINATARIO]],CHOOSE({1,2},Clientes_Proveedores[Razon Social],Clientes_Proveedores[Ruc / Dni]),2,0),"")</f>
        <v>20558226979</v>
      </c>
      <c r="X1079" s="25" t="s">
        <v>1090</v>
      </c>
      <c r="Y1079" s="25" t="s">
        <v>2245</v>
      </c>
      <c r="Z1079" s="25"/>
      <c r="AA1079" s="99"/>
      <c r="AB1079" s="3" t="str">
        <f>IF(BCP_Soles[[#This Row],[FECHA]]&gt;0,TEXT(BCP_Soles[[#This Row],[FECHA]],"mmmm"),0)</f>
        <v>Abril</v>
      </c>
    </row>
    <row r="1080" spans="2:28" ht="24" x14ac:dyDescent="0.3">
      <c r="B1080" s="2">
        <f>IF(BCP_Soles[[#This Row],[TIPO DE R.]]="R",COUNTIFS($D$4:$D1079,"R")+1,"")</f>
        <v>848</v>
      </c>
      <c r="C1080" s="19" t="str">
        <f t="shared" si="80"/>
        <v>B-BCP - Soles</v>
      </c>
      <c r="D1080" s="3" t="s">
        <v>1074</v>
      </c>
      <c r="E1080" s="14">
        <v>45749</v>
      </c>
      <c r="F1080" s="5" t="s">
        <v>1644</v>
      </c>
      <c r="G1080" s="5" t="s">
        <v>1087</v>
      </c>
      <c r="H1080" s="6"/>
      <c r="I1080" s="6"/>
      <c r="J1080" s="6"/>
      <c r="K1080" s="6"/>
      <c r="L1080" s="7" t="s">
        <v>1100</v>
      </c>
      <c r="M1080" s="8">
        <v>2051986</v>
      </c>
      <c r="N1080" s="8" t="str">
        <f t="shared" si="81"/>
        <v>PEN</v>
      </c>
      <c r="O1080" s="13"/>
      <c r="P1080" s="13">
        <v>1350</v>
      </c>
      <c r="Q1080" s="3">
        <f t="shared" si="82"/>
        <v>1350</v>
      </c>
      <c r="R1080" s="3">
        <f t="shared" si="83"/>
        <v>0</v>
      </c>
      <c r="S1080" s="3">
        <f t="shared" si="84"/>
        <v>32812.830000000045</v>
      </c>
      <c r="T1080" s="24" t="s">
        <v>1081</v>
      </c>
      <c r="U1080" s="24" t="s">
        <v>1081</v>
      </c>
      <c r="V1080" s="67"/>
      <c r="W1080" s="25" t="str">
        <f>IFERROR(VLOOKUP(BCP_Soles[[#This Row],[DESTINATARIO]],CHOOSE({1,2},Clientes_Proveedores[Razon Social],Clientes_Proveedores[Ruc / Dni]),2,0),"")</f>
        <v/>
      </c>
      <c r="X1080" s="25" t="s">
        <v>1090</v>
      </c>
      <c r="Y1080" s="25" t="s">
        <v>2246</v>
      </c>
      <c r="Z1080" s="25"/>
      <c r="AA1080" s="99"/>
      <c r="AB1080" s="3" t="str">
        <f>IF(BCP_Soles[[#This Row],[FECHA]]&gt;0,TEXT(BCP_Soles[[#This Row],[FECHA]],"mmmm"),0)</f>
        <v>Abril</v>
      </c>
    </row>
    <row r="1081" spans="2:28" ht="24" x14ac:dyDescent="0.3">
      <c r="B1081" s="2">
        <f>IF(BCP_Soles[[#This Row],[TIPO DE R.]]="R",COUNTIFS($D$4:$D1080,"R")+1,"")</f>
        <v>849</v>
      </c>
      <c r="C1081" s="19" t="str">
        <f t="shared" si="80"/>
        <v>B-BCP - Soles</v>
      </c>
      <c r="D1081" s="3" t="s">
        <v>1074</v>
      </c>
      <c r="E1081" s="14">
        <v>45749</v>
      </c>
      <c r="F1081" s="5" t="s">
        <v>1745</v>
      </c>
      <c r="G1081" s="5" t="s">
        <v>1087</v>
      </c>
      <c r="H1081" s="6"/>
      <c r="I1081" s="6"/>
      <c r="J1081" s="6"/>
      <c r="K1081" s="6"/>
      <c r="L1081" s="7" t="s">
        <v>1100</v>
      </c>
      <c r="M1081" s="8">
        <v>2085744</v>
      </c>
      <c r="N1081" s="8" t="str">
        <f t="shared" si="81"/>
        <v>PEN</v>
      </c>
      <c r="O1081" s="13"/>
      <c r="P1081" s="13">
        <v>1300</v>
      </c>
      <c r="Q1081" s="3">
        <f t="shared" si="82"/>
        <v>1300</v>
      </c>
      <c r="R1081" s="3">
        <f t="shared" si="83"/>
        <v>0</v>
      </c>
      <c r="S1081" s="3">
        <f t="shared" si="84"/>
        <v>34112.830000000045</v>
      </c>
      <c r="T1081" s="24" t="s">
        <v>1081</v>
      </c>
      <c r="U1081" s="24" t="s">
        <v>1081</v>
      </c>
      <c r="V1081" s="67"/>
      <c r="W1081" s="25" t="str">
        <f>IFERROR(VLOOKUP(BCP_Soles[[#This Row],[DESTINATARIO]],CHOOSE({1,2},Clientes_Proveedores[Razon Social],Clientes_Proveedores[Ruc / Dni]),2,0),"")</f>
        <v/>
      </c>
      <c r="X1081" s="25" t="s">
        <v>1090</v>
      </c>
      <c r="Y1081" s="25" t="s">
        <v>2247</v>
      </c>
      <c r="Z1081" s="25"/>
      <c r="AA1081" s="99"/>
      <c r="AB1081" s="3" t="str">
        <f>IF(BCP_Soles[[#This Row],[FECHA]]&gt;0,TEXT(BCP_Soles[[#This Row],[FECHA]],"mmmm"),0)</f>
        <v>Abril</v>
      </c>
    </row>
    <row r="1082" spans="2:28" ht="24" x14ac:dyDescent="0.3">
      <c r="B1082" s="2">
        <f>IF(BCP_Soles[[#This Row],[TIPO DE R.]]="R",COUNTIFS($D$4:$D1081,"R")+1,"")</f>
        <v>850</v>
      </c>
      <c r="C1082" s="19" t="str">
        <f t="shared" si="80"/>
        <v>B-BCP - Soles</v>
      </c>
      <c r="D1082" s="3" t="s">
        <v>1074</v>
      </c>
      <c r="E1082" s="14">
        <v>45749</v>
      </c>
      <c r="F1082" s="5" t="s">
        <v>2134</v>
      </c>
      <c r="G1082" s="5" t="s">
        <v>1087</v>
      </c>
      <c r="H1082" s="6"/>
      <c r="I1082" s="6"/>
      <c r="J1082" s="6"/>
      <c r="K1082" s="6"/>
      <c r="L1082" s="7" t="s">
        <v>1100</v>
      </c>
      <c r="M1082" s="8">
        <v>2054628</v>
      </c>
      <c r="N1082" s="8" t="str">
        <f t="shared" si="81"/>
        <v>PEN</v>
      </c>
      <c r="O1082" s="13"/>
      <c r="P1082" s="13">
        <v>150</v>
      </c>
      <c r="Q1082" s="3">
        <f t="shared" si="82"/>
        <v>150</v>
      </c>
      <c r="R1082" s="3">
        <f t="shared" si="83"/>
        <v>0</v>
      </c>
      <c r="S1082" s="3">
        <f t="shared" si="84"/>
        <v>34262.830000000045</v>
      </c>
      <c r="T1082" s="24" t="s">
        <v>1081</v>
      </c>
      <c r="U1082" s="24" t="s">
        <v>1081</v>
      </c>
      <c r="V1082" s="67"/>
      <c r="W1082" s="25" t="str">
        <f>IFERROR(VLOOKUP(BCP_Soles[[#This Row],[DESTINATARIO]],CHOOSE({1,2},Clientes_Proveedores[Razon Social],Clientes_Proveedores[Ruc / Dni]),2,0),"")</f>
        <v/>
      </c>
      <c r="X1082" s="25" t="s">
        <v>1090</v>
      </c>
      <c r="Y1082" s="25" t="s">
        <v>2248</v>
      </c>
      <c r="Z1082" s="25"/>
      <c r="AA1082" s="99"/>
      <c r="AB1082" s="3" t="str">
        <f>IF(BCP_Soles[[#This Row],[FECHA]]&gt;0,TEXT(BCP_Soles[[#This Row],[FECHA]],"mmmm"),0)</f>
        <v>Abril</v>
      </c>
    </row>
    <row r="1083" spans="2:28" ht="36" x14ac:dyDescent="0.3">
      <c r="B1083" s="2">
        <f>IF(BCP_Soles[[#This Row],[TIPO DE R.]]="R",COUNTIFS($D$4:$D1082,"R")+1,"")</f>
        <v>851</v>
      </c>
      <c r="C1083" s="19" t="str">
        <f t="shared" si="80"/>
        <v>B-BCP - Soles</v>
      </c>
      <c r="D1083" s="3" t="s">
        <v>1074</v>
      </c>
      <c r="E1083" s="14">
        <v>45749</v>
      </c>
      <c r="F1083" s="5" t="s">
        <v>656</v>
      </c>
      <c r="G1083" s="5" t="s">
        <v>1087</v>
      </c>
      <c r="H1083" s="6"/>
      <c r="I1083" s="6"/>
      <c r="J1083" s="6"/>
      <c r="K1083" s="6"/>
      <c r="L1083" s="7" t="s">
        <v>2249</v>
      </c>
      <c r="M1083" s="8">
        <v>2229787</v>
      </c>
      <c r="N1083" s="8" t="str">
        <f t="shared" si="81"/>
        <v>PEN</v>
      </c>
      <c r="O1083" s="13"/>
      <c r="P1083" s="13">
        <v>50</v>
      </c>
      <c r="Q1083" s="3">
        <f t="shared" si="82"/>
        <v>50</v>
      </c>
      <c r="R1083" s="3">
        <f t="shared" si="83"/>
        <v>0</v>
      </c>
      <c r="S1083" s="3">
        <f t="shared" si="84"/>
        <v>34312.830000000045</v>
      </c>
      <c r="T1083" s="24"/>
      <c r="U1083" s="24"/>
      <c r="V1083" s="67"/>
      <c r="W1083" s="25" t="str">
        <f>IFERROR(VLOOKUP(BCP_Soles[[#This Row],[DESTINATARIO]],CHOOSE({1,2},Clientes_Proveedores[Razon Social],Clientes_Proveedores[Ruc / Dni]),2,0),"")</f>
        <v/>
      </c>
      <c r="X1083" s="25" t="s">
        <v>1090</v>
      </c>
      <c r="Y1083" s="25"/>
      <c r="Z1083" s="25"/>
      <c r="AA1083" s="99"/>
      <c r="AB1083" s="3" t="str">
        <f>IF(BCP_Soles[[#This Row],[FECHA]]&gt;0,TEXT(BCP_Soles[[#This Row],[FECHA]],"mmmm"),0)</f>
        <v>Abril</v>
      </c>
    </row>
    <row r="1084" spans="2:28" x14ac:dyDescent="0.3">
      <c r="B1084" s="2">
        <f>IF(BCP_Soles[[#This Row],[TIPO DE R.]]="R",COUNTIFS($D$4:$D1083,"R")+1,"")</f>
        <v>852</v>
      </c>
      <c r="C1084" s="19" t="str">
        <f t="shared" si="80"/>
        <v>B-BCP - Soles</v>
      </c>
      <c r="D1084" s="3" t="s">
        <v>1074</v>
      </c>
      <c r="E1084" s="14">
        <v>45749</v>
      </c>
      <c r="F1084" s="5" t="s">
        <v>1078</v>
      </c>
      <c r="G1084" s="5" t="s">
        <v>1079</v>
      </c>
      <c r="H1084" s="6"/>
      <c r="I1084" s="6"/>
      <c r="J1084" s="6"/>
      <c r="K1084" s="6"/>
      <c r="L1084" s="7" t="s">
        <v>1080</v>
      </c>
      <c r="M1084" s="8"/>
      <c r="N1084" s="8" t="str">
        <f t="shared" si="81"/>
        <v>PEN</v>
      </c>
      <c r="O1084" s="13"/>
      <c r="P1084" s="13">
        <v>0.55000000000000004</v>
      </c>
      <c r="Q1084" s="3">
        <f t="shared" si="82"/>
        <v>0</v>
      </c>
      <c r="R1084" s="3">
        <f t="shared" si="83"/>
        <v>0.55000000000000004</v>
      </c>
      <c r="S1084" s="3">
        <f t="shared" si="84"/>
        <v>34312.280000000042</v>
      </c>
      <c r="T1084" s="24"/>
      <c r="U1084" s="24" t="s">
        <v>1081</v>
      </c>
      <c r="V1084" s="67"/>
      <c r="W1084" s="25" t="str">
        <f>IFERROR(VLOOKUP(BCP_Soles[[#This Row],[DESTINATARIO]],CHOOSE({1,2},Clientes_Proveedores[Razon Social],Clientes_Proveedores[Ruc / Dni]),2,0),"")</f>
        <v/>
      </c>
      <c r="X1084" s="25"/>
      <c r="Y1084" s="25"/>
      <c r="Z1084" s="25"/>
      <c r="AA1084" s="99"/>
      <c r="AB1084" s="3" t="str">
        <f>IF(BCP_Soles[[#This Row],[FECHA]]&gt;0,TEXT(BCP_Soles[[#This Row],[FECHA]],"mmmm"),0)</f>
        <v>Abril</v>
      </c>
    </row>
    <row r="1085" spans="2:28" ht="24" x14ac:dyDescent="0.3">
      <c r="B1085" s="2">
        <f>IF(BCP_Soles[[#This Row],[TIPO DE R.]]="R",COUNTIFS($D$4:$D1084,"R")+1,"")</f>
        <v>853</v>
      </c>
      <c r="C1085" s="19" t="str">
        <f t="shared" si="80"/>
        <v>B-BCP - Soles</v>
      </c>
      <c r="D1085" s="3" t="s">
        <v>1074</v>
      </c>
      <c r="E1085" s="14">
        <v>45749</v>
      </c>
      <c r="F1085" s="5" t="s">
        <v>1082</v>
      </c>
      <c r="G1085" s="5" t="s">
        <v>1079</v>
      </c>
      <c r="H1085" s="6" t="s">
        <v>192</v>
      </c>
      <c r="I1085" s="6"/>
      <c r="J1085" s="6"/>
      <c r="K1085" s="6"/>
      <c r="L1085" s="7" t="s">
        <v>2250</v>
      </c>
      <c r="M1085" s="8">
        <v>1106709</v>
      </c>
      <c r="N1085" s="8" t="str">
        <f t="shared" si="81"/>
        <v>PEN</v>
      </c>
      <c r="O1085" s="13"/>
      <c r="P1085" s="13">
        <v>82.64</v>
      </c>
      <c r="Q1085" s="3">
        <f t="shared" si="82"/>
        <v>0</v>
      </c>
      <c r="R1085" s="3">
        <f t="shared" si="83"/>
        <v>82.64</v>
      </c>
      <c r="S1085" s="3">
        <f t="shared" si="84"/>
        <v>34229.640000000043</v>
      </c>
      <c r="T1085" s="24"/>
      <c r="U1085" s="24"/>
      <c r="V1085" s="67"/>
      <c r="W1085" s="25">
        <f>IFERROR(VLOOKUP(BCP_Soles[[#This Row],[DESTINATARIO]],CHOOSE({1,2},Clientes_Proveedores[Razon Social],Clientes_Proveedores[Ruc / Dni]),2,0),"")</f>
        <v>20302891452</v>
      </c>
      <c r="X1085" s="25" t="s">
        <v>192</v>
      </c>
      <c r="Y1085" s="25"/>
      <c r="Z1085" s="25"/>
      <c r="AA1085" s="99"/>
      <c r="AB1085" s="3" t="str">
        <f>IF(BCP_Soles[[#This Row],[FECHA]]&gt;0,TEXT(BCP_Soles[[#This Row],[FECHA]],"mmmm"),0)</f>
        <v>Abril</v>
      </c>
    </row>
    <row r="1086" spans="2:28" ht="24" x14ac:dyDescent="0.3">
      <c r="B1086" s="2">
        <f>IF(BCP_Soles[[#This Row],[TIPO DE R.]]="R",COUNTIFS($D$4:$D1085,"R")+1,"")</f>
        <v>854</v>
      </c>
      <c r="C1086" s="19" t="str">
        <f t="shared" si="80"/>
        <v>B-BCP - Soles</v>
      </c>
      <c r="D1086" s="3" t="s">
        <v>1074</v>
      </c>
      <c r="E1086" s="14">
        <v>45749</v>
      </c>
      <c r="F1086" s="5" t="s">
        <v>1996</v>
      </c>
      <c r="G1086" s="5" t="s">
        <v>1079</v>
      </c>
      <c r="H1086" s="6"/>
      <c r="I1086" s="6" t="s">
        <v>14</v>
      </c>
      <c r="J1086" s="6" t="s">
        <v>1121</v>
      </c>
      <c r="K1086" s="6">
        <v>2821</v>
      </c>
      <c r="L1086" s="7" t="s">
        <v>2251</v>
      </c>
      <c r="M1086" s="8">
        <v>1201988</v>
      </c>
      <c r="N1086" s="8" t="str">
        <f t="shared" si="81"/>
        <v>PEN</v>
      </c>
      <c r="O1086" s="13"/>
      <c r="P1086" s="13">
        <v>188.8</v>
      </c>
      <c r="Q1086" s="3">
        <f t="shared" si="82"/>
        <v>0</v>
      </c>
      <c r="R1086" s="3">
        <f t="shared" si="83"/>
        <v>188.8</v>
      </c>
      <c r="S1086" s="3">
        <f t="shared" si="84"/>
        <v>34040.84000000004</v>
      </c>
      <c r="T1086" s="24" t="s">
        <v>1081</v>
      </c>
      <c r="U1086" s="24" t="s">
        <v>1081</v>
      </c>
      <c r="V1086" s="67"/>
      <c r="W1086" s="25" t="str">
        <f>IFERROR(VLOOKUP(BCP_Soles[[#This Row],[DESTINATARIO]],CHOOSE({1,2},Clientes_Proveedores[Razon Social],Clientes_Proveedores[Ruc / Dni]),2,0),"")</f>
        <v/>
      </c>
      <c r="X1086" s="25" t="s">
        <v>2027</v>
      </c>
      <c r="Y1086" s="25" t="s">
        <v>2252</v>
      </c>
      <c r="Z1086" s="25"/>
      <c r="AA1086" s="99"/>
      <c r="AB1086" s="3" t="str">
        <f>IF(BCP_Soles[[#This Row],[FECHA]]&gt;0,TEXT(BCP_Soles[[#This Row],[FECHA]],"mmmm"),0)</f>
        <v>Abril</v>
      </c>
    </row>
    <row r="1087" spans="2:28" ht="24" x14ac:dyDescent="0.3">
      <c r="B1087" s="2">
        <f>IF(BCP_Soles[[#This Row],[TIPO DE R.]]="R",COUNTIFS($D$4:$D1086,"R")+1,"")</f>
        <v>855</v>
      </c>
      <c r="C1087" s="19" t="str">
        <f t="shared" si="80"/>
        <v>B-BCP - Soles</v>
      </c>
      <c r="D1087" s="3" t="s">
        <v>1074</v>
      </c>
      <c r="E1087" s="14">
        <v>45749</v>
      </c>
      <c r="F1087" s="5" t="s">
        <v>1082</v>
      </c>
      <c r="G1087" s="5" t="s">
        <v>1079</v>
      </c>
      <c r="H1087" s="6" t="s">
        <v>798</v>
      </c>
      <c r="I1087" s="6" t="s">
        <v>87</v>
      </c>
      <c r="J1087" s="6">
        <v>1</v>
      </c>
      <c r="K1087" s="6">
        <v>272025</v>
      </c>
      <c r="L1087" s="7" t="s">
        <v>2253</v>
      </c>
      <c r="M1087" s="8">
        <v>1200999</v>
      </c>
      <c r="N1087" s="8" t="str">
        <f t="shared" si="81"/>
        <v>PEN</v>
      </c>
      <c r="O1087" s="13"/>
      <c r="P1087" s="13">
        <v>394</v>
      </c>
      <c r="Q1087" s="3">
        <f t="shared" si="82"/>
        <v>0</v>
      </c>
      <c r="R1087" s="3">
        <f t="shared" si="83"/>
        <v>394</v>
      </c>
      <c r="S1087" s="3">
        <f t="shared" si="84"/>
        <v>33646.84000000004</v>
      </c>
      <c r="T1087" s="24" t="s">
        <v>1081</v>
      </c>
      <c r="U1087" s="24" t="s">
        <v>1081</v>
      </c>
      <c r="V1087" s="67"/>
      <c r="W1087" s="25">
        <f>IFERROR(VLOOKUP(BCP_Soles[[#This Row],[DESTINATARIO]],CHOOSE({1,2},Clientes_Proveedores[Razon Social],Clientes_Proveedores[Ruc / Dni]),2,0),"")</f>
        <v>70666331</v>
      </c>
      <c r="X1087" s="25"/>
      <c r="Y1087" s="25"/>
      <c r="Z1087" s="25"/>
      <c r="AA1087" s="99"/>
      <c r="AB1087" s="3" t="str">
        <f>IF(BCP_Soles[[#This Row],[FECHA]]&gt;0,TEXT(BCP_Soles[[#This Row],[FECHA]],"mmmm"),0)</f>
        <v>Abril</v>
      </c>
    </row>
    <row r="1088" spans="2:28" ht="24" x14ac:dyDescent="0.3">
      <c r="B1088" s="2">
        <f>IF(BCP_Soles[[#This Row],[TIPO DE R.]]="R",COUNTIFS($D$4:$D1087,"R")+1,"")</f>
        <v>856</v>
      </c>
      <c r="C1088" s="19" t="str">
        <f t="shared" si="80"/>
        <v>B-BCP - Soles</v>
      </c>
      <c r="D1088" s="3" t="s">
        <v>1074</v>
      </c>
      <c r="E1088" s="14">
        <v>45749</v>
      </c>
      <c r="F1088" s="5" t="s">
        <v>1082</v>
      </c>
      <c r="G1088" s="5" t="s">
        <v>1079</v>
      </c>
      <c r="H1088" s="6" t="s">
        <v>768</v>
      </c>
      <c r="I1088" s="6" t="s">
        <v>87</v>
      </c>
      <c r="J1088" s="6">
        <v>1</v>
      </c>
      <c r="K1088" s="6">
        <v>262025</v>
      </c>
      <c r="L1088" s="7" t="s">
        <v>2254</v>
      </c>
      <c r="M1088" s="8">
        <v>1202947</v>
      </c>
      <c r="N1088" s="8" t="str">
        <f t="shared" si="81"/>
        <v>PEN</v>
      </c>
      <c r="O1088" s="13"/>
      <c r="P1088" s="13">
        <v>748</v>
      </c>
      <c r="Q1088" s="3">
        <f t="shared" si="82"/>
        <v>0</v>
      </c>
      <c r="R1088" s="3">
        <f t="shared" si="83"/>
        <v>748</v>
      </c>
      <c r="S1088" s="3">
        <f t="shared" si="84"/>
        <v>32898.84000000004</v>
      </c>
      <c r="T1088" s="24" t="s">
        <v>1081</v>
      </c>
      <c r="U1088" s="24" t="s">
        <v>1081</v>
      </c>
      <c r="V1088" s="67"/>
      <c r="W1088" s="25">
        <f>IFERROR(VLOOKUP(BCP_Soles[[#This Row],[DESTINATARIO]],CHOOSE({1,2},Clientes_Proveedores[Razon Social],Clientes_Proveedores[Ruc / Dni]),2,0),"")</f>
        <v>74600892</v>
      </c>
      <c r="X1088" s="25"/>
      <c r="Y1088" s="25"/>
      <c r="Z1088" s="25"/>
      <c r="AA1088" s="99"/>
      <c r="AB1088" s="3" t="str">
        <f>IF(BCP_Soles[[#This Row],[FECHA]]&gt;0,TEXT(BCP_Soles[[#This Row],[FECHA]],"mmmm"),0)</f>
        <v>Abril</v>
      </c>
    </row>
    <row r="1089" spans="2:28" ht="24" x14ac:dyDescent="0.3">
      <c r="B1089" s="2">
        <f>IF(BCP_Soles[[#This Row],[TIPO DE R.]]="R",COUNTIFS($D$4:$D1088,"R")+1,"")</f>
        <v>857</v>
      </c>
      <c r="C1089" s="19" t="str">
        <f t="shared" si="80"/>
        <v>B-BCP - Soles</v>
      </c>
      <c r="D1089" s="3" t="s">
        <v>1074</v>
      </c>
      <c r="E1089" s="14">
        <v>45749</v>
      </c>
      <c r="F1089" s="5" t="s">
        <v>1082</v>
      </c>
      <c r="G1089" s="5" t="s">
        <v>1079</v>
      </c>
      <c r="H1089" s="6" t="s">
        <v>600</v>
      </c>
      <c r="I1089" s="6" t="s">
        <v>14</v>
      </c>
      <c r="J1089" s="6" t="s">
        <v>1121</v>
      </c>
      <c r="K1089" s="6">
        <v>30</v>
      </c>
      <c r="L1089" s="7" t="s">
        <v>2255</v>
      </c>
      <c r="M1089" s="8">
        <v>1201989</v>
      </c>
      <c r="N1089" s="8" t="str">
        <f t="shared" si="81"/>
        <v>PEN</v>
      </c>
      <c r="O1089" s="13"/>
      <c r="P1089" s="13">
        <v>832</v>
      </c>
      <c r="Q1089" s="3">
        <f t="shared" si="82"/>
        <v>0</v>
      </c>
      <c r="R1089" s="3">
        <f t="shared" si="83"/>
        <v>832</v>
      </c>
      <c r="S1089" s="3">
        <f t="shared" si="84"/>
        <v>32066.84000000004</v>
      </c>
      <c r="T1089" s="24" t="s">
        <v>1081</v>
      </c>
      <c r="U1089" s="24" t="s">
        <v>1081</v>
      </c>
      <c r="V1089" s="67"/>
      <c r="W1089" s="25">
        <f>IFERROR(VLOOKUP(BCP_Soles[[#This Row],[DESTINATARIO]],CHOOSE({1,2},Clientes_Proveedores[Razon Social],Clientes_Proveedores[Ruc / Dni]),2,0),"")</f>
        <v>15609125303</v>
      </c>
      <c r="X1089" s="25" t="s">
        <v>600</v>
      </c>
      <c r="Y1089" s="25" t="s">
        <v>1805</v>
      </c>
      <c r="Z1089" s="25"/>
      <c r="AA1089" s="99"/>
      <c r="AB1089" s="3" t="str">
        <f>IF(BCP_Soles[[#This Row],[FECHA]]&gt;0,TEXT(BCP_Soles[[#This Row],[FECHA]],"mmmm"),0)</f>
        <v>Abril</v>
      </c>
    </row>
    <row r="1090" spans="2:28" x14ac:dyDescent="0.3">
      <c r="B1090" s="2">
        <f>IF(BCP_Soles[[#This Row],[TIPO DE R.]]="R",COUNTIFS($D$4:$D1089,"R")+1,"")</f>
        <v>858</v>
      </c>
      <c r="C1090" s="19" t="str">
        <f t="shared" si="80"/>
        <v>B-BCP - Soles</v>
      </c>
      <c r="D1090" s="3" t="s">
        <v>1074</v>
      </c>
      <c r="E1090" s="14">
        <v>45749</v>
      </c>
      <c r="F1090" s="5" t="s">
        <v>1996</v>
      </c>
      <c r="G1090" s="5" t="s">
        <v>1079</v>
      </c>
      <c r="H1090" s="6" t="s">
        <v>637</v>
      </c>
      <c r="I1090" s="6" t="s">
        <v>14</v>
      </c>
      <c r="J1090" s="6" t="s">
        <v>1453</v>
      </c>
      <c r="K1090" s="6">
        <v>133436</v>
      </c>
      <c r="L1090" s="7" t="s">
        <v>1123</v>
      </c>
      <c r="M1090" s="8">
        <v>105234</v>
      </c>
      <c r="N1090" s="8" t="str">
        <f t="shared" si="81"/>
        <v>PEN</v>
      </c>
      <c r="O1090" s="13"/>
      <c r="P1090" s="13">
        <v>1667.77</v>
      </c>
      <c r="Q1090" s="3">
        <f t="shared" si="82"/>
        <v>0</v>
      </c>
      <c r="R1090" s="3">
        <f t="shared" si="83"/>
        <v>1667.77</v>
      </c>
      <c r="S1090" s="3">
        <f t="shared" si="84"/>
        <v>30399.07000000004</v>
      </c>
      <c r="T1090" s="24" t="s">
        <v>1081</v>
      </c>
      <c r="U1090" s="24" t="s">
        <v>1081</v>
      </c>
      <c r="V1090" s="67"/>
      <c r="W1090" s="25">
        <f>IFERROR(VLOOKUP(BCP_Soles[[#This Row],[DESTINATARIO]],CHOOSE({1,2},Clientes_Proveedores[Razon Social],Clientes_Proveedores[Ruc / Dni]),2,0),"")</f>
        <v>20127765279</v>
      </c>
      <c r="X1090" s="25" t="s">
        <v>1124</v>
      </c>
      <c r="Y1090" s="25" t="s">
        <v>2256</v>
      </c>
      <c r="Z1090" s="25"/>
      <c r="AA1090" s="99"/>
      <c r="AB1090" s="3" t="str">
        <f>IF(BCP_Soles[[#This Row],[FECHA]]&gt;0,TEXT(BCP_Soles[[#This Row],[FECHA]],"mmmm"),0)</f>
        <v>Abril</v>
      </c>
    </row>
    <row r="1091" spans="2:28" x14ac:dyDescent="0.3">
      <c r="B1091" s="2">
        <f>IF(BCP_Soles[[#This Row],[TIPO DE R.]]="R",COUNTIFS($D$4:$D1090,"R")+1,"")</f>
        <v>859</v>
      </c>
      <c r="C1091" s="19" t="str">
        <f t="shared" si="80"/>
        <v>B-BCP - Soles</v>
      </c>
      <c r="D1091" s="3" t="s">
        <v>1074</v>
      </c>
      <c r="E1091" s="14">
        <v>45749</v>
      </c>
      <c r="F1091" s="5" t="s">
        <v>1996</v>
      </c>
      <c r="G1091" s="5" t="s">
        <v>1079</v>
      </c>
      <c r="H1091" s="6" t="s">
        <v>637</v>
      </c>
      <c r="I1091" s="6" t="s">
        <v>14</v>
      </c>
      <c r="J1091" s="6" t="s">
        <v>1453</v>
      </c>
      <c r="K1091" s="6">
        <v>133442</v>
      </c>
      <c r="L1091" s="7" t="s">
        <v>1123</v>
      </c>
      <c r="M1091" s="8">
        <v>105719</v>
      </c>
      <c r="N1091" s="8" t="str">
        <f t="shared" si="81"/>
        <v>PEN</v>
      </c>
      <c r="O1091" s="13"/>
      <c r="P1091" s="13">
        <v>2661.37</v>
      </c>
      <c r="Q1091" s="3">
        <f t="shared" si="82"/>
        <v>0</v>
      </c>
      <c r="R1091" s="3">
        <f t="shared" si="83"/>
        <v>2661.37</v>
      </c>
      <c r="S1091" s="3">
        <f t="shared" si="84"/>
        <v>27737.700000000041</v>
      </c>
      <c r="T1091" s="24" t="s">
        <v>1081</v>
      </c>
      <c r="U1091" s="24" t="s">
        <v>1081</v>
      </c>
      <c r="V1091" s="67"/>
      <c r="W1091" s="25">
        <f>IFERROR(VLOOKUP(BCP_Soles[[#This Row],[DESTINATARIO]],CHOOSE({1,2},Clientes_Proveedores[Razon Social],Clientes_Proveedores[Ruc / Dni]),2,0),"")</f>
        <v>20127765279</v>
      </c>
      <c r="X1091" s="25" t="s">
        <v>1124</v>
      </c>
      <c r="Y1091" s="25" t="s">
        <v>2257</v>
      </c>
      <c r="Z1091" s="25"/>
      <c r="AA1091" s="99"/>
      <c r="AB1091" s="3" t="str">
        <f>IF(BCP_Soles[[#This Row],[FECHA]]&gt;0,TEXT(BCP_Soles[[#This Row],[FECHA]],"mmmm"),0)</f>
        <v>Abril</v>
      </c>
    </row>
    <row r="1092" spans="2:28" ht="24" x14ac:dyDescent="0.3">
      <c r="B1092" s="2">
        <f>IF(BCP_Soles[[#This Row],[TIPO DE R.]]="R",COUNTIFS($D$4:$D1091,"R")+1,"")</f>
        <v>860</v>
      </c>
      <c r="C1092" s="19" t="str">
        <f t="shared" si="80"/>
        <v>B-BCP - Soles</v>
      </c>
      <c r="D1092" s="3" t="s">
        <v>1074</v>
      </c>
      <c r="E1092" s="14">
        <v>45750</v>
      </c>
      <c r="F1092" s="5" t="s">
        <v>479</v>
      </c>
      <c r="G1092" s="5" t="s">
        <v>1087</v>
      </c>
      <c r="H1092" s="6"/>
      <c r="I1092" s="6"/>
      <c r="J1092" s="6"/>
      <c r="K1092" s="6"/>
      <c r="L1092" s="7" t="s">
        <v>1100</v>
      </c>
      <c r="M1092" s="8">
        <v>3242070</v>
      </c>
      <c r="N1092" s="8" t="str">
        <f t="shared" si="81"/>
        <v>PEN</v>
      </c>
      <c r="O1092" s="13"/>
      <c r="P1092" s="13">
        <v>1606.5</v>
      </c>
      <c r="Q1092" s="3">
        <f t="shared" si="82"/>
        <v>1606.5</v>
      </c>
      <c r="R1092" s="3">
        <f t="shared" si="83"/>
        <v>0</v>
      </c>
      <c r="S1092" s="3">
        <f t="shared" si="84"/>
        <v>29344.200000000041</v>
      </c>
      <c r="T1092" s="24" t="s">
        <v>1081</v>
      </c>
      <c r="U1092" s="24" t="s">
        <v>1081</v>
      </c>
      <c r="V1092" s="67"/>
      <c r="W1092" s="25" t="str">
        <f>IFERROR(VLOOKUP(BCP_Soles[[#This Row],[DESTINATARIO]],CHOOSE({1,2},Clientes_Proveedores[Razon Social],Clientes_Proveedores[Ruc / Dni]),2,0),"")</f>
        <v/>
      </c>
      <c r="X1092" s="25" t="s">
        <v>1090</v>
      </c>
      <c r="Y1092" s="25" t="s">
        <v>2258</v>
      </c>
      <c r="Z1092" s="25"/>
      <c r="AA1092" s="99"/>
      <c r="AB1092" s="3" t="str">
        <f>IF(BCP_Soles[[#This Row],[FECHA]]&gt;0,TEXT(BCP_Soles[[#This Row],[FECHA]],"mmmm"),0)</f>
        <v>Abril</v>
      </c>
    </row>
    <row r="1093" spans="2:28" ht="24" x14ac:dyDescent="0.3">
      <c r="B1093" s="2">
        <f>IF(BCP_Soles[[#This Row],[TIPO DE R.]]="R",COUNTIFS($D$4:$D1092,"R")+1,"")</f>
        <v>861</v>
      </c>
      <c r="C1093" s="19" t="str">
        <f t="shared" ref="C1093:C1156" si="85">"B-BCP - Soles"</f>
        <v>B-BCP - Soles</v>
      </c>
      <c r="D1093" s="3" t="s">
        <v>1074</v>
      </c>
      <c r="E1093" s="14">
        <v>45750</v>
      </c>
      <c r="F1093" s="5" t="s">
        <v>147</v>
      </c>
      <c r="G1093" s="5" t="s">
        <v>1087</v>
      </c>
      <c r="H1093" s="6"/>
      <c r="I1093" s="6"/>
      <c r="J1093" s="6"/>
      <c r="K1093" s="6"/>
      <c r="L1093" s="7" t="s">
        <v>2259</v>
      </c>
      <c r="M1093" s="8">
        <v>532846</v>
      </c>
      <c r="N1093" s="8" t="str">
        <f t="shared" ref="N1093:N1156" si="86">"PEN"</f>
        <v>PEN</v>
      </c>
      <c r="O1093" s="13"/>
      <c r="P1093" s="13">
        <v>1007.25</v>
      </c>
      <c r="Q1093" s="3">
        <f t="shared" ref="Q1093:Q1156" si="87">+IF(OR($G1093="SALDO",$G1093="INGRESO"),$P1093,0)</f>
        <v>1007.25</v>
      </c>
      <c r="R1093" s="3">
        <f t="shared" ref="R1093:R1156" si="88">+IF($G1093="EGRESO",$P1093,0)</f>
        <v>0</v>
      </c>
      <c r="S1093" s="3">
        <f t="shared" ref="S1093:S1156" si="89">IFERROR(IF(G1093="SALDO",Q1093,S1092+Q1093-R1093),0)</f>
        <v>30351.450000000041</v>
      </c>
      <c r="T1093" s="24" t="s">
        <v>1081</v>
      </c>
      <c r="U1093" s="24" t="s">
        <v>1081</v>
      </c>
      <c r="V1093" s="67"/>
      <c r="W1093" s="25" t="str">
        <f>IFERROR(VLOOKUP(BCP_Soles[[#This Row],[DESTINATARIO]],CHOOSE({1,2},Clientes_Proveedores[Razon Social],Clientes_Proveedores[Ruc / Dni]),2,0),"")</f>
        <v/>
      </c>
      <c r="X1093" s="25" t="s">
        <v>1090</v>
      </c>
      <c r="Y1093" s="25" t="s">
        <v>2260</v>
      </c>
      <c r="Z1093" s="25"/>
      <c r="AA1093" s="99"/>
      <c r="AB1093" s="3" t="str">
        <f>IF(BCP_Soles[[#This Row],[FECHA]]&gt;0,TEXT(BCP_Soles[[#This Row],[FECHA]],"mmmm"),0)</f>
        <v>Abril</v>
      </c>
    </row>
    <row r="1094" spans="2:28" x14ac:dyDescent="0.3">
      <c r="B1094" s="2">
        <f>IF(BCP_Soles[[#This Row],[TIPO DE R.]]="R",COUNTIFS($D$4:$D1093,"R")+1,"")</f>
        <v>862</v>
      </c>
      <c r="C1094" s="19" t="str">
        <f t="shared" si="85"/>
        <v>B-BCP - Soles</v>
      </c>
      <c r="D1094" s="3" t="s">
        <v>1074</v>
      </c>
      <c r="E1094" s="14">
        <v>45750</v>
      </c>
      <c r="F1094" s="5"/>
      <c r="G1094" s="5" t="s">
        <v>1087</v>
      </c>
      <c r="H1094" s="6"/>
      <c r="I1094" s="6"/>
      <c r="J1094" s="6"/>
      <c r="K1094" s="6"/>
      <c r="L1094" s="7" t="s">
        <v>1100</v>
      </c>
      <c r="M1094" s="8">
        <v>3479204</v>
      </c>
      <c r="N1094" s="8" t="str">
        <f t="shared" si="86"/>
        <v>PEN</v>
      </c>
      <c r="O1094" s="13"/>
      <c r="P1094" s="13">
        <v>688</v>
      </c>
      <c r="Q1094" s="3">
        <f t="shared" si="87"/>
        <v>688</v>
      </c>
      <c r="R1094" s="3">
        <f t="shared" si="88"/>
        <v>0</v>
      </c>
      <c r="S1094" s="3">
        <f t="shared" si="89"/>
        <v>31039.450000000041</v>
      </c>
      <c r="T1094" s="24" t="s">
        <v>1081</v>
      </c>
      <c r="U1094" s="24" t="s">
        <v>1081</v>
      </c>
      <c r="V1094" s="67"/>
      <c r="W1094" s="25" t="str">
        <f>IFERROR(VLOOKUP(BCP_Soles[[#This Row],[DESTINATARIO]],CHOOSE({1,2},Clientes_Proveedores[Razon Social],Clientes_Proveedores[Ruc / Dni]),2,0),"")</f>
        <v/>
      </c>
      <c r="X1094" s="25" t="s">
        <v>1090</v>
      </c>
      <c r="Y1094" s="25"/>
      <c r="Z1094" s="25"/>
      <c r="AA1094" s="99"/>
      <c r="AB1094" s="3" t="str">
        <f>IF(BCP_Soles[[#This Row],[FECHA]]&gt;0,TEXT(BCP_Soles[[#This Row],[FECHA]],"mmmm"),0)</f>
        <v>Abril</v>
      </c>
    </row>
    <row r="1095" spans="2:28" ht="24" x14ac:dyDescent="0.3">
      <c r="B1095" s="2" t="str">
        <f>IF(BCP_Soles[[#This Row],[TIPO DE R.]]="R",COUNTIFS($D$4:$D1094,"R")+1,"")</f>
        <v/>
      </c>
      <c r="C1095" s="19" t="str">
        <f t="shared" si="85"/>
        <v>B-BCP - Soles</v>
      </c>
      <c r="D1095" s="3" t="s">
        <v>1101</v>
      </c>
      <c r="E1095" s="14">
        <v>45750</v>
      </c>
      <c r="F1095" s="5" t="s">
        <v>479</v>
      </c>
      <c r="G1095" s="5"/>
      <c r="H1095" s="6"/>
      <c r="I1095" s="6"/>
      <c r="J1095" s="6"/>
      <c r="K1095" s="6"/>
      <c r="L1095" s="7" t="s">
        <v>1100</v>
      </c>
      <c r="M1095" s="8">
        <v>3479204</v>
      </c>
      <c r="N1095" s="8" t="str">
        <f t="shared" si="86"/>
        <v>PEN</v>
      </c>
      <c r="O1095" s="13"/>
      <c r="P1095" s="13">
        <v>664</v>
      </c>
      <c r="Q1095" s="3">
        <f t="shared" si="87"/>
        <v>0</v>
      </c>
      <c r="R1095" s="3">
        <f t="shared" si="88"/>
        <v>0</v>
      </c>
      <c r="S1095" s="3">
        <f t="shared" si="89"/>
        <v>31039.450000000041</v>
      </c>
      <c r="T1095" s="24" t="s">
        <v>1081</v>
      </c>
      <c r="U1095" s="24" t="s">
        <v>1081</v>
      </c>
      <c r="V1095" s="67"/>
      <c r="W1095" s="25" t="str">
        <f>IFERROR(VLOOKUP(BCP_Soles[[#This Row],[DESTINATARIO]],CHOOSE({1,2},Clientes_Proveedores[Razon Social],Clientes_Proveedores[Ruc / Dni]),2,0),"")</f>
        <v/>
      </c>
      <c r="X1095" s="25" t="s">
        <v>1090</v>
      </c>
      <c r="Y1095" s="25" t="s">
        <v>2261</v>
      </c>
      <c r="Z1095" s="25"/>
      <c r="AA1095" s="99"/>
      <c r="AB1095" s="3" t="str">
        <f>IF(BCP_Soles[[#This Row],[FECHA]]&gt;0,TEXT(BCP_Soles[[#This Row],[FECHA]],"mmmm"),0)</f>
        <v>Abril</v>
      </c>
    </row>
    <row r="1096" spans="2:28" ht="24" x14ac:dyDescent="0.3">
      <c r="B1096" s="2" t="str">
        <f>IF(BCP_Soles[[#This Row],[TIPO DE R.]]="R",COUNTIFS($D$4:$D1095,"R")+1,"")</f>
        <v/>
      </c>
      <c r="C1096" s="19" t="str">
        <f t="shared" si="85"/>
        <v>B-BCP - Soles</v>
      </c>
      <c r="D1096" s="3" t="s">
        <v>1101</v>
      </c>
      <c r="E1096" s="14">
        <v>45750</v>
      </c>
      <c r="F1096" s="5" t="s">
        <v>479</v>
      </c>
      <c r="G1096" s="5"/>
      <c r="H1096" s="6"/>
      <c r="I1096" s="6"/>
      <c r="J1096" s="6"/>
      <c r="K1096" s="6"/>
      <c r="L1096" s="7" t="s">
        <v>1100</v>
      </c>
      <c r="M1096" s="8">
        <v>3479204</v>
      </c>
      <c r="N1096" s="8" t="str">
        <f t="shared" si="86"/>
        <v>PEN</v>
      </c>
      <c r="O1096" s="13"/>
      <c r="P1096" s="13">
        <v>24</v>
      </c>
      <c r="Q1096" s="3">
        <f t="shared" si="87"/>
        <v>0</v>
      </c>
      <c r="R1096" s="3">
        <f t="shared" si="88"/>
        <v>0</v>
      </c>
      <c r="S1096" s="3">
        <f t="shared" si="89"/>
        <v>31039.450000000041</v>
      </c>
      <c r="T1096" s="24" t="s">
        <v>1081</v>
      </c>
      <c r="U1096" s="24" t="s">
        <v>1081</v>
      </c>
      <c r="V1096" s="67"/>
      <c r="W1096" s="25" t="str">
        <f>IFERROR(VLOOKUP(BCP_Soles[[#This Row],[DESTINATARIO]],CHOOSE({1,2},Clientes_Proveedores[Razon Social],Clientes_Proveedores[Ruc / Dni]),2,0),"")</f>
        <v/>
      </c>
      <c r="X1096" s="25" t="s">
        <v>1090</v>
      </c>
      <c r="Y1096" s="25" t="s">
        <v>2262</v>
      </c>
      <c r="Z1096" s="25"/>
      <c r="AA1096" s="99"/>
      <c r="AB1096" s="3" t="str">
        <f>IF(BCP_Soles[[#This Row],[FECHA]]&gt;0,TEXT(BCP_Soles[[#This Row],[FECHA]],"mmmm"),0)</f>
        <v>Abril</v>
      </c>
    </row>
    <row r="1097" spans="2:28" ht="24" x14ac:dyDescent="0.3">
      <c r="B1097" s="2">
        <f>IF(BCP_Soles[[#This Row],[TIPO DE R.]]="R",COUNTIFS($D$4:$D1096,"R")+1,"")</f>
        <v>863</v>
      </c>
      <c r="C1097" s="19" t="str">
        <f t="shared" si="85"/>
        <v>B-BCP - Soles</v>
      </c>
      <c r="D1097" s="3" t="s">
        <v>1074</v>
      </c>
      <c r="E1097" s="14">
        <v>45750</v>
      </c>
      <c r="F1097" s="5" t="s">
        <v>1745</v>
      </c>
      <c r="G1097" s="5" t="s">
        <v>1087</v>
      </c>
      <c r="H1097" s="6"/>
      <c r="I1097" s="6"/>
      <c r="J1097" s="6"/>
      <c r="K1097" s="6"/>
      <c r="L1097" s="7" t="s">
        <v>1100</v>
      </c>
      <c r="M1097" s="8">
        <v>2063162</v>
      </c>
      <c r="N1097" s="8" t="str">
        <f t="shared" si="86"/>
        <v>PEN</v>
      </c>
      <c r="O1097" s="13"/>
      <c r="P1097" s="13">
        <v>450</v>
      </c>
      <c r="Q1097" s="3">
        <f t="shared" si="87"/>
        <v>450</v>
      </c>
      <c r="R1097" s="3">
        <f t="shared" si="88"/>
        <v>0</v>
      </c>
      <c r="S1097" s="3">
        <f t="shared" si="89"/>
        <v>31489.450000000041</v>
      </c>
      <c r="T1097" s="24" t="s">
        <v>1081</v>
      </c>
      <c r="U1097" s="24" t="s">
        <v>1081</v>
      </c>
      <c r="V1097" s="67"/>
      <c r="W1097" s="25" t="str">
        <f>IFERROR(VLOOKUP(BCP_Soles[[#This Row],[DESTINATARIO]],CHOOSE({1,2},Clientes_Proveedores[Razon Social],Clientes_Proveedores[Ruc / Dni]),2,0),"")</f>
        <v/>
      </c>
      <c r="X1097" s="25" t="s">
        <v>1090</v>
      </c>
      <c r="Y1097" s="25" t="s">
        <v>2247</v>
      </c>
      <c r="Z1097" s="25"/>
      <c r="AA1097" s="99"/>
      <c r="AB1097" s="3" t="str">
        <f>IF(BCP_Soles[[#This Row],[FECHA]]&gt;0,TEXT(BCP_Soles[[#This Row],[FECHA]],"mmmm"),0)</f>
        <v>Abril</v>
      </c>
    </row>
    <row r="1098" spans="2:28" x14ac:dyDescent="0.3">
      <c r="B1098" s="2">
        <f>IF(BCP_Soles[[#This Row],[TIPO DE R.]]="R",COUNTIFS($D$4:$D1097,"R")+1,"")</f>
        <v>864</v>
      </c>
      <c r="C1098" s="19" t="str">
        <f t="shared" si="85"/>
        <v>B-BCP - Soles</v>
      </c>
      <c r="D1098" s="3" t="s">
        <v>1074</v>
      </c>
      <c r="E1098" s="14">
        <v>45750</v>
      </c>
      <c r="F1098" s="5" t="s">
        <v>1078</v>
      </c>
      <c r="G1098" s="5" t="s">
        <v>1079</v>
      </c>
      <c r="H1098" s="6"/>
      <c r="I1098" s="6"/>
      <c r="J1098" s="6"/>
      <c r="K1098" s="6"/>
      <c r="L1098" s="7" t="s">
        <v>1080</v>
      </c>
      <c r="M1098" s="8"/>
      <c r="N1098" s="8" t="str">
        <f t="shared" si="86"/>
        <v>PEN</v>
      </c>
      <c r="O1098" s="13"/>
      <c r="P1098" s="13">
        <v>0.45</v>
      </c>
      <c r="Q1098" s="3">
        <f t="shared" si="87"/>
        <v>0</v>
      </c>
      <c r="R1098" s="3">
        <f t="shared" si="88"/>
        <v>0.45</v>
      </c>
      <c r="S1098" s="3">
        <f t="shared" si="89"/>
        <v>31489.00000000004</v>
      </c>
      <c r="T1098" s="24"/>
      <c r="U1098" s="24" t="s">
        <v>1081</v>
      </c>
      <c r="V1098" s="67"/>
      <c r="W1098" s="25" t="str">
        <f>IFERROR(VLOOKUP(BCP_Soles[[#This Row],[DESTINATARIO]],CHOOSE({1,2},Clientes_Proveedores[Razon Social],Clientes_Proveedores[Ruc / Dni]),2,0),"")</f>
        <v/>
      </c>
      <c r="X1098" s="25"/>
      <c r="Y1098" s="25"/>
      <c r="Z1098" s="25"/>
      <c r="AA1098" s="99"/>
      <c r="AB1098" s="3" t="str">
        <f>IF(BCP_Soles[[#This Row],[FECHA]]&gt;0,TEXT(BCP_Soles[[#This Row],[FECHA]],"mmmm"),0)</f>
        <v>Abril</v>
      </c>
    </row>
    <row r="1099" spans="2:28" ht="24" x14ac:dyDescent="0.3">
      <c r="B1099" s="2">
        <f>IF(BCP_Soles[[#This Row],[TIPO DE R.]]="R",COUNTIFS($D$4:$D1098,"R")+1,"")</f>
        <v>865</v>
      </c>
      <c r="C1099" s="19" t="str">
        <f t="shared" si="85"/>
        <v>B-BCP - Soles</v>
      </c>
      <c r="D1099" s="3" t="s">
        <v>1074</v>
      </c>
      <c r="E1099" s="14">
        <v>45750</v>
      </c>
      <c r="F1099" s="5" t="s">
        <v>1078</v>
      </c>
      <c r="G1099" s="5" t="s">
        <v>1079</v>
      </c>
      <c r="H1099" s="6" t="s">
        <v>1001</v>
      </c>
      <c r="I1099" s="6"/>
      <c r="J1099" s="6"/>
      <c r="K1099" s="6"/>
      <c r="L1099" s="7" t="s">
        <v>2263</v>
      </c>
      <c r="M1099" s="8">
        <v>598526</v>
      </c>
      <c r="N1099" s="8" t="str">
        <f t="shared" si="86"/>
        <v>PEN</v>
      </c>
      <c r="O1099" s="13"/>
      <c r="P1099" s="13">
        <v>5</v>
      </c>
      <c r="Q1099" s="3">
        <f t="shared" si="87"/>
        <v>0</v>
      </c>
      <c r="R1099" s="3">
        <f t="shared" si="88"/>
        <v>5</v>
      </c>
      <c r="S1099" s="3">
        <f t="shared" si="89"/>
        <v>31484.00000000004</v>
      </c>
      <c r="T1099" s="24"/>
      <c r="U1099" s="24"/>
      <c r="V1099" s="67"/>
      <c r="W1099" s="25">
        <f>IFERROR(VLOOKUP(BCP_Soles[[#This Row],[DESTINATARIO]],CHOOSE({1,2},Clientes_Proveedores[Razon Social],Clientes_Proveedores[Ruc / Dni]),2,0),"")</f>
        <v>20100047218</v>
      </c>
      <c r="X1099" s="25" t="s">
        <v>1078</v>
      </c>
      <c r="Y1099" s="25"/>
      <c r="Z1099" s="25"/>
      <c r="AA1099" s="99"/>
      <c r="AB1099" s="3" t="str">
        <f>IF(BCP_Soles[[#This Row],[FECHA]]&gt;0,TEXT(BCP_Soles[[#This Row],[FECHA]],"mmmm"),0)</f>
        <v>Abril</v>
      </c>
    </row>
    <row r="1100" spans="2:28" x14ac:dyDescent="0.3">
      <c r="B1100" s="2">
        <f>IF(BCP_Soles[[#This Row],[TIPO DE R.]]="R",COUNTIFS($D$4:$D1099,"R")+1,"")</f>
        <v>866</v>
      </c>
      <c r="C1100" s="19" t="str">
        <f t="shared" si="85"/>
        <v>B-BCP - Soles</v>
      </c>
      <c r="D1100" s="3" t="s">
        <v>1074</v>
      </c>
      <c r="E1100" s="14">
        <v>45750</v>
      </c>
      <c r="F1100" s="5" t="s">
        <v>1996</v>
      </c>
      <c r="G1100" s="5" t="s">
        <v>1079</v>
      </c>
      <c r="H1100" s="6" t="s">
        <v>139</v>
      </c>
      <c r="I1100" s="6" t="s">
        <v>14</v>
      </c>
      <c r="J1100" s="6" t="s">
        <v>1953</v>
      </c>
      <c r="K1100" s="6">
        <v>6180</v>
      </c>
      <c r="L1100" s="7" t="s">
        <v>1954</v>
      </c>
      <c r="M1100" s="8">
        <v>231552</v>
      </c>
      <c r="N1100" s="8" t="str">
        <f t="shared" si="86"/>
        <v>PEN</v>
      </c>
      <c r="O1100" s="13"/>
      <c r="P1100" s="13">
        <v>45.1</v>
      </c>
      <c r="Q1100" s="3">
        <f t="shared" si="87"/>
        <v>0</v>
      </c>
      <c r="R1100" s="3">
        <f t="shared" si="88"/>
        <v>45.1</v>
      </c>
      <c r="S1100" s="3">
        <f t="shared" si="89"/>
        <v>31438.900000000041</v>
      </c>
      <c r="T1100" s="24" t="s">
        <v>1081</v>
      </c>
      <c r="U1100" s="24" t="s">
        <v>1081</v>
      </c>
      <c r="V1100" s="67"/>
      <c r="W1100" s="25">
        <f>IFERROR(VLOOKUP(BCP_Soles[[#This Row],[DESTINATARIO]],CHOOSE({1,2},Clientes_Proveedores[Razon Social],Clientes_Proveedores[Ruc / Dni]),2,0),"")</f>
        <v>20100055237</v>
      </c>
      <c r="X1100" s="25" t="s">
        <v>1955</v>
      </c>
      <c r="Y1100" s="25" t="s">
        <v>2264</v>
      </c>
      <c r="Z1100" s="25"/>
      <c r="AA1100" s="99"/>
      <c r="AB1100" s="3" t="str">
        <f>IF(BCP_Soles[[#This Row],[FECHA]]&gt;0,TEXT(BCP_Soles[[#This Row],[FECHA]],"mmmm"),0)</f>
        <v>Abril</v>
      </c>
    </row>
    <row r="1101" spans="2:28" ht="36" x14ac:dyDescent="0.3">
      <c r="B1101" s="2">
        <f>IF(BCP_Soles[[#This Row],[TIPO DE R.]]="R",COUNTIFS($D$4:$D1100,"R")+1,"")</f>
        <v>867</v>
      </c>
      <c r="C1101" s="19" t="str">
        <f t="shared" si="85"/>
        <v>B-BCP - Soles</v>
      </c>
      <c r="D1101" s="3" t="s">
        <v>1074</v>
      </c>
      <c r="E1101" s="14">
        <v>45750</v>
      </c>
      <c r="F1101" s="5" t="s">
        <v>1996</v>
      </c>
      <c r="G1101" s="5" t="s">
        <v>1079</v>
      </c>
      <c r="H1101" s="6" t="s">
        <v>530</v>
      </c>
      <c r="I1101" s="6" t="s">
        <v>14</v>
      </c>
      <c r="J1101" s="6" t="s">
        <v>1121</v>
      </c>
      <c r="K1101" s="6">
        <v>380</v>
      </c>
      <c r="L1101" s="7" t="s">
        <v>2265</v>
      </c>
      <c r="M1101" s="8">
        <v>1228590</v>
      </c>
      <c r="N1101" s="8" t="str">
        <f t="shared" si="86"/>
        <v>PEN</v>
      </c>
      <c r="O1101" s="13"/>
      <c r="P1101" s="13">
        <v>94.28</v>
      </c>
      <c r="Q1101" s="3">
        <f t="shared" si="87"/>
        <v>0</v>
      </c>
      <c r="R1101" s="3">
        <f t="shared" si="88"/>
        <v>94.28</v>
      </c>
      <c r="S1101" s="3">
        <f t="shared" si="89"/>
        <v>31344.620000000043</v>
      </c>
      <c r="T1101" s="24" t="s">
        <v>1081</v>
      </c>
      <c r="U1101" s="24" t="s">
        <v>1081</v>
      </c>
      <c r="V1101" s="67"/>
      <c r="W1101" s="25">
        <f>IFERROR(VLOOKUP(BCP_Soles[[#This Row],[DESTINATARIO]],CHOOSE({1,2},Clientes_Proveedores[Razon Social],Clientes_Proveedores[Ruc / Dni]),2,0),"")</f>
        <v>20609368773</v>
      </c>
      <c r="X1101" s="25" t="s">
        <v>1181</v>
      </c>
      <c r="Y1101" s="25" t="s">
        <v>2266</v>
      </c>
      <c r="Z1101" s="25"/>
      <c r="AA1101" s="99"/>
      <c r="AB1101" s="3" t="str">
        <f>IF(BCP_Soles[[#This Row],[FECHA]]&gt;0,TEXT(BCP_Soles[[#This Row],[FECHA]],"mmmm"),0)</f>
        <v>Abril</v>
      </c>
    </row>
    <row r="1102" spans="2:28" x14ac:dyDescent="0.3">
      <c r="B1102" s="2">
        <f>IF(BCP_Soles[[#This Row],[TIPO DE R.]]="R",COUNTIFS($D$4:$D1101,"R")+1,"")</f>
        <v>868</v>
      </c>
      <c r="C1102" s="19" t="str">
        <f t="shared" si="85"/>
        <v>B-BCP - Soles</v>
      </c>
      <c r="D1102" s="3" t="s">
        <v>1074</v>
      </c>
      <c r="E1102" s="14">
        <v>45750</v>
      </c>
      <c r="F1102" s="5" t="s">
        <v>1996</v>
      </c>
      <c r="G1102" s="5" t="s">
        <v>1079</v>
      </c>
      <c r="H1102" s="6" t="s">
        <v>139</v>
      </c>
      <c r="I1102" s="6" t="s">
        <v>14</v>
      </c>
      <c r="J1102" s="6" t="s">
        <v>1953</v>
      </c>
      <c r="K1102" s="6">
        <v>6179</v>
      </c>
      <c r="L1102" s="7" t="s">
        <v>1954</v>
      </c>
      <c r="M1102" s="8">
        <v>228592</v>
      </c>
      <c r="N1102" s="8" t="str">
        <f t="shared" si="86"/>
        <v>PEN</v>
      </c>
      <c r="O1102" s="13"/>
      <c r="P1102" s="13">
        <v>99.88</v>
      </c>
      <c r="Q1102" s="3">
        <f t="shared" si="87"/>
        <v>0</v>
      </c>
      <c r="R1102" s="3">
        <f t="shared" si="88"/>
        <v>99.88</v>
      </c>
      <c r="S1102" s="3">
        <f t="shared" si="89"/>
        <v>31244.740000000042</v>
      </c>
      <c r="T1102" s="24" t="s">
        <v>1081</v>
      </c>
      <c r="U1102" s="24" t="s">
        <v>1081</v>
      </c>
      <c r="V1102" s="67"/>
      <c r="W1102" s="25">
        <f>IFERROR(VLOOKUP(BCP_Soles[[#This Row],[DESTINATARIO]],CHOOSE({1,2},Clientes_Proveedores[Razon Social],Clientes_Proveedores[Ruc / Dni]),2,0),"")</f>
        <v>20100055237</v>
      </c>
      <c r="X1102" s="25" t="s">
        <v>1955</v>
      </c>
      <c r="Y1102" s="25" t="s">
        <v>2267</v>
      </c>
      <c r="Z1102" s="25"/>
      <c r="AA1102" s="99"/>
      <c r="AB1102" s="3" t="str">
        <f>IF(BCP_Soles[[#This Row],[FECHA]]&gt;0,TEXT(BCP_Soles[[#This Row],[FECHA]],"mmmm"),0)</f>
        <v>Abril</v>
      </c>
    </row>
    <row r="1103" spans="2:28" x14ac:dyDescent="0.3">
      <c r="B1103" s="2">
        <f>IF(BCP_Soles[[#This Row],[TIPO DE R.]]="R",COUNTIFS($D$4:$D1102,"R")+1,"")</f>
        <v>869</v>
      </c>
      <c r="C1103" s="19" t="str">
        <f t="shared" si="85"/>
        <v>B-BCP - Soles</v>
      </c>
      <c r="D1103" s="3" t="s">
        <v>1074</v>
      </c>
      <c r="E1103" s="14">
        <v>45750</v>
      </c>
      <c r="F1103" s="5" t="s">
        <v>1996</v>
      </c>
      <c r="G1103" s="5" t="s">
        <v>1079</v>
      </c>
      <c r="H1103" s="6" t="s">
        <v>139</v>
      </c>
      <c r="I1103" s="6" t="s">
        <v>14</v>
      </c>
      <c r="J1103" s="6" t="s">
        <v>1953</v>
      </c>
      <c r="K1103" s="6">
        <v>6183</v>
      </c>
      <c r="L1103" s="7" t="s">
        <v>1954</v>
      </c>
      <c r="M1103" s="8">
        <v>228591</v>
      </c>
      <c r="N1103" s="8" t="str">
        <f t="shared" si="86"/>
        <v>PEN</v>
      </c>
      <c r="O1103" s="13"/>
      <c r="P1103" s="13">
        <v>101.77</v>
      </c>
      <c r="Q1103" s="3">
        <f t="shared" si="87"/>
        <v>0</v>
      </c>
      <c r="R1103" s="3">
        <f t="shared" si="88"/>
        <v>101.77</v>
      </c>
      <c r="S1103" s="3">
        <f t="shared" si="89"/>
        <v>31142.970000000041</v>
      </c>
      <c r="T1103" s="24" t="s">
        <v>1081</v>
      </c>
      <c r="U1103" s="24" t="s">
        <v>1081</v>
      </c>
      <c r="V1103" s="67"/>
      <c r="W1103" s="25">
        <f>IFERROR(VLOOKUP(BCP_Soles[[#This Row],[DESTINATARIO]],CHOOSE({1,2},Clientes_Proveedores[Razon Social],Clientes_Proveedores[Ruc / Dni]),2,0),"")</f>
        <v>20100055237</v>
      </c>
      <c r="X1103" s="25" t="s">
        <v>1955</v>
      </c>
      <c r="Y1103" s="25" t="s">
        <v>2268</v>
      </c>
      <c r="Z1103" s="25"/>
      <c r="AA1103" s="99"/>
      <c r="AB1103" s="3" t="str">
        <f>IF(BCP_Soles[[#This Row],[FECHA]]&gt;0,TEXT(BCP_Soles[[#This Row],[FECHA]],"mmmm"),0)</f>
        <v>Abril</v>
      </c>
    </row>
    <row r="1104" spans="2:28" x14ac:dyDescent="0.3">
      <c r="B1104" s="2">
        <f>IF(BCP_Soles[[#This Row],[TIPO DE R.]]="R",COUNTIFS($D$4:$D1103,"R")+1,"")</f>
        <v>870</v>
      </c>
      <c r="C1104" s="19" t="str">
        <f t="shared" si="85"/>
        <v>B-BCP - Soles</v>
      </c>
      <c r="D1104" s="3" t="s">
        <v>1074</v>
      </c>
      <c r="E1104" s="14">
        <v>45750</v>
      </c>
      <c r="F1104" s="5" t="s">
        <v>1996</v>
      </c>
      <c r="G1104" s="5" t="s">
        <v>1079</v>
      </c>
      <c r="H1104" s="6" t="s">
        <v>139</v>
      </c>
      <c r="I1104" s="6" t="s">
        <v>14</v>
      </c>
      <c r="J1104" s="6" t="s">
        <v>1953</v>
      </c>
      <c r="K1104" s="6">
        <v>6181</v>
      </c>
      <c r="L1104" s="7" t="s">
        <v>1954</v>
      </c>
      <c r="M1104" s="8">
        <v>231046</v>
      </c>
      <c r="N1104" s="8" t="str">
        <f t="shared" si="86"/>
        <v>PEN</v>
      </c>
      <c r="O1104" s="13"/>
      <c r="P1104" s="13">
        <v>104.61</v>
      </c>
      <c r="Q1104" s="3">
        <f t="shared" si="87"/>
        <v>0</v>
      </c>
      <c r="R1104" s="3">
        <f t="shared" si="88"/>
        <v>104.61</v>
      </c>
      <c r="S1104" s="3">
        <f t="shared" si="89"/>
        <v>31038.360000000041</v>
      </c>
      <c r="T1104" s="24" t="s">
        <v>1081</v>
      </c>
      <c r="U1104" s="24" t="s">
        <v>1081</v>
      </c>
      <c r="V1104" s="67"/>
      <c r="W1104" s="25">
        <f>IFERROR(VLOOKUP(BCP_Soles[[#This Row],[DESTINATARIO]],CHOOSE({1,2},Clientes_Proveedores[Razon Social],Clientes_Proveedores[Ruc / Dni]),2,0),"")</f>
        <v>20100055237</v>
      </c>
      <c r="X1104" s="25" t="s">
        <v>1955</v>
      </c>
      <c r="Y1104" s="25" t="s">
        <v>2269</v>
      </c>
      <c r="Z1104" s="25"/>
      <c r="AA1104" s="99"/>
      <c r="AB1104" s="3" t="str">
        <f>IF(BCP_Soles[[#This Row],[FECHA]]&gt;0,TEXT(BCP_Soles[[#This Row],[FECHA]],"mmmm"),0)</f>
        <v>Abril</v>
      </c>
    </row>
    <row r="1105" spans="2:28" ht="48" x14ac:dyDescent="0.3">
      <c r="B1105" s="2">
        <f>IF(BCP_Soles[[#This Row],[TIPO DE R.]]="R",COUNTIFS($D$4:$D1104,"R")+1,"")</f>
        <v>871</v>
      </c>
      <c r="C1105" s="19" t="str">
        <f t="shared" si="85"/>
        <v>B-BCP - Soles</v>
      </c>
      <c r="D1105" s="3" t="s">
        <v>1074</v>
      </c>
      <c r="E1105" s="14">
        <v>45750</v>
      </c>
      <c r="F1105" s="5" t="s">
        <v>1996</v>
      </c>
      <c r="G1105" s="5" t="s">
        <v>1079</v>
      </c>
      <c r="H1105" s="6" t="s">
        <v>444</v>
      </c>
      <c r="I1105" s="6" t="s">
        <v>14</v>
      </c>
      <c r="J1105" s="6" t="s">
        <v>1390</v>
      </c>
      <c r="K1105" s="6">
        <v>7223</v>
      </c>
      <c r="L1105" s="7" t="s">
        <v>2270</v>
      </c>
      <c r="M1105" s="8">
        <v>1013427</v>
      </c>
      <c r="N1105" s="8" t="str">
        <f t="shared" si="86"/>
        <v>PEN</v>
      </c>
      <c r="O1105" s="13"/>
      <c r="P1105" s="13">
        <v>170.46</v>
      </c>
      <c r="Q1105" s="3">
        <f t="shared" si="87"/>
        <v>0</v>
      </c>
      <c r="R1105" s="3">
        <f t="shared" si="88"/>
        <v>170.46</v>
      </c>
      <c r="S1105" s="3">
        <f t="shared" si="89"/>
        <v>30867.900000000041</v>
      </c>
      <c r="T1105" s="24" t="s">
        <v>1081</v>
      </c>
      <c r="U1105" s="24" t="s">
        <v>1081</v>
      </c>
      <c r="V1105" s="67"/>
      <c r="W1105" s="25">
        <f>IFERROR(VLOOKUP(BCP_Soles[[#This Row],[DESTINATARIO]],CHOOSE({1,2},Clientes_Proveedores[Razon Social],Clientes_Proveedores[Ruc / Dni]),2,0),"")</f>
        <v>20602978274</v>
      </c>
      <c r="X1105" s="25" t="s">
        <v>1268</v>
      </c>
      <c r="Y1105" s="25" t="s">
        <v>2271</v>
      </c>
      <c r="Z1105" s="25"/>
      <c r="AA1105" s="99"/>
      <c r="AB1105" s="3" t="str">
        <f>IF(BCP_Soles[[#This Row],[FECHA]]&gt;0,TEXT(BCP_Soles[[#This Row],[FECHA]],"mmmm"),0)</f>
        <v>Abril</v>
      </c>
    </row>
    <row r="1106" spans="2:28" ht="48" x14ac:dyDescent="0.3">
      <c r="B1106" s="2">
        <f>IF(BCP_Soles[[#This Row],[TIPO DE R.]]="R",COUNTIFS($D$4:$D1105,"R")+1,"")</f>
        <v>872</v>
      </c>
      <c r="C1106" s="19" t="str">
        <f t="shared" si="85"/>
        <v>B-BCP - Soles</v>
      </c>
      <c r="D1106" s="3" t="s">
        <v>1074</v>
      </c>
      <c r="E1106" s="14">
        <v>45750</v>
      </c>
      <c r="F1106" s="5" t="s">
        <v>1996</v>
      </c>
      <c r="G1106" s="5" t="s">
        <v>1079</v>
      </c>
      <c r="H1106" s="6" t="s">
        <v>444</v>
      </c>
      <c r="I1106" s="6" t="s">
        <v>14</v>
      </c>
      <c r="J1106" s="6" t="s">
        <v>1266</v>
      </c>
      <c r="K1106" s="6">
        <v>9894</v>
      </c>
      <c r="L1106" s="7" t="s">
        <v>2272</v>
      </c>
      <c r="M1106" s="8">
        <v>1012927</v>
      </c>
      <c r="N1106" s="8" t="str">
        <f t="shared" si="86"/>
        <v>PEN</v>
      </c>
      <c r="O1106" s="13"/>
      <c r="P1106" s="13">
        <v>226.92</v>
      </c>
      <c r="Q1106" s="3">
        <f t="shared" si="87"/>
        <v>0</v>
      </c>
      <c r="R1106" s="3">
        <f t="shared" si="88"/>
        <v>226.92</v>
      </c>
      <c r="S1106" s="3">
        <f t="shared" si="89"/>
        <v>30640.980000000043</v>
      </c>
      <c r="T1106" s="24" t="s">
        <v>1081</v>
      </c>
      <c r="U1106" s="24" t="s">
        <v>1081</v>
      </c>
      <c r="V1106" s="67"/>
      <c r="W1106" s="25">
        <f>IFERROR(VLOOKUP(BCP_Soles[[#This Row],[DESTINATARIO]],CHOOSE({1,2},Clientes_Proveedores[Razon Social],Clientes_Proveedores[Ruc / Dni]),2,0),"")</f>
        <v>20602978274</v>
      </c>
      <c r="X1106" s="25" t="s">
        <v>1268</v>
      </c>
      <c r="Y1106" s="25" t="s">
        <v>2273</v>
      </c>
      <c r="Z1106" s="25"/>
      <c r="AA1106" s="99"/>
      <c r="AB1106" s="3" t="str">
        <f>IF(BCP_Soles[[#This Row],[FECHA]]&gt;0,TEXT(BCP_Soles[[#This Row],[FECHA]],"mmmm"),0)</f>
        <v>Abril</v>
      </c>
    </row>
    <row r="1107" spans="2:28" x14ac:dyDescent="0.3">
      <c r="B1107" s="2">
        <f>IF(BCP_Soles[[#This Row],[TIPO DE R.]]="R",COUNTIFS($D$4:$D1106,"R")+1,"")</f>
        <v>873</v>
      </c>
      <c r="C1107" s="19" t="str">
        <f t="shared" si="85"/>
        <v>B-BCP - Soles</v>
      </c>
      <c r="D1107" s="3" t="s">
        <v>1074</v>
      </c>
      <c r="E1107" s="14">
        <v>45750</v>
      </c>
      <c r="F1107" s="5" t="s">
        <v>1996</v>
      </c>
      <c r="G1107" s="5" t="s">
        <v>1079</v>
      </c>
      <c r="H1107" s="6" t="s">
        <v>139</v>
      </c>
      <c r="I1107" s="6" t="s">
        <v>14</v>
      </c>
      <c r="J1107" s="6" t="s">
        <v>1953</v>
      </c>
      <c r="K1107" s="6">
        <v>6178</v>
      </c>
      <c r="L1107" s="7" t="s">
        <v>1954</v>
      </c>
      <c r="M1107" s="8">
        <v>228138</v>
      </c>
      <c r="N1107" s="8" t="str">
        <f t="shared" si="86"/>
        <v>PEN</v>
      </c>
      <c r="O1107" s="13"/>
      <c r="P1107" s="13">
        <v>327.86</v>
      </c>
      <c r="Q1107" s="3">
        <f t="shared" si="87"/>
        <v>0</v>
      </c>
      <c r="R1107" s="3">
        <f t="shared" si="88"/>
        <v>327.86</v>
      </c>
      <c r="S1107" s="3">
        <f t="shared" si="89"/>
        <v>30313.120000000043</v>
      </c>
      <c r="T1107" s="24" t="s">
        <v>1081</v>
      </c>
      <c r="U1107" s="24" t="s">
        <v>1081</v>
      </c>
      <c r="V1107" s="67"/>
      <c r="W1107" s="25">
        <f>IFERROR(VLOOKUP(BCP_Soles[[#This Row],[DESTINATARIO]],CHOOSE({1,2},Clientes_Proveedores[Razon Social],Clientes_Proveedores[Ruc / Dni]),2,0),"")</f>
        <v>20100055237</v>
      </c>
      <c r="X1107" s="25" t="s">
        <v>1955</v>
      </c>
      <c r="Y1107" s="25" t="s">
        <v>2274</v>
      </c>
      <c r="Z1107" s="25"/>
      <c r="AA1107" s="99"/>
      <c r="AB1107" s="3" t="str">
        <f>IF(BCP_Soles[[#This Row],[FECHA]]&gt;0,TEXT(BCP_Soles[[#This Row],[FECHA]],"mmmm"),0)</f>
        <v>Abril</v>
      </c>
    </row>
    <row r="1108" spans="2:28" x14ac:dyDescent="0.3">
      <c r="B1108" s="2">
        <f>IF(BCP_Soles[[#This Row],[TIPO DE R.]]="R",COUNTIFS($D$4:$D1107,"R")+1,"")</f>
        <v>874</v>
      </c>
      <c r="C1108" s="19" t="str">
        <f t="shared" si="85"/>
        <v>B-BCP - Soles</v>
      </c>
      <c r="D1108" s="3" t="s">
        <v>1074</v>
      </c>
      <c r="E1108" s="14">
        <v>45750</v>
      </c>
      <c r="F1108" s="5" t="s">
        <v>1996</v>
      </c>
      <c r="G1108" s="5" t="s">
        <v>1079</v>
      </c>
      <c r="H1108" s="6" t="s">
        <v>139</v>
      </c>
      <c r="I1108" s="6" t="s">
        <v>14</v>
      </c>
      <c r="J1108" s="6" t="s">
        <v>1953</v>
      </c>
      <c r="K1108" s="6">
        <v>6182</v>
      </c>
      <c r="L1108" s="7" t="s">
        <v>1954</v>
      </c>
      <c r="M1108" s="8">
        <v>229583</v>
      </c>
      <c r="N1108" s="8" t="str">
        <f t="shared" si="86"/>
        <v>PEN</v>
      </c>
      <c r="O1108" s="13"/>
      <c r="P1108" s="13">
        <v>541.20000000000005</v>
      </c>
      <c r="Q1108" s="3">
        <f t="shared" si="87"/>
        <v>0</v>
      </c>
      <c r="R1108" s="3">
        <f t="shared" si="88"/>
        <v>541.20000000000005</v>
      </c>
      <c r="S1108" s="3">
        <f t="shared" si="89"/>
        <v>29771.920000000042</v>
      </c>
      <c r="T1108" s="24" t="s">
        <v>1081</v>
      </c>
      <c r="U1108" s="24" t="s">
        <v>1081</v>
      </c>
      <c r="V1108" s="67"/>
      <c r="W1108" s="25">
        <f>IFERROR(VLOOKUP(BCP_Soles[[#This Row],[DESTINATARIO]],CHOOSE({1,2},Clientes_Proveedores[Razon Social],Clientes_Proveedores[Ruc / Dni]),2,0),"")</f>
        <v>20100055237</v>
      </c>
      <c r="X1108" s="25" t="s">
        <v>1955</v>
      </c>
      <c r="Y1108" s="25" t="s">
        <v>2275</v>
      </c>
      <c r="Z1108" s="25"/>
      <c r="AA1108" s="99"/>
      <c r="AB1108" s="3" t="str">
        <f>IF(BCP_Soles[[#This Row],[FECHA]]&gt;0,TEXT(BCP_Soles[[#This Row],[FECHA]],"mmmm"),0)</f>
        <v>Abril</v>
      </c>
    </row>
    <row r="1109" spans="2:28" ht="48" x14ac:dyDescent="0.3">
      <c r="B1109" s="2">
        <f>IF(BCP_Soles[[#This Row],[TIPO DE R.]]="R",COUNTIFS($D$4:$D1108,"R")+1,"")</f>
        <v>875</v>
      </c>
      <c r="C1109" s="19" t="str">
        <f t="shared" si="85"/>
        <v>B-BCP - Soles</v>
      </c>
      <c r="D1109" s="3" t="s">
        <v>1074</v>
      </c>
      <c r="E1109" s="14">
        <v>45750</v>
      </c>
      <c r="F1109" s="5" t="s">
        <v>1996</v>
      </c>
      <c r="G1109" s="5" t="s">
        <v>1079</v>
      </c>
      <c r="H1109" s="6" t="s">
        <v>607</v>
      </c>
      <c r="I1109" s="6" t="s">
        <v>14</v>
      </c>
      <c r="J1109" s="6" t="s">
        <v>1121</v>
      </c>
      <c r="K1109" s="6">
        <v>350</v>
      </c>
      <c r="L1109" s="7" t="s">
        <v>2276</v>
      </c>
      <c r="M1109" s="8">
        <v>4021130</v>
      </c>
      <c r="N1109" s="8" t="str">
        <f t="shared" si="86"/>
        <v>PEN</v>
      </c>
      <c r="O1109" s="13"/>
      <c r="P1109" s="13">
        <v>1180.51</v>
      </c>
      <c r="Q1109" s="3">
        <f t="shared" si="87"/>
        <v>0</v>
      </c>
      <c r="R1109" s="3">
        <f t="shared" si="88"/>
        <v>1180.51</v>
      </c>
      <c r="S1109" s="3">
        <f t="shared" si="89"/>
        <v>28591.410000000044</v>
      </c>
      <c r="T1109" s="24" t="s">
        <v>1081</v>
      </c>
      <c r="U1109" s="24" t="s">
        <v>1081</v>
      </c>
      <c r="V1109" s="67"/>
      <c r="W1109" s="25">
        <f>IFERROR(VLOOKUP(BCP_Soles[[#This Row],[DESTINATARIO]],CHOOSE({1,2},Clientes_Proveedores[Razon Social],Clientes_Proveedores[Ruc / Dni]),2,0),"")</f>
        <v>20601649315</v>
      </c>
      <c r="X1109" s="25" t="s">
        <v>2277</v>
      </c>
      <c r="Y1109" s="25" t="s">
        <v>2278</v>
      </c>
      <c r="Z1109" s="25"/>
      <c r="AA1109" s="99"/>
      <c r="AB1109" s="3" t="str">
        <f>IF(BCP_Soles[[#This Row],[FECHA]]&gt;0,TEXT(BCP_Soles[[#This Row],[FECHA]],"mmmm"),0)</f>
        <v>Abril</v>
      </c>
    </row>
    <row r="1110" spans="2:28" x14ac:dyDescent="0.3">
      <c r="B1110" s="2">
        <f>IF(BCP_Soles[[#This Row],[TIPO DE R.]]="R",COUNTIFS($D$4:$D1109,"R")+1,"")</f>
        <v>876</v>
      </c>
      <c r="C1110" s="19" t="str">
        <f t="shared" si="85"/>
        <v>B-BCP - Soles</v>
      </c>
      <c r="D1110" s="3" t="s">
        <v>1074</v>
      </c>
      <c r="E1110" s="14">
        <v>45750</v>
      </c>
      <c r="F1110" s="5" t="s">
        <v>1996</v>
      </c>
      <c r="G1110" s="5" t="s">
        <v>1079</v>
      </c>
      <c r="H1110" s="6"/>
      <c r="I1110" s="6"/>
      <c r="J1110" s="6"/>
      <c r="K1110" s="6"/>
      <c r="L1110" s="7" t="s">
        <v>2279</v>
      </c>
      <c r="M1110" s="8">
        <v>598502</v>
      </c>
      <c r="N1110" s="8" t="str">
        <f t="shared" si="86"/>
        <v>PEN</v>
      </c>
      <c r="O1110" s="13"/>
      <c r="P1110" s="13">
        <v>6808.15</v>
      </c>
      <c r="Q1110" s="3">
        <f t="shared" si="87"/>
        <v>0</v>
      </c>
      <c r="R1110" s="3">
        <f t="shared" si="88"/>
        <v>6808.15</v>
      </c>
      <c r="S1110" s="3">
        <f t="shared" si="89"/>
        <v>21783.260000000046</v>
      </c>
      <c r="T1110" s="24" t="s">
        <v>1081</v>
      </c>
      <c r="U1110" s="24" t="s">
        <v>1081</v>
      </c>
      <c r="V1110" s="67"/>
      <c r="W1110" s="25" t="str">
        <f>IFERROR(VLOOKUP(BCP_Soles[[#This Row],[DESTINATARIO]],CHOOSE({1,2},Clientes_Proveedores[Razon Social],Clientes_Proveedores[Ruc / Dni]),2,0),"")</f>
        <v/>
      </c>
      <c r="X1110" s="25" t="s">
        <v>1118</v>
      </c>
      <c r="Y1110" s="25"/>
      <c r="Z1110" s="25"/>
      <c r="AA1110" s="99"/>
      <c r="AB1110" s="3" t="str">
        <f>IF(BCP_Soles[[#This Row],[FECHA]]&gt;0,TEXT(BCP_Soles[[#This Row],[FECHA]],"mmmm"),0)</f>
        <v>Abril</v>
      </c>
    </row>
    <row r="1111" spans="2:28" x14ac:dyDescent="0.3">
      <c r="B1111" s="2" t="str">
        <f>IF(BCP_Soles[[#This Row],[TIPO DE R.]]="R",COUNTIFS($D$4:$D1110,"R")+1,"")</f>
        <v/>
      </c>
      <c r="C1111" s="19" t="str">
        <f t="shared" si="85"/>
        <v>B-BCP - Soles</v>
      </c>
      <c r="D1111" s="3" t="s">
        <v>1101</v>
      </c>
      <c r="E1111" s="14">
        <v>45750</v>
      </c>
      <c r="F1111" s="5" t="s">
        <v>1996</v>
      </c>
      <c r="G1111" s="5"/>
      <c r="H1111" s="6" t="s">
        <v>289</v>
      </c>
      <c r="I1111" s="6" t="s">
        <v>14</v>
      </c>
      <c r="J1111" s="6" t="s">
        <v>1202</v>
      </c>
      <c r="K1111" s="6">
        <v>40132</v>
      </c>
      <c r="L1111" s="7" t="s">
        <v>2279</v>
      </c>
      <c r="M1111" s="8">
        <v>598502</v>
      </c>
      <c r="N1111" s="8" t="str">
        <f t="shared" si="86"/>
        <v>PEN</v>
      </c>
      <c r="O1111" s="13">
        <v>603.99</v>
      </c>
      <c r="P1111" s="13"/>
      <c r="Q1111" s="3">
        <f t="shared" si="87"/>
        <v>0</v>
      </c>
      <c r="R1111" s="3">
        <f t="shared" si="88"/>
        <v>0</v>
      </c>
      <c r="S1111" s="3">
        <f t="shared" si="89"/>
        <v>21783.260000000046</v>
      </c>
      <c r="T1111" s="24"/>
      <c r="U1111" s="24"/>
      <c r="V1111" s="67"/>
      <c r="W1111" s="25">
        <f>IFERROR(VLOOKUP(BCP_Soles[[#This Row],[DESTINATARIO]],CHOOSE({1,2},Clientes_Proveedores[Razon Social],Clientes_Proveedores[Ruc / Dni]),2,0),"")</f>
        <v>20505675836</v>
      </c>
      <c r="X1111" s="25"/>
      <c r="Y1111" s="25"/>
      <c r="Z1111" s="25"/>
      <c r="AA1111" s="99"/>
      <c r="AB1111" s="3" t="str">
        <f>IF(BCP_Soles[[#This Row],[FECHA]]&gt;0,TEXT(BCP_Soles[[#This Row],[FECHA]],"mmmm"),0)</f>
        <v>Abril</v>
      </c>
    </row>
    <row r="1112" spans="2:28" x14ac:dyDescent="0.3">
      <c r="B1112" s="2" t="str">
        <f>IF(BCP_Soles[[#This Row],[TIPO DE R.]]="R",COUNTIFS($D$4:$D1111,"R")+1,"")</f>
        <v/>
      </c>
      <c r="C1112" s="19" t="str">
        <f t="shared" si="85"/>
        <v>B-BCP - Soles</v>
      </c>
      <c r="D1112" s="3" t="s">
        <v>1101</v>
      </c>
      <c r="E1112" s="14">
        <v>45750</v>
      </c>
      <c r="F1112" s="5" t="s">
        <v>1996</v>
      </c>
      <c r="G1112" s="5"/>
      <c r="H1112" s="6" t="s">
        <v>289</v>
      </c>
      <c r="I1112" s="6" t="s">
        <v>14</v>
      </c>
      <c r="J1112" s="6" t="s">
        <v>1202</v>
      </c>
      <c r="K1112" s="6">
        <v>40133</v>
      </c>
      <c r="L1112" s="7" t="s">
        <v>2279</v>
      </c>
      <c r="M1112" s="8">
        <v>598502</v>
      </c>
      <c r="N1112" s="8" t="str">
        <f t="shared" si="86"/>
        <v>PEN</v>
      </c>
      <c r="O1112" s="13">
        <v>1732.99</v>
      </c>
      <c r="P1112" s="13"/>
      <c r="Q1112" s="3">
        <f t="shared" si="87"/>
        <v>0</v>
      </c>
      <c r="R1112" s="3">
        <f t="shared" si="88"/>
        <v>0</v>
      </c>
      <c r="S1112" s="3">
        <f t="shared" si="89"/>
        <v>21783.260000000046</v>
      </c>
      <c r="T1112" s="24"/>
      <c r="U1112" s="24"/>
      <c r="V1112" s="67"/>
      <c r="W1112" s="25">
        <f>IFERROR(VLOOKUP(BCP_Soles[[#This Row],[DESTINATARIO]],CHOOSE({1,2},Clientes_Proveedores[Razon Social],Clientes_Proveedores[Ruc / Dni]),2,0),"")</f>
        <v>20505675836</v>
      </c>
      <c r="X1112" s="25"/>
      <c r="Y1112" s="25"/>
      <c r="Z1112" s="25"/>
      <c r="AA1112" s="99"/>
      <c r="AB1112" s="3" t="str">
        <f>IF(BCP_Soles[[#This Row],[FECHA]]&gt;0,TEXT(BCP_Soles[[#This Row],[FECHA]],"mmmm"),0)</f>
        <v>Abril</v>
      </c>
    </row>
    <row r="1113" spans="2:28" ht="24" x14ac:dyDescent="0.3">
      <c r="B1113" s="2" t="str">
        <f>IF(BCP_Soles[[#This Row],[TIPO DE R.]]="R",COUNTIFS($D$4:$D1112,"R")+1,"")</f>
        <v/>
      </c>
      <c r="C1113" s="19" t="str">
        <f t="shared" si="85"/>
        <v>B-BCP - Soles</v>
      </c>
      <c r="D1113" s="3" t="s">
        <v>1101</v>
      </c>
      <c r="E1113" s="14">
        <v>45750</v>
      </c>
      <c r="F1113" s="5" t="s">
        <v>1996</v>
      </c>
      <c r="G1113" s="5"/>
      <c r="H1113" s="6" t="s">
        <v>214</v>
      </c>
      <c r="I1113" s="6" t="s">
        <v>14</v>
      </c>
      <c r="J1113" s="6" t="s">
        <v>1120</v>
      </c>
      <c r="K1113" s="6">
        <v>6876</v>
      </c>
      <c r="L1113" s="7" t="s">
        <v>2279</v>
      </c>
      <c r="M1113" s="8">
        <v>598502</v>
      </c>
      <c r="N1113" s="8" t="str">
        <f t="shared" si="86"/>
        <v>PEN</v>
      </c>
      <c r="O1113" s="13">
        <v>244.95</v>
      </c>
      <c r="P1113" s="13"/>
      <c r="Q1113" s="3">
        <f t="shared" si="87"/>
        <v>0</v>
      </c>
      <c r="R1113" s="3">
        <f t="shared" si="88"/>
        <v>0</v>
      </c>
      <c r="S1113" s="3">
        <f t="shared" si="89"/>
        <v>21783.260000000046</v>
      </c>
      <c r="T1113" s="24"/>
      <c r="U1113" s="24"/>
      <c r="V1113" s="67"/>
      <c r="W1113" s="25">
        <f>IFERROR(VLOOKUP(BCP_Soles[[#This Row],[DESTINATARIO]],CHOOSE({1,2},Clientes_Proveedores[Razon Social],Clientes_Proveedores[Ruc / Dni]),2,0),"")</f>
        <v>20419158462</v>
      </c>
      <c r="X1113" s="25"/>
      <c r="Y1113" s="25"/>
      <c r="Z1113" s="25"/>
      <c r="AA1113" s="99"/>
      <c r="AB1113" s="3" t="str">
        <f>IF(BCP_Soles[[#This Row],[FECHA]]&gt;0,TEXT(BCP_Soles[[#This Row],[FECHA]],"mmmm"),0)</f>
        <v>Abril</v>
      </c>
    </row>
    <row r="1114" spans="2:28" ht="24" x14ac:dyDescent="0.3">
      <c r="B1114" s="2" t="str">
        <f>IF(BCP_Soles[[#This Row],[TIPO DE R.]]="R",COUNTIFS($D$4:$D1113,"R")+1,"")</f>
        <v/>
      </c>
      <c r="C1114" s="19" t="str">
        <f t="shared" si="85"/>
        <v>B-BCP - Soles</v>
      </c>
      <c r="D1114" s="3" t="s">
        <v>1101</v>
      </c>
      <c r="E1114" s="14">
        <v>45750</v>
      </c>
      <c r="F1114" s="5" t="s">
        <v>1996</v>
      </c>
      <c r="G1114" s="5"/>
      <c r="H1114" s="6" t="s">
        <v>214</v>
      </c>
      <c r="I1114" s="6" t="s">
        <v>14</v>
      </c>
      <c r="J1114" s="6" t="s">
        <v>1120</v>
      </c>
      <c r="K1114" s="6">
        <v>6882</v>
      </c>
      <c r="L1114" s="7" t="s">
        <v>2279</v>
      </c>
      <c r="M1114" s="8">
        <v>598502</v>
      </c>
      <c r="N1114" s="8" t="str">
        <f t="shared" si="86"/>
        <v>PEN</v>
      </c>
      <c r="O1114" s="13">
        <v>948.85</v>
      </c>
      <c r="P1114" s="13"/>
      <c r="Q1114" s="3">
        <f t="shared" si="87"/>
        <v>0</v>
      </c>
      <c r="R1114" s="3">
        <f t="shared" si="88"/>
        <v>0</v>
      </c>
      <c r="S1114" s="3">
        <f t="shared" si="89"/>
        <v>21783.260000000046</v>
      </c>
      <c r="T1114" s="24"/>
      <c r="U1114" s="24"/>
      <c r="V1114" s="67"/>
      <c r="W1114" s="25">
        <f>IFERROR(VLOOKUP(BCP_Soles[[#This Row],[DESTINATARIO]],CHOOSE({1,2},Clientes_Proveedores[Razon Social],Clientes_Proveedores[Ruc / Dni]),2,0),"")</f>
        <v>20419158462</v>
      </c>
      <c r="X1114" s="25"/>
      <c r="Y1114" s="25"/>
      <c r="Z1114" s="25"/>
      <c r="AA1114" s="99"/>
      <c r="AB1114" s="3" t="str">
        <f>IF(BCP_Soles[[#This Row],[FECHA]]&gt;0,TEXT(BCP_Soles[[#This Row],[FECHA]],"mmmm"),0)</f>
        <v>Abril</v>
      </c>
    </row>
    <row r="1115" spans="2:28" ht="24" x14ac:dyDescent="0.3">
      <c r="B1115" s="2" t="str">
        <f>IF(BCP_Soles[[#This Row],[TIPO DE R.]]="R",COUNTIFS($D$4:$D1114,"R")+1,"")</f>
        <v/>
      </c>
      <c r="C1115" s="19" t="str">
        <f t="shared" si="85"/>
        <v>B-BCP - Soles</v>
      </c>
      <c r="D1115" s="3" t="s">
        <v>1101</v>
      </c>
      <c r="E1115" s="14">
        <v>45750</v>
      </c>
      <c r="F1115" s="5" t="s">
        <v>1996</v>
      </c>
      <c r="G1115" s="5"/>
      <c r="H1115" s="6" t="s">
        <v>214</v>
      </c>
      <c r="I1115" s="6" t="s">
        <v>14</v>
      </c>
      <c r="J1115" s="6" t="s">
        <v>1120</v>
      </c>
      <c r="K1115" s="6">
        <v>6883</v>
      </c>
      <c r="L1115" s="7" t="s">
        <v>2279</v>
      </c>
      <c r="M1115" s="8">
        <v>598502</v>
      </c>
      <c r="N1115" s="8" t="str">
        <f t="shared" si="86"/>
        <v>PEN</v>
      </c>
      <c r="O1115" s="13">
        <v>204.7</v>
      </c>
      <c r="P1115" s="13"/>
      <c r="Q1115" s="3">
        <f t="shared" si="87"/>
        <v>0</v>
      </c>
      <c r="R1115" s="3">
        <f t="shared" si="88"/>
        <v>0</v>
      </c>
      <c r="S1115" s="3">
        <f t="shared" si="89"/>
        <v>21783.260000000046</v>
      </c>
      <c r="T1115" s="24"/>
      <c r="U1115" s="24"/>
      <c r="V1115" s="67"/>
      <c r="W1115" s="25">
        <f>IFERROR(VLOOKUP(BCP_Soles[[#This Row],[DESTINATARIO]],CHOOSE({1,2},Clientes_Proveedores[Razon Social],Clientes_Proveedores[Ruc / Dni]),2,0),"")</f>
        <v>20419158462</v>
      </c>
      <c r="X1115" s="25"/>
      <c r="Y1115" s="25"/>
      <c r="Z1115" s="25"/>
      <c r="AA1115" s="99"/>
      <c r="AB1115" s="3" t="str">
        <f>IF(BCP_Soles[[#This Row],[FECHA]]&gt;0,TEXT(BCP_Soles[[#This Row],[FECHA]],"mmmm"),0)</f>
        <v>Abril</v>
      </c>
    </row>
    <row r="1116" spans="2:28" x14ac:dyDescent="0.3">
      <c r="B1116" s="2" t="str">
        <f>IF(BCP_Soles[[#This Row],[TIPO DE R.]]="R",COUNTIFS($D$4:$D1115,"R")+1,"")</f>
        <v/>
      </c>
      <c r="C1116" s="19" t="str">
        <f t="shared" si="85"/>
        <v>B-BCP - Soles</v>
      </c>
      <c r="D1116" s="3" t="s">
        <v>1101</v>
      </c>
      <c r="E1116" s="14">
        <v>45750</v>
      </c>
      <c r="F1116" s="5" t="s">
        <v>1996</v>
      </c>
      <c r="G1116" s="5"/>
      <c r="H1116" s="6" t="s">
        <v>229</v>
      </c>
      <c r="I1116" s="6" t="s">
        <v>14</v>
      </c>
      <c r="J1116" s="6" t="s">
        <v>1429</v>
      </c>
      <c r="K1116" s="6">
        <v>1686</v>
      </c>
      <c r="L1116" s="7" t="s">
        <v>2279</v>
      </c>
      <c r="M1116" s="8">
        <v>598502</v>
      </c>
      <c r="N1116" s="8" t="str">
        <f t="shared" si="86"/>
        <v>PEN</v>
      </c>
      <c r="O1116" s="13">
        <v>978.99</v>
      </c>
      <c r="P1116" s="13"/>
      <c r="Q1116" s="3">
        <f t="shared" si="87"/>
        <v>0</v>
      </c>
      <c r="R1116" s="3">
        <f t="shared" si="88"/>
        <v>0</v>
      </c>
      <c r="S1116" s="3">
        <f t="shared" si="89"/>
        <v>21783.260000000046</v>
      </c>
      <c r="T1116" s="24"/>
      <c r="U1116" s="24"/>
      <c r="V1116" s="67"/>
      <c r="W1116" s="25">
        <f>IFERROR(VLOOKUP(BCP_Soles[[#This Row],[DESTINATARIO]],CHOOSE({1,2},Clientes_Proveedores[Razon Social],Clientes_Proveedores[Ruc / Dni]),2,0),"")</f>
        <v>20454186002</v>
      </c>
      <c r="X1116" s="25"/>
      <c r="Y1116" s="25"/>
      <c r="Z1116" s="25"/>
      <c r="AA1116" s="99"/>
      <c r="AB1116" s="3" t="str">
        <f>IF(BCP_Soles[[#This Row],[FECHA]]&gt;0,TEXT(BCP_Soles[[#This Row],[FECHA]],"mmmm"),0)</f>
        <v>Abril</v>
      </c>
    </row>
    <row r="1117" spans="2:28" x14ac:dyDescent="0.3">
      <c r="B1117" s="2" t="str">
        <f>IF(BCP_Soles[[#This Row],[TIPO DE R.]]="R",COUNTIFS($D$4:$D1116,"R")+1,"")</f>
        <v/>
      </c>
      <c r="C1117" s="19" t="str">
        <f t="shared" si="85"/>
        <v>B-BCP - Soles</v>
      </c>
      <c r="D1117" s="3" t="s">
        <v>1101</v>
      </c>
      <c r="E1117" s="14">
        <v>45750</v>
      </c>
      <c r="F1117" s="5" t="s">
        <v>1996</v>
      </c>
      <c r="G1117" s="5"/>
      <c r="H1117" s="6" t="s">
        <v>229</v>
      </c>
      <c r="I1117" s="6" t="s">
        <v>14</v>
      </c>
      <c r="J1117" s="6" t="s">
        <v>1429</v>
      </c>
      <c r="K1117" s="6">
        <v>1687</v>
      </c>
      <c r="L1117" s="7" t="s">
        <v>2279</v>
      </c>
      <c r="M1117" s="8">
        <v>598502</v>
      </c>
      <c r="N1117" s="8" t="str">
        <f t="shared" si="86"/>
        <v>PEN</v>
      </c>
      <c r="O1117" s="13">
        <v>184</v>
      </c>
      <c r="P1117" s="13"/>
      <c r="Q1117" s="3">
        <f t="shared" si="87"/>
        <v>0</v>
      </c>
      <c r="R1117" s="3">
        <f t="shared" si="88"/>
        <v>0</v>
      </c>
      <c r="S1117" s="3">
        <f t="shared" si="89"/>
        <v>21783.260000000046</v>
      </c>
      <c r="T1117" s="24"/>
      <c r="U1117" s="24"/>
      <c r="V1117" s="67"/>
      <c r="W1117" s="25">
        <f>IFERROR(VLOOKUP(BCP_Soles[[#This Row],[DESTINATARIO]],CHOOSE({1,2},Clientes_Proveedores[Razon Social],Clientes_Proveedores[Ruc / Dni]),2,0),"")</f>
        <v>20454186002</v>
      </c>
      <c r="X1117" s="25"/>
      <c r="Y1117" s="25"/>
      <c r="Z1117" s="25"/>
      <c r="AA1117" s="99"/>
      <c r="AB1117" s="3" t="str">
        <f>IF(BCP_Soles[[#This Row],[FECHA]]&gt;0,TEXT(BCP_Soles[[#This Row],[FECHA]],"mmmm"),0)</f>
        <v>Abril</v>
      </c>
    </row>
    <row r="1118" spans="2:28" ht="24" x14ac:dyDescent="0.3">
      <c r="B1118" s="2" t="str">
        <f>IF(BCP_Soles[[#This Row],[TIPO DE R.]]="R",COUNTIFS($D$4:$D1117,"R")+1,"")</f>
        <v/>
      </c>
      <c r="C1118" s="19" t="str">
        <f t="shared" si="85"/>
        <v>B-BCP - Soles</v>
      </c>
      <c r="D1118" s="3" t="s">
        <v>1101</v>
      </c>
      <c r="E1118" s="14">
        <v>45750</v>
      </c>
      <c r="F1118" s="5" t="s">
        <v>1996</v>
      </c>
      <c r="G1118" s="5"/>
      <c r="H1118" s="6" t="s">
        <v>480</v>
      </c>
      <c r="I1118" s="6" t="s">
        <v>14</v>
      </c>
      <c r="J1118" s="6" t="s">
        <v>1121</v>
      </c>
      <c r="K1118" s="6">
        <v>806</v>
      </c>
      <c r="L1118" s="7" t="s">
        <v>2279</v>
      </c>
      <c r="M1118" s="8">
        <v>598502</v>
      </c>
      <c r="N1118" s="8" t="str">
        <f t="shared" si="86"/>
        <v>PEN</v>
      </c>
      <c r="O1118" s="13">
        <v>555</v>
      </c>
      <c r="P1118" s="13"/>
      <c r="Q1118" s="3">
        <f t="shared" si="87"/>
        <v>0</v>
      </c>
      <c r="R1118" s="3">
        <f t="shared" si="88"/>
        <v>0</v>
      </c>
      <c r="S1118" s="3">
        <f t="shared" si="89"/>
        <v>21783.260000000046</v>
      </c>
      <c r="T1118" s="24"/>
      <c r="U1118" s="24"/>
      <c r="V1118" s="67"/>
      <c r="W1118" s="25">
        <f>IFERROR(VLOOKUP(BCP_Soles[[#This Row],[DESTINATARIO]],CHOOSE({1,2},Clientes_Proveedores[Razon Social],Clientes_Proveedores[Ruc / Dni]),2,0),"")</f>
        <v>20605447814</v>
      </c>
      <c r="X1118" s="25"/>
      <c r="Y1118" s="25"/>
      <c r="Z1118" s="25"/>
      <c r="AA1118" s="99"/>
      <c r="AB1118" s="3" t="str">
        <f>IF(BCP_Soles[[#This Row],[FECHA]]&gt;0,TEXT(BCP_Soles[[#This Row],[FECHA]],"mmmm"),0)</f>
        <v>Abril</v>
      </c>
    </row>
    <row r="1119" spans="2:28" ht="24" x14ac:dyDescent="0.3">
      <c r="B1119" s="2" t="str">
        <f>IF(BCP_Soles[[#This Row],[TIPO DE R.]]="R",COUNTIFS($D$4:$D1118,"R")+1,"")</f>
        <v/>
      </c>
      <c r="C1119" s="19" t="str">
        <f t="shared" si="85"/>
        <v>B-BCP - Soles</v>
      </c>
      <c r="D1119" s="3" t="s">
        <v>1101</v>
      </c>
      <c r="E1119" s="14">
        <v>45750</v>
      </c>
      <c r="F1119" s="5" t="s">
        <v>1996</v>
      </c>
      <c r="G1119" s="5"/>
      <c r="H1119" s="6" t="s">
        <v>214</v>
      </c>
      <c r="I1119" s="6" t="s">
        <v>14</v>
      </c>
      <c r="J1119" s="6" t="s">
        <v>1120</v>
      </c>
      <c r="K1119" s="6">
        <v>6885</v>
      </c>
      <c r="L1119" s="7" t="s">
        <v>2279</v>
      </c>
      <c r="M1119" s="8">
        <v>598502</v>
      </c>
      <c r="N1119" s="8" t="str">
        <f t="shared" si="86"/>
        <v>PEN</v>
      </c>
      <c r="O1119" s="13">
        <v>409.99</v>
      </c>
      <c r="P1119" s="13"/>
      <c r="Q1119" s="3">
        <f t="shared" si="87"/>
        <v>0</v>
      </c>
      <c r="R1119" s="3">
        <f t="shared" si="88"/>
        <v>0</v>
      </c>
      <c r="S1119" s="3">
        <f t="shared" si="89"/>
        <v>21783.260000000046</v>
      </c>
      <c r="T1119" s="24"/>
      <c r="U1119" s="24"/>
      <c r="V1119" s="67"/>
      <c r="W1119" s="25">
        <f>IFERROR(VLOOKUP(BCP_Soles[[#This Row],[DESTINATARIO]],CHOOSE({1,2},Clientes_Proveedores[Razon Social],Clientes_Proveedores[Ruc / Dni]),2,0),"")</f>
        <v>20419158462</v>
      </c>
      <c r="X1119" s="25"/>
      <c r="Y1119" s="25"/>
      <c r="Z1119" s="25"/>
      <c r="AA1119" s="99"/>
      <c r="AB1119" s="3" t="str">
        <f>IF(BCP_Soles[[#This Row],[FECHA]]&gt;0,TEXT(BCP_Soles[[#This Row],[FECHA]],"mmmm"),0)</f>
        <v>Abril</v>
      </c>
    </row>
    <row r="1120" spans="2:28" ht="24" x14ac:dyDescent="0.3">
      <c r="B1120" s="2" t="str">
        <f>IF(BCP_Soles[[#This Row],[TIPO DE R.]]="R",COUNTIFS($D$4:$D1119,"R")+1,"")</f>
        <v/>
      </c>
      <c r="C1120" s="19" t="str">
        <f t="shared" si="85"/>
        <v>B-BCP - Soles</v>
      </c>
      <c r="D1120" s="3" t="s">
        <v>1101</v>
      </c>
      <c r="E1120" s="14">
        <v>45750</v>
      </c>
      <c r="F1120" s="5" t="s">
        <v>1996</v>
      </c>
      <c r="G1120" s="5"/>
      <c r="H1120" s="6" t="s">
        <v>214</v>
      </c>
      <c r="I1120" s="6" t="s">
        <v>14</v>
      </c>
      <c r="J1120" s="6" t="s">
        <v>1120</v>
      </c>
      <c r="K1120" s="6">
        <v>6886</v>
      </c>
      <c r="L1120" s="7" t="s">
        <v>2279</v>
      </c>
      <c r="M1120" s="8">
        <v>598502</v>
      </c>
      <c r="N1120" s="8" t="str">
        <f t="shared" si="86"/>
        <v>PEN</v>
      </c>
      <c r="O1120" s="13">
        <v>944.69</v>
      </c>
      <c r="P1120" s="13"/>
      <c r="Q1120" s="3">
        <f t="shared" si="87"/>
        <v>0</v>
      </c>
      <c r="R1120" s="3">
        <f t="shared" si="88"/>
        <v>0</v>
      </c>
      <c r="S1120" s="3">
        <f t="shared" si="89"/>
        <v>21783.260000000046</v>
      </c>
      <c r="T1120" s="24"/>
      <c r="U1120" s="24"/>
      <c r="V1120" s="67"/>
      <c r="W1120" s="25">
        <f>IFERROR(VLOOKUP(BCP_Soles[[#This Row],[DESTINATARIO]],CHOOSE({1,2},Clientes_Proveedores[Razon Social],Clientes_Proveedores[Ruc / Dni]),2,0),"")</f>
        <v>20419158462</v>
      </c>
      <c r="X1120" s="25"/>
      <c r="Y1120" s="25"/>
      <c r="Z1120" s="25"/>
      <c r="AA1120" s="99"/>
      <c r="AB1120" s="3" t="str">
        <f>IF(BCP_Soles[[#This Row],[FECHA]]&gt;0,TEXT(BCP_Soles[[#This Row],[FECHA]],"mmmm"),0)</f>
        <v>Abril</v>
      </c>
    </row>
    <row r="1121" spans="2:28" ht="36" x14ac:dyDescent="0.3">
      <c r="B1121" s="2">
        <f>IF(BCP_Soles[[#This Row],[TIPO DE R.]]="R",COUNTIFS($D$4:$D1120,"R")+1,"")</f>
        <v>877</v>
      </c>
      <c r="C1121" s="19" t="str">
        <f t="shared" si="85"/>
        <v>B-BCP - Soles</v>
      </c>
      <c r="D1121" s="3" t="s">
        <v>1074</v>
      </c>
      <c r="E1121" s="14">
        <v>45751</v>
      </c>
      <c r="F1121" s="5" t="s">
        <v>198</v>
      </c>
      <c r="G1121" s="5" t="s">
        <v>1087</v>
      </c>
      <c r="H1121" s="6"/>
      <c r="I1121" s="6"/>
      <c r="J1121" s="6"/>
      <c r="K1121" s="6"/>
      <c r="L1121" s="7" t="s">
        <v>2280</v>
      </c>
      <c r="M1121" s="8">
        <v>1017772</v>
      </c>
      <c r="N1121" s="8" t="str">
        <f t="shared" si="86"/>
        <v>PEN</v>
      </c>
      <c r="O1121" s="13"/>
      <c r="P1121" s="13">
        <v>21808.32</v>
      </c>
      <c r="Q1121" s="3">
        <f t="shared" si="87"/>
        <v>21808.32</v>
      </c>
      <c r="R1121" s="3">
        <f t="shared" si="88"/>
        <v>0</v>
      </c>
      <c r="S1121" s="3">
        <f t="shared" si="89"/>
        <v>43591.580000000045</v>
      </c>
      <c r="T1121" s="24" t="s">
        <v>1081</v>
      </c>
      <c r="U1121" s="24" t="s">
        <v>1081</v>
      </c>
      <c r="V1121" s="67"/>
      <c r="W1121" s="25" t="str">
        <f>IFERROR(VLOOKUP(BCP_Soles[[#This Row],[DESTINATARIO]],CHOOSE({1,2},Clientes_Proveedores[Razon Social],Clientes_Proveedores[Ruc / Dni]),2,0),"")</f>
        <v/>
      </c>
      <c r="X1121" s="25" t="s">
        <v>1090</v>
      </c>
      <c r="Y1121" s="25" t="s">
        <v>2281</v>
      </c>
      <c r="Z1121" s="25"/>
      <c r="AA1121" s="99"/>
      <c r="AB1121" s="3" t="str">
        <f>IF(BCP_Soles[[#This Row],[FECHA]]&gt;0,TEXT(BCP_Soles[[#This Row],[FECHA]],"mmmm"),0)</f>
        <v>Abril</v>
      </c>
    </row>
    <row r="1122" spans="2:28" ht="24" x14ac:dyDescent="0.3">
      <c r="B1122" s="2">
        <f>IF(BCP_Soles[[#This Row],[TIPO DE R.]]="R",COUNTIFS($D$4:$D1121,"R")+1,"")</f>
        <v>878</v>
      </c>
      <c r="C1122" s="19" t="str">
        <f t="shared" si="85"/>
        <v>B-BCP - Soles</v>
      </c>
      <c r="D1122" s="3" t="s">
        <v>1074</v>
      </c>
      <c r="E1122" s="14">
        <v>45751</v>
      </c>
      <c r="F1122" s="5" t="s">
        <v>1779</v>
      </c>
      <c r="G1122" s="5" t="s">
        <v>1087</v>
      </c>
      <c r="H1122" s="6"/>
      <c r="I1122" s="6"/>
      <c r="J1122" s="6"/>
      <c r="K1122" s="6"/>
      <c r="L1122" s="7" t="s">
        <v>1100</v>
      </c>
      <c r="M1122" s="8">
        <v>434268</v>
      </c>
      <c r="N1122" s="8" t="str">
        <f t="shared" si="86"/>
        <v>PEN</v>
      </c>
      <c r="O1122" s="13"/>
      <c r="P1122" s="13">
        <v>1500</v>
      </c>
      <c r="Q1122" s="3">
        <f t="shared" si="87"/>
        <v>1500</v>
      </c>
      <c r="R1122" s="3">
        <f t="shared" si="88"/>
        <v>0</v>
      </c>
      <c r="S1122" s="3">
        <f t="shared" si="89"/>
        <v>45091.580000000045</v>
      </c>
      <c r="T1122" s="24" t="s">
        <v>1081</v>
      </c>
      <c r="U1122" s="24" t="s">
        <v>1081</v>
      </c>
      <c r="V1122" s="67"/>
      <c r="W1122" s="25" t="str">
        <f>IFERROR(VLOOKUP(BCP_Soles[[#This Row],[DESTINATARIO]],CHOOSE({1,2},Clientes_Proveedores[Razon Social],Clientes_Proveedores[Ruc / Dni]),2,0),"")</f>
        <v/>
      </c>
      <c r="X1122" s="25" t="s">
        <v>1090</v>
      </c>
      <c r="Y1122" s="25" t="s">
        <v>2282</v>
      </c>
      <c r="Z1122" s="25"/>
      <c r="AA1122" s="99"/>
      <c r="AB1122" s="3" t="str">
        <f>IF(BCP_Soles[[#This Row],[FECHA]]&gt;0,TEXT(BCP_Soles[[#This Row],[FECHA]],"mmmm"),0)</f>
        <v>Abril</v>
      </c>
    </row>
    <row r="1123" spans="2:28" ht="24" x14ac:dyDescent="0.3">
      <c r="B1123" s="2">
        <f>IF(BCP_Soles[[#This Row],[TIPO DE R.]]="R",COUNTIFS($D$4:$D1122,"R")+1,"")</f>
        <v>879</v>
      </c>
      <c r="C1123" s="19" t="str">
        <f t="shared" si="85"/>
        <v>B-BCP - Soles</v>
      </c>
      <c r="D1123" s="3" t="s">
        <v>1074</v>
      </c>
      <c r="E1123" s="14">
        <v>45751</v>
      </c>
      <c r="F1123" s="5" t="s">
        <v>2283</v>
      </c>
      <c r="G1123" s="5" t="s">
        <v>1087</v>
      </c>
      <c r="H1123" s="6"/>
      <c r="I1123" s="6"/>
      <c r="J1123" s="6"/>
      <c r="K1123" s="6"/>
      <c r="L1123" s="7" t="s">
        <v>1100</v>
      </c>
      <c r="M1123" s="8">
        <v>1298068</v>
      </c>
      <c r="N1123" s="8" t="str">
        <f t="shared" si="86"/>
        <v>PEN</v>
      </c>
      <c r="O1123" s="13"/>
      <c r="P1123" s="13">
        <v>136</v>
      </c>
      <c r="Q1123" s="3">
        <f t="shared" si="87"/>
        <v>136</v>
      </c>
      <c r="R1123" s="3">
        <f t="shared" si="88"/>
        <v>0</v>
      </c>
      <c r="S1123" s="3">
        <f t="shared" si="89"/>
        <v>45227.580000000045</v>
      </c>
      <c r="T1123" s="24" t="s">
        <v>1081</v>
      </c>
      <c r="U1123" s="24" t="s">
        <v>1081</v>
      </c>
      <c r="V1123" s="67"/>
      <c r="W1123" s="25" t="str">
        <f>IFERROR(VLOOKUP(BCP_Soles[[#This Row],[DESTINATARIO]],CHOOSE({1,2},Clientes_Proveedores[Razon Social],Clientes_Proveedores[Ruc / Dni]),2,0),"")</f>
        <v/>
      </c>
      <c r="X1123" s="25" t="s">
        <v>1090</v>
      </c>
      <c r="Y1123" s="25" t="s">
        <v>2284</v>
      </c>
      <c r="Z1123" s="25"/>
      <c r="AA1123" s="99"/>
      <c r="AB1123" s="3" t="str">
        <f>IF(BCP_Soles[[#This Row],[FECHA]]&gt;0,TEXT(BCP_Soles[[#This Row],[FECHA]],"mmmm"),0)</f>
        <v>Abril</v>
      </c>
    </row>
    <row r="1124" spans="2:28" x14ac:dyDescent="0.3">
      <c r="B1124" s="2">
        <f>IF(BCP_Soles[[#This Row],[TIPO DE R.]]="R",COUNTIFS($D$4:$D1123,"R")+1,"")</f>
        <v>880</v>
      </c>
      <c r="C1124" s="19" t="str">
        <f t="shared" si="85"/>
        <v>B-BCP - Soles</v>
      </c>
      <c r="D1124" s="3" t="s">
        <v>1074</v>
      </c>
      <c r="E1124" s="14">
        <v>45751</v>
      </c>
      <c r="F1124" s="5"/>
      <c r="G1124" s="5" t="s">
        <v>1087</v>
      </c>
      <c r="H1124" s="6"/>
      <c r="I1124" s="6"/>
      <c r="J1124" s="6"/>
      <c r="K1124" s="6"/>
      <c r="L1124" s="7" t="s">
        <v>1100</v>
      </c>
      <c r="M1124" s="8">
        <v>449137</v>
      </c>
      <c r="N1124" s="8" t="str">
        <f t="shared" si="86"/>
        <v>PEN</v>
      </c>
      <c r="O1124" s="13"/>
      <c r="P1124" s="13">
        <v>40</v>
      </c>
      <c r="Q1124" s="3">
        <f t="shared" si="87"/>
        <v>40</v>
      </c>
      <c r="R1124" s="3">
        <f t="shared" si="88"/>
        <v>0</v>
      </c>
      <c r="S1124" s="3">
        <f t="shared" si="89"/>
        <v>45267.580000000045</v>
      </c>
      <c r="T1124" s="24" t="s">
        <v>1081</v>
      </c>
      <c r="U1124" s="24" t="s">
        <v>1081</v>
      </c>
      <c r="V1124" s="67"/>
      <c r="W1124" s="25" t="str">
        <f>IFERROR(VLOOKUP(BCP_Soles[[#This Row],[DESTINATARIO]],CHOOSE({1,2},Clientes_Proveedores[Razon Social],Clientes_Proveedores[Ruc / Dni]),2,0),"")</f>
        <v/>
      </c>
      <c r="X1124" s="25" t="s">
        <v>1090</v>
      </c>
      <c r="Y1124" s="25"/>
      <c r="Z1124" s="25"/>
      <c r="AA1124" s="99"/>
      <c r="AB1124" s="3" t="str">
        <f>IF(BCP_Soles[[#This Row],[FECHA]]&gt;0,TEXT(BCP_Soles[[#This Row],[FECHA]],"mmmm"),0)</f>
        <v>Abril</v>
      </c>
    </row>
    <row r="1125" spans="2:28" x14ac:dyDescent="0.3">
      <c r="B1125" s="2" t="str">
        <f>IF(BCP_Soles[[#This Row],[TIPO DE R.]]="R",COUNTIFS($D$4:$D1124,"R")+1,"")</f>
        <v/>
      </c>
      <c r="C1125" s="19" t="str">
        <f t="shared" si="85"/>
        <v>B-BCP - Soles</v>
      </c>
      <c r="D1125" s="3" t="s">
        <v>1101</v>
      </c>
      <c r="E1125" s="14">
        <v>45751</v>
      </c>
      <c r="F1125" s="5" t="s">
        <v>1239</v>
      </c>
      <c r="G1125" s="5"/>
      <c r="H1125" s="6"/>
      <c r="I1125" s="6"/>
      <c r="J1125" s="6"/>
      <c r="K1125" s="6"/>
      <c r="L1125" s="7" t="s">
        <v>1100</v>
      </c>
      <c r="M1125" s="8">
        <v>449137</v>
      </c>
      <c r="N1125" s="8" t="str">
        <f t="shared" si="86"/>
        <v>PEN</v>
      </c>
      <c r="O1125" s="13"/>
      <c r="P1125" s="13">
        <v>20</v>
      </c>
      <c r="Q1125" s="3">
        <f t="shared" si="87"/>
        <v>0</v>
      </c>
      <c r="R1125" s="3">
        <f t="shared" si="88"/>
        <v>0</v>
      </c>
      <c r="S1125" s="3">
        <f t="shared" si="89"/>
        <v>45267.580000000045</v>
      </c>
      <c r="T1125" s="24" t="s">
        <v>1081</v>
      </c>
      <c r="U1125" s="24" t="s">
        <v>1081</v>
      </c>
      <c r="V1125" s="67"/>
      <c r="W1125" s="25" t="str">
        <f>IFERROR(VLOOKUP(BCP_Soles[[#This Row],[DESTINATARIO]],CHOOSE({1,2},Clientes_Proveedores[Razon Social],Clientes_Proveedores[Ruc / Dni]),2,0),"")</f>
        <v/>
      </c>
      <c r="X1125" s="25" t="s">
        <v>1090</v>
      </c>
      <c r="Y1125" s="25" t="s">
        <v>2285</v>
      </c>
      <c r="Z1125" s="25"/>
      <c r="AA1125" s="99"/>
      <c r="AB1125" s="3" t="str">
        <f>IF(BCP_Soles[[#This Row],[FECHA]]&gt;0,TEXT(BCP_Soles[[#This Row],[FECHA]],"mmmm"),0)</f>
        <v>Abril</v>
      </c>
    </row>
    <row r="1126" spans="2:28" x14ac:dyDescent="0.3">
      <c r="B1126" s="2" t="str">
        <f>IF(BCP_Soles[[#This Row],[TIPO DE R.]]="R",COUNTIFS($D$4:$D1125,"R")+1,"")</f>
        <v/>
      </c>
      <c r="C1126" s="19" t="str">
        <f t="shared" si="85"/>
        <v>B-BCP - Soles</v>
      </c>
      <c r="D1126" s="3" t="s">
        <v>1101</v>
      </c>
      <c r="E1126" s="14">
        <v>45751</v>
      </c>
      <c r="F1126" s="5" t="s">
        <v>1239</v>
      </c>
      <c r="G1126" s="5"/>
      <c r="H1126" s="6"/>
      <c r="I1126" s="6"/>
      <c r="J1126" s="6"/>
      <c r="K1126" s="6"/>
      <c r="L1126" s="7" t="s">
        <v>1100</v>
      </c>
      <c r="M1126" s="8">
        <v>449137</v>
      </c>
      <c r="N1126" s="8" t="str">
        <f t="shared" si="86"/>
        <v>PEN</v>
      </c>
      <c r="O1126" s="13"/>
      <c r="P1126" s="13">
        <v>20</v>
      </c>
      <c r="Q1126" s="3">
        <f t="shared" si="87"/>
        <v>0</v>
      </c>
      <c r="R1126" s="3">
        <f t="shared" si="88"/>
        <v>0</v>
      </c>
      <c r="S1126" s="3">
        <f t="shared" si="89"/>
        <v>45267.580000000045</v>
      </c>
      <c r="T1126" s="24" t="s">
        <v>1081</v>
      </c>
      <c r="U1126" s="24" t="s">
        <v>1081</v>
      </c>
      <c r="V1126" s="67"/>
      <c r="W1126" s="25" t="str">
        <f>IFERROR(VLOOKUP(BCP_Soles[[#This Row],[DESTINATARIO]],CHOOSE({1,2},Clientes_Proveedores[Razon Social],Clientes_Proveedores[Ruc / Dni]),2,0),"")</f>
        <v/>
      </c>
      <c r="X1126" s="25" t="s">
        <v>1090</v>
      </c>
      <c r="Y1126" s="25" t="s">
        <v>2286</v>
      </c>
      <c r="Z1126" s="25"/>
      <c r="AA1126" s="99"/>
      <c r="AB1126" s="3" t="str">
        <f>IF(BCP_Soles[[#This Row],[FECHA]]&gt;0,TEXT(BCP_Soles[[#This Row],[FECHA]],"mmmm"),0)</f>
        <v>Abril</v>
      </c>
    </row>
    <row r="1127" spans="2:28" x14ac:dyDescent="0.3">
      <c r="B1127" s="2">
        <f>IF(BCP_Soles[[#This Row],[TIPO DE R.]]="R",COUNTIFS($D$4:$D1126,"R")+1,"")</f>
        <v>881</v>
      </c>
      <c r="C1127" s="19" t="str">
        <f t="shared" si="85"/>
        <v>B-BCP - Soles</v>
      </c>
      <c r="D1127" s="3" t="s">
        <v>1074</v>
      </c>
      <c r="E1127" s="14">
        <v>45751</v>
      </c>
      <c r="F1127" s="5" t="s">
        <v>1078</v>
      </c>
      <c r="G1127" s="5" t="s">
        <v>1079</v>
      </c>
      <c r="H1127" s="6"/>
      <c r="I1127" s="6"/>
      <c r="J1127" s="6"/>
      <c r="K1127" s="6"/>
      <c r="L1127" s="7" t="s">
        <v>1080</v>
      </c>
      <c r="M1127" s="8"/>
      <c r="N1127" s="8" t="str">
        <f t="shared" si="86"/>
        <v>PEN</v>
      </c>
      <c r="O1127" s="13"/>
      <c r="P1127" s="13">
        <v>2.2000000000000002</v>
      </c>
      <c r="Q1127" s="3">
        <f t="shared" si="87"/>
        <v>0</v>
      </c>
      <c r="R1127" s="3">
        <f t="shared" si="88"/>
        <v>2.2000000000000002</v>
      </c>
      <c r="S1127" s="3">
        <f t="shared" si="89"/>
        <v>45265.380000000048</v>
      </c>
      <c r="T1127" s="24"/>
      <c r="U1127" s="24" t="s">
        <v>1081</v>
      </c>
      <c r="V1127" s="67"/>
      <c r="W1127" s="25" t="str">
        <f>IFERROR(VLOOKUP(BCP_Soles[[#This Row],[DESTINATARIO]],CHOOSE({1,2},Clientes_Proveedores[Razon Social],Clientes_Proveedores[Ruc / Dni]),2,0),"")</f>
        <v/>
      </c>
      <c r="X1127" s="25"/>
      <c r="Y1127" s="25"/>
      <c r="Z1127" s="25"/>
      <c r="AA1127" s="99"/>
      <c r="AB1127" s="3" t="str">
        <f>IF(BCP_Soles[[#This Row],[FECHA]]&gt;0,TEXT(BCP_Soles[[#This Row],[FECHA]],"mmmm"),0)</f>
        <v>Abril</v>
      </c>
    </row>
    <row r="1128" spans="2:28" x14ac:dyDescent="0.3">
      <c r="B1128" s="2">
        <f>IF(BCP_Soles[[#This Row],[TIPO DE R.]]="R",COUNTIFS($D$4:$D1127,"R")+1,"")</f>
        <v>882</v>
      </c>
      <c r="C1128" s="19" t="str">
        <f t="shared" si="85"/>
        <v>B-BCP - Soles</v>
      </c>
      <c r="D1128" s="3" t="s">
        <v>1074</v>
      </c>
      <c r="E1128" s="14">
        <v>45751</v>
      </c>
      <c r="F1128" s="5" t="s">
        <v>1078</v>
      </c>
      <c r="G1128" s="5" t="s">
        <v>1079</v>
      </c>
      <c r="H1128" s="6"/>
      <c r="I1128" s="6"/>
      <c r="J1128" s="6"/>
      <c r="K1128" s="6"/>
      <c r="L1128" s="7" t="s">
        <v>1141</v>
      </c>
      <c r="M1128" s="8">
        <v>896</v>
      </c>
      <c r="N1128" s="8" t="str">
        <f t="shared" si="86"/>
        <v>PEN</v>
      </c>
      <c r="O1128" s="13"/>
      <c r="P1128" s="13">
        <v>10</v>
      </c>
      <c r="Q1128" s="3">
        <f t="shared" si="87"/>
        <v>0</v>
      </c>
      <c r="R1128" s="3">
        <f t="shared" si="88"/>
        <v>10</v>
      </c>
      <c r="S1128" s="3">
        <f t="shared" si="89"/>
        <v>45255.380000000048</v>
      </c>
      <c r="T1128" s="24"/>
      <c r="U1128" s="24" t="s">
        <v>1081</v>
      </c>
      <c r="V1128" s="67"/>
      <c r="W1128" s="25" t="str">
        <f>IFERROR(VLOOKUP(BCP_Soles[[#This Row],[DESTINATARIO]],CHOOSE({1,2},Clientes_Proveedores[Razon Social],Clientes_Proveedores[Ruc / Dni]),2,0),"")</f>
        <v/>
      </c>
      <c r="X1128" s="25" t="s">
        <v>1078</v>
      </c>
      <c r="Y1128" s="25" t="s">
        <v>2287</v>
      </c>
      <c r="Z1128" s="25"/>
      <c r="AA1128" s="99"/>
      <c r="AB1128" s="3" t="str">
        <f>IF(BCP_Soles[[#This Row],[FECHA]]&gt;0,TEXT(BCP_Soles[[#This Row],[FECHA]],"mmmm"),0)</f>
        <v>Abril</v>
      </c>
    </row>
    <row r="1129" spans="2:28" ht="24" x14ac:dyDescent="0.3">
      <c r="B1129" s="2">
        <f>IF(BCP_Soles[[#This Row],[TIPO DE R.]]="R",COUNTIFS($D$4:$D1128,"R")+1,"")</f>
        <v>883</v>
      </c>
      <c r="C1129" s="19" t="str">
        <f t="shared" si="85"/>
        <v>B-BCP - Soles</v>
      </c>
      <c r="D1129" s="3" t="s">
        <v>1074</v>
      </c>
      <c r="E1129" s="14">
        <v>45751</v>
      </c>
      <c r="F1129" s="5" t="s">
        <v>1996</v>
      </c>
      <c r="G1129" s="5" t="s">
        <v>1079</v>
      </c>
      <c r="H1129" s="6"/>
      <c r="I1129" s="6"/>
      <c r="J1129" s="6"/>
      <c r="K1129" s="6"/>
      <c r="L1129" s="7" t="s">
        <v>2288</v>
      </c>
      <c r="M1129" s="8">
        <v>1284754</v>
      </c>
      <c r="N1129" s="8" t="str">
        <f t="shared" si="86"/>
        <v>PEN</v>
      </c>
      <c r="O1129" s="13"/>
      <c r="P1129" s="13">
        <v>34</v>
      </c>
      <c r="Q1129" s="3">
        <f t="shared" si="87"/>
        <v>0</v>
      </c>
      <c r="R1129" s="3">
        <f t="shared" si="88"/>
        <v>34</v>
      </c>
      <c r="S1129" s="3">
        <f t="shared" si="89"/>
        <v>45221.380000000048</v>
      </c>
      <c r="T1129" s="24" t="s">
        <v>1081</v>
      </c>
      <c r="U1129" s="24" t="s">
        <v>1081</v>
      </c>
      <c r="V1129" s="67"/>
      <c r="W1129" s="25" t="str">
        <f>IFERROR(VLOOKUP(BCP_Soles[[#This Row],[DESTINATARIO]],CHOOSE({1,2},Clientes_Proveedores[Razon Social],Clientes_Proveedores[Ruc / Dni]),2,0),"")</f>
        <v/>
      </c>
      <c r="X1129" s="25" t="s">
        <v>825</v>
      </c>
      <c r="Y1129" s="25" t="s">
        <v>2289</v>
      </c>
      <c r="Z1129" s="25"/>
      <c r="AA1129" s="99"/>
      <c r="AB1129" s="3" t="str">
        <f>IF(BCP_Soles[[#This Row],[FECHA]]&gt;0,TEXT(BCP_Soles[[#This Row],[FECHA]],"mmmm"),0)</f>
        <v>Abril</v>
      </c>
    </row>
    <row r="1130" spans="2:28" ht="36" x14ac:dyDescent="0.3">
      <c r="B1130" s="2">
        <f>IF(BCP_Soles[[#This Row],[TIPO DE R.]]="R",COUNTIFS($D$4:$D1129,"R")+1,"")</f>
        <v>884</v>
      </c>
      <c r="C1130" s="19" t="str">
        <f t="shared" si="85"/>
        <v>B-BCP - Soles</v>
      </c>
      <c r="D1130" s="3" t="s">
        <v>1074</v>
      </c>
      <c r="E1130" s="14">
        <v>45751</v>
      </c>
      <c r="F1130" s="5" t="s">
        <v>1082</v>
      </c>
      <c r="G1130" s="5" t="s">
        <v>1079</v>
      </c>
      <c r="H1130" s="6" t="s">
        <v>644</v>
      </c>
      <c r="I1130" s="6" t="s">
        <v>14</v>
      </c>
      <c r="J1130" s="6" t="s">
        <v>1204</v>
      </c>
      <c r="K1130" s="6">
        <v>637086</v>
      </c>
      <c r="L1130" s="7" t="s">
        <v>1432</v>
      </c>
      <c r="M1130" s="8">
        <v>207238</v>
      </c>
      <c r="N1130" s="8" t="str">
        <f t="shared" si="86"/>
        <v>PEN</v>
      </c>
      <c r="O1130" s="13"/>
      <c r="P1130" s="13">
        <v>51.77</v>
      </c>
      <c r="Q1130" s="3">
        <f t="shared" si="87"/>
        <v>0</v>
      </c>
      <c r="R1130" s="3">
        <f t="shared" si="88"/>
        <v>51.77</v>
      </c>
      <c r="S1130" s="3">
        <f t="shared" si="89"/>
        <v>45169.610000000052</v>
      </c>
      <c r="T1130" s="24" t="s">
        <v>1081</v>
      </c>
      <c r="U1130" s="24" t="s">
        <v>1081</v>
      </c>
      <c r="V1130" s="67"/>
      <c r="W1130" s="25">
        <f>IFERROR(VLOOKUP(BCP_Soles[[#This Row],[DESTINATARIO]],CHOOSE({1,2},Clientes_Proveedores[Razon Social],Clientes_Proveedores[Ruc / Dni]),2,0),"")</f>
        <v>20454073143</v>
      </c>
      <c r="X1130" s="25" t="s">
        <v>1206</v>
      </c>
      <c r="Y1130" s="25" t="s">
        <v>2290</v>
      </c>
      <c r="Z1130" s="25"/>
      <c r="AA1130" s="99"/>
      <c r="AB1130" s="3" t="str">
        <f>IF(BCP_Soles[[#This Row],[FECHA]]&gt;0,TEXT(BCP_Soles[[#This Row],[FECHA]],"mmmm"),0)</f>
        <v>Abril</v>
      </c>
    </row>
    <row r="1131" spans="2:28" ht="36" x14ac:dyDescent="0.3">
      <c r="B1131" s="2">
        <f>IF(BCP_Soles[[#This Row],[TIPO DE R.]]="R",COUNTIFS($D$4:$D1130,"R")+1,"")</f>
        <v>885</v>
      </c>
      <c r="C1131" s="19" t="str">
        <f t="shared" si="85"/>
        <v>B-BCP - Soles</v>
      </c>
      <c r="D1131" s="3" t="s">
        <v>1074</v>
      </c>
      <c r="E1131" s="14">
        <v>45751</v>
      </c>
      <c r="F1131" s="5" t="s">
        <v>1996</v>
      </c>
      <c r="G1131" s="5" t="s">
        <v>1079</v>
      </c>
      <c r="H1131" s="6"/>
      <c r="I1131" s="6"/>
      <c r="J1131" s="6"/>
      <c r="K1131" s="6"/>
      <c r="L1131" s="7" t="s">
        <v>2291</v>
      </c>
      <c r="M1131" s="8">
        <v>1205255</v>
      </c>
      <c r="N1131" s="8" t="str">
        <f t="shared" si="86"/>
        <v>PEN</v>
      </c>
      <c r="O1131" s="13"/>
      <c r="P1131" s="13">
        <v>64</v>
      </c>
      <c r="Q1131" s="3">
        <f t="shared" si="87"/>
        <v>0</v>
      </c>
      <c r="R1131" s="3">
        <f t="shared" si="88"/>
        <v>64</v>
      </c>
      <c r="S1131" s="3">
        <f t="shared" si="89"/>
        <v>45105.610000000052</v>
      </c>
      <c r="T1131" s="24" t="s">
        <v>1081</v>
      </c>
      <c r="U1131" s="24" t="s">
        <v>1081</v>
      </c>
      <c r="V1131" s="67"/>
      <c r="W1131" s="25" t="str">
        <f>IFERROR(VLOOKUP(BCP_Soles[[#This Row],[DESTINATARIO]],CHOOSE({1,2},Clientes_Proveedores[Razon Social],Clientes_Proveedores[Ruc / Dni]),2,0),"")</f>
        <v/>
      </c>
      <c r="X1131" s="25" t="s">
        <v>825</v>
      </c>
      <c r="Y1131" s="25" t="s">
        <v>2292</v>
      </c>
      <c r="Z1131" s="25"/>
      <c r="AA1131" s="99"/>
      <c r="AB1131" s="3" t="str">
        <f>IF(BCP_Soles[[#This Row],[FECHA]]&gt;0,TEXT(BCP_Soles[[#This Row],[FECHA]],"mmmm"),0)</f>
        <v>Abril</v>
      </c>
    </row>
    <row r="1132" spans="2:28" ht="36" x14ac:dyDescent="0.3">
      <c r="B1132" s="2">
        <f>IF(BCP_Soles[[#This Row],[TIPO DE R.]]="R",COUNTIFS($D$4:$D1131,"R")+1,"")</f>
        <v>886</v>
      </c>
      <c r="C1132" s="19" t="str">
        <f t="shared" si="85"/>
        <v>B-BCP - Soles</v>
      </c>
      <c r="D1132" s="3" t="s">
        <v>1074</v>
      </c>
      <c r="E1132" s="14">
        <v>45751</v>
      </c>
      <c r="F1132" s="5" t="s">
        <v>1996</v>
      </c>
      <c r="G1132" s="5" t="s">
        <v>1079</v>
      </c>
      <c r="H1132" s="6" t="s">
        <v>644</v>
      </c>
      <c r="I1132" s="6" t="s">
        <v>14</v>
      </c>
      <c r="J1132" s="6" t="s">
        <v>1204</v>
      </c>
      <c r="K1132" s="6">
        <v>501651</v>
      </c>
      <c r="L1132" s="7" t="s">
        <v>1547</v>
      </c>
      <c r="M1132" s="8">
        <v>166283</v>
      </c>
      <c r="N1132" s="8" t="str">
        <f t="shared" si="86"/>
        <v>PEN</v>
      </c>
      <c r="O1132" s="13"/>
      <c r="P1132" s="13">
        <v>100.01</v>
      </c>
      <c r="Q1132" s="3">
        <f t="shared" si="87"/>
        <v>0</v>
      </c>
      <c r="R1132" s="3">
        <f t="shared" si="88"/>
        <v>100.01</v>
      </c>
      <c r="S1132" s="3">
        <f t="shared" si="89"/>
        <v>45005.600000000049</v>
      </c>
      <c r="T1132" s="24" t="s">
        <v>1081</v>
      </c>
      <c r="U1132" s="24" t="s">
        <v>1081</v>
      </c>
      <c r="V1132" s="67"/>
      <c r="W1132" s="25">
        <f>IFERROR(VLOOKUP(BCP_Soles[[#This Row],[DESTINATARIO]],CHOOSE({1,2},Clientes_Proveedores[Razon Social],Clientes_Proveedores[Ruc / Dni]),2,0),"")</f>
        <v>20454073143</v>
      </c>
      <c r="X1132" s="25" t="s">
        <v>1206</v>
      </c>
      <c r="Y1132" s="25" t="s">
        <v>2293</v>
      </c>
      <c r="Z1132" s="25"/>
      <c r="AA1132" s="99"/>
      <c r="AB1132" s="3" t="str">
        <f>IF(BCP_Soles[[#This Row],[FECHA]]&gt;0,TEXT(BCP_Soles[[#This Row],[FECHA]],"mmmm"),0)</f>
        <v>Abril</v>
      </c>
    </row>
    <row r="1133" spans="2:28" ht="36" x14ac:dyDescent="0.3">
      <c r="B1133" s="2">
        <f>IF(BCP_Soles[[#This Row],[TIPO DE R.]]="R",COUNTIFS($D$4:$D1132,"R")+1,"")</f>
        <v>887</v>
      </c>
      <c r="C1133" s="19" t="str">
        <f t="shared" si="85"/>
        <v>B-BCP - Soles</v>
      </c>
      <c r="D1133" s="3" t="s">
        <v>1074</v>
      </c>
      <c r="E1133" s="14">
        <v>45751</v>
      </c>
      <c r="F1133" s="5" t="s">
        <v>1996</v>
      </c>
      <c r="G1133" s="5" t="s">
        <v>1079</v>
      </c>
      <c r="H1133" s="6"/>
      <c r="I1133" s="6"/>
      <c r="J1133" s="6"/>
      <c r="K1133" s="6"/>
      <c r="L1133" s="7" t="s">
        <v>2294</v>
      </c>
      <c r="M1133" s="8">
        <v>1207239</v>
      </c>
      <c r="N1133" s="8" t="str">
        <f t="shared" si="86"/>
        <v>PEN</v>
      </c>
      <c r="O1133" s="13"/>
      <c r="P1133" s="13">
        <v>215.65</v>
      </c>
      <c r="Q1133" s="3">
        <f t="shared" si="87"/>
        <v>0</v>
      </c>
      <c r="R1133" s="3">
        <f t="shared" si="88"/>
        <v>215.65</v>
      </c>
      <c r="S1133" s="3">
        <f t="shared" si="89"/>
        <v>44789.950000000048</v>
      </c>
      <c r="T1133" s="24" t="s">
        <v>1081</v>
      </c>
      <c r="U1133" s="24" t="s">
        <v>1081</v>
      </c>
      <c r="V1133" s="67"/>
      <c r="W1133" s="25" t="str">
        <f>IFERROR(VLOOKUP(BCP_Soles[[#This Row],[DESTINATARIO]],CHOOSE({1,2},Clientes_Proveedores[Razon Social],Clientes_Proveedores[Ruc / Dni]),2,0),"")</f>
        <v/>
      </c>
      <c r="X1133" s="25" t="s">
        <v>825</v>
      </c>
      <c r="Y1133" s="25" t="s">
        <v>2295</v>
      </c>
      <c r="Z1133" s="25"/>
      <c r="AA1133" s="99"/>
      <c r="AB1133" s="3" t="str">
        <f>IF(BCP_Soles[[#This Row],[FECHA]]&gt;0,TEXT(BCP_Soles[[#This Row],[FECHA]],"mmmm"),0)</f>
        <v>Abril</v>
      </c>
    </row>
    <row r="1134" spans="2:28" x14ac:dyDescent="0.3">
      <c r="B1134" s="2">
        <f>IF(BCP_Soles[[#This Row],[TIPO DE R.]]="R",COUNTIFS($D$4:$D1133,"R")+1,"")</f>
        <v>888</v>
      </c>
      <c r="C1134" s="19" t="str">
        <f t="shared" si="85"/>
        <v>B-BCP - Soles</v>
      </c>
      <c r="D1134" s="3" t="s">
        <v>1074</v>
      </c>
      <c r="E1134" s="14">
        <v>45751</v>
      </c>
      <c r="F1134" s="5" t="s">
        <v>1996</v>
      </c>
      <c r="G1134" s="5" t="s">
        <v>1079</v>
      </c>
      <c r="H1134" s="6"/>
      <c r="I1134" s="6"/>
      <c r="J1134" s="6"/>
      <c r="K1134" s="6"/>
      <c r="L1134" s="7" t="s">
        <v>2296</v>
      </c>
      <c r="M1134" s="8">
        <v>164361</v>
      </c>
      <c r="N1134" s="8" t="str">
        <f t="shared" si="86"/>
        <v>PEN</v>
      </c>
      <c r="O1134" s="13"/>
      <c r="P1134" s="13">
        <v>582.88</v>
      </c>
      <c r="Q1134" s="3">
        <f t="shared" si="87"/>
        <v>0</v>
      </c>
      <c r="R1134" s="3">
        <f t="shared" si="88"/>
        <v>582.88</v>
      </c>
      <c r="S1134" s="3">
        <f t="shared" si="89"/>
        <v>44207.070000000051</v>
      </c>
      <c r="T1134" s="24" t="s">
        <v>1081</v>
      </c>
      <c r="U1134" s="24" t="s">
        <v>1081</v>
      </c>
      <c r="V1134" s="67"/>
      <c r="W1134" s="25" t="str">
        <f>IFERROR(VLOOKUP(BCP_Soles[[#This Row],[DESTINATARIO]],CHOOSE({1,2},Clientes_Proveedores[Razon Social],Clientes_Proveedores[Ruc / Dni]),2,0),"")</f>
        <v/>
      </c>
      <c r="X1134" s="25" t="s">
        <v>1679</v>
      </c>
      <c r="Y1134" s="25" t="s">
        <v>2297</v>
      </c>
      <c r="Z1134" s="25"/>
      <c r="AA1134" s="99"/>
      <c r="AB1134" s="3" t="str">
        <f>IF(BCP_Soles[[#This Row],[FECHA]]&gt;0,TEXT(BCP_Soles[[#This Row],[FECHA]],"mmmm"),0)</f>
        <v>Abril</v>
      </c>
    </row>
    <row r="1135" spans="2:28" ht="24" x14ac:dyDescent="0.3">
      <c r="B1135" s="2">
        <f>IF(BCP_Soles[[#This Row],[TIPO DE R.]]="R",COUNTIFS($D$4:$D1134,"R")+1,"")</f>
        <v>889</v>
      </c>
      <c r="C1135" s="19" t="str">
        <f t="shared" si="85"/>
        <v>B-BCP - Soles</v>
      </c>
      <c r="D1135" s="3" t="s">
        <v>1074</v>
      </c>
      <c r="E1135" s="14">
        <v>45751</v>
      </c>
      <c r="F1135" s="5" t="s">
        <v>1082</v>
      </c>
      <c r="G1135" s="5" t="s">
        <v>1079</v>
      </c>
      <c r="H1135" s="6" t="s">
        <v>210</v>
      </c>
      <c r="I1135" s="6" t="s">
        <v>14</v>
      </c>
      <c r="J1135" s="6" t="s">
        <v>1714</v>
      </c>
      <c r="K1135" s="6">
        <v>26094</v>
      </c>
      <c r="L1135" s="7" t="s">
        <v>2298</v>
      </c>
      <c r="M1135" s="8">
        <v>1205253</v>
      </c>
      <c r="N1135" s="8" t="str">
        <f t="shared" si="86"/>
        <v>PEN</v>
      </c>
      <c r="O1135" s="13"/>
      <c r="P1135" s="13">
        <v>710.01</v>
      </c>
      <c r="Q1135" s="3">
        <f t="shared" si="87"/>
        <v>0</v>
      </c>
      <c r="R1135" s="3">
        <f t="shared" si="88"/>
        <v>710.01</v>
      </c>
      <c r="S1135" s="3">
        <f t="shared" si="89"/>
        <v>43497.060000000049</v>
      </c>
      <c r="T1135" s="24" t="s">
        <v>1081</v>
      </c>
      <c r="U1135" s="24" t="s">
        <v>1081</v>
      </c>
      <c r="V1135" s="67"/>
      <c r="W1135" s="25">
        <f>IFERROR(VLOOKUP(BCP_Soles[[#This Row],[DESTINATARIO]],CHOOSE({1,2},Clientes_Proveedores[Razon Social],Clientes_Proveedores[Ruc / Dni]),2,0),"")</f>
        <v>20413666130</v>
      </c>
      <c r="X1135" s="25" t="s">
        <v>1716</v>
      </c>
      <c r="Y1135" s="25" t="s">
        <v>2299</v>
      </c>
      <c r="Z1135" s="25"/>
      <c r="AA1135" s="99"/>
      <c r="AB1135" s="3" t="str">
        <f>IF(BCP_Soles[[#This Row],[FECHA]]&gt;0,TEXT(BCP_Soles[[#This Row],[FECHA]],"mmmm"),0)</f>
        <v>Abril</v>
      </c>
    </row>
    <row r="1136" spans="2:28" ht="24" x14ac:dyDescent="0.3">
      <c r="B1136" s="2">
        <f>IF(BCP_Soles[[#This Row],[TIPO DE R.]]="R",COUNTIFS($D$4:$D1135,"R")+1,"")</f>
        <v>890</v>
      </c>
      <c r="C1136" s="19" t="str">
        <f t="shared" si="85"/>
        <v>B-BCP - Soles</v>
      </c>
      <c r="D1136" s="3" t="s">
        <v>1074</v>
      </c>
      <c r="E1136" s="14">
        <v>45751</v>
      </c>
      <c r="F1136" s="5" t="s">
        <v>1082</v>
      </c>
      <c r="G1136" s="5" t="s">
        <v>1079</v>
      </c>
      <c r="H1136" s="6"/>
      <c r="I1136" s="6" t="s">
        <v>14</v>
      </c>
      <c r="J1136" s="6"/>
      <c r="K1136" s="6"/>
      <c r="L1136" s="7" t="s">
        <v>2300</v>
      </c>
      <c r="M1136" s="8">
        <v>1166284</v>
      </c>
      <c r="N1136" s="8" t="str">
        <f t="shared" si="86"/>
        <v>PEN</v>
      </c>
      <c r="O1136" s="13"/>
      <c r="P1136" s="13">
        <v>1250</v>
      </c>
      <c r="Q1136" s="3">
        <f t="shared" si="87"/>
        <v>0</v>
      </c>
      <c r="R1136" s="3">
        <f t="shared" si="88"/>
        <v>1250</v>
      </c>
      <c r="S1136" s="3">
        <f t="shared" si="89"/>
        <v>42247.060000000049</v>
      </c>
      <c r="T1136" s="24" t="s">
        <v>1081</v>
      </c>
      <c r="U1136" s="24" t="s">
        <v>1081</v>
      </c>
      <c r="V1136" s="67"/>
      <c r="W1136" s="25" t="str">
        <f>IFERROR(VLOOKUP(BCP_Soles[[#This Row],[DESTINATARIO]],CHOOSE({1,2},Clientes_Proveedores[Razon Social],Clientes_Proveedores[Ruc / Dni]),2,0),"")</f>
        <v/>
      </c>
      <c r="X1136" s="25" t="s">
        <v>2301</v>
      </c>
      <c r="Y1136" s="25" t="s">
        <v>2302</v>
      </c>
      <c r="Z1136" s="25"/>
      <c r="AA1136" s="99"/>
      <c r="AB1136" s="3" t="str">
        <f>IF(BCP_Soles[[#This Row],[FECHA]]&gt;0,TEXT(BCP_Soles[[#This Row],[FECHA]],"mmmm"),0)</f>
        <v>Abril</v>
      </c>
    </row>
    <row r="1137" spans="2:28" ht="24" x14ac:dyDescent="0.3">
      <c r="B1137" s="2" t="str">
        <f>IF(BCP_Soles[[#This Row],[TIPO DE R.]]="R",COUNTIFS($D$4:$D1136,"R")+1,"")</f>
        <v/>
      </c>
      <c r="C1137" s="19" t="str">
        <f t="shared" si="85"/>
        <v>B-BCP - Soles</v>
      </c>
      <c r="D1137" s="3" t="s">
        <v>1101</v>
      </c>
      <c r="E1137" s="14">
        <v>45751</v>
      </c>
      <c r="F1137" s="5" t="s">
        <v>1082</v>
      </c>
      <c r="G1137" s="5"/>
      <c r="H1137" s="6" t="s">
        <v>540</v>
      </c>
      <c r="I1137" s="6" t="s">
        <v>14</v>
      </c>
      <c r="J1137" s="6" t="s">
        <v>1121</v>
      </c>
      <c r="K1137" s="6">
        <v>273</v>
      </c>
      <c r="L1137" s="7"/>
      <c r="M1137" s="8">
        <v>1166284</v>
      </c>
      <c r="N1137" s="8" t="str">
        <f t="shared" si="86"/>
        <v>PEN</v>
      </c>
      <c r="O1137" s="13"/>
      <c r="P1137" s="13"/>
      <c r="Q1137" s="3">
        <f t="shared" si="87"/>
        <v>0</v>
      </c>
      <c r="R1137" s="3">
        <f t="shared" si="88"/>
        <v>0</v>
      </c>
      <c r="S1137" s="3">
        <f t="shared" si="89"/>
        <v>42247.060000000049</v>
      </c>
      <c r="T1137" s="24"/>
      <c r="U1137" s="24"/>
      <c r="V1137" s="67"/>
      <c r="W1137" s="25">
        <f>IFERROR(VLOOKUP(BCP_Soles[[#This Row],[DESTINATARIO]],CHOOSE({1,2},Clientes_Proveedores[Razon Social],Clientes_Proveedores[Ruc / Dni]),2,0),"")</f>
        <v>20609908492</v>
      </c>
      <c r="X1137" s="25"/>
      <c r="Y1137" s="25"/>
      <c r="Z1137" s="25"/>
      <c r="AA1137" s="99"/>
      <c r="AB1137" s="3" t="str">
        <f>IF(BCP_Soles[[#This Row],[FECHA]]&gt;0,TEXT(BCP_Soles[[#This Row],[FECHA]],"mmmm"),0)</f>
        <v>Abril</v>
      </c>
    </row>
    <row r="1138" spans="2:28" ht="24" x14ac:dyDescent="0.3">
      <c r="B1138" s="2" t="str">
        <f>IF(BCP_Soles[[#This Row],[TIPO DE R.]]="R",COUNTIFS($D$4:$D1137,"R")+1,"")</f>
        <v/>
      </c>
      <c r="C1138" s="19" t="str">
        <f t="shared" si="85"/>
        <v>B-BCP - Soles</v>
      </c>
      <c r="D1138" s="3" t="s">
        <v>1101</v>
      </c>
      <c r="E1138" s="14">
        <v>45751</v>
      </c>
      <c r="F1138" s="5" t="s">
        <v>1082</v>
      </c>
      <c r="G1138" s="5"/>
      <c r="H1138" s="6" t="s">
        <v>540</v>
      </c>
      <c r="I1138" s="6" t="s">
        <v>14</v>
      </c>
      <c r="J1138" s="6" t="s">
        <v>1121</v>
      </c>
      <c r="K1138" s="6">
        <v>274</v>
      </c>
      <c r="L1138" s="7"/>
      <c r="M1138" s="8">
        <v>1166284</v>
      </c>
      <c r="N1138" s="8" t="str">
        <f t="shared" si="86"/>
        <v>PEN</v>
      </c>
      <c r="O1138" s="13"/>
      <c r="P1138" s="13"/>
      <c r="Q1138" s="3">
        <f t="shared" si="87"/>
        <v>0</v>
      </c>
      <c r="R1138" s="3">
        <f t="shared" si="88"/>
        <v>0</v>
      </c>
      <c r="S1138" s="3">
        <f t="shared" si="89"/>
        <v>42247.060000000049</v>
      </c>
      <c r="T1138" s="24"/>
      <c r="U1138" s="24"/>
      <c r="V1138" s="67"/>
      <c r="W1138" s="25">
        <f>IFERROR(VLOOKUP(BCP_Soles[[#This Row],[DESTINATARIO]],CHOOSE({1,2},Clientes_Proveedores[Razon Social],Clientes_Proveedores[Ruc / Dni]),2,0),"")</f>
        <v>20609908492</v>
      </c>
      <c r="X1138" s="25"/>
      <c r="Y1138" s="25"/>
      <c r="Z1138" s="25"/>
      <c r="AA1138" s="99"/>
      <c r="AB1138" s="3" t="str">
        <f>IF(BCP_Soles[[#This Row],[FECHA]]&gt;0,TEXT(BCP_Soles[[#This Row],[FECHA]],"mmmm"),0)</f>
        <v>Abril</v>
      </c>
    </row>
    <row r="1139" spans="2:28" x14ac:dyDescent="0.3">
      <c r="B1139" s="2">
        <f>IF(BCP_Soles[[#This Row],[TIPO DE R.]]="R",COUNTIFS($D$4:$D1138,"R")+1,"")</f>
        <v>891</v>
      </c>
      <c r="C1139" s="19" t="str">
        <f t="shared" si="85"/>
        <v>B-BCP - Soles</v>
      </c>
      <c r="D1139" s="3" t="s">
        <v>1074</v>
      </c>
      <c r="E1139" s="14">
        <v>45751</v>
      </c>
      <c r="F1139" s="5" t="s">
        <v>1996</v>
      </c>
      <c r="G1139" s="5" t="s">
        <v>1079</v>
      </c>
      <c r="H1139" s="6"/>
      <c r="I1139" s="6"/>
      <c r="J1139" s="6"/>
      <c r="K1139" s="6"/>
      <c r="L1139" s="7" t="s">
        <v>2303</v>
      </c>
      <c r="M1139" s="8">
        <v>1011220</v>
      </c>
      <c r="N1139" s="8" t="str">
        <f t="shared" si="86"/>
        <v>PEN</v>
      </c>
      <c r="O1139" s="13"/>
      <c r="P1139" s="13">
        <v>1319</v>
      </c>
      <c r="Q1139" s="3">
        <f t="shared" si="87"/>
        <v>0</v>
      </c>
      <c r="R1139" s="3">
        <f t="shared" si="88"/>
        <v>1319</v>
      </c>
      <c r="S1139" s="3">
        <f t="shared" si="89"/>
        <v>40928.060000000049</v>
      </c>
      <c r="T1139" s="24"/>
      <c r="U1139" s="24"/>
      <c r="V1139" s="67"/>
      <c r="W1139" s="25" t="str">
        <f>IFERROR(VLOOKUP(BCP_Soles[[#This Row],[DESTINATARIO]],CHOOSE({1,2},Clientes_Proveedores[Razon Social],Clientes_Proveedores[Ruc / Dni]),2,0),"")</f>
        <v/>
      </c>
      <c r="X1139" s="25" t="s">
        <v>1133</v>
      </c>
      <c r="Y1139" s="25"/>
      <c r="Z1139" s="25"/>
      <c r="AA1139" s="99"/>
      <c r="AB1139" s="3" t="str">
        <f>IF(BCP_Soles[[#This Row],[FECHA]]&gt;0,TEXT(BCP_Soles[[#This Row],[FECHA]],"mmmm"),0)</f>
        <v>Abril</v>
      </c>
    </row>
    <row r="1140" spans="2:28" ht="24" x14ac:dyDescent="0.3">
      <c r="B1140" s="2">
        <f>IF(BCP_Soles[[#This Row],[TIPO DE R.]]="R",COUNTIFS($D$4:$D1139,"R")+1,"")</f>
        <v>892</v>
      </c>
      <c r="C1140" s="19" t="str">
        <f t="shared" si="85"/>
        <v>B-BCP - Soles</v>
      </c>
      <c r="D1140" s="3" t="s">
        <v>1074</v>
      </c>
      <c r="E1140" s="14">
        <v>45751</v>
      </c>
      <c r="F1140" s="5" t="s">
        <v>1996</v>
      </c>
      <c r="G1140" s="5" t="s">
        <v>1079</v>
      </c>
      <c r="H1140" s="6" t="s">
        <v>704</v>
      </c>
      <c r="I1140" s="6" t="s">
        <v>18</v>
      </c>
      <c r="J1140" s="6" t="s">
        <v>1121</v>
      </c>
      <c r="K1140" s="6">
        <v>15</v>
      </c>
      <c r="L1140" s="7" t="s">
        <v>2304</v>
      </c>
      <c r="M1140" s="8">
        <v>1287195</v>
      </c>
      <c r="N1140" s="8" t="str">
        <f t="shared" si="86"/>
        <v>PEN</v>
      </c>
      <c r="O1140" s="13"/>
      <c r="P1140" s="13">
        <v>1340</v>
      </c>
      <c r="Q1140" s="3">
        <f t="shared" si="87"/>
        <v>0</v>
      </c>
      <c r="R1140" s="3">
        <f t="shared" si="88"/>
        <v>1340</v>
      </c>
      <c r="S1140" s="3">
        <f t="shared" si="89"/>
        <v>39588.060000000049</v>
      </c>
      <c r="T1140" s="24" t="s">
        <v>1081</v>
      </c>
      <c r="U1140" s="24" t="s">
        <v>1081</v>
      </c>
      <c r="V1140" s="67"/>
      <c r="W1140" s="25">
        <f>IFERROR(VLOOKUP(BCP_Soles[[#This Row],[DESTINATARIO]],CHOOSE({1,2},Clientes_Proveedores[Razon Social],Clientes_Proveedores[Ruc / Dni]),2,0),"")</f>
        <v>10763176024</v>
      </c>
      <c r="X1140" s="25" t="s">
        <v>2305</v>
      </c>
      <c r="Y1140" s="25" t="s">
        <v>2306</v>
      </c>
      <c r="Z1140" s="25"/>
      <c r="AA1140" s="99"/>
      <c r="AB1140" s="3" t="str">
        <f>IF(BCP_Soles[[#This Row],[FECHA]]&gt;0,TEXT(BCP_Soles[[#This Row],[FECHA]],"mmmm"),0)</f>
        <v>Abril</v>
      </c>
    </row>
    <row r="1141" spans="2:28" ht="24" x14ac:dyDescent="0.3">
      <c r="B1141" s="2">
        <f>IF(BCP_Soles[[#This Row],[TIPO DE R.]]="R",COUNTIFS($D$4:$D1140,"R")+1,"")</f>
        <v>893</v>
      </c>
      <c r="C1141" s="19" t="str">
        <f t="shared" si="85"/>
        <v>B-BCP - Soles</v>
      </c>
      <c r="D1141" s="3" t="s">
        <v>1074</v>
      </c>
      <c r="E1141" s="14">
        <v>45751</v>
      </c>
      <c r="F1141" s="5" t="s">
        <v>1996</v>
      </c>
      <c r="G1141" s="5" t="s">
        <v>1079</v>
      </c>
      <c r="H1141" s="6" t="s">
        <v>704</v>
      </c>
      <c r="I1141" s="6" t="s">
        <v>18</v>
      </c>
      <c r="J1141" s="6" t="s">
        <v>1121</v>
      </c>
      <c r="K1141" s="6">
        <v>16</v>
      </c>
      <c r="L1141" s="7" t="s">
        <v>2307</v>
      </c>
      <c r="M1141" s="8">
        <v>1287682</v>
      </c>
      <c r="N1141" s="8" t="str">
        <f t="shared" si="86"/>
        <v>PEN</v>
      </c>
      <c r="O1141" s="13"/>
      <c r="P1141" s="13">
        <v>1353.12</v>
      </c>
      <c r="Q1141" s="3">
        <f t="shared" si="87"/>
        <v>0</v>
      </c>
      <c r="R1141" s="3">
        <f t="shared" si="88"/>
        <v>1353.12</v>
      </c>
      <c r="S1141" s="3">
        <f t="shared" si="89"/>
        <v>38234.940000000046</v>
      </c>
      <c r="T1141" s="24" t="s">
        <v>1081</v>
      </c>
      <c r="U1141" s="24" t="s">
        <v>1081</v>
      </c>
      <c r="V1141" s="67"/>
      <c r="W1141" s="25">
        <f>IFERROR(VLOOKUP(BCP_Soles[[#This Row],[DESTINATARIO]],CHOOSE({1,2},Clientes_Proveedores[Razon Social],Clientes_Proveedores[Ruc / Dni]),2,0),"")</f>
        <v>10763176024</v>
      </c>
      <c r="X1141" s="25" t="s">
        <v>2305</v>
      </c>
      <c r="Y1141" s="25" t="s">
        <v>2308</v>
      </c>
      <c r="Z1141" s="25"/>
      <c r="AA1141" s="99"/>
      <c r="AB1141" s="3" t="str">
        <f>IF(BCP_Soles[[#This Row],[FECHA]]&gt;0,TEXT(BCP_Soles[[#This Row],[FECHA]],"mmmm"),0)</f>
        <v>Abril</v>
      </c>
    </row>
    <row r="1142" spans="2:28" ht="24" x14ac:dyDescent="0.3">
      <c r="B1142" s="2">
        <f>IF(BCP_Soles[[#This Row],[TIPO DE R.]]="R",COUNTIFS($D$4:$D1141,"R")+1,"")</f>
        <v>894</v>
      </c>
      <c r="C1142" s="19" t="str">
        <f t="shared" si="85"/>
        <v>B-BCP - Soles</v>
      </c>
      <c r="D1142" s="3" t="s">
        <v>1074</v>
      </c>
      <c r="E1142" s="14">
        <v>45751</v>
      </c>
      <c r="F1142" s="5" t="s">
        <v>1996</v>
      </c>
      <c r="G1142" s="5" t="s">
        <v>1079</v>
      </c>
      <c r="H1142" s="6" t="s">
        <v>829</v>
      </c>
      <c r="I1142" s="6" t="s">
        <v>91</v>
      </c>
      <c r="J1142" s="6">
        <v>14</v>
      </c>
      <c r="K1142" s="6">
        <v>30</v>
      </c>
      <c r="L1142" s="7" t="s">
        <v>2309</v>
      </c>
      <c r="M1142" s="8">
        <v>1164360</v>
      </c>
      <c r="N1142" s="8" t="str">
        <f t="shared" si="86"/>
        <v>PEN</v>
      </c>
      <c r="O1142" s="13"/>
      <c r="P1142" s="13">
        <v>1957.54</v>
      </c>
      <c r="Q1142" s="3">
        <f t="shared" si="87"/>
        <v>0</v>
      </c>
      <c r="R1142" s="3">
        <f t="shared" si="88"/>
        <v>1957.54</v>
      </c>
      <c r="S1142" s="3">
        <f t="shared" si="89"/>
        <v>36277.400000000045</v>
      </c>
      <c r="T1142" s="24"/>
      <c r="U1142" s="24"/>
      <c r="V1142" s="67"/>
      <c r="W1142" s="25">
        <f>IFERROR(VLOOKUP(BCP_Soles[[#This Row],[DESTINATARIO]],CHOOSE({1,2},Clientes_Proveedores[Razon Social],Clientes_Proveedores[Ruc / Dni]),2,0),"")</f>
        <v>47461440</v>
      </c>
      <c r="X1142" s="25"/>
      <c r="Y1142" s="25"/>
      <c r="Z1142" s="25"/>
      <c r="AA1142" s="99"/>
      <c r="AB1142" s="3" t="str">
        <f>IF(BCP_Soles[[#This Row],[FECHA]]&gt;0,TEXT(BCP_Soles[[#This Row],[FECHA]],"mmmm"),0)</f>
        <v>Abril</v>
      </c>
    </row>
    <row r="1143" spans="2:28" ht="36" x14ac:dyDescent="0.3">
      <c r="B1143" s="2">
        <f>IF(BCP_Soles[[#This Row],[TIPO DE R.]]="R",COUNTIFS($D$4:$D1142,"R")+1,"")</f>
        <v>895</v>
      </c>
      <c r="C1143" s="19" t="str">
        <f t="shared" si="85"/>
        <v>B-BCP - Soles</v>
      </c>
      <c r="D1143" s="3" t="s">
        <v>1074</v>
      </c>
      <c r="E1143" s="14">
        <v>45751</v>
      </c>
      <c r="F1143" s="5" t="s">
        <v>1082</v>
      </c>
      <c r="G1143" s="5" t="s">
        <v>1079</v>
      </c>
      <c r="H1143" s="6" t="s">
        <v>644</v>
      </c>
      <c r="I1143" s="6" t="s">
        <v>14</v>
      </c>
      <c r="J1143" s="6" t="s">
        <v>1204</v>
      </c>
      <c r="K1143" s="6">
        <v>501704</v>
      </c>
      <c r="L1143" s="7" t="s">
        <v>1547</v>
      </c>
      <c r="M1143" s="8">
        <v>204790</v>
      </c>
      <c r="N1143" s="8" t="str">
        <f t="shared" si="86"/>
        <v>PEN</v>
      </c>
      <c r="O1143" s="13"/>
      <c r="P1143" s="13">
        <v>2196.11</v>
      </c>
      <c r="Q1143" s="3">
        <f t="shared" si="87"/>
        <v>0</v>
      </c>
      <c r="R1143" s="3">
        <f t="shared" si="88"/>
        <v>2196.11</v>
      </c>
      <c r="S1143" s="3">
        <f t="shared" si="89"/>
        <v>34081.290000000045</v>
      </c>
      <c r="T1143" s="24" t="s">
        <v>1081</v>
      </c>
      <c r="U1143" s="24" t="s">
        <v>1081</v>
      </c>
      <c r="V1143" s="67"/>
      <c r="W1143" s="25">
        <f>IFERROR(VLOOKUP(BCP_Soles[[#This Row],[DESTINATARIO]],CHOOSE({1,2},Clientes_Proveedores[Razon Social],Clientes_Proveedores[Ruc / Dni]),2,0),"")</f>
        <v>20454073143</v>
      </c>
      <c r="X1143" s="25" t="s">
        <v>1206</v>
      </c>
      <c r="Y1143" s="25" t="s">
        <v>2310</v>
      </c>
      <c r="Z1143" s="25"/>
      <c r="AA1143" s="99"/>
      <c r="AB1143" s="3" t="str">
        <f>IF(BCP_Soles[[#This Row],[FECHA]]&gt;0,TEXT(BCP_Soles[[#This Row],[FECHA]],"mmmm"),0)</f>
        <v>Abril</v>
      </c>
    </row>
    <row r="1144" spans="2:28" ht="24" x14ac:dyDescent="0.3">
      <c r="B1144" s="2">
        <f>IF(BCP_Soles[[#This Row],[TIPO DE R.]]="R",COUNTIFS($D$4:$D1143,"R")+1,"")</f>
        <v>896</v>
      </c>
      <c r="C1144" s="19" t="str">
        <f t="shared" si="85"/>
        <v>B-BCP - Soles</v>
      </c>
      <c r="D1144" s="3" t="s">
        <v>1074</v>
      </c>
      <c r="E1144" s="14">
        <v>45751</v>
      </c>
      <c r="F1144" s="5" t="s">
        <v>1996</v>
      </c>
      <c r="G1144" s="5" t="s">
        <v>1079</v>
      </c>
      <c r="H1144" s="6"/>
      <c r="I1144" s="6"/>
      <c r="J1144" s="6"/>
      <c r="K1144" s="6"/>
      <c r="L1144" s="7" t="s">
        <v>2311</v>
      </c>
      <c r="M1144" s="8">
        <v>1164822</v>
      </c>
      <c r="N1144" s="8" t="str">
        <f t="shared" si="86"/>
        <v>PEN</v>
      </c>
      <c r="O1144" s="13"/>
      <c r="P1144" s="13">
        <v>2365.31</v>
      </c>
      <c r="Q1144" s="3">
        <f t="shared" si="87"/>
        <v>0</v>
      </c>
      <c r="R1144" s="3">
        <f t="shared" si="88"/>
        <v>2365.31</v>
      </c>
      <c r="S1144" s="3">
        <f t="shared" si="89"/>
        <v>31715.980000000043</v>
      </c>
      <c r="T1144" s="24"/>
      <c r="U1144" s="24"/>
      <c r="V1144" s="67"/>
      <c r="W1144" s="25" t="str">
        <f>IFERROR(VLOOKUP(BCP_Soles[[#This Row],[DESTINATARIO]],CHOOSE({1,2},Clientes_Proveedores[Razon Social],Clientes_Proveedores[Ruc / Dni]),2,0),"")</f>
        <v/>
      </c>
      <c r="X1144" s="25" t="s">
        <v>2312</v>
      </c>
      <c r="Y1144" s="25"/>
      <c r="Z1144" s="25"/>
      <c r="AA1144" s="99"/>
      <c r="AB1144" s="3" t="str">
        <f>IF(BCP_Soles[[#This Row],[FECHA]]&gt;0,TEXT(BCP_Soles[[#This Row],[FECHA]],"mmmm"),0)</f>
        <v>Abril</v>
      </c>
    </row>
    <row r="1145" spans="2:28" ht="36" x14ac:dyDescent="0.3">
      <c r="B1145" s="2">
        <f>IF(BCP_Soles[[#This Row],[TIPO DE R.]]="R",COUNTIFS($D$4:$D1144,"R")+1,"")</f>
        <v>897</v>
      </c>
      <c r="C1145" s="19" t="str">
        <f t="shared" si="85"/>
        <v>B-BCP - Soles</v>
      </c>
      <c r="D1145" s="3" t="s">
        <v>1074</v>
      </c>
      <c r="E1145" s="14">
        <v>45751</v>
      </c>
      <c r="F1145" s="5" t="s">
        <v>1996</v>
      </c>
      <c r="G1145" s="5" t="s">
        <v>1079</v>
      </c>
      <c r="H1145" s="6" t="s">
        <v>438</v>
      </c>
      <c r="I1145" s="6" t="s">
        <v>14</v>
      </c>
      <c r="J1145" s="6" t="s">
        <v>1121</v>
      </c>
      <c r="K1145" s="6">
        <v>3793</v>
      </c>
      <c r="L1145" s="7" t="s">
        <v>2313</v>
      </c>
      <c r="M1145" s="8">
        <v>1205254</v>
      </c>
      <c r="N1145" s="8" t="str">
        <f t="shared" si="86"/>
        <v>PEN</v>
      </c>
      <c r="O1145" s="13"/>
      <c r="P1145" s="13">
        <v>2880</v>
      </c>
      <c r="Q1145" s="3">
        <f t="shared" si="87"/>
        <v>0</v>
      </c>
      <c r="R1145" s="3">
        <f t="shared" si="88"/>
        <v>2880</v>
      </c>
      <c r="S1145" s="3">
        <f t="shared" si="89"/>
        <v>28835.980000000043</v>
      </c>
      <c r="T1145" s="24" t="s">
        <v>1081</v>
      </c>
      <c r="U1145" s="24" t="s">
        <v>1081</v>
      </c>
      <c r="V1145" s="67"/>
      <c r="W1145" s="25">
        <f>IFERROR(VLOOKUP(BCP_Soles[[#This Row],[DESTINATARIO]],CHOOSE({1,2},Clientes_Proveedores[Razon Social],Clientes_Proveedores[Ruc / Dni]),2,0),"")</f>
        <v>20602778861</v>
      </c>
      <c r="X1145" s="25" t="s">
        <v>438</v>
      </c>
      <c r="Y1145" s="25" t="s">
        <v>2314</v>
      </c>
      <c r="Z1145" s="25"/>
      <c r="AA1145" s="99"/>
      <c r="AB1145" s="3" t="str">
        <f>IF(BCP_Soles[[#This Row],[FECHA]]&gt;0,TEXT(BCP_Soles[[#This Row],[FECHA]],"mmmm"),0)</f>
        <v>Abril</v>
      </c>
    </row>
    <row r="1146" spans="2:28" ht="24" x14ac:dyDescent="0.3">
      <c r="B1146" s="2">
        <f>IF(BCP_Soles[[#This Row],[TIPO DE R.]]="R",COUNTIFS($D$4:$D1145,"R")+1,"")</f>
        <v>898</v>
      </c>
      <c r="C1146" s="19" t="str">
        <f t="shared" si="85"/>
        <v>B-BCP - Soles</v>
      </c>
      <c r="D1146" s="3" t="s">
        <v>1074</v>
      </c>
      <c r="E1146" s="14">
        <v>45751</v>
      </c>
      <c r="F1146" s="5" t="s">
        <v>1996</v>
      </c>
      <c r="G1146" s="5" t="s">
        <v>1079</v>
      </c>
      <c r="H1146" s="6" t="s">
        <v>640</v>
      </c>
      <c r="I1146" s="6"/>
      <c r="J1146" s="6"/>
      <c r="K1146" s="6"/>
      <c r="L1146" s="7" t="s">
        <v>2315</v>
      </c>
      <c r="M1146" s="8">
        <v>4018079</v>
      </c>
      <c r="N1146" s="8" t="str">
        <f t="shared" si="86"/>
        <v>PEN</v>
      </c>
      <c r="O1146" s="13"/>
      <c r="P1146" s="13">
        <v>3219.5</v>
      </c>
      <c r="Q1146" s="3">
        <f t="shared" si="87"/>
        <v>0</v>
      </c>
      <c r="R1146" s="3">
        <f t="shared" si="88"/>
        <v>3219.5</v>
      </c>
      <c r="S1146" s="3">
        <f t="shared" si="89"/>
        <v>25616.480000000043</v>
      </c>
      <c r="T1146" s="24" t="s">
        <v>1081</v>
      </c>
      <c r="U1146" s="24"/>
      <c r="V1146" s="67"/>
      <c r="W1146" s="25">
        <f>IFERROR(VLOOKUP(BCP_Soles[[#This Row],[DESTINATARIO]],CHOOSE({1,2},Clientes_Proveedores[Razon Social],Clientes_Proveedores[Ruc / Dni]),2,0),"")</f>
        <v>10296347634</v>
      </c>
      <c r="X1146" s="25" t="s">
        <v>640</v>
      </c>
      <c r="Y1146" s="25"/>
      <c r="Z1146" s="25"/>
      <c r="AA1146" s="99"/>
      <c r="AB1146" s="3" t="str">
        <f>IF(BCP_Soles[[#This Row],[FECHA]]&gt;0,TEXT(BCP_Soles[[#This Row],[FECHA]],"mmmm"),0)</f>
        <v>Abril</v>
      </c>
    </row>
    <row r="1147" spans="2:28" ht="24" x14ac:dyDescent="0.3">
      <c r="B1147" s="2" t="str">
        <f>IF(BCP_Soles[[#This Row],[TIPO DE R.]]="R",COUNTIFS($D$4:$D1146,"R")+1,"")</f>
        <v/>
      </c>
      <c r="C1147" s="19" t="str">
        <f t="shared" si="85"/>
        <v>B-BCP - Soles</v>
      </c>
      <c r="D1147" s="3" t="s">
        <v>1101</v>
      </c>
      <c r="E1147" s="14">
        <v>45751</v>
      </c>
      <c r="F1147" s="5" t="s">
        <v>1996</v>
      </c>
      <c r="G1147" s="5"/>
      <c r="H1147" s="6" t="s">
        <v>640</v>
      </c>
      <c r="I1147" s="6" t="s">
        <v>10</v>
      </c>
      <c r="J1147" s="6"/>
      <c r="K1147" s="6"/>
      <c r="L1147" s="7" t="s">
        <v>2315</v>
      </c>
      <c r="M1147" s="8">
        <v>4018079</v>
      </c>
      <c r="N1147" s="8" t="str">
        <f t="shared" si="86"/>
        <v>PEN</v>
      </c>
      <c r="O1147" s="13">
        <v>3200</v>
      </c>
      <c r="P1147" s="13"/>
      <c r="Q1147" s="3">
        <f t="shared" si="87"/>
        <v>0</v>
      </c>
      <c r="R1147" s="3">
        <f t="shared" si="88"/>
        <v>0</v>
      </c>
      <c r="S1147" s="3">
        <f t="shared" si="89"/>
        <v>25616.480000000043</v>
      </c>
      <c r="T1147" s="24" t="s">
        <v>1081</v>
      </c>
      <c r="U1147" s="24"/>
      <c r="V1147" s="67"/>
      <c r="W1147" s="25">
        <f>IFERROR(VLOOKUP(BCP_Soles[[#This Row],[DESTINATARIO]],CHOOSE({1,2},Clientes_Proveedores[Razon Social],Clientes_Proveedores[Ruc / Dni]),2,0),"")</f>
        <v>10296347634</v>
      </c>
      <c r="X1147" s="25"/>
      <c r="Y1147" s="25"/>
      <c r="Z1147" s="25"/>
      <c r="AA1147" s="99"/>
      <c r="AB1147" s="3" t="str">
        <f>IF(BCP_Soles[[#This Row],[FECHA]]&gt;0,TEXT(BCP_Soles[[#This Row],[FECHA]],"mmmm"),0)</f>
        <v>Abril</v>
      </c>
    </row>
    <row r="1148" spans="2:28" ht="24" x14ac:dyDescent="0.3">
      <c r="B1148" s="2" t="str">
        <f>IF(BCP_Soles[[#This Row],[TIPO DE R.]]="R",COUNTIFS($D$4:$D1147,"R")+1,"")</f>
        <v/>
      </c>
      <c r="C1148" s="19" t="str">
        <f t="shared" si="85"/>
        <v>B-BCP - Soles</v>
      </c>
      <c r="D1148" s="3" t="s">
        <v>1101</v>
      </c>
      <c r="E1148" s="14">
        <v>45751</v>
      </c>
      <c r="F1148" s="5" t="s">
        <v>1996</v>
      </c>
      <c r="G1148" s="5"/>
      <c r="H1148" s="6" t="s">
        <v>1001</v>
      </c>
      <c r="I1148" s="6" t="s">
        <v>14</v>
      </c>
      <c r="J1148" s="6" t="s">
        <v>3128</v>
      </c>
      <c r="K1148" s="6">
        <v>31215250</v>
      </c>
      <c r="L1148" s="7" t="s">
        <v>2315</v>
      </c>
      <c r="M1148" s="8">
        <v>4018079</v>
      </c>
      <c r="N1148" s="8" t="str">
        <f t="shared" si="86"/>
        <v>PEN</v>
      </c>
      <c r="O1148" s="13">
        <v>19.5</v>
      </c>
      <c r="P1148" s="13"/>
      <c r="Q1148" s="3">
        <f t="shared" si="87"/>
        <v>0</v>
      </c>
      <c r="R1148" s="3">
        <f t="shared" si="88"/>
        <v>0</v>
      </c>
      <c r="S1148" s="3">
        <f t="shared" si="89"/>
        <v>25616.480000000043</v>
      </c>
      <c r="T1148" s="24" t="s">
        <v>1081</v>
      </c>
      <c r="U1148" s="24"/>
      <c r="V1148" s="67"/>
      <c r="W1148" s="25">
        <f>IFERROR(VLOOKUP(BCP_Soles[[#This Row],[DESTINATARIO]],CHOOSE({1,2},Clientes_Proveedores[Razon Social],Clientes_Proveedores[Ruc / Dni]),2,0),"")</f>
        <v>20100047218</v>
      </c>
      <c r="X1148" s="25"/>
      <c r="Y1148" s="25"/>
      <c r="Z1148" s="25"/>
      <c r="AA1148" s="99"/>
      <c r="AB1148" s="3" t="str">
        <f>IF(BCP_Soles[[#This Row],[FECHA]]&gt;0,TEXT(BCP_Soles[[#This Row],[FECHA]],"mmmm"),0)</f>
        <v>Abril</v>
      </c>
    </row>
    <row r="1149" spans="2:28" ht="24" x14ac:dyDescent="0.3">
      <c r="B1149" s="2">
        <f>IF(BCP_Soles[[#This Row],[TIPO DE R.]]="R",COUNTIFS($D$4:$D1148,"R")+1,"")</f>
        <v>899</v>
      </c>
      <c r="C1149" s="19" t="str">
        <f t="shared" si="85"/>
        <v>B-BCP - Soles</v>
      </c>
      <c r="D1149" s="3" t="s">
        <v>1074</v>
      </c>
      <c r="E1149" s="14">
        <v>45751</v>
      </c>
      <c r="F1149" s="5" t="s">
        <v>1996</v>
      </c>
      <c r="G1149" s="5" t="s">
        <v>1079</v>
      </c>
      <c r="H1149" s="6"/>
      <c r="I1149" s="6" t="s">
        <v>14</v>
      </c>
      <c r="J1149" s="6" t="s">
        <v>1121</v>
      </c>
      <c r="K1149" s="6">
        <v>4088</v>
      </c>
      <c r="L1149" s="7" t="s">
        <v>2316</v>
      </c>
      <c r="M1149" s="8">
        <v>1284753</v>
      </c>
      <c r="N1149" s="8" t="str">
        <f t="shared" si="86"/>
        <v>PEN</v>
      </c>
      <c r="O1149" s="13"/>
      <c r="P1149" s="13">
        <v>8614</v>
      </c>
      <c r="Q1149" s="3">
        <f t="shared" si="87"/>
        <v>0</v>
      </c>
      <c r="R1149" s="3">
        <f t="shared" si="88"/>
        <v>8614</v>
      </c>
      <c r="S1149" s="3">
        <f t="shared" si="89"/>
        <v>17002.480000000043</v>
      </c>
      <c r="T1149" s="24" t="s">
        <v>1081</v>
      </c>
      <c r="U1149" s="24" t="s">
        <v>1081</v>
      </c>
      <c r="V1149" s="67"/>
      <c r="W1149" s="25" t="str">
        <f>IFERROR(VLOOKUP(BCP_Soles[[#This Row],[DESTINATARIO]],CHOOSE({1,2},Clientes_Proveedores[Razon Social],Clientes_Proveedores[Ruc / Dni]),2,0),"")</f>
        <v/>
      </c>
      <c r="X1149" s="25" t="s">
        <v>666</v>
      </c>
      <c r="Y1149" s="25" t="s">
        <v>2317</v>
      </c>
      <c r="Z1149" s="25"/>
      <c r="AA1149" s="99"/>
      <c r="AB1149" s="3" t="str">
        <f>IF(BCP_Soles[[#This Row],[FECHA]]&gt;0,TEXT(BCP_Soles[[#This Row],[FECHA]],"mmmm"),0)</f>
        <v>Abril</v>
      </c>
    </row>
    <row r="1150" spans="2:28" ht="60" x14ac:dyDescent="0.3">
      <c r="B1150" s="2">
        <f>IF(BCP_Soles[[#This Row],[TIPO DE R.]]="R",COUNTIFS($D$4:$D1149,"R")+1,"")</f>
        <v>900</v>
      </c>
      <c r="C1150" s="19" t="str">
        <f t="shared" si="85"/>
        <v>B-BCP - Soles</v>
      </c>
      <c r="D1150" s="3" t="s">
        <v>1074</v>
      </c>
      <c r="E1150" s="14">
        <v>45752</v>
      </c>
      <c r="F1150" s="5" t="s">
        <v>238</v>
      </c>
      <c r="G1150" s="5" t="s">
        <v>1087</v>
      </c>
      <c r="H1150" s="6"/>
      <c r="I1150" s="6"/>
      <c r="J1150" s="6"/>
      <c r="K1150" s="6"/>
      <c r="L1150" s="7" t="s">
        <v>1170</v>
      </c>
      <c r="M1150" s="8">
        <v>2062956</v>
      </c>
      <c r="N1150" s="8" t="str">
        <f t="shared" si="86"/>
        <v>PEN</v>
      </c>
      <c r="O1150" s="13"/>
      <c r="P1150" s="13">
        <v>1837.17</v>
      </c>
      <c r="Q1150" s="3">
        <f t="shared" si="87"/>
        <v>1837.17</v>
      </c>
      <c r="R1150" s="3">
        <f t="shared" si="88"/>
        <v>0</v>
      </c>
      <c r="S1150" s="3">
        <f t="shared" si="89"/>
        <v>18839.650000000045</v>
      </c>
      <c r="T1150" s="24" t="s">
        <v>1081</v>
      </c>
      <c r="U1150" s="24" t="s">
        <v>1081</v>
      </c>
      <c r="V1150" s="67"/>
      <c r="W1150" s="25" t="str">
        <f>IFERROR(VLOOKUP(BCP_Soles[[#This Row],[DESTINATARIO]],CHOOSE({1,2},Clientes_Proveedores[Razon Social],Clientes_Proveedores[Ruc / Dni]),2,0),"")</f>
        <v/>
      </c>
      <c r="X1150" s="25" t="s">
        <v>1090</v>
      </c>
      <c r="Y1150" s="25" t="s">
        <v>2318</v>
      </c>
      <c r="Z1150" s="25"/>
      <c r="AA1150" s="99"/>
      <c r="AB1150" s="3" t="str">
        <f>IF(BCP_Soles[[#This Row],[FECHA]]&gt;0,TEXT(BCP_Soles[[#This Row],[FECHA]],"mmmm"),0)</f>
        <v>Abril</v>
      </c>
    </row>
    <row r="1151" spans="2:28" ht="60" x14ac:dyDescent="0.3">
      <c r="B1151" s="2">
        <f>IF(BCP_Soles[[#This Row],[TIPO DE R.]]="R",COUNTIFS($D$4:$D1150,"R")+1,"")</f>
        <v>901</v>
      </c>
      <c r="C1151" s="19" t="str">
        <f t="shared" si="85"/>
        <v>B-BCP - Soles</v>
      </c>
      <c r="D1151" s="3" t="s">
        <v>1074</v>
      </c>
      <c r="E1151" s="14">
        <v>45752</v>
      </c>
      <c r="F1151" s="5" t="s">
        <v>238</v>
      </c>
      <c r="G1151" s="5" t="s">
        <v>1087</v>
      </c>
      <c r="H1151" s="6"/>
      <c r="I1151" s="6"/>
      <c r="J1151" s="6"/>
      <c r="K1151" s="6"/>
      <c r="L1151" s="7" t="s">
        <v>1170</v>
      </c>
      <c r="M1151" s="8">
        <v>2044157</v>
      </c>
      <c r="N1151" s="8" t="str">
        <f t="shared" si="86"/>
        <v>PEN</v>
      </c>
      <c r="O1151" s="13"/>
      <c r="P1151" s="13">
        <v>1746.38</v>
      </c>
      <c r="Q1151" s="3">
        <f t="shared" si="87"/>
        <v>1746.38</v>
      </c>
      <c r="R1151" s="3">
        <f t="shared" si="88"/>
        <v>0</v>
      </c>
      <c r="S1151" s="3">
        <f t="shared" si="89"/>
        <v>20586.030000000046</v>
      </c>
      <c r="T1151" s="24" t="s">
        <v>1081</v>
      </c>
      <c r="U1151" s="24" t="s">
        <v>1081</v>
      </c>
      <c r="V1151" s="67"/>
      <c r="W1151" s="25" t="str">
        <f>IFERROR(VLOOKUP(BCP_Soles[[#This Row],[DESTINATARIO]],CHOOSE({1,2},Clientes_Proveedores[Razon Social],Clientes_Proveedores[Ruc / Dni]),2,0),"")</f>
        <v/>
      </c>
      <c r="X1151" s="25" t="s">
        <v>1090</v>
      </c>
      <c r="Y1151" s="25" t="s">
        <v>2319</v>
      </c>
      <c r="Z1151" s="25"/>
      <c r="AA1151" s="99"/>
      <c r="AB1151" s="3" t="str">
        <f>IF(BCP_Soles[[#This Row],[FECHA]]&gt;0,TEXT(BCP_Soles[[#This Row],[FECHA]],"mmmm"),0)</f>
        <v>Abril</v>
      </c>
    </row>
    <row r="1152" spans="2:28" ht="60" x14ac:dyDescent="0.3">
      <c r="B1152" s="2">
        <f>IF(BCP_Soles[[#This Row],[TIPO DE R.]]="R",COUNTIFS($D$4:$D1151,"R")+1,"")</f>
        <v>902</v>
      </c>
      <c r="C1152" s="19" t="str">
        <f t="shared" si="85"/>
        <v>B-BCP - Soles</v>
      </c>
      <c r="D1152" s="3" t="s">
        <v>1074</v>
      </c>
      <c r="E1152" s="14">
        <v>45752</v>
      </c>
      <c r="F1152" s="5" t="s">
        <v>238</v>
      </c>
      <c r="G1152" s="5" t="s">
        <v>1087</v>
      </c>
      <c r="H1152" s="6"/>
      <c r="I1152" s="6"/>
      <c r="J1152" s="6"/>
      <c r="K1152" s="6"/>
      <c r="L1152" s="7" t="s">
        <v>1170</v>
      </c>
      <c r="M1152" s="8">
        <v>2047393</v>
      </c>
      <c r="N1152" s="8" t="str">
        <f t="shared" si="86"/>
        <v>PEN</v>
      </c>
      <c r="O1152" s="13"/>
      <c r="P1152" s="13">
        <v>1159.67</v>
      </c>
      <c r="Q1152" s="3">
        <f t="shared" si="87"/>
        <v>1159.67</v>
      </c>
      <c r="R1152" s="3">
        <f t="shared" si="88"/>
        <v>0</v>
      </c>
      <c r="S1152" s="3">
        <f t="shared" si="89"/>
        <v>21745.700000000048</v>
      </c>
      <c r="T1152" s="24" t="s">
        <v>1081</v>
      </c>
      <c r="U1152" s="24" t="s">
        <v>1081</v>
      </c>
      <c r="V1152" s="67"/>
      <c r="W1152" s="25" t="str">
        <f>IFERROR(VLOOKUP(BCP_Soles[[#This Row],[DESTINATARIO]],CHOOSE({1,2},Clientes_Proveedores[Razon Social],Clientes_Proveedores[Ruc / Dni]),2,0),"")</f>
        <v/>
      </c>
      <c r="X1152" s="25" t="s">
        <v>1090</v>
      </c>
      <c r="Y1152" s="25" t="s">
        <v>2320</v>
      </c>
      <c r="Z1152" s="25"/>
      <c r="AA1152" s="99"/>
      <c r="AB1152" s="3" t="str">
        <f>IF(BCP_Soles[[#This Row],[FECHA]]&gt;0,TEXT(BCP_Soles[[#This Row],[FECHA]],"mmmm"),0)</f>
        <v>Abril</v>
      </c>
    </row>
    <row r="1153" spans="2:28" ht="60" x14ac:dyDescent="0.3">
      <c r="B1153" s="2">
        <f>IF(BCP_Soles[[#This Row],[TIPO DE R.]]="R",COUNTIFS($D$4:$D1152,"R")+1,"")</f>
        <v>903</v>
      </c>
      <c r="C1153" s="19" t="str">
        <f t="shared" si="85"/>
        <v>B-BCP - Soles</v>
      </c>
      <c r="D1153" s="3" t="s">
        <v>1074</v>
      </c>
      <c r="E1153" s="14">
        <v>45752</v>
      </c>
      <c r="F1153" s="5" t="s">
        <v>238</v>
      </c>
      <c r="G1153" s="5" t="s">
        <v>1087</v>
      </c>
      <c r="H1153" s="6"/>
      <c r="I1153" s="6"/>
      <c r="J1153" s="6"/>
      <c r="K1153" s="6"/>
      <c r="L1153" s="7" t="s">
        <v>1170</v>
      </c>
      <c r="M1153" s="8">
        <v>2060187</v>
      </c>
      <c r="N1153" s="8" t="str">
        <f t="shared" si="86"/>
        <v>PEN</v>
      </c>
      <c r="O1153" s="13"/>
      <c r="P1153" s="13">
        <v>672.19</v>
      </c>
      <c r="Q1153" s="3">
        <f t="shared" si="87"/>
        <v>672.19</v>
      </c>
      <c r="R1153" s="3">
        <f t="shared" si="88"/>
        <v>0</v>
      </c>
      <c r="S1153" s="3">
        <f t="shared" si="89"/>
        <v>22417.890000000047</v>
      </c>
      <c r="T1153" s="24" t="s">
        <v>1081</v>
      </c>
      <c r="U1153" s="24" t="s">
        <v>1081</v>
      </c>
      <c r="V1153" s="67"/>
      <c r="W1153" s="25" t="str">
        <f>IFERROR(VLOOKUP(BCP_Soles[[#This Row],[DESTINATARIO]],CHOOSE({1,2},Clientes_Proveedores[Razon Social],Clientes_Proveedores[Ruc / Dni]),2,0),"")</f>
        <v/>
      </c>
      <c r="X1153" s="25" t="s">
        <v>1090</v>
      </c>
      <c r="Y1153" s="25" t="s">
        <v>2321</v>
      </c>
      <c r="Z1153" s="25"/>
      <c r="AA1153" s="99"/>
      <c r="AB1153" s="3" t="str">
        <f>IF(BCP_Soles[[#This Row],[FECHA]]&gt;0,TEXT(BCP_Soles[[#This Row],[FECHA]],"mmmm"),0)</f>
        <v>Abril</v>
      </c>
    </row>
    <row r="1154" spans="2:28" ht="60" x14ac:dyDescent="0.3">
      <c r="B1154" s="2">
        <f>IF(BCP_Soles[[#This Row],[TIPO DE R.]]="R",COUNTIFS($D$4:$D1153,"R")+1,"")</f>
        <v>904</v>
      </c>
      <c r="C1154" s="19" t="str">
        <f t="shared" si="85"/>
        <v>B-BCP - Soles</v>
      </c>
      <c r="D1154" s="3" t="s">
        <v>1074</v>
      </c>
      <c r="E1154" s="14">
        <v>45752</v>
      </c>
      <c r="F1154" s="5" t="s">
        <v>238</v>
      </c>
      <c r="G1154" s="5" t="s">
        <v>1087</v>
      </c>
      <c r="H1154" s="6"/>
      <c r="I1154" s="6"/>
      <c r="J1154" s="6"/>
      <c r="K1154" s="6"/>
      <c r="L1154" s="7" t="s">
        <v>1170</v>
      </c>
      <c r="M1154" s="8">
        <v>2060549</v>
      </c>
      <c r="N1154" s="8" t="str">
        <f t="shared" si="86"/>
        <v>PEN</v>
      </c>
      <c r="O1154" s="13"/>
      <c r="P1154" s="13">
        <v>670.83</v>
      </c>
      <c r="Q1154" s="3">
        <f t="shared" si="87"/>
        <v>670.83</v>
      </c>
      <c r="R1154" s="3">
        <f t="shared" si="88"/>
        <v>0</v>
      </c>
      <c r="S1154" s="3">
        <f t="shared" si="89"/>
        <v>23088.720000000048</v>
      </c>
      <c r="T1154" s="24" t="s">
        <v>1081</v>
      </c>
      <c r="U1154" s="24" t="s">
        <v>1081</v>
      </c>
      <c r="V1154" s="67"/>
      <c r="W1154" s="25" t="str">
        <f>IFERROR(VLOOKUP(BCP_Soles[[#This Row],[DESTINATARIO]],CHOOSE({1,2},Clientes_Proveedores[Razon Social],Clientes_Proveedores[Ruc / Dni]),2,0),"")</f>
        <v/>
      </c>
      <c r="X1154" s="25" t="s">
        <v>1090</v>
      </c>
      <c r="Y1154" s="25" t="s">
        <v>2322</v>
      </c>
      <c r="Z1154" s="25"/>
      <c r="AA1154" s="99"/>
      <c r="AB1154" s="3" t="str">
        <f>IF(BCP_Soles[[#This Row],[FECHA]]&gt;0,TEXT(BCP_Soles[[#This Row],[FECHA]],"mmmm"),0)</f>
        <v>Abril</v>
      </c>
    </row>
    <row r="1155" spans="2:28" ht="60" x14ac:dyDescent="0.3">
      <c r="B1155" s="2">
        <f>IF(BCP_Soles[[#This Row],[TIPO DE R.]]="R",COUNTIFS($D$4:$D1154,"R")+1,"")</f>
        <v>905</v>
      </c>
      <c r="C1155" s="19" t="str">
        <f t="shared" si="85"/>
        <v>B-BCP - Soles</v>
      </c>
      <c r="D1155" s="3" t="s">
        <v>1074</v>
      </c>
      <c r="E1155" s="14">
        <v>45752</v>
      </c>
      <c r="F1155" s="5" t="s">
        <v>238</v>
      </c>
      <c r="G1155" s="5" t="s">
        <v>1087</v>
      </c>
      <c r="H1155" s="6"/>
      <c r="I1155" s="6"/>
      <c r="J1155" s="6"/>
      <c r="K1155" s="6"/>
      <c r="L1155" s="7" t="s">
        <v>1170</v>
      </c>
      <c r="M1155" s="8">
        <v>2057749</v>
      </c>
      <c r="N1155" s="8" t="str">
        <f t="shared" si="86"/>
        <v>PEN</v>
      </c>
      <c r="O1155" s="13"/>
      <c r="P1155" s="13">
        <v>612.39</v>
      </c>
      <c r="Q1155" s="3">
        <f t="shared" si="87"/>
        <v>612.39</v>
      </c>
      <c r="R1155" s="3">
        <f t="shared" si="88"/>
        <v>0</v>
      </c>
      <c r="S1155" s="3">
        <f t="shared" si="89"/>
        <v>23701.110000000048</v>
      </c>
      <c r="T1155" s="24" t="s">
        <v>1081</v>
      </c>
      <c r="U1155" s="24" t="s">
        <v>1081</v>
      </c>
      <c r="V1155" s="67"/>
      <c r="W1155" s="25" t="str">
        <f>IFERROR(VLOOKUP(BCP_Soles[[#This Row],[DESTINATARIO]],CHOOSE({1,2},Clientes_Proveedores[Razon Social],Clientes_Proveedores[Ruc / Dni]),2,0),"")</f>
        <v/>
      </c>
      <c r="X1155" s="25" t="s">
        <v>1090</v>
      </c>
      <c r="Y1155" s="25" t="s">
        <v>2323</v>
      </c>
      <c r="Z1155" s="25"/>
      <c r="AA1155" s="99"/>
      <c r="AB1155" s="3" t="str">
        <f>IF(BCP_Soles[[#This Row],[FECHA]]&gt;0,TEXT(BCP_Soles[[#This Row],[FECHA]],"mmmm"),0)</f>
        <v>Abril</v>
      </c>
    </row>
    <row r="1156" spans="2:28" ht="60" x14ac:dyDescent="0.3">
      <c r="B1156" s="2">
        <f>IF(BCP_Soles[[#This Row],[TIPO DE R.]]="R",COUNTIFS($D$4:$D1155,"R")+1,"")</f>
        <v>906</v>
      </c>
      <c r="C1156" s="19" t="str">
        <f t="shared" si="85"/>
        <v>B-BCP - Soles</v>
      </c>
      <c r="D1156" s="3" t="s">
        <v>1074</v>
      </c>
      <c r="E1156" s="14">
        <v>45752</v>
      </c>
      <c r="F1156" s="5" t="s">
        <v>238</v>
      </c>
      <c r="G1156" s="5" t="s">
        <v>1087</v>
      </c>
      <c r="H1156" s="6"/>
      <c r="I1156" s="6"/>
      <c r="J1156" s="6"/>
      <c r="K1156" s="6"/>
      <c r="L1156" s="7" t="s">
        <v>1170</v>
      </c>
      <c r="M1156" s="8">
        <v>2058427</v>
      </c>
      <c r="N1156" s="8" t="str">
        <f t="shared" si="86"/>
        <v>PEN</v>
      </c>
      <c r="O1156" s="13"/>
      <c r="P1156" s="13">
        <v>541.20000000000005</v>
      </c>
      <c r="Q1156" s="3">
        <f t="shared" si="87"/>
        <v>541.20000000000005</v>
      </c>
      <c r="R1156" s="3">
        <f t="shared" si="88"/>
        <v>0</v>
      </c>
      <c r="S1156" s="3">
        <f t="shared" si="89"/>
        <v>24242.310000000049</v>
      </c>
      <c r="T1156" s="24" t="s">
        <v>1081</v>
      </c>
      <c r="U1156" s="24" t="s">
        <v>1081</v>
      </c>
      <c r="V1156" s="67"/>
      <c r="W1156" s="25" t="str">
        <f>IFERROR(VLOOKUP(BCP_Soles[[#This Row],[DESTINATARIO]],CHOOSE({1,2},Clientes_Proveedores[Razon Social],Clientes_Proveedores[Ruc / Dni]),2,0),"")</f>
        <v/>
      </c>
      <c r="X1156" s="25" t="s">
        <v>1090</v>
      </c>
      <c r="Y1156" s="25" t="s">
        <v>2324</v>
      </c>
      <c r="Z1156" s="25"/>
      <c r="AA1156" s="99"/>
      <c r="AB1156" s="3" t="str">
        <f>IF(BCP_Soles[[#This Row],[FECHA]]&gt;0,TEXT(BCP_Soles[[#This Row],[FECHA]],"mmmm"),0)</f>
        <v>Abril</v>
      </c>
    </row>
    <row r="1157" spans="2:28" ht="60" x14ac:dyDescent="0.3">
      <c r="B1157" s="2">
        <f>IF(BCP_Soles[[#This Row],[TIPO DE R.]]="R",COUNTIFS($D$4:$D1156,"R")+1,"")</f>
        <v>907</v>
      </c>
      <c r="C1157" s="19" t="str">
        <f t="shared" ref="C1157:C1220" si="90">"B-BCP - Soles"</f>
        <v>B-BCP - Soles</v>
      </c>
      <c r="D1157" s="3" t="s">
        <v>1074</v>
      </c>
      <c r="E1157" s="14">
        <v>45752</v>
      </c>
      <c r="F1157" s="5" t="s">
        <v>238</v>
      </c>
      <c r="G1157" s="5" t="s">
        <v>1087</v>
      </c>
      <c r="H1157" s="6"/>
      <c r="I1157" s="6"/>
      <c r="J1157" s="6"/>
      <c r="K1157" s="6"/>
      <c r="L1157" s="7" t="s">
        <v>1170</v>
      </c>
      <c r="M1157" s="8">
        <v>2053519</v>
      </c>
      <c r="N1157" s="8" t="str">
        <f t="shared" ref="N1157:N1220" si="91">"PEN"</f>
        <v>PEN</v>
      </c>
      <c r="O1157" s="13"/>
      <c r="P1157" s="13">
        <v>501.59</v>
      </c>
      <c r="Q1157" s="3">
        <f t="shared" ref="Q1157:Q1220" si="92">+IF(OR($G1157="SALDO",$G1157="INGRESO"),$P1157,0)</f>
        <v>501.59</v>
      </c>
      <c r="R1157" s="3">
        <f t="shared" ref="R1157:R1220" si="93">+IF($G1157="EGRESO",$P1157,0)</f>
        <v>0</v>
      </c>
      <c r="S1157" s="3">
        <f t="shared" ref="S1157:S1220" si="94">IFERROR(IF(G1157="SALDO",Q1157,S1156+Q1157-R1157),0)</f>
        <v>24743.900000000049</v>
      </c>
      <c r="T1157" s="24" t="s">
        <v>1081</v>
      </c>
      <c r="U1157" s="24" t="s">
        <v>1081</v>
      </c>
      <c r="V1157" s="67"/>
      <c r="W1157" s="25" t="str">
        <f>IFERROR(VLOOKUP(BCP_Soles[[#This Row],[DESTINATARIO]],CHOOSE({1,2},Clientes_Proveedores[Razon Social],Clientes_Proveedores[Ruc / Dni]),2,0),"")</f>
        <v/>
      </c>
      <c r="X1157" s="25" t="s">
        <v>1090</v>
      </c>
      <c r="Y1157" s="25" t="s">
        <v>1426</v>
      </c>
      <c r="Z1157" s="25"/>
      <c r="AA1157" s="99"/>
      <c r="AB1157" s="3" t="str">
        <f>IF(BCP_Soles[[#This Row],[FECHA]]&gt;0,TEXT(BCP_Soles[[#This Row],[FECHA]],"mmmm"),0)</f>
        <v>Abril</v>
      </c>
    </row>
    <row r="1158" spans="2:28" ht="60" x14ac:dyDescent="0.3">
      <c r="B1158" s="2">
        <f>IF(BCP_Soles[[#This Row],[TIPO DE R.]]="R",COUNTIFS($D$4:$D1157,"R")+1,"")</f>
        <v>908</v>
      </c>
      <c r="C1158" s="19" t="str">
        <f t="shared" si="90"/>
        <v>B-BCP - Soles</v>
      </c>
      <c r="D1158" s="3" t="s">
        <v>1074</v>
      </c>
      <c r="E1158" s="14">
        <v>45752</v>
      </c>
      <c r="F1158" s="5" t="s">
        <v>238</v>
      </c>
      <c r="G1158" s="5" t="s">
        <v>1087</v>
      </c>
      <c r="H1158" s="6"/>
      <c r="I1158" s="6"/>
      <c r="J1158" s="6"/>
      <c r="K1158" s="6"/>
      <c r="L1158" s="7" t="s">
        <v>1170</v>
      </c>
      <c r="M1158" s="8">
        <v>2059317</v>
      </c>
      <c r="N1158" s="8" t="str">
        <f t="shared" si="91"/>
        <v>PEN</v>
      </c>
      <c r="O1158" s="13"/>
      <c r="P1158" s="13">
        <v>216.88</v>
      </c>
      <c r="Q1158" s="3">
        <f t="shared" si="92"/>
        <v>216.88</v>
      </c>
      <c r="R1158" s="3">
        <f t="shared" si="93"/>
        <v>0</v>
      </c>
      <c r="S1158" s="3">
        <f t="shared" si="94"/>
        <v>24960.78000000005</v>
      </c>
      <c r="T1158" s="24" t="s">
        <v>1081</v>
      </c>
      <c r="U1158" s="24" t="s">
        <v>1081</v>
      </c>
      <c r="V1158" s="67"/>
      <c r="W1158" s="25" t="str">
        <f>IFERROR(VLOOKUP(BCP_Soles[[#This Row],[DESTINATARIO]],CHOOSE({1,2},Clientes_Proveedores[Razon Social],Clientes_Proveedores[Ruc / Dni]),2,0),"")</f>
        <v/>
      </c>
      <c r="X1158" s="25" t="s">
        <v>1090</v>
      </c>
      <c r="Y1158" s="25" t="s">
        <v>2325</v>
      </c>
      <c r="Z1158" s="25"/>
      <c r="AA1158" s="99"/>
      <c r="AB1158" s="3" t="str">
        <f>IF(BCP_Soles[[#This Row],[FECHA]]&gt;0,TEXT(BCP_Soles[[#This Row],[FECHA]],"mmmm"),0)</f>
        <v>Abril</v>
      </c>
    </row>
    <row r="1159" spans="2:28" ht="60" x14ac:dyDescent="0.3">
      <c r="B1159" s="2">
        <f>IF(BCP_Soles[[#This Row],[TIPO DE R.]]="R",COUNTIFS($D$4:$D1158,"R")+1,"")</f>
        <v>909</v>
      </c>
      <c r="C1159" s="19" t="str">
        <f t="shared" si="90"/>
        <v>B-BCP - Soles</v>
      </c>
      <c r="D1159" s="3" t="s">
        <v>1074</v>
      </c>
      <c r="E1159" s="14">
        <v>45752</v>
      </c>
      <c r="F1159" s="5" t="s">
        <v>238</v>
      </c>
      <c r="G1159" s="5" t="s">
        <v>1087</v>
      </c>
      <c r="H1159" s="6"/>
      <c r="I1159" s="6"/>
      <c r="J1159" s="6"/>
      <c r="K1159" s="6"/>
      <c r="L1159" s="7" t="s">
        <v>1170</v>
      </c>
      <c r="M1159" s="8">
        <v>2051378</v>
      </c>
      <c r="N1159" s="8" t="str">
        <f t="shared" si="91"/>
        <v>PEN</v>
      </c>
      <c r="O1159" s="13"/>
      <c r="P1159" s="13">
        <v>202.95</v>
      </c>
      <c r="Q1159" s="3">
        <f t="shared" si="92"/>
        <v>202.95</v>
      </c>
      <c r="R1159" s="3">
        <f t="shared" si="93"/>
        <v>0</v>
      </c>
      <c r="S1159" s="3">
        <f t="shared" si="94"/>
        <v>25163.73000000005</v>
      </c>
      <c r="T1159" s="24" t="s">
        <v>1081</v>
      </c>
      <c r="U1159" s="24" t="s">
        <v>1081</v>
      </c>
      <c r="V1159" s="67"/>
      <c r="W1159" s="25" t="str">
        <f>IFERROR(VLOOKUP(BCP_Soles[[#This Row],[DESTINATARIO]],CHOOSE({1,2},Clientes_Proveedores[Razon Social],Clientes_Proveedores[Ruc / Dni]),2,0),"")</f>
        <v/>
      </c>
      <c r="X1159" s="25" t="s">
        <v>1090</v>
      </c>
      <c r="Y1159" s="25" t="s">
        <v>2326</v>
      </c>
      <c r="Z1159" s="25"/>
      <c r="AA1159" s="99"/>
      <c r="AB1159" s="3" t="str">
        <f>IF(BCP_Soles[[#This Row],[FECHA]]&gt;0,TEXT(BCP_Soles[[#This Row],[FECHA]],"mmmm"),0)</f>
        <v>Abril</v>
      </c>
    </row>
    <row r="1160" spans="2:28" ht="24" x14ac:dyDescent="0.3">
      <c r="B1160" s="2">
        <f>IF(BCP_Soles[[#This Row],[TIPO DE R.]]="R",COUNTIFS($D$4:$D1159,"R")+1,"")</f>
        <v>910</v>
      </c>
      <c r="C1160" s="19" t="str">
        <f t="shared" si="90"/>
        <v>B-BCP - Soles</v>
      </c>
      <c r="D1160" s="3" t="s">
        <v>1074</v>
      </c>
      <c r="E1160" s="14">
        <v>45752</v>
      </c>
      <c r="F1160" s="5" t="s">
        <v>1163</v>
      </c>
      <c r="G1160" s="5" t="s">
        <v>1079</v>
      </c>
      <c r="H1160" s="6"/>
      <c r="I1160" s="6"/>
      <c r="J1160" s="6"/>
      <c r="K1160" s="6"/>
      <c r="L1160" s="7" t="s">
        <v>1100</v>
      </c>
      <c r="M1160" s="8">
        <v>4846827</v>
      </c>
      <c r="N1160" s="8" t="str">
        <f t="shared" si="91"/>
        <v>PEN</v>
      </c>
      <c r="O1160" s="13"/>
      <c r="P1160" s="13">
        <v>500</v>
      </c>
      <c r="Q1160" s="3">
        <f t="shared" si="92"/>
        <v>0</v>
      </c>
      <c r="R1160" s="3">
        <f t="shared" si="93"/>
        <v>500</v>
      </c>
      <c r="S1160" s="3">
        <f t="shared" si="94"/>
        <v>24663.73000000005</v>
      </c>
      <c r="T1160" s="24"/>
      <c r="U1160" s="24"/>
      <c r="V1160" s="67"/>
      <c r="W1160" s="25" t="str">
        <f>IFERROR(VLOOKUP(BCP_Soles[[#This Row],[DESTINATARIO]],CHOOSE({1,2},Clientes_Proveedores[Razon Social],Clientes_Proveedores[Ruc / Dni]),2,0),"")</f>
        <v/>
      </c>
      <c r="X1160" s="25"/>
      <c r="Y1160" s="25" t="s">
        <v>1172</v>
      </c>
      <c r="Z1160" s="25"/>
      <c r="AA1160" s="99"/>
      <c r="AB1160" s="3" t="str">
        <f>IF(BCP_Soles[[#This Row],[FECHA]]&gt;0,TEXT(BCP_Soles[[#This Row],[FECHA]],"mmmm"),0)</f>
        <v>Abril</v>
      </c>
    </row>
    <row r="1161" spans="2:28" x14ac:dyDescent="0.3">
      <c r="B1161" s="2">
        <f>IF(BCP_Soles[[#This Row],[TIPO DE R.]]="R",COUNTIFS($D$4:$D1160,"R")+1,"")</f>
        <v>911</v>
      </c>
      <c r="C1161" s="19" t="str">
        <f t="shared" si="90"/>
        <v>B-BCP - Soles</v>
      </c>
      <c r="D1161" s="3" t="s">
        <v>1074</v>
      </c>
      <c r="E1161" s="14">
        <v>45753</v>
      </c>
      <c r="F1161" s="5" t="s">
        <v>1078</v>
      </c>
      <c r="G1161" s="5" t="s">
        <v>1079</v>
      </c>
      <c r="H1161" s="6"/>
      <c r="I1161" s="6"/>
      <c r="J1161" s="6"/>
      <c r="K1161" s="6"/>
      <c r="L1161" s="7" t="s">
        <v>1080</v>
      </c>
      <c r="M1161" s="8"/>
      <c r="N1161" s="8" t="str">
        <f t="shared" si="91"/>
        <v>PEN</v>
      </c>
      <c r="O1161" s="13"/>
      <c r="P1161" s="13">
        <v>0.15</v>
      </c>
      <c r="Q1161" s="3">
        <f t="shared" si="92"/>
        <v>0</v>
      </c>
      <c r="R1161" s="3">
        <f t="shared" si="93"/>
        <v>0.15</v>
      </c>
      <c r="S1161" s="3">
        <f t="shared" si="94"/>
        <v>24663.580000000049</v>
      </c>
      <c r="T1161" s="24"/>
      <c r="U1161" s="24" t="s">
        <v>1081</v>
      </c>
      <c r="V1161" s="67"/>
      <c r="W1161" s="25" t="str">
        <f>IFERROR(VLOOKUP(BCP_Soles[[#This Row],[DESTINATARIO]],CHOOSE({1,2},Clientes_Proveedores[Razon Social],Clientes_Proveedores[Ruc / Dni]),2,0),"")</f>
        <v/>
      </c>
      <c r="X1161" s="25"/>
      <c r="Y1161" s="25"/>
      <c r="Z1161" s="25"/>
      <c r="AA1161" s="99"/>
      <c r="AB1161" s="3" t="str">
        <f>IF(BCP_Soles[[#This Row],[FECHA]]&gt;0,TEXT(BCP_Soles[[#This Row],[FECHA]],"mmmm"),0)</f>
        <v>Abril</v>
      </c>
    </row>
    <row r="1162" spans="2:28" ht="24" x14ac:dyDescent="0.3">
      <c r="B1162" s="2">
        <f>IF(BCP_Soles[[#This Row],[TIPO DE R.]]="R",COUNTIFS($D$4:$D1161,"R")+1,"")</f>
        <v>912</v>
      </c>
      <c r="C1162" s="19" t="str">
        <f t="shared" si="90"/>
        <v>B-BCP - Soles</v>
      </c>
      <c r="D1162" s="3" t="s">
        <v>1074</v>
      </c>
      <c r="E1162" s="14">
        <v>45754</v>
      </c>
      <c r="F1162" s="5" t="s">
        <v>275</v>
      </c>
      <c r="G1162" s="5" t="s">
        <v>1087</v>
      </c>
      <c r="H1162" s="6"/>
      <c r="I1162" s="6"/>
      <c r="J1162" s="6"/>
      <c r="K1162" s="6"/>
      <c r="L1162" s="7" t="s">
        <v>2327</v>
      </c>
      <c r="M1162" s="8">
        <v>2092179</v>
      </c>
      <c r="N1162" s="8" t="str">
        <f t="shared" si="91"/>
        <v>PEN</v>
      </c>
      <c r="O1162" s="13"/>
      <c r="P1162" s="13">
        <v>2071.27</v>
      </c>
      <c r="Q1162" s="3">
        <f t="shared" si="92"/>
        <v>2071.27</v>
      </c>
      <c r="R1162" s="3">
        <f t="shared" si="93"/>
        <v>0</v>
      </c>
      <c r="S1162" s="3">
        <f t="shared" si="94"/>
        <v>26734.850000000049</v>
      </c>
      <c r="T1162" s="24" t="s">
        <v>1081</v>
      </c>
      <c r="U1162" s="24" t="s">
        <v>1081</v>
      </c>
      <c r="V1162" s="67"/>
      <c r="W1162" s="25" t="str">
        <f>IFERROR(VLOOKUP(BCP_Soles[[#This Row],[DESTINATARIO]],CHOOSE({1,2},Clientes_Proveedores[Razon Social],Clientes_Proveedores[Ruc / Dni]),2,0),"")</f>
        <v/>
      </c>
      <c r="X1162" s="25" t="s">
        <v>1090</v>
      </c>
      <c r="Y1162" s="25" t="s">
        <v>2328</v>
      </c>
      <c r="Z1162" s="25"/>
      <c r="AA1162" s="99"/>
      <c r="AB1162" s="3" t="str">
        <f>IF(BCP_Soles[[#This Row],[FECHA]]&gt;0,TEXT(BCP_Soles[[#This Row],[FECHA]],"mmmm"),0)</f>
        <v>Abril</v>
      </c>
    </row>
    <row r="1163" spans="2:28" ht="24" x14ac:dyDescent="0.3">
      <c r="B1163" s="2">
        <f>IF(BCP_Soles[[#This Row],[TIPO DE R.]]="R",COUNTIFS($D$4:$D1162,"R")+1,"")</f>
        <v>913</v>
      </c>
      <c r="C1163" s="19" t="str">
        <f t="shared" si="90"/>
        <v>B-BCP - Soles</v>
      </c>
      <c r="D1163" s="3" t="s">
        <v>1074</v>
      </c>
      <c r="E1163" s="14">
        <v>45754</v>
      </c>
      <c r="F1163" s="5" t="s">
        <v>1245</v>
      </c>
      <c r="G1163" s="5" t="s">
        <v>1087</v>
      </c>
      <c r="H1163" s="6"/>
      <c r="I1163" s="6"/>
      <c r="J1163" s="6"/>
      <c r="K1163" s="6"/>
      <c r="L1163" s="7" t="s">
        <v>1100</v>
      </c>
      <c r="M1163" s="8">
        <v>785893</v>
      </c>
      <c r="N1163" s="8" t="str">
        <f t="shared" si="91"/>
        <v>PEN</v>
      </c>
      <c r="O1163" s="13"/>
      <c r="P1163" s="13">
        <v>1800</v>
      </c>
      <c r="Q1163" s="3">
        <f t="shared" si="92"/>
        <v>1800</v>
      </c>
      <c r="R1163" s="3">
        <f t="shared" si="93"/>
        <v>0</v>
      </c>
      <c r="S1163" s="3">
        <f t="shared" si="94"/>
        <v>28534.850000000049</v>
      </c>
      <c r="T1163" s="24" t="s">
        <v>1081</v>
      </c>
      <c r="U1163" s="24" t="s">
        <v>1081</v>
      </c>
      <c r="V1163" s="67"/>
      <c r="W1163" s="25" t="str">
        <f>IFERROR(VLOOKUP(BCP_Soles[[#This Row],[DESTINATARIO]],CHOOSE({1,2},Clientes_Proveedores[Razon Social],Clientes_Proveedores[Ruc / Dni]),2,0),"")</f>
        <v/>
      </c>
      <c r="X1163" s="25" t="s">
        <v>1090</v>
      </c>
      <c r="Y1163" s="25" t="s">
        <v>2329</v>
      </c>
      <c r="Z1163" s="25"/>
      <c r="AA1163" s="99"/>
      <c r="AB1163" s="3" t="str">
        <f>IF(BCP_Soles[[#This Row],[FECHA]]&gt;0,TEXT(BCP_Soles[[#This Row],[FECHA]],"mmmm"),0)</f>
        <v>Abril</v>
      </c>
    </row>
    <row r="1164" spans="2:28" ht="24" x14ac:dyDescent="0.3">
      <c r="B1164" s="2">
        <f>IF(BCP_Soles[[#This Row],[TIPO DE R.]]="R",COUNTIFS($D$4:$D1163,"R")+1,"")</f>
        <v>914</v>
      </c>
      <c r="C1164" s="19" t="str">
        <f t="shared" si="90"/>
        <v>B-BCP - Soles</v>
      </c>
      <c r="D1164" s="3" t="s">
        <v>1074</v>
      </c>
      <c r="E1164" s="14">
        <v>45754</v>
      </c>
      <c r="F1164" s="5" t="s">
        <v>1936</v>
      </c>
      <c r="G1164" s="5" t="s">
        <v>1087</v>
      </c>
      <c r="H1164" s="6"/>
      <c r="I1164" s="6"/>
      <c r="J1164" s="6"/>
      <c r="K1164" s="6"/>
      <c r="L1164" s="7" t="s">
        <v>1100</v>
      </c>
      <c r="M1164" s="8">
        <v>1096448</v>
      </c>
      <c r="N1164" s="8" t="str">
        <f t="shared" si="91"/>
        <v>PEN</v>
      </c>
      <c r="O1164" s="13"/>
      <c r="P1164" s="13">
        <v>159.5</v>
      </c>
      <c r="Q1164" s="3">
        <f t="shared" si="92"/>
        <v>159.5</v>
      </c>
      <c r="R1164" s="3">
        <f t="shared" si="93"/>
        <v>0</v>
      </c>
      <c r="S1164" s="3">
        <f t="shared" si="94"/>
        <v>28694.350000000049</v>
      </c>
      <c r="T1164" s="24" t="s">
        <v>1081</v>
      </c>
      <c r="U1164" s="24" t="s">
        <v>1081</v>
      </c>
      <c r="V1164" s="67"/>
      <c r="W1164" s="25" t="str">
        <f>IFERROR(VLOOKUP(BCP_Soles[[#This Row],[DESTINATARIO]],CHOOSE({1,2},Clientes_Proveedores[Razon Social],Clientes_Proveedores[Ruc / Dni]),2,0),"")</f>
        <v/>
      </c>
      <c r="X1164" s="25" t="s">
        <v>1090</v>
      </c>
      <c r="Y1164" s="25" t="s">
        <v>1937</v>
      </c>
      <c r="Z1164" s="25"/>
      <c r="AA1164" s="99"/>
      <c r="AB1164" s="3" t="str">
        <f>IF(BCP_Soles[[#This Row],[FECHA]]&gt;0,TEXT(BCP_Soles[[#This Row],[FECHA]],"mmmm"),0)</f>
        <v>Abril</v>
      </c>
    </row>
    <row r="1165" spans="2:28" x14ac:dyDescent="0.3">
      <c r="B1165" s="2">
        <f>IF(BCP_Soles[[#This Row],[TIPO DE R.]]="R",COUNTIFS($D$4:$D1164,"R")+1,"")</f>
        <v>915</v>
      </c>
      <c r="C1165" s="19" t="str">
        <f t="shared" si="90"/>
        <v>B-BCP - Soles</v>
      </c>
      <c r="D1165" s="3" t="s">
        <v>1074</v>
      </c>
      <c r="E1165" s="14">
        <v>45754</v>
      </c>
      <c r="F1165" s="5" t="s">
        <v>1078</v>
      </c>
      <c r="G1165" s="5" t="s">
        <v>1079</v>
      </c>
      <c r="H1165" s="6"/>
      <c r="I1165" s="6"/>
      <c r="J1165" s="6"/>
      <c r="K1165" s="6"/>
      <c r="L1165" s="7" t="s">
        <v>1080</v>
      </c>
      <c r="M1165" s="8"/>
      <c r="N1165" s="8" t="str">
        <f t="shared" si="91"/>
        <v>PEN</v>
      </c>
      <c r="O1165" s="13"/>
      <c r="P1165" s="13">
        <v>0.4</v>
      </c>
      <c r="Q1165" s="3">
        <f t="shared" si="92"/>
        <v>0</v>
      </c>
      <c r="R1165" s="3">
        <f t="shared" si="93"/>
        <v>0.4</v>
      </c>
      <c r="S1165" s="3">
        <f t="shared" si="94"/>
        <v>28693.950000000048</v>
      </c>
      <c r="T1165" s="24"/>
      <c r="U1165" s="24" t="s">
        <v>1081</v>
      </c>
      <c r="V1165" s="67"/>
      <c r="W1165" s="25" t="str">
        <f>IFERROR(VLOOKUP(BCP_Soles[[#This Row],[DESTINATARIO]],CHOOSE({1,2},Clientes_Proveedores[Razon Social],Clientes_Proveedores[Ruc / Dni]),2,0),"")</f>
        <v/>
      </c>
      <c r="X1165" s="25"/>
      <c r="Y1165" s="25"/>
      <c r="Z1165" s="25"/>
      <c r="AA1165" s="99"/>
      <c r="AB1165" s="3" t="str">
        <f>IF(BCP_Soles[[#This Row],[FECHA]]&gt;0,TEXT(BCP_Soles[[#This Row],[FECHA]],"mmmm"),0)</f>
        <v>Abril</v>
      </c>
    </row>
    <row r="1166" spans="2:28" ht="24" x14ac:dyDescent="0.3">
      <c r="B1166" s="2">
        <f>IF(BCP_Soles[[#This Row],[TIPO DE R.]]="R",COUNTIFS($D$4:$D1165,"R")+1,"")</f>
        <v>916</v>
      </c>
      <c r="C1166" s="19" t="str">
        <f t="shared" si="90"/>
        <v>B-BCP - Soles</v>
      </c>
      <c r="D1166" s="3" t="s">
        <v>1074</v>
      </c>
      <c r="E1166" s="14">
        <v>45754</v>
      </c>
      <c r="F1166" s="5" t="s">
        <v>1996</v>
      </c>
      <c r="G1166" s="5" t="s">
        <v>1079</v>
      </c>
      <c r="H1166" s="6" t="s">
        <v>825</v>
      </c>
      <c r="I1166" s="6" t="s">
        <v>87</v>
      </c>
      <c r="J1166" s="6">
        <v>1</v>
      </c>
      <c r="K1166" s="6">
        <v>282025</v>
      </c>
      <c r="L1166" s="7" t="s">
        <v>2330</v>
      </c>
      <c r="M1166" s="8">
        <v>1207646</v>
      </c>
      <c r="N1166" s="8" t="str">
        <f t="shared" si="91"/>
        <v>PEN</v>
      </c>
      <c r="O1166" s="13"/>
      <c r="P1166" s="13">
        <v>984.5</v>
      </c>
      <c r="Q1166" s="3">
        <f t="shared" si="92"/>
        <v>0</v>
      </c>
      <c r="R1166" s="3">
        <f t="shared" si="93"/>
        <v>984.5</v>
      </c>
      <c r="S1166" s="3">
        <f t="shared" si="94"/>
        <v>27709.450000000048</v>
      </c>
      <c r="T1166" s="24" t="s">
        <v>1081</v>
      </c>
      <c r="U1166" s="24" t="s">
        <v>1081</v>
      </c>
      <c r="V1166" s="67"/>
      <c r="W1166" s="25">
        <f>IFERROR(VLOOKUP(BCP_Soles[[#This Row],[DESTINATARIO]],CHOOSE({1,2},Clientes_Proveedores[Razon Social],Clientes_Proveedores[Ruc / Dni]),2,0),"")</f>
        <v>71979355</v>
      </c>
      <c r="X1166" s="25"/>
      <c r="Y1166" s="25"/>
      <c r="Z1166" s="25"/>
      <c r="AA1166" s="99"/>
      <c r="AB1166" s="3" t="str">
        <f>IF(BCP_Soles[[#This Row],[FECHA]]&gt;0,TEXT(BCP_Soles[[#This Row],[FECHA]],"mmmm"),0)</f>
        <v>Abril</v>
      </c>
    </row>
    <row r="1167" spans="2:28" ht="24" x14ac:dyDescent="0.3">
      <c r="B1167" s="2">
        <f>IF(BCP_Soles[[#This Row],[TIPO DE R.]]="R",COUNTIFS($D$4:$D1166,"R")+1,"")</f>
        <v>917</v>
      </c>
      <c r="C1167" s="19" t="str">
        <f t="shared" si="90"/>
        <v>B-BCP - Soles</v>
      </c>
      <c r="D1167" s="3" t="s">
        <v>1074</v>
      </c>
      <c r="E1167" s="14">
        <v>45754</v>
      </c>
      <c r="F1167" s="5" t="s">
        <v>1996</v>
      </c>
      <c r="G1167" s="5" t="s">
        <v>1079</v>
      </c>
      <c r="H1167" s="6" t="s">
        <v>750</v>
      </c>
      <c r="I1167" s="6"/>
      <c r="J1167" s="6"/>
      <c r="K1167" s="6"/>
      <c r="L1167" s="7" t="s">
        <v>2331</v>
      </c>
      <c r="M1167" s="8">
        <v>1163081</v>
      </c>
      <c r="N1167" s="8" t="str">
        <f t="shared" si="91"/>
        <v>PEN</v>
      </c>
      <c r="O1167" s="13"/>
      <c r="P1167" s="13">
        <v>1500</v>
      </c>
      <c r="Q1167" s="3">
        <f t="shared" si="92"/>
        <v>0</v>
      </c>
      <c r="R1167" s="3">
        <f t="shared" si="93"/>
        <v>1500</v>
      </c>
      <c r="S1167" s="3">
        <f t="shared" si="94"/>
        <v>26209.450000000048</v>
      </c>
      <c r="T1167" s="24"/>
      <c r="U1167" s="24"/>
      <c r="V1167" s="67"/>
      <c r="W1167" s="25">
        <f>IFERROR(VLOOKUP(BCP_Soles[[#This Row],[DESTINATARIO]],CHOOSE({1,2},Clientes_Proveedores[Razon Social],Clientes_Proveedores[Ruc / Dni]),2,0),"")</f>
        <v>45286301</v>
      </c>
      <c r="X1167" s="25" t="s">
        <v>750</v>
      </c>
      <c r="Y1167" s="25"/>
      <c r="Z1167" s="25"/>
      <c r="AA1167" s="99"/>
      <c r="AB1167" s="3" t="str">
        <f>IF(BCP_Soles[[#This Row],[FECHA]]&gt;0,TEXT(BCP_Soles[[#This Row],[FECHA]],"mmmm"),0)</f>
        <v>Abril</v>
      </c>
    </row>
    <row r="1168" spans="2:28" ht="24" x14ac:dyDescent="0.3">
      <c r="B1168" s="2">
        <f>IF(BCP_Soles[[#This Row],[TIPO DE R.]]="R",COUNTIFS($D$4:$D1167,"R")+1,"")</f>
        <v>918</v>
      </c>
      <c r="C1168" s="19" t="str">
        <f t="shared" si="90"/>
        <v>B-BCP - Soles</v>
      </c>
      <c r="D1168" s="3" t="s">
        <v>1074</v>
      </c>
      <c r="E1168" s="14">
        <v>45754</v>
      </c>
      <c r="F1168" s="5" t="s">
        <v>1996</v>
      </c>
      <c r="G1168" s="5" t="s">
        <v>1079</v>
      </c>
      <c r="H1168" s="6"/>
      <c r="I1168" s="6"/>
      <c r="J1168" s="6"/>
      <c r="K1168" s="6"/>
      <c r="L1168" s="7" t="s">
        <v>2332</v>
      </c>
      <c r="M1168" s="8">
        <v>1748686</v>
      </c>
      <c r="N1168" s="8" t="str">
        <f t="shared" si="91"/>
        <v>PEN</v>
      </c>
      <c r="O1168" s="13"/>
      <c r="P1168" s="13">
        <v>4609.1499999999996</v>
      </c>
      <c r="Q1168" s="3">
        <f t="shared" si="92"/>
        <v>0</v>
      </c>
      <c r="R1168" s="3">
        <f t="shared" si="93"/>
        <v>4609.1499999999996</v>
      </c>
      <c r="S1168" s="3">
        <f t="shared" si="94"/>
        <v>21600.300000000047</v>
      </c>
      <c r="T1168" s="24" t="s">
        <v>1081</v>
      </c>
      <c r="U1168" s="24" t="s">
        <v>1586</v>
      </c>
      <c r="V1168" s="67"/>
      <c r="W1168" s="25" t="str">
        <f>IFERROR(VLOOKUP(BCP_Soles[[#This Row],[DESTINATARIO]],CHOOSE({1,2},Clientes_Proveedores[Razon Social],Clientes_Proveedores[Ruc / Dni]),2,0),"")</f>
        <v/>
      </c>
      <c r="X1168" s="25" t="s">
        <v>1118</v>
      </c>
      <c r="Y1168" s="25"/>
      <c r="Z1168" s="25"/>
      <c r="AA1168" s="99"/>
      <c r="AB1168" s="3" t="str">
        <f>IF(BCP_Soles[[#This Row],[FECHA]]&gt;0,TEXT(BCP_Soles[[#This Row],[FECHA]],"mmmm"),0)</f>
        <v>Abril</v>
      </c>
    </row>
    <row r="1169" spans="2:28" ht="24" x14ac:dyDescent="0.3">
      <c r="B1169" s="2" t="str">
        <f>IF(BCP_Soles[[#This Row],[TIPO DE R.]]="R",COUNTIFS($D$4:$D1168,"R")+1,"")</f>
        <v/>
      </c>
      <c r="C1169" s="19" t="str">
        <f t="shared" si="90"/>
        <v>B-BCP - Soles</v>
      </c>
      <c r="D1169" s="3" t="s">
        <v>1101</v>
      </c>
      <c r="E1169" s="14">
        <v>45754</v>
      </c>
      <c r="F1169" s="5" t="s">
        <v>1996</v>
      </c>
      <c r="G1169" s="5"/>
      <c r="H1169" s="6" t="s">
        <v>130</v>
      </c>
      <c r="I1169" s="6" t="s">
        <v>14</v>
      </c>
      <c r="J1169" s="6" t="s">
        <v>1121</v>
      </c>
      <c r="K1169" s="6">
        <v>335</v>
      </c>
      <c r="L1169" s="7" t="s">
        <v>2332</v>
      </c>
      <c r="M1169" s="8">
        <v>1748686</v>
      </c>
      <c r="N1169" s="8" t="str">
        <f t="shared" si="91"/>
        <v>PEN</v>
      </c>
      <c r="O1169" s="13">
        <v>90</v>
      </c>
      <c r="P1169" s="13"/>
      <c r="Q1169" s="3">
        <f t="shared" si="92"/>
        <v>0</v>
      </c>
      <c r="R1169" s="3">
        <f t="shared" si="93"/>
        <v>0</v>
      </c>
      <c r="S1169" s="3">
        <f t="shared" si="94"/>
        <v>21600.300000000047</v>
      </c>
      <c r="T1169" s="24"/>
      <c r="U1169" s="24"/>
      <c r="V1169" s="67"/>
      <c r="W1169" s="25">
        <f>IFERROR(VLOOKUP(BCP_Soles[[#This Row],[DESTINATARIO]],CHOOSE({1,2},Clientes_Proveedores[Razon Social],Clientes_Proveedores[Ruc / Dni]),2,0),"")</f>
        <v>10706063426</v>
      </c>
      <c r="X1169" s="25"/>
      <c r="Y1169" s="25"/>
      <c r="Z1169" s="25"/>
      <c r="AA1169" s="99"/>
      <c r="AB1169" s="3" t="str">
        <f>IF(BCP_Soles[[#This Row],[FECHA]]&gt;0,TEXT(BCP_Soles[[#This Row],[FECHA]],"mmmm"),0)</f>
        <v>Abril</v>
      </c>
    </row>
    <row r="1170" spans="2:28" ht="24" x14ac:dyDescent="0.3">
      <c r="B1170" s="2" t="str">
        <f>IF(BCP_Soles[[#This Row],[TIPO DE R.]]="R",COUNTIFS($D$4:$D1169,"R")+1,"")</f>
        <v/>
      </c>
      <c r="C1170" s="19" t="str">
        <f t="shared" si="90"/>
        <v>B-BCP - Soles</v>
      </c>
      <c r="D1170" s="3" t="s">
        <v>1101</v>
      </c>
      <c r="E1170" s="14">
        <v>45754</v>
      </c>
      <c r="F1170" s="5" t="s">
        <v>1996</v>
      </c>
      <c r="G1170" s="5"/>
      <c r="H1170" s="6" t="s">
        <v>130</v>
      </c>
      <c r="I1170" s="6" t="s">
        <v>14</v>
      </c>
      <c r="J1170" s="6" t="s">
        <v>1121</v>
      </c>
      <c r="K1170" s="6">
        <v>322</v>
      </c>
      <c r="L1170" s="7" t="s">
        <v>2332</v>
      </c>
      <c r="M1170" s="8">
        <v>1748686</v>
      </c>
      <c r="N1170" s="8" t="str">
        <f t="shared" si="91"/>
        <v>PEN</v>
      </c>
      <c r="O1170" s="13">
        <v>110</v>
      </c>
      <c r="P1170" s="13"/>
      <c r="Q1170" s="3">
        <f t="shared" si="92"/>
        <v>0</v>
      </c>
      <c r="R1170" s="3">
        <f t="shared" si="93"/>
        <v>0</v>
      </c>
      <c r="S1170" s="3">
        <f t="shared" si="94"/>
        <v>21600.300000000047</v>
      </c>
      <c r="T1170" s="24"/>
      <c r="U1170" s="24"/>
      <c r="V1170" s="67"/>
      <c r="W1170" s="25">
        <f>IFERROR(VLOOKUP(BCP_Soles[[#This Row],[DESTINATARIO]],CHOOSE({1,2},Clientes_Proveedores[Razon Social],Clientes_Proveedores[Ruc / Dni]),2,0),"")</f>
        <v>10706063426</v>
      </c>
      <c r="X1170" s="25"/>
      <c r="Y1170" s="25"/>
      <c r="Z1170" s="25"/>
      <c r="AA1170" s="99"/>
      <c r="AB1170" s="3" t="str">
        <f>IF(BCP_Soles[[#This Row],[FECHA]]&gt;0,TEXT(BCP_Soles[[#This Row],[FECHA]],"mmmm"),0)</f>
        <v>Abril</v>
      </c>
    </row>
    <row r="1171" spans="2:28" ht="24" x14ac:dyDescent="0.3">
      <c r="B1171" s="2" t="str">
        <f>IF(BCP_Soles[[#This Row],[TIPO DE R.]]="R",COUNTIFS($D$4:$D1170,"R")+1,"")</f>
        <v/>
      </c>
      <c r="C1171" s="19" t="str">
        <f t="shared" si="90"/>
        <v>B-BCP - Soles</v>
      </c>
      <c r="D1171" s="3" t="s">
        <v>1101</v>
      </c>
      <c r="E1171" s="14">
        <v>45754</v>
      </c>
      <c r="F1171" s="5" t="s">
        <v>1996</v>
      </c>
      <c r="G1171" s="5"/>
      <c r="H1171" s="6" t="s">
        <v>130</v>
      </c>
      <c r="I1171" s="6" t="s">
        <v>14</v>
      </c>
      <c r="J1171" s="6" t="s">
        <v>1121</v>
      </c>
      <c r="K1171" s="6">
        <v>307</v>
      </c>
      <c r="L1171" s="7" t="s">
        <v>2332</v>
      </c>
      <c r="M1171" s="8">
        <v>1748686</v>
      </c>
      <c r="N1171" s="8" t="str">
        <f t="shared" si="91"/>
        <v>PEN</v>
      </c>
      <c r="O1171" s="13">
        <v>80</v>
      </c>
      <c r="P1171" s="13"/>
      <c r="Q1171" s="3">
        <f t="shared" si="92"/>
        <v>0</v>
      </c>
      <c r="R1171" s="3">
        <f t="shared" si="93"/>
        <v>0</v>
      </c>
      <c r="S1171" s="3">
        <f t="shared" si="94"/>
        <v>21600.300000000047</v>
      </c>
      <c r="T1171" s="24"/>
      <c r="U1171" s="24"/>
      <c r="V1171" s="67"/>
      <c r="W1171" s="25">
        <f>IFERROR(VLOOKUP(BCP_Soles[[#This Row],[DESTINATARIO]],CHOOSE({1,2},Clientes_Proveedores[Razon Social],Clientes_Proveedores[Ruc / Dni]),2,0),"")</f>
        <v>10706063426</v>
      </c>
      <c r="X1171" s="25"/>
      <c r="Y1171" s="25"/>
      <c r="Z1171" s="25"/>
      <c r="AA1171" s="99"/>
      <c r="AB1171" s="3" t="str">
        <f>IF(BCP_Soles[[#This Row],[FECHA]]&gt;0,TEXT(BCP_Soles[[#This Row],[FECHA]],"mmmm"),0)</f>
        <v>Abril</v>
      </c>
    </row>
    <row r="1172" spans="2:28" ht="24" x14ac:dyDescent="0.3">
      <c r="B1172" s="2" t="str">
        <f>IF(BCP_Soles[[#This Row],[TIPO DE R.]]="R",COUNTIFS($D$4:$D1171,"R")+1,"")</f>
        <v/>
      </c>
      <c r="C1172" s="19" t="str">
        <f t="shared" si="90"/>
        <v>B-BCP - Soles</v>
      </c>
      <c r="D1172" s="3" t="s">
        <v>1101</v>
      </c>
      <c r="E1172" s="14">
        <v>45754</v>
      </c>
      <c r="F1172" s="5" t="s">
        <v>1996</v>
      </c>
      <c r="G1172" s="5"/>
      <c r="H1172" s="6" t="s">
        <v>118</v>
      </c>
      <c r="I1172" s="6" t="s">
        <v>14</v>
      </c>
      <c r="J1172" s="6" t="s">
        <v>1121</v>
      </c>
      <c r="K1172" s="6">
        <v>306</v>
      </c>
      <c r="L1172" s="7" t="s">
        <v>2332</v>
      </c>
      <c r="M1172" s="8">
        <v>1748686</v>
      </c>
      <c r="N1172" s="8" t="str">
        <f t="shared" si="91"/>
        <v>PEN</v>
      </c>
      <c r="O1172" s="13">
        <v>566</v>
      </c>
      <c r="P1172" s="13"/>
      <c r="Q1172" s="3">
        <f t="shared" si="92"/>
        <v>0</v>
      </c>
      <c r="R1172" s="3">
        <f t="shared" si="93"/>
        <v>0</v>
      </c>
      <c r="S1172" s="3">
        <f t="shared" si="94"/>
        <v>21600.300000000047</v>
      </c>
      <c r="T1172" s="24"/>
      <c r="U1172" s="24"/>
      <c r="V1172" s="67"/>
      <c r="W1172" s="25">
        <f>IFERROR(VLOOKUP(BCP_Soles[[#This Row],[DESTINATARIO]],CHOOSE({1,2},Clientes_Proveedores[Razon Social],Clientes_Proveedores[Ruc / Dni]),2,0),"")</f>
        <v>10470065147</v>
      </c>
      <c r="X1172" s="25"/>
      <c r="Y1172" s="25"/>
      <c r="Z1172" s="25"/>
      <c r="AA1172" s="99"/>
      <c r="AB1172" s="3" t="str">
        <f>IF(BCP_Soles[[#This Row],[FECHA]]&gt;0,TEXT(BCP_Soles[[#This Row],[FECHA]],"mmmm"),0)</f>
        <v>Abril</v>
      </c>
    </row>
    <row r="1173" spans="2:28" ht="24" x14ac:dyDescent="0.3">
      <c r="B1173" s="2" t="str">
        <f>IF(BCP_Soles[[#This Row],[TIPO DE R.]]="R",COUNTIFS($D$4:$D1172,"R")+1,"")</f>
        <v/>
      </c>
      <c r="C1173" s="19" t="str">
        <f t="shared" si="90"/>
        <v>B-BCP - Soles</v>
      </c>
      <c r="D1173" s="3" t="s">
        <v>1101</v>
      </c>
      <c r="E1173" s="14">
        <v>45754</v>
      </c>
      <c r="F1173" s="5" t="s">
        <v>1996</v>
      </c>
      <c r="G1173" s="5"/>
      <c r="H1173" s="6" t="s">
        <v>118</v>
      </c>
      <c r="I1173" s="6" t="s">
        <v>14</v>
      </c>
      <c r="J1173" s="6" t="s">
        <v>1121</v>
      </c>
      <c r="K1173" s="6">
        <v>339</v>
      </c>
      <c r="L1173" s="7" t="s">
        <v>2332</v>
      </c>
      <c r="M1173" s="8">
        <v>1748686</v>
      </c>
      <c r="N1173" s="8" t="str">
        <f t="shared" si="91"/>
        <v>PEN</v>
      </c>
      <c r="O1173" s="13">
        <v>510</v>
      </c>
      <c r="P1173" s="13"/>
      <c r="Q1173" s="3">
        <f t="shared" si="92"/>
        <v>0</v>
      </c>
      <c r="R1173" s="3">
        <f t="shared" si="93"/>
        <v>0</v>
      </c>
      <c r="S1173" s="3">
        <f t="shared" si="94"/>
        <v>21600.300000000047</v>
      </c>
      <c r="T1173" s="24"/>
      <c r="U1173" s="24"/>
      <c r="V1173" s="67"/>
      <c r="W1173" s="25">
        <f>IFERROR(VLOOKUP(BCP_Soles[[#This Row],[DESTINATARIO]],CHOOSE({1,2},Clientes_Proveedores[Razon Social],Clientes_Proveedores[Ruc / Dni]),2,0),"")</f>
        <v>10470065147</v>
      </c>
      <c r="X1173" s="25"/>
      <c r="Y1173" s="25"/>
      <c r="Z1173" s="25"/>
      <c r="AA1173" s="99"/>
      <c r="AB1173" s="3" t="str">
        <f>IF(BCP_Soles[[#This Row],[FECHA]]&gt;0,TEXT(BCP_Soles[[#This Row],[FECHA]],"mmmm"),0)</f>
        <v>Abril</v>
      </c>
    </row>
    <row r="1174" spans="2:28" ht="24" x14ac:dyDescent="0.3">
      <c r="B1174" s="2" t="str">
        <f>IF(BCP_Soles[[#This Row],[TIPO DE R.]]="R",COUNTIFS($D$4:$D1173,"R")+1,"")</f>
        <v/>
      </c>
      <c r="C1174" s="19" t="str">
        <f t="shared" si="90"/>
        <v>B-BCP - Soles</v>
      </c>
      <c r="D1174" s="3" t="s">
        <v>1101</v>
      </c>
      <c r="E1174" s="14">
        <v>45754</v>
      </c>
      <c r="F1174" s="5" t="s">
        <v>1996</v>
      </c>
      <c r="G1174" s="5"/>
      <c r="H1174" s="6" t="s">
        <v>446</v>
      </c>
      <c r="I1174" s="6" t="s">
        <v>14</v>
      </c>
      <c r="J1174" s="6" t="s">
        <v>1121</v>
      </c>
      <c r="K1174" s="6">
        <v>646</v>
      </c>
      <c r="L1174" s="7" t="s">
        <v>2332</v>
      </c>
      <c r="M1174" s="8">
        <v>1748686</v>
      </c>
      <c r="N1174" s="8" t="str">
        <f t="shared" si="91"/>
        <v>PEN</v>
      </c>
      <c r="O1174" s="13">
        <v>120</v>
      </c>
      <c r="P1174" s="13"/>
      <c r="Q1174" s="3">
        <f t="shared" si="92"/>
        <v>0</v>
      </c>
      <c r="R1174" s="3">
        <f t="shared" si="93"/>
        <v>0</v>
      </c>
      <c r="S1174" s="3">
        <f t="shared" si="94"/>
        <v>21600.300000000047</v>
      </c>
      <c r="T1174" s="24"/>
      <c r="U1174" s="24"/>
      <c r="V1174" s="67"/>
      <c r="W1174" s="25">
        <f>IFERROR(VLOOKUP(BCP_Soles[[#This Row],[DESTINATARIO]],CHOOSE({1,2},Clientes_Proveedores[Razon Social],Clientes_Proveedores[Ruc / Dni]),2,0),"")</f>
        <v>20603001461</v>
      </c>
      <c r="X1174" s="25"/>
      <c r="Y1174" s="25"/>
      <c r="Z1174" s="25"/>
      <c r="AA1174" s="99"/>
      <c r="AB1174" s="3" t="str">
        <f>IF(BCP_Soles[[#This Row],[FECHA]]&gt;0,TEXT(BCP_Soles[[#This Row],[FECHA]],"mmmm"),0)</f>
        <v>Abril</v>
      </c>
    </row>
    <row r="1175" spans="2:28" ht="36" x14ac:dyDescent="0.3">
      <c r="B1175" s="2" t="str">
        <f>IF(BCP_Soles[[#This Row],[TIPO DE R.]]="R",COUNTIFS($D$4:$D1174,"R")+1,"")</f>
        <v/>
      </c>
      <c r="C1175" s="19" t="str">
        <f t="shared" si="90"/>
        <v>B-BCP - Soles</v>
      </c>
      <c r="D1175" s="3" t="s">
        <v>1101</v>
      </c>
      <c r="E1175" s="14">
        <v>45754</v>
      </c>
      <c r="F1175" s="5" t="s">
        <v>1996</v>
      </c>
      <c r="G1175" s="5"/>
      <c r="H1175" s="6" t="s">
        <v>511</v>
      </c>
      <c r="I1175" s="6" t="s">
        <v>14</v>
      </c>
      <c r="J1175" s="6" t="s">
        <v>1121</v>
      </c>
      <c r="K1175" s="6">
        <v>610</v>
      </c>
      <c r="L1175" s="7" t="s">
        <v>2332</v>
      </c>
      <c r="M1175" s="8">
        <v>1748686</v>
      </c>
      <c r="N1175" s="8" t="str">
        <f t="shared" si="91"/>
        <v>PEN</v>
      </c>
      <c r="O1175" s="13">
        <v>680</v>
      </c>
      <c r="P1175" s="13"/>
      <c r="Q1175" s="3">
        <f t="shared" si="92"/>
        <v>0</v>
      </c>
      <c r="R1175" s="3">
        <f t="shared" si="93"/>
        <v>0</v>
      </c>
      <c r="S1175" s="3">
        <f t="shared" si="94"/>
        <v>21600.300000000047</v>
      </c>
      <c r="T1175" s="24"/>
      <c r="U1175" s="24"/>
      <c r="V1175" s="67"/>
      <c r="W1175" s="25">
        <f>IFERROR(VLOOKUP(BCP_Soles[[#This Row],[DESTINATARIO]],CHOOSE({1,2},Clientes_Proveedores[Razon Social],Clientes_Proveedores[Ruc / Dni]),2,0),"")</f>
        <v>20608686747</v>
      </c>
      <c r="X1175" s="25"/>
      <c r="Y1175" s="25"/>
      <c r="Z1175" s="25"/>
      <c r="AA1175" s="99"/>
      <c r="AB1175" s="3" t="str">
        <f>IF(BCP_Soles[[#This Row],[FECHA]]&gt;0,TEXT(BCP_Soles[[#This Row],[FECHA]],"mmmm"),0)</f>
        <v>Abril</v>
      </c>
    </row>
    <row r="1176" spans="2:28" ht="24" x14ac:dyDescent="0.3">
      <c r="B1176" s="2" t="str">
        <f>IF(BCP_Soles[[#This Row],[TIPO DE R.]]="R",COUNTIFS($D$4:$D1175,"R")+1,"")</f>
        <v/>
      </c>
      <c r="C1176" s="19" t="str">
        <f t="shared" si="90"/>
        <v>B-BCP - Soles</v>
      </c>
      <c r="D1176" s="3" t="s">
        <v>1101</v>
      </c>
      <c r="E1176" s="14">
        <v>45754</v>
      </c>
      <c r="F1176" s="5" t="s">
        <v>1996</v>
      </c>
      <c r="G1176" s="5"/>
      <c r="H1176" s="6" t="s">
        <v>609</v>
      </c>
      <c r="I1176" s="6" t="s">
        <v>14</v>
      </c>
      <c r="J1176" s="6" t="s">
        <v>1121</v>
      </c>
      <c r="K1176" s="6">
        <v>5</v>
      </c>
      <c r="L1176" s="7" t="s">
        <v>2332</v>
      </c>
      <c r="M1176" s="8">
        <v>1748686</v>
      </c>
      <c r="N1176" s="8" t="str">
        <f t="shared" si="91"/>
        <v>PEN</v>
      </c>
      <c r="O1176" s="13">
        <v>510</v>
      </c>
      <c r="P1176" s="13"/>
      <c r="Q1176" s="3">
        <f t="shared" si="92"/>
        <v>0</v>
      </c>
      <c r="R1176" s="3">
        <f t="shared" si="93"/>
        <v>0</v>
      </c>
      <c r="S1176" s="3">
        <f t="shared" si="94"/>
        <v>21600.300000000047</v>
      </c>
      <c r="T1176" s="24"/>
      <c r="U1176" s="24"/>
      <c r="V1176" s="67"/>
      <c r="W1176" s="25">
        <f>IFERROR(VLOOKUP(BCP_Soles[[#This Row],[DESTINATARIO]],CHOOSE({1,2},Clientes_Proveedores[Razon Social],Clientes_Proveedores[Ruc / Dni]),2,0),"")</f>
        <v>10410687491</v>
      </c>
      <c r="X1176" s="25"/>
      <c r="Y1176" s="25"/>
      <c r="Z1176" s="25"/>
      <c r="AA1176" s="99"/>
      <c r="AB1176" s="3" t="str">
        <f>IF(BCP_Soles[[#This Row],[FECHA]]&gt;0,TEXT(BCP_Soles[[#This Row],[FECHA]],"mmmm"),0)</f>
        <v>Abril</v>
      </c>
    </row>
    <row r="1177" spans="2:28" ht="24" x14ac:dyDescent="0.3">
      <c r="B1177" s="2" t="str">
        <f>IF(BCP_Soles[[#This Row],[TIPO DE R.]]="R",COUNTIFS($D$4:$D1176,"R")+1,"")</f>
        <v/>
      </c>
      <c r="C1177" s="19" t="str">
        <f t="shared" si="90"/>
        <v>B-BCP - Soles</v>
      </c>
      <c r="D1177" s="3" t="s">
        <v>1101</v>
      </c>
      <c r="E1177" s="14">
        <v>45754</v>
      </c>
      <c r="F1177" s="5" t="s">
        <v>1996</v>
      </c>
      <c r="G1177" s="5"/>
      <c r="H1177" s="6" t="s">
        <v>609</v>
      </c>
      <c r="I1177" s="6" t="s">
        <v>14</v>
      </c>
      <c r="J1177" s="6" t="s">
        <v>1121</v>
      </c>
      <c r="K1177" s="6">
        <v>9</v>
      </c>
      <c r="L1177" s="7" t="s">
        <v>2332</v>
      </c>
      <c r="M1177" s="8">
        <v>1748686</v>
      </c>
      <c r="N1177" s="8" t="str">
        <f t="shared" si="91"/>
        <v>PEN</v>
      </c>
      <c r="O1177" s="13">
        <v>510</v>
      </c>
      <c r="P1177" s="13"/>
      <c r="Q1177" s="3">
        <f t="shared" si="92"/>
        <v>0</v>
      </c>
      <c r="R1177" s="3">
        <f t="shared" si="93"/>
        <v>0</v>
      </c>
      <c r="S1177" s="3">
        <f t="shared" si="94"/>
        <v>21600.300000000047</v>
      </c>
      <c r="T1177" s="24"/>
      <c r="U1177" s="24"/>
      <c r="V1177" s="67"/>
      <c r="W1177" s="25">
        <f>IFERROR(VLOOKUP(BCP_Soles[[#This Row],[DESTINATARIO]],CHOOSE({1,2},Clientes_Proveedores[Razon Social],Clientes_Proveedores[Ruc / Dni]),2,0),"")</f>
        <v>10410687491</v>
      </c>
      <c r="X1177" s="25"/>
      <c r="Y1177" s="25"/>
      <c r="Z1177" s="25"/>
      <c r="AA1177" s="99"/>
      <c r="AB1177" s="3" t="str">
        <f>IF(BCP_Soles[[#This Row],[FECHA]]&gt;0,TEXT(BCP_Soles[[#This Row],[FECHA]],"mmmm"),0)</f>
        <v>Abril</v>
      </c>
    </row>
    <row r="1178" spans="2:28" ht="24" x14ac:dyDescent="0.3">
      <c r="B1178" s="2" t="str">
        <f>IF(BCP_Soles[[#This Row],[TIPO DE R.]]="R",COUNTIFS($D$4:$D1177,"R")+1,"")</f>
        <v/>
      </c>
      <c r="C1178" s="19" t="str">
        <f t="shared" si="90"/>
        <v>B-BCP - Soles</v>
      </c>
      <c r="D1178" s="3" t="s">
        <v>1101</v>
      </c>
      <c r="E1178" s="14">
        <v>45754</v>
      </c>
      <c r="F1178" s="5" t="s">
        <v>1996</v>
      </c>
      <c r="G1178" s="5"/>
      <c r="H1178" s="6" t="s">
        <v>536</v>
      </c>
      <c r="I1178" s="6" t="s">
        <v>14</v>
      </c>
      <c r="J1178" s="6" t="s">
        <v>1121</v>
      </c>
      <c r="K1178" s="6">
        <v>2055</v>
      </c>
      <c r="L1178" s="7" t="s">
        <v>2332</v>
      </c>
      <c r="M1178" s="8">
        <v>1748686</v>
      </c>
      <c r="N1178" s="8" t="str">
        <f t="shared" si="91"/>
        <v>PEN</v>
      </c>
      <c r="O1178" s="13">
        <v>106.2</v>
      </c>
      <c r="P1178" s="13"/>
      <c r="Q1178" s="3">
        <f t="shared" si="92"/>
        <v>0</v>
      </c>
      <c r="R1178" s="3">
        <f t="shared" si="93"/>
        <v>0</v>
      </c>
      <c r="S1178" s="3">
        <f t="shared" si="94"/>
        <v>21600.300000000047</v>
      </c>
      <c r="T1178" s="24"/>
      <c r="U1178" s="24"/>
      <c r="V1178" s="67"/>
      <c r="W1178" s="25">
        <f>IFERROR(VLOOKUP(BCP_Soles[[#This Row],[DESTINATARIO]],CHOOSE({1,2},Clientes_Proveedores[Razon Social],Clientes_Proveedores[Ruc / Dni]),2,0),"")</f>
        <v>20609764261</v>
      </c>
      <c r="X1178" s="25"/>
      <c r="Y1178" s="25"/>
      <c r="Z1178" s="25"/>
      <c r="AA1178" s="99"/>
      <c r="AB1178" s="3" t="str">
        <f>IF(BCP_Soles[[#This Row],[FECHA]]&gt;0,TEXT(BCP_Soles[[#This Row],[FECHA]],"mmmm"),0)</f>
        <v>Abril</v>
      </c>
    </row>
    <row r="1179" spans="2:28" ht="24" x14ac:dyDescent="0.3">
      <c r="B1179" s="2" t="str">
        <f>IF(BCP_Soles[[#This Row],[TIPO DE R.]]="R",COUNTIFS($D$4:$D1178,"R")+1,"")</f>
        <v/>
      </c>
      <c r="C1179" s="19" t="str">
        <f t="shared" si="90"/>
        <v>B-BCP - Soles</v>
      </c>
      <c r="D1179" s="3" t="s">
        <v>1101</v>
      </c>
      <c r="E1179" s="14">
        <v>45754</v>
      </c>
      <c r="F1179" s="5" t="s">
        <v>1996</v>
      </c>
      <c r="G1179" s="5"/>
      <c r="H1179" s="6" t="s">
        <v>536</v>
      </c>
      <c r="I1179" s="6" t="s">
        <v>14</v>
      </c>
      <c r="J1179" s="6" t="s">
        <v>1121</v>
      </c>
      <c r="K1179" s="6">
        <v>2056</v>
      </c>
      <c r="L1179" s="7" t="s">
        <v>2332</v>
      </c>
      <c r="M1179" s="8">
        <v>1748686</v>
      </c>
      <c r="N1179" s="8" t="str">
        <f t="shared" si="91"/>
        <v>PEN</v>
      </c>
      <c r="O1179" s="13">
        <v>106.2</v>
      </c>
      <c r="P1179" s="13"/>
      <c r="Q1179" s="3">
        <f t="shared" si="92"/>
        <v>0</v>
      </c>
      <c r="R1179" s="3">
        <f t="shared" si="93"/>
        <v>0</v>
      </c>
      <c r="S1179" s="3">
        <f t="shared" si="94"/>
        <v>21600.300000000047</v>
      </c>
      <c r="T1179" s="24"/>
      <c r="U1179" s="24"/>
      <c r="V1179" s="67"/>
      <c r="W1179" s="25">
        <f>IFERROR(VLOOKUP(BCP_Soles[[#This Row],[DESTINATARIO]],CHOOSE({1,2},Clientes_Proveedores[Razon Social],Clientes_Proveedores[Ruc / Dni]),2,0),"")</f>
        <v>20609764261</v>
      </c>
      <c r="X1179" s="25"/>
      <c r="Y1179" s="25"/>
      <c r="Z1179" s="25"/>
      <c r="AA1179" s="99"/>
      <c r="AB1179" s="3" t="str">
        <f>IF(BCP_Soles[[#This Row],[FECHA]]&gt;0,TEXT(BCP_Soles[[#This Row],[FECHA]],"mmmm"),0)</f>
        <v>Abril</v>
      </c>
    </row>
    <row r="1180" spans="2:28" x14ac:dyDescent="0.3">
      <c r="B1180" s="2" t="str">
        <f>IF(BCP_Soles[[#This Row],[TIPO DE R.]]="R",COUNTIFS($D$4:$D1179,"R")+1,"")</f>
        <v/>
      </c>
      <c r="C1180" s="19" t="str">
        <f t="shared" si="90"/>
        <v>B-BCP - Soles</v>
      </c>
      <c r="D1180" s="3" t="s">
        <v>1101</v>
      </c>
      <c r="E1180" s="14">
        <v>45754</v>
      </c>
      <c r="F1180" s="5" t="s">
        <v>1996</v>
      </c>
      <c r="G1180" s="5"/>
      <c r="H1180" s="6" t="s">
        <v>465</v>
      </c>
      <c r="I1180" s="6" t="s">
        <v>14</v>
      </c>
      <c r="J1180" s="6" t="s">
        <v>1121</v>
      </c>
      <c r="K1180" s="6">
        <v>3771</v>
      </c>
      <c r="L1180" s="7" t="s">
        <v>2332</v>
      </c>
      <c r="M1180" s="8">
        <v>1748686</v>
      </c>
      <c r="N1180" s="8" t="str">
        <f t="shared" si="91"/>
        <v>PEN</v>
      </c>
      <c r="O1180" s="13">
        <v>250.75</v>
      </c>
      <c r="P1180" s="13"/>
      <c r="Q1180" s="3">
        <f t="shared" si="92"/>
        <v>0</v>
      </c>
      <c r="R1180" s="3">
        <f t="shared" si="93"/>
        <v>0</v>
      </c>
      <c r="S1180" s="3">
        <f t="shared" si="94"/>
        <v>21600.300000000047</v>
      </c>
      <c r="T1180" s="24"/>
      <c r="U1180" s="24"/>
      <c r="V1180" s="67"/>
      <c r="W1180" s="25">
        <f>IFERROR(VLOOKUP(BCP_Soles[[#This Row],[DESTINATARIO]],CHOOSE({1,2},Clientes_Proveedores[Razon Social],Clientes_Proveedores[Ruc / Dni]),2,0),"")</f>
        <v>20603974817</v>
      </c>
      <c r="X1180" s="25"/>
      <c r="Y1180" s="25"/>
      <c r="Z1180" s="25"/>
      <c r="AA1180" s="99"/>
      <c r="AB1180" s="3" t="str">
        <f>IF(BCP_Soles[[#This Row],[FECHA]]&gt;0,TEXT(BCP_Soles[[#This Row],[FECHA]],"mmmm"),0)</f>
        <v>Abril</v>
      </c>
    </row>
    <row r="1181" spans="2:28" ht="24" x14ac:dyDescent="0.3">
      <c r="B1181" s="2" t="str">
        <f>IF(BCP_Soles[[#This Row],[TIPO DE R.]]="R",COUNTIFS($D$4:$D1180,"R")+1,"")</f>
        <v/>
      </c>
      <c r="C1181" s="19" t="str">
        <f t="shared" si="90"/>
        <v>B-BCP - Soles</v>
      </c>
      <c r="D1181" s="3" t="s">
        <v>1101</v>
      </c>
      <c r="E1181" s="14">
        <v>45754</v>
      </c>
      <c r="F1181" s="5" t="s">
        <v>1996</v>
      </c>
      <c r="G1181" s="5"/>
      <c r="H1181" s="6" t="s">
        <v>536</v>
      </c>
      <c r="I1181" s="6" t="s">
        <v>14</v>
      </c>
      <c r="J1181" s="6" t="s">
        <v>1121</v>
      </c>
      <c r="K1181" s="6">
        <v>2054</v>
      </c>
      <c r="L1181" s="7" t="s">
        <v>2332</v>
      </c>
      <c r="M1181" s="8">
        <v>1748686</v>
      </c>
      <c r="N1181" s="8" t="str">
        <f t="shared" si="91"/>
        <v>PEN</v>
      </c>
      <c r="O1181" s="13">
        <v>177</v>
      </c>
      <c r="P1181" s="13"/>
      <c r="Q1181" s="3">
        <f t="shared" si="92"/>
        <v>0</v>
      </c>
      <c r="R1181" s="3">
        <f t="shared" si="93"/>
        <v>0</v>
      </c>
      <c r="S1181" s="3">
        <f t="shared" si="94"/>
        <v>21600.300000000047</v>
      </c>
      <c r="T1181" s="24"/>
      <c r="U1181" s="24"/>
      <c r="V1181" s="67"/>
      <c r="W1181" s="25">
        <f>IFERROR(VLOOKUP(BCP_Soles[[#This Row],[DESTINATARIO]],CHOOSE({1,2},Clientes_Proveedores[Razon Social],Clientes_Proveedores[Ruc / Dni]),2,0),"")</f>
        <v>20609764261</v>
      </c>
      <c r="X1181" s="25"/>
      <c r="Y1181" s="25"/>
      <c r="Z1181" s="25"/>
      <c r="AA1181" s="99"/>
      <c r="AB1181" s="3" t="str">
        <f>IF(BCP_Soles[[#This Row],[FECHA]]&gt;0,TEXT(BCP_Soles[[#This Row],[FECHA]],"mmmm"),0)</f>
        <v>Abril</v>
      </c>
    </row>
    <row r="1182" spans="2:28" ht="36" x14ac:dyDescent="0.3">
      <c r="B1182" s="2" t="str">
        <f>IF(BCP_Soles[[#This Row],[TIPO DE R.]]="R",COUNTIFS($D$4:$D1181,"R")+1,"")</f>
        <v/>
      </c>
      <c r="C1182" s="19" t="str">
        <f t="shared" si="90"/>
        <v>B-BCP - Soles</v>
      </c>
      <c r="D1182" s="3" t="s">
        <v>1101</v>
      </c>
      <c r="E1182" s="14">
        <v>45754</v>
      </c>
      <c r="F1182" s="5" t="s">
        <v>1996</v>
      </c>
      <c r="G1182" s="5"/>
      <c r="H1182" s="6" t="s">
        <v>417</v>
      </c>
      <c r="I1182" s="6" t="s">
        <v>14</v>
      </c>
      <c r="J1182" s="6" t="s">
        <v>1121</v>
      </c>
      <c r="K1182" s="6">
        <v>734</v>
      </c>
      <c r="L1182" s="7" t="s">
        <v>2332</v>
      </c>
      <c r="M1182" s="8">
        <v>1748686</v>
      </c>
      <c r="N1182" s="8" t="str">
        <f t="shared" si="91"/>
        <v>PEN</v>
      </c>
      <c r="O1182" s="13">
        <v>793</v>
      </c>
      <c r="P1182" s="13"/>
      <c r="Q1182" s="3">
        <f t="shared" si="92"/>
        <v>0</v>
      </c>
      <c r="R1182" s="3">
        <f t="shared" si="93"/>
        <v>0</v>
      </c>
      <c r="S1182" s="3">
        <f t="shared" si="94"/>
        <v>21600.300000000047</v>
      </c>
      <c r="T1182" s="24"/>
      <c r="U1182" s="24"/>
      <c r="V1182" s="67"/>
      <c r="W1182" s="25">
        <f>IFERROR(VLOOKUP(BCP_Soles[[#This Row],[DESTINATARIO]],CHOOSE({1,2},Clientes_Proveedores[Razon Social],Clientes_Proveedores[Ruc / Dni]),2,0),"")</f>
        <v>20602075177</v>
      </c>
      <c r="X1182" s="25"/>
      <c r="Y1182" s="25"/>
      <c r="Z1182" s="25"/>
      <c r="AA1182" s="99"/>
      <c r="AB1182" s="3" t="str">
        <f>IF(BCP_Soles[[#This Row],[FECHA]]&gt;0,TEXT(BCP_Soles[[#This Row],[FECHA]],"mmmm"),0)</f>
        <v>Abril</v>
      </c>
    </row>
    <row r="1183" spans="2:28" ht="24" x14ac:dyDescent="0.3">
      <c r="B1183" s="2">
        <f>IF(BCP_Soles[[#This Row],[TIPO DE R.]]="R",COUNTIFS($D$4:$D1182,"R")+1,"")</f>
        <v>919</v>
      </c>
      <c r="C1183" s="19" t="str">
        <f t="shared" si="90"/>
        <v>B-BCP - Soles</v>
      </c>
      <c r="D1183" s="3" t="s">
        <v>1074</v>
      </c>
      <c r="E1183" s="14">
        <v>45755</v>
      </c>
      <c r="F1183" s="5" t="s">
        <v>1838</v>
      </c>
      <c r="G1183" s="5" t="s">
        <v>1087</v>
      </c>
      <c r="H1183" s="6"/>
      <c r="I1183" s="6"/>
      <c r="J1183" s="6"/>
      <c r="K1183" s="6"/>
      <c r="L1183" s="7" t="s">
        <v>1740</v>
      </c>
      <c r="M1183" s="8">
        <v>2008112</v>
      </c>
      <c r="N1183" s="8" t="str">
        <f t="shared" si="91"/>
        <v>PEN</v>
      </c>
      <c r="O1183" s="13"/>
      <c r="P1183" s="13">
        <v>24400</v>
      </c>
      <c r="Q1183" s="3">
        <f t="shared" si="92"/>
        <v>24400</v>
      </c>
      <c r="R1183" s="3">
        <f t="shared" si="93"/>
        <v>0</v>
      </c>
      <c r="S1183" s="3">
        <f t="shared" si="94"/>
        <v>46000.300000000047</v>
      </c>
      <c r="T1183" s="24" t="s">
        <v>1081</v>
      </c>
      <c r="U1183" s="24" t="s">
        <v>1081</v>
      </c>
      <c r="V1183" s="67"/>
      <c r="W1183" s="25" t="str">
        <f>IFERROR(VLOOKUP(BCP_Soles[[#This Row],[DESTINATARIO]],CHOOSE({1,2},Clientes_Proveedores[Razon Social],Clientes_Proveedores[Ruc / Dni]),2,0),"")</f>
        <v/>
      </c>
      <c r="X1183" s="25" t="s">
        <v>1090</v>
      </c>
      <c r="Y1183" s="25" t="s">
        <v>2333</v>
      </c>
      <c r="Z1183" s="25"/>
      <c r="AA1183" s="99"/>
      <c r="AB1183" s="3" t="str">
        <f>IF(BCP_Soles[[#This Row],[FECHA]]&gt;0,TEXT(BCP_Soles[[#This Row],[FECHA]],"mmmm"),0)</f>
        <v>Abril</v>
      </c>
    </row>
    <row r="1184" spans="2:28" ht="36" x14ac:dyDescent="0.3">
      <c r="B1184" s="2">
        <f>IF(BCP_Soles[[#This Row],[TIPO DE R.]]="R",COUNTIFS($D$4:$D1183,"R")+1,"")</f>
        <v>920</v>
      </c>
      <c r="C1184" s="19" t="str">
        <f t="shared" si="90"/>
        <v>B-BCP - Soles</v>
      </c>
      <c r="D1184" s="3" t="s">
        <v>1074</v>
      </c>
      <c r="E1184" s="14">
        <v>45755</v>
      </c>
      <c r="F1184" s="5" t="s">
        <v>180</v>
      </c>
      <c r="G1184" s="5" t="s">
        <v>1087</v>
      </c>
      <c r="H1184" s="6"/>
      <c r="I1184" s="6"/>
      <c r="J1184" s="6"/>
      <c r="K1184" s="6"/>
      <c r="L1184" s="7" t="s">
        <v>1286</v>
      </c>
      <c r="M1184" s="8">
        <v>8080</v>
      </c>
      <c r="N1184" s="8" t="str">
        <f t="shared" si="91"/>
        <v>PEN</v>
      </c>
      <c r="O1184" s="13"/>
      <c r="P1184" s="13">
        <v>700.32</v>
      </c>
      <c r="Q1184" s="3">
        <f t="shared" si="92"/>
        <v>700.32</v>
      </c>
      <c r="R1184" s="3">
        <f t="shared" si="93"/>
        <v>0</v>
      </c>
      <c r="S1184" s="3">
        <f t="shared" si="94"/>
        <v>46700.620000000046</v>
      </c>
      <c r="T1184" s="24" t="s">
        <v>1081</v>
      </c>
      <c r="U1184" s="24" t="s">
        <v>1081</v>
      </c>
      <c r="V1184" s="67"/>
      <c r="W1184" s="25" t="str">
        <f>IFERROR(VLOOKUP(BCP_Soles[[#This Row],[DESTINATARIO]],CHOOSE({1,2},Clientes_Proveedores[Razon Social],Clientes_Proveedores[Ruc / Dni]),2,0),"")</f>
        <v/>
      </c>
      <c r="X1184" s="25" t="s">
        <v>1090</v>
      </c>
      <c r="Y1184" s="25" t="s">
        <v>1877</v>
      </c>
      <c r="Z1184" s="25"/>
      <c r="AA1184" s="99"/>
      <c r="AB1184" s="3" t="str">
        <f>IF(BCP_Soles[[#This Row],[FECHA]]&gt;0,TEXT(BCP_Soles[[#This Row],[FECHA]],"mmmm"),0)</f>
        <v>Abril</v>
      </c>
    </row>
    <row r="1185" spans="2:28" x14ac:dyDescent="0.3">
      <c r="B1185" s="2">
        <f>IF(BCP_Soles[[#This Row],[TIPO DE R.]]="R",COUNTIFS($D$4:$D1184,"R")+1,"")</f>
        <v>921</v>
      </c>
      <c r="C1185" s="19" t="str">
        <f t="shared" si="90"/>
        <v>B-BCP - Soles</v>
      </c>
      <c r="D1185" s="3" t="s">
        <v>1074</v>
      </c>
      <c r="E1185" s="14">
        <v>45755</v>
      </c>
      <c r="F1185" s="5" t="s">
        <v>1078</v>
      </c>
      <c r="G1185" s="5" t="s">
        <v>1079</v>
      </c>
      <c r="H1185" s="6"/>
      <c r="I1185" s="6"/>
      <c r="J1185" s="6"/>
      <c r="K1185" s="6"/>
      <c r="L1185" s="7" t="s">
        <v>1080</v>
      </c>
      <c r="M1185" s="8"/>
      <c r="N1185" s="8" t="str">
        <f t="shared" si="91"/>
        <v>PEN</v>
      </c>
      <c r="O1185" s="13"/>
      <c r="P1185" s="13">
        <v>1.8</v>
      </c>
      <c r="Q1185" s="3">
        <f t="shared" si="92"/>
        <v>0</v>
      </c>
      <c r="R1185" s="3">
        <f t="shared" si="93"/>
        <v>1.8</v>
      </c>
      <c r="S1185" s="3">
        <f t="shared" si="94"/>
        <v>46698.820000000043</v>
      </c>
      <c r="T1185" s="24"/>
      <c r="U1185" s="24" t="s">
        <v>1081</v>
      </c>
      <c r="V1185" s="67"/>
      <c r="W1185" s="25" t="str">
        <f>IFERROR(VLOOKUP(BCP_Soles[[#This Row],[DESTINATARIO]],CHOOSE({1,2},Clientes_Proveedores[Razon Social],Clientes_Proveedores[Ruc / Dni]),2,0),"")</f>
        <v/>
      </c>
      <c r="X1185" s="25"/>
      <c r="Y1185" s="25"/>
      <c r="Z1185" s="25"/>
      <c r="AA1185" s="99"/>
      <c r="AB1185" s="3" t="str">
        <f>IF(BCP_Soles[[#This Row],[FECHA]]&gt;0,TEXT(BCP_Soles[[#This Row],[FECHA]],"mmmm"),0)</f>
        <v>Abril</v>
      </c>
    </row>
    <row r="1186" spans="2:28" ht="24" x14ac:dyDescent="0.3">
      <c r="B1186" s="2">
        <f>IF(BCP_Soles[[#This Row],[TIPO DE R.]]="R",COUNTIFS($D$4:$D1185,"R")+1,"")</f>
        <v>922</v>
      </c>
      <c r="C1186" s="19" t="str">
        <f t="shared" si="90"/>
        <v>B-BCP - Soles</v>
      </c>
      <c r="D1186" s="3" t="s">
        <v>1074</v>
      </c>
      <c r="E1186" s="14">
        <v>45755</v>
      </c>
      <c r="F1186" s="5" t="s">
        <v>1996</v>
      </c>
      <c r="G1186" s="5" t="s">
        <v>1079</v>
      </c>
      <c r="H1186" s="6" t="s">
        <v>798</v>
      </c>
      <c r="I1186" s="6" t="s">
        <v>87</v>
      </c>
      <c r="J1186" s="6">
        <v>1</v>
      </c>
      <c r="K1186" s="6">
        <v>222025</v>
      </c>
      <c r="L1186" s="7" t="s">
        <v>2334</v>
      </c>
      <c r="M1186" s="8">
        <v>1202302</v>
      </c>
      <c r="N1186" s="8" t="str">
        <f t="shared" si="91"/>
        <v>PEN</v>
      </c>
      <c r="O1186" s="13"/>
      <c r="P1186" s="13">
        <v>3.4</v>
      </c>
      <c r="Q1186" s="3">
        <f t="shared" si="92"/>
        <v>0</v>
      </c>
      <c r="R1186" s="3">
        <f t="shared" si="93"/>
        <v>3.4</v>
      </c>
      <c r="S1186" s="3">
        <f t="shared" si="94"/>
        <v>46695.420000000042</v>
      </c>
      <c r="T1186" s="24" t="s">
        <v>1081</v>
      </c>
      <c r="U1186" s="24"/>
      <c r="V1186" s="67"/>
      <c r="W1186" s="25">
        <f>IFERROR(VLOOKUP(BCP_Soles[[#This Row],[DESTINATARIO]],CHOOSE({1,2},Clientes_Proveedores[Razon Social],Clientes_Proveedores[Ruc / Dni]),2,0),"")</f>
        <v>70666331</v>
      </c>
      <c r="X1186" s="25" t="s">
        <v>798</v>
      </c>
      <c r="Y1186" s="25" t="s">
        <v>2335</v>
      </c>
      <c r="Z1186" s="25"/>
      <c r="AA1186" s="99"/>
      <c r="AB1186" s="3" t="str">
        <f>IF(BCP_Soles[[#This Row],[FECHA]]&gt;0,TEXT(BCP_Soles[[#This Row],[FECHA]],"mmmm"),0)</f>
        <v>Abril</v>
      </c>
    </row>
    <row r="1187" spans="2:28" x14ac:dyDescent="0.3">
      <c r="B1187" s="2">
        <f>IF(BCP_Soles[[#This Row],[TIPO DE R.]]="R",COUNTIFS($D$4:$D1186,"R")+1,"")</f>
        <v>923</v>
      </c>
      <c r="C1187" s="19" t="str">
        <f t="shared" si="90"/>
        <v>B-BCP - Soles</v>
      </c>
      <c r="D1187" s="3" t="s">
        <v>1074</v>
      </c>
      <c r="E1187" s="14">
        <v>45755</v>
      </c>
      <c r="F1187" s="5" t="s">
        <v>1996</v>
      </c>
      <c r="G1187" s="5" t="s">
        <v>1079</v>
      </c>
      <c r="H1187" s="6" t="s">
        <v>139</v>
      </c>
      <c r="I1187" s="6" t="s">
        <v>14</v>
      </c>
      <c r="J1187" s="6" t="s">
        <v>1953</v>
      </c>
      <c r="K1187" s="6">
        <v>6195</v>
      </c>
      <c r="L1187" s="7" t="s">
        <v>1954</v>
      </c>
      <c r="M1187" s="8">
        <v>202787</v>
      </c>
      <c r="N1187" s="8" t="str">
        <f t="shared" si="91"/>
        <v>PEN</v>
      </c>
      <c r="O1187" s="13"/>
      <c r="P1187" s="13">
        <v>8.56</v>
      </c>
      <c r="Q1187" s="3">
        <f t="shared" si="92"/>
        <v>0</v>
      </c>
      <c r="R1187" s="3">
        <f t="shared" si="93"/>
        <v>8.56</v>
      </c>
      <c r="S1187" s="3">
        <f t="shared" si="94"/>
        <v>46686.860000000044</v>
      </c>
      <c r="T1187" s="24" t="s">
        <v>1081</v>
      </c>
      <c r="U1187" s="24" t="s">
        <v>1081</v>
      </c>
      <c r="V1187" s="67"/>
      <c r="W1187" s="25">
        <f>IFERROR(VLOOKUP(BCP_Soles[[#This Row],[DESTINATARIO]],CHOOSE({1,2},Clientes_Proveedores[Razon Social],Clientes_Proveedores[Ruc / Dni]),2,0),"")</f>
        <v>20100055237</v>
      </c>
      <c r="X1187" s="25" t="s">
        <v>1955</v>
      </c>
      <c r="Y1187" s="25" t="s">
        <v>2336</v>
      </c>
      <c r="Z1187" s="25"/>
      <c r="AA1187" s="99"/>
      <c r="AB1187" s="3" t="str">
        <f>IF(BCP_Soles[[#This Row],[FECHA]]&gt;0,TEXT(BCP_Soles[[#This Row],[FECHA]],"mmmm"),0)</f>
        <v>Abril</v>
      </c>
    </row>
    <row r="1188" spans="2:28" ht="24" x14ac:dyDescent="0.3">
      <c r="B1188" s="2">
        <f>IF(BCP_Soles[[#This Row],[TIPO DE R.]]="R",COUNTIFS($D$4:$D1187,"R")+1,"")</f>
        <v>924</v>
      </c>
      <c r="C1188" s="19" t="str">
        <f t="shared" si="90"/>
        <v>B-BCP - Soles</v>
      </c>
      <c r="D1188" s="3" t="s">
        <v>1074</v>
      </c>
      <c r="E1188" s="14">
        <v>45755</v>
      </c>
      <c r="F1188" s="5" t="s">
        <v>1996</v>
      </c>
      <c r="G1188" s="5" t="s">
        <v>1079</v>
      </c>
      <c r="H1188" s="6" t="s">
        <v>798</v>
      </c>
      <c r="I1188" s="6" t="s">
        <v>87</v>
      </c>
      <c r="J1188" s="6">
        <v>1</v>
      </c>
      <c r="K1188" s="6">
        <v>212025</v>
      </c>
      <c r="L1188" s="7" t="s">
        <v>2337</v>
      </c>
      <c r="M1188" s="8">
        <v>1203730</v>
      </c>
      <c r="N1188" s="8" t="str">
        <f t="shared" si="91"/>
        <v>PEN</v>
      </c>
      <c r="O1188" s="13"/>
      <c r="P1188" s="13">
        <v>9.5</v>
      </c>
      <c r="Q1188" s="3">
        <f t="shared" si="92"/>
        <v>0</v>
      </c>
      <c r="R1188" s="3">
        <f t="shared" si="93"/>
        <v>9.5</v>
      </c>
      <c r="S1188" s="3">
        <f t="shared" si="94"/>
        <v>46677.360000000044</v>
      </c>
      <c r="T1188" s="24" t="s">
        <v>1081</v>
      </c>
      <c r="U1188" s="24"/>
      <c r="V1188" s="67"/>
      <c r="W1188" s="25">
        <f>IFERROR(VLOOKUP(BCP_Soles[[#This Row],[DESTINATARIO]],CHOOSE({1,2},Clientes_Proveedores[Razon Social],Clientes_Proveedores[Ruc / Dni]),2,0),"")</f>
        <v>70666331</v>
      </c>
      <c r="X1188" s="25" t="s">
        <v>798</v>
      </c>
      <c r="Y1188" s="25" t="s">
        <v>2338</v>
      </c>
      <c r="Z1188" s="25"/>
      <c r="AA1188" s="99"/>
      <c r="AB1188" s="3" t="str">
        <f>IF(BCP_Soles[[#This Row],[FECHA]]&gt;0,TEXT(BCP_Soles[[#This Row],[FECHA]],"mmmm"),0)</f>
        <v>Abril</v>
      </c>
    </row>
    <row r="1189" spans="2:28" x14ac:dyDescent="0.3">
      <c r="B1189" s="2">
        <f>IF(BCP_Soles[[#This Row],[TIPO DE R.]]="R",COUNTIFS($D$4:$D1188,"R")+1,"")</f>
        <v>925</v>
      </c>
      <c r="C1189" s="19" t="str">
        <f t="shared" si="90"/>
        <v>B-BCP - Soles</v>
      </c>
      <c r="D1189" s="3" t="s">
        <v>1074</v>
      </c>
      <c r="E1189" s="14">
        <v>45755</v>
      </c>
      <c r="F1189" s="5" t="s">
        <v>1078</v>
      </c>
      <c r="G1189" s="5" t="s">
        <v>1079</v>
      </c>
      <c r="H1189" s="6"/>
      <c r="I1189" s="6"/>
      <c r="J1189" s="6"/>
      <c r="K1189" s="6"/>
      <c r="L1189" s="7" t="s">
        <v>1141</v>
      </c>
      <c r="M1189" s="8">
        <v>531</v>
      </c>
      <c r="N1189" s="8" t="str">
        <f t="shared" si="91"/>
        <v>PEN</v>
      </c>
      <c r="O1189" s="13"/>
      <c r="P1189" s="13">
        <v>10</v>
      </c>
      <c r="Q1189" s="3">
        <f t="shared" si="92"/>
        <v>0</v>
      </c>
      <c r="R1189" s="3">
        <f t="shared" si="93"/>
        <v>10</v>
      </c>
      <c r="S1189" s="3">
        <f t="shared" si="94"/>
        <v>46667.360000000044</v>
      </c>
      <c r="T1189" s="24" t="s">
        <v>1081</v>
      </c>
      <c r="U1189" s="24" t="s">
        <v>1081</v>
      </c>
      <c r="V1189" s="67"/>
      <c r="W1189" s="25" t="str">
        <f>IFERROR(VLOOKUP(BCP_Soles[[#This Row],[DESTINATARIO]],CHOOSE({1,2},Clientes_Proveedores[Razon Social],Clientes_Proveedores[Ruc / Dni]),2,0),"")</f>
        <v/>
      </c>
      <c r="X1189" s="25" t="s">
        <v>1078</v>
      </c>
      <c r="Y1189" s="25" t="s">
        <v>2339</v>
      </c>
      <c r="Z1189" s="25"/>
      <c r="AA1189" s="99"/>
      <c r="AB1189" s="3" t="str">
        <f>IF(BCP_Soles[[#This Row],[FECHA]]&gt;0,TEXT(BCP_Soles[[#This Row],[FECHA]],"mmmm"),0)</f>
        <v>Abril</v>
      </c>
    </row>
    <row r="1190" spans="2:28" x14ac:dyDescent="0.3">
      <c r="B1190" s="2">
        <f>IF(BCP_Soles[[#This Row],[TIPO DE R.]]="R",COUNTIFS($D$4:$D1189,"R")+1,"")</f>
        <v>926</v>
      </c>
      <c r="C1190" s="19" t="str">
        <f t="shared" si="90"/>
        <v>B-BCP - Soles</v>
      </c>
      <c r="D1190" s="3" t="s">
        <v>1074</v>
      </c>
      <c r="E1190" s="14">
        <v>45755</v>
      </c>
      <c r="F1190" s="5" t="s">
        <v>1996</v>
      </c>
      <c r="G1190" s="5" t="s">
        <v>1079</v>
      </c>
      <c r="H1190" s="6" t="s">
        <v>139</v>
      </c>
      <c r="I1190" s="6" t="s">
        <v>14</v>
      </c>
      <c r="J1190" s="6" t="s">
        <v>1953</v>
      </c>
      <c r="K1190" s="6">
        <v>6196</v>
      </c>
      <c r="L1190" s="7" t="s">
        <v>1954</v>
      </c>
      <c r="M1190" s="8">
        <v>202789</v>
      </c>
      <c r="N1190" s="8" t="str">
        <f t="shared" si="91"/>
        <v>PEN</v>
      </c>
      <c r="O1190" s="13"/>
      <c r="P1190" s="13">
        <v>81.760000000000005</v>
      </c>
      <c r="Q1190" s="3">
        <f t="shared" si="92"/>
        <v>0</v>
      </c>
      <c r="R1190" s="3">
        <f t="shared" si="93"/>
        <v>81.760000000000005</v>
      </c>
      <c r="S1190" s="3">
        <f t="shared" si="94"/>
        <v>46585.600000000042</v>
      </c>
      <c r="T1190" s="24" t="s">
        <v>1081</v>
      </c>
      <c r="U1190" s="24" t="s">
        <v>1081</v>
      </c>
      <c r="V1190" s="67"/>
      <c r="W1190" s="25">
        <f>IFERROR(VLOOKUP(BCP_Soles[[#This Row],[DESTINATARIO]],CHOOSE({1,2},Clientes_Proveedores[Razon Social],Clientes_Proveedores[Ruc / Dni]),2,0),"")</f>
        <v>20100055237</v>
      </c>
      <c r="X1190" s="25" t="s">
        <v>1955</v>
      </c>
      <c r="Y1190" s="25" t="s">
        <v>2340</v>
      </c>
      <c r="Z1190" s="25"/>
      <c r="AA1190" s="99"/>
      <c r="AB1190" s="3" t="str">
        <f>IF(BCP_Soles[[#This Row],[FECHA]]&gt;0,TEXT(BCP_Soles[[#This Row],[FECHA]],"mmmm"),0)</f>
        <v>Abril</v>
      </c>
    </row>
    <row r="1191" spans="2:28" x14ac:dyDescent="0.3">
      <c r="B1191" s="2">
        <f>IF(BCP_Soles[[#This Row],[TIPO DE R.]]="R",COUNTIFS($D$4:$D1190,"R")+1,"")</f>
        <v>927</v>
      </c>
      <c r="C1191" s="19" t="str">
        <f t="shared" si="90"/>
        <v>B-BCP - Soles</v>
      </c>
      <c r="D1191" s="3" t="s">
        <v>1074</v>
      </c>
      <c r="E1191" s="14">
        <v>45755</v>
      </c>
      <c r="F1191" s="5" t="s">
        <v>1996</v>
      </c>
      <c r="G1191" s="5" t="s">
        <v>1079</v>
      </c>
      <c r="H1191" s="6" t="s">
        <v>139</v>
      </c>
      <c r="I1191" s="6" t="s">
        <v>14</v>
      </c>
      <c r="J1191" s="6" t="s">
        <v>1953</v>
      </c>
      <c r="K1191" s="6">
        <v>6198</v>
      </c>
      <c r="L1191" s="7" t="s">
        <v>1954</v>
      </c>
      <c r="M1191" s="8">
        <v>201819</v>
      </c>
      <c r="N1191" s="8" t="str">
        <f t="shared" si="91"/>
        <v>PEN</v>
      </c>
      <c r="O1191" s="13"/>
      <c r="P1191" s="13">
        <v>112.16</v>
      </c>
      <c r="Q1191" s="3">
        <f t="shared" si="92"/>
        <v>0</v>
      </c>
      <c r="R1191" s="3">
        <f t="shared" si="93"/>
        <v>112.16</v>
      </c>
      <c r="S1191" s="3">
        <f t="shared" si="94"/>
        <v>46473.440000000039</v>
      </c>
      <c r="T1191" s="24" t="s">
        <v>1081</v>
      </c>
      <c r="U1191" s="24" t="s">
        <v>1081</v>
      </c>
      <c r="V1191" s="67"/>
      <c r="W1191" s="25">
        <f>IFERROR(VLOOKUP(BCP_Soles[[#This Row],[DESTINATARIO]],CHOOSE({1,2},Clientes_Proveedores[Razon Social],Clientes_Proveedores[Ruc / Dni]),2,0),"")</f>
        <v>20100055237</v>
      </c>
      <c r="X1191" s="25" t="s">
        <v>1955</v>
      </c>
      <c r="Y1191" s="25" t="s">
        <v>2341</v>
      </c>
      <c r="Z1191" s="25"/>
      <c r="AA1191" s="99"/>
      <c r="AB1191" s="3" t="str">
        <f>IF(BCP_Soles[[#This Row],[FECHA]]&gt;0,TEXT(BCP_Soles[[#This Row],[FECHA]],"mmmm"),0)</f>
        <v>Abril</v>
      </c>
    </row>
    <row r="1192" spans="2:28" x14ac:dyDescent="0.3">
      <c r="B1192" s="2">
        <f>IF(BCP_Soles[[#This Row],[TIPO DE R.]]="R",COUNTIFS($D$4:$D1191,"R")+1,"")</f>
        <v>928</v>
      </c>
      <c r="C1192" s="19" t="str">
        <f t="shared" si="90"/>
        <v>B-BCP - Soles</v>
      </c>
      <c r="D1192" s="3" t="s">
        <v>1074</v>
      </c>
      <c r="E1192" s="14">
        <v>45755</v>
      </c>
      <c r="F1192" s="5" t="s">
        <v>1996</v>
      </c>
      <c r="G1192" s="5" t="s">
        <v>1079</v>
      </c>
      <c r="H1192" s="6" t="s">
        <v>139</v>
      </c>
      <c r="I1192" s="6" t="s">
        <v>14</v>
      </c>
      <c r="J1192" s="6" t="s">
        <v>1953</v>
      </c>
      <c r="K1192" s="6">
        <v>6194</v>
      </c>
      <c r="L1192" s="7" t="s">
        <v>1954</v>
      </c>
      <c r="M1192" s="8">
        <v>201349</v>
      </c>
      <c r="N1192" s="8" t="str">
        <f t="shared" si="91"/>
        <v>PEN</v>
      </c>
      <c r="O1192" s="13"/>
      <c r="P1192" s="13">
        <v>117.06</v>
      </c>
      <c r="Q1192" s="3">
        <f t="shared" si="92"/>
        <v>0</v>
      </c>
      <c r="R1192" s="3">
        <f t="shared" si="93"/>
        <v>117.06</v>
      </c>
      <c r="S1192" s="3">
        <f t="shared" si="94"/>
        <v>46356.380000000041</v>
      </c>
      <c r="T1192" s="24" t="s">
        <v>1081</v>
      </c>
      <c r="U1192" s="24" t="s">
        <v>1081</v>
      </c>
      <c r="V1192" s="67"/>
      <c r="W1192" s="25">
        <f>IFERROR(VLOOKUP(BCP_Soles[[#This Row],[DESTINATARIO]],CHOOSE({1,2},Clientes_Proveedores[Razon Social],Clientes_Proveedores[Ruc / Dni]),2,0),"")</f>
        <v>20100055237</v>
      </c>
      <c r="X1192" s="25" t="s">
        <v>1955</v>
      </c>
      <c r="Y1192" s="25" t="s">
        <v>2342</v>
      </c>
      <c r="Z1192" s="25"/>
      <c r="AA1192" s="99"/>
      <c r="AB1192" s="3" t="str">
        <f>IF(BCP_Soles[[#This Row],[FECHA]]&gt;0,TEXT(BCP_Soles[[#This Row],[FECHA]],"mmmm"),0)</f>
        <v>Abril</v>
      </c>
    </row>
    <row r="1193" spans="2:28" x14ac:dyDescent="0.3">
      <c r="B1193" s="2">
        <f>IF(BCP_Soles[[#This Row],[TIPO DE R.]]="R",COUNTIFS($D$4:$D1192,"R")+1,"")</f>
        <v>929</v>
      </c>
      <c r="C1193" s="19" t="str">
        <f t="shared" si="90"/>
        <v>B-BCP - Soles</v>
      </c>
      <c r="D1193" s="3" t="s">
        <v>1074</v>
      </c>
      <c r="E1193" s="14">
        <v>45755</v>
      </c>
      <c r="F1193" s="5" t="s">
        <v>1996</v>
      </c>
      <c r="G1193" s="5" t="s">
        <v>1079</v>
      </c>
      <c r="H1193" s="6" t="s">
        <v>637</v>
      </c>
      <c r="I1193" s="6" t="s">
        <v>14</v>
      </c>
      <c r="J1193" s="6" t="s">
        <v>1122</v>
      </c>
      <c r="K1193" s="6">
        <v>156120</v>
      </c>
      <c r="L1193" s="7" t="s">
        <v>1123</v>
      </c>
      <c r="M1193" s="8">
        <v>96389</v>
      </c>
      <c r="N1193" s="8" t="str">
        <f t="shared" si="91"/>
        <v>PEN</v>
      </c>
      <c r="O1193" s="13"/>
      <c r="P1193" s="13">
        <v>166.34</v>
      </c>
      <c r="Q1193" s="3">
        <f t="shared" si="92"/>
        <v>0</v>
      </c>
      <c r="R1193" s="3">
        <f t="shared" si="93"/>
        <v>166.34</v>
      </c>
      <c r="S1193" s="3">
        <f t="shared" si="94"/>
        <v>46190.040000000045</v>
      </c>
      <c r="T1193" s="24" t="s">
        <v>1081</v>
      </c>
      <c r="U1193" s="24" t="s">
        <v>1081</v>
      </c>
      <c r="V1193" s="67"/>
      <c r="W1193" s="25">
        <f>IFERROR(VLOOKUP(BCP_Soles[[#This Row],[DESTINATARIO]],CHOOSE({1,2},Clientes_Proveedores[Razon Social],Clientes_Proveedores[Ruc / Dni]),2,0),"")</f>
        <v>20127765279</v>
      </c>
      <c r="X1193" s="25" t="s">
        <v>1124</v>
      </c>
      <c r="Y1193" s="25" t="s">
        <v>2343</v>
      </c>
      <c r="Z1193" s="25"/>
      <c r="AA1193" s="99"/>
      <c r="AB1193" s="3" t="str">
        <f>IF(BCP_Soles[[#This Row],[FECHA]]&gt;0,TEXT(BCP_Soles[[#This Row],[FECHA]],"mmmm"),0)</f>
        <v>Abril</v>
      </c>
    </row>
    <row r="1194" spans="2:28" x14ac:dyDescent="0.3">
      <c r="B1194" s="2">
        <f>IF(BCP_Soles[[#This Row],[TIPO DE R.]]="R",COUNTIFS($D$4:$D1193,"R")+1,"")</f>
        <v>930</v>
      </c>
      <c r="C1194" s="19" t="str">
        <f t="shared" si="90"/>
        <v>B-BCP - Soles</v>
      </c>
      <c r="D1194" s="3" t="s">
        <v>1074</v>
      </c>
      <c r="E1194" s="14">
        <v>45755</v>
      </c>
      <c r="F1194" s="5" t="s">
        <v>1996</v>
      </c>
      <c r="G1194" s="5" t="s">
        <v>1079</v>
      </c>
      <c r="H1194" s="6" t="s">
        <v>637</v>
      </c>
      <c r="I1194" s="6" t="s">
        <v>14</v>
      </c>
      <c r="J1194" s="6" t="s">
        <v>1253</v>
      </c>
      <c r="K1194" s="6">
        <v>155112</v>
      </c>
      <c r="L1194" s="7" t="s">
        <v>1123</v>
      </c>
      <c r="M1194" s="8">
        <v>97345</v>
      </c>
      <c r="N1194" s="8" t="str">
        <f t="shared" si="91"/>
        <v>PEN</v>
      </c>
      <c r="O1194" s="13"/>
      <c r="P1194" s="13">
        <v>187.1</v>
      </c>
      <c r="Q1194" s="3">
        <f t="shared" si="92"/>
        <v>0</v>
      </c>
      <c r="R1194" s="3">
        <f t="shared" si="93"/>
        <v>187.1</v>
      </c>
      <c r="S1194" s="3">
        <f t="shared" si="94"/>
        <v>46002.940000000046</v>
      </c>
      <c r="T1194" s="24" t="s">
        <v>1081</v>
      </c>
      <c r="U1194" s="24" t="s">
        <v>1081</v>
      </c>
      <c r="V1194" s="67"/>
      <c r="W1194" s="25">
        <f>IFERROR(VLOOKUP(BCP_Soles[[#This Row],[DESTINATARIO]],CHOOSE({1,2},Clientes_Proveedores[Razon Social],Clientes_Proveedores[Ruc / Dni]),2,0),"")</f>
        <v>20127765279</v>
      </c>
      <c r="X1194" s="25" t="s">
        <v>1124</v>
      </c>
      <c r="Y1194" s="25" t="s">
        <v>2344</v>
      </c>
      <c r="Z1194" s="25"/>
      <c r="AA1194" s="99"/>
      <c r="AB1194" s="3" t="str">
        <f>IF(BCP_Soles[[#This Row],[FECHA]]&gt;0,TEXT(BCP_Soles[[#This Row],[FECHA]],"mmmm"),0)</f>
        <v>Abril</v>
      </c>
    </row>
    <row r="1195" spans="2:28" x14ac:dyDescent="0.3">
      <c r="B1195" s="2">
        <f>IF(BCP_Soles[[#This Row],[TIPO DE R.]]="R",COUNTIFS($D$4:$D1194,"R")+1,"")</f>
        <v>931</v>
      </c>
      <c r="C1195" s="19" t="str">
        <f t="shared" si="90"/>
        <v>B-BCP - Soles</v>
      </c>
      <c r="D1195" s="3" t="s">
        <v>1074</v>
      </c>
      <c r="E1195" s="14">
        <v>45755</v>
      </c>
      <c r="F1195" s="5" t="s">
        <v>1996</v>
      </c>
      <c r="G1195" s="5" t="s">
        <v>1079</v>
      </c>
      <c r="H1195" s="6" t="s">
        <v>139</v>
      </c>
      <c r="I1195" s="6" t="s">
        <v>14</v>
      </c>
      <c r="J1195" s="6" t="s">
        <v>1953</v>
      </c>
      <c r="K1195" s="6">
        <v>6193</v>
      </c>
      <c r="L1195" s="7" t="s">
        <v>1954</v>
      </c>
      <c r="M1195" s="8">
        <v>97345</v>
      </c>
      <c r="N1195" s="8" t="str">
        <f t="shared" si="91"/>
        <v>PEN</v>
      </c>
      <c r="O1195" s="13"/>
      <c r="P1195" s="13">
        <v>200.76</v>
      </c>
      <c r="Q1195" s="3">
        <f t="shared" si="92"/>
        <v>0</v>
      </c>
      <c r="R1195" s="3">
        <f t="shared" si="93"/>
        <v>200.76</v>
      </c>
      <c r="S1195" s="3">
        <f t="shared" si="94"/>
        <v>45802.180000000044</v>
      </c>
      <c r="T1195" s="24" t="s">
        <v>1081</v>
      </c>
      <c r="U1195" s="24" t="s">
        <v>1081</v>
      </c>
      <c r="V1195" s="67"/>
      <c r="W1195" s="25">
        <f>IFERROR(VLOOKUP(BCP_Soles[[#This Row],[DESTINATARIO]],CHOOSE({1,2},Clientes_Proveedores[Razon Social],Clientes_Proveedores[Ruc / Dni]),2,0),"")</f>
        <v>20100055237</v>
      </c>
      <c r="X1195" s="25" t="s">
        <v>1955</v>
      </c>
      <c r="Y1195" s="25" t="s">
        <v>2345</v>
      </c>
      <c r="Z1195" s="25"/>
      <c r="AA1195" s="99"/>
      <c r="AB1195" s="3" t="str">
        <f>IF(BCP_Soles[[#This Row],[FECHA]]&gt;0,TEXT(BCP_Soles[[#This Row],[FECHA]],"mmmm"),0)</f>
        <v>Abril</v>
      </c>
    </row>
    <row r="1196" spans="2:28" x14ac:dyDescent="0.3">
      <c r="B1196" s="2">
        <f>IF(BCP_Soles[[#This Row],[TIPO DE R.]]="R",COUNTIFS($D$4:$D1195,"R")+1,"")</f>
        <v>932</v>
      </c>
      <c r="C1196" s="19" t="str">
        <f t="shared" si="90"/>
        <v>B-BCP - Soles</v>
      </c>
      <c r="D1196" s="3" t="s">
        <v>1074</v>
      </c>
      <c r="E1196" s="14">
        <v>45755</v>
      </c>
      <c r="F1196" s="5" t="s">
        <v>1158</v>
      </c>
      <c r="G1196" s="5" t="s">
        <v>1079</v>
      </c>
      <c r="H1196" s="6"/>
      <c r="I1196" s="6"/>
      <c r="J1196" s="6"/>
      <c r="K1196" s="6"/>
      <c r="L1196" s="7" t="s">
        <v>1279</v>
      </c>
      <c r="M1196" s="8">
        <v>1866</v>
      </c>
      <c r="N1196" s="8" t="str">
        <f t="shared" si="91"/>
        <v>PEN</v>
      </c>
      <c r="O1196" s="13"/>
      <c r="P1196" s="13">
        <v>252.31</v>
      </c>
      <c r="Q1196" s="3">
        <f t="shared" si="92"/>
        <v>0</v>
      </c>
      <c r="R1196" s="3">
        <f t="shared" si="93"/>
        <v>252.31</v>
      </c>
      <c r="S1196" s="3">
        <f t="shared" si="94"/>
        <v>45549.870000000046</v>
      </c>
      <c r="T1196" s="24"/>
      <c r="U1196" s="24"/>
      <c r="V1196" s="67"/>
      <c r="W1196" s="25" t="str">
        <f>IFERROR(VLOOKUP(BCP_Soles[[#This Row],[DESTINATARIO]],CHOOSE({1,2},Clientes_Proveedores[Razon Social],Clientes_Proveedores[Ruc / Dni]),2,0),"")</f>
        <v/>
      </c>
      <c r="X1196" s="25" t="s">
        <v>1280</v>
      </c>
      <c r="Y1196" s="25"/>
      <c r="Z1196" s="25"/>
      <c r="AA1196" s="99"/>
      <c r="AB1196" s="3" t="str">
        <f>IF(BCP_Soles[[#This Row],[FECHA]]&gt;0,TEXT(BCP_Soles[[#This Row],[FECHA]],"mmmm"),0)</f>
        <v>Abril</v>
      </c>
    </row>
    <row r="1197" spans="2:28" x14ac:dyDescent="0.3">
      <c r="B1197" s="2">
        <f>IF(BCP_Soles[[#This Row],[TIPO DE R.]]="R",COUNTIFS($D$4:$D1196,"R")+1,"")</f>
        <v>933</v>
      </c>
      <c r="C1197" s="19" t="str">
        <f t="shared" si="90"/>
        <v>B-BCP - Soles</v>
      </c>
      <c r="D1197" s="3" t="s">
        <v>1074</v>
      </c>
      <c r="E1197" s="14">
        <v>45755</v>
      </c>
      <c r="F1197" s="5" t="s">
        <v>1996</v>
      </c>
      <c r="G1197" s="5" t="s">
        <v>1079</v>
      </c>
      <c r="H1197" s="6" t="s">
        <v>139</v>
      </c>
      <c r="I1197" s="6" t="s">
        <v>14</v>
      </c>
      <c r="J1197" s="6" t="s">
        <v>1953</v>
      </c>
      <c r="K1197" s="6">
        <v>6197</v>
      </c>
      <c r="L1197" s="7" t="s">
        <v>1954</v>
      </c>
      <c r="M1197" s="8">
        <v>203729</v>
      </c>
      <c r="N1197" s="8" t="str">
        <f t="shared" si="91"/>
        <v>PEN</v>
      </c>
      <c r="O1197" s="13"/>
      <c r="P1197" s="13">
        <v>603.36</v>
      </c>
      <c r="Q1197" s="3">
        <f t="shared" si="92"/>
        <v>0</v>
      </c>
      <c r="R1197" s="3">
        <f t="shared" si="93"/>
        <v>603.36</v>
      </c>
      <c r="S1197" s="3">
        <f t="shared" si="94"/>
        <v>44946.510000000046</v>
      </c>
      <c r="T1197" s="24" t="s">
        <v>1081</v>
      </c>
      <c r="U1197" s="24" t="s">
        <v>1081</v>
      </c>
      <c r="V1197" s="67"/>
      <c r="W1197" s="25">
        <f>IFERROR(VLOOKUP(BCP_Soles[[#This Row],[DESTINATARIO]],CHOOSE({1,2},Clientes_Proveedores[Razon Social],Clientes_Proveedores[Ruc / Dni]),2,0),"")</f>
        <v>20100055237</v>
      </c>
      <c r="X1197" s="25" t="s">
        <v>1955</v>
      </c>
      <c r="Y1197" s="25" t="s">
        <v>2346</v>
      </c>
      <c r="Z1197" s="25"/>
      <c r="AA1197" s="99"/>
      <c r="AB1197" s="3" t="str">
        <f>IF(BCP_Soles[[#This Row],[FECHA]]&gt;0,TEXT(BCP_Soles[[#This Row],[FECHA]],"mmmm"),0)</f>
        <v>Abril</v>
      </c>
    </row>
    <row r="1198" spans="2:28" ht="24" x14ac:dyDescent="0.3">
      <c r="B1198" s="2">
        <f>IF(BCP_Soles[[#This Row],[TIPO DE R.]]="R",COUNTIFS($D$4:$D1197,"R")+1,"")</f>
        <v>934</v>
      </c>
      <c r="C1198" s="19" t="str">
        <f t="shared" si="90"/>
        <v>B-BCP - Soles</v>
      </c>
      <c r="D1198" s="3" t="s">
        <v>1074</v>
      </c>
      <c r="E1198" s="14">
        <v>45755</v>
      </c>
      <c r="F1198" s="5" t="s">
        <v>1996</v>
      </c>
      <c r="G1198" s="5" t="s">
        <v>1079</v>
      </c>
      <c r="H1198" s="6" t="s">
        <v>192</v>
      </c>
      <c r="I1198" s="6"/>
      <c r="J1198" s="6"/>
      <c r="K1198" s="6"/>
      <c r="L1198" s="7" t="s">
        <v>2347</v>
      </c>
      <c r="M1198" s="8">
        <v>1201350</v>
      </c>
      <c r="N1198" s="8" t="str">
        <f t="shared" si="91"/>
        <v>PEN</v>
      </c>
      <c r="O1198" s="13"/>
      <c r="P1198" s="13">
        <v>737.92</v>
      </c>
      <c r="Q1198" s="3">
        <f t="shared" si="92"/>
        <v>0</v>
      </c>
      <c r="R1198" s="3">
        <f t="shared" si="93"/>
        <v>737.92</v>
      </c>
      <c r="S1198" s="3">
        <f t="shared" si="94"/>
        <v>44208.590000000047</v>
      </c>
      <c r="T1198" s="24"/>
      <c r="U1198" s="24"/>
      <c r="V1198" s="67"/>
      <c r="W1198" s="25">
        <f>IFERROR(VLOOKUP(BCP_Soles[[#This Row],[DESTINATARIO]],CHOOSE({1,2},Clientes_Proveedores[Razon Social],Clientes_Proveedores[Ruc / Dni]),2,0),"")</f>
        <v>20302891452</v>
      </c>
      <c r="X1198" s="25" t="s">
        <v>192</v>
      </c>
      <c r="Y1198" s="25"/>
      <c r="Z1198" s="25"/>
      <c r="AA1198" s="99"/>
      <c r="AB1198" s="3" t="str">
        <f>IF(BCP_Soles[[#This Row],[FECHA]]&gt;0,TEXT(BCP_Soles[[#This Row],[FECHA]],"mmmm"),0)</f>
        <v>Abril</v>
      </c>
    </row>
    <row r="1199" spans="2:28" x14ac:dyDescent="0.3">
      <c r="B1199" s="2">
        <f>IF(BCP_Soles[[#This Row],[TIPO DE R.]]="R",COUNTIFS($D$4:$D1198,"R")+1,"")</f>
        <v>935</v>
      </c>
      <c r="C1199" s="19" t="str">
        <f t="shared" si="90"/>
        <v>B-BCP - Soles</v>
      </c>
      <c r="D1199" s="3" t="s">
        <v>1074</v>
      </c>
      <c r="E1199" s="14">
        <v>45755</v>
      </c>
      <c r="F1199" s="5" t="s">
        <v>1158</v>
      </c>
      <c r="G1199" s="5" t="s">
        <v>1079</v>
      </c>
      <c r="H1199" s="6"/>
      <c r="I1199" s="6"/>
      <c r="J1199" s="6"/>
      <c r="K1199" s="6"/>
      <c r="L1199" s="7" t="s">
        <v>1277</v>
      </c>
      <c r="M1199" s="8">
        <v>1852</v>
      </c>
      <c r="N1199" s="8" t="str">
        <f t="shared" si="91"/>
        <v>PEN</v>
      </c>
      <c r="O1199" s="13"/>
      <c r="P1199" s="13">
        <v>792.81</v>
      </c>
      <c r="Q1199" s="3">
        <f t="shared" si="92"/>
        <v>0</v>
      </c>
      <c r="R1199" s="3">
        <f t="shared" si="93"/>
        <v>792.81</v>
      </c>
      <c r="S1199" s="3">
        <f t="shared" si="94"/>
        <v>43415.78000000005</v>
      </c>
      <c r="T1199" s="24"/>
      <c r="U1199" s="24"/>
      <c r="V1199" s="67"/>
      <c r="W1199" s="25" t="str">
        <f>IFERROR(VLOOKUP(BCP_Soles[[#This Row],[DESTINATARIO]],CHOOSE({1,2},Clientes_Proveedores[Razon Social],Clientes_Proveedores[Ruc / Dni]),2,0),"")</f>
        <v/>
      </c>
      <c r="X1199" s="25" t="s">
        <v>1278</v>
      </c>
      <c r="Y1199" s="25"/>
      <c r="Z1199" s="25"/>
      <c r="AA1199" s="99"/>
      <c r="AB1199" s="3" t="str">
        <f>IF(BCP_Soles[[#This Row],[FECHA]]&gt;0,TEXT(BCP_Soles[[#This Row],[FECHA]],"mmmm"),0)</f>
        <v>Abril</v>
      </c>
    </row>
    <row r="1200" spans="2:28" ht="36" x14ac:dyDescent="0.3">
      <c r="B1200" s="2">
        <f>IF(BCP_Soles[[#This Row],[TIPO DE R.]]="R",COUNTIFS($D$4:$D1199,"R")+1,"")</f>
        <v>936</v>
      </c>
      <c r="C1200" s="19" t="str">
        <f t="shared" si="90"/>
        <v>B-BCP - Soles</v>
      </c>
      <c r="D1200" s="3" t="s">
        <v>1074</v>
      </c>
      <c r="E1200" s="14">
        <v>45755</v>
      </c>
      <c r="F1200" s="5" t="s">
        <v>1082</v>
      </c>
      <c r="G1200" s="5" t="s">
        <v>1079</v>
      </c>
      <c r="H1200" s="6" t="s">
        <v>644</v>
      </c>
      <c r="I1200" s="6" t="s">
        <v>14</v>
      </c>
      <c r="J1200" s="6" t="s">
        <v>1204</v>
      </c>
      <c r="K1200" s="6">
        <v>638474</v>
      </c>
      <c r="L1200" s="7" t="s">
        <v>2348</v>
      </c>
      <c r="M1200" s="8">
        <v>98801</v>
      </c>
      <c r="N1200" s="8" t="str">
        <f t="shared" si="91"/>
        <v>PEN</v>
      </c>
      <c r="O1200" s="13"/>
      <c r="P1200" s="13">
        <v>990.55</v>
      </c>
      <c r="Q1200" s="3">
        <f t="shared" si="92"/>
        <v>0</v>
      </c>
      <c r="R1200" s="3">
        <f t="shared" si="93"/>
        <v>990.55</v>
      </c>
      <c r="S1200" s="3">
        <f t="shared" si="94"/>
        <v>42425.230000000047</v>
      </c>
      <c r="T1200" s="24" t="s">
        <v>1081</v>
      </c>
      <c r="U1200" s="24" t="s">
        <v>1081</v>
      </c>
      <c r="V1200" s="67"/>
      <c r="W1200" s="25">
        <f>IFERROR(VLOOKUP(BCP_Soles[[#This Row],[DESTINATARIO]],CHOOSE({1,2},Clientes_Proveedores[Razon Social],Clientes_Proveedores[Ruc / Dni]),2,0),"")</f>
        <v>20454073143</v>
      </c>
      <c r="X1200" s="25" t="s">
        <v>1206</v>
      </c>
      <c r="Y1200" s="25" t="s">
        <v>2349</v>
      </c>
      <c r="Z1200" s="25"/>
      <c r="AA1200" s="99"/>
      <c r="AB1200" s="3" t="str">
        <f>IF(BCP_Soles[[#This Row],[FECHA]]&gt;0,TEXT(BCP_Soles[[#This Row],[FECHA]],"mmmm"),0)</f>
        <v>Abril</v>
      </c>
    </row>
    <row r="1201" spans="2:28" x14ac:dyDescent="0.3">
      <c r="B1201" s="2">
        <f>IF(BCP_Soles[[#This Row],[TIPO DE R.]]="R",COUNTIFS($D$4:$D1200,"R")+1,"")</f>
        <v>937</v>
      </c>
      <c r="C1201" s="19" t="str">
        <f t="shared" si="90"/>
        <v>B-BCP - Soles</v>
      </c>
      <c r="D1201" s="3" t="s">
        <v>1074</v>
      </c>
      <c r="E1201" s="14">
        <v>45755</v>
      </c>
      <c r="F1201" s="5" t="s">
        <v>1082</v>
      </c>
      <c r="G1201" s="5" t="s">
        <v>1079</v>
      </c>
      <c r="H1201" s="6"/>
      <c r="I1201" s="6"/>
      <c r="J1201" s="6"/>
      <c r="K1201" s="6"/>
      <c r="L1201" s="7" t="s">
        <v>2350</v>
      </c>
      <c r="M1201" s="8">
        <v>1008408</v>
      </c>
      <c r="N1201" s="8" t="str">
        <f t="shared" si="91"/>
        <v>PEN</v>
      </c>
      <c r="O1201" s="13"/>
      <c r="P1201" s="13">
        <v>1183</v>
      </c>
      <c r="Q1201" s="3">
        <f t="shared" si="92"/>
        <v>0</v>
      </c>
      <c r="R1201" s="3">
        <f t="shared" si="93"/>
        <v>1183</v>
      </c>
      <c r="S1201" s="3">
        <f t="shared" si="94"/>
        <v>41242.230000000047</v>
      </c>
      <c r="T1201" s="24"/>
      <c r="U1201" s="24"/>
      <c r="V1201" s="67"/>
      <c r="W1201" s="25" t="str">
        <f>IFERROR(VLOOKUP(BCP_Soles[[#This Row],[DESTINATARIO]],CHOOSE({1,2},Clientes_Proveedores[Razon Social],Clientes_Proveedores[Ruc / Dni]),2,0),"")</f>
        <v/>
      </c>
      <c r="X1201" s="25" t="s">
        <v>1133</v>
      </c>
      <c r="Y1201" s="25"/>
      <c r="Z1201" s="25"/>
      <c r="AA1201" s="99"/>
      <c r="AB1201" s="3" t="str">
        <f>IF(BCP_Soles[[#This Row],[FECHA]]&gt;0,TEXT(BCP_Soles[[#This Row],[FECHA]],"mmmm"),0)</f>
        <v>Abril</v>
      </c>
    </row>
    <row r="1202" spans="2:28" x14ac:dyDescent="0.3">
      <c r="B1202" s="2">
        <f>IF(BCP_Soles[[#This Row],[TIPO DE R.]]="R",COUNTIFS($D$4:$D1201,"R")+1,"")</f>
        <v>938</v>
      </c>
      <c r="C1202" s="19" t="str">
        <f t="shared" si="90"/>
        <v>B-BCP - Soles</v>
      </c>
      <c r="D1202" s="3" t="s">
        <v>1074</v>
      </c>
      <c r="E1202" s="14">
        <v>45755</v>
      </c>
      <c r="F1202" s="5" t="s">
        <v>1158</v>
      </c>
      <c r="G1202" s="5" t="s">
        <v>1079</v>
      </c>
      <c r="H1202" s="6"/>
      <c r="I1202" s="6"/>
      <c r="J1202" s="6"/>
      <c r="K1202" s="6"/>
      <c r="L1202" s="7" t="s">
        <v>1274</v>
      </c>
      <c r="M1202" s="8">
        <v>1863</v>
      </c>
      <c r="N1202" s="8" t="str">
        <f t="shared" si="91"/>
        <v>PEN</v>
      </c>
      <c r="O1202" s="13"/>
      <c r="P1202" s="13">
        <v>1784.27</v>
      </c>
      <c r="Q1202" s="3">
        <f t="shared" si="92"/>
        <v>0</v>
      </c>
      <c r="R1202" s="3">
        <f t="shared" si="93"/>
        <v>1784.27</v>
      </c>
      <c r="S1202" s="3">
        <f t="shared" si="94"/>
        <v>39457.96000000005</v>
      </c>
      <c r="T1202" s="24"/>
      <c r="U1202" s="24"/>
      <c r="V1202" s="67"/>
      <c r="W1202" s="25" t="str">
        <f>IFERROR(VLOOKUP(BCP_Soles[[#This Row],[DESTINATARIO]],CHOOSE({1,2},Clientes_Proveedores[Razon Social],Clientes_Proveedores[Ruc / Dni]),2,0),"")</f>
        <v/>
      </c>
      <c r="X1202" s="25" t="s">
        <v>1275</v>
      </c>
      <c r="Y1202" s="25"/>
      <c r="Z1202" s="25"/>
      <c r="AA1202" s="99"/>
      <c r="AB1202" s="3" t="str">
        <f>IF(BCP_Soles[[#This Row],[FECHA]]&gt;0,TEXT(BCP_Soles[[#This Row],[FECHA]],"mmmm"),0)</f>
        <v>Abril</v>
      </c>
    </row>
    <row r="1203" spans="2:28" ht="24" x14ac:dyDescent="0.3">
      <c r="B1203" s="2">
        <f>IF(BCP_Soles[[#This Row],[TIPO DE R.]]="R",COUNTIFS($D$4:$D1202,"R")+1,"")</f>
        <v>939</v>
      </c>
      <c r="C1203" s="19" t="str">
        <f t="shared" si="90"/>
        <v>B-BCP - Soles</v>
      </c>
      <c r="D1203" s="3" t="s">
        <v>1074</v>
      </c>
      <c r="E1203" s="14">
        <v>45755</v>
      </c>
      <c r="F1203" s="5" t="s">
        <v>1996</v>
      </c>
      <c r="G1203" s="5" t="s">
        <v>1079</v>
      </c>
      <c r="H1203" s="6" t="s">
        <v>192</v>
      </c>
      <c r="I1203" s="6"/>
      <c r="J1203" s="6"/>
      <c r="K1203" s="6"/>
      <c r="L1203" s="7" t="s">
        <v>2351</v>
      </c>
      <c r="M1203" s="8">
        <v>1202788</v>
      </c>
      <c r="N1203" s="8" t="str">
        <f t="shared" si="91"/>
        <v>PEN</v>
      </c>
      <c r="O1203" s="13"/>
      <c r="P1203" s="13">
        <v>1967.3</v>
      </c>
      <c r="Q1203" s="3">
        <f t="shared" si="92"/>
        <v>0</v>
      </c>
      <c r="R1203" s="3">
        <f t="shared" si="93"/>
        <v>1967.3</v>
      </c>
      <c r="S1203" s="3">
        <f t="shared" si="94"/>
        <v>37490.660000000047</v>
      </c>
      <c r="T1203" s="24"/>
      <c r="U1203" s="24"/>
      <c r="V1203" s="67"/>
      <c r="W1203" s="25">
        <f>IFERROR(VLOOKUP(BCP_Soles[[#This Row],[DESTINATARIO]],CHOOSE({1,2},Clientes_Proveedores[Razon Social],Clientes_Proveedores[Ruc / Dni]),2,0),"")</f>
        <v>20302891452</v>
      </c>
      <c r="X1203" s="25" t="s">
        <v>192</v>
      </c>
      <c r="Y1203" s="25"/>
      <c r="Z1203" s="25"/>
      <c r="AA1203" s="99"/>
      <c r="AB1203" s="3" t="str">
        <f>IF(BCP_Soles[[#This Row],[FECHA]]&gt;0,TEXT(BCP_Soles[[#This Row],[FECHA]],"mmmm"),0)</f>
        <v>Abril</v>
      </c>
    </row>
    <row r="1204" spans="2:28" x14ac:dyDescent="0.3">
      <c r="B1204" s="2">
        <f>IF(BCP_Soles[[#This Row],[TIPO DE R.]]="R",COUNTIFS($D$4:$D1203,"R")+1,"")</f>
        <v>940</v>
      </c>
      <c r="C1204" s="19" t="str">
        <f t="shared" si="90"/>
        <v>B-BCP - Soles</v>
      </c>
      <c r="D1204" s="3" t="s">
        <v>1074</v>
      </c>
      <c r="E1204" s="14">
        <v>45755</v>
      </c>
      <c r="F1204" s="5" t="s">
        <v>1158</v>
      </c>
      <c r="G1204" s="5" t="s">
        <v>1079</v>
      </c>
      <c r="H1204" s="6"/>
      <c r="I1204" s="6"/>
      <c r="J1204" s="6"/>
      <c r="K1204" s="6"/>
      <c r="L1204" s="7" t="s">
        <v>1271</v>
      </c>
      <c r="M1204" s="8">
        <v>1857</v>
      </c>
      <c r="N1204" s="8" t="str">
        <f t="shared" si="91"/>
        <v>PEN</v>
      </c>
      <c r="O1204" s="13"/>
      <c r="P1204" s="13">
        <v>4768.7</v>
      </c>
      <c r="Q1204" s="3">
        <f t="shared" si="92"/>
        <v>0</v>
      </c>
      <c r="R1204" s="3">
        <f t="shared" si="93"/>
        <v>4768.7</v>
      </c>
      <c r="S1204" s="3">
        <f t="shared" si="94"/>
        <v>32721.960000000046</v>
      </c>
      <c r="T1204" s="24"/>
      <c r="U1204" s="24"/>
      <c r="V1204" s="67"/>
      <c r="W1204" s="25" t="str">
        <f>IFERROR(VLOOKUP(BCP_Soles[[#This Row],[DESTINATARIO]],CHOOSE({1,2},Clientes_Proveedores[Razon Social],Clientes_Proveedores[Ruc / Dni]),2,0),"")</f>
        <v/>
      </c>
      <c r="X1204" s="25" t="s">
        <v>1272</v>
      </c>
      <c r="Y1204" s="25"/>
      <c r="Z1204" s="25"/>
      <c r="AA1204" s="99"/>
      <c r="AB1204" s="3" t="str">
        <f>IF(BCP_Soles[[#This Row],[FECHA]]&gt;0,TEXT(BCP_Soles[[#This Row],[FECHA]],"mmmm"),0)</f>
        <v>Abril</v>
      </c>
    </row>
    <row r="1205" spans="2:28" x14ac:dyDescent="0.3">
      <c r="B1205" s="2">
        <f>IF(BCP_Soles[[#This Row],[TIPO DE R.]]="R",COUNTIFS($D$4:$D1204,"R")+1,"")</f>
        <v>941</v>
      </c>
      <c r="C1205" s="19" t="str">
        <f t="shared" si="90"/>
        <v>B-BCP - Soles</v>
      </c>
      <c r="D1205" s="3" t="s">
        <v>1074</v>
      </c>
      <c r="E1205" s="14">
        <v>45755</v>
      </c>
      <c r="F1205" s="5" t="s">
        <v>1996</v>
      </c>
      <c r="G1205" s="5" t="s">
        <v>1079</v>
      </c>
      <c r="H1205" s="6"/>
      <c r="I1205" s="6"/>
      <c r="J1205" s="6"/>
      <c r="K1205" s="6"/>
      <c r="L1205" s="7" t="s">
        <v>2352</v>
      </c>
      <c r="M1205" s="8">
        <v>2093319</v>
      </c>
      <c r="N1205" s="8" t="str">
        <f t="shared" si="91"/>
        <v>PEN</v>
      </c>
      <c r="O1205" s="13"/>
      <c r="P1205" s="13">
        <v>5793.25</v>
      </c>
      <c r="Q1205" s="3">
        <f t="shared" si="92"/>
        <v>0</v>
      </c>
      <c r="R1205" s="3">
        <f t="shared" si="93"/>
        <v>5793.25</v>
      </c>
      <c r="S1205" s="3">
        <f t="shared" si="94"/>
        <v>26928.710000000046</v>
      </c>
      <c r="T1205" s="24" t="s">
        <v>1081</v>
      </c>
      <c r="U1205" s="24" t="s">
        <v>1081</v>
      </c>
      <c r="V1205" s="67"/>
      <c r="W1205" s="25" t="str">
        <f>IFERROR(VLOOKUP(BCP_Soles[[#This Row],[DESTINATARIO]],CHOOSE({1,2},Clientes_Proveedores[Razon Social],Clientes_Proveedores[Ruc / Dni]),2,0),"")</f>
        <v/>
      </c>
      <c r="X1205" s="25" t="s">
        <v>1118</v>
      </c>
      <c r="Y1205" s="25"/>
      <c r="Z1205" s="25"/>
      <c r="AA1205" s="99"/>
      <c r="AB1205" s="3" t="str">
        <f>IF(BCP_Soles[[#This Row],[FECHA]]&gt;0,TEXT(BCP_Soles[[#This Row],[FECHA]],"mmmm"),0)</f>
        <v>Abril</v>
      </c>
    </row>
    <row r="1206" spans="2:28" ht="36" x14ac:dyDescent="0.3">
      <c r="B1206" s="2" t="str">
        <f>IF(BCP_Soles[[#This Row],[TIPO DE R.]]="R",COUNTIFS($D$4:$D1205,"R")+1,"")</f>
        <v/>
      </c>
      <c r="C1206" s="19" t="str">
        <f t="shared" si="90"/>
        <v>B-BCP - Soles</v>
      </c>
      <c r="D1206" s="3" t="s">
        <v>1101</v>
      </c>
      <c r="E1206" s="14">
        <v>45755</v>
      </c>
      <c r="F1206" s="5" t="s">
        <v>1996</v>
      </c>
      <c r="G1206" s="5"/>
      <c r="H1206" s="6" t="s">
        <v>250</v>
      </c>
      <c r="I1206" s="6" t="s">
        <v>14</v>
      </c>
      <c r="J1206" s="6" t="s">
        <v>1121</v>
      </c>
      <c r="K1206" s="6">
        <v>157</v>
      </c>
      <c r="L1206" s="7" t="s">
        <v>2352</v>
      </c>
      <c r="M1206" s="8">
        <v>2093319</v>
      </c>
      <c r="N1206" s="8" t="str">
        <f t="shared" si="91"/>
        <v>PEN</v>
      </c>
      <c r="O1206" s="13">
        <v>1248</v>
      </c>
      <c r="P1206" s="13"/>
      <c r="Q1206" s="3">
        <f t="shared" si="92"/>
        <v>0</v>
      </c>
      <c r="R1206" s="3">
        <f t="shared" si="93"/>
        <v>0</v>
      </c>
      <c r="S1206" s="3">
        <f t="shared" si="94"/>
        <v>26928.710000000046</v>
      </c>
      <c r="T1206" s="24"/>
      <c r="U1206" s="24"/>
      <c r="V1206" s="67"/>
      <c r="W1206" s="25">
        <f>IFERROR(VLOOKUP(BCP_Soles[[#This Row],[DESTINATARIO]],CHOOSE({1,2},Clientes_Proveedores[Razon Social],Clientes_Proveedores[Ruc / Dni]),2,0),"")</f>
        <v>20455932824</v>
      </c>
      <c r="X1206" s="25"/>
      <c r="Y1206" s="25"/>
      <c r="Z1206" s="25"/>
      <c r="AA1206" s="99"/>
      <c r="AB1206" s="3" t="str">
        <f>IF(BCP_Soles[[#This Row],[FECHA]]&gt;0,TEXT(BCP_Soles[[#This Row],[FECHA]],"mmmm"),0)</f>
        <v>Abril</v>
      </c>
    </row>
    <row r="1207" spans="2:28" ht="24" x14ac:dyDescent="0.3">
      <c r="B1207" s="2" t="str">
        <f>IF(BCP_Soles[[#This Row],[TIPO DE R.]]="R",COUNTIFS($D$4:$D1206,"R")+1,"")</f>
        <v/>
      </c>
      <c r="C1207" s="19" t="str">
        <f t="shared" si="90"/>
        <v>B-BCP - Soles</v>
      </c>
      <c r="D1207" s="3" t="s">
        <v>1101</v>
      </c>
      <c r="E1207" s="14">
        <v>45755</v>
      </c>
      <c r="F1207" s="5" t="s">
        <v>1996</v>
      </c>
      <c r="G1207" s="5"/>
      <c r="H1207" s="6" t="s">
        <v>214</v>
      </c>
      <c r="I1207" s="6" t="s">
        <v>14</v>
      </c>
      <c r="J1207" s="6" t="s">
        <v>1120</v>
      </c>
      <c r="K1207" s="6">
        <v>6888</v>
      </c>
      <c r="L1207" s="7" t="s">
        <v>2352</v>
      </c>
      <c r="M1207" s="8">
        <v>2093319</v>
      </c>
      <c r="N1207" s="8" t="str">
        <f t="shared" si="91"/>
        <v>PEN</v>
      </c>
      <c r="O1207" s="13">
        <v>229.5</v>
      </c>
      <c r="P1207" s="13"/>
      <c r="Q1207" s="3">
        <f t="shared" si="92"/>
        <v>0</v>
      </c>
      <c r="R1207" s="3">
        <f t="shared" si="93"/>
        <v>0</v>
      </c>
      <c r="S1207" s="3">
        <f t="shared" si="94"/>
        <v>26928.710000000046</v>
      </c>
      <c r="T1207" s="24"/>
      <c r="U1207" s="24"/>
      <c r="V1207" s="67"/>
      <c r="W1207" s="25">
        <f>IFERROR(VLOOKUP(BCP_Soles[[#This Row],[DESTINATARIO]],CHOOSE({1,2},Clientes_Proveedores[Razon Social],Clientes_Proveedores[Ruc / Dni]),2,0),"")</f>
        <v>20419158462</v>
      </c>
      <c r="X1207" s="25"/>
      <c r="Y1207" s="25"/>
      <c r="Z1207" s="25"/>
      <c r="AA1207" s="99"/>
      <c r="AB1207" s="3" t="str">
        <f>IF(BCP_Soles[[#This Row],[FECHA]]&gt;0,TEXT(BCP_Soles[[#This Row],[FECHA]],"mmmm"),0)</f>
        <v>Abril</v>
      </c>
    </row>
    <row r="1208" spans="2:28" x14ac:dyDescent="0.3">
      <c r="B1208" s="2" t="str">
        <f>IF(BCP_Soles[[#This Row],[TIPO DE R.]]="R",COUNTIFS($D$4:$D1207,"R")+1,"")</f>
        <v/>
      </c>
      <c r="C1208" s="19" t="str">
        <f t="shared" si="90"/>
        <v>B-BCP - Soles</v>
      </c>
      <c r="D1208" s="3" t="s">
        <v>1101</v>
      </c>
      <c r="E1208" s="14">
        <v>45755</v>
      </c>
      <c r="F1208" s="5" t="s">
        <v>1996</v>
      </c>
      <c r="G1208" s="5"/>
      <c r="H1208" s="6" t="s">
        <v>465</v>
      </c>
      <c r="I1208" s="6" t="s">
        <v>14</v>
      </c>
      <c r="J1208" s="6" t="s">
        <v>1121</v>
      </c>
      <c r="K1208" s="6">
        <v>3785</v>
      </c>
      <c r="L1208" s="7" t="s">
        <v>2352</v>
      </c>
      <c r="M1208" s="8">
        <v>2093319</v>
      </c>
      <c r="N1208" s="8" t="str">
        <f t="shared" si="91"/>
        <v>PEN</v>
      </c>
      <c r="O1208" s="13">
        <v>250.75</v>
      </c>
      <c r="P1208" s="13"/>
      <c r="Q1208" s="3">
        <f t="shared" si="92"/>
        <v>0</v>
      </c>
      <c r="R1208" s="3">
        <f t="shared" si="93"/>
        <v>0</v>
      </c>
      <c r="S1208" s="3">
        <f t="shared" si="94"/>
        <v>26928.710000000046</v>
      </c>
      <c r="T1208" s="24"/>
      <c r="U1208" s="24"/>
      <c r="V1208" s="67"/>
      <c r="W1208" s="25">
        <f>IFERROR(VLOOKUP(BCP_Soles[[#This Row],[DESTINATARIO]],CHOOSE({1,2},Clientes_Proveedores[Razon Social],Clientes_Proveedores[Ruc / Dni]),2,0),"")</f>
        <v>20603974817</v>
      </c>
      <c r="X1208" s="25"/>
      <c r="Y1208" s="25"/>
      <c r="Z1208" s="25"/>
      <c r="AA1208" s="99"/>
      <c r="AB1208" s="3" t="str">
        <f>IF(BCP_Soles[[#This Row],[FECHA]]&gt;0,TEXT(BCP_Soles[[#This Row],[FECHA]],"mmmm"),0)</f>
        <v>Abril</v>
      </c>
    </row>
    <row r="1209" spans="2:28" ht="24" x14ac:dyDescent="0.3">
      <c r="B1209" s="2" t="str">
        <f>IF(BCP_Soles[[#This Row],[TIPO DE R.]]="R",COUNTIFS($D$4:$D1208,"R")+1,"")</f>
        <v/>
      </c>
      <c r="C1209" s="19" t="str">
        <f t="shared" si="90"/>
        <v>B-BCP - Soles</v>
      </c>
      <c r="D1209" s="3" t="s">
        <v>1101</v>
      </c>
      <c r="E1209" s="14">
        <v>45755</v>
      </c>
      <c r="F1209" s="5" t="s">
        <v>1996</v>
      </c>
      <c r="G1209" s="5"/>
      <c r="H1209" s="6" t="s">
        <v>407</v>
      </c>
      <c r="I1209" s="6" t="s">
        <v>14</v>
      </c>
      <c r="J1209" s="6" t="s">
        <v>1121</v>
      </c>
      <c r="K1209" s="6">
        <v>796</v>
      </c>
      <c r="L1209" s="7" t="s">
        <v>2352</v>
      </c>
      <c r="M1209" s="8">
        <v>2093319</v>
      </c>
      <c r="N1209" s="8" t="str">
        <f t="shared" si="91"/>
        <v>PEN</v>
      </c>
      <c r="O1209" s="13">
        <v>2800</v>
      </c>
      <c r="P1209" s="13"/>
      <c r="Q1209" s="3">
        <f t="shared" si="92"/>
        <v>0</v>
      </c>
      <c r="R1209" s="3">
        <f t="shared" si="93"/>
        <v>0</v>
      </c>
      <c r="S1209" s="3">
        <f t="shared" si="94"/>
        <v>26928.710000000046</v>
      </c>
      <c r="T1209" s="24"/>
      <c r="U1209" s="24"/>
      <c r="V1209" s="67"/>
      <c r="W1209" s="25">
        <f>IFERROR(VLOOKUP(BCP_Soles[[#This Row],[DESTINATARIO]],CHOOSE({1,2},Clientes_Proveedores[Razon Social],Clientes_Proveedores[Ruc / Dni]),2,0),"")</f>
        <v>20601279666</v>
      </c>
      <c r="X1209" s="25"/>
      <c r="Y1209" s="25"/>
      <c r="Z1209" s="25"/>
      <c r="AA1209" s="99"/>
      <c r="AB1209" s="3" t="str">
        <f>IF(BCP_Soles[[#This Row],[FECHA]]&gt;0,TEXT(BCP_Soles[[#This Row],[FECHA]],"mmmm"),0)</f>
        <v>Abril</v>
      </c>
    </row>
    <row r="1210" spans="2:28" ht="36" x14ac:dyDescent="0.3">
      <c r="B1210" s="2" t="str">
        <f>IF(BCP_Soles[[#This Row],[TIPO DE R.]]="R",COUNTIFS($D$4:$D1209,"R")+1,"")</f>
        <v/>
      </c>
      <c r="C1210" s="19" t="str">
        <f t="shared" si="90"/>
        <v>B-BCP - Soles</v>
      </c>
      <c r="D1210" s="3" t="s">
        <v>1101</v>
      </c>
      <c r="E1210" s="14">
        <v>45755</v>
      </c>
      <c r="F1210" s="5" t="s">
        <v>1996</v>
      </c>
      <c r="G1210" s="5"/>
      <c r="H1210" s="6" t="s">
        <v>417</v>
      </c>
      <c r="I1210" s="6" t="s">
        <v>14</v>
      </c>
      <c r="J1210" s="6" t="s">
        <v>1121</v>
      </c>
      <c r="K1210" s="6">
        <v>732</v>
      </c>
      <c r="L1210" s="7" t="s">
        <v>2352</v>
      </c>
      <c r="M1210" s="8">
        <v>2093319</v>
      </c>
      <c r="N1210" s="8" t="str">
        <f t="shared" si="91"/>
        <v>PEN</v>
      </c>
      <c r="O1210" s="13">
        <v>793</v>
      </c>
      <c r="P1210" s="13"/>
      <c r="Q1210" s="3">
        <f t="shared" si="92"/>
        <v>0</v>
      </c>
      <c r="R1210" s="3">
        <f t="shared" si="93"/>
        <v>0</v>
      </c>
      <c r="S1210" s="3">
        <f t="shared" si="94"/>
        <v>26928.710000000046</v>
      </c>
      <c r="T1210" s="24"/>
      <c r="U1210" s="24"/>
      <c r="V1210" s="67"/>
      <c r="W1210" s="25">
        <f>IFERROR(VLOOKUP(BCP_Soles[[#This Row],[DESTINATARIO]],CHOOSE({1,2},Clientes_Proveedores[Razon Social],Clientes_Proveedores[Ruc / Dni]),2,0),"")</f>
        <v>20602075177</v>
      </c>
      <c r="X1210" s="25"/>
      <c r="Y1210" s="25"/>
      <c r="Z1210" s="25"/>
      <c r="AA1210" s="99"/>
      <c r="AB1210" s="3" t="str">
        <f>IF(BCP_Soles[[#This Row],[FECHA]]&gt;0,TEXT(BCP_Soles[[#This Row],[FECHA]],"mmmm"),0)</f>
        <v>Abril</v>
      </c>
    </row>
    <row r="1211" spans="2:28" x14ac:dyDescent="0.3">
      <c r="B1211" s="2" t="str">
        <f>IF(BCP_Soles[[#This Row],[TIPO DE R.]]="R",COUNTIFS($D$4:$D1210,"R")+1,"")</f>
        <v/>
      </c>
      <c r="C1211" s="19" t="str">
        <f t="shared" si="90"/>
        <v>B-BCP - Soles</v>
      </c>
      <c r="D1211" s="3" t="s">
        <v>1101</v>
      </c>
      <c r="E1211" s="14">
        <v>45755</v>
      </c>
      <c r="F1211" s="5" t="s">
        <v>1996</v>
      </c>
      <c r="G1211" s="5"/>
      <c r="H1211" s="6" t="s">
        <v>465</v>
      </c>
      <c r="I1211" s="6" t="s">
        <v>14</v>
      </c>
      <c r="J1211" s="6" t="s">
        <v>1121</v>
      </c>
      <c r="K1211" s="6">
        <v>3780</v>
      </c>
      <c r="L1211" s="7" t="s">
        <v>2352</v>
      </c>
      <c r="M1211" s="8">
        <v>2093319</v>
      </c>
      <c r="N1211" s="8" t="str">
        <f t="shared" si="91"/>
        <v>PEN</v>
      </c>
      <c r="O1211" s="13">
        <v>200.6</v>
      </c>
      <c r="P1211" s="13"/>
      <c r="Q1211" s="3">
        <f t="shared" si="92"/>
        <v>0</v>
      </c>
      <c r="R1211" s="3">
        <f t="shared" si="93"/>
        <v>0</v>
      </c>
      <c r="S1211" s="3">
        <f t="shared" si="94"/>
        <v>26928.710000000046</v>
      </c>
      <c r="T1211" s="24"/>
      <c r="U1211" s="24"/>
      <c r="V1211" s="67"/>
      <c r="W1211" s="25">
        <f>IFERROR(VLOOKUP(BCP_Soles[[#This Row],[DESTINATARIO]],CHOOSE({1,2},Clientes_Proveedores[Razon Social],Clientes_Proveedores[Ruc / Dni]),2,0),"")</f>
        <v>20603974817</v>
      </c>
      <c r="X1211" s="25"/>
      <c r="Y1211" s="25"/>
      <c r="Z1211" s="25"/>
      <c r="AA1211" s="99"/>
      <c r="AB1211" s="3" t="str">
        <f>IF(BCP_Soles[[#This Row],[FECHA]]&gt;0,TEXT(BCP_Soles[[#This Row],[FECHA]],"mmmm"),0)</f>
        <v>Abril</v>
      </c>
    </row>
    <row r="1212" spans="2:28" ht="24" x14ac:dyDescent="0.3">
      <c r="B1212" s="2" t="str">
        <f>IF(BCP_Soles[[#This Row],[TIPO DE R.]]="R",COUNTIFS($D$4:$D1211,"R")+1,"")</f>
        <v/>
      </c>
      <c r="C1212" s="19" t="str">
        <f t="shared" si="90"/>
        <v>B-BCP - Soles</v>
      </c>
      <c r="D1212" s="3" t="s">
        <v>1101</v>
      </c>
      <c r="E1212" s="14">
        <v>45755</v>
      </c>
      <c r="F1212" s="5" t="s">
        <v>1996</v>
      </c>
      <c r="G1212" s="5"/>
      <c r="H1212" s="6" t="s">
        <v>536</v>
      </c>
      <c r="I1212" s="6" t="s">
        <v>14</v>
      </c>
      <c r="J1212" s="6" t="s">
        <v>1121</v>
      </c>
      <c r="K1212" s="6">
        <v>2063</v>
      </c>
      <c r="L1212" s="7" t="s">
        <v>2352</v>
      </c>
      <c r="M1212" s="8">
        <v>2093319</v>
      </c>
      <c r="N1212" s="8" t="str">
        <f t="shared" si="91"/>
        <v>PEN</v>
      </c>
      <c r="O1212" s="13">
        <v>70.8</v>
      </c>
      <c r="P1212" s="13"/>
      <c r="Q1212" s="3">
        <f t="shared" si="92"/>
        <v>0</v>
      </c>
      <c r="R1212" s="3">
        <f t="shared" si="93"/>
        <v>0</v>
      </c>
      <c r="S1212" s="3">
        <f t="shared" si="94"/>
        <v>26928.710000000046</v>
      </c>
      <c r="T1212" s="24"/>
      <c r="U1212" s="24"/>
      <c r="V1212" s="67"/>
      <c r="W1212" s="25">
        <f>IFERROR(VLOOKUP(BCP_Soles[[#This Row],[DESTINATARIO]],CHOOSE({1,2},Clientes_Proveedores[Razon Social],Clientes_Proveedores[Ruc / Dni]),2,0),"")</f>
        <v>20609764261</v>
      </c>
      <c r="X1212" s="25"/>
      <c r="Y1212" s="25"/>
      <c r="Z1212" s="25"/>
      <c r="AA1212" s="99"/>
      <c r="AB1212" s="3" t="str">
        <f>IF(BCP_Soles[[#This Row],[FECHA]]&gt;0,TEXT(BCP_Soles[[#This Row],[FECHA]],"mmmm"),0)</f>
        <v>Abril</v>
      </c>
    </row>
    <row r="1213" spans="2:28" x14ac:dyDescent="0.3">
      <c r="B1213" s="2" t="str">
        <f>IF(BCP_Soles[[#This Row],[TIPO DE R.]]="R",COUNTIFS($D$4:$D1212,"R")+1,"")</f>
        <v/>
      </c>
      <c r="C1213" s="19" t="str">
        <f t="shared" si="90"/>
        <v>B-BCP - Soles</v>
      </c>
      <c r="D1213" s="3" t="s">
        <v>1101</v>
      </c>
      <c r="E1213" s="14">
        <v>45755</v>
      </c>
      <c r="F1213" s="5" t="s">
        <v>1996</v>
      </c>
      <c r="G1213" s="5"/>
      <c r="H1213" s="6" t="s">
        <v>465</v>
      </c>
      <c r="I1213" s="6" t="s">
        <v>14</v>
      </c>
      <c r="J1213" s="6" t="s">
        <v>1121</v>
      </c>
      <c r="K1213" s="6">
        <v>3772</v>
      </c>
      <c r="L1213" s="7" t="s">
        <v>2352</v>
      </c>
      <c r="M1213" s="8">
        <v>2093319</v>
      </c>
      <c r="N1213" s="8" t="str">
        <f t="shared" si="91"/>
        <v>PEN</v>
      </c>
      <c r="O1213" s="13">
        <v>200.6</v>
      </c>
      <c r="P1213" s="13"/>
      <c r="Q1213" s="3">
        <f t="shared" si="92"/>
        <v>0</v>
      </c>
      <c r="R1213" s="3">
        <f t="shared" si="93"/>
        <v>0</v>
      </c>
      <c r="S1213" s="3">
        <f t="shared" si="94"/>
        <v>26928.710000000046</v>
      </c>
      <c r="T1213" s="24"/>
      <c r="U1213" s="24"/>
      <c r="V1213" s="67"/>
      <c r="W1213" s="25">
        <f>IFERROR(VLOOKUP(BCP_Soles[[#This Row],[DESTINATARIO]],CHOOSE({1,2},Clientes_Proveedores[Razon Social],Clientes_Proveedores[Ruc / Dni]),2,0),"")</f>
        <v>20603974817</v>
      </c>
      <c r="X1213" s="25"/>
      <c r="Y1213" s="25"/>
      <c r="Z1213" s="25"/>
      <c r="AA1213" s="99"/>
      <c r="AB1213" s="3" t="str">
        <f>IF(BCP_Soles[[#This Row],[FECHA]]&gt;0,TEXT(BCP_Soles[[#This Row],[FECHA]],"mmmm"),0)</f>
        <v>Abril</v>
      </c>
    </row>
    <row r="1214" spans="2:28" x14ac:dyDescent="0.3">
      <c r="B1214" s="2">
        <f>IF(BCP_Soles[[#This Row],[TIPO DE R.]]="R",COUNTIFS($D$4:$D1213,"R")+1,"")</f>
        <v>942</v>
      </c>
      <c r="C1214" s="19" t="str">
        <f t="shared" si="90"/>
        <v>B-BCP - Soles</v>
      </c>
      <c r="D1214" s="3" t="s">
        <v>1074</v>
      </c>
      <c r="E1214" s="14">
        <v>45756</v>
      </c>
      <c r="F1214" s="5" t="s">
        <v>1078</v>
      </c>
      <c r="G1214" s="5" t="s">
        <v>1079</v>
      </c>
      <c r="H1214" s="6"/>
      <c r="I1214" s="6"/>
      <c r="J1214" s="6"/>
      <c r="K1214" s="6"/>
      <c r="L1214" s="7" t="s">
        <v>1080</v>
      </c>
      <c r="M1214" s="8"/>
      <c r="N1214" s="8" t="str">
        <f t="shared" si="91"/>
        <v>PEN</v>
      </c>
      <c r="O1214" s="13"/>
      <c r="P1214" s="13">
        <v>0.65</v>
      </c>
      <c r="Q1214" s="3">
        <f t="shared" si="92"/>
        <v>0</v>
      </c>
      <c r="R1214" s="3">
        <f t="shared" si="93"/>
        <v>0.65</v>
      </c>
      <c r="S1214" s="3">
        <f t="shared" si="94"/>
        <v>26928.060000000045</v>
      </c>
      <c r="T1214" s="24"/>
      <c r="U1214" s="24" t="s">
        <v>1081</v>
      </c>
      <c r="V1214" s="67"/>
      <c r="W1214" s="25" t="str">
        <f>IFERROR(VLOOKUP(BCP_Soles[[#This Row],[DESTINATARIO]],CHOOSE({1,2},Clientes_Proveedores[Razon Social],Clientes_Proveedores[Ruc / Dni]),2,0),"")</f>
        <v/>
      </c>
      <c r="X1214" s="25"/>
      <c r="Y1214" s="25"/>
      <c r="Z1214" s="25"/>
      <c r="AA1214" s="99"/>
      <c r="AB1214" s="3" t="str">
        <f>IF(BCP_Soles[[#This Row],[FECHA]]&gt;0,TEXT(BCP_Soles[[#This Row],[FECHA]],"mmmm"),0)</f>
        <v>Abril</v>
      </c>
    </row>
    <row r="1215" spans="2:28" ht="24" x14ac:dyDescent="0.3">
      <c r="B1215" s="2">
        <f>IF(BCP_Soles[[#This Row],[TIPO DE R.]]="R",COUNTIFS($D$4:$D1214,"R")+1,"")</f>
        <v>943</v>
      </c>
      <c r="C1215" s="19" t="str">
        <f t="shared" si="90"/>
        <v>B-BCP - Soles</v>
      </c>
      <c r="D1215" s="3" t="s">
        <v>1074</v>
      </c>
      <c r="E1215" s="14">
        <v>45756</v>
      </c>
      <c r="F1215" s="5" t="s">
        <v>1082</v>
      </c>
      <c r="G1215" s="5" t="s">
        <v>1079</v>
      </c>
      <c r="H1215" s="6" t="s">
        <v>192</v>
      </c>
      <c r="I1215" s="6"/>
      <c r="J1215" s="6"/>
      <c r="K1215" s="6"/>
      <c r="L1215" s="7" t="s">
        <v>2347</v>
      </c>
      <c r="M1215" s="8">
        <v>1131461</v>
      </c>
      <c r="N1215" s="8" t="str">
        <f t="shared" si="91"/>
        <v>PEN</v>
      </c>
      <c r="O1215" s="13"/>
      <c r="P1215" s="13">
        <v>2104.1799999999998</v>
      </c>
      <c r="Q1215" s="3">
        <f t="shared" si="92"/>
        <v>0</v>
      </c>
      <c r="R1215" s="3">
        <f t="shared" si="93"/>
        <v>2104.1799999999998</v>
      </c>
      <c r="S1215" s="3">
        <f t="shared" si="94"/>
        <v>24823.880000000045</v>
      </c>
      <c r="T1215" s="24"/>
      <c r="U1215" s="24"/>
      <c r="V1215" s="67"/>
      <c r="W1215" s="25">
        <f>IFERROR(VLOOKUP(BCP_Soles[[#This Row],[DESTINATARIO]],CHOOSE({1,2},Clientes_Proveedores[Razon Social],Clientes_Proveedores[Ruc / Dni]),2,0),"")</f>
        <v>20302891452</v>
      </c>
      <c r="X1215" s="25" t="s">
        <v>192</v>
      </c>
      <c r="Y1215" s="25"/>
      <c r="Z1215" s="25"/>
      <c r="AA1215" s="99"/>
      <c r="AB1215" s="3" t="str">
        <f>IF(BCP_Soles[[#This Row],[FECHA]]&gt;0,TEXT(BCP_Soles[[#This Row],[FECHA]],"mmmm"),0)</f>
        <v>Abril</v>
      </c>
    </row>
    <row r="1216" spans="2:28" ht="24" x14ac:dyDescent="0.3">
      <c r="B1216" s="2">
        <f>IF(BCP_Soles[[#This Row],[TIPO DE R.]]="R",COUNTIFS($D$4:$D1215,"R")+1,"")</f>
        <v>944</v>
      </c>
      <c r="C1216" s="19" t="str">
        <f t="shared" si="90"/>
        <v>B-BCP - Soles</v>
      </c>
      <c r="D1216" s="3" t="s">
        <v>1074</v>
      </c>
      <c r="E1216" s="14">
        <v>45756</v>
      </c>
      <c r="F1216" s="5" t="s">
        <v>1996</v>
      </c>
      <c r="G1216" s="5" t="s">
        <v>1079</v>
      </c>
      <c r="H1216" s="6"/>
      <c r="I1216" s="6"/>
      <c r="J1216" s="6"/>
      <c r="K1216" s="6"/>
      <c r="L1216" s="7" t="s">
        <v>2353</v>
      </c>
      <c r="M1216" s="8">
        <v>1146829</v>
      </c>
      <c r="N1216" s="8" t="str">
        <f t="shared" si="91"/>
        <v>PEN</v>
      </c>
      <c r="O1216" s="13"/>
      <c r="P1216" s="13">
        <v>1939.92</v>
      </c>
      <c r="Q1216" s="3">
        <f t="shared" si="92"/>
        <v>0</v>
      </c>
      <c r="R1216" s="3">
        <f t="shared" si="93"/>
        <v>1939.92</v>
      </c>
      <c r="S1216" s="3">
        <f t="shared" si="94"/>
        <v>22883.960000000043</v>
      </c>
      <c r="T1216" s="24" t="s">
        <v>1081</v>
      </c>
      <c r="U1216" s="24" t="s">
        <v>1081</v>
      </c>
      <c r="V1216" s="67"/>
      <c r="W1216" s="25" t="str">
        <f>IFERROR(VLOOKUP(BCP_Soles[[#This Row],[DESTINATARIO]],CHOOSE({1,2},Clientes_Proveedores[Razon Social],Clientes_Proveedores[Ruc / Dni]),2,0),"")</f>
        <v/>
      </c>
      <c r="X1216" s="25" t="s">
        <v>600</v>
      </c>
      <c r="Y1216" s="25" t="s">
        <v>2354</v>
      </c>
      <c r="Z1216" s="25"/>
      <c r="AA1216" s="99"/>
      <c r="AB1216" s="3" t="str">
        <f>IF(BCP_Soles[[#This Row],[FECHA]]&gt;0,TEXT(BCP_Soles[[#This Row],[FECHA]],"mmmm"),0)</f>
        <v>Abril</v>
      </c>
    </row>
    <row r="1217" spans="2:28" ht="24" x14ac:dyDescent="0.3">
      <c r="B1217" s="2">
        <f>IF(BCP_Soles[[#This Row],[TIPO DE R.]]="R",COUNTIFS($D$4:$D1216,"R")+1,"")</f>
        <v>945</v>
      </c>
      <c r="C1217" s="19" t="str">
        <f t="shared" si="90"/>
        <v>B-BCP - Soles</v>
      </c>
      <c r="D1217" s="3" t="s">
        <v>1074</v>
      </c>
      <c r="E1217" s="14">
        <v>45756</v>
      </c>
      <c r="F1217" s="5" t="s">
        <v>1996</v>
      </c>
      <c r="G1217" s="5" t="s">
        <v>1079</v>
      </c>
      <c r="H1217" s="6" t="s">
        <v>192</v>
      </c>
      <c r="I1217" s="6"/>
      <c r="J1217" s="6"/>
      <c r="K1217" s="6"/>
      <c r="L1217" s="7" t="s">
        <v>2347</v>
      </c>
      <c r="M1217" s="8">
        <v>1131951</v>
      </c>
      <c r="N1217" s="8" t="str">
        <f t="shared" si="91"/>
        <v>PEN</v>
      </c>
      <c r="O1217" s="13"/>
      <c r="P1217" s="13">
        <v>1559.96</v>
      </c>
      <c r="Q1217" s="3">
        <f t="shared" si="92"/>
        <v>0</v>
      </c>
      <c r="R1217" s="3">
        <f t="shared" si="93"/>
        <v>1559.96</v>
      </c>
      <c r="S1217" s="3">
        <f t="shared" si="94"/>
        <v>21324.000000000044</v>
      </c>
      <c r="T1217" s="24"/>
      <c r="U1217" s="24"/>
      <c r="V1217" s="67"/>
      <c r="W1217" s="25">
        <f>IFERROR(VLOOKUP(BCP_Soles[[#This Row],[DESTINATARIO]],CHOOSE({1,2},Clientes_Proveedores[Razon Social],Clientes_Proveedores[Ruc / Dni]),2,0),"")</f>
        <v>20302891452</v>
      </c>
      <c r="X1217" s="25" t="s">
        <v>192</v>
      </c>
      <c r="Y1217" s="25"/>
      <c r="Z1217" s="25"/>
      <c r="AA1217" s="99"/>
      <c r="AB1217" s="3" t="str">
        <f>IF(BCP_Soles[[#This Row],[FECHA]]&gt;0,TEXT(BCP_Soles[[#This Row],[FECHA]],"mmmm"),0)</f>
        <v>Abril</v>
      </c>
    </row>
    <row r="1218" spans="2:28" ht="24" x14ac:dyDescent="0.3">
      <c r="B1218" s="2">
        <f>IF(BCP_Soles[[#This Row],[TIPO DE R.]]="R",COUNTIFS($D$4:$D1217,"R")+1,"")</f>
        <v>946</v>
      </c>
      <c r="C1218" s="19" t="str">
        <f t="shared" si="90"/>
        <v>B-BCP - Soles</v>
      </c>
      <c r="D1218" s="3" t="s">
        <v>1074</v>
      </c>
      <c r="E1218" s="14">
        <v>45756</v>
      </c>
      <c r="F1218" s="5" t="s">
        <v>1082</v>
      </c>
      <c r="G1218" s="5" t="s">
        <v>1079</v>
      </c>
      <c r="H1218" s="6"/>
      <c r="I1218" s="6" t="s">
        <v>14</v>
      </c>
      <c r="J1218" s="6" t="s">
        <v>1121</v>
      </c>
      <c r="K1218" s="6">
        <v>1707</v>
      </c>
      <c r="L1218" s="7" t="s">
        <v>2355</v>
      </c>
      <c r="M1218" s="8">
        <v>1146336</v>
      </c>
      <c r="N1218" s="8" t="str">
        <f t="shared" si="91"/>
        <v>PEN</v>
      </c>
      <c r="O1218" s="13"/>
      <c r="P1218" s="13">
        <v>1085.5999999999999</v>
      </c>
      <c r="Q1218" s="3">
        <f t="shared" si="92"/>
        <v>0</v>
      </c>
      <c r="R1218" s="3">
        <f t="shared" si="93"/>
        <v>1085.5999999999999</v>
      </c>
      <c r="S1218" s="3">
        <f t="shared" si="94"/>
        <v>20238.400000000045</v>
      </c>
      <c r="T1218" s="24" t="s">
        <v>1081</v>
      </c>
      <c r="U1218" s="24" t="s">
        <v>1081</v>
      </c>
      <c r="V1218" s="67"/>
      <c r="W1218" s="25" t="str">
        <f>IFERROR(VLOOKUP(BCP_Soles[[#This Row],[DESTINATARIO]],CHOOSE({1,2},Clientes_Proveedores[Razon Social],Clientes_Proveedores[Ruc / Dni]),2,0),"")</f>
        <v/>
      </c>
      <c r="X1218" s="25" t="s">
        <v>2356</v>
      </c>
      <c r="Y1218" s="25" t="s">
        <v>2357</v>
      </c>
      <c r="Z1218" s="25"/>
      <c r="AA1218" s="99"/>
      <c r="AB1218" s="3" t="str">
        <f>IF(BCP_Soles[[#This Row],[FECHA]]&gt;0,TEXT(BCP_Soles[[#This Row],[FECHA]],"mmmm"),0)</f>
        <v>Abril</v>
      </c>
    </row>
    <row r="1219" spans="2:28" ht="36" x14ac:dyDescent="0.3">
      <c r="B1219" s="2">
        <f>IF(BCP_Soles[[#This Row],[TIPO DE R.]]="R",COUNTIFS($D$4:$D1218,"R")+1,"")</f>
        <v>947</v>
      </c>
      <c r="C1219" s="19" t="str">
        <f t="shared" si="90"/>
        <v>B-BCP - Soles</v>
      </c>
      <c r="D1219" s="3" t="s">
        <v>1074</v>
      </c>
      <c r="E1219" s="14">
        <v>45756</v>
      </c>
      <c r="F1219" s="5" t="s">
        <v>1082</v>
      </c>
      <c r="G1219" s="5" t="s">
        <v>1079</v>
      </c>
      <c r="H1219" s="6" t="s">
        <v>440</v>
      </c>
      <c r="I1219" s="6" t="s">
        <v>14</v>
      </c>
      <c r="J1219" s="6" t="s">
        <v>1148</v>
      </c>
      <c r="K1219" s="6">
        <v>18973</v>
      </c>
      <c r="L1219" s="7" t="s">
        <v>2358</v>
      </c>
      <c r="M1219" s="8">
        <v>1130957</v>
      </c>
      <c r="N1219" s="8" t="str">
        <f t="shared" si="91"/>
        <v>PEN</v>
      </c>
      <c r="O1219" s="13"/>
      <c r="P1219" s="13">
        <v>565</v>
      </c>
      <c r="Q1219" s="3">
        <f t="shared" si="92"/>
        <v>0</v>
      </c>
      <c r="R1219" s="3">
        <f t="shared" si="93"/>
        <v>565</v>
      </c>
      <c r="S1219" s="3">
        <f t="shared" si="94"/>
        <v>19673.400000000045</v>
      </c>
      <c r="T1219" s="24" t="s">
        <v>1081</v>
      </c>
      <c r="U1219" s="24" t="s">
        <v>1081</v>
      </c>
      <c r="V1219" s="67"/>
      <c r="W1219" s="25">
        <f>IFERROR(VLOOKUP(BCP_Soles[[#This Row],[DESTINATARIO]],CHOOSE({1,2},Clientes_Proveedores[Razon Social],Clientes_Proveedores[Ruc / Dni]),2,0),"")</f>
        <v>20602810497</v>
      </c>
      <c r="X1219" s="25" t="s">
        <v>1331</v>
      </c>
      <c r="Y1219" s="25" t="s">
        <v>2359</v>
      </c>
      <c r="Z1219" s="25"/>
      <c r="AA1219" s="99"/>
      <c r="AB1219" s="3" t="str">
        <f>IF(BCP_Soles[[#This Row],[FECHA]]&gt;0,TEXT(BCP_Soles[[#This Row],[FECHA]],"mmmm"),0)</f>
        <v>Abril</v>
      </c>
    </row>
    <row r="1220" spans="2:28" ht="24" x14ac:dyDescent="0.3">
      <c r="B1220" s="2">
        <f>IF(BCP_Soles[[#This Row],[TIPO DE R.]]="R",COUNTIFS($D$4:$D1219,"R")+1,"")</f>
        <v>948</v>
      </c>
      <c r="C1220" s="19" t="str">
        <f t="shared" si="90"/>
        <v>B-BCP - Soles</v>
      </c>
      <c r="D1220" s="3" t="s">
        <v>1074</v>
      </c>
      <c r="E1220" s="14">
        <v>45756</v>
      </c>
      <c r="F1220" s="5" t="s">
        <v>1082</v>
      </c>
      <c r="G1220" s="5" t="s">
        <v>1079</v>
      </c>
      <c r="H1220" s="6"/>
      <c r="I1220" s="6" t="s">
        <v>14</v>
      </c>
      <c r="J1220" s="6" t="s">
        <v>1121</v>
      </c>
      <c r="K1220" s="6">
        <v>157</v>
      </c>
      <c r="L1220" s="7" t="s">
        <v>2360</v>
      </c>
      <c r="M1220" s="8">
        <v>1226743</v>
      </c>
      <c r="N1220" s="8" t="str">
        <f t="shared" si="91"/>
        <v>PEN</v>
      </c>
      <c r="O1220" s="13"/>
      <c r="P1220" s="13">
        <v>249.99</v>
      </c>
      <c r="Q1220" s="3">
        <f t="shared" si="92"/>
        <v>0</v>
      </c>
      <c r="R1220" s="3">
        <f t="shared" si="93"/>
        <v>249.99</v>
      </c>
      <c r="S1220" s="3">
        <f t="shared" si="94"/>
        <v>19423.410000000044</v>
      </c>
      <c r="T1220" s="24" t="s">
        <v>1081</v>
      </c>
      <c r="U1220" s="24" t="s">
        <v>1081</v>
      </c>
      <c r="V1220" s="67"/>
      <c r="W1220" s="25" t="str">
        <f>IFERROR(VLOOKUP(BCP_Soles[[#This Row],[DESTINATARIO]],CHOOSE({1,2},Clientes_Proveedores[Razon Social],Clientes_Proveedores[Ruc / Dni]),2,0),"")</f>
        <v/>
      </c>
      <c r="X1220" s="25" t="s">
        <v>2361</v>
      </c>
      <c r="Y1220" s="25" t="s">
        <v>2362</v>
      </c>
      <c r="Z1220" s="25"/>
      <c r="AA1220" s="99"/>
      <c r="AB1220" s="3" t="str">
        <f>IF(BCP_Soles[[#This Row],[FECHA]]&gt;0,TEXT(BCP_Soles[[#This Row],[FECHA]],"mmmm"),0)</f>
        <v>Abril</v>
      </c>
    </row>
    <row r="1221" spans="2:28" ht="24" x14ac:dyDescent="0.3">
      <c r="B1221" s="2">
        <f>IF(BCP_Soles[[#This Row],[TIPO DE R.]]="R",COUNTIFS($D$4:$D1220,"R")+1,"")</f>
        <v>949</v>
      </c>
      <c r="C1221" s="19" t="str">
        <f t="shared" ref="C1221:C1284" si="95">"B-BCP - Soles"</f>
        <v>B-BCP - Soles</v>
      </c>
      <c r="D1221" s="3" t="s">
        <v>1074</v>
      </c>
      <c r="E1221" s="14">
        <v>45756</v>
      </c>
      <c r="F1221" s="5" t="s">
        <v>1245</v>
      </c>
      <c r="G1221" s="5" t="s">
        <v>1087</v>
      </c>
      <c r="H1221" s="6"/>
      <c r="I1221" s="6"/>
      <c r="J1221" s="6"/>
      <c r="K1221" s="6"/>
      <c r="L1221" s="7" t="s">
        <v>1100</v>
      </c>
      <c r="M1221" s="8">
        <v>2752584</v>
      </c>
      <c r="N1221" s="8" t="str">
        <f t="shared" ref="N1221:N1284" si="96">"PEN"</f>
        <v>PEN</v>
      </c>
      <c r="O1221" s="13"/>
      <c r="P1221" s="13">
        <v>8587</v>
      </c>
      <c r="Q1221" s="3">
        <f t="shared" ref="Q1221:Q1284" si="97">+IF(OR($G1221="SALDO",$G1221="INGRESO"),$P1221,0)</f>
        <v>8587</v>
      </c>
      <c r="R1221" s="3">
        <f t="shared" ref="R1221:R1284" si="98">+IF($G1221="EGRESO",$P1221,0)</f>
        <v>0</v>
      </c>
      <c r="S1221" s="3">
        <f t="shared" ref="S1221:S1284" si="99">IFERROR(IF(G1221="SALDO",Q1221,S1220+Q1221-R1221),0)</f>
        <v>28010.410000000044</v>
      </c>
      <c r="T1221" s="24" t="s">
        <v>1081</v>
      </c>
      <c r="U1221" s="24" t="s">
        <v>1081</v>
      </c>
      <c r="V1221" s="67"/>
      <c r="W1221" s="25" t="str">
        <f>IFERROR(VLOOKUP(BCP_Soles[[#This Row],[DESTINATARIO]],CHOOSE({1,2},Clientes_Proveedores[Razon Social],Clientes_Proveedores[Ruc / Dni]),2,0),"")</f>
        <v/>
      </c>
      <c r="X1221" s="25" t="s">
        <v>1090</v>
      </c>
      <c r="Y1221" s="25" t="s">
        <v>2363</v>
      </c>
      <c r="Z1221" s="25"/>
      <c r="AA1221" s="99"/>
      <c r="AB1221" s="3" t="str">
        <f>IF(BCP_Soles[[#This Row],[FECHA]]&gt;0,TEXT(BCP_Soles[[#This Row],[FECHA]],"mmmm"),0)</f>
        <v>Abril</v>
      </c>
    </row>
    <row r="1222" spans="2:28" ht="24" x14ac:dyDescent="0.3">
      <c r="B1222" s="2">
        <f>IF(BCP_Soles[[#This Row],[TIPO DE R.]]="R",COUNTIFS($D$4:$D1221,"R")+1,"")</f>
        <v>950</v>
      </c>
      <c r="C1222" s="19" t="str">
        <f t="shared" si="95"/>
        <v>B-BCP - Soles</v>
      </c>
      <c r="D1222" s="3" t="s">
        <v>1074</v>
      </c>
      <c r="E1222" s="14">
        <v>45756</v>
      </c>
      <c r="F1222" s="5" t="s">
        <v>613</v>
      </c>
      <c r="G1222" s="5" t="s">
        <v>1087</v>
      </c>
      <c r="H1222" s="6"/>
      <c r="I1222" s="6"/>
      <c r="J1222" s="6"/>
      <c r="K1222" s="6"/>
      <c r="L1222" s="7" t="s">
        <v>1665</v>
      </c>
      <c r="M1222" s="8">
        <v>6025112</v>
      </c>
      <c r="N1222" s="8" t="str">
        <f t="shared" si="96"/>
        <v>PEN</v>
      </c>
      <c r="O1222" s="13"/>
      <c r="P1222" s="13">
        <v>964.06</v>
      </c>
      <c r="Q1222" s="3">
        <f t="shared" si="97"/>
        <v>964.06</v>
      </c>
      <c r="R1222" s="3">
        <f t="shared" si="98"/>
        <v>0</v>
      </c>
      <c r="S1222" s="3">
        <f t="shared" si="99"/>
        <v>28974.470000000045</v>
      </c>
      <c r="T1222" s="24" t="s">
        <v>1081</v>
      </c>
      <c r="U1222" s="24" t="s">
        <v>1081</v>
      </c>
      <c r="V1222" s="67"/>
      <c r="W1222" s="25" t="str">
        <f>IFERROR(VLOOKUP(BCP_Soles[[#This Row],[DESTINATARIO]],CHOOSE({1,2},Clientes_Proveedores[Razon Social],Clientes_Proveedores[Ruc / Dni]),2,0),"")</f>
        <v/>
      </c>
      <c r="X1222" s="25" t="s">
        <v>1090</v>
      </c>
      <c r="Y1222" s="25" t="s">
        <v>2364</v>
      </c>
      <c r="Z1222" s="25"/>
      <c r="AA1222" s="99"/>
      <c r="AB1222" s="3" t="str">
        <f>IF(BCP_Soles[[#This Row],[FECHA]]&gt;0,TEXT(BCP_Soles[[#This Row],[FECHA]],"mmmm"),0)</f>
        <v>Abril</v>
      </c>
    </row>
    <row r="1223" spans="2:28" x14ac:dyDescent="0.3">
      <c r="B1223" s="2">
        <f>IF(BCP_Soles[[#This Row],[TIPO DE R.]]="R",COUNTIFS($D$4:$D1222,"R")+1,"")</f>
        <v>951</v>
      </c>
      <c r="C1223" s="19" t="str">
        <f t="shared" si="95"/>
        <v>B-BCP - Soles</v>
      </c>
      <c r="D1223" s="3" t="s">
        <v>1074</v>
      </c>
      <c r="E1223" s="14">
        <v>45757</v>
      </c>
      <c r="F1223" s="5" t="s">
        <v>1078</v>
      </c>
      <c r="G1223" s="5" t="s">
        <v>1079</v>
      </c>
      <c r="H1223" s="6"/>
      <c r="I1223" s="6"/>
      <c r="J1223" s="6"/>
      <c r="K1223" s="6"/>
      <c r="L1223" s="7" t="s">
        <v>1080</v>
      </c>
      <c r="M1223" s="8"/>
      <c r="N1223" s="8" t="str">
        <f t="shared" si="96"/>
        <v>PEN</v>
      </c>
      <c r="O1223" s="13"/>
      <c r="P1223" s="13">
        <v>1.05</v>
      </c>
      <c r="Q1223" s="3">
        <f t="shared" si="97"/>
        <v>0</v>
      </c>
      <c r="R1223" s="3">
        <f t="shared" si="98"/>
        <v>1.05</v>
      </c>
      <c r="S1223" s="3">
        <f t="shared" si="99"/>
        <v>28973.420000000046</v>
      </c>
      <c r="T1223" s="24"/>
      <c r="U1223" s="24" t="s">
        <v>1081</v>
      </c>
      <c r="V1223" s="67"/>
      <c r="W1223" s="25" t="str">
        <f>IFERROR(VLOOKUP(BCP_Soles[[#This Row],[DESTINATARIO]],CHOOSE({1,2},Clientes_Proveedores[Razon Social],Clientes_Proveedores[Ruc / Dni]),2,0),"")</f>
        <v/>
      </c>
      <c r="X1223" s="25"/>
      <c r="Y1223" s="25"/>
      <c r="Z1223" s="25"/>
      <c r="AA1223" s="99"/>
      <c r="AB1223" s="3" t="str">
        <f>IF(BCP_Soles[[#This Row],[FECHA]]&gt;0,TEXT(BCP_Soles[[#This Row],[FECHA]],"mmmm"),0)</f>
        <v>Abril</v>
      </c>
    </row>
    <row r="1224" spans="2:28" x14ac:dyDescent="0.3">
      <c r="B1224" s="2">
        <f>IF(BCP_Soles[[#This Row],[TIPO DE R.]]="R",COUNTIFS($D$4:$D1223,"R")+1,"")</f>
        <v>952</v>
      </c>
      <c r="C1224" s="19" t="str">
        <f t="shared" si="95"/>
        <v>B-BCP - Soles</v>
      </c>
      <c r="D1224" s="3" t="s">
        <v>1074</v>
      </c>
      <c r="E1224" s="14">
        <v>45757</v>
      </c>
      <c r="F1224" s="5" t="s">
        <v>1163</v>
      </c>
      <c r="G1224" s="5" t="s">
        <v>1079</v>
      </c>
      <c r="H1224" s="6"/>
      <c r="I1224" s="6"/>
      <c r="J1224" s="6"/>
      <c r="K1224" s="6"/>
      <c r="L1224" s="7" t="s">
        <v>2365</v>
      </c>
      <c r="M1224" s="8">
        <v>394385</v>
      </c>
      <c r="N1224" s="8" t="str">
        <f t="shared" si="96"/>
        <v>PEN</v>
      </c>
      <c r="O1224" s="13"/>
      <c r="P1224" s="13">
        <v>1825</v>
      </c>
      <c r="Q1224" s="3">
        <f t="shared" si="97"/>
        <v>0</v>
      </c>
      <c r="R1224" s="3">
        <f t="shared" si="98"/>
        <v>1825</v>
      </c>
      <c r="S1224" s="3">
        <f t="shared" si="99"/>
        <v>27148.420000000046</v>
      </c>
      <c r="T1224" s="24"/>
      <c r="U1224" s="24"/>
      <c r="V1224" s="67"/>
      <c r="W1224" s="25" t="str">
        <f>IFERROR(VLOOKUP(BCP_Soles[[#This Row],[DESTINATARIO]],CHOOSE({1,2},Clientes_Proveedores[Razon Social],Clientes_Proveedores[Ruc / Dni]),2,0),"")</f>
        <v/>
      </c>
      <c r="X1224" s="25"/>
      <c r="Y1224" s="25"/>
      <c r="Z1224" s="25"/>
      <c r="AA1224" s="99"/>
      <c r="AB1224" s="3" t="str">
        <f>IF(BCP_Soles[[#This Row],[FECHA]]&gt;0,TEXT(BCP_Soles[[#This Row],[FECHA]],"mmmm"),0)</f>
        <v>Abril</v>
      </c>
    </row>
    <row r="1225" spans="2:28" ht="24" x14ac:dyDescent="0.3">
      <c r="B1225" s="2">
        <f>IF(BCP_Soles[[#This Row],[TIPO DE R.]]="R",COUNTIFS($D$4:$D1224,"R")+1,"")</f>
        <v>953</v>
      </c>
      <c r="C1225" s="19" t="str">
        <f t="shared" si="95"/>
        <v>B-BCP - Soles</v>
      </c>
      <c r="D1225" s="3" t="s">
        <v>1074</v>
      </c>
      <c r="E1225" s="14">
        <v>45757</v>
      </c>
      <c r="F1225" s="5" t="s">
        <v>601</v>
      </c>
      <c r="G1225" s="5" t="s">
        <v>1087</v>
      </c>
      <c r="H1225" s="6" t="s">
        <v>601</v>
      </c>
      <c r="I1225" s="6" t="s">
        <v>14</v>
      </c>
      <c r="J1225" s="6" t="s">
        <v>1121</v>
      </c>
      <c r="K1225" s="6">
        <v>50</v>
      </c>
      <c r="L1225" s="7" t="s">
        <v>2366</v>
      </c>
      <c r="M1225" s="8">
        <v>2655855</v>
      </c>
      <c r="N1225" s="8" t="str">
        <f t="shared" si="96"/>
        <v>PEN</v>
      </c>
      <c r="O1225" s="13"/>
      <c r="P1225" s="13">
        <v>7137.74</v>
      </c>
      <c r="Q1225" s="3">
        <f t="shared" si="97"/>
        <v>7137.74</v>
      </c>
      <c r="R1225" s="3">
        <f t="shared" si="98"/>
        <v>0</v>
      </c>
      <c r="S1225" s="3">
        <f t="shared" si="99"/>
        <v>34286.160000000047</v>
      </c>
      <c r="T1225" s="24" t="s">
        <v>1081</v>
      </c>
      <c r="U1225" s="24" t="s">
        <v>1081</v>
      </c>
      <c r="V1225" s="67"/>
      <c r="W1225" s="25">
        <f>IFERROR(VLOOKUP(BCP_Soles[[#This Row],[DESTINATARIO]],CHOOSE({1,2},Clientes_Proveedores[Razon Social],Clientes_Proveedores[Ruc / Dni]),2,0),"")</f>
        <v>20159473148</v>
      </c>
      <c r="X1225" s="25" t="s">
        <v>1090</v>
      </c>
      <c r="Y1225" s="25" t="s">
        <v>2367</v>
      </c>
      <c r="Z1225" s="25"/>
      <c r="AA1225" s="99"/>
      <c r="AB1225" s="3" t="str">
        <f>IF(BCP_Soles[[#This Row],[FECHA]]&gt;0,TEXT(BCP_Soles[[#This Row],[FECHA]],"mmmm"),0)</f>
        <v>Abril</v>
      </c>
    </row>
    <row r="1226" spans="2:28" x14ac:dyDescent="0.3">
      <c r="B1226" s="2">
        <f>IF(BCP_Soles[[#This Row],[TIPO DE R.]]="R",COUNTIFS($D$4:$D1225,"R")+1,"")</f>
        <v>954</v>
      </c>
      <c r="C1226" s="19" t="str">
        <f t="shared" si="95"/>
        <v>B-BCP - Soles</v>
      </c>
      <c r="D1226" s="3" t="s">
        <v>1074</v>
      </c>
      <c r="E1226" s="14">
        <v>45757</v>
      </c>
      <c r="F1226" s="5" t="s">
        <v>213</v>
      </c>
      <c r="G1226" s="5" t="s">
        <v>1087</v>
      </c>
      <c r="H1226" s="6" t="s">
        <v>213</v>
      </c>
      <c r="I1226" s="6" t="s">
        <v>14</v>
      </c>
      <c r="J1226" s="6" t="s">
        <v>1088</v>
      </c>
      <c r="K1226" s="6">
        <v>448</v>
      </c>
      <c r="L1226" s="7" t="s">
        <v>2368</v>
      </c>
      <c r="M1226" s="8">
        <v>2743689</v>
      </c>
      <c r="N1226" s="8" t="str">
        <f t="shared" si="96"/>
        <v>PEN</v>
      </c>
      <c r="O1226" s="13"/>
      <c r="P1226" s="13">
        <v>4213.83</v>
      </c>
      <c r="Q1226" s="3">
        <f t="shared" si="97"/>
        <v>4213.83</v>
      </c>
      <c r="R1226" s="3">
        <f t="shared" si="98"/>
        <v>0</v>
      </c>
      <c r="S1226" s="3">
        <f t="shared" si="99"/>
        <v>38499.990000000049</v>
      </c>
      <c r="T1226" s="24" t="s">
        <v>1081</v>
      </c>
      <c r="U1226" s="24" t="s">
        <v>1081</v>
      </c>
      <c r="V1226" s="67"/>
      <c r="W1226" s="25">
        <f>IFERROR(VLOOKUP(BCP_Soles[[#This Row],[DESTINATARIO]],CHOOSE({1,2},Clientes_Proveedores[Razon Social],Clientes_Proveedores[Ruc / Dni]),2,0),"")</f>
        <v>20417573705</v>
      </c>
      <c r="X1226" s="25" t="s">
        <v>1090</v>
      </c>
      <c r="Y1226" s="25" t="s">
        <v>2369</v>
      </c>
      <c r="Z1226" s="25"/>
      <c r="AA1226" s="99"/>
      <c r="AB1226" s="3" t="str">
        <f>IF(BCP_Soles[[#This Row],[FECHA]]&gt;0,TEXT(BCP_Soles[[#This Row],[FECHA]],"mmmm"),0)</f>
        <v>Abril</v>
      </c>
    </row>
    <row r="1227" spans="2:28" ht="36" x14ac:dyDescent="0.3">
      <c r="B1227" s="2">
        <f>IF(BCP_Soles[[#This Row],[TIPO DE R.]]="R",COUNTIFS($D$4:$D1226,"R")+1,"")</f>
        <v>955</v>
      </c>
      <c r="C1227" s="19" t="str">
        <f t="shared" si="95"/>
        <v>B-BCP - Soles</v>
      </c>
      <c r="D1227" s="3" t="s">
        <v>1074</v>
      </c>
      <c r="E1227" s="14">
        <v>45757</v>
      </c>
      <c r="F1227" s="5" t="s">
        <v>267</v>
      </c>
      <c r="G1227" s="5" t="s">
        <v>1087</v>
      </c>
      <c r="H1227" s="6"/>
      <c r="I1227" s="6"/>
      <c r="J1227" s="6"/>
      <c r="K1227" s="6"/>
      <c r="L1227" s="7" t="s">
        <v>2370</v>
      </c>
      <c r="M1227" s="8">
        <v>2760485</v>
      </c>
      <c r="N1227" s="8" t="str">
        <f t="shared" si="96"/>
        <v>PEN</v>
      </c>
      <c r="O1227" s="13"/>
      <c r="P1227" s="13">
        <v>4181.3900000000003</v>
      </c>
      <c r="Q1227" s="3">
        <f t="shared" si="97"/>
        <v>4181.3900000000003</v>
      </c>
      <c r="R1227" s="3">
        <f t="shared" si="98"/>
        <v>0</v>
      </c>
      <c r="S1227" s="3">
        <f t="shared" si="99"/>
        <v>42681.380000000048</v>
      </c>
      <c r="T1227" s="24" t="s">
        <v>1081</v>
      </c>
      <c r="U1227" s="24" t="s">
        <v>1081</v>
      </c>
      <c r="V1227" s="67"/>
      <c r="W1227" s="25" t="str">
        <f>IFERROR(VLOOKUP(BCP_Soles[[#This Row],[DESTINATARIO]],CHOOSE({1,2},Clientes_Proveedores[Razon Social],Clientes_Proveedores[Ruc / Dni]),2,0),"")</f>
        <v/>
      </c>
      <c r="X1227" s="25" t="s">
        <v>1090</v>
      </c>
      <c r="Y1227" s="25" t="s">
        <v>1755</v>
      </c>
      <c r="Z1227" s="25"/>
      <c r="AA1227" s="99"/>
      <c r="AB1227" s="3" t="str">
        <f>IF(BCP_Soles[[#This Row],[FECHA]]&gt;0,TEXT(BCP_Soles[[#This Row],[FECHA]],"mmmm"),0)</f>
        <v>Abril</v>
      </c>
    </row>
    <row r="1228" spans="2:28" x14ac:dyDescent="0.3">
      <c r="B1228" s="2">
        <f>IF(BCP_Soles[[#This Row],[TIPO DE R.]]="R",COUNTIFS($D$4:$D1227,"R")+1,"")</f>
        <v>956</v>
      </c>
      <c r="C1228" s="19" t="str">
        <f t="shared" si="95"/>
        <v>B-BCP - Soles</v>
      </c>
      <c r="D1228" s="3" t="s">
        <v>1074</v>
      </c>
      <c r="E1228" s="14">
        <v>45757</v>
      </c>
      <c r="F1228" s="5" t="s">
        <v>139</v>
      </c>
      <c r="G1228" s="5" t="s">
        <v>1087</v>
      </c>
      <c r="H1228" s="6"/>
      <c r="I1228" s="6"/>
      <c r="J1228" s="6"/>
      <c r="K1228" s="6"/>
      <c r="L1228" s="7" t="s">
        <v>2371</v>
      </c>
      <c r="M1228" s="8">
        <v>2271</v>
      </c>
      <c r="N1228" s="8" t="str">
        <f t="shared" si="96"/>
        <v>PEN</v>
      </c>
      <c r="O1228" s="13"/>
      <c r="P1228" s="13">
        <v>2700.36</v>
      </c>
      <c r="Q1228" s="3">
        <f t="shared" si="97"/>
        <v>2700.36</v>
      </c>
      <c r="R1228" s="3">
        <f t="shared" si="98"/>
        <v>0</v>
      </c>
      <c r="S1228" s="3">
        <f t="shared" si="99"/>
        <v>45381.740000000049</v>
      </c>
      <c r="T1228" s="24" t="s">
        <v>1081</v>
      </c>
      <c r="U1228" s="24" t="s">
        <v>1081</v>
      </c>
      <c r="V1228" s="67"/>
      <c r="W1228" s="25" t="str">
        <f>IFERROR(VLOOKUP(BCP_Soles[[#This Row],[DESTINATARIO]],CHOOSE({1,2},Clientes_Proveedores[Razon Social],Clientes_Proveedores[Ruc / Dni]),2,0),"")</f>
        <v/>
      </c>
      <c r="X1228" s="25" t="s">
        <v>1090</v>
      </c>
      <c r="Y1228" s="25" t="s">
        <v>2372</v>
      </c>
      <c r="Z1228" s="25"/>
      <c r="AA1228" s="99"/>
      <c r="AB1228" s="3" t="str">
        <f>IF(BCP_Soles[[#This Row],[FECHA]]&gt;0,TEXT(BCP_Soles[[#This Row],[FECHA]],"mmmm"),0)</f>
        <v>Abril</v>
      </c>
    </row>
    <row r="1229" spans="2:28" x14ac:dyDescent="0.3">
      <c r="B1229" s="2">
        <f>IF(BCP_Soles[[#This Row],[TIPO DE R.]]="R",COUNTIFS($D$4:$D1228,"R")+1,"")</f>
        <v>957</v>
      </c>
      <c r="C1229" s="19" t="str">
        <f t="shared" si="95"/>
        <v>B-BCP - Soles</v>
      </c>
      <c r="D1229" s="3" t="s">
        <v>1074</v>
      </c>
      <c r="E1229" s="14">
        <v>45757</v>
      </c>
      <c r="F1229" s="5" t="s">
        <v>370</v>
      </c>
      <c r="G1229" s="5" t="s">
        <v>1087</v>
      </c>
      <c r="H1229" s="6"/>
      <c r="I1229" s="6"/>
      <c r="J1229" s="6"/>
      <c r="K1229" s="6"/>
      <c r="L1229" s="7" t="s">
        <v>2373</v>
      </c>
      <c r="M1229" s="8">
        <v>7398</v>
      </c>
      <c r="N1229" s="8" t="str">
        <f t="shared" si="96"/>
        <v>PEN</v>
      </c>
      <c r="O1229" s="13"/>
      <c r="P1229" s="13">
        <v>2611.1</v>
      </c>
      <c r="Q1229" s="3">
        <f t="shared" si="97"/>
        <v>2611.1</v>
      </c>
      <c r="R1229" s="3">
        <f t="shared" si="98"/>
        <v>0</v>
      </c>
      <c r="S1229" s="3">
        <f t="shared" si="99"/>
        <v>47992.840000000047</v>
      </c>
      <c r="T1229" s="24" t="s">
        <v>1081</v>
      </c>
      <c r="U1229" s="24" t="s">
        <v>1081</v>
      </c>
      <c r="V1229" s="67"/>
      <c r="W1229" s="25" t="str">
        <f>IFERROR(VLOOKUP(BCP_Soles[[#This Row],[DESTINATARIO]],CHOOSE({1,2},Clientes_Proveedores[Razon Social],Clientes_Proveedores[Ruc / Dni]),2,0),"")</f>
        <v/>
      </c>
      <c r="X1229" s="25" t="s">
        <v>1090</v>
      </c>
      <c r="Y1229" s="25" t="s">
        <v>2374</v>
      </c>
      <c r="Z1229" s="25"/>
      <c r="AA1229" s="99"/>
      <c r="AB1229" s="3" t="str">
        <f>IF(BCP_Soles[[#This Row],[FECHA]]&gt;0,TEXT(BCP_Soles[[#This Row],[FECHA]],"mmmm"),0)</f>
        <v>Abril</v>
      </c>
    </row>
    <row r="1230" spans="2:28" ht="24" x14ac:dyDescent="0.3">
      <c r="B1230" s="2">
        <f>IF(BCP_Soles[[#This Row],[TIPO DE R.]]="R",COUNTIFS($D$4:$D1229,"R")+1,"")</f>
        <v>958</v>
      </c>
      <c r="C1230" s="19" t="str">
        <f t="shared" si="95"/>
        <v>B-BCP - Soles</v>
      </c>
      <c r="D1230" s="3" t="s">
        <v>1074</v>
      </c>
      <c r="E1230" s="14">
        <v>45757</v>
      </c>
      <c r="F1230" s="5" t="s">
        <v>405</v>
      </c>
      <c r="G1230" s="5" t="s">
        <v>1087</v>
      </c>
      <c r="H1230" s="6"/>
      <c r="I1230" s="6"/>
      <c r="J1230" s="6"/>
      <c r="K1230" s="6"/>
      <c r="L1230" s="7" t="s">
        <v>1100</v>
      </c>
      <c r="M1230" s="8">
        <v>2911210</v>
      </c>
      <c r="N1230" s="8" t="str">
        <f t="shared" si="96"/>
        <v>PEN</v>
      </c>
      <c r="O1230" s="13"/>
      <c r="P1230" s="13">
        <v>1076.49</v>
      </c>
      <c r="Q1230" s="3">
        <f t="shared" si="97"/>
        <v>1076.49</v>
      </c>
      <c r="R1230" s="3">
        <f t="shared" si="98"/>
        <v>0</v>
      </c>
      <c r="S1230" s="3">
        <f t="shared" si="99"/>
        <v>49069.330000000045</v>
      </c>
      <c r="T1230" s="24" t="s">
        <v>1081</v>
      </c>
      <c r="U1230" s="24" t="s">
        <v>1081</v>
      </c>
      <c r="V1230" s="67"/>
      <c r="W1230" s="25" t="str">
        <f>IFERROR(VLOOKUP(BCP_Soles[[#This Row],[DESTINATARIO]],CHOOSE({1,2},Clientes_Proveedores[Razon Social],Clientes_Proveedores[Ruc / Dni]),2,0),"")</f>
        <v/>
      </c>
      <c r="X1230" s="25" t="s">
        <v>1090</v>
      </c>
      <c r="Y1230" s="25" t="s">
        <v>2375</v>
      </c>
      <c r="Z1230" s="25"/>
      <c r="AA1230" s="99"/>
      <c r="AB1230" s="3" t="str">
        <f>IF(BCP_Soles[[#This Row],[FECHA]]&gt;0,TEXT(BCP_Soles[[#This Row],[FECHA]],"mmmm"),0)</f>
        <v>Abril</v>
      </c>
    </row>
    <row r="1231" spans="2:28" ht="84" x14ac:dyDescent="0.3">
      <c r="B1231" s="2">
        <f>IF(BCP_Soles[[#This Row],[TIPO DE R.]]="R",COUNTIFS($D$4:$D1230,"R")+1,"")</f>
        <v>959</v>
      </c>
      <c r="C1231" s="19" t="str">
        <f t="shared" si="95"/>
        <v>B-BCP - Soles</v>
      </c>
      <c r="D1231" s="3" t="s">
        <v>1074</v>
      </c>
      <c r="E1231" s="14">
        <v>45757</v>
      </c>
      <c r="F1231" s="5" t="s">
        <v>301</v>
      </c>
      <c r="G1231" s="5" t="s">
        <v>1087</v>
      </c>
      <c r="H1231" s="6"/>
      <c r="I1231" s="6"/>
      <c r="J1231" s="6"/>
      <c r="K1231" s="6"/>
      <c r="L1231" s="7" t="s">
        <v>1260</v>
      </c>
      <c r="M1231" s="8">
        <v>2236680</v>
      </c>
      <c r="N1231" s="8" t="str">
        <f t="shared" si="96"/>
        <v>PEN</v>
      </c>
      <c r="O1231" s="13"/>
      <c r="P1231" s="13">
        <v>904.83</v>
      </c>
      <c r="Q1231" s="3">
        <f t="shared" si="97"/>
        <v>904.83</v>
      </c>
      <c r="R1231" s="3">
        <f t="shared" si="98"/>
        <v>0</v>
      </c>
      <c r="S1231" s="3">
        <f t="shared" si="99"/>
        <v>49974.160000000047</v>
      </c>
      <c r="T1231" s="24" t="s">
        <v>1081</v>
      </c>
      <c r="U1231" s="24" t="s">
        <v>1081</v>
      </c>
      <c r="V1231" s="67"/>
      <c r="W1231" s="25" t="str">
        <f>IFERROR(VLOOKUP(BCP_Soles[[#This Row],[DESTINATARIO]],CHOOSE({1,2},Clientes_Proveedores[Razon Social],Clientes_Proveedores[Ruc / Dni]),2,0),"")</f>
        <v/>
      </c>
      <c r="X1231" s="25" t="s">
        <v>1090</v>
      </c>
      <c r="Y1231" s="25" t="s">
        <v>2376</v>
      </c>
      <c r="Z1231" s="25"/>
      <c r="AA1231" s="99"/>
      <c r="AB1231" s="3" t="str">
        <f>IF(BCP_Soles[[#This Row],[FECHA]]&gt;0,TEXT(BCP_Soles[[#This Row],[FECHA]],"mmmm"),0)</f>
        <v>Abril</v>
      </c>
    </row>
    <row r="1232" spans="2:28" ht="36" x14ac:dyDescent="0.3">
      <c r="B1232" s="2">
        <f>IF(BCP_Soles[[#This Row],[TIPO DE R.]]="R",COUNTIFS($D$4:$D1231,"R")+1,"")</f>
        <v>960</v>
      </c>
      <c r="C1232" s="19" t="str">
        <f t="shared" si="95"/>
        <v>B-BCP - Soles</v>
      </c>
      <c r="D1232" s="3" t="s">
        <v>1074</v>
      </c>
      <c r="E1232" s="14">
        <v>45757</v>
      </c>
      <c r="F1232" s="5" t="s">
        <v>602</v>
      </c>
      <c r="G1232" s="5" t="s">
        <v>1087</v>
      </c>
      <c r="H1232" s="6"/>
      <c r="I1232" s="6"/>
      <c r="J1232" s="6"/>
      <c r="K1232" s="6"/>
      <c r="L1232" s="7" t="s">
        <v>1100</v>
      </c>
      <c r="M1232" s="8">
        <v>600938</v>
      </c>
      <c r="N1232" s="8" t="str">
        <f t="shared" si="96"/>
        <v>PEN</v>
      </c>
      <c r="O1232" s="13"/>
      <c r="P1232" s="13">
        <v>678.5</v>
      </c>
      <c r="Q1232" s="3">
        <f t="shared" si="97"/>
        <v>678.5</v>
      </c>
      <c r="R1232" s="3">
        <f t="shared" si="98"/>
        <v>0</v>
      </c>
      <c r="S1232" s="3">
        <f t="shared" si="99"/>
        <v>50652.660000000047</v>
      </c>
      <c r="T1232" s="24" t="s">
        <v>1081</v>
      </c>
      <c r="U1232" s="24" t="s">
        <v>1081</v>
      </c>
      <c r="V1232" s="67"/>
      <c r="W1232" s="25" t="str">
        <f>IFERROR(VLOOKUP(BCP_Soles[[#This Row],[DESTINATARIO]],CHOOSE({1,2},Clientes_Proveedores[Razon Social],Clientes_Proveedores[Ruc / Dni]),2,0),"")</f>
        <v/>
      </c>
      <c r="X1232" s="25" t="s">
        <v>1090</v>
      </c>
      <c r="Y1232" s="25" t="s">
        <v>2377</v>
      </c>
      <c r="Z1232" s="25"/>
      <c r="AA1232" s="99"/>
      <c r="AB1232" s="3" t="str">
        <f>IF(BCP_Soles[[#This Row],[FECHA]]&gt;0,TEXT(BCP_Soles[[#This Row],[FECHA]],"mmmm"),0)</f>
        <v>Abril</v>
      </c>
    </row>
    <row r="1233" spans="2:28" ht="24" x14ac:dyDescent="0.3">
      <c r="B1233" s="2">
        <f>IF(BCP_Soles[[#This Row],[TIPO DE R.]]="R",COUNTIFS($D$4:$D1232,"R")+1,"")</f>
        <v>961</v>
      </c>
      <c r="C1233" s="19" t="str">
        <f t="shared" si="95"/>
        <v>B-BCP - Soles</v>
      </c>
      <c r="D1233" s="3" t="s">
        <v>1074</v>
      </c>
      <c r="E1233" s="14">
        <v>45757</v>
      </c>
      <c r="F1233" s="5" t="s">
        <v>1609</v>
      </c>
      <c r="G1233" s="5" t="s">
        <v>1087</v>
      </c>
      <c r="H1233" s="6"/>
      <c r="I1233" s="6"/>
      <c r="J1233" s="6"/>
      <c r="K1233" s="6"/>
      <c r="L1233" s="7" t="s">
        <v>1100</v>
      </c>
      <c r="M1233" s="8">
        <v>506685</v>
      </c>
      <c r="N1233" s="8" t="str">
        <f t="shared" si="96"/>
        <v>PEN</v>
      </c>
      <c r="O1233" s="13"/>
      <c r="P1233" s="13">
        <v>145</v>
      </c>
      <c r="Q1233" s="3">
        <f t="shared" si="97"/>
        <v>145</v>
      </c>
      <c r="R1233" s="3">
        <f t="shared" si="98"/>
        <v>0</v>
      </c>
      <c r="S1233" s="3">
        <f t="shared" si="99"/>
        <v>50797.660000000047</v>
      </c>
      <c r="T1233" s="24" t="s">
        <v>1081</v>
      </c>
      <c r="U1233" s="24" t="s">
        <v>1081</v>
      </c>
      <c r="V1233" s="67"/>
      <c r="W1233" s="25" t="str">
        <f>IFERROR(VLOOKUP(BCP_Soles[[#This Row],[DESTINATARIO]],CHOOSE({1,2},Clientes_Proveedores[Razon Social],Clientes_Proveedores[Ruc / Dni]),2,0),"")</f>
        <v/>
      </c>
      <c r="X1233" s="25" t="s">
        <v>1090</v>
      </c>
      <c r="Y1233" s="25" t="s">
        <v>2378</v>
      </c>
      <c r="Z1233" s="25"/>
      <c r="AA1233" s="99"/>
      <c r="AB1233" s="3" t="str">
        <f>IF(BCP_Soles[[#This Row],[FECHA]]&gt;0,TEXT(BCP_Soles[[#This Row],[FECHA]],"mmmm"),0)</f>
        <v>Abril</v>
      </c>
    </row>
    <row r="1234" spans="2:28" ht="24" x14ac:dyDescent="0.3">
      <c r="B1234" s="2">
        <f>IF(BCP_Soles[[#This Row],[TIPO DE R.]]="R",COUNTIFS($D$4:$D1233,"R")+1,"")</f>
        <v>962</v>
      </c>
      <c r="C1234" s="19" t="str">
        <f t="shared" si="95"/>
        <v>B-BCP - Soles</v>
      </c>
      <c r="D1234" s="3" t="s">
        <v>1074</v>
      </c>
      <c r="E1234" s="14">
        <v>45758</v>
      </c>
      <c r="F1234" s="5" t="s">
        <v>1779</v>
      </c>
      <c r="G1234" s="5" t="s">
        <v>1087</v>
      </c>
      <c r="H1234" s="6"/>
      <c r="I1234" s="6"/>
      <c r="J1234" s="6"/>
      <c r="K1234" s="6"/>
      <c r="L1234" s="7" t="s">
        <v>1100</v>
      </c>
      <c r="M1234" s="8">
        <v>1134571</v>
      </c>
      <c r="N1234" s="8" t="str">
        <f t="shared" si="96"/>
        <v>PEN</v>
      </c>
      <c r="O1234" s="13"/>
      <c r="P1234" s="13">
        <v>500</v>
      </c>
      <c r="Q1234" s="3">
        <f t="shared" si="97"/>
        <v>500</v>
      </c>
      <c r="R1234" s="3">
        <f t="shared" si="98"/>
        <v>0</v>
      </c>
      <c r="S1234" s="3">
        <f t="shared" si="99"/>
        <v>51297.660000000047</v>
      </c>
      <c r="T1234" s="24" t="s">
        <v>1081</v>
      </c>
      <c r="U1234" s="24" t="s">
        <v>1081</v>
      </c>
      <c r="V1234" s="67"/>
      <c r="W1234" s="25" t="str">
        <f>IFERROR(VLOOKUP(BCP_Soles[[#This Row],[DESTINATARIO]],CHOOSE({1,2},Clientes_Proveedores[Razon Social],Clientes_Proveedores[Ruc / Dni]),2,0),"")</f>
        <v/>
      </c>
      <c r="X1234" s="25" t="s">
        <v>1090</v>
      </c>
      <c r="Y1234" s="25" t="s">
        <v>2282</v>
      </c>
      <c r="Z1234" s="25"/>
      <c r="AA1234" s="99"/>
      <c r="AB1234" s="3" t="str">
        <f>IF(BCP_Soles[[#This Row],[FECHA]]&gt;0,TEXT(BCP_Soles[[#This Row],[FECHA]],"mmmm"),0)</f>
        <v>Abril</v>
      </c>
    </row>
    <row r="1235" spans="2:28" x14ac:dyDescent="0.3">
      <c r="B1235" s="2">
        <f>IF(BCP_Soles[[#This Row],[TIPO DE R.]]="R",COUNTIFS($D$4:$D1234,"R")+1,"")</f>
        <v>963</v>
      </c>
      <c r="C1235" s="19" t="str">
        <f t="shared" si="95"/>
        <v>B-BCP - Soles</v>
      </c>
      <c r="D1235" s="3" t="s">
        <v>1074</v>
      </c>
      <c r="E1235" s="14">
        <v>45758</v>
      </c>
      <c r="F1235" s="5" t="s">
        <v>1078</v>
      </c>
      <c r="G1235" s="5" t="s">
        <v>1079</v>
      </c>
      <c r="H1235" s="6"/>
      <c r="I1235" s="6"/>
      <c r="J1235" s="6"/>
      <c r="K1235" s="6"/>
      <c r="L1235" s="7" t="s">
        <v>1080</v>
      </c>
      <c r="M1235" s="8"/>
      <c r="N1235" s="8" t="str">
        <f t="shared" si="96"/>
        <v>PEN</v>
      </c>
      <c r="O1235" s="13"/>
      <c r="P1235" s="13">
        <v>0.8</v>
      </c>
      <c r="Q1235" s="3">
        <f t="shared" si="97"/>
        <v>0</v>
      </c>
      <c r="R1235" s="3">
        <f t="shared" si="98"/>
        <v>0.8</v>
      </c>
      <c r="S1235" s="3">
        <f t="shared" si="99"/>
        <v>51296.860000000044</v>
      </c>
      <c r="T1235" s="24"/>
      <c r="U1235" s="24" t="s">
        <v>1081</v>
      </c>
      <c r="V1235" s="67"/>
      <c r="W1235" s="25" t="str">
        <f>IFERROR(VLOOKUP(BCP_Soles[[#This Row],[DESTINATARIO]],CHOOSE({1,2},Clientes_Proveedores[Razon Social],Clientes_Proveedores[Ruc / Dni]),2,0),"")</f>
        <v/>
      </c>
      <c r="X1235" s="25"/>
      <c r="Y1235" s="25"/>
      <c r="Z1235" s="25"/>
      <c r="AA1235" s="99"/>
      <c r="AB1235" s="3" t="str">
        <f>IF(BCP_Soles[[#This Row],[FECHA]]&gt;0,TEXT(BCP_Soles[[#This Row],[FECHA]],"mmmm"),0)</f>
        <v>Abril</v>
      </c>
    </row>
    <row r="1236" spans="2:28" ht="24" x14ac:dyDescent="0.3">
      <c r="B1236" s="2">
        <f>IF(BCP_Soles[[#This Row],[TIPO DE R.]]="R",COUNTIFS($D$4:$D1235,"R")+1,"")</f>
        <v>964</v>
      </c>
      <c r="C1236" s="19" t="str">
        <f t="shared" si="95"/>
        <v>B-BCP - Soles</v>
      </c>
      <c r="D1236" s="3" t="s">
        <v>1074</v>
      </c>
      <c r="E1236" s="14">
        <v>45758</v>
      </c>
      <c r="F1236" s="5" t="s">
        <v>1996</v>
      </c>
      <c r="G1236" s="5" t="s">
        <v>1079</v>
      </c>
      <c r="H1236" s="6" t="s">
        <v>747</v>
      </c>
      <c r="I1236" s="6"/>
      <c r="J1236" s="6"/>
      <c r="K1236" s="6"/>
      <c r="L1236" s="7" t="s">
        <v>2379</v>
      </c>
      <c r="M1236" s="8">
        <v>1287039</v>
      </c>
      <c r="N1236" s="8" t="str">
        <f t="shared" si="96"/>
        <v>PEN</v>
      </c>
      <c r="O1236" s="13"/>
      <c r="P1236" s="13">
        <v>8000</v>
      </c>
      <c r="Q1236" s="3">
        <f t="shared" si="97"/>
        <v>0</v>
      </c>
      <c r="R1236" s="3">
        <f t="shared" si="98"/>
        <v>8000</v>
      </c>
      <c r="S1236" s="3">
        <f t="shared" si="99"/>
        <v>43296.860000000044</v>
      </c>
      <c r="T1236" s="24"/>
      <c r="U1236" s="24"/>
      <c r="V1236" s="67"/>
      <c r="W1236" s="25">
        <f>IFERROR(VLOOKUP(BCP_Soles[[#This Row],[DESTINATARIO]],CHOOSE({1,2},Clientes_Proveedores[Razon Social],Clientes_Proveedores[Ruc / Dni]),2,0),"")</f>
        <v>44162989</v>
      </c>
      <c r="X1236" s="25" t="s">
        <v>2380</v>
      </c>
      <c r="Y1236" s="25"/>
      <c r="Z1236" s="25"/>
      <c r="AA1236" s="99"/>
      <c r="AB1236" s="3" t="str">
        <f>IF(BCP_Soles[[#This Row],[FECHA]]&gt;0,TEXT(BCP_Soles[[#This Row],[FECHA]],"mmmm"),0)</f>
        <v>Abril</v>
      </c>
    </row>
    <row r="1237" spans="2:28" x14ac:dyDescent="0.3">
      <c r="B1237" s="2">
        <f>IF(BCP_Soles[[#This Row],[TIPO DE R.]]="R",COUNTIFS($D$4:$D1236,"R")+1,"")</f>
        <v>965</v>
      </c>
      <c r="C1237" s="19" t="str">
        <f t="shared" si="95"/>
        <v>B-BCP - Soles</v>
      </c>
      <c r="D1237" s="3" t="s">
        <v>1074</v>
      </c>
      <c r="E1237" s="14">
        <v>45758</v>
      </c>
      <c r="F1237" s="5" t="s">
        <v>1996</v>
      </c>
      <c r="G1237" s="5" t="s">
        <v>1079</v>
      </c>
      <c r="H1237" s="6"/>
      <c r="I1237" s="6"/>
      <c r="J1237" s="6"/>
      <c r="K1237" s="6"/>
      <c r="L1237" s="7" t="s">
        <v>2381</v>
      </c>
      <c r="M1237" s="8">
        <v>3114067</v>
      </c>
      <c r="N1237" s="8" t="str">
        <f t="shared" si="96"/>
        <v>PEN</v>
      </c>
      <c r="O1237" s="13"/>
      <c r="P1237" s="13">
        <v>7894.66</v>
      </c>
      <c r="Q1237" s="3">
        <f t="shared" si="97"/>
        <v>0</v>
      </c>
      <c r="R1237" s="3">
        <f t="shared" si="98"/>
        <v>7894.66</v>
      </c>
      <c r="S1237" s="3">
        <f t="shared" si="99"/>
        <v>35402.200000000041</v>
      </c>
      <c r="T1237" s="24" t="s">
        <v>1081</v>
      </c>
      <c r="U1237" s="24" t="s">
        <v>1081</v>
      </c>
      <c r="V1237" s="67"/>
      <c r="W1237" s="25" t="str">
        <f>IFERROR(VLOOKUP(BCP_Soles[[#This Row],[DESTINATARIO]],CHOOSE({1,2},Clientes_Proveedores[Razon Social],Clientes_Proveedores[Ruc / Dni]),2,0),"")</f>
        <v/>
      </c>
      <c r="X1237" s="25" t="s">
        <v>1118</v>
      </c>
      <c r="Y1237" s="25"/>
      <c r="Z1237" s="25"/>
      <c r="AA1237" s="99"/>
      <c r="AB1237" s="3" t="str">
        <f>IF(BCP_Soles[[#This Row],[FECHA]]&gt;0,TEXT(BCP_Soles[[#This Row],[FECHA]],"mmmm"),0)</f>
        <v>Abril</v>
      </c>
    </row>
    <row r="1238" spans="2:28" x14ac:dyDescent="0.3">
      <c r="B1238" s="2" t="str">
        <f>IF(BCP_Soles[[#This Row],[TIPO DE R.]]="R",COUNTIFS($D$4:$D1237,"R")+1,"")</f>
        <v/>
      </c>
      <c r="C1238" s="19" t="str">
        <f t="shared" si="95"/>
        <v>B-BCP - Soles</v>
      </c>
      <c r="D1238" s="3" t="s">
        <v>1101</v>
      </c>
      <c r="E1238" s="14">
        <v>45758</v>
      </c>
      <c r="F1238" s="5" t="s">
        <v>1996</v>
      </c>
      <c r="G1238" s="5"/>
      <c r="H1238" s="6" t="s">
        <v>229</v>
      </c>
      <c r="I1238" s="6" t="s">
        <v>14</v>
      </c>
      <c r="J1238" s="6" t="s">
        <v>1429</v>
      </c>
      <c r="K1238" s="6">
        <v>1690</v>
      </c>
      <c r="L1238" s="7" t="s">
        <v>2381</v>
      </c>
      <c r="M1238" s="8">
        <v>3114067</v>
      </c>
      <c r="N1238" s="8" t="str">
        <f t="shared" si="96"/>
        <v>PEN</v>
      </c>
      <c r="O1238" s="13">
        <v>1452.1</v>
      </c>
      <c r="P1238" s="13"/>
      <c r="Q1238" s="3">
        <f t="shared" si="97"/>
        <v>0</v>
      </c>
      <c r="R1238" s="3">
        <f t="shared" si="98"/>
        <v>0</v>
      </c>
      <c r="S1238" s="3">
        <f t="shared" si="99"/>
        <v>35402.200000000041</v>
      </c>
      <c r="T1238" s="24"/>
      <c r="U1238" s="24"/>
      <c r="V1238" s="67"/>
      <c r="W1238" s="25">
        <f>IFERROR(VLOOKUP(BCP_Soles[[#This Row],[DESTINATARIO]],CHOOSE({1,2},Clientes_Proveedores[Razon Social],Clientes_Proveedores[Ruc / Dni]),2,0),"")</f>
        <v>20454186002</v>
      </c>
      <c r="X1238" s="25"/>
      <c r="Y1238" s="25"/>
      <c r="Z1238" s="25"/>
      <c r="AA1238" s="99"/>
      <c r="AB1238" s="3" t="str">
        <f>IF(BCP_Soles[[#This Row],[FECHA]]&gt;0,TEXT(BCP_Soles[[#This Row],[FECHA]],"mmmm"),0)</f>
        <v>Abril</v>
      </c>
    </row>
    <row r="1239" spans="2:28" x14ac:dyDescent="0.3">
      <c r="B1239" s="2" t="str">
        <f>IF(BCP_Soles[[#This Row],[TIPO DE R.]]="R",COUNTIFS($D$4:$D1238,"R")+1,"")</f>
        <v/>
      </c>
      <c r="C1239" s="19" t="str">
        <f t="shared" si="95"/>
        <v>B-BCP - Soles</v>
      </c>
      <c r="D1239" s="3" t="s">
        <v>1101</v>
      </c>
      <c r="E1239" s="14">
        <v>45758</v>
      </c>
      <c r="F1239" s="5" t="s">
        <v>1996</v>
      </c>
      <c r="G1239" s="5"/>
      <c r="H1239" s="6" t="s">
        <v>229</v>
      </c>
      <c r="I1239" s="6" t="s">
        <v>14</v>
      </c>
      <c r="J1239" s="6" t="s">
        <v>1429</v>
      </c>
      <c r="K1239" s="6">
        <v>1691</v>
      </c>
      <c r="L1239" s="7" t="s">
        <v>2381</v>
      </c>
      <c r="M1239" s="8">
        <v>3114067</v>
      </c>
      <c r="N1239" s="8" t="str">
        <f t="shared" si="96"/>
        <v>PEN</v>
      </c>
      <c r="O1239" s="13">
        <v>795.89</v>
      </c>
      <c r="P1239" s="13"/>
      <c r="Q1239" s="3">
        <f t="shared" si="97"/>
        <v>0</v>
      </c>
      <c r="R1239" s="3">
        <f t="shared" si="98"/>
        <v>0</v>
      </c>
      <c r="S1239" s="3">
        <f t="shared" si="99"/>
        <v>35402.200000000041</v>
      </c>
      <c r="T1239" s="24"/>
      <c r="U1239" s="24"/>
      <c r="V1239" s="67"/>
      <c r="W1239" s="25">
        <f>IFERROR(VLOOKUP(BCP_Soles[[#This Row],[DESTINATARIO]],CHOOSE({1,2},Clientes_Proveedores[Razon Social],Clientes_Proveedores[Ruc / Dni]),2,0),"")</f>
        <v>20454186002</v>
      </c>
      <c r="X1239" s="25"/>
      <c r="Y1239" s="25"/>
      <c r="Z1239" s="25"/>
      <c r="AA1239" s="99"/>
      <c r="AB1239" s="3" t="str">
        <f>IF(BCP_Soles[[#This Row],[FECHA]]&gt;0,TEXT(BCP_Soles[[#This Row],[FECHA]],"mmmm"),0)</f>
        <v>Abril</v>
      </c>
    </row>
    <row r="1240" spans="2:28" ht="36" x14ac:dyDescent="0.3">
      <c r="B1240" s="2" t="str">
        <f>IF(BCP_Soles[[#This Row],[TIPO DE R.]]="R",COUNTIFS($D$4:$D1239,"R")+1,"")</f>
        <v/>
      </c>
      <c r="C1240" s="19" t="str">
        <f t="shared" si="95"/>
        <v>B-BCP - Soles</v>
      </c>
      <c r="D1240" s="3" t="s">
        <v>1101</v>
      </c>
      <c r="E1240" s="14">
        <v>45758</v>
      </c>
      <c r="F1240" s="5" t="s">
        <v>1996</v>
      </c>
      <c r="G1240" s="5"/>
      <c r="H1240" s="6" t="s">
        <v>525</v>
      </c>
      <c r="I1240" s="6" t="s">
        <v>14</v>
      </c>
      <c r="J1240" s="6" t="s">
        <v>1121</v>
      </c>
      <c r="K1240" s="6">
        <v>728</v>
      </c>
      <c r="L1240" s="7" t="s">
        <v>2381</v>
      </c>
      <c r="M1240" s="8">
        <v>3114067</v>
      </c>
      <c r="N1240" s="8" t="str">
        <f t="shared" si="96"/>
        <v>PEN</v>
      </c>
      <c r="O1240" s="13">
        <v>450</v>
      </c>
      <c r="P1240" s="13"/>
      <c r="Q1240" s="3">
        <f t="shared" si="97"/>
        <v>0</v>
      </c>
      <c r="R1240" s="3">
        <f t="shared" si="98"/>
        <v>0</v>
      </c>
      <c r="S1240" s="3">
        <f t="shared" si="99"/>
        <v>35402.200000000041</v>
      </c>
      <c r="T1240" s="24"/>
      <c r="U1240" s="24"/>
      <c r="V1240" s="67"/>
      <c r="W1240" s="25">
        <f>IFERROR(VLOOKUP(BCP_Soles[[#This Row],[DESTINATARIO]],CHOOSE({1,2},Clientes_Proveedores[Razon Social],Clientes_Proveedores[Ruc / Dni]),2,0),"")</f>
        <v>20609155303</v>
      </c>
      <c r="X1240" s="25"/>
      <c r="Y1240" s="25"/>
      <c r="Z1240" s="25"/>
      <c r="AA1240" s="99"/>
      <c r="AB1240" s="3" t="str">
        <f>IF(BCP_Soles[[#This Row],[FECHA]]&gt;0,TEXT(BCP_Soles[[#This Row],[FECHA]],"mmmm"),0)</f>
        <v>Abril</v>
      </c>
    </row>
    <row r="1241" spans="2:28" ht="36" x14ac:dyDescent="0.3">
      <c r="B1241" s="2" t="str">
        <f>IF(BCP_Soles[[#This Row],[TIPO DE R.]]="R",COUNTIFS($D$4:$D1240,"R")+1,"")</f>
        <v/>
      </c>
      <c r="C1241" s="19" t="str">
        <f t="shared" si="95"/>
        <v>B-BCP - Soles</v>
      </c>
      <c r="D1241" s="3" t="s">
        <v>1101</v>
      </c>
      <c r="E1241" s="14">
        <v>45758</v>
      </c>
      <c r="F1241" s="5" t="s">
        <v>1996</v>
      </c>
      <c r="G1241" s="5"/>
      <c r="H1241" s="6" t="s">
        <v>525</v>
      </c>
      <c r="I1241" s="6" t="s">
        <v>14</v>
      </c>
      <c r="J1241" s="6" t="s">
        <v>1121</v>
      </c>
      <c r="K1241" s="6">
        <v>729</v>
      </c>
      <c r="L1241" s="7" t="s">
        <v>2381</v>
      </c>
      <c r="M1241" s="8">
        <v>3114067</v>
      </c>
      <c r="N1241" s="8" t="str">
        <f t="shared" si="96"/>
        <v>PEN</v>
      </c>
      <c r="O1241" s="13">
        <v>300</v>
      </c>
      <c r="P1241" s="13"/>
      <c r="Q1241" s="3">
        <f t="shared" si="97"/>
        <v>0</v>
      </c>
      <c r="R1241" s="3">
        <f t="shared" si="98"/>
        <v>0</v>
      </c>
      <c r="S1241" s="3">
        <f t="shared" si="99"/>
        <v>35402.200000000041</v>
      </c>
      <c r="T1241" s="24"/>
      <c r="U1241" s="24"/>
      <c r="V1241" s="67"/>
      <c r="W1241" s="25">
        <f>IFERROR(VLOOKUP(BCP_Soles[[#This Row],[DESTINATARIO]],CHOOSE({1,2},Clientes_Proveedores[Razon Social],Clientes_Proveedores[Ruc / Dni]),2,0),"")</f>
        <v>20609155303</v>
      </c>
      <c r="X1241" s="25"/>
      <c r="Y1241" s="25"/>
      <c r="Z1241" s="25"/>
      <c r="AA1241" s="99"/>
      <c r="AB1241" s="3" t="str">
        <f>IF(BCP_Soles[[#This Row],[FECHA]]&gt;0,TEXT(BCP_Soles[[#This Row],[FECHA]],"mmmm"),0)</f>
        <v>Abril</v>
      </c>
    </row>
    <row r="1242" spans="2:28" x14ac:dyDescent="0.3">
      <c r="B1242" s="2" t="str">
        <f>IF(BCP_Soles[[#This Row],[TIPO DE R.]]="R",COUNTIFS($D$4:$D1241,"R")+1,"")</f>
        <v/>
      </c>
      <c r="C1242" s="19" t="str">
        <f t="shared" si="95"/>
        <v>B-BCP - Soles</v>
      </c>
      <c r="D1242" s="3" t="s">
        <v>1101</v>
      </c>
      <c r="E1242" s="14">
        <v>45758</v>
      </c>
      <c r="F1242" s="5" t="s">
        <v>1996</v>
      </c>
      <c r="G1242" s="5"/>
      <c r="H1242" s="6" t="s">
        <v>126</v>
      </c>
      <c r="I1242" s="6" t="s">
        <v>14</v>
      </c>
      <c r="J1242" s="6" t="s">
        <v>1121</v>
      </c>
      <c r="K1242" s="6">
        <v>102</v>
      </c>
      <c r="L1242" s="7" t="s">
        <v>2381</v>
      </c>
      <c r="M1242" s="8">
        <v>3114067</v>
      </c>
      <c r="N1242" s="8" t="str">
        <f t="shared" si="96"/>
        <v>PEN</v>
      </c>
      <c r="O1242" s="13">
        <v>1172.92</v>
      </c>
      <c r="P1242" s="13"/>
      <c r="Q1242" s="3">
        <f t="shared" si="97"/>
        <v>0</v>
      </c>
      <c r="R1242" s="3">
        <f t="shared" si="98"/>
        <v>0</v>
      </c>
      <c r="S1242" s="3">
        <f t="shared" si="99"/>
        <v>35402.200000000041</v>
      </c>
      <c r="T1242" s="24"/>
      <c r="U1242" s="24"/>
      <c r="V1242" s="67"/>
      <c r="W1242" s="25">
        <f>IFERROR(VLOOKUP(BCP_Soles[[#This Row],[DESTINATARIO]],CHOOSE({1,2},Clientes_Proveedores[Razon Social],Clientes_Proveedores[Ruc / Dni]),2,0),"")</f>
        <v>10486253725</v>
      </c>
      <c r="X1242" s="25"/>
      <c r="Y1242" s="25"/>
      <c r="Z1242" s="25"/>
      <c r="AA1242" s="99"/>
      <c r="AB1242" s="3" t="str">
        <f>IF(BCP_Soles[[#This Row],[FECHA]]&gt;0,TEXT(BCP_Soles[[#This Row],[FECHA]],"mmmm"),0)</f>
        <v>Abril</v>
      </c>
    </row>
    <row r="1243" spans="2:28" ht="24" x14ac:dyDescent="0.3">
      <c r="B1243" s="2" t="str">
        <f>IF(BCP_Soles[[#This Row],[TIPO DE R.]]="R",COUNTIFS($D$4:$D1242,"R")+1,"")</f>
        <v/>
      </c>
      <c r="C1243" s="19" t="str">
        <f t="shared" si="95"/>
        <v>B-BCP - Soles</v>
      </c>
      <c r="D1243" s="3" t="s">
        <v>1101</v>
      </c>
      <c r="E1243" s="14">
        <v>45758</v>
      </c>
      <c r="F1243" s="5" t="s">
        <v>1996</v>
      </c>
      <c r="G1243" s="5"/>
      <c r="H1243" s="6" t="s">
        <v>609</v>
      </c>
      <c r="I1243" s="6" t="s">
        <v>14</v>
      </c>
      <c r="J1243" s="6" t="s">
        <v>1121</v>
      </c>
      <c r="K1243" s="6">
        <v>13</v>
      </c>
      <c r="L1243" s="7" t="s">
        <v>2381</v>
      </c>
      <c r="M1243" s="8">
        <v>3114067</v>
      </c>
      <c r="N1243" s="8" t="str">
        <f t="shared" si="96"/>
        <v>PEN</v>
      </c>
      <c r="O1243" s="13">
        <v>510</v>
      </c>
      <c r="P1243" s="13"/>
      <c r="Q1243" s="3">
        <f t="shared" si="97"/>
        <v>0</v>
      </c>
      <c r="R1243" s="3">
        <f t="shared" si="98"/>
        <v>0</v>
      </c>
      <c r="S1243" s="3">
        <f t="shared" si="99"/>
        <v>35402.200000000041</v>
      </c>
      <c r="T1243" s="24"/>
      <c r="U1243" s="24"/>
      <c r="V1243" s="67"/>
      <c r="W1243" s="25">
        <f>IFERROR(VLOOKUP(BCP_Soles[[#This Row],[DESTINATARIO]],CHOOSE({1,2},Clientes_Proveedores[Razon Social],Clientes_Proveedores[Ruc / Dni]),2,0),"")</f>
        <v>10410687491</v>
      </c>
      <c r="X1243" s="25"/>
      <c r="Y1243" s="25"/>
      <c r="Z1243" s="25"/>
      <c r="AA1243" s="99"/>
      <c r="AB1243" s="3" t="str">
        <f>IF(BCP_Soles[[#This Row],[FECHA]]&gt;0,TEXT(BCP_Soles[[#This Row],[FECHA]],"mmmm"),0)</f>
        <v>Abril</v>
      </c>
    </row>
    <row r="1244" spans="2:28" ht="24" x14ac:dyDescent="0.3">
      <c r="B1244" s="2" t="str">
        <f>IF(BCP_Soles[[#This Row],[TIPO DE R.]]="R",COUNTIFS($D$4:$D1243,"R")+1,"")</f>
        <v/>
      </c>
      <c r="C1244" s="19" t="str">
        <f t="shared" si="95"/>
        <v>B-BCP - Soles</v>
      </c>
      <c r="D1244" s="3" t="s">
        <v>1101</v>
      </c>
      <c r="E1244" s="14">
        <v>45758</v>
      </c>
      <c r="F1244" s="5" t="s">
        <v>1996</v>
      </c>
      <c r="G1244" s="5"/>
      <c r="H1244" s="6" t="s">
        <v>609</v>
      </c>
      <c r="I1244" s="6" t="s">
        <v>14</v>
      </c>
      <c r="J1244" s="6" t="s">
        <v>1121</v>
      </c>
      <c r="K1244" s="6">
        <v>11</v>
      </c>
      <c r="L1244" s="7" t="s">
        <v>2381</v>
      </c>
      <c r="M1244" s="8">
        <v>3114067</v>
      </c>
      <c r="N1244" s="8" t="str">
        <f t="shared" si="96"/>
        <v>PEN</v>
      </c>
      <c r="O1244" s="13">
        <v>510</v>
      </c>
      <c r="P1244" s="13"/>
      <c r="Q1244" s="3">
        <f t="shared" si="97"/>
        <v>0</v>
      </c>
      <c r="R1244" s="3">
        <f t="shared" si="98"/>
        <v>0</v>
      </c>
      <c r="S1244" s="3">
        <f t="shared" si="99"/>
        <v>35402.200000000041</v>
      </c>
      <c r="T1244" s="24"/>
      <c r="U1244" s="24"/>
      <c r="V1244" s="67"/>
      <c r="W1244" s="25">
        <f>IFERROR(VLOOKUP(BCP_Soles[[#This Row],[DESTINATARIO]],CHOOSE({1,2},Clientes_Proveedores[Razon Social],Clientes_Proveedores[Ruc / Dni]),2,0),"")</f>
        <v>10410687491</v>
      </c>
      <c r="X1244" s="25"/>
      <c r="Y1244" s="25"/>
      <c r="Z1244" s="25"/>
      <c r="AA1244" s="99"/>
      <c r="AB1244" s="3" t="str">
        <f>IF(BCP_Soles[[#This Row],[FECHA]]&gt;0,TEXT(BCP_Soles[[#This Row],[FECHA]],"mmmm"),0)</f>
        <v>Abril</v>
      </c>
    </row>
    <row r="1245" spans="2:28" ht="24" x14ac:dyDescent="0.3">
      <c r="B1245" s="2" t="str">
        <f>IF(BCP_Soles[[#This Row],[TIPO DE R.]]="R",COUNTIFS($D$4:$D1244,"R")+1,"")</f>
        <v/>
      </c>
      <c r="C1245" s="19" t="str">
        <f t="shared" si="95"/>
        <v>B-BCP - Soles</v>
      </c>
      <c r="D1245" s="3" t="s">
        <v>1101</v>
      </c>
      <c r="E1245" s="14">
        <v>45758</v>
      </c>
      <c r="F1245" s="5" t="s">
        <v>1996</v>
      </c>
      <c r="G1245" s="5"/>
      <c r="H1245" s="6" t="s">
        <v>609</v>
      </c>
      <c r="I1245" s="6" t="s">
        <v>14</v>
      </c>
      <c r="J1245" s="6" t="s">
        <v>1121</v>
      </c>
      <c r="K1245" s="6">
        <v>10</v>
      </c>
      <c r="L1245" s="7" t="s">
        <v>2381</v>
      </c>
      <c r="M1245" s="8">
        <v>3114067</v>
      </c>
      <c r="N1245" s="8" t="str">
        <f t="shared" si="96"/>
        <v>PEN</v>
      </c>
      <c r="O1245" s="13">
        <v>1020</v>
      </c>
      <c r="P1245" s="13"/>
      <c r="Q1245" s="3">
        <f t="shared" si="97"/>
        <v>0</v>
      </c>
      <c r="R1245" s="3">
        <f t="shared" si="98"/>
        <v>0</v>
      </c>
      <c r="S1245" s="3">
        <f t="shared" si="99"/>
        <v>35402.200000000041</v>
      </c>
      <c r="T1245" s="24"/>
      <c r="U1245" s="24"/>
      <c r="V1245" s="67"/>
      <c r="W1245" s="25">
        <f>IFERROR(VLOOKUP(BCP_Soles[[#This Row],[DESTINATARIO]],CHOOSE({1,2},Clientes_Proveedores[Razon Social],Clientes_Proveedores[Ruc / Dni]),2,0),"")</f>
        <v>10410687491</v>
      </c>
      <c r="X1245" s="25"/>
      <c r="Y1245" s="25"/>
      <c r="Z1245" s="25"/>
      <c r="AA1245" s="99"/>
      <c r="AB1245" s="3" t="str">
        <f>IF(BCP_Soles[[#This Row],[FECHA]]&gt;0,TEXT(BCP_Soles[[#This Row],[FECHA]],"mmmm"),0)</f>
        <v>Abril</v>
      </c>
    </row>
    <row r="1246" spans="2:28" ht="24" x14ac:dyDescent="0.3">
      <c r="B1246" s="2" t="str">
        <f>IF(BCP_Soles[[#This Row],[TIPO DE R.]]="R",COUNTIFS($D$4:$D1245,"R")+1,"")</f>
        <v/>
      </c>
      <c r="C1246" s="19" t="str">
        <f t="shared" si="95"/>
        <v>B-BCP - Soles</v>
      </c>
      <c r="D1246" s="3" t="s">
        <v>1101</v>
      </c>
      <c r="E1246" s="14">
        <v>45758</v>
      </c>
      <c r="F1246" s="5" t="s">
        <v>1996</v>
      </c>
      <c r="G1246" s="5"/>
      <c r="H1246" s="6" t="s">
        <v>609</v>
      </c>
      <c r="I1246" s="6" t="s">
        <v>14</v>
      </c>
      <c r="J1246" s="6" t="s">
        <v>1121</v>
      </c>
      <c r="K1246" s="6">
        <v>8</v>
      </c>
      <c r="L1246" s="7" t="s">
        <v>2381</v>
      </c>
      <c r="M1246" s="8">
        <v>3114067</v>
      </c>
      <c r="N1246" s="8" t="str">
        <f t="shared" si="96"/>
        <v>PEN</v>
      </c>
      <c r="O1246" s="13">
        <v>510</v>
      </c>
      <c r="P1246" s="13"/>
      <c r="Q1246" s="3">
        <f t="shared" si="97"/>
        <v>0</v>
      </c>
      <c r="R1246" s="3">
        <f t="shared" si="98"/>
        <v>0</v>
      </c>
      <c r="S1246" s="3">
        <f t="shared" si="99"/>
        <v>35402.200000000041</v>
      </c>
      <c r="T1246" s="24"/>
      <c r="U1246" s="24"/>
      <c r="V1246" s="67"/>
      <c r="W1246" s="25">
        <f>IFERROR(VLOOKUP(BCP_Soles[[#This Row],[DESTINATARIO]],CHOOSE({1,2},Clientes_Proveedores[Razon Social],Clientes_Proveedores[Ruc / Dni]),2,0),"")</f>
        <v>10410687491</v>
      </c>
      <c r="X1246" s="25"/>
      <c r="Y1246" s="25"/>
      <c r="Z1246" s="25"/>
      <c r="AA1246" s="99"/>
      <c r="AB1246" s="3" t="str">
        <f>IF(BCP_Soles[[#This Row],[FECHA]]&gt;0,TEXT(BCP_Soles[[#This Row],[FECHA]],"mmmm"),0)</f>
        <v>Abril</v>
      </c>
    </row>
    <row r="1247" spans="2:28" x14ac:dyDescent="0.3">
      <c r="B1247" s="2" t="str">
        <f>IF(BCP_Soles[[#This Row],[TIPO DE R.]]="R",COUNTIFS($D$4:$D1246,"R")+1,"")</f>
        <v/>
      </c>
      <c r="C1247" s="19" t="str">
        <f t="shared" si="95"/>
        <v>B-BCP - Soles</v>
      </c>
      <c r="D1247" s="3" t="s">
        <v>1101</v>
      </c>
      <c r="E1247" s="14">
        <v>45758</v>
      </c>
      <c r="F1247" s="5" t="s">
        <v>1996</v>
      </c>
      <c r="G1247" s="5"/>
      <c r="H1247" s="6" t="s">
        <v>465</v>
      </c>
      <c r="I1247" s="6" t="s">
        <v>14</v>
      </c>
      <c r="J1247" s="6" t="s">
        <v>1121</v>
      </c>
      <c r="K1247" s="6">
        <v>3774</v>
      </c>
      <c r="L1247" s="7" t="s">
        <v>2381</v>
      </c>
      <c r="M1247" s="8">
        <v>3114067</v>
      </c>
      <c r="N1247" s="8" t="str">
        <f t="shared" si="96"/>
        <v>PEN</v>
      </c>
      <c r="O1247" s="13">
        <v>200.6</v>
      </c>
      <c r="P1247" s="13"/>
      <c r="Q1247" s="3">
        <f t="shared" si="97"/>
        <v>0</v>
      </c>
      <c r="R1247" s="3">
        <f t="shared" si="98"/>
        <v>0</v>
      </c>
      <c r="S1247" s="3">
        <f t="shared" si="99"/>
        <v>35402.200000000041</v>
      </c>
      <c r="T1247" s="24"/>
      <c r="U1247" s="24"/>
      <c r="V1247" s="67"/>
      <c r="W1247" s="25">
        <f>IFERROR(VLOOKUP(BCP_Soles[[#This Row],[DESTINATARIO]],CHOOSE({1,2},Clientes_Proveedores[Razon Social],Clientes_Proveedores[Ruc / Dni]),2,0),"")</f>
        <v>20603974817</v>
      </c>
      <c r="X1247" s="25"/>
      <c r="Y1247" s="25"/>
      <c r="Z1247" s="25"/>
      <c r="AA1247" s="99"/>
      <c r="AB1247" s="3" t="str">
        <f>IF(BCP_Soles[[#This Row],[FECHA]]&gt;0,TEXT(BCP_Soles[[#This Row],[FECHA]],"mmmm"),0)</f>
        <v>Abril</v>
      </c>
    </row>
    <row r="1248" spans="2:28" x14ac:dyDescent="0.3">
      <c r="B1248" s="2" t="str">
        <f>IF(BCP_Soles[[#This Row],[TIPO DE R.]]="R",COUNTIFS($D$4:$D1247,"R")+1,"")</f>
        <v/>
      </c>
      <c r="C1248" s="19" t="str">
        <f t="shared" si="95"/>
        <v>B-BCP - Soles</v>
      </c>
      <c r="D1248" s="3" t="s">
        <v>1101</v>
      </c>
      <c r="E1248" s="14">
        <v>45758</v>
      </c>
      <c r="F1248" s="5" t="s">
        <v>1996</v>
      </c>
      <c r="G1248" s="5"/>
      <c r="H1248" s="6" t="s">
        <v>465</v>
      </c>
      <c r="I1248" s="6" t="s">
        <v>14</v>
      </c>
      <c r="J1248" s="6" t="s">
        <v>1121</v>
      </c>
      <c r="K1248" s="6">
        <v>3787</v>
      </c>
      <c r="L1248" s="7" t="s">
        <v>2381</v>
      </c>
      <c r="M1248" s="8">
        <v>3114067</v>
      </c>
      <c r="N1248" s="8" t="str">
        <f t="shared" si="96"/>
        <v>PEN</v>
      </c>
      <c r="O1248" s="13">
        <v>722.4</v>
      </c>
      <c r="P1248" s="13"/>
      <c r="Q1248" s="3">
        <f t="shared" si="97"/>
        <v>0</v>
      </c>
      <c r="R1248" s="3">
        <f t="shared" si="98"/>
        <v>0</v>
      </c>
      <c r="S1248" s="3">
        <f t="shared" si="99"/>
        <v>35402.200000000041</v>
      </c>
      <c r="T1248" s="24"/>
      <c r="U1248" s="24"/>
      <c r="V1248" s="67"/>
      <c r="W1248" s="25">
        <f>IFERROR(VLOOKUP(BCP_Soles[[#This Row],[DESTINATARIO]],CHOOSE({1,2},Clientes_Proveedores[Razon Social],Clientes_Proveedores[Ruc / Dni]),2,0),"")</f>
        <v>20603974817</v>
      </c>
      <c r="X1248" s="25"/>
      <c r="Y1248" s="25"/>
      <c r="Z1248" s="25"/>
      <c r="AA1248" s="99"/>
      <c r="AB1248" s="3" t="str">
        <f>IF(BCP_Soles[[#This Row],[FECHA]]&gt;0,TEXT(BCP_Soles[[#This Row],[FECHA]],"mmmm"),0)</f>
        <v>Abril</v>
      </c>
    </row>
    <row r="1249" spans="2:28" x14ac:dyDescent="0.3">
      <c r="B1249" s="2" t="str">
        <f>IF(BCP_Soles[[#This Row],[TIPO DE R.]]="R",COUNTIFS($D$4:$D1248,"R")+1,"")</f>
        <v/>
      </c>
      <c r="C1249" s="19" t="str">
        <f t="shared" si="95"/>
        <v>B-BCP - Soles</v>
      </c>
      <c r="D1249" s="3" t="s">
        <v>1101</v>
      </c>
      <c r="E1249" s="14">
        <v>45758</v>
      </c>
      <c r="F1249" s="5" t="s">
        <v>1996</v>
      </c>
      <c r="G1249" s="5"/>
      <c r="H1249" s="6" t="s">
        <v>465</v>
      </c>
      <c r="I1249" s="6" t="s">
        <v>14</v>
      </c>
      <c r="J1249" s="6" t="s">
        <v>1121</v>
      </c>
      <c r="K1249" s="6">
        <v>3784</v>
      </c>
      <c r="L1249" s="7" t="s">
        <v>2381</v>
      </c>
      <c r="M1249" s="8">
        <v>3114067</v>
      </c>
      <c r="N1249" s="8" t="str">
        <f t="shared" si="96"/>
        <v>PEN</v>
      </c>
      <c r="O1249" s="13">
        <v>250.75</v>
      </c>
      <c r="P1249" s="13"/>
      <c r="Q1249" s="3">
        <f t="shared" si="97"/>
        <v>0</v>
      </c>
      <c r="R1249" s="3">
        <f t="shared" si="98"/>
        <v>0</v>
      </c>
      <c r="S1249" s="3">
        <f t="shared" si="99"/>
        <v>35402.200000000041</v>
      </c>
      <c r="T1249" s="24"/>
      <c r="U1249" s="24"/>
      <c r="V1249" s="67"/>
      <c r="W1249" s="25">
        <f>IFERROR(VLOOKUP(BCP_Soles[[#This Row],[DESTINATARIO]],CHOOSE({1,2},Clientes_Proveedores[Razon Social],Clientes_Proveedores[Ruc / Dni]),2,0),"")</f>
        <v>20603974817</v>
      </c>
      <c r="X1249" s="25"/>
      <c r="Y1249" s="25"/>
      <c r="Z1249" s="25"/>
      <c r="AA1249" s="99"/>
      <c r="AB1249" s="3" t="str">
        <f>IF(BCP_Soles[[#This Row],[FECHA]]&gt;0,TEXT(BCP_Soles[[#This Row],[FECHA]],"mmmm"),0)</f>
        <v>Abril</v>
      </c>
    </row>
    <row r="1250" spans="2:28" x14ac:dyDescent="0.3">
      <c r="B1250" s="2">
        <f>IF(BCP_Soles[[#This Row],[TIPO DE R.]]="R",COUNTIFS($D$4:$D1249,"R")+1,"")</f>
        <v>966</v>
      </c>
      <c r="C1250" s="19" t="str">
        <f t="shared" si="95"/>
        <v>B-BCP - Soles</v>
      </c>
      <c r="D1250" s="3" t="s">
        <v>1074</v>
      </c>
      <c r="E1250" s="14">
        <v>45758</v>
      </c>
      <c r="F1250" s="5" t="s">
        <v>2382</v>
      </c>
      <c r="G1250" s="5" t="s">
        <v>1079</v>
      </c>
      <c r="H1250" s="6" t="s">
        <v>637</v>
      </c>
      <c r="I1250" s="6" t="s">
        <v>14</v>
      </c>
      <c r="J1250" s="6" t="s">
        <v>1453</v>
      </c>
      <c r="K1250" s="6">
        <v>134658</v>
      </c>
      <c r="L1250" s="7" t="s">
        <v>1123</v>
      </c>
      <c r="M1250" s="8">
        <v>198802</v>
      </c>
      <c r="N1250" s="8" t="str">
        <f t="shared" si="96"/>
        <v>PEN</v>
      </c>
      <c r="O1250" s="13"/>
      <c r="P1250" s="13">
        <v>1007.03</v>
      </c>
      <c r="Q1250" s="3">
        <f t="shared" si="97"/>
        <v>0</v>
      </c>
      <c r="R1250" s="3">
        <f t="shared" si="98"/>
        <v>1007.03</v>
      </c>
      <c r="S1250" s="3">
        <f t="shared" si="99"/>
        <v>34395.170000000042</v>
      </c>
      <c r="T1250" s="24" t="s">
        <v>1081</v>
      </c>
      <c r="U1250" s="24" t="s">
        <v>1081</v>
      </c>
      <c r="V1250" s="67"/>
      <c r="W1250" s="25">
        <f>IFERROR(VLOOKUP(BCP_Soles[[#This Row],[DESTINATARIO]],CHOOSE({1,2},Clientes_Proveedores[Razon Social],Clientes_Proveedores[Ruc / Dni]),2,0),"")</f>
        <v>20127765279</v>
      </c>
      <c r="X1250" s="25" t="s">
        <v>1124</v>
      </c>
      <c r="Y1250" s="25" t="s">
        <v>2383</v>
      </c>
      <c r="Z1250" s="25"/>
      <c r="AA1250" s="99"/>
      <c r="AB1250" s="3" t="str">
        <f>IF(BCP_Soles[[#This Row],[FECHA]]&gt;0,TEXT(BCP_Soles[[#This Row],[FECHA]],"mmmm"),0)</f>
        <v>Abril</v>
      </c>
    </row>
    <row r="1251" spans="2:28" x14ac:dyDescent="0.3">
      <c r="B1251" s="2">
        <f>IF(BCP_Soles[[#This Row],[TIPO DE R.]]="R",COUNTIFS($D$4:$D1250,"R")+1,"")</f>
        <v>967</v>
      </c>
      <c r="C1251" s="19" t="str">
        <f t="shared" si="95"/>
        <v>B-BCP - Soles</v>
      </c>
      <c r="D1251" s="3" t="s">
        <v>1074</v>
      </c>
      <c r="E1251" s="14">
        <v>45758</v>
      </c>
      <c r="F1251" s="5" t="s">
        <v>1996</v>
      </c>
      <c r="G1251" s="5" t="s">
        <v>1079</v>
      </c>
      <c r="H1251" s="6" t="s">
        <v>637</v>
      </c>
      <c r="I1251" s="6" t="s">
        <v>14</v>
      </c>
      <c r="J1251" s="6" t="s">
        <v>1122</v>
      </c>
      <c r="K1251" s="6">
        <v>157558</v>
      </c>
      <c r="L1251" s="7" t="s">
        <v>1123</v>
      </c>
      <c r="M1251" s="8">
        <v>199797</v>
      </c>
      <c r="N1251" s="8" t="str">
        <f t="shared" si="96"/>
        <v>PEN</v>
      </c>
      <c r="O1251" s="13"/>
      <c r="P1251" s="13">
        <v>972.07</v>
      </c>
      <c r="Q1251" s="3">
        <f t="shared" si="97"/>
        <v>0</v>
      </c>
      <c r="R1251" s="3">
        <f t="shared" si="98"/>
        <v>972.07</v>
      </c>
      <c r="S1251" s="3">
        <f t="shared" si="99"/>
        <v>33423.100000000042</v>
      </c>
      <c r="T1251" s="24" t="s">
        <v>1081</v>
      </c>
      <c r="U1251" s="24" t="s">
        <v>1081</v>
      </c>
      <c r="V1251" s="67"/>
      <c r="W1251" s="25">
        <f>IFERROR(VLOOKUP(BCP_Soles[[#This Row],[DESTINATARIO]],CHOOSE({1,2},Clientes_Proveedores[Razon Social],Clientes_Proveedores[Ruc / Dni]),2,0),"")</f>
        <v>20127765279</v>
      </c>
      <c r="X1251" s="25" t="s">
        <v>1124</v>
      </c>
      <c r="Y1251" s="25" t="s">
        <v>2384</v>
      </c>
      <c r="Z1251" s="25"/>
      <c r="AA1251" s="99"/>
      <c r="AB1251" s="3" t="str">
        <f>IF(BCP_Soles[[#This Row],[FECHA]]&gt;0,TEXT(BCP_Soles[[#This Row],[FECHA]],"mmmm"),0)</f>
        <v>Abril</v>
      </c>
    </row>
    <row r="1252" spans="2:28" x14ac:dyDescent="0.3">
      <c r="B1252" s="2">
        <f>IF(BCP_Soles[[#This Row],[TIPO DE R.]]="R",COUNTIFS($D$4:$D1251,"R")+1,"")</f>
        <v>968</v>
      </c>
      <c r="C1252" s="19" t="str">
        <f t="shared" si="95"/>
        <v>B-BCP - Soles</v>
      </c>
      <c r="D1252" s="3" t="s">
        <v>1074</v>
      </c>
      <c r="E1252" s="14">
        <v>45758</v>
      </c>
      <c r="F1252" s="5" t="s">
        <v>1082</v>
      </c>
      <c r="G1252" s="5" t="s">
        <v>1079</v>
      </c>
      <c r="H1252" s="6"/>
      <c r="I1252" s="6"/>
      <c r="J1252" s="6"/>
      <c r="K1252" s="6"/>
      <c r="L1252" s="7" t="s">
        <v>2385</v>
      </c>
      <c r="M1252" s="8">
        <v>1007963</v>
      </c>
      <c r="N1252" s="8" t="str">
        <f t="shared" si="96"/>
        <v>PEN</v>
      </c>
      <c r="O1252" s="13"/>
      <c r="P1252" s="13">
        <v>913</v>
      </c>
      <c r="Q1252" s="3">
        <f t="shared" si="97"/>
        <v>0</v>
      </c>
      <c r="R1252" s="3">
        <f t="shared" si="98"/>
        <v>913</v>
      </c>
      <c r="S1252" s="3">
        <f t="shared" si="99"/>
        <v>32510.100000000042</v>
      </c>
      <c r="T1252" s="24"/>
      <c r="U1252" s="24"/>
      <c r="V1252" s="67"/>
      <c r="W1252" s="25" t="str">
        <f>IFERROR(VLOOKUP(BCP_Soles[[#This Row],[DESTINATARIO]],CHOOSE({1,2},Clientes_Proveedores[Razon Social],Clientes_Proveedores[Ruc / Dni]),2,0),"")</f>
        <v/>
      </c>
      <c r="X1252" s="25" t="s">
        <v>2386</v>
      </c>
      <c r="Y1252" s="25"/>
      <c r="Z1252" s="25"/>
      <c r="AA1252" s="99"/>
      <c r="AB1252" s="3" t="str">
        <f>IF(BCP_Soles[[#This Row],[FECHA]]&gt;0,TEXT(BCP_Soles[[#This Row],[FECHA]],"mmmm"),0)</f>
        <v>Abril</v>
      </c>
    </row>
    <row r="1253" spans="2:28" ht="24" x14ac:dyDescent="0.3">
      <c r="B1253" s="2">
        <f>IF(BCP_Soles[[#This Row],[TIPO DE R.]]="R",COUNTIFS($D$4:$D1252,"R")+1,"")</f>
        <v>969</v>
      </c>
      <c r="C1253" s="19" t="str">
        <f t="shared" si="95"/>
        <v>B-BCP - Soles</v>
      </c>
      <c r="D1253" s="3" t="s">
        <v>1074</v>
      </c>
      <c r="E1253" s="14">
        <v>45758</v>
      </c>
      <c r="F1253" s="5" t="s">
        <v>1996</v>
      </c>
      <c r="G1253" s="5" t="s">
        <v>1079</v>
      </c>
      <c r="H1253" s="6" t="s">
        <v>600</v>
      </c>
      <c r="I1253" s="6" t="s">
        <v>14</v>
      </c>
      <c r="J1253" s="6" t="s">
        <v>1121</v>
      </c>
      <c r="K1253" s="6">
        <v>39</v>
      </c>
      <c r="L1253" s="7" t="s">
        <v>2387</v>
      </c>
      <c r="M1253" s="8">
        <v>1198309</v>
      </c>
      <c r="N1253" s="8" t="str">
        <f t="shared" si="96"/>
        <v>PEN</v>
      </c>
      <c r="O1253" s="13"/>
      <c r="P1253" s="13">
        <v>826</v>
      </c>
      <c r="Q1253" s="3">
        <f t="shared" si="97"/>
        <v>0</v>
      </c>
      <c r="R1253" s="3">
        <f t="shared" si="98"/>
        <v>826</v>
      </c>
      <c r="S1253" s="3">
        <f t="shared" si="99"/>
        <v>31684.100000000042</v>
      </c>
      <c r="T1253" s="24" t="s">
        <v>1081</v>
      </c>
      <c r="U1253" s="24" t="s">
        <v>1081</v>
      </c>
      <c r="V1253" s="67"/>
      <c r="W1253" s="25">
        <f>IFERROR(VLOOKUP(BCP_Soles[[#This Row],[DESTINATARIO]],CHOOSE({1,2},Clientes_Proveedores[Razon Social],Clientes_Proveedores[Ruc / Dni]),2,0),"")</f>
        <v>15609125303</v>
      </c>
      <c r="X1253" s="25" t="s">
        <v>600</v>
      </c>
      <c r="Y1253" s="25" t="s">
        <v>2388</v>
      </c>
      <c r="Z1253" s="25"/>
      <c r="AA1253" s="99"/>
      <c r="AB1253" s="3" t="str">
        <f>IF(BCP_Soles[[#This Row],[FECHA]]&gt;0,TEXT(BCP_Soles[[#This Row],[FECHA]],"mmmm"),0)</f>
        <v>Abril</v>
      </c>
    </row>
    <row r="1254" spans="2:28" ht="24" x14ac:dyDescent="0.3">
      <c r="B1254" s="2">
        <f>IF(BCP_Soles[[#This Row],[TIPO DE R.]]="R",COUNTIFS($D$4:$D1253,"R")+1,"")</f>
        <v>970</v>
      </c>
      <c r="C1254" s="19" t="str">
        <f t="shared" si="95"/>
        <v>B-BCP - Soles</v>
      </c>
      <c r="D1254" s="3" t="s">
        <v>1074</v>
      </c>
      <c r="E1254" s="14">
        <v>45758</v>
      </c>
      <c r="F1254" s="5" t="s">
        <v>1996</v>
      </c>
      <c r="G1254" s="5" t="s">
        <v>1079</v>
      </c>
      <c r="H1254" s="6" t="s">
        <v>192</v>
      </c>
      <c r="I1254" s="6"/>
      <c r="J1254" s="6"/>
      <c r="K1254" s="6"/>
      <c r="L1254" s="7" t="s">
        <v>2389</v>
      </c>
      <c r="M1254" s="8">
        <v>1285060</v>
      </c>
      <c r="N1254" s="8" t="str">
        <f t="shared" si="96"/>
        <v>PEN</v>
      </c>
      <c r="O1254" s="13"/>
      <c r="P1254" s="13">
        <v>300.19</v>
      </c>
      <c r="Q1254" s="3">
        <f t="shared" si="97"/>
        <v>0</v>
      </c>
      <c r="R1254" s="3">
        <f t="shared" si="98"/>
        <v>300.19</v>
      </c>
      <c r="S1254" s="3">
        <f t="shared" si="99"/>
        <v>31383.910000000044</v>
      </c>
      <c r="T1254" s="24"/>
      <c r="U1254" s="24"/>
      <c r="V1254" s="67"/>
      <c r="W1254" s="25">
        <f>IFERROR(VLOOKUP(BCP_Soles[[#This Row],[DESTINATARIO]],CHOOSE({1,2},Clientes_Proveedores[Razon Social],Clientes_Proveedores[Ruc / Dni]),2,0),"")</f>
        <v>20302891452</v>
      </c>
      <c r="X1254" s="25" t="s">
        <v>192</v>
      </c>
      <c r="Y1254" s="25"/>
      <c r="Z1254" s="25"/>
      <c r="AA1254" s="99"/>
      <c r="AB1254" s="3" t="str">
        <f>IF(BCP_Soles[[#This Row],[FECHA]]&gt;0,TEXT(BCP_Soles[[#This Row],[FECHA]],"mmmm"),0)</f>
        <v>Abril</v>
      </c>
    </row>
    <row r="1255" spans="2:28" x14ac:dyDescent="0.3">
      <c r="B1255" s="2">
        <f>IF(BCP_Soles[[#This Row],[TIPO DE R.]]="R",COUNTIFS($D$4:$D1254,"R")+1,"")</f>
        <v>971</v>
      </c>
      <c r="C1255" s="19" t="str">
        <f t="shared" si="95"/>
        <v>B-BCP - Soles</v>
      </c>
      <c r="D1255" s="3" t="s">
        <v>1074</v>
      </c>
      <c r="E1255" s="14">
        <v>45758</v>
      </c>
      <c r="F1255" s="5" t="s">
        <v>1996</v>
      </c>
      <c r="G1255" s="5" t="s">
        <v>1079</v>
      </c>
      <c r="H1255" s="6" t="s">
        <v>507</v>
      </c>
      <c r="I1255" s="6" t="s">
        <v>14</v>
      </c>
      <c r="J1255" s="6" t="s">
        <v>1174</v>
      </c>
      <c r="K1255" s="6">
        <v>154</v>
      </c>
      <c r="L1255" s="7" t="s">
        <v>2390</v>
      </c>
      <c r="M1255" s="8">
        <v>1199305</v>
      </c>
      <c r="N1255" s="8" t="str">
        <f t="shared" si="96"/>
        <v>PEN</v>
      </c>
      <c r="O1255" s="13"/>
      <c r="P1255" s="13">
        <v>180</v>
      </c>
      <c r="Q1255" s="3">
        <f t="shared" si="97"/>
        <v>0</v>
      </c>
      <c r="R1255" s="3">
        <f t="shared" si="98"/>
        <v>180</v>
      </c>
      <c r="S1255" s="3">
        <f t="shared" si="99"/>
        <v>31203.910000000044</v>
      </c>
      <c r="T1255" s="24" t="s">
        <v>1081</v>
      </c>
      <c r="U1255" s="24" t="s">
        <v>1081</v>
      </c>
      <c r="V1255" s="67"/>
      <c r="W1255" s="25">
        <f>IFERROR(VLOOKUP(BCP_Soles[[#This Row],[DESTINATARIO]],CHOOSE({1,2},Clientes_Proveedores[Razon Social],Clientes_Proveedores[Ruc / Dni]),2,0),"")</f>
        <v>20608587803</v>
      </c>
      <c r="X1255" s="25" t="s">
        <v>507</v>
      </c>
      <c r="Y1255" s="25" t="s">
        <v>2391</v>
      </c>
      <c r="Z1255" s="25"/>
      <c r="AA1255" s="99"/>
      <c r="AB1255" s="3" t="str">
        <f>IF(BCP_Soles[[#This Row],[FECHA]]&gt;0,TEXT(BCP_Soles[[#This Row],[FECHA]],"mmmm"),0)</f>
        <v>Abril</v>
      </c>
    </row>
    <row r="1256" spans="2:28" x14ac:dyDescent="0.3">
      <c r="B1256" s="2">
        <f>IF(BCP_Soles[[#This Row],[TIPO DE R.]]="R",COUNTIFS($D$4:$D1255,"R")+1,"")</f>
        <v>972</v>
      </c>
      <c r="C1256" s="19" t="str">
        <f t="shared" si="95"/>
        <v>B-BCP - Soles</v>
      </c>
      <c r="D1256" s="3" t="s">
        <v>1074</v>
      </c>
      <c r="E1256" s="14">
        <v>45758</v>
      </c>
      <c r="F1256" s="5" t="s">
        <v>1078</v>
      </c>
      <c r="G1256" s="5" t="s">
        <v>1079</v>
      </c>
      <c r="H1256" s="6"/>
      <c r="I1256" s="6"/>
      <c r="J1256" s="6"/>
      <c r="K1256" s="6"/>
      <c r="L1256" s="7" t="s">
        <v>1141</v>
      </c>
      <c r="M1256" s="8">
        <v>433</v>
      </c>
      <c r="N1256" s="8" t="str">
        <f t="shared" si="96"/>
        <v>PEN</v>
      </c>
      <c r="O1256" s="13"/>
      <c r="P1256" s="13">
        <v>10</v>
      </c>
      <c r="Q1256" s="3">
        <f t="shared" si="97"/>
        <v>0</v>
      </c>
      <c r="R1256" s="3">
        <f t="shared" si="98"/>
        <v>10</v>
      </c>
      <c r="S1256" s="3">
        <f t="shared" si="99"/>
        <v>31193.910000000044</v>
      </c>
      <c r="T1256" s="24" t="s">
        <v>1081</v>
      </c>
      <c r="U1256" s="24" t="s">
        <v>1081</v>
      </c>
      <c r="V1256" s="67"/>
      <c r="W1256" s="25" t="str">
        <f>IFERROR(VLOOKUP(BCP_Soles[[#This Row],[DESTINATARIO]],CHOOSE({1,2},Clientes_Proveedores[Razon Social],Clientes_Proveedores[Ruc / Dni]),2,0),"")</f>
        <v/>
      </c>
      <c r="X1256" s="25" t="s">
        <v>1078</v>
      </c>
      <c r="Y1256" s="25" t="s">
        <v>2392</v>
      </c>
      <c r="Z1256" s="25"/>
      <c r="AA1256" s="99"/>
      <c r="AB1256" s="3" t="str">
        <f>IF(BCP_Soles[[#This Row],[FECHA]]&gt;0,TEXT(BCP_Soles[[#This Row],[FECHA]],"mmmm"),0)</f>
        <v>Abril</v>
      </c>
    </row>
    <row r="1257" spans="2:28" x14ac:dyDescent="0.3">
      <c r="B1257" s="2">
        <f>IF(BCP_Soles[[#This Row],[TIPO DE R.]]="R",COUNTIFS($D$4:$D1256,"R")+1,"")</f>
        <v>973</v>
      </c>
      <c r="C1257" s="19" t="str">
        <f t="shared" si="95"/>
        <v>B-BCP - Soles</v>
      </c>
      <c r="D1257" s="3" t="s">
        <v>1074</v>
      </c>
      <c r="E1257" s="14">
        <v>45758</v>
      </c>
      <c r="F1257" s="5" t="s">
        <v>1078</v>
      </c>
      <c r="G1257" s="5" t="s">
        <v>1079</v>
      </c>
      <c r="H1257" s="6"/>
      <c r="I1257" s="6"/>
      <c r="J1257" s="6"/>
      <c r="K1257" s="6"/>
      <c r="L1257" s="7" t="s">
        <v>2393</v>
      </c>
      <c r="M1257" s="8">
        <v>3114088</v>
      </c>
      <c r="N1257" s="8" t="str">
        <f t="shared" si="96"/>
        <v>PEN</v>
      </c>
      <c r="O1257" s="13"/>
      <c r="P1257" s="13">
        <v>5</v>
      </c>
      <c r="Q1257" s="3">
        <f t="shared" si="97"/>
        <v>0</v>
      </c>
      <c r="R1257" s="3">
        <f t="shared" si="98"/>
        <v>5</v>
      </c>
      <c r="S1257" s="3">
        <f t="shared" si="99"/>
        <v>31188.910000000044</v>
      </c>
      <c r="T1257" s="24" t="s">
        <v>1081</v>
      </c>
      <c r="U1257" s="24" t="s">
        <v>1081</v>
      </c>
      <c r="V1257" s="67"/>
      <c r="W1257" s="25" t="str">
        <f>IFERROR(VLOOKUP(BCP_Soles[[#This Row],[DESTINATARIO]],CHOOSE({1,2},Clientes_Proveedores[Razon Social],Clientes_Proveedores[Ruc / Dni]),2,0),"")</f>
        <v/>
      </c>
      <c r="X1257" s="25" t="s">
        <v>1078</v>
      </c>
      <c r="Y1257" s="25" t="s">
        <v>2394</v>
      </c>
      <c r="Z1257" s="25"/>
      <c r="AA1257" s="99"/>
      <c r="AB1257" s="3" t="str">
        <f>IF(BCP_Soles[[#This Row],[FECHA]]&gt;0,TEXT(BCP_Soles[[#This Row],[FECHA]],"mmmm"),0)</f>
        <v>Abril</v>
      </c>
    </row>
    <row r="1258" spans="2:28" ht="24" x14ac:dyDescent="0.3">
      <c r="B1258" s="2">
        <f>IF(BCP_Soles[[#This Row],[TIPO DE R.]]="R",COUNTIFS($D$4:$D1257,"R")+1,"")</f>
        <v>974</v>
      </c>
      <c r="C1258" s="19" t="str">
        <f t="shared" si="95"/>
        <v>B-BCP - Soles</v>
      </c>
      <c r="D1258" s="3" t="s">
        <v>1074</v>
      </c>
      <c r="E1258" s="14">
        <v>45758</v>
      </c>
      <c r="F1258" s="5" t="s">
        <v>1779</v>
      </c>
      <c r="G1258" s="5" t="s">
        <v>1087</v>
      </c>
      <c r="H1258" s="6"/>
      <c r="I1258" s="6"/>
      <c r="J1258" s="6"/>
      <c r="K1258" s="6"/>
      <c r="L1258" s="7" t="s">
        <v>1100</v>
      </c>
      <c r="M1258" s="8">
        <v>3694949</v>
      </c>
      <c r="N1258" s="8" t="str">
        <f t="shared" si="96"/>
        <v>PEN</v>
      </c>
      <c r="O1258" s="13"/>
      <c r="P1258" s="13">
        <v>500</v>
      </c>
      <c r="Q1258" s="3">
        <f t="shared" si="97"/>
        <v>500</v>
      </c>
      <c r="R1258" s="3">
        <f t="shared" si="98"/>
        <v>0</v>
      </c>
      <c r="S1258" s="3">
        <f t="shared" si="99"/>
        <v>31688.910000000044</v>
      </c>
      <c r="T1258" s="24" t="s">
        <v>1081</v>
      </c>
      <c r="U1258" s="24" t="s">
        <v>1081</v>
      </c>
      <c r="V1258" s="67"/>
      <c r="W1258" s="25" t="str">
        <f>IFERROR(VLOOKUP(BCP_Soles[[#This Row],[DESTINATARIO]],CHOOSE({1,2},Clientes_Proveedores[Razon Social],Clientes_Proveedores[Ruc / Dni]),2,0),"")</f>
        <v/>
      </c>
      <c r="X1258" s="25" t="s">
        <v>1090</v>
      </c>
      <c r="Y1258" s="25" t="s">
        <v>2282</v>
      </c>
      <c r="Z1258" s="25"/>
      <c r="AA1258" s="99"/>
      <c r="AB1258" s="3" t="str">
        <f>IF(BCP_Soles[[#This Row],[FECHA]]&gt;0,TEXT(BCP_Soles[[#This Row],[FECHA]],"mmmm"),0)</f>
        <v>Abril</v>
      </c>
    </row>
    <row r="1259" spans="2:28" ht="24" x14ac:dyDescent="0.3">
      <c r="B1259" s="2">
        <f>IF(BCP_Soles[[#This Row],[TIPO DE R.]]="R",COUNTIFS($D$4:$D1258,"R")+1,"")</f>
        <v>975</v>
      </c>
      <c r="C1259" s="19" t="str">
        <f t="shared" si="95"/>
        <v>B-BCP - Soles</v>
      </c>
      <c r="D1259" s="3" t="s">
        <v>1074</v>
      </c>
      <c r="E1259" s="14">
        <v>45759</v>
      </c>
      <c r="F1259" s="5" t="s">
        <v>405</v>
      </c>
      <c r="G1259" s="5" t="s">
        <v>1087</v>
      </c>
      <c r="H1259" s="6"/>
      <c r="I1259" s="6"/>
      <c r="J1259" s="6"/>
      <c r="K1259" s="6"/>
      <c r="L1259" s="7" t="s">
        <v>1100</v>
      </c>
      <c r="M1259" s="8">
        <v>2322705</v>
      </c>
      <c r="N1259" s="8" t="str">
        <f t="shared" si="96"/>
        <v>PEN</v>
      </c>
      <c r="O1259" s="13"/>
      <c r="P1259" s="13">
        <v>700.49</v>
      </c>
      <c r="Q1259" s="3">
        <f t="shared" si="97"/>
        <v>700.49</v>
      </c>
      <c r="R1259" s="3">
        <f t="shared" si="98"/>
        <v>0</v>
      </c>
      <c r="S1259" s="3">
        <f t="shared" si="99"/>
        <v>32389.400000000045</v>
      </c>
      <c r="T1259" s="24" t="s">
        <v>1081</v>
      </c>
      <c r="U1259" s="24" t="s">
        <v>1081</v>
      </c>
      <c r="V1259" s="67"/>
      <c r="W1259" s="25" t="str">
        <f>IFERROR(VLOOKUP(BCP_Soles[[#This Row],[DESTINATARIO]],CHOOSE({1,2},Clientes_Proveedores[Razon Social],Clientes_Proveedores[Ruc / Dni]),2,0),"")</f>
        <v/>
      </c>
      <c r="X1259" s="25" t="s">
        <v>1090</v>
      </c>
      <c r="Y1259" s="25" t="s">
        <v>2395</v>
      </c>
      <c r="Z1259" s="25"/>
      <c r="AA1259" s="99"/>
      <c r="AB1259" s="3" t="str">
        <f>IF(BCP_Soles[[#This Row],[FECHA]]&gt;0,TEXT(BCP_Soles[[#This Row],[FECHA]],"mmmm"),0)</f>
        <v>Abril</v>
      </c>
    </row>
    <row r="1260" spans="2:28" ht="36" x14ac:dyDescent="0.3">
      <c r="B1260" s="2">
        <f>IF(BCP_Soles[[#This Row],[TIPO DE R.]]="R",COUNTIFS($D$4:$D1259,"R")+1,"")</f>
        <v>976</v>
      </c>
      <c r="C1260" s="19" t="str">
        <f t="shared" si="95"/>
        <v>B-BCP - Soles</v>
      </c>
      <c r="D1260" s="3" t="s">
        <v>1074</v>
      </c>
      <c r="E1260" s="14">
        <v>45761</v>
      </c>
      <c r="F1260" s="5" t="s">
        <v>424</v>
      </c>
      <c r="G1260" s="5" t="s">
        <v>1087</v>
      </c>
      <c r="H1260" s="6"/>
      <c r="I1260" s="6"/>
      <c r="J1260" s="6"/>
      <c r="K1260" s="6"/>
      <c r="L1260" s="7" t="s">
        <v>2396</v>
      </c>
      <c r="M1260" s="8">
        <v>1109</v>
      </c>
      <c r="N1260" s="8" t="str">
        <f t="shared" si="96"/>
        <v>PEN</v>
      </c>
      <c r="O1260" s="13"/>
      <c r="P1260" s="13">
        <v>6589.28</v>
      </c>
      <c r="Q1260" s="3">
        <f t="shared" si="97"/>
        <v>6589.28</v>
      </c>
      <c r="R1260" s="3">
        <f t="shared" si="98"/>
        <v>0</v>
      </c>
      <c r="S1260" s="3">
        <f t="shared" si="99"/>
        <v>38978.680000000044</v>
      </c>
      <c r="T1260" s="24" t="s">
        <v>1081</v>
      </c>
      <c r="U1260" s="24" t="s">
        <v>1081</v>
      </c>
      <c r="V1260" s="67"/>
      <c r="W1260" s="25" t="str">
        <f>IFERROR(VLOOKUP(BCP_Soles[[#This Row],[DESTINATARIO]],CHOOSE({1,2},Clientes_Proveedores[Razon Social],Clientes_Proveedores[Ruc / Dni]),2,0),"")</f>
        <v/>
      </c>
      <c r="X1260" s="25" t="s">
        <v>1090</v>
      </c>
      <c r="Y1260" s="25" t="s">
        <v>2397</v>
      </c>
      <c r="Z1260" s="25"/>
      <c r="AA1260" s="99"/>
      <c r="AB1260" s="3" t="str">
        <f>IF(BCP_Soles[[#This Row],[FECHA]]&gt;0,TEXT(BCP_Soles[[#This Row],[FECHA]],"mmmm"),0)</f>
        <v>Abril</v>
      </c>
    </row>
    <row r="1261" spans="2:28" ht="36" x14ac:dyDescent="0.3">
      <c r="B1261" s="2">
        <f>IF(BCP_Soles[[#This Row],[TIPO DE R.]]="R",COUNTIFS($D$4:$D1260,"R")+1,"")</f>
        <v>977</v>
      </c>
      <c r="C1261" s="19" t="str">
        <f t="shared" si="95"/>
        <v>B-BCP - Soles</v>
      </c>
      <c r="D1261" s="3" t="s">
        <v>1074</v>
      </c>
      <c r="E1261" s="14">
        <v>45761</v>
      </c>
      <c r="F1261" s="5" t="s">
        <v>497</v>
      </c>
      <c r="G1261" s="5" t="s">
        <v>1087</v>
      </c>
      <c r="H1261" s="6"/>
      <c r="I1261" s="6"/>
      <c r="J1261" s="6"/>
      <c r="K1261" s="6"/>
      <c r="L1261" s="7" t="s">
        <v>1093</v>
      </c>
      <c r="M1261" s="8">
        <v>2095448</v>
      </c>
      <c r="N1261" s="8" t="str">
        <f t="shared" si="96"/>
        <v>PEN</v>
      </c>
      <c r="O1261" s="13"/>
      <c r="P1261" s="13">
        <v>4179.6499999999996</v>
      </c>
      <c r="Q1261" s="3">
        <f t="shared" si="97"/>
        <v>4179.6499999999996</v>
      </c>
      <c r="R1261" s="3">
        <f t="shared" si="98"/>
        <v>0</v>
      </c>
      <c r="S1261" s="3">
        <f t="shared" si="99"/>
        <v>43158.330000000045</v>
      </c>
      <c r="T1261" s="24" t="s">
        <v>1081</v>
      </c>
      <c r="U1261" s="24" t="s">
        <v>1081</v>
      </c>
      <c r="V1261" s="67"/>
      <c r="W1261" s="25" t="str">
        <f>IFERROR(VLOOKUP(BCP_Soles[[#This Row],[DESTINATARIO]],CHOOSE({1,2},Clientes_Proveedores[Razon Social],Clientes_Proveedores[Ruc / Dni]),2,0),"")</f>
        <v/>
      </c>
      <c r="X1261" s="25" t="s">
        <v>1090</v>
      </c>
      <c r="Y1261" s="25" t="s">
        <v>2398</v>
      </c>
      <c r="Z1261" s="25"/>
      <c r="AA1261" s="99"/>
      <c r="AB1261" s="3" t="str">
        <f>IF(BCP_Soles[[#This Row],[FECHA]]&gt;0,TEXT(BCP_Soles[[#This Row],[FECHA]],"mmmm"),0)</f>
        <v>Abril</v>
      </c>
    </row>
    <row r="1262" spans="2:28" ht="36" x14ac:dyDescent="0.3">
      <c r="B1262" s="2">
        <f>IF(BCP_Soles[[#This Row],[TIPO DE R.]]="R",COUNTIFS($D$4:$D1261,"R")+1,"")</f>
        <v>978</v>
      </c>
      <c r="C1262" s="19" t="str">
        <f t="shared" si="95"/>
        <v>B-BCP - Soles</v>
      </c>
      <c r="D1262" s="3" t="s">
        <v>1074</v>
      </c>
      <c r="E1262" s="14">
        <v>45761</v>
      </c>
      <c r="F1262" s="5" t="s">
        <v>497</v>
      </c>
      <c r="G1262" s="5" t="s">
        <v>1087</v>
      </c>
      <c r="H1262" s="6"/>
      <c r="I1262" s="6"/>
      <c r="J1262" s="6"/>
      <c r="K1262" s="6"/>
      <c r="L1262" s="7" t="s">
        <v>1093</v>
      </c>
      <c r="M1262" s="8">
        <v>2096971</v>
      </c>
      <c r="N1262" s="8" t="str">
        <f t="shared" si="96"/>
        <v>PEN</v>
      </c>
      <c r="O1262" s="13"/>
      <c r="P1262" s="13">
        <v>1734.81</v>
      </c>
      <c r="Q1262" s="3">
        <f t="shared" si="97"/>
        <v>1734.81</v>
      </c>
      <c r="R1262" s="3">
        <f t="shared" si="98"/>
        <v>0</v>
      </c>
      <c r="S1262" s="3">
        <f t="shared" si="99"/>
        <v>44893.140000000043</v>
      </c>
      <c r="T1262" s="24" t="s">
        <v>1081</v>
      </c>
      <c r="U1262" s="24" t="s">
        <v>1081</v>
      </c>
      <c r="V1262" s="67"/>
      <c r="W1262" s="25" t="str">
        <f>IFERROR(VLOOKUP(BCP_Soles[[#This Row],[DESTINATARIO]],CHOOSE({1,2},Clientes_Proveedores[Razon Social],Clientes_Proveedores[Ruc / Dni]),2,0),"")</f>
        <v/>
      </c>
      <c r="X1262" s="25" t="s">
        <v>1090</v>
      </c>
      <c r="Y1262" s="25" t="s">
        <v>2399</v>
      </c>
      <c r="Z1262" s="25"/>
      <c r="AA1262" s="99"/>
      <c r="AB1262" s="3" t="str">
        <f>IF(BCP_Soles[[#This Row],[FECHA]]&gt;0,TEXT(BCP_Soles[[#This Row],[FECHA]],"mmmm"),0)</f>
        <v>Abril</v>
      </c>
    </row>
    <row r="1263" spans="2:28" ht="36" x14ac:dyDescent="0.3">
      <c r="B1263" s="2">
        <f>IF(BCP_Soles[[#This Row],[TIPO DE R.]]="R",COUNTIFS($D$4:$D1262,"R")+1,"")</f>
        <v>979</v>
      </c>
      <c r="C1263" s="19" t="str">
        <f t="shared" si="95"/>
        <v>B-BCP - Soles</v>
      </c>
      <c r="D1263" s="3" t="s">
        <v>1074</v>
      </c>
      <c r="E1263" s="14">
        <v>45761</v>
      </c>
      <c r="F1263" s="5" t="s">
        <v>497</v>
      </c>
      <c r="G1263" s="5" t="s">
        <v>1087</v>
      </c>
      <c r="H1263" s="6"/>
      <c r="I1263" s="6"/>
      <c r="J1263" s="6"/>
      <c r="K1263" s="6"/>
      <c r="L1263" s="7" t="s">
        <v>1093</v>
      </c>
      <c r="M1263" s="8">
        <v>2099642</v>
      </c>
      <c r="N1263" s="8" t="str">
        <f t="shared" si="96"/>
        <v>PEN</v>
      </c>
      <c r="O1263" s="13"/>
      <c r="P1263" s="13">
        <v>1668.52</v>
      </c>
      <c r="Q1263" s="3">
        <f t="shared" si="97"/>
        <v>1668.52</v>
      </c>
      <c r="R1263" s="3">
        <f t="shared" si="98"/>
        <v>0</v>
      </c>
      <c r="S1263" s="3">
        <f t="shared" si="99"/>
        <v>46561.66000000004</v>
      </c>
      <c r="T1263" s="24" t="s">
        <v>1081</v>
      </c>
      <c r="U1263" s="24" t="s">
        <v>1081</v>
      </c>
      <c r="V1263" s="67"/>
      <c r="W1263" s="25" t="str">
        <f>IFERROR(VLOOKUP(BCP_Soles[[#This Row],[DESTINATARIO]],CHOOSE({1,2},Clientes_Proveedores[Razon Social],Clientes_Proveedores[Ruc / Dni]),2,0),"")</f>
        <v/>
      </c>
      <c r="X1263" s="25" t="s">
        <v>1090</v>
      </c>
      <c r="Y1263" s="25" t="s">
        <v>2400</v>
      </c>
      <c r="Z1263" s="25"/>
      <c r="AA1263" s="99"/>
      <c r="AB1263" s="3" t="str">
        <f>IF(BCP_Soles[[#This Row],[FECHA]]&gt;0,TEXT(BCP_Soles[[#This Row],[FECHA]],"mmmm"),0)</f>
        <v>Abril</v>
      </c>
    </row>
    <row r="1264" spans="2:28" ht="24" x14ac:dyDescent="0.3">
      <c r="B1264" s="2">
        <f>IF(BCP_Soles[[#This Row],[TIPO DE R.]]="R",COUNTIFS($D$4:$D1263,"R")+1,"")</f>
        <v>980</v>
      </c>
      <c r="C1264" s="19" t="str">
        <f t="shared" si="95"/>
        <v>B-BCP - Soles</v>
      </c>
      <c r="D1264" s="3" t="s">
        <v>1074</v>
      </c>
      <c r="E1264" s="14">
        <v>45761</v>
      </c>
      <c r="F1264" s="5" t="s">
        <v>1996</v>
      </c>
      <c r="G1264" s="5" t="s">
        <v>1079</v>
      </c>
      <c r="H1264" s="6" t="s">
        <v>281</v>
      </c>
      <c r="I1264" s="6" t="s">
        <v>14</v>
      </c>
      <c r="J1264" s="6" t="s">
        <v>1121</v>
      </c>
      <c r="K1264" s="6">
        <v>467</v>
      </c>
      <c r="L1264" s="7" t="s">
        <v>2401</v>
      </c>
      <c r="M1264" s="8">
        <v>1095314</v>
      </c>
      <c r="N1264" s="8" t="str">
        <f t="shared" si="96"/>
        <v>PEN</v>
      </c>
      <c r="O1264" s="13"/>
      <c r="P1264" s="13">
        <v>354</v>
      </c>
      <c r="Q1264" s="3">
        <f t="shared" si="97"/>
        <v>0</v>
      </c>
      <c r="R1264" s="3">
        <f t="shared" si="98"/>
        <v>354</v>
      </c>
      <c r="S1264" s="3">
        <f t="shared" si="99"/>
        <v>46207.66000000004</v>
      </c>
      <c r="T1264" s="24" t="s">
        <v>1081</v>
      </c>
      <c r="U1264" s="24" t="s">
        <v>1081</v>
      </c>
      <c r="V1264" s="67"/>
      <c r="W1264" s="25">
        <f>IFERROR(VLOOKUP(BCP_Soles[[#This Row],[DESTINATARIO]],CHOOSE({1,2},Clientes_Proveedores[Razon Social],Clientes_Proveedores[Ruc / Dni]),2,0),"")</f>
        <v>20498380931</v>
      </c>
      <c r="X1264" s="25" t="s">
        <v>281</v>
      </c>
      <c r="Y1264" s="25" t="s">
        <v>2402</v>
      </c>
      <c r="Z1264" s="25"/>
      <c r="AA1264" s="99"/>
      <c r="AB1264" s="3" t="str">
        <f>IF(BCP_Soles[[#This Row],[FECHA]]&gt;0,TEXT(BCP_Soles[[#This Row],[FECHA]],"mmmm"),0)</f>
        <v>Abril</v>
      </c>
    </row>
    <row r="1265" spans="2:28" ht="24" x14ac:dyDescent="0.3">
      <c r="B1265" s="2">
        <f>IF(BCP_Soles[[#This Row],[TIPO DE R.]]="R",COUNTIFS($D$4:$D1264,"R")+1,"")</f>
        <v>981</v>
      </c>
      <c r="C1265" s="19" t="str">
        <f t="shared" si="95"/>
        <v>B-BCP - Soles</v>
      </c>
      <c r="D1265" s="3" t="s">
        <v>1074</v>
      </c>
      <c r="E1265" s="14">
        <v>45761</v>
      </c>
      <c r="F1265" s="5" t="s">
        <v>1996</v>
      </c>
      <c r="G1265" s="5" t="s">
        <v>1079</v>
      </c>
      <c r="H1265" s="6"/>
      <c r="I1265" s="6" t="s">
        <v>14</v>
      </c>
      <c r="J1265" s="6" t="s">
        <v>1121</v>
      </c>
      <c r="K1265" s="6">
        <v>4548</v>
      </c>
      <c r="L1265" s="7" t="s">
        <v>2403</v>
      </c>
      <c r="M1265" s="8">
        <v>1092856</v>
      </c>
      <c r="N1265" s="8" t="str">
        <f t="shared" si="96"/>
        <v>PEN</v>
      </c>
      <c r="O1265" s="13"/>
      <c r="P1265" s="13">
        <v>990</v>
      </c>
      <c r="Q1265" s="3">
        <f t="shared" si="97"/>
        <v>0</v>
      </c>
      <c r="R1265" s="3">
        <f t="shared" si="98"/>
        <v>990</v>
      </c>
      <c r="S1265" s="3">
        <f t="shared" si="99"/>
        <v>45217.66000000004</v>
      </c>
      <c r="T1265" s="24" t="s">
        <v>1081</v>
      </c>
      <c r="U1265" s="24"/>
      <c r="V1265" s="67"/>
      <c r="W1265" s="25" t="str">
        <f>IFERROR(VLOOKUP(BCP_Soles[[#This Row],[DESTINATARIO]],CHOOSE({1,2},Clientes_Proveedores[Razon Social],Clientes_Proveedores[Ruc / Dni]),2,0),"")</f>
        <v/>
      </c>
      <c r="X1265" s="25" t="s">
        <v>669</v>
      </c>
      <c r="Y1265" s="25"/>
      <c r="Z1265" s="25"/>
      <c r="AA1265" s="99"/>
      <c r="AB1265" s="3" t="str">
        <f>IF(BCP_Soles[[#This Row],[FECHA]]&gt;0,TEXT(BCP_Soles[[#This Row],[FECHA]],"mmmm"),0)</f>
        <v>Abril</v>
      </c>
    </row>
    <row r="1266" spans="2:28" ht="24" x14ac:dyDescent="0.3">
      <c r="B1266" s="2">
        <f>IF(BCP_Soles[[#This Row],[TIPO DE R.]]="R",COUNTIFS($D$4:$D1265,"R")+1,"")</f>
        <v>982</v>
      </c>
      <c r="C1266" s="19" t="str">
        <f t="shared" si="95"/>
        <v>B-BCP - Soles</v>
      </c>
      <c r="D1266" s="3" t="s">
        <v>1074</v>
      </c>
      <c r="E1266" s="14">
        <v>45761</v>
      </c>
      <c r="F1266" s="5" t="s">
        <v>1996</v>
      </c>
      <c r="G1266" s="5" t="s">
        <v>1079</v>
      </c>
      <c r="H1266" s="6" t="s">
        <v>128</v>
      </c>
      <c r="I1266" s="6" t="s">
        <v>14</v>
      </c>
      <c r="J1266" s="6" t="s">
        <v>1121</v>
      </c>
      <c r="K1266" s="6">
        <v>129</v>
      </c>
      <c r="L1266" s="7" t="s">
        <v>2404</v>
      </c>
      <c r="M1266" s="8">
        <v>1094823</v>
      </c>
      <c r="N1266" s="8" t="str">
        <f t="shared" si="96"/>
        <v>PEN</v>
      </c>
      <c r="O1266" s="13"/>
      <c r="P1266" s="13">
        <v>1359</v>
      </c>
      <c r="Q1266" s="3">
        <f t="shared" si="97"/>
        <v>0</v>
      </c>
      <c r="R1266" s="3">
        <f t="shared" si="98"/>
        <v>1359</v>
      </c>
      <c r="S1266" s="3">
        <f t="shared" si="99"/>
        <v>43858.66000000004</v>
      </c>
      <c r="T1266" s="24" t="s">
        <v>1081</v>
      </c>
      <c r="U1266" s="24" t="s">
        <v>1081</v>
      </c>
      <c r="V1266" s="67"/>
      <c r="W1266" s="25">
        <f>IFERROR(VLOOKUP(BCP_Soles[[#This Row],[DESTINATARIO]],CHOOSE({1,2},Clientes_Proveedores[Razon Social],Clientes_Proveedores[Ruc / Dni]),2,0),"")</f>
        <v>10489531963</v>
      </c>
      <c r="X1266" s="25" t="s">
        <v>128</v>
      </c>
      <c r="Y1266" s="25" t="s">
        <v>2405</v>
      </c>
      <c r="Z1266" s="25"/>
      <c r="AA1266" s="99"/>
      <c r="AB1266" s="3" t="str">
        <f>IF(BCP_Soles[[#This Row],[FECHA]]&gt;0,TEXT(BCP_Soles[[#This Row],[FECHA]],"mmmm"),0)</f>
        <v>Abril</v>
      </c>
    </row>
    <row r="1267" spans="2:28" ht="36" x14ac:dyDescent="0.3">
      <c r="B1267" s="2">
        <f>IF(BCP_Soles[[#This Row],[TIPO DE R.]]="R",COUNTIFS($D$4:$D1266,"R")+1,"")</f>
        <v>983</v>
      </c>
      <c r="C1267" s="19" t="str">
        <f t="shared" si="95"/>
        <v>B-BCP - Soles</v>
      </c>
      <c r="D1267" s="3" t="s">
        <v>1074</v>
      </c>
      <c r="E1267" s="14">
        <v>45761</v>
      </c>
      <c r="F1267" s="5" t="s">
        <v>1996</v>
      </c>
      <c r="G1267" s="5" t="s">
        <v>1079</v>
      </c>
      <c r="H1267" s="6" t="s">
        <v>438</v>
      </c>
      <c r="I1267" s="6" t="s">
        <v>14</v>
      </c>
      <c r="J1267" s="6" t="s">
        <v>1121</v>
      </c>
      <c r="K1267" s="6">
        <v>3800</v>
      </c>
      <c r="L1267" s="7" t="s">
        <v>2406</v>
      </c>
      <c r="M1267" s="8">
        <v>1093343</v>
      </c>
      <c r="N1267" s="8" t="str">
        <f t="shared" si="96"/>
        <v>PEN</v>
      </c>
      <c r="O1267" s="13"/>
      <c r="P1267" s="13">
        <v>1440</v>
      </c>
      <c r="Q1267" s="3">
        <f t="shared" si="97"/>
        <v>0</v>
      </c>
      <c r="R1267" s="3">
        <f t="shared" si="98"/>
        <v>1440</v>
      </c>
      <c r="S1267" s="3">
        <f t="shared" si="99"/>
        <v>42418.66000000004</v>
      </c>
      <c r="T1267" s="24" t="s">
        <v>1081</v>
      </c>
      <c r="U1267" s="24" t="s">
        <v>1081</v>
      </c>
      <c r="V1267" s="67"/>
      <c r="W1267" s="25">
        <f>IFERROR(VLOOKUP(BCP_Soles[[#This Row],[DESTINATARIO]],CHOOSE({1,2},Clientes_Proveedores[Razon Social],Clientes_Proveedores[Ruc / Dni]),2,0),"")</f>
        <v>20602778861</v>
      </c>
      <c r="X1267" s="25" t="s">
        <v>438</v>
      </c>
      <c r="Y1267" s="25" t="s">
        <v>2407</v>
      </c>
      <c r="Z1267" s="25"/>
      <c r="AA1267" s="99"/>
      <c r="AB1267" s="3" t="str">
        <f>IF(BCP_Soles[[#This Row],[FECHA]]&gt;0,TEXT(BCP_Soles[[#This Row],[FECHA]],"mmmm"),0)</f>
        <v>Abril</v>
      </c>
    </row>
    <row r="1268" spans="2:28" ht="24" x14ac:dyDescent="0.3">
      <c r="B1268" s="2">
        <f>IF(BCP_Soles[[#This Row],[TIPO DE R.]]="R",COUNTIFS($D$4:$D1267,"R")+1,"")</f>
        <v>984</v>
      </c>
      <c r="C1268" s="19" t="str">
        <f t="shared" si="95"/>
        <v>B-BCP - Soles</v>
      </c>
      <c r="D1268" s="3" t="s">
        <v>1074</v>
      </c>
      <c r="E1268" s="14">
        <v>45761</v>
      </c>
      <c r="F1268" s="5" t="s">
        <v>1996</v>
      </c>
      <c r="G1268" s="5" t="s">
        <v>1079</v>
      </c>
      <c r="H1268" s="6"/>
      <c r="I1268" s="6" t="s">
        <v>14</v>
      </c>
      <c r="J1268" s="6" t="s">
        <v>1148</v>
      </c>
      <c r="K1268" s="6">
        <v>4203</v>
      </c>
      <c r="L1268" s="7" t="s">
        <v>2408</v>
      </c>
      <c r="M1268" s="8">
        <v>1014835</v>
      </c>
      <c r="N1268" s="8" t="str">
        <f t="shared" si="96"/>
        <v>PEN</v>
      </c>
      <c r="O1268" s="13"/>
      <c r="P1268" s="13">
        <v>2540</v>
      </c>
      <c r="Q1268" s="3">
        <f t="shared" si="97"/>
        <v>0</v>
      </c>
      <c r="R1268" s="3">
        <f t="shared" si="98"/>
        <v>2540</v>
      </c>
      <c r="S1268" s="3">
        <f t="shared" si="99"/>
        <v>39878.66000000004</v>
      </c>
      <c r="T1268" s="24" t="s">
        <v>1081</v>
      </c>
      <c r="U1268" s="24" t="s">
        <v>1081</v>
      </c>
      <c r="V1268" s="67"/>
      <c r="W1268" s="25" t="str">
        <f>IFERROR(VLOOKUP(BCP_Soles[[#This Row],[DESTINATARIO]],CHOOSE({1,2},Clientes_Proveedores[Razon Social],Clientes_Proveedores[Ruc / Dni]),2,0),"")</f>
        <v/>
      </c>
      <c r="X1268" s="25" t="s">
        <v>2409</v>
      </c>
      <c r="Y1268" s="25" t="s">
        <v>2410</v>
      </c>
      <c r="Z1268" s="25"/>
      <c r="AA1268" s="99"/>
      <c r="AB1268" s="3" t="str">
        <f>IF(BCP_Soles[[#This Row],[FECHA]]&gt;0,TEXT(BCP_Soles[[#This Row],[FECHA]],"mmmm"),0)</f>
        <v>Abril</v>
      </c>
    </row>
    <row r="1269" spans="2:28" ht="24" x14ac:dyDescent="0.3">
      <c r="B1269" s="2">
        <f>IF(BCP_Soles[[#This Row],[TIPO DE R.]]="R",COUNTIFS($D$4:$D1268,"R")+1,"")</f>
        <v>985</v>
      </c>
      <c r="C1269" s="19" t="str">
        <f t="shared" si="95"/>
        <v>B-BCP - Soles</v>
      </c>
      <c r="D1269" s="3" t="s">
        <v>1074</v>
      </c>
      <c r="E1269" s="14">
        <v>45761</v>
      </c>
      <c r="F1269" s="5" t="s">
        <v>1996</v>
      </c>
      <c r="G1269" s="5" t="s">
        <v>1079</v>
      </c>
      <c r="H1269" s="6" t="s">
        <v>842</v>
      </c>
      <c r="I1269" s="6"/>
      <c r="J1269" s="6"/>
      <c r="K1269" s="6"/>
      <c r="L1269" s="7" t="s">
        <v>2411</v>
      </c>
      <c r="M1269" s="8">
        <v>1094319</v>
      </c>
      <c r="N1269" s="8" t="str">
        <f t="shared" si="96"/>
        <v>PEN</v>
      </c>
      <c r="O1269" s="13"/>
      <c r="P1269" s="13">
        <v>3634.15</v>
      </c>
      <c r="Q1269" s="3">
        <f t="shared" si="97"/>
        <v>0</v>
      </c>
      <c r="R1269" s="3">
        <f t="shared" si="98"/>
        <v>3634.15</v>
      </c>
      <c r="S1269" s="3">
        <f t="shared" si="99"/>
        <v>36244.510000000038</v>
      </c>
      <c r="T1269" s="24"/>
      <c r="U1269" s="24" t="s">
        <v>1081</v>
      </c>
      <c r="V1269" s="67"/>
      <c r="W1269" s="25">
        <f>IFERROR(VLOOKUP(BCP_Soles[[#This Row],[DESTINATARIO]],CHOOSE({1,2},Clientes_Proveedores[Razon Social],Clientes_Proveedores[Ruc / Dni]),2,0),"")</f>
        <v>72131384</v>
      </c>
      <c r="X1269" s="25" t="s">
        <v>842</v>
      </c>
      <c r="Y1269" s="25" t="s">
        <v>2412</v>
      </c>
      <c r="Z1269" s="25"/>
      <c r="AA1269" s="99"/>
      <c r="AB1269" s="3" t="str">
        <f>IF(BCP_Soles[[#This Row],[FECHA]]&gt;0,TEXT(BCP_Soles[[#This Row],[FECHA]],"mmmm"),0)</f>
        <v>Abril</v>
      </c>
    </row>
    <row r="1270" spans="2:28" x14ac:dyDescent="0.3">
      <c r="B1270" s="2">
        <f>IF(BCP_Soles[[#This Row],[TIPO DE R.]]="R",COUNTIFS($D$4:$D1269,"R")+1,"")</f>
        <v>986</v>
      </c>
      <c r="C1270" s="19" t="str">
        <f t="shared" si="95"/>
        <v>B-BCP - Soles</v>
      </c>
      <c r="D1270" s="3" t="s">
        <v>1074</v>
      </c>
      <c r="E1270" s="14">
        <v>45761</v>
      </c>
      <c r="F1270" s="5" t="s">
        <v>1078</v>
      </c>
      <c r="G1270" s="5" t="s">
        <v>1079</v>
      </c>
      <c r="H1270" s="6"/>
      <c r="I1270" s="6"/>
      <c r="J1270" s="6"/>
      <c r="K1270" s="6"/>
      <c r="L1270" s="7" t="s">
        <v>1080</v>
      </c>
      <c r="M1270" s="8"/>
      <c r="N1270" s="8" t="str">
        <f t="shared" si="96"/>
        <v>PEN</v>
      </c>
      <c r="O1270" s="13"/>
      <c r="P1270" s="13">
        <v>0.95</v>
      </c>
      <c r="Q1270" s="3">
        <f t="shared" si="97"/>
        <v>0</v>
      </c>
      <c r="R1270" s="3">
        <f t="shared" si="98"/>
        <v>0.95</v>
      </c>
      <c r="S1270" s="3">
        <f t="shared" si="99"/>
        <v>36243.560000000041</v>
      </c>
      <c r="T1270" s="24"/>
      <c r="U1270" s="24" t="s">
        <v>1081</v>
      </c>
      <c r="V1270" s="67"/>
      <c r="W1270" s="25" t="str">
        <f>IFERROR(VLOOKUP(BCP_Soles[[#This Row],[DESTINATARIO]],CHOOSE({1,2},Clientes_Proveedores[Razon Social],Clientes_Proveedores[Ruc / Dni]),2,0),"")</f>
        <v/>
      </c>
      <c r="X1270" s="25"/>
      <c r="Y1270" s="25"/>
      <c r="Z1270" s="25"/>
      <c r="AA1270" s="99"/>
      <c r="AB1270" s="3" t="str">
        <f>IF(BCP_Soles[[#This Row],[FECHA]]&gt;0,TEXT(BCP_Soles[[#This Row],[FECHA]],"mmmm"),0)</f>
        <v>Abril</v>
      </c>
    </row>
    <row r="1271" spans="2:28" ht="24" x14ac:dyDescent="0.3">
      <c r="B1271" s="2">
        <f>IF(BCP_Soles[[#This Row],[TIPO DE R.]]="R",COUNTIFS($D$4:$D1270,"R")+1,"")</f>
        <v>987</v>
      </c>
      <c r="C1271" s="19" t="str">
        <f t="shared" si="95"/>
        <v>B-BCP - Soles</v>
      </c>
      <c r="D1271" s="3" t="s">
        <v>1074</v>
      </c>
      <c r="E1271" s="14">
        <v>45761</v>
      </c>
      <c r="F1271" s="5" t="s">
        <v>1996</v>
      </c>
      <c r="G1271" s="5" t="s">
        <v>1079</v>
      </c>
      <c r="H1271" s="6" t="s">
        <v>807</v>
      </c>
      <c r="I1271" s="6" t="s">
        <v>87</v>
      </c>
      <c r="J1271" s="6">
        <v>1</v>
      </c>
      <c r="K1271" s="6">
        <v>602025</v>
      </c>
      <c r="L1271" s="7" t="s">
        <v>2413</v>
      </c>
      <c r="M1271" s="8">
        <v>1238123</v>
      </c>
      <c r="N1271" s="8" t="str">
        <f t="shared" si="96"/>
        <v>PEN</v>
      </c>
      <c r="O1271" s="13"/>
      <c r="P1271" s="13">
        <v>400</v>
      </c>
      <c r="Q1271" s="3">
        <f t="shared" si="97"/>
        <v>0</v>
      </c>
      <c r="R1271" s="3">
        <f t="shared" si="98"/>
        <v>400</v>
      </c>
      <c r="S1271" s="3">
        <f t="shared" si="99"/>
        <v>35843.560000000041</v>
      </c>
      <c r="T1271" s="24" t="s">
        <v>1081</v>
      </c>
      <c r="U1271" s="24" t="s">
        <v>1081</v>
      </c>
      <c r="V1271" s="67"/>
      <c r="W1271" s="25">
        <f>IFERROR(VLOOKUP(BCP_Soles[[#This Row],[DESTINATARIO]],CHOOSE({1,2},Clientes_Proveedores[Razon Social],Clientes_Proveedores[Ruc / Dni]),2,0),"")</f>
        <v>45921913</v>
      </c>
      <c r="X1271" s="25" t="s">
        <v>807</v>
      </c>
      <c r="Y1271" s="25" t="s">
        <v>2414</v>
      </c>
      <c r="Z1271" s="25"/>
      <c r="AA1271" s="99"/>
      <c r="AB1271" s="3" t="str">
        <f>IF(BCP_Soles[[#This Row],[FECHA]]&gt;0,TEXT(BCP_Soles[[#This Row],[FECHA]],"mmmm"),0)</f>
        <v>Abril</v>
      </c>
    </row>
    <row r="1272" spans="2:28" ht="24" x14ac:dyDescent="0.3">
      <c r="B1272" s="2">
        <f>IF(BCP_Soles[[#This Row],[TIPO DE R.]]="R",COUNTIFS($D$4:$D1271,"R")+1,"")</f>
        <v>988</v>
      </c>
      <c r="C1272" s="19" t="str">
        <f t="shared" si="95"/>
        <v>B-BCP - Soles</v>
      </c>
      <c r="D1272" s="3" t="s">
        <v>1074</v>
      </c>
      <c r="E1272" s="14">
        <v>45762</v>
      </c>
      <c r="F1272" s="5" t="s">
        <v>1245</v>
      </c>
      <c r="G1272" s="5" t="s">
        <v>1087</v>
      </c>
      <c r="H1272" s="6"/>
      <c r="I1272" s="6"/>
      <c r="J1272" s="6"/>
      <c r="K1272" s="6"/>
      <c r="L1272" s="7" t="s">
        <v>1100</v>
      </c>
      <c r="M1272" s="8">
        <v>2836877</v>
      </c>
      <c r="N1272" s="8" t="str">
        <f t="shared" si="96"/>
        <v>PEN</v>
      </c>
      <c r="O1272" s="13"/>
      <c r="P1272" s="13">
        <v>6826.5</v>
      </c>
      <c r="Q1272" s="3">
        <f t="shared" si="97"/>
        <v>6826.5</v>
      </c>
      <c r="R1272" s="3">
        <f t="shared" si="98"/>
        <v>0</v>
      </c>
      <c r="S1272" s="3">
        <f t="shared" si="99"/>
        <v>42670.060000000041</v>
      </c>
      <c r="T1272" s="24" t="s">
        <v>1081</v>
      </c>
      <c r="U1272" s="24" t="s">
        <v>1081</v>
      </c>
      <c r="V1272" s="67"/>
      <c r="W1272" s="25" t="str">
        <f>IFERROR(VLOOKUP(BCP_Soles[[#This Row],[DESTINATARIO]],CHOOSE({1,2},Clientes_Proveedores[Razon Social],Clientes_Proveedores[Ruc / Dni]),2,0),"")</f>
        <v/>
      </c>
      <c r="X1272" s="25" t="s">
        <v>1090</v>
      </c>
      <c r="Y1272" s="25" t="s">
        <v>2415</v>
      </c>
      <c r="Z1272" s="25"/>
      <c r="AA1272" s="99"/>
      <c r="AB1272" s="3" t="str">
        <f>IF(BCP_Soles[[#This Row],[FECHA]]&gt;0,TEXT(BCP_Soles[[#This Row],[FECHA]],"mmmm"),0)</f>
        <v>Abril</v>
      </c>
    </row>
    <row r="1273" spans="2:28" x14ac:dyDescent="0.3">
      <c r="B1273" s="2">
        <f>IF(BCP_Soles[[#This Row],[TIPO DE R.]]="R",COUNTIFS($D$4:$D1272,"R")+1,"")</f>
        <v>989</v>
      </c>
      <c r="C1273" s="19" t="str">
        <f t="shared" si="95"/>
        <v>B-BCP - Soles</v>
      </c>
      <c r="D1273" s="3" t="s">
        <v>1074</v>
      </c>
      <c r="E1273" s="14">
        <v>45762</v>
      </c>
      <c r="F1273" s="5"/>
      <c r="G1273" s="5" t="s">
        <v>1087</v>
      </c>
      <c r="H1273" s="6"/>
      <c r="I1273" s="6"/>
      <c r="J1273" s="6"/>
      <c r="K1273" s="6"/>
      <c r="L1273" s="7" t="s">
        <v>1100</v>
      </c>
      <c r="M1273" s="8">
        <v>1193463</v>
      </c>
      <c r="N1273" s="8" t="str">
        <f t="shared" si="96"/>
        <v>PEN</v>
      </c>
      <c r="O1273" s="13"/>
      <c r="P1273" s="13">
        <v>4007.6</v>
      </c>
      <c r="Q1273" s="3">
        <f t="shared" si="97"/>
        <v>4007.6</v>
      </c>
      <c r="R1273" s="3">
        <f t="shared" si="98"/>
        <v>0</v>
      </c>
      <c r="S1273" s="3">
        <f t="shared" si="99"/>
        <v>46677.66000000004</v>
      </c>
      <c r="T1273" s="24" t="s">
        <v>1081</v>
      </c>
      <c r="U1273" s="24" t="s">
        <v>1081</v>
      </c>
      <c r="V1273" s="67"/>
      <c r="W1273" s="25" t="str">
        <f>IFERROR(VLOOKUP(BCP_Soles[[#This Row],[DESTINATARIO]],CHOOSE({1,2},Clientes_Proveedores[Razon Social],Clientes_Proveedores[Ruc / Dni]),2,0),"")</f>
        <v/>
      </c>
      <c r="X1273" s="25" t="s">
        <v>1090</v>
      </c>
      <c r="Y1273" s="25"/>
      <c r="Z1273" s="25"/>
      <c r="AA1273" s="99"/>
      <c r="AB1273" s="3" t="str">
        <f>IF(BCP_Soles[[#This Row],[FECHA]]&gt;0,TEXT(BCP_Soles[[#This Row],[FECHA]],"mmmm"),0)</f>
        <v>Abril</v>
      </c>
    </row>
    <row r="1274" spans="2:28" ht="24" x14ac:dyDescent="0.3">
      <c r="B1274" s="2" t="str">
        <f>IF(BCP_Soles[[#This Row],[TIPO DE R.]]="R",COUNTIFS($D$4:$D1273,"R")+1,"")</f>
        <v/>
      </c>
      <c r="C1274" s="19" t="str">
        <f t="shared" si="95"/>
        <v>B-BCP - Soles</v>
      </c>
      <c r="D1274" s="3" t="s">
        <v>1101</v>
      </c>
      <c r="E1274" s="14">
        <v>45762</v>
      </c>
      <c r="F1274" s="5" t="s">
        <v>479</v>
      </c>
      <c r="G1274" s="5"/>
      <c r="H1274" s="6"/>
      <c r="I1274" s="6"/>
      <c r="J1274" s="6"/>
      <c r="K1274" s="6"/>
      <c r="L1274" s="7" t="s">
        <v>1100</v>
      </c>
      <c r="M1274" s="8">
        <v>1193463</v>
      </c>
      <c r="N1274" s="8" t="str">
        <f t="shared" si="96"/>
        <v>PEN</v>
      </c>
      <c r="O1274" s="13"/>
      <c r="P1274" s="13">
        <v>0.5</v>
      </c>
      <c r="Q1274" s="3">
        <f t="shared" si="97"/>
        <v>0</v>
      </c>
      <c r="R1274" s="3">
        <f t="shared" si="98"/>
        <v>0</v>
      </c>
      <c r="S1274" s="3">
        <f t="shared" si="99"/>
        <v>46677.66000000004</v>
      </c>
      <c r="T1274" s="24" t="s">
        <v>1081</v>
      </c>
      <c r="U1274" s="24" t="s">
        <v>1081</v>
      </c>
      <c r="V1274" s="67"/>
      <c r="W1274" s="25" t="str">
        <f>IFERROR(VLOOKUP(BCP_Soles[[#This Row],[DESTINATARIO]],CHOOSE({1,2},Clientes_Proveedores[Razon Social],Clientes_Proveedores[Ruc / Dni]),2,0),"")</f>
        <v/>
      </c>
      <c r="X1274" s="25" t="s">
        <v>1090</v>
      </c>
      <c r="Y1274" s="25" t="s">
        <v>2046</v>
      </c>
      <c r="Z1274" s="25"/>
      <c r="AA1274" s="99"/>
      <c r="AB1274" s="3" t="str">
        <f>IF(BCP_Soles[[#This Row],[FECHA]]&gt;0,TEXT(BCP_Soles[[#This Row],[FECHA]],"mmmm"),0)</f>
        <v>Abril</v>
      </c>
    </row>
    <row r="1275" spans="2:28" ht="24" x14ac:dyDescent="0.3">
      <c r="B1275" s="2" t="str">
        <f>IF(BCP_Soles[[#This Row],[TIPO DE R.]]="R",COUNTIFS($D$4:$D1274,"R")+1,"")</f>
        <v/>
      </c>
      <c r="C1275" s="19" t="str">
        <f t="shared" si="95"/>
        <v>B-BCP - Soles</v>
      </c>
      <c r="D1275" s="3" t="s">
        <v>1101</v>
      </c>
      <c r="E1275" s="14">
        <v>45762</v>
      </c>
      <c r="F1275" s="5" t="s">
        <v>1838</v>
      </c>
      <c r="G1275" s="5"/>
      <c r="H1275" s="6"/>
      <c r="I1275" s="6"/>
      <c r="J1275" s="6"/>
      <c r="K1275" s="6"/>
      <c r="L1275" s="7" t="s">
        <v>1100</v>
      </c>
      <c r="M1275" s="8">
        <v>1193463</v>
      </c>
      <c r="N1275" s="8" t="str">
        <f t="shared" si="96"/>
        <v>PEN</v>
      </c>
      <c r="O1275" s="13"/>
      <c r="P1275" s="13">
        <v>2465.6</v>
      </c>
      <c r="Q1275" s="3">
        <f t="shared" si="97"/>
        <v>0</v>
      </c>
      <c r="R1275" s="3">
        <f t="shared" si="98"/>
        <v>0</v>
      </c>
      <c r="S1275" s="3">
        <f t="shared" si="99"/>
        <v>46677.66000000004</v>
      </c>
      <c r="T1275" s="24" t="s">
        <v>1081</v>
      </c>
      <c r="U1275" s="24" t="s">
        <v>1081</v>
      </c>
      <c r="V1275" s="67"/>
      <c r="W1275" s="25" t="str">
        <f>IFERROR(VLOOKUP(BCP_Soles[[#This Row],[DESTINATARIO]],CHOOSE({1,2},Clientes_Proveedores[Razon Social],Clientes_Proveedores[Ruc / Dni]),2,0),"")</f>
        <v/>
      </c>
      <c r="X1275" s="25" t="s">
        <v>1090</v>
      </c>
      <c r="Y1275" s="25" t="s">
        <v>2333</v>
      </c>
      <c r="Z1275" s="25"/>
      <c r="AA1275" s="99"/>
      <c r="AB1275" s="3" t="str">
        <f>IF(BCP_Soles[[#This Row],[FECHA]]&gt;0,TEXT(BCP_Soles[[#This Row],[FECHA]],"mmmm"),0)</f>
        <v>Abril</v>
      </c>
    </row>
    <row r="1276" spans="2:28" ht="24" x14ac:dyDescent="0.3">
      <c r="B1276" s="2" t="str">
        <f>IF(BCP_Soles[[#This Row],[TIPO DE R.]]="R",COUNTIFS($D$4:$D1275,"R")+1,"")</f>
        <v/>
      </c>
      <c r="C1276" s="19" t="str">
        <f t="shared" si="95"/>
        <v>B-BCP - Soles</v>
      </c>
      <c r="D1276" s="3" t="s">
        <v>1101</v>
      </c>
      <c r="E1276" s="14">
        <v>45762</v>
      </c>
      <c r="F1276" s="5" t="s">
        <v>479</v>
      </c>
      <c r="G1276" s="5"/>
      <c r="H1276" s="6"/>
      <c r="I1276" s="6"/>
      <c r="J1276" s="6"/>
      <c r="K1276" s="6"/>
      <c r="L1276" s="7" t="s">
        <v>1100</v>
      </c>
      <c r="M1276" s="8">
        <v>1193463</v>
      </c>
      <c r="N1276" s="8" t="str">
        <f t="shared" si="96"/>
        <v>PEN</v>
      </c>
      <c r="O1276" s="13"/>
      <c r="P1276" s="13">
        <v>496</v>
      </c>
      <c r="Q1276" s="3">
        <f t="shared" si="97"/>
        <v>0</v>
      </c>
      <c r="R1276" s="3">
        <f t="shared" si="98"/>
        <v>0</v>
      </c>
      <c r="S1276" s="3">
        <f t="shared" si="99"/>
        <v>46677.66000000004</v>
      </c>
      <c r="T1276" s="24" t="s">
        <v>1081</v>
      </c>
      <c r="U1276" s="24" t="s">
        <v>1081</v>
      </c>
      <c r="V1276" s="67"/>
      <c r="W1276" s="25" t="str">
        <f>IFERROR(VLOOKUP(BCP_Soles[[#This Row],[DESTINATARIO]],CHOOSE({1,2},Clientes_Proveedores[Razon Social],Clientes_Proveedores[Ruc / Dni]),2,0),"")</f>
        <v/>
      </c>
      <c r="X1276" s="25" t="s">
        <v>1090</v>
      </c>
      <c r="Y1276" s="25" t="s">
        <v>2416</v>
      </c>
      <c r="Z1276" s="25"/>
      <c r="AA1276" s="99"/>
      <c r="AB1276" s="3" t="str">
        <f>IF(BCP_Soles[[#This Row],[FECHA]]&gt;0,TEXT(BCP_Soles[[#This Row],[FECHA]],"mmmm"),0)</f>
        <v>Abril</v>
      </c>
    </row>
    <row r="1277" spans="2:28" ht="24" x14ac:dyDescent="0.3">
      <c r="B1277" s="2" t="str">
        <f>IF(BCP_Soles[[#This Row],[TIPO DE R.]]="R",COUNTIFS($D$4:$D1276,"R")+1,"")</f>
        <v/>
      </c>
      <c r="C1277" s="19" t="str">
        <f t="shared" si="95"/>
        <v>B-BCP - Soles</v>
      </c>
      <c r="D1277" s="3" t="s">
        <v>1101</v>
      </c>
      <c r="E1277" s="14">
        <v>45762</v>
      </c>
      <c r="F1277" s="5" t="s">
        <v>479</v>
      </c>
      <c r="G1277" s="5"/>
      <c r="H1277" s="6"/>
      <c r="I1277" s="6"/>
      <c r="J1277" s="6"/>
      <c r="K1277" s="6"/>
      <c r="L1277" s="7" t="s">
        <v>1100</v>
      </c>
      <c r="M1277" s="8">
        <v>1193463</v>
      </c>
      <c r="N1277" s="8" t="str">
        <f t="shared" si="96"/>
        <v>PEN</v>
      </c>
      <c r="O1277" s="13"/>
      <c r="P1277" s="13">
        <v>1045.5</v>
      </c>
      <c r="Q1277" s="3">
        <f t="shared" si="97"/>
        <v>0</v>
      </c>
      <c r="R1277" s="3">
        <f t="shared" si="98"/>
        <v>0</v>
      </c>
      <c r="S1277" s="3">
        <f t="shared" si="99"/>
        <v>46677.66000000004</v>
      </c>
      <c r="T1277" s="24" t="s">
        <v>1081</v>
      </c>
      <c r="U1277" s="24" t="s">
        <v>1081</v>
      </c>
      <c r="V1277" s="67"/>
      <c r="W1277" s="25" t="str">
        <f>IFERROR(VLOOKUP(BCP_Soles[[#This Row],[DESTINATARIO]],CHOOSE({1,2},Clientes_Proveedores[Razon Social],Clientes_Proveedores[Ruc / Dni]),2,0),"")</f>
        <v/>
      </c>
      <c r="X1277" s="25" t="s">
        <v>1090</v>
      </c>
      <c r="Y1277" s="25" t="s">
        <v>2417</v>
      </c>
      <c r="Z1277" s="25"/>
      <c r="AA1277" s="99"/>
      <c r="AB1277" s="3" t="str">
        <f>IF(BCP_Soles[[#This Row],[FECHA]]&gt;0,TEXT(BCP_Soles[[#This Row],[FECHA]],"mmmm"),0)</f>
        <v>Abril</v>
      </c>
    </row>
    <row r="1278" spans="2:28" ht="60" x14ac:dyDescent="0.3">
      <c r="B1278" s="2">
        <f>IF(BCP_Soles[[#This Row],[TIPO DE R.]]="R",COUNTIFS($D$4:$D1277,"R")+1,"")</f>
        <v>990</v>
      </c>
      <c r="C1278" s="19" t="str">
        <f t="shared" si="95"/>
        <v>B-BCP - Soles</v>
      </c>
      <c r="D1278" s="3" t="s">
        <v>1074</v>
      </c>
      <c r="E1278" s="14">
        <v>45762</v>
      </c>
      <c r="F1278" s="5" t="s">
        <v>238</v>
      </c>
      <c r="G1278" s="5" t="s">
        <v>1087</v>
      </c>
      <c r="H1278" s="6"/>
      <c r="I1278" s="6"/>
      <c r="J1278" s="6"/>
      <c r="K1278" s="6"/>
      <c r="L1278" s="7" t="s">
        <v>1170</v>
      </c>
      <c r="M1278" s="8">
        <v>2049519</v>
      </c>
      <c r="N1278" s="8" t="str">
        <f t="shared" si="96"/>
        <v>PEN</v>
      </c>
      <c r="O1278" s="13"/>
      <c r="P1278" s="13">
        <v>1868.59</v>
      </c>
      <c r="Q1278" s="3">
        <f t="shared" si="97"/>
        <v>1868.59</v>
      </c>
      <c r="R1278" s="3">
        <f t="shared" si="98"/>
        <v>0</v>
      </c>
      <c r="S1278" s="3">
        <f t="shared" si="99"/>
        <v>48546.250000000036</v>
      </c>
      <c r="T1278" s="24" t="s">
        <v>1081</v>
      </c>
      <c r="U1278" s="24" t="s">
        <v>1081</v>
      </c>
      <c r="V1278" s="67"/>
      <c r="W1278" s="25" t="str">
        <f>IFERROR(VLOOKUP(BCP_Soles[[#This Row],[DESTINATARIO]],CHOOSE({1,2},Clientes_Proveedores[Razon Social],Clientes_Proveedores[Ruc / Dni]),2,0),"")</f>
        <v/>
      </c>
      <c r="X1278" s="25" t="s">
        <v>1090</v>
      </c>
      <c r="Y1278" s="25" t="s">
        <v>2418</v>
      </c>
      <c r="Z1278" s="25"/>
      <c r="AA1278" s="99"/>
      <c r="AB1278" s="3" t="str">
        <f>IF(BCP_Soles[[#This Row],[FECHA]]&gt;0,TEXT(BCP_Soles[[#This Row],[FECHA]],"mmmm"),0)</f>
        <v>Abril</v>
      </c>
    </row>
    <row r="1279" spans="2:28" x14ac:dyDescent="0.3">
      <c r="B1279" s="2">
        <f>IF(BCP_Soles[[#This Row],[TIPO DE R.]]="R",COUNTIFS($D$4:$D1278,"R")+1,"")</f>
        <v>991</v>
      </c>
      <c r="C1279" s="19" t="str">
        <f t="shared" si="95"/>
        <v>B-BCP - Soles</v>
      </c>
      <c r="D1279" s="3" t="s">
        <v>1074</v>
      </c>
      <c r="E1279" s="14">
        <v>45762</v>
      </c>
      <c r="F1279" s="5" t="s">
        <v>146</v>
      </c>
      <c r="G1279" s="5" t="s">
        <v>1087</v>
      </c>
      <c r="H1279" s="6"/>
      <c r="I1279" s="6"/>
      <c r="J1279" s="6"/>
      <c r="K1279" s="6"/>
      <c r="L1279" s="7" t="s">
        <v>1381</v>
      </c>
      <c r="M1279" s="8">
        <v>2302312</v>
      </c>
      <c r="N1279" s="8" t="str">
        <f t="shared" si="96"/>
        <v>PEN</v>
      </c>
      <c r="O1279" s="13"/>
      <c r="P1279" s="13">
        <v>1087.25</v>
      </c>
      <c r="Q1279" s="3">
        <f t="shared" si="97"/>
        <v>1087.25</v>
      </c>
      <c r="R1279" s="3">
        <f t="shared" si="98"/>
        <v>0</v>
      </c>
      <c r="S1279" s="3">
        <f t="shared" si="99"/>
        <v>49633.500000000036</v>
      </c>
      <c r="T1279" s="24" t="s">
        <v>1081</v>
      </c>
      <c r="U1279" s="24" t="s">
        <v>1081</v>
      </c>
      <c r="V1279" s="67"/>
      <c r="W1279" s="25" t="str">
        <f>IFERROR(VLOOKUP(BCP_Soles[[#This Row],[DESTINATARIO]],CHOOSE({1,2},Clientes_Proveedores[Razon Social],Clientes_Proveedores[Ruc / Dni]),2,0),"")</f>
        <v/>
      </c>
      <c r="X1279" s="25" t="s">
        <v>1090</v>
      </c>
      <c r="Y1279" s="25" t="s">
        <v>2419</v>
      </c>
      <c r="Z1279" s="25"/>
      <c r="AA1279" s="99"/>
      <c r="AB1279" s="3" t="str">
        <f>IF(BCP_Soles[[#This Row],[FECHA]]&gt;0,TEXT(BCP_Soles[[#This Row],[FECHA]],"mmmm"),0)</f>
        <v>Abril</v>
      </c>
    </row>
    <row r="1280" spans="2:28" ht="24" x14ac:dyDescent="0.3">
      <c r="B1280" s="2">
        <f>IF(BCP_Soles[[#This Row],[TIPO DE R.]]="R",COUNTIFS($D$4:$D1279,"R")+1,"")</f>
        <v>992</v>
      </c>
      <c r="C1280" s="19" t="str">
        <f t="shared" si="95"/>
        <v>B-BCP - Soles</v>
      </c>
      <c r="D1280" s="3" t="s">
        <v>1074</v>
      </c>
      <c r="E1280" s="14">
        <v>45762</v>
      </c>
      <c r="F1280" s="5" t="s">
        <v>608</v>
      </c>
      <c r="G1280" s="5" t="s">
        <v>1087</v>
      </c>
      <c r="H1280" s="6"/>
      <c r="I1280" s="6"/>
      <c r="J1280" s="6"/>
      <c r="K1280" s="6"/>
      <c r="L1280" s="7" t="s">
        <v>2420</v>
      </c>
      <c r="M1280" s="8">
        <v>4270184</v>
      </c>
      <c r="N1280" s="8" t="str">
        <f t="shared" si="96"/>
        <v>PEN</v>
      </c>
      <c r="O1280" s="13"/>
      <c r="P1280" s="13">
        <v>696.11</v>
      </c>
      <c r="Q1280" s="3">
        <f t="shared" si="97"/>
        <v>696.11</v>
      </c>
      <c r="R1280" s="3">
        <f t="shared" si="98"/>
        <v>0</v>
      </c>
      <c r="S1280" s="3">
        <f t="shared" si="99"/>
        <v>50329.610000000037</v>
      </c>
      <c r="T1280" s="24" t="s">
        <v>1081</v>
      </c>
      <c r="U1280" s="24" t="s">
        <v>1081</v>
      </c>
      <c r="V1280" s="67"/>
      <c r="W1280" s="25" t="str">
        <f>IFERROR(VLOOKUP(BCP_Soles[[#This Row],[DESTINATARIO]],CHOOSE({1,2},Clientes_Proveedores[Razon Social],Clientes_Proveedores[Ruc / Dni]),2,0),"")</f>
        <v/>
      </c>
      <c r="X1280" s="25" t="s">
        <v>1090</v>
      </c>
      <c r="Y1280" s="25" t="s">
        <v>2421</v>
      </c>
      <c r="Z1280" s="25"/>
      <c r="AA1280" s="99"/>
      <c r="AB1280" s="3" t="str">
        <f>IF(BCP_Soles[[#This Row],[FECHA]]&gt;0,TEXT(BCP_Soles[[#This Row],[FECHA]],"mmmm"),0)</f>
        <v>Abril</v>
      </c>
    </row>
    <row r="1281" spans="2:28" x14ac:dyDescent="0.3">
      <c r="B1281" s="2">
        <f>IF(BCP_Soles[[#This Row],[TIPO DE R.]]="R",COUNTIFS($D$4:$D1280,"R")+1,"")</f>
        <v>993</v>
      </c>
      <c r="C1281" s="19" t="str">
        <f t="shared" si="95"/>
        <v>B-BCP - Soles</v>
      </c>
      <c r="D1281" s="3" t="s">
        <v>1074</v>
      </c>
      <c r="E1281" s="14">
        <v>45762</v>
      </c>
      <c r="F1281" s="5" t="s">
        <v>1078</v>
      </c>
      <c r="G1281" s="5" t="s">
        <v>1079</v>
      </c>
      <c r="H1281" s="6"/>
      <c r="I1281" s="6"/>
      <c r="J1281" s="6"/>
      <c r="K1281" s="6"/>
      <c r="L1281" s="7" t="s">
        <v>1080</v>
      </c>
      <c r="M1281" s="8"/>
      <c r="N1281" s="8" t="str">
        <f t="shared" si="96"/>
        <v>PEN</v>
      </c>
      <c r="O1281" s="13"/>
      <c r="P1281" s="13">
        <v>0.9</v>
      </c>
      <c r="Q1281" s="3">
        <f t="shared" si="97"/>
        <v>0</v>
      </c>
      <c r="R1281" s="3">
        <f t="shared" si="98"/>
        <v>0.9</v>
      </c>
      <c r="S1281" s="3">
        <f t="shared" si="99"/>
        <v>50328.710000000036</v>
      </c>
      <c r="T1281" s="24"/>
      <c r="U1281" s="24" t="s">
        <v>1081</v>
      </c>
      <c r="V1281" s="67"/>
      <c r="W1281" s="25" t="str">
        <f>IFERROR(VLOOKUP(BCP_Soles[[#This Row],[DESTINATARIO]],CHOOSE({1,2},Clientes_Proveedores[Razon Social],Clientes_Proveedores[Ruc / Dni]),2,0),"")</f>
        <v/>
      </c>
      <c r="X1281" s="25"/>
      <c r="Y1281" s="25"/>
      <c r="Z1281" s="25"/>
      <c r="AA1281" s="99"/>
      <c r="AB1281" s="3" t="str">
        <f>IF(BCP_Soles[[#This Row],[FECHA]]&gt;0,TEXT(BCP_Soles[[#This Row],[FECHA]],"mmmm"),0)</f>
        <v>Abril</v>
      </c>
    </row>
    <row r="1282" spans="2:28" x14ac:dyDescent="0.3">
      <c r="B1282" s="2">
        <f>IF(BCP_Soles[[#This Row],[TIPO DE R.]]="R",COUNTIFS($D$4:$D1281,"R")+1,"")</f>
        <v>994</v>
      </c>
      <c r="C1282" s="19" t="str">
        <f t="shared" si="95"/>
        <v>B-BCP - Soles</v>
      </c>
      <c r="D1282" s="3" t="s">
        <v>1074</v>
      </c>
      <c r="E1282" s="14">
        <v>45762</v>
      </c>
      <c r="F1282" s="5" t="s">
        <v>1078</v>
      </c>
      <c r="G1282" s="5" t="s">
        <v>1079</v>
      </c>
      <c r="H1282" s="6"/>
      <c r="I1282" s="6"/>
      <c r="J1282" s="6"/>
      <c r="K1282" s="6"/>
      <c r="L1282" s="7" t="s">
        <v>2422</v>
      </c>
      <c r="M1282" s="8">
        <v>4724569</v>
      </c>
      <c r="N1282" s="8" t="str">
        <f t="shared" si="96"/>
        <v>PEN</v>
      </c>
      <c r="O1282" s="13"/>
      <c r="P1282" s="13">
        <v>2.5</v>
      </c>
      <c r="Q1282" s="3">
        <f t="shared" si="97"/>
        <v>0</v>
      </c>
      <c r="R1282" s="3">
        <f t="shared" si="98"/>
        <v>2.5</v>
      </c>
      <c r="S1282" s="3">
        <f t="shared" si="99"/>
        <v>50326.210000000036</v>
      </c>
      <c r="T1282" s="24" t="s">
        <v>1081</v>
      </c>
      <c r="U1282" s="24" t="s">
        <v>1081</v>
      </c>
      <c r="V1282" s="67"/>
      <c r="W1282" s="25" t="str">
        <f>IFERROR(VLOOKUP(BCP_Soles[[#This Row],[DESTINATARIO]],CHOOSE({1,2},Clientes_Proveedores[Razon Social],Clientes_Proveedores[Ruc / Dni]),2,0),"")</f>
        <v/>
      </c>
      <c r="X1282" s="25" t="s">
        <v>1078</v>
      </c>
      <c r="Y1282" s="25" t="s">
        <v>2423</v>
      </c>
      <c r="Z1282" s="25"/>
      <c r="AA1282" s="99"/>
      <c r="AB1282" s="3" t="str">
        <f>IF(BCP_Soles[[#This Row],[FECHA]]&gt;0,TEXT(BCP_Soles[[#This Row],[FECHA]],"mmmm"),0)</f>
        <v>Abril</v>
      </c>
    </row>
    <row r="1283" spans="2:28" x14ac:dyDescent="0.3">
      <c r="B1283" s="2">
        <f>IF(BCP_Soles[[#This Row],[TIPO DE R.]]="R",COUNTIFS($D$4:$D1282,"R")+1,"")</f>
        <v>995</v>
      </c>
      <c r="C1283" s="19" t="str">
        <f t="shared" si="95"/>
        <v>B-BCP - Soles</v>
      </c>
      <c r="D1283" s="3" t="s">
        <v>1074</v>
      </c>
      <c r="E1283" s="14">
        <v>45762</v>
      </c>
      <c r="F1283" s="5" t="s">
        <v>1078</v>
      </c>
      <c r="G1283" s="5" t="s">
        <v>1079</v>
      </c>
      <c r="H1283" s="6"/>
      <c r="I1283" s="6"/>
      <c r="J1283" s="6"/>
      <c r="K1283" s="6"/>
      <c r="L1283" s="7" t="s">
        <v>1292</v>
      </c>
      <c r="M1283" s="8">
        <v>959325</v>
      </c>
      <c r="N1283" s="8" t="str">
        <f t="shared" si="96"/>
        <v>PEN</v>
      </c>
      <c r="O1283" s="13"/>
      <c r="P1283" s="13">
        <v>10</v>
      </c>
      <c r="Q1283" s="3">
        <f t="shared" si="97"/>
        <v>0</v>
      </c>
      <c r="R1283" s="3">
        <f t="shared" si="98"/>
        <v>10</v>
      </c>
      <c r="S1283" s="3">
        <f t="shared" si="99"/>
        <v>50316.210000000036</v>
      </c>
      <c r="T1283" s="24" t="s">
        <v>1081</v>
      </c>
      <c r="U1283" s="24" t="s">
        <v>1081</v>
      </c>
      <c r="V1283" s="67"/>
      <c r="W1283" s="25" t="str">
        <f>IFERROR(VLOOKUP(BCP_Soles[[#This Row],[DESTINATARIO]],CHOOSE({1,2},Clientes_Proveedores[Razon Social],Clientes_Proveedores[Ruc / Dni]),2,0),"")</f>
        <v/>
      </c>
      <c r="X1283" s="25" t="s">
        <v>1078</v>
      </c>
      <c r="Y1283" s="25" t="s">
        <v>2424</v>
      </c>
      <c r="Z1283" s="25"/>
      <c r="AA1283" s="99"/>
      <c r="AB1283" s="3" t="str">
        <f>IF(BCP_Soles[[#This Row],[FECHA]]&gt;0,TEXT(BCP_Soles[[#This Row],[FECHA]],"mmmm"),0)</f>
        <v>Abril</v>
      </c>
    </row>
    <row r="1284" spans="2:28" x14ac:dyDescent="0.3">
      <c r="B1284" s="2">
        <f>IF(BCP_Soles[[#This Row],[TIPO DE R.]]="R",COUNTIFS($D$4:$D1283,"R")+1,"")</f>
        <v>996</v>
      </c>
      <c r="C1284" s="19" t="str">
        <f t="shared" si="95"/>
        <v>B-BCP - Soles</v>
      </c>
      <c r="D1284" s="3" t="s">
        <v>1074</v>
      </c>
      <c r="E1284" s="14">
        <v>45762</v>
      </c>
      <c r="F1284" s="5" t="s">
        <v>1078</v>
      </c>
      <c r="G1284" s="5" t="s">
        <v>1079</v>
      </c>
      <c r="H1284" s="6"/>
      <c r="I1284" s="6"/>
      <c r="J1284" s="6"/>
      <c r="K1284" s="6"/>
      <c r="L1284" s="7" t="s">
        <v>1141</v>
      </c>
      <c r="M1284" s="8">
        <v>454</v>
      </c>
      <c r="N1284" s="8" t="str">
        <f t="shared" si="96"/>
        <v>PEN</v>
      </c>
      <c r="O1284" s="13"/>
      <c r="P1284" s="13">
        <v>10</v>
      </c>
      <c r="Q1284" s="3">
        <f t="shared" si="97"/>
        <v>0</v>
      </c>
      <c r="R1284" s="3">
        <f t="shared" si="98"/>
        <v>10</v>
      </c>
      <c r="S1284" s="3">
        <f t="shared" si="99"/>
        <v>50306.210000000036</v>
      </c>
      <c r="T1284" s="24"/>
      <c r="U1284" s="24" t="s">
        <v>1081</v>
      </c>
      <c r="V1284" s="67"/>
      <c r="W1284" s="25" t="str">
        <f>IFERROR(VLOOKUP(BCP_Soles[[#This Row],[DESTINATARIO]],CHOOSE({1,2},Clientes_Proveedores[Razon Social],Clientes_Proveedores[Ruc / Dni]),2,0),"")</f>
        <v/>
      </c>
      <c r="X1284" s="25" t="s">
        <v>1078</v>
      </c>
      <c r="Y1284" s="25" t="s">
        <v>2425</v>
      </c>
      <c r="Z1284" s="25"/>
      <c r="AA1284" s="99"/>
      <c r="AB1284" s="3" t="str">
        <f>IF(BCP_Soles[[#This Row],[FECHA]]&gt;0,TEXT(BCP_Soles[[#This Row],[FECHA]],"mmmm"),0)</f>
        <v>Abril</v>
      </c>
    </row>
    <row r="1285" spans="2:28" x14ac:dyDescent="0.3">
      <c r="B1285" s="2">
        <f>IF(BCP_Soles[[#This Row],[TIPO DE R.]]="R",COUNTIFS($D$4:$D1284,"R")+1,"")</f>
        <v>997</v>
      </c>
      <c r="C1285" s="19" t="str">
        <f t="shared" ref="C1285:C1348" si="100">"B-BCP - Soles"</f>
        <v>B-BCP - Soles</v>
      </c>
      <c r="D1285" s="3" t="s">
        <v>1074</v>
      </c>
      <c r="E1285" s="14">
        <v>45762</v>
      </c>
      <c r="F1285" s="5" t="s">
        <v>1078</v>
      </c>
      <c r="G1285" s="5" t="s">
        <v>1079</v>
      </c>
      <c r="H1285" s="6"/>
      <c r="I1285" s="6"/>
      <c r="J1285" s="6"/>
      <c r="K1285" s="6"/>
      <c r="L1285" s="7" t="s">
        <v>1141</v>
      </c>
      <c r="M1285" s="8">
        <v>454</v>
      </c>
      <c r="N1285" s="8" t="str">
        <f t="shared" ref="N1285:N1348" si="101">"PEN"</f>
        <v>PEN</v>
      </c>
      <c r="O1285" s="13"/>
      <c r="P1285" s="13">
        <v>10</v>
      </c>
      <c r="Q1285" s="3">
        <f t="shared" ref="Q1285:Q1348" si="102">+IF(OR($G1285="SALDO",$G1285="INGRESO"),$P1285,0)</f>
        <v>0</v>
      </c>
      <c r="R1285" s="3">
        <f t="shared" ref="R1285:R1348" si="103">+IF($G1285="EGRESO",$P1285,0)</f>
        <v>10</v>
      </c>
      <c r="S1285" s="3">
        <f t="shared" ref="S1285:S1348" si="104">IFERROR(IF(G1285="SALDO",Q1285,S1284+Q1285-R1285),0)</f>
        <v>50296.210000000036</v>
      </c>
      <c r="T1285" s="24"/>
      <c r="U1285" s="24" t="s">
        <v>1081</v>
      </c>
      <c r="V1285" s="67"/>
      <c r="W1285" s="25" t="str">
        <f>IFERROR(VLOOKUP(BCP_Soles[[#This Row],[DESTINATARIO]],CHOOSE({1,2},Clientes_Proveedores[Razon Social],Clientes_Proveedores[Ruc / Dni]),2,0),"")</f>
        <v/>
      </c>
      <c r="X1285" s="25" t="s">
        <v>1078</v>
      </c>
      <c r="Y1285" s="25" t="s">
        <v>2425</v>
      </c>
      <c r="Z1285" s="25"/>
      <c r="AA1285" s="99"/>
      <c r="AB1285" s="3" t="str">
        <f>IF(BCP_Soles[[#This Row],[FECHA]]&gt;0,TEXT(BCP_Soles[[#This Row],[FECHA]],"mmmm"),0)</f>
        <v>Abril</v>
      </c>
    </row>
    <row r="1286" spans="2:28" x14ac:dyDescent="0.3">
      <c r="B1286" s="2">
        <f>IF(BCP_Soles[[#This Row],[TIPO DE R.]]="R",COUNTIFS($D$4:$D1285,"R")+1,"")</f>
        <v>998</v>
      </c>
      <c r="C1286" s="19" t="str">
        <f t="shared" si="100"/>
        <v>B-BCP - Soles</v>
      </c>
      <c r="D1286" s="3" t="s">
        <v>1074</v>
      </c>
      <c r="E1286" s="14">
        <v>45762</v>
      </c>
      <c r="F1286" s="5" t="s">
        <v>1996</v>
      </c>
      <c r="G1286" s="5" t="s">
        <v>1079</v>
      </c>
      <c r="H1286" s="6" t="s">
        <v>139</v>
      </c>
      <c r="I1286" s="6" t="s">
        <v>14</v>
      </c>
      <c r="J1286" s="6" t="s">
        <v>1953</v>
      </c>
      <c r="K1286" s="6">
        <v>6230</v>
      </c>
      <c r="L1286" s="7" t="s">
        <v>1954</v>
      </c>
      <c r="M1286" s="8">
        <v>278629</v>
      </c>
      <c r="N1286" s="8" t="str">
        <f t="shared" si="101"/>
        <v>PEN</v>
      </c>
      <c r="O1286" s="13"/>
      <c r="P1286" s="13">
        <v>20.78</v>
      </c>
      <c r="Q1286" s="3">
        <f t="shared" si="102"/>
        <v>0</v>
      </c>
      <c r="R1286" s="3">
        <f t="shared" si="103"/>
        <v>20.78</v>
      </c>
      <c r="S1286" s="3">
        <f t="shared" si="104"/>
        <v>50275.430000000037</v>
      </c>
      <c r="T1286" s="24" t="s">
        <v>1081</v>
      </c>
      <c r="U1286" s="24" t="s">
        <v>1081</v>
      </c>
      <c r="V1286" s="67"/>
      <c r="W1286" s="25">
        <f>IFERROR(VLOOKUP(BCP_Soles[[#This Row],[DESTINATARIO]],CHOOSE({1,2},Clientes_Proveedores[Razon Social],Clientes_Proveedores[Ruc / Dni]),2,0),"")</f>
        <v>20100055237</v>
      </c>
      <c r="X1286" s="25" t="s">
        <v>1955</v>
      </c>
      <c r="Y1286" s="25" t="s">
        <v>2426</v>
      </c>
      <c r="Z1286" s="25"/>
      <c r="AA1286" s="99"/>
      <c r="AB1286" s="3" t="str">
        <f>IF(BCP_Soles[[#This Row],[FECHA]]&gt;0,TEXT(BCP_Soles[[#This Row],[FECHA]],"mmmm"),0)</f>
        <v>Abril</v>
      </c>
    </row>
    <row r="1287" spans="2:28" x14ac:dyDescent="0.3">
      <c r="B1287" s="2">
        <f>IF(BCP_Soles[[#This Row],[TIPO DE R.]]="R",COUNTIFS($D$4:$D1286,"R")+1,"")</f>
        <v>999</v>
      </c>
      <c r="C1287" s="19" t="str">
        <f t="shared" si="100"/>
        <v>B-BCP - Soles</v>
      </c>
      <c r="D1287" s="3" t="s">
        <v>1074</v>
      </c>
      <c r="E1287" s="14">
        <v>45762</v>
      </c>
      <c r="F1287" s="5" t="s">
        <v>1996</v>
      </c>
      <c r="G1287" s="5" t="s">
        <v>1079</v>
      </c>
      <c r="H1287" s="6" t="s">
        <v>139</v>
      </c>
      <c r="I1287" s="6" t="s">
        <v>14</v>
      </c>
      <c r="J1287" s="6" t="s">
        <v>1953</v>
      </c>
      <c r="K1287" s="6">
        <v>6228</v>
      </c>
      <c r="L1287" s="7" t="s">
        <v>1954</v>
      </c>
      <c r="M1287" s="8">
        <v>279102</v>
      </c>
      <c r="N1287" s="8" t="str">
        <f t="shared" si="101"/>
        <v>PEN</v>
      </c>
      <c r="O1287" s="13"/>
      <c r="P1287" s="13">
        <v>73.02</v>
      </c>
      <c r="Q1287" s="3">
        <f t="shared" si="102"/>
        <v>0</v>
      </c>
      <c r="R1287" s="3">
        <f t="shared" si="103"/>
        <v>73.02</v>
      </c>
      <c r="S1287" s="3">
        <f t="shared" si="104"/>
        <v>50202.41000000004</v>
      </c>
      <c r="T1287" s="24" t="s">
        <v>1081</v>
      </c>
      <c r="U1287" s="24" t="s">
        <v>1081</v>
      </c>
      <c r="V1287" s="67"/>
      <c r="W1287" s="25">
        <f>IFERROR(VLOOKUP(BCP_Soles[[#This Row],[DESTINATARIO]],CHOOSE({1,2},Clientes_Proveedores[Razon Social],Clientes_Proveedores[Ruc / Dni]),2,0),"")</f>
        <v>20100055237</v>
      </c>
      <c r="X1287" s="25" t="s">
        <v>1955</v>
      </c>
      <c r="Y1287" s="25" t="s">
        <v>2427</v>
      </c>
      <c r="Z1287" s="25"/>
      <c r="AA1287" s="99"/>
      <c r="AB1287" s="3" t="str">
        <f>IF(BCP_Soles[[#This Row],[FECHA]]&gt;0,TEXT(BCP_Soles[[#This Row],[FECHA]],"mmmm"),0)</f>
        <v>Abril</v>
      </c>
    </row>
    <row r="1288" spans="2:28" ht="24" x14ac:dyDescent="0.3">
      <c r="B1288" s="2">
        <f>IF(BCP_Soles[[#This Row],[TIPO DE R.]]="R",COUNTIFS($D$4:$D1287,"R")+1,"")</f>
        <v>1000</v>
      </c>
      <c r="C1288" s="19" t="str">
        <f t="shared" si="100"/>
        <v>B-BCP - Soles</v>
      </c>
      <c r="D1288" s="3" t="s">
        <v>1074</v>
      </c>
      <c r="E1288" s="14">
        <v>45762</v>
      </c>
      <c r="F1288" s="5" t="s">
        <v>1996</v>
      </c>
      <c r="G1288" s="5" t="s">
        <v>1079</v>
      </c>
      <c r="H1288" s="6" t="s">
        <v>798</v>
      </c>
      <c r="I1288" s="6" t="s">
        <v>87</v>
      </c>
      <c r="J1288" s="6">
        <v>1</v>
      </c>
      <c r="K1288" s="6">
        <v>312025</v>
      </c>
      <c r="L1288" s="7" t="s">
        <v>2428</v>
      </c>
      <c r="M1288" s="8">
        <v>1277174</v>
      </c>
      <c r="N1288" s="8" t="str">
        <f t="shared" si="101"/>
        <v>PEN</v>
      </c>
      <c r="O1288" s="13"/>
      <c r="P1288" s="13">
        <v>165</v>
      </c>
      <c r="Q1288" s="3">
        <f t="shared" si="102"/>
        <v>0</v>
      </c>
      <c r="R1288" s="3">
        <f t="shared" si="103"/>
        <v>165</v>
      </c>
      <c r="S1288" s="3">
        <f t="shared" si="104"/>
        <v>50037.41000000004</v>
      </c>
      <c r="T1288" s="24" t="s">
        <v>1081</v>
      </c>
      <c r="U1288" s="24" t="s">
        <v>1081</v>
      </c>
      <c r="V1288" s="67"/>
      <c r="W1288" s="25">
        <f>IFERROR(VLOOKUP(BCP_Soles[[#This Row],[DESTINATARIO]],CHOOSE({1,2},Clientes_Proveedores[Razon Social],Clientes_Proveedores[Ruc / Dni]),2,0),"")</f>
        <v>70666331</v>
      </c>
      <c r="X1288" s="25" t="s">
        <v>798</v>
      </c>
      <c r="Y1288" s="25" t="s">
        <v>2429</v>
      </c>
      <c r="Z1288" s="25"/>
      <c r="AA1288" s="99"/>
      <c r="AB1288" s="3" t="str">
        <f>IF(BCP_Soles[[#This Row],[FECHA]]&gt;0,TEXT(BCP_Soles[[#This Row],[FECHA]],"mmmm"),0)</f>
        <v>Abril</v>
      </c>
    </row>
    <row r="1289" spans="2:28" ht="48" x14ac:dyDescent="0.3">
      <c r="B1289" s="2">
        <f>IF(BCP_Soles[[#This Row],[TIPO DE R.]]="R",COUNTIFS($D$4:$D1288,"R")+1,"")</f>
        <v>1001</v>
      </c>
      <c r="C1289" s="19" t="str">
        <f t="shared" si="100"/>
        <v>B-BCP - Soles</v>
      </c>
      <c r="D1289" s="3" t="s">
        <v>1074</v>
      </c>
      <c r="E1289" s="14">
        <v>45762</v>
      </c>
      <c r="F1289" s="5" t="s">
        <v>1996</v>
      </c>
      <c r="G1289" s="5" t="s">
        <v>1079</v>
      </c>
      <c r="H1289" s="6" t="s">
        <v>444</v>
      </c>
      <c r="I1289" s="6" t="s">
        <v>14</v>
      </c>
      <c r="J1289" s="6" t="s">
        <v>1390</v>
      </c>
      <c r="K1289" s="6">
        <v>7345</v>
      </c>
      <c r="L1289" s="7" t="s">
        <v>2430</v>
      </c>
      <c r="M1289" s="8">
        <v>1143818</v>
      </c>
      <c r="N1289" s="8" t="str">
        <f t="shared" si="101"/>
        <v>PEN</v>
      </c>
      <c r="O1289" s="13"/>
      <c r="P1289" s="13">
        <v>167.31</v>
      </c>
      <c r="Q1289" s="3">
        <f t="shared" si="102"/>
        <v>0</v>
      </c>
      <c r="R1289" s="3">
        <f t="shared" si="103"/>
        <v>167.31</v>
      </c>
      <c r="S1289" s="3">
        <f t="shared" si="104"/>
        <v>49870.100000000042</v>
      </c>
      <c r="T1289" s="24" t="s">
        <v>1081</v>
      </c>
      <c r="U1289" s="24" t="s">
        <v>1081</v>
      </c>
      <c r="V1289" s="67"/>
      <c r="W1289" s="25">
        <f>IFERROR(VLOOKUP(BCP_Soles[[#This Row],[DESTINATARIO]],CHOOSE({1,2},Clientes_Proveedores[Razon Social],Clientes_Proveedores[Ruc / Dni]),2,0),"")</f>
        <v>20602978274</v>
      </c>
      <c r="X1289" s="25" t="s">
        <v>1268</v>
      </c>
      <c r="Y1289" s="25" t="s">
        <v>2431</v>
      </c>
      <c r="Z1289" s="25"/>
      <c r="AA1289" s="99"/>
      <c r="AB1289" s="3" t="str">
        <f>IF(BCP_Soles[[#This Row],[FECHA]]&gt;0,TEXT(BCP_Soles[[#This Row],[FECHA]],"mmmm"),0)</f>
        <v>Abril</v>
      </c>
    </row>
    <row r="1290" spans="2:28" x14ac:dyDescent="0.3">
      <c r="B1290" s="2">
        <f>IF(BCP_Soles[[#This Row],[TIPO DE R.]]="R",COUNTIFS($D$4:$D1289,"R")+1,"")</f>
        <v>1002</v>
      </c>
      <c r="C1290" s="19" t="str">
        <f t="shared" si="100"/>
        <v>B-BCP - Soles</v>
      </c>
      <c r="D1290" s="3" t="s">
        <v>1074</v>
      </c>
      <c r="E1290" s="14">
        <v>45762</v>
      </c>
      <c r="F1290" s="5" t="s">
        <v>1996</v>
      </c>
      <c r="G1290" s="5" t="s">
        <v>1079</v>
      </c>
      <c r="H1290" s="6" t="s">
        <v>139</v>
      </c>
      <c r="I1290" s="6" t="s">
        <v>14</v>
      </c>
      <c r="J1290" s="6" t="s">
        <v>1953</v>
      </c>
      <c r="K1290" s="6">
        <v>6231</v>
      </c>
      <c r="L1290" s="7" t="s">
        <v>1954</v>
      </c>
      <c r="M1290" s="8">
        <v>279587</v>
      </c>
      <c r="N1290" s="8" t="str">
        <f t="shared" si="101"/>
        <v>PEN</v>
      </c>
      <c r="O1290" s="13"/>
      <c r="P1290" s="13">
        <v>235.3</v>
      </c>
      <c r="Q1290" s="3">
        <f t="shared" si="102"/>
        <v>0</v>
      </c>
      <c r="R1290" s="3">
        <f t="shared" si="103"/>
        <v>235.3</v>
      </c>
      <c r="S1290" s="3">
        <f t="shared" si="104"/>
        <v>49634.800000000039</v>
      </c>
      <c r="T1290" s="24" t="s">
        <v>1081</v>
      </c>
      <c r="U1290" s="24" t="s">
        <v>1081</v>
      </c>
      <c r="V1290" s="67"/>
      <c r="W1290" s="25">
        <f>IFERROR(VLOOKUP(BCP_Soles[[#This Row],[DESTINATARIO]],CHOOSE({1,2},Clientes_Proveedores[Razon Social],Clientes_Proveedores[Ruc / Dni]),2,0),"")</f>
        <v>20100055237</v>
      </c>
      <c r="X1290" s="25" t="s">
        <v>1955</v>
      </c>
      <c r="Y1290" s="25" t="s">
        <v>2432</v>
      </c>
      <c r="Z1290" s="25"/>
      <c r="AA1290" s="99"/>
      <c r="AB1290" s="3" t="str">
        <f>IF(BCP_Soles[[#This Row],[FECHA]]&gt;0,TEXT(BCP_Soles[[#This Row],[FECHA]],"mmmm"),0)</f>
        <v>Abril</v>
      </c>
    </row>
    <row r="1291" spans="2:28" ht="48" x14ac:dyDescent="0.3">
      <c r="B1291" s="2">
        <f>IF(BCP_Soles[[#This Row],[TIPO DE R.]]="R",COUNTIFS($D$4:$D1290,"R")+1,"")</f>
        <v>1003</v>
      </c>
      <c r="C1291" s="19" t="str">
        <f t="shared" si="100"/>
        <v>B-BCP - Soles</v>
      </c>
      <c r="D1291" s="3" t="s">
        <v>1074</v>
      </c>
      <c r="E1291" s="14">
        <v>45762</v>
      </c>
      <c r="F1291" s="5" t="s">
        <v>1996</v>
      </c>
      <c r="G1291" s="5" t="s">
        <v>1079</v>
      </c>
      <c r="H1291" s="6" t="s">
        <v>444</v>
      </c>
      <c r="I1291" s="6" t="s">
        <v>14</v>
      </c>
      <c r="J1291" s="6" t="s">
        <v>1266</v>
      </c>
      <c r="K1291" s="6">
        <v>9991</v>
      </c>
      <c r="L1291" s="7" t="s">
        <v>2433</v>
      </c>
      <c r="M1291" s="8">
        <v>1140897</v>
      </c>
      <c r="N1291" s="8" t="str">
        <f t="shared" si="101"/>
        <v>PEN</v>
      </c>
      <c r="O1291" s="13"/>
      <c r="P1291" s="13">
        <v>240</v>
      </c>
      <c r="Q1291" s="3">
        <f t="shared" si="102"/>
        <v>0</v>
      </c>
      <c r="R1291" s="3">
        <f t="shared" si="103"/>
        <v>240</v>
      </c>
      <c r="S1291" s="3">
        <f t="shared" si="104"/>
        <v>49394.800000000039</v>
      </c>
      <c r="T1291" s="24" t="s">
        <v>1081</v>
      </c>
      <c r="U1291" s="24" t="s">
        <v>1081</v>
      </c>
      <c r="V1291" s="67"/>
      <c r="W1291" s="25">
        <f>IFERROR(VLOOKUP(BCP_Soles[[#This Row],[DESTINATARIO]],CHOOSE({1,2},Clientes_Proveedores[Razon Social],Clientes_Proveedores[Ruc / Dni]),2,0),"")</f>
        <v>20602978274</v>
      </c>
      <c r="X1291" s="25" t="s">
        <v>1268</v>
      </c>
      <c r="Y1291" s="25" t="s">
        <v>2434</v>
      </c>
      <c r="Z1291" s="25"/>
      <c r="AA1291" s="99"/>
      <c r="AB1291" s="3" t="str">
        <f>IF(BCP_Soles[[#This Row],[FECHA]]&gt;0,TEXT(BCP_Soles[[#This Row],[FECHA]],"mmmm"),0)</f>
        <v>Abril</v>
      </c>
    </row>
    <row r="1292" spans="2:28" x14ac:dyDescent="0.3">
      <c r="B1292" s="2">
        <f>IF(BCP_Soles[[#This Row],[TIPO DE R.]]="R",COUNTIFS($D$4:$D1291,"R")+1,"")</f>
        <v>1004</v>
      </c>
      <c r="C1292" s="19" t="str">
        <f t="shared" si="100"/>
        <v>B-BCP - Soles</v>
      </c>
      <c r="D1292" s="3" t="s">
        <v>1074</v>
      </c>
      <c r="E1292" s="14">
        <v>45762</v>
      </c>
      <c r="F1292" s="5" t="s">
        <v>1996</v>
      </c>
      <c r="G1292" s="5" t="s">
        <v>1079</v>
      </c>
      <c r="H1292" s="6"/>
      <c r="I1292" s="6"/>
      <c r="J1292" s="6"/>
      <c r="K1292" s="6"/>
      <c r="L1292" s="7" t="s">
        <v>2435</v>
      </c>
      <c r="M1292" s="8">
        <v>1014099</v>
      </c>
      <c r="N1292" s="8" t="str">
        <f t="shared" si="101"/>
        <v>PEN</v>
      </c>
      <c r="O1292" s="13"/>
      <c r="P1292" s="13">
        <v>358</v>
      </c>
      <c r="Q1292" s="3">
        <f t="shared" si="102"/>
        <v>0</v>
      </c>
      <c r="R1292" s="3">
        <f t="shared" si="103"/>
        <v>358</v>
      </c>
      <c r="S1292" s="3">
        <f t="shared" si="104"/>
        <v>49036.800000000039</v>
      </c>
      <c r="T1292" s="24"/>
      <c r="U1292" s="24"/>
      <c r="V1292" s="67"/>
      <c r="W1292" s="25" t="str">
        <f>IFERROR(VLOOKUP(BCP_Soles[[#This Row],[DESTINATARIO]],CHOOSE({1,2},Clientes_Proveedores[Razon Social],Clientes_Proveedores[Ruc / Dni]),2,0),"")</f>
        <v/>
      </c>
      <c r="X1292" s="25" t="s">
        <v>2386</v>
      </c>
      <c r="Y1292" s="25"/>
      <c r="Z1292" s="25"/>
      <c r="AA1292" s="99"/>
      <c r="AB1292" s="3" t="str">
        <f>IF(BCP_Soles[[#This Row],[FECHA]]&gt;0,TEXT(BCP_Soles[[#This Row],[FECHA]],"mmmm"),0)</f>
        <v>Abril</v>
      </c>
    </row>
    <row r="1293" spans="2:28" ht="24" x14ac:dyDescent="0.3">
      <c r="B1293" s="2">
        <f>IF(BCP_Soles[[#This Row],[TIPO DE R.]]="R",COUNTIFS($D$4:$D1292,"R")+1,"")</f>
        <v>1005</v>
      </c>
      <c r="C1293" s="19" t="str">
        <f t="shared" si="100"/>
        <v>B-BCP - Soles</v>
      </c>
      <c r="D1293" s="3" t="s">
        <v>1074</v>
      </c>
      <c r="E1293" s="14">
        <v>45762</v>
      </c>
      <c r="F1293" s="5" t="s">
        <v>1996</v>
      </c>
      <c r="G1293" s="5" t="s">
        <v>1079</v>
      </c>
      <c r="H1293" s="6" t="s">
        <v>192</v>
      </c>
      <c r="I1293" s="6"/>
      <c r="J1293" s="6"/>
      <c r="K1293" s="6"/>
      <c r="L1293" s="7" t="s">
        <v>2436</v>
      </c>
      <c r="M1293" s="8">
        <v>1279586</v>
      </c>
      <c r="N1293" s="8" t="str">
        <f t="shared" si="101"/>
        <v>PEN</v>
      </c>
      <c r="O1293" s="13"/>
      <c r="P1293" s="13">
        <v>387.04</v>
      </c>
      <c r="Q1293" s="3">
        <f t="shared" si="102"/>
        <v>0</v>
      </c>
      <c r="R1293" s="3">
        <f t="shared" si="103"/>
        <v>387.04</v>
      </c>
      <c r="S1293" s="3">
        <f t="shared" si="104"/>
        <v>48649.760000000038</v>
      </c>
      <c r="T1293" s="24"/>
      <c r="U1293" s="24"/>
      <c r="V1293" s="67"/>
      <c r="W1293" s="25">
        <f>IFERROR(VLOOKUP(BCP_Soles[[#This Row],[DESTINATARIO]],CHOOSE({1,2},Clientes_Proveedores[Razon Social],Clientes_Proveedores[Ruc / Dni]),2,0),"")</f>
        <v>20302891452</v>
      </c>
      <c r="X1293" s="25" t="s">
        <v>192</v>
      </c>
      <c r="Y1293" s="25"/>
      <c r="Z1293" s="25"/>
      <c r="AA1293" s="99"/>
      <c r="AB1293" s="3" t="str">
        <f>IF(BCP_Soles[[#This Row],[FECHA]]&gt;0,TEXT(BCP_Soles[[#This Row],[FECHA]],"mmmm"),0)</f>
        <v>Abril</v>
      </c>
    </row>
    <row r="1294" spans="2:28" x14ac:dyDescent="0.3">
      <c r="B1294" s="2">
        <f>IF(BCP_Soles[[#This Row],[TIPO DE R.]]="R",COUNTIFS($D$4:$D1293,"R")+1,"")</f>
        <v>1006</v>
      </c>
      <c r="C1294" s="19" t="str">
        <f t="shared" si="100"/>
        <v>B-BCP - Soles</v>
      </c>
      <c r="D1294" s="3" t="s">
        <v>1074</v>
      </c>
      <c r="E1294" s="14">
        <v>45762</v>
      </c>
      <c r="F1294" s="5" t="s">
        <v>1996</v>
      </c>
      <c r="G1294" s="5" t="s">
        <v>1079</v>
      </c>
      <c r="H1294" s="6" t="s">
        <v>139</v>
      </c>
      <c r="I1294" s="6" t="s">
        <v>14</v>
      </c>
      <c r="J1294" s="6" t="s">
        <v>1953</v>
      </c>
      <c r="K1294" s="6">
        <v>6229</v>
      </c>
      <c r="L1294" s="7" t="s">
        <v>1954</v>
      </c>
      <c r="M1294" s="8">
        <v>277653</v>
      </c>
      <c r="N1294" s="8" t="str">
        <f t="shared" si="101"/>
        <v>PEN</v>
      </c>
      <c r="O1294" s="13"/>
      <c r="P1294" s="13">
        <v>397.28</v>
      </c>
      <c r="Q1294" s="3">
        <f t="shared" si="102"/>
        <v>0</v>
      </c>
      <c r="R1294" s="3">
        <f t="shared" si="103"/>
        <v>397.28</v>
      </c>
      <c r="S1294" s="3">
        <f t="shared" si="104"/>
        <v>48252.48000000004</v>
      </c>
      <c r="T1294" s="24" t="s">
        <v>1081</v>
      </c>
      <c r="U1294" s="24" t="s">
        <v>1081</v>
      </c>
      <c r="V1294" s="67"/>
      <c r="W1294" s="25">
        <f>IFERROR(VLOOKUP(BCP_Soles[[#This Row],[DESTINATARIO]],CHOOSE({1,2},Clientes_Proveedores[Razon Social],Clientes_Proveedores[Ruc / Dni]),2,0),"")</f>
        <v>20100055237</v>
      </c>
      <c r="X1294" s="25" t="s">
        <v>1955</v>
      </c>
      <c r="Y1294" s="25" t="s">
        <v>2437</v>
      </c>
      <c r="Z1294" s="25"/>
      <c r="AA1294" s="99"/>
      <c r="AB1294" s="3" t="str">
        <f>IF(BCP_Soles[[#This Row],[FECHA]]&gt;0,TEXT(BCP_Soles[[#This Row],[FECHA]],"mmmm"),0)</f>
        <v>Abril</v>
      </c>
    </row>
    <row r="1295" spans="2:28" x14ac:dyDescent="0.3">
      <c r="B1295" s="2">
        <f>IF(BCP_Soles[[#This Row],[TIPO DE R.]]="R",COUNTIFS($D$4:$D1294,"R")+1,"")</f>
        <v>1007</v>
      </c>
      <c r="C1295" s="19" t="str">
        <f t="shared" si="100"/>
        <v>B-BCP - Soles</v>
      </c>
      <c r="D1295" s="3" t="s">
        <v>1074</v>
      </c>
      <c r="E1295" s="14">
        <v>45762</v>
      </c>
      <c r="F1295" s="5" t="s">
        <v>1996</v>
      </c>
      <c r="G1295" s="5" t="s">
        <v>1079</v>
      </c>
      <c r="H1295" s="6" t="s">
        <v>139</v>
      </c>
      <c r="I1295" s="6" t="s">
        <v>14</v>
      </c>
      <c r="J1295" s="6" t="s">
        <v>1953</v>
      </c>
      <c r="K1295" s="6">
        <v>6232</v>
      </c>
      <c r="L1295" s="7" t="s">
        <v>1954</v>
      </c>
      <c r="M1295" s="8">
        <v>279585</v>
      </c>
      <c r="N1295" s="8" t="str">
        <f t="shared" si="101"/>
        <v>PEN</v>
      </c>
      <c r="O1295" s="13"/>
      <c r="P1295" s="13">
        <v>431.4</v>
      </c>
      <c r="Q1295" s="3">
        <f t="shared" si="102"/>
        <v>0</v>
      </c>
      <c r="R1295" s="3">
        <f t="shared" si="103"/>
        <v>431.4</v>
      </c>
      <c r="S1295" s="3">
        <f t="shared" si="104"/>
        <v>47821.080000000038</v>
      </c>
      <c r="T1295" s="24" t="s">
        <v>1081</v>
      </c>
      <c r="U1295" s="24" t="s">
        <v>1081</v>
      </c>
      <c r="V1295" s="67"/>
      <c r="W1295" s="25">
        <f>IFERROR(VLOOKUP(BCP_Soles[[#This Row],[DESTINATARIO]],CHOOSE({1,2},Clientes_Proveedores[Razon Social],Clientes_Proveedores[Ruc / Dni]),2,0),"")</f>
        <v>20100055237</v>
      </c>
      <c r="X1295" s="25" t="s">
        <v>1955</v>
      </c>
      <c r="Y1295" s="25" t="s">
        <v>2438</v>
      </c>
      <c r="Z1295" s="25"/>
      <c r="AA1295" s="99"/>
      <c r="AB1295" s="3" t="str">
        <f>IF(BCP_Soles[[#This Row],[FECHA]]&gt;0,TEXT(BCP_Soles[[#This Row],[FECHA]],"mmmm"),0)</f>
        <v>Abril</v>
      </c>
    </row>
    <row r="1296" spans="2:28" x14ac:dyDescent="0.3">
      <c r="B1296" s="2">
        <f>IF(BCP_Soles[[#This Row],[TIPO DE R.]]="R",COUNTIFS($D$4:$D1295,"R")+1,"")</f>
        <v>1008</v>
      </c>
      <c r="C1296" s="19" t="str">
        <f t="shared" si="100"/>
        <v>B-BCP - Soles</v>
      </c>
      <c r="D1296" s="3" t="s">
        <v>1074</v>
      </c>
      <c r="E1296" s="14">
        <v>45762</v>
      </c>
      <c r="F1296" s="5" t="s">
        <v>1996</v>
      </c>
      <c r="G1296" s="5" t="s">
        <v>1079</v>
      </c>
      <c r="H1296" s="6" t="s">
        <v>139</v>
      </c>
      <c r="I1296" s="6" t="s">
        <v>14</v>
      </c>
      <c r="J1296" s="6" t="s">
        <v>1953</v>
      </c>
      <c r="K1296" s="6">
        <v>6226</v>
      </c>
      <c r="L1296" s="7" t="s">
        <v>1954</v>
      </c>
      <c r="M1296" s="8">
        <v>277173</v>
      </c>
      <c r="N1296" s="8" t="str">
        <f t="shared" si="101"/>
        <v>PEN</v>
      </c>
      <c r="O1296" s="13"/>
      <c r="P1296" s="13">
        <v>621.6</v>
      </c>
      <c r="Q1296" s="3">
        <f t="shared" si="102"/>
        <v>0</v>
      </c>
      <c r="R1296" s="3">
        <f t="shared" si="103"/>
        <v>621.6</v>
      </c>
      <c r="S1296" s="3">
        <f t="shared" si="104"/>
        <v>47199.48000000004</v>
      </c>
      <c r="T1296" s="24" t="s">
        <v>1081</v>
      </c>
      <c r="U1296" s="24" t="s">
        <v>1081</v>
      </c>
      <c r="V1296" s="67"/>
      <c r="W1296" s="25">
        <f>IFERROR(VLOOKUP(BCP_Soles[[#This Row],[DESTINATARIO]],CHOOSE({1,2},Clientes_Proveedores[Razon Social],Clientes_Proveedores[Ruc / Dni]),2,0),"")</f>
        <v>20100055237</v>
      </c>
      <c r="X1296" s="25" t="s">
        <v>1955</v>
      </c>
      <c r="Y1296" s="25" t="s">
        <v>2439</v>
      </c>
      <c r="Z1296" s="25"/>
      <c r="AA1296" s="99"/>
      <c r="AB1296" s="3" t="str">
        <f>IF(BCP_Soles[[#This Row],[FECHA]]&gt;0,TEXT(BCP_Soles[[#This Row],[FECHA]],"mmmm"),0)</f>
        <v>Abril</v>
      </c>
    </row>
    <row r="1297" spans="2:28" x14ac:dyDescent="0.3">
      <c r="B1297" s="2">
        <f>IF(BCP_Soles[[#This Row],[TIPO DE R.]]="R",COUNTIFS($D$4:$D1296,"R")+1,"")</f>
        <v>1009</v>
      </c>
      <c r="C1297" s="19" t="str">
        <f t="shared" si="100"/>
        <v>B-BCP - Soles</v>
      </c>
      <c r="D1297" s="3" t="s">
        <v>1074</v>
      </c>
      <c r="E1297" s="14">
        <v>45762</v>
      </c>
      <c r="F1297" s="5" t="s">
        <v>1996</v>
      </c>
      <c r="G1297" s="5" t="s">
        <v>1079</v>
      </c>
      <c r="H1297" s="6" t="s">
        <v>139</v>
      </c>
      <c r="I1297" s="6" t="s">
        <v>14</v>
      </c>
      <c r="J1297" s="6" t="s">
        <v>1953</v>
      </c>
      <c r="K1297" s="6">
        <v>6227</v>
      </c>
      <c r="L1297" s="7" t="s">
        <v>1954</v>
      </c>
      <c r="M1297" s="8">
        <v>278159</v>
      </c>
      <c r="N1297" s="8" t="str">
        <f t="shared" si="101"/>
        <v>PEN</v>
      </c>
      <c r="O1297" s="13"/>
      <c r="P1297" s="13">
        <v>978.68</v>
      </c>
      <c r="Q1297" s="3">
        <f t="shared" si="102"/>
        <v>0</v>
      </c>
      <c r="R1297" s="3">
        <f t="shared" si="103"/>
        <v>978.68</v>
      </c>
      <c r="S1297" s="3">
        <f t="shared" si="104"/>
        <v>46220.800000000039</v>
      </c>
      <c r="T1297" s="24" t="s">
        <v>1081</v>
      </c>
      <c r="U1297" s="24" t="s">
        <v>1081</v>
      </c>
      <c r="V1297" s="67"/>
      <c r="W1297" s="25">
        <f>IFERROR(VLOOKUP(BCP_Soles[[#This Row],[DESTINATARIO]],CHOOSE({1,2},Clientes_Proveedores[Razon Social],Clientes_Proveedores[Ruc / Dni]),2,0),"")</f>
        <v>20100055237</v>
      </c>
      <c r="X1297" s="25" t="s">
        <v>1955</v>
      </c>
      <c r="Y1297" s="25" t="s">
        <v>2440</v>
      </c>
      <c r="Z1297" s="25"/>
      <c r="AA1297" s="99"/>
      <c r="AB1297" s="3" t="str">
        <f>IF(BCP_Soles[[#This Row],[FECHA]]&gt;0,TEXT(BCP_Soles[[#This Row],[FECHA]],"mmmm"),0)</f>
        <v>Abril</v>
      </c>
    </row>
    <row r="1298" spans="2:28" x14ac:dyDescent="0.3">
      <c r="B1298" s="2">
        <f>IF(BCP_Soles[[#This Row],[TIPO DE R.]]="R",COUNTIFS($D$4:$D1297,"R")+1,"")</f>
        <v>1010</v>
      </c>
      <c r="C1298" s="19" t="str">
        <f t="shared" si="100"/>
        <v>B-BCP - Soles</v>
      </c>
      <c r="D1298" s="3" t="s">
        <v>1074</v>
      </c>
      <c r="E1298" s="14">
        <v>45762</v>
      </c>
      <c r="F1298" s="5" t="s">
        <v>1996</v>
      </c>
      <c r="G1298" s="5" t="s">
        <v>1079</v>
      </c>
      <c r="H1298" s="6"/>
      <c r="I1298" s="6"/>
      <c r="J1298" s="6"/>
      <c r="K1298" s="6"/>
      <c r="L1298" s="7" t="s">
        <v>2441</v>
      </c>
      <c r="M1298" s="8">
        <v>1013572</v>
      </c>
      <c r="N1298" s="8" t="str">
        <f t="shared" si="101"/>
        <v>PEN</v>
      </c>
      <c r="O1298" s="13"/>
      <c r="P1298" s="13">
        <v>1329</v>
      </c>
      <c r="Q1298" s="3">
        <f t="shared" si="102"/>
        <v>0</v>
      </c>
      <c r="R1298" s="3">
        <f t="shared" si="103"/>
        <v>1329</v>
      </c>
      <c r="S1298" s="3">
        <f t="shared" si="104"/>
        <v>44891.800000000039</v>
      </c>
      <c r="T1298" s="24"/>
      <c r="U1298" s="24"/>
      <c r="V1298" s="67"/>
      <c r="W1298" s="25" t="str">
        <f>IFERROR(VLOOKUP(BCP_Soles[[#This Row],[DESTINATARIO]],CHOOSE({1,2},Clientes_Proveedores[Razon Social],Clientes_Proveedores[Ruc / Dni]),2,0),"")</f>
        <v/>
      </c>
      <c r="X1298" s="25" t="s">
        <v>2386</v>
      </c>
      <c r="Y1298" s="25"/>
      <c r="Z1298" s="25"/>
      <c r="AA1298" s="99"/>
      <c r="AB1298" s="3" t="str">
        <f>IF(BCP_Soles[[#This Row],[FECHA]]&gt;0,TEXT(BCP_Soles[[#This Row],[FECHA]],"mmmm"),0)</f>
        <v>Abril</v>
      </c>
    </row>
    <row r="1299" spans="2:28" x14ac:dyDescent="0.3">
      <c r="B1299" s="2">
        <f>IF(BCP_Soles[[#This Row],[TIPO DE R.]]="R",COUNTIFS($D$4:$D1298,"R")+1,"")</f>
        <v>1011</v>
      </c>
      <c r="C1299" s="19" t="str">
        <f t="shared" si="100"/>
        <v>B-BCP - Soles</v>
      </c>
      <c r="D1299" s="3" t="s">
        <v>1074</v>
      </c>
      <c r="E1299" s="14">
        <v>45762</v>
      </c>
      <c r="F1299" s="5" t="s">
        <v>1163</v>
      </c>
      <c r="G1299" s="5" t="s">
        <v>1079</v>
      </c>
      <c r="H1299" s="6"/>
      <c r="I1299" s="6"/>
      <c r="J1299" s="6"/>
      <c r="K1299" s="6"/>
      <c r="L1299" s="7" t="s">
        <v>1322</v>
      </c>
      <c r="M1299" s="8">
        <v>1000465</v>
      </c>
      <c r="N1299" s="8" t="str">
        <f t="shared" si="101"/>
        <v>PEN</v>
      </c>
      <c r="O1299" s="13"/>
      <c r="P1299" s="13">
        <v>2796.19</v>
      </c>
      <c r="Q1299" s="3">
        <f t="shared" si="102"/>
        <v>0</v>
      </c>
      <c r="R1299" s="3">
        <f t="shared" si="103"/>
        <v>2796.19</v>
      </c>
      <c r="S1299" s="3">
        <f t="shared" si="104"/>
        <v>42095.610000000037</v>
      </c>
      <c r="T1299" s="24"/>
      <c r="U1299" s="24"/>
      <c r="V1299" s="67"/>
      <c r="W1299" s="25" t="str">
        <f>IFERROR(VLOOKUP(BCP_Soles[[#This Row],[DESTINATARIO]],CHOOSE({1,2},Clientes_Proveedores[Razon Social],Clientes_Proveedores[Ruc / Dni]),2,0),"")</f>
        <v/>
      </c>
      <c r="X1299" s="25"/>
      <c r="Y1299" s="25"/>
      <c r="Z1299" s="25"/>
      <c r="AA1299" s="99"/>
      <c r="AB1299" s="3" t="str">
        <f>IF(BCP_Soles[[#This Row],[FECHA]]&gt;0,TEXT(BCP_Soles[[#This Row],[FECHA]],"mmmm"),0)</f>
        <v>Abril</v>
      </c>
    </row>
    <row r="1300" spans="2:28" x14ac:dyDescent="0.3">
      <c r="B1300" s="2">
        <f>IF(BCP_Soles[[#This Row],[TIPO DE R.]]="R",COUNTIFS($D$4:$D1299,"R")+1,"")</f>
        <v>1012</v>
      </c>
      <c r="C1300" s="19" t="str">
        <f t="shared" si="100"/>
        <v>B-BCP - Soles</v>
      </c>
      <c r="D1300" s="3" t="s">
        <v>1074</v>
      </c>
      <c r="E1300" s="14">
        <v>45762</v>
      </c>
      <c r="F1300" s="5" t="s">
        <v>1996</v>
      </c>
      <c r="G1300" s="5" t="s">
        <v>1079</v>
      </c>
      <c r="H1300" s="6"/>
      <c r="I1300" s="6"/>
      <c r="J1300" s="6"/>
      <c r="K1300" s="6"/>
      <c r="L1300" s="7" t="s">
        <v>2442</v>
      </c>
      <c r="M1300" s="8">
        <v>4724563</v>
      </c>
      <c r="N1300" s="8" t="str">
        <f t="shared" si="101"/>
        <v>PEN</v>
      </c>
      <c r="O1300" s="13"/>
      <c r="P1300" s="13">
        <v>3604.26</v>
      </c>
      <c r="Q1300" s="3">
        <f t="shared" si="102"/>
        <v>0</v>
      </c>
      <c r="R1300" s="3">
        <f t="shared" si="103"/>
        <v>3604.26</v>
      </c>
      <c r="S1300" s="3">
        <f t="shared" si="104"/>
        <v>38491.350000000035</v>
      </c>
      <c r="T1300" s="24" t="s">
        <v>1081</v>
      </c>
      <c r="U1300" s="24" t="s">
        <v>1081</v>
      </c>
      <c r="V1300" s="67"/>
      <c r="W1300" s="25" t="str">
        <f>IFERROR(VLOOKUP(BCP_Soles[[#This Row],[DESTINATARIO]],CHOOSE({1,2},Clientes_Proveedores[Razon Social],Clientes_Proveedores[Ruc / Dni]),2,0),"")</f>
        <v/>
      </c>
      <c r="X1300" s="25" t="s">
        <v>1118</v>
      </c>
      <c r="Y1300" s="25"/>
      <c r="Z1300" s="25"/>
      <c r="AA1300" s="99"/>
      <c r="AB1300" s="3" t="str">
        <f>IF(BCP_Soles[[#This Row],[FECHA]]&gt;0,TEXT(BCP_Soles[[#This Row],[FECHA]],"mmmm"),0)</f>
        <v>Abril</v>
      </c>
    </row>
    <row r="1301" spans="2:28" x14ac:dyDescent="0.3">
      <c r="B1301" s="2">
        <f>IF(BCP_Soles[[#This Row],[TIPO DE R.]]="R",COUNTIFS($D$4:$D1300,"R")+1,"")</f>
        <v>1013</v>
      </c>
      <c r="C1301" s="19" t="str">
        <f t="shared" si="100"/>
        <v>B-BCP - Soles</v>
      </c>
      <c r="D1301" s="3" t="s">
        <v>1074</v>
      </c>
      <c r="E1301" s="14">
        <v>45763</v>
      </c>
      <c r="F1301" s="5" t="s">
        <v>1078</v>
      </c>
      <c r="G1301" s="5" t="s">
        <v>1079</v>
      </c>
      <c r="H1301" s="6"/>
      <c r="I1301" s="6"/>
      <c r="J1301" s="6"/>
      <c r="K1301" s="6"/>
      <c r="L1301" s="7" t="s">
        <v>1080</v>
      </c>
      <c r="M1301" s="8"/>
      <c r="N1301" s="8" t="str">
        <f t="shared" si="101"/>
        <v>PEN</v>
      </c>
      <c r="O1301" s="13"/>
      <c r="P1301" s="13">
        <v>0.4</v>
      </c>
      <c r="Q1301" s="3">
        <f t="shared" si="102"/>
        <v>0</v>
      </c>
      <c r="R1301" s="3">
        <f t="shared" si="103"/>
        <v>0.4</v>
      </c>
      <c r="S1301" s="3">
        <f t="shared" si="104"/>
        <v>38490.950000000033</v>
      </c>
      <c r="T1301" s="24"/>
      <c r="U1301" s="24" t="s">
        <v>1081</v>
      </c>
      <c r="V1301" s="67"/>
      <c r="W1301" s="25" t="str">
        <f>IFERROR(VLOOKUP(BCP_Soles[[#This Row],[DESTINATARIO]],CHOOSE({1,2},Clientes_Proveedores[Razon Social],Clientes_Proveedores[Ruc / Dni]),2,0),"")</f>
        <v/>
      </c>
      <c r="X1301" s="25"/>
      <c r="Y1301" s="25"/>
      <c r="Z1301" s="25"/>
      <c r="AA1301" s="99"/>
      <c r="AB1301" s="3" t="str">
        <f>IF(BCP_Soles[[#This Row],[FECHA]]&gt;0,TEXT(BCP_Soles[[#This Row],[FECHA]],"mmmm"),0)</f>
        <v>Abril</v>
      </c>
    </row>
    <row r="1302" spans="2:28" ht="24" x14ac:dyDescent="0.3">
      <c r="B1302" s="2">
        <f>IF(BCP_Soles[[#This Row],[TIPO DE R.]]="R",COUNTIFS($D$4:$D1301,"R")+1,"")</f>
        <v>1014</v>
      </c>
      <c r="C1302" s="19" t="str">
        <f t="shared" si="100"/>
        <v>B-BCP - Soles</v>
      </c>
      <c r="D1302" s="3" t="s">
        <v>1074</v>
      </c>
      <c r="E1302" s="14">
        <v>45763</v>
      </c>
      <c r="F1302" s="5" t="s">
        <v>1996</v>
      </c>
      <c r="G1302" s="5" t="s">
        <v>1079</v>
      </c>
      <c r="H1302" s="6" t="s">
        <v>667</v>
      </c>
      <c r="I1302" s="6" t="s">
        <v>14</v>
      </c>
      <c r="J1302" s="6" t="s">
        <v>1121</v>
      </c>
      <c r="K1302" s="6">
        <v>1716</v>
      </c>
      <c r="L1302" s="7" t="s">
        <v>2443</v>
      </c>
      <c r="M1302" s="8">
        <v>1120482</v>
      </c>
      <c r="N1302" s="8" t="str">
        <f t="shared" si="101"/>
        <v>PEN</v>
      </c>
      <c r="O1302" s="13"/>
      <c r="P1302" s="13">
        <v>5900</v>
      </c>
      <c r="Q1302" s="3">
        <f t="shared" si="102"/>
        <v>0</v>
      </c>
      <c r="R1302" s="3">
        <f t="shared" si="103"/>
        <v>5900</v>
      </c>
      <c r="S1302" s="3">
        <f t="shared" si="104"/>
        <v>32590.950000000033</v>
      </c>
      <c r="T1302" s="24" t="s">
        <v>1081</v>
      </c>
      <c r="U1302" s="24" t="s">
        <v>1081</v>
      </c>
      <c r="V1302" s="67"/>
      <c r="W1302" s="25">
        <f>IFERROR(VLOOKUP(BCP_Soles[[#This Row],[DESTINATARIO]],CHOOSE({1,2},Clientes_Proveedores[Razon Social],Clientes_Proveedores[Ruc / Dni]),2,0),"")</f>
        <v>20601423058</v>
      </c>
      <c r="X1302" s="25" t="s">
        <v>2356</v>
      </c>
      <c r="Y1302" s="25" t="s">
        <v>2444</v>
      </c>
      <c r="Z1302" s="25"/>
      <c r="AA1302" s="99"/>
      <c r="AB1302" s="3" t="str">
        <f>IF(BCP_Soles[[#This Row],[FECHA]]&gt;0,TEXT(BCP_Soles[[#This Row],[FECHA]],"mmmm"),0)</f>
        <v>Abril</v>
      </c>
    </row>
    <row r="1303" spans="2:28" ht="24" x14ac:dyDescent="0.3">
      <c r="B1303" s="2">
        <f>IF(BCP_Soles[[#This Row],[TIPO DE R.]]="R",COUNTIFS($D$4:$D1302,"R")+1,"")</f>
        <v>1015</v>
      </c>
      <c r="C1303" s="19" t="str">
        <f t="shared" si="100"/>
        <v>B-BCP - Soles</v>
      </c>
      <c r="D1303" s="3" t="s">
        <v>1074</v>
      </c>
      <c r="E1303" s="14">
        <v>45763</v>
      </c>
      <c r="F1303" s="5" t="s">
        <v>1996</v>
      </c>
      <c r="G1303" s="5" t="s">
        <v>1079</v>
      </c>
      <c r="H1303" s="6" t="s">
        <v>836</v>
      </c>
      <c r="I1303" s="6"/>
      <c r="J1303" s="6"/>
      <c r="K1303" s="6"/>
      <c r="L1303" s="7" t="s">
        <v>2445</v>
      </c>
      <c r="M1303" s="8">
        <v>1287812</v>
      </c>
      <c r="N1303" s="8" t="str">
        <f t="shared" si="101"/>
        <v>PEN</v>
      </c>
      <c r="O1303" s="13"/>
      <c r="P1303" s="13">
        <v>1967.1</v>
      </c>
      <c r="Q1303" s="3">
        <f t="shared" si="102"/>
        <v>0</v>
      </c>
      <c r="R1303" s="3">
        <f t="shared" si="103"/>
        <v>1967.1</v>
      </c>
      <c r="S1303" s="3">
        <f t="shared" si="104"/>
        <v>30623.850000000035</v>
      </c>
      <c r="T1303" s="24"/>
      <c r="U1303" s="24"/>
      <c r="V1303" s="67"/>
      <c r="W1303" s="25">
        <f>IFERROR(VLOOKUP(BCP_Soles[[#This Row],[DESTINATARIO]],CHOOSE({1,2},Clientes_Proveedores[Razon Social],Clientes_Proveedores[Ruc / Dni]),2,0),"")</f>
        <v>72144092</v>
      </c>
      <c r="X1303" s="25" t="s">
        <v>836</v>
      </c>
      <c r="Y1303" s="25"/>
      <c r="Z1303" s="25"/>
      <c r="AA1303" s="99"/>
      <c r="AB1303" s="3" t="str">
        <f>IF(BCP_Soles[[#This Row],[FECHA]]&gt;0,TEXT(BCP_Soles[[#This Row],[FECHA]],"mmmm"),0)</f>
        <v>Abril</v>
      </c>
    </row>
    <row r="1304" spans="2:28" ht="24" x14ac:dyDescent="0.3">
      <c r="B1304" s="2">
        <f>IF(BCP_Soles[[#This Row],[TIPO DE R.]]="R",COUNTIFS($D$4:$D1303,"R")+1,"")</f>
        <v>1016</v>
      </c>
      <c r="C1304" s="19" t="str">
        <f t="shared" si="100"/>
        <v>B-BCP - Soles</v>
      </c>
      <c r="D1304" s="3" t="s">
        <v>1074</v>
      </c>
      <c r="E1304" s="14">
        <v>45763</v>
      </c>
      <c r="F1304" s="5" t="s">
        <v>1996</v>
      </c>
      <c r="G1304" s="5" t="s">
        <v>1079</v>
      </c>
      <c r="H1304" s="6" t="s">
        <v>829</v>
      </c>
      <c r="I1304" s="6" t="s">
        <v>91</v>
      </c>
      <c r="J1304" s="6">
        <v>13</v>
      </c>
      <c r="K1304" s="6">
        <v>30</v>
      </c>
      <c r="L1304" s="7" t="s">
        <v>2446</v>
      </c>
      <c r="M1304" s="8">
        <v>1120967</v>
      </c>
      <c r="N1304" s="8" t="str">
        <f t="shared" si="101"/>
        <v>PEN</v>
      </c>
      <c r="O1304" s="13"/>
      <c r="P1304" s="13">
        <v>1165</v>
      </c>
      <c r="Q1304" s="3">
        <f t="shared" si="102"/>
        <v>0</v>
      </c>
      <c r="R1304" s="3">
        <f t="shared" si="103"/>
        <v>1165</v>
      </c>
      <c r="S1304" s="3">
        <f t="shared" si="104"/>
        <v>29458.850000000035</v>
      </c>
      <c r="T1304" s="24"/>
      <c r="U1304" s="24"/>
      <c r="V1304" s="67"/>
      <c r="W1304" s="25">
        <f>IFERROR(VLOOKUP(BCP_Soles[[#This Row],[DESTINATARIO]],CHOOSE({1,2},Clientes_Proveedores[Razon Social],Clientes_Proveedores[Ruc / Dni]),2,0),"")</f>
        <v>47461440</v>
      </c>
      <c r="X1304" s="25"/>
      <c r="Y1304" s="25"/>
      <c r="Z1304" s="25"/>
      <c r="AA1304" s="99"/>
      <c r="AB1304" s="3" t="str">
        <f>IF(BCP_Soles[[#This Row],[FECHA]]&gt;0,TEXT(BCP_Soles[[#This Row],[FECHA]],"mmmm"),0)</f>
        <v>Abril</v>
      </c>
    </row>
    <row r="1305" spans="2:28" ht="24" x14ac:dyDescent="0.3">
      <c r="B1305" s="2">
        <f>IF(BCP_Soles[[#This Row],[TIPO DE R.]]="R",COUNTIFS($D$4:$D1304,"R")+1,"")</f>
        <v>1017</v>
      </c>
      <c r="C1305" s="19" t="str">
        <f t="shared" si="100"/>
        <v>B-BCP - Soles</v>
      </c>
      <c r="D1305" s="3" t="s">
        <v>1074</v>
      </c>
      <c r="E1305" s="14">
        <v>45763</v>
      </c>
      <c r="F1305" s="5" t="s">
        <v>1996</v>
      </c>
      <c r="G1305" s="5" t="s">
        <v>1079</v>
      </c>
      <c r="H1305" s="6"/>
      <c r="I1305" s="6" t="s">
        <v>52</v>
      </c>
      <c r="J1305" s="6" t="s">
        <v>1399</v>
      </c>
      <c r="K1305" s="6">
        <v>532989532</v>
      </c>
      <c r="L1305" s="7" t="s">
        <v>1400</v>
      </c>
      <c r="M1305" s="8">
        <v>122948</v>
      </c>
      <c r="N1305" s="8" t="str">
        <f t="shared" si="101"/>
        <v>PEN</v>
      </c>
      <c r="O1305" s="13"/>
      <c r="P1305" s="13">
        <v>1071.47</v>
      </c>
      <c r="Q1305" s="3">
        <f t="shared" si="102"/>
        <v>0</v>
      </c>
      <c r="R1305" s="3">
        <f t="shared" si="103"/>
        <v>1071.47</v>
      </c>
      <c r="S1305" s="3">
        <f t="shared" si="104"/>
        <v>28387.380000000034</v>
      </c>
      <c r="T1305" s="24" t="s">
        <v>1081</v>
      </c>
      <c r="U1305" s="24" t="s">
        <v>1081</v>
      </c>
      <c r="V1305" s="67"/>
      <c r="W1305" s="25" t="str">
        <f>IFERROR(VLOOKUP(BCP_Soles[[#This Row],[DESTINATARIO]],CHOOSE({1,2},Clientes_Proveedores[Razon Social],Clientes_Proveedores[Ruc / Dni]),2,0),"")</f>
        <v/>
      </c>
      <c r="X1305" s="25" t="s">
        <v>1397</v>
      </c>
      <c r="Y1305" s="25" t="s">
        <v>2447</v>
      </c>
      <c r="Z1305" s="25"/>
      <c r="AA1305" s="99"/>
      <c r="AB1305" s="3" t="str">
        <f>IF(BCP_Soles[[#This Row],[FECHA]]&gt;0,TEXT(BCP_Soles[[#This Row],[FECHA]],"mmmm"),0)</f>
        <v>Abril</v>
      </c>
    </row>
    <row r="1306" spans="2:28" ht="24" x14ac:dyDescent="0.3">
      <c r="B1306" s="2">
        <f>IF(BCP_Soles[[#This Row],[TIPO DE R.]]="R",COUNTIFS($D$4:$D1305,"R")+1,"")</f>
        <v>1018</v>
      </c>
      <c r="C1306" s="19" t="str">
        <f t="shared" si="100"/>
        <v>B-BCP - Soles</v>
      </c>
      <c r="D1306" s="3" t="s">
        <v>1074</v>
      </c>
      <c r="E1306" s="14">
        <v>45763</v>
      </c>
      <c r="F1306" s="5" t="s">
        <v>1996</v>
      </c>
      <c r="G1306" s="5" t="s">
        <v>1079</v>
      </c>
      <c r="H1306" s="6"/>
      <c r="I1306" s="6"/>
      <c r="J1306" s="6"/>
      <c r="K1306" s="6"/>
      <c r="L1306" s="7" t="s">
        <v>2448</v>
      </c>
      <c r="M1306" s="8">
        <v>1123889</v>
      </c>
      <c r="N1306" s="8" t="str">
        <f t="shared" si="101"/>
        <v>PEN</v>
      </c>
      <c r="O1306" s="13"/>
      <c r="P1306" s="13">
        <v>630</v>
      </c>
      <c r="Q1306" s="3">
        <f t="shared" si="102"/>
        <v>0</v>
      </c>
      <c r="R1306" s="3">
        <f t="shared" si="103"/>
        <v>630</v>
      </c>
      <c r="S1306" s="3">
        <f t="shared" si="104"/>
        <v>27757.380000000034</v>
      </c>
      <c r="T1306" s="24"/>
      <c r="U1306" s="24"/>
      <c r="V1306" s="67"/>
      <c r="W1306" s="25" t="str">
        <f>IFERROR(VLOOKUP(BCP_Soles[[#This Row],[DESTINATARIO]],CHOOSE({1,2},Clientes_Proveedores[Razon Social],Clientes_Proveedores[Ruc / Dni]),2,0),"")</f>
        <v/>
      </c>
      <c r="X1306" s="25" t="s">
        <v>859</v>
      </c>
      <c r="Y1306" s="25"/>
      <c r="Z1306" s="25"/>
      <c r="AA1306" s="99"/>
      <c r="AB1306" s="3" t="str">
        <f>IF(BCP_Soles[[#This Row],[FECHA]]&gt;0,TEXT(BCP_Soles[[#This Row],[FECHA]],"mmmm"),0)</f>
        <v>Abril</v>
      </c>
    </row>
    <row r="1307" spans="2:28" ht="24" x14ac:dyDescent="0.3">
      <c r="B1307" s="2">
        <f>IF(BCP_Soles[[#This Row],[TIPO DE R.]]="R",COUNTIFS($D$4:$D1306,"R")+1,"")</f>
        <v>1019</v>
      </c>
      <c r="C1307" s="19" t="str">
        <f t="shared" si="100"/>
        <v>B-BCP - Soles</v>
      </c>
      <c r="D1307" s="3" t="s">
        <v>1074</v>
      </c>
      <c r="E1307" s="14">
        <v>45763</v>
      </c>
      <c r="F1307" s="5" t="s">
        <v>1996</v>
      </c>
      <c r="G1307" s="5" t="s">
        <v>1079</v>
      </c>
      <c r="H1307" s="6"/>
      <c r="I1307" s="6"/>
      <c r="J1307" s="6"/>
      <c r="K1307" s="6"/>
      <c r="L1307" s="7" t="s">
        <v>2449</v>
      </c>
      <c r="M1307" s="8">
        <v>1123888</v>
      </c>
      <c r="N1307" s="8" t="str">
        <f t="shared" si="101"/>
        <v>PEN</v>
      </c>
      <c r="O1307" s="13"/>
      <c r="P1307" s="13">
        <v>600</v>
      </c>
      <c r="Q1307" s="3">
        <f t="shared" si="102"/>
        <v>0</v>
      </c>
      <c r="R1307" s="3">
        <f t="shared" si="103"/>
        <v>600</v>
      </c>
      <c r="S1307" s="3">
        <f t="shared" si="104"/>
        <v>27157.380000000034</v>
      </c>
      <c r="T1307" s="24"/>
      <c r="U1307" s="24"/>
      <c r="V1307" s="67"/>
      <c r="W1307" s="25" t="str">
        <f>IFERROR(VLOOKUP(BCP_Soles[[#This Row],[DESTINATARIO]],CHOOSE({1,2},Clientes_Proveedores[Razon Social],Clientes_Proveedores[Ruc / Dni]),2,0),"")</f>
        <v/>
      </c>
      <c r="X1307" s="25" t="s">
        <v>1334</v>
      </c>
      <c r="Y1307" s="25"/>
      <c r="Z1307" s="25"/>
      <c r="AA1307" s="99"/>
      <c r="AB1307" s="3" t="str">
        <f>IF(BCP_Soles[[#This Row],[FECHA]]&gt;0,TEXT(BCP_Soles[[#This Row],[FECHA]],"mmmm"),0)</f>
        <v>Abril</v>
      </c>
    </row>
    <row r="1308" spans="2:28" ht="24" x14ac:dyDescent="0.3">
      <c r="B1308" s="2">
        <f>IF(BCP_Soles[[#This Row],[TIPO DE R.]]="R",COUNTIFS($D$4:$D1307,"R")+1,"")</f>
        <v>1020</v>
      </c>
      <c r="C1308" s="19" t="str">
        <f t="shared" si="100"/>
        <v>B-BCP - Soles</v>
      </c>
      <c r="D1308" s="3" t="s">
        <v>1074</v>
      </c>
      <c r="E1308" s="14">
        <v>45763</v>
      </c>
      <c r="F1308" s="5" t="s">
        <v>1082</v>
      </c>
      <c r="G1308" s="5" t="s">
        <v>1079</v>
      </c>
      <c r="H1308" s="6" t="s">
        <v>614</v>
      </c>
      <c r="I1308" s="6" t="s">
        <v>14</v>
      </c>
      <c r="J1308" s="6" t="s">
        <v>1121</v>
      </c>
      <c r="K1308" s="6">
        <v>511</v>
      </c>
      <c r="L1308" s="7" t="s">
        <v>2450</v>
      </c>
      <c r="M1308" s="8">
        <v>1121462</v>
      </c>
      <c r="N1308" s="8" t="str">
        <f t="shared" si="101"/>
        <v>PEN</v>
      </c>
      <c r="O1308" s="13"/>
      <c r="P1308" s="13">
        <v>566</v>
      </c>
      <c r="Q1308" s="3">
        <f t="shared" si="102"/>
        <v>0</v>
      </c>
      <c r="R1308" s="3">
        <f t="shared" si="103"/>
        <v>566</v>
      </c>
      <c r="S1308" s="3">
        <f t="shared" si="104"/>
        <v>26591.380000000034</v>
      </c>
      <c r="T1308" s="24" t="s">
        <v>1081</v>
      </c>
      <c r="U1308" s="24" t="s">
        <v>1081</v>
      </c>
      <c r="V1308" s="67"/>
      <c r="W1308" s="25">
        <f>IFERROR(VLOOKUP(BCP_Soles[[#This Row],[DESTINATARIO]],CHOOSE({1,2},Clientes_Proveedores[Razon Social],Clientes_Proveedores[Ruc / Dni]),2,0),"")</f>
        <v>10439205666</v>
      </c>
      <c r="X1308" s="25" t="s">
        <v>614</v>
      </c>
      <c r="Y1308" s="25" t="s">
        <v>2451</v>
      </c>
      <c r="Z1308" s="25"/>
      <c r="AA1308" s="99"/>
      <c r="AB1308" s="3" t="str">
        <f>IF(BCP_Soles[[#This Row],[FECHA]]&gt;0,TEXT(BCP_Soles[[#This Row],[FECHA]],"mmmm"),0)</f>
        <v>Abril</v>
      </c>
    </row>
    <row r="1309" spans="2:28" ht="24" x14ac:dyDescent="0.3">
      <c r="B1309" s="2">
        <f>IF(BCP_Soles[[#This Row],[TIPO DE R.]]="R",COUNTIFS($D$4:$D1308,"R")+1,"")</f>
        <v>1021</v>
      </c>
      <c r="C1309" s="19" t="str">
        <f t="shared" si="100"/>
        <v>B-BCP - Soles</v>
      </c>
      <c r="D1309" s="3" t="s">
        <v>1074</v>
      </c>
      <c r="E1309" s="14">
        <v>45763</v>
      </c>
      <c r="F1309" s="5" t="s">
        <v>1996</v>
      </c>
      <c r="G1309" s="5" t="s">
        <v>1079</v>
      </c>
      <c r="H1309" s="6"/>
      <c r="I1309" s="6"/>
      <c r="J1309" s="6"/>
      <c r="K1309" s="6"/>
      <c r="L1309" s="7" t="s">
        <v>2452</v>
      </c>
      <c r="M1309" s="8">
        <v>1123437</v>
      </c>
      <c r="N1309" s="8" t="str">
        <f t="shared" si="101"/>
        <v>PEN</v>
      </c>
      <c r="O1309" s="13"/>
      <c r="P1309" s="13">
        <v>400</v>
      </c>
      <c r="Q1309" s="3">
        <f t="shared" si="102"/>
        <v>0</v>
      </c>
      <c r="R1309" s="3">
        <f t="shared" si="103"/>
        <v>400</v>
      </c>
      <c r="S1309" s="3">
        <f t="shared" si="104"/>
        <v>26191.380000000034</v>
      </c>
      <c r="T1309" s="24"/>
      <c r="U1309" s="24"/>
      <c r="V1309" s="67"/>
      <c r="W1309" s="25" t="str">
        <f>IFERROR(VLOOKUP(BCP_Soles[[#This Row],[DESTINATARIO]],CHOOSE({1,2},Clientes_Proveedores[Razon Social],Clientes_Proveedores[Ruc / Dni]),2,0),"")</f>
        <v/>
      </c>
      <c r="X1309" s="25" t="s">
        <v>963</v>
      </c>
      <c r="Y1309" s="25"/>
      <c r="Z1309" s="25"/>
      <c r="AA1309" s="99"/>
      <c r="AB1309" s="3" t="str">
        <f>IF(BCP_Soles[[#This Row],[FECHA]]&gt;0,TEXT(BCP_Soles[[#This Row],[FECHA]],"mmmm"),0)</f>
        <v>Abril</v>
      </c>
    </row>
    <row r="1310" spans="2:28" ht="24" x14ac:dyDescent="0.3">
      <c r="B1310" s="2">
        <f>IF(BCP_Soles[[#This Row],[TIPO DE R.]]="R",COUNTIFS($D$4:$D1309,"R")+1,"")</f>
        <v>1022</v>
      </c>
      <c r="C1310" s="19" t="str">
        <f t="shared" si="100"/>
        <v>B-BCP - Soles</v>
      </c>
      <c r="D1310" s="3" t="s">
        <v>1074</v>
      </c>
      <c r="E1310" s="14">
        <v>45763</v>
      </c>
      <c r="F1310" s="5" t="s">
        <v>1996</v>
      </c>
      <c r="G1310" s="5" t="s">
        <v>1079</v>
      </c>
      <c r="H1310" s="6" t="s">
        <v>645</v>
      </c>
      <c r="I1310" s="6" t="s">
        <v>52</v>
      </c>
      <c r="J1310" s="6" t="s">
        <v>1225</v>
      </c>
      <c r="K1310" s="6">
        <v>29714126</v>
      </c>
      <c r="L1310" s="7" t="s">
        <v>1301</v>
      </c>
      <c r="M1310" s="8">
        <v>120965</v>
      </c>
      <c r="N1310" s="8" t="str">
        <f t="shared" si="101"/>
        <v>PEN</v>
      </c>
      <c r="O1310" s="13"/>
      <c r="P1310" s="13">
        <v>363.9</v>
      </c>
      <c r="Q1310" s="3">
        <f t="shared" si="102"/>
        <v>0</v>
      </c>
      <c r="R1310" s="3">
        <f t="shared" si="103"/>
        <v>363.9</v>
      </c>
      <c r="S1310" s="3">
        <f t="shared" si="104"/>
        <v>25827.480000000032</v>
      </c>
      <c r="T1310" s="24" t="s">
        <v>1081</v>
      </c>
      <c r="U1310" s="24" t="s">
        <v>1081</v>
      </c>
      <c r="V1310" s="67"/>
      <c r="W1310" s="25">
        <f>IFERROR(VLOOKUP(BCP_Soles[[#This Row],[DESTINATARIO]],CHOOSE({1,2},Clientes_Proveedores[Razon Social],Clientes_Proveedores[Ruc / Dni]),2,0),"")</f>
        <v>20100188628</v>
      </c>
      <c r="X1310" s="25" t="s">
        <v>1227</v>
      </c>
      <c r="Y1310" s="25" t="s">
        <v>2453</v>
      </c>
      <c r="Z1310" s="25"/>
      <c r="AA1310" s="99"/>
      <c r="AB1310" s="3" t="str">
        <f>IF(BCP_Soles[[#This Row],[FECHA]]&gt;0,TEXT(BCP_Soles[[#This Row],[FECHA]],"mmmm"),0)</f>
        <v>Abril</v>
      </c>
    </row>
    <row r="1311" spans="2:28" ht="24" x14ac:dyDescent="0.3">
      <c r="B1311" s="2">
        <f>IF(BCP_Soles[[#This Row],[TIPO DE R.]]="R",COUNTIFS($D$4:$D1310,"R")+1,"")</f>
        <v>1023</v>
      </c>
      <c r="C1311" s="19" t="str">
        <f t="shared" si="100"/>
        <v>B-BCP - Soles</v>
      </c>
      <c r="D1311" s="3" t="s">
        <v>1074</v>
      </c>
      <c r="E1311" s="14">
        <v>45763</v>
      </c>
      <c r="F1311" s="5" t="s">
        <v>1996</v>
      </c>
      <c r="G1311" s="5" t="s">
        <v>1079</v>
      </c>
      <c r="H1311" s="6"/>
      <c r="I1311" s="6"/>
      <c r="J1311" s="6"/>
      <c r="K1311" s="6"/>
      <c r="L1311" s="7" t="s">
        <v>2454</v>
      </c>
      <c r="M1311" s="8">
        <v>1123439</v>
      </c>
      <c r="N1311" s="8" t="str">
        <f t="shared" si="101"/>
        <v>PEN</v>
      </c>
      <c r="O1311" s="13"/>
      <c r="P1311" s="13">
        <v>200</v>
      </c>
      <c r="Q1311" s="3">
        <f t="shared" si="102"/>
        <v>0</v>
      </c>
      <c r="R1311" s="3">
        <f t="shared" si="103"/>
        <v>200</v>
      </c>
      <c r="S1311" s="3">
        <f t="shared" si="104"/>
        <v>25627.480000000032</v>
      </c>
      <c r="T1311" s="24"/>
      <c r="U1311" s="24"/>
      <c r="V1311" s="67"/>
      <c r="W1311" s="25" t="str">
        <f>IFERROR(VLOOKUP(BCP_Soles[[#This Row],[DESTINATARIO]],CHOOSE({1,2},Clientes_Proveedores[Razon Social],Clientes_Proveedores[Ruc / Dni]),2,0),"")</f>
        <v/>
      </c>
      <c r="X1311" s="25" t="s">
        <v>807</v>
      </c>
      <c r="Y1311" s="25"/>
      <c r="Z1311" s="25"/>
      <c r="AA1311" s="99"/>
      <c r="AB1311" s="3" t="str">
        <f>IF(BCP_Soles[[#This Row],[FECHA]]&gt;0,TEXT(BCP_Soles[[#This Row],[FECHA]],"mmmm"),0)</f>
        <v>Abril</v>
      </c>
    </row>
    <row r="1312" spans="2:28" ht="24" x14ac:dyDescent="0.3">
      <c r="B1312" s="2">
        <f>IF(BCP_Soles[[#This Row],[TIPO DE R.]]="R",COUNTIFS($D$4:$D1311,"R")+1,"")</f>
        <v>1024</v>
      </c>
      <c r="C1312" s="19" t="str">
        <f t="shared" si="100"/>
        <v>B-BCP - Soles</v>
      </c>
      <c r="D1312" s="3" t="s">
        <v>1074</v>
      </c>
      <c r="E1312" s="14">
        <v>45763</v>
      </c>
      <c r="F1312" s="5" t="s">
        <v>1082</v>
      </c>
      <c r="G1312" s="5" t="s">
        <v>1079</v>
      </c>
      <c r="H1312" s="6"/>
      <c r="I1312" s="6"/>
      <c r="J1312" s="6"/>
      <c r="K1312" s="6"/>
      <c r="L1312" s="7" t="s">
        <v>2455</v>
      </c>
      <c r="M1312" s="8">
        <v>1120483</v>
      </c>
      <c r="N1312" s="8" t="str">
        <f t="shared" si="101"/>
        <v>PEN</v>
      </c>
      <c r="O1312" s="13"/>
      <c r="P1312" s="13">
        <v>200</v>
      </c>
      <c r="Q1312" s="3">
        <f t="shared" si="102"/>
        <v>0</v>
      </c>
      <c r="R1312" s="3">
        <f t="shared" si="103"/>
        <v>200</v>
      </c>
      <c r="S1312" s="3">
        <f t="shared" si="104"/>
        <v>25427.480000000032</v>
      </c>
      <c r="T1312" s="24"/>
      <c r="U1312" s="24"/>
      <c r="V1312" s="67"/>
      <c r="W1312" s="25" t="str">
        <f>IFERROR(VLOOKUP(BCP_Soles[[#This Row],[DESTINATARIO]],CHOOSE({1,2},Clientes_Proveedores[Razon Social],Clientes_Proveedores[Ruc / Dni]),2,0),"")</f>
        <v/>
      </c>
      <c r="X1312" s="25" t="s">
        <v>955</v>
      </c>
      <c r="Y1312" s="25"/>
      <c r="Z1312" s="25"/>
      <c r="AA1312" s="99"/>
      <c r="AB1312" s="3" t="str">
        <f>IF(BCP_Soles[[#This Row],[FECHA]]&gt;0,TEXT(BCP_Soles[[#This Row],[FECHA]],"mmmm"),0)</f>
        <v>Abril</v>
      </c>
    </row>
    <row r="1313" spans="2:28" ht="24" x14ac:dyDescent="0.3">
      <c r="B1313" s="2">
        <f>IF(BCP_Soles[[#This Row],[TIPO DE R.]]="R",COUNTIFS($D$4:$D1312,"R")+1,"")</f>
        <v>1025</v>
      </c>
      <c r="C1313" s="19" t="str">
        <f t="shared" si="100"/>
        <v>B-BCP - Soles</v>
      </c>
      <c r="D1313" s="3" t="s">
        <v>1074</v>
      </c>
      <c r="E1313" s="14">
        <v>45763</v>
      </c>
      <c r="F1313" s="5" t="s">
        <v>1082</v>
      </c>
      <c r="G1313" s="5" t="s">
        <v>1079</v>
      </c>
      <c r="H1313" s="6"/>
      <c r="I1313" s="6"/>
      <c r="J1313" s="6"/>
      <c r="K1313" s="6"/>
      <c r="L1313" s="7" t="s">
        <v>2456</v>
      </c>
      <c r="M1313" s="8">
        <v>1121461</v>
      </c>
      <c r="N1313" s="8" t="str">
        <f t="shared" si="101"/>
        <v>PEN</v>
      </c>
      <c r="O1313" s="13"/>
      <c r="P1313" s="13">
        <v>150</v>
      </c>
      <c r="Q1313" s="3">
        <f t="shared" si="102"/>
        <v>0</v>
      </c>
      <c r="R1313" s="3">
        <f t="shared" si="103"/>
        <v>150</v>
      </c>
      <c r="S1313" s="3">
        <f t="shared" si="104"/>
        <v>25277.480000000032</v>
      </c>
      <c r="T1313" s="24"/>
      <c r="U1313" s="24"/>
      <c r="V1313" s="67"/>
      <c r="W1313" s="25" t="str">
        <f>IFERROR(VLOOKUP(BCP_Soles[[#This Row],[DESTINATARIO]],CHOOSE({1,2},Clientes_Proveedores[Razon Social],Clientes_Proveedores[Ruc / Dni]),2,0),"")</f>
        <v/>
      </c>
      <c r="X1313" s="25" t="s">
        <v>1338</v>
      </c>
      <c r="Y1313" s="25"/>
      <c r="Z1313" s="25"/>
      <c r="AA1313" s="99"/>
      <c r="AB1313" s="3" t="str">
        <f>IF(BCP_Soles[[#This Row],[FECHA]]&gt;0,TEXT(BCP_Soles[[#This Row],[FECHA]],"mmmm"),0)</f>
        <v>Abril</v>
      </c>
    </row>
    <row r="1314" spans="2:28" ht="24" x14ac:dyDescent="0.3">
      <c r="B1314" s="2">
        <f>IF(BCP_Soles[[#This Row],[TIPO DE R.]]="R",COUNTIFS($D$4:$D1313,"R")+1,"")</f>
        <v>1026</v>
      </c>
      <c r="C1314" s="19" t="str">
        <f t="shared" si="100"/>
        <v>B-BCP - Soles</v>
      </c>
      <c r="D1314" s="3" t="s">
        <v>1074</v>
      </c>
      <c r="E1314" s="14">
        <v>45763</v>
      </c>
      <c r="F1314" s="5" t="s">
        <v>1082</v>
      </c>
      <c r="G1314" s="5" t="s">
        <v>1079</v>
      </c>
      <c r="H1314" s="6" t="s">
        <v>645</v>
      </c>
      <c r="I1314" s="6" t="s">
        <v>52</v>
      </c>
      <c r="J1314" s="6" t="s">
        <v>1225</v>
      </c>
      <c r="K1314" s="6">
        <v>29714066</v>
      </c>
      <c r="L1314" s="7" t="s">
        <v>1226</v>
      </c>
      <c r="M1314" s="8">
        <v>120966</v>
      </c>
      <c r="N1314" s="8" t="str">
        <f t="shared" si="101"/>
        <v>PEN</v>
      </c>
      <c r="O1314" s="13"/>
      <c r="P1314" s="13">
        <v>136.6</v>
      </c>
      <c r="Q1314" s="3">
        <f t="shared" si="102"/>
        <v>0</v>
      </c>
      <c r="R1314" s="3">
        <f t="shared" si="103"/>
        <v>136.6</v>
      </c>
      <c r="S1314" s="3">
        <f t="shared" si="104"/>
        <v>25140.880000000034</v>
      </c>
      <c r="T1314" s="24" t="s">
        <v>1081</v>
      </c>
      <c r="U1314" s="24" t="s">
        <v>1081</v>
      </c>
      <c r="V1314" s="67"/>
      <c r="W1314" s="25">
        <f>IFERROR(VLOOKUP(BCP_Soles[[#This Row],[DESTINATARIO]],CHOOSE({1,2},Clientes_Proveedores[Razon Social],Clientes_Proveedores[Ruc / Dni]),2,0),"")</f>
        <v>20100188628</v>
      </c>
      <c r="X1314" s="25" t="s">
        <v>1227</v>
      </c>
      <c r="Y1314" s="25" t="s">
        <v>2457</v>
      </c>
      <c r="Z1314" s="25"/>
      <c r="AA1314" s="99"/>
      <c r="AB1314" s="3" t="str">
        <f>IF(BCP_Soles[[#This Row],[FECHA]]&gt;0,TEXT(BCP_Soles[[#This Row],[FECHA]],"mmmm"),0)</f>
        <v>Abril</v>
      </c>
    </row>
    <row r="1315" spans="2:28" ht="24" x14ac:dyDescent="0.3">
      <c r="B1315" s="2">
        <f>IF(BCP_Soles[[#This Row],[TIPO DE R.]]="R",COUNTIFS($D$4:$D1314,"R")+1,"")</f>
        <v>1027</v>
      </c>
      <c r="C1315" s="19" t="str">
        <f t="shared" si="100"/>
        <v>B-BCP - Soles</v>
      </c>
      <c r="D1315" s="3" t="s">
        <v>1074</v>
      </c>
      <c r="E1315" s="14">
        <v>45763</v>
      </c>
      <c r="F1315" s="5" t="s">
        <v>1996</v>
      </c>
      <c r="G1315" s="5" t="s">
        <v>1079</v>
      </c>
      <c r="H1315" s="6" t="s">
        <v>192</v>
      </c>
      <c r="I1315" s="6"/>
      <c r="J1315" s="6"/>
      <c r="K1315" s="6"/>
      <c r="L1315" s="7" t="s">
        <v>2436</v>
      </c>
      <c r="M1315" s="8">
        <v>1287378</v>
      </c>
      <c r="N1315" s="8" t="str">
        <f t="shared" si="101"/>
        <v>PEN</v>
      </c>
      <c r="O1315" s="13"/>
      <c r="P1315" s="13">
        <v>125.55</v>
      </c>
      <c r="Q1315" s="3">
        <f t="shared" si="102"/>
        <v>0</v>
      </c>
      <c r="R1315" s="3">
        <f t="shared" si="103"/>
        <v>125.55</v>
      </c>
      <c r="S1315" s="3">
        <f t="shared" si="104"/>
        <v>25015.330000000034</v>
      </c>
      <c r="T1315" s="24"/>
      <c r="U1315" s="24"/>
      <c r="V1315" s="67"/>
      <c r="W1315" s="25">
        <f>IFERROR(VLOOKUP(BCP_Soles[[#This Row],[DESTINATARIO]],CHOOSE({1,2},Clientes_Proveedores[Razon Social],Clientes_Proveedores[Ruc / Dni]),2,0),"")</f>
        <v>20302891452</v>
      </c>
      <c r="X1315" s="25" t="s">
        <v>192</v>
      </c>
      <c r="Y1315" s="25"/>
      <c r="Z1315" s="25"/>
      <c r="AA1315" s="99"/>
      <c r="AB1315" s="3" t="str">
        <f>IF(BCP_Soles[[#This Row],[FECHA]]&gt;0,TEXT(BCP_Soles[[#This Row],[FECHA]],"mmmm"),0)</f>
        <v>Abril</v>
      </c>
    </row>
    <row r="1316" spans="2:28" ht="24" x14ac:dyDescent="0.3">
      <c r="B1316" s="2">
        <f>IF(BCP_Soles[[#This Row],[TIPO DE R.]]="R",COUNTIFS($D$4:$D1315,"R")+1,"")</f>
        <v>1028</v>
      </c>
      <c r="C1316" s="19" t="str">
        <f t="shared" si="100"/>
        <v>B-BCP - Soles</v>
      </c>
      <c r="D1316" s="3" t="s">
        <v>1074</v>
      </c>
      <c r="E1316" s="14">
        <v>45763</v>
      </c>
      <c r="F1316" s="5" t="s">
        <v>1082</v>
      </c>
      <c r="G1316" s="5" t="s">
        <v>1079</v>
      </c>
      <c r="H1316" s="6" t="s">
        <v>105</v>
      </c>
      <c r="I1316" s="6" t="s">
        <v>14</v>
      </c>
      <c r="J1316" s="6" t="s">
        <v>1121</v>
      </c>
      <c r="K1316" s="6">
        <v>265</v>
      </c>
      <c r="L1316" s="7" t="s">
        <v>2458</v>
      </c>
      <c r="M1316" s="8">
        <v>1285405</v>
      </c>
      <c r="N1316" s="8" t="str">
        <f t="shared" si="101"/>
        <v>PEN</v>
      </c>
      <c r="O1316" s="13"/>
      <c r="P1316" s="13">
        <v>60</v>
      </c>
      <c r="Q1316" s="3">
        <f t="shared" si="102"/>
        <v>0</v>
      </c>
      <c r="R1316" s="3">
        <f t="shared" si="103"/>
        <v>60</v>
      </c>
      <c r="S1316" s="3">
        <f t="shared" si="104"/>
        <v>24955.330000000034</v>
      </c>
      <c r="T1316" s="24" t="s">
        <v>1081</v>
      </c>
      <c r="U1316" s="24" t="s">
        <v>1081</v>
      </c>
      <c r="V1316" s="67"/>
      <c r="W1316" s="25">
        <f>IFERROR(VLOOKUP(BCP_Soles[[#This Row],[DESTINATARIO]],CHOOSE({1,2},Clientes_Proveedores[Razon Social],Clientes_Proveedores[Ruc / Dni]),2,0),"")</f>
        <v>10416031679</v>
      </c>
      <c r="X1316" s="25" t="s">
        <v>105</v>
      </c>
      <c r="Y1316" s="25" t="s">
        <v>2459</v>
      </c>
      <c r="Z1316" s="25"/>
      <c r="AA1316" s="99"/>
      <c r="AB1316" s="3" t="str">
        <f>IF(BCP_Soles[[#This Row],[FECHA]]&gt;0,TEXT(BCP_Soles[[#This Row],[FECHA]],"mmmm"),0)</f>
        <v>Abril</v>
      </c>
    </row>
    <row r="1317" spans="2:28" ht="24" x14ac:dyDescent="0.3">
      <c r="B1317" s="2">
        <f>IF(BCP_Soles[[#This Row],[TIPO DE R.]]="R",COUNTIFS($D$4:$D1316,"R")+1,"")</f>
        <v>1029</v>
      </c>
      <c r="C1317" s="19" t="str">
        <f t="shared" si="100"/>
        <v>B-BCP - Soles</v>
      </c>
      <c r="D1317" s="3" t="s">
        <v>1074</v>
      </c>
      <c r="E1317" s="14">
        <v>45763</v>
      </c>
      <c r="F1317" s="5" t="s">
        <v>1996</v>
      </c>
      <c r="G1317" s="5" t="s">
        <v>1079</v>
      </c>
      <c r="H1317" s="6" t="s">
        <v>192</v>
      </c>
      <c r="I1317" s="6"/>
      <c r="J1317" s="6"/>
      <c r="K1317" s="6"/>
      <c r="L1317" s="7" t="s">
        <v>2460</v>
      </c>
      <c r="M1317" s="8">
        <v>1287377</v>
      </c>
      <c r="N1317" s="8" t="str">
        <f t="shared" si="101"/>
        <v>PEN</v>
      </c>
      <c r="O1317" s="13"/>
      <c r="P1317" s="13">
        <v>40.71</v>
      </c>
      <c r="Q1317" s="3">
        <f t="shared" si="102"/>
        <v>0</v>
      </c>
      <c r="R1317" s="3">
        <f t="shared" si="103"/>
        <v>40.71</v>
      </c>
      <c r="S1317" s="3">
        <f t="shared" si="104"/>
        <v>24914.620000000035</v>
      </c>
      <c r="T1317" s="24"/>
      <c r="U1317" s="24"/>
      <c r="V1317" s="67"/>
      <c r="W1317" s="25">
        <f>IFERROR(VLOOKUP(BCP_Soles[[#This Row],[DESTINATARIO]],CHOOSE({1,2},Clientes_Proveedores[Razon Social],Clientes_Proveedores[Ruc / Dni]),2,0),"")</f>
        <v>20302891452</v>
      </c>
      <c r="X1317" s="25" t="s">
        <v>192</v>
      </c>
      <c r="Y1317" s="25"/>
      <c r="Z1317" s="25"/>
      <c r="AA1317" s="99"/>
      <c r="AB1317" s="3" t="str">
        <f>IF(BCP_Soles[[#This Row],[FECHA]]&gt;0,TEXT(BCP_Soles[[#This Row],[FECHA]],"mmmm"),0)</f>
        <v>Abril</v>
      </c>
    </row>
    <row r="1318" spans="2:28" x14ac:dyDescent="0.3">
      <c r="B1318" s="2">
        <f>IF(BCP_Soles[[#This Row],[TIPO DE R.]]="R",COUNTIFS($D$4:$D1317,"R")+1,"")</f>
        <v>1030</v>
      </c>
      <c r="C1318" s="19" t="str">
        <f t="shared" si="100"/>
        <v>B-BCP - Soles</v>
      </c>
      <c r="D1318" s="3" t="s">
        <v>1074</v>
      </c>
      <c r="E1318" s="14">
        <v>45763</v>
      </c>
      <c r="F1318" s="5" t="s">
        <v>1996</v>
      </c>
      <c r="G1318" s="5" t="s">
        <v>1079</v>
      </c>
      <c r="H1318" s="6"/>
      <c r="I1318" s="6" t="s">
        <v>14</v>
      </c>
      <c r="J1318" s="6" t="s">
        <v>1395</v>
      </c>
      <c r="K1318" s="6">
        <v>281848</v>
      </c>
      <c r="L1318" s="7" t="s">
        <v>1396</v>
      </c>
      <c r="M1318" s="8">
        <v>122465</v>
      </c>
      <c r="N1318" s="8" t="str">
        <f t="shared" si="101"/>
        <v>PEN</v>
      </c>
      <c r="O1318" s="13"/>
      <c r="P1318" s="13">
        <v>36.58</v>
      </c>
      <c r="Q1318" s="3">
        <f t="shared" si="102"/>
        <v>0</v>
      </c>
      <c r="R1318" s="3">
        <f t="shared" si="103"/>
        <v>36.58</v>
      </c>
      <c r="S1318" s="3">
        <f t="shared" si="104"/>
        <v>24878.040000000034</v>
      </c>
      <c r="T1318" s="24" t="s">
        <v>1081</v>
      </c>
      <c r="U1318" s="24"/>
      <c r="V1318" s="67"/>
      <c r="W1318" s="25" t="str">
        <f>IFERROR(VLOOKUP(BCP_Soles[[#This Row],[DESTINATARIO]],CHOOSE({1,2},Clientes_Proveedores[Razon Social],Clientes_Proveedores[Ruc / Dni]),2,0),"")</f>
        <v/>
      </c>
      <c r="X1318" s="25" t="s">
        <v>1397</v>
      </c>
      <c r="Y1318" s="25" t="s">
        <v>2193</v>
      </c>
      <c r="Z1318" s="25"/>
      <c r="AA1318" s="99"/>
      <c r="AB1318" s="3" t="str">
        <f>IF(BCP_Soles[[#This Row],[FECHA]]&gt;0,TEXT(BCP_Soles[[#This Row],[FECHA]],"mmmm"),0)</f>
        <v>Abril</v>
      </c>
    </row>
    <row r="1319" spans="2:28" ht="24" x14ac:dyDescent="0.3">
      <c r="B1319" s="2">
        <f>IF(BCP_Soles[[#This Row],[TIPO DE R.]]="R",COUNTIFS($D$4:$D1318,"R")+1,"")</f>
        <v>1031</v>
      </c>
      <c r="C1319" s="19" t="str">
        <f t="shared" si="100"/>
        <v>B-BCP - Soles</v>
      </c>
      <c r="D1319" s="3" t="s">
        <v>1074</v>
      </c>
      <c r="E1319" s="14">
        <v>45763</v>
      </c>
      <c r="F1319" s="5" t="s">
        <v>1996</v>
      </c>
      <c r="G1319" s="5" t="s">
        <v>1079</v>
      </c>
      <c r="H1319" s="6"/>
      <c r="I1319" s="6" t="s">
        <v>52</v>
      </c>
      <c r="J1319" s="6" t="s">
        <v>1230</v>
      </c>
      <c r="K1319" s="6">
        <v>58049</v>
      </c>
      <c r="L1319" s="7" t="s">
        <v>1307</v>
      </c>
      <c r="M1319" s="8">
        <v>4122947</v>
      </c>
      <c r="N1319" s="8" t="str">
        <f t="shared" si="101"/>
        <v>PEN</v>
      </c>
      <c r="O1319" s="13"/>
      <c r="P1319" s="13">
        <v>18.899999999999999</v>
      </c>
      <c r="Q1319" s="3">
        <f t="shared" si="102"/>
        <v>0</v>
      </c>
      <c r="R1319" s="3">
        <f t="shared" si="103"/>
        <v>18.899999999999999</v>
      </c>
      <c r="S1319" s="3">
        <f t="shared" si="104"/>
        <v>24859.140000000032</v>
      </c>
      <c r="T1319" s="24" t="s">
        <v>1081</v>
      </c>
      <c r="U1319" s="24" t="s">
        <v>1081</v>
      </c>
      <c r="V1319" s="67"/>
      <c r="W1319" s="25" t="str">
        <f>IFERROR(VLOOKUP(BCP_Soles[[#This Row],[DESTINATARIO]],CHOOSE({1,2},Clientes_Proveedores[Razon Social],Clientes_Proveedores[Ruc / Dni]),2,0),"")</f>
        <v/>
      </c>
      <c r="X1319" s="25" t="s">
        <v>1309</v>
      </c>
      <c r="Y1319" s="25" t="s">
        <v>2461</v>
      </c>
      <c r="Z1319" s="25"/>
      <c r="AA1319" s="99"/>
      <c r="AB1319" s="3" t="str">
        <f>IF(BCP_Soles[[#This Row],[FECHA]]&gt;0,TEXT(BCP_Soles[[#This Row],[FECHA]],"mmmm"),0)</f>
        <v>Abril</v>
      </c>
    </row>
    <row r="1320" spans="2:28" ht="24" x14ac:dyDescent="0.3">
      <c r="B1320" s="2">
        <f>IF(BCP_Soles[[#This Row],[TIPO DE R.]]="R",COUNTIFS($D$4:$D1319,"R")+1,"")</f>
        <v>1032</v>
      </c>
      <c r="C1320" s="19" t="str">
        <f t="shared" si="100"/>
        <v>B-BCP - Soles</v>
      </c>
      <c r="D1320" s="3" t="s">
        <v>1074</v>
      </c>
      <c r="E1320" s="14">
        <v>45763</v>
      </c>
      <c r="F1320" s="5" t="s">
        <v>1996</v>
      </c>
      <c r="G1320" s="5" t="s">
        <v>1079</v>
      </c>
      <c r="H1320" s="6" t="s">
        <v>646</v>
      </c>
      <c r="I1320" s="6" t="s">
        <v>52</v>
      </c>
      <c r="J1320" s="6" t="s">
        <v>1299</v>
      </c>
      <c r="K1320" s="6">
        <v>5595813</v>
      </c>
      <c r="L1320" s="7" t="s">
        <v>1231</v>
      </c>
      <c r="M1320" s="8">
        <v>4123887</v>
      </c>
      <c r="N1320" s="8" t="str">
        <f t="shared" si="101"/>
        <v>PEN</v>
      </c>
      <c r="O1320" s="13"/>
      <c r="P1320" s="13">
        <v>11.3</v>
      </c>
      <c r="Q1320" s="3">
        <f t="shared" si="102"/>
        <v>0</v>
      </c>
      <c r="R1320" s="3">
        <f t="shared" si="103"/>
        <v>11.3</v>
      </c>
      <c r="S1320" s="3">
        <f t="shared" si="104"/>
        <v>24847.840000000033</v>
      </c>
      <c r="T1320" s="24" t="s">
        <v>1081</v>
      </c>
      <c r="U1320" s="24" t="s">
        <v>1081</v>
      </c>
      <c r="V1320" s="67"/>
      <c r="W1320" s="25">
        <f>IFERROR(VLOOKUP(BCP_Soles[[#This Row],[DESTINATARIO]],CHOOSE({1,2},Clientes_Proveedores[Razon Social],Clientes_Proveedores[Ruc / Dni]),2,0),"")</f>
        <v>20100152356</v>
      </c>
      <c r="X1320" s="25" t="s">
        <v>646</v>
      </c>
      <c r="Y1320" s="25" t="s">
        <v>2462</v>
      </c>
      <c r="Z1320" s="25"/>
      <c r="AA1320" s="99"/>
      <c r="AB1320" s="3" t="str">
        <f>IF(BCP_Soles[[#This Row],[FECHA]]&gt;0,TEXT(BCP_Soles[[#This Row],[FECHA]],"mmmm"),0)</f>
        <v>Abril</v>
      </c>
    </row>
    <row r="1321" spans="2:28" x14ac:dyDescent="0.3">
      <c r="B1321" s="2">
        <f>IF(BCP_Soles[[#This Row],[TIPO DE R.]]="R",COUNTIFS($D$4:$D1320,"R")+1,"")</f>
        <v>1033</v>
      </c>
      <c r="C1321" s="19" t="str">
        <f t="shared" si="100"/>
        <v>B-BCP - Soles</v>
      </c>
      <c r="D1321" s="3" t="s">
        <v>1074</v>
      </c>
      <c r="E1321" s="14">
        <v>45763</v>
      </c>
      <c r="F1321" s="5" t="s">
        <v>319</v>
      </c>
      <c r="G1321" s="5" t="s">
        <v>1087</v>
      </c>
      <c r="H1321" s="6"/>
      <c r="I1321" s="6"/>
      <c r="J1321" s="6"/>
      <c r="K1321" s="6"/>
      <c r="L1321" s="7" t="s">
        <v>1127</v>
      </c>
      <c r="M1321" s="8">
        <v>7438</v>
      </c>
      <c r="N1321" s="8" t="str">
        <f t="shared" si="101"/>
        <v>PEN</v>
      </c>
      <c r="O1321" s="13"/>
      <c r="P1321" s="13">
        <v>839.49</v>
      </c>
      <c r="Q1321" s="3">
        <f t="shared" si="102"/>
        <v>839.49</v>
      </c>
      <c r="R1321" s="3">
        <f t="shared" si="103"/>
        <v>0</v>
      </c>
      <c r="S1321" s="3">
        <f t="shared" si="104"/>
        <v>25687.330000000034</v>
      </c>
      <c r="T1321" s="24" t="s">
        <v>1081</v>
      </c>
      <c r="U1321" s="24" t="s">
        <v>1081</v>
      </c>
      <c r="V1321" s="67"/>
      <c r="W1321" s="25" t="str">
        <f>IFERROR(VLOOKUP(BCP_Soles[[#This Row],[DESTINATARIO]],CHOOSE({1,2},Clientes_Proveedores[Razon Social],Clientes_Proveedores[Ruc / Dni]),2,0),"")</f>
        <v/>
      </c>
      <c r="X1321" s="25" t="s">
        <v>1090</v>
      </c>
      <c r="Y1321" s="25" t="s">
        <v>2463</v>
      </c>
      <c r="Z1321" s="25"/>
      <c r="AA1321" s="99"/>
      <c r="AB1321" s="3" t="str">
        <f>IF(BCP_Soles[[#This Row],[FECHA]]&gt;0,TEXT(BCP_Soles[[#This Row],[FECHA]],"mmmm"),0)</f>
        <v>Abril</v>
      </c>
    </row>
    <row r="1322" spans="2:28" ht="36" x14ac:dyDescent="0.3">
      <c r="B1322" s="2">
        <f>IF(BCP_Soles[[#This Row],[TIPO DE R.]]="R",COUNTIFS($D$4:$D1321,"R")+1,"")</f>
        <v>1034</v>
      </c>
      <c r="C1322" s="19" t="str">
        <f t="shared" si="100"/>
        <v>B-BCP - Soles</v>
      </c>
      <c r="D1322" s="3" t="s">
        <v>1074</v>
      </c>
      <c r="E1322" s="14">
        <v>45763</v>
      </c>
      <c r="F1322" s="5" t="s">
        <v>1368</v>
      </c>
      <c r="G1322" s="5" t="s">
        <v>1087</v>
      </c>
      <c r="H1322" s="6"/>
      <c r="I1322" s="6"/>
      <c r="J1322" s="6"/>
      <c r="K1322" s="6"/>
      <c r="L1322" s="7" t="s">
        <v>1100</v>
      </c>
      <c r="M1322" s="8">
        <v>1451400</v>
      </c>
      <c r="N1322" s="8" t="str">
        <f t="shared" si="101"/>
        <v>PEN</v>
      </c>
      <c r="O1322" s="13"/>
      <c r="P1322" s="13">
        <v>300.7</v>
      </c>
      <c r="Q1322" s="3">
        <f t="shared" si="102"/>
        <v>300.7</v>
      </c>
      <c r="R1322" s="3">
        <f t="shared" si="103"/>
        <v>0</v>
      </c>
      <c r="S1322" s="3">
        <f t="shared" si="104"/>
        <v>25988.030000000035</v>
      </c>
      <c r="T1322" s="24" t="s">
        <v>1081</v>
      </c>
      <c r="U1322" s="24" t="s">
        <v>1081</v>
      </c>
      <c r="V1322" s="67"/>
      <c r="W1322" s="25" t="str">
        <f>IFERROR(VLOOKUP(BCP_Soles[[#This Row],[DESTINATARIO]],CHOOSE({1,2},Clientes_Proveedores[Razon Social],Clientes_Proveedores[Ruc / Dni]),2,0),"")</f>
        <v/>
      </c>
      <c r="X1322" s="25" t="s">
        <v>1090</v>
      </c>
      <c r="Y1322" s="25" t="s">
        <v>2464</v>
      </c>
      <c r="Z1322" s="25"/>
      <c r="AA1322" s="99"/>
      <c r="AB1322" s="3" t="str">
        <f>IF(BCP_Soles[[#This Row],[FECHA]]&gt;0,TEXT(BCP_Soles[[#This Row],[FECHA]],"mmmm"),0)</f>
        <v>Abril</v>
      </c>
    </row>
    <row r="1323" spans="2:28" ht="24" x14ac:dyDescent="0.3">
      <c r="B1323" s="2">
        <f>IF(BCP_Soles[[#This Row],[TIPO DE R.]]="R",COUNTIFS($D$4:$D1322,"R")+1,"")</f>
        <v>1035</v>
      </c>
      <c r="C1323" s="19" t="str">
        <f t="shared" si="100"/>
        <v>B-BCP - Soles</v>
      </c>
      <c r="D1323" s="3" t="s">
        <v>1074</v>
      </c>
      <c r="E1323" s="14">
        <v>45765</v>
      </c>
      <c r="F1323" s="5" t="s">
        <v>1163</v>
      </c>
      <c r="G1323" s="5" t="s">
        <v>1079</v>
      </c>
      <c r="H1323" s="6"/>
      <c r="I1323" s="6"/>
      <c r="J1323" s="6"/>
      <c r="K1323" s="6"/>
      <c r="L1323" s="7" t="s">
        <v>2465</v>
      </c>
      <c r="M1323" s="8">
        <v>851140</v>
      </c>
      <c r="N1323" s="8" t="str">
        <f t="shared" si="101"/>
        <v>PEN</v>
      </c>
      <c r="O1323" s="13"/>
      <c r="P1323" s="13">
        <v>122</v>
      </c>
      <c r="Q1323" s="3">
        <f t="shared" si="102"/>
        <v>0</v>
      </c>
      <c r="R1323" s="3">
        <f t="shared" si="103"/>
        <v>122</v>
      </c>
      <c r="S1323" s="3">
        <f t="shared" si="104"/>
        <v>25866.030000000035</v>
      </c>
      <c r="T1323" s="24"/>
      <c r="U1323" s="24"/>
      <c r="V1323" s="67"/>
      <c r="W1323" s="25" t="str">
        <f>IFERROR(VLOOKUP(BCP_Soles[[#This Row],[DESTINATARIO]],CHOOSE({1,2},Clientes_Proveedores[Razon Social],Clientes_Proveedores[Ruc / Dni]),2,0),"")</f>
        <v/>
      </c>
      <c r="X1323" s="25"/>
      <c r="Y1323" s="25" t="s">
        <v>1172</v>
      </c>
      <c r="Z1323" s="25"/>
      <c r="AA1323" s="99"/>
      <c r="AB1323" s="3" t="str">
        <f>IF(BCP_Soles[[#This Row],[FECHA]]&gt;0,TEXT(BCP_Soles[[#This Row],[FECHA]],"mmmm"),0)</f>
        <v>Abril</v>
      </c>
    </row>
    <row r="1324" spans="2:28" ht="24" x14ac:dyDescent="0.3">
      <c r="B1324" s="2">
        <f>IF(BCP_Soles[[#This Row],[TIPO DE R.]]="R",COUNTIFS($D$4:$D1323,"R")+1,"")</f>
        <v>1036</v>
      </c>
      <c r="C1324" s="19" t="str">
        <f t="shared" si="100"/>
        <v>B-BCP - Soles</v>
      </c>
      <c r="D1324" s="3" t="s">
        <v>1074</v>
      </c>
      <c r="E1324" s="14">
        <v>45768</v>
      </c>
      <c r="F1324" s="5" t="s">
        <v>2466</v>
      </c>
      <c r="G1324" s="5" t="s">
        <v>1087</v>
      </c>
      <c r="H1324" s="6"/>
      <c r="I1324" s="6"/>
      <c r="J1324" s="6"/>
      <c r="K1324" s="6"/>
      <c r="L1324" s="7" t="s">
        <v>1100</v>
      </c>
      <c r="M1324" s="8">
        <v>292978</v>
      </c>
      <c r="N1324" s="8" t="str">
        <f t="shared" si="101"/>
        <v>PEN</v>
      </c>
      <c r="O1324" s="13"/>
      <c r="P1324" s="13">
        <v>200</v>
      </c>
      <c r="Q1324" s="3">
        <f t="shared" si="102"/>
        <v>200</v>
      </c>
      <c r="R1324" s="3">
        <f t="shared" si="103"/>
        <v>0</v>
      </c>
      <c r="S1324" s="3">
        <f t="shared" si="104"/>
        <v>26066.030000000035</v>
      </c>
      <c r="T1324" s="24" t="s">
        <v>1081</v>
      </c>
      <c r="U1324" s="24" t="s">
        <v>1081</v>
      </c>
      <c r="V1324" s="67"/>
      <c r="W1324" s="25" t="str">
        <f>IFERROR(VLOOKUP(BCP_Soles[[#This Row],[DESTINATARIO]],CHOOSE({1,2},Clientes_Proveedores[Razon Social],Clientes_Proveedores[Ruc / Dni]),2,0),"")</f>
        <v/>
      </c>
      <c r="X1324" s="25" t="s">
        <v>1090</v>
      </c>
      <c r="Y1324" s="25" t="s">
        <v>2282</v>
      </c>
      <c r="Z1324" s="25"/>
      <c r="AA1324" s="99"/>
      <c r="AB1324" s="3" t="str">
        <f>IF(BCP_Soles[[#This Row],[FECHA]]&gt;0,TEXT(BCP_Soles[[#This Row],[FECHA]],"mmmm"),0)</f>
        <v>Abril</v>
      </c>
    </row>
    <row r="1325" spans="2:28" ht="36" x14ac:dyDescent="0.3">
      <c r="B1325" s="2">
        <f>IF(BCP_Soles[[#This Row],[TIPO DE R.]]="R",COUNTIFS($D$4:$D1324,"R")+1,"")</f>
        <v>1037</v>
      </c>
      <c r="C1325" s="19" t="str">
        <f t="shared" si="100"/>
        <v>B-BCP - Soles</v>
      </c>
      <c r="D1325" s="3" t="s">
        <v>1074</v>
      </c>
      <c r="E1325" s="14">
        <v>45768</v>
      </c>
      <c r="F1325" s="5" t="s">
        <v>497</v>
      </c>
      <c r="G1325" s="5" t="s">
        <v>1087</v>
      </c>
      <c r="H1325" s="6"/>
      <c r="I1325" s="6"/>
      <c r="J1325" s="6"/>
      <c r="K1325" s="6"/>
      <c r="L1325" s="7" t="s">
        <v>1093</v>
      </c>
      <c r="M1325" s="8">
        <v>2158400</v>
      </c>
      <c r="N1325" s="8" t="str">
        <f t="shared" si="101"/>
        <v>PEN</v>
      </c>
      <c r="O1325" s="13"/>
      <c r="P1325" s="13">
        <v>946.92</v>
      </c>
      <c r="Q1325" s="3">
        <f t="shared" si="102"/>
        <v>946.92</v>
      </c>
      <c r="R1325" s="3">
        <f t="shared" si="103"/>
        <v>0</v>
      </c>
      <c r="S1325" s="3">
        <f t="shared" si="104"/>
        <v>27012.950000000033</v>
      </c>
      <c r="T1325" s="24" t="s">
        <v>1081</v>
      </c>
      <c r="U1325" s="24" t="s">
        <v>1081</v>
      </c>
      <c r="V1325" s="67"/>
      <c r="W1325" s="25" t="str">
        <f>IFERROR(VLOOKUP(BCP_Soles[[#This Row],[DESTINATARIO]],CHOOSE({1,2},Clientes_Proveedores[Razon Social],Clientes_Proveedores[Ruc / Dni]),2,0),"")</f>
        <v/>
      </c>
      <c r="X1325" s="25" t="s">
        <v>1090</v>
      </c>
      <c r="Y1325" s="25" t="s">
        <v>2467</v>
      </c>
      <c r="Z1325" s="25"/>
      <c r="AA1325" s="99"/>
      <c r="AB1325" s="3" t="str">
        <f>IF(BCP_Soles[[#This Row],[FECHA]]&gt;0,TEXT(BCP_Soles[[#This Row],[FECHA]],"mmmm"),0)</f>
        <v>Abril</v>
      </c>
    </row>
    <row r="1326" spans="2:28" x14ac:dyDescent="0.3">
      <c r="B1326" s="2">
        <f>IF(BCP_Soles[[#This Row],[TIPO DE R.]]="R",COUNTIFS($D$4:$D1325,"R")+1,"")</f>
        <v>1038</v>
      </c>
      <c r="C1326" s="19" t="str">
        <f t="shared" si="100"/>
        <v>B-BCP - Soles</v>
      </c>
      <c r="D1326" s="3" t="s">
        <v>1074</v>
      </c>
      <c r="E1326" s="14">
        <v>45768</v>
      </c>
      <c r="F1326" s="5" t="s">
        <v>1078</v>
      </c>
      <c r="G1326" s="5" t="s">
        <v>1079</v>
      </c>
      <c r="H1326" s="6"/>
      <c r="I1326" s="6"/>
      <c r="J1326" s="6"/>
      <c r="K1326" s="6"/>
      <c r="L1326" s="7" t="s">
        <v>1080</v>
      </c>
      <c r="M1326" s="8"/>
      <c r="N1326" s="8" t="str">
        <f t="shared" si="101"/>
        <v>PEN</v>
      </c>
      <c r="O1326" s="13"/>
      <c r="P1326" s="13">
        <v>0.1</v>
      </c>
      <c r="Q1326" s="3">
        <f t="shared" si="102"/>
        <v>0</v>
      </c>
      <c r="R1326" s="3">
        <f t="shared" si="103"/>
        <v>0.1</v>
      </c>
      <c r="S1326" s="3">
        <f t="shared" si="104"/>
        <v>27012.850000000035</v>
      </c>
      <c r="T1326" s="24"/>
      <c r="U1326" s="24" t="s">
        <v>1081</v>
      </c>
      <c r="V1326" s="67"/>
      <c r="W1326" s="25" t="str">
        <f>IFERROR(VLOOKUP(BCP_Soles[[#This Row],[DESTINATARIO]],CHOOSE({1,2},Clientes_Proveedores[Razon Social],Clientes_Proveedores[Ruc / Dni]),2,0),"")</f>
        <v/>
      </c>
      <c r="X1326" s="25"/>
      <c r="Y1326" s="25"/>
      <c r="Z1326" s="25"/>
      <c r="AA1326" s="99"/>
      <c r="AB1326" s="3" t="str">
        <f>IF(BCP_Soles[[#This Row],[FECHA]]&gt;0,TEXT(BCP_Soles[[#This Row],[FECHA]],"mmmm"),0)</f>
        <v>Abril</v>
      </c>
    </row>
    <row r="1327" spans="2:28" x14ac:dyDescent="0.3">
      <c r="B1327" s="2">
        <f>IF(BCP_Soles[[#This Row],[TIPO DE R.]]="R",COUNTIFS($D$4:$D1326,"R")+1,"")</f>
        <v>1039</v>
      </c>
      <c r="C1327" s="19" t="str">
        <f t="shared" si="100"/>
        <v>B-BCP - Soles</v>
      </c>
      <c r="D1327" s="3" t="s">
        <v>1074</v>
      </c>
      <c r="E1327" s="14">
        <v>45768</v>
      </c>
      <c r="F1327" s="5" t="s">
        <v>1996</v>
      </c>
      <c r="G1327" s="5" t="s">
        <v>1079</v>
      </c>
      <c r="H1327" s="6" t="s">
        <v>637</v>
      </c>
      <c r="I1327" s="6" t="s">
        <v>14</v>
      </c>
      <c r="J1327" s="6" t="s">
        <v>1453</v>
      </c>
      <c r="K1327" s="6">
        <v>135419</v>
      </c>
      <c r="L1327" s="7" t="s">
        <v>1123</v>
      </c>
      <c r="M1327" s="8">
        <v>241368</v>
      </c>
      <c r="N1327" s="8" t="str">
        <f t="shared" si="101"/>
        <v>PEN</v>
      </c>
      <c r="O1327" s="13"/>
      <c r="P1327" s="13">
        <v>1194.94</v>
      </c>
      <c r="Q1327" s="3">
        <f t="shared" si="102"/>
        <v>0</v>
      </c>
      <c r="R1327" s="3">
        <f t="shared" si="103"/>
        <v>1194.94</v>
      </c>
      <c r="S1327" s="3">
        <f t="shared" si="104"/>
        <v>25817.910000000036</v>
      </c>
      <c r="T1327" s="24" t="s">
        <v>1081</v>
      </c>
      <c r="U1327" s="24" t="s">
        <v>1081</v>
      </c>
      <c r="V1327" s="67"/>
      <c r="W1327" s="25">
        <f>IFERROR(VLOOKUP(BCP_Soles[[#This Row],[DESTINATARIO]],CHOOSE({1,2},Clientes_Proveedores[Razon Social],Clientes_Proveedores[Ruc / Dni]),2,0),"")</f>
        <v>20127765279</v>
      </c>
      <c r="X1327" s="25" t="s">
        <v>1124</v>
      </c>
      <c r="Y1327" s="25" t="s">
        <v>2468</v>
      </c>
      <c r="Z1327" s="25"/>
      <c r="AA1327" s="99"/>
      <c r="AB1327" s="3" t="str">
        <f>IF(BCP_Soles[[#This Row],[FECHA]]&gt;0,TEXT(BCP_Soles[[#This Row],[FECHA]],"mmmm"),0)</f>
        <v>Abril</v>
      </c>
    </row>
    <row r="1328" spans="2:28" x14ac:dyDescent="0.3">
      <c r="B1328" s="2">
        <f>IF(BCP_Soles[[#This Row],[TIPO DE R.]]="R",COUNTIFS($D$4:$D1327,"R")+1,"")</f>
        <v>1040</v>
      </c>
      <c r="C1328" s="19" t="str">
        <f t="shared" si="100"/>
        <v>B-BCP - Soles</v>
      </c>
      <c r="D1328" s="3" t="s">
        <v>1074</v>
      </c>
      <c r="E1328" s="14">
        <v>45768</v>
      </c>
      <c r="F1328" s="5" t="s">
        <v>1996</v>
      </c>
      <c r="G1328" s="5" t="s">
        <v>1079</v>
      </c>
      <c r="H1328" s="6" t="s">
        <v>637</v>
      </c>
      <c r="I1328" s="6" t="s">
        <v>14</v>
      </c>
      <c r="J1328" s="6" t="s">
        <v>1122</v>
      </c>
      <c r="K1328" s="6">
        <v>158516</v>
      </c>
      <c r="L1328" s="7" t="s">
        <v>1123</v>
      </c>
      <c r="M1328" s="8">
        <v>242827</v>
      </c>
      <c r="N1328" s="8" t="str">
        <f t="shared" si="101"/>
        <v>PEN</v>
      </c>
      <c r="O1328" s="13"/>
      <c r="P1328" s="13">
        <v>1490.86</v>
      </c>
      <c r="Q1328" s="3">
        <f t="shared" si="102"/>
        <v>0</v>
      </c>
      <c r="R1328" s="3">
        <f t="shared" si="103"/>
        <v>1490.86</v>
      </c>
      <c r="S1328" s="3">
        <f t="shared" si="104"/>
        <v>24327.050000000036</v>
      </c>
      <c r="T1328" s="24" t="s">
        <v>1081</v>
      </c>
      <c r="U1328" s="24" t="s">
        <v>1081</v>
      </c>
      <c r="V1328" s="67"/>
      <c r="W1328" s="25">
        <f>IFERROR(VLOOKUP(BCP_Soles[[#This Row],[DESTINATARIO]],CHOOSE({1,2},Clientes_Proveedores[Razon Social],Clientes_Proveedores[Ruc / Dni]),2,0),"")</f>
        <v>20127765279</v>
      </c>
      <c r="X1328" s="25" t="s">
        <v>1124</v>
      </c>
      <c r="Y1328" s="25" t="s">
        <v>2469</v>
      </c>
      <c r="Z1328" s="25"/>
      <c r="AA1328" s="99"/>
      <c r="AB1328" s="3" t="str">
        <f>IF(BCP_Soles[[#This Row],[FECHA]]&gt;0,TEXT(BCP_Soles[[#This Row],[FECHA]],"mmmm"),0)</f>
        <v>Abril</v>
      </c>
    </row>
    <row r="1329" spans="2:28" x14ac:dyDescent="0.3">
      <c r="B1329" s="2">
        <f>IF(BCP_Soles[[#This Row],[TIPO DE R.]]="R",COUNTIFS($D$4:$D1328,"R")+1,"")</f>
        <v>1041</v>
      </c>
      <c r="C1329" s="19" t="str">
        <f t="shared" si="100"/>
        <v>B-BCP - Soles</v>
      </c>
      <c r="D1329" s="3" t="s">
        <v>1074</v>
      </c>
      <c r="E1329" s="14">
        <v>45769</v>
      </c>
      <c r="F1329" s="5" t="s">
        <v>1078</v>
      </c>
      <c r="G1329" s="5" t="s">
        <v>1079</v>
      </c>
      <c r="H1329" s="6"/>
      <c r="I1329" s="6"/>
      <c r="J1329" s="6"/>
      <c r="K1329" s="6"/>
      <c r="L1329" s="7" t="s">
        <v>1080</v>
      </c>
      <c r="M1329" s="8"/>
      <c r="N1329" s="8" t="str">
        <f t="shared" si="101"/>
        <v>PEN</v>
      </c>
      <c r="O1329" s="13"/>
      <c r="P1329" s="13">
        <v>3.1</v>
      </c>
      <c r="Q1329" s="3">
        <f t="shared" si="102"/>
        <v>0</v>
      </c>
      <c r="R1329" s="3">
        <f t="shared" si="103"/>
        <v>3.1</v>
      </c>
      <c r="S1329" s="3">
        <f t="shared" si="104"/>
        <v>24323.950000000037</v>
      </c>
      <c r="T1329" s="24"/>
      <c r="U1329" s="24" t="s">
        <v>1081</v>
      </c>
      <c r="V1329" s="67"/>
      <c r="W1329" s="25" t="str">
        <f>IFERROR(VLOOKUP(BCP_Soles[[#This Row],[DESTINATARIO]],CHOOSE({1,2},Clientes_Proveedores[Razon Social],Clientes_Proveedores[Ruc / Dni]),2,0),"")</f>
        <v/>
      </c>
      <c r="X1329" s="25"/>
      <c r="Y1329" s="25"/>
      <c r="Z1329" s="25"/>
      <c r="AA1329" s="99"/>
      <c r="AB1329" s="3" t="str">
        <f>IF(BCP_Soles[[#This Row],[FECHA]]&gt;0,TEXT(BCP_Soles[[#This Row],[FECHA]],"mmmm"),0)</f>
        <v>Abril</v>
      </c>
    </row>
    <row r="1330" spans="2:28" ht="24" x14ac:dyDescent="0.3">
      <c r="B1330" s="2">
        <f>IF(BCP_Soles[[#This Row],[TIPO DE R.]]="R",COUNTIFS($D$4:$D1329,"R")+1,"")</f>
        <v>1042</v>
      </c>
      <c r="C1330" s="19" t="str">
        <f t="shared" si="100"/>
        <v>B-BCP - Soles</v>
      </c>
      <c r="D1330" s="3" t="s">
        <v>1074</v>
      </c>
      <c r="E1330" s="14">
        <v>45769</v>
      </c>
      <c r="F1330" s="5" t="s">
        <v>1996</v>
      </c>
      <c r="G1330" s="5" t="s">
        <v>1079</v>
      </c>
      <c r="H1330" s="6" t="s">
        <v>192</v>
      </c>
      <c r="I1330" s="6"/>
      <c r="J1330" s="6"/>
      <c r="K1330" s="6"/>
      <c r="L1330" s="7" t="s">
        <v>2470</v>
      </c>
      <c r="M1330" s="8">
        <v>1225212</v>
      </c>
      <c r="N1330" s="8" t="str">
        <f t="shared" si="101"/>
        <v>PEN</v>
      </c>
      <c r="O1330" s="13"/>
      <c r="P1330" s="13">
        <v>490.88</v>
      </c>
      <c r="Q1330" s="3">
        <f t="shared" si="102"/>
        <v>0</v>
      </c>
      <c r="R1330" s="3">
        <f t="shared" si="103"/>
        <v>490.88</v>
      </c>
      <c r="S1330" s="3">
        <f t="shared" si="104"/>
        <v>23833.070000000036</v>
      </c>
      <c r="T1330" s="24"/>
      <c r="U1330" s="24"/>
      <c r="V1330" s="67"/>
      <c r="W1330" s="25">
        <f>IFERROR(VLOOKUP(BCP_Soles[[#This Row],[DESTINATARIO]],CHOOSE({1,2},Clientes_Proveedores[Razon Social],Clientes_Proveedores[Ruc / Dni]),2,0),"")</f>
        <v>20302891452</v>
      </c>
      <c r="X1330" s="25" t="s">
        <v>192</v>
      </c>
      <c r="Y1330" s="25"/>
      <c r="Z1330" s="25"/>
      <c r="AA1330" s="99"/>
      <c r="AB1330" s="3" t="str">
        <f>IF(BCP_Soles[[#This Row],[FECHA]]&gt;0,TEXT(BCP_Soles[[#This Row],[FECHA]],"mmmm"),0)</f>
        <v>Abril</v>
      </c>
    </row>
    <row r="1331" spans="2:28" ht="24" x14ac:dyDescent="0.3">
      <c r="B1331" s="2">
        <f>IF(BCP_Soles[[#This Row],[TIPO DE R.]]="R",COUNTIFS($D$4:$D1330,"R")+1,"")</f>
        <v>1043</v>
      </c>
      <c r="C1331" s="19" t="str">
        <f t="shared" si="100"/>
        <v>B-BCP - Soles</v>
      </c>
      <c r="D1331" s="3" t="s">
        <v>1074</v>
      </c>
      <c r="E1331" s="14">
        <v>45769</v>
      </c>
      <c r="F1331" s="5" t="s">
        <v>1996</v>
      </c>
      <c r="G1331" s="5" t="s">
        <v>1079</v>
      </c>
      <c r="H1331" s="6" t="s">
        <v>192</v>
      </c>
      <c r="I1331" s="6"/>
      <c r="J1331" s="6"/>
      <c r="K1331" s="6"/>
      <c r="L1331" s="7" t="s">
        <v>2471</v>
      </c>
      <c r="M1331" s="8">
        <v>1225700</v>
      </c>
      <c r="N1331" s="8" t="str">
        <f t="shared" si="101"/>
        <v>PEN</v>
      </c>
      <c r="O1331" s="13"/>
      <c r="P1331" s="13">
        <v>472</v>
      </c>
      <c r="Q1331" s="3">
        <f t="shared" si="102"/>
        <v>0</v>
      </c>
      <c r="R1331" s="3">
        <f t="shared" si="103"/>
        <v>472</v>
      </c>
      <c r="S1331" s="3">
        <f t="shared" si="104"/>
        <v>23361.070000000036</v>
      </c>
      <c r="T1331" s="24"/>
      <c r="U1331" s="24"/>
      <c r="V1331" s="67"/>
      <c r="W1331" s="25">
        <f>IFERROR(VLOOKUP(BCP_Soles[[#This Row],[DESTINATARIO]],CHOOSE({1,2},Clientes_Proveedores[Razon Social],Clientes_Proveedores[Ruc / Dni]),2,0),"")</f>
        <v>20302891452</v>
      </c>
      <c r="X1331" s="25" t="s">
        <v>192</v>
      </c>
      <c r="Y1331" s="25"/>
      <c r="Z1331" s="25"/>
      <c r="AA1331" s="99"/>
      <c r="AB1331" s="3" t="str">
        <f>IF(BCP_Soles[[#This Row],[FECHA]]&gt;0,TEXT(BCP_Soles[[#This Row],[FECHA]],"mmmm"),0)</f>
        <v>Abril</v>
      </c>
    </row>
    <row r="1332" spans="2:28" ht="24" x14ac:dyDescent="0.3">
      <c r="B1332" s="2">
        <f>IF(BCP_Soles[[#This Row],[TIPO DE R.]]="R",COUNTIFS($D$4:$D1331,"R")+1,"")</f>
        <v>1044</v>
      </c>
      <c r="C1332" s="19" t="str">
        <f t="shared" si="100"/>
        <v>B-BCP - Soles</v>
      </c>
      <c r="D1332" s="3" t="s">
        <v>1074</v>
      </c>
      <c r="E1332" s="14">
        <v>45769</v>
      </c>
      <c r="F1332" s="5" t="s">
        <v>1996</v>
      </c>
      <c r="G1332" s="5" t="s">
        <v>1079</v>
      </c>
      <c r="H1332" s="6" t="s">
        <v>807</v>
      </c>
      <c r="I1332" s="6" t="s">
        <v>87</v>
      </c>
      <c r="J1332" s="6">
        <v>1</v>
      </c>
      <c r="K1332" s="6">
        <v>302025</v>
      </c>
      <c r="L1332" s="7" t="s">
        <v>2472</v>
      </c>
      <c r="M1332" s="8">
        <v>1096873</v>
      </c>
      <c r="N1332" s="8" t="str">
        <f t="shared" si="101"/>
        <v>PEN</v>
      </c>
      <c r="O1332" s="13"/>
      <c r="P1332" s="13">
        <v>300</v>
      </c>
      <c r="Q1332" s="3">
        <f t="shared" si="102"/>
        <v>0</v>
      </c>
      <c r="R1332" s="3">
        <f t="shared" si="103"/>
        <v>300</v>
      </c>
      <c r="S1332" s="3">
        <f t="shared" si="104"/>
        <v>23061.070000000036</v>
      </c>
      <c r="T1332" s="24" t="s">
        <v>1081</v>
      </c>
      <c r="U1332" s="24" t="s">
        <v>1081</v>
      </c>
      <c r="V1332" s="67"/>
      <c r="W1332" s="25">
        <f>IFERROR(VLOOKUP(BCP_Soles[[#This Row],[DESTINATARIO]],CHOOSE({1,2},Clientes_Proveedores[Razon Social],Clientes_Proveedores[Ruc / Dni]),2,0),"")</f>
        <v>45921913</v>
      </c>
      <c r="X1332" s="25" t="s">
        <v>807</v>
      </c>
      <c r="Y1332" s="25" t="s">
        <v>2473</v>
      </c>
      <c r="Z1332" s="25"/>
      <c r="AA1332" s="99"/>
      <c r="AB1332" s="3" t="str">
        <f>IF(BCP_Soles[[#This Row],[FECHA]]&gt;0,TEXT(BCP_Soles[[#This Row],[FECHA]],"mmmm"),0)</f>
        <v>Abril</v>
      </c>
    </row>
    <row r="1333" spans="2:28" ht="24" x14ac:dyDescent="0.3">
      <c r="B1333" s="2">
        <f>IF(BCP_Soles[[#This Row],[TIPO DE R.]]="R",COUNTIFS($D$4:$D1332,"R")+1,"")</f>
        <v>1045</v>
      </c>
      <c r="C1333" s="19" t="str">
        <f t="shared" si="100"/>
        <v>B-BCP - Soles</v>
      </c>
      <c r="D1333" s="3" t="s">
        <v>1074</v>
      </c>
      <c r="E1333" s="14">
        <v>45769</v>
      </c>
      <c r="F1333" s="5" t="s">
        <v>1996</v>
      </c>
      <c r="G1333" s="5" t="s">
        <v>1079</v>
      </c>
      <c r="H1333" s="6" t="s">
        <v>192</v>
      </c>
      <c r="I1333" s="6"/>
      <c r="J1333" s="6"/>
      <c r="K1333" s="6"/>
      <c r="L1333" s="7" t="s">
        <v>2474</v>
      </c>
      <c r="M1333" s="8">
        <v>1225699</v>
      </c>
      <c r="N1333" s="8" t="str">
        <f t="shared" si="101"/>
        <v>PEN</v>
      </c>
      <c r="O1333" s="13"/>
      <c r="P1333" s="13">
        <v>265.5</v>
      </c>
      <c r="Q1333" s="3">
        <f t="shared" si="102"/>
        <v>0</v>
      </c>
      <c r="R1333" s="3">
        <f t="shared" si="103"/>
        <v>265.5</v>
      </c>
      <c r="S1333" s="3">
        <f t="shared" si="104"/>
        <v>22795.570000000036</v>
      </c>
      <c r="T1333" s="24"/>
      <c r="U1333" s="24"/>
      <c r="V1333" s="67"/>
      <c r="W1333" s="25">
        <f>IFERROR(VLOOKUP(BCP_Soles[[#This Row],[DESTINATARIO]],CHOOSE({1,2},Clientes_Proveedores[Razon Social],Clientes_Proveedores[Ruc / Dni]),2,0),"")</f>
        <v>20302891452</v>
      </c>
      <c r="X1333" s="25" t="s">
        <v>192</v>
      </c>
      <c r="Y1333" s="25"/>
      <c r="Z1333" s="25"/>
      <c r="AA1333" s="99"/>
      <c r="AB1333" s="3" t="str">
        <f>IF(BCP_Soles[[#This Row],[FECHA]]&gt;0,TEXT(BCP_Soles[[#This Row],[FECHA]],"mmmm"),0)</f>
        <v>Abril</v>
      </c>
    </row>
    <row r="1334" spans="2:28" x14ac:dyDescent="0.3">
      <c r="B1334" s="2">
        <f>IF(BCP_Soles[[#This Row],[TIPO DE R.]]="R",COUNTIFS($D$4:$D1333,"R")+1,"")</f>
        <v>1046</v>
      </c>
      <c r="C1334" s="19" t="str">
        <f t="shared" si="100"/>
        <v>B-BCP - Soles</v>
      </c>
      <c r="D1334" s="3" t="s">
        <v>1074</v>
      </c>
      <c r="E1334" s="14">
        <v>45769</v>
      </c>
      <c r="F1334" s="5" t="s">
        <v>1996</v>
      </c>
      <c r="G1334" s="5" t="s">
        <v>1079</v>
      </c>
      <c r="H1334" s="6" t="s">
        <v>350</v>
      </c>
      <c r="I1334" s="6" t="s">
        <v>14</v>
      </c>
      <c r="J1334" s="6" t="s">
        <v>2475</v>
      </c>
      <c r="K1334" s="6">
        <v>1118</v>
      </c>
      <c r="L1334" s="7" t="s">
        <v>1222</v>
      </c>
      <c r="M1334" s="8">
        <v>224714</v>
      </c>
      <c r="N1334" s="8" t="str">
        <f t="shared" si="101"/>
        <v>PEN</v>
      </c>
      <c r="O1334" s="13"/>
      <c r="P1334" s="13">
        <v>196.52</v>
      </c>
      <c r="Q1334" s="3">
        <f t="shared" si="102"/>
        <v>0</v>
      </c>
      <c r="R1334" s="3">
        <f t="shared" si="103"/>
        <v>196.52</v>
      </c>
      <c r="S1334" s="3">
        <f t="shared" si="104"/>
        <v>22599.050000000036</v>
      </c>
      <c r="T1334" s="24" t="s">
        <v>1081</v>
      </c>
      <c r="U1334" s="24" t="s">
        <v>1081</v>
      </c>
      <c r="V1334" s="67"/>
      <c r="W1334" s="25">
        <f>IFERROR(VLOOKUP(BCP_Soles[[#This Row],[DESTINATARIO]],CHOOSE({1,2},Clientes_Proveedores[Razon Social],Clientes_Proveedores[Ruc / Dni]),2,0),"")</f>
        <v>20549068201</v>
      </c>
      <c r="X1334" s="25" t="s">
        <v>1223</v>
      </c>
      <c r="Y1334" s="25" t="s">
        <v>2476</v>
      </c>
      <c r="Z1334" s="25"/>
      <c r="AA1334" s="99"/>
      <c r="AB1334" s="3" t="str">
        <f>IF(BCP_Soles[[#This Row],[FECHA]]&gt;0,TEXT(BCP_Soles[[#This Row],[FECHA]],"mmmm"),0)</f>
        <v>Abril</v>
      </c>
    </row>
    <row r="1335" spans="2:28" ht="36" x14ac:dyDescent="0.3">
      <c r="B1335" s="2">
        <f>IF(BCP_Soles[[#This Row],[TIPO DE R.]]="R",COUNTIFS($D$4:$D1334,"R")+1,"")</f>
        <v>1047</v>
      </c>
      <c r="C1335" s="19" t="str">
        <f t="shared" si="100"/>
        <v>B-BCP - Soles</v>
      </c>
      <c r="D1335" s="3" t="s">
        <v>1074</v>
      </c>
      <c r="E1335" s="14">
        <v>45769</v>
      </c>
      <c r="F1335" s="5" t="s">
        <v>1996</v>
      </c>
      <c r="G1335" s="5" t="s">
        <v>1079</v>
      </c>
      <c r="H1335" s="6" t="s">
        <v>530</v>
      </c>
      <c r="I1335" s="6" t="s">
        <v>14</v>
      </c>
      <c r="J1335" s="6" t="s">
        <v>1121</v>
      </c>
      <c r="K1335" s="6">
        <v>391</v>
      </c>
      <c r="L1335" s="7" t="s">
        <v>2477</v>
      </c>
      <c r="M1335" s="8">
        <v>1098850</v>
      </c>
      <c r="N1335" s="8" t="str">
        <f t="shared" si="101"/>
        <v>PEN</v>
      </c>
      <c r="O1335" s="13"/>
      <c r="P1335" s="13">
        <v>70.680000000000007</v>
      </c>
      <c r="Q1335" s="3">
        <f t="shared" si="102"/>
        <v>0</v>
      </c>
      <c r="R1335" s="3">
        <f t="shared" si="103"/>
        <v>70.680000000000007</v>
      </c>
      <c r="S1335" s="3">
        <f t="shared" si="104"/>
        <v>22528.370000000035</v>
      </c>
      <c r="T1335" s="24" t="s">
        <v>1081</v>
      </c>
      <c r="U1335" s="24" t="s">
        <v>1081</v>
      </c>
      <c r="V1335" s="67"/>
      <c r="W1335" s="25">
        <f>IFERROR(VLOOKUP(BCP_Soles[[#This Row],[DESTINATARIO]],CHOOSE({1,2},Clientes_Proveedores[Razon Social],Clientes_Proveedores[Ruc / Dni]),2,0),"")</f>
        <v>20609368773</v>
      </c>
      <c r="X1335" s="25" t="s">
        <v>1181</v>
      </c>
      <c r="Y1335" s="25" t="s">
        <v>2478</v>
      </c>
      <c r="Z1335" s="25"/>
      <c r="AA1335" s="99"/>
      <c r="AB1335" s="3" t="str">
        <f>IF(BCP_Soles[[#This Row],[FECHA]]&gt;0,TEXT(BCP_Soles[[#This Row],[FECHA]],"mmmm"),0)</f>
        <v>Abril</v>
      </c>
    </row>
    <row r="1336" spans="2:28" ht="36" x14ac:dyDescent="0.3">
      <c r="B1336" s="2">
        <f>IF(BCP_Soles[[#This Row],[TIPO DE R.]]="R",COUNTIFS($D$4:$D1335,"R")+1,"")</f>
        <v>1048</v>
      </c>
      <c r="C1336" s="19" t="str">
        <f t="shared" si="100"/>
        <v>B-BCP - Soles</v>
      </c>
      <c r="D1336" s="3" t="s">
        <v>1074</v>
      </c>
      <c r="E1336" s="14">
        <v>45769</v>
      </c>
      <c r="F1336" s="5" t="s">
        <v>204</v>
      </c>
      <c r="G1336" s="5" t="s">
        <v>1087</v>
      </c>
      <c r="H1336" s="6"/>
      <c r="I1336" s="6"/>
      <c r="J1336" s="6"/>
      <c r="K1336" s="6"/>
      <c r="L1336" s="7" t="s">
        <v>2479</v>
      </c>
      <c r="M1336" s="8">
        <v>6768277</v>
      </c>
      <c r="N1336" s="8" t="str">
        <f t="shared" si="101"/>
        <v>PEN</v>
      </c>
      <c r="O1336" s="13"/>
      <c r="P1336" s="13">
        <v>27848.76</v>
      </c>
      <c r="Q1336" s="3">
        <f t="shared" si="102"/>
        <v>27848.76</v>
      </c>
      <c r="R1336" s="3">
        <f t="shared" si="103"/>
        <v>0</v>
      </c>
      <c r="S1336" s="3">
        <f t="shared" si="104"/>
        <v>50377.130000000034</v>
      </c>
      <c r="T1336" s="24" t="s">
        <v>1081</v>
      </c>
      <c r="U1336" s="24" t="s">
        <v>1081</v>
      </c>
      <c r="V1336" s="67"/>
      <c r="W1336" s="25" t="str">
        <f>IFERROR(VLOOKUP(BCP_Soles[[#This Row],[DESTINATARIO]],CHOOSE({1,2},Clientes_Proveedores[Razon Social],Clientes_Proveedores[Ruc / Dni]),2,0),"")</f>
        <v/>
      </c>
      <c r="X1336" s="25" t="s">
        <v>1090</v>
      </c>
      <c r="Y1336" s="25" t="s">
        <v>2480</v>
      </c>
      <c r="Z1336" s="25"/>
      <c r="AA1336" s="99"/>
      <c r="AB1336" s="3" t="str">
        <f>IF(BCP_Soles[[#This Row],[FECHA]]&gt;0,TEXT(BCP_Soles[[#This Row],[FECHA]],"mmmm"),0)</f>
        <v>Abril</v>
      </c>
    </row>
    <row r="1337" spans="2:28" ht="36" x14ac:dyDescent="0.3">
      <c r="B1337" s="2">
        <f>IF(BCP_Soles[[#This Row],[TIPO DE R.]]="R",COUNTIFS($D$4:$D1336,"R")+1,"")</f>
        <v>1049</v>
      </c>
      <c r="C1337" s="19" t="str">
        <f t="shared" si="100"/>
        <v>B-BCP - Soles</v>
      </c>
      <c r="D1337" s="3" t="s">
        <v>1074</v>
      </c>
      <c r="E1337" s="14">
        <v>45769</v>
      </c>
      <c r="F1337" s="5" t="s">
        <v>204</v>
      </c>
      <c r="G1337" s="5" t="s">
        <v>1087</v>
      </c>
      <c r="H1337" s="6"/>
      <c r="I1337" s="6"/>
      <c r="J1337" s="6"/>
      <c r="K1337" s="6"/>
      <c r="L1337" s="7" t="s">
        <v>2481</v>
      </c>
      <c r="M1337" s="8">
        <v>6768275</v>
      </c>
      <c r="N1337" s="8" t="str">
        <f t="shared" si="101"/>
        <v>PEN</v>
      </c>
      <c r="O1337" s="13"/>
      <c r="P1337" s="13">
        <v>20487.509999999998</v>
      </c>
      <c r="Q1337" s="3">
        <f t="shared" si="102"/>
        <v>20487.509999999998</v>
      </c>
      <c r="R1337" s="3">
        <f t="shared" si="103"/>
        <v>0</v>
      </c>
      <c r="S1337" s="3">
        <f t="shared" si="104"/>
        <v>70864.640000000029</v>
      </c>
      <c r="T1337" s="24" t="s">
        <v>1081</v>
      </c>
      <c r="U1337" s="24" t="s">
        <v>1081</v>
      </c>
      <c r="V1337" s="67"/>
      <c r="W1337" s="25" t="str">
        <f>IFERROR(VLOOKUP(BCP_Soles[[#This Row],[DESTINATARIO]],CHOOSE({1,2},Clientes_Proveedores[Razon Social],Clientes_Proveedores[Ruc / Dni]),2,0),"")</f>
        <v/>
      </c>
      <c r="X1337" s="25" t="s">
        <v>1090</v>
      </c>
      <c r="Y1337" s="25" t="s">
        <v>2482</v>
      </c>
      <c r="Z1337" s="25"/>
      <c r="AA1337" s="99"/>
      <c r="AB1337" s="3" t="str">
        <f>IF(BCP_Soles[[#This Row],[FECHA]]&gt;0,TEXT(BCP_Soles[[#This Row],[FECHA]],"mmmm"),0)</f>
        <v>Abril</v>
      </c>
    </row>
    <row r="1338" spans="2:28" ht="36" x14ac:dyDescent="0.3">
      <c r="B1338" s="2">
        <f>IF(BCP_Soles[[#This Row],[TIPO DE R.]]="R",COUNTIFS($D$4:$D1337,"R")+1,"")</f>
        <v>1050</v>
      </c>
      <c r="C1338" s="19" t="str">
        <f t="shared" si="100"/>
        <v>B-BCP - Soles</v>
      </c>
      <c r="D1338" s="3" t="s">
        <v>1074</v>
      </c>
      <c r="E1338" s="14">
        <v>45769</v>
      </c>
      <c r="F1338" s="5" t="s">
        <v>204</v>
      </c>
      <c r="G1338" s="5" t="s">
        <v>1087</v>
      </c>
      <c r="H1338" s="6"/>
      <c r="I1338" s="6"/>
      <c r="J1338" s="6"/>
      <c r="K1338" s="6"/>
      <c r="L1338" s="7" t="s">
        <v>2483</v>
      </c>
      <c r="M1338" s="8">
        <v>6768276</v>
      </c>
      <c r="N1338" s="8" t="str">
        <f t="shared" si="101"/>
        <v>PEN</v>
      </c>
      <c r="O1338" s="13"/>
      <c r="P1338" s="13">
        <v>15806.62</v>
      </c>
      <c r="Q1338" s="3">
        <f t="shared" si="102"/>
        <v>15806.62</v>
      </c>
      <c r="R1338" s="3">
        <f t="shared" si="103"/>
        <v>0</v>
      </c>
      <c r="S1338" s="3">
        <f t="shared" si="104"/>
        <v>86671.260000000024</v>
      </c>
      <c r="T1338" s="24" t="s">
        <v>1081</v>
      </c>
      <c r="U1338" s="24" t="s">
        <v>1081</v>
      </c>
      <c r="V1338" s="67"/>
      <c r="W1338" s="25" t="str">
        <f>IFERROR(VLOOKUP(BCP_Soles[[#This Row],[DESTINATARIO]],CHOOSE({1,2},Clientes_Proveedores[Razon Social],Clientes_Proveedores[Ruc / Dni]),2,0),"")</f>
        <v/>
      </c>
      <c r="X1338" s="25" t="s">
        <v>1090</v>
      </c>
      <c r="Y1338" s="25" t="s">
        <v>2484</v>
      </c>
      <c r="Z1338" s="25"/>
      <c r="AA1338" s="99"/>
      <c r="AB1338" s="3" t="str">
        <f>IF(BCP_Soles[[#This Row],[FECHA]]&gt;0,TEXT(BCP_Soles[[#This Row],[FECHA]],"mmmm"),0)</f>
        <v>Abril</v>
      </c>
    </row>
    <row r="1339" spans="2:28" x14ac:dyDescent="0.3">
      <c r="B1339" s="2">
        <f>IF(BCP_Soles[[#This Row],[TIPO DE R.]]="R",COUNTIFS($D$4:$D1338,"R")+1,"")</f>
        <v>1051</v>
      </c>
      <c r="C1339" s="19" t="str">
        <f t="shared" si="100"/>
        <v>B-BCP - Soles</v>
      </c>
      <c r="D1339" s="3" t="s">
        <v>1074</v>
      </c>
      <c r="E1339" s="14">
        <v>45769</v>
      </c>
      <c r="F1339" s="5" t="s">
        <v>1239</v>
      </c>
      <c r="G1339" s="5" t="s">
        <v>1087</v>
      </c>
      <c r="H1339" s="6"/>
      <c r="I1339" s="6"/>
      <c r="J1339" s="6"/>
      <c r="K1339" s="6"/>
      <c r="L1339" s="7" t="s">
        <v>1100</v>
      </c>
      <c r="M1339" s="8">
        <v>2860975</v>
      </c>
      <c r="N1339" s="8" t="str">
        <f t="shared" si="101"/>
        <v>PEN</v>
      </c>
      <c r="O1339" s="13"/>
      <c r="P1339" s="13">
        <v>87.5</v>
      </c>
      <c r="Q1339" s="3">
        <f t="shared" si="102"/>
        <v>87.5</v>
      </c>
      <c r="R1339" s="3">
        <f t="shared" si="103"/>
        <v>0</v>
      </c>
      <c r="S1339" s="3">
        <f t="shared" si="104"/>
        <v>86758.760000000024</v>
      </c>
      <c r="T1339" s="24" t="s">
        <v>1081</v>
      </c>
      <c r="U1339" s="24" t="s">
        <v>1081</v>
      </c>
      <c r="V1339" s="67"/>
      <c r="W1339" s="25" t="str">
        <f>IFERROR(VLOOKUP(BCP_Soles[[#This Row],[DESTINATARIO]],CHOOSE({1,2},Clientes_Proveedores[Razon Social],Clientes_Proveedores[Ruc / Dni]),2,0),"")</f>
        <v/>
      </c>
      <c r="X1339" s="25" t="s">
        <v>1090</v>
      </c>
      <c r="Y1339" s="25" t="s">
        <v>2485</v>
      </c>
      <c r="Z1339" s="25"/>
      <c r="AA1339" s="99"/>
      <c r="AB1339" s="3" t="str">
        <f>IF(BCP_Soles[[#This Row],[FECHA]]&gt;0,TEXT(BCP_Soles[[#This Row],[FECHA]],"mmmm"),0)</f>
        <v>Abril</v>
      </c>
    </row>
    <row r="1340" spans="2:28" ht="24" x14ac:dyDescent="0.3">
      <c r="B1340" s="2">
        <f>IF(BCP_Soles[[#This Row],[TIPO DE R.]]="R",COUNTIFS($D$4:$D1339,"R")+1,"")</f>
        <v>1052</v>
      </c>
      <c r="C1340" s="19" t="str">
        <f t="shared" si="100"/>
        <v>B-BCP - Soles</v>
      </c>
      <c r="D1340" s="3" t="s">
        <v>1074</v>
      </c>
      <c r="E1340" s="14">
        <v>45770</v>
      </c>
      <c r="F1340" s="5" t="s">
        <v>289</v>
      </c>
      <c r="G1340" s="5" t="s">
        <v>1087</v>
      </c>
      <c r="H1340" s="6"/>
      <c r="I1340" s="6"/>
      <c r="J1340" s="6"/>
      <c r="K1340" s="6"/>
      <c r="L1340" s="7" t="s">
        <v>1194</v>
      </c>
      <c r="M1340" s="8">
        <v>7181810</v>
      </c>
      <c r="N1340" s="8" t="str">
        <f t="shared" si="101"/>
        <v>PEN</v>
      </c>
      <c r="O1340" s="13"/>
      <c r="P1340" s="13">
        <v>9843.94</v>
      </c>
      <c r="Q1340" s="3">
        <f t="shared" si="102"/>
        <v>9843.94</v>
      </c>
      <c r="R1340" s="3">
        <f t="shared" si="103"/>
        <v>0</v>
      </c>
      <c r="S1340" s="3">
        <f t="shared" si="104"/>
        <v>96602.700000000026</v>
      </c>
      <c r="T1340" s="24" t="s">
        <v>1081</v>
      </c>
      <c r="U1340" s="24" t="s">
        <v>1081</v>
      </c>
      <c r="V1340" s="67"/>
      <c r="W1340" s="25" t="str">
        <f>IFERROR(VLOOKUP(BCP_Soles[[#This Row],[DESTINATARIO]],CHOOSE({1,2},Clientes_Proveedores[Razon Social],Clientes_Proveedores[Ruc / Dni]),2,0),"")</f>
        <v/>
      </c>
      <c r="X1340" s="25" t="s">
        <v>1090</v>
      </c>
      <c r="Y1340" s="25" t="s">
        <v>2486</v>
      </c>
      <c r="Z1340" s="25"/>
      <c r="AA1340" s="99"/>
      <c r="AB1340" s="3" t="str">
        <f>IF(BCP_Soles[[#This Row],[FECHA]]&gt;0,TEXT(BCP_Soles[[#This Row],[FECHA]],"mmmm"),0)</f>
        <v>Abril</v>
      </c>
    </row>
    <row r="1341" spans="2:28" ht="24" x14ac:dyDescent="0.3">
      <c r="B1341" s="2">
        <f>IF(BCP_Soles[[#This Row],[TIPO DE R.]]="R",COUNTIFS($D$4:$D1340,"R")+1,"")</f>
        <v>1053</v>
      </c>
      <c r="C1341" s="19" t="str">
        <f t="shared" si="100"/>
        <v>B-BCP - Soles</v>
      </c>
      <c r="D1341" s="3" t="s">
        <v>1074</v>
      </c>
      <c r="E1341" s="14">
        <v>45770</v>
      </c>
      <c r="F1341" s="5" t="s">
        <v>405</v>
      </c>
      <c r="G1341" s="5" t="s">
        <v>1087</v>
      </c>
      <c r="H1341" s="6"/>
      <c r="I1341" s="6"/>
      <c r="J1341" s="6"/>
      <c r="K1341" s="6"/>
      <c r="L1341" s="7" t="s">
        <v>1100</v>
      </c>
      <c r="M1341" s="8">
        <v>3313836</v>
      </c>
      <c r="N1341" s="8" t="str">
        <f t="shared" si="101"/>
        <v>PEN</v>
      </c>
      <c r="O1341" s="13"/>
      <c r="P1341" s="13">
        <v>1611.48</v>
      </c>
      <c r="Q1341" s="3">
        <f t="shared" si="102"/>
        <v>1611.48</v>
      </c>
      <c r="R1341" s="3">
        <f t="shared" si="103"/>
        <v>0</v>
      </c>
      <c r="S1341" s="3">
        <f t="shared" si="104"/>
        <v>98214.180000000022</v>
      </c>
      <c r="T1341" s="24" t="s">
        <v>1081</v>
      </c>
      <c r="U1341" s="24" t="s">
        <v>1081</v>
      </c>
      <c r="V1341" s="67"/>
      <c r="W1341" s="25" t="str">
        <f>IFERROR(VLOOKUP(BCP_Soles[[#This Row],[DESTINATARIO]],CHOOSE({1,2},Clientes_Proveedores[Razon Social],Clientes_Proveedores[Ruc / Dni]),2,0),"")</f>
        <v/>
      </c>
      <c r="X1341" s="25" t="s">
        <v>1090</v>
      </c>
      <c r="Y1341" s="25" t="s">
        <v>2487</v>
      </c>
      <c r="Z1341" s="25"/>
      <c r="AA1341" s="99"/>
      <c r="AB1341" s="3" t="str">
        <f>IF(BCP_Soles[[#This Row],[FECHA]]&gt;0,TEXT(BCP_Soles[[#This Row],[FECHA]],"mmmm"),0)</f>
        <v>Abril</v>
      </c>
    </row>
    <row r="1342" spans="2:28" ht="24" x14ac:dyDescent="0.3">
      <c r="B1342" s="2">
        <f>IF(BCP_Soles[[#This Row],[TIPO DE R.]]="R",COUNTIFS($D$4:$D1341,"R")+1,"")</f>
        <v>1054</v>
      </c>
      <c r="C1342" s="19" t="str">
        <f t="shared" si="100"/>
        <v>B-BCP - Soles</v>
      </c>
      <c r="D1342" s="3" t="s">
        <v>1074</v>
      </c>
      <c r="E1342" s="14">
        <v>45770</v>
      </c>
      <c r="F1342" s="5" t="s">
        <v>405</v>
      </c>
      <c r="G1342" s="5" t="s">
        <v>1087</v>
      </c>
      <c r="H1342" s="6"/>
      <c r="I1342" s="6"/>
      <c r="J1342" s="6"/>
      <c r="K1342" s="6"/>
      <c r="L1342" s="7" t="s">
        <v>1100</v>
      </c>
      <c r="M1342" s="8">
        <v>3317399</v>
      </c>
      <c r="N1342" s="8" t="str">
        <f t="shared" si="101"/>
        <v>PEN</v>
      </c>
      <c r="O1342" s="13"/>
      <c r="P1342" s="13">
        <v>823.99</v>
      </c>
      <c r="Q1342" s="3">
        <f t="shared" si="102"/>
        <v>823.99</v>
      </c>
      <c r="R1342" s="3">
        <f t="shared" si="103"/>
        <v>0</v>
      </c>
      <c r="S1342" s="3">
        <f t="shared" si="104"/>
        <v>99038.170000000027</v>
      </c>
      <c r="T1342" s="24" t="s">
        <v>1081</v>
      </c>
      <c r="U1342" s="24" t="s">
        <v>1081</v>
      </c>
      <c r="V1342" s="67"/>
      <c r="W1342" s="25" t="str">
        <f>IFERROR(VLOOKUP(BCP_Soles[[#This Row],[DESTINATARIO]],CHOOSE({1,2},Clientes_Proveedores[Razon Social],Clientes_Proveedores[Ruc / Dni]),2,0),"")</f>
        <v/>
      </c>
      <c r="X1342" s="25" t="s">
        <v>1090</v>
      </c>
      <c r="Y1342" s="25" t="s">
        <v>2488</v>
      </c>
      <c r="Z1342" s="25"/>
      <c r="AA1342" s="99"/>
      <c r="AB1342" s="3" t="str">
        <f>IF(BCP_Soles[[#This Row],[FECHA]]&gt;0,TEXT(BCP_Soles[[#This Row],[FECHA]],"mmmm"),0)</f>
        <v>Abril</v>
      </c>
    </row>
    <row r="1343" spans="2:28" ht="24" x14ac:dyDescent="0.3">
      <c r="B1343" s="2">
        <f>IF(BCP_Soles[[#This Row],[TIPO DE R.]]="R",COUNTIFS($D$4:$D1342,"R")+1,"")</f>
        <v>1055</v>
      </c>
      <c r="C1343" s="19" t="str">
        <f t="shared" si="100"/>
        <v>B-BCP - Soles</v>
      </c>
      <c r="D1343" s="3" t="s">
        <v>1074</v>
      </c>
      <c r="E1343" s="14">
        <v>45770</v>
      </c>
      <c r="F1343" s="5" t="s">
        <v>405</v>
      </c>
      <c r="G1343" s="5" t="s">
        <v>1087</v>
      </c>
      <c r="H1343" s="6"/>
      <c r="I1343" s="6"/>
      <c r="J1343" s="6"/>
      <c r="K1343" s="6"/>
      <c r="L1343" s="7" t="s">
        <v>1100</v>
      </c>
      <c r="M1343" s="8">
        <v>3317990</v>
      </c>
      <c r="N1343" s="8" t="str">
        <f t="shared" si="101"/>
        <v>PEN</v>
      </c>
      <c r="O1343" s="13"/>
      <c r="P1343" s="13">
        <v>715.49</v>
      </c>
      <c r="Q1343" s="3">
        <f t="shared" si="102"/>
        <v>715.49</v>
      </c>
      <c r="R1343" s="3">
        <f t="shared" si="103"/>
        <v>0</v>
      </c>
      <c r="S1343" s="3">
        <f t="shared" si="104"/>
        <v>99753.660000000033</v>
      </c>
      <c r="T1343" s="24" t="s">
        <v>1081</v>
      </c>
      <c r="U1343" s="24" t="s">
        <v>1081</v>
      </c>
      <c r="V1343" s="67"/>
      <c r="W1343" s="25" t="str">
        <f>IFERROR(VLOOKUP(BCP_Soles[[#This Row],[DESTINATARIO]],CHOOSE({1,2},Clientes_Proveedores[Razon Social],Clientes_Proveedores[Ruc / Dni]),2,0),"")</f>
        <v/>
      </c>
      <c r="X1343" s="25" t="s">
        <v>1090</v>
      </c>
      <c r="Y1343" s="25" t="s">
        <v>2489</v>
      </c>
      <c r="Z1343" s="25"/>
      <c r="AA1343" s="99"/>
      <c r="AB1343" s="3" t="str">
        <f>IF(BCP_Soles[[#This Row],[FECHA]]&gt;0,TEXT(BCP_Soles[[#This Row],[FECHA]],"mmmm"),0)</f>
        <v>Abril</v>
      </c>
    </row>
    <row r="1344" spans="2:28" x14ac:dyDescent="0.3">
      <c r="B1344" s="2">
        <f>IF(BCP_Soles[[#This Row],[TIPO DE R.]]="R",COUNTIFS($D$4:$D1343,"R")+1,"")</f>
        <v>1056</v>
      </c>
      <c r="C1344" s="19" t="str">
        <f t="shared" si="100"/>
        <v>B-BCP - Soles</v>
      </c>
      <c r="D1344" s="3" t="s">
        <v>1074</v>
      </c>
      <c r="E1344" s="14">
        <v>45770</v>
      </c>
      <c r="F1344" s="5" t="s">
        <v>1078</v>
      </c>
      <c r="G1344" s="5" t="s">
        <v>1079</v>
      </c>
      <c r="H1344" s="6"/>
      <c r="I1344" s="6"/>
      <c r="J1344" s="6"/>
      <c r="K1344" s="6"/>
      <c r="L1344" s="7" t="s">
        <v>1080</v>
      </c>
      <c r="M1344" s="8"/>
      <c r="N1344" s="8" t="str">
        <f t="shared" si="101"/>
        <v>PEN</v>
      </c>
      <c r="O1344" s="13"/>
      <c r="P1344" s="13">
        <v>0.85</v>
      </c>
      <c r="Q1344" s="3">
        <f t="shared" si="102"/>
        <v>0</v>
      </c>
      <c r="R1344" s="3">
        <f t="shared" si="103"/>
        <v>0.85</v>
      </c>
      <c r="S1344" s="3">
        <f t="shared" si="104"/>
        <v>99752.810000000027</v>
      </c>
      <c r="T1344" s="24"/>
      <c r="U1344" s="24" t="s">
        <v>1081</v>
      </c>
      <c r="V1344" s="67"/>
      <c r="W1344" s="25" t="str">
        <f>IFERROR(VLOOKUP(BCP_Soles[[#This Row],[DESTINATARIO]],CHOOSE({1,2},Clientes_Proveedores[Razon Social],Clientes_Proveedores[Ruc / Dni]),2,0),"")</f>
        <v/>
      </c>
      <c r="X1344" s="25"/>
      <c r="Y1344" s="25"/>
      <c r="Z1344" s="25"/>
      <c r="AA1344" s="99"/>
      <c r="AB1344" s="3" t="str">
        <f>IF(BCP_Soles[[#This Row],[FECHA]]&gt;0,TEXT(BCP_Soles[[#This Row],[FECHA]],"mmmm"),0)</f>
        <v>Abril</v>
      </c>
    </row>
    <row r="1345" spans="2:28" ht="24" x14ac:dyDescent="0.3">
      <c r="B1345" s="2">
        <f>IF(BCP_Soles[[#This Row],[TIPO DE R.]]="R",COUNTIFS($D$4:$D1344,"R")+1,"")</f>
        <v>1057</v>
      </c>
      <c r="C1345" s="19" t="str">
        <f t="shared" si="100"/>
        <v>B-BCP - Soles</v>
      </c>
      <c r="D1345" s="3" t="s">
        <v>1074</v>
      </c>
      <c r="E1345" s="14">
        <v>45770</v>
      </c>
      <c r="F1345" s="5" t="s">
        <v>1082</v>
      </c>
      <c r="G1345" s="5" t="s">
        <v>1079</v>
      </c>
      <c r="H1345" s="6" t="s">
        <v>192</v>
      </c>
      <c r="I1345" s="6"/>
      <c r="J1345" s="6"/>
      <c r="K1345" s="6"/>
      <c r="L1345" s="7" t="s">
        <v>2471</v>
      </c>
      <c r="M1345" s="8">
        <v>1104959</v>
      </c>
      <c r="N1345" s="8" t="str">
        <f t="shared" si="101"/>
        <v>PEN</v>
      </c>
      <c r="O1345" s="13"/>
      <c r="P1345" s="13">
        <v>81.42</v>
      </c>
      <c r="Q1345" s="3">
        <f t="shared" si="102"/>
        <v>0</v>
      </c>
      <c r="R1345" s="3">
        <f t="shared" si="103"/>
        <v>81.42</v>
      </c>
      <c r="S1345" s="3">
        <f t="shared" si="104"/>
        <v>99671.390000000029</v>
      </c>
      <c r="T1345" s="24"/>
      <c r="U1345" s="24"/>
      <c r="V1345" s="67"/>
      <c r="W1345" s="25">
        <f>IFERROR(VLOOKUP(BCP_Soles[[#This Row],[DESTINATARIO]],CHOOSE({1,2},Clientes_Proveedores[Razon Social],Clientes_Proveedores[Ruc / Dni]),2,0),"")</f>
        <v>20302891452</v>
      </c>
      <c r="X1345" s="25" t="s">
        <v>192</v>
      </c>
      <c r="Y1345" s="25"/>
      <c r="Z1345" s="25"/>
      <c r="AA1345" s="99"/>
      <c r="AB1345" s="3" t="str">
        <f>IF(BCP_Soles[[#This Row],[FECHA]]&gt;0,TEXT(BCP_Soles[[#This Row],[FECHA]],"mmmm"),0)</f>
        <v>Abril</v>
      </c>
    </row>
    <row r="1346" spans="2:28" ht="24" x14ac:dyDescent="0.3">
      <c r="B1346" s="2">
        <f>IF(BCP_Soles[[#This Row],[TIPO DE R.]]="R",COUNTIFS($D$4:$D1345,"R")+1,"")</f>
        <v>1058</v>
      </c>
      <c r="C1346" s="19" t="str">
        <f t="shared" si="100"/>
        <v>B-BCP - Soles</v>
      </c>
      <c r="D1346" s="3" t="s">
        <v>1074</v>
      </c>
      <c r="E1346" s="14">
        <v>45770</v>
      </c>
      <c r="F1346" s="5" t="s">
        <v>1082</v>
      </c>
      <c r="G1346" s="5" t="s">
        <v>1079</v>
      </c>
      <c r="H1346" s="6" t="s">
        <v>105</v>
      </c>
      <c r="I1346" s="6" t="s">
        <v>14</v>
      </c>
      <c r="J1346" s="6" t="s">
        <v>1121</v>
      </c>
      <c r="K1346" s="6">
        <v>267</v>
      </c>
      <c r="L1346" s="7" t="s">
        <v>2490</v>
      </c>
      <c r="M1346" s="8">
        <v>1105939</v>
      </c>
      <c r="N1346" s="8" t="str">
        <f t="shared" si="101"/>
        <v>PEN</v>
      </c>
      <c r="O1346" s="13"/>
      <c r="P1346" s="13">
        <v>96</v>
      </c>
      <c r="Q1346" s="3">
        <f t="shared" si="102"/>
        <v>0</v>
      </c>
      <c r="R1346" s="3">
        <f t="shared" si="103"/>
        <v>96</v>
      </c>
      <c r="S1346" s="3">
        <f t="shared" si="104"/>
        <v>99575.390000000029</v>
      </c>
      <c r="T1346" s="24" t="s">
        <v>1081</v>
      </c>
      <c r="U1346" s="24" t="s">
        <v>1081</v>
      </c>
      <c r="V1346" s="67"/>
      <c r="W1346" s="25">
        <f>IFERROR(VLOOKUP(BCP_Soles[[#This Row],[DESTINATARIO]],CHOOSE({1,2},Clientes_Proveedores[Razon Social],Clientes_Proveedores[Ruc / Dni]),2,0),"")</f>
        <v>10416031679</v>
      </c>
      <c r="X1346" s="25" t="s">
        <v>105</v>
      </c>
      <c r="Y1346" s="25" t="s">
        <v>2491</v>
      </c>
      <c r="Z1346" s="25"/>
      <c r="AA1346" s="99"/>
      <c r="AB1346" s="3" t="str">
        <f>IF(BCP_Soles[[#This Row],[FECHA]]&gt;0,TEXT(BCP_Soles[[#This Row],[FECHA]],"mmmm"),0)</f>
        <v>Abril</v>
      </c>
    </row>
    <row r="1347" spans="2:28" ht="36" x14ac:dyDescent="0.3">
      <c r="B1347" s="2">
        <f>IF(BCP_Soles[[#This Row],[TIPO DE R.]]="R",COUNTIFS($D$4:$D1346,"R")+1,"")</f>
        <v>1059</v>
      </c>
      <c r="C1347" s="19" t="str">
        <f t="shared" si="100"/>
        <v>B-BCP - Soles</v>
      </c>
      <c r="D1347" s="3" t="s">
        <v>1074</v>
      </c>
      <c r="E1347" s="14">
        <v>45770</v>
      </c>
      <c r="F1347" s="5" t="s">
        <v>1082</v>
      </c>
      <c r="G1347" s="5" t="s">
        <v>1079</v>
      </c>
      <c r="H1347" s="6" t="s">
        <v>552</v>
      </c>
      <c r="I1347" s="6" t="s">
        <v>14</v>
      </c>
      <c r="J1347" s="6" t="s">
        <v>2062</v>
      </c>
      <c r="K1347" s="6">
        <v>232</v>
      </c>
      <c r="L1347" s="7" t="s">
        <v>2492</v>
      </c>
      <c r="M1347" s="8">
        <v>1204211</v>
      </c>
      <c r="N1347" s="8" t="str">
        <f t="shared" si="101"/>
        <v>PEN</v>
      </c>
      <c r="O1347" s="13"/>
      <c r="P1347" s="13">
        <v>242</v>
      </c>
      <c r="Q1347" s="3">
        <f t="shared" si="102"/>
        <v>0</v>
      </c>
      <c r="R1347" s="3">
        <f t="shared" si="103"/>
        <v>242</v>
      </c>
      <c r="S1347" s="3">
        <f t="shared" si="104"/>
        <v>99333.390000000029</v>
      </c>
      <c r="T1347" s="24" t="s">
        <v>1081</v>
      </c>
      <c r="U1347" s="24" t="s">
        <v>1081</v>
      </c>
      <c r="V1347" s="67"/>
      <c r="W1347" s="25">
        <f>IFERROR(VLOOKUP(BCP_Soles[[#This Row],[DESTINATARIO]],CHOOSE({1,2},Clientes_Proveedores[Razon Social],Clientes_Proveedores[Ruc / Dni]),2,0),"")</f>
        <v>20612094862</v>
      </c>
      <c r="X1347" s="25" t="s">
        <v>2064</v>
      </c>
      <c r="Y1347" s="25" t="s">
        <v>2493</v>
      </c>
      <c r="Z1347" s="25"/>
      <c r="AA1347" s="99"/>
      <c r="AB1347" s="3" t="str">
        <f>IF(BCP_Soles[[#This Row],[FECHA]]&gt;0,TEXT(BCP_Soles[[#This Row],[FECHA]],"mmmm"),0)</f>
        <v>Abril</v>
      </c>
    </row>
    <row r="1348" spans="2:28" ht="24" x14ac:dyDescent="0.3">
      <c r="B1348" s="2">
        <f>IF(BCP_Soles[[#This Row],[TIPO DE R.]]="R",COUNTIFS($D$4:$D1347,"R")+1,"")</f>
        <v>1060</v>
      </c>
      <c r="C1348" s="19" t="str">
        <f t="shared" si="100"/>
        <v>B-BCP - Soles</v>
      </c>
      <c r="D1348" s="3" t="s">
        <v>1074</v>
      </c>
      <c r="E1348" s="14">
        <v>45770</v>
      </c>
      <c r="F1348" s="5" t="s">
        <v>1996</v>
      </c>
      <c r="G1348" s="5" t="s">
        <v>1079</v>
      </c>
      <c r="H1348" s="6" t="s">
        <v>807</v>
      </c>
      <c r="I1348" s="6" t="s">
        <v>87</v>
      </c>
      <c r="J1348" s="6">
        <v>1</v>
      </c>
      <c r="K1348" s="6">
        <v>302025</v>
      </c>
      <c r="L1348" s="7" t="s">
        <v>2494</v>
      </c>
      <c r="M1348" s="8">
        <v>1204661</v>
      </c>
      <c r="N1348" s="8" t="str">
        <f t="shared" si="101"/>
        <v>PEN</v>
      </c>
      <c r="O1348" s="13"/>
      <c r="P1348" s="13">
        <v>300</v>
      </c>
      <c r="Q1348" s="3">
        <f t="shared" si="102"/>
        <v>0</v>
      </c>
      <c r="R1348" s="3">
        <f t="shared" si="103"/>
        <v>300</v>
      </c>
      <c r="S1348" s="3">
        <f t="shared" si="104"/>
        <v>99033.390000000029</v>
      </c>
      <c r="T1348" s="24" t="s">
        <v>1081</v>
      </c>
      <c r="U1348" s="24" t="s">
        <v>1081</v>
      </c>
      <c r="V1348" s="67"/>
      <c r="W1348" s="25">
        <f>IFERROR(VLOOKUP(BCP_Soles[[#This Row],[DESTINATARIO]],CHOOSE({1,2},Clientes_Proveedores[Razon Social],Clientes_Proveedores[Ruc / Dni]),2,0),"")</f>
        <v>45921913</v>
      </c>
      <c r="X1348" s="25" t="s">
        <v>807</v>
      </c>
      <c r="Y1348" s="25" t="s">
        <v>2473</v>
      </c>
      <c r="Z1348" s="25"/>
      <c r="AA1348" s="99"/>
      <c r="AB1348" s="3" t="str">
        <f>IF(BCP_Soles[[#This Row],[FECHA]]&gt;0,TEXT(BCP_Soles[[#This Row],[FECHA]],"mmmm"),0)</f>
        <v>Abril</v>
      </c>
    </row>
    <row r="1349" spans="2:28" ht="24" x14ac:dyDescent="0.3">
      <c r="B1349" s="2">
        <f>IF(BCP_Soles[[#This Row],[TIPO DE R.]]="R",COUNTIFS($D$4:$D1348,"R")+1,"")</f>
        <v>1061</v>
      </c>
      <c r="C1349" s="19" t="str">
        <f t="shared" ref="C1349:C1412" si="105">"B-BCP - Soles"</f>
        <v>B-BCP - Soles</v>
      </c>
      <c r="D1349" s="3" t="s">
        <v>1074</v>
      </c>
      <c r="E1349" s="14">
        <v>45770</v>
      </c>
      <c r="F1349" s="5" t="s">
        <v>1082</v>
      </c>
      <c r="G1349" s="5" t="s">
        <v>1079</v>
      </c>
      <c r="H1349" s="6" t="s">
        <v>192</v>
      </c>
      <c r="I1349" s="6"/>
      <c r="J1349" s="6"/>
      <c r="K1349" s="6"/>
      <c r="L1349" s="7" t="s">
        <v>2471</v>
      </c>
      <c r="M1349" s="8">
        <v>1108026</v>
      </c>
      <c r="N1349" s="8" t="str">
        <f t="shared" ref="N1349:N1412" si="106">"PEN"</f>
        <v>PEN</v>
      </c>
      <c r="O1349" s="13"/>
      <c r="P1349" s="13">
        <v>2934.9</v>
      </c>
      <c r="Q1349" s="3">
        <f t="shared" ref="Q1349:Q1412" si="107">+IF(OR($G1349="SALDO",$G1349="INGRESO"),$P1349,0)</f>
        <v>0</v>
      </c>
      <c r="R1349" s="3">
        <f t="shared" ref="R1349:R1412" si="108">+IF($G1349="EGRESO",$P1349,0)</f>
        <v>2934.9</v>
      </c>
      <c r="S1349" s="3">
        <f t="shared" ref="S1349:S1412" si="109">IFERROR(IF(G1349="SALDO",Q1349,S1348+Q1349-R1349),0)</f>
        <v>96098.490000000034</v>
      </c>
      <c r="T1349" s="24"/>
      <c r="U1349" s="24"/>
      <c r="V1349" s="67"/>
      <c r="W1349" s="25">
        <f>IFERROR(VLOOKUP(BCP_Soles[[#This Row],[DESTINATARIO]],CHOOSE({1,2},Clientes_Proveedores[Razon Social],Clientes_Proveedores[Ruc / Dni]),2,0),"")</f>
        <v>20302891452</v>
      </c>
      <c r="X1349" s="25" t="s">
        <v>192</v>
      </c>
      <c r="Y1349" s="25"/>
      <c r="Z1349" s="25"/>
      <c r="AA1349" s="99"/>
      <c r="AB1349" s="3" t="str">
        <f>IF(BCP_Soles[[#This Row],[FECHA]]&gt;0,TEXT(BCP_Soles[[#This Row],[FECHA]],"mmmm"),0)</f>
        <v>Abril</v>
      </c>
    </row>
    <row r="1350" spans="2:28" x14ac:dyDescent="0.3">
      <c r="B1350" s="2">
        <f>IF(BCP_Soles[[#This Row],[TIPO DE R.]]="R",COUNTIFS($D$4:$D1349,"R")+1,"")</f>
        <v>1062</v>
      </c>
      <c r="C1350" s="19" t="str">
        <f t="shared" si="105"/>
        <v>B-BCP - Soles</v>
      </c>
      <c r="D1350" s="3" t="s">
        <v>1074</v>
      </c>
      <c r="E1350" s="14">
        <v>45770</v>
      </c>
      <c r="F1350" s="5" t="s">
        <v>1996</v>
      </c>
      <c r="G1350" s="5" t="s">
        <v>1079</v>
      </c>
      <c r="H1350" s="6"/>
      <c r="I1350" s="6"/>
      <c r="J1350" s="6"/>
      <c r="K1350" s="6"/>
      <c r="L1350" s="7" t="s">
        <v>2495</v>
      </c>
      <c r="M1350" s="8">
        <v>7187777</v>
      </c>
      <c r="N1350" s="8" t="str">
        <f t="shared" si="106"/>
        <v>PEN</v>
      </c>
      <c r="O1350" s="13"/>
      <c r="P1350" s="13">
        <v>5975.99</v>
      </c>
      <c r="Q1350" s="3">
        <f t="shared" si="107"/>
        <v>0</v>
      </c>
      <c r="R1350" s="3">
        <f t="shared" si="108"/>
        <v>5975.99</v>
      </c>
      <c r="S1350" s="3">
        <f t="shared" si="109"/>
        <v>90122.500000000029</v>
      </c>
      <c r="T1350" s="24" t="s">
        <v>1081</v>
      </c>
      <c r="U1350" s="24" t="s">
        <v>1081</v>
      </c>
      <c r="V1350" s="67"/>
      <c r="W1350" s="25" t="str">
        <f>IFERROR(VLOOKUP(BCP_Soles[[#This Row],[DESTINATARIO]],CHOOSE({1,2},Clientes_Proveedores[Razon Social],Clientes_Proveedores[Ruc / Dni]),2,0),"")</f>
        <v/>
      </c>
      <c r="X1350" s="25" t="s">
        <v>1118</v>
      </c>
      <c r="Y1350" s="25"/>
      <c r="Z1350" s="25"/>
      <c r="AA1350" s="99"/>
      <c r="AB1350" s="3" t="str">
        <f>IF(BCP_Soles[[#This Row],[FECHA]]&gt;0,TEXT(BCP_Soles[[#This Row],[FECHA]],"mmmm"),0)</f>
        <v>Abril</v>
      </c>
    </row>
    <row r="1351" spans="2:28" ht="24" x14ac:dyDescent="0.3">
      <c r="B1351" s="2" t="str">
        <f>IF(BCP_Soles[[#This Row],[TIPO DE R.]]="R",COUNTIFS($D$4:$D1350,"R")+1,"")</f>
        <v/>
      </c>
      <c r="C1351" s="19" t="str">
        <f t="shared" si="105"/>
        <v>B-BCP - Soles</v>
      </c>
      <c r="D1351" s="3" t="s">
        <v>1101</v>
      </c>
      <c r="E1351" s="14">
        <v>45770</v>
      </c>
      <c r="F1351" s="5" t="s">
        <v>1996</v>
      </c>
      <c r="G1351" s="5"/>
      <c r="H1351" s="6" t="s">
        <v>130</v>
      </c>
      <c r="I1351" s="6" t="s">
        <v>14</v>
      </c>
      <c r="J1351" s="6" t="s">
        <v>1121</v>
      </c>
      <c r="K1351" s="6">
        <v>355</v>
      </c>
      <c r="L1351" s="7" t="s">
        <v>2495</v>
      </c>
      <c r="M1351" s="8">
        <v>7187777</v>
      </c>
      <c r="N1351" s="8" t="str">
        <f t="shared" si="106"/>
        <v>PEN</v>
      </c>
      <c r="O1351" s="13">
        <v>120</v>
      </c>
      <c r="P1351" s="13"/>
      <c r="Q1351" s="3">
        <f t="shared" si="107"/>
        <v>0</v>
      </c>
      <c r="R1351" s="3">
        <f t="shared" si="108"/>
        <v>0</v>
      </c>
      <c r="S1351" s="3">
        <f t="shared" si="109"/>
        <v>90122.500000000029</v>
      </c>
      <c r="T1351" s="24"/>
      <c r="U1351" s="24"/>
      <c r="V1351" s="67"/>
      <c r="W1351" s="25">
        <f>IFERROR(VLOOKUP(BCP_Soles[[#This Row],[DESTINATARIO]],CHOOSE({1,2},Clientes_Proveedores[Razon Social],Clientes_Proveedores[Ruc / Dni]),2,0),"")</f>
        <v>10706063426</v>
      </c>
      <c r="X1351" s="25"/>
      <c r="Y1351" s="25"/>
      <c r="Z1351" s="25"/>
      <c r="AA1351" s="99"/>
      <c r="AB1351" s="3" t="str">
        <f>IF(BCP_Soles[[#This Row],[FECHA]]&gt;0,TEXT(BCP_Soles[[#This Row],[FECHA]],"mmmm"),0)</f>
        <v>Abril</v>
      </c>
    </row>
    <row r="1352" spans="2:28" ht="24" x14ac:dyDescent="0.3">
      <c r="B1352" s="2" t="str">
        <f>IF(BCP_Soles[[#This Row],[TIPO DE R.]]="R",COUNTIFS($D$4:$D1351,"R")+1,"")</f>
        <v/>
      </c>
      <c r="C1352" s="19" t="str">
        <f t="shared" si="105"/>
        <v>B-BCP - Soles</v>
      </c>
      <c r="D1352" s="3" t="s">
        <v>1101</v>
      </c>
      <c r="E1352" s="14">
        <v>45770</v>
      </c>
      <c r="F1352" s="5" t="s">
        <v>1996</v>
      </c>
      <c r="G1352" s="5"/>
      <c r="H1352" s="6" t="s">
        <v>407</v>
      </c>
      <c r="I1352" s="6" t="s">
        <v>14</v>
      </c>
      <c r="J1352" s="6" t="s">
        <v>1121</v>
      </c>
      <c r="K1352" s="6">
        <v>805</v>
      </c>
      <c r="L1352" s="7" t="s">
        <v>2495</v>
      </c>
      <c r="M1352" s="8">
        <v>7187777</v>
      </c>
      <c r="N1352" s="8" t="str">
        <f t="shared" si="106"/>
        <v>PEN</v>
      </c>
      <c r="O1352" s="13">
        <v>1104</v>
      </c>
      <c r="P1352" s="13"/>
      <c r="Q1352" s="3">
        <f t="shared" si="107"/>
        <v>0</v>
      </c>
      <c r="R1352" s="3">
        <f t="shared" si="108"/>
        <v>0</v>
      </c>
      <c r="S1352" s="3">
        <f t="shared" si="109"/>
        <v>90122.500000000029</v>
      </c>
      <c r="T1352" s="24"/>
      <c r="U1352" s="24"/>
      <c r="V1352" s="67"/>
      <c r="W1352" s="25">
        <f>IFERROR(VLOOKUP(BCP_Soles[[#This Row],[DESTINATARIO]],CHOOSE({1,2},Clientes_Proveedores[Razon Social],Clientes_Proveedores[Ruc / Dni]),2,0),"")</f>
        <v>20601279666</v>
      </c>
      <c r="X1352" s="25"/>
      <c r="Y1352" s="25"/>
      <c r="Z1352" s="25"/>
      <c r="AA1352" s="99"/>
      <c r="AB1352" s="3" t="str">
        <f>IF(BCP_Soles[[#This Row],[FECHA]]&gt;0,TEXT(BCP_Soles[[#This Row],[FECHA]],"mmmm"),0)</f>
        <v>Abril</v>
      </c>
    </row>
    <row r="1353" spans="2:28" ht="24" x14ac:dyDescent="0.3">
      <c r="B1353" s="2" t="str">
        <f>IF(BCP_Soles[[#This Row],[TIPO DE R.]]="R",COUNTIFS($D$4:$D1352,"R")+1,"")</f>
        <v/>
      </c>
      <c r="C1353" s="19" t="str">
        <f t="shared" si="105"/>
        <v>B-BCP - Soles</v>
      </c>
      <c r="D1353" s="3" t="s">
        <v>1101</v>
      </c>
      <c r="E1353" s="14">
        <v>45770</v>
      </c>
      <c r="F1353" s="5" t="s">
        <v>1996</v>
      </c>
      <c r="G1353" s="5"/>
      <c r="H1353" s="6" t="s">
        <v>407</v>
      </c>
      <c r="I1353" s="6" t="s">
        <v>14</v>
      </c>
      <c r="J1353" s="6" t="s">
        <v>1121</v>
      </c>
      <c r="K1353" s="6">
        <v>799</v>
      </c>
      <c r="L1353" s="7" t="s">
        <v>2495</v>
      </c>
      <c r="M1353" s="8">
        <v>7187777</v>
      </c>
      <c r="N1353" s="8" t="str">
        <f t="shared" si="106"/>
        <v>PEN</v>
      </c>
      <c r="O1353" s="13">
        <v>960</v>
      </c>
      <c r="P1353" s="13"/>
      <c r="Q1353" s="3">
        <f t="shared" si="107"/>
        <v>0</v>
      </c>
      <c r="R1353" s="3">
        <f t="shared" si="108"/>
        <v>0</v>
      </c>
      <c r="S1353" s="3">
        <f t="shared" si="109"/>
        <v>90122.500000000029</v>
      </c>
      <c r="T1353" s="24"/>
      <c r="U1353" s="24"/>
      <c r="V1353" s="67"/>
      <c r="W1353" s="25">
        <f>IFERROR(VLOOKUP(BCP_Soles[[#This Row],[DESTINATARIO]],CHOOSE({1,2},Clientes_Proveedores[Razon Social],Clientes_Proveedores[Ruc / Dni]),2,0),"")</f>
        <v>20601279666</v>
      </c>
      <c r="X1353" s="25"/>
      <c r="Y1353" s="25"/>
      <c r="Z1353" s="25"/>
      <c r="AA1353" s="99"/>
      <c r="AB1353" s="3" t="str">
        <f>IF(BCP_Soles[[#This Row],[FECHA]]&gt;0,TEXT(BCP_Soles[[#This Row],[FECHA]],"mmmm"),0)</f>
        <v>Abril</v>
      </c>
    </row>
    <row r="1354" spans="2:28" ht="36" x14ac:dyDescent="0.3">
      <c r="B1354" s="2" t="str">
        <f>IF(BCP_Soles[[#This Row],[TIPO DE R.]]="R",COUNTIFS($D$4:$D1353,"R")+1,"")</f>
        <v/>
      </c>
      <c r="C1354" s="19" t="str">
        <f t="shared" si="105"/>
        <v>B-BCP - Soles</v>
      </c>
      <c r="D1354" s="3" t="s">
        <v>1101</v>
      </c>
      <c r="E1354" s="14">
        <v>45770</v>
      </c>
      <c r="F1354" s="5" t="s">
        <v>1996</v>
      </c>
      <c r="G1354" s="5"/>
      <c r="H1354" s="6" t="s">
        <v>220</v>
      </c>
      <c r="I1354" s="6" t="s">
        <v>14</v>
      </c>
      <c r="J1354" s="6" t="s">
        <v>1148</v>
      </c>
      <c r="K1354" s="6">
        <v>1695</v>
      </c>
      <c r="L1354" s="7" t="s">
        <v>2495</v>
      </c>
      <c r="M1354" s="8">
        <v>7187777</v>
      </c>
      <c r="N1354" s="8" t="str">
        <f t="shared" si="106"/>
        <v>PEN</v>
      </c>
      <c r="O1354" s="13">
        <v>2544</v>
      </c>
      <c r="P1354" s="13"/>
      <c r="Q1354" s="3">
        <f t="shared" si="107"/>
        <v>0</v>
      </c>
      <c r="R1354" s="3">
        <f t="shared" si="108"/>
        <v>0</v>
      </c>
      <c r="S1354" s="3">
        <f t="shared" si="109"/>
        <v>90122.500000000029</v>
      </c>
      <c r="T1354" s="24"/>
      <c r="U1354" s="24"/>
      <c r="V1354" s="67"/>
      <c r="W1354" s="25">
        <f>IFERROR(VLOOKUP(BCP_Soles[[#This Row],[DESTINATARIO]],CHOOSE({1,2},Clientes_Proveedores[Razon Social],Clientes_Proveedores[Ruc / Dni]),2,0),"")</f>
        <v>20429640939</v>
      </c>
      <c r="X1354" s="25"/>
      <c r="Y1354" s="25"/>
      <c r="Z1354" s="25"/>
      <c r="AA1354" s="99"/>
      <c r="AB1354" s="3" t="str">
        <f>IF(BCP_Soles[[#This Row],[FECHA]]&gt;0,TEXT(BCP_Soles[[#This Row],[FECHA]],"mmmm"),0)</f>
        <v>Abril</v>
      </c>
    </row>
    <row r="1355" spans="2:28" ht="36" x14ac:dyDescent="0.3">
      <c r="B1355" s="2" t="str">
        <f>IF(BCP_Soles[[#This Row],[TIPO DE R.]]="R",COUNTIFS($D$4:$D1354,"R")+1,"")</f>
        <v/>
      </c>
      <c r="C1355" s="19" t="str">
        <f t="shared" si="105"/>
        <v>B-BCP - Soles</v>
      </c>
      <c r="D1355" s="3" t="s">
        <v>1101</v>
      </c>
      <c r="E1355" s="14">
        <v>45770</v>
      </c>
      <c r="F1355" s="5" t="s">
        <v>1996</v>
      </c>
      <c r="G1355" s="5"/>
      <c r="H1355" s="6" t="s">
        <v>220</v>
      </c>
      <c r="I1355" s="6" t="s">
        <v>14</v>
      </c>
      <c r="J1355" s="6" t="s">
        <v>1148</v>
      </c>
      <c r="K1355" s="6">
        <v>1698</v>
      </c>
      <c r="L1355" s="7" t="s">
        <v>2495</v>
      </c>
      <c r="M1355" s="8">
        <v>7187777</v>
      </c>
      <c r="N1355" s="8" t="str">
        <f t="shared" si="106"/>
        <v>PEN</v>
      </c>
      <c r="O1355" s="13">
        <v>1247.99</v>
      </c>
      <c r="P1355" s="13"/>
      <c r="Q1355" s="3">
        <f t="shared" si="107"/>
        <v>0</v>
      </c>
      <c r="R1355" s="3">
        <f t="shared" si="108"/>
        <v>0</v>
      </c>
      <c r="S1355" s="3">
        <f t="shared" si="109"/>
        <v>90122.500000000029</v>
      </c>
      <c r="T1355" s="24"/>
      <c r="U1355" s="24"/>
      <c r="V1355" s="67"/>
      <c r="W1355" s="25">
        <f>IFERROR(VLOOKUP(BCP_Soles[[#This Row],[DESTINATARIO]],CHOOSE({1,2},Clientes_Proveedores[Razon Social],Clientes_Proveedores[Ruc / Dni]),2,0),"")</f>
        <v>20429640939</v>
      </c>
      <c r="X1355" s="25"/>
      <c r="Y1355" s="25"/>
      <c r="Z1355" s="25"/>
      <c r="AA1355" s="99"/>
      <c r="AB1355" s="3" t="str">
        <f>IF(BCP_Soles[[#This Row],[FECHA]]&gt;0,TEXT(BCP_Soles[[#This Row],[FECHA]],"mmmm"),0)</f>
        <v>Abril</v>
      </c>
    </row>
    <row r="1356" spans="2:28" ht="36" x14ac:dyDescent="0.3">
      <c r="B1356" s="2">
        <f>IF(BCP_Soles[[#This Row],[TIPO DE R.]]="R",COUNTIFS($D$4:$D1355,"R")+1,"")</f>
        <v>1063</v>
      </c>
      <c r="C1356" s="19" t="str">
        <f t="shared" si="105"/>
        <v>B-BCP - Soles</v>
      </c>
      <c r="D1356" s="3" t="s">
        <v>1074</v>
      </c>
      <c r="E1356" s="14">
        <v>45771</v>
      </c>
      <c r="F1356" s="5" t="s">
        <v>214</v>
      </c>
      <c r="G1356" s="5" t="s">
        <v>1087</v>
      </c>
      <c r="H1356" s="6"/>
      <c r="I1356" s="6"/>
      <c r="J1356" s="6"/>
      <c r="K1356" s="6"/>
      <c r="L1356" s="7" t="s">
        <v>2496</v>
      </c>
      <c r="M1356" s="8">
        <v>7434989</v>
      </c>
      <c r="N1356" s="8" t="str">
        <f t="shared" si="106"/>
        <v>PEN</v>
      </c>
      <c r="O1356" s="13"/>
      <c r="P1356" s="13">
        <v>13487.43</v>
      </c>
      <c r="Q1356" s="3">
        <f t="shared" si="107"/>
        <v>13487.43</v>
      </c>
      <c r="R1356" s="3">
        <f t="shared" si="108"/>
        <v>0</v>
      </c>
      <c r="S1356" s="3">
        <f t="shared" si="109"/>
        <v>103609.93000000002</v>
      </c>
      <c r="T1356" s="24" t="s">
        <v>1081</v>
      </c>
      <c r="U1356" s="24" t="s">
        <v>1081</v>
      </c>
      <c r="V1356" s="67"/>
      <c r="W1356" s="25" t="str">
        <f>IFERROR(VLOOKUP(BCP_Soles[[#This Row],[DESTINATARIO]],CHOOSE({1,2},Clientes_Proveedores[Razon Social],Clientes_Proveedores[Ruc / Dni]),2,0),"")</f>
        <v/>
      </c>
      <c r="X1356" s="25" t="s">
        <v>1090</v>
      </c>
      <c r="Y1356" s="25" t="s">
        <v>2497</v>
      </c>
      <c r="Z1356" s="25"/>
      <c r="AA1356" s="99"/>
      <c r="AB1356" s="3" t="str">
        <f>IF(BCP_Soles[[#This Row],[FECHA]]&gt;0,TEXT(BCP_Soles[[#This Row],[FECHA]],"mmmm"),0)</f>
        <v>Abril</v>
      </c>
    </row>
    <row r="1357" spans="2:28" ht="24" x14ac:dyDescent="0.3">
      <c r="B1357" s="2">
        <f>IF(BCP_Soles[[#This Row],[TIPO DE R.]]="R",COUNTIFS($D$4:$D1356,"R")+1,"")</f>
        <v>1064</v>
      </c>
      <c r="C1357" s="19" t="str">
        <f t="shared" si="105"/>
        <v>B-BCP - Soles</v>
      </c>
      <c r="D1357" s="3" t="s">
        <v>1074</v>
      </c>
      <c r="E1357" s="14">
        <v>45771</v>
      </c>
      <c r="F1357" s="5" t="s">
        <v>601</v>
      </c>
      <c r="G1357" s="5" t="s">
        <v>1087</v>
      </c>
      <c r="H1357" s="6"/>
      <c r="I1357" s="6"/>
      <c r="J1357" s="6"/>
      <c r="K1357" s="6"/>
      <c r="L1357" s="7" t="s">
        <v>2498</v>
      </c>
      <c r="M1357" s="8">
        <v>7487395</v>
      </c>
      <c r="N1357" s="8" t="str">
        <f t="shared" si="106"/>
        <v>PEN</v>
      </c>
      <c r="O1357" s="13"/>
      <c r="P1357" s="13">
        <v>3087.03</v>
      </c>
      <c r="Q1357" s="3">
        <f t="shared" si="107"/>
        <v>3087.03</v>
      </c>
      <c r="R1357" s="3">
        <f t="shared" si="108"/>
        <v>0</v>
      </c>
      <c r="S1357" s="3">
        <f t="shared" si="109"/>
        <v>106696.96000000002</v>
      </c>
      <c r="T1357" s="24" t="s">
        <v>1081</v>
      </c>
      <c r="U1357" s="24" t="s">
        <v>1081</v>
      </c>
      <c r="V1357" s="67"/>
      <c r="W1357" s="25" t="str">
        <f>IFERROR(VLOOKUP(BCP_Soles[[#This Row],[DESTINATARIO]],CHOOSE({1,2},Clientes_Proveedores[Razon Social],Clientes_Proveedores[Ruc / Dni]),2,0),"")</f>
        <v/>
      </c>
      <c r="X1357" s="25" t="s">
        <v>1090</v>
      </c>
      <c r="Y1357" s="25" t="s">
        <v>2499</v>
      </c>
      <c r="Z1357" s="25"/>
      <c r="AA1357" s="99"/>
      <c r="AB1357" s="3" t="str">
        <f>IF(BCP_Soles[[#This Row],[FECHA]]&gt;0,TEXT(BCP_Soles[[#This Row],[FECHA]],"mmmm"),0)</f>
        <v>Abril</v>
      </c>
    </row>
    <row r="1358" spans="2:28" x14ac:dyDescent="0.3">
      <c r="B1358" s="2">
        <f>IF(BCP_Soles[[#This Row],[TIPO DE R.]]="R",COUNTIFS($D$4:$D1357,"R")+1,"")</f>
        <v>1065</v>
      </c>
      <c r="C1358" s="19" t="str">
        <f t="shared" si="105"/>
        <v>B-BCP - Soles</v>
      </c>
      <c r="D1358" s="3" t="s">
        <v>1074</v>
      </c>
      <c r="E1358" s="14">
        <v>45771</v>
      </c>
      <c r="F1358" s="5" t="s">
        <v>382</v>
      </c>
      <c r="G1358" s="5" t="s">
        <v>1087</v>
      </c>
      <c r="H1358" s="6"/>
      <c r="I1358" s="6"/>
      <c r="J1358" s="6"/>
      <c r="K1358" s="6"/>
      <c r="L1358" s="7" t="s">
        <v>1100</v>
      </c>
      <c r="M1358" s="8">
        <v>2996977</v>
      </c>
      <c r="N1358" s="8" t="str">
        <f t="shared" si="106"/>
        <v>PEN</v>
      </c>
      <c r="O1358" s="13"/>
      <c r="P1358" s="13">
        <v>1160</v>
      </c>
      <c r="Q1358" s="3">
        <f t="shared" si="107"/>
        <v>1160</v>
      </c>
      <c r="R1358" s="3">
        <f t="shared" si="108"/>
        <v>0</v>
      </c>
      <c r="S1358" s="3">
        <f t="shared" si="109"/>
        <v>107856.96000000002</v>
      </c>
      <c r="T1358" s="24" t="s">
        <v>1081</v>
      </c>
      <c r="U1358" s="24" t="s">
        <v>1081</v>
      </c>
      <c r="V1358" s="67"/>
      <c r="W1358" s="25" t="str">
        <f>IFERROR(VLOOKUP(BCP_Soles[[#This Row],[DESTINATARIO]],CHOOSE({1,2},Clientes_Proveedores[Razon Social],Clientes_Proveedores[Ruc / Dni]),2,0),"")</f>
        <v/>
      </c>
      <c r="X1358" s="25" t="s">
        <v>1090</v>
      </c>
      <c r="Y1358" s="25" t="s">
        <v>2500</v>
      </c>
      <c r="Z1358" s="25"/>
      <c r="AA1358" s="99"/>
      <c r="AB1358" s="3" t="str">
        <f>IF(BCP_Soles[[#This Row],[FECHA]]&gt;0,TEXT(BCP_Soles[[#This Row],[FECHA]],"mmmm"),0)</f>
        <v>Abril</v>
      </c>
    </row>
    <row r="1359" spans="2:28" ht="24" x14ac:dyDescent="0.3">
      <c r="B1359" s="2">
        <f>IF(BCP_Soles[[#This Row],[TIPO DE R.]]="R",COUNTIFS($D$4:$D1358,"R")+1,"")</f>
        <v>1066</v>
      </c>
      <c r="C1359" s="19" t="str">
        <f t="shared" si="105"/>
        <v>B-BCP - Soles</v>
      </c>
      <c r="D1359" s="3" t="s">
        <v>1074</v>
      </c>
      <c r="E1359" s="14">
        <v>45771</v>
      </c>
      <c r="F1359" s="5" t="s">
        <v>147</v>
      </c>
      <c r="G1359" s="5" t="s">
        <v>1087</v>
      </c>
      <c r="H1359" s="6"/>
      <c r="I1359" s="6"/>
      <c r="J1359" s="6"/>
      <c r="K1359" s="6"/>
      <c r="L1359" s="7" t="s">
        <v>2501</v>
      </c>
      <c r="M1359" s="8">
        <v>7556704</v>
      </c>
      <c r="N1359" s="8" t="str">
        <f t="shared" si="106"/>
        <v>PEN</v>
      </c>
      <c r="O1359" s="13"/>
      <c r="P1359" s="13">
        <v>881.34</v>
      </c>
      <c r="Q1359" s="3">
        <f t="shared" si="107"/>
        <v>881.34</v>
      </c>
      <c r="R1359" s="3">
        <f t="shared" si="108"/>
        <v>0</v>
      </c>
      <c r="S1359" s="3">
        <f t="shared" si="109"/>
        <v>108738.30000000002</v>
      </c>
      <c r="T1359" s="24" t="s">
        <v>1081</v>
      </c>
      <c r="U1359" s="24" t="s">
        <v>1081</v>
      </c>
      <c r="V1359" s="67"/>
      <c r="W1359" s="25" t="str">
        <f>IFERROR(VLOOKUP(BCP_Soles[[#This Row],[DESTINATARIO]],CHOOSE({1,2},Clientes_Proveedores[Razon Social],Clientes_Proveedores[Ruc / Dni]),2,0),"")</f>
        <v/>
      </c>
      <c r="X1359" s="25" t="s">
        <v>1090</v>
      </c>
      <c r="Y1359" s="25" t="s">
        <v>2502</v>
      </c>
      <c r="Z1359" s="25"/>
      <c r="AA1359" s="99"/>
      <c r="AB1359" s="3" t="str">
        <f>IF(BCP_Soles[[#This Row],[FECHA]]&gt;0,TEXT(BCP_Soles[[#This Row],[FECHA]],"mmmm"),0)</f>
        <v>Abril</v>
      </c>
    </row>
    <row r="1360" spans="2:28" x14ac:dyDescent="0.3">
      <c r="B1360" s="2">
        <f>IF(BCP_Soles[[#This Row],[TIPO DE R.]]="R",COUNTIFS($D$4:$D1359,"R")+1,"")</f>
        <v>1067</v>
      </c>
      <c r="C1360" s="19" t="str">
        <f t="shared" si="105"/>
        <v>B-BCP - Soles</v>
      </c>
      <c r="D1360" s="3" t="s">
        <v>1074</v>
      </c>
      <c r="E1360" s="14">
        <v>45771</v>
      </c>
      <c r="F1360" s="5" t="s">
        <v>1078</v>
      </c>
      <c r="G1360" s="5" t="s">
        <v>1079</v>
      </c>
      <c r="H1360" s="6"/>
      <c r="I1360" s="6"/>
      <c r="J1360" s="6"/>
      <c r="K1360" s="6"/>
      <c r="L1360" s="7" t="s">
        <v>1080</v>
      </c>
      <c r="M1360" s="8"/>
      <c r="N1360" s="8" t="str">
        <f t="shared" si="106"/>
        <v>PEN</v>
      </c>
      <c r="O1360" s="13"/>
      <c r="P1360" s="13">
        <v>0.85</v>
      </c>
      <c r="Q1360" s="3">
        <f t="shared" si="107"/>
        <v>0</v>
      </c>
      <c r="R1360" s="3">
        <f t="shared" si="108"/>
        <v>0.85</v>
      </c>
      <c r="S1360" s="3">
        <f t="shared" si="109"/>
        <v>108737.45000000001</v>
      </c>
      <c r="T1360" s="24"/>
      <c r="U1360" s="24" t="s">
        <v>1081</v>
      </c>
      <c r="V1360" s="67"/>
      <c r="W1360" s="25" t="str">
        <f>IFERROR(VLOOKUP(BCP_Soles[[#This Row],[DESTINATARIO]],CHOOSE({1,2},Clientes_Proveedores[Razon Social],Clientes_Proveedores[Ruc / Dni]),2,0),"")</f>
        <v/>
      </c>
      <c r="X1360" s="25"/>
      <c r="Y1360" s="25"/>
      <c r="Z1360" s="25"/>
      <c r="AA1360" s="99"/>
      <c r="AB1360" s="3" t="str">
        <f>IF(BCP_Soles[[#This Row],[FECHA]]&gt;0,TEXT(BCP_Soles[[#This Row],[FECHA]],"mmmm"),0)</f>
        <v>Abril</v>
      </c>
    </row>
    <row r="1361" spans="2:28" ht="48" x14ac:dyDescent="0.3">
      <c r="B1361" s="2">
        <f>IF(BCP_Soles[[#This Row],[TIPO DE R.]]="R",COUNTIFS($D$4:$D1360,"R")+1,"")</f>
        <v>1068</v>
      </c>
      <c r="C1361" s="19" t="str">
        <f t="shared" si="105"/>
        <v>B-BCP - Soles</v>
      </c>
      <c r="D1361" s="3" t="s">
        <v>1074</v>
      </c>
      <c r="E1361" s="14">
        <v>45771</v>
      </c>
      <c r="F1361" s="5" t="s">
        <v>1082</v>
      </c>
      <c r="G1361" s="5" t="s">
        <v>1079</v>
      </c>
      <c r="H1361" s="6" t="s">
        <v>444</v>
      </c>
      <c r="I1361" s="6" t="s">
        <v>14</v>
      </c>
      <c r="J1361" s="6" t="s">
        <v>1390</v>
      </c>
      <c r="K1361" s="6">
        <v>7453</v>
      </c>
      <c r="L1361" s="7" t="s">
        <v>2503</v>
      </c>
      <c r="M1361" s="8">
        <v>1052748</v>
      </c>
      <c r="N1361" s="8" t="str">
        <f t="shared" si="106"/>
        <v>PEN</v>
      </c>
      <c r="O1361" s="13"/>
      <c r="P1361" s="13">
        <v>160.02000000000001</v>
      </c>
      <c r="Q1361" s="3">
        <f t="shared" si="107"/>
        <v>0</v>
      </c>
      <c r="R1361" s="3">
        <f t="shared" si="108"/>
        <v>160.02000000000001</v>
      </c>
      <c r="S1361" s="3">
        <f t="shared" si="109"/>
        <v>108577.43000000001</v>
      </c>
      <c r="T1361" s="24" t="s">
        <v>1081</v>
      </c>
      <c r="U1361" s="24" t="s">
        <v>1081</v>
      </c>
      <c r="V1361" s="67"/>
      <c r="W1361" s="25">
        <f>IFERROR(VLOOKUP(BCP_Soles[[#This Row],[DESTINATARIO]],CHOOSE({1,2},Clientes_Proveedores[Razon Social],Clientes_Proveedores[Ruc / Dni]),2,0),"")</f>
        <v>20602978274</v>
      </c>
      <c r="X1361" s="25" t="s">
        <v>1268</v>
      </c>
      <c r="Y1361" s="25" t="s">
        <v>2504</v>
      </c>
      <c r="Z1361" s="25"/>
      <c r="AA1361" s="99"/>
      <c r="AB1361" s="3" t="str">
        <f>IF(BCP_Soles[[#This Row],[FECHA]]&gt;0,TEXT(BCP_Soles[[#This Row],[FECHA]],"mmmm"),0)</f>
        <v>Abril</v>
      </c>
    </row>
    <row r="1362" spans="2:28" ht="48" x14ac:dyDescent="0.3">
      <c r="B1362" s="2">
        <f>IF(BCP_Soles[[#This Row],[TIPO DE R.]]="R",COUNTIFS($D$4:$D1361,"R")+1,"")</f>
        <v>1069</v>
      </c>
      <c r="C1362" s="19" t="str">
        <f t="shared" si="105"/>
        <v>B-BCP - Soles</v>
      </c>
      <c r="D1362" s="3" t="s">
        <v>1074</v>
      </c>
      <c r="E1362" s="14">
        <v>45771</v>
      </c>
      <c r="F1362" s="5" t="s">
        <v>1082</v>
      </c>
      <c r="G1362" s="5" t="s">
        <v>1079</v>
      </c>
      <c r="H1362" s="6"/>
      <c r="I1362" s="6" t="s">
        <v>10</v>
      </c>
      <c r="J1362" s="6" t="s">
        <v>1121</v>
      </c>
      <c r="K1362" s="6">
        <v>1</v>
      </c>
      <c r="L1362" s="7" t="s">
        <v>2505</v>
      </c>
      <c r="M1362" s="8">
        <v>4040018</v>
      </c>
      <c r="N1362" s="8" t="str">
        <f t="shared" si="106"/>
        <v>PEN</v>
      </c>
      <c r="O1362" s="13"/>
      <c r="P1362" s="13">
        <v>884.3</v>
      </c>
      <c r="Q1362" s="3">
        <f t="shared" si="107"/>
        <v>0</v>
      </c>
      <c r="R1362" s="3">
        <f t="shared" si="108"/>
        <v>884.3</v>
      </c>
      <c r="S1362" s="3">
        <f t="shared" si="109"/>
        <v>107693.13</v>
      </c>
      <c r="T1362" s="24" t="s">
        <v>1081</v>
      </c>
      <c r="U1362" s="24" t="s">
        <v>1081</v>
      </c>
      <c r="V1362" s="67"/>
      <c r="W1362" s="25" t="str">
        <f>IFERROR(VLOOKUP(BCP_Soles[[#This Row],[DESTINATARIO]],CHOOSE({1,2},Clientes_Proveedores[Razon Social],Clientes_Proveedores[Ruc / Dni]),2,0),"")</f>
        <v/>
      </c>
      <c r="X1362" s="25" t="s">
        <v>2506</v>
      </c>
      <c r="Y1362" s="25" t="s">
        <v>1992</v>
      </c>
      <c r="Z1362" s="25"/>
      <c r="AA1362" s="99"/>
      <c r="AB1362" s="3" t="str">
        <f>IF(BCP_Soles[[#This Row],[FECHA]]&gt;0,TEXT(BCP_Soles[[#This Row],[FECHA]],"mmmm"),0)</f>
        <v>Abril</v>
      </c>
    </row>
    <row r="1363" spans="2:28" x14ac:dyDescent="0.3">
      <c r="B1363" s="2">
        <f>IF(BCP_Soles[[#This Row],[TIPO DE R.]]="R",COUNTIFS($D$4:$D1362,"R")+1,"")</f>
        <v>1070</v>
      </c>
      <c r="C1363" s="19" t="str">
        <f t="shared" si="105"/>
        <v>B-BCP - Soles</v>
      </c>
      <c r="D1363" s="3" t="s">
        <v>1074</v>
      </c>
      <c r="E1363" s="14">
        <v>45771</v>
      </c>
      <c r="F1363" s="5" t="s">
        <v>1251</v>
      </c>
      <c r="G1363" s="5" t="s">
        <v>1079</v>
      </c>
      <c r="H1363" s="6"/>
      <c r="I1363" s="6"/>
      <c r="J1363" s="6"/>
      <c r="K1363" s="6"/>
      <c r="L1363" s="7" t="s">
        <v>2507</v>
      </c>
      <c r="M1363" s="8">
        <v>1019143</v>
      </c>
      <c r="N1363" s="8" t="str">
        <f t="shared" si="106"/>
        <v>PEN</v>
      </c>
      <c r="O1363" s="13"/>
      <c r="P1363" s="13">
        <v>2000</v>
      </c>
      <c r="Q1363" s="3">
        <f t="shared" si="107"/>
        <v>0</v>
      </c>
      <c r="R1363" s="3">
        <f t="shared" si="108"/>
        <v>2000</v>
      </c>
      <c r="S1363" s="3">
        <f t="shared" si="109"/>
        <v>105693.13</v>
      </c>
      <c r="T1363" s="24"/>
      <c r="U1363" s="24"/>
      <c r="V1363" s="67"/>
      <c r="W1363" s="25" t="str">
        <f>IFERROR(VLOOKUP(BCP_Soles[[#This Row],[DESTINATARIO]],CHOOSE({1,2},Clientes_Proveedores[Razon Social],Clientes_Proveedores[Ruc / Dni]),2,0),"")</f>
        <v/>
      </c>
      <c r="X1363" s="25"/>
      <c r="Y1363" s="25"/>
      <c r="Z1363" s="25"/>
      <c r="AA1363" s="99"/>
      <c r="AB1363" s="3" t="str">
        <f>IF(BCP_Soles[[#This Row],[FECHA]]&gt;0,TEXT(BCP_Soles[[#This Row],[FECHA]],"mmmm"),0)</f>
        <v>Abril</v>
      </c>
    </row>
    <row r="1364" spans="2:28" x14ac:dyDescent="0.3">
      <c r="B1364" s="2">
        <f>IF(BCP_Soles[[#This Row],[TIPO DE R.]]="R",COUNTIFS($D$4:$D1363,"R")+1,"")</f>
        <v>1071</v>
      </c>
      <c r="C1364" s="19" t="str">
        <f t="shared" si="105"/>
        <v>B-BCP - Soles</v>
      </c>
      <c r="D1364" s="3" t="s">
        <v>1074</v>
      </c>
      <c r="E1364" s="14">
        <v>45772</v>
      </c>
      <c r="F1364" s="5"/>
      <c r="G1364" s="5" t="s">
        <v>1087</v>
      </c>
      <c r="H1364" s="6"/>
      <c r="I1364" s="6"/>
      <c r="J1364" s="6"/>
      <c r="K1364" s="6"/>
      <c r="L1364" s="7" t="s">
        <v>1100</v>
      </c>
      <c r="M1364" s="8">
        <v>1078316</v>
      </c>
      <c r="N1364" s="8" t="str">
        <f t="shared" si="106"/>
        <v>PEN</v>
      </c>
      <c r="O1364" s="13"/>
      <c r="P1364" s="13">
        <v>4853</v>
      </c>
      <c r="Q1364" s="3">
        <f t="shared" si="107"/>
        <v>4853</v>
      </c>
      <c r="R1364" s="3">
        <f t="shared" si="108"/>
        <v>0</v>
      </c>
      <c r="S1364" s="3">
        <f t="shared" si="109"/>
        <v>110546.13</v>
      </c>
      <c r="T1364" s="24" t="s">
        <v>1081</v>
      </c>
      <c r="U1364" s="24" t="s">
        <v>1081</v>
      </c>
      <c r="V1364" s="67"/>
      <c r="W1364" s="25" t="str">
        <f>IFERROR(VLOOKUP(BCP_Soles[[#This Row],[DESTINATARIO]],CHOOSE({1,2},Clientes_Proveedores[Razon Social],Clientes_Proveedores[Ruc / Dni]),2,0),"")</f>
        <v/>
      </c>
      <c r="X1364" s="25" t="s">
        <v>1090</v>
      </c>
      <c r="Y1364" s="25"/>
      <c r="Z1364" s="25"/>
      <c r="AA1364" s="99"/>
      <c r="AB1364" s="3" t="str">
        <f>IF(BCP_Soles[[#This Row],[FECHA]]&gt;0,TEXT(BCP_Soles[[#This Row],[FECHA]],"mmmm"),0)</f>
        <v>Abril</v>
      </c>
    </row>
    <row r="1365" spans="2:28" x14ac:dyDescent="0.3">
      <c r="B1365" s="2" t="str">
        <f>IF(BCP_Soles[[#This Row],[TIPO DE R.]]="R",COUNTIFS($D$4:$D1364,"R")+1,"")</f>
        <v/>
      </c>
      <c r="C1365" s="19" t="str">
        <f t="shared" si="105"/>
        <v>B-BCP - Soles</v>
      </c>
      <c r="D1365" s="3" t="s">
        <v>1101</v>
      </c>
      <c r="E1365" s="14">
        <v>45772</v>
      </c>
      <c r="F1365" s="5" t="s">
        <v>1262</v>
      </c>
      <c r="G1365" s="5"/>
      <c r="H1365" s="6"/>
      <c r="I1365" s="6"/>
      <c r="J1365" s="6"/>
      <c r="K1365" s="6"/>
      <c r="L1365" s="7" t="s">
        <v>1100</v>
      </c>
      <c r="M1365" s="8">
        <v>1078316</v>
      </c>
      <c r="N1365" s="8" t="str">
        <f t="shared" si="106"/>
        <v>PEN</v>
      </c>
      <c r="O1365" s="13"/>
      <c r="P1365" s="13">
        <v>1349</v>
      </c>
      <c r="Q1365" s="3">
        <f t="shared" si="107"/>
        <v>0</v>
      </c>
      <c r="R1365" s="3">
        <f t="shared" si="108"/>
        <v>0</v>
      </c>
      <c r="S1365" s="3">
        <f t="shared" si="109"/>
        <v>110546.13</v>
      </c>
      <c r="T1365" s="24" t="s">
        <v>1081</v>
      </c>
      <c r="U1365" s="24" t="s">
        <v>1081</v>
      </c>
      <c r="V1365" s="67"/>
      <c r="W1365" s="25" t="str">
        <f>IFERROR(VLOOKUP(BCP_Soles[[#This Row],[DESTINATARIO]],CHOOSE({1,2},Clientes_Proveedores[Razon Social],Clientes_Proveedores[Ruc / Dni]),2,0),"")</f>
        <v/>
      </c>
      <c r="X1365" s="25" t="s">
        <v>1090</v>
      </c>
      <c r="Y1365" s="25" t="s">
        <v>2040</v>
      </c>
      <c r="Z1365" s="25"/>
      <c r="AA1365" s="99"/>
      <c r="AB1365" s="3" t="str">
        <f>IF(BCP_Soles[[#This Row],[FECHA]]&gt;0,TEXT(BCP_Soles[[#This Row],[FECHA]],"mmmm"),0)</f>
        <v>Abril</v>
      </c>
    </row>
    <row r="1366" spans="2:28" x14ac:dyDescent="0.3">
      <c r="B1366" s="2" t="str">
        <f>IF(BCP_Soles[[#This Row],[TIPO DE R.]]="R",COUNTIFS($D$4:$D1365,"R")+1,"")</f>
        <v/>
      </c>
      <c r="C1366" s="19" t="str">
        <f t="shared" si="105"/>
        <v>B-BCP - Soles</v>
      </c>
      <c r="D1366" s="3" t="s">
        <v>1101</v>
      </c>
      <c r="E1366" s="14">
        <v>45772</v>
      </c>
      <c r="F1366" s="5" t="s">
        <v>1262</v>
      </c>
      <c r="G1366" s="5"/>
      <c r="H1366" s="6"/>
      <c r="I1366" s="6"/>
      <c r="J1366" s="6"/>
      <c r="K1366" s="6"/>
      <c r="L1366" s="7" t="s">
        <v>1100</v>
      </c>
      <c r="M1366" s="8">
        <v>1078316</v>
      </c>
      <c r="N1366" s="8" t="str">
        <f t="shared" si="106"/>
        <v>PEN</v>
      </c>
      <c r="O1366" s="13"/>
      <c r="P1366" s="13">
        <v>2100</v>
      </c>
      <c r="Q1366" s="3">
        <f t="shared" si="107"/>
        <v>0</v>
      </c>
      <c r="R1366" s="3">
        <f t="shared" si="108"/>
        <v>0</v>
      </c>
      <c r="S1366" s="3">
        <f t="shared" si="109"/>
        <v>110546.13</v>
      </c>
      <c r="T1366" s="24" t="s">
        <v>1081</v>
      </c>
      <c r="U1366" s="24" t="s">
        <v>1081</v>
      </c>
      <c r="V1366" s="67"/>
      <c r="W1366" s="25" t="str">
        <f>IFERROR(VLOOKUP(BCP_Soles[[#This Row],[DESTINATARIO]],CHOOSE({1,2},Clientes_Proveedores[Razon Social],Clientes_Proveedores[Ruc / Dni]),2,0),"")</f>
        <v/>
      </c>
      <c r="X1366" s="25" t="s">
        <v>1090</v>
      </c>
      <c r="Y1366" s="25" t="s">
        <v>2508</v>
      </c>
      <c r="Z1366" s="25"/>
      <c r="AA1366" s="99"/>
      <c r="AB1366" s="3" t="str">
        <f>IF(BCP_Soles[[#This Row],[FECHA]]&gt;0,TEXT(BCP_Soles[[#This Row],[FECHA]],"mmmm"),0)</f>
        <v>Abril</v>
      </c>
    </row>
    <row r="1367" spans="2:28" x14ac:dyDescent="0.3">
      <c r="B1367" s="2" t="str">
        <f>IF(BCP_Soles[[#This Row],[TIPO DE R.]]="R",COUNTIFS($D$4:$D1366,"R")+1,"")</f>
        <v/>
      </c>
      <c r="C1367" s="19" t="str">
        <f t="shared" si="105"/>
        <v>B-BCP - Soles</v>
      </c>
      <c r="D1367" s="3" t="s">
        <v>1101</v>
      </c>
      <c r="E1367" s="14">
        <v>45772</v>
      </c>
      <c r="F1367" s="5" t="s">
        <v>1262</v>
      </c>
      <c r="G1367" s="5"/>
      <c r="H1367" s="6"/>
      <c r="I1367" s="6"/>
      <c r="J1367" s="6"/>
      <c r="K1367" s="6"/>
      <c r="L1367" s="7" t="s">
        <v>1100</v>
      </c>
      <c r="M1367" s="8">
        <v>1078316</v>
      </c>
      <c r="N1367" s="8" t="str">
        <f t="shared" si="106"/>
        <v>PEN</v>
      </c>
      <c r="O1367" s="13"/>
      <c r="P1367" s="13">
        <v>1404</v>
      </c>
      <c r="Q1367" s="3">
        <f t="shared" si="107"/>
        <v>0</v>
      </c>
      <c r="R1367" s="3">
        <f t="shared" si="108"/>
        <v>0</v>
      </c>
      <c r="S1367" s="3">
        <f t="shared" si="109"/>
        <v>110546.13</v>
      </c>
      <c r="T1367" s="24" t="s">
        <v>1081</v>
      </c>
      <c r="U1367" s="24" t="s">
        <v>1081</v>
      </c>
      <c r="V1367" s="67"/>
      <c r="W1367" s="25" t="str">
        <f>IFERROR(VLOOKUP(BCP_Soles[[#This Row],[DESTINATARIO]],CHOOSE({1,2},Clientes_Proveedores[Razon Social],Clientes_Proveedores[Ruc / Dni]),2,0),"")</f>
        <v/>
      </c>
      <c r="X1367" s="25" t="s">
        <v>1090</v>
      </c>
      <c r="Y1367" s="25" t="s">
        <v>2509</v>
      </c>
      <c r="Z1367" s="25"/>
      <c r="AA1367" s="99"/>
      <c r="AB1367" s="3" t="str">
        <f>IF(BCP_Soles[[#This Row],[FECHA]]&gt;0,TEXT(BCP_Soles[[#This Row],[FECHA]],"mmmm"),0)</f>
        <v>Abril</v>
      </c>
    </row>
    <row r="1368" spans="2:28" x14ac:dyDescent="0.3">
      <c r="B1368" s="2">
        <f>IF(BCP_Soles[[#This Row],[TIPO DE R.]]="R",COUNTIFS($D$4:$D1367,"R")+1,"")</f>
        <v>1072</v>
      </c>
      <c r="C1368" s="19" t="str">
        <f t="shared" si="105"/>
        <v>B-BCP - Soles</v>
      </c>
      <c r="D1368" s="3" t="s">
        <v>1074</v>
      </c>
      <c r="E1368" s="14">
        <v>45772</v>
      </c>
      <c r="F1368" s="5" t="s">
        <v>382</v>
      </c>
      <c r="G1368" s="5" t="s">
        <v>1087</v>
      </c>
      <c r="H1368" s="6"/>
      <c r="I1368" s="6"/>
      <c r="J1368" s="6"/>
      <c r="K1368" s="6"/>
      <c r="L1368" s="7" t="s">
        <v>1100</v>
      </c>
      <c r="M1368" s="8">
        <v>672217</v>
      </c>
      <c r="N1368" s="8" t="str">
        <f t="shared" si="106"/>
        <v>PEN</v>
      </c>
      <c r="O1368" s="13"/>
      <c r="P1368" s="13">
        <v>889</v>
      </c>
      <c r="Q1368" s="3">
        <f t="shared" si="107"/>
        <v>889</v>
      </c>
      <c r="R1368" s="3">
        <f t="shared" si="108"/>
        <v>0</v>
      </c>
      <c r="S1368" s="3">
        <f t="shared" si="109"/>
        <v>111435.13</v>
      </c>
      <c r="T1368" s="24" t="s">
        <v>1081</v>
      </c>
      <c r="U1368" s="24" t="s">
        <v>1081</v>
      </c>
      <c r="V1368" s="67"/>
      <c r="W1368" s="25" t="str">
        <f>IFERROR(VLOOKUP(BCP_Soles[[#This Row],[DESTINATARIO]],CHOOSE({1,2},Clientes_Proveedores[Razon Social],Clientes_Proveedores[Ruc / Dni]),2,0),"")</f>
        <v/>
      </c>
      <c r="X1368" s="25" t="s">
        <v>1090</v>
      </c>
      <c r="Y1368" s="25" t="s">
        <v>2510</v>
      </c>
      <c r="Z1368" s="25"/>
      <c r="AA1368" s="99"/>
      <c r="AB1368" s="3" t="str">
        <f>IF(BCP_Soles[[#This Row],[FECHA]]&gt;0,TEXT(BCP_Soles[[#This Row],[FECHA]],"mmmm"),0)</f>
        <v>Abril</v>
      </c>
    </row>
    <row r="1369" spans="2:28" ht="36" x14ac:dyDescent="0.3">
      <c r="B1369" s="2">
        <f>IF(BCP_Soles[[#This Row],[TIPO DE R.]]="R",COUNTIFS($D$4:$D1368,"R")+1,"")</f>
        <v>1073</v>
      </c>
      <c r="C1369" s="19" t="str">
        <f t="shared" si="105"/>
        <v>B-BCP - Soles</v>
      </c>
      <c r="D1369" s="3" t="s">
        <v>1074</v>
      </c>
      <c r="E1369" s="14">
        <v>45772</v>
      </c>
      <c r="F1369" s="5" t="s">
        <v>602</v>
      </c>
      <c r="G1369" s="5" t="s">
        <v>1087</v>
      </c>
      <c r="H1369" s="6"/>
      <c r="I1369" s="6"/>
      <c r="J1369" s="6"/>
      <c r="K1369" s="6"/>
      <c r="L1369" s="7" t="s">
        <v>1100</v>
      </c>
      <c r="M1369" s="8">
        <v>421012</v>
      </c>
      <c r="N1369" s="8" t="str">
        <f t="shared" si="106"/>
        <v>PEN</v>
      </c>
      <c r="O1369" s="13"/>
      <c r="P1369" s="13">
        <v>619.5</v>
      </c>
      <c r="Q1369" s="3">
        <f t="shared" si="107"/>
        <v>619.5</v>
      </c>
      <c r="R1369" s="3">
        <f t="shared" si="108"/>
        <v>0</v>
      </c>
      <c r="S1369" s="3">
        <f t="shared" si="109"/>
        <v>112054.63</v>
      </c>
      <c r="T1369" s="24" t="s">
        <v>1081</v>
      </c>
      <c r="U1369" s="24" t="s">
        <v>1081</v>
      </c>
      <c r="V1369" s="67"/>
      <c r="W1369" s="25" t="str">
        <f>IFERROR(VLOOKUP(BCP_Soles[[#This Row],[DESTINATARIO]],CHOOSE({1,2},Clientes_Proveedores[Razon Social],Clientes_Proveedores[Ruc / Dni]),2,0),"")</f>
        <v/>
      </c>
      <c r="X1369" s="25" t="s">
        <v>1090</v>
      </c>
      <c r="Y1369" s="25" t="s">
        <v>2511</v>
      </c>
      <c r="Z1369" s="25"/>
      <c r="AA1369" s="99"/>
      <c r="AB1369" s="3" t="str">
        <f>IF(BCP_Soles[[#This Row],[FECHA]]&gt;0,TEXT(BCP_Soles[[#This Row],[FECHA]],"mmmm"),0)</f>
        <v>Abril</v>
      </c>
    </row>
    <row r="1370" spans="2:28" ht="24" x14ac:dyDescent="0.3">
      <c r="B1370" s="2">
        <f>IF(BCP_Soles[[#This Row],[TIPO DE R.]]="R",COUNTIFS($D$4:$D1369,"R")+1,"")</f>
        <v>1074</v>
      </c>
      <c r="C1370" s="19" t="str">
        <f t="shared" si="105"/>
        <v>B-BCP - Soles</v>
      </c>
      <c r="D1370" s="3" t="s">
        <v>1074</v>
      </c>
      <c r="E1370" s="14">
        <v>45772</v>
      </c>
      <c r="F1370" s="5" t="s">
        <v>1838</v>
      </c>
      <c r="G1370" s="5" t="s">
        <v>1087</v>
      </c>
      <c r="H1370" s="6"/>
      <c r="I1370" s="6"/>
      <c r="J1370" s="6"/>
      <c r="K1370" s="6"/>
      <c r="L1370" s="7" t="s">
        <v>1740</v>
      </c>
      <c r="M1370" s="8">
        <v>2257731</v>
      </c>
      <c r="N1370" s="8" t="str">
        <f t="shared" si="106"/>
        <v>PEN</v>
      </c>
      <c r="O1370" s="13"/>
      <c r="P1370" s="13">
        <v>7500</v>
      </c>
      <c r="Q1370" s="3">
        <f t="shared" si="107"/>
        <v>7500</v>
      </c>
      <c r="R1370" s="3">
        <f t="shared" si="108"/>
        <v>0</v>
      </c>
      <c r="S1370" s="3">
        <f t="shared" si="109"/>
        <v>119554.63</v>
      </c>
      <c r="T1370" s="24" t="s">
        <v>1081</v>
      </c>
      <c r="U1370" s="24" t="s">
        <v>1081</v>
      </c>
      <c r="V1370" s="67"/>
      <c r="W1370" s="25" t="str">
        <f>IFERROR(VLOOKUP(BCP_Soles[[#This Row],[DESTINATARIO]],CHOOSE({1,2},Clientes_Proveedores[Razon Social],Clientes_Proveedores[Ruc / Dni]),2,0),"")</f>
        <v/>
      </c>
      <c r="X1370" s="25" t="s">
        <v>1090</v>
      </c>
      <c r="Y1370" s="25" t="s">
        <v>2512</v>
      </c>
      <c r="Z1370" s="25"/>
      <c r="AA1370" s="99"/>
      <c r="AB1370" s="3" t="str">
        <f>IF(BCP_Soles[[#This Row],[FECHA]]&gt;0,TEXT(BCP_Soles[[#This Row],[FECHA]],"mmmm"),0)</f>
        <v>Abril</v>
      </c>
    </row>
    <row r="1371" spans="2:28" ht="24" x14ac:dyDescent="0.3">
      <c r="B1371" s="2">
        <f>IF(BCP_Soles[[#This Row],[TIPO DE R.]]="R",COUNTIFS($D$4:$D1370,"R")+1,"")</f>
        <v>1075</v>
      </c>
      <c r="C1371" s="19" t="str">
        <f t="shared" si="105"/>
        <v>B-BCP - Soles</v>
      </c>
      <c r="D1371" s="3" t="s">
        <v>1074</v>
      </c>
      <c r="E1371" s="14">
        <v>45772</v>
      </c>
      <c r="F1371" s="5" t="s">
        <v>479</v>
      </c>
      <c r="G1371" s="5" t="s">
        <v>1087</v>
      </c>
      <c r="H1371" s="6"/>
      <c r="I1371" s="6"/>
      <c r="J1371" s="6"/>
      <c r="K1371" s="6"/>
      <c r="L1371" s="7" t="s">
        <v>2513</v>
      </c>
      <c r="M1371" s="8">
        <v>65208</v>
      </c>
      <c r="N1371" s="8" t="str">
        <f t="shared" si="106"/>
        <v>PEN</v>
      </c>
      <c r="O1371" s="13"/>
      <c r="P1371" s="13">
        <v>3985</v>
      </c>
      <c r="Q1371" s="3">
        <f t="shared" si="107"/>
        <v>3985</v>
      </c>
      <c r="R1371" s="3">
        <f t="shared" si="108"/>
        <v>0</v>
      </c>
      <c r="S1371" s="3">
        <f t="shared" si="109"/>
        <v>123539.63</v>
      </c>
      <c r="T1371" s="24" t="s">
        <v>1081</v>
      </c>
      <c r="U1371" s="24" t="s">
        <v>1081</v>
      </c>
      <c r="V1371" s="67"/>
      <c r="W1371" s="25" t="str">
        <f>IFERROR(VLOOKUP(BCP_Soles[[#This Row],[DESTINATARIO]],CHOOSE({1,2},Clientes_Proveedores[Razon Social],Clientes_Proveedores[Ruc / Dni]),2,0),"")</f>
        <v/>
      </c>
      <c r="X1371" s="25" t="s">
        <v>1090</v>
      </c>
      <c r="Y1371" s="25" t="s">
        <v>2514</v>
      </c>
      <c r="Z1371" s="25"/>
      <c r="AA1371" s="99"/>
      <c r="AB1371" s="3" t="str">
        <f>IF(BCP_Soles[[#This Row],[FECHA]]&gt;0,TEXT(BCP_Soles[[#This Row],[FECHA]],"mmmm"),0)</f>
        <v>Abril</v>
      </c>
    </row>
    <row r="1372" spans="2:28" ht="24" x14ac:dyDescent="0.3">
      <c r="B1372" s="2">
        <f>IF(BCP_Soles[[#This Row],[TIPO DE R.]]="R",COUNTIFS($D$4:$D1371,"R")+1,"")</f>
        <v>1076</v>
      </c>
      <c r="C1372" s="19" t="str">
        <f t="shared" si="105"/>
        <v>B-BCP - Soles</v>
      </c>
      <c r="D1372" s="3" t="s">
        <v>1074</v>
      </c>
      <c r="E1372" s="14">
        <v>45772</v>
      </c>
      <c r="F1372" s="5" t="s">
        <v>1745</v>
      </c>
      <c r="G1372" s="5" t="s">
        <v>1087</v>
      </c>
      <c r="H1372" s="6"/>
      <c r="I1372" s="6"/>
      <c r="J1372" s="6"/>
      <c r="K1372" s="6"/>
      <c r="L1372" s="7" t="s">
        <v>1100</v>
      </c>
      <c r="M1372" s="8">
        <v>3413163</v>
      </c>
      <c r="N1372" s="8" t="str">
        <f t="shared" si="106"/>
        <v>PEN</v>
      </c>
      <c r="O1372" s="13"/>
      <c r="P1372" s="13">
        <v>800</v>
      </c>
      <c r="Q1372" s="3">
        <f t="shared" si="107"/>
        <v>800</v>
      </c>
      <c r="R1372" s="3">
        <f t="shared" si="108"/>
        <v>0</v>
      </c>
      <c r="S1372" s="3">
        <f t="shared" si="109"/>
        <v>124339.63</v>
      </c>
      <c r="T1372" s="24" t="s">
        <v>1081</v>
      </c>
      <c r="U1372" s="24" t="s">
        <v>1081</v>
      </c>
      <c r="V1372" s="67"/>
      <c r="W1372" s="25" t="str">
        <f>IFERROR(VLOOKUP(BCP_Soles[[#This Row],[DESTINATARIO]],CHOOSE({1,2},Clientes_Proveedores[Razon Social],Clientes_Proveedores[Ruc / Dni]),2,0),"")</f>
        <v/>
      </c>
      <c r="X1372" s="25" t="s">
        <v>1090</v>
      </c>
      <c r="Y1372" s="25" t="s">
        <v>2515</v>
      </c>
      <c r="Z1372" s="25"/>
      <c r="AA1372" s="99"/>
      <c r="AB1372" s="3" t="str">
        <f>IF(BCP_Soles[[#This Row],[FECHA]]&gt;0,TEXT(BCP_Soles[[#This Row],[FECHA]],"mmmm"),0)</f>
        <v>Abril</v>
      </c>
    </row>
    <row r="1373" spans="2:28" ht="48" x14ac:dyDescent="0.3">
      <c r="B1373" s="2">
        <f>IF(BCP_Soles[[#This Row],[TIPO DE R.]]="R",COUNTIFS($D$4:$D1372,"R")+1,"")</f>
        <v>1077</v>
      </c>
      <c r="C1373" s="19" t="str">
        <f t="shared" si="105"/>
        <v>B-BCP - Soles</v>
      </c>
      <c r="D1373" s="3" t="s">
        <v>1074</v>
      </c>
      <c r="E1373" s="14">
        <v>45772</v>
      </c>
      <c r="F1373" s="5" t="s">
        <v>588</v>
      </c>
      <c r="G1373" s="5" t="s">
        <v>1087</v>
      </c>
      <c r="H1373" s="6"/>
      <c r="I1373" s="6"/>
      <c r="J1373" s="6"/>
      <c r="K1373" s="6"/>
      <c r="L1373" s="7" t="s">
        <v>2516</v>
      </c>
      <c r="M1373" s="8">
        <v>8107954</v>
      </c>
      <c r="N1373" s="8" t="str">
        <f t="shared" si="106"/>
        <v>PEN</v>
      </c>
      <c r="O1373" s="13"/>
      <c r="P1373" s="13">
        <v>438.4</v>
      </c>
      <c r="Q1373" s="3">
        <f t="shared" si="107"/>
        <v>438.4</v>
      </c>
      <c r="R1373" s="3">
        <f t="shared" si="108"/>
        <v>0</v>
      </c>
      <c r="S1373" s="3">
        <f t="shared" si="109"/>
        <v>124778.03</v>
      </c>
      <c r="T1373" s="24"/>
      <c r="U1373" s="24"/>
      <c r="V1373" s="67"/>
      <c r="W1373" s="25" t="str">
        <f>IFERROR(VLOOKUP(BCP_Soles[[#This Row],[DESTINATARIO]],CHOOSE({1,2},Clientes_Proveedores[Razon Social],Clientes_Proveedores[Ruc / Dni]),2,0),"")</f>
        <v/>
      </c>
      <c r="X1373" s="25" t="s">
        <v>1090</v>
      </c>
      <c r="Y1373" s="25" t="s">
        <v>2517</v>
      </c>
      <c r="Z1373" s="25"/>
      <c r="AA1373" s="99"/>
      <c r="AB1373" s="3" t="str">
        <f>IF(BCP_Soles[[#This Row],[FECHA]]&gt;0,TEXT(BCP_Soles[[#This Row],[FECHA]],"mmmm"),0)</f>
        <v>Abril</v>
      </c>
    </row>
    <row r="1374" spans="2:28" x14ac:dyDescent="0.3">
      <c r="B1374" s="2">
        <f>IF(BCP_Soles[[#This Row],[TIPO DE R.]]="R",COUNTIFS($D$4:$D1373,"R")+1,"")</f>
        <v>1078</v>
      </c>
      <c r="C1374" s="19" t="str">
        <f t="shared" si="105"/>
        <v>B-BCP - Soles</v>
      </c>
      <c r="D1374" s="3" t="s">
        <v>1074</v>
      </c>
      <c r="E1374" s="14">
        <v>45772</v>
      </c>
      <c r="F1374" s="5" t="s">
        <v>2518</v>
      </c>
      <c r="G1374" s="5" t="s">
        <v>1087</v>
      </c>
      <c r="H1374" s="6"/>
      <c r="I1374" s="6"/>
      <c r="J1374" s="6"/>
      <c r="K1374" s="6"/>
      <c r="L1374" s="7" t="s">
        <v>1100</v>
      </c>
      <c r="M1374" s="8">
        <v>3006485</v>
      </c>
      <c r="N1374" s="8" t="str">
        <f t="shared" si="106"/>
        <v>PEN</v>
      </c>
      <c r="O1374" s="13"/>
      <c r="P1374" s="13">
        <v>260</v>
      </c>
      <c r="Q1374" s="3">
        <f t="shared" si="107"/>
        <v>260</v>
      </c>
      <c r="R1374" s="3">
        <f t="shared" si="108"/>
        <v>0</v>
      </c>
      <c r="S1374" s="3">
        <f t="shared" si="109"/>
        <v>125038.03</v>
      </c>
      <c r="T1374" s="24" t="s">
        <v>1081</v>
      </c>
      <c r="U1374" s="24" t="s">
        <v>1081</v>
      </c>
      <c r="V1374" s="67"/>
      <c r="W1374" s="25" t="str">
        <f>IFERROR(VLOOKUP(BCP_Soles[[#This Row],[DESTINATARIO]],CHOOSE({1,2},Clientes_Proveedores[Razon Social],Clientes_Proveedores[Ruc / Dni]),2,0),"")</f>
        <v/>
      </c>
      <c r="X1374" s="25" t="s">
        <v>1090</v>
      </c>
      <c r="Y1374" s="25" t="s">
        <v>2519</v>
      </c>
      <c r="Z1374" s="25"/>
      <c r="AA1374" s="99"/>
      <c r="AB1374" s="3" t="str">
        <f>IF(BCP_Soles[[#This Row],[FECHA]]&gt;0,TEXT(BCP_Soles[[#This Row],[FECHA]],"mmmm"),0)</f>
        <v>Abril</v>
      </c>
    </row>
    <row r="1375" spans="2:28" x14ac:dyDescent="0.3">
      <c r="B1375" s="2">
        <f>IF(BCP_Soles[[#This Row],[TIPO DE R.]]="R",COUNTIFS($D$4:$D1374,"R")+1,"")</f>
        <v>1079</v>
      </c>
      <c r="C1375" s="19" t="str">
        <f t="shared" si="105"/>
        <v>B-BCP - Soles</v>
      </c>
      <c r="D1375" s="3" t="s">
        <v>1074</v>
      </c>
      <c r="E1375" s="14">
        <v>45772</v>
      </c>
      <c r="F1375" s="5" t="s">
        <v>2520</v>
      </c>
      <c r="G1375" s="5" t="s">
        <v>1087</v>
      </c>
      <c r="H1375" s="6"/>
      <c r="I1375" s="6"/>
      <c r="J1375" s="6"/>
      <c r="K1375" s="6"/>
      <c r="L1375" s="7" t="s">
        <v>1100</v>
      </c>
      <c r="M1375" s="8">
        <v>3386669</v>
      </c>
      <c r="N1375" s="8" t="str">
        <f t="shared" si="106"/>
        <v>PEN</v>
      </c>
      <c r="O1375" s="13"/>
      <c r="P1375" s="13">
        <v>75.599999999999994</v>
      </c>
      <c r="Q1375" s="3">
        <f t="shared" si="107"/>
        <v>75.599999999999994</v>
      </c>
      <c r="R1375" s="3">
        <f t="shared" si="108"/>
        <v>0</v>
      </c>
      <c r="S1375" s="3">
        <f t="shared" si="109"/>
        <v>125113.63</v>
      </c>
      <c r="T1375" s="24" t="s">
        <v>1081</v>
      </c>
      <c r="U1375" s="24" t="s">
        <v>1081</v>
      </c>
      <c r="V1375" s="67"/>
      <c r="W1375" s="25" t="str">
        <f>IFERROR(VLOOKUP(BCP_Soles[[#This Row],[DESTINATARIO]],CHOOSE({1,2},Clientes_Proveedores[Razon Social],Clientes_Proveedores[Ruc / Dni]),2,0),"")</f>
        <v/>
      </c>
      <c r="X1375" s="25" t="s">
        <v>1090</v>
      </c>
      <c r="Y1375" s="25" t="s">
        <v>2521</v>
      </c>
      <c r="Z1375" s="25"/>
      <c r="AA1375" s="99"/>
      <c r="AB1375" s="3" t="str">
        <f>IF(BCP_Soles[[#This Row],[FECHA]]&gt;0,TEXT(BCP_Soles[[#This Row],[FECHA]],"mmmm"),0)</f>
        <v>Abril</v>
      </c>
    </row>
    <row r="1376" spans="2:28" x14ac:dyDescent="0.3">
      <c r="B1376" s="2">
        <f>IF(BCP_Soles[[#This Row],[TIPO DE R.]]="R",COUNTIFS($D$4:$D1375,"R")+1,"")</f>
        <v>1080</v>
      </c>
      <c r="C1376" s="19" t="str">
        <f t="shared" si="105"/>
        <v>B-BCP - Soles</v>
      </c>
      <c r="D1376" s="3" t="s">
        <v>1074</v>
      </c>
      <c r="E1376" s="14">
        <v>45772</v>
      </c>
      <c r="F1376" s="5" t="s">
        <v>1078</v>
      </c>
      <c r="G1376" s="5" t="s">
        <v>1079</v>
      </c>
      <c r="H1376" s="6"/>
      <c r="I1376" s="6"/>
      <c r="J1376" s="6"/>
      <c r="K1376" s="6"/>
      <c r="L1376" s="7" t="s">
        <v>1080</v>
      </c>
      <c r="M1376" s="8"/>
      <c r="N1376" s="8" t="str">
        <f t="shared" si="106"/>
        <v>PEN</v>
      </c>
      <c r="O1376" s="13"/>
      <c r="P1376" s="13">
        <v>0.75</v>
      </c>
      <c r="Q1376" s="3">
        <f t="shared" si="107"/>
        <v>0</v>
      </c>
      <c r="R1376" s="3">
        <f t="shared" si="108"/>
        <v>0.75</v>
      </c>
      <c r="S1376" s="3">
        <f t="shared" si="109"/>
        <v>125112.88</v>
      </c>
      <c r="T1376" s="24"/>
      <c r="U1376" s="24" t="s">
        <v>1081</v>
      </c>
      <c r="V1376" s="67"/>
      <c r="W1376" s="25" t="str">
        <f>IFERROR(VLOOKUP(BCP_Soles[[#This Row],[DESTINATARIO]],CHOOSE({1,2},Clientes_Proveedores[Razon Social],Clientes_Proveedores[Ruc / Dni]),2,0),"")</f>
        <v/>
      </c>
      <c r="X1376" s="25"/>
      <c r="Y1376" s="25"/>
      <c r="Z1376" s="25"/>
      <c r="AA1376" s="99"/>
      <c r="AB1376" s="3" t="str">
        <f>IF(BCP_Soles[[#This Row],[FECHA]]&gt;0,TEXT(BCP_Soles[[#This Row],[FECHA]],"mmmm"),0)</f>
        <v>Abril</v>
      </c>
    </row>
    <row r="1377" spans="2:28" x14ac:dyDescent="0.3">
      <c r="B1377" s="2">
        <f>IF(BCP_Soles[[#This Row],[TIPO DE R.]]="R",COUNTIFS($D$4:$D1376,"R")+1,"")</f>
        <v>1081</v>
      </c>
      <c r="C1377" s="19" t="str">
        <f t="shared" si="105"/>
        <v>B-BCP - Soles</v>
      </c>
      <c r="D1377" s="3" t="s">
        <v>1074</v>
      </c>
      <c r="E1377" s="14">
        <v>45772</v>
      </c>
      <c r="F1377" s="5" t="s">
        <v>1078</v>
      </c>
      <c r="G1377" s="5" t="s">
        <v>1079</v>
      </c>
      <c r="H1377" s="6"/>
      <c r="I1377" s="6"/>
      <c r="J1377" s="6"/>
      <c r="K1377" s="6"/>
      <c r="L1377" s="7" t="s">
        <v>1141</v>
      </c>
      <c r="M1377" s="8">
        <v>566</v>
      </c>
      <c r="N1377" s="8" t="str">
        <f t="shared" si="106"/>
        <v>PEN</v>
      </c>
      <c r="O1377" s="13"/>
      <c r="P1377" s="13">
        <v>10</v>
      </c>
      <c r="Q1377" s="3">
        <f t="shared" si="107"/>
        <v>0</v>
      </c>
      <c r="R1377" s="3">
        <f t="shared" si="108"/>
        <v>10</v>
      </c>
      <c r="S1377" s="3">
        <f t="shared" si="109"/>
        <v>125102.88</v>
      </c>
      <c r="T1377" s="24"/>
      <c r="U1377" s="24" t="s">
        <v>1081</v>
      </c>
      <c r="V1377" s="67"/>
      <c r="W1377" s="25" t="str">
        <f>IFERROR(VLOOKUP(BCP_Soles[[#This Row],[DESTINATARIO]],CHOOSE({1,2},Clientes_Proveedores[Razon Social],Clientes_Proveedores[Ruc / Dni]),2,0),"")</f>
        <v/>
      </c>
      <c r="X1377" s="25" t="s">
        <v>1078</v>
      </c>
      <c r="Y1377" s="25" t="s">
        <v>2522</v>
      </c>
      <c r="Z1377" s="25"/>
      <c r="AA1377" s="99"/>
      <c r="AB1377" s="3" t="str">
        <f>IF(BCP_Soles[[#This Row],[FECHA]]&gt;0,TEXT(BCP_Soles[[#This Row],[FECHA]],"mmmm"),0)</f>
        <v>Abril</v>
      </c>
    </row>
    <row r="1378" spans="2:28" x14ac:dyDescent="0.3">
      <c r="B1378" s="2">
        <f>IF(BCP_Soles[[#This Row],[TIPO DE R.]]="R",COUNTIFS($D$4:$D1377,"R")+1,"")</f>
        <v>1082</v>
      </c>
      <c r="C1378" s="19" t="str">
        <f t="shared" si="105"/>
        <v>B-BCP - Soles</v>
      </c>
      <c r="D1378" s="3" t="s">
        <v>1074</v>
      </c>
      <c r="E1378" s="14">
        <v>45772</v>
      </c>
      <c r="F1378" s="5" t="s">
        <v>1996</v>
      </c>
      <c r="G1378" s="5" t="s">
        <v>1079</v>
      </c>
      <c r="H1378" s="6" t="s">
        <v>139</v>
      </c>
      <c r="I1378" s="6" t="s">
        <v>14</v>
      </c>
      <c r="J1378" s="6" t="s">
        <v>1953</v>
      </c>
      <c r="K1378" s="6">
        <v>6263</v>
      </c>
      <c r="L1378" s="7" t="s">
        <v>1954</v>
      </c>
      <c r="M1378" s="8">
        <v>291716</v>
      </c>
      <c r="N1378" s="8" t="str">
        <f t="shared" si="106"/>
        <v>PEN</v>
      </c>
      <c r="O1378" s="13"/>
      <c r="P1378" s="13">
        <v>25.5</v>
      </c>
      <c r="Q1378" s="3">
        <f t="shared" si="107"/>
        <v>0</v>
      </c>
      <c r="R1378" s="3">
        <f t="shared" si="108"/>
        <v>25.5</v>
      </c>
      <c r="S1378" s="3">
        <f t="shared" si="109"/>
        <v>125077.38</v>
      </c>
      <c r="T1378" s="24" t="s">
        <v>1081</v>
      </c>
      <c r="U1378" s="24" t="s">
        <v>1081</v>
      </c>
      <c r="V1378" s="67"/>
      <c r="W1378" s="25">
        <f>IFERROR(VLOOKUP(BCP_Soles[[#This Row],[DESTINATARIO]],CHOOSE({1,2},Clientes_Proveedores[Razon Social],Clientes_Proveedores[Ruc / Dni]),2,0),"")</f>
        <v>20100055237</v>
      </c>
      <c r="X1378" s="25" t="s">
        <v>1955</v>
      </c>
      <c r="Y1378" s="25" t="s">
        <v>2523</v>
      </c>
      <c r="Z1378" s="25"/>
      <c r="AA1378" s="99"/>
      <c r="AB1378" s="3" t="str">
        <f>IF(BCP_Soles[[#This Row],[FECHA]]&gt;0,TEXT(BCP_Soles[[#This Row],[FECHA]],"mmmm"),0)</f>
        <v>Abril</v>
      </c>
    </row>
    <row r="1379" spans="2:28" x14ac:dyDescent="0.3">
      <c r="B1379" s="2">
        <f>IF(BCP_Soles[[#This Row],[TIPO DE R.]]="R",COUNTIFS($D$4:$D1378,"R")+1,"")</f>
        <v>1083</v>
      </c>
      <c r="C1379" s="19" t="str">
        <f t="shared" si="105"/>
        <v>B-BCP - Soles</v>
      </c>
      <c r="D1379" s="3" t="s">
        <v>1074</v>
      </c>
      <c r="E1379" s="14">
        <v>45772</v>
      </c>
      <c r="F1379" s="5" t="s">
        <v>1996</v>
      </c>
      <c r="G1379" s="5" t="s">
        <v>1079</v>
      </c>
      <c r="H1379" s="6" t="s">
        <v>139</v>
      </c>
      <c r="I1379" s="6" t="s">
        <v>14</v>
      </c>
      <c r="J1379" s="6" t="s">
        <v>1953</v>
      </c>
      <c r="K1379" s="6">
        <v>6262</v>
      </c>
      <c r="L1379" s="7" t="s">
        <v>1954</v>
      </c>
      <c r="M1379" s="8">
        <v>291716</v>
      </c>
      <c r="N1379" s="8" t="str">
        <f t="shared" si="106"/>
        <v>PEN</v>
      </c>
      <c r="O1379" s="13"/>
      <c r="P1379" s="13">
        <v>36.479999999999997</v>
      </c>
      <c r="Q1379" s="3">
        <f t="shared" si="107"/>
        <v>0</v>
      </c>
      <c r="R1379" s="3">
        <f t="shared" si="108"/>
        <v>36.479999999999997</v>
      </c>
      <c r="S1379" s="3">
        <f t="shared" si="109"/>
        <v>125040.90000000001</v>
      </c>
      <c r="T1379" s="24" t="s">
        <v>1081</v>
      </c>
      <c r="U1379" s="24" t="s">
        <v>1081</v>
      </c>
      <c r="V1379" s="67"/>
      <c r="W1379" s="25">
        <f>IFERROR(VLOOKUP(BCP_Soles[[#This Row],[DESTINATARIO]],CHOOSE({1,2},Clientes_Proveedores[Razon Social],Clientes_Proveedores[Ruc / Dni]),2,0),"")</f>
        <v>20100055237</v>
      </c>
      <c r="X1379" s="25" t="s">
        <v>1955</v>
      </c>
      <c r="Y1379" s="25" t="s">
        <v>2524</v>
      </c>
      <c r="Z1379" s="25"/>
      <c r="AA1379" s="99"/>
      <c r="AB1379" s="3" t="str">
        <f>IF(BCP_Soles[[#This Row],[FECHA]]&gt;0,TEXT(BCP_Soles[[#This Row],[FECHA]],"mmmm"),0)</f>
        <v>Abril</v>
      </c>
    </row>
    <row r="1380" spans="2:28" x14ac:dyDescent="0.3">
      <c r="B1380" s="2">
        <f>IF(BCP_Soles[[#This Row],[TIPO DE R.]]="R",COUNTIFS($D$4:$D1379,"R")+1,"")</f>
        <v>1084</v>
      </c>
      <c r="C1380" s="19" t="str">
        <f t="shared" si="105"/>
        <v>B-BCP - Soles</v>
      </c>
      <c r="D1380" s="3" t="s">
        <v>1074</v>
      </c>
      <c r="E1380" s="14">
        <v>45772</v>
      </c>
      <c r="F1380" s="5" t="s">
        <v>1996</v>
      </c>
      <c r="G1380" s="5" t="s">
        <v>1079</v>
      </c>
      <c r="H1380" s="6" t="s">
        <v>139</v>
      </c>
      <c r="I1380" s="6" t="s">
        <v>14</v>
      </c>
      <c r="J1380" s="6" t="s">
        <v>1953</v>
      </c>
      <c r="K1380" s="6">
        <v>6265</v>
      </c>
      <c r="L1380" s="7" t="s">
        <v>1954</v>
      </c>
      <c r="M1380" s="8">
        <v>290260</v>
      </c>
      <c r="N1380" s="8" t="str">
        <f t="shared" si="106"/>
        <v>PEN</v>
      </c>
      <c r="O1380" s="13"/>
      <c r="P1380" s="13">
        <v>40.79</v>
      </c>
      <c r="Q1380" s="3">
        <f t="shared" si="107"/>
        <v>0</v>
      </c>
      <c r="R1380" s="3">
        <f t="shared" si="108"/>
        <v>40.79</v>
      </c>
      <c r="S1380" s="3">
        <f t="shared" si="109"/>
        <v>125000.11000000002</v>
      </c>
      <c r="T1380" s="24" t="s">
        <v>1081</v>
      </c>
      <c r="U1380" s="24" t="s">
        <v>1081</v>
      </c>
      <c r="V1380" s="67"/>
      <c r="W1380" s="25">
        <f>IFERROR(VLOOKUP(BCP_Soles[[#This Row],[DESTINATARIO]],CHOOSE({1,2},Clientes_Proveedores[Razon Social],Clientes_Proveedores[Ruc / Dni]),2,0),"")</f>
        <v>20100055237</v>
      </c>
      <c r="X1380" s="25" t="s">
        <v>1955</v>
      </c>
      <c r="Y1380" s="25" t="s">
        <v>2525</v>
      </c>
      <c r="Z1380" s="25"/>
      <c r="AA1380" s="99"/>
      <c r="AB1380" s="3" t="str">
        <f>IF(BCP_Soles[[#This Row],[FECHA]]&gt;0,TEXT(BCP_Soles[[#This Row],[FECHA]],"mmmm"),0)</f>
        <v>Abril</v>
      </c>
    </row>
    <row r="1381" spans="2:28" x14ac:dyDescent="0.3">
      <c r="B1381" s="2">
        <f>IF(BCP_Soles[[#This Row],[TIPO DE R.]]="R",COUNTIFS($D$4:$D1380,"R")+1,"")</f>
        <v>1085</v>
      </c>
      <c r="C1381" s="19" t="str">
        <f t="shared" si="105"/>
        <v>B-BCP - Soles</v>
      </c>
      <c r="D1381" s="3" t="s">
        <v>1074</v>
      </c>
      <c r="E1381" s="14">
        <v>45772</v>
      </c>
      <c r="F1381" s="5" t="s">
        <v>1996</v>
      </c>
      <c r="G1381" s="5" t="s">
        <v>1079</v>
      </c>
      <c r="H1381" s="6" t="s">
        <v>139</v>
      </c>
      <c r="I1381" s="6" t="s">
        <v>14</v>
      </c>
      <c r="J1381" s="6" t="s">
        <v>1953</v>
      </c>
      <c r="K1381" s="6">
        <v>6261</v>
      </c>
      <c r="L1381" s="7" t="s">
        <v>1954</v>
      </c>
      <c r="M1381" s="8">
        <v>291218</v>
      </c>
      <c r="N1381" s="8" t="str">
        <f t="shared" si="106"/>
        <v>PEN</v>
      </c>
      <c r="O1381" s="13"/>
      <c r="P1381" s="13">
        <v>56.91</v>
      </c>
      <c r="Q1381" s="3">
        <f t="shared" si="107"/>
        <v>0</v>
      </c>
      <c r="R1381" s="3">
        <f t="shared" si="108"/>
        <v>56.91</v>
      </c>
      <c r="S1381" s="3">
        <f t="shared" si="109"/>
        <v>124943.20000000001</v>
      </c>
      <c r="T1381" s="24" t="s">
        <v>1081</v>
      </c>
      <c r="U1381" s="24" t="s">
        <v>1081</v>
      </c>
      <c r="V1381" s="67"/>
      <c r="W1381" s="25">
        <f>IFERROR(VLOOKUP(BCP_Soles[[#This Row],[DESTINATARIO]],CHOOSE({1,2},Clientes_Proveedores[Razon Social],Clientes_Proveedores[Ruc / Dni]),2,0),"")</f>
        <v>20100055237</v>
      </c>
      <c r="X1381" s="25" t="s">
        <v>1955</v>
      </c>
      <c r="Y1381" s="25" t="s">
        <v>2526</v>
      </c>
      <c r="Z1381" s="25"/>
      <c r="AA1381" s="99"/>
      <c r="AB1381" s="3" t="str">
        <f>IF(BCP_Soles[[#This Row],[FECHA]]&gt;0,TEXT(BCP_Soles[[#This Row],[FECHA]],"mmmm"),0)</f>
        <v>Abril</v>
      </c>
    </row>
    <row r="1382" spans="2:28" x14ac:dyDescent="0.3">
      <c r="B1382" s="2">
        <f>IF(BCP_Soles[[#This Row],[TIPO DE R.]]="R",COUNTIFS($D$4:$D1381,"R")+1,"")</f>
        <v>1086</v>
      </c>
      <c r="C1382" s="19" t="str">
        <f t="shared" si="105"/>
        <v>B-BCP - Soles</v>
      </c>
      <c r="D1382" s="3" t="s">
        <v>1074</v>
      </c>
      <c r="E1382" s="14">
        <v>45772</v>
      </c>
      <c r="F1382" s="5" t="s">
        <v>1996</v>
      </c>
      <c r="G1382" s="5" t="s">
        <v>1079</v>
      </c>
      <c r="H1382" s="6" t="s">
        <v>139</v>
      </c>
      <c r="I1382" s="6" t="s">
        <v>14</v>
      </c>
      <c r="J1382" s="6" t="s">
        <v>1953</v>
      </c>
      <c r="K1382" s="6">
        <v>6267</v>
      </c>
      <c r="L1382" s="7" t="s">
        <v>1954</v>
      </c>
      <c r="M1382" s="8">
        <v>292198</v>
      </c>
      <c r="N1382" s="8" t="str">
        <f t="shared" si="106"/>
        <v>PEN</v>
      </c>
      <c r="O1382" s="13"/>
      <c r="P1382" s="13">
        <v>135.30000000000001</v>
      </c>
      <c r="Q1382" s="3">
        <f t="shared" si="107"/>
        <v>0</v>
      </c>
      <c r="R1382" s="3">
        <f t="shared" si="108"/>
        <v>135.30000000000001</v>
      </c>
      <c r="S1382" s="3">
        <f t="shared" si="109"/>
        <v>124807.90000000001</v>
      </c>
      <c r="T1382" s="24" t="s">
        <v>1081</v>
      </c>
      <c r="U1382" s="24" t="s">
        <v>1081</v>
      </c>
      <c r="V1382" s="67"/>
      <c r="W1382" s="25">
        <f>IFERROR(VLOOKUP(BCP_Soles[[#This Row],[DESTINATARIO]],CHOOSE({1,2},Clientes_Proveedores[Razon Social],Clientes_Proveedores[Ruc / Dni]),2,0),"")</f>
        <v>20100055237</v>
      </c>
      <c r="X1382" s="25" t="s">
        <v>1955</v>
      </c>
      <c r="Y1382" s="25" t="s">
        <v>2527</v>
      </c>
      <c r="Z1382" s="25"/>
      <c r="AA1382" s="99"/>
      <c r="AB1382" s="3" t="str">
        <f>IF(BCP_Soles[[#This Row],[FECHA]]&gt;0,TEXT(BCP_Soles[[#This Row],[FECHA]],"mmmm"),0)</f>
        <v>Abril</v>
      </c>
    </row>
    <row r="1383" spans="2:28" x14ac:dyDescent="0.3">
      <c r="B1383" s="2">
        <f>IF(BCP_Soles[[#This Row],[TIPO DE R.]]="R",COUNTIFS($D$4:$D1382,"R")+1,"")</f>
        <v>1087</v>
      </c>
      <c r="C1383" s="19" t="str">
        <f t="shared" si="105"/>
        <v>B-BCP - Soles</v>
      </c>
      <c r="D1383" s="3" t="s">
        <v>1074</v>
      </c>
      <c r="E1383" s="14">
        <v>45772</v>
      </c>
      <c r="F1383" s="5" t="s">
        <v>1996</v>
      </c>
      <c r="G1383" s="5" t="s">
        <v>1079</v>
      </c>
      <c r="H1383" s="6" t="s">
        <v>139</v>
      </c>
      <c r="I1383" s="6" t="s">
        <v>14</v>
      </c>
      <c r="J1383" s="6" t="s">
        <v>1953</v>
      </c>
      <c r="K1383" s="6">
        <v>6266</v>
      </c>
      <c r="L1383" s="7" t="s">
        <v>1954</v>
      </c>
      <c r="M1383" s="8">
        <v>288803</v>
      </c>
      <c r="N1383" s="8" t="str">
        <f t="shared" si="106"/>
        <v>PEN</v>
      </c>
      <c r="O1383" s="13"/>
      <c r="P1383" s="13">
        <v>333.94</v>
      </c>
      <c r="Q1383" s="3">
        <f t="shared" si="107"/>
        <v>0</v>
      </c>
      <c r="R1383" s="3">
        <f t="shared" si="108"/>
        <v>333.94</v>
      </c>
      <c r="S1383" s="3">
        <f t="shared" si="109"/>
        <v>124473.96</v>
      </c>
      <c r="T1383" s="24" t="s">
        <v>1081</v>
      </c>
      <c r="U1383" s="24" t="s">
        <v>1081</v>
      </c>
      <c r="V1383" s="67"/>
      <c r="W1383" s="25">
        <f>IFERROR(VLOOKUP(BCP_Soles[[#This Row],[DESTINATARIO]],CHOOSE({1,2},Clientes_Proveedores[Razon Social],Clientes_Proveedores[Ruc / Dni]),2,0),"")</f>
        <v>20100055237</v>
      </c>
      <c r="X1383" s="25" t="s">
        <v>1955</v>
      </c>
      <c r="Y1383" s="25" t="s">
        <v>2528</v>
      </c>
      <c r="Z1383" s="25"/>
      <c r="AA1383" s="99"/>
      <c r="AB1383" s="3" t="str">
        <f>IF(BCP_Soles[[#This Row],[FECHA]]&gt;0,TEXT(BCP_Soles[[#This Row],[FECHA]],"mmmm"),0)</f>
        <v>Abril</v>
      </c>
    </row>
    <row r="1384" spans="2:28" ht="24" x14ac:dyDescent="0.3">
      <c r="B1384" s="2">
        <f>IF(BCP_Soles[[#This Row],[TIPO DE R.]]="R",COUNTIFS($D$4:$D1383,"R")+1,"")</f>
        <v>1088</v>
      </c>
      <c r="C1384" s="19" t="str">
        <f t="shared" si="105"/>
        <v>B-BCP - Soles</v>
      </c>
      <c r="D1384" s="3" t="s">
        <v>1074</v>
      </c>
      <c r="E1384" s="14">
        <v>45772</v>
      </c>
      <c r="F1384" s="5" t="s">
        <v>1082</v>
      </c>
      <c r="G1384" s="5" t="s">
        <v>1079</v>
      </c>
      <c r="H1384" s="6" t="s">
        <v>938</v>
      </c>
      <c r="I1384" s="6" t="s">
        <v>87</v>
      </c>
      <c r="J1384" s="6">
        <v>1</v>
      </c>
      <c r="K1384" s="6">
        <v>382025</v>
      </c>
      <c r="L1384" s="7" t="s">
        <v>2529</v>
      </c>
      <c r="M1384" s="8">
        <v>1187583</v>
      </c>
      <c r="N1384" s="8" t="str">
        <f t="shared" si="106"/>
        <v>PEN</v>
      </c>
      <c r="O1384" s="13"/>
      <c r="P1384" s="13">
        <v>458</v>
      </c>
      <c r="Q1384" s="3">
        <f t="shared" si="107"/>
        <v>0</v>
      </c>
      <c r="R1384" s="3">
        <f t="shared" si="108"/>
        <v>458</v>
      </c>
      <c r="S1384" s="3">
        <f t="shared" si="109"/>
        <v>124015.96</v>
      </c>
      <c r="T1384" s="24" t="s">
        <v>1081</v>
      </c>
      <c r="U1384" s="24" t="s">
        <v>1081</v>
      </c>
      <c r="V1384" s="67"/>
      <c r="W1384" s="25">
        <f>IFERROR(VLOOKUP(BCP_Soles[[#This Row],[DESTINATARIO]],CHOOSE({1,2},Clientes_Proveedores[Razon Social],Clientes_Proveedores[Ruc / Dni]),2,0),"")</f>
        <v>71334789</v>
      </c>
      <c r="X1384" s="25" t="s">
        <v>938</v>
      </c>
      <c r="Y1384" s="25" t="s">
        <v>2530</v>
      </c>
      <c r="Z1384" s="25"/>
      <c r="AA1384" s="99"/>
      <c r="AB1384" s="3" t="str">
        <f>IF(BCP_Soles[[#This Row],[FECHA]]&gt;0,TEXT(BCP_Soles[[#This Row],[FECHA]],"mmmm"),0)</f>
        <v>Abril</v>
      </c>
    </row>
    <row r="1385" spans="2:28" x14ac:dyDescent="0.3">
      <c r="B1385" s="2">
        <f>IF(BCP_Soles[[#This Row],[TIPO DE R.]]="R",COUNTIFS($D$4:$D1384,"R")+1,"")</f>
        <v>1089</v>
      </c>
      <c r="C1385" s="19" t="str">
        <f t="shared" si="105"/>
        <v>B-BCP - Soles</v>
      </c>
      <c r="D1385" s="3" t="s">
        <v>1074</v>
      </c>
      <c r="E1385" s="14">
        <v>45772</v>
      </c>
      <c r="F1385" s="5" t="s">
        <v>1082</v>
      </c>
      <c r="G1385" s="5" t="s">
        <v>1079</v>
      </c>
      <c r="H1385" s="6"/>
      <c r="I1385" s="6"/>
      <c r="J1385" s="6"/>
      <c r="K1385" s="6"/>
      <c r="L1385" s="7" t="s">
        <v>2531</v>
      </c>
      <c r="M1385" s="8">
        <v>1011503</v>
      </c>
      <c r="N1385" s="8" t="str">
        <f t="shared" si="106"/>
        <v>PEN</v>
      </c>
      <c r="O1385" s="13"/>
      <c r="P1385" s="13">
        <v>668</v>
      </c>
      <c r="Q1385" s="3">
        <f t="shared" si="107"/>
        <v>0</v>
      </c>
      <c r="R1385" s="3">
        <f t="shared" si="108"/>
        <v>668</v>
      </c>
      <c r="S1385" s="3">
        <f t="shared" si="109"/>
        <v>123347.96</v>
      </c>
      <c r="T1385" s="24"/>
      <c r="U1385" s="24"/>
      <c r="V1385" s="67"/>
      <c r="W1385" s="25" t="str">
        <f>IFERROR(VLOOKUP(BCP_Soles[[#This Row],[DESTINATARIO]],CHOOSE({1,2},Clientes_Proveedores[Razon Social],Clientes_Proveedores[Ruc / Dni]),2,0),"")</f>
        <v/>
      </c>
      <c r="X1385" s="25" t="s">
        <v>2386</v>
      </c>
      <c r="Y1385" s="25"/>
      <c r="Z1385" s="25"/>
      <c r="AA1385" s="99"/>
      <c r="AB1385" s="3" t="str">
        <f>IF(BCP_Soles[[#This Row],[FECHA]]&gt;0,TEXT(BCP_Soles[[#This Row],[FECHA]],"mmmm"),0)</f>
        <v>Abril</v>
      </c>
    </row>
    <row r="1386" spans="2:28" x14ac:dyDescent="0.3">
      <c r="B1386" s="2">
        <f>IF(BCP_Soles[[#This Row],[TIPO DE R.]]="R",COUNTIFS($D$4:$D1385,"R")+1,"")</f>
        <v>1090</v>
      </c>
      <c r="C1386" s="19" t="str">
        <f t="shared" si="105"/>
        <v>B-BCP - Soles</v>
      </c>
      <c r="D1386" s="3" t="s">
        <v>1074</v>
      </c>
      <c r="E1386" s="14">
        <v>45772</v>
      </c>
      <c r="F1386" s="5" t="s">
        <v>1996</v>
      </c>
      <c r="G1386" s="5" t="s">
        <v>1079</v>
      </c>
      <c r="H1386" s="6" t="s">
        <v>139</v>
      </c>
      <c r="I1386" s="6" t="s">
        <v>14</v>
      </c>
      <c r="J1386" s="6" t="s">
        <v>1953</v>
      </c>
      <c r="K1386" s="6">
        <v>6264</v>
      </c>
      <c r="L1386" s="7" t="s">
        <v>1954</v>
      </c>
      <c r="M1386" s="8">
        <v>291220</v>
      </c>
      <c r="N1386" s="8" t="str">
        <f t="shared" si="106"/>
        <v>PEN</v>
      </c>
      <c r="O1386" s="13"/>
      <c r="P1386" s="13">
        <v>673.96</v>
      </c>
      <c r="Q1386" s="3">
        <f t="shared" si="107"/>
        <v>0</v>
      </c>
      <c r="R1386" s="3">
        <f t="shared" si="108"/>
        <v>673.96</v>
      </c>
      <c r="S1386" s="3">
        <f t="shared" si="109"/>
        <v>122674</v>
      </c>
      <c r="T1386" s="24" t="s">
        <v>1081</v>
      </c>
      <c r="U1386" s="24" t="s">
        <v>1081</v>
      </c>
      <c r="V1386" s="67"/>
      <c r="W1386" s="25">
        <f>IFERROR(VLOOKUP(BCP_Soles[[#This Row],[DESTINATARIO]],CHOOSE({1,2},Clientes_Proveedores[Razon Social],Clientes_Proveedores[Ruc / Dni]),2,0),"")</f>
        <v>20100055237</v>
      </c>
      <c r="X1386" s="25" t="s">
        <v>1955</v>
      </c>
      <c r="Y1386" s="25" t="s">
        <v>2532</v>
      </c>
      <c r="Z1386" s="25"/>
      <c r="AA1386" s="99"/>
      <c r="AB1386" s="3" t="str">
        <f>IF(BCP_Soles[[#This Row],[FECHA]]&gt;0,TEXT(BCP_Soles[[#This Row],[FECHA]],"mmmm"),0)</f>
        <v>Abril</v>
      </c>
    </row>
    <row r="1387" spans="2:28" x14ac:dyDescent="0.3">
      <c r="B1387" s="2">
        <f>IF(BCP_Soles[[#This Row],[TIPO DE R.]]="R",COUNTIFS($D$4:$D1386,"R")+1,"")</f>
        <v>1091</v>
      </c>
      <c r="C1387" s="19" t="str">
        <f t="shared" si="105"/>
        <v>B-BCP - Soles</v>
      </c>
      <c r="D1387" s="3" t="s">
        <v>1074</v>
      </c>
      <c r="E1387" s="14">
        <v>45772</v>
      </c>
      <c r="F1387" s="5" t="s">
        <v>1996</v>
      </c>
      <c r="G1387" s="5" t="s">
        <v>1079</v>
      </c>
      <c r="H1387" s="6"/>
      <c r="I1387" s="6"/>
      <c r="J1387" s="6"/>
      <c r="K1387" s="6"/>
      <c r="L1387" s="7" t="s">
        <v>2533</v>
      </c>
      <c r="M1387" s="8">
        <v>8100259</v>
      </c>
      <c r="N1387" s="8" t="str">
        <f t="shared" si="106"/>
        <v>PEN</v>
      </c>
      <c r="O1387" s="13"/>
      <c r="P1387" s="13">
        <v>1728</v>
      </c>
      <c r="Q1387" s="3">
        <f t="shared" si="107"/>
        <v>0</v>
      </c>
      <c r="R1387" s="3">
        <f t="shared" si="108"/>
        <v>1728</v>
      </c>
      <c r="S1387" s="3">
        <f t="shared" si="109"/>
        <v>120946</v>
      </c>
      <c r="T1387" s="24" t="s">
        <v>1081</v>
      </c>
      <c r="U1387" s="24" t="s">
        <v>1081</v>
      </c>
      <c r="V1387" s="67"/>
      <c r="W1387" s="25" t="str">
        <f>IFERROR(VLOOKUP(BCP_Soles[[#This Row],[DESTINATARIO]],CHOOSE({1,2},Clientes_Proveedores[Razon Social],Clientes_Proveedores[Ruc / Dni]),2,0),"")</f>
        <v/>
      </c>
      <c r="X1387" s="25" t="s">
        <v>1118</v>
      </c>
      <c r="Y1387" s="25"/>
      <c r="Z1387" s="25"/>
      <c r="AA1387" s="99"/>
      <c r="AB1387" s="3" t="str">
        <f>IF(BCP_Soles[[#This Row],[FECHA]]&gt;0,TEXT(BCP_Soles[[#This Row],[FECHA]],"mmmm"),0)</f>
        <v>Abril</v>
      </c>
    </row>
    <row r="1388" spans="2:28" ht="36" x14ac:dyDescent="0.3">
      <c r="B1388" s="2" t="str">
        <f>IF(BCP_Soles[[#This Row],[TIPO DE R.]]="R",COUNTIFS($D$4:$D1387,"R")+1,"")</f>
        <v/>
      </c>
      <c r="C1388" s="19" t="str">
        <f t="shared" si="105"/>
        <v>B-BCP - Soles</v>
      </c>
      <c r="D1388" s="3" t="s">
        <v>1101</v>
      </c>
      <c r="E1388" s="14">
        <v>45772</v>
      </c>
      <c r="F1388" s="5" t="s">
        <v>1996</v>
      </c>
      <c r="G1388" s="5"/>
      <c r="H1388" s="6" t="s">
        <v>511</v>
      </c>
      <c r="I1388" s="6" t="s">
        <v>14</v>
      </c>
      <c r="J1388" s="6" t="s">
        <v>1121</v>
      </c>
      <c r="K1388" s="6">
        <v>617</v>
      </c>
      <c r="L1388" s="7" t="s">
        <v>2533</v>
      </c>
      <c r="M1388" s="8">
        <v>8100259</v>
      </c>
      <c r="N1388" s="8" t="str">
        <f t="shared" si="106"/>
        <v>PEN</v>
      </c>
      <c r="O1388" s="13">
        <v>864</v>
      </c>
      <c r="P1388" s="13"/>
      <c r="Q1388" s="3">
        <f t="shared" si="107"/>
        <v>0</v>
      </c>
      <c r="R1388" s="3">
        <f t="shared" si="108"/>
        <v>0</v>
      </c>
      <c r="S1388" s="3">
        <f t="shared" si="109"/>
        <v>120946</v>
      </c>
      <c r="T1388" s="24"/>
      <c r="U1388" s="24"/>
      <c r="V1388" s="67"/>
      <c r="W1388" s="25">
        <f>IFERROR(VLOOKUP(BCP_Soles[[#This Row],[DESTINATARIO]],CHOOSE({1,2},Clientes_Proveedores[Razon Social],Clientes_Proveedores[Ruc / Dni]),2,0),"")</f>
        <v>20608686747</v>
      </c>
      <c r="X1388" s="25"/>
      <c r="Y1388" s="25"/>
      <c r="Z1388" s="25"/>
      <c r="AA1388" s="99"/>
      <c r="AB1388" s="3" t="str">
        <f>IF(BCP_Soles[[#This Row],[FECHA]]&gt;0,TEXT(BCP_Soles[[#This Row],[FECHA]],"mmmm"),0)</f>
        <v>Abril</v>
      </c>
    </row>
    <row r="1389" spans="2:28" ht="36" x14ac:dyDescent="0.3">
      <c r="B1389" s="2" t="str">
        <f>IF(BCP_Soles[[#This Row],[TIPO DE R.]]="R",COUNTIFS($D$4:$D1388,"R")+1,"")</f>
        <v/>
      </c>
      <c r="C1389" s="19" t="str">
        <f t="shared" si="105"/>
        <v>B-BCP - Soles</v>
      </c>
      <c r="D1389" s="3" t="s">
        <v>1101</v>
      </c>
      <c r="E1389" s="14">
        <v>45772</v>
      </c>
      <c r="F1389" s="5" t="s">
        <v>1996</v>
      </c>
      <c r="G1389" s="5"/>
      <c r="H1389" s="6" t="s">
        <v>511</v>
      </c>
      <c r="I1389" s="6" t="s">
        <v>14</v>
      </c>
      <c r="J1389" s="6" t="s">
        <v>1121</v>
      </c>
      <c r="K1389" s="6">
        <v>621</v>
      </c>
      <c r="L1389" s="7" t="s">
        <v>2533</v>
      </c>
      <c r="M1389" s="8">
        <v>8100259</v>
      </c>
      <c r="N1389" s="8" t="str">
        <f t="shared" si="106"/>
        <v>PEN</v>
      </c>
      <c r="O1389" s="13">
        <v>864</v>
      </c>
      <c r="P1389" s="13"/>
      <c r="Q1389" s="3">
        <f t="shared" si="107"/>
        <v>0</v>
      </c>
      <c r="R1389" s="3">
        <f t="shared" si="108"/>
        <v>0</v>
      </c>
      <c r="S1389" s="3">
        <f t="shared" si="109"/>
        <v>120946</v>
      </c>
      <c r="T1389" s="24"/>
      <c r="U1389" s="24"/>
      <c r="V1389" s="67"/>
      <c r="W1389" s="25">
        <f>IFERROR(VLOOKUP(BCP_Soles[[#This Row],[DESTINATARIO]],CHOOSE({1,2},Clientes_Proveedores[Razon Social],Clientes_Proveedores[Ruc / Dni]),2,0),"")</f>
        <v>20608686747</v>
      </c>
      <c r="X1389" s="25"/>
      <c r="Y1389" s="25"/>
      <c r="Z1389" s="25"/>
      <c r="AA1389" s="99"/>
      <c r="AB1389" s="3" t="str">
        <f>IF(BCP_Soles[[#This Row],[FECHA]]&gt;0,TEXT(BCP_Soles[[#This Row],[FECHA]],"mmmm"),0)</f>
        <v>Abril</v>
      </c>
    </row>
    <row r="1390" spans="2:28" x14ac:dyDescent="0.3">
      <c r="B1390" s="22">
        <f>IF(BCP_Soles[[#This Row],[TIPO DE R.]]="R",COUNTIFS($D$4:$D1389,"R")+1,"")</f>
        <v>1092</v>
      </c>
      <c r="C1390" s="19" t="str">
        <f t="shared" si="105"/>
        <v>B-BCP - Soles</v>
      </c>
      <c r="D1390" s="3" t="s">
        <v>1074</v>
      </c>
      <c r="E1390" s="14">
        <v>45772</v>
      </c>
      <c r="F1390" s="5"/>
      <c r="G1390" s="5" t="s">
        <v>1079</v>
      </c>
      <c r="H1390" s="6"/>
      <c r="I1390" s="6"/>
      <c r="J1390" s="6"/>
      <c r="K1390" s="6"/>
      <c r="L1390" s="7"/>
      <c r="M1390" s="8"/>
      <c r="N1390" s="8" t="str">
        <f t="shared" si="106"/>
        <v>PEN</v>
      </c>
      <c r="O1390" s="13"/>
      <c r="P1390" s="13"/>
      <c r="Q1390" s="3">
        <f t="shared" si="107"/>
        <v>0</v>
      </c>
      <c r="R1390" s="3">
        <f t="shared" si="108"/>
        <v>0</v>
      </c>
      <c r="S1390" s="3">
        <f t="shared" si="109"/>
        <v>120946</v>
      </c>
      <c r="T1390" s="24"/>
      <c r="U1390" s="24"/>
      <c r="V1390" s="67"/>
      <c r="W1390" s="25" t="str">
        <f>IFERROR(VLOOKUP(BCP_Soles[[#This Row],[DESTINATARIO]],CHOOSE({1,2},Clientes_Proveedores[Razon Social],Clientes_Proveedores[Ruc / Dni]),2,0),"")</f>
        <v/>
      </c>
      <c r="X1390" s="25"/>
      <c r="Y1390" s="25"/>
      <c r="Z1390" s="25"/>
      <c r="AA1390" s="99"/>
      <c r="AB1390" s="3" t="str">
        <f>IF(BCP_Soles[[#This Row],[FECHA]]&gt;0,TEXT(BCP_Soles[[#This Row],[FECHA]],"mmmm"),0)</f>
        <v>Abril</v>
      </c>
    </row>
    <row r="1391" spans="2:28" ht="60" x14ac:dyDescent="0.3">
      <c r="B1391" s="2">
        <f>IF(BCP_Soles[[#This Row],[TIPO DE R.]]="R",COUNTIFS($D$4:$D1390,"R")+1,"")</f>
        <v>1093</v>
      </c>
      <c r="C1391" s="19" t="str">
        <f t="shared" si="105"/>
        <v>B-BCP - Soles</v>
      </c>
      <c r="D1391" s="3" t="s">
        <v>1074</v>
      </c>
      <c r="E1391" s="14">
        <v>45773</v>
      </c>
      <c r="F1391" s="5" t="s">
        <v>238</v>
      </c>
      <c r="G1391" s="5" t="s">
        <v>1087</v>
      </c>
      <c r="H1391" s="6"/>
      <c r="I1391" s="6"/>
      <c r="J1391" s="6"/>
      <c r="K1391" s="6"/>
      <c r="L1391" s="7" t="s">
        <v>1170</v>
      </c>
      <c r="M1391" s="8">
        <v>2108684</v>
      </c>
      <c r="N1391" s="8" t="str">
        <f t="shared" si="106"/>
        <v>PEN</v>
      </c>
      <c r="O1391" s="13"/>
      <c r="P1391" s="13">
        <v>2005.41</v>
      </c>
      <c r="Q1391" s="3">
        <f t="shared" si="107"/>
        <v>2005.41</v>
      </c>
      <c r="R1391" s="3">
        <f t="shared" si="108"/>
        <v>0</v>
      </c>
      <c r="S1391" s="3">
        <f t="shared" si="109"/>
        <v>122951.41</v>
      </c>
      <c r="T1391" s="24" t="s">
        <v>1081</v>
      </c>
      <c r="U1391" s="24" t="s">
        <v>1081</v>
      </c>
      <c r="V1391" s="67"/>
      <c r="W1391" s="25" t="str">
        <f>IFERROR(VLOOKUP(BCP_Soles[[#This Row],[DESTINATARIO]],CHOOSE({1,2},Clientes_Proveedores[Razon Social],Clientes_Proveedores[Ruc / Dni]),2,0),"")</f>
        <v/>
      </c>
      <c r="X1391" s="25" t="s">
        <v>1090</v>
      </c>
      <c r="Y1391" s="25" t="s">
        <v>2534</v>
      </c>
      <c r="Z1391" s="25"/>
      <c r="AA1391" s="99"/>
      <c r="AB1391" s="3" t="str">
        <f>IF(BCP_Soles[[#This Row],[FECHA]]&gt;0,TEXT(BCP_Soles[[#This Row],[FECHA]],"mmmm"),0)</f>
        <v>Abril</v>
      </c>
    </row>
    <row r="1392" spans="2:28" ht="60" x14ac:dyDescent="0.3">
      <c r="B1392" s="2">
        <f>IF(BCP_Soles[[#This Row],[TIPO DE R.]]="R",COUNTIFS($D$4:$D1391,"R")+1,"")</f>
        <v>1094</v>
      </c>
      <c r="C1392" s="19" t="str">
        <f t="shared" si="105"/>
        <v>B-BCP - Soles</v>
      </c>
      <c r="D1392" s="3" t="s">
        <v>1074</v>
      </c>
      <c r="E1392" s="14">
        <v>45773</v>
      </c>
      <c r="F1392" s="5" t="s">
        <v>238</v>
      </c>
      <c r="G1392" s="5" t="s">
        <v>1087</v>
      </c>
      <c r="H1392" s="6"/>
      <c r="I1392" s="6"/>
      <c r="J1392" s="6"/>
      <c r="K1392" s="6"/>
      <c r="L1392" s="7" t="s">
        <v>1170</v>
      </c>
      <c r="M1392" s="8">
        <v>2107904</v>
      </c>
      <c r="N1392" s="8" t="str">
        <f t="shared" si="106"/>
        <v>PEN</v>
      </c>
      <c r="O1392" s="13"/>
      <c r="P1392" s="13">
        <v>167.47</v>
      </c>
      <c r="Q1392" s="3">
        <f t="shared" si="107"/>
        <v>167.47</v>
      </c>
      <c r="R1392" s="3">
        <f t="shared" si="108"/>
        <v>0</v>
      </c>
      <c r="S1392" s="3">
        <f t="shared" si="109"/>
        <v>123118.88</v>
      </c>
      <c r="T1392" s="24" t="s">
        <v>1081</v>
      </c>
      <c r="U1392" s="24" t="s">
        <v>1081</v>
      </c>
      <c r="V1392" s="67"/>
      <c r="W1392" s="25" t="str">
        <f>IFERROR(VLOOKUP(BCP_Soles[[#This Row],[DESTINATARIO]],CHOOSE({1,2},Clientes_Proveedores[Razon Social],Clientes_Proveedores[Ruc / Dni]),2,0),"")</f>
        <v/>
      </c>
      <c r="X1392" s="25" t="s">
        <v>1090</v>
      </c>
      <c r="Y1392" s="25" t="s">
        <v>2535</v>
      </c>
      <c r="Z1392" s="25"/>
      <c r="AA1392" s="99"/>
      <c r="AB1392" s="3" t="str">
        <f>IF(BCP_Soles[[#This Row],[FECHA]]&gt;0,TEXT(BCP_Soles[[#This Row],[FECHA]],"mmmm"),0)</f>
        <v>Abril</v>
      </c>
    </row>
    <row r="1393" spans="2:28" x14ac:dyDescent="0.3">
      <c r="B1393" s="2">
        <f>IF(BCP_Soles[[#This Row],[TIPO DE R.]]="R",COUNTIFS($D$4:$D1392,"R")+1,"")</f>
        <v>1095</v>
      </c>
      <c r="C1393" s="19" t="str">
        <f t="shared" si="105"/>
        <v>B-BCP - Soles</v>
      </c>
      <c r="D1393" s="3" t="s">
        <v>1074</v>
      </c>
      <c r="E1393" s="14">
        <v>45774</v>
      </c>
      <c r="F1393" s="5" t="s">
        <v>1078</v>
      </c>
      <c r="G1393" s="5" t="s">
        <v>1079</v>
      </c>
      <c r="H1393" s="6"/>
      <c r="I1393" s="6"/>
      <c r="J1393" s="6"/>
      <c r="K1393" s="6"/>
      <c r="L1393" s="7" t="s">
        <v>1080</v>
      </c>
      <c r="M1393" s="8"/>
      <c r="N1393" s="8" t="str">
        <f t="shared" si="106"/>
        <v>PEN</v>
      </c>
      <c r="O1393" s="13"/>
      <c r="P1393" s="13">
        <v>0.1</v>
      </c>
      <c r="Q1393" s="3">
        <f t="shared" si="107"/>
        <v>0</v>
      </c>
      <c r="R1393" s="3">
        <f t="shared" si="108"/>
        <v>0.1</v>
      </c>
      <c r="S1393" s="3">
        <f t="shared" si="109"/>
        <v>123118.78</v>
      </c>
      <c r="T1393" s="24"/>
      <c r="U1393" s="24" t="s">
        <v>1081</v>
      </c>
      <c r="V1393" s="67"/>
      <c r="W1393" s="25" t="str">
        <f>IFERROR(VLOOKUP(BCP_Soles[[#This Row],[DESTINATARIO]],CHOOSE({1,2},Clientes_Proveedores[Razon Social],Clientes_Proveedores[Ruc / Dni]),2,0),"")</f>
        <v/>
      </c>
      <c r="X1393" s="25"/>
      <c r="Y1393" s="25"/>
      <c r="Z1393" s="25"/>
      <c r="AA1393" s="99"/>
      <c r="AB1393" s="3" t="str">
        <f>IF(BCP_Soles[[#This Row],[FECHA]]&gt;0,TEXT(BCP_Soles[[#This Row],[FECHA]],"mmmm"),0)</f>
        <v>Abril</v>
      </c>
    </row>
    <row r="1394" spans="2:28" ht="24" x14ac:dyDescent="0.3">
      <c r="B1394" s="2">
        <f>IF(BCP_Soles[[#This Row],[TIPO DE R.]]="R",COUNTIFS($D$4:$D1393,"R")+1,"")</f>
        <v>1096</v>
      </c>
      <c r="C1394" s="19" t="str">
        <f t="shared" si="105"/>
        <v>B-BCP - Soles</v>
      </c>
      <c r="D1394" s="3" t="s">
        <v>1074</v>
      </c>
      <c r="E1394" s="14">
        <v>45775</v>
      </c>
      <c r="F1394" s="5" t="s">
        <v>2536</v>
      </c>
      <c r="G1394" s="5" t="s">
        <v>1087</v>
      </c>
      <c r="H1394" s="6" t="s">
        <v>368</v>
      </c>
      <c r="I1394" s="6" t="s">
        <v>87</v>
      </c>
      <c r="J1394" s="6">
        <v>1</v>
      </c>
      <c r="K1394" s="6"/>
      <c r="L1394" s="7" t="s">
        <v>2537</v>
      </c>
      <c r="M1394" s="8">
        <v>31194</v>
      </c>
      <c r="N1394" s="8" t="str">
        <f t="shared" si="106"/>
        <v>PEN</v>
      </c>
      <c r="O1394" s="13"/>
      <c r="P1394" s="13">
        <v>323.2</v>
      </c>
      <c r="Q1394" s="3">
        <f t="shared" si="107"/>
        <v>323.2</v>
      </c>
      <c r="R1394" s="3">
        <f t="shared" si="108"/>
        <v>0</v>
      </c>
      <c r="S1394" s="3">
        <f t="shared" si="109"/>
        <v>123441.98</v>
      </c>
      <c r="T1394" s="24"/>
      <c r="U1394" s="24"/>
      <c r="V1394" s="67"/>
      <c r="W1394" s="25">
        <f>IFERROR(VLOOKUP(BCP_Soles[[#This Row],[DESTINATARIO]],CHOOSE({1,2},Clientes_Proveedores[Razon Social],Clientes_Proveedores[Ruc / Dni]),2,0),"")</f>
        <v>20558226979</v>
      </c>
      <c r="X1394" s="25" t="s">
        <v>1090</v>
      </c>
      <c r="Y1394" s="25"/>
      <c r="Z1394" s="25"/>
      <c r="AA1394" s="99"/>
      <c r="AB1394" s="3" t="str">
        <f>IF(BCP_Soles[[#This Row],[FECHA]]&gt;0,TEXT(BCP_Soles[[#This Row],[FECHA]],"mmmm"),0)</f>
        <v>Abril</v>
      </c>
    </row>
    <row r="1395" spans="2:28" ht="24" x14ac:dyDescent="0.3">
      <c r="B1395" s="2">
        <f>IF(BCP_Soles[[#This Row],[TIPO DE R.]]="R",COUNTIFS($D$4:$D1394,"R")+1,"")</f>
        <v>1097</v>
      </c>
      <c r="C1395" s="19" t="str">
        <f t="shared" si="105"/>
        <v>B-BCP - Soles</v>
      </c>
      <c r="D1395" s="3" t="s">
        <v>1074</v>
      </c>
      <c r="E1395" s="14">
        <v>45775</v>
      </c>
      <c r="F1395" s="5" t="s">
        <v>407</v>
      </c>
      <c r="G1395" s="5" t="s">
        <v>1087</v>
      </c>
      <c r="H1395" s="6"/>
      <c r="I1395" s="6"/>
      <c r="J1395" s="6"/>
      <c r="K1395" s="6"/>
      <c r="L1395" s="7" t="s">
        <v>2538</v>
      </c>
      <c r="M1395" s="8">
        <v>6011126</v>
      </c>
      <c r="N1395" s="8" t="str">
        <f t="shared" si="106"/>
        <v>PEN</v>
      </c>
      <c r="O1395" s="13"/>
      <c r="P1395" s="13">
        <v>112</v>
      </c>
      <c r="Q1395" s="3">
        <f t="shared" si="107"/>
        <v>112</v>
      </c>
      <c r="R1395" s="3">
        <f t="shared" si="108"/>
        <v>0</v>
      </c>
      <c r="S1395" s="3">
        <f t="shared" si="109"/>
        <v>123553.98</v>
      </c>
      <c r="T1395" s="24"/>
      <c r="U1395" s="24"/>
      <c r="V1395" s="67"/>
      <c r="W1395" s="25" t="str">
        <f>IFERROR(VLOOKUP(BCP_Soles[[#This Row],[DESTINATARIO]],CHOOSE({1,2},Clientes_Proveedores[Razon Social],Clientes_Proveedores[Ruc / Dni]),2,0),"")</f>
        <v/>
      </c>
      <c r="X1395" s="25" t="s">
        <v>1090</v>
      </c>
      <c r="Y1395" s="25" t="s">
        <v>2517</v>
      </c>
      <c r="Z1395" s="25"/>
      <c r="AA1395" s="99"/>
      <c r="AB1395" s="3" t="str">
        <f>IF(BCP_Soles[[#This Row],[FECHA]]&gt;0,TEXT(BCP_Soles[[#This Row],[FECHA]],"mmmm"),0)</f>
        <v>Abril</v>
      </c>
    </row>
    <row r="1396" spans="2:28" ht="96" x14ac:dyDescent="0.3">
      <c r="B1396" s="22">
        <f>IF(BCP_Soles[[#This Row],[TIPO DE R.]]="R",COUNTIFS($D$4:$D1395,"R")+1,"")</f>
        <v>1098</v>
      </c>
      <c r="C1396" s="19" t="str">
        <f t="shared" si="105"/>
        <v>B-BCP - Soles</v>
      </c>
      <c r="D1396" s="3" t="s">
        <v>1074</v>
      </c>
      <c r="E1396" s="14">
        <v>45775</v>
      </c>
      <c r="F1396" s="5" t="s">
        <v>214</v>
      </c>
      <c r="G1396" s="5" t="s">
        <v>1087</v>
      </c>
      <c r="H1396" s="6"/>
      <c r="I1396" s="6"/>
      <c r="J1396" s="6"/>
      <c r="K1396" s="6"/>
      <c r="L1396" s="7" t="s">
        <v>2539</v>
      </c>
      <c r="M1396" s="8">
        <v>8768660</v>
      </c>
      <c r="N1396" s="8" t="str">
        <f t="shared" si="106"/>
        <v>PEN</v>
      </c>
      <c r="O1396" s="13"/>
      <c r="P1396" s="13">
        <v>11990.89</v>
      </c>
      <c r="Q1396" s="3">
        <f t="shared" si="107"/>
        <v>11990.89</v>
      </c>
      <c r="R1396" s="3">
        <f t="shared" si="108"/>
        <v>0</v>
      </c>
      <c r="S1396" s="3">
        <f t="shared" si="109"/>
        <v>135544.87</v>
      </c>
      <c r="T1396" s="24" t="s">
        <v>1081</v>
      </c>
      <c r="U1396" s="24"/>
      <c r="V1396" s="67"/>
      <c r="W1396" s="25" t="str">
        <f>IFERROR(VLOOKUP(BCP_Soles[[#This Row],[DESTINATARIO]],CHOOSE({1,2},Clientes_Proveedores[Razon Social],Clientes_Proveedores[Ruc / Dni]),2,0),"")</f>
        <v/>
      </c>
      <c r="X1396" s="25" t="s">
        <v>1090</v>
      </c>
      <c r="Y1396" s="25" t="s">
        <v>2540</v>
      </c>
      <c r="Z1396" s="25"/>
      <c r="AA1396" s="99"/>
      <c r="AB1396" s="3" t="str">
        <f>IF(BCP_Soles[[#This Row],[FECHA]]&gt;0,TEXT(BCP_Soles[[#This Row],[FECHA]],"mmmm"),0)</f>
        <v>Abril</v>
      </c>
    </row>
    <row r="1397" spans="2:28" x14ac:dyDescent="0.3">
      <c r="B1397" s="2">
        <f>IF(BCP_Soles[[#This Row],[TIPO DE R.]]="R",COUNTIFS($D$4:$D1396,"R")+1,"")</f>
        <v>1099</v>
      </c>
      <c r="C1397" s="19" t="str">
        <f t="shared" si="105"/>
        <v>B-BCP - Soles</v>
      </c>
      <c r="D1397" s="3" t="s">
        <v>1074</v>
      </c>
      <c r="E1397" s="14">
        <v>45775</v>
      </c>
      <c r="F1397" s="5" t="s">
        <v>1078</v>
      </c>
      <c r="G1397" s="5" t="s">
        <v>1079</v>
      </c>
      <c r="H1397" s="6"/>
      <c r="I1397" s="6"/>
      <c r="J1397" s="6"/>
      <c r="K1397" s="6"/>
      <c r="L1397" s="7" t="s">
        <v>1080</v>
      </c>
      <c r="M1397" s="8"/>
      <c r="N1397" s="8" t="str">
        <f t="shared" si="106"/>
        <v>PEN</v>
      </c>
      <c r="O1397" s="13"/>
      <c r="P1397" s="13">
        <v>0.65</v>
      </c>
      <c r="Q1397" s="3">
        <f t="shared" si="107"/>
        <v>0</v>
      </c>
      <c r="R1397" s="3">
        <f t="shared" si="108"/>
        <v>0.65</v>
      </c>
      <c r="S1397" s="3">
        <f t="shared" si="109"/>
        <v>135544.22</v>
      </c>
      <c r="T1397" s="24"/>
      <c r="U1397" s="24" t="s">
        <v>1081</v>
      </c>
      <c r="V1397" s="67"/>
      <c r="W1397" s="25" t="str">
        <f>IFERROR(VLOOKUP(BCP_Soles[[#This Row],[DESTINATARIO]],CHOOSE({1,2},Clientes_Proveedores[Razon Social],Clientes_Proveedores[Ruc / Dni]),2,0),"")</f>
        <v/>
      </c>
      <c r="X1397" s="25"/>
      <c r="Y1397" s="25"/>
      <c r="Z1397" s="25"/>
      <c r="AA1397" s="99"/>
      <c r="AB1397" s="3" t="str">
        <f>IF(BCP_Soles[[#This Row],[FECHA]]&gt;0,TEXT(BCP_Soles[[#This Row],[FECHA]],"mmmm"),0)</f>
        <v>Abril</v>
      </c>
    </row>
    <row r="1398" spans="2:28" x14ac:dyDescent="0.3">
      <c r="B1398" s="2">
        <f>IF(BCP_Soles[[#This Row],[TIPO DE R.]]="R",COUNTIFS($D$4:$D1397,"R")+1,"")</f>
        <v>1100</v>
      </c>
      <c r="C1398" s="19" t="str">
        <f t="shared" si="105"/>
        <v>B-BCP - Soles</v>
      </c>
      <c r="D1398" s="3" t="s">
        <v>1074</v>
      </c>
      <c r="E1398" s="14">
        <v>45775</v>
      </c>
      <c r="F1398" s="5" t="s">
        <v>1082</v>
      </c>
      <c r="G1398" s="5" t="s">
        <v>1079</v>
      </c>
      <c r="H1398" s="6" t="s">
        <v>637</v>
      </c>
      <c r="I1398" s="6" t="s">
        <v>14</v>
      </c>
      <c r="J1398" s="6" t="s">
        <v>1253</v>
      </c>
      <c r="K1398" s="6">
        <v>158438</v>
      </c>
      <c r="L1398" s="7" t="s">
        <v>1123</v>
      </c>
      <c r="M1398" s="8">
        <v>98300</v>
      </c>
      <c r="N1398" s="8" t="str">
        <f t="shared" si="106"/>
        <v>PEN</v>
      </c>
      <c r="O1398" s="13"/>
      <c r="P1398" s="13">
        <v>849.93</v>
      </c>
      <c r="Q1398" s="3">
        <f t="shared" si="107"/>
        <v>0</v>
      </c>
      <c r="R1398" s="3">
        <f t="shared" si="108"/>
        <v>849.93</v>
      </c>
      <c r="S1398" s="3">
        <f t="shared" si="109"/>
        <v>134694.29</v>
      </c>
      <c r="T1398" s="24" t="s">
        <v>1081</v>
      </c>
      <c r="U1398" s="24" t="s">
        <v>1081</v>
      </c>
      <c r="V1398" s="67"/>
      <c r="W1398" s="25">
        <f>IFERROR(VLOOKUP(BCP_Soles[[#This Row],[DESTINATARIO]],CHOOSE({1,2},Clientes_Proveedores[Razon Social],Clientes_Proveedores[Ruc / Dni]),2,0),"")</f>
        <v>20127765279</v>
      </c>
      <c r="X1398" s="25" t="s">
        <v>1124</v>
      </c>
      <c r="Y1398" s="25" t="s">
        <v>2541</v>
      </c>
      <c r="Z1398" s="25"/>
      <c r="AA1398" s="99"/>
      <c r="AB1398" s="3" t="str">
        <f>IF(BCP_Soles[[#This Row],[FECHA]]&gt;0,TEXT(BCP_Soles[[#This Row],[FECHA]],"mmmm"),0)</f>
        <v>Abril</v>
      </c>
    </row>
    <row r="1399" spans="2:28" ht="24" x14ac:dyDescent="0.3">
      <c r="B1399" s="2">
        <f>IF(BCP_Soles[[#This Row],[TIPO DE R.]]="R",COUNTIFS($D$4:$D1398,"R")+1,"")</f>
        <v>1101</v>
      </c>
      <c r="C1399" s="19" t="str">
        <f t="shared" si="105"/>
        <v>B-BCP - Soles</v>
      </c>
      <c r="D1399" s="3" t="s">
        <v>1074</v>
      </c>
      <c r="E1399" s="14">
        <v>45775</v>
      </c>
      <c r="F1399" s="5" t="s">
        <v>1082</v>
      </c>
      <c r="G1399" s="5" t="s">
        <v>1079</v>
      </c>
      <c r="H1399" s="6"/>
      <c r="I1399" s="6" t="s">
        <v>14</v>
      </c>
      <c r="J1399" s="6" t="s">
        <v>1521</v>
      </c>
      <c r="K1399" s="6">
        <v>12521</v>
      </c>
      <c r="L1399" s="7" t="s">
        <v>2542</v>
      </c>
      <c r="M1399" s="8">
        <v>1096335</v>
      </c>
      <c r="N1399" s="8" t="str">
        <f t="shared" si="106"/>
        <v>PEN</v>
      </c>
      <c r="O1399" s="13"/>
      <c r="P1399" s="13">
        <v>950</v>
      </c>
      <c r="Q1399" s="3">
        <f t="shared" si="107"/>
        <v>0</v>
      </c>
      <c r="R1399" s="3">
        <f t="shared" si="108"/>
        <v>950</v>
      </c>
      <c r="S1399" s="3">
        <f t="shared" si="109"/>
        <v>133744.29</v>
      </c>
      <c r="T1399" s="24" t="s">
        <v>1081</v>
      </c>
      <c r="U1399" s="24" t="s">
        <v>1081</v>
      </c>
      <c r="V1399" s="67"/>
      <c r="W1399" s="25" t="str">
        <f>IFERROR(VLOOKUP(BCP_Soles[[#This Row],[DESTINATARIO]],CHOOSE({1,2},Clientes_Proveedores[Razon Social],Clientes_Proveedores[Ruc / Dni]),2,0),"")</f>
        <v/>
      </c>
      <c r="X1399" s="25" t="s">
        <v>651</v>
      </c>
      <c r="Y1399" s="25" t="s">
        <v>2543</v>
      </c>
      <c r="Z1399" s="25"/>
      <c r="AA1399" s="99"/>
      <c r="AB1399" s="3" t="str">
        <f>IF(BCP_Soles[[#This Row],[FECHA]]&gt;0,TEXT(BCP_Soles[[#This Row],[FECHA]],"mmmm"),0)</f>
        <v>Abril</v>
      </c>
    </row>
    <row r="1400" spans="2:28" x14ac:dyDescent="0.3">
      <c r="B1400" s="2">
        <f>IF(BCP_Soles[[#This Row],[TIPO DE R.]]="R",COUNTIFS($D$4:$D1399,"R")+1,"")</f>
        <v>1102</v>
      </c>
      <c r="C1400" s="19" t="str">
        <f t="shared" si="105"/>
        <v>B-BCP - Soles</v>
      </c>
      <c r="D1400" s="3" t="s">
        <v>1074</v>
      </c>
      <c r="E1400" s="14">
        <v>45775</v>
      </c>
      <c r="F1400" s="5" t="s">
        <v>1082</v>
      </c>
      <c r="G1400" s="5" t="s">
        <v>1079</v>
      </c>
      <c r="H1400" s="6" t="s">
        <v>637</v>
      </c>
      <c r="I1400" s="6" t="s">
        <v>14</v>
      </c>
      <c r="J1400" s="6" t="s">
        <v>1122</v>
      </c>
      <c r="K1400" s="6">
        <v>159470</v>
      </c>
      <c r="L1400" s="7" t="s">
        <v>1123</v>
      </c>
      <c r="M1400" s="8">
        <v>97304</v>
      </c>
      <c r="N1400" s="8" t="str">
        <f t="shared" si="106"/>
        <v>PEN</v>
      </c>
      <c r="O1400" s="13"/>
      <c r="P1400" s="13">
        <v>2321.58</v>
      </c>
      <c r="Q1400" s="3">
        <f t="shared" si="107"/>
        <v>0</v>
      </c>
      <c r="R1400" s="3">
        <f t="shared" si="108"/>
        <v>2321.58</v>
      </c>
      <c r="S1400" s="3">
        <f t="shared" si="109"/>
        <v>131422.71000000002</v>
      </c>
      <c r="T1400" s="24" t="s">
        <v>1081</v>
      </c>
      <c r="U1400" s="24" t="s">
        <v>1081</v>
      </c>
      <c r="V1400" s="67"/>
      <c r="W1400" s="25">
        <f>IFERROR(VLOOKUP(BCP_Soles[[#This Row],[DESTINATARIO]],CHOOSE({1,2},Clientes_Proveedores[Razon Social],Clientes_Proveedores[Ruc / Dni]),2,0),"")</f>
        <v>20127765279</v>
      </c>
      <c r="X1400" s="25" t="s">
        <v>1124</v>
      </c>
      <c r="Y1400" s="25" t="s">
        <v>2544</v>
      </c>
      <c r="Z1400" s="25"/>
      <c r="AA1400" s="99"/>
      <c r="AB1400" s="3" t="str">
        <f>IF(BCP_Soles[[#This Row],[FECHA]]&gt;0,TEXT(BCP_Soles[[#This Row],[FECHA]],"mmmm"),0)</f>
        <v>Abril</v>
      </c>
    </row>
    <row r="1401" spans="2:28" ht="24" x14ac:dyDescent="0.3">
      <c r="B1401" s="2">
        <f>IF(BCP_Soles[[#This Row],[TIPO DE R.]]="R",COUNTIFS($D$4:$D1400,"R")+1,"")</f>
        <v>1103</v>
      </c>
      <c r="C1401" s="19" t="str">
        <f t="shared" si="105"/>
        <v>B-BCP - Soles</v>
      </c>
      <c r="D1401" s="3" t="s">
        <v>1074</v>
      </c>
      <c r="E1401" s="14">
        <v>45776</v>
      </c>
      <c r="F1401" s="5" t="s">
        <v>1838</v>
      </c>
      <c r="G1401" s="5" t="s">
        <v>1087</v>
      </c>
      <c r="H1401" s="6"/>
      <c r="I1401" s="6"/>
      <c r="J1401" s="6"/>
      <c r="K1401" s="6"/>
      <c r="L1401" s="7" t="s">
        <v>1740</v>
      </c>
      <c r="M1401" s="8">
        <v>2068735</v>
      </c>
      <c r="N1401" s="8" t="str">
        <f t="shared" si="106"/>
        <v>PEN</v>
      </c>
      <c r="O1401" s="13"/>
      <c r="P1401" s="13">
        <v>16950</v>
      </c>
      <c r="Q1401" s="3">
        <f t="shared" si="107"/>
        <v>16950</v>
      </c>
      <c r="R1401" s="3">
        <f t="shared" si="108"/>
        <v>0</v>
      </c>
      <c r="S1401" s="3">
        <f t="shared" si="109"/>
        <v>148372.71000000002</v>
      </c>
      <c r="T1401" s="24" t="s">
        <v>1081</v>
      </c>
      <c r="U1401" s="24" t="s">
        <v>1081</v>
      </c>
      <c r="V1401" s="67"/>
      <c r="W1401" s="25" t="str">
        <f>IFERROR(VLOOKUP(BCP_Soles[[#This Row],[DESTINATARIO]],CHOOSE({1,2},Clientes_Proveedores[Razon Social],Clientes_Proveedores[Ruc / Dni]),2,0),"")</f>
        <v/>
      </c>
      <c r="X1401" s="25" t="s">
        <v>1090</v>
      </c>
      <c r="Y1401" s="25" t="s">
        <v>2545</v>
      </c>
      <c r="Z1401" s="25"/>
      <c r="AA1401" s="99"/>
      <c r="AB1401" s="3" t="str">
        <f>IF(BCP_Soles[[#This Row],[FECHA]]&gt;0,TEXT(BCP_Soles[[#This Row],[FECHA]],"mmmm"),0)</f>
        <v>Abril</v>
      </c>
    </row>
    <row r="1402" spans="2:28" ht="36" x14ac:dyDescent="0.3">
      <c r="B1402" s="2">
        <f>IF(BCP_Soles[[#This Row],[TIPO DE R.]]="R",COUNTIFS($D$4:$D1401,"R")+1,"")</f>
        <v>1104</v>
      </c>
      <c r="C1402" s="19" t="str">
        <f t="shared" si="105"/>
        <v>B-BCP - Soles</v>
      </c>
      <c r="D1402" s="3" t="s">
        <v>1074</v>
      </c>
      <c r="E1402" s="14">
        <v>45776</v>
      </c>
      <c r="F1402" s="5" t="s">
        <v>353</v>
      </c>
      <c r="G1402" s="5" t="s">
        <v>1087</v>
      </c>
      <c r="H1402" s="6"/>
      <c r="I1402" s="6"/>
      <c r="J1402" s="6"/>
      <c r="K1402" s="6"/>
      <c r="L1402" s="7" t="s">
        <v>1100</v>
      </c>
      <c r="M1402" s="8">
        <v>3121730</v>
      </c>
      <c r="N1402" s="8" t="str">
        <f t="shared" si="106"/>
        <v>PEN</v>
      </c>
      <c r="O1402" s="13"/>
      <c r="P1402" s="13">
        <v>5193.75</v>
      </c>
      <c r="Q1402" s="3">
        <f t="shared" si="107"/>
        <v>5193.75</v>
      </c>
      <c r="R1402" s="3">
        <f t="shared" si="108"/>
        <v>0</v>
      </c>
      <c r="S1402" s="3">
        <f t="shared" si="109"/>
        <v>153566.46000000002</v>
      </c>
      <c r="T1402" s="24" t="s">
        <v>1081</v>
      </c>
      <c r="U1402" s="24" t="s">
        <v>1081</v>
      </c>
      <c r="V1402" s="67"/>
      <c r="W1402" s="25" t="str">
        <f>IFERROR(VLOOKUP(BCP_Soles[[#This Row],[DESTINATARIO]],CHOOSE({1,2},Clientes_Proveedores[Razon Social],Clientes_Proveedores[Ruc / Dni]),2,0),"")</f>
        <v/>
      </c>
      <c r="X1402" s="25" t="s">
        <v>1090</v>
      </c>
      <c r="Y1402" s="25" t="s">
        <v>2546</v>
      </c>
      <c r="Z1402" s="25"/>
      <c r="AA1402" s="99"/>
      <c r="AB1402" s="3" t="str">
        <f>IF(BCP_Soles[[#This Row],[FECHA]]&gt;0,TEXT(BCP_Soles[[#This Row],[FECHA]],"mmmm"),0)</f>
        <v>Abril</v>
      </c>
    </row>
    <row r="1403" spans="2:28" ht="24" x14ac:dyDescent="0.3">
      <c r="B1403" s="2">
        <f>IF(BCP_Soles[[#This Row],[TIPO DE R.]]="R",COUNTIFS($D$4:$D1402,"R")+1,"")</f>
        <v>1105</v>
      </c>
      <c r="C1403" s="19" t="str">
        <f t="shared" si="105"/>
        <v>B-BCP - Soles</v>
      </c>
      <c r="D1403" s="3" t="s">
        <v>1074</v>
      </c>
      <c r="E1403" s="14">
        <v>45776</v>
      </c>
      <c r="F1403" s="5" t="s">
        <v>1245</v>
      </c>
      <c r="G1403" s="5" t="s">
        <v>1087</v>
      </c>
      <c r="H1403" s="6"/>
      <c r="I1403" s="6"/>
      <c r="J1403" s="6"/>
      <c r="K1403" s="6"/>
      <c r="L1403" s="7" t="s">
        <v>1100</v>
      </c>
      <c r="M1403" s="8">
        <v>2046061</v>
      </c>
      <c r="N1403" s="8" t="str">
        <f t="shared" si="106"/>
        <v>PEN</v>
      </c>
      <c r="O1403" s="13"/>
      <c r="P1403" s="13">
        <v>2842</v>
      </c>
      <c r="Q1403" s="3">
        <f t="shared" si="107"/>
        <v>2842</v>
      </c>
      <c r="R1403" s="3">
        <f t="shared" si="108"/>
        <v>0</v>
      </c>
      <c r="S1403" s="3">
        <f t="shared" si="109"/>
        <v>156408.46000000002</v>
      </c>
      <c r="T1403" s="24" t="s">
        <v>1081</v>
      </c>
      <c r="U1403" s="24" t="s">
        <v>1081</v>
      </c>
      <c r="V1403" s="67"/>
      <c r="W1403" s="25" t="str">
        <f>IFERROR(VLOOKUP(BCP_Soles[[#This Row],[DESTINATARIO]],CHOOSE({1,2},Clientes_Proveedores[Razon Social],Clientes_Proveedores[Ruc / Dni]),2,0),"")</f>
        <v/>
      </c>
      <c r="X1403" s="25" t="s">
        <v>1090</v>
      </c>
      <c r="Y1403" s="25" t="s">
        <v>2547</v>
      </c>
      <c r="Z1403" s="25"/>
      <c r="AA1403" s="99"/>
      <c r="AB1403" s="3" t="str">
        <f>IF(BCP_Soles[[#This Row],[FECHA]]&gt;0,TEXT(BCP_Soles[[#This Row],[FECHA]],"mmmm"),0)</f>
        <v>Abril</v>
      </c>
    </row>
    <row r="1404" spans="2:28" ht="36" x14ac:dyDescent="0.3">
      <c r="B1404" s="2">
        <f>IF(BCP_Soles[[#This Row],[TIPO DE R.]]="R",COUNTIFS($D$4:$D1403,"R")+1,"")</f>
        <v>1106</v>
      </c>
      <c r="C1404" s="19" t="str">
        <f t="shared" si="105"/>
        <v>B-BCP - Soles</v>
      </c>
      <c r="D1404" s="3" t="s">
        <v>1074</v>
      </c>
      <c r="E1404" s="14">
        <v>45776</v>
      </c>
      <c r="F1404" s="5" t="s">
        <v>605</v>
      </c>
      <c r="G1404" s="5" t="s">
        <v>1087</v>
      </c>
      <c r="H1404" s="6"/>
      <c r="I1404" s="6"/>
      <c r="J1404" s="6"/>
      <c r="K1404" s="6"/>
      <c r="L1404" s="7" t="s">
        <v>1127</v>
      </c>
      <c r="M1404" s="8">
        <v>17346</v>
      </c>
      <c r="N1404" s="8" t="str">
        <f t="shared" si="106"/>
        <v>PEN</v>
      </c>
      <c r="O1404" s="13"/>
      <c r="P1404" s="13">
        <v>1096.47</v>
      </c>
      <c r="Q1404" s="3">
        <f t="shared" si="107"/>
        <v>1096.47</v>
      </c>
      <c r="R1404" s="3">
        <f t="shared" si="108"/>
        <v>0</v>
      </c>
      <c r="S1404" s="3">
        <f t="shared" si="109"/>
        <v>157504.93000000002</v>
      </c>
      <c r="T1404" s="24" t="s">
        <v>1081</v>
      </c>
      <c r="U1404" s="24" t="s">
        <v>1081</v>
      </c>
      <c r="V1404" s="67"/>
      <c r="W1404" s="25" t="str">
        <f>IFERROR(VLOOKUP(BCP_Soles[[#This Row],[DESTINATARIO]],CHOOSE({1,2},Clientes_Proveedores[Razon Social],Clientes_Proveedores[Ruc / Dni]),2,0),"")</f>
        <v/>
      </c>
      <c r="X1404" s="25" t="s">
        <v>1090</v>
      </c>
      <c r="Y1404" s="25" t="s">
        <v>2548</v>
      </c>
      <c r="Z1404" s="25"/>
      <c r="AA1404" s="99"/>
      <c r="AB1404" s="3" t="str">
        <f>IF(BCP_Soles[[#This Row],[FECHA]]&gt;0,TEXT(BCP_Soles[[#This Row],[FECHA]],"mmmm"),0)</f>
        <v>Abril</v>
      </c>
    </row>
    <row r="1405" spans="2:28" x14ac:dyDescent="0.3">
      <c r="B1405" s="2">
        <f>IF(BCP_Soles[[#This Row],[TIPO DE R.]]="R",COUNTIFS($D$4:$D1404,"R")+1,"")</f>
        <v>1107</v>
      </c>
      <c r="C1405" s="19" t="str">
        <f t="shared" si="105"/>
        <v>B-BCP - Soles</v>
      </c>
      <c r="D1405" s="3" t="s">
        <v>1074</v>
      </c>
      <c r="E1405" s="14">
        <v>45776</v>
      </c>
      <c r="F1405" s="5" t="s">
        <v>289</v>
      </c>
      <c r="G1405" s="5" t="s">
        <v>1087</v>
      </c>
      <c r="H1405" s="6"/>
      <c r="I1405" s="6"/>
      <c r="J1405" s="6"/>
      <c r="K1405" s="6"/>
      <c r="L1405" s="7" t="s">
        <v>2549</v>
      </c>
      <c r="M1405" s="8">
        <v>9516892</v>
      </c>
      <c r="N1405" s="8" t="str">
        <f t="shared" si="106"/>
        <v>PEN</v>
      </c>
      <c r="O1405" s="13"/>
      <c r="P1405" s="13">
        <v>468.1</v>
      </c>
      <c r="Q1405" s="3">
        <f t="shared" si="107"/>
        <v>468.1</v>
      </c>
      <c r="R1405" s="3">
        <f t="shared" si="108"/>
        <v>0</v>
      </c>
      <c r="S1405" s="3">
        <f t="shared" si="109"/>
        <v>157973.03000000003</v>
      </c>
      <c r="T1405" s="24" t="s">
        <v>1081</v>
      </c>
      <c r="U1405" s="24" t="s">
        <v>1081</v>
      </c>
      <c r="V1405" s="67"/>
      <c r="W1405" s="25" t="str">
        <f>IFERROR(VLOOKUP(BCP_Soles[[#This Row],[DESTINATARIO]],CHOOSE({1,2},Clientes_Proveedores[Razon Social],Clientes_Proveedores[Ruc / Dni]),2,0),"")</f>
        <v/>
      </c>
      <c r="X1405" s="25" t="s">
        <v>1090</v>
      </c>
      <c r="Y1405" s="25" t="s">
        <v>2550</v>
      </c>
      <c r="Z1405" s="25"/>
      <c r="AA1405" s="99"/>
      <c r="AB1405" s="3" t="str">
        <f>IF(BCP_Soles[[#This Row],[FECHA]]&gt;0,TEXT(BCP_Soles[[#This Row],[FECHA]],"mmmm"),0)</f>
        <v>Abril</v>
      </c>
    </row>
    <row r="1406" spans="2:28" x14ac:dyDescent="0.3">
      <c r="B1406" s="2">
        <f>IF(BCP_Soles[[#This Row],[TIPO DE R.]]="R",COUNTIFS($D$4:$D1405,"R")+1,"")</f>
        <v>1108</v>
      </c>
      <c r="C1406" s="19" t="str">
        <f t="shared" si="105"/>
        <v>B-BCP - Soles</v>
      </c>
      <c r="D1406" s="3" t="s">
        <v>1074</v>
      </c>
      <c r="E1406" s="14">
        <v>45776</v>
      </c>
      <c r="F1406" s="5" t="s">
        <v>1078</v>
      </c>
      <c r="G1406" s="5" t="s">
        <v>1079</v>
      </c>
      <c r="H1406" s="6"/>
      <c r="I1406" s="6"/>
      <c r="J1406" s="6"/>
      <c r="K1406" s="6"/>
      <c r="L1406" s="7" t="s">
        <v>1080</v>
      </c>
      <c r="M1406" s="8"/>
      <c r="N1406" s="8" t="str">
        <f t="shared" si="106"/>
        <v>PEN</v>
      </c>
      <c r="O1406" s="13"/>
      <c r="P1406" s="13">
        <v>1.55</v>
      </c>
      <c r="Q1406" s="3">
        <f t="shared" si="107"/>
        <v>0</v>
      </c>
      <c r="R1406" s="3">
        <f t="shared" si="108"/>
        <v>1.55</v>
      </c>
      <c r="S1406" s="3">
        <f t="shared" si="109"/>
        <v>157971.48000000004</v>
      </c>
      <c r="T1406" s="24"/>
      <c r="U1406" s="24" t="s">
        <v>1081</v>
      </c>
      <c r="V1406" s="67"/>
      <c r="W1406" s="25" t="str">
        <f>IFERROR(VLOOKUP(BCP_Soles[[#This Row],[DESTINATARIO]],CHOOSE({1,2},Clientes_Proveedores[Razon Social],Clientes_Proveedores[Ruc / Dni]),2,0),"")</f>
        <v/>
      </c>
      <c r="X1406" s="25"/>
      <c r="Y1406" s="25"/>
      <c r="Z1406" s="25"/>
      <c r="AA1406" s="99"/>
      <c r="AB1406" s="3" t="str">
        <f>IF(BCP_Soles[[#This Row],[FECHA]]&gt;0,TEXT(BCP_Soles[[#This Row],[FECHA]],"mmmm"),0)</f>
        <v>Abril</v>
      </c>
    </row>
    <row r="1407" spans="2:28" ht="24" x14ac:dyDescent="0.3">
      <c r="B1407" s="2">
        <f>IF(BCP_Soles[[#This Row],[TIPO DE R.]]="R",COUNTIFS($D$4:$D1406,"R")+1,"")</f>
        <v>1109</v>
      </c>
      <c r="C1407" s="19" t="str">
        <f t="shared" si="105"/>
        <v>B-BCP - Soles</v>
      </c>
      <c r="D1407" s="3" t="s">
        <v>1074</v>
      </c>
      <c r="E1407" s="14">
        <v>45776</v>
      </c>
      <c r="F1407" s="5" t="s">
        <v>1082</v>
      </c>
      <c r="G1407" s="5" t="s">
        <v>1079</v>
      </c>
      <c r="H1407" s="6" t="s">
        <v>192</v>
      </c>
      <c r="I1407" s="6"/>
      <c r="J1407" s="6"/>
      <c r="K1407" s="6"/>
      <c r="L1407" s="7" t="s">
        <v>2551</v>
      </c>
      <c r="M1407" s="8">
        <v>1006819</v>
      </c>
      <c r="N1407" s="8" t="str">
        <f t="shared" si="106"/>
        <v>PEN</v>
      </c>
      <c r="O1407" s="13"/>
      <c r="P1407" s="13">
        <v>547.24</v>
      </c>
      <c r="Q1407" s="3">
        <f t="shared" si="107"/>
        <v>0</v>
      </c>
      <c r="R1407" s="3">
        <f t="shared" si="108"/>
        <v>547.24</v>
      </c>
      <c r="S1407" s="3">
        <f t="shared" si="109"/>
        <v>157424.24000000005</v>
      </c>
      <c r="T1407" s="24"/>
      <c r="U1407" s="24"/>
      <c r="V1407" s="67"/>
      <c r="W1407" s="25">
        <f>IFERROR(VLOOKUP(BCP_Soles[[#This Row],[DESTINATARIO]],CHOOSE({1,2},Clientes_Proveedores[Razon Social],Clientes_Proveedores[Ruc / Dni]),2,0),"")</f>
        <v>20302891452</v>
      </c>
      <c r="X1407" s="25" t="s">
        <v>192</v>
      </c>
      <c r="Y1407" s="25"/>
      <c r="Z1407" s="25"/>
      <c r="AA1407" s="99"/>
      <c r="AB1407" s="3" t="str">
        <f>IF(BCP_Soles[[#This Row],[FECHA]]&gt;0,TEXT(BCP_Soles[[#This Row],[FECHA]],"mmmm"),0)</f>
        <v>Abril</v>
      </c>
    </row>
    <row r="1408" spans="2:28" ht="24" x14ac:dyDescent="0.3">
      <c r="B1408" s="2">
        <f>IF(BCP_Soles[[#This Row],[TIPO DE R.]]="R",COUNTIFS($D$4:$D1407,"R")+1,"")</f>
        <v>1110</v>
      </c>
      <c r="C1408" s="19" t="str">
        <f t="shared" si="105"/>
        <v>B-BCP - Soles</v>
      </c>
      <c r="D1408" s="3" t="s">
        <v>1074</v>
      </c>
      <c r="E1408" s="14">
        <v>45776</v>
      </c>
      <c r="F1408" s="5" t="s">
        <v>1082</v>
      </c>
      <c r="G1408" s="5" t="s">
        <v>1079</v>
      </c>
      <c r="H1408" s="6" t="s">
        <v>615</v>
      </c>
      <c r="I1408" s="6" t="s">
        <v>14</v>
      </c>
      <c r="J1408" s="6" t="s">
        <v>1119</v>
      </c>
      <c r="K1408" s="6">
        <v>154</v>
      </c>
      <c r="L1408" s="7" t="s">
        <v>2552</v>
      </c>
      <c r="M1408" s="8">
        <v>1219132</v>
      </c>
      <c r="N1408" s="8" t="str">
        <f t="shared" si="106"/>
        <v>PEN</v>
      </c>
      <c r="O1408" s="13"/>
      <c r="P1408" s="13">
        <v>850</v>
      </c>
      <c r="Q1408" s="3">
        <f t="shared" si="107"/>
        <v>0</v>
      </c>
      <c r="R1408" s="3">
        <f t="shared" si="108"/>
        <v>850</v>
      </c>
      <c r="S1408" s="3">
        <f t="shared" si="109"/>
        <v>156574.24000000005</v>
      </c>
      <c r="T1408" s="24" t="s">
        <v>1081</v>
      </c>
      <c r="U1408" s="24" t="s">
        <v>1081</v>
      </c>
      <c r="V1408" s="67"/>
      <c r="W1408" s="25">
        <f>IFERROR(VLOOKUP(BCP_Soles[[#This Row],[DESTINATARIO]],CHOOSE({1,2},Clientes_Proveedores[Razon Social],Clientes_Proveedores[Ruc / Dni]),2,0),"")</f>
        <v>20613809261</v>
      </c>
      <c r="X1408" s="25" t="s">
        <v>615</v>
      </c>
      <c r="Y1408" s="25" t="s">
        <v>2553</v>
      </c>
      <c r="Z1408" s="25"/>
      <c r="AA1408" s="99"/>
      <c r="AB1408" s="3" t="str">
        <f>IF(BCP_Soles[[#This Row],[FECHA]]&gt;0,TEXT(BCP_Soles[[#This Row],[FECHA]],"mmmm"),0)</f>
        <v>Abril</v>
      </c>
    </row>
    <row r="1409" spans="2:28" ht="24" x14ac:dyDescent="0.3">
      <c r="B1409" s="2">
        <f>IF(BCP_Soles[[#This Row],[TIPO DE R.]]="R",COUNTIFS($D$4:$D1408,"R")+1,"")</f>
        <v>1111</v>
      </c>
      <c r="C1409" s="19" t="str">
        <f t="shared" si="105"/>
        <v>B-BCP - Soles</v>
      </c>
      <c r="D1409" s="3" t="s">
        <v>1074</v>
      </c>
      <c r="E1409" s="14">
        <v>45776</v>
      </c>
      <c r="F1409" s="5" t="s">
        <v>1082</v>
      </c>
      <c r="G1409" s="5" t="s">
        <v>1079</v>
      </c>
      <c r="H1409" s="6" t="s">
        <v>694</v>
      </c>
      <c r="I1409" s="6" t="s">
        <v>18</v>
      </c>
      <c r="J1409" s="6" t="s">
        <v>1121</v>
      </c>
      <c r="K1409" s="6">
        <v>37</v>
      </c>
      <c r="L1409" s="7" t="s">
        <v>2554</v>
      </c>
      <c r="M1409" s="8">
        <v>1131747</v>
      </c>
      <c r="N1409" s="8" t="str">
        <f t="shared" si="106"/>
        <v>PEN</v>
      </c>
      <c r="O1409" s="13"/>
      <c r="P1409" s="13">
        <v>1000</v>
      </c>
      <c r="Q1409" s="3">
        <f t="shared" si="107"/>
        <v>0</v>
      </c>
      <c r="R1409" s="3">
        <f t="shared" si="108"/>
        <v>1000</v>
      </c>
      <c r="S1409" s="3">
        <f t="shared" si="109"/>
        <v>155574.24000000005</v>
      </c>
      <c r="T1409" s="24" t="s">
        <v>1081</v>
      </c>
      <c r="U1409" s="24" t="s">
        <v>1081</v>
      </c>
      <c r="V1409" s="67"/>
      <c r="W1409" s="25">
        <f>IFERROR(VLOOKUP(BCP_Soles[[#This Row],[DESTINATARIO]],CHOOSE({1,2},Clientes_Proveedores[Razon Social],Clientes_Proveedores[Ruc / Dni]),2,0),"")</f>
        <v>10295272771</v>
      </c>
      <c r="X1409" s="25" t="s">
        <v>694</v>
      </c>
      <c r="Y1409" s="25" t="s">
        <v>2555</v>
      </c>
      <c r="Z1409" s="25"/>
      <c r="AA1409" s="99"/>
      <c r="AB1409" s="3" t="str">
        <f>IF(BCP_Soles[[#This Row],[FECHA]]&gt;0,TEXT(BCP_Soles[[#This Row],[FECHA]],"mmmm"),0)</f>
        <v>Abril</v>
      </c>
    </row>
    <row r="1410" spans="2:28" ht="36" x14ac:dyDescent="0.3">
      <c r="B1410" s="2">
        <f>IF(BCP_Soles[[#This Row],[TIPO DE R.]]="R",COUNTIFS($D$4:$D1409,"R")+1,"")</f>
        <v>1112</v>
      </c>
      <c r="C1410" s="19" t="str">
        <f t="shared" si="105"/>
        <v>B-BCP - Soles</v>
      </c>
      <c r="D1410" s="3" t="s">
        <v>1074</v>
      </c>
      <c r="E1410" s="14">
        <v>45776</v>
      </c>
      <c r="F1410" s="5" t="s">
        <v>1082</v>
      </c>
      <c r="G1410" s="5" t="s">
        <v>1079</v>
      </c>
      <c r="H1410" s="6" t="s">
        <v>880</v>
      </c>
      <c r="I1410" s="6" t="s">
        <v>87</v>
      </c>
      <c r="J1410" s="6">
        <v>1</v>
      </c>
      <c r="K1410" s="6">
        <v>292025</v>
      </c>
      <c r="L1410" s="7" t="s">
        <v>2556</v>
      </c>
      <c r="M1410" s="8">
        <v>1006319</v>
      </c>
      <c r="N1410" s="8" t="str">
        <f t="shared" si="106"/>
        <v>PEN</v>
      </c>
      <c r="O1410" s="13"/>
      <c r="P1410" s="13">
        <v>3257.5</v>
      </c>
      <c r="Q1410" s="3">
        <f t="shared" si="107"/>
        <v>0</v>
      </c>
      <c r="R1410" s="3">
        <f t="shared" si="108"/>
        <v>3257.5</v>
      </c>
      <c r="S1410" s="3">
        <f t="shared" si="109"/>
        <v>152316.74000000005</v>
      </c>
      <c r="T1410" s="24" t="s">
        <v>1081</v>
      </c>
      <c r="U1410" s="24" t="s">
        <v>1081</v>
      </c>
      <c r="V1410" s="67"/>
      <c r="W1410" s="25">
        <f>IFERROR(VLOOKUP(BCP_Soles[[#This Row],[DESTINATARIO]],CHOOSE({1,2},Clientes_Proveedores[Razon Social],Clientes_Proveedores[Ruc / Dni]),2,0),"")</f>
        <v>72531546</v>
      </c>
      <c r="X1410" s="25" t="s">
        <v>880</v>
      </c>
      <c r="Y1410" s="25" t="s">
        <v>2557</v>
      </c>
      <c r="Z1410" s="25"/>
      <c r="AA1410" s="99"/>
      <c r="AB1410" s="3" t="str">
        <f>IF(BCP_Soles[[#This Row],[FECHA]]&gt;0,TEXT(BCP_Soles[[#This Row],[FECHA]],"mmmm"),0)</f>
        <v>Abril</v>
      </c>
    </row>
    <row r="1411" spans="2:28" ht="24" x14ac:dyDescent="0.3">
      <c r="B1411" s="2">
        <f>IF(BCP_Soles[[#This Row],[TIPO DE R.]]="R",COUNTIFS($D$4:$D1410,"R")+1,"")</f>
        <v>1113</v>
      </c>
      <c r="C1411" s="19" t="str">
        <f t="shared" si="105"/>
        <v>B-BCP - Soles</v>
      </c>
      <c r="D1411" s="3" t="s">
        <v>1074</v>
      </c>
      <c r="E1411" s="14">
        <v>45776</v>
      </c>
      <c r="F1411" s="5" t="s">
        <v>1082</v>
      </c>
      <c r="G1411" s="5" t="s">
        <v>1079</v>
      </c>
      <c r="H1411" s="6" t="s">
        <v>842</v>
      </c>
      <c r="I1411" s="6"/>
      <c r="J1411" s="6"/>
      <c r="K1411" s="6"/>
      <c r="L1411" s="7" t="s">
        <v>2558</v>
      </c>
      <c r="M1411" s="8">
        <v>1129793</v>
      </c>
      <c r="N1411" s="8" t="str">
        <f t="shared" si="106"/>
        <v>PEN</v>
      </c>
      <c r="O1411" s="13"/>
      <c r="P1411" s="13">
        <v>3981.15</v>
      </c>
      <c r="Q1411" s="3">
        <f t="shared" si="107"/>
        <v>0</v>
      </c>
      <c r="R1411" s="3">
        <f t="shared" si="108"/>
        <v>3981.15</v>
      </c>
      <c r="S1411" s="3">
        <f t="shared" si="109"/>
        <v>148335.59000000005</v>
      </c>
      <c r="T1411" s="24"/>
      <c r="U1411" s="24" t="s">
        <v>1081</v>
      </c>
      <c r="V1411" s="67"/>
      <c r="W1411" s="25">
        <f>IFERROR(VLOOKUP(BCP_Soles[[#This Row],[DESTINATARIO]],CHOOSE({1,2},Clientes_Proveedores[Razon Social],Clientes_Proveedores[Ruc / Dni]),2,0),"")</f>
        <v>72131384</v>
      </c>
      <c r="X1411" s="25" t="s">
        <v>842</v>
      </c>
      <c r="Y1411" s="25" t="s">
        <v>2559</v>
      </c>
      <c r="Z1411" s="25"/>
      <c r="AA1411" s="99"/>
      <c r="AB1411" s="3" t="str">
        <f>IF(BCP_Soles[[#This Row],[FECHA]]&gt;0,TEXT(BCP_Soles[[#This Row],[FECHA]],"mmmm"),0)</f>
        <v>Abril</v>
      </c>
    </row>
    <row r="1412" spans="2:28" ht="24" x14ac:dyDescent="0.3">
      <c r="B1412" s="2">
        <f>IF(BCP_Soles[[#This Row],[TIPO DE R.]]="R",COUNTIFS($D$4:$D1411,"R")+1,"")</f>
        <v>1114</v>
      </c>
      <c r="C1412" s="19" t="str">
        <f t="shared" si="105"/>
        <v>B-BCP - Soles</v>
      </c>
      <c r="D1412" s="3" t="s">
        <v>1074</v>
      </c>
      <c r="E1412" s="14">
        <v>45777</v>
      </c>
      <c r="F1412" s="5" t="s">
        <v>1245</v>
      </c>
      <c r="G1412" s="5" t="s">
        <v>1087</v>
      </c>
      <c r="H1412" s="6"/>
      <c r="I1412" s="6"/>
      <c r="J1412" s="6"/>
      <c r="K1412" s="6"/>
      <c r="L1412" s="7" t="s">
        <v>1100</v>
      </c>
      <c r="M1412" s="8">
        <v>1177606</v>
      </c>
      <c r="N1412" s="8" t="str">
        <f t="shared" si="106"/>
        <v>PEN</v>
      </c>
      <c r="O1412" s="13"/>
      <c r="P1412" s="13">
        <v>1345</v>
      </c>
      <c r="Q1412" s="3">
        <f t="shared" si="107"/>
        <v>1345</v>
      </c>
      <c r="R1412" s="3">
        <f t="shared" si="108"/>
        <v>0</v>
      </c>
      <c r="S1412" s="3">
        <f t="shared" si="109"/>
        <v>149680.59000000005</v>
      </c>
      <c r="T1412" s="24" t="s">
        <v>1081</v>
      </c>
      <c r="U1412" s="24" t="s">
        <v>1081</v>
      </c>
      <c r="V1412" s="67"/>
      <c r="W1412" s="25" t="str">
        <f>IFERROR(VLOOKUP(BCP_Soles[[#This Row],[DESTINATARIO]],CHOOSE({1,2},Clientes_Proveedores[Razon Social],Clientes_Proveedores[Ruc / Dni]),2,0),"")</f>
        <v/>
      </c>
      <c r="X1412" s="25" t="s">
        <v>1090</v>
      </c>
      <c r="Y1412" s="25" t="s">
        <v>2560</v>
      </c>
      <c r="Z1412" s="25"/>
      <c r="AA1412" s="99"/>
      <c r="AB1412" s="3" t="str">
        <f>IF(BCP_Soles[[#This Row],[FECHA]]&gt;0,TEXT(BCP_Soles[[#This Row],[FECHA]],"mmmm"),0)</f>
        <v>Abril</v>
      </c>
    </row>
    <row r="1413" spans="2:28" ht="24" x14ac:dyDescent="0.3">
      <c r="B1413" s="2">
        <f>IF(BCP_Soles[[#This Row],[TIPO DE R.]]="R",COUNTIFS($D$4:$D1412,"R")+1,"")</f>
        <v>1115</v>
      </c>
      <c r="C1413" s="19" t="str">
        <f t="shared" ref="C1413:C1476" si="110">"B-BCP - Soles"</f>
        <v>B-BCP - Soles</v>
      </c>
      <c r="D1413" s="3" t="s">
        <v>1074</v>
      </c>
      <c r="E1413" s="14">
        <v>45777</v>
      </c>
      <c r="F1413" s="5" t="s">
        <v>405</v>
      </c>
      <c r="G1413" s="5" t="s">
        <v>1087</v>
      </c>
      <c r="H1413" s="6"/>
      <c r="I1413" s="6"/>
      <c r="J1413" s="6"/>
      <c r="K1413" s="6"/>
      <c r="L1413" s="7" t="s">
        <v>1100</v>
      </c>
      <c r="M1413" s="8">
        <v>2671814</v>
      </c>
      <c r="N1413" s="8" t="str">
        <f t="shared" ref="N1413:N1476" si="111">"PEN"</f>
        <v>PEN</v>
      </c>
      <c r="O1413" s="13"/>
      <c r="P1413" s="13">
        <v>1271.99</v>
      </c>
      <c r="Q1413" s="3">
        <f t="shared" ref="Q1413:Q1476" si="112">+IF(OR($G1413="SALDO",$G1413="INGRESO"),$P1413,0)</f>
        <v>1271.99</v>
      </c>
      <c r="R1413" s="3">
        <f t="shared" ref="R1413:R1476" si="113">+IF($G1413="EGRESO",$P1413,0)</f>
        <v>0</v>
      </c>
      <c r="S1413" s="3">
        <f t="shared" ref="S1413:S1476" si="114">IFERROR(IF(G1413="SALDO",Q1413,S1412+Q1413-R1413),0)</f>
        <v>150952.58000000005</v>
      </c>
      <c r="T1413" s="24" t="s">
        <v>1081</v>
      </c>
      <c r="U1413" s="24" t="s">
        <v>1081</v>
      </c>
      <c r="V1413" s="67"/>
      <c r="W1413" s="25" t="str">
        <f>IFERROR(VLOOKUP(BCP_Soles[[#This Row],[DESTINATARIO]],CHOOSE({1,2},Clientes_Proveedores[Razon Social],Clientes_Proveedores[Ruc / Dni]),2,0),"")</f>
        <v/>
      </c>
      <c r="X1413" s="25" t="s">
        <v>1090</v>
      </c>
      <c r="Y1413" s="25" t="s">
        <v>2561</v>
      </c>
      <c r="Z1413" s="25"/>
      <c r="AA1413" s="99"/>
      <c r="AB1413" s="3" t="str">
        <f>IF(BCP_Soles[[#This Row],[FECHA]]&gt;0,TEXT(BCP_Soles[[#This Row],[FECHA]],"mmmm"),0)</f>
        <v>Abril</v>
      </c>
    </row>
    <row r="1414" spans="2:28" ht="24" x14ac:dyDescent="0.3">
      <c r="B1414" s="2">
        <f>IF(BCP_Soles[[#This Row],[TIPO DE R.]]="R",COUNTIFS($D$4:$D1413,"R")+1,"")</f>
        <v>1116</v>
      </c>
      <c r="C1414" s="19" t="str">
        <f t="shared" si="110"/>
        <v>B-BCP - Soles</v>
      </c>
      <c r="D1414" s="3" t="s">
        <v>1074</v>
      </c>
      <c r="E1414" s="14">
        <v>45777</v>
      </c>
      <c r="F1414" s="5" t="s">
        <v>405</v>
      </c>
      <c r="G1414" s="5" t="s">
        <v>1087</v>
      </c>
      <c r="H1414" s="6"/>
      <c r="I1414" s="6"/>
      <c r="J1414" s="6"/>
      <c r="K1414" s="6"/>
      <c r="L1414" s="7" t="s">
        <v>1100</v>
      </c>
      <c r="M1414" s="8">
        <v>2670949</v>
      </c>
      <c r="N1414" s="8" t="str">
        <f t="shared" si="111"/>
        <v>PEN</v>
      </c>
      <c r="O1414" s="13"/>
      <c r="P1414" s="13">
        <v>570.77</v>
      </c>
      <c r="Q1414" s="3">
        <f t="shared" si="112"/>
        <v>570.77</v>
      </c>
      <c r="R1414" s="3">
        <f t="shared" si="113"/>
        <v>0</v>
      </c>
      <c r="S1414" s="3">
        <f t="shared" si="114"/>
        <v>151523.35000000003</v>
      </c>
      <c r="T1414" s="24" t="s">
        <v>1081</v>
      </c>
      <c r="U1414" s="24" t="s">
        <v>1081</v>
      </c>
      <c r="V1414" s="67"/>
      <c r="W1414" s="25" t="str">
        <f>IFERROR(VLOOKUP(BCP_Soles[[#This Row],[DESTINATARIO]],CHOOSE({1,2},Clientes_Proveedores[Razon Social],Clientes_Proveedores[Ruc / Dni]),2,0),"")</f>
        <v/>
      </c>
      <c r="X1414" s="25" t="s">
        <v>1090</v>
      </c>
      <c r="Y1414" s="25" t="s">
        <v>2562</v>
      </c>
      <c r="Z1414" s="25"/>
      <c r="AA1414" s="99"/>
      <c r="AB1414" s="3" t="str">
        <f>IF(BCP_Soles[[#This Row],[FECHA]]&gt;0,TEXT(BCP_Soles[[#This Row],[FECHA]],"mmmm"),0)</f>
        <v>Abril</v>
      </c>
    </row>
    <row r="1415" spans="2:28" ht="24" x14ac:dyDescent="0.3">
      <c r="B1415" s="2">
        <f>IF(BCP_Soles[[#This Row],[TIPO DE R.]]="R",COUNTIFS($D$4:$D1414,"R")+1,"")</f>
        <v>1117</v>
      </c>
      <c r="C1415" s="19" t="str">
        <f t="shared" si="110"/>
        <v>B-BCP - Soles</v>
      </c>
      <c r="D1415" s="3" t="s">
        <v>1074</v>
      </c>
      <c r="E1415" s="14">
        <v>45777</v>
      </c>
      <c r="F1415" s="5" t="s">
        <v>768</v>
      </c>
      <c r="G1415" s="5" t="s">
        <v>1087</v>
      </c>
      <c r="H1415" s="6" t="s">
        <v>368</v>
      </c>
      <c r="I1415" s="6" t="s">
        <v>87</v>
      </c>
      <c r="J1415" s="6">
        <v>1</v>
      </c>
      <c r="K1415" s="6">
        <v>262025</v>
      </c>
      <c r="L1415" s="7" t="s">
        <v>2563</v>
      </c>
      <c r="M1415" s="8">
        <v>5377220</v>
      </c>
      <c r="N1415" s="8" t="str">
        <f t="shared" si="111"/>
        <v>PEN</v>
      </c>
      <c r="O1415" s="13"/>
      <c r="P1415" s="13">
        <v>292</v>
      </c>
      <c r="Q1415" s="3">
        <f t="shared" si="112"/>
        <v>292</v>
      </c>
      <c r="R1415" s="3">
        <f t="shared" si="113"/>
        <v>0</v>
      </c>
      <c r="S1415" s="3">
        <f t="shared" si="114"/>
        <v>151815.35000000003</v>
      </c>
      <c r="T1415" s="24" t="s">
        <v>1081</v>
      </c>
      <c r="U1415" s="24"/>
      <c r="V1415" s="67"/>
      <c r="W1415" s="25">
        <f>IFERROR(VLOOKUP(BCP_Soles[[#This Row],[DESTINATARIO]],CHOOSE({1,2},Clientes_Proveedores[Razon Social],Clientes_Proveedores[Ruc / Dni]),2,0),"")</f>
        <v>20558226979</v>
      </c>
      <c r="X1415" s="25" t="s">
        <v>1090</v>
      </c>
      <c r="Y1415" s="25" t="s">
        <v>2564</v>
      </c>
      <c r="Z1415" s="25"/>
      <c r="AA1415" s="99"/>
      <c r="AB1415" s="3" t="str">
        <f>IF(BCP_Soles[[#This Row],[FECHA]]&gt;0,TEXT(BCP_Soles[[#This Row],[FECHA]],"mmmm"),0)</f>
        <v>Abril</v>
      </c>
    </row>
    <row r="1416" spans="2:28" x14ac:dyDescent="0.3">
      <c r="B1416" s="2">
        <f>IF(BCP_Soles[[#This Row],[TIPO DE R.]]="R",COUNTIFS($D$4:$D1415,"R")+1,"")</f>
        <v>1118</v>
      </c>
      <c r="C1416" s="19" t="str">
        <f t="shared" si="110"/>
        <v>B-BCP - Soles</v>
      </c>
      <c r="D1416" s="3" t="s">
        <v>1074</v>
      </c>
      <c r="E1416" s="14">
        <v>45777</v>
      </c>
      <c r="F1416" s="5" t="s">
        <v>1251</v>
      </c>
      <c r="G1416" s="5" t="s">
        <v>1079</v>
      </c>
      <c r="H1416" s="6"/>
      <c r="I1416" s="6"/>
      <c r="J1416" s="6"/>
      <c r="K1416" s="6"/>
      <c r="L1416" s="7" t="s">
        <v>2565</v>
      </c>
      <c r="M1416" s="8">
        <v>69793</v>
      </c>
      <c r="N1416" s="8" t="str">
        <f t="shared" si="111"/>
        <v>PEN</v>
      </c>
      <c r="O1416" s="13"/>
      <c r="P1416" s="13">
        <v>78076.570000000007</v>
      </c>
      <c r="Q1416" s="3">
        <f t="shared" si="112"/>
        <v>0</v>
      </c>
      <c r="R1416" s="3">
        <f t="shared" si="113"/>
        <v>78076.570000000007</v>
      </c>
      <c r="S1416" s="3">
        <f t="shared" si="114"/>
        <v>73738.780000000028</v>
      </c>
      <c r="T1416" s="24"/>
      <c r="U1416" s="24"/>
      <c r="V1416" s="67"/>
      <c r="W1416" s="25" t="str">
        <f>IFERROR(VLOOKUP(BCP_Soles[[#This Row],[DESTINATARIO]],CHOOSE({1,2},Clientes_Proveedores[Razon Social],Clientes_Proveedores[Ruc / Dni]),2,0),"")</f>
        <v/>
      </c>
      <c r="X1416" s="25"/>
      <c r="Y1416" s="25"/>
      <c r="Z1416" s="25"/>
      <c r="AA1416" s="99"/>
      <c r="AB1416" s="3" t="str">
        <f>IF(BCP_Soles[[#This Row],[FECHA]]&gt;0,TEXT(BCP_Soles[[#This Row],[FECHA]],"mmmm"),0)</f>
        <v>Abril</v>
      </c>
    </row>
    <row r="1417" spans="2:28" x14ac:dyDescent="0.3">
      <c r="B1417" s="2">
        <f>IF(BCP_Soles[[#This Row],[TIPO DE R.]]="R",COUNTIFS($D$4:$D1416,"R")+1,"")</f>
        <v>1119</v>
      </c>
      <c r="C1417" s="19" t="str">
        <f t="shared" si="110"/>
        <v>B-BCP - Soles</v>
      </c>
      <c r="D1417" s="3" t="s">
        <v>1074</v>
      </c>
      <c r="E1417" s="14">
        <v>45777</v>
      </c>
      <c r="F1417" s="5" t="s">
        <v>1082</v>
      </c>
      <c r="G1417" s="5" t="s">
        <v>1079</v>
      </c>
      <c r="H1417" s="6"/>
      <c r="I1417" s="6"/>
      <c r="J1417" s="6"/>
      <c r="K1417" s="6"/>
      <c r="L1417" s="7" t="s">
        <v>2566</v>
      </c>
      <c r="M1417" s="8">
        <v>69711</v>
      </c>
      <c r="N1417" s="8" t="str">
        <f t="shared" si="111"/>
        <v>PEN</v>
      </c>
      <c r="O1417" s="13"/>
      <c r="P1417" s="13">
        <v>7365.7</v>
      </c>
      <c r="Q1417" s="3">
        <f t="shared" si="112"/>
        <v>0</v>
      </c>
      <c r="R1417" s="3">
        <f t="shared" si="113"/>
        <v>7365.7</v>
      </c>
      <c r="S1417" s="3">
        <f t="shared" si="114"/>
        <v>66373.080000000031</v>
      </c>
      <c r="T1417" s="24" t="s">
        <v>1081</v>
      </c>
      <c r="U1417" s="24" t="s">
        <v>1081</v>
      </c>
      <c r="V1417" s="67"/>
      <c r="W1417" s="25" t="str">
        <f>IFERROR(VLOOKUP(BCP_Soles[[#This Row],[DESTINATARIO]],CHOOSE({1,2},Clientes_Proveedores[Razon Social],Clientes_Proveedores[Ruc / Dni]),2,0),"")</f>
        <v/>
      </c>
      <c r="X1417" s="25" t="s">
        <v>1118</v>
      </c>
      <c r="Y1417" s="25"/>
      <c r="Z1417" s="25"/>
      <c r="AA1417" s="99"/>
      <c r="AB1417" s="3" t="str">
        <f>IF(BCP_Soles[[#This Row],[FECHA]]&gt;0,TEXT(BCP_Soles[[#This Row],[FECHA]],"mmmm"),0)</f>
        <v>Abril</v>
      </c>
    </row>
    <row r="1418" spans="2:28" ht="24" x14ac:dyDescent="0.3">
      <c r="B1418" s="2" t="str">
        <f>IF(BCP_Soles[[#This Row],[TIPO DE R.]]="R",COUNTIFS($D$4:$D1417,"R")+1,"")</f>
        <v/>
      </c>
      <c r="C1418" s="19" t="str">
        <f t="shared" si="110"/>
        <v>B-BCP - Soles</v>
      </c>
      <c r="D1418" s="3" t="s">
        <v>1101</v>
      </c>
      <c r="E1418" s="14">
        <v>45777</v>
      </c>
      <c r="F1418" s="5" t="s">
        <v>1082</v>
      </c>
      <c r="G1418" s="5"/>
      <c r="H1418" s="6" t="s">
        <v>336</v>
      </c>
      <c r="I1418" s="6" t="s">
        <v>14</v>
      </c>
      <c r="J1418" s="6" t="s">
        <v>1121</v>
      </c>
      <c r="K1418" s="6">
        <v>3265</v>
      </c>
      <c r="L1418" s="7" t="s">
        <v>2566</v>
      </c>
      <c r="M1418" s="8">
        <v>69711</v>
      </c>
      <c r="N1418" s="8" t="str">
        <f t="shared" si="111"/>
        <v>PEN</v>
      </c>
      <c r="O1418" s="13">
        <v>1728</v>
      </c>
      <c r="P1418" s="13"/>
      <c r="Q1418" s="3">
        <f t="shared" si="112"/>
        <v>0</v>
      </c>
      <c r="R1418" s="3">
        <f t="shared" si="113"/>
        <v>0</v>
      </c>
      <c r="S1418" s="3">
        <f t="shared" si="114"/>
        <v>66373.080000000031</v>
      </c>
      <c r="T1418" s="24"/>
      <c r="U1418" s="24"/>
      <c r="V1418" s="67"/>
      <c r="W1418" s="25">
        <f>IFERROR(VLOOKUP(BCP_Soles[[#This Row],[DESTINATARIO]],CHOOSE({1,2},Clientes_Proveedores[Razon Social],Clientes_Proveedores[Ruc / Dni]),2,0),"")</f>
        <v>20543323943</v>
      </c>
      <c r="X1418" s="25"/>
      <c r="Y1418" s="25"/>
      <c r="Z1418" s="25"/>
      <c r="AA1418" s="99"/>
      <c r="AB1418" s="3" t="str">
        <f>IF(BCP_Soles[[#This Row],[FECHA]]&gt;0,TEXT(BCP_Soles[[#This Row],[FECHA]],"mmmm"),0)</f>
        <v>Abril</v>
      </c>
    </row>
    <row r="1419" spans="2:28" ht="36" x14ac:dyDescent="0.3">
      <c r="B1419" s="2" t="str">
        <f>IF(BCP_Soles[[#This Row],[TIPO DE R.]]="R",COUNTIFS($D$4:$D1418,"R")+1,"")</f>
        <v/>
      </c>
      <c r="C1419" s="19" t="str">
        <f t="shared" si="110"/>
        <v>B-BCP - Soles</v>
      </c>
      <c r="D1419" s="3" t="s">
        <v>1101</v>
      </c>
      <c r="E1419" s="14">
        <v>45777</v>
      </c>
      <c r="F1419" s="5" t="s">
        <v>1082</v>
      </c>
      <c r="G1419" s="5"/>
      <c r="H1419" s="6" t="s">
        <v>417</v>
      </c>
      <c r="I1419" s="6" t="s">
        <v>14</v>
      </c>
      <c r="J1419" s="6" t="s">
        <v>1121</v>
      </c>
      <c r="K1419" s="6">
        <v>738</v>
      </c>
      <c r="L1419" s="7" t="s">
        <v>2566</v>
      </c>
      <c r="M1419" s="8">
        <v>69711</v>
      </c>
      <c r="N1419" s="8" t="str">
        <f t="shared" si="111"/>
        <v>PEN</v>
      </c>
      <c r="O1419" s="13">
        <v>793</v>
      </c>
      <c r="P1419" s="13"/>
      <c r="Q1419" s="3">
        <f t="shared" si="112"/>
        <v>0</v>
      </c>
      <c r="R1419" s="3">
        <f t="shared" si="113"/>
        <v>0</v>
      </c>
      <c r="S1419" s="3">
        <f t="shared" si="114"/>
        <v>66373.080000000031</v>
      </c>
      <c r="T1419" s="24"/>
      <c r="U1419" s="24"/>
      <c r="V1419" s="67"/>
      <c r="W1419" s="25">
        <f>IFERROR(VLOOKUP(BCP_Soles[[#This Row],[DESTINATARIO]],CHOOSE({1,2},Clientes_Proveedores[Razon Social],Clientes_Proveedores[Ruc / Dni]),2,0),"")</f>
        <v>20602075177</v>
      </c>
      <c r="X1419" s="25"/>
      <c r="Y1419" s="25"/>
      <c r="Z1419" s="25"/>
      <c r="AA1419" s="99"/>
      <c r="AB1419" s="3" t="str">
        <f>IF(BCP_Soles[[#This Row],[FECHA]]&gt;0,TEXT(BCP_Soles[[#This Row],[FECHA]],"mmmm"),0)</f>
        <v>Abril</v>
      </c>
    </row>
    <row r="1420" spans="2:28" ht="36" x14ac:dyDescent="0.3">
      <c r="B1420" s="2" t="str">
        <f>IF(BCP_Soles[[#This Row],[TIPO DE R.]]="R",COUNTIFS($D$4:$D1419,"R")+1,"")</f>
        <v/>
      </c>
      <c r="C1420" s="19" t="str">
        <f t="shared" si="110"/>
        <v>B-BCP - Soles</v>
      </c>
      <c r="D1420" s="3" t="s">
        <v>1101</v>
      </c>
      <c r="E1420" s="14">
        <v>45777</v>
      </c>
      <c r="F1420" s="5" t="s">
        <v>1082</v>
      </c>
      <c r="G1420" s="5"/>
      <c r="H1420" s="6" t="s">
        <v>417</v>
      </c>
      <c r="I1420" s="6" t="s">
        <v>14</v>
      </c>
      <c r="J1420" s="6" t="s">
        <v>1121</v>
      </c>
      <c r="K1420" s="6">
        <v>737</v>
      </c>
      <c r="L1420" s="7" t="s">
        <v>2566</v>
      </c>
      <c r="M1420" s="8">
        <v>69711</v>
      </c>
      <c r="N1420" s="8" t="str">
        <f t="shared" si="111"/>
        <v>PEN</v>
      </c>
      <c r="O1420" s="13">
        <v>623</v>
      </c>
      <c r="P1420" s="13"/>
      <c r="Q1420" s="3">
        <f t="shared" si="112"/>
        <v>0</v>
      </c>
      <c r="R1420" s="3">
        <f t="shared" si="113"/>
        <v>0</v>
      </c>
      <c r="S1420" s="3">
        <f t="shared" si="114"/>
        <v>66373.080000000031</v>
      </c>
      <c r="T1420" s="24"/>
      <c r="U1420" s="24"/>
      <c r="V1420" s="67"/>
      <c r="W1420" s="25">
        <f>IFERROR(VLOOKUP(BCP_Soles[[#This Row],[DESTINATARIO]],CHOOSE({1,2},Clientes_Proveedores[Razon Social],Clientes_Proveedores[Ruc / Dni]),2,0),"")</f>
        <v>20602075177</v>
      </c>
      <c r="X1420" s="25"/>
      <c r="Y1420" s="25"/>
      <c r="Z1420" s="25"/>
      <c r="AA1420" s="99"/>
      <c r="AB1420" s="3" t="str">
        <f>IF(BCP_Soles[[#This Row],[FECHA]]&gt;0,TEXT(BCP_Soles[[#This Row],[FECHA]],"mmmm"),0)</f>
        <v>Abril</v>
      </c>
    </row>
    <row r="1421" spans="2:28" ht="24" x14ac:dyDescent="0.3">
      <c r="B1421" s="2" t="str">
        <f>IF(BCP_Soles[[#This Row],[TIPO DE R.]]="R",COUNTIFS($D$4:$D1420,"R")+1,"")</f>
        <v/>
      </c>
      <c r="C1421" s="19" t="str">
        <f t="shared" si="110"/>
        <v>B-BCP - Soles</v>
      </c>
      <c r="D1421" s="3" t="s">
        <v>1101</v>
      </c>
      <c r="E1421" s="14">
        <v>45777</v>
      </c>
      <c r="F1421" s="5" t="s">
        <v>1082</v>
      </c>
      <c r="G1421" s="5"/>
      <c r="H1421" s="6" t="s">
        <v>108</v>
      </c>
      <c r="I1421" s="6" t="s">
        <v>14</v>
      </c>
      <c r="J1421" s="6" t="s">
        <v>1121</v>
      </c>
      <c r="K1421" s="6">
        <v>4713</v>
      </c>
      <c r="L1421" s="7" t="s">
        <v>2566</v>
      </c>
      <c r="M1421" s="8">
        <v>69711</v>
      </c>
      <c r="N1421" s="8" t="str">
        <f t="shared" si="111"/>
        <v>PEN</v>
      </c>
      <c r="O1421" s="13">
        <v>59</v>
      </c>
      <c r="P1421" s="13"/>
      <c r="Q1421" s="3">
        <f t="shared" si="112"/>
        <v>0</v>
      </c>
      <c r="R1421" s="3">
        <f t="shared" si="113"/>
        <v>0</v>
      </c>
      <c r="S1421" s="3">
        <f t="shared" si="114"/>
        <v>66373.080000000031</v>
      </c>
      <c r="T1421" s="24"/>
      <c r="U1421" s="24"/>
      <c r="V1421" s="67"/>
      <c r="W1421" s="25">
        <f>IFERROR(VLOOKUP(BCP_Soles[[#This Row],[DESTINATARIO]],CHOOSE({1,2},Clientes_Proveedores[Razon Social],Clientes_Proveedores[Ruc / Dni]),2,0),"")</f>
        <v>10425371652</v>
      </c>
      <c r="X1421" s="25"/>
      <c r="Y1421" s="25"/>
      <c r="Z1421" s="25"/>
      <c r="AA1421" s="99"/>
      <c r="AB1421" s="3" t="str">
        <f>IF(BCP_Soles[[#This Row],[FECHA]]&gt;0,TEXT(BCP_Soles[[#This Row],[FECHA]],"mmmm"),0)</f>
        <v>Abril</v>
      </c>
    </row>
    <row r="1422" spans="2:28" ht="36" x14ac:dyDescent="0.3">
      <c r="B1422" s="2" t="str">
        <f>IF(BCP_Soles[[#This Row],[TIPO DE R.]]="R",COUNTIFS($D$4:$D1421,"R")+1,"")</f>
        <v/>
      </c>
      <c r="C1422" s="19" t="str">
        <f t="shared" si="110"/>
        <v>B-BCP - Soles</v>
      </c>
      <c r="D1422" s="3" t="s">
        <v>1101</v>
      </c>
      <c r="E1422" s="14">
        <v>45777</v>
      </c>
      <c r="F1422" s="5" t="s">
        <v>1082</v>
      </c>
      <c r="G1422" s="5"/>
      <c r="H1422" s="6" t="s">
        <v>97</v>
      </c>
      <c r="I1422" s="6" t="s">
        <v>14</v>
      </c>
      <c r="J1422" s="6" t="s">
        <v>1121</v>
      </c>
      <c r="K1422" s="6">
        <v>392</v>
      </c>
      <c r="L1422" s="7" t="s">
        <v>2566</v>
      </c>
      <c r="M1422" s="8">
        <v>69711</v>
      </c>
      <c r="N1422" s="8" t="str">
        <f t="shared" si="111"/>
        <v>PEN</v>
      </c>
      <c r="O1422" s="13">
        <v>290</v>
      </c>
      <c r="P1422" s="13"/>
      <c r="Q1422" s="3">
        <f t="shared" si="112"/>
        <v>0</v>
      </c>
      <c r="R1422" s="3">
        <f t="shared" si="113"/>
        <v>0</v>
      </c>
      <c r="S1422" s="3">
        <f t="shared" si="114"/>
        <v>66373.080000000031</v>
      </c>
      <c r="T1422" s="24"/>
      <c r="U1422" s="24"/>
      <c r="V1422" s="67"/>
      <c r="W1422" s="25">
        <f>IFERROR(VLOOKUP(BCP_Soles[[#This Row],[DESTINATARIO]],CHOOSE({1,2},Clientes_Proveedores[Razon Social],Clientes_Proveedores[Ruc / Dni]),2,0),"")</f>
        <v>10405211179</v>
      </c>
      <c r="X1422" s="25"/>
      <c r="Y1422" s="25"/>
      <c r="Z1422" s="25"/>
      <c r="AA1422" s="99"/>
      <c r="AB1422" s="3" t="str">
        <f>IF(BCP_Soles[[#This Row],[FECHA]]&gt;0,TEXT(BCP_Soles[[#This Row],[FECHA]],"mmmm"),0)</f>
        <v>Abril</v>
      </c>
    </row>
    <row r="1423" spans="2:28" x14ac:dyDescent="0.3">
      <c r="B1423" s="2" t="str">
        <f>IF(BCP_Soles[[#This Row],[TIPO DE R.]]="R",COUNTIFS($D$4:$D1422,"R")+1,"")</f>
        <v/>
      </c>
      <c r="C1423" s="19" t="str">
        <f t="shared" si="110"/>
        <v>B-BCP - Soles</v>
      </c>
      <c r="D1423" s="3" t="s">
        <v>1101</v>
      </c>
      <c r="E1423" s="14">
        <v>45777</v>
      </c>
      <c r="F1423" s="5" t="s">
        <v>1082</v>
      </c>
      <c r="G1423" s="5"/>
      <c r="H1423" s="6" t="s">
        <v>465</v>
      </c>
      <c r="I1423" s="6" t="s">
        <v>14</v>
      </c>
      <c r="J1423" s="6" t="s">
        <v>1121</v>
      </c>
      <c r="K1423" s="6">
        <v>3807</v>
      </c>
      <c r="L1423" s="7" t="s">
        <v>2566</v>
      </c>
      <c r="M1423" s="8">
        <v>69711</v>
      </c>
      <c r="N1423" s="8" t="str">
        <f t="shared" si="111"/>
        <v>PEN</v>
      </c>
      <c r="O1423" s="13">
        <v>501.5</v>
      </c>
      <c r="P1423" s="13"/>
      <c r="Q1423" s="3">
        <f t="shared" si="112"/>
        <v>0</v>
      </c>
      <c r="R1423" s="3">
        <f t="shared" si="113"/>
        <v>0</v>
      </c>
      <c r="S1423" s="3">
        <f t="shared" si="114"/>
        <v>66373.080000000031</v>
      </c>
      <c r="T1423" s="24"/>
      <c r="U1423" s="24"/>
      <c r="V1423" s="67"/>
      <c r="W1423" s="25">
        <f>IFERROR(VLOOKUP(BCP_Soles[[#This Row],[DESTINATARIO]],CHOOSE({1,2},Clientes_Proveedores[Razon Social],Clientes_Proveedores[Ruc / Dni]),2,0),"")</f>
        <v>20603974817</v>
      </c>
      <c r="X1423" s="25"/>
      <c r="Y1423" s="25"/>
      <c r="Z1423" s="25"/>
      <c r="AA1423" s="99"/>
      <c r="AB1423" s="3" t="str">
        <f>IF(BCP_Soles[[#This Row],[FECHA]]&gt;0,TEXT(BCP_Soles[[#This Row],[FECHA]],"mmmm"),0)</f>
        <v>Abril</v>
      </c>
    </row>
    <row r="1424" spans="2:28" x14ac:dyDescent="0.3">
      <c r="B1424" s="2" t="str">
        <f>IF(BCP_Soles[[#This Row],[TIPO DE R.]]="R",COUNTIFS($D$4:$D1423,"R")+1,"")</f>
        <v/>
      </c>
      <c r="C1424" s="19" t="str">
        <f t="shared" si="110"/>
        <v>B-BCP - Soles</v>
      </c>
      <c r="D1424" s="3" t="s">
        <v>1101</v>
      </c>
      <c r="E1424" s="14">
        <v>45777</v>
      </c>
      <c r="F1424" s="5" t="s">
        <v>1082</v>
      </c>
      <c r="G1424" s="5"/>
      <c r="H1424" s="6" t="s">
        <v>465</v>
      </c>
      <c r="I1424" s="6" t="s">
        <v>14</v>
      </c>
      <c r="J1424" s="6" t="s">
        <v>1121</v>
      </c>
      <c r="K1424" s="6">
        <v>3788</v>
      </c>
      <c r="L1424" s="7" t="s">
        <v>2566</v>
      </c>
      <c r="M1424" s="8">
        <v>69711</v>
      </c>
      <c r="N1424" s="8" t="str">
        <f t="shared" si="111"/>
        <v>PEN</v>
      </c>
      <c r="O1424" s="13">
        <v>632.1</v>
      </c>
      <c r="P1424" s="13"/>
      <c r="Q1424" s="3">
        <f t="shared" si="112"/>
        <v>0</v>
      </c>
      <c r="R1424" s="3">
        <f t="shared" si="113"/>
        <v>0</v>
      </c>
      <c r="S1424" s="3">
        <f t="shared" si="114"/>
        <v>66373.080000000031</v>
      </c>
      <c r="T1424" s="24"/>
      <c r="U1424" s="24"/>
      <c r="V1424" s="67"/>
      <c r="W1424" s="25">
        <f>IFERROR(VLOOKUP(BCP_Soles[[#This Row],[DESTINATARIO]],CHOOSE({1,2},Clientes_Proveedores[Razon Social],Clientes_Proveedores[Ruc / Dni]),2,0),"")</f>
        <v>20603974817</v>
      </c>
      <c r="X1424" s="25"/>
      <c r="Y1424" s="25"/>
      <c r="Z1424" s="25"/>
      <c r="AA1424" s="99"/>
      <c r="AB1424" s="3" t="str">
        <f>IF(BCP_Soles[[#This Row],[FECHA]]&gt;0,TEXT(BCP_Soles[[#This Row],[FECHA]],"mmmm"),0)</f>
        <v>Abril</v>
      </c>
    </row>
    <row r="1425" spans="2:28" x14ac:dyDescent="0.3">
      <c r="B1425" s="2" t="str">
        <f>IF(BCP_Soles[[#This Row],[TIPO DE R.]]="R",COUNTIFS($D$4:$D1424,"R")+1,"")</f>
        <v/>
      </c>
      <c r="C1425" s="19" t="str">
        <f t="shared" si="110"/>
        <v>B-BCP - Soles</v>
      </c>
      <c r="D1425" s="3" t="s">
        <v>1101</v>
      </c>
      <c r="E1425" s="14">
        <v>45777</v>
      </c>
      <c r="F1425" s="5" t="s">
        <v>1082</v>
      </c>
      <c r="G1425" s="5"/>
      <c r="H1425" s="6" t="s">
        <v>465</v>
      </c>
      <c r="I1425" s="6" t="s">
        <v>14</v>
      </c>
      <c r="J1425" s="6" t="s">
        <v>1121</v>
      </c>
      <c r="K1425" s="6">
        <v>3798</v>
      </c>
      <c r="L1425" s="7" t="s">
        <v>2566</v>
      </c>
      <c r="M1425" s="8">
        <v>69711</v>
      </c>
      <c r="N1425" s="8" t="str">
        <f t="shared" si="111"/>
        <v>PEN</v>
      </c>
      <c r="O1425" s="13">
        <v>200.6</v>
      </c>
      <c r="P1425" s="13"/>
      <c r="Q1425" s="3">
        <f t="shared" si="112"/>
        <v>0</v>
      </c>
      <c r="R1425" s="3">
        <f t="shared" si="113"/>
        <v>0</v>
      </c>
      <c r="S1425" s="3">
        <f t="shared" si="114"/>
        <v>66373.080000000031</v>
      </c>
      <c r="T1425" s="24"/>
      <c r="U1425" s="24"/>
      <c r="V1425" s="67"/>
      <c r="W1425" s="25">
        <f>IFERROR(VLOOKUP(BCP_Soles[[#This Row],[DESTINATARIO]],CHOOSE({1,2},Clientes_Proveedores[Razon Social],Clientes_Proveedores[Ruc / Dni]),2,0),"")</f>
        <v>20603974817</v>
      </c>
      <c r="X1425" s="25"/>
      <c r="Y1425" s="25"/>
      <c r="Z1425" s="25"/>
      <c r="AA1425" s="99"/>
      <c r="AB1425" s="3" t="str">
        <f>IF(BCP_Soles[[#This Row],[FECHA]]&gt;0,TEXT(BCP_Soles[[#This Row],[FECHA]],"mmmm"),0)</f>
        <v>Abril</v>
      </c>
    </row>
    <row r="1426" spans="2:28" x14ac:dyDescent="0.3">
      <c r="B1426" s="2" t="str">
        <f>IF(BCP_Soles[[#This Row],[TIPO DE R.]]="R",COUNTIFS($D$4:$D1425,"R")+1,"")</f>
        <v/>
      </c>
      <c r="C1426" s="19" t="str">
        <f t="shared" si="110"/>
        <v>B-BCP - Soles</v>
      </c>
      <c r="D1426" s="3" t="s">
        <v>1101</v>
      </c>
      <c r="E1426" s="14">
        <v>45777</v>
      </c>
      <c r="F1426" s="5" t="s">
        <v>1082</v>
      </c>
      <c r="G1426" s="5"/>
      <c r="H1426" s="6" t="s">
        <v>465</v>
      </c>
      <c r="I1426" s="6" t="s">
        <v>14</v>
      </c>
      <c r="J1426" s="6" t="s">
        <v>1121</v>
      </c>
      <c r="K1426" s="6">
        <v>3804</v>
      </c>
      <c r="L1426" s="7" t="s">
        <v>2566</v>
      </c>
      <c r="M1426" s="8">
        <v>69711</v>
      </c>
      <c r="N1426" s="8" t="str">
        <f t="shared" si="111"/>
        <v>PEN</v>
      </c>
      <c r="O1426" s="13">
        <v>300.89999999999998</v>
      </c>
      <c r="P1426" s="13"/>
      <c r="Q1426" s="3">
        <f t="shared" si="112"/>
        <v>0</v>
      </c>
      <c r="R1426" s="3">
        <f t="shared" si="113"/>
        <v>0</v>
      </c>
      <c r="S1426" s="3">
        <f t="shared" si="114"/>
        <v>66373.080000000031</v>
      </c>
      <c r="T1426" s="24"/>
      <c r="U1426" s="24"/>
      <c r="V1426" s="67"/>
      <c r="W1426" s="25">
        <f>IFERROR(VLOOKUP(BCP_Soles[[#This Row],[DESTINATARIO]],CHOOSE({1,2},Clientes_Proveedores[Razon Social],Clientes_Proveedores[Ruc / Dni]),2,0),"")</f>
        <v>20603974817</v>
      </c>
      <c r="X1426" s="25"/>
      <c r="Y1426" s="25"/>
      <c r="Z1426" s="25"/>
      <c r="AA1426" s="99"/>
      <c r="AB1426" s="3" t="str">
        <f>IF(BCP_Soles[[#This Row],[FECHA]]&gt;0,TEXT(BCP_Soles[[#This Row],[FECHA]],"mmmm"),0)</f>
        <v>Abril</v>
      </c>
    </row>
    <row r="1427" spans="2:28" ht="24" x14ac:dyDescent="0.3">
      <c r="B1427" s="2" t="str">
        <f>IF(BCP_Soles[[#This Row],[TIPO DE R.]]="R",COUNTIFS($D$4:$D1426,"R")+1,"")</f>
        <v/>
      </c>
      <c r="C1427" s="19" t="str">
        <f t="shared" si="110"/>
        <v>B-BCP - Soles</v>
      </c>
      <c r="D1427" s="3" t="s">
        <v>1101</v>
      </c>
      <c r="E1427" s="14">
        <v>45777</v>
      </c>
      <c r="F1427" s="5" t="s">
        <v>1082</v>
      </c>
      <c r="G1427" s="5"/>
      <c r="H1427" s="6" t="s">
        <v>536</v>
      </c>
      <c r="I1427" s="6" t="s">
        <v>14</v>
      </c>
      <c r="J1427" s="6" t="s">
        <v>1121</v>
      </c>
      <c r="K1427" s="6">
        <v>2129</v>
      </c>
      <c r="L1427" s="7" t="s">
        <v>2566</v>
      </c>
      <c r="M1427" s="8">
        <v>69711</v>
      </c>
      <c r="N1427" s="8" t="str">
        <f t="shared" si="111"/>
        <v>PEN</v>
      </c>
      <c r="O1427" s="13">
        <v>70.8</v>
      </c>
      <c r="P1427" s="13"/>
      <c r="Q1427" s="3">
        <f t="shared" si="112"/>
        <v>0</v>
      </c>
      <c r="R1427" s="3">
        <f t="shared" si="113"/>
        <v>0</v>
      </c>
      <c r="S1427" s="3">
        <f t="shared" si="114"/>
        <v>66373.080000000031</v>
      </c>
      <c r="T1427" s="24"/>
      <c r="U1427" s="24"/>
      <c r="V1427" s="67"/>
      <c r="W1427" s="25">
        <f>IFERROR(VLOOKUP(BCP_Soles[[#This Row],[DESTINATARIO]],CHOOSE({1,2},Clientes_Proveedores[Razon Social],Clientes_Proveedores[Ruc / Dni]),2,0),"")</f>
        <v>20609764261</v>
      </c>
      <c r="X1427" s="25"/>
      <c r="Y1427" s="25"/>
      <c r="Z1427" s="25"/>
      <c r="AA1427" s="99"/>
      <c r="AB1427" s="3" t="str">
        <f>IF(BCP_Soles[[#This Row],[FECHA]]&gt;0,TEXT(BCP_Soles[[#This Row],[FECHA]],"mmmm"),0)</f>
        <v>Abril</v>
      </c>
    </row>
    <row r="1428" spans="2:28" ht="24" x14ac:dyDescent="0.3">
      <c r="B1428" s="2" t="str">
        <f>IF(BCP_Soles[[#This Row],[TIPO DE R.]]="R",COUNTIFS($D$4:$D1427,"R")+1,"")</f>
        <v/>
      </c>
      <c r="C1428" s="19" t="str">
        <f t="shared" si="110"/>
        <v>B-BCP - Soles</v>
      </c>
      <c r="D1428" s="3" t="s">
        <v>1101</v>
      </c>
      <c r="E1428" s="14">
        <v>45777</v>
      </c>
      <c r="F1428" s="5" t="s">
        <v>1082</v>
      </c>
      <c r="G1428" s="5"/>
      <c r="H1428" s="6" t="s">
        <v>536</v>
      </c>
      <c r="I1428" s="6" t="s">
        <v>14</v>
      </c>
      <c r="J1428" s="6" t="s">
        <v>1121</v>
      </c>
      <c r="K1428" s="6">
        <v>2085</v>
      </c>
      <c r="L1428" s="7" t="s">
        <v>2566</v>
      </c>
      <c r="M1428" s="8">
        <v>69711</v>
      </c>
      <c r="N1428" s="8" t="str">
        <f t="shared" si="111"/>
        <v>PEN</v>
      </c>
      <c r="O1428" s="13">
        <v>70.8</v>
      </c>
      <c r="P1428" s="13"/>
      <c r="Q1428" s="3">
        <f t="shared" si="112"/>
        <v>0</v>
      </c>
      <c r="R1428" s="3">
        <f t="shared" si="113"/>
        <v>0</v>
      </c>
      <c r="S1428" s="3">
        <f t="shared" si="114"/>
        <v>66373.080000000031</v>
      </c>
      <c r="T1428" s="24"/>
      <c r="U1428" s="24"/>
      <c r="V1428" s="67"/>
      <c r="W1428" s="25">
        <f>IFERROR(VLOOKUP(BCP_Soles[[#This Row],[DESTINATARIO]],CHOOSE({1,2},Clientes_Proveedores[Razon Social],Clientes_Proveedores[Ruc / Dni]),2,0),"")</f>
        <v>20609764261</v>
      </c>
      <c r="X1428" s="25"/>
      <c r="Y1428" s="25"/>
      <c r="Z1428" s="25"/>
      <c r="AA1428" s="99"/>
      <c r="AB1428" s="3" t="str">
        <f>IF(BCP_Soles[[#This Row],[FECHA]]&gt;0,TEXT(BCP_Soles[[#This Row],[FECHA]],"mmmm"),0)</f>
        <v>Abril</v>
      </c>
    </row>
    <row r="1429" spans="2:28" ht="24" x14ac:dyDescent="0.3">
      <c r="B1429" s="2" t="str">
        <f>IF(BCP_Soles[[#This Row],[TIPO DE R.]]="R",COUNTIFS($D$4:$D1428,"R")+1,"")</f>
        <v/>
      </c>
      <c r="C1429" s="19" t="str">
        <f t="shared" si="110"/>
        <v>B-BCP - Soles</v>
      </c>
      <c r="D1429" s="3" t="s">
        <v>1101</v>
      </c>
      <c r="E1429" s="14">
        <v>45777</v>
      </c>
      <c r="F1429" s="5" t="s">
        <v>1082</v>
      </c>
      <c r="G1429" s="5"/>
      <c r="H1429" s="6" t="s">
        <v>609</v>
      </c>
      <c r="I1429" s="6" t="s">
        <v>14</v>
      </c>
      <c r="J1429" s="6" t="s">
        <v>1121</v>
      </c>
      <c r="K1429" s="6">
        <v>17</v>
      </c>
      <c r="L1429" s="7" t="s">
        <v>2566</v>
      </c>
      <c r="M1429" s="8">
        <v>69711</v>
      </c>
      <c r="N1429" s="8" t="str">
        <f t="shared" si="111"/>
        <v>PEN</v>
      </c>
      <c r="O1429" s="13">
        <v>510</v>
      </c>
      <c r="P1429" s="13"/>
      <c r="Q1429" s="3">
        <f t="shared" si="112"/>
        <v>0</v>
      </c>
      <c r="R1429" s="3">
        <f t="shared" si="113"/>
        <v>0</v>
      </c>
      <c r="S1429" s="3">
        <f t="shared" si="114"/>
        <v>66373.080000000031</v>
      </c>
      <c r="T1429" s="24"/>
      <c r="U1429" s="24"/>
      <c r="V1429" s="67"/>
      <c r="W1429" s="25">
        <f>IFERROR(VLOOKUP(BCP_Soles[[#This Row],[DESTINATARIO]],CHOOSE({1,2},Clientes_Proveedores[Razon Social],Clientes_Proveedores[Ruc / Dni]),2,0),"")</f>
        <v>10410687491</v>
      </c>
      <c r="X1429" s="25"/>
      <c r="Y1429" s="25"/>
      <c r="Z1429" s="25"/>
      <c r="AA1429" s="99"/>
      <c r="AB1429" s="3" t="str">
        <f>IF(BCP_Soles[[#This Row],[FECHA]]&gt;0,TEXT(BCP_Soles[[#This Row],[FECHA]],"mmmm"),0)</f>
        <v>Abril</v>
      </c>
    </row>
    <row r="1430" spans="2:28" ht="24" x14ac:dyDescent="0.3">
      <c r="B1430" s="2" t="str">
        <f>IF(BCP_Soles[[#This Row],[TIPO DE R.]]="R",COUNTIFS($D$4:$D1429,"R")+1,"")</f>
        <v/>
      </c>
      <c r="C1430" s="19" t="str">
        <f t="shared" si="110"/>
        <v>B-BCP - Soles</v>
      </c>
      <c r="D1430" s="3" t="s">
        <v>1101</v>
      </c>
      <c r="E1430" s="14">
        <v>45777</v>
      </c>
      <c r="F1430" s="5" t="s">
        <v>1082</v>
      </c>
      <c r="G1430" s="5"/>
      <c r="H1430" s="6" t="s">
        <v>609</v>
      </c>
      <c r="I1430" s="6" t="s">
        <v>14</v>
      </c>
      <c r="J1430" s="6" t="s">
        <v>1121</v>
      </c>
      <c r="K1430" s="6">
        <v>15</v>
      </c>
      <c r="L1430" s="7" t="s">
        <v>2566</v>
      </c>
      <c r="M1430" s="8">
        <v>69711</v>
      </c>
      <c r="N1430" s="8" t="str">
        <f t="shared" si="111"/>
        <v>PEN</v>
      </c>
      <c r="O1430" s="13">
        <v>510</v>
      </c>
      <c r="P1430" s="13"/>
      <c r="Q1430" s="3">
        <f t="shared" si="112"/>
        <v>0</v>
      </c>
      <c r="R1430" s="3">
        <f t="shared" si="113"/>
        <v>0</v>
      </c>
      <c r="S1430" s="3">
        <f t="shared" si="114"/>
        <v>66373.080000000031</v>
      </c>
      <c r="T1430" s="24"/>
      <c r="U1430" s="24"/>
      <c r="V1430" s="67"/>
      <c r="W1430" s="25">
        <f>IFERROR(VLOOKUP(BCP_Soles[[#This Row],[DESTINATARIO]],CHOOSE({1,2},Clientes_Proveedores[Razon Social],Clientes_Proveedores[Ruc / Dni]),2,0),"")</f>
        <v>10410687491</v>
      </c>
      <c r="X1430" s="25"/>
      <c r="Y1430" s="25"/>
      <c r="Z1430" s="25"/>
      <c r="AA1430" s="99"/>
      <c r="AB1430" s="3" t="str">
        <f>IF(BCP_Soles[[#This Row],[FECHA]]&gt;0,TEXT(BCP_Soles[[#This Row],[FECHA]],"mmmm"),0)</f>
        <v>Abril</v>
      </c>
    </row>
    <row r="1431" spans="2:28" ht="24" x14ac:dyDescent="0.3">
      <c r="B1431" s="2" t="str">
        <f>IF(BCP_Soles[[#This Row],[TIPO DE R.]]="R",COUNTIFS($D$4:$D1430,"R")+1,"")</f>
        <v/>
      </c>
      <c r="C1431" s="19" t="str">
        <f t="shared" si="110"/>
        <v>B-BCP - Soles</v>
      </c>
      <c r="D1431" s="3" t="s">
        <v>1101</v>
      </c>
      <c r="E1431" s="14">
        <v>45777</v>
      </c>
      <c r="F1431" s="5" t="s">
        <v>1082</v>
      </c>
      <c r="G1431" s="5"/>
      <c r="H1431" s="6" t="s">
        <v>609</v>
      </c>
      <c r="I1431" s="6" t="s">
        <v>14</v>
      </c>
      <c r="J1431" s="6" t="s">
        <v>1121</v>
      </c>
      <c r="K1431" s="6">
        <v>18</v>
      </c>
      <c r="L1431" s="7" t="s">
        <v>2566</v>
      </c>
      <c r="M1431" s="8">
        <v>69711</v>
      </c>
      <c r="N1431" s="8" t="str">
        <f t="shared" si="111"/>
        <v>PEN</v>
      </c>
      <c r="O1431" s="13">
        <v>566</v>
      </c>
      <c r="P1431" s="13"/>
      <c r="Q1431" s="3">
        <f t="shared" si="112"/>
        <v>0</v>
      </c>
      <c r="R1431" s="3">
        <f t="shared" si="113"/>
        <v>0</v>
      </c>
      <c r="S1431" s="3">
        <f t="shared" si="114"/>
        <v>66373.080000000031</v>
      </c>
      <c r="T1431" s="24"/>
      <c r="U1431" s="24"/>
      <c r="V1431" s="67"/>
      <c r="W1431" s="25">
        <f>IFERROR(VLOOKUP(BCP_Soles[[#This Row],[DESTINATARIO]],CHOOSE({1,2},Clientes_Proveedores[Razon Social],Clientes_Proveedores[Ruc / Dni]),2,0),"")</f>
        <v>10410687491</v>
      </c>
      <c r="X1431" s="25"/>
      <c r="Y1431" s="25"/>
      <c r="Z1431" s="25"/>
      <c r="AA1431" s="99"/>
      <c r="AB1431" s="3" t="str">
        <f>IF(BCP_Soles[[#This Row],[FECHA]]&gt;0,TEXT(BCP_Soles[[#This Row],[FECHA]],"mmmm"),0)</f>
        <v>Abril</v>
      </c>
    </row>
    <row r="1432" spans="2:28" ht="24" x14ac:dyDescent="0.3">
      <c r="B1432" s="2" t="str">
        <f>IF(BCP_Soles[[#This Row],[TIPO DE R.]]="R",COUNTIFS($D$4:$D1431,"R")+1,"")</f>
        <v/>
      </c>
      <c r="C1432" s="19" t="str">
        <f t="shared" si="110"/>
        <v>B-BCP - Soles</v>
      </c>
      <c r="D1432" s="3" t="s">
        <v>1101</v>
      </c>
      <c r="E1432" s="14">
        <v>45777</v>
      </c>
      <c r="F1432" s="5" t="s">
        <v>1082</v>
      </c>
      <c r="G1432" s="5"/>
      <c r="H1432" s="6" t="s">
        <v>609</v>
      </c>
      <c r="I1432" s="6" t="s">
        <v>14</v>
      </c>
      <c r="J1432" s="6" t="s">
        <v>1121</v>
      </c>
      <c r="K1432" s="6">
        <v>16</v>
      </c>
      <c r="L1432" s="7" t="s">
        <v>2566</v>
      </c>
      <c r="M1432" s="8">
        <v>69711</v>
      </c>
      <c r="N1432" s="8" t="str">
        <f t="shared" si="111"/>
        <v>PEN</v>
      </c>
      <c r="O1432" s="13">
        <v>510</v>
      </c>
      <c r="P1432" s="13"/>
      <c r="Q1432" s="3">
        <f t="shared" si="112"/>
        <v>0</v>
      </c>
      <c r="R1432" s="3">
        <f t="shared" si="113"/>
        <v>0</v>
      </c>
      <c r="S1432" s="3">
        <f t="shared" si="114"/>
        <v>66373.080000000031</v>
      </c>
      <c r="T1432" s="24"/>
      <c r="U1432" s="24"/>
      <c r="V1432" s="67"/>
      <c r="W1432" s="25">
        <f>IFERROR(VLOOKUP(BCP_Soles[[#This Row],[DESTINATARIO]],CHOOSE({1,2},Clientes_Proveedores[Razon Social],Clientes_Proveedores[Ruc / Dni]),2,0),"")</f>
        <v>10410687491</v>
      </c>
      <c r="X1432" s="25"/>
      <c r="Y1432" s="25"/>
      <c r="Z1432" s="25"/>
      <c r="AA1432" s="99"/>
      <c r="AB1432" s="3" t="str">
        <f>IF(BCP_Soles[[#This Row],[FECHA]]&gt;0,TEXT(BCP_Soles[[#This Row],[FECHA]],"mmmm"),0)</f>
        <v>Abril</v>
      </c>
    </row>
    <row r="1433" spans="2:28" ht="24" x14ac:dyDescent="0.3">
      <c r="B1433" s="2">
        <f>IF(BCP_Soles[[#This Row],[TIPO DE R.]]="R",COUNTIFS($D$4:$D1432,"R")+1,"")</f>
        <v>1120</v>
      </c>
      <c r="C1433" s="19" t="str">
        <f t="shared" si="110"/>
        <v>B-BCP - Soles</v>
      </c>
      <c r="D1433" s="3" t="s">
        <v>1074</v>
      </c>
      <c r="E1433" s="14">
        <v>45777</v>
      </c>
      <c r="F1433" s="5" t="s">
        <v>1082</v>
      </c>
      <c r="G1433" s="5" t="s">
        <v>1079</v>
      </c>
      <c r="H1433" s="6" t="s">
        <v>128</v>
      </c>
      <c r="I1433" s="6" t="s">
        <v>14</v>
      </c>
      <c r="J1433" s="6" t="s">
        <v>1121</v>
      </c>
      <c r="K1433" s="6">
        <v>132</v>
      </c>
      <c r="L1433" s="7" t="s">
        <v>2567</v>
      </c>
      <c r="M1433" s="8">
        <v>1182559</v>
      </c>
      <c r="N1433" s="8" t="str">
        <f t="shared" si="111"/>
        <v>PEN</v>
      </c>
      <c r="O1433" s="13"/>
      <c r="P1433" s="13">
        <v>1473</v>
      </c>
      <c r="Q1433" s="3">
        <f t="shared" si="112"/>
        <v>0</v>
      </c>
      <c r="R1433" s="3">
        <f t="shared" si="113"/>
        <v>1473</v>
      </c>
      <c r="S1433" s="3">
        <f t="shared" si="114"/>
        <v>64900.080000000031</v>
      </c>
      <c r="T1433" s="24" t="s">
        <v>1081</v>
      </c>
      <c r="U1433" s="24" t="s">
        <v>1081</v>
      </c>
      <c r="V1433" s="67"/>
      <c r="W1433" s="25">
        <f>IFERROR(VLOOKUP(BCP_Soles[[#This Row],[DESTINATARIO]],CHOOSE({1,2},Clientes_Proveedores[Razon Social],Clientes_Proveedores[Ruc / Dni]),2,0),"")</f>
        <v>10489531963</v>
      </c>
      <c r="X1433" s="25" t="s">
        <v>128</v>
      </c>
      <c r="Y1433" s="25" t="s">
        <v>2568</v>
      </c>
      <c r="Z1433" s="25"/>
      <c r="AA1433" s="99"/>
      <c r="AB1433" s="3" t="str">
        <f>IF(BCP_Soles[[#This Row],[FECHA]]&gt;0,TEXT(BCP_Soles[[#This Row],[FECHA]],"mmmm"),0)</f>
        <v>Abril</v>
      </c>
    </row>
    <row r="1434" spans="2:28" x14ac:dyDescent="0.3">
      <c r="B1434" s="2">
        <f>IF(BCP_Soles[[#This Row],[TIPO DE R.]]="R",COUNTIFS($D$4:$D1433,"R")+1,"")</f>
        <v>1121</v>
      </c>
      <c r="C1434" s="19" t="str">
        <f t="shared" si="110"/>
        <v>B-BCP - Soles</v>
      </c>
      <c r="D1434" s="3" t="s">
        <v>1074</v>
      </c>
      <c r="E1434" s="14">
        <v>45777</v>
      </c>
      <c r="F1434" s="5" t="s">
        <v>1082</v>
      </c>
      <c r="G1434" s="5" t="s">
        <v>1079</v>
      </c>
      <c r="H1434" s="6"/>
      <c r="I1434" s="6" t="s">
        <v>14</v>
      </c>
      <c r="J1434" s="6" t="s">
        <v>1395</v>
      </c>
      <c r="K1434" s="6">
        <v>287518</v>
      </c>
      <c r="L1434" s="7" t="s">
        <v>2569</v>
      </c>
      <c r="M1434" s="8">
        <v>208584</v>
      </c>
      <c r="N1434" s="8" t="str">
        <f t="shared" si="111"/>
        <v>PEN</v>
      </c>
      <c r="O1434" s="13"/>
      <c r="P1434" s="13">
        <v>512.12</v>
      </c>
      <c r="Q1434" s="3">
        <f t="shared" si="112"/>
        <v>0</v>
      </c>
      <c r="R1434" s="3">
        <f t="shared" si="113"/>
        <v>512.12</v>
      </c>
      <c r="S1434" s="3">
        <f t="shared" si="114"/>
        <v>64387.960000000028</v>
      </c>
      <c r="T1434" s="24" t="s">
        <v>1081</v>
      </c>
      <c r="U1434" s="24" t="s">
        <v>1081</v>
      </c>
      <c r="V1434" s="67"/>
      <c r="W1434" s="25" t="str">
        <f>IFERROR(VLOOKUP(BCP_Soles[[#This Row],[DESTINATARIO]],CHOOSE({1,2},Clientes_Proveedores[Razon Social],Clientes_Proveedores[Ruc / Dni]),2,0),"")</f>
        <v/>
      </c>
      <c r="X1434" s="25" t="s">
        <v>1397</v>
      </c>
      <c r="Y1434" s="25" t="s">
        <v>2570</v>
      </c>
      <c r="Z1434" s="25"/>
      <c r="AA1434" s="99"/>
      <c r="AB1434" s="3" t="str">
        <f>IF(BCP_Soles[[#This Row],[FECHA]]&gt;0,TEXT(BCP_Soles[[#This Row],[FECHA]],"mmmm"),0)</f>
        <v>Abril</v>
      </c>
    </row>
    <row r="1435" spans="2:28" ht="24" x14ac:dyDescent="0.3">
      <c r="B1435" s="2">
        <f>IF(BCP_Soles[[#This Row],[TIPO DE R.]]="R",COUNTIFS($D$4:$D1434,"R")+1,"")</f>
        <v>1122</v>
      </c>
      <c r="C1435" s="19" t="str">
        <f t="shared" si="110"/>
        <v>B-BCP - Soles</v>
      </c>
      <c r="D1435" s="3" t="s">
        <v>1074</v>
      </c>
      <c r="E1435" s="14">
        <v>45777</v>
      </c>
      <c r="F1435" s="5" t="s">
        <v>1082</v>
      </c>
      <c r="G1435" s="5" t="s">
        <v>1079</v>
      </c>
      <c r="H1435" s="6" t="s">
        <v>130</v>
      </c>
      <c r="I1435" s="6" t="s">
        <v>14</v>
      </c>
      <c r="J1435" s="6" t="s">
        <v>1121</v>
      </c>
      <c r="K1435" s="6">
        <v>384</v>
      </c>
      <c r="L1435" s="7" t="s">
        <v>2571</v>
      </c>
      <c r="M1435" s="8">
        <v>1181569</v>
      </c>
      <c r="N1435" s="8" t="str">
        <f t="shared" si="111"/>
        <v>PEN</v>
      </c>
      <c r="O1435" s="13"/>
      <c r="P1435" s="13">
        <v>150</v>
      </c>
      <c r="Q1435" s="3">
        <f t="shared" si="112"/>
        <v>0</v>
      </c>
      <c r="R1435" s="3">
        <f t="shared" si="113"/>
        <v>150</v>
      </c>
      <c r="S1435" s="3">
        <f t="shared" si="114"/>
        <v>64237.960000000028</v>
      </c>
      <c r="T1435" s="24" t="s">
        <v>1081</v>
      </c>
      <c r="U1435" s="24" t="s">
        <v>1081</v>
      </c>
      <c r="V1435" s="67"/>
      <c r="W1435" s="25">
        <f>IFERROR(VLOOKUP(BCP_Soles[[#This Row],[DESTINATARIO]],CHOOSE({1,2},Clientes_Proveedores[Razon Social],Clientes_Proveedores[Ruc / Dni]),2,0),"")</f>
        <v>10706063426</v>
      </c>
      <c r="X1435" s="25" t="s">
        <v>130</v>
      </c>
      <c r="Y1435" s="25" t="s">
        <v>2572</v>
      </c>
      <c r="Z1435" s="25"/>
      <c r="AA1435" s="99"/>
      <c r="AB1435" s="3" t="str">
        <f>IF(BCP_Soles[[#This Row],[FECHA]]&gt;0,TEXT(BCP_Soles[[#This Row],[FECHA]],"mmmm"),0)</f>
        <v>Abril</v>
      </c>
    </row>
    <row r="1436" spans="2:28" ht="24" x14ac:dyDescent="0.3">
      <c r="B1436" s="2">
        <f>IF(BCP_Soles[[#This Row],[TIPO DE R.]]="R",COUNTIFS($D$4:$D1435,"R")+1,"")</f>
        <v>1123</v>
      </c>
      <c r="C1436" s="19" t="str">
        <f t="shared" si="110"/>
        <v>B-BCP - Soles</v>
      </c>
      <c r="D1436" s="3" t="s">
        <v>1074</v>
      </c>
      <c r="E1436" s="14">
        <v>45777</v>
      </c>
      <c r="F1436" s="5" t="s">
        <v>1082</v>
      </c>
      <c r="G1436" s="5" t="s">
        <v>1079</v>
      </c>
      <c r="H1436" s="6" t="s">
        <v>130</v>
      </c>
      <c r="I1436" s="6" t="s">
        <v>14</v>
      </c>
      <c r="J1436" s="6" t="s">
        <v>1121</v>
      </c>
      <c r="K1436" s="6">
        <v>367</v>
      </c>
      <c r="L1436" s="7" t="s">
        <v>2573</v>
      </c>
      <c r="M1436" s="8">
        <v>1182558</v>
      </c>
      <c r="N1436" s="8" t="str">
        <f t="shared" si="111"/>
        <v>PEN</v>
      </c>
      <c r="O1436" s="13"/>
      <c r="P1436" s="13">
        <v>122</v>
      </c>
      <c r="Q1436" s="3">
        <f t="shared" si="112"/>
        <v>0</v>
      </c>
      <c r="R1436" s="3">
        <f t="shared" si="113"/>
        <v>122</v>
      </c>
      <c r="S1436" s="3">
        <f t="shared" si="114"/>
        <v>64115.960000000028</v>
      </c>
      <c r="T1436" s="24" t="s">
        <v>1081</v>
      </c>
      <c r="U1436" s="24" t="s">
        <v>1081</v>
      </c>
      <c r="V1436" s="67"/>
      <c r="W1436" s="25">
        <f>IFERROR(VLOOKUP(BCP_Soles[[#This Row],[DESTINATARIO]],CHOOSE({1,2},Clientes_Proveedores[Razon Social],Clientes_Proveedores[Ruc / Dni]),2,0),"")</f>
        <v>10706063426</v>
      </c>
      <c r="X1436" s="25" t="s">
        <v>130</v>
      </c>
      <c r="Y1436" s="25" t="s">
        <v>2055</v>
      </c>
      <c r="Z1436" s="25"/>
      <c r="AA1436" s="99"/>
      <c r="AB1436" s="3" t="str">
        <f>IF(BCP_Soles[[#This Row],[FECHA]]&gt;0,TEXT(BCP_Soles[[#This Row],[FECHA]],"mmmm"),0)</f>
        <v>Abril</v>
      </c>
    </row>
    <row r="1437" spans="2:28" ht="24" x14ac:dyDescent="0.3">
      <c r="B1437" s="2">
        <f>IF(BCP_Soles[[#This Row],[TIPO DE R.]]="R",COUNTIFS($D$4:$D1436,"R")+1,"")</f>
        <v>1124</v>
      </c>
      <c r="C1437" s="19" t="str">
        <f t="shared" si="110"/>
        <v>B-BCP - Soles</v>
      </c>
      <c r="D1437" s="3" t="s">
        <v>1074</v>
      </c>
      <c r="E1437" s="14">
        <v>45777</v>
      </c>
      <c r="F1437" s="5" t="s">
        <v>1082</v>
      </c>
      <c r="G1437" s="5" t="s">
        <v>1079</v>
      </c>
      <c r="H1437" s="6" t="s">
        <v>192</v>
      </c>
      <c r="I1437" s="6"/>
      <c r="J1437" s="6"/>
      <c r="K1437" s="6"/>
      <c r="L1437" s="7" t="s">
        <v>2574</v>
      </c>
      <c r="M1437" s="8">
        <v>1181077</v>
      </c>
      <c r="N1437" s="8" t="str">
        <f t="shared" si="111"/>
        <v>PEN</v>
      </c>
      <c r="O1437" s="13"/>
      <c r="P1437" s="13">
        <v>94.4</v>
      </c>
      <c r="Q1437" s="3">
        <f t="shared" si="112"/>
        <v>0</v>
      </c>
      <c r="R1437" s="3">
        <f t="shared" si="113"/>
        <v>94.4</v>
      </c>
      <c r="S1437" s="3">
        <f t="shared" si="114"/>
        <v>64021.560000000027</v>
      </c>
      <c r="T1437" s="24"/>
      <c r="U1437" s="24"/>
      <c r="V1437" s="67"/>
      <c r="W1437" s="25">
        <f>IFERROR(VLOOKUP(BCP_Soles[[#This Row],[DESTINATARIO]],CHOOSE({1,2},Clientes_Proveedores[Razon Social],Clientes_Proveedores[Ruc / Dni]),2,0),"")</f>
        <v>20302891452</v>
      </c>
      <c r="X1437" s="25" t="s">
        <v>192</v>
      </c>
      <c r="Y1437" s="25"/>
      <c r="Z1437" s="25"/>
      <c r="AA1437" s="99"/>
      <c r="AB1437" s="3" t="str">
        <f>IF(BCP_Soles[[#This Row],[FECHA]]&gt;0,TEXT(BCP_Soles[[#This Row],[FECHA]],"mmmm"),0)</f>
        <v>Abril</v>
      </c>
    </row>
    <row r="1438" spans="2:28" ht="24" x14ac:dyDescent="0.3">
      <c r="B1438" s="2">
        <f>IF(BCP_Soles[[#This Row],[TIPO DE R.]]="R",COUNTIFS($D$4:$D1437,"R")+1,"")</f>
        <v>1125</v>
      </c>
      <c r="C1438" s="19" t="str">
        <f t="shared" si="110"/>
        <v>B-BCP - Soles</v>
      </c>
      <c r="D1438" s="3" t="s">
        <v>1074</v>
      </c>
      <c r="E1438" s="14">
        <v>45777</v>
      </c>
      <c r="F1438" s="5" t="s">
        <v>1082</v>
      </c>
      <c r="G1438" s="5" t="s">
        <v>1079</v>
      </c>
      <c r="H1438" s="6" t="s">
        <v>192</v>
      </c>
      <c r="I1438" s="6"/>
      <c r="J1438" s="6"/>
      <c r="K1438" s="6"/>
      <c r="L1438" s="7" t="s">
        <v>2575</v>
      </c>
      <c r="M1438" s="8">
        <v>1182564</v>
      </c>
      <c r="N1438" s="8" t="str">
        <f t="shared" si="111"/>
        <v>PEN</v>
      </c>
      <c r="O1438" s="13"/>
      <c r="P1438" s="13">
        <v>81.42</v>
      </c>
      <c r="Q1438" s="3">
        <f t="shared" si="112"/>
        <v>0</v>
      </c>
      <c r="R1438" s="3">
        <f t="shared" si="113"/>
        <v>81.42</v>
      </c>
      <c r="S1438" s="3">
        <f t="shared" si="114"/>
        <v>63940.140000000029</v>
      </c>
      <c r="T1438" s="24"/>
      <c r="U1438" s="24"/>
      <c r="V1438" s="67"/>
      <c r="W1438" s="25">
        <f>IFERROR(VLOOKUP(BCP_Soles[[#This Row],[DESTINATARIO]],CHOOSE({1,2},Clientes_Proveedores[Razon Social],Clientes_Proveedores[Ruc / Dni]),2,0),"")</f>
        <v>20302891452</v>
      </c>
      <c r="X1438" s="25" t="s">
        <v>192</v>
      </c>
      <c r="Y1438" s="25"/>
      <c r="Z1438" s="25"/>
      <c r="AA1438" s="99"/>
      <c r="AB1438" s="3" t="str">
        <f>IF(BCP_Soles[[#This Row],[FECHA]]&gt;0,TEXT(BCP_Soles[[#This Row],[FECHA]],"mmmm"),0)</f>
        <v>Abril</v>
      </c>
    </row>
    <row r="1439" spans="2:28" x14ac:dyDescent="0.3">
      <c r="B1439" s="2">
        <f>IF(BCP_Soles[[#This Row],[TIPO DE R.]]="R",COUNTIFS($D$4:$D1438,"R")+1,"")</f>
        <v>1126</v>
      </c>
      <c r="C1439" s="19" t="str">
        <f t="shared" si="110"/>
        <v>B-BCP - Soles</v>
      </c>
      <c r="D1439" s="3" t="s">
        <v>1074</v>
      </c>
      <c r="E1439" s="14">
        <v>45777</v>
      </c>
      <c r="F1439" s="5" t="s">
        <v>1082</v>
      </c>
      <c r="G1439" s="5" t="s">
        <v>1079</v>
      </c>
      <c r="H1439" s="6"/>
      <c r="I1439" s="6" t="s">
        <v>14</v>
      </c>
      <c r="J1439" s="6" t="s">
        <v>1395</v>
      </c>
      <c r="K1439" s="6">
        <v>287518</v>
      </c>
      <c r="L1439" s="7" t="s">
        <v>2576</v>
      </c>
      <c r="M1439" s="8">
        <v>182560</v>
      </c>
      <c r="N1439" s="8" t="str">
        <f t="shared" si="111"/>
        <v>PEN</v>
      </c>
      <c r="O1439" s="13"/>
      <c r="P1439" s="13">
        <v>36.58</v>
      </c>
      <c r="Q1439" s="3">
        <f t="shared" si="112"/>
        <v>0</v>
      </c>
      <c r="R1439" s="3">
        <f t="shared" si="113"/>
        <v>36.58</v>
      </c>
      <c r="S1439" s="3">
        <f t="shared" si="114"/>
        <v>63903.560000000027</v>
      </c>
      <c r="T1439" s="24" t="s">
        <v>1081</v>
      </c>
      <c r="U1439" s="24" t="s">
        <v>1081</v>
      </c>
      <c r="V1439" s="67"/>
      <c r="W1439" s="25" t="str">
        <f>IFERROR(VLOOKUP(BCP_Soles[[#This Row],[DESTINATARIO]],CHOOSE({1,2},Clientes_Proveedores[Razon Social],Clientes_Proveedores[Ruc / Dni]),2,0),"")</f>
        <v/>
      </c>
      <c r="X1439" s="25" t="s">
        <v>1397</v>
      </c>
      <c r="Y1439" s="25" t="s">
        <v>2570</v>
      </c>
      <c r="Z1439" s="25"/>
      <c r="AA1439" s="99"/>
      <c r="AB1439" s="3" t="str">
        <f>IF(BCP_Soles[[#This Row],[FECHA]]&gt;0,TEXT(BCP_Soles[[#This Row],[FECHA]],"mmmm"),0)</f>
        <v>Abril</v>
      </c>
    </row>
    <row r="1440" spans="2:28" ht="24" x14ac:dyDescent="0.3">
      <c r="B1440" s="2">
        <f>IF(BCP_Soles[[#This Row],[TIPO DE R.]]="R",COUNTIFS($D$4:$D1439,"R")+1,"")</f>
        <v>1127</v>
      </c>
      <c r="C1440" s="19" t="str">
        <f t="shared" si="110"/>
        <v>B-BCP - Soles</v>
      </c>
      <c r="D1440" s="3" t="s">
        <v>1074</v>
      </c>
      <c r="E1440" s="14">
        <v>45777</v>
      </c>
      <c r="F1440" s="5" t="s">
        <v>1078</v>
      </c>
      <c r="G1440" s="5" t="s">
        <v>1079</v>
      </c>
      <c r="H1440" s="6" t="s">
        <v>1001</v>
      </c>
      <c r="I1440" s="6"/>
      <c r="J1440" s="6"/>
      <c r="K1440" s="6"/>
      <c r="L1440" s="7" t="s">
        <v>1493</v>
      </c>
      <c r="M1440" s="8"/>
      <c r="N1440" s="8" t="str">
        <f t="shared" si="111"/>
        <v>PEN</v>
      </c>
      <c r="O1440" s="13"/>
      <c r="P1440" s="13">
        <v>35</v>
      </c>
      <c r="Q1440" s="3">
        <f t="shared" si="112"/>
        <v>0</v>
      </c>
      <c r="R1440" s="3">
        <f t="shared" si="113"/>
        <v>35</v>
      </c>
      <c r="S1440" s="3">
        <f t="shared" si="114"/>
        <v>63868.560000000027</v>
      </c>
      <c r="T1440" s="24"/>
      <c r="U1440" s="24"/>
      <c r="V1440" s="67"/>
      <c r="W1440" s="25">
        <f>IFERROR(VLOOKUP(BCP_Soles[[#This Row],[DESTINATARIO]],CHOOSE({1,2},Clientes_Proveedores[Razon Social],Clientes_Proveedores[Ruc / Dni]),2,0),"")</f>
        <v>20100047218</v>
      </c>
      <c r="X1440" s="25" t="s">
        <v>1078</v>
      </c>
      <c r="Y1440" s="25"/>
      <c r="Z1440" s="25"/>
      <c r="AA1440" s="99"/>
      <c r="AB1440" s="3" t="str">
        <f>IF(BCP_Soles[[#This Row],[FECHA]]&gt;0,TEXT(BCP_Soles[[#This Row],[FECHA]],"mmmm"),0)</f>
        <v>Abril</v>
      </c>
    </row>
    <row r="1441" spans="2:28" ht="24" x14ac:dyDescent="0.3">
      <c r="B1441" s="2">
        <f>IF(BCP_Soles[[#This Row],[TIPO DE R.]]="R",COUNTIFS($D$4:$D1440,"R")+1,"")</f>
        <v>1128</v>
      </c>
      <c r="C1441" s="19" t="str">
        <f t="shared" si="110"/>
        <v>B-BCP - Soles</v>
      </c>
      <c r="D1441" s="3" t="s">
        <v>1074</v>
      </c>
      <c r="E1441" s="14">
        <v>45777</v>
      </c>
      <c r="F1441" s="5" t="s">
        <v>1078</v>
      </c>
      <c r="G1441" s="5" t="s">
        <v>1079</v>
      </c>
      <c r="H1441" s="6" t="s">
        <v>1001</v>
      </c>
      <c r="I1441" s="6"/>
      <c r="J1441" s="6"/>
      <c r="K1441" s="6"/>
      <c r="L1441" s="7" t="s">
        <v>1495</v>
      </c>
      <c r="M1441" s="8">
        <v>972709</v>
      </c>
      <c r="N1441" s="8" t="str">
        <f t="shared" si="111"/>
        <v>PEN</v>
      </c>
      <c r="O1441" s="13"/>
      <c r="P1441" s="13">
        <v>5.5</v>
      </c>
      <c r="Q1441" s="3">
        <f t="shared" si="112"/>
        <v>0</v>
      </c>
      <c r="R1441" s="3">
        <f t="shared" si="113"/>
        <v>5.5</v>
      </c>
      <c r="S1441" s="3">
        <f t="shared" si="114"/>
        <v>63863.060000000027</v>
      </c>
      <c r="T1441" s="24"/>
      <c r="U1441" s="24"/>
      <c r="V1441" s="67"/>
      <c r="W1441" s="25">
        <f>IFERROR(VLOOKUP(BCP_Soles[[#This Row],[DESTINATARIO]],CHOOSE({1,2},Clientes_Proveedores[Razon Social],Clientes_Proveedores[Ruc / Dni]),2,0),"")</f>
        <v>20100047218</v>
      </c>
      <c r="X1441" s="25" t="s">
        <v>1078</v>
      </c>
      <c r="Y1441" s="25"/>
      <c r="Z1441" s="25"/>
      <c r="AA1441" s="99"/>
      <c r="AB1441" s="3" t="str">
        <f>IF(BCP_Soles[[#This Row],[FECHA]]&gt;0,TEXT(BCP_Soles[[#This Row],[FECHA]],"mmmm"),0)</f>
        <v>Abril</v>
      </c>
    </row>
    <row r="1442" spans="2:28" x14ac:dyDescent="0.3">
      <c r="B1442" s="2">
        <f>IF(BCP_Soles[[#This Row],[TIPO DE R.]]="R",COUNTIFS($D$4:$D1441,"R")+1,"")</f>
        <v>1129</v>
      </c>
      <c r="C1442" s="19" t="str">
        <f t="shared" si="110"/>
        <v>B-BCP - Soles</v>
      </c>
      <c r="D1442" s="3" t="s">
        <v>1074</v>
      </c>
      <c r="E1442" s="14">
        <v>45777</v>
      </c>
      <c r="F1442" s="5" t="s">
        <v>1078</v>
      </c>
      <c r="G1442" s="5" t="s">
        <v>1079</v>
      </c>
      <c r="H1442" s="6"/>
      <c r="I1442" s="6"/>
      <c r="J1442" s="6"/>
      <c r="K1442" s="6"/>
      <c r="L1442" s="7" t="s">
        <v>1080</v>
      </c>
      <c r="M1442" s="8"/>
      <c r="N1442" s="8" t="str">
        <f t="shared" si="111"/>
        <v>PEN</v>
      </c>
      <c r="O1442" s="13"/>
      <c r="P1442" s="13">
        <v>4.4000000000000004</v>
      </c>
      <c r="Q1442" s="3">
        <f t="shared" si="112"/>
        <v>0</v>
      </c>
      <c r="R1442" s="3">
        <f t="shared" si="113"/>
        <v>4.4000000000000004</v>
      </c>
      <c r="S1442" s="3">
        <f t="shared" si="114"/>
        <v>63858.660000000025</v>
      </c>
      <c r="T1442" s="24"/>
      <c r="U1442" s="24" t="s">
        <v>1081</v>
      </c>
      <c r="V1442" s="67"/>
      <c r="W1442" s="25" t="str">
        <f>IFERROR(VLOOKUP(BCP_Soles[[#This Row],[DESTINATARIO]],CHOOSE({1,2},Clientes_Proveedores[Razon Social],Clientes_Proveedores[Ruc / Dni]),2,0),"")</f>
        <v/>
      </c>
      <c r="X1442" s="25"/>
      <c r="Y1442" s="25"/>
      <c r="Z1442" s="25"/>
      <c r="AA1442" s="99"/>
      <c r="AB1442" s="3" t="str">
        <f>IF(BCP_Soles[[#This Row],[FECHA]]&gt;0,TEXT(BCP_Soles[[#This Row],[FECHA]],"mmmm"),0)</f>
        <v>Abril</v>
      </c>
    </row>
    <row r="1443" spans="2:28" ht="24" x14ac:dyDescent="0.3">
      <c r="B1443" s="2">
        <f>IF(BCP_Soles[[#This Row],[TIPO DE R.]]="R",COUNTIFS($D$4:$D1442,"R")+1,"")</f>
        <v>1130</v>
      </c>
      <c r="C1443" s="19" t="str">
        <f t="shared" si="110"/>
        <v>B-BCP - Soles</v>
      </c>
      <c r="D1443" s="3" t="s">
        <v>1074</v>
      </c>
      <c r="E1443" s="14">
        <v>45779</v>
      </c>
      <c r="F1443" s="5" t="s">
        <v>229</v>
      </c>
      <c r="G1443" s="5" t="s">
        <v>1087</v>
      </c>
      <c r="H1443" s="6"/>
      <c r="I1443" s="6"/>
      <c r="J1443" s="6"/>
      <c r="K1443" s="6"/>
      <c r="L1443" s="7" t="s">
        <v>1127</v>
      </c>
      <c r="M1443" s="8">
        <v>4533</v>
      </c>
      <c r="N1443" s="8" t="str">
        <f t="shared" si="111"/>
        <v>PEN</v>
      </c>
      <c r="O1443" s="13"/>
      <c r="P1443" s="13">
        <v>5103</v>
      </c>
      <c r="Q1443" s="3">
        <f t="shared" si="112"/>
        <v>5103</v>
      </c>
      <c r="R1443" s="3">
        <f t="shared" si="113"/>
        <v>0</v>
      </c>
      <c r="S1443" s="3">
        <f t="shared" si="114"/>
        <v>68961.660000000033</v>
      </c>
      <c r="T1443" s="24" t="s">
        <v>1081</v>
      </c>
      <c r="U1443" s="24" t="s">
        <v>1081</v>
      </c>
      <c r="V1443" s="67"/>
      <c r="W1443" s="25" t="str">
        <f>IFERROR(VLOOKUP(BCP_Soles[[#This Row],[DESTINATARIO]],CHOOSE({1,2},Clientes_Proveedores[Razon Social],Clientes_Proveedores[Ruc / Dni]),2,0),"")</f>
        <v/>
      </c>
      <c r="X1443" s="25" t="s">
        <v>1090</v>
      </c>
      <c r="Y1443" s="25" t="s">
        <v>2577</v>
      </c>
      <c r="Z1443" s="25"/>
      <c r="AA1443" s="99"/>
      <c r="AB1443" s="3" t="str">
        <f>IF(BCP_Soles[[#This Row],[FECHA]]&gt;0,TEXT(BCP_Soles[[#This Row],[FECHA]],"mmmm"),0)</f>
        <v>Mayo</v>
      </c>
    </row>
    <row r="1444" spans="2:28" ht="24" x14ac:dyDescent="0.3">
      <c r="B1444" s="2">
        <f>IF(BCP_Soles[[#This Row],[TIPO DE R.]]="R",COUNTIFS($D$4:$D1443,"R")+1,"")</f>
        <v>1131</v>
      </c>
      <c r="C1444" s="19" t="str">
        <f t="shared" si="110"/>
        <v>B-BCP - Soles</v>
      </c>
      <c r="D1444" s="3" t="s">
        <v>1074</v>
      </c>
      <c r="E1444" s="14">
        <v>45779</v>
      </c>
      <c r="F1444" s="5" t="s">
        <v>376</v>
      </c>
      <c r="G1444" s="5" t="s">
        <v>1087</v>
      </c>
      <c r="H1444" s="6"/>
      <c r="I1444" s="6"/>
      <c r="J1444" s="6"/>
      <c r="K1444" s="6"/>
      <c r="L1444" s="7" t="s">
        <v>1100</v>
      </c>
      <c r="M1444" s="8">
        <v>572101</v>
      </c>
      <c r="N1444" s="8" t="str">
        <f t="shared" si="111"/>
        <v>PEN</v>
      </c>
      <c r="O1444" s="13"/>
      <c r="P1444" s="13">
        <v>2632.5</v>
      </c>
      <c r="Q1444" s="3">
        <f t="shared" si="112"/>
        <v>2632.5</v>
      </c>
      <c r="R1444" s="3">
        <f t="shared" si="113"/>
        <v>0</v>
      </c>
      <c r="S1444" s="3">
        <f t="shared" si="114"/>
        <v>71594.160000000033</v>
      </c>
      <c r="T1444" s="24" t="s">
        <v>1081</v>
      </c>
      <c r="U1444" s="24" t="s">
        <v>1081</v>
      </c>
      <c r="V1444" s="67"/>
      <c r="W1444" s="25" t="str">
        <f>IFERROR(VLOOKUP(BCP_Soles[[#This Row],[DESTINATARIO]],CHOOSE({1,2},Clientes_Proveedores[Razon Social],Clientes_Proveedores[Ruc / Dni]),2,0),"")</f>
        <v/>
      </c>
      <c r="X1444" s="25" t="s">
        <v>1090</v>
      </c>
      <c r="Y1444" s="25" t="s">
        <v>2578</v>
      </c>
      <c r="Z1444" s="25"/>
      <c r="AA1444" s="99"/>
      <c r="AB1444" s="3" t="str">
        <f>IF(BCP_Soles[[#This Row],[FECHA]]&gt;0,TEXT(BCP_Soles[[#This Row],[FECHA]],"mmmm"),0)</f>
        <v>Mayo</v>
      </c>
    </row>
    <row r="1445" spans="2:28" ht="24" x14ac:dyDescent="0.3">
      <c r="B1445" s="2">
        <f>IF(BCP_Soles[[#This Row],[TIPO DE R.]]="R",COUNTIFS($D$4:$D1444,"R")+1,"")</f>
        <v>1132</v>
      </c>
      <c r="C1445" s="19" t="str">
        <f t="shared" si="110"/>
        <v>B-BCP - Soles</v>
      </c>
      <c r="D1445" s="3" t="s">
        <v>1074</v>
      </c>
      <c r="E1445" s="14">
        <v>45779</v>
      </c>
      <c r="F1445" s="5" t="s">
        <v>2579</v>
      </c>
      <c r="G1445" s="5" t="s">
        <v>1087</v>
      </c>
      <c r="H1445" s="6"/>
      <c r="I1445" s="6"/>
      <c r="J1445" s="6"/>
      <c r="K1445" s="6"/>
      <c r="L1445" s="7" t="s">
        <v>1740</v>
      </c>
      <c r="M1445" s="8">
        <v>2051284</v>
      </c>
      <c r="N1445" s="8" t="str">
        <f t="shared" si="111"/>
        <v>PEN</v>
      </c>
      <c r="O1445" s="13"/>
      <c r="P1445" s="13">
        <v>2550</v>
      </c>
      <c r="Q1445" s="3">
        <f t="shared" si="112"/>
        <v>2550</v>
      </c>
      <c r="R1445" s="3">
        <f t="shared" si="113"/>
        <v>0</v>
      </c>
      <c r="S1445" s="3">
        <f t="shared" si="114"/>
        <v>74144.160000000033</v>
      </c>
      <c r="T1445" s="24" t="s">
        <v>1081</v>
      </c>
      <c r="U1445" s="24" t="s">
        <v>1081</v>
      </c>
      <c r="V1445" s="67"/>
      <c r="W1445" s="25" t="str">
        <f>IFERROR(VLOOKUP(BCP_Soles[[#This Row],[DESTINATARIO]],CHOOSE({1,2},Clientes_Proveedores[Razon Social],Clientes_Proveedores[Ruc / Dni]),2,0),"")</f>
        <v/>
      </c>
      <c r="X1445" s="25" t="s">
        <v>1090</v>
      </c>
      <c r="Y1445" s="25" t="s">
        <v>2580</v>
      </c>
      <c r="Z1445" s="25"/>
      <c r="AA1445" s="99"/>
      <c r="AB1445" s="3" t="str">
        <f>IF(BCP_Soles[[#This Row],[FECHA]]&gt;0,TEXT(BCP_Soles[[#This Row],[FECHA]],"mmmm"),0)</f>
        <v>Mayo</v>
      </c>
    </row>
    <row r="1446" spans="2:28" ht="48" x14ac:dyDescent="0.3">
      <c r="B1446" s="2">
        <f>IF(BCP_Soles[[#This Row],[TIPO DE R.]]="R",COUNTIFS($D$4:$D1445,"R")+1,"")</f>
        <v>1133</v>
      </c>
      <c r="C1446" s="19" t="str">
        <f t="shared" si="110"/>
        <v>B-BCP - Soles</v>
      </c>
      <c r="D1446" s="3" t="s">
        <v>1074</v>
      </c>
      <c r="E1446" s="14">
        <v>45779</v>
      </c>
      <c r="F1446" s="5" t="s">
        <v>205</v>
      </c>
      <c r="G1446" s="5" t="s">
        <v>1087</v>
      </c>
      <c r="H1446" s="6"/>
      <c r="I1446" s="6"/>
      <c r="J1446" s="6"/>
      <c r="K1446" s="6"/>
      <c r="L1446" s="7" t="s">
        <v>1286</v>
      </c>
      <c r="M1446" s="8">
        <v>7813</v>
      </c>
      <c r="N1446" s="8" t="str">
        <f t="shared" si="111"/>
        <v>PEN</v>
      </c>
      <c r="O1446" s="13"/>
      <c r="P1446" s="13">
        <v>2386.35</v>
      </c>
      <c r="Q1446" s="3">
        <f t="shared" si="112"/>
        <v>2386.35</v>
      </c>
      <c r="R1446" s="3">
        <f t="shared" si="113"/>
        <v>0</v>
      </c>
      <c r="S1446" s="3">
        <f t="shared" si="114"/>
        <v>76530.510000000038</v>
      </c>
      <c r="T1446" s="24" t="s">
        <v>1081</v>
      </c>
      <c r="U1446" s="24" t="s">
        <v>1081</v>
      </c>
      <c r="V1446" s="67"/>
      <c r="W1446" s="25" t="str">
        <f>IFERROR(VLOOKUP(BCP_Soles[[#This Row],[DESTINATARIO]],CHOOSE({1,2},Clientes_Proveedores[Razon Social],Clientes_Proveedores[Ruc / Dni]),2,0),"")</f>
        <v/>
      </c>
      <c r="X1446" s="25" t="s">
        <v>1090</v>
      </c>
      <c r="Y1446" s="25" t="s">
        <v>2581</v>
      </c>
      <c r="Z1446" s="25"/>
      <c r="AA1446" s="99"/>
      <c r="AB1446" s="3" t="str">
        <f>IF(BCP_Soles[[#This Row],[FECHA]]&gt;0,TEXT(BCP_Soles[[#This Row],[FECHA]],"mmmm"),0)</f>
        <v>Mayo</v>
      </c>
    </row>
    <row r="1447" spans="2:28" ht="24" x14ac:dyDescent="0.3">
      <c r="B1447" s="2">
        <f>IF(BCP_Soles[[#This Row],[TIPO DE R.]]="R",COUNTIFS($D$4:$D1446,"R")+1,"")</f>
        <v>1134</v>
      </c>
      <c r="C1447" s="19" t="str">
        <f t="shared" si="110"/>
        <v>B-BCP - Soles</v>
      </c>
      <c r="D1447" s="3" t="s">
        <v>1074</v>
      </c>
      <c r="E1447" s="14">
        <v>45779</v>
      </c>
      <c r="F1447" s="5" t="s">
        <v>1245</v>
      </c>
      <c r="G1447" s="5" t="s">
        <v>1087</v>
      </c>
      <c r="H1447" s="6"/>
      <c r="I1447" s="6"/>
      <c r="J1447" s="6"/>
      <c r="K1447" s="6"/>
      <c r="L1447" s="7" t="s">
        <v>1100</v>
      </c>
      <c r="M1447" s="8">
        <v>1573622</v>
      </c>
      <c r="N1447" s="8" t="str">
        <f t="shared" si="111"/>
        <v>PEN</v>
      </c>
      <c r="O1447" s="13"/>
      <c r="P1447" s="13">
        <v>1014</v>
      </c>
      <c r="Q1447" s="3">
        <f t="shared" si="112"/>
        <v>1014</v>
      </c>
      <c r="R1447" s="3">
        <f t="shared" si="113"/>
        <v>0</v>
      </c>
      <c r="S1447" s="3">
        <f t="shared" si="114"/>
        <v>77544.510000000038</v>
      </c>
      <c r="T1447" s="24" t="s">
        <v>1081</v>
      </c>
      <c r="U1447" s="24" t="s">
        <v>1081</v>
      </c>
      <c r="V1447" s="67"/>
      <c r="W1447" s="25" t="str">
        <f>IFERROR(VLOOKUP(BCP_Soles[[#This Row],[DESTINATARIO]],CHOOSE({1,2},Clientes_Proveedores[Razon Social],Clientes_Proveedores[Ruc / Dni]),2,0),"")</f>
        <v/>
      </c>
      <c r="X1447" s="25" t="s">
        <v>1090</v>
      </c>
      <c r="Y1447" s="25" t="s">
        <v>2582</v>
      </c>
      <c r="Z1447" s="25"/>
      <c r="AA1447" s="99"/>
      <c r="AB1447" s="3" t="str">
        <f>IF(BCP_Soles[[#This Row],[FECHA]]&gt;0,TEXT(BCP_Soles[[#This Row],[FECHA]],"mmmm"),0)</f>
        <v>Mayo</v>
      </c>
    </row>
    <row r="1448" spans="2:28" ht="24" x14ac:dyDescent="0.3">
      <c r="B1448" s="2">
        <f>IF(BCP_Soles[[#This Row],[TIPO DE R.]]="R",COUNTIFS($D$4:$D1447,"R")+1,"")</f>
        <v>1135</v>
      </c>
      <c r="C1448" s="19" t="str">
        <f t="shared" si="110"/>
        <v>B-BCP - Soles</v>
      </c>
      <c r="D1448" s="3" t="s">
        <v>1074</v>
      </c>
      <c r="E1448" s="14">
        <v>45779</v>
      </c>
      <c r="F1448" s="5" t="s">
        <v>1357</v>
      </c>
      <c r="G1448" s="5" t="s">
        <v>1087</v>
      </c>
      <c r="H1448" s="6"/>
      <c r="I1448" s="6"/>
      <c r="J1448" s="6"/>
      <c r="K1448" s="6"/>
      <c r="L1448" s="7" t="s">
        <v>1100</v>
      </c>
      <c r="M1448" s="8">
        <v>3932741</v>
      </c>
      <c r="N1448" s="8" t="str">
        <f t="shared" si="111"/>
        <v>PEN</v>
      </c>
      <c r="O1448" s="13"/>
      <c r="P1448" s="13">
        <v>1000</v>
      </c>
      <c r="Q1448" s="3">
        <f t="shared" si="112"/>
        <v>1000</v>
      </c>
      <c r="R1448" s="3">
        <f t="shared" si="113"/>
        <v>0</v>
      </c>
      <c r="S1448" s="3">
        <f t="shared" si="114"/>
        <v>78544.510000000038</v>
      </c>
      <c r="T1448" s="24" t="s">
        <v>1081</v>
      </c>
      <c r="U1448" s="24" t="s">
        <v>1081</v>
      </c>
      <c r="V1448" s="67"/>
      <c r="W1448" s="25" t="str">
        <f>IFERROR(VLOOKUP(BCP_Soles[[#This Row],[DESTINATARIO]],CHOOSE({1,2},Clientes_Proveedores[Razon Social],Clientes_Proveedores[Ruc / Dni]),2,0),"")</f>
        <v/>
      </c>
      <c r="X1448" s="25" t="s">
        <v>1090</v>
      </c>
      <c r="Y1448" s="25" t="s">
        <v>2583</v>
      </c>
      <c r="Z1448" s="25"/>
      <c r="AA1448" s="99"/>
      <c r="AB1448" s="3" t="str">
        <f>IF(BCP_Soles[[#This Row],[FECHA]]&gt;0,TEXT(BCP_Soles[[#This Row],[FECHA]],"mmmm"),0)</f>
        <v>Mayo</v>
      </c>
    </row>
    <row r="1449" spans="2:28" ht="36" x14ac:dyDescent="0.3">
      <c r="B1449" s="2">
        <f>IF(BCP_Soles[[#This Row],[TIPO DE R.]]="R",COUNTIFS($D$4:$D1448,"R")+1,"")</f>
        <v>1136</v>
      </c>
      <c r="C1449" s="19" t="str">
        <f t="shared" si="110"/>
        <v>B-BCP - Soles</v>
      </c>
      <c r="D1449" s="3" t="s">
        <v>1074</v>
      </c>
      <c r="E1449" s="14">
        <v>45779</v>
      </c>
      <c r="F1449" s="5" t="s">
        <v>198</v>
      </c>
      <c r="G1449" s="5" t="s">
        <v>1087</v>
      </c>
      <c r="H1449" s="6"/>
      <c r="I1449" s="6"/>
      <c r="J1449" s="6"/>
      <c r="K1449" s="6"/>
      <c r="L1449" s="7" t="s">
        <v>2584</v>
      </c>
      <c r="M1449" s="8">
        <v>1342196</v>
      </c>
      <c r="N1449" s="8" t="str">
        <f t="shared" si="111"/>
        <v>PEN</v>
      </c>
      <c r="O1449" s="13"/>
      <c r="P1449" s="13">
        <v>724</v>
      </c>
      <c r="Q1449" s="3">
        <f t="shared" si="112"/>
        <v>724</v>
      </c>
      <c r="R1449" s="3">
        <f t="shared" si="113"/>
        <v>0</v>
      </c>
      <c r="S1449" s="3">
        <f t="shared" si="114"/>
        <v>79268.510000000038</v>
      </c>
      <c r="T1449" s="24" t="s">
        <v>1081</v>
      </c>
      <c r="U1449" s="24" t="s">
        <v>1081</v>
      </c>
      <c r="V1449" s="67"/>
      <c r="W1449" s="25" t="str">
        <f>IFERROR(VLOOKUP(BCP_Soles[[#This Row],[DESTINATARIO]],CHOOSE({1,2},Clientes_Proveedores[Razon Social],Clientes_Proveedores[Ruc / Dni]),2,0),"")</f>
        <v/>
      </c>
      <c r="X1449" s="25" t="s">
        <v>1090</v>
      </c>
      <c r="Y1449" s="25" t="s">
        <v>2585</v>
      </c>
      <c r="Z1449" s="25"/>
      <c r="AA1449" s="99"/>
      <c r="AB1449" s="3" t="str">
        <f>IF(BCP_Soles[[#This Row],[FECHA]]&gt;0,TEXT(BCP_Soles[[#This Row],[FECHA]],"mmmm"),0)</f>
        <v>Mayo</v>
      </c>
    </row>
    <row r="1450" spans="2:28" x14ac:dyDescent="0.3">
      <c r="B1450" s="2">
        <f>IF(BCP_Soles[[#This Row],[TIPO DE R.]]="R",COUNTIFS($D$4:$D1449,"R")+1,"")</f>
        <v>1137</v>
      </c>
      <c r="C1450" s="19" t="str">
        <f t="shared" si="110"/>
        <v>B-BCP - Soles</v>
      </c>
      <c r="D1450" s="3" t="s">
        <v>1074</v>
      </c>
      <c r="E1450" s="14">
        <v>45779</v>
      </c>
      <c r="F1450" s="5"/>
      <c r="G1450" s="5" t="s">
        <v>1087</v>
      </c>
      <c r="H1450" s="6"/>
      <c r="I1450" s="6"/>
      <c r="J1450" s="6"/>
      <c r="K1450" s="6"/>
      <c r="L1450" s="7" t="s">
        <v>1100</v>
      </c>
      <c r="M1450" s="8">
        <v>3238206</v>
      </c>
      <c r="N1450" s="8" t="str">
        <f t="shared" si="111"/>
        <v>PEN</v>
      </c>
      <c r="O1450" s="13"/>
      <c r="P1450" s="13">
        <v>200</v>
      </c>
      <c r="Q1450" s="3">
        <f t="shared" si="112"/>
        <v>200</v>
      </c>
      <c r="R1450" s="3">
        <f t="shared" si="113"/>
        <v>0</v>
      </c>
      <c r="S1450" s="3">
        <f t="shared" si="114"/>
        <v>79468.510000000038</v>
      </c>
      <c r="T1450" s="24"/>
      <c r="U1450" s="24"/>
      <c r="V1450" s="67"/>
      <c r="W1450" s="25" t="str">
        <f>IFERROR(VLOOKUP(BCP_Soles[[#This Row],[DESTINATARIO]],CHOOSE({1,2},Clientes_Proveedores[Razon Social],Clientes_Proveedores[Ruc / Dni]),2,0),"")</f>
        <v/>
      </c>
      <c r="X1450" s="25" t="s">
        <v>1090</v>
      </c>
      <c r="Y1450" s="25"/>
      <c r="Z1450" s="25"/>
      <c r="AA1450" s="99"/>
      <c r="AB1450" s="3" t="str">
        <f>IF(BCP_Soles[[#This Row],[FECHA]]&gt;0,TEXT(BCP_Soles[[#This Row],[FECHA]],"mmmm"),0)</f>
        <v>Mayo</v>
      </c>
    </row>
    <row r="1451" spans="2:28" x14ac:dyDescent="0.3">
      <c r="B1451" s="2">
        <f>IF(BCP_Soles[[#This Row],[TIPO DE R.]]="R",COUNTIFS($D$4:$D1450,"R")+1,"")</f>
        <v>1138</v>
      </c>
      <c r="C1451" s="19" t="str">
        <f t="shared" si="110"/>
        <v>B-BCP - Soles</v>
      </c>
      <c r="D1451" s="3" t="s">
        <v>1074</v>
      </c>
      <c r="E1451" s="14">
        <v>45779</v>
      </c>
      <c r="F1451" s="5" t="s">
        <v>1078</v>
      </c>
      <c r="G1451" s="5" t="s">
        <v>1079</v>
      </c>
      <c r="H1451" s="6"/>
      <c r="I1451" s="6"/>
      <c r="J1451" s="6"/>
      <c r="K1451" s="6"/>
      <c r="L1451" s="7" t="s">
        <v>1080</v>
      </c>
      <c r="M1451" s="8"/>
      <c r="N1451" s="8" t="str">
        <f t="shared" si="111"/>
        <v>PEN</v>
      </c>
      <c r="O1451" s="13"/>
      <c r="P1451" s="13">
        <v>1.7</v>
      </c>
      <c r="Q1451" s="3">
        <f t="shared" si="112"/>
        <v>0</v>
      </c>
      <c r="R1451" s="3">
        <f t="shared" si="113"/>
        <v>1.7</v>
      </c>
      <c r="S1451" s="3">
        <f t="shared" si="114"/>
        <v>79466.810000000041</v>
      </c>
      <c r="T1451" s="24"/>
      <c r="U1451" s="24" t="s">
        <v>1081</v>
      </c>
      <c r="V1451" s="67"/>
      <c r="W1451" s="25" t="str">
        <f>IFERROR(VLOOKUP(BCP_Soles[[#This Row],[DESTINATARIO]],CHOOSE({1,2},Clientes_Proveedores[Razon Social],Clientes_Proveedores[Ruc / Dni]),2,0),"")</f>
        <v/>
      </c>
      <c r="X1451" s="25"/>
      <c r="Y1451" s="25"/>
      <c r="Z1451" s="25"/>
      <c r="AA1451" s="99"/>
      <c r="AB1451" s="3" t="str">
        <f>IF(BCP_Soles[[#This Row],[FECHA]]&gt;0,TEXT(BCP_Soles[[#This Row],[FECHA]],"mmmm"),0)</f>
        <v>Mayo</v>
      </c>
    </row>
    <row r="1452" spans="2:28" x14ac:dyDescent="0.3">
      <c r="B1452" s="2">
        <f>IF(BCP_Soles[[#This Row],[TIPO DE R.]]="R",COUNTIFS($D$4:$D1451,"R")+1,"")</f>
        <v>1139</v>
      </c>
      <c r="C1452" s="19" t="str">
        <f t="shared" si="110"/>
        <v>B-BCP - Soles</v>
      </c>
      <c r="D1452" s="3" t="s">
        <v>1074</v>
      </c>
      <c r="E1452" s="14">
        <v>45779</v>
      </c>
      <c r="F1452" s="5" t="s">
        <v>1996</v>
      </c>
      <c r="G1452" s="5" t="s">
        <v>1079</v>
      </c>
      <c r="H1452" s="6" t="s">
        <v>139</v>
      </c>
      <c r="I1452" s="6" t="s">
        <v>14</v>
      </c>
      <c r="J1452" s="6" t="s">
        <v>1953</v>
      </c>
      <c r="K1452" s="6">
        <v>6279</v>
      </c>
      <c r="L1452" s="7" t="s">
        <v>1954</v>
      </c>
      <c r="M1452" s="8">
        <v>133295</v>
      </c>
      <c r="N1452" s="8" t="str">
        <f t="shared" si="111"/>
        <v>PEN</v>
      </c>
      <c r="O1452" s="13"/>
      <c r="P1452" s="13">
        <v>8.6199999999999992</v>
      </c>
      <c r="Q1452" s="3">
        <f t="shared" si="112"/>
        <v>0</v>
      </c>
      <c r="R1452" s="3">
        <f t="shared" si="113"/>
        <v>8.6199999999999992</v>
      </c>
      <c r="S1452" s="3">
        <f t="shared" si="114"/>
        <v>79458.190000000046</v>
      </c>
      <c r="T1452" s="24" t="s">
        <v>1081</v>
      </c>
      <c r="U1452" s="24" t="s">
        <v>1081</v>
      </c>
      <c r="V1452" s="67"/>
      <c r="W1452" s="25">
        <f>IFERROR(VLOOKUP(BCP_Soles[[#This Row],[DESTINATARIO]],CHOOSE({1,2},Clientes_Proveedores[Razon Social],Clientes_Proveedores[Ruc / Dni]),2,0),"")</f>
        <v>20100055237</v>
      </c>
      <c r="X1452" s="25" t="s">
        <v>1955</v>
      </c>
      <c r="Y1452" s="25" t="s">
        <v>2586</v>
      </c>
      <c r="Z1452" s="25"/>
      <c r="AA1452" s="99"/>
      <c r="AB1452" s="3" t="str">
        <f>IF(BCP_Soles[[#This Row],[FECHA]]&gt;0,TEXT(BCP_Soles[[#This Row],[FECHA]],"mmmm"),0)</f>
        <v>Mayo</v>
      </c>
    </row>
    <row r="1453" spans="2:28" x14ac:dyDescent="0.3">
      <c r="B1453" s="2">
        <f>IF(BCP_Soles[[#This Row],[TIPO DE R.]]="R",COUNTIFS($D$4:$D1452,"R")+1,"")</f>
        <v>1140</v>
      </c>
      <c r="C1453" s="19" t="str">
        <f t="shared" si="110"/>
        <v>B-BCP - Soles</v>
      </c>
      <c r="D1453" s="3" t="s">
        <v>1074</v>
      </c>
      <c r="E1453" s="14">
        <v>45779</v>
      </c>
      <c r="F1453" s="5" t="s">
        <v>1996</v>
      </c>
      <c r="G1453" s="5" t="s">
        <v>1079</v>
      </c>
      <c r="H1453" s="6" t="s">
        <v>139</v>
      </c>
      <c r="I1453" s="6" t="s">
        <v>14</v>
      </c>
      <c r="J1453" s="6" t="s">
        <v>1953</v>
      </c>
      <c r="K1453" s="6">
        <v>6283</v>
      </c>
      <c r="L1453" s="7" t="s">
        <v>1954</v>
      </c>
      <c r="M1453" s="8">
        <v>133801</v>
      </c>
      <c r="N1453" s="8" t="str">
        <f t="shared" si="111"/>
        <v>PEN</v>
      </c>
      <c r="O1453" s="13"/>
      <c r="P1453" s="13">
        <v>9.33</v>
      </c>
      <c r="Q1453" s="3">
        <f t="shared" si="112"/>
        <v>0</v>
      </c>
      <c r="R1453" s="3">
        <f t="shared" si="113"/>
        <v>9.33</v>
      </c>
      <c r="S1453" s="3">
        <f t="shared" si="114"/>
        <v>79448.860000000044</v>
      </c>
      <c r="T1453" s="24" t="s">
        <v>1081</v>
      </c>
      <c r="U1453" s="24" t="s">
        <v>1081</v>
      </c>
      <c r="V1453" s="67"/>
      <c r="W1453" s="25">
        <f>IFERROR(VLOOKUP(BCP_Soles[[#This Row],[DESTINATARIO]],CHOOSE({1,2},Clientes_Proveedores[Razon Social],Clientes_Proveedores[Ruc / Dni]),2,0),"")</f>
        <v>20100055237</v>
      </c>
      <c r="X1453" s="25" t="s">
        <v>1955</v>
      </c>
      <c r="Y1453" s="25" t="s">
        <v>2587</v>
      </c>
      <c r="Z1453" s="25"/>
      <c r="AA1453" s="99"/>
      <c r="AB1453" s="3" t="str">
        <f>IF(BCP_Soles[[#This Row],[FECHA]]&gt;0,TEXT(BCP_Soles[[#This Row],[FECHA]],"mmmm"),0)</f>
        <v>Mayo</v>
      </c>
    </row>
    <row r="1454" spans="2:28" ht="24" x14ac:dyDescent="0.3">
      <c r="B1454" s="2">
        <f>IF(BCP_Soles[[#This Row],[TIPO DE R.]]="R",COUNTIFS($D$4:$D1453,"R")+1,"")</f>
        <v>1141</v>
      </c>
      <c r="C1454" s="19" t="str">
        <f t="shared" si="110"/>
        <v>B-BCP - Soles</v>
      </c>
      <c r="D1454" s="3" t="s">
        <v>1074</v>
      </c>
      <c r="E1454" s="14">
        <v>45779</v>
      </c>
      <c r="F1454" s="5" t="s">
        <v>1078</v>
      </c>
      <c r="G1454" s="5" t="s">
        <v>1079</v>
      </c>
      <c r="H1454" s="6" t="s">
        <v>1001</v>
      </c>
      <c r="I1454" s="6"/>
      <c r="J1454" s="6"/>
      <c r="K1454" s="6"/>
      <c r="L1454" s="7" t="s">
        <v>1141</v>
      </c>
      <c r="M1454" s="8">
        <v>579</v>
      </c>
      <c r="N1454" s="8" t="str">
        <f t="shared" si="111"/>
        <v>PEN</v>
      </c>
      <c r="O1454" s="13"/>
      <c r="P1454" s="13">
        <v>10</v>
      </c>
      <c r="Q1454" s="3">
        <f t="shared" si="112"/>
        <v>0</v>
      </c>
      <c r="R1454" s="3">
        <f t="shared" si="113"/>
        <v>10</v>
      </c>
      <c r="S1454" s="3">
        <f t="shared" si="114"/>
        <v>79438.860000000044</v>
      </c>
      <c r="T1454" s="24"/>
      <c r="U1454" s="24"/>
      <c r="V1454" s="67"/>
      <c r="W1454" s="25">
        <f>IFERROR(VLOOKUP(BCP_Soles[[#This Row],[DESTINATARIO]],CHOOSE({1,2},Clientes_Proveedores[Razon Social],Clientes_Proveedores[Ruc / Dni]),2,0),"")</f>
        <v>20100047218</v>
      </c>
      <c r="X1454" s="25" t="s">
        <v>1078</v>
      </c>
      <c r="Y1454" s="25"/>
      <c r="Z1454" s="25"/>
      <c r="AA1454" s="99"/>
      <c r="AB1454" s="3" t="str">
        <f>IF(BCP_Soles[[#This Row],[FECHA]]&gt;0,TEXT(BCP_Soles[[#This Row],[FECHA]],"mmmm"),0)</f>
        <v>Mayo</v>
      </c>
    </row>
    <row r="1455" spans="2:28" ht="24" x14ac:dyDescent="0.3">
      <c r="B1455" s="2">
        <f>IF(BCP_Soles[[#This Row],[TIPO DE R.]]="R",COUNTIFS($D$4:$D1454,"R")+1,"")</f>
        <v>1142</v>
      </c>
      <c r="C1455" s="19" t="str">
        <f t="shared" si="110"/>
        <v>B-BCP - Soles</v>
      </c>
      <c r="D1455" s="3" t="s">
        <v>1074</v>
      </c>
      <c r="E1455" s="14">
        <v>45779</v>
      </c>
      <c r="F1455" s="5" t="s">
        <v>1078</v>
      </c>
      <c r="G1455" s="5" t="s">
        <v>1079</v>
      </c>
      <c r="H1455" s="6" t="s">
        <v>1001</v>
      </c>
      <c r="I1455" s="6"/>
      <c r="J1455" s="6"/>
      <c r="K1455" s="6"/>
      <c r="L1455" s="7" t="s">
        <v>2588</v>
      </c>
      <c r="M1455" s="8">
        <v>1263931</v>
      </c>
      <c r="N1455" s="8" t="str">
        <f t="shared" si="111"/>
        <v>PEN</v>
      </c>
      <c r="O1455" s="13"/>
      <c r="P1455" s="13">
        <v>10</v>
      </c>
      <c r="Q1455" s="3">
        <f t="shared" si="112"/>
        <v>0</v>
      </c>
      <c r="R1455" s="3">
        <f t="shared" si="113"/>
        <v>10</v>
      </c>
      <c r="S1455" s="3">
        <f t="shared" si="114"/>
        <v>79428.860000000044</v>
      </c>
      <c r="T1455" s="24"/>
      <c r="U1455" s="24"/>
      <c r="V1455" s="67"/>
      <c r="W1455" s="25">
        <f>IFERROR(VLOOKUP(BCP_Soles[[#This Row],[DESTINATARIO]],CHOOSE({1,2},Clientes_Proveedores[Razon Social],Clientes_Proveedores[Ruc / Dni]),2,0),"")</f>
        <v>20100047218</v>
      </c>
      <c r="X1455" s="25" t="s">
        <v>1078</v>
      </c>
      <c r="Y1455" s="25"/>
      <c r="Z1455" s="25"/>
      <c r="AA1455" s="99"/>
      <c r="AB1455" s="3" t="str">
        <f>IF(BCP_Soles[[#This Row],[FECHA]]&gt;0,TEXT(BCP_Soles[[#This Row],[FECHA]],"mmmm"),0)</f>
        <v>Mayo</v>
      </c>
    </row>
    <row r="1456" spans="2:28" x14ac:dyDescent="0.3">
      <c r="B1456" s="2">
        <f>IF(BCP_Soles[[#This Row],[TIPO DE R.]]="R",COUNTIFS($D$4:$D1455,"R")+1,"")</f>
        <v>1143</v>
      </c>
      <c r="C1456" s="19" t="str">
        <f t="shared" si="110"/>
        <v>B-BCP - Soles</v>
      </c>
      <c r="D1456" s="3" t="s">
        <v>1074</v>
      </c>
      <c r="E1456" s="14">
        <v>45779</v>
      </c>
      <c r="F1456" s="5" t="s">
        <v>1996</v>
      </c>
      <c r="G1456" s="5" t="s">
        <v>1079</v>
      </c>
      <c r="H1456" s="6" t="s">
        <v>139</v>
      </c>
      <c r="I1456" s="6" t="s">
        <v>14</v>
      </c>
      <c r="J1456" s="6" t="s">
        <v>1953</v>
      </c>
      <c r="K1456" s="6">
        <v>6278</v>
      </c>
      <c r="L1456" s="7" t="s">
        <v>1954</v>
      </c>
      <c r="M1456" s="8">
        <v>133296</v>
      </c>
      <c r="N1456" s="8" t="str">
        <f t="shared" si="111"/>
        <v>PEN</v>
      </c>
      <c r="O1456" s="13"/>
      <c r="P1456" s="13">
        <v>16.12</v>
      </c>
      <c r="Q1456" s="3">
        <f t="shared" si="112"/>
        <v>0</v>
      </c>
      <c r="R1456" s="3">
        <f t="shared" si="113"/>
        <v>16.12</v>
      </c>
      <c r="S1456" s="3">
        <f t="shared" si="114"/>
        <v>79412.740000000049</v>
      </c>
      <c r="T1456" s="24" t="s">
        <v>1081</v>
      </c>
      <c r="U1456" s="24" t="s">
        <v>1081</v>
      </c>
      <c r="V1456" s="67"/>
      <c r="W1456" s="25">
        <f>IFERROR(VLOOKUP(BCP_Soles[[#This Row],[DESTINATARIO]],CHOOSE({1,2},Clientes_Proveedores[Razon Social],Clientes_Proveedores[Ruc / Dni]),2,0),"")</f>
        <v>20100055237</v>
      </c>
      <c r="X1456" s="25" t="s">
        <v>1955</v>
      </c>
      <c r="Y1456" s="25" t="s">
        <v>2589</v>
      </c>
      <c r="Z1456" s="25"/>
      <c r="AA1456" s="99"/>
      <c r="AB1456" s="3" t="str">
        <f>IF(BCP_Soles[[#This Row],[FECHA]]&gt;0,TEXT(BCP_Soles[[#This Row],[FECHA]],"mmmm"),0)</f>
        <v>Mayo</v>
      </c>
    </row>
    <row r="1457" spans="2:28" x14ac:dyDescent="0.3">
      <c r="B1457" s="2">
        <f>IF(BCP_Soles[[#This Row],[TIPO DE R.]]="R",COUNTIFS($D$4:$D1456,"R")+1,"")</f>
        <v>1144</v>
      </c>
      <c r="C1457" s="19" t="str">
        <f t="shared" si="110"/>
        <v>B-BCP - Soles</v>
      </c>
      <c r="D1457" s="3" t="s">
        <v>1074</v>
      </c>
      <c r="E1457" s="14">
        <v>45779</v>
      </c>
      <c r="F1457" s="5" t="s">
        <v>1996</v>
      </c>
      <c r="G1457" s="5" t="s">
        <v>1079</v>
      </c>
      <c r="H1457" s="6" t="s">
        <v>139</v>
      </c>
      <c r="I1457" s="6" t="s">
        <v>14</v>
      </c>
      <c r="J1457" s="6" t="s">
        <v>1953</v>
      </c>
      <c r="K1457" s="6">
        <v>6284</v>
      </c>
      <c r="L1457" s="7" t="s">
        <v>1954</v>
      </c>
      <c r="M1457" s="8">
        <v>135750</v>
      </c>
      <c r="N1457" s="8" t="str">
        <f t="shared" si="111"/>
        <v>PEN</v>
      </c>
      <c r="O1457" s="13"/>
      <c r="P1457" s="13">
        <v>64.52</v>
      </c>
      <c r="Q1457" s="3">
        <f t="shared" si="112"/>
        <v>0</v>
      </c>
      <c r="R1457" s="3">
        <f t="shared" si="113"/>
        <v>64.52</v>
      </c>
      <c r="S1457" s="3">
        <f t="shared" si="114"/>
        <v>79348.220000000045</v>
      </c>
      <c r="T1457" s="24" t="s">
        <v>1081</v>
      </c>
      <c r="U1457" s="24" t="s">
        <v>1081</v>
      </c>
      <c r="V1457" s="67"/>
      <c r="W1457" s="25">
        <f>IFERROR(VLOOKUP(BCP_Soles[[#This Row],[DESTINATARIO]],CHOOSE({1,2},Clientes_Proveedores[Razon Social],Clientes_Proveedores[Ruc / Dni]),2,0),"")</f>
        <v>20100055237</v>
      </c>
      <c r="X1457" s="25" t="s">
        <v>1955</v>
      </c>
      <c r="Y1457" s="25" t="s">
        <v>2590</v>
      </c>
      <c r="Z1457" s="25"/>
      <c r="AA1457" s="99"/>
      <c r="AB1457" s="3" t="str">
        <f>IF(BCP_Soles[[#This Row],[FECHA]]&gt;0,TEXT(BCP_Soles[[#This Row],[FECHA]],"mmmm"),0)</f>
        <v>Mayo</v>
      </c>
    </row>
    <row r="1458" spans="2:28" x14ac:dyDescent="0.3">
      <c r="B1458" s="2">
        <f>IF(BCP_Soles[[#This Row],[TIPO DE R.]]="R",COUNTIFS($D$4:$D1457,"R")+1,"")</f>
        <v>1145</v>
      </c>
      <c r="C1458" s="19" t="str">
        <f t="shared" si="110"/>
        <v>B-BCP - Soles</v>
      </c>
      <c r="D1458" s="3" t="s">
        <v>1074</v>
      </c>
      <c r="E1458" s="14">
        <v>45779</v>
      </c>
      <c r="F1458" s="5" t="s">
        <v>1996</v>
      </c>
      <c r="G1458" s="5" t="s">
        <v>1079</v>
      </c>
      <c r="H1458" s="6" t="s">
        <v>139</v>
      </c>
      <c r="I1458" s="6" t="s">
        <v>14</v>
      </c>
      <c r="J1458" s="6" t="s">
        <v>1953</v>
      </c>
      <c r="K1458" s="6">
        <v>6282</v>
      </c>
      <c r="L1458" s="7" t="s">
        <v>1954</v>
      </c>
      <c r="M1458" s="8">
        <v>133294</v>
      </c>
      <c r="N1458" s="8" t="str">
        <f t="shared" si="111"/>
        <v>PEN</v>
      </c>
      <c r="O1458" s="13"/>
      <c r="P1458" s="13">
        <v>87.66</v>
      </c>
      <c r="Q1458" s="3">
        <f t="shared" si="112"/>
        <v>0</v>
      </c>
      <c r="R1458" s="3">
        <f t="shared" si="113"/>
        <v>87.66</v>
      </c>
      <c r="S1458" s="3">
        <f t="shared" si="114"/>
        <v>79260.560000000041</v>
      </c>
      <c r="T1458" s="24" t="s">
        <v>1081</v>
      </c>
      <c r="U1458" s="24" t="s">
        <v>1081</v>
      </c>
      <c r="V1458" s="67"/>
      <c r="W1458" s="25">
        <f>IFERROR(VLOOKUP(BCP_Soles[[#This Row],[DESTINATARIO]],CHOOSE({1,2},Clientes_Proveedores[Razon Social],Clientes_Proveedores[Ruc / Dni]),2,0),"")</f>
        <v>20100055237</v>
      </c>
      <c r="X1458" s="25" t="s">
        <v>1955</v>
      </c>
      <c r="Y1458" s="25" t="s">
        <v>2591</v>
      </c>
      <c r="Z1458" s="25"/>
      <c r="AA1458" s="99"/>
      <c r="AB1458" s="3" t="str">
        <f>IF(BCP_Soles[[#This Row],[FECHA]]&gt;0,TEXT(BCP_Soles[[#This Row],[FECHA]],"mmmm"),0)</f>
        <v>Mayo</v>
      </c>
    </row>
    <row r="1459" spans="2:28" ht="24" x14ac:dyDescent="0.3">
      <c r="B1459" s="2">
        <f>IF(BCP_Soles[[#This Row],[TIPO DE R.]]="R",COUNTIFS($D$4:$D1458,"R")+1,"")</f>
        <v>1146</v>
      </c>
      <c r="C1459" s="19" t="str">
        <f t="shared" si="110"/>
        <v>B-BCP - Soles</v>
      </c>
      <c r="D1459" s="3" t="s">
        <v>1074</v>
      </c>
      <c r="E1459" s="14">
        <v>45779</v>
      </c>
      <c r="F1459" s="5" t="s">
        <v>1082</v>
      </c>
      <c r="G1459" s="5" t="s">
        <v>1079</v>
      </c>
      <c r="H1459" s="6"/>
      <c r="I1459" s="6"/>
      <c r="J1459" s="6"/>
      <c r="K1459" s="6"/>
      <c r="L1459" s="7" t="s">
        <v>2592</v>
      </c>
      <c r="M1459" s="8">
        <v>1134759</v>
      </c>
      <c r="N1459" s="8" t="str">
        <f t="shared" si="111"/>
        <v>PEN</v>
      </c>
      <c r="O1459" s="13"/>
      <c r="P1459" s="13">
        <v>90</v>
      </c>
      <c r="Q1459" s="3">
        <f t="shared" si="112"/>
        <v>0</v>
      </c>
      <c r="R1459" s="3">
        <f t="shared" si="113"/>
        <v>90</v>
      </c>
      <c r="S1459" s="3">
        <f t="shared" si="114"/>
        <v>79170.560000000041</v>
      </c>
      <c r="T1459" s="24" t="s">
        <v>1081</v>
      </c>
      <c r="U1459" s="24" t="s">
        <v>1081</v>
      </c>
      <c r="V1459" s="67"/>
      <c r="W1459" s="25" t="str">
        <f>IFERROR(VLOOKUP(BCP_Soles[[#This Row],[DESTINATARIO]],CHOOSE({1,2},Clientes_Proveedores[Razon Social],Clientes_Proveedores[Ruc / Dni]),2,0),"")</f>
        <v/>
      </c>
      <c r="X1459" s="25" t="s">
        <v>2593</v>
      </c>
      <c r="Y1459" s="25" t="s">
        <v>2594</v>
      </c>
      <c r="Z1459" s="25"/>
      <c r="AA1459" s="99"/>
      <c r="AB1459" s="3" t="str">
        <f>IF(BCP_Soles[[#This Row],[FECHA]]&gt;0,TEXT(BCP_Soles[[#This Row],[FECHA]],"mmmm"),0)</f>
        <v>Mayo</v>
      </c>
    </row>
    <row r="1460" spans="2:28" ht="24" x14ac:dyDescent="0.3">
      <c r="B1460" s="2">
        <f>IF(BCP_Soles[[#This Row],[TIPO DE R.]]="R",COUNTIFS($D$4:$D1459,"R")+1,"")</f>
        <v>1147</v>
      </c>
      <c r="C1460" s="19" t="str">
        <f t="shared" si="110"/>
        <v>B-BCP - Soles</v>
      </c>
      <c r="D1460" s="3" t="s">
        <v>1074</v>
      </c>
      <c r="E1460" s="14">
        <v>45779</v>
      </c>
      <c r="F1460" s="5" t="s">
        <v>1082</v>
      </c>
      <c r="G1460" s="5" t="s">
        <v>1079</v>
      </c>
      <c r="H1460" s="6" t="s">
        <v>192</v>
      </c>
      <c r="I1460" s="6"/>
      <c r="J1460" s="6"/>
      <c r="K1460" s="6"/>
      <c r="L1460" s="7" t="s">
        <v>2595</v>
      </c>
      <c r="M1460" s="8">
        <v>1133800</v>
      </c>
      <c r="N1460" s="8" t="str">
        <f t="shared" si="111"/>
        <v>PEN</v>
      </c>
      <c r="O1460" s="13"/>
      <c r="P1460" s="13">
        <v>109.1</v>
      </c>
      <c r="Q1460" s="3">
        <f t="shared" si="112"/>
        <v>0</v>
      </c>
      <c r="R1460" s="3">
        <f t="shared" si="113"/>
        <v>109.1</v>
      </c>
      <c r="S1460" s="3">
        <f t="shared" si="114"/>
        <v>79061.460000000036</v>
      </c>
      <c r="T1460" s="24"/>
      <c r="U1460" s="24"/>
      <c r="V1460" s="67"/>
      <c r="W1460" s="25">
        <f>IFERROR(VLOOKUP(BCP_Soles[[#This Row],[DESTINATARIO]],CHOOSE({1,2},Clientes_Proveedores[Razon Social],Clientes_Proveedores[Ruc / Dni]),2,0),"")</f>
        <v>20302891452</v>
      </c>
      <c r="X1460" s="25" t="s">
        <v>192</v>
      </c>
      <c r="Y1460" s="25"/>
      <c r="Z1460" s="25"/>
      <c r="AA1460" s="99"/>
      <c r="AB1460" s="3" t="str">
        <f>IF(BCP_Soles[[#This Row],[FECHA]]&gt;0,TEXT(BCP_Soles[[#This Row],[FECHA]],"mmmm"),0)</f>
        <v>Mayo</v>
      </c>
    </row>
    <row r="1461" spans="2:28" x14ac:dyDescent="0.3">
      <c r="B1461" s="2">
        <f>IF(BCP_Soles[[#This Row],[TIPO DE R.]]="R",COUNTIFS($D$4:$D1460,"R")+1,"")</f>
        <v>1148</v>
      </c>
      <c r="C1461" s="19" t="str">
        <f t="shared" si="110"/>
        <v>B-BCP - Soles</v>
      </c>
      <c r="D1461" s="3" t="s">
        <v>1074</v>
      </c>
      <c r="E1461" s="14">
        <v>45779</v>
      </c>
      <c r="F1461" s="5" t="s">
        <v>1996</v>
      </c>
      <c r="G1461" s="5" t="s">
        <v>1079</v>
      </c>
      <c r="H1461" s="6" t="s">
        <v>139</v>
      </c>
      <c r="I1461" s="6" t="s">
        <v>14</v>
      </c>
      <c r="J1461" s="6" t="s">
        <v>1953</v>
      </c>
      <c r="K1461" s="6">
        <v>6280</v>
      </c>
      <c r="L1461" s="7" t="s">
        <v>1954</v>
      </c>
      <c r="M1461" s="8">
        <v>135751</v>
      </c>
      <c r="N1461" s="8" t="str">
        <f t="shared" si="111"/>
        <v>PEN</v>
      </c>
      <c r="O1461" s="13"/>
      <c r="P1461" s="13">
        <v>140.66999999999999</v>
      </c>
      <c r="Q1461" s="3">
        <f t="shared" si="112"/>
        <v>0</v>
      </c>
      <c r="R1461" s="3">
        <f t="shared" si="113"/>
        <v>140.66999999999999</v>
      </c>
      <c r="S1461" s="3">
        <f t="shared" si="114"/>
        <v>78920.790000000037</v>
      </c>
      <c r="T1461" s="24" t="s">
        <v>1081</v>
      </c>
      <c r="U1461" s="24" t="s">
        <v>1081</v>
      </c>
      <c r="V1461" s="67"/>
      <c r="W1461" s="25">
        <f>IFERROR(VLOOKUP(BCP_Soles[[#This Row],[DESTINATARIO]],CHOOSE({1,2},Clientes_Proveedores[Razon Social],Clientes_Proveedores[Ruc / Dni]),2,0),"")</f>
        <v>20100055237</v>
      </c>
      <c r="X1461" s="25" t="s">
        <v>1955</v>
      </c>
      <c r="Y1461" s="25" t="s">
        <v>2596</v>
      </c>
      <c r="Z1461" s="25"/>
      <c r="AA1461" s="99"/>
      <c r="AB1461" s="3" t="str">
        <f>IF(BCP_Soles[[#This Row],[FECHA]]&gt;0,TEXT(BCP_Soles[[#This Row],[FECHA]],"mmmm"),0)</f>
        <v>Mayo</v>
      </c>
    </row>
    <row r="1462" spans="2:28" x14ac:dyDescent="0.3">
      <c r="B1462" s="2">
        <f>IF(BCP_Soles[[#This Row],[TIPO DE R.]]="R",COUNTIFS($D$4:$D1461,"R")+1,"")</f>
        <v>1149</v>
      </c>
      <c r="C1462" s="19" t="str">
        <f t="shared" si="110"/>
        <v>B-BCP - Soles</v>
      </c>
      <c r="D1462" s="3" t="s">
        <v>1074</v>
      </c>
      <c r="E1462" s="14">
        <v>45779</v>
      </c>
      <c r="F1462" s="5" t="s">
        <v>1996</v>
      </c>
      <c r="G1462" s="5" t="s">
        <v>1079</v>
      </c>
      <c r="H1462" s="6" t="s">
        <v>139</v>
      </c>
      <c r="I1462" s="6" t="s">
        <v>14</v>
      </c>
      <c r="J1462" s="6" t="s">
        <v>1953</v>
      </c>
      <c r="K1462" s="6">
        <v>6285</v>
      </c>
      <c r="L1462" s="7" t="s">
        <v>1954</v>
      </c>
      <c r="M1462" s="8">
        <v>134760</v>
      </c>
      <c r="N1462" s="8" t="str">
        <f t="shared" si="111"/>
        <v>PEN</v>
      </c>
      <c r="O1462" s="13"/>
      <c r="P1462" s="13">
        <v>344.92</v>
      </c>
      <c r="Q1462" s="3">
        <f t="shared" si="112"/>
        <v>0</v>
      </c>
      <c r="R1462" s="3">
        <f t="shared" si="113"/>
        <v>344.92</v>
      </c>
      <c r="S1462" s="3">
        <f t="shared" si="114"/>
        <v>78575.870000000039</v>
      </c>
      <c r="T1462" s="24" t="s">
        <v>1081</v>
      </c>
      <c r="U1462" s="24" t="s">
        <v>1081</v>
      </c>
      <c r="V1462" s="67"/>
      <c r="W1462" s="25">
        <f>IFERROR(VLOOKUP(BCP_Soles[[#This Row],[DESTINATARIO]],CHOOSE({1,2},Clientes_Proveedores[Razon Social],Clientes_Proveedores[Ruc / Dni]),2,0),"")</f>
        <v>20100055237</v>
      </c>
      <c r="X1462" s="25" t="s">
        <v>1955</v>
      </c>
      <c r="Y1462" s="25" t="s">
        <v>2597</v>
      </c>
      <c r="Z1462" s="25"/>
      <c r="AA1462" s="99"/>
      <c r="AB1462" s="3" t="str">
        <f>IF(BCP_Soles[[#This Row],[FECHA]]&gt;0,TEXT(BCP_Soles[[#This Row],[FECHA]],"mmmm"),0)</f>
        <v>Mayo</v>
      </c>
    </row>
    <row r="1463" spans="2:28" x14ac:dyDescent="0.3">
      <c r="B1463" s="2">
        <f>IF(BCP_Soles[[#This Row],[TIPO DE R.]]="R",COUNTIFS($D$4:$D1462,"R")+1,"")</f>
        <v>1150</v>
      </c>
      <c r="C1463" s="19" t="str">
        <f t="shared" si="110"/>
        <v>B-BCP - Soles</v>
      </c>
      <c r="D1463" s="3" t="s">
        <v>1074</v>
      </c>
      <c r="E1463" s="14">
        <v>45779</v>
      </c>
      <c r="F1463" s="5" t="s">
        <v>1996</v>
      </c>
      <c r="G1463" s="5" t="s">
        <v>1079</v>
      </c>
      <c r="H1463" s="6" t="s">
        <v>139</v>
      </c>
      <c r="I1463" s="6" t="s">
        <v>14</v>
      </c>
      <c r="J1463" s="6" t="s">
        <v>1953</v>
      </c>
      <c r="K1463" s="6">
        <v>6281</v>
      </c>
      <c r="L1463" s="7" t="s">
        <v>1954</v>
      </c>
      <c r="M1463" s="8">
        <v>134758</v>
      </c>
      <c r="N1463" s="8" t="str">
        <f t="shared" si="111"/>
        <v>PEN</v>
      </c>
      <c r="O1463" s="13"/>
      <c r="P1463" s="13">
        <v>379.04</v>
      </c>
      <c r="Q1463" s="3">
        <f t="shared" si="112"/>
        <v>0</v>
      </c>
      <c r="R1463" s="3">
        <f t="shared" si="113"/>
        <v>379.04</v>
      </c>
      <c r="S1463" s="3">
        <f t="shared" si="114"/>
        <v>78196.830000000045</v>
      </c>
      <c r="T1463" s="24" t="s">
        <v>1081</v>
      </c>
      <c r="U1463" s="24" t="s">
        <v>1081</v>
      </c>
      <c r="V1463" s="67"/>
      <c r="W1463" s="25">
        <f>IFERROR(VLOOKUP(BCP_Soles[[#This Row],[DESTINATARIO]],CHOOSE({1,2},Clientes_Proveedores[Razon Social],Clientes_Proveedores[Ruc / Dni]),2,0),"")</f>
        <v>20100055237</v>
      </c>
      <c r="X1463" s="25" t="s">
        <v>1955</v>
      </c>
      <c r="Y1463" s="25" t="s">
        <v>2598</v>
      </c>
      <c r="Z1463" s="25"/>
      <c r="AA1463" s="99"/>
      <c r="AB1463" s="3" t="str">
        <f>IF(BCP_Soles[[#This Row],[FECHA]]&gt;0,TEXT(BCP_Soles[[#This Row],[FECHA]],"mmmm"),0)</f>
        <v>Mayo</v>
      </c>
    </row>
    <row r="1464" spans="2:28" x14ac:dyDescent="0.3">
      <c r="B1464" s="2">
        <f>IF(BCP_Soles[[#This Row],[TIPO DE R.]]="R",COUNTIFS($D$4:$D1463,"R")+1,"")</f>
        <v>1151</v>
      </c>
      <c r="C1464" s="19" t="str">
        <f t="shared" si="110"/>
        <v>B-BCP - Soles</v>
      </c>
      <c r="D1464" s="3" t="s">
        <v>1074</v>
      </c>
      <c r="E1464" s="14">
        <v>45779</v>
      </c>
      <c r="F1464" s="5" t="s">
        <v>1251</v>
      </c>
      <c r="G1464" s="5" t="s">
        <v>1079</v>
      </c>
      <c r="H1464" s="6"/>
      <c r="I1464" s="6"/>
      <c r="J1464" s="6"/>
      <c r="K1464" s="6"/>
      <c r="L1464" s="7" t="s">
        <v>2599</v>
      </c>
      <c r="M1464" s="8">
        <v>1008523</v>
      </c>
      <c r="N1464" s="8" t="str">
        <f t="shared" si="111"/>
        <v>PEN</v>
      </c>
      <c r="O1464" s="13"/>
      <c r="P1464" s="13">
        <v>866</v>
      </c>
      <c r="Q1464" s="3">
        <f t="shared" si="112"/>
        <v>0</v>
      </c>
      <c r="R1464" s="3">
        <f t="shared" si="113"/>
        <v>866</v>
      </c>
      <c r="S1464" s="3">
        <f t="shared" si="114"/>
        <v>77330.830000000045</v>
      </c>
      <c r="T1464" s="24"/>
      <c r="U1464" s="24"/>
      <c r="V1464" s="67"/>
      <c r="W1464" s="25" t="str">
        <f>IFERROR(VLOOKUP(BCP_Soles[[#This Row],[DESTINATARIO]],CHOOSE({1,2},Clientes_Proveedores[Razon Social],Clientes_Proveedores[Ruc / Dni]),2,0),"")</f>
        <v/>
      </c>
      <c r="X1464" s="25" t="s">
        <v>2386</v>
      </c>
      <c r="Y1464" s="25"/>
      <c r="Z1464" s="25"/>
      <c r="AA1464" s="99"/>
      <c r="AB1464" s="3" t="str">
        <f>IF(BCP_Soles[[#This Row],[FECHA]]&gt;0,TEXT(BCP_Soles[[#This Row],[FECHA]],"mmmm"),0)</f>
        <v>Mayo</v>
      </c>
    </row>
    <row r="1465" spans="2:28" ht="36" x14ac:dyDescent="0.3">
      <c r="B1465" s="2">
        <f>IF(BCP_Soles[[#This Row],[TIPO DE R.]]="R",COUNTIFS($D$4:$D1464,"R")+1,"")</f>
        <v>1152</v>
      </c>
      <c r="C1465" s="19" t="str">
        <f t="shared" si="110"/>
        <v>B-BCP - Soles</v>
      </c>
      <c r="D1465" s="3" t="s">
        <v>1074</v>
      </c>
      <c r="E1465" s="14">
        <v>45779</v>
      </c>
      <c r="F1465" s="5" t="s">
        <v>1082</v>
      </c>
      <c r="G1465" s="5" t="s">
        <v>1079</v>
      </c>
      <c r="H1465" s="6" t="s">
        <v>695</v>
      </c>
      <c r="I1465" s="6" t="s">
        <v>18</v>
      </c>
      <c r="J1465" s="6" t="s">
        <v>1121</v>
      </c>
      <c r="K1465" s="6">
        <v>20</v>
      </c>
      <c r="L1465" s="7" t="s">
        <v>2600</v>
      </c>
      <c r="M1465" s="8">
        <v>1265702</v>
      </c>
      <c r="N1465" s="8" t="str">
        <f t="shared" si="111"/>
        <v>PEN</v>
      </c>
      <c r="O1465" s="13"/>
      <c r="P1465" s="13">
        <v>950</v>
      </c>
      <c r="Q1465" s="3">
        <f t="shared" si="112"/>
        <v>0</v>
      </c>
      <c r="R1465" s="3">
        <f t="shared" si="113"/>
        <v>950</v>
      </c>
      <c r="S1465" s="3">
        <f t="shared" si="114"/>
        <v>76380.830000000045</v>
      </c>
      <c r="T1465" s="24" t="s">
        <v>1081</v>
      </c>
      <c r="U1465" s="24" t="s">
        <v>1081</v>
      </c>
      <c r="V1465" s="67"/>
      <c r="W1465" s="25">
        <f>IFERROR(VLOOKUP(BCP_Soles[[#This Row],[DESTINATARIO]],CHOOSE({1,2},Clientes_Proveedores[Razon Social],Clientes_Proveedores[Ruc / Dni]),2,0),"")</f>
        <v>10723875914</v>
      </c>
      <c r="X1465" s="25" t="s">
        <v>695</v>
      </c>
      <c r="Y1465" s="25" t="s">
        <v>2601</v>
      </c>
      <c r="Z1465" s="25"/>
      <c r="AA1465" s="99"/>
      <c r="AB1465" s="3" t="str">
        <f>IF(BCP_Soles[[#This Row],[FECHA]]&gt;0,TEXT(BCP_Soles[[#This Row],[FECHA]],"mmmm"),0)</f>
        <v>Mayo</v>
      </c>
    </row>
    <row r="1466" spans="2:28" x14ac:dyDescent="0.3">
      <c r="B1466" s="2">
        <f>IF(BCP_Soles[[#This Row],[TIPO DE R.]]="R",COUNTIFS($D$4:$D1465,"R")+1,"")</f>
        <v>1153</v>
      </c>
      <c r="C1466" s="19" t="str">
        <f t="shared" si="110"/>
        <v>B-BCP - Soles</v>
      </c>
      <c r="D1466" s="3" t="s">
        <v>1074</v>
      </c>
      <c r="E1466" s="14">
        <v>45779</v>
      </c>
      <c r="F1466" s="5" t="s">
        <v>1082</v>
      </c>
      <c r="G1466" s="5" t="s">
        <v>1079</v>
      </c>
      <c r="H1466" s="6" t="s">
        <v>637</v>
      </c>
      <c r="I1466" s="6" t="s">
        <v>14</v>
      </c>
      <c r="J1466" s="6" t="s">
        <v>1253</v>
      </c>
      <c r="K1466" s="6">
        <v>159159</v>
      </c>
      <c r="L1466" s="7" t="s">
        <v>1123</v>
      </c>
      <c r="M1466" s="8">
        <v>264753</v>
      </c>
      <c r="N1466" s="8" t="str">
        <f t="shared" si="111"/>
        <v>PEN</v>
      </c>
      <c r="O1466" s="13"/>
      <c r="P1466" s="13">
        <v>1115.08</v>
      </c>
      <c r="Q1466" s="3">
        <f t="shared" si="112"/>
        <v>0</v>
      </c>
      <c r="R1466" s="3">
        <f t="shared" si="113"/>
        <v>1115.08</v>
      </c>
      <c r="S1466" s="3">
        <f t="shared" si="114"/>
        <v>75265.750000000044</v>
      </c>
      <c r="T1466" s="24" t="s">
        <v>1081</v>
      </c>
      <c r="U1466" s="24" t="s">
        <v>1081</v>
      </c>
      <c r="V1466" s="67"/>
      <c r="W1466" s="25">
        <f>IFERROR(VLOOKUP(BCP_Soles[[#This Row],[DESTINATARIO]],CHOOSE({1,2},Clientes_Proveedores[Razon Social],Clientes_Proveedores[Ruc / Dni]),2,0),"")</f>
        <v>20127765279</v>
      </c>
      <c r="X1466" s="25" t="s">
        <v>1124</v>
      </c>
      <c r="Y1466" s="25" t="s">
        <v>2602</v>
      </c>
      <c r="Z1466" s="25"/>
      <c r="AA1466" s="99"/>
      <c r="AB1466" s="3" t="str">
        <f>IF(BCP_Soles[[#This Row],[FECHA]]&gt;0,TEXT(BCP_Soles[[#This Row],[FECHA]],"mmmm"),0)</f>
        <v>Mayo</v>
      </c>
    </row>
    <row r="1467" spans="2:28" x14ac:dyDescent="0.3">
      <c r="B1467" s="2">
        <f>IF(BCP_Soles[[#This Row],[TIPO DE R.]]="R",COUNTIFS($D$4:$D1466,"R")+1,"")</f>
        <v>1154</v>
      </c>
      <c r="C1467" s="19" t="str">
        <f t="shared" si="110"/>
        <v>B-BCP - Soles</v>
      </c>
      <c r="D1467" s="3" t="s">
        <v>1074</v>
      </c>
      <c r="E1467" s="14">
        <v>45779</v>
      </c>
      <c r="F1467" s="5" t="s">
        <v>1082</v>
      </c>
      <c r="G1467" s="5" t="s">
        <v>1079</v>
      </c>
      <c r="H1467" s="6" t="s">
        <v>139</v>
      </c>
      <c r="I1467" s="6" t="s">
        <v>14</v>
      </c>
      <c r="J1467" s="6" t="s">
        <v>1953</v>
      </c>
      <c r="K1467" s="6">
        <v>6277</v>
      </c>
      <c r="L1467" s="7" t="s">
        <v>1954</v>
      </c>
      <c r="M1467" s="8">
        <v>133802</v>
      </c>
      <c r="N1467" s="8" t="str">
        <f t="shared" si="111"/>
        <v>PEN</v>
      </c>
      <c r="O1467" s="13"/>
      <c r="P1467" s="13">
        <v>1474.6</v>
      </c>
      <c r="Q1467" s="3">
        <f t="shared" si="112"/>
        <v>0</v>
      </c>
      <c r="R1467" s="3">
        <f t="shared" si="113"/>
        <v>1474.6</v>
      </c>
      <c r="S1467" s="3">
        <f t="shared" si="114"/>
        <v>73791.150000000038</v>
      </c>
      <c r="T1467" s="24" t="s">
        <v>1081</v>
      </c>
      <c r="U1467" s="24" t="s">
        <v>1081</v>
      </c>
      <c r="V1467" s="67"/>
      <c r="W1467" s="25">
        <f>IFERROR(VLOOKUP(BCP_Soles[[#This Row],[DESTINATARIO]],CHOOSE({1,2},Clientes_Proveedores[Razon Social],Clientes_Proveedores[Ruc / Dni]),2,0),"")</f>
        <v>20100055237</v>
      </c>
      <c r="X1467" s="25" t="s">
        <v>1955</v>
      </c>
      <c r="Y1467" s="25" t="s">
        <v>2603</v>
      </c>
      <c r="Z1467" s="25"/>
      <c r="AA1467" s="99"/>
      <c r="AB1467" s="3" t="str">
        <f>IF(BCP_Soles[[#This Row],[FECHA]]&gt;0,TEXT(BCP_Soles[[#This Row],[FECHA]],"mmmm"),0)</f>
        <v>Mayo</v>
      </c>
    </row>
    <row r="1468" spans="2:28" ht="24" x14ac:dyDescent="0.3">
      <c r="B1468" s="2">
        <f>IF(BCP_Soles[[#This Row],[TIPO DE R.]]="R",COUNTIFS($D$4:$D1467,"R")+1,"")</f>
        <v>1155</v>
      </c>
      <c r="C1468" s="19" t="str">
        <f t="shared" si="110"/>
        <v>B-BCP - Soles</v>
      </c>
      <c r="D1468" s="3" t="s">
        <v>1074</v>
      </c>
      <c r="E1468" s="14">
        <v>45779</v>
      </c>
      <c r="F1468" s="5" t="s">
        <v>1082</v>
      </c>
      <c r="G1468" s="5" t="s">
        <v>1079</v>
      </c>
      <c r="H1468" s="6" t="s">
        <v>695</v>
      </c>
      <c r="I1468" s="6" t="s">
        <v>18</v>
      </c>
      <c r="J1468" s="6" t="s">
        <v>1121</v>
      </c>
      <c r="K1468" s="6">
        <v>19</v>
      </c>
      <c r="L1468" s="7" t="s">
        <v>2604</v>
      </c>
      <c r="M1468" s="8">
        <v>1265231</v>
      </c>
      <c r="N1468" s="8" t="str">
        <f t="shared" si="111"/>
        <v>PEN</v>
      </c>
      <c r="O1468" s="13"/>
      <c r="P1468" s="13">
        <v>1800</v>
      </c>
      <c r="Q1468" s="3">
        <f t="shared" si="112"/>
        <v>0</v>
      </c>
      <c r="R1468" s="3">
        <f t="shared" si="113"/>
        <v>1800</v>
      </c>
      <c r="S1468" s="3">
        <f t="shared" si="114"/>
        <v>71991.150000000038</v>
      </c>
      <c r="T1468" s="24" t="s">
        <v>1081</v>
      </c>
      <c r="U1468" s="24" t="s">
        <v>1081</v>
      </c>
      <c r="V1468" s="67"/>
      <c r="W1468" s="25">
        <f>IFERROR(VLOOKUP(BCP_Soles[[#This Row],[DESTINATARIO]],CHOOSE({1,2},Clientes_Proveedores[Razon Social],Clientes_Proveedores[Ruc / Dni]),2,0),"")</f>
        <v>10723875914</v>
      </c>
      <c r="X1468" s="25" t="s">
        <v>695</v>
      </c>
      <c r="Y1468" s="25" t="s">
        <v>2605</v>
      </c>
      <c r="Z1468" s="25"/>
      <c r="AA1468" s="99"/>
      <c r="AB1468" s="3" t="str">
        <f>IF(BCP_Soles[[#This Row],[FECHA]]&gt;0,TEXT(BCP_Soles[[#This Row],[FECHA]],"mmmm"),0)</f>
        <v>Mayo</v>
      </c>
    </row>
    <row r="1469" spans="2:28" x14ac:dyDescent="0.3">
      <c r="B1469" s="2">
        <f>IF(BCP_Soles[[#This Row],[TIPO DE R.]]="R",COUNTIFS($D$4:$D1468,"R")+1,"")</f>
        <v>1156</v>
      </c>
      <c r="C1469" s="19" t="str">
        <f t="shared" si="110"/>
        <v>B-BCP - Soles</v>
      </c>
      <c r="D1469" s="3" t="s">
        <v>1074</v>
      </c>
      <c r="E1469" s="14">
        <v>45779</v>
      </c>
      <c r="F1469" s="5" t="s">
        <v>1251</v>
      </c>
      <c r="G1469" s="5" t="s">
        <v>1079</v>
      </c>
      <c r="H1469" s="6"/>
      <c r="I1469" s="6"/>
      <c r="J1469" s="6"/>
      <c r="K1469" s="6"/>
      <c r="L1469" s="7" t="s">
        <v>2606</v>
      </c>
      <c r="M1469" s="8">
        <v>1008435</v>
      </c>
      <c r="N1469" s="8" t="str">
        <f t="shared" si="111"/>
        <v>PEN</v>
      </c>
      <c r="O1469" s="13"/>
      <c r="P1469" s="13">
        <v>2000</v>
      </c>
      <c r="Q1469" s="3">
        <f t="shared" si="112"/>
        <v>0</v>
      </c>
      <c r="R1469" s="3">
        <f t="shared" si="113"/>
        <v>2000</v>
      </c>
      <c r="S1469" s="3">
        <f t="shared" si="114"/>
        <v>69991.150000000038</v>
      </c>
      <c r="T1469" s="24"/>
      <c r="U1469" s="24"/>
      <c r="V1469" s="67"/>
      <c r="W1469" s="25" t="str">
        <f>IFERROR(VLOOKUP(BCP_Soles[[#This Row],[DESTINATARIO]],CHOOSE({1,2},Clientes_Proveedores[Razon Social],Clientes_Proveedores[Ruc / Dni]),2,0),"")</f>
        <v/>
      </c>
      <c r="X1469" s="25"/>
      <c r="Y1469" s="25"/>
      <c r="Z1469" s="25"/>
      <c r="AA1469" s="99"/>
      <c r="AB1469" s="3" t="str">
        <f>IF(BCP_Soles[[#This Row],[FECHA]]&gt;0,TEXT(BCP_Soles[[#This Row],[FECHA]],"mmmm"),0)</f>
        <v>Mayo</v>
      </c>
    </row>
    <row r="1470" spans="2:28" x14ac:dyDescent="0.3">
      <c r="B1470" s="2">
        <f>IF(BCP_Soles[[#This Row],[TIPO DE R.]]="R",COUNTIFS($D$4:$D1469,"R")+1,"")</f>
        <v>1157</v>
      </c>
      <c r="C1470" s="19" t="str">
        <f t="shared" si="110"/>
        <v>B-BCP - Soles</v>
      </c>
      <c r="D1470" s="3" t="s">
        <v>1074</v>
      </c>
      <c r="E1470" s="14">
        <v>45779</v>
      </c>
      <c r="F1470" s="5" t="s">
        <v>1082</v>
      </c>
      <c r="G1470" s="5" t="s">
        <v>1079</v>
      </c>
      <c r="H1470" s="6" t="s">
        <v>637</v>
      </c>
      <c r="I1470" s="6" t="s">
        <v>14</v>
      </c>
      <c r="J1470" s="6" t="s">
        <v>1122</v>
      </c>
      <c r="K1470" s="6">
        <v>160391</v>
      </c>
      <c r="L1470" s="7" t="s">
        <v>1123</v>
      </c>
      <c r="M1470" s="8">
        <v>266693</v>
      </c>
      <c r="N1470" s="8" t="str">
        <f t="shared" si="111"/>
        <v>PEN</v>
      </c>
      <c r="O1470" s="13"/>
      <c r="P1470" s="13">
        <v>2130.9</v>
      </c>
      <c r="Q1470" s="3">
        <f t="shared" si="112"/>
        <v>0</v>
      </c>
      <c r="R1470" s="3">
        <f t="shared" si="113"/>
        <v>2130.9</v>
      </c>
      <c r="S1470" s="3">
        <f t="shared" si="114"/>
        <v>67860.250000000044</v>
      </c>
      <c r="T1470" s="24" t="s">
        <v>1081</v>
      </c>
      <c r="U1470" s="24" t="s">
        <v>1081</v>
      </c>
      <c r="V1470" s="67"/>
      <c r="W1470" s="25">
        <f>IFERROR(VLOOKUP(BCP_Soles[[#This Row],[DESTINATARIO]],CHOOSE({1,2},Clientes_Proveedores[Razon Social],Clientes_Proveedores[Ruc / Dni]),2,0),"")</f>
        <v>20127765279</v>
      </c>
      <c r="X1470" s="25" t="s">
        <v>1124</v>
      </c>
      <c r="Y1470" s="25" t="s">
        <v>2607</v>
      </c>
      <c r="Z1470" s="25"/>
      <c r="AA1470" s="99"/>
      <c r="AB1470" s="3" t="str">
        <f>IF(BCP_Soles[[#This Row],[FECHA]]&gt;0,TEXT(BCP_Soles[[#This Row],[FECHA]],"mmmm"),0)</f>
        <v>Mayo</v>
      </c>
    </row>
    <row r="1471" spans="2:28" x14ac:dyDescent="0.3">
      <c r="B1471" s="2">
        <f>IF(BCP_Soles[[#This Row],[TIPO DE R.]]="R",COUNTIFS($D$4:$D1470,"R")+1,"")</f>
        <v>1158</v>
      </c>
      <c r="C1471" s="19" t="str">
        <f t="shared" si="110"/>
        <v>B-BCP - Soles</v>
      </c>
      <c r="D1471" s="3" t="s">
        <v>1074</v>
      </c>
      <c r="E1471" s="14">
        <v>45779</v>
      </c>
      <c r="F1471" s="5" t="s">
        <v>1082</v>
      </c>
      <c r="G1471" s="5" t="s">
        <v>1079</v>
      </c>
      <c r="H1471" s="6" t="s">
        <v>229</v>
      </c>
      <c r="I1471" s="6" t="s">
        <v>14</v>
      </c>
      <c r="J1471" s="6" t="s">
        <v>1148</v>
      </c>
      <c r="K1471" s="6">
        <v>624</v>
      </c>
      <c r="L1471" s="7" t="s">
        <v>2608</v>
      </c>
      <c r="M1471" s="8">
        <v>4026557</v>
      </c>
      <c r="N1471" s="8" t="str">
        <f t="shared" si="111"/>
        <v>PEN</v>
      </c>
      <c r="O1471" s="13"/>
      <c r="P1471" s="13">
        <v>2806.3</v>
      </c>
      <c r="Q1471" s="3">
        <f t="shared" si="112"/>
        <v>0</v>
      </c>
      <c r="R1471" s="3">
        <f t="shared" si="113"/>
        <v>2806.3</v>
      </c>
      <c r="S1471" s="3">
        <f t="shared" si="114"/>
        <v>65053.950000000041</v>
      </c>
      <c r="T1471" s="24" t="s">
        <v>1081</v>
      </c>
      <c r="U1471" s="24" t="s">
        <v>1081</v>
      </c>
      <c r="V1471" s="67"/>
      <c r="W1471" s="25">
        <f>IFERROR(VLOOKUP(BCP_Soles[[#This Row],[DESTINATARIO]],CHOOSE({1,2},Clientes_Proveedores[Razon Social],Clientes_Proveedores[Ruc / Dni]),2,0),"")</f>
        <v>20454186002</v>
      </c>
      <c r="X1471" s="25" t="s">
        <v>2609</v>
      </c>
      <c r="Y1471" s="25" t="s">
        <v>2610</v>
      </c>
      <c r="Z1471" s="25"/>
      <c r="AA1471" s="99"/>
      <c r="AB1471" s="3" t="str">
        <f>IF(BCP_Soles[[#This Row],[FECHA]]&gt;0,TEXT(BCP_Soles[[#This Row],[FECHA]],"mmmm"),0)</f>
        <v>Mayo</v>
      </c>
    </row>
    <row r="1472" spans="2:28" x14ac:dyDescent="0.3">
      <c r="B1472" s="2">
        <f>IF(BCP_Soles[[#This Row],[TIPO DE R.]]="R",COUNTIFS($D$4:$D1471,"R")+1,"")</f>
        <v>1159</v>
      </c>
      <c r="C1472" s="19" t="str">
        <f t="shared" si="110"/>
        <v>B-BCP - Soles</v>
      </c>
      <c r="D1472" s="3" t="s">
        <v>1074</v>
      </c>
      <c r="E1472" s="14">
        <v>45779</v>
      </c>
      <c r="F1472" s="5" t="s">
        <v>1082</v>
      </c>
      <c r="G1472" s="5" t="s">
        <v>1079</v>
      </c>
      <c r="H1472" s="6"/>
      <c r="I1472" s="6"/>
      <c r="J1472" s="6"/>
      <c r="K1472" s="6"/>
      <c r="L1472" s="7" t="s">
        <v>2611</v>
      </c>
      <c r="M1472" s="8">
        <v>1012282</v>
      </c>
      <c r="N1472" s="8" t="str">
        <f t="shared" si="111"/>
        <v>PEN</v>
      </c>
      <c r="O1472" s="13"/>
      <c r="P1472" s="13">
        <v>2974</v>
      </c>
      <c r="Q1472" s="3">
        <f t="shared" si="112"/>
        <v>0</v>
      </c>
      <c r="R1472" s="3">
        <f t="shared" si="113"/>
        <v>2974</v>
      </c>
      <c r="S1472" s="3">
        <f t="shared" si="114"/>
        <v>62079.950000000041</v>
      </c>
      <c r="T1472" s="24"/>
      <c r="U1472" s="24"/>
      <c r="V1472" s="67"/>
      <c r="W1472" s="25" t="str">
        <f>IFERROR(VLOOKUP(BCP_Soles[[#This Row],[DESTINATARIO]],CHOOSE({1,2},Clientes_Proveedores[Razon Social],Clientes_Proveedores[Ruc / Dni]),2,0),"")</f>
        <v/>
      </c>
      <c r="X1472" s="25" t="s">
        <v>2386</v>
      </c>
      <c r="Y1472" s="25"/>
      <c r="Z1472" s="25"/>
      <c r="AA1472" s="99"/>
      <c r="AB1472" s="3" t="str">
        <f>IF(BCP_Soles[[#This Row],[FECHA]]&gt;0,TEXT(BCP_Soles[[#This Row],[FECHA]],"mmmm"),0)</f>
        <v>Mayo</v>
      </c>
    </row>
    <row r="1473" spans="2:28" x14ac:dyDescent="0.3">
      <c r="B1473" s="2">
        <f>IF(BCP_Soles[[#This Row],[TIPO DE R.]]="R",COUNTIFS($D$4:$D1472,"R")+1,"")</f>
        <v>1160</v>
      </c>
      <c r="C1473" s="19" t="str">
        <f t="shared" si="110"/>
        <v>B-BCP - Soles</v>
      </c>
      <c r="D1473" s="3" t="s">
        <v>1074</v>
      </c>
      <c r="E1473" s="14">
        <v>45779</v>
      </c>
      <c r="F1473" s="5" t="s">
        <v>1251</v>
      </c>
      <c r="G1473" s="5" t="s">
        <v>1079</v>
      </c>
      <c r="H1473" s="6"/>
      <c r="I1473" s="6"/>
      <c r="J1473" s="6"/>
      <c r="K1473" s="6"/>
      <c r="L1473" s="7" t="s">
        <v>2612</v>
      </c>
      <c r="M1473" s="8">
        <v>1008403</v>
      </c>
      <c r="N1473" s="8" t="str">
        <f t="shared" si="111"/>
        <v>PEN</v>
      </c>
      <c r="O1473" s="13"/>
      <c r="P1473" s="13">
        <v>6000</v>
      </c>
      <c r="Q1473" s="3">
        <f t="shared" si="112"/>
        <v>0</v>
      </c>
      <c r="R1473" s="3">
        <f t="shared" si="113"/>
        <v>6000</v>
      </c>
      <c r="S1473" s="3">
        <f t="shared" si="114"/>
        <v>56079.950000000041</v>
      </c>
      <c r="T1473" s="24"/>
      <c r="U1473" s="24"/>
      <c r="V1473" s="67"/>
      <c r="W1473" s="25" t="str">
        <f>IFERROR(VLOOKUP(BCP_Soles[[#This Row],[DESTINATARIO]],CHOOSE({1,2},Clientes_Proveedores[Razon Social],Clientes_Proveedores[Ruc / Dni]),2,0),"")</f>
        <v/>
      </c>
      <c r="X1473" s="25"/>
      <c r="Y1473" s="25"/>
      <c r="Z1473" s="25"/>
      <c r="AA1473" s="99"/>
      <c r="AB1473" s="3" t="str">
        <f>IF(BCP_Soles[[#This Row],[FECHA]]&gt;0,TEXT(BCP_Soles[[#This Row],[FECHA]],"mmmm"),0)</f>
        <v>Mayo</v>
      </c>
    </row>
    <row r="1474" spans="2:28" x14ac:dyDescent="0.3">
      <c r="B1474" s="2">
        <f>IF(BCP_Soles[[#This Row],[TIPO DE R.]]="R",COUNTIFS($D$4:$D1473,"R")+1,"")</f>
        <v>1161</v>
      </c>
      <c r="C1474" s="19" t="str">
        <f t="shared" si="110"/>
        <v>B-BCP - Soles</v>
      </c>
      <c r="D1474" s="3" t="s">
        <v>1074</v>
      </c>
      <c r="E1474" s="14">
        <v>45779</v>
      </c>
      <c r="F1474" s="5" t="s">
        <v>1082</v>
      </c>
      <c r="G1474" s="5" t="s">
        <v>1079</v>
      </c>
      <c r="H1474" s="6"/>
      <c r="I1474" s="6"/>
      <c r="J1474" s="6"/>
      <c r="K1474" s="6"/>
      <c r="L1474" s="7" t="s">
        <v>2613</v>
      </c>
      <c r="M1474" s="8">
        <v>1263913</v>
      </c>
      <c r="N1474" s="8" t="str">
        <f t="shared" si="111"/>
        <v>PEN</v>
      </c>
      <c r="O1474" s="13"/>
      <c r="P1474" s="13">
        <v>12368.11</v>
      </c>
      <c r="Q1474" s="3">
        <f t="shared" si="112"/>
        <v>0</v>
      </c>
      <c r="R1474" s="3">
        <f t="shared" si="113"/>
        <v>12368.11</v>
      </c>
      <c r="S1474" s="3">
        <f t="shared" si="114"/>
        <v>43711.84000000004</v>
      </c>
      <c r="T1474" s="24" t="s">
        <v>1081</v>
      </c>
      <c r="U1474" s="24" t="s">
        <v>1081</v>
      </c>
      <c r="V1474" s="67"/>
      <c r="W1474" s="25" t="str">
        <f>IFERROR(VLOOKUP(BCP_Soles[[#This Row],[DESTINATARIO]],CHOOSE({1,2},Clientes_Proveedores[Razon Social],Clientes_Proveedores[Ruc / Dni]),2,0),"")</f>
        <v/>
      </c>
      <c r="X1474" s="25" t="s">
        <v>1118</v>
      </c>
      <c r="Y1474" s="25"/>
      <c r="Z1474" s="25"/>
      <c r="AA1474" s="99"/>
      <c r="AB1474" s="3" t="str">
        <f>IF(BCP_Soles[[#This Row],[FECHA]]&gt;0,TEXT(BCP_Soles[[#This Row],[FECHA]],"mmmm"),0)</f>
        <v>Mayo</v>
      </c>
    </row>
    <row r="1475" spans="2:28" ht="36" x14ac:dyDescent="0.3">
      <c r="B1475" s="2" t="str">
        <f>IF(BCP_Soles[[#This Row],[TIPO DE R.]]="R",COUNTIFS($D$4:$D1474,"R")+1,"")</f>
        <v/>
      </c>
      <c r="C1475" s="19" t="str">
        <f t="shared" si="110"/>
        <v>B-BCP - Soles</v>
      </c>
      <c r="D1475" s="3" t="s">
        <v>1101</v>
      </c>
      <c r="E1475" s="14">
        <v>45779</v>
      </c>
      <c r="F1475" s="5" t="s">
        <v>1082</v>
      </c>
      <c r="G1475" s="5"/>
      <c r="H1475" s="6" t="s">
        <v>220</v>
      </c>
      <c r="I1475" s="6" t="s">
        <v>14</v>
      </c>
      <c r="J1475" s="6" t="s">
        <v>1148</v>
      </c>
      <c r="K1475" s="6">
        <v>1710</v>
      </c>
      <c r="L1475" s="7" t="s">
        <v>2613</v>
      </c>
      <c r="M1475" s="8">
        <v>1263913</v>
      </c>
      <c r="N1475" s="8" t="str">
        <f t="shared" si="111"/>
        <v>PEN</v>
      </c>
      <c r="O1475" s="13">
        <v>2688</v>
      </c>
      <c r="P1475" s="13"/>
      <c r="Q1475" s="3">
        <f t="shared" si="112"/>
        <v>0</v>
      </c>
      <c r="R1475" s="3">
        <f t="shared" si="113"/>
        <v>0</v>
      </c>
      <c r="S1475" s="3">
        <f t="shared" si="114"/>
        <v>43711.84000000004</v>
      </c>
      <c r="T1475" s="24"/>
      <c r="U1475" s="24" t="s">
        <v>1081</v>
      </c>
      <c r="V1475" s="67"/>
      <c r="W1475" s="25">
        <f>IFERROR(VLOOKUP(BCP_Soles[[#This Row],[DESTINATARIO]],CHOOSE({1,2},Clientes_Proveedores[Razon Social],Clientes_Proveedores[Ruc / Dni]),2,0),"")</f>
        <v>20429640939</v>
      </c>
      <c r="X1475" s="25"/>
      <c r="Y1475" s="25"/>
      <c r="Z1475" s="25"/>
      <c r="AA1475" s="99"/>
      <c r="AB1475" s="3" t="str">
        <f>IF(BCP_Soles[[#This Row],[FECHA]]&gt;0,TEXT(BCP_Soles[[#This Row],[FECHA]],"mmmm"),0)</f>
        <v>Mayo</v>
      </c>
    </row>
    <row r="1476" spans="2:28" ht="36" x14ac:dyDescent="0.3">
      <c r="B1476" s="2" t="str">
        <f>IF(BCP_Soles[[#This Row],[TIPO DE R.]]="R",COUNTIFS($D$4:$D1475,"R")+1,"")</f>
        <v/>
      </c>
      <c r="C1476" s="19" t="str">
        <f t="shared" si="110"/>
        <v>B-BCP - Soles</v>
      </c>
      <c r="D1476" s="3" t="s">
        <v>1101</v>
      </c>
      <c r="E1476" s="14">
        <v>45779</v>
      </c>
      <c r="F1476" s="5" t="s">
        <v>1082</v>
      </c>
      <c r="G1476" s="5"/>
      <c r="H1476" s="6" t="s">
        <v>220</v>
      </c>
      <c r="I1476" s="6" t="s">
        <v>14</v>
      </c>
      <c r="J1476" s="6" t="s">
        <v>1148</v>
      </c>
      <c r="K1476" s="6">
        <v>1711</v>
      </c>
      <c r="L1476" s="7" t="s">
        <v>2613</v>
      </c>
      <c r="M1476" s="8">
        <v>1263913</v>
      </c>
      <c r="N1476" s="8" t="str">
        <f t="shared" si="111"/>
        <v>PEN</v>
      </c>
      <c r="O1476" s="13">
        <v>2544</v>
      </c>
      <c r="P1476" s="13"/>
      <c r="Q1476" s="3">
        <f t="shared" si="112"/>
        <v>0</v>
      </c>
      <c r="R1476" s="3">
        <f t="shared" si="113"/>
        <v>0</v>
      </c>
      <c r="S1476" s="3">
        <f t="shared" si="114"/>
        <v>43711.84000000004</v>
      </c>
      <c r="T1476" s="24"/>
      <c r="U1476" s="24" t="s">
        <v>1081</v>
      </c>
      <c r="V1476" s="67"/>
      <c r="W1476" s="25">
        <f>IFERROR(VLOOKUP(BCP_Soles[[#This Row],[DESTINATARIO]],CHOOSE({1,2},Clientes_Proveedores[Razon Social],Clientes_Proveedores[Ruc / Dni]),2,0),"")</f>
        <v>20429640939</v>
      </c>
      <c r="X1476" s="25"/>
      <c r="Y1476" s="25"/>
      <c r="Z1476" s="25"/>
      <c r="AA1476" s="99"/>
      <c r="AB1476" s="3" t="str">
        <f>IF(BCP_Soles[[#This Row],[FECHA]]&gt;0,TEXT(BCP_Soles[[#This Row],[FECHA]],"mmmm"),0)</f>
        <v>Mayo</v>
      </c>
    </row>
    <row r="1477" spans="2:28" ht="24" x14ac:dyDescent="0.3">
      <c r="B1477" s="2" t="str">
        <f>IF(BCP_Soles[[#This Row],[TIPO DE R.]]="R",COUNTIFS($D$4:$D1476,"R")+1,"")</f>
        <v/>
      </c>
      <c r="C1477" s="19" t="str">
        <f t="shared" ref="C1477:C1540" si="115">"B-BCP - Soles"</f>
        <v>B-BCP - Soles</v>
      </c>
      <c r="D1477" s="3" t="s">
        <v>1101</v>
      </c>
      <c r="E1477" s="14">
        <v>45779</v>
      </c>
      <c r="F1477" s="5" t="s">
        <v>1082</v>
      </c>
      <c r="G1477" s="5"/>
      <c r="H1477" s="6" t="s">
        <v>609</v>
      </c>
      <c r="I1477" s="6" t="s">
        <v>14</v>
      </c>
      <c r="J1477" s="6" t="s">
        <v>1121</v>
      </c>
      <c r="K1477" s="6">
        <v>21</v>
      </c>
      <c r="L1477" s="7" t="s">
        <v>2613</v>
      </c>
      <c r="M1477" s="8">
        <v>1263913</v>
      </c>
      <c r="N1477" s="8" t="str">
        <f t="shared" ref="N1477:N1540" si="116">"PEN"</f>
        <v>PEN</v>
      </c>
      <c r="O1477" s="13">
        <v>510</v>
      </c>
      <c r="P1477" s="13"/>
      <c r="Q1477" s="3">
        <f t="shared" ref="Q1477:Q1540" si="117">+IF(OR($G1477="SALDO",$G1477="INGRESO"),$P1477,0)</f>
        <v>0</v>
      </c>
      <c r="R1477" s="3">
        <f t="shared" ref="R1477:R1540" si="118">+IF($G1477="EGRESO",$P1477,0)</f>
        <v>0</v>
      </c>
      <c r="S1477" s="3">
        <f t="shared" ref="S1477:S1540" si="119">IFERROR(IF(G1477="SALDO",Q1477,S1476+Q1477-R1477),0)</f>
        <v>43711.84000000004</v>
      </c>
      <c r="T1477" s="24"/>
      <c r="U1477" s="24" t="s">
        <v>1081</v>
      </c>
      <c r="V1477" s="67"/>
      <c r="W1477" s="25">
        <f>IFERROR(VLOOKUP(BCP_Soles[[#This Row],[DESTINATARIO]],CHOOSE({1,2},Clientes_Proveedores[Razon Social],Clientes_Proveedores[Ruc / Dni]),2,0),"")</f>
        <v>10410687491</v>
      </c>
      <c r="X1477" s="25"/>
      <c r="Y1477" s="25"/>
      <c r="Z1477" s="25"/>
      <c r="AA1477" s="99"/>
      <c r="AB1477" s="3" t="str">
        <f>IF(BCP_Soles[[#This Row],[FECHA]]&gt;0,TEXT(BCP_Soles[[#This Row],[FECHA]],"mmmm"),0)</f>
        <v>Mayo</v>
      </c>
    </row>
    <row r="1478" spans="2:28" x14ac:dyDescent="0.3">
      <c r="B1478" s="2" t="str">
        <f>IF(BCP_Soles[[#This Row],[TIPO DE R.]]="R",COUNTIFS($D$4:$D1477,"R")+1,"")</f>
        <v/>
      </c>
      <c r="C1478" s="19" t="str">
        <f t="shared" si="115"/>
        <v>B-BCP - Soles</v>
      </c>
      <c r="D1478" s="3" t="s">
        <v>1101</v>
      </c>
      <c r="E1478" s="14">
        <v>45779</v>
      </c>
      <c r="F1478" s="5" t="s">
        <v>1082</v>
      </c>
      <c r="G1478" s="5"/>
      <c r="H1478" s="6" t="s">
        <v>465</v>
      </c>
      <c r="I1478" s="6" t="s">
        <v>14</v>
      </c>
      <c r="J1478" s="6" t="s">
        <v>1121</v>
      </c>
      <c r="K1478" s="6">
        <v>3812</v>
      </c>
      <c r="L1478" s="7" t="s">
        <v>2613</v>
      </c>
      <c r="M1478" s="8">
        <v>1263913</v>
      </c>
      <c r="N1478" s="8" t="str">
        <f t="shared" si="116"/>
        <v>PEN</v>
      </c>
      <c r="O1478" s="13">
        <v>212.4</v>
      </c>
      <c r="P1478" s="13"/>
      <c r="Q1478" s="3">
        <f t="shared" si="117"/>
        <v>0</v>
      </c>
      <c r="R1478" s="3">
        <f t="shared" si="118"/>
        <v>0</v>
      </c>
      <c r="S1478" s="3">
        <f t="shared" si="119"/>
        <v>43711.84000000004</v>
      </c>
      <c r="T1478" s="24"/>
      <c r="U1478" s="24" t="s">
        <v>1081</v>
      </c>
      <c r="V1478" s="67"/>
      <c r="W1478" s="25">
        <f>IFERROR(VLOOKUP(BCP_Soles[[#This Row],[DESTINATARIO]],CHOOSE({1,2},Clientes_Proveedores[Razon Social],Clientes_Proveedores[Ruc / Dni]),2,0),"")</f>
        <v>20603974817</v>
      </c>
      <c r="X1478" s="25"/>
      <c r="Y1478" s="25"/>
      <c r="Z1478" s="25"/>
      <c r="AA1478" s="99"/>
      <c r="AB1478" s="3" t="str">
        <f>IF(BCP_Soles[[#This Row],[FECHA]]&gt;0,TEXT(BCP_Soles[[#This Row],[FECHA]],"mmmm"),0)</f>
        <v>Mayo</v>
      </c>
    </row>
    <row r="1479" spans="2:28" x14ac:dyDescent="0.3">
      <c r="B1479" s="2" t="str">
        <f>IF(BCP_Soles[[#This Row],[TIPO DE R.]]="R",COUNTIFS($D$4:$D1478,"R")+1,"")</f>
        <v/>
      </c>
      <c r="C1479" s="19" t="str">
        <f t="shared" si="115"/>
        <v>B-BCP - Soles</v>
      </c>
      <c r="D1479" s="3" t="s">
        <v>1101</v>
      </c>
      <c r="E1479" s="14">
        <v>45779</v>
      </c>
      <c r="F1479" s="5" t="s">
        <v>1082</v>
      </c>
      <c r="G1479" s="5"/>
      <c r="H1479" s="6" t="s">
        <v>465</v>
      </c>
      <c r="I1479" s="6" t="s">
        <v>14</v>
      </c>
      <c r="J1479" s="6" t="s">
        <v>1121</v>
      </c>
      <c r="K1479" s="6">
        <v>3811</v>
      </c>
      <c r="L1479" s="7" t="s">
        <v>2613</v>
      </c>
      <c r="M1479" s="8">
        <v>1263913</v>
      </c>
      <c r="N1479" s="8" t="str">
        <f t="shared" si="116"/>
        <v>PEN</v>
      </c>
      <c r="O1479" s="13">
        <v>150.44999999999999</v>
      </c>
      <c r="P1479" s="13"/>
      <c r="Q1479" s="3">
        <f t="shared" si="117"/>
        <v>0</v>
      </c>
      <c r="R1479" s="3">
        <f t="shared" si="118"/>
        <v>0</v>
      </c>
      <c r="S1479" s="3">
        <f t="shared" si="119"/>
        <v>43711.84000000004</v>
      </c>
      <c r="T1479" s="24"/>
      <c r="U1479" s="24" t="s">
        <v>1081</v>
      </c>
      <c r="V1479" s="67"/>
      <c r="W1479" s="25">
        <f>IFERROR(VLOOKUP(BCP_Soles[[#This Row],[DESTINATARIO]],CHOOSE({1,2},Clientes_Proveedores[Razon Social],Clientes_Proveedores[Ruc / Dni]),2,0),"")</f>
        <v>20603974817</v>
      </c>
      <c r="X1479" s="25"/>
      <c r="Y1479" s="25"/>
      <c r="Z1479" s="25"/>
      <c r="AA1479" s="99"/>
      <c r="AB1479" s="3" t="str">
        <f>IF(BCP_Soles[[#This Row],[FECHA]]&gt;0,TEXT(BCP_Soles[[#This Row],[FECHA]],"mmmm"),0)</f>
        <v>Mayo</v>
      </c>
    </row>
    <row r="1480" spans="2:28" x14ac:dyDescent="0.3">
      <c r="B1480" s="2" t="str">
        <f>IF(BCP_Soles[[#This Row],[TIPO DE R.]]="R",COUNTIFS($D$4:$D1479,"R")+1,"")</f>
        <v/>
      </c>
      <c r="C1480" s="19" t="str">
        <f t="shared" si="115"/>
        <v>B-BCP - Soles</v>
      </c>
      <c r="D1480" s="3" t="s">
        <v>1101</v>
      </c>
      <c r="E1480" s="14">
        <v>45779</v>
      </c>
      <c r="F1480" s="5" t="s">
        <v>1082</v>
      </c>
      <c r="G1480" s="5"/>
      <c r="H1480" s="6" t="s">
        <v>465</v>
      </c>
      <c r="I1480" s="6" t="s">
        <v>14</v>
      </c>
      <c r="J1480" s="6" t="s">
        <v>1121</v>
      </c>
      <c r="K1480" s="6">
        <v>3824</v>
      </c>
      <c r="L1480" s="7" t="s">
        <v>2613</v>
      </c>
      <c r="M1480" s="8">
        <v>1263913</v>
      </c>
      <c r="N1480" s="8" t="str">
        <f t="shared" si="116"/>
        <v>PEN</v>
      </c>
      <c r="O1480" s="13">
        <v>150.44999999999999</v>
      </c>
      <c r="P1480" s="13"/>
      <c r="Q1480" s="3">
        <f t="shared" si="117"/>
        <v>0</v>
      </c>
      <c r="R1480" s="3">
        <f t="shared" si="118"/>
        <v>0</v>
      </c>
      <c r="S1480" s="3">
        <f t="shared" si="119"/>
        <v>43711.84000000004</v>
      </c>
      <c r="T1480" s="24"/>
      <c r="U1480" s="24" t="s">
        <v>1081</v>
      </c>
      <c r="V1480" s="67"/>
      <c r="W1480" s="25">
        <f>IFERROR(VLOOKUP(BCP_Soles[[#This Row],[DESTINATARIO]],CHOOSE({1,2},Clientes_Proveedores[Razon Social],Clientes_Proveedores[Ruc / Dni]),2,0),"")</f>
        <v>20603974817</v>
      </c>
      <c r="X1480" s="25"/>
      <c r="Y1480" s="25"/>
      <c r="Z1480" s="25"/>
      <c r="AA1480" s="99"/>
      <c r="AB1480" s="3" t="str">
        <f>IF(BCP_Soles[[#This Row],[FECHA]]&gt;0,TEXT(BCP_Soles[[#This Row],[FECHA]],"mmmm"),0)</f>
        <v>Mayo</v>
      </c>
    </row>
    <row r="1481" spans="2:28" x14ac:dyDescent="0.3">
      <c r="B1481" s="2" t="str">
        <f>IF(BCP_Soles[[#This Row],[TIPO DE R.]]="R",COUNTIFS($D$4:$D1480,"R")+1,"")</f>
        <v/>
      </c>
      <c r="C1481" s="19" t="str">
        <f t="shared" si="115"/>
        <v>B-BCP - Soles</v>
      </c>
      <c r="D1481" s="3" t="s">
        <v>1101</v>
      </c>
      <c r="E1481" s="14">
        <v>45779</v>
      </c>
      <c r="F1481" s="5" t="s">
        <v>1082</v>
      </c>
      <c r="G1481" s="5"/>
      <c r="H1481" s="6" t="s">
        <v>465</v>
      </c>
      <c r="I1481" s="6" t="s">
        <v>14</v>
      </c>
      <c r="J1481" s="6" t="s">
        <v>1121</v>
      </c>
      <c r="K1481" s="6">
        <v>3836</v>
      </c>
      <c r="L1481" s="7" t="s">
        <v>2613</v>
      </c>
      <c r="M1481" s="8">
        <v>1263913</v>
      </c>
      <c r="N1481" s="8" t="str">
        <f t="shared" si="116"/>
        <v>PEN</v>
      </c>
      <c r="O1481" s="13">
        <v>722.4</v>
      </c>
      <c r="P1481" s="13"/>
      <c r="Q1481" s="3">
        <f t="shared" si="117"/>
        <v>0</v>
      </c>
      <c r="R1481" s="3">
        <f t="shared" si="118"/>
        <v>0</v>
      </c>
      <c r="S1481" s="3">
        <f t="shared" si="119"/>
        <v>43711.84000000004</v>
      </c>
      <c r="T1481" s="24"/>
      <c r="U1481" s="24" t="s">
        <v>1081</v>
      </c>
      <c r="V1481" s="67"/>
      <c r="W1481" s="25">
        <f>IFERROR(VLOOKUP(BCP_Soles[[#This Row],[DESTINATARIO]],CHOOSE({1,2},Clientes_Proveedores[Razon Social],Clientes_Proveedores[Ruc / Dni]),2,0),"")</f>
        <v>20603974817</v>
      </c>
      <c r="X1481" s="25"/>
      <c r="Y1481" s="25"/>
      <c r="Z1481" s="25"/>
      <c r="AA1481" s="99"/>
      <c r="AB1481" s="3" t="str">
        <f>IF(BCP_Soles[[#This Row],[FECHA]]&gt;0,TEXT(BCP_Soles[[#This Row],[FECHA]],"mmmm"),0)</f>
        <v>Mayo</v>
      </c>
    </row>
    <row r="1482" spans="2:28" ht="24" x14ac:dyDescent="0.3">
      <c r="B1482" s="2" t="str">
        <f>IF(BCP_Soles[[#This Row],[TIPO DE R.]]="R",COUNTIFS($D$4:$D1481,"R")+1,"")</f>
        <v/>
      </c>
      <c r="C1482" s="19" t="str">
        <f t="shared" si="115"/>
        <v>B-BCP - Soles</v>
      </c>
      <c r="D1482" s="3" t="s">
        <v>1101</v>
      </c>
      <c r="E1482" s="14">
        <v>45779</v>
      </c>
      <c r="F1482" s="5" t="s">
        <v>1082</v>
      </c>
      <c r="G1482" s="5"/>
      <c r="H1482" s="6" t="s">
        <v>108</v>
      </c>
      <c r="I1482" s="6" t="s">
        <v>14</v>
      </c>
      <c r="J1482" s="6" t="s">
        <v>1121</v>
      </c>
      <c r="K1482" s="6">
        <v>4731</v>
      </c>
      <c r="L1482" s="7" t="s">
        <v>2613</v>
      </c>
      <c r="M1482" s="8">
        <v>1263913</v>
      </c>
      <c r="N1482" s="8" t="str">
        <f t="shared" si="116"/>
        <v>PEN</v>
      </c>
      <c r="O1482" s="13">
        <v>236</v>
      </c>
      <c r="P1482" s="13"/>
      <c r="Q1482" s="3">
        <f t="shared" si="117"/>
        <v>0</v>
      </c>
      <c r="R1482" s="3">
        <f t="shared" si="118"/>
        <v>0</v>
      </c>
      <c r="S1482" s="3">
        <f t="shared" si="119"/>
        <v>43711.84000000004</v>
      </c>
      <c r="T1482" s="24"/>
      <c r="U1482" s="24" t="s">
        <v>1081</v>
      </c>
      <c r="V1482" s="67"/>
      <c r="W1482" s="25">
        <f>IFERROR(VLOOKUP(BCP_Soles[[#This Row],[DESTINATARIO]],CHOOSE({1,2},Clientes_Proveedores[Razon Social],Clientes_Proveedores[Ruc / Dni]),2,0),"")</f>
        <v>10425371652</v>
      </c>
      <c r="X1482" s="25"/>
      <c r="Y1482" s="25"/>
      <c r="Z1482" s="25"/>
      <c r="AA1482" s="99"/>
      <c r="AB1482" s="3" t="str">
        <f>IF(BCP_Soles[[#This Row],[FECHA]]&gt;0,TEXT(BCP_Soles[[#This Row],[FECHA]],"mmmm"),0)</f>
        <v>Mayo</v>
      </c>
    </row>
    <row r="1483" spans="2:28" ht="24" x14ac:dyDescent="0.3">
      <c r="B1483" s="2" t="str">
        <f>IF(BCP_Soles[[#This Row],[TIPO DE R.]]="R",COUNTIFS($D$4:$D1482,"R")+1,"")</f>
        <v/>
      </c>
      <c r="C1483" s="19" t="str">
        <f t="shared" si="115"/>
        <v>B-BCP - Soles</v>
      </c>
      <c r="D1483" s="3" t="s">
        <v>1101</v>
      </c>
      <c r="E1483" s="14">
        <v>45779</v>
      </c>
      <c r="F1483" s="5" t="s">
        <v>1082</v>
      </c>
      <c r="G1483" s="5"/>
      <c r="H1483" s="6" t="s">
        <v>480</v>
      </c>
      <c r="I1483" s="6" t="s">
        <v>14</v>
      </c>
      <c r="J1483" s="6" t="s">
        <v>1121</v>
      </c>
      <c r="K1483" s="6">
        <v>830</v>
      </c>
      <c r="L1483" s="7" t="s">
        <v>2613</v>
      </c>
      <c r="M1483" s="8">
        <v>1263913</v>
      </c>
      <c r="N1483" s="8" t="str">
        <f t="shared" si="116"/>
        <v>PEN</v>
      </c>
      <c r="O1483" s="13">
        <v>642</v>
      </c>
      <c r="P1483" s="13"/>
      <c r="Q1483" s="3">
        <f t="shared" si="117"/>
        <v>0</v>
      </c>
      <c r="R1483" s="3">
        <f t="shared" si="118"/>
        <v>0</v>
      </c>
      <c r="S1483" s="3">
        <f t="shared" si="119"/>
        <v>43711.84000000004</v>
      </c>
      <c r="T1483" s="24"/>
      <c r="U1483" s="24" t="s">
        <v>1081</v>
      </c>
      <c r="V1483" s="67"/>
      <c r="W1483" s="25">
        <f>IFERROR(VLOOKUP(BCP_Soles[[#This Row],[DESTINATARIO]],CHOOSE({1,2},Clientes_Proveedores[Razon Social],Clientes_Proveedores[Ruc / Dni]),2,0),"")</f>
        <v>20605447814</v>
      </c>
      <c r="X1483" s="25"/>
      <c r="Y1483" s="25"/>
      <c r="Z1483" s="25"/>
      <c r="AA1483" s="99"/>
      <c r="AB1483" s="3" t="str">
        <f>IF(BCP_Soles[[#This Row],[FECHA]]&gt;0,TEXT(BCP_Soles[[#This Row],[FECHA]],"mmmm"),0)</f>
        <v>Mayo</v>
      </c>
    </row>
    <row r="1484" spans="2:28" ht="36" x14ac:dyDescent="0.3">
      <c r="B1484" s="2" t="str">
        <f>IF(BCP_Soles[[#This Row],[TIPO DE R.]]="R",COUNTIFS($D$4:$D1483,"R")+1,"")</f>
        <v/>
      </c>
      <c r="C1484" s="19" t="str">
        <f t="shared" si="115"/>
        <v>B-BCP - Soles</v>
      </c>
      <c r="D1484" s="3" t="s">
        <v>1101</v>
      </c>
      <c r="E1484" s="14">
        <v>45779</v>
      </c>
      <c r="F1484" s="5" t="s">
        <v>1082</v>
      </c>
      <c r="G1484" s="5"/>
      <c r="H1484" s="6" t="s">
        <v>258</v>
      </c>
      <c r="I1484" s="6" t="s">
        <v>14</v>
      </c>
      <c r="J1484" s="6" t="s">
        <v>1121</v>
      </c>
      <c r="K1484" s="6">
        <v>2496</v>
      </c>
      <c r="L1484" s="7" t="s">
        <v>2613</v>
      </c>
      <c r="M1484" s="8">
        <v>1263913</v>
      </c>
      <c r="N1484" s="8" t="str">
        <f t="shared" si="116"/>
        <v>PEN</v>
      </c>
      <c r="O1484" s="13">
        <v>82.2</v>
      </c>
      <c r="P1484" s="13"/>
      <c r="Q1484" s="3">
        <f t="shared" si="117"/>
        <v>0</v>
      </c>
      <c r="R1484" s="3">
        <f t="shared" si="118"/>
        <v>0</v>
      </c>
      <c r="S1484" s="3">
        <f t="shared" si="119"/>
        <v>43711.84000000004</v>
      </c>
      <c r="T1484" s="24"/>
      <c r="U1484" s="24" t="s">
        <v>1081</v>
      </c>
      <c r="V1484" s="67"/>
      <c r="W1484" s="25">
        <f>IFERROR(VLOOKUP(BCP_Soles[[#This Row],[DESTINATARIO]],CHOOSE({1,2},Clientes_Proveedores[Razon Social],Clientes_Proveedores[Ruc / Dni]),2,0),"")</f>
        <v>20456565353</v>
      </c>
      <c r="X1484" s="25"/>
      <c r="Y1484" s="25"/>
      <c r="Z1484" s="25"/>
      <c r="AA1484" s="99"/>
      <c r="AB1484" s="3" t="str">
        <f>IF(BCP_Soles[[#This Row],[FECHA]]&gt;0,TEXT(BCP_Soles[[#This Row],[FECHA]],"mmmm"),0)</f>
        <v>Mayo</v>
      </c>
    </row>
    <row r="1485" spans="2:28" x14ac:dyDescent="0.3">
      <c r="B1485" s="2" t="str">
        <f>IF(BCP_Soles[[#This Row],[TIPO DE R.]]="R",COUNTIFS($D$4:$D1484,"R")+1,"")</f>
        <v/>
      </c>
      <c r="C1485" s="19" t="str">
        <f t="shared" si="115"/>
        <v>B-BCP - Soles</v>
      </c>
      <c r="D1485" s="3" t="s">
        <v>1101</v>
      </c>
      <c r="E1485" s="14">
        <v>45779</v>
      </c>
      <c r="F1485" s="5" t="s">
        <v>1082</v>
      </c>
      <c r="G1485" s="5"/>
      <c r="H1485" s="6" t="s">
        <v>229</v>
      </c>
      <c r="I1485" s="6" t="s">
        <v>14</v>
      </c>
      <c r="J1485" s="6" t="s">
        <v>1429</v>
      </c>
      <c r="K1485" s="6">
        <v>1692</v>
      </c>
      <c r="L1485" s="7" t="s">
        <v>2613</v>
      </c>
      <c r="M1485" s="8">
        <v>1263913</v>
      </c>
      <c r="N1485" s="8" t="str">
        <f t="shared" si="116"/>
        <v>PEN</v>
      </c>
      <c r="O1485" s="13">
        <v>738.8</v>
      </c>
      <c r="P1485" s="13"/>
      <c r="Q1485" s="3">
        <f t="shared" si="117"/>
        <v>0</v>
      </c>
      <c r="R1485" s="3">
        <f t="shared" si="118"/>
        <v>0</v>
      </c>
      <c r="S1485" s="3">
        <f t="shared" si="119"/>
        <v>43711.84000000004</v>
      </c>
      <c r="T1485" s="24"/>
      <c r="U1485" s="24" t="s">
        <v>1081</v>
      </c>
      <c r="V1485" s="67"/>
      <c r="W1485" s="25">
        <f>IFERROR(VLOOKUP(BCP_Soles[[#This Row],[DESTINATARIO]],CHOOSE({1,2},Clientes_Proveedores[Razon Social],Clientes_Proveedores[Ruc / Dni]),2,0),"")</f>
        <v>20454186002</v>
      </c>
      <c r="X1485" s="25"/>
      <c r="Y1485" s="25"/>
      <c r="Z1485" s="25"/>
      <c r="AA1485" s="99"/>
      <c r="AB1485" s="3" t="str">
        <f>IF(BCP_Soles[[#This Row],[FECHA]]&gt;0,TEXT(BCP_Soles[[#This Row],[FECHA]],"mmmm"),0)</f>
        <v>Mayo</v>
      </c>
    </row>
    <row r="1486" spans="2:28" x14ac:dyDescent="0.3">
      <c r="B1486" s="2" t="str">
        <f>IF(BCP_Soles[[#This Row],[TIPO DE R.]]="R",COUNTIFS($D$4:$D1485,"R")+1,"")</f>
        <v/>
      </c>
      <c r="C1486" s="19" t="str">
        <f t="shared" si="115"/>
        <v>B-BCP - Soles</v>
      </c>
      <c r="D1486" s="3" t="s">
        <v>1101</v>
      </c>
      <c r="E1486" s="14">
        <v>45779</v>
      </c>
      <c r="F1486" s="5" t="s">
        <v>1082</v>
      </c>
      <c r="G1486" s="5"/>
      <c r="H1486" s="6" t="s">
        <v>229</v>
      </c>
      <c r="I1486" s="6" t="s">
        <v>14</v>
      </c>
      <c r="J1486" s="6" t="s">
        <v>1148</v>
      </c>
      <c r="K1486" s="6">
        <v>625</v>
      </c>
      <c r="L1486" s="7" t="s">
        <v>2613</v>
      </c>
      <c r="M1486" s="8">
        <v>1263913</v>
      </c>
      <c r="N1486" s="8" t="str">
        <f t="shared" si="116"/>
        <v>PEN</v>
      </c>
      <c r="O1486" s="13">
        <v>3244</v>
      </c>
      <c r="P1486" s="13"/>
      <c r="Q1486" s="3">
        <f t="shared" si="117"/>
        <v>0</v>
      </c>
      <c r="R1486" s="3">
        <f t="shared" si="118"/>
        <v>0</v>
      </c>
      <c r="S1486" s="3">
        <f t="shared" si="119"/>
        <v>43711.84000000004</v>
      </c>
      <c r="T1486" s="24"/>
      <c r="U1486" s="24" t="s">
        <v>1081</v>
      </c>
      <c r="V1486" s="67"/>
      <c r="W1486" s="25">
        <f>IFERROR(VLOOKUP(BCP_Soles[[#This Row],[DESTINATARIO]],CHOOSE({1,2},Clientes_Proveedores[Razon Social],Clientes_Proveedores[Ruc / Dni]),2,0),"")</f>
        <v>20454186002</v>
      </c>
      <c r="X1486" s="25"/>
      <c r="Y1486" s="25"/>
      <c r="Z1486" s="25"/>
      <c r="AA1486" s="99"/>
      <c r="AB1486" s="3" t="str">
        <f>IF(BCP_Soles[[#This Row],[FECHA]]&gt;0,TEXT(BCP_Soles[[#This Row],[FECHA]],"mmmm"),0)</f>
        <v>Mayo</v>
      </c>
    </row>
    <row r="1487" spans="2:28" x14ac:dyDescent="0.3">
      <c r="B1487" s="2" t="str">
        <f>IF(BCP_Soles[[#This Row],[TIPO DE R.]]="R",COUNTIFS($D$4:$D1486,"R")+1,"")</f>
        <v/>
      </c>
      <c r="C1487" s="19" t="str">
        <f t="shared" si="115"/>
        <v>B-BCP - Soles</v>
      </c>
      <c r="D1487" s="3" t="s">
        <v>1101</v>
      </c>
      <c r="E1487" s="14">
        <v>45779</v>
      </c>
      <c r="F1487" s="5" t="s">
        <v>1082</v>
      </c>
      <c r="G1487" s="5"/>
      <c r="H1487" s="6" t="s">
        <v>229</v>
      </c>
      <c r="I1487" s="6" t="s">
        <v>14</v>
      </c>
      <c r="J1487" s="6" t="s">
        <v>1148</v>
      </c>
      <c r="K1487" s="6">
        <v>623</v>
      </c>
      <c r="L1487" s="7" t="s">
        <v>2613</v>
      </c>
      <c r="M1487" s="8">
        <v>1263913</v>
      </c>
      <c r="N1487" s="8" t="str">
        <f t="shared" si="116"/>
        <v>PEN</v>
      </c>
      <c r="O1487" s="13">
        <v>133</v>
      </c>
      <c r="P1487" s="13"/>
      <c r="Q1487" s="3">
        <f t="shared" si="117"/>
        <v>0</v>
      </c>
      <c r="R1487" s="3">
        <f t="shared" si="118"/>
        <v>0</v>
      </c>
      <c r="S1487" s="3">
        <f t="shared" si="119"/>
        <v>43711.84000000004</v>
      </c>
      <c r="T1487" s="24"/>
      <c r="U1487" s="24" t="s">
        <v>1081</v>
      </c>
      <c r="V1487" s="67"/>
      <c r="W1487" s="25">
        <f>IFERROR(VLOOKUP(BCP_Soles[[#This Row],[DESTINATARIO]],CHOOSE({1,2},Clientes_Proveedores[Razon Social],Clientes_Proveedores[Ruc / Dni]),2,0),"")</f>
        <v>20454186002</v>
      </c>
      <c r="X1487" s="25"/>
      <c r="Y1487" s="25"/>
      <c r="Z1487" s="25"/>
      <c r="AA1487" s="99"/>
      <c r="AB1487" s="3" t="str">
        <f>IF(BCP_Soles[[#This Row],[FECHA]]&gt;0,TEXT(BCP_Soles[[#This Row],[FECHA]],"mmmm"),0)</f>
        <v>Mayo</v>
      </c>
    </row>
    <row r="1488" spans="2:28" x14ac:dyDescent="0.3">
      <c r="B1488" s="2" t="str">
        <f>IF(BCP_Soles[[#This Row],[TIPO DE R.]]="R",COUNTIFS($D$4:$D1487,"R")+1,"")</f>
        <v/>
      </c>
      <c r="C1488" s="19" t="str">
        <f t="shared" si="115"/>
        <v>B-BCP - Soles</v>
      </c>
      <c r="D1488" s="3" t="s">
        <v>1101</v>
      </c>
      <c r="E1488" s="14">
        <v>45779</v>
      </c>
      <c r="F1488" s="5" t="s">
        <v>1082</v>
      </c>
      <c r="G1488" s="5"/>
      <c r="H1488" s="6" t="s">
        <v>229</v>
      </c>
      <c r="I1488" s="6" t="s">
        <v>14</v>
      </c>
      <c r="J1488" s="6" t="s">
        <v>1429</v>
      </c>
      <c r="K1488" s="6">
        <v>1695</v>
      </c>
      <c r="L1488" s="7" t="s">
        <v>2613</v>
      </c>
      <c r="M1488" s="8">
        <v>1263913</v>
      </c>
      <c r="N1488" s="8" t="str">
        <f t="shared" si="116"/>
        <v>PEN</v>
      </c>
      <c r="O1488" s="13">
        <v>314.41000000000003</v>
      </c>
      <c r="P1488" s="13"/>
      <c r="Q1488" s="3">
        <f t="shared" si="117"/>
        <v>0</v>
      </c>
      <c r="R1488" s="3">
        <f t="shared" si="118"/>
        <v>0</v>
      </c>
      <c r="S1488" s="3">
        <f t="shared" si="119"/>
        <v>43711.84000000004</v>
      </c>
      <c r="T1488" s="24"/>
      <c r="U1488" s="24" t="s">
        <v>1081</v>
      </c>
      <c r="V1488" s="67"/>
      <c r="W1488" s="25">
        <f>IFERROR(VLOOKUP(BCP_Soles[[#This Row],[DESTINATARIO]],CHOOSE({1,2},Clientes_Proveedores[Razon Social],Clientes_Proveedores[Ruc / Dni]),2,0),"")</f>
        <v>20454186002</v>
      </c>
      <c r="X1488" s="25"/>
      <c r="Y1488" s="25"/>
      <c r="Z1488" s="25"/>
      <c r="AA1488" s="99"/>
      <c r="AB1488" s="3" t="str">
        <f>IF(BCP_Soles[[#This Row],[FECHA]]&gt;0,TEXT(BCP_Soles[[#This Row],[FECHA]],"mmmm"),0)</f>
        <v>Mayo</v>
      </c>
    </row>
    <row r="1489" spans="2:28" x14ac:dyDescent="0.3">
      <c r="B1489" s="2">
        <f>IF(BCP_Soles[[#This Row],[TIPO DE R.]]="R",COUNTIFS($D$4:$D1488,"R")+1,"")</f>
        <v>1162</v>
      </c>
      <c r="C1489" s="19" t="str">
        <f t="shared" si="115"/>
        <v>B-BCP - Soles</v>
      </c>
      <c r="D1489" s="3" t="s">
        <v>1074</v>
      </c>
      <c r="E1489" s="14">
        <v>45782</v>
      </c>
      <c r="F1489" s="5" t="s">
        <v>146</v>
      </c>
      <c r="G1489" s="5" t="s">
        <v>1087</v>
      </c>
      <c r="H1489" s="6"/>
      <c r="I1489" s="6"/>
      <c r="J1489" s="6"/>
      <c r="K1489" s="6"/>
      <c r="L1489" s="7" t="s">
        <v>1100</v>
      </c>
      <c r="M1489" s="8">
        <v>4225055</v>
      </c>
      <c r="N1489" s="8" t="str">
        <f t="shared" si="116"/>
        <v>PEN</v>
      </c>
      <c r="O1489" s="13"/>
      <c r="P1489" s="13">
        <v>460.2</v>
      </c>
      <c r="Q1489" s="3">
        <f t="shared" si="117"/>
        <v>460.2</v>
      </c>
      <c r="R1489" s="3">
        <f t="shared" si="118"/>
        <v>0</v>
      </c>
      <c r="S1489" s="3">
        <f t="shared" si="119"/>
        <v>44172.040000000037</v>
      </c>
      <c r="T1489" s="24" t="s">
        <v>1081</v>
      </c>
      <c r="U1489" s="24" t="s">
        <v>1081</v>
      </c>
      <c r="V1489" s="67"/>
      <c r="W1489" s="25" t="str">
        <f>IFERROR(VLOOKUP(BCP_Soles[[#This Row],[DESTINATARIO]],CHOOSE({1,2},Clientes_Proveedores[Razon Social],Clientes_Proveedores[Ruc / Dni]),2,0),"")</f>
        <v/>
      </c>
      <c r="X1489" s="25" t="s">
        <v>1090</v>
      </c>
      <c r="Y1489" s="25" t="s">
        <v>2614</v>
      </c>
      <c r="Z1489" s="25"/>
      <c r="AA1489" s="99"/>
      <c r="AB1489" s="3" t="str">
        <f>IF(BCP_Soles[[#This Row],[FECHA]]&gt;0,TEXT(BCP_Soles[[#This Row],[FECHA]],"mmmm"),0)</f>
        <v>Mayo</v>
      </c>
    </row>
    <row r="1490" spans="2:28" x14ac:dyDescent="0.3">
      <c r="B1490" s="2">
        <f>IF(BCP_Soles[[#This Row],[TIPO DE R.]]="R",COUNTIFS($D$4:$D1489,"R")+1,"")</f>
        <v>1163</v>
      </c>
      <c r="C1490" s="19" t="str">
        <f t="shared" si="115"/>
        <v>B-BCP - Soles</v>
      </c>
      <c r="D1490" s="3" t="s">
        <v>1074</v>
      </c>
      <c r="E1490" s="14">
        <v>45782</v>
      </c>
      <c r="F1490" s="5" t="s">
        <v>1239</v>
      </c>
      <c r="G1490" s="5" t="s">
        <v>1087</v>
      </c>
      <c r="H1490" s="6"/>
      <c r="I1490" s="6"/>
      <c r="J1490" s="6"/>
      <c r="K1490" s="6"/>
      <c r="L1490" s="7" t="s">
        <v>1100</v>
      </c>
      <c r="M1490" s="8">
        <v>2230353</v>
      </c>
      <c r="N1490" s="8" t="str">
        <f t="shared" si="116"/>
        <v>PEN</v>
      </c>
      <c r="O1490" s="13"/>
      <c r="P1490" s="13">
        <v>240</v>
      </c>
      <c r="Q1490" s="3">
        <f t="shared" si="117"/>
        <v>240</v>
      </c>
      <c r="R1490" s="3">
        <f t="shared" si="118"/>
        <v>0</v>
      </c>
      <c r="S1490" s="3">
        <f t="shared" si="119"/>
        <v>44412.040000000037</v>
      </c>
      <c r="T1490" s="24" t="s">
        <v>1081</v>
      </c>
      <c r="U1490" s="24" t="s">
        <v>1081</v>
      </c>
      <c r="V1490" s="67"/>
      <c r="W1490" s="25" t="str">
        <f>IFERROR(VLOOKUP(BCP_Soles[[#This Row],[DESTINATARIO]],CHOOSE({1,2},Clientes_Proveedores[Razon Social],Clientes_Proveedores[Ruc / Dni]),2,0),"")</f>
        <v/>
      </c>
      <c r="X1490" s="25" t="s">
        <v>1090</v>
      </c>
      <c r="Y1490" s="25" t="s">
        <v>2615</v>
      </c>
      <c r="Z1490" s="25"/>
      <c r="AA1490" s="99"/>
      <c r="AB1490" s="3" t="str">
        <f>IF(BCP_Soles[[#This Row],[FECHA]]&gt;0,TEXT(BCP_Soles[[#This Row],[FECHA]],"mmmm"),0)</f>
        <v>Mayo</v>
      </c>
    </row>
    <row r="1491" spans="2:28" ht="24" x14ac:dyDescent="0.3">
      <c r="B1491" s="2">
        <f>IF(BCP_Soles[[#This Row],[TIPO DE R.]]="R",COUNTIFS($D$4:$D1490,"R")+1,"")</f>
        <v>1164</v>
      </c>
      <c r="C1491" s="19" t="str">
        <f t="shared" si="115"/>
        <v>B-BCP - Soles</v>
      </c>
      <c r="D1491" s="3" t="s">
        <v>1074</v>
      </c>
      <c r="E1491" s="14">
        <v>45782</v>
      </c>
      <c r="F1491" s="5" t="s">
        <v>2616</v>
      </c>
      <c r="G1491" s="5" t="s">
        <v>1087</v>
      </c>
      <c r="H1491" s="6"/>
      <c r="I1491" s="6"/>
      <c r="J1491" s="6"/>
      <c r="K1491" s="6"/>
      <c r="L1491" s="7" t="s">
        <v>1100</v>
      </c>
      <c r="M1491" s="8">
        <v>1650508</v>
      </c>
      <c r="N1491" s="8" t="str">
        <f t="shared" si="116"/>
        <v>PEN</v>
      </c>
      <c r="O1491" s="13"/>
      <c r="P1491" s="13">
        <v>84.7</v>
      </c>
      <c r="Q1491" s="3">
        <f t="shared" si="117"/>
        <v>84.7</v>
      </c>
      <c r="R1491" s="3">
        <f t="shared" si="118"/>
        <v>0</v>
      </c>
      <c r="S1491" s="3">
        <f t="shared" si="119"/>
        <v>44496.740000000034</v>
      </c>
      <c r="T1491" s="24" t="s">
        <v>1081</v>
      </c>
      <c r="U1491" s="24" t="s">
        <v>1081</v>
      </c>
      <c r="V1491" s="67"/>
      <c r="W1491" s="25" t="str">
        <f>IFERROR(VLOOKUP(BCP_Soles[[#This Row],[DESTINATARIO]],CHOOSE({1,2},Clientes_Proveedores[Razon Social],Clientes_Proveedores[Ruc / Dni]),2,0),"")</f>
        <v/>
      </c>
      <c r="X1491" s="25" t="s">
        <v>1090</v>
      </c>
      <c r="Y1491" s="25" t="s">
        <v>2617</v>
      </c>
      <c r="Z1491" s="25"/>
      <c r="AA1491" s="99"/>
      <c r="AB1491" s="3" t="str">
        <f>IF(BCP_Soles[[#This Row],[FECHA]]&gt;0,TEXT(BCP_Soles[[#This Row],[FECHA]],"mmmm"),0)</f>
        <v>Mayo</v>
      </c>
    </row>
    <row r="1492" spans="2:28" x14ac:dyDescent="0.3">
      <c r="B1492" s="2">
        <f>IF(BCP_Soles[[#This Row],[TIPO DE R.]]="R",COUNTIFS($D$4:$D1491,"R")+1,"")</f>
        <v>1165</v>
      </c>
      <c r="C1492" s="19" t="str">
        <f t="shared" si="115"/>
        <v>B-BCP - Soles</v>
      </c>
      <c r="D1492" s="3" t="s">
        <v>1074</v>
      </c>
      <c r="E1492" s="14">
        <v>45782</v>
      </c>
      <c r="F1492" s="5" t="s">
        <v>1078</v>
      </c>
      <c r="G1492" s="5" t="s">
        <v>1079</v>
      </c>
      <c r="H1492" s="6"/>
      <c r="I1492" s="6"/>
      <c r="J1492" s="6"/>
      <c r="K1492" s="6"/>
      <c r="L1492" s="7" t="s">
        <v>1080</v>
      </c>
      <c r="M1492" s="8"/>
      <c r="N1492" s="8" t="str">
        <f t="shared" si="116"/>
        <v>PEN</v>
      </c>
      <c r="O1492" s="13"/>
      <c r="P1492" s="13">
        <v>0.1</v>
      </c>
      <c r="Q1492" s="3">
        <f t="shared" si="117"/>
        <v>0</v>
      </c>
      <c r="R1492" s="3">
        <f t="shared" si="118"/>
        <v>0.1</v>
      </c>
      <c r="S1492" s="3">
        <f t="shared" si="119"/>
        <v>44496.640000000036</v>
      </c>
      <c r="T1492" s="24"/>
      <c r="U1492" s="24" t="s">
        <v>1081</v>
      </c>
      <c r="V1492" s="67"/>
      <c r="W1492" s="25" t="str">
        <f>IFERROR(VLOOKUP(BCP_Soles[[#This Row],[DESTINATARIO]],CHOOSE({1,2},Clientes_Proveedores[Razon Social],Clientes_Proveedores[Ruc / Dni]),2,0),"")</f>
        <v/>
      </c>
      <c r="X1492" s="25"/>
      <c r="Y1492" s="25"/>
      <c r="Z1492" s="25"/>
      <c r="AA1492" s="99"/>
      <c r="AB1492" s="3" t="str">
        <f>IF(BCP_Soles[[#This Row],[FECHA]]&gt;0,TEXT(BCP_Soles[[#This Row],[FECHA]],"mmmm"),0)</f>
        <v>Mayo</v>
      </c>
    </row>
    <row r="1493" spans="2:28" ht="36" x14ac:dyDescent="0.3">
      <c r="B1493" s="2">
        <f>IF(BCP_Soles[[#This Row],[TIPO DE R.]]="R",COUNTIFS($D$4:$D1492,"R")+1,"")</f>
        <v>1166</v>
      </c>
      <c r="C1493" s="19" t="str">
        <f t="shared" si="115"/>
        <v>B-BCP - Soles</v>
      </c>
      <c r="D1493" s="3" t="s">
        <v>1074</v>
      </c>
      <c r="E1493" s="14">
        <v>45782</v>
      </c>
      <c r="F1493" s="5" t="s">
        <v>1082</v>
      </c>
      <c r="G1493" s="5" t="s">
        <v>1079</v>
      </c>
      <c r="H1493" s="6" t="s">
        <v>530</v>
      </c>
      <c r="I1493" s="6" t="s">
        <v>14</v>
      </c>
      <c r="J1493" s="6" t="s">
        <v>1121</v>
      </c>
      <c r="K1493" s="6">
        <v>405</v>
      </c>
      <c r="L1493" s="7" t="s">
        <v>2618</v>
      </c>
      <c r="M1493" s="8">
        <v>1108333</v>
      </c>
      <c r="N1493" s="8" t="str">
        <f t="shared" si="116"/>
        <v>PEN</v>
      </c>
      <c r="O1493" s="13"/>
      <c r="P1493" s="13">
        <v>94.28</v>
      </c>
      <c r="Q1493" s="3">
        <f t="shared" si="117"/>
        <v>0</v>
      </c>
      <c r="R1493" s="3">
        <f t="shared" si="118"/>
        <v>94.28</v>
      </c>
      <c r="S1493" s="3">
        <f t="shared" si="119"/>
        <v>44402.360000000037</v>
      </c>
      <c r="T1493" s="24" t="s">
        <v>1081</v>
      </c>
      <c r="U1493" s="24" t="s">
        <v>1081</v>
      </c>
      <c r="V1493" s="67"/>
      <c r="W1493" s="25">
        <f>IFERROR(VLOOKUP(BCP_Soles[[#This Row],[DESTINATARIO]],CHOOSE({1,2},Clientes_Proveedores[Razon Social],Clientes_Proveedores[Ruc / Dni]),2,0),"")</f>
        <v>20609368773</v>
      </c>
      <c r="X1493" s="25" t="s">
        <v>1181</v>
      </c>
      <c r="Y1493" s="25" t="s">
        <v>2619</v>
      </c>
      <c r="Z1493" s="25"/>
      <c r="AA1493" s="99"/>
      <c r="AB1493" s="3" t="str">
        <f>IF(BCP_Soles[[#This Row],[FECHA]]&gt;0,TEXT(BCP_Soles[[#This Row],[FECHA]],"mmmm"),0)</f>
        <v>Mayo</v>
      </c>
    </row>
    <row r="1494" spans="2:28" ht="48" x14ac:dyDescent="0.3">
      <c r="B1494" s="2">
        <f>IF(BCP_Soles[[#This Row],[TIPO DE R.]]="R",COUNTIFS($D$4:$D1493,"R")+1,"")</f>
        <v>1167</v>
      </c>
      <c r="C1494" s="19" t="str">
        <f t="shared" si="115"/>
        <v>B-BCP - Soles</v>
      </c>
      <c r="D1494" s="3" t="s">
        <v>1074</v>
      </c>
      <c r="E1494" s="14">
        <v>45782</v>
      </c>
      <c r="F1494" s="5" t="s">
        <v>1158</v>
      </c>
      <c r="G1494" s="5" t="s">
        <v>1079</v>
      </c>
      <c r="H1494" s="6" t="s">
        <v>444</v>
      </c>
      <c r="I1494" s="6" t="s">
        <v>14</v>
      </c>
      <c r="J1494" s="6" t="s">
        <v>1390</v>
      </c>
      <c r="K1494" s="6">
        <v>7597</v>
      </c>
      <c r="L1494" s="7" t="s">
        <v>2620</v>
      </c>
      <c r="M1494" s="8">
        <v>1170309</v>
      </c>
      <c r="N1494" s="8" t="str">
        <f t="shared" si="116"/>
        <v>PEN</v>
      </c>
      <c r="O1494" s="13"/>
      <c r="P1494" s="13">
        <v>166.63</v>
      </c>
      <c r="Q1494" s="3">
        <f t="shared" si="117"/>
        <v>0</v>
      </c>
      <c r="R1494" s="3">
        <f t="shared" si="118"/>
        <v>166.63</v>
      </c>
      <c r="S1494" s="3">
        <f t="shared" si="119"/>
        <v>44235.73000000004</v>
      </c>
      <c r="T1494" s="24" t="s">
        <v>1081</v>
      </c>
      <c r="U1494" s="24" t="s">
        <v>1081</v>
      </c>
      <c r="V1494" s="67"/>
      <c r="W1494" s="25">
        <f>IFERROR(VLOOKUP(BCP_Soles[[#This Row],[DESTINATARIO]],CHOOSE({1,2},Clientes_Proveedores[Razon Social],Clientes_Proveedores[Ruc / Dni]),2,0),"")</f>
        <v>20602978274</v>
      </c>
      <c r="X1494" s="25" t="s">
        <v>1268</v>
      </c>
      <c r="Y1494" s="25" t="s">
        <v>2621</v>
      </c>
      <c r="Z1494" s="25"/>
      <c r="AA1494" s="99"/>
      <c r="AB1494" s="3" t="str">
        <f>IF(BCP_Soles[[#This Row],[FECHA]]&gt;0,TEXT(BCP_Soles[[#This Row],[FECHA]],"mmmm"),0)</f>
        <v>Mayo</v>
      </c>
    </row>
    <row r="1495" spans="2:28" ht="48" x14ac:dyDescent="0.3">
      <c r="B1495" s="2">
        <f>IF(BCP_Soles[[#This Row],[TIPO DE R.]]="R",COUNTIFS($D$4:$D1494,"R")+1,"")</f>
        <v>1168</v>
      </c>
      <c r="C1495" s="19" t="str">
        <f t="shared" si="115"/>
        <v>B-BCP - Soles</v>
      </c>
      <c r="D1495" s="3" t="s">
        <v>1074</v>
      </c>
      <c r="E1495" s="14">
        <v>45782</v>
      </c>
      <c r="F1495" s="5" t="s">
        <v>1158</v>
      </c>
      <c r="G1495" s="5" t="s">
        <v>1079</v>
      </c>
      <c r="H1495" s="6" t="s">
        <v>444</v>
      </c>
      <c r="I1495" s="6" t="s">
        <v>14</v>
      </c>
      <c r="J1495" s="6" t="s">
        <v>1266</v>
      </c>
      <c r="K1495" s="6">
        <v>10219</v>
      </c>
      <c r="L1495" s="7" t="s">
        <v>2622</v>
      </c>
      <c r="M1495" s="8">
        <v>1168837</v>
      </c>
      <c r="N1495" s="8" t="str">
        <f t="shared" si="116"/>
        <v>PEN</v>
      </c>
      <c r="O1495" s="13"/>
      <c r="P1495" s="13">
        <v>276.48</v>
      </c>
      <c r="Q1495" s="3">
        <f t="shared" si="117"/>
        <v>0</v>
      </c>
      <c r="R1495" s="3">
        <f t="shared" si="118"/>
        <v>276.48</v>
      </c>
      <c r="S1495" s="3">
        <f t="shared" si="119"/>
        <v>43959.250000000036</v>
      </c>
      <c r="T1495" s="24" t="s">
        <v>1081</v>
      </c>
      <c r="U1495" s="24" t="s">
        <v>1081</v>
      </c>
      <c r="V1495" s="67"/>
      <c r="W1495" s="25">
        <f>IFERROR(VLOOKUP(BCP_Soles[[#This Row],[DESTINATARIO]],CHOOSE({1,2},Clientes_Proveedores[Razon Social],Clientes_Proveedores[Ruc / Dni]),2,0),"")</f>
        <v>20602978274</v>
      </c>
      <c r="X1495" s="25" t="s">
        <v>1268</v>
      </c>
      <c r="Y1495" s="25" t="s">
        <v>2623</v>
      </c>
      <c r="Z1495" s="25"/>
      <c r="AA1495" s="99"/>
      <c r="AB1495" s="3" t="str">
        <f>IF(BCP_Soles[[#This Row],[FECHA]]&gt;0,TEXT(BCP_Soles[[#This Row],[FECHA]],"mmmm"),0)</f>
        <v>Mayo</v>
      </c>
    </row>
    <row r="1496" spans="2:28" ht="36" x14ac:dyDescent="0.3">
      <c r="B1496" s="2">
        <f>IF(BCP_Soles[[#This Row],[TIPO DE R.]]="R",COUNTIFS($D$4:$D1495,"R")+1,"")</f>
        <v>1169</v>
      </c>
      <c r="C1496" s="19" t="str">
        <f t="shared" si="115"/>
        <v>B-BCP - Soles</v>
      </c>
      <c r="D1496" s="3" t="s">
        <v>1074</v>
      </c>
      <c r="E1496" s="14">
        <v>45782</v>
      </c>
      <c r="F1496" s="5" t="s">
        <v>1082</v>
      </c>
      <c r="G1496" s="5" t="s">
        <v>1079</v>
      </c>
      <c r="H1496" s="6" t="s">
        <v>440</v>
      </c>
      <c r="I1496" s="6" t="s">
        <v>14</v>
      </c>
      <c r="J1496" s="6" t="s">
        <v>1148</v>
      </c>
      <c r="K1496" s="6">
        <v>19253</v>
      </c>
      <c r="L1496" s="7" t="s">
        <v>2624</v>
      </c>
      <c r="M1496" s="8">
        <v>1109796</v>
      </c>
      <c r="N1496" s="8" t="str">
        <f t="shared" si="116"/>
        <v>PEN</v>
      </c>
      <c r="O1496" s="13"/>
      <c r="P1496" s="13">
        <v>364</v>
      </c>
      <c r="Q1496" s="3">
        <f t="shared" si="117"/>
        <v>0</v>
      </c>
      <c r="R1496" s="3">
        <f t="shared" si="118"/>
        <v>364</v>
      </c>
      <c r="S1496" s="3">
        <f t="shared" si="119"/>
        <v>43595.250000000036</v>
      </c>
      <c r="T1496" s="24" t="s">
        <v>1081</v>
      </c>
      <c r="U1496" s="24" t="s">
        <v>1081</v>
      </c>
      <c r="V1496" s="67"/>
      <c r="W1496" s="25">
        <f>IFERROR(VLOOKUP(BCP_Soles[[#This Row],[DESTINATARIO]],CHOOSE({1,2},Clientes_Proveedores[Razon Social],Clientes_Proveedores[Ruc / Dni]),2,0),"")</f>
        <v>20602810497</v>
      </c>
      <c r="X1496" s="25" t="s">
        <v>1331</v>
      </c>
      <c r="Y1496" s="25" t="s">
        <v>2625</v>
      </c>
      <c r="Z1496" s="25"/>
      <c r="AA1496" s="99"/>
      <c r="AB1496" s="3" t="str">
        <f>IF(BCP_Soles[[#This Row],[FECHA]]&gt;0,TEXT(BCP_Soles[[#This Row],[FECHA]],"mmmm"),0)</f>
        <v>Mayo</v>
      </c>
    </row>
    <row r="1497" spans="2:28" ht="24" x14ac:dyDescent="0.3">
      <c r="B1497" s="2">
        <f>IF(BCP_Soles[[#This Row],[TIPO DE R.]]="R",COUNTIFS($D$4:$D1496,"R")+1,"")</f>
        <v>1170</v>
      </c>
      <c r="C1497" s="19" t="str">
        <f t="shared" si="115"/>
        <v>B-BCP - Soles</v>
      </c>
      <c r="D1497" s="3" t="s">
        <v>1074</v>
      </c>
      <c r="E1497" s="14">
        <v>45782</v>
      </c>
      <c r="F1497" s="5" t="s">
        <v>1082</v>
      </c>
      <c r="G1497" s="5" t="s">
        <v>1079</v>
      </c>
      <c r="H1497" s="6" t="s">
        <v>1010</v>
      </c>
      <c r="I1497" s="6" t="s">
        <v>87</v>
      </c>
      <c r="J1497" s="6">
        <v>1</v>
      </c>
      <c r="K1497" s="6">
        <v>332025</v>
      </c>
      <c r="L1497" s="7" t="s">
        <v>2626</v>
      </c>
      <c r="M1497" s="8">
        <v>1109294</v>
      </c>
      <c r="N1497" s="8" t="str">
        <f t="shared" si="116"/>
        <v>PEN</v>
      </c>
      <c r="O1497" s="13"/>
      <c r="P1497" s="13">
        <v>540</v>
      </c>
      <c r="Q1497" s="3">
        <f t="shared" si="117"/>
        <v>0</v>
      </c>
      <c r="R1497" s="3">
        <f t="shared" si="118"/>
        <v>540</v>
      </c>
      <c r="S1497" s="3">
        <f t="shared" si="119"/>
        <v>43055.250000000036</v>
      </c>
      <c r="T1497" s="24" t="s">
        <v>1081</v>
      </c>
      <c r="U1497" s="24" t="s">
        <v>1081</v>
      </c>
      <c r="V1497" s="67"/>
      <c r="W1497" s="25">
        <f>IFERROR(VLOOKUP(BCP_Soles[[#This Row],[DESTINATARIO]],CHOOSE({1,2},Clientes_Proveedores[Razon Social],Clientes_Proveedores[Ruc / Dni]),2,0),"")</f>
        <v>72378581</v>
      </c>
      <c r="X1497" s="25" t="s">
        <v>2627</v>
      </c>
      <c r="Y1497" s="25" t="s">
        <v>2628</v>
      </c>
      <c r="Z1497" s="25"/>
      <c r="AA1497" s="99"/>
      <c r="AB1497" s="3" t="str">
        <f>IF(BCP_Soles[[#This Row],[FECHA]]&gt;0,TEXT(BCP_Soles[[#This Row],[FECHA]],"mmmm"),0)</f>
        <v>Mayo</v>
      </c>
    </row>
    <row r="1498" spans="2:28" ht="36" x14ac:dyDescent="0.3">
      <c r="B1498" s="2">
        <f>IF(BCP_Soles[[#This Row],[TIPO DE R.]]="R",COUNTIFS($D$4:$D1497,"R")+1,"")</f>
        <v>1171</v>
      </c>
      <c r="C1498" s="19" t="str">
        <f t="shared" si="115"/>
        <v>B-BCP - Soles</v>
      </c>
      <c r="D1498" s="3" t="s">
        <v>1074</v>
      </c>
      <c r="E1498" s="14">
        <v>45782</v>
      </c>
      <c r="F1498" s="5" t="s">
        <v>1082</v>
      </c>
      <c r="G1498" s="5" t="s">
        <v>1079</v>
      </c>
      <c r="H1498" s="6" t="s">
        <v>617</v>
      </c>
      <c r="I1498" s="6" t="s">
        <v>14</v>
      </c>
      <c r="J1498" s="6" t="s">
        <v>2629</v>
      </c>
      <c r="K1498" s="6">
        <v>1123</v>
      </c>
      <c r="L1498" s="7" t="s">
        <v>2630</v>
      </c>
      <c r="M1498" s="8">
        <v>1109293</v>
      </c>
      <c r="N1498" s="8" t="str">
        <f t="shared" si="116"/>
        <v>PEN</v>
      </c>
      <c r="O1498" s="13"/>
      <c r="P1498" s="13">
        <v>1028.2</v>
      </c>
      <c r="Q1498" s="3">
        <f t="shared" si="117"/>
        <v>0</v>
      </c>
      <c r="R1498" s="3">
        <f t="shared" si="118"/>
        <v>1028.2</v>
      </c>
      <c r="S1498" s="3">
        <f t="shared" si="119"/>
        <v>42027.050000000039</v>
      </c>
      <c r="T1498" s="24" t="s">
        <v>1081</v>
      </c>
      <c r="U1498" s="24" t="s">
        <v>1081</v>
      </c>
      <c r="V1498" s="67"/>
      <c r="W1498" s="25">
        <f>IFERROR(VLOOKUP(BCP_Soles[[#This Row],[DESTINATARIO]],CHOOSE({1,2},Clientes_Proveedores[Razon Social],Clientes_Proveedores[Ruc / Dni]),2,0),"")</f>
        <v>20455911401</v>
      </c>
      <c r="X1498" s="25" t="s">
        <v>2631</v>
      </c>
      <c r="Y1498" s="25" t="s">
        <v>2632</v>
      </c>
      <c r="Z1498" s="25"/>
      <c r="AA1498" s="99"/>
      <c r="AB1498" s="3" t="str">
        <f>IF(BCP_Soles[[#This Row],[FECHA]]&gt;0,TEXT(BCP_Soles[[#This Row],[FECHA]],"mmmm"),0)</f>
        <v>Mayo</v>
      </c>
    </row>
    <row r="1499" spans="2:28" ht="24" x14ac:dyDescent="0.3">
      <c r="B1499" s="2">
        <f>IF(BCP_Soles[[#This Row],[TIPO DE R.]]="R",COUNTIFS($D$4:$D1498,"R")+1,"")</f>
        <v>1172</v>
      </c>
      <c r="C1499" s="19" t="str">
        <f t="shared" si="115"/>
        <v>B-BCP - Soles</v>
      </c>
      <c r="D1499" s="3" t="s">
        <v>1074</v>
      </c>
      <c r="E1499" s="14">
        <v>45782</v>
      </c>
      <c r="F1499" s="5" t="s">
        <v>1082</v>
      </c>
      <c r="G1499" s="5" t="s">
        <v>1079</v>
      </c>
      <c r="H1499" s="6" t="s">
        <v>829</v>
      </c>
      <c r="I1499" s="6" t="s">
        <v>91</v>
      </c>
      <c r="J1499" s="6">
        <v>14</v>
      </c>
      <c r="K1499" s="6">
        <v>31</v>
      </c>
      <c r="L1499" s="7" t="s">
        <v>2633</v>
      </c>
      <c r="M1499" s="8">
        <v>1109295</v>
      </c>
      <c r="N1499" s="8" t="str">
        <f t="shared" si="116"/>
        <v>PEN</v>
      </c>
      <c r="O1499" s="13"/>
      <c r="P1499" s="13">
        <v>1975.54</v>
      </c>
      <c r="Q1499" s="3">
        <f t="shared" si="117"/>
        <v>0</v>
      </c>
      <c r="R1499" s="3">
        <f t="shared" si="118"/>
        <v>1975.54</v>
      </c>
      <c r="S1499" s="3">
        <f t="shared" si="119"/>
        <v>40051.510000000038</v>
      </c>
      <c r="T1499" s="24"/>
      <c r="U1499" s="24"/>
      <c r="V1499" s="67"/>
      <c r="W1499" s="25">
        <f>IFERROR(VLOOKUP(BCP_Soles[[#This Row],[DESTINATARIO]],CHOOSE({1,2},Clientes_Proveedores[Razon Social],Clientes_Proveedores[Ruc / Dni]),2,0),"")</f>
        <v>47461440</v>
      </c>
      <c r="X1499" s="25"/>
      <c r="Y1499" s="25"/>
      <c r="Z1499" s="25"/>
      <c r="AA1499" s="99"/>
      <c r="AB1499" s="3" t="str">
        <f>IF(BCP_Soles[[#This Row],[FECHA]]&gt;0,TEXT(BCP_Soles[[#This Row],[FECHA]],"mmmm"),0)</f>
        <v>Mayo</v>
      </c>
    </row>
    <row r="1500" spans="2:28" x14ac:dyDescent="0.3">
      <c r="B1500" s="2">
        <f>IF(BCP_Soles[[#This Row],[TIPO DE R.]]="R",COUNTIFS($D$4:$D1499,"R")+1,"")</f>
        <v>1173</v>
      </c>
      <c r="C1500" s="19" t="str">
        <f t="shared" si="115"/>
        <v>B-BCP - Soles</v>
      </c>
      <c r="D1500" s="3" t="s">
        <v>1074</v>
      </c>
      <c r="E1500" s="14">
        <v>45783</v>
      </c>
      <c r="F1500" s="5"/>
      <c r="G1500" s="5" t="s">
        <v>1087</v>
      </c>
      <c r="H1500" s="6"/>
      <c r="I1500" s="6"/>
      <c r="J1500" s="6"/>
      <c r="K1500" s="6"/>
      <c r="L1500" s="7" t="s">
        <v>1100</v>
      </c>
      <c r="M1500" s="8">
        <v>1849507</v>
      </c>
      <c r="N1500" s="8" t="str">
        <f t="shared" si="116"/>
        <v>PEN</v>
      </c>
      <c r="O1500" s="13"/>
      <c r="P1500" s="13">
        <v>5000</v>
      </c>
      <c r="Q1500" s="3">
        <f t="shared" si="117"/>
        <v>5000</v>
      </c>
      <c r="R1500" s="3">
        <f t="shared" si="118"/>
        <v>0</v>
      </c>
      <c r="S1500" s="3">
        <f t="shared" si="119"/>
        <v>45051.510000000038</v>
      </c>
      <c r="T1500" s="24" t="s">
        <v>1081</v>
      </c>
      <c r="U1500" s="24" t="s">
        <v>1081</v>
      </c>
      <c r="V1500" s="67"/>
      <c r="W1500" s="25" t="str">
        <f>IFERROR(VLOOKUP(BCP_Soles[[#This Row],[DESTINATARIO]],CHOOSE({1,2},Clientes_Proveedores[Razon Social],Clientes_Proveedores[Ruc / Dni]),2,0),"")</f>
        <v/>
      </c>
      <c r="X1500" s="25" t="s">
        <v>1090</v>
      </c>
      <c r="Y1500" s="25"/>
      <c r="Z1500" s="25"/>
      <c r="AA1500" s="99"/>
      <c r="AB1500" s="3" t="str">
        <f>IF(BCP_Soles[[#This Row],[FECHA]]&gt;0,TEXT(BCP_Soles[[#This Row],[FECHA]],"mmmm"),0)</f>
        <v>Mayo</v>
      </c>
    </row>
    <row r="1501" spans="2:28" ht="24" x14ac:dyDescent="0.3">
      <c r="B1501" s="2" t="str">
        <f>IF(BCP_Soles[[#This Row],[TIPO DE R.]]="R",COUNTIFS($D$4:$D1500,"R")+1,"")</f>
        <v/>
      </c>
      <c r="C1501" s="19" t="str">
        <f t="shared" si="115"/>
        <v>B-BCP - Soles</v>
      </c>
      <c r="D1501" s="3" t="s">
        <v>1101</v>
      </c>
      <c r="E1501" s="14">
        <v>45783</v>
      </c>
      <c r="F1501" s="5" t="s">
        <v>479</v>
      </c>
      <c r="G1501" s="5"/>
      <c r="H1501" s="6"/>
      <c r="I1501" s="6"/>
      <c r="J1501" s="6"/>
      <c r="K1501" s="6"/>
      <c r="L1501" s="7" t="s">
        <v>1100</v>
      </c>
      <c r="M1501" s="8">
        <v>1849507</v>
      </c>
      <c r="N1501" s="8" t="str">
        <f t="shared" si="116"/>
        <v>PEN</v>
      </c>
      <c r="O1501" s="13"/>
      <c r="P1501" s="13">
        <v>3985</v>
      </c>
      <c r="Q1501" s="3">
        <f t="shared" si="117"/>
        <v>0</v>
      </c>
      <c r="R1501" s="3">
        <f t="shared" si="118"/>
        <v>0</v>
      </c>
      <c r="S1501" s="3">
        <f t="shared" si="119"/>
        <v>45051.510000000038</v>
      </c>
      <c r="T1501" s="24" t="s">
        <v>1081</v>
      </c>
      <c r="U1501" s="24" t="s">
        <v>1081</v>
      </c>
      <c r="V1501" s="67"/>
      <c r="W1501" s="25" t="str">
        <f>IFERROR(VLOOKUP(BCP_Soles[[#This Row],[DESTINATARIO]],CHOOSE({1,2},Clientes_Proveedores[Razon Social],Clientes_Proveedores[Ruc / Dni]),2,0),"")</f>
        <v/>
      </c>
      <c r="X1501" s="25" t="s">
        <v>1090</v>
      </c>
      <c r="Y1501" s="25" t="s">
        <v>2634</v>
      </c>
      <c r="Z1501" s="25"/>
      <c r="AA1501" s="99"/>
      <c r="AB1501" s="3" t="str">
        <f>IF(BCP_Soles[[#This Row],[FECHA]]&gt;0,TEXT(BCP_Soles[[#This Row],[FECHA]],"mmmm"),0)</f>
        <v>Mayo</v>
      </c>
    </row>
    <row r="1502" spans="2:28" ht="24" x14ac:dyDescent="0.3">
      <c r="B1502" s="2" t="str">
        <f>IF(BCP_Soles[[#This Row],[TIPO DE R.]]="R",COUNTIFS($D$4:$D1501,"R")+1,"")</f>
        <v/>
      </c>
      <c r="C1502" s="19" t="str">
        <f t="shared" si="115"/>
        <v>B-BCP - Soles</v>
      </c>
      <c r="D1502" s="3" t="s">
        <v>1101</v>
      </c>
      <c r="E1502" s="14">
        <v>45783</v>
      </c>
      <c r="F1502" s="5" t="s">
        <v>479</v>
      </c>
      <c r="G1502" s="5"/>
      <c r="H1502" s="6"/>
      <c r="I1502" s="6"/>
      <c r="J1502" s="6"/>
      <c r="K1502" s="6"/>
      <c r="L1502" s="7" t="s">
        <v>1100</v>
      </c>
      <c r="M1502" s="8">
        <v>1849507</v>
      </c>
      <c r="N1502" s="8" t="str">
        <f t="shared" si="116"/>
        <v>PEN</v>
      </c>
      <c r="O1502" s="13"/>
      <c r="P1502" s="13">
        <v>1015</v>
      </c>
      <c r="Q1502" s="3">
        <f t="shared" si="117"/>
        <v>0</v>
      </c>
      <c r="R1502" s="3">
        <f t="shared" si="118"/>
        <v>0</v>
      </c>
      <c r="S1502" s="3">
        <f t="shared" si="119"/>
        <v>45051.510000000038</v>
      </c>
      <c r="T1502" s="24" t="s">
        <v>1081</v>
      </c>
      <c r="U1502" s="24" t="s">
        <v>1081</v>
      </c>
      <c r="V1502" s="67"/>
      <c r="W1502" s="25" t="str">
        <f>IFERROR(VLOOKUP(BCP_Soles[[#This Row],[DESTINATARIO]],CHOOSE({1,2},Clientes_Proveedores[Razon Social],Clientes_Proveedores[Ruc / Dni]),2,0),"")</f>
        <v/>
      </c>
      <c r="X1502" s="25" t="s">
        <v>1090</v>
      </c>
      <c r="Y1502" s="25" t="s">
        <v>2635</v>
      </c>
      <c r="Z1502" s="25"/>
      <c r="AA1502" s="99"/>
      <c r="AB1502" s="3" t="str">
        <f>IF(BCP_Soles[[#This Row],[FECHA]]&gt;0,TEXT(BCP_Soles[[#This Row],[FECHA]],"mmmm"),0)</f>
        <v>Mayo</v>
      </c>
    </row>
    <row r="1503" spans="2:28" x14ac:dyDescent="0.3">
      <c r="B1503" s="2">
        <f>IF(BCP_Soles[[#This Row],[TIPO DE R.]]="R",COUNTIFS($D$4:$D1502,"R")+1,"")</f>
        <v>1174</v>
      </c>
      <c r="C1503" s="19" t="str">
        <f t="shared" si="115"/>
        <v>B-BCP - Soles</v>
      </c>
      <c r="D1503" s="3" t="s">
        <v>1074</v>
      </c>
      <c r="E1503" s="14">
        <v>45783</v>
      </c>
      <c r="F1503" s="5"/>
      <c r="G1503" s="5" t="s">
        <v>1087</v>
      </c>
      <c r="H1503" s="6"/>
      <c r="I1503" s="6"/>
      <c r="J1503" s="6"/>
      <c r="K1503" s="6"/>
      <c r="L1503" s="7" t="s">
        <v>1100</v>
      </c>
      <c r="M1503" s="8">
        <v>1856251</v>
      </c>
      <c r="N1503" s="8" t="str">
        <f t="shared" si="116"/>
        <v>PEN</v>
      </c>
      <c r="O1503" s="13"/>
      <c r="P1503" s="13">
        <v>1905</v>
      </c>
      <c r="Q1503" s="3">
        <f t="shared" si="117"/>
        <v>1905</v>
      </c>
      <c r="R1503" s="3">
        <f t="shared" si="118"/>
        <v>0</v>
      </c>
      <c r="S1503" s="3">
        <f t="shared" si="119"/>
        <v>46956.510000000038</v>
      </c>
      <c r="T1503" s="24" t="s">
        <v>1081</v>
      </c>
      <c r="U1503" s="24" t="s">
        <v>1081</v>
      </c>
      <c r="V1503" s="67"/>
      <c r="W1503" s="25" t="str">
        <f>IFERROR(VLOOKUP(BCP_Soles[[#This Row],[DESTINATARIO]],CHOOSE({1,2},Clientes_Proveedores[Razon Social],Clientes_Proveedores[Ruc / Dni]),2,0),"")</f>
        <v/>
      </c>
      <c r="X1503" s="25" t="s">
        <v>1090</v>
      </c>
      <c r="Y1503" s="25"/>
      <c r="Z1503" s="25"/>
      <c r="AA1503" s="99"/>
      <c r="AB1503" s="3" t="str">
        <f>IF(BCP_Soles[[#This Row],[FECHA]]&gt;0,TEXT(BCP_Soles[[#This Row],[FECHA]],"mmmm"),0)</f>
        <v>Mayo</v>
      </c>
    </row>
    <row r="1504" spans="2:28" ht="24" x14ac:dyDescent="0.3">
      <c r="B1504" s="2" t="str">
        <f>IF(BCP_Soles[[#This Row],[TIPO DE R.]]="R",COUNTIFS($D$4:$D1503,"R")+1,"")</f>
        <v/>
      </c>
      <c r="C1504" s="19" t="str">
        <f t="shared" si="115"/>
        <v>B-BCP - Soles</v>
      </c>
      <c r="D1504" s="3" t="s">
        <v>1101</v>
      </c>
      <c r="E1504" s="14">
        <v>45783</v>
      </c>
      <c r="F1504" s="5" t="s">
        <v>479</v>
      </c>
      <c r="G1504" s="5"/>
      <c r="H1504" s="6"/>
      <c r="I1504" s="6"/>
      <c r="J1504" s="6"/>
      <c r="K1504" s="6"/>
      <c r="L1504" s="7" t="s">
        <v>1100</v>
      </c>
      <c r="M1504" s="8">
        <v>1856251</v>
      </c>
      <c r="N1504" s="8" t="str">
        <f t="shared" si="116"/>
        <v>PEN</v>
      </c>
      <c r="O1504" s="13"/>
      <c r="P1504" s="13">
        <v>873</v>
      </c>
      <c r="Q1504" s="3">
        <f t="shared" si="117"/>
        <v>0</v>
      </c>
      <c r="R1504" s="3">
        <f t="shared" si="118"/>
        <v>0</v>
      </c>
      <c r="S1504" s="3">
        <f t="shared" si="119"/>
        <v>46956.510000000038</v>
      </c>
      <c r="T1504" s="24" t="s">
        <v>1081</v>
      </c>
      <c r="U1504" s="24" t="s">
        <v>1081</v>
      </c>
      <c r="V1504" s="67"/>
      <c r="W1504" s="25" t="str">
        <f>IFERROR(VLOOKUP(BCP_Soles[[#This Row],[DESTINATARIO]],CHOOSE({1,2},Clientes_Proveedores[Razon Social],Clientes_Proveedores[Ruc / Dni]),2,0),"")</f>
        <v/>
      </c>
      <c r="X1504" s="25" t="s">
        <v>1090</v>
      </c>
      <c r="Y1504" s="25" t="s">
        <v>2635</v>
      </c>
      <c r="Z1504" s="25"/>
      <c r="AA1504" s="99"/>
      <c r="AB1504" s="3" t="str">
        <f>IF(BCP_Soles[[#This Row],[FECHA]]&gt;0,TEXT(BCP_Soles[[#This Row],[FECHA]],"mmmm"),0)</f>
        <v>Mayo</v>
      </c>
    </row>
    <row r="1505" spans="2:28" ht="24" x14ac:dyDescent="0.3">
      <c r="B1505" s="2" t="str">
        <f>IF(BCP_Soles[[#This Row],[TIPO DE R.]]="R",COUNTIFS($D$4:$D1504,"R")+1,"")</f>
        <v/>
      </c>
      <c r="C1505" s="19" t="str">
        <f t="shared" si="115"/>
        <v>B-BCP - Soles</v>
      </c>
      <c r="D1505" s="3" t="s">
        <v>1101</v>
      </c>
      <c r="E1505" s="14">
        <v>45783</v>
      </c>
      <c r="F1505" s="5" t="s">
        <v>479</v>
      </c>
      <c r="G1505" s="5"/>
      <c r="H1505" s="6"/>
      <c r="I1505" s="6"/>
      <c r="J1505" s="6"/>
      <c r="K1505" s="6"/>
      <c r="L1505" s="7" t="s">
        <v>1100</v>
      </c>
      <c r="M1505" s="8">
        <v>1856251</v>
      </c>
      <c r="N1505" s="8" t="str">
        <f t="shared" si="116"/>
        <v>PEN</v>
      </c>
      <c r="O1505" s="13"/>
      <c r="P1505" s="13">
        <v>1032</v>
      </c>
      <c r="Q1505" s="3">
        <f t="shared" si="117"/>
        <v>0</v>
      </c>
      <c r="R1505" s="3">
        <f t="shared" si="118"/>
        <v>0</v>
      </c>
      <c r="S1505" s="3">
        <f t="shared" si="119"/>
        <v>46956.510000000038</v>
      </c>
      <c r="T1505" s="24" t="s">
        <v>1081</v>
      </c>
      <c r="U1505" s="24" t="s">
        <v>1081</v>
      </c>
      <c r="V1505" s="67"/>
      <c r="W1505" s="25" t="str">
        <f>IFERROR(VLOOKUP(BCP_Soles[[#This Row],[DESTINATARIO]],CHOOSE({1,2},Clientes_Proveedores[Razon Social],Clientes_Proveedores[Ruc / Dni]),2,0),"")</f>
        <v/>
      </c>
      <c r="X1505" s="25" t="s">
        <v>1090</v>
      </c>
      <c r="Y1505" s="25" t="s">
        <v>2636</v>
      </c>
      <c r="Z1505" s="25"/>
      <c r="AA1505" s="99"/>
      <c r="AB1505" s="3" t="str">
        <f>IF(BCP_Soles[[#This Row],[FECHA]]&gt;0,TEXT(BCP_Soles[[#This Row],[FECHA]],"mmmm"),0)</f>
        <v>Mayo</v>
      </c>
    </row>
    <row r="1506" spans="2:28" ht="24" x14ac:dyDescent="0.3">
      <c r="B1506" s="2">
        <f>IF(BCP_Soles[[#This Row],[TIPO DE R.]]="R",COUNTIFS($D$4:$D1505,"R")+1,"")</f>
        <v>1175</v>
      </c>
      <c r="C1506" s="19" t="str">
        <f t="shared" si="115"/>
        <v>B-BCP - Soles</v>
      </c>
      <c r="D1506" s="3" t="s">
        <v>1074</v>
      </c>
      <c r="E1506" s="14">
        <v>45783</v>
      </c>
      <c r="F1506" s="5" t="s">
        <v>1082</v>
      </c>
      <c r="G1506" s="5" t="s">
        <v>1079</v>
      </c>
      <c r="H1506" s="6" t="s">
        <v>1010</v>
      </c>
      <c r="I1506" s="6" t="s">
        <v>87</v>
      </c>
      <c r="J1506" s="6">
        <v>1</v>
      </c>
      <c r="K1506" s="6">
        <v>332025</v>
      </c>
      <c r="L1506" s="7" t="s">
        <v>2626</v>
      </c>
      <c r="M1506" s="8">
        <v>1094669</v>
      </c>
      <c r="N1506" s="8" t="str">
        <f t="shared" si="116"/>
        <v>PEN</v>
      </c>
      <c r="O1506" s="13"/>
      <c r="P1506" s="13">
        <v>100</v>
      </c>
      <c r="Q1506" s="3">
        <f t="shared" si="117"/>
        <v>0</v>
      </c>
      <c r="R1506" s="3">
        <f t="shared" si="118"/>
        <v>100</v>
      </c>
      <c r="S1506" s="3">
        <f t="shared" si="119"/>
        <v>46856.510000000038</v>
      </c>
      <c r="T1506" s="24" t="s">
        <v>1081</v>
      </c>
      <c r="U1506" s="24" t="s">
        <v>1081</v>
      </c>
      <c r="V1506" s="67"/>
      <c r="W1506" s="25">
        <f>IFERROR(VLOOKUP(BCP_Soles[[#This Row],[DESTINATARIO]],CHOOSE({1,2},Clientes_Proveedores[Razon Social],Clientes_Proveedores[Ruc / Dni]),2,0),"")</f>
        <v>72378581</v>
      </c>
      <c r="X1506" s="25" t="s">
        <v>2627</v>
      </c>
      <c r="Y1506" s="25" t="s">
        <v>2628</v>
      </c>
      <c r="Z1506" s="25"/>
      <c r="AA1506" s="99"/>
      <c r="AB1506" s="3" t="str">
        <f>IF(BCP_Soles[[#This Row],[FECHA]]&gt;0,TEXT(BCP_Soles[[#This Row],[FECHA]],"mmmm"),0)</f>
        <v>Mayo</v>
      </c>
    </row>
    <row r="1507" spans="2:28" ht="24" x14ac:dyDescent="0.3">
      <c r="B1507" s="2">
        <f>IF(BCP_Soles[[#This Row],[TIPO DE R.]]="R",COUNTIFS($D$4:$D1506,"R")+1,"")</f>
        <v>1176</v>
      </c>
      <c r="C1507" s="19" t="str">
        <f t="shared" si="115"/>
        <v>B-BCP - Soles</v>
      </c>
      <c r="D1507" s="3" t="s">
        <v>1074</v>
      </c>
      <c r="E1507" s="14">
        <v>45783</v>
      </c>
      <c r="F1507" s="5" t="s">
        <v>1082</v>
      </c>
      <c r="G1507" s="5" t="s">
        <v>1079</v>
      </c>
      <c r="H1507" s="6" t="s">
        <v>709</v>
      </c>
      <c r="I1507" s="6" t="s">
        <v>18</v>
      </c>
      <c r="J1507" s="6" t="s">
        <v>1121</v>
      </c>
      <c r="K1507" s="6">
        <v>26</v>
      </c>
      <c r="L1507" s="7" t="s">
        <v>2637</v>
      </c>
      <c r="M1507" s="8">
        <v>1095176</v>
      </c>
      <c r="N1507" s="8" t="str">
        <f t="shared" si="116"/>
        <v>PEN</v>
      </c>
      <c r="O1507" s="13"/>
      <c r="P1507" s="13">
        <v>200</v>
      </c>
      <c r="Q1507" s="3">
        <f t="shared" si="117"/>
        <v>0</v>
      </c>
      <c r="R1507" s="3">
        <f t="shared" si="118"/>
        <v>200</v>
      </c>
      <c r="S1507" s="3">
        <f t="shared" si="119"/>
        <v>46656.510000000038</v>
      </c>
      <c r="T1507" s="24" t="s">
        <v>1081</v>
      </c>
      <c r="U1507" s="24" t="s">
        <v>1081</v>
      </c>
      <c r="V1507" s="67"/>
      <c r="W1507" s="25">
        <f>IFERROR(VLOOKUP(BCP_Soles[[#This Row],[DESTINATARIO]],CHOOSE({1,2},Clientes_Proveedores[Razon Social],Clientes_Proveedores[Ruc / Dni]),2,0),"")</f>
        <v>10461331977</v>
      </c>
      <c r="X1507" s="25" t="s">
        <v>709</v>
      </c>
      <c r="Y1507" s="25" t="s">
        <v>2638</v>
      </c>
      <c r="Z1507" s="25"/>
      <c r="AA1507" s="99"/>
      <c r="AB1507" s="3" t="str">
        <f>IF(BCP_Soles[[#This Row],[FECHA]]&gt;0,TEXT(BCP_Soles[[#This Row],[FECHA]],"mmmm"),0)</f>
        <v>Mayo</v>
      </c>
    </row>
    <row r="1508" spans="2:28" ht="24" x14ac:dyDescent="0.3">
      <c r="B1508" s="2">
        <f>IF(BCP_Soles[[#This Row],[TIPO DE R.]]="R",COUNTIFS($D$4:$D1507,"R")+1,"")</f>
        <v>1177</v>
      </c>
      <c r="C1508" s="19" t="str">
        <f t="shared" si="115"/>
        <v>B-BCP - Soles</v>
      </c>
      <c r="D1508" s="3" t="s">
        <v>1074</v>
      </c>
      <c r="E1508" s="14">
        <v>45783</v>
      </c>
      <c r="F1508" s="5" t="s">
        <v>1082</v>
      </c>
      <c r="G1508" s="5" t="s">
        <v>1079</v>
      </c>
      <c r="H1508" s="6" t="s">
        <v>652</v>
      </c>
      <c r="I1508" s="6" t="s">
        <v>52</v>
      </c>
      <c r="J1508" s="20"/>
      <c r="K1508" s="6"/>
      <c r="L1508" s="7" t="s">
        <v>1218</v>
      </c>
      <c r="M1508" s="8">
        <v>92212</v>
      </c>
      <c r="N1508" s="8" t="str">
        <f t="shared" si="116"/>
        <v>PEN</v>
      </c>
      <c r="O1508" s="13"/>
      <c r="P1508" s="13">
        <v>604.9</v>
      </c>
      <c r="Q1508" s="3">
        <f t="shared" si="117"/>
        <v>0</v>
      </c>
      <c r="R1508" s="3">
        <f t="shared" si="118"/>
        <v>604.9</v>
      </c>
      <c r="S1508" s="3">
        <f t="shared" si="119"/>
        <v>46051.610000000037</v>
      </c>
      <c r="T1508" s="24" t="s">
        <v>1081</v>
      </c>
      <c r="U1508" s="24" t="s">
        <v>1081</v>
      </c>
      <c r="V1508" s="67"/>
      <c r="W1508" s="25">
        <f>IFERROR(VLOOKUP(BCP_Soles[[#This Row],[DESTINATARIO]],CHOOSE({1,2},Clientes_Proveedores[Razon Social],Clientes_Proveedores[Ruc / Dni]),2,0),"")</f>
        <v>20100211034</v>
      </c>
      <c r="X1508" s="25" t="s">
        <v>1219</v>
      </c>
      <c r="Y1508" s="25" t="s">
        <v>2639</v>
      </c>
      <c r="Z1508" s="25"/>
      <c r="AA1508" s="99"/>
      <c r="AB1508" s="3" t="str">
        <f>IF(BCP_Soles[[#This Row],[FECHA]]&gt;0,TEXT(BCP_Soles[[#This Row],[FECHA]],"mmmm"),0)</f>
        <v>Mayo</v>
      </c>
    </row>
    <row r="1509" spans="2:28" ht="24" x14ac:dyDescent="0.3">
      <c r="B1509" s="2" t="str">
        <f>IF(BCP_Soles[[#This Row],[TIPO DE R.]]="R",COUNTIFS($D$4:$D1508,"R")+1,"")</f>
        <v/>
      </c>
      <c r="C1509" s="19" t="str">
        <f t="shared" si="115"/>
        <v>B-BCP - Soles</v>
      </c>
      <c r="D1509" s="3" t="s">
        <v>1101</v>
      </c>
      <c r="E1509" s="14">
        <v>45783</v>
      </c>
      <c r="F1509" s="5" t="s">
        <v>1082</v>
      </c>
      <c r="G1509" s="5"/>
      <c r="H1509" s="6" t="s">
        <v>652</v>
      </c>
      <c r="I1509" s="6" t="s">
        <v>52</v>
      </c>
      <c r="J1509" s="20">
        <v>1</v>
      </c>
      <c r="K1509" s="6">
        <v>58775686</v>
      </c>
      <c r="L1509" s="7" t="s">
        <v>1218</v>
      </c>
      <c r="M1509" s="8">
        <v>92212</v>
      </c>
      <c r="N1509" s="8" t="str">
        <f t="shared" si="116"/>
        <v>PEN</v>
      </c>
      <c r="O1509" s="13">
        <v>323.2</v>
      </c>
      <c r="P1509" s="13"/>
      <c r="Q1509" s="3">
        <f t="shared" si="117"/>
        <v>0</v>
      </c>
      <c r="R1509" s="3">
        <f t="shared" si="118"/>
        <v>0</v>
      </c>
      <c r="S1509" s="3">
        <f t="shared" si="119"/>
        <v>46051.610000000037</v>
      </c>
      <c r="T1509" s="24"/>
      <c r="U1509" s="24" t="s">
        <v>1081</v>
      </c>
      <c r="V1509" s="67"/>
      <c r="W1509" s="25">
        <f>IFERROR(VLOOKUP(BCP_Soles[[#This Row],[DESTINATARIO]],CHOOSE({1,2},Clientes_Proveedores[Razon Social],Clientes_Proveedores[Ruc / Dni]),2,0),"")</f>
        <v>20100211034</v>
      </c>
      <c r="X1509" s="25"/>
      <c r="Y1509" s="25"/>
      <c r="Z1509" s="25"/>
      <c r="AA1509" s="99"/>
      <c r="AB1509" s="3" t="str">
        <f>IF(BCP_Soles[[#This Row],[FECHA]]&gt;0,TEXT(BCP_Soles[[#This Row],[FECHA]],"mmmm"),0)</f>
        <v>Mayo</v>
      </c>
    </row>
    <row r="1510" spans="2:28" ht="24" x14ac:dyDescent="0.3">
      <c r="B1510" s="2" t="str">
        <f>IF(BCP_Soles[[#This Row],[TIPO DE R.]]="R",COUNTIFS($D$4:$D1509,"R")+1,"")</f>
        <v/>
      </c>
      <c r="C1510" s="19" t="str">
        <f t="shared" si="115"/>
        <v>B-BCP - Soles</v>
      </c>
      <c r="D1510" s="3" t="s">
        <v>1101</v>
      </c>
      <c r="E1510" s="14">
        <v>45783</v>
      </c>
      <c r="F1510" s="5" t="s">
        <v>1082</v>
      </c>
      <c r="G1510" s="5"/>
      <c r="H1510" s="6" t="s">
        <v>652</v>
      </c>
      <c r="I1510" s="6" t="s">
        <v>52</v>
      </c>
      <c r="J1510" s="20">
        <v>1</v>
      </c>
      <c r="K1510" s="6">
        <v>59049417</v>
      </c>
      <c r="L1510" s="7" t="s">
        <v>1218</v>
      </c>
      <c r="M1510" s="8">
        <v>92212</v>
      </c>
      <c r="N1510" s="8" t="str">
        <f t="shared" si="116"/>
        <v>PEN</v>
      </c>
      <c r="O1510" s="13">
        <v>281.7</v>
      </c>
      <c r="P1510" s="13"/>
      <c r="Q1510" s="3">
        <f t="shared" si="117"/>
        <v>0</v>
      </c>
      <c r="R1510" s="3">
        <f t="shared" si="118"/>
        <v>0</v>
      </c>
      <c r="S1510" s="3">
        <f t="shared" si="119"/>
        <v>46051.610000000037</v>
      </c>
      <c r="T1510" s="24"/>
      <c r="U1510" s="24" t="s">
        <v>1081</v>
      </c>
      <c r="V1510" s="67"/>
      <c r="W1510" s="25">
        <f>IFERROR(VLOOKUP(BCP_Soles[[#This Row],[DESTINATARIO]],CHOOSE({1,2},Clientes_Proveedores[Razon Social],Clientes_Proveedores[Ruc / Dni]),2,0),"")</f>
        <v>20100211034</v>
      </c>
      <c r="X1510" s="25"/>
      <c r="Y1510" s="25"/>
      <c r="Z1510" s="25"/>
      <c r="AA1510" s="99"/>
      <c r="AB1510" s="3" t="str">
        <f>IF(BCP_Soles[[#This Row],[FECHA]]&gt;0,TEXT(BCP_Soles[[#This Row],[FECHA]],"mmmm"),0)</f>
        <v>Mayo</v>
      </c>
    </row>
    <row r="1511" spans="2:28" ht="36" x14ac:dyDescent="0.3">
      <c r="B1511" s="2">
        <f>IF(BCP_Soles[[#This Row],[TIPO DE R.]]="R",COUNTIFS($D$4:$D1510,"R")+1,"")</f>
        <v>1178</v>
      </c>
      <c r="C1511" s="19" t="str">
        <f t="shared" si="115"/>
        <v>B-BCP - Soles</v>
      </c>
      <c r="D1511" s="3" t="s">
        <v>1074</v>
      </c>
      <c r="E1511" s="14">
        <v>45783</v>
      </c>
      <c r="F1511" s="5" t="s">
        <v>1082</v>
      </c>
      <c r="G1511" s="5" t="s">
        <v>1079</v>
      </c>
      <c r="H1511" s="6"/>
      <c r="I1511" s="6" t="s">
        <v>14</v>
      </c>
      <c r="J1511" s="6" t="s">
        <v>1119</v>
      </c>
      <c r="K1511" s="6">
        <v>2457</v>
      </c>
      <c r="L1511" s="7" t="s">
        <v>2640</v>
      </c>
      <c r="M1511" s="8">
        <v>1092706</v>
      </c>
      <c r="N1511" s="8" t="str">
        <f t="shared" si="116"/>
        <v>PEN</v>
      </c>
      <c r="O1511" s="13"/>
      <c r="P1511" s="13">
        <v>672.6</v>
      </c>
      <c r="Q1511" s="3">
        <f t="shared" si="117"/>
        <v>0</v>
      </c>
      <c r="R1511" s="3">
        <f t="shared" si="118"/>
        <v>672.6</v>
      </c>
      <c r="S1511" s="3">
        <f t="shared" si="119"/>
        <v>45379.010000000038</v>
      </c>
      <c r="T1511" s="24" t="s">
        <v>1081</v>
      </c>
      <c r="U1511" s="24" t="s">
        <v>1081</v>
      </c>
      <c r="V1511" s="67"/>
      <c r="W1511" s="25" t="str">
        <f>IFERROR(VLOOKUP(BCP_Soles[[#This Row],[DESTINATARIO]],CHOOSE({1,2},Clientes_Proveedores[Razon Social],Clientes_Proveedores[Ruc / Dni]),2,0),"")</f>
        <v/>
      </c>
      <c r="X1511" s="25" t="s">
        <v>2641</v>
      </c>
      <c r="Y1511" s="25" t="s">
        <v>2642</v>
      </c>
      <c r="Z1511" s="25"/>
      <c r="AA1511" s="99"/>
      <c r="AB1511" s="3" t="str">
        <f>IF(BCP_Soles[[#This Row],[FECHA]]&gt;0,TEXT(BCP_Soles[[#This Row],[FECHA]],"mmmm"),0)</f>
        <v>Mayo</v>
      </c>
    </row>
    <row r="1512" spans="2:28" x14ac:dyDescent="0.3">
      <c r="B1512" s="2">
        <f>IF(BCP_Soles[[#This Row],[TIPO DE R.]]="R",COUNTIFS($D$4:$D1511,"R")+1,"")</f>
        <v>1179</v>
      </c>
      <c r="C1512" s="19" t="str">
        <f t="shared" si="115"/>
        <v>B-BCP - Soles</v>
      </c>
      <c r="D1512" s="3" t="s">
        <v>1074</v>
      </c>
      <c r="E1512" s="14">
        <v>45783</v>
      </c>
      <c r="F1512" s="5" t="s">
        <v>1082</v>
      </c>
      <c r="G1512" s="5" t="s">
        <v>1079</v>
      </c>
      <c r="H1512" s="6"/>
      <c r="I1512" s="6"/>
      <c r="J1512" s="6"/>
      <c r="K1512" s="6"/>
      <c r="L1512" s="7" t="s">
        <v>2643</v>
      </c>
      <c r="M1512" s="8">
        <v>1008556</v>
      </c>
      <c r="N1512" s="8" t="str">
        <f t="shared" si="116"/>
        <v>PEN</v>
      </c>
      <c r="O1512" s="13"/>
      <c r="P1512" s="13">
        <v>1796</v>
      </c>
      <c r="Q1512" s="3">
        <f t="shared" si="117"/>
        <v>0</v>
      </c>
      <c r="R1512" s="3">
        <f t="shared" si="118"/>
        <v>1796</v>
      </c>
      <c r="S1512" s="3">
        <f t="shared" si="119"/>
        <v>43583.010000000038</v>
      </c>
      <c r="T1512" s="24"/>
      <c r="U1512" s="24"/>
      <c r="V1512" s="67"/>
      <c r="W1512" s="25" t="str">
        <f>IFERROR(VLOOKUP(BCP_Soles[[#This Row],[DESTINATARIO]],CHOOSE({1,2},Clientes_Proveedores[Razon Social],Clientes_Proveedores[Ruc / Dni]),2,0),"")</f>
        <v/>
      </c>
      <c r="X1512" s="25" t="s">
        <v>2386</v>
      </c>
      <c r="Y1512" s="25"/>
      <c r="Z1512" s="25"/>
      <c r="AA1512" s="99"/>
      <c r="AB1512" s="3" t="str">
        <f>IF(BCP_Soles[[#This Row],[FECHA]]&gt;0,TEXT(BCP_Soles[[#This Row],[FECHA]],"mmmm"),0)</f>
        <v>Mayo</v>
      </c>
    </row>
    <row r="1513" spans="2:28" ht="24" x14ac:dyDescent="0.3">
      <c r="B1513" s="2">
        <f>IF(BCP_Soles[[#This Row],[TIPO DE R.]]="R",COUNTIFS($D$4:$D1512,"R")+1,"")</f>
        <v>1180</v>
      </c>
      <c r="C1513" s="19" t="str">
        <f t="shared" si="115"/>
        <v>B-BCP - Soles</v>
      </c>
      <c r="D1513" s="3" t="s">
        <v>1074</v>
      </c>
      <c r="E1513" s="14">
        <v>45783</v>
      </c>
      <c r="F1513" s="5" t="s">
        <v>1082</v>
      </c>
      <c r="G1513" s="5" t="s">
        <v>1079</v>
      </c>
      <c r="H1513" s="6" t="s">
        <v>192</v>
      </c>
      <c r="I1513" s="6"/>
      <c r="J1513" s="6"/>
      <c r="K1513" s="6"/>
      <c r="L1513" s="7" t="s">
        <v>2644</v>
      </c>
      <c r="M1513" s="8">
        <v>1092705</v>
      </c>
      <c r="N1513" s="8" t="str">
        <f t="shared" si="116"/>
        <v>PEN</v>
      </c>
      <c r="O1513" s="13"/>
      <c r="P1513" s="13">
        <v>3438.05</v>
      </c>
      <c r="Q1513" s="3">
        <f t="shared" si="117"/>
        <v>0</v>
      </c>
      <c r="R1513" s="3">
        <f t="shared" si="118"/>
        <v>3438.05</v>
      </c>
      <c r="S1513" s="3">
        <f t="shared" si="119"/>
        <v>40144.960000000036</v>
      </c>
      <c r="T1513" s="24"/>
      <c r="U1513" s="24"/>
      <c r="V1513" s="67"/>
      <c r="W1513" s="25">
        <f>IFERROR(VLOOKUP(BCP_Soles[[#This Row],[DESTINATARIO]],CHOOSE({1,2},Clientes_Proveedores[Razon Social],Clientes_Proveedores[Ruc / Dni]),2,0),"")</f>
        <v>20302891452</v>
      </c>
      <c r="X1513" s="25" t="s">
        <v>192</v>
      </c>
      <c r="Y1513" s="25"/>
      <c r="Z1513" s="25"/>
      <c r="AA1513" s="99"/>
      <c r="AB1513" s="3" t="str">
        <f>IF(BCP_Soles[[#This Row],[FECHA]]&gt;0,TEXT(BCP_Soles[[#This Row],[FECHA]],"mmmm"),0)</f>
        <v>Mayo</v>
      </c>
    </row>
    <row r="1514" spans="2:28" ht="24" x14ac:dyDescent="0.3">
      <c r="B1514" s="2">
        <f>IF(BCP_Soles[[#This Row],[TIPO DE R.]]="R",COUNTIFS($D$4:$D1513,"R")+1,"")</f>
        <v>1181</v>
      </c>
      <c r="C1514" s="19" t="str">
        <f t="shared" si="115"/>
        <v>B-BCP - Soles</v>
      </c>
      <c r="D1514" s="3" t="s">
        <v>1074</v>
      </c>
      <c r="E1514" s="14">
        <v>45783</v>
      </c>
      <c r="F1514" s="5" t="s">
        <v>1251</v>
      </c>
      <c r="G1514" s="5" t="s">
        <v>1079</v>
      </c>
      <c r="H1514" s="6" t="s">
        <v>747</v>
      </c>
      <c r="I1514" s="6"/>
      <c r="J1514" s="6"/>
      <c r="K1514" s="6"/>
      <c r="L1514" s="7" t="s">
        <v>2645</v>
      </c>
      <c r="M1514" s="8">
        <v>1094670</v>
      </c>
      <c r="N1514" s="8" t="str">
        <f t="shared" si="116"/>
        <v>PEN</v>
      </c>
      <c r="O1514" s="13"/>
      <c r="P1514" s="13">
        <v>8000</v>
      </c>
      <c r="Q1514" s="3">
        <f t="shared" si="117"/>
        <v>0</v>
      </c>
      <c r="R1514" s="3">
        <f t="shared" si="118"/>
        <v>8000</v>
      </c>
      <c r="S1514" s="3">
        <f t="shared" si="119"/>
        <v>32144.960000000036</v>
      </c>
      <c r="T1514" s="24"/>
      <c r="U1514" s="24"/>
      <c r="V1514" s="67"/>
      <c r="W1514" s="25">
        <f>IFERROR(VLOOKUP(BCP_Soles[[#This Row],[DESTINATARIO]],CHOOSE({1,2},Clientes_Proveedores[Razon Social],Clientes_Proveedores[Ruc / Dni]),2,0),"")</f>
        <v>44162989</v>
      </c>
      <c r="X1514" s="25" t="s">
        <v>2380</v>
      </c>
      <c r="Y1514" s="25"/>
      <c r="Z1514" s="25"/>
      <c r="AA1514" s="99"/>
      <c r="AB1514" s="3" t="str">
        <f>IF(BCP_Soles[[#This Row],[FECHA]]&gt;0,TEXT(BCP_Soles[[#This Row],[FECHA]],"mmmm"),0)</f>
        <v>Mayo</v>
      </c>
    </row>
    <row r="1515" spans="2:28" ht="60" x14ac:dyDescent="0.3">
      <c r="B1515" s="2">
        <f>IF(BCP_Soles[[#This Row],[TIPO DE R.]]="R",COUNTIFS($D$4:$D1514,"R")+1,"")</f>
        <v>1182</v>
      </c>
      <c r="C1515" s="19" t="str">
        <f t="shared" si="115"/>
        <v>B-BCP - Soles</v>
      </c>
      <c r="D1515" s="3" t="s">
        <v>1074</v>
      </c>
      <c r="E1515" s="14">
        <v>45783</v>
      </c>
      <c r="F1515" s="5" t="s">
        <v>238</v>
      </c>
      <c r="G1515" s="5" t="s">
        <v>1087</v>
      </c>
      <c r="H1515" s="6"/>
      <c r="I1515" s="6"/>
      <c r="J1515" s="6"/>
      <c r="K1515" s="6"/>
      <c r="L1515" s="7" t="s">
        <v>1170</v>
      </c>
      <c r="M1515" s="8">
        <v>2252227</v>
      </c>
      <c r="N1515" s="8" t="str">
        <f t="shared" si="116"/>
        <v>PEN</v>
      </c>
      <c r="O1515" s="13"/>
      <c r="P1515" s="13">
        <v>1759.84</v>
      </c>
      <c r="Q1515" s="3">
        <f t="shared" si="117"/>
        <v>1759.84</v>
      </c>
      <c r="R1515" s="3">
        <f t="shared" si="118"/>
        <v>0</v>
      </c>
      <c r="S1515" s="3">
        <f t="shared" si="119"/>
        <v>33904.800000000032</v>
      </c>
      <c r="T1515" s="24" t="s">
        <v>1081</v>
      </c>
      <c r="U1515" s="24" t="s">
        <v>1081</v>
      </c>
      <c r="V1515" s="67"/>
      <c r="W1515" s="25" t="str">
        <f>IFERROR(VLOOKUP(BCP_Soles[[#This Row],[DESTINATARIO]],CHOOSE({1,2},Clientes_Proveedores[Razon Social],Clientes_Proveedores[Ruc / Dni]),2,0),"")</f>
        <v/>
      </c>
      <c r="X1515" s="25" t="s">
        <v>1090</v>
      </c>
      <c r="Y1515" s="25" t="s">
        <v>2646</v>
      </c>
      <c r="Z1515" s="25"/>
      <c r="AA1515" s="99"/>
      <c r="AB1515" s="3" t="str">
        <f>IF(BCP_Soles[[#This Row],[FECHA]]&gt;0,TEXT(BCP_Soles[[#This Row],[FECHA]],"mmmm"),0)</f>
        <v>Mayo</v>
      </c>
    </row>
    <row r="1516" spans="2:28" ht="60" x14ac:dyDescent="0.3">
      <c r="B1516" s="2">
        <f>IF(BCP_Soles[[#This Row],[TIPO DE R.]]="R",COUNTIFS($D$4:$D1515,"R")+1,"")</f>
        <v>1183</v>
      </c>
      <c r="C1516" s="19" t="str">
        <f t="shared" si="115"/>
        <v>B-BCP - Soles</v>
      </c>
      <c r="D1516" s="3" t="s">
        <v>1074</v>
      </c>
      <c r="E1516" s="14">
        <v>45783</v>
      </c>
      <c r="F1516" s="5" t="s">
        <v>238</v>
      </c>
      <c r="G1516" s="5" t="s">
        <v>1087</v>
      </c>
      <c r="H1516" s="6"/>
      <c r="I1516" s="6"/>
      <c r="J1516" s="6"/>
      <c r="K1516" s="6"/>
      <c r="L1516" s="7" t="s">
        <v>1170</v>
      </c>
      <c r="M1516" s="8">
        <v>2217040</v>
      </c>
      <c r="N1516" s="8" t="str">
        <f t="shared" si="116"/>
        <v>PEN</v>
      </c>
      <c r="O1516" s="13"/>
      <c r="P1516" s="13">
        <v>825.97</v>
      </c>
      <c r="Q1516" s="3">
        <f t="shared" si="117"/>
        <v>825.97</v>
      </c>
      <c r="R1516" s="3">
        <f t="shared" si="118"/>
        <v>0</v>
      </c>
      <c r="S1516" s="3">
        <f t="shared" si="119"/>
        <v>34730.770000000033</v>
      </c>
      <c r="T1516" s="24" t="s">
        <v>1081</v>
      </c>
      <c r="U1516" s="24" t="s">
        <v>1081</v>
      </c>
      <c r="V1516" s="67"/>
      <c r="W1516" s="25" t="str">
        <f>IFERROR(VLOOKUP(BCP_Soles[[#This Row],[DESTINATARIO]],CHOOSE({1,2},Clientes_Proveedores[Razon Social],Clientes_Proveedores[Ruc / Dni]),2,0),"")</f>
        <v/>
      </c>
      <c r="X1516" s="25" t="s">
        <v>1090</v>
      </c>
      <c r="Y1516" s="25" t="s">
        <v>2647</v>
      </c>
      <c r="Z1516" s="25"/>
      <c r="AA1516" s="99"/>
      <c r="AB1516" s="3" t="str">
        <f>IF(BCP_Soles[[#This Row],[FECHA]]&gt;0,TEXT(BCP_Soles[[#This Row],[FECHA]],"mmmm"),0)</f>
        <v>Mayo</v>
      </c>
    </row>
    <row r="1517" spans="2:28" ht="36" x14ac:dyDescent="0.3">
      <c r="B1517" s="2">
        <f>IF(BCP_Soles[[#This Row],[TIPO DE R.]]="R",COUNTIFS($D$4:$D1516,"R")+1,"")</f>
        <v>1184</v>
      </c>
      <c r="C1517" s="19" t="str">
        <f t="shared" si="115"/>
        <v>B-BCP - Soles</v>
      </c>
      <c r="D1517" s="3" t="s">
        <v>1074</v>
      </c>
      <c r="E1517" s="14">
        <v>45783</v>
      </c>
      <c r="F1517" s="5" t="s">
        <v>198</v>
      </c>
      <c r="G1517" s="5" t="s">
        <v>1087</v>
      </c>
      <c r="H1517" s="6"/>
      <c r="I1517" s="6"/>
      <c r="J1517" s="6"/>
      <c r="K1517" s="6"/>
      <c r="L1517" s="7" t="s">
        <v>2648</v>
      </c>
      <c r="M1517" s="8">
        <v>2410365</v>
      </c>
      <c r="N1517" s="8" t="str">
        <f t="shared" si="116"/>
        <v>PEN</v>
      </c>
      <c r="O1517" s="13"/>
      <c r="P1517" s="13">
        <v>756.81</v>
      </c>
      <c r="Q1517" s="3">
        <f t="shared" si="117"/>
        <v>756.81</v>
      </c>
      <c r="R1517" s="3">
        <f t="shared" si="118"/>
        <v>0</v>
      </c>
      <c r="S1517" s="3">
        <f t="shared" si="119"/>
        <v>35487.580000000031</v>
      </c>
      <c r="T1517" s="24" t="s">
        <v>1081</v>
      </c>
      <c r="U1517" s="24" t="s">
        <v>1081</v>
      </c>
      <c r="V1517" s="67"/>
      <c r="W1517" s="25" t="str">
        <f>IFERROR(VLOOKUP(BCP_Soles[[#This Row],[DESTINATARIO]],CHOOSE({1,2},Clientes_Proveedores[Razon Social],Clientes_Proveedores[Ruc / Dni]),2,0),"")</f>
        <v/>
      </c>
      <c r="X1517" s="25" t="s">
        <v>1090</v>
      </c>
      <c r="Y1517" s="25" t="s">
        <v>2649</v>
      </c>
      <c r="Z1517" s="25"/>
      <c r="AA1517" s="99"/>
      <c r="AB1517" s="3" t="str">
        <f>IF(BCP_Soles[[#This Row],[FECHA]]&gt;0,TEXT(BCP_Soles[[#This Row],[FECHA]],"mmmm"),0)</f>
        <v>Mayo</v>
      </c>
    </row>
    <row r="1518" spans="2:28" ht="60" x14ac:dyDescent="0.3">
      <c r="B1518" s="2">
        <f>IF(BCP_Soles[[#This Row],[TIPO DE R.]]="R",COUNTIFS($D$4:$D1517,"R")+1,"")</f>
        <v>1185</v>
      </c>
      <c r="C1518" s="19" t="str">
        <f t="shared" si="115"/>
        <v>B-BCP - Soles</v>
      </c>
      <c r="D1518" s="3" t="s">
        <v>1074</v>
      </c>
      <c r="E1518" s="14">
        <v>45783</v>
      </c>
      <c r="F1518" s="5" t="s">
        <v>238</v>
      </c>
      <c r="G1518" s="5" t="s">
        <v>1087</v>
      </c>
      <c r="H1518" s="6"/>
      <c r="I1518" s="6"/>
      <c r="J1518" s="6"/>
      <c r="K1518" s="6"/>
      <c r="L1518" s="7" t="s">
        <v>1170</v>
      </c>
      <c r="M1518" s="8">
        <v>2250272</v>
      </c>
      <c r="N1518" s="8" t="str">
        <f t="shared" si="116"/>
        <v>PEN</v>
      </c>
      <c r="O1518" s="13"/>
      <c r="P1518" s="13">
        <v>505.51</v>
      </c>
      <c r="Q1518" s="3">
        <f t="shared" si="117"/>
        <v>505.51</v>
      </c>
      <c r="R1518" s="3">
        <f t="shared" si="118"/>
        <v>0</v>
      </c>
      <c r="S1518" s="3">
        <f t="shared" si="119"/>
        <v>35993.090000000033</v>
      </c>
      <c r="T1518" s="24" t="s">
        <v>1081</v>
      </c>
      <c r="U1518" s="24" t="s">
        <v>1081</v>
      </c>
      <c r="V1518" s="67"/>
      <c r="W1518" s="25" t="str">
        <f>IFERROR(VLOOKUP(BCP_Soles[[#This Row],[DESTINATARIO]],CHOOSE({1,2},Clientes_Proveedores[Razon Social],Clientes_Proveedores[Ruc / Dni]),2,0),"")</f>
        <v/>
      </c>
      <c r="X1518" s="25" t="s">
        <v>1090</v>
      </c>
      <c r="Y1518" s="25" t="s">
        <v>2650</v>
      </c>
      <c r="Z1518" s="25"/>
      <c r="AA1518" s="99"/>
      <c r="AB1518" s="3" t="str">
        <f>IF(BCP_Soles[[#This Row],[FECHA]]&gt;0,TEXT(BCP_Soles[[#This Row],[FECHA]],"mmmm"),0)</f>
        <v>Mayo</v>
      </c>
    </row>
    <row r="1519" spans="2:28" ht="60" x14ac:dyDescent="0.3">
      <c r="B1519" s="2">
        <f>IF(BCP_Soles[[#This Row],[TIPO DE R.]]="R",COUNTIFS($D$4:$D1518,"R")+1,"")</f>
        <v>1186</v>
      </c>
      <c r="C1519" s="19" t="str">
        <f t="shared" si="115"/>
        <v>B-BCP - Soles</v>
      </c>
      <c r="D1519" s="3" t="s">
        <v>1074</v>
      </c>
      <c r="E1519" s="14">
        <v>45783</v>
      </c>
      <c r="F1519" s="5" t="s">
        <v>238</v>
      </c>
      <c r="G1519" s="5" t="s">
        <v>1087</v>
      </c>
      <c r="H1519" s="6"/>
      <c r="I1519" s="6"/>
      <c r="J1519" s="6"/>
      <c r="K1519" s="6"/>
      <c r="L1519" s="7" t="s">
        <v>1170</v>
      </c>
      <c r="M1519" s="8">
        <v>2255756</v>
      </c>
      <c r="N1519" s="8" t="str">
        <f t="shared" si="116"/>
        <v>PEN</v>
      </c>
      <c r="O1519" s="13"/>
      <c r="P1519" s="13">
        <v>487.48</v>
      </c>
      <c r="Q1519" s="3">
        <f t="shared" si="117"/>
        <v>487.48</v>
      </c>
      <c r="R1519" s="3">
        <f t="shared" si="118"/>
        <v>0</v>
      </c>
      <c r="S1519" s="3">
        <f t="shared" si="119"/>
        <v>36480.570000000036</v>
      </c>
      <c r="T1519" s="24" t="s">
        <v>1081</v>
      </c>
      <c r="U1519" s="24" t="s">
        <v>1081</v>
      </c>
      <c r="V1519" s="67"/>
      <c r="W1519" s="25" t="str">
        <f>IFERROR(VLOOKUP(BCP_Soles[[#This Row],[DESTINATARIO]],CHOOSE({1,2},Clientes_Proveedores[Razon Social],Clientes_Proveedores[Ruc / Dni]),2,0),"")</f>
        <v/>
      </c>
      <c r="X1519" s="25" t="s">
        <v>1090</v>
      </c>
      <c r="Y1519" s="25" t="s">
        <v>2651</v>
      </c>
      <c r="Z1519" s="25"/>
      <c r="AA1519" s="99"/>
      <c r="AB1519" s="3" t="str">
        <f>IF(BCP_Soles[[#This Row],[FECHA]]&gt;0,TEXT(BCP_Soles[[#This Row],[FECHA]],"mmmm"),0)</f>
        <v>Mayo</v>
      </c>
    </row>
    <row r="1520" spans="2:28" ht="36" x14ac:dyDescent="0.3">
      <c r="B1520" s="2">
        <f>IF(BCP_Soles[[#This Row],[TIPO DE R.]]="R",COUNTIFS($D$4:$D1519,"R")+1,"")</f>
        <v>1187</v>
      </c>
      <c r="C1520" s="19" t="str">
        <f t="shared" si="115"/>
        <v>B-BCP - Soles</v>
      </c>
      <c r="D1520" s="3" t="s">
        <v>1074</v>
      </c>
      <c r="E1520" s="14">
        <v>45783</v>
      </c>
      <c r="F1520" s="5" t="s">
        <v>616</v>
      </c>
      <c r="G1520" s="5" t="s">
        <v>1087</v>
      </c>
      <c r="H1520" s="6"/>
      <c r="I1520" s="6"/>
      <c r="J1520" s="6"/>
      <c r="K1520" s="6"/>
      <c r="L1520" s="7" t="s">
        <v>1374</v>
      </c>
      <c r="M1520" s="8">
        <v>2899777</v>
      </c>
      <c r="N1520" s="8" t="str">
        <f t="shared" si="116"/>
        <v>PEN</v>
      </c>
      <c r="O1520" s="13"/>
      <c r="P1520" s="13">
        <v>450</v>
      </c>
      <c r="Q1520" s="3">
        <f t="shared" si="117"/>
        <v>450</v>
      </c>
      <c r="R1520" s="3">
        <f t="shared" si="118"/>
        <v>0</v>
      </c>
      <c r="S1520" s="3">
        <f t="shared" si="119"/>
        <v>36930.570000000036</v>
      </c>
      <c r="T1520" s="24" t="s">
        <v>1081</v>
      </c>
      <c r="U1520" s="24" t="s">
        <v>1081</v>
      </c>
      <c r="V1520" s="67"/>
      <c r="W1520" s="25" t="str">
        <f>IFERROR(VLOOKUP(BCP_Soles[[#This Row],[DESTINATARIO]],CHOOSE({1,2},Clientes_Proveedores[Razon Social],Clientes_Proveedores[Ruc / Dni]),2,0),"")</f>
        <v/>
      </c>
      <c r="X1520" s="25" t="s">
        <v>1090</v>
      </c>
      <c r="Y1520" s="25" t="s">
        <v>2652</v>
      </c>
      <c r="Z1520" s="25"/>
      <c r="AA1520" s="99"/>
      <c r="AB1520" s="3" t="str">
        <f>IF(BCP_Soles[[#This Row],[FECHA]]&gt;0,TEXT(BCP_Soles[[#This Row],[FECHA]],"mmmm"),0)</f>
        <v>Mayo</v>
      </c>
    </row>
    <row r="1521" spans="2:28" ht="60" x14ac:dyDescent="0.3">
      <c r="B1521" s="2">
        <f>IF(BCP_Soles[[#This Row],[TIPO DE R.]]="R",COUNTIFS($D$4:$D1520,"R")+1,"")</f>
        <v>1188</v>
      </c>
      <c r="C1521" s="19" t="str">
        <f t="shared" si="115"/>
        <v>B-BCP - Soles</v>
      </c>
      <c r="D1521" s="3" t="s">
        <v>1074</v>
      </c>
      <c r="E1521" s="14">
        <v>45783</v>
      </c>
      <c r="F1521" s="5" t="s">
        <v>238</v>
      </c>
      <c r="G1521" s="5" t="s">
        <v>1087</v>
      </c>
      <c r="H1521" s="6"/>
      <c r="I1521" s="6"/>
      <c r="J1521" s="6"/>
      <c r="K1521" s="6"/>
      <c r="L1521" s="7" t="s">
        <v>1170</v>
      </c>
      <c r="M1521" s="8">
        <v>2248901</v>
      </c>
      <c r="N1521" s="8" t="str">
        <f t="shared" si="116"/>
        <v>PEN</v>
      </c>
      <c r="O1521" s="13"/>
      <c r="P1521" s="13">
        <v>338.25</v>
      </c>
      <c r="Q1521" s="3">
        <f t="shared" si="117"/>
        <v>338.25</v>
      </c>
      <c r="R1521" s="3">
        <f t="shared" si="118"/>
        <v>0</v>
      </c>
      <c r="S1521" s="3">
        <f t="shared" si="119"/>
        <v>37268.820000000036</v>
      </c>
      <c r="T1521" s="24" t="s">
        <v>1081</v>
      </c>
      <c r="U1521" s="24" t="s">
        <v>1081</v>
      </c>
      <c r="V1521" s="67"/>
      <c r="W1521" s="25" t="str">
        <f>IFERROR(VLOOKUP(BCP_Soles[[#This Row],[DESTINATARIO]],CHOOSE({1,2},Clientes_Proveedores[Razon Social],Clientes_Proveedores[Ruc / Dni]),2,0),"")</f>
        <v/>
      </c>
      <c r="X1521" s="25" t="s">
        <v>1090</v>
      </c>
      <c r="Y1521" s="25" t="s">
        <v>2653</v>
      </c>
      <c r="Z1521" s="25"/>
      <c r="AA1521" s="99"/>
      <c r="AB1521" s="3" t="str">
        <f>IF(BCP_Soles[[#This Row],[FECHA]]&gt;0,TEXT(BCP_Soles[[#This Row],[FECHA]],"mmmm"),0)</f>
        <v>Mayo</v>
      </c>
    </row>
    <row r="1522" spans="2:28" ht="60" x14ac:dyDescent="0.3">
      <c r="B1522" s="2">
        <f>IF(BCP_Soles[[#This Row],[TIPO DE R.]]="R",COUNTIFS($D$4:$D1521,"R")+1,"")</f>
        <v>1189</v>
      </c>
      <c r="C1522" s="19" t="str">
        <f t="shared" si="115"/>
        <v>B-BCP - Soles</v>
      </c>
      <c r="D1522" s="3" t="s">
        <v>1074</v>
      </c>
      <c r="E1522" s="14">
        <v>45783</v>
      </c>
      <c r="F1522" s="5" t="s">
        <v>238</v>
      </c>
      <c r="G1522" s="5" t="s">
        <v>1087</v>
      </c>
      <c r="H1522" s="6"/>
      <c r="I1522" s="6"/>
      <c r="J1522" s="6"/>
      <c r="K1522" s="6"/>
      <c r="L1522" s="7" t="s">
        <v>1170</v>
      </c>
      <c r="M1522" s="8">
        <v>2253657</v>
      </c>
      <c r="N1522" s="8" t="str">
        <f t="shared" si="116"/>
        <v>PEN</v>
      </c>
      <c r="O1522" s="13"/>
      <c r="P1522" s="13">
        <v>337.48</v>
      </c>
      <c r="Q1522" s="3">
        <f t="shared" si="117"/>
        <v>337.48</v>
      </c>
      <c r="R1522" s="3">
        <f t="shared" si="118"/>
        <v>0</v>
      </c>
      <c r="S1522" s="3">
        <f t="shared" si="119"/>
        <v>37606.300000000039</v>
      </c>
      <c r="T1522" s="24" t="s">
        <v>1081</v>
      </c>
      <c r="U1522" s="24" t="s">
        <v>1081</v>
      </c>
      <c r="V1522" s="67"/>
      <c r="W1522" s="25" t="str">
        <f>IFERROR(VLOOKUP(BCP_Soles[[#This Row],[DESTINATARIO]],CHOOSE({1,2},Clientes_Proveedores[Razon Social],Clientes_Proveedores[Ruc / Dni]),2,0),"")</f>
        <v/>
      </c>
      <c r="X1522" s="25" t="s">
        <v>1090</v>
      </c>
      <c r="Y1522" s="25" t="s">
        <v>2654</v>
      </c>
      <c r="Z1522" s="25"/>
      <c r="AA1522" s="99"/>
      <c r="AB1522" s="3" t="str">
        <f>IF(BCP_Soles[[#This Row],[FECHA]]&gt;0,TEXT(BCP_Soles[[#This Row],[FECHA]],"mmmm"),0)</f>
        <v>Mayo</v>
      </c>
    </row>
    <row r="1523" spans="2:28" ht="24" x14ac:dyDescent="0.3">
      <c r="B1523" s="2">
        <f>IF(BCP_Soles[[#This Row],[TIPO DE R.]]="R",COUNTIFS($D$4:$D1522,"R")+1,"")</f>
        <v>1190</v>
      </c>
      <c r="C1523" s="19" t="str">
        <f t="shared" si="115"/>
        <v>B-BCP - Soles</v>
      </c>
      <c r="D1523" s="3" t="s">
        <v>1074</v>
      </c>
      <c r="E1523" s="14">
        <v>45783</v>
      </c>
      <c r="F1523" s="5" t="s">
        <v>2655</v>
      </c>
      <c r="G1523" s="5" t="s">
        <v>1087</v>
      </c>
      <c r="H1523" s="6"/>
      <c r="I1523" s="6"/>
      <c r="J1523" s="6"/>
      <c r="K1523" s="6"/>
      <c r="L1523" s="7" t="s">
        <v>1100</v>
      </c>
      <c r="M1523" s="8">
        <v>3825055</v>
      </c>
      <c r="N1523" s="8" t="str">
        <f t="shared" si="116"/>
        <v>PEN</v>
      </c>
      <c r="O1523" s="13"/>
      <c r="P1523" s="13">
        <v>300</v>
      </c>
      <c r="Q1523" s="3">
        <f t="shared" si="117"/>
        <v>300</v>
      </c>
      <c r="R1523" s="3">
        <f t="shared" si="118"/>
        <v>0</v>
      </c>
      <c r="S1523" s="3">
        <f t="shared" si="119"/>
        <v>37906.300000000039</v>
      </c>
      <c r="T1523" s="24" t="s">
        <v>1081</v>
      </c>
      <c r="U1523" s="24" t="s">
        <v>1081</v>
      </c>
      <c r="V1523" s="67"/>
      <c r="W1523" s="25" t="str">
        <f>IFERROR(VLOOKUP(BCP_Soles[[#This Row],[DESTINATARIO]],CHOOSE({1,2},Clientes_Proveedores[Razon Social],Clientes_Proveedores[Ruc / Dni]),2,0),"")</f>
        <v/>
      </c>
      <c r="X1523" s="25" t="s">
        <v>1090</v>
      </c>
      <c r="Y1523" s="25" t="s">
        <v>2656</v>
      </c>
      <c r="Z1523" s="25"/>
      <c r="AA1523" s="99"/>
      <c r="AB1523" s="3" t="str">
        <f>IF(BCP_Soles[[#This Row],[FECHA]]&gt;0,TEXT(BCP_Soles[[#This Row],[FECHA]],"mmmm"),0)</f>
        <v>Mayo</v>
      </c>
    </row>
    <row r="1524" spans="2:28" x14ac:dyDescent="0.3">
      <c r="B1524" s="2">
        <f>IF(BCP_Soles[[#This Row],[TIPO DE R.]]="R",COUNTIFS($D$4:$D1523,"R")+1,"")</f>
        <v>1191</v>
      </c>
      <c r="C1524" s="19" t="str">
        <f t="shared" si="115"/>
        <v>B-BCP - Soles</v>
      </c>
      <c r="D1524" s="3" t="s">
        <v>1074</v>
      </c>
      <c r="E1524" s="14">
        <v>45783</v>
      </c>
      <c r="F1524" s="5" t="s">
        <v>1078</v>
      </c>
      <c r="G1524" s="5" t="s">
        <v>1079</v>
      </c>
      <c r="H1524" s="6"/>
      <c r="I1524" s="6"/>
      <c r="J1524" s="6"/>
      <c r="K1524" s="6"/>
      <c r="L1524" s="7" t="s">
        <v>1080</v>
      </c>
      <c r="M1524" s="8"/>
      <c r="N1524" s="8" t="str">
        <f t="shared" si="116"/>
        <v>PEN</v>
      </c>
      <c r="O1524" s="13"/>
      <c r="P1524" s="13">
        <v>2.0499999999999998</v>
      </c>
      <c r="Q1524" s="3">
        <f t="shared" si="117"/>
        <v>0</v>
      </c>
      <c r="R1524" s="3">
        <f t="shared" si="118"/>
        <v>2.0499999999999998</v>
      </c>
      <c r="S1524" s="3">
        <f t="shared" si="119"/>
        <v>37904.250000000036</v>
      </c>
      <c r="T1524" s="24"/>
      <c r="U1524" s="24" t="s">
        <v>1081</v>
      </c>
      <c r="V1524" s="67"/>
      <c r="W1524" s="25" t="str">
        <f>IFERROR(VLOOKUP(BCP_Soles[[#This Row],[DESTINATARIO]],CHOOSE({1,2},Clientes_Proveedores[Razon Social],Clientes_Proveedores[Ruc / Dni]),2,0),"")</f>
        <v/>
      </c>
      <c r="X1524" s="25"/>
      <c r="Y1524" s="25"/>
      <c r="Z1524" s="25"/>
      <c r="AA1524" s="99"/>
      <c r="AB1524" s="3" t="str">
        <f>IF(BCP_Soles[[#This Row],[FECHA]]&gt;0,TEXT(BCP_Soles[[#This Row],[FECHA]],"mmmm"),0)</f>
        <v>Mayo</v>
      </c>
    </row>
    <row r="1525" spans="2:28" ht="24" x14ac:dyDescent="0.3">
      <c r="B1525" s="2">
        <f>IF(BCP_Soles[[#This Row],[TIPO DE R.]]="R",COUNTIFS($D$4:$D1524,"R")+1,"")</f>
        <v>1192</v>
      </c>
      <c r="C1525" s="19" t="str">
        <f t="shared" si="115"/>
        <v>B-BCP - Soles</v>
      </c>
      <c r="D1525" s="3" t="s">
        <v>1074</v>
      </c>
      <c r="E1525" s="14">
        <v>45783</v>
      </c>
      <c r="F1525" s="5" t="s">
        <v>1078</v>
      </c>
      <c r="G1525" s="5" t="s">
        <v>1079</v>
      </c>
      <c r="H1525" s="6" t="s">
        <v>1001</v>
      </c>
      <c r="I1525" s="6"/>
      <c r="J1525" s="6"/>
      <c r="K1525" s="6"/>
      <c r="L1525" s="7" t="s">
        <v>1141</v>
      </c>
      <c r="M1525" s="8">
        <v>773</v>
      </c>
      <c r="N1525" s="8" t="str">
        <f t="shared" si="116"/>
        <v>PEN</v>
      </c>
      <c r="O1525" s="13"/>
      <c r="P1525" s="13">
        <v>10</v>
      </c>
      <c r="Q1525" s="3">
        <f t="shared" si="117"/>
        <v>0</v>
      </c>
      <c r="R1525" s="3">
        <f t="shared" si="118"/>
        <v>10</v>
      </c>
      <c r="S1525" s="3">
        <f t="shared" si="119"/>
        <v>37894.250000000036</v>
      </c>
      <c r="T1525" s="24"/>
      <c r="U1525" s="24"/>
      <c r="V1525" s="67"/>
      <c r="W1525" s="25">
        <f>IFERROR(VLOOKUP(BCP_Soles[[#This Row],[DESTINATARIO]],CHOOSE({1,2},Clientes_Proveedores[Razon Social],Clientes_Proveedores[Ruc / Dni]),2,0),"")</f>
        <v>20100047218</v>
      </c>
      <c r="X1525" s="25" t="s">
        <v>1078</v>
      </c>
      <c r="Y1525" s="25"/>
      <c r="Z1525" s="25"/>
      <c r="AA1525" s="99"/>
      <c r="AB1525" s="3" t="str">
        <f>IF(BCP_Soles[[#This Row],[FECHA]]&gt;0,TEXT(BCP_Soles[[#This Row],[FECHA]],"mmmm"),0)</f>
        <v>Mayo</v>
      </c>
    </row>
    <row r="1526" spans="2:28" x14ac:dyDescent="0.3">
      <c r="B1526" s="2">
        <f>IF(BCP_Soles[[#This Row],[TIPO DE R.]]="R",COUNTIFS($D$4:$D1525,"R")+1,"")</f>
        <v>1193</v>
      </c>
      <c r="C1526" s="19" t="str">
        <f t="shared" si="115"/>
        <v>B-BCP - Soles</v>
      </c>
      <c r="D1526" s="3" t="s">
        <v>1074</v>
      </c>
      <c r="E1526" s="14">
        <v>45783</v>
      </c>
      <c r="F1526" s="5" t="s">
        <v>1082</v>
      </c>
      <c r="G1526" s="5" t="s">
        <v>1079</v>
      </c>
      <c r="H1526" s="6" t="s">
        <v>637</v>
      </c>
      <c r="I1526" s="6" t="s">
        <v>14</v>
      </c>
      <c r="J1526" s="6" t="s">
        <v>1122</v>
      </c>
      <c r="K1526" s="6">
        <v>160914</v>
      </c>
      <c r="L1526" s="7" t="s">
        <v>1123</v>
      </c>
      <c r="M1526" s="8">
        <v>226590</v>
      </c>
      <c r="N1526" s="8" t="str">
        <f t="shared" si="116"/>
        <v>PEN</v>
      </c>
      <c r="O1526" s="13"/>
      <c r="P1526" s="13">
        <v>179.8</v>
      </c>
      <c r="Q1526" s="3">
        <f t="shared" si="117"/>
        <v>0</v>
      </c>
      <c r="R1526" s="3">
        <f t="shared" si="118"/>
        <v>179.8</v>
      </c>
      <c r="S1526" s="3">
        <f t="shared" si="119"/>
        <v>37714.450000000033</v>
      </c>
      <c r="T1526" s="24" t="s">
        <v>1081</v>
      </c>
      <c r="U1526" s="24" t="s">
        <v>1081</v>
      </c>
      <c r="V1526" s="67"/>
      <c r="W1526" s="25">
        <f>IFERROR(VLOOKUP(BCP_Soles[[#This Row],[DESTINATARIO]],CHOOSE({1,2},Clientes_Proveedores[Razon Social],Clientes_Proveedores[Ruc / Dni]),2,0),"")</f>
        <v>20127765279</v>
      </c>
      <c r="X1526" s="25" t="s">
        <v>1124</v>
      </c>
      <c r="Y1526" s="25" t="s">
        <v>2657</v>
      </c>
      <c r="Z1526" s="25"/>
      <c r="AA1526" s="99"/>
      <c r="AB1526" s="3" t="str">
        <f>IF(BCP_Soles[[#This Row],[FECHA]]&gt;0,TEXT(BCP_Soles[[#This Row],[FECHA]],"mmmm"),0)</f>
        <v>Mayo</v>
      </c>
    </row>
    <row r="1527" spans="2:28" ht="24" x14ac:dyDescent="0.3">
      <c r="B1527" s="2">
        <f>IF(BCP_Soles[[#This Row],[TIPO DE R.]]="R",COUNTIFS($D$4:$D1526,"R")+1,"")</f>
        <v>1194</v>
      </c>
      <c r="C1527" s="19" t="str">
        <f t="shared" si="115"/>
        <v>B-BCP - Soles</v>
      </c>
      <c r="D1527" s="3" t="s">
        <v>1074</v>
      </c>
      <c r="E1527" s="14">
        <v>45783</v>
      </c>
      <c r="F1527" s="5" t="s">
        <v>1082</v>
      </c>
      <c r="G1527" s="5" t="s">
        <v>1079</v>
      </c>
      <c r="H1527" s="6" t="s">
        <v>192</v>
      </c>
      <c r="I1527" s="6"/>
      <c r="J1527" s="6"/>
      <c r="K1527" s="6"/>
      <c r="L1527" s="7" t="s">
        <v>2644</v>
      </c>
      <c r="M1527" s="8">
        <v>1224641</v>
      </c>
      <c r="N1527" s="8" t="str">
        <f t="shared" si="116"/>
        <v>PEN</v>
      </c>
      <c r="O1527" s="13"/>
      <c r="P1527" s="13">
        <v>330.4</v>
      </c>
      <c r="Q1527" s="3">
        <f t="shared" si="117"/>
        <v>0</v>
      </c>
      <c r="R1527" s="3">
        <f t="shared" si="118"/>
        <v>330.4</v>
      </c>
      <c r="S1527" s="3">
        <f t="shared" si="119"/>
        <v>37384.050000000032</v>
      </c>
      <c r="T1527" s="24"/>
      <c r="U1527" s="24"/>
      <c r="V1527" s="67"/>
      <c r="W1527" s="25">
        <f>IFERROR(VLOOKUP(BCP_Soles[[#This Row],[DESTINATARIO]],CHOOSE({1,2},Clientes_Proveedores[Razon Social],Clientes_Proveedores[Ruc / Dni]),2,0),"")</f>
        <v>20302891452</v>
      </c>
      <c r="X1527" s="25" t="s">
        <v>192</v>
      </c>
      <c r="Y1527" s="25"/>
      <c r="Z1527" s="25"/>
      <c r="AA1527" s="99"/>
      <c r="AB1527" s="3" t="str">
        <f>IF(BCP_Soles[[#This Row],[FECHA]]&gt;0,TEXT(BCP_Soles[[#This Row],[FECHA]],"mmmm"),0)</f>
        <v>Mayo</v>
      </c>
    </row>
    <row r="1528" spans="2:28" x14ac:dyDescent="0.3">
      <c r="B1528" s="2">
        <f>IF(BCP_Soles[[#This Row],[TIPO DE R.]]="R",COUNTIFS($D$4:$D1527,"R")+1,"")</f>
        <v>1195</v>
      </c>
      <c r="C1528" s="19" t="str">
        <f t="shared" si="115"/>
        <v>B-BCP - Soles</v>
      </c>
      <c r="D1528" s="3" t="s">
        <v>1074</v>
      </c>
      <c r="E1528" s="14">
        <v>45783</v>
      </c>
      <c r="F1528" s="5" t="s">
        <v>1082</v>
      </c>
      <c r="G1528" s="5" t="s">
        <v>1079</v>
      </c>
      <c r="H1528" s="6" t="s">
        <v>637</v>
      </c>
      <c r="I1528" s="6" t="s">
        <v>14</v>
      </c>
      <c r="J1528" s="6" t="s">
        <v>1122</v>
      </c>
      <c r="K1528" s="6">
        <v>160908</v>
      </c>
      <c r="L1528" s="7" t="s">
        <v>1123</v>
      </c>
      <c r="M1528" s="8">
        <v>227569</v>
      </c>
      <c r="N1528" s="8" t="str">
        <f t="shared" si="116"/>
        <v>PEN</v>
      </c>
      <c r="O1528" s="13"/>
      <c r="P1528" s="13">
        <v>842.87</v>
      </c>
      <c r="Q1528" s="3">
        <f t="shared" si="117"/>
        <v>0</v>
      </c>
      <c r="R1528" s="3">
        <f t="shared" si="118"/>
        <v>842.87</v>
      </c>
      <c r="S1528" s="3">
        <f t="shared" si="119"/>
        <v>36541.180000000029</v>
      </c>
      <c r="T1528" s="24" t="s">
        <v>1081</v>
      </c>
      <c r="U1528" s="24" t="s">
        <v>1081</v>
      </c>
      <c r="V1528" s="67"/>
      <c r="W1528" s="25">
        <f>IFERROR(VLOOKUP(BCP_Soles[[#This Row],[DESTINATARIO]],CHOOSE({1,2},Clientes_Proveedores[Razon Social],Clientes_Proveedores[Ruc / Dni]),2,0),"")</f>
        <v>20127765279</v>
      </c>
      <c r="X1528" s="25" t="s">
        <v>1124</v>
      </c>
      <c r="Y1528" s="25" t="s">
        <v>2658</v>
      </c>
      <c r="Z1528" s="25"/>
      <c r="AA1528" s="99"/>
      <c r="AB1528" s="3" t="str">
        <f>IF(BCP_Soles[[#This Row],[FECHA]]&gt;0,TEXT(BCP_Soles[[#This Row],[FECHA]],"mmmm"),0)</f>
        <v>Mayo</v>
      </c>
    </row>
    <row r="1529" spans="2:28" x14ac:dyDescent="0.3">
      <c r="B1529" s="2">
        <f>IF(BCP_Soles[[#This Row],[TIPO DE R.]]="R",COUNTIFS($D$4:$D1528,"R")+1,"")</f>
        <v>1196</v>
      </c>
      <c r="C1529" s="19" t="str">
        <f t="shared" si="115"/>
        <v>B-BCP - Soles</v>
      </c>
      <c r="D1529" s="3" t="s">
        <v>1074</v>
      </c>
      <c r="E1529" s="14">
        <v>45783</v>
      </c>
      <c r="F1529" s="5" t="s">
        <v>1082</v>
      </c>
      <c r="G1529" s="5" t="s">
        <v>1079</v>
      </c>
      <c r="H1529" s="6"/>
      <c r="I1529" s="6"/>
      <c r="J1529" s="6"/>
      <c r="K1529" s="6"/>
      <c r="L1529" s="7" t="s">
        <v>2659</v>
      </c>
      <c r="M1529" s="8">
        <v>2393330</v>
      </c>
      <c r="N1529" s="8" t="str">
        <f t="shared" si="116"/>
        <v>PEN</v>
      </c>
      <c r="O1529" s="13"/>
      <c r="P1529" s="13">
        <v>4326.7700000000004</v>
      </c>
      <c r="Q1529" s="3">
        <f t="shared" si="117"/>
        <v>0</v>
      </c>
      <c r="R1529" s="3">
        <f t="shared" si="118"/>
        <v>4326.7700000000004</v>
      </c>
      <c r="S1529" s="3">
        <f t="shared" si="119"/>
        <v>32214.410000000029</v>
      </c>
      <c r="T1529" s="24" t="s">
        <v>1081</v>
      </c>
      <c r="U1529" s="24" t="s">
        <v>1081</v>
      </c>
      <c r="V1529" s="67"/>
      <c r="W1529" s="25" t="str">
        <f>IFERROR(VLOOKUP(BCP_Soles[[#This Row],[DESTINATARIO]],CHOOSE({1,2},Clientes_Proveedores[Razon Social],Clientes_Proveedores[Ruc / Dni]),2,0),"")</f>
        <v/>
      </c>
      <c r="X1529" s="25" t="s">
        <v>1118</v>
      </c>
      <c r="Y1529" s="25"/>
      <c r="Z1529" s="25"/>
      <c r="AA1529" s="99"/>
      <c r="AB1529" s="3" t="str">
        <f>IF(BCP_Soles[[#This Row],[FECHA]]&gt;0,TEXT(BCP_Soles[[#This Row],[FECHA]],"mmmm"),0)</f>
        <v>Mayo</v>
      </c>
    </row>
    <row r="1530" spans="2:28" ht="24" x14ac:dyDescent="0.3">
      <c r="B1530" s="2" t="str">
        <f>IF(BCP_Soles[[#This Row],[TIPO DE R.]]="R",COUNTIFS($D$4:$D1529,"R")+1,"")</f>
        <v/>
      </c>
      <c r="C1530" s="19" t="str">
        <f t="shared" si="115"/>
        <v>B-BCP - Soles</v>
      </c>
      <c r="D1530" s="3" t="s">
        <v>1101</v>
      </c>
      <c r="E1530" s="14">
        <v>45783</v>
      </c>
      <c r="F1530" s="5" t="s">
        <v>1082</v>
      </c>
      <c r="G1530" s="5"/>
      <c r="H1530" s="6" t="s">
        <v>214</v>
      </c>
      <c r="I1530" s="6" t="s">
        <v>14</v>
      </c>
      <c r="J1530" s="6" t="s">
        <v>1120</v>
      </c>
      <c r="K1530" s="6">
        <v>6906</v>
      </c>
      <c r="L1530" s="7" t="s">
        <v>2659</v>
      </c>
      <c r="M1530" s="8">
        <v>2393330</v>
      </c>
      <c r="N1530" s="8" t="str">
        <f t="shared" si="116"/>
        <v>PEN</v>
      </c>
      <c r="O1530" s="13">
        <v>660.7</v>
      </c>
      <c r="P1530" s="13"/>
      <c r="Q1530" s="3">
        <f t="shared" si="117"/>
        <v>0</v>
      </c>
      <c r="R1530" s="3">
        <f t="shared" si="118"/>
        <v>0</v>
      </c>
      <c r="S1530" s="3">
        <f t="shared" si="119"/>
        <v>32214.410000000029</v>
      </c>
      <c r="T1530" s="24"/>
      <c r="U1530" s="24" t="s">
        <v>1081</v>
      </c>
      <c r="V1530" s="67"/>
      <c r="W1530" s="25">
        <f>IFERROR(VLOOKUP(BCP_Soles[[#This Row],[DESTINATARIO]],CHOOSE({1,2},Clientes_Proveedores[Razon Social],Clientes_Proveedores[Ruc / Dni]),2,0),"")</f>
        <v>20419158462</v>
      </c>
      <c r="X1530" s="25"/>
      <c r="Y1530" s="25"/>
      <c r="Z1530" s="25"/>
      <c r="AA1530" s="99"/>
      <c r="AB1530" s="3" t="str">
        <f>IF(BCP_Soles[[#This Row],[FECHA]]&gt;0,TEXT(BCP_Soles[[#This Row],[FECHA]],"mmmm"),0)</f>
        <v>Mayo</v>
      </c>
    </row>
    <row r="1531" spans="2:28" ht="24" x14ac:dyDescent="0.3">
      <c r="B1531" s="2" t="str">
        <f>IF(BCP_Soles[[#This Row],[TIPO DE R.]]="R",COUNTIFS($D$4:$D1530,"R")+1,"")</f>
        <v/>
      </c>
      <c r="C1531" s="19" t="str">
        <f t="shared" si="115"/>
        <v>B-BCP - Soles</v>
      </c>
      <c r="D1531" s="3" t="s">
        <v>1101</v>
      </c>
      <c r="E1531" s="14">
        <v>45783</v>
      </c>
      <c r="F1531" s="5" t="s">
        <v>1082</v>
      </c>
      <c r="G1531" s="5"/>
      <c r="H1531" s="6" t="s">
        <v>214</v>
      </c>
      <c r="I1531" s="6" t="s">
        <v>14</v>
      </c>
      <c r="J1531" s="6" t="s">
        <v>1120</v>
      </c>
      <c r="K1531" s="6">
        <v>6903</v>
      </c>
      <c r="L1531" s="7" t="s">
        <v>2659</v>
      </c>
      <c r="M1531" s="8">
        <v>2393330</v>
      </c>
      <c r="N1531" s="8" t="str">
        <f t="shared" si="116"/>
        <v>PEN</v>
      </c>
      <c r="O1531" s="13">
        <v>388.1</v>
      </c>
      <c r="P1531" s="13"/>
      <c r="Q1531" s="3">
        <f t="shared" si="117"/>
        <v>0</v>
      </c>
      <c r="R1531" s="3">
        <f t="shared" si="118"/>
        <v>0</v>
      </c>
      <c r="S1531" s="3">
        <f t="shared" si="119"/>
        <v>32214.410000000029</v>
      </c>
      <c r="T1531" s="24"/>
      <c r="U1531" s="24" t="s">
        <v>1081</v>
      </c>
      <c r="V1531" s="67"/>
      <c r="W1531" s="25">
        <f>IFERROR(VLOOKUP(BCP_Soles[[#This Row],[DESTINATARIO]],CHOOSE({1,2},Clientes_Proveedores[Razon Social],Clientes_Proveedores[Ruc / Dni]),2,0),"")</f>
        <v>20419158462</v>
      </c>
      <c r="X1531" s="25"/>
      <c r="Y1531" s="25"/>
      <c r="Z1531" s="25"/>
      <c r="AA1531" s="99"/>
      <c r="AB1531" s="3" t="str">
        <f>IF(BCP_Soles[[#This Row],[FECHA]]&gt;0,TEXT(BCP_Soles[[#This Row],[FECHA]],"mmmm"),0)</f>
        <v>Mayo</v>
      </c>
    </row>
    <row r="1532" spans="2:28" ht="24" x14ac:dyDescent="0.3">
      <c r="B1532" s="2" t="str">
        <f>IF(BCP_Soles[[#This Row],[TIPO DE R.]]="R",COUNTIFS($D$4:$D1531,"R")+1,"")</f>
        <v/>
      </c>
      <c r="C1532" s="19" t="str">
        <f t="shared" si="115"/>
        <v>B-BCP - Soles</v>
      </c>
      <c r="D1532" s="3" t="s">
        <v>1101</v>
      </c>
      <c r="E1532" s="14">
        <v>45783</v>
      </c>
      <c r="F1532" s="5" t="s">
        <v>1082</v>
      </c>
      <c r="G1532" s="5"/>
      <c r="H1532" s="6" t="s">
        <v>214</v>
      </c>
      <c r="I1532" s="6" t="s">
        <v>14</v>
      </c>
      <c r="J1532" s="6" t="s">
        <v>1120</v>
      </c>
      <c r="K1532" s="6">
        <v>6902</v>
      </c>
      <c r="L1532" s="7" t="s">
        <v>2659</v>
      </c>
      <c r="M1532" s="8">
        <v>2393330</v>
      </c>
      <c r="N1532" s="8" t="str">
        <f t="shared" si="116"/>
        <v>PEN</v>
      </c>
      <c r="O1532" s="13">
        <v>455.19</v>
      </c>
      <c r="P1532" s="13"/>
      <c r="Q1532" s="3">
        <f t="shared" si="117"/>
        <v>0</v>
      </c>
      <c r="R1532" s="3">
        <f t="shared" si="118"/>
        <v>0</v>
      </c>
      <c r="S1532" s="3">
        <f t="shared" si="119"/>
        <v>32214.410000000029</v>
      </c>
      <c r="T1532" s="24"/>
      <c r="U1532" s="24" t="s">
        <v>1081</v>
      </c>
      <c r="V1532" s="67"/>
      <c r="W1532" s="25">
        <f>IFERROR(VLOOKUP(BCP_Soles[[#This Row],[DESTINATARIO]],CHOOSE({1,2},Clientes_Proveedores[Razon Social],Clientes_Proveedores[Ruc / Dni]),2,0),"")</f>
        <v>20419158462</v>
      </c>
      <c r="X1532" s="25"/>
      <c r="Y1532" s="25"/>
      <c r="Z1532" s="25"/>
      <c r="AA1532" s="99"/>
      <c r="AB1532" s="3" t="str">
        <f>IF(BCP_Soles[[#This Row],[FECHA]]&gt;0,TEXT(BCP_Soles[[#This Row],[FECHA]],"mmmm"),0)</f>
        <v>Mayo</v>
      </c>
    </row>
    <row r="1533" spans="2:28" ht="24" x14ac:dyDescent="0.3">
      <c r="B1533" s="2" t="str">
        <f>IF(BCP_Soles[[#This Row],[TIPO DE R.]]="R",COUNTIFS($D$4:$D1532,"R")+1,"")</f>
        <v/>
      </c>
      <c r="C1533" s="19" t="str">
        <f t="shared" si="115"/>
        <v>B-BCP - Soles</v>
      </c>
      <c r="D1533" s="3" t="s">
        <v>1101</v>
      </c>
      <c r="E1533" s="14">
        <v>45783</v>
      </c>
      <c r="F1533" s="5" t="s">
        <v>1082</v>
      </c>
      <c r="G1533" s="5"/>
      <c r="H1533" s="6" t="s">
        <v>214</v>
      </c>
      <c r="I1533" s="6" t="s">
        <v>14</v>
      </c>
      <c r="J1533" s="6" t="s">
        <v>1120</v>
      </c>
      <c r="K1533" s="6">
        <v>6904</v>
      </c>
      <c r="L1533" s="7" t="s">
        <v>2659</v>
      </c>
      <c r="M1533" s="8">
        <v>2393330</v>
      </c>
      <c r="N1533" s="8" t="str">
        <f t="shared" si="116"/>
        <v>PEN</v>
      </c>
      <c r="O1533" s="13">
        <v>163</v>
      </c>
      <c r="P1533" s="13"/>
      <c r="Q1533" s="3">
        <f t="shared" si="117"/>
        <v>0</v>
      </c>
      <c r="R1533" s="3">
        <f t="shared" si="118"/>
        <v>0</v>
      </c>
      <c r="S1533" s="3">
        <f t="shared" si="119"/>
        <v>32214.410000000029</v>
      </c>
      <c r="T1533" s="24"/>
      <c r="U1533" s="24" t="s">
        <v>1081</v>
      </c>
      <c r="V1533" s="67"/>
      <c r="W1533" s="25">
        <f>IFERROR(VLOOKUP(BCP_Soles[[#This Row],[DESTINATARIO]],CHOOSE({1,2},Clientes_Proveedores[Razon Social],Clientes_Proveedores[Ruc / Dni]),2,0),"")</f>
        <v>20419158462</v>
      </c>
      <c r="X1533" s="25"/>
      <c r="Y1533" s="25"/>
      <c r="Z1533" s="25"/>
      <c r="AA1533" s="99"/>
      <c r="AB1533" s="3" t="str">
        <f>IF(BCP_Soles[[#This Row],[FECHA]]&gt;0,TEXT(BCP_Soles[[#This Row],[FECHA]],"mmmm"),0)</f>
        <v>Mayo</v>
      </c>
    </row>
    <row r="1534" spans="2:28" ht="24" x14ac:dyDescent="0.3">
      <c r="B1534" s="2" t="str">
        <f>IF(BCP_Soles[[#This Row],[TIPO DE R.]]="R",COUNTIFS($D$4:$D1533,"R")+1,"")</f>
        <v/>
      </c>
      <c r="C1534" s="19" t="str">
        <f t="shared" si="115"/>
        <v>B-BCP - Soles</v>
      </c>
      <c r="D1534" s="3" t="s">
        <v>1101</v>
      </c>
      <c r="E1534" s="14">
        <v>45783</v>
      </c>
      <c r="F1534" s="5" t="s">
        <v>1082</v>
      </c>
      <c r="G1534" s="5"/>
      <c r="H1534" s="6" t="s">
        <v>214</v>
      </c>
      <c r="I1534" s="6" t="s">
        <v>14</v>
      </c>
      <c r="J1534" s="6" t="s">
        <v>1120</v>
      </c>
      <c r="K1534" s="6">
        <v>6905</v>
      </c>
      <c r="L1534" s="7" t="s">
        <v>2659</v>
      </c>
      <c r="M1534" s="8">
        <v>2393330</v>
      </c>
      <c r="N1534" s="8" t="str">
        <f t="shared" si="116"/>
        <v>PEN</v>
      </c>
      <c r="O1534" s="13">
        <v>155</v>
      </c>
      <c r="P1534" s="13"/>
      <c r="Q1534" s="3">
        <f t="shared" si="117"/>
        <v>0</v>
      </c>
      <c r="R1534" s="3">
        <f t="shared" si="118"/>
        <v>0</v>
      </c>
      <c r="S1534" s="3">
        <f t="shared" si="119"/>
        <v>32214.410000000029</v>
      </c>
      <c r="T1534" s="24"/>
      <c r="U1534" s="24" t="s">
        <v>1081</v>
      </c>
      <c r="V1534" s="67"/>
      <c r="W1534" s="25">
        <f>IFERROR(VLOOKUP(BCP_Soles[[#This Row],[DESTINATARIO]],CHOOSE({1,2},Clientes_Proveedores[Razon Social],Clientes_Proveedores[Ruc / Dni]),2,0),"")</f>
        <v>20419158462</v>
      </c>
      <c r="X1534" s="25"/>
      <c r="Y1534" s="25"/>
      <c r="Z1534" s="25"/>
      <c r="AA1534" s="99"/>
      <c r="AB1534" s="3" t="str">
        <f>IF(BCP_Soles[[#This Row],[FECHA]]&gt;0,TEXT(BCP_Soles[[#This Row],[FECHA]],"mmmm"),0)</f>
        <v>Mayo</v>
      </c>
    </row>
    <row r="1535" spans="2:28" ht="24" x14ac:dyDescent="0.3">
      <c r="B1535" s="2" t="str">
        <f>IF(BCP_Soles[[#This Row],[TIPO DE R.]]="R",COUNTIFS($D$4:$D1534,"R")+1,"")</f>
        <v/>
      </c>
      <c r="C1535" s="19" t="str">
        <f t="shared" si="115"/>
        <v>B-BCP - Soles</v>
      </c>
      <c r="D1535" s="3" t="s">
        <v>1101</v>
      </c>
      <c r="E1535" s="14">
        <v>45783</v>
      </c>
      <c r="F1535" s="5" t="s">
        <v>1082</v>
      </c>
      <c r="G1535" s="5"/>
      <c r="H1535" s="6" t="s">
        <v>407</v>
      </c>
      <c r="I1535" s="6" t="s">
        <v>14</v>
      </c>
      <c r="J1535" s="6" t="s">
        <v>1121</v>
      </c>
      <c r="K1535" s="6">
        <v>814</v>
      </c>
      <c r="L1535" s="7" t="s">
        <v>2659</v>
      </c>
      <c r="M1535" s="8">
        <v>2393330</v>
      </c>
      <c r="N1535" s="8" t="str">
        <f t="shared" si="116"/>
        <v>PEN</v>
      </c>
      <c r="O1535" s="13">
        <v>1536</v>
      </c>
      <c r="P1535" s="13"/>
      <c r="Q1535" s="3">
        <f t="shared" si="117"/>
        <v>0</v>
      </c>
      <c r="R1535" s="3">
        <f t="shared" si="118"/>
        <v>0</v>
      </c>
      <c r="S1535" s="3">
        <f t="shared" si="119"/>
        <v>32214.410000000029</v>
      </c>
      <c r="T1535" s="24"/>
      <c r="U1535" s="24" t="s">
        <v>1081</v>
      </c>
      <c r="V1535" s="67"/>
      <c r="W1535" s="25">
        <f>IFERROR(VLOOKUP(BCP_Soles[[#This Row],[DESTINATARIO]],CHOOSE({1,2},Clientes_Proveedores[Razon Social],Clientes_Proveedores[Ruc / Dni]),2,0),"")</f>
        <v>20601279666</v>
      </c>
      <c r="X1535" s="25"/>
      <c r="Y1535" s="25"/>
      <c r="Z1535" s="25"/>
      <c r="AA1535" s="99"/>
      <c r="AB1535" s="3" t="str">
        <f>IF(BCP_Soles[[#This Row],[FECHA]]&gt;0,TEXT(BCP_Soles[[#This Row],[FECHA]],"mmmm"),0)</f>
        <v>Mayo</v>
      </c>
    </row>
    <row r="1536" spans="2:28" ht="36" x14ac:dyDescent="0.3">
      <c r="B1536" s="2" t="str">
        <f>IF(BCP_Soles[[#This Row],[TIPO DE R.]]="R",COUNTIFS($D$4:$D1535,"R")+1,"")</f>
        <v/>
      </c>
      <c r="C1536" s="19" t="str">
        <f t="shared" si="115"/>
        <v>B-BCP - Soles</v>
      </c>
      <c r="D1536" s="3" t="s">
        <v>1101</v>
      </c>
      <c r="E1536" s="14">
        <v>45783</v>
      </c>
      <c r="F1536" s="5" t="s">
        <v>1082</v>
      </c>
      <c r="G1536" s="5"/>
      <c r="H1536" s="6" t="s">
        <v>417</v>
      </c>
      <c r="I1536" s="6" t="s">
        <v>14</v>
      </c>
      <c r="J1536" s="6" t="s">
        <v>1121</v>
      </c>
      <c r="K1536" s="6">
        <v>746</v>
      </c>
      <c r="L1536" s="7" t="s">
        <v>2659</v>
      </c>
      <c r="M1536" s="8">
        <v>2393330</v>
      </c>
      <c r="N1536" s="8" t="str">
        <f t="shared" si="116"/>
        <v>PEN</v>
      </c>
      <c r="O1536" s="13">
        <v>177</v>
      </c>
      <c r="P1536" s="13"/>
      <c r="Q1536" s="3">
        <f t="shared" si="117"/>
        <v>0</v>
      </c>
      <c r="R1536" s="3">
        <f t="shared" si="118"/>
        <v>0</v>
      </c>
      <c r="S1536" s="3">
        <f t="shared" si="119"/>
        <v>32214.410000000029</v>
      </c>
      <c r="T1536" s="24"/>
      <c r="U1536" s="24" t="s">
        <v>1081</v>
      </c>
      <c r="V1536" s="67"/>
      <c r="W1536" s="25">
        <f>IFERROR(VLOOKUP(BCP_Soles[[#This Row],[DESTINATARIO]],CHOOSE({1,2},Clientes_Proveedores[Razon Social],Clientes_Proveedores[Ruc / Dni]),2,0),"")</f>
        <v>20602075177</v>
      </c>
      <c r="X1536" s="25"/>
      <c r="Y1536" s="25"/>
      <c r="Z1536" s="25"/>
      <c r="AA1536" s="99"/>
      <c r="AB1536" s="3" t="str">
        <f>IF(BCP_Soles[[#This Row],[FECHA]]&gt;0,TEXT(BCP_Soles[[#This Row],[FECHA]],"mmmm"),0)</f>
        <v>Mayo</v>
      </c>
    </row>
    <row r="1537" spans="2:28" x14ac:dyDescent="0.3">
      <c r="B1537" s="2" t="str">
        <f>IF(BCP_Soles[[#This Row],[TIPO DE R.]]="R",COUNTIFS($D$4:$D1536,"R")+1,"")</f>
        <v/>
      </c>
      <c r="C1537" s="19" t="str">
        <f t="shared" si="115"/>
        <v>B-BCP - Soles</v>
      </c>
      <c r="D1537" s="3" t="s">
        <v>1101</v>
      </c>
      <c r="E1537" s="14">
        <v>45783</v>
      </c>
      <c r="F1537" s="5" t="s">
        <v>1082</v>
      </c>
      <c r="G1537" s="5"/>
      <c r="H1537" s="6" t="s">
        <v>465</v>
      </c>
      <c r="I1537" s="6" t="s">
        <v>14</v>
      </c>
      <c r="J1537" s="6" t="s">
        <v>1121</v>
      </c>
      <c r="K1537" s="6">
        <v>3790</v>
      </c>
      <c r="L1537" s="7" t="s">
        <v>2659</v>
      </c>
      <c r="M1537" s="8">
        <v>2393330</v>
      </c>
      <c r="N1537" s="8" t="str">
        <f t="shared" si="116"/>
        <v>PEN</v>
      </c>
      <c r="O1537" s="13">
        <v>300.89999999999998</v>
      </c>
      <c r="P1537" s="13"/>
      <c r="Q1537" s="3">
        <f t="shared" si="117"/>
        <v>0</v>
      </c>
      <c r="R1537" s="3">
        <f t="shared" si="118"/>
        <v>0</v>
      </c>
      <c r="S1537" s="3">
        <f t="shared" si="119"/>
        <v>32214.410000000029</v>
      </c>
      <c r="T1537" s="24"/>
      <c r="U1537" s="24" t="s">
        <v>1081</v>
      </c>
      <c r="V1537" s="67"/>
      <c r="W1537" s="25">
        <f>IFERROR(VLOOKUP(BCP_Soles[[#This Row],[DESTINATARIO]],CHOOSE({1,2},Clientes_Proveedores[Razon Social],Clientes_Proveedores[Ruc / Dni]),2,0),"")</f>
        <v>20603974817</v>
      </c>
      <c r="X1537" s="25"/>
      <c r="Y1537" s="25"/>
      <c r="Z1537" s="25"/>
      <c r="AA1537" s="99"/>
      <c r="AB1537" s="3" t="str">
        <f>IF(BCP_Soles[[#This Row],[FECHA]]&gt;0,TEXT(BCP_Soles[[#This Row],[FECHA]],"mmmm"),0)</f>
        <v>Mayo</v>
      </c>
    </row>
    <row r="1538" spans="2:28" ht="24" x14ac:dyDescent="0.3">
      <c r="B1538" s="2" t="str">
        <f>IF(BCP_Soles[[#This Row],[TIPO DE R.]]="R",COUNTIFS($D$4:$D1537,"R")+1,"")</f>
        <v/>
      </c>
      <c r="C1538" s="19" t="str">
        <f t="shared" si="115"/>
        <v>B-BCP - Soles</v>
      </c>
      <c r="D1538" s="3" t="s">
        <v>1101</v>
      </c>
      <c r="E1538" s="14">
        <v>45783</v>
      </c>
      <c r="F1538" s="5" t="s">
        <v>1082</v>
      </c>
      <c r="G1538" s="5"/>
      <c r="H1538" s="6" t="s">
        <v>536</v>
      </c>
      <c r="I1538" s="6" t="s">
        <v>14</v>
      </c>
      <c r="J1538" s="6" t="s">
        <v>1121</v>
      </c>
      <c r="K1538" s="6">
        <v>2087</v>
      </c>
      <c r="L1538" s="7" t="s">
        <v>2659</v>
      </c>
      <c r="M1538" s="8">
        <v>2393330</v>
      </c>
      <c r="N1538" s="8" t="str">
        <f t="shared" si="116"/>
        <v>PEN</v>
      </c>
      <c r="O1538" s="13">
        <v>212.4</v>
      </c>
      <c r="P1538" s="13"/>
      <c r="Q1538" s="3">
        <f t="shared" si="117"/>
        <v>0</v>
      </c>
      <c r="R1538" s="3">
        <f t="shared" si="118"/>
        <v>0</v>
      </c>
      <c r="S1538" s="3">
        <f t="shared" si="119"/>
        <v>32214.410000000029</v>
      </c>
      <c r="T1538" s="24"/>
      <c r="U1538" s="24" t="s">
        <v>1081</v>
      </c>
      <c r="V1538" s="67"/>
      <c r="W1538" s="25">
        <f>IFERROR(VLOOKUP(BCP_Soles[[#This Row],[DESTINATARIO]],CHOOSE({1,2},Clientes_Proveedores[Razon Social],Clientes_Proveedores[Ruc / Dni]),2,0),"")</f>
        <v>20609764261</v>
      </c>
      <c r="X1538" s="25"/>
      <c r="Y1538" s="25"/>
      <c r="Z1538" s="25"/>
      <c r="AA1538" s="99"/>
      <c r="AB1538" s="3" t="str">
        <f>IF(BCP_Soles[[#This Row],[FECHA]]&gt;0,TEXT(BCP_Soles[[#This Row],[FECHA]],"mmmm"),0)</f>
        <v>Mayo</v>
      </c>
    </row>
    <row r="1539" spans="2:28" ht="24" x14ac:dyDescent="0.3">
      <c r="B1539" s="2" t="str">
        <f>IF(BCP_Soles[[#This Row],[TIPO DE R.]]="R",COUNTIFS($D$4:$D1538,"R")+1,"")</f>
        <v/>
      </c>
      <c r="C1539" s="19" t="str">
        <f t="shared" si="115"/>
        <v>B-BCP - Soles</v>
      </c>
      <c r="D1539" s="3" t="s">
        <v>1101</v>
      </c>
      <c r="E1539" s="14">
        <v>45783</v>
      </c>
      <c r="F1539" s="5" t="s">
        <v>1082</v>
      </c>
      <c r="G1539" s="5"/>
      <c r="H1539" s="6" t="s">
        <v>536</v>
      </c>
      <c r="I1539" s="6" t="s">
        <v>14</v>
      </c>
      <c r="J1539" s="6" t="s">
        <v>1121</v>
      </c>
      <c r="K1539" s="6">
        <v>2086</v>
      </c>
      <c r="L1539" s="7" t="s">
        <v>2659</v>
      </c>
      <c r="M1539" s="8">
        <v>2393330</v>
      </c>
      <c r="N1539" s="8" t="str">
        <f t="shared" si="116"/>
        <v>PEN</v>
      </c>
      <c r="O1539" s="13">
        <v>106.2</v>
      </c>
      <c r="P1539" s="13"/>
      <c r="Q1539" s="3">
        <f t="shared" si="117"/>
        <v>0</v>
      </c>
      <c r="R1539" s="3">
        <f t="shared" si="118"/>
        <v>0</v>
      </c>
      <c r="S1539" s="3">
        <f t="shared" si="119"/>
        <v>32214.410000000029</v>
      </c>
      <c r="T1539" s="24"/>
      <c r="U1539" s="24" t="s">
        <v>1081</v>
      </c>
      <c r="V1539" s="67"/>
      <c r="W1539" s="25">
        <f>IFERROR(VLOOKUP(BCP_Soles[[#This Row],[DESTINATARIO]],CHOOSE({1,2},Clientes_Proveedores[Razon Social],Clientes_Proveedores[Ruc / Dni]),2,0),"")</f>
        <v>20609764261</v>
      </c>
      <c r="X1539" s="25"/>
      <c r="Y1539" s="25"/>
      <c r="Z1539" s="25"/>
      <c r="AA1539" s="99"/>
      <c r="AB1539" s="3" t="str">
        <f>IF(BCP_Soles[[#This Row],[FECHA]]&gt;0,TEXT(BCP_Soles[[#This Row],[FECHA]],"mmmm"),0)</f>
        <v>Mayo</v>
      </c>
    </row>
    <row r="1540" spans="2:28" ht="24" x14ac:dyDescent="0.3">
      <c r="B1540" s="2" t="str">
        <f>IF(BCP_Soles[[#This Row],[TIPO DE R.]]="R",COUNTIFS($D$4:$D1539,"R")+1,"")</f>
        <v/>
      </c>
      <c r="C1540" s="19" t="str">
        <f t="shared" si="115"/>
        <v>B-BCP - Soles</v>
      </c>
      <c r="D1540" s="3" t="s">
        <v>1101</v>
      </c>
      <c r="E1540" s="14">
        <v>45783</v>
      </c>
      <c r="F1540" s="5" t="s">
        <v>1082</v>
      </c>
      <c r="G1540" s="5"/>
      <c r="H1540" s="6" t="s">
        <v>108</v>
      </c>
      <c r="I1540" s="6" t="s">
        <v>14</v>
      </c>
      <c r="J1540" s="6" t="s">
        <v>1121</v>
      </c>
      <c r="K1540" s="6">
        <v>4682</v>
      </c>
      <c r="L1540" s="7" t="s">
        <v>2659</v>
      </c>
      <c r="M1540" s="8">
        <v>2393330</v>
      </c>
      <c r="N1540" s="8" t="str">
        <f t="shared" si="116"/>
        <v>PEN</v>
      </c>
      <c r="O1540" s="13">
        <v>59</v>
      </c>
      <c r="P1540" s="13"/>
      <c r="Q1540" s="3">
        <f t="shared" si="117"/>
        <v>0</v>
      </c>
      <c r="R1540" s="3">
        <f t="shared" si="118"/>
        <v>0</v>
      </c>
      <c r="S1540" s="3">
        <f t="shared" si="119"/>
        <v>32214.410000000029</v>
      </c>
      <c r="T1540" s="24"/>
      <c r="U1540" s="24" t="s">
        <v>1081</v>
      </c>
      <c r="V1540" s="67"/>
      <c r="W1540" s="25">
        <f>IFERROR(VLOOKUP(BCP_Soles[[#This Row],[DESTINATARIO]],CHOOSE({1,2},Clientes_Proveedores[Razon Social],Clientes_Proveedores[Ruc / Dni]),2,0),"")</f>
        <v>10425371652</v>
      </c>
      <c r="X1540" s="25"/>
      <c r="Y1540" s="25"/>
      <c r="Z1540" s="25"/>
      <c r="AA1540" s="99"/>
      <c r="AB1540" s="3" t="str">
        <f>IF(BCP_Soles[[#This Row],[FECHA]]&gt;0,TEXT(BCP_Soles[[#This Row],[FECHA]],"mmmm"),0)</f>
        <v>Mayo</v>
      </c>
    </row>
    <row r="1541" spans="2:28" x14ac:dyDescent="0.3">
      <c r="B1541" s="2" t="str">
        <f>IF(BCP_Soles[[#This Row],[TIPO DE R.]]="R",COUNTIFS($D$4:$D1540,"R")+1,"")</f>
        <v/>
      </c>
      <c r="C1541" s="19" t="str">
        <f t="shared" ref="C1541:C1604" si="120">"B-BCP - Soles"</f>
        <v>B-BCP - Soles</v>
      </c>
      <c r="D1541" s="3" t="s">
        <v>1101</v>
      </c>
      <c r="E1541" s="14">
        <v>45783</v>
      </c>
      <c r="F1541" s="5" t="s">
        <v>1082</v>
      </c>
      <c r="G1541" s="5"/>
      <c r="H1541" s="6" t="s">
        <v>436</v>
      </c>
      <c r="I1541" s="6" t="s">
        <v>14</v>
      </c>
      <c r="J1541" s="6" t="s">
        <v>1578</v>
      </c>
      <c r="K1541" s="6">
        <v>806</v>
      </c>
      <c r="L1541" s="7" t="s">
        <v>2659</v>
      </c>
      <c r="M1541" s="8">
        <v>2393330</v>
      </c>
      <c r="N1541" s="8" t="str">
        <f t="shared" ref="N1541:N1604" si="121">"PEN"</f>
        <v>PEN</v>
      </c>
      <c r="O1541" s="13">
        <v>113.28</v>
      </c>
      <c r="P1541" s="13"/>
      <c r="Q1541" s="3">
        <f t="shared" ref="Q1541:Q1604" si="122">+IF(OR($G1541="SALDO",$G1541="INGRESO"),$P1541,0)</f>
        <v>0</v>
      </c>
      <c r="R1541" s="3">
        <f t="shared" ref="R1541:R1604" si="123">+IF($G1541="EGRESO",$P1541,0)</f>
        <v>0</v>
      </c>
      <c r="S1541" s="3">
        <f t="shared" ref="S1541:S1604" si="124">IFERROR(IF(G1541="SALDO",Q1541,S1540+Q1541-R1541),0)</f>
        <v>32214.410000000029</v>
      </c>
      <c r="T1541" s="24"/>
      <c r="U1541" s="24" t="s">
        <v>1081</v>
      </c>
      <c r="V1541" s="67"/>
      <c r="W1541" s="25">
        <f>IFERROR(VLOOKUP(BCP_Soles[[#This Row],[DESTINATARIO]],CHOOSE({1,2},Clientes_Proveedores[Razon Social],Clientes_Proveedores[Ruc / Dni]),2,0),"")</f>
        <v>20602751326</v>
      </c>
      <c r="X1541" s="25"/>
      <c r="Y1541" s="25"/>
      <c r="Z1541" s="25"/>
      <c r="AA1541" s="99"/>
      <c r="AB1541" s="3" t="str">
        <f>IF(BCP_Soles[[#This Row],[FECHA]]&gt;0,TEXT(BCP_Soles[[#This Row],[FECHA]],"mmmm"),0)</f>
        <v>Mayo</v>
      </c>
    </row>
    <row r="1542" spans="2:28" x14ac:dyDescent="0.3">
      <c r="B1542" s="2">
        <f>IF(BCP_Soles[[#This Row],[TIPO DE R.]]="R",COUNTIFS($D$4:$D1541,"R")+1,"")</f>
        <v>1197</v>
      </c>
      <c r="C1542" s="19" t="str">
        <f t="shared" si="120"/>
        <v>B-BCP - Soles</v>
      </c>
      <c r="D1542" s="3" t="s">
        <v>1074</v>
      </c>
      <c r="E1542" s="14">
        <v>45783</v>
      </c>
      <c r="F1542" s="5" t="s">
        <v>1082</v>
      </c>
      <c r="G1542" s="5" t="s">
        <v>1079</v>
      </c>
      <c r="H1542" s="6"/>
      <c r="I1542" s="6"/>
      <c r="J1542" s="6"/>
      <c r="K1542" s="6"/>
      <c r="L1542" s="7" t="s">
        <v>2660</v>
      </c>
      <c r="M1542" s="8">
        <v>2393349</v>
      </c>
      <c r="N1542" s="8" t="str">
        <f t="shared" si="121"/>
        <v>PEN</v>
      </c>
      <c r="O1542" s="13"/>
      <c r="P1542" s="13">
        <v>18660.490000000002</v>
      </c>
      <c r="Q1542" s="3">
        <f t="shared" si="122"/>
        <v>0</v>
      </c>
      <c r="R1542" s="3">
        <f t="shared" si="123"/>
        <v>18660.490000000002</v>
      </c>
      <c r="S1542" s="3">
        <f t="shared" si="124"/>
        <v>13553.920000000027</v>
      </c>
      <c r="T1542" s="24" t="s">
        <v>1081</v>
      </c>
      <c r="U1542" s="24" t="s">
        <v>1081</v>
      </c>
      <c r="V1542" s="67"/>
      <c r="W1542" s="25" t="str">
        <f>IFERROR(VLOOKUP(BCP_Soles[[#This Row],[DESTINATARIO]],CHOOSE({1,2},Clientes_Proveedores[Razon Social],Clientes_Proveedores[Ruc / Dni]),2,0),"")</f>
        <v/>
      </c>
      <c r="X1542" s="25" t="s">
        <v>1118</v>
      </c>
      <c r="Y1542" s="25"/>
      <c r="Z1542" s="25"/>
      <c r="AA1542" s="99"/>
      <c r="AB1542" s="3" t="str">
        <f>IF(BCP_Soles[[#This Row],[FECHA]]&gt;0,TEXT(BCP_Soles[[#This Row],[FECHA]],"mmmm"),0)</f>
        <v>Mayo</v>
      </c>
    </row>
    <row r="1543" spans="2:28" x14ac:dyDescent="0.3">
      <c r="B1543" s="2" t="str">
        <f>IF(BCP_Soles[[#This Row],[TIPO DE R.]]="R",COUNTIFS($D$4:$D1542,"R")+1,"")</f>
        <v/>
      </c>
      <c r="C1543" s="19" t="str">
        <f t="shared" si="120"/>
        <v>B-BCP - Soles</v>
      </c>
      <c r="D1543" s="3" t="s">
        <v>1101</v>
      </c>
      <c r="E1543" s="14">
        <v>45783</v>
      </c>
      <c r="F1543" s="5" t="s">
        <v>1082</v>
      </c>
      <c r="G1543" s="5"/>
      <c r="H1543" s="6" t="s">
        <v>323</v>
      </c>
      <c r="I1543" s="6" t="s">
        <v>14</v>
      </c>
      <c r="J1543" s="6" t="s">
        <v>1148</v>
      </c>
      <c r="K1543" s="6">
        <v>20940</v>
      </c>
      <c r="L1543" s="7" t="s">
        <v>2660</v>
      </c>
      <c r="M1543" s="8">
        <v>2393349</v>
      </c>
      <c r="N1543" s="8" t="str">
        <f t="shared" si="121"/>
        <v>PEN</v>
      </c>
      <c r="O1543" s="13"/>
      <c r="P1543" s="13"/>
      <c r="Q1543" s="3">
        <f t="shared" si="122"/>
        <v>0</v>
      </c>
      <c r="R1543" s="3">
        <f t="shared" si="123"/>
        <v>0</v>
      </c>
      <c r="S1543" s="3">
        <f t="shared" si="124"/>
        <v>13553.920000000027</v>
      </c>
      <c r="T1543" s="24"/>
      <c r="U1543" s="24" t="s">
        <v>1081</v>
      </c>
      <c r="V1543" s="67"/>
      <c r="W1543" s="25">
        <f>IFERROR(VLOOKUP(BCP_Soles[[#This Row],[DESTINATARIO]],CHOOSE({1,2},Clientes_Proveedores[Razon Social],Clientes_Proveedores[Ruc / Dni]),2,0),"")</f>
        <v>20537921464</v>
      </c>
      <c r="X1543" s="25"/>
      <c r="Y1543" s="25"/>
      <c r="Z1543" s="25"/>
      <c r="AA1543" s="99"/>
      <c r="AB1543" s="3" t="str">
        <f>IF(BCP_Soles[[#This Row],[FECHA]]&gt;0,TEXT(BCP_Soles[[#This Row],[FECHA]],"mmmm"),0)</f>
        <v>Mayo</v>
      </c>
    </row>
    <row r="1544" spans="2:28" x14ac:dyDescent="0.3">
      <c r="B1544" s="2" t="str">
        <f>IF(BCP_Soles[[#This Row],[TIPO DE R.]]="R",COUNTIFS($D$4:$D1543,"R")+1,"")</f>
        <v/>
      </c>
      <c r="C1544" s="19" t="str">
        <f t="shared" si="120"/>
        <v>B-BCP - Soles</v>
      </c>
      <c r="D1544" s="3" t="s">
        <v>1101</v>
      </c>
      <c r="E1544" s="14">
        <v>45783</v>
      </c>
      <c r="F1544" s="5" t="s">
        <v>1082</v>
      </c>
      <c r="G1544" s="5"/>
      <c r="H1544" s="6" t="s">
        <v>323</v>
      </c>
      <c r="I1544" s="6" t="s">
        <v>14</v>
      </c>
      <c r="J1544" s="6" t="s">
        <v>1148</v>
      </c>
      <c r="K1544" s="6">
        <v>20939</v>
      </c>
      <c r="L1544" s="7" t="s">
        <v>2660</v>
      </c>
      <c r="M1544" s="8">
        <v>2393349</v>
      </c>
      <c r="N1544" s="8" t="str">
        <f t="shared" si="121"/>
        <v>PEN</v>
      </c>
      <c r="O1544" s="13"/>
      <c r="P1544" s="13"/>
      <c r="Q1544" s="3">
        <f t="shared" si="122"/>
        <v>0</v>
      </c>
      <c r="R1544" s="3">
        <f t="shared" si="123"/>
        <v>0</v>
      </c>
      <c r="S1544" s="3">
        <f t="shared" si="124"/>
        <v>13553.920000000027</v>
      </c>
      <c r="T1544" s="24"/>
      <c r="U1544" s="24" t="s">
        <v>1081</v>
      </c>
      <c r="V1544" s="67"/>
      <c r="W1544" s="25">
        <f>IFERROR(VLOOKUP(BCP_Soles[[#This Row],[DESTINATARIO]],CHOOSE({1,2},Clientes_Proveedores[Razon Social],Clientes_Proveedores[Ruc / Dni]),2,0),"")</f>
        <v>20537921464</v>
      </c>
      <c r="X1544" s="25"/>
      <c r="Y1544" s="25"/>
      <c r="Z1544" s="25"/>
      <c r="AA1544" s="99"/>
      <c r="AB1544" s="3" t="str">
        <f>IF(BCP_Soles[[#This Row],[FECHA]]&gt;0,TEXT(BCP_Soles[[#This Row],[FECHA]],"mmmm"),0)</f>
        <v>Mayo</v>
      </c>
    </row>
    <row r="1545" spans="2:28" x14ac:dyDescent="0.3">
      <c r="B1545" s="2" t="str">
        <f>IF(BCP_Soles[[#This Row],[TIPO DE R.]]="R",COUNTIFS($D$4:$D1544,"R")+1,"")</f>
        <v/>
      </c>
      <c r="C1545" s="19" t="str">
        <f t="shared" si="120"/>
        <v>B-BCP - Soles</v>
      </c>
      <c r="D1545" s="3" t="s">
        <v>1101</v>
      </c>
      <c r="E1545" s="14">
        <v>45783</v>
      </c>
      <c r="F1545" s="5" t="s">
        <v>1082</v>
      </c>
      <c r="G1545" s="5"/>
      <c r="H1545" s="6" t="s">
        <v>323</v>
      </c>
      <c r="I1545" s="6" t="s">
        <v>14</v>
      </c>
      <c r="J1545" s="6" t="s">
        <v>1148</v>
      </c>
      <c r="K1545" s="6">
        <v>20938</v>
      </c>
      <c r="L1545" s="7" t="s">
        <v>2660</v>
      </c>
      <c r="M1545" s="8">
        <v>2393349</v>
      </c>
      <c r="N1545" s="8" t="str">
        <f t="shared" si="121"/>
        <v>PEN</v>
      </c>
      <c r="O1545" s="13"/>
      <c r="P1545" s="13"/>
      <c r="Q1545" s="3">
        <f t="shared" si="122"/>
        <v>0</v>
      </c>
      <c r="R1545" s="3">
        <f t="shared" si="123"/>
        <v>0</v>
      </c>
      <c r="S1545" s="3">
        <f t="shared" si="124"/>
        <v>13553.920000000027</v>
      </c>
      <c r="T1545" s="24"/>
      <c r="U1545" s="24" t="s">
        <v>1081</v>
      </c>
      <c r="V1545" s="67"/>
      <c r="W1545" s="25">
        <f>IFERROR(VLOOKUP(BCP_Soles[[#This Row],[DESTINATARIO]],CHOOSE({1,2},Clientes_Proveedores[Razon Social],Clientes_Proveedores[Ruc / Dni]),2,0),"")</f>
        <v>20537921464</v>
      </c>
      <c r="X1545" s="25"/>
      <c r="Y1545" s="25"/>
      <c r="Z1545" s="25"/>
      <c r="AA1545" s="99"/>
      <c r="AB1545" s="3" t="str">
        <f>IF(BCP_Soles[[#This Row],[FECHA]]&gt;0,TEXT(BCP_Soles[[#This Row],[FECHA]],"mmmm"),0)</f>
        <v>Mayo</v>
      </c>
    </row>
    <row r="1546" spans="2:28" x14ac:dyDescent="0.3">
      <c r="B1546" s="2">
        <f>IF(BCP_Soles[[#This Row],[TIPO DE R.]]="R",COUNTIFS($D$4:$D1545,"R")+1,"")</f>
        <v>1198</v>
      </c>
      <c r="C1546" s="19" t="str">
        <f t="shared" si="120"/>
        <v>B-BCP - Soles</v>
      </c>
      <c r="D1546" s="3" t="s">
        <v>1074</v>
      </c>
      <c r="E1546" s="14">
        <v>45784</v>
      </c>
      <c r="F1546" s="5" t="s">
        <v>494</v>
      </c>
      <c r="G1546" s="5" t="s">
        <v>1087</v>
      </c>
      <c r="H1546" s="6"/>
      <c r="I1546" s="6"/>
      <c r="J1546" s="6"/>
      <c r="K1546" s="6"/>
      <c r="L1546" s="7" t="s">
        <v>1100</v>
      </c>
      <c r="M1546" s="8">
        <v>2726770</v>
      </c>
      <c r="N1546" s="8" t="str">
        <f t="shared" si="121"/>
        <v>PEN</v>
      </c>
      <c r="O1546" s="13"/>
      <c r="P1546" s="13">
        <v>15340</v>
      </c>
      <c r="Q1546" s="3">
        <f t="shared" si="122"/>
        <v>15340</v>
      </c>
      <c r="R1546" s="3">
        <f t="shared" si="123"/>
        <v>0</v>
      </c>
      <c r="S1546" s="3">
        <f t="shared" si="124"/>
        <v>28893.920000000027</v>
      </c>
      <c r="T1546" s="24" t="s">
        <v>1081</v>
      </c>
      <c r="U1546" s="24" t="s">
        <v>1081</v>
      </c>
      <c r="V1546" s="67"/>
      <c r="W1546" s="25" t="str">
        <f>IFERROR(VLOOKUP(BCP_Soles[[#This Row],[DESTINATARIO]],CHOOSE({1,2},Clientes_Proveedores[Razon Social],Clientes_Proveedores[Ruc / Dni]),2,0),"")</f>
        <v/>
      </c>
      <c r="X1546" s="25" t="s">
        <v>1090</v>
      </c>
      <c r="Y1546" s="25" t="s">
        <v>2661</v>
      </c>
      <c r="Z1546" s="25"/>
      <c r="AA1546" s="99"/>
      <c r="AB1546" s="3" t="str">
        <f>IF(BCP_Soles[[#This Row],[FECHA]]&gt;0,TEXT(BCP_Soles[[#This Row],[FECHA]],"mmmm"),0)</f>
        <v>Mayo</v>
      </c>
    </row>
    <row r="1547" spans="2:28" ht="24" x14ac:dyDescent="0.3">
      <c r="B1547" s="2">
        <f>IF(BCP_Soles[[#This Row],[TIPO DE R.]]="R",COUNTIFS($D$4:$D1546,"R")+1,"")</f>
        <v>1199</v>
      </c>
      <c r="C1547" s="19" t="str">
        <f t="shared" si="120"/>
        <v>B-BCP - Soles</v>
      </c>
      <c r="D1547" s="3" t="s">
        <v>1074</v>
      </c>
      <c r="E1547" s="14">
        <v>45784</v>
      </c>
      <c r="F1547" s="5" t="s">
        <v>1838</v>
      </c>
      <c r="G1547" s="5" t="s">
        <v>1087</v>
      </c>
      <c r="H1547" s="6"/>
      <c r="I1547" s="6"/>
      <c r="J1547" s="6"/>
      <c r="K1547" s="6"/>
      <c r="L1547" s="7" t="s">
        <v>1740</v>
      </c>
      <c r="M1547" s="8">
        <v>2148759</v>
      </c>
      <c r="N1547" s="8" t="str">
        <f t="shared" si="121"/>
        <v>PEN</v>
      </c>
      <c r="O1547" s="13"/>
      <c r="P1547" s="13">
        <v>12500</v>
      </c>
      <c r="Q1547" s="3">
        <f t="shared" si="122"/>
        <v>12500</v>
      </c>
      <c r="R1547" s="3">
        <f t="shared" si="123"/>
        <v>0</v>
      </c>
      <c r="S1547" s="3">
        <f t="shared" si="124"/>
        <v>41393.920000000027</v>
      </c>
      <c r="T1547" s="24" t="s">
        <v>1081</v>
      </c>
      <c r="U1547" s="24" t="s">
        <v>1081</v>
      </c>
      <c r="V1547" s="67"/>
      <c r="W1547" s="25" t="str">
        <f>IFERROR(VLOOKUP(BCP_Soles[[#This Row],[DESTINATARIO]],CHOOSE({1,2},Clientes_Proveedores[Razon Social],Clientes_Proveedores[Ruc / Dni]),2,0),"")</f>
        <v/>
      </c>
      <c r="X1547" s="25" t="s">
        <v>1090</v>
      </c>
      <c r="Y1547" s="25" t="s">
        <v>2662</v>
      </c>
      <c r="Z1547" s="25"/>
      <c r="AA1547" s="99"/>
      <c r="AB1547" s="3" t="str">
        <f>IF(BCP_Soles[[#This Row],[FECHA]]&gt;0,TEXT(BCP_Soles[[#This Row],[FECHA]],"mmmm"),0)</f>
        <v>Mayo</v>
      </c>
    </row>
    <row r="1548" spans="2:28" ht="36" x14ac:dyDescent="0.3">
      <c r="B1548" s="2">
        <f>IF(BCP_Soles[[#This Row],[TIPO DE R.]]="R",COUNTIFS($D$4:$D1547,"R")+1,"")</f>
        <v>1200</v>
      </c>
      <c r="C1548" s="19" t="str">
        <f t="shared" si="120"/>
        <v>B-BCP - Soles</v>
      </c>
      <c r="D1548" s="3" t="s">
        <v>1074</v>
      </c>
      <c r="E1548" s="14">
        <v>45784</v>
      </c>
      <c r="F1548" s="5" t="s">
        <v>180</v>
      </c>
      <c r="G1548" s="5" t="s">
        <v>1087</v>
      </c>
      <c r="H1548" s="6"/>
      <c r="I1548" s="6"/>
      <c r="J1548" s="6"/>
      <c r="K1548" s="6"/>
      <c r="L1548" s="7" t="s">
        <v>2663</v>
      </c>
      <c r="M1548" s="8">
        <v>2757043</v>
      </c>
      <c r="N1548" s="8" t="str">
        <f t="shared" si="121"/>
        <v>PEN</v>
      </c>
      <c r="O1548" s="13"/>
      <c r="P1548" s="13">
        <v>2988.87</v>
      </c>
      <c r="Q1548" s="3">
        <f t="shared" si="122"/>
        <v>2988.87</v>
      </c>
      <c r="R1548" s="3">
        <f t="shared" si="123"/>
        <v>0</v>
      </c>
      <c r="S1548" s="3">
        <f t="shared" si="124"/>
        <v>44382.79000000003</v>
      </c>
      <c r="T1548" s="24" t="s">
        <v>1081</v>
      </c>
      <c r="U1548" s="24" t="s">
        <v>1081</v>
      </c>
      <c r="V1548" s="67"/>
      <c r="W1548" s="25" t="str">
        <f>IFERROR(VLOOKUP(BCP_Soles[[#This Row],[DESTINATARIO]],CHOOSE({1,2},Clientes_Proveedores[Razon Social],Clientes_Proveedores[Ruc / Dni]),2,0),"")</f>
        <v/>
      </c>
      <c r="X1548" s="25" t="s">
        <v>1090</v>
      </c>
      <c r="Y1548" s="25" t="s">
        <v>2664</v>
      </c>
      <c r="Z1548" s="25"/>
      <c r="AA1548" s="99"/>
      <c r="AB1548" s="3" t="str">
        <f>IF(BCP_Soles[[#This Row],[FECHA]]&gt;0,TEXT(BCP_Soles[[#This Row],[FECHA]],"mmmm"),0)</f>
        <v>Mayo</v>
      </c>
    </row>
    <row r="1549" spans="2:28" x14ac:dyDescent="0.3">
      <c r="B1549" s="2">
        <f>IF(BCP_Soles[[#This Row],[TIPO DE R.]]="R",COUNTIFS($D$4:$D1548,"R")+1,"")</f>
        <v>1201</v>
      </c>
      <c r="C1549" s="19" t="str">
        <f t="shared" si="120"/>
        <v>B-BCP - Soles</v>
      </c>
      <c r="D1549" s="3" t="s">
        <v>1074</v>
      </c>
      <c r="E1549" s="14">
        <v>45784</v>
      </c>
      <c r="F1549" s="5" t="s">
        <v>247</v>
      </c>
      <c r="G1549" s="5" t="s">
        <v>1087</v>
      </c>
      <c r="H1549" s="6"/>
      <c r="I1549" s="6"/>
      <c r="J1549" s="6"/>
      <c r="K1549" s="6"/>
      <c r="L1549" s="7" t="s">
        <v>2665</v>
      </c>
      <c r="M1549" s="8">
        <v>2179429</v>
      </c>
      <c r="N1549" s="8" t="str">
        <f t="shared" si="121"/>
        <v>PEN</v>
      </c>
      <c r="O1549" s="13"/>
      <c r="P1549" s="13">
        <v>2762.27</v>
      </c>
      <c r="Q1549" s="3">
        <f t="shared" si="122"/>
        <v>2762.27</v>
      </c>
      <c r="R1549" s="3">
        <f t="shared" si="123"/>
        <v>0</v>
      </c>
      <c r="S1549" s="3">
        <f t="shared" si="124"/>
        <v>47145.060000000027</v>
      </c>
      <c r="T1549" s="24" t="s">
        <v>1081</v>
      </c>
      <c r="U1549" s="24" t="s">
        <v>1081</v>
      </c>
      <c r="V1549" s="67"/>
      <c r="W1549" s="25" t="str">
        <f>IFERROR(VLOOKUP(BCP_Soles[[#This Row],[DESTINATARIO]],CHOOSE({1,2},Clientes_Proveedores[Razon Social],Clientes_Proveedores[Ruc / Dni]),2,0),"")</f>
        <v/>
      </c>
      <c r="X1549" s="25" t="s">
        <v>1090</v>
      </c>
      <c r="Y1549" s="25" t="s">
        <v>2666</v>
      </c>
      <c r="Z1549" s="25"/>
      <c r="AA1549" s="99"/>
      <c r="AB1549" s="3" t="str">
        <f>IF(BCP_Soles[[#This Row],[FECHA]]&gt;0,TEXT(BCP_Soles[[#This Row],[FECHA]],"mmmm"),0)</f>
        <v>Mayo</v>
      </c>
    </row>
    <row r="1550" spans="2:28" x14ac:dyDescent="0.3">
      <c r="B1550" s="2">
        <f>IF(BCP_Soles[[#This Row],[TIPO DE R.]]="R",COUNTIFS($D$4:$D1549,"R")+1,"")</f>
        <v>1202</v>
      </c>
      <c r="C1550" s="19" t="str">
        <f t="shared" si="120"/>
        <v>B-BCP - Soles</v>
      </c>
      <c r="D1550" s="3" t="s">
        <v>1074</v>
      </c>
      <c r="E1550" s="14">
        <v>45784</v>
      </c>
      <c r="F1550" s="5" t="s">
        <v>494</v>
      </c>
      <c r="G1550" s="5" t="s">
        <v>1087</v>
      </c>
      <c r="H1550" s="6"/>
      <c r="I1550" s="6"/>
      <c r="J1550" s="6"/>
      <c r="K1550" s="6"/>
      <c r="L1550" s="7" t="s">
        <v>1100</v>
      </c>
      <c r="M1550" s="8">
        <v>2749051</v>
      </c>
      <c r="N1550" s="8" t="str">
        <f t="shared" si="121"/>
        <v>PEN</v>
      </c>
      <c r="O1550" s="13"/>
      <c r="P1550" s="13">
        <v>2124</v>
      </c>
      <c r="Q1550" s="3">
        <f t="shared" si="122"/>
        <v>2124</v>
      </c>
      <c r="R1550" s="3">
        <f t="shared" si="123"/>
        <v>0</v>
      </c>
      <c r="S1550" s="3">
        <f t="shared" si="124"/>
        <v>49269.060000000027</v>
      </c>
      <c r="T1550" s="24" t="s">
        <v>1081</v>
      </c>
      <c r="U1550" s="24" t="s">
        <v>1081</v>
      </c>
      <c r="V1550" s="67"/>
      <c r="W1550" s="25" t="str">
        <f>IFERROR(VLOOKUP(BCP_Soles[[#This Row],[DESTINATARIO]],CHOOSE({1,2},Clientes_Proveedores[Razon Social],Clientes_Proveedores[Ruc / Dni]),2,0),"")</f>
        <v/>
      </c>
      <c r="X1550" s="25" t="s">
        <v>1090</v>
      </c>
      <c r="Y1550" s="25" t="s">
        <v>2667</v>
      </c>
      <c r="Z1550" s="25"/>
      <c r="AA1550" s="99"/>
      <c r="AB1550" s="3" t="str">
        <f>IF(BCP_Soles[[#This Row],[FECHA]]&gt;0,TEXT(BCP_Soles[[#This Row],[FECHA]],"mmmm"),0)</f>
        <v>Mayo</v>
      </c>
    </row>
    <row r="1551" spans="2:28" ht="60" x14ac:dyDescent="0.3">
      <c r="B1551" s="2">
        <f>IF(BCP_Soles[[#This Row],[TIPO DE R.]]="R",COUNTIFS($D$4:$D1550,"R")+1,"")</f>
        <v>1203</v>
      </c>
      <c r="C1551" s="19" t="str">
        <f t="shared" si="120"/>
        <v>B-BCP - Soles</v>
      </c>
      <c r="D1551" s="3" t="s">
        <v>1074</v>
      </c>
      <c r="E1551" s="14">
        <v>45784</v>
      </c>
      <c r="F1551" s="5" t="s">
        <v>238</v>
      </c>
      <c r="G1551" s="5" t="s">
        <v>1087</v>
      </c>
      <c r="H1551" s="6"/>
      <c r="I1551" s="6"/>
      <c r="J1551" s="6"/>
      <c r="K1551" s="6"/>
      <c r="L1551" s="7" t="s">
        <v>1170</v>
      </c>
      <c r="M1551" s="8">
        <v>2167997</v>
      </c>
      <c r="N1551" s="8" t="str">
        <f t="shared" si="121"/>
        <v>PEN</v>
      </c>
      <c r="O1551" s="13"/>
      <c r="P1551" s="13">
        <v>1114.54</v>
      </c>
      <c r="Q1551" s="3">
        <f t="shared" si="122"/>
        <v>1114.54</v>
      </c>
      <c r="R1551" s="3">
        <f t="shared" si="123"/>
        <v>0</v>
      </c>
      <c r="S1551" s="3">
        <f t="shared" si="124"/>
        <v>50383.600000000028</v>
      </c>
      <c r="T1551" s="24" t="s">
        <v>1081</v>
      </c>
      <c r="U1551" s="24" t="s">
        <v>1081</v>
      </c>
      <c r="V1551" s="67"/>
      <c r="W1551" s="25" t="str">
        <f>IFERROR(VLOOKUP(BCP_Soles[[#This Row],[DESTINATARIO]],CHOOSE({1,2},Clientes_Proveedores[Razon Social],Clientes_Proveedores[Ruc / Dni]),2,0),"")</f>
        <v/>
      </c>
      <c r="X1551" s="25" t="s">
        <v>1090</v>
      </c>
      <c r="Y1551" s="25" t="s">
        <v>2668</v>
      </c>
      <c r="Z1551" s="25"/>
      <c r="AA1551" s="99"/>
      <c r="AB1551" s="3" t="str">
        <f>IF(BCP_Soles[[#This Row],[FECHA]]&gt;0,TEXT(BCP_Soles[[#This Row],[FECHA]],"mmmm"),0)</f>
        <v>Mayo</v>
      </c>
    </row>
    <row r="1552" spans="2:28" x14ac:dyDescent="0.3">
      <c r="B1552" s="2">
        <f>IF(BCP_Soles[[#This Row],[TIPO DE R.]]="R",COUNTIFS($D$4:$D1551,"R")+1,"")</f>
        <v>1204</v>
      </c>
      <c r="C1552" s="19" t="str">
        <f t="shared" si="120"/>
        <v>B-BCP - Soles</v>
      </c>
      <c r="D1552" s="3" t="s">
        <v>1074</v>
      </c>
      <c r="E1552" s="14">
        <v>45784</v>
      </c>
      <c r="F1552" s="5" t="s">
        <v>1078</v>
      </c>
      <c r="G1552" s="5" t="s">
        <v>1079</v>
      </c>
      <c r="H1552" s="6"/>
      <c r="I1552" s="6"/>
      <c r="J1552" s="6"/>
      <c r="K1552" s="6"/>
      <c r="L1552" s="7" t="s">
        <v>1080</v>
      </c>
      <c r="M1552" s="8"/>
      <c r="N1552" s="8" t="str">
        <f t="shared" si="121"/>
        <v>PEN</v>
      </c>
      <c r="O1552" s="13"/>
      <c r="P1552" s="13">
        <v>2.0499999999999998</v>
      </c>
      <c r="Q1552" s="3">
        <f t="shared" si="122"/>
        <v>0</v>
      </c>
      <c r="R1552" s="3">
        <f t="shared" si="123"/>
        <v>2.0499999999999998</v>
      </c>
      <c r="S1552" s="3">
        <f t="shared" si="124"/>
        <v>50381.550000000025</v>
      </c>
      <c r="T1552" s="24"/>
      <c r="U1552" s="24" t="s">
        <v>1081</v>
      </c>
      <c r="V1552" s="67"/>
      <c r="W1552" s="25" t="str">
        <f>IFERROR(VLOOKUP(BCP_Soles[[#This Row],[DESTINATARIO]],CHOOSE({1,2},Clientes_Proveedores[Razon Social],Clientes_Proveedores[Ruc / Dni]),2,0),"")</f>
        <v/>
      </c>
      <c r="X1552" s="25"/>
      <c r="Y1552" s="25"/>
      <c r="Z1552" s="25"/>
      <c r="AA1552" s="99"/>
      <c r="AB1552" s="3" t="str">
        <f>IF(BCP_Soles[[#This Row],[FECHA]]&gt;0,TEXT(BCP_Soles[[#This Row],[FECHA]],"mmmm"),0)</f>
        <v>Mayo</v>
      </c>
    </row>
    <row r="1553" spans="2:28" ht="24" x14ac:dyDescent="0.3">
      <c r="B1553" s="2">
        <f>IF(BCP_Soles[[#This Row],[TIPO DE R.]]="R",COUNTIFS($D$4:$D1552,"R")+1,"")</f>
        <v>1205</v>
      </c>
      <c r="C1553" s="19" t="str">
        <f t="shared" si="120"/>
        <v>B-BCP - Soles</v>
      </c>
      <c r="D1553" s="3" t="s">
        <v>1074</v>
      </c>
      <c r="E1553" s="14">
        <v>45784</v>
      </c>
      <c r="F1553" s="5" t="s">
        <v>1078</v>
      </c>
      <c r="G1553" s="5" t="s">
        <v>1079</v>
      </c>
      <c r="H1553" s="6" t="s">
        <v>1001</v>
      </c>
      <c r="I1553" s="6"/>
      <c r="J1553" s="6"/>
      <c r="K1553" s="6"/>
      <c r="L1553" s="7" t="s">
        <v>1141</v>
      </c>
      <c r="M1553" s="8">
        <v>863</v>
      </c>
      <c r="N1553" s="8" t="str">
        <f t="shared" si="121"/>
        <v>PEN</v>
      </c>
      <c r="O1553" s="13"/>
      <c r="P1553" s="13">
        <v>3.5</v>
      </c>
      <c r="Q1553" s="3">
        <f t="shared" si="122"/>
        <v>0</v>
      </c>
      <c r="R1553" s="3">
        <f t="shared" si="123"/>
        <v>3.5</v>
      </c>
      <c r="S1553" s="3">
        <f t="shared" si="124"/>
        <v>50378.050000000025</v>
      </c>
      <c r="T1553" s="24"/>
      <c r="U1553" s="24"/>
      <c r="V1553" s="67"/>
      <c r="W1553" s="25">
        <f>IFERROR(VLOOKUP(BCP_Soles[[#This Row],[DESTINATARIO]],CHOOSE({1,2},Clientes_Proveedores[Razon Social],Clientes_Proveedores[Ruc / Dni]),2,0),"")</f>
        <v>20100047218</v>
      </c>
      <c r="X1553" s="25" t="s">
        <v>1078</v>
      </c>
      <c r="Y1553" s="25"/>
      <c r="Z1553" s="25"/>
      <c r="AA1553" s="99"/>
      <c r="AB1553" s="3" t="str">
        <f>IF(BCP_Soles[[#This Row],[FECHA]]&gt;0,TEXT(BCP_Soles[[#This Row],[FECHA]],"mmmm"),0)</f>
        <v>Mayo</v>
      </c>
    </row>
    <row r="1554" spans="2:28" ht="24" x14ac:dyDescent="0.3">
      <c r="B1554" s="2">
        <f>IF(BCP_Soles[[#This Row],[TIPO DE R.]]="R",COUNTIFS($D$4:$D1553,"R")+1,"")</f>
        <v>1206</v>
      </c>
      <c r="C1554" s="19" t="str">
        <f t="shared" si="120"/>
        <v>B-BCP - Soles</v>
      </c>
      <c r="D1554" s="3" t="s">
        <v>1074</v>
      </c>
      <c r="E1554" s="14">
        <v>45784</v>
      </c>
      <c r="F1554" s="5" t="s">
        <v>1078</v>
      </c>
      <c r="G1554" s="5" t="s">
        <v>1079</v>
      </c>
      <c r="H1554" s="6" t="s">
        <v>1001</v>
      </c>
      <c r="I1554" s="6"/>
      <c r="J1554" s="6"/>
      <c r="K1554" s="6"/>
      <c r="L1554" s="7" t="s">
        <v>1141</v>
      </c>
      <c r="M1554" s="8">
        <v>862</v>
      </c>
      <c r="N1554" s="8" t="str">
        <f t="shared" si="121"/>
        <v>PEN</v>
      </c>
      <c r="O1554" s="13"/>
      <c r="P1554" s="13">
        <v>3.5</v>
      </c>
      <c r="Q1554" s="3">
        <f t="shared" si="122"/>
        <v>0</v>
      </c>
      <c r="R1554" s="3">
        <f t="shared" si="123"/>
        <v>3.5</v>
      </c>
      <c r="S1554" s="3">
        <f t="shared" si="124"/>
        <v>50374.550000000025</v>
      </c>
      <c r="T1554" s="24"/>
      <c r="U1554" s="24"/>
      <c r="V1554" s="67"/>
      <c r="W1554" s="25">
        <f>IFERROR(VLOOKUP(BCP_Soles[[#This Row],[DESTINATARIO]],CHOOSE({1,2},Clientes_Proveedores[Razon Social],Clientes_Proveedores[Ruc / Dni]),2,0),"")</f>
        <v>20100047218</v>
      </c>
      <c r="X1554" s="25" t="s">
        <v>1078</v>
      </c>
      <c r="Y1554" s="25"/>
      <c r="Z1554" s="25"/>
      <c r="AA1554" s="99"/>
      <c r="AB1554" s="3" t="str">
        <f>IF(BCP_Soles[[#This Row],[FECHA]]&gt;0,TEXT(BCP_Soles[[#This Row],[FECHA]],"mmmm"),0)</f>
        <v>Mayo</v>
      </c>
    </row>
    <row r="1555" spans="2:28" ht="24" x14ac:dyDescent="0.3">
      <c r="B1555" s="2">
        <f>IF(BCP_Soles[[#This Row],[TIPO DE R.]]="R",COUNTIFS($D$4:$D1554,"R")+1,"")</f>
        <v>1207</v>
      </c>
      <c r="C1555" s="19" t="str">
        <f t="shared" si="120"/>
        <v>B-BCP - Soles</v>
      </c>
      <c r="D1555" s="3" t="s">
        <v>1074</v>
      </c>
      <c r="E1555" s="14">
        <v>45784</v>
      </c>
      <c r="F1555" s="5" t="s">
        <v>1078</v>
      </c>
      <c r="G1555" s="5" t="s">
        <v>1079</v>
      </c>
      <c r="H1555" s="6" t="s">
        <v>1001</v>
      </c>
      <c r="I1555" s="6"/>
      <c r="J1555" s="6"/>
      <c r="K1555" s="6"/>
      <c r="L1555" s="7" t="s">
        <v>1141</v>
      </c>
      <c r="M1555" s="8">
        <v>862</v>
      </c>
      <c r="N1555" s="8" t="str">
        <f t="shared" si="121"/>
        <v>PEN</v>
      </c>
      <c r="O1555" s="13"/>
      <c r="P1555" s="13">
        <v>3.5</v>
      </c>
      <c r="Q1555" s="3">
        <f t="shared" si="122"/>
        <v>0</v>
      </c>
      <c r="R1555" s="3">
        <f t="shared" si="123"/>
        <v>3.5</v>
      </c>
      <c r="S1555" s="3">
        <f t="shared" si="124"/>
        <v>50371.050000000025</v>
      </c>
      <c r="T1555" s="24"/>
      <c r="U1555" s="24"/>
      <c r="V1555" s="67"/>
      <c r="W1555" s="25">
        <f>IFERROR(VLOOKUP(BCP_Soles[[#This Row],[DESTINATARIO]],CHOOSE({1,2},Clientes_Proveedores[Razon Social],Clientes_Proveedores[Ruc / Dni]),2,0),"")</f>
        <v>20100047218</v>
      </c>
      <c r="X1555" s="25" t="s">
        <v>1078</v>
      </c>
      <c r="Y1555" s="25"/>
      <c r="Z1555" s="25"/>
      <c r="AA1555" s="99"/>
      <c r="AB1555" s="3" t="str">
        <f>IF(BCP_Soles[[#This Row],[FECHA]]&gt;0,TEXT(BCP_Soles[[#This Row],[FECHA]],"mmmm"),0)</f>
        <v>Mayo</v>
      </c>
    </row>
    <row r="1556" spans="2:28" ht="24" x14ac:dyDescent="0.3">
      <c r="B1556" s="2">
        <f>IF(BCP_Soles[[#This Row],[TIPO DE R.]]="R",COUNTIFS($D$4:$D1555,"R")+1,"")</f>
        <v>1208</v>
      </c>
      <c r="C1556" s="19" t="str">
        <f t="shared" si="120"/>
        <v>B-BCP - Soles</v>
      </c>
      <c r="D1556" s="3" t="s">
        <v>1074</v>
      </c>
      <c r="E1556" s="14">
        <v>45784</v>
      </c>
      <c r="F1556" s="5" t="s">
        <v>1078</v>
      </c>
      <c r="G1556" s="5" t="s">
        <v>1079</v>
      </c>
      <c r="H1556" s="6" t="s">
        <v>1001</v>
      </c>
      <c r="I1556" s="6"/>
      <c r="J1556" s="6"/>
      <c r="K1556" s="6"/>
      <c r="L1556" s="7" t="s">
        <v>1141</v>
      </c>
      <c r="M1556" s="8">
        <v>862</v>
      </c>
      <c r="N1556" s="8" t="str">
        <f t="shared" si="121"/>
        <v>PEN</v>
      </c>
      <c r="O1556" s="13"/>
      <c r="P1556" s="13">
        <v>3.5</v>
      </c>
      <c r="Q1556" s="3">
        <f t="shared" si="122"/>
        <v>0</v>
      </c>
      <c r="R1556" s="3">
        <f t="shared" si="123"/>
        <v>3.5</v>
      </c>
      <c r="S1556" s="3">
        <f t="shared" si="124"/>
        <v>50367.550000000025</v>
      </c>
      <c r="T1556" s="24"/>
      <c r="U1556" s="24"/>
      <c r="V1556" s="67"/>
      <c r="W1556" s="25">
        <f>IFERROR(VLOOKUP(BCP_Soles[[#This Row],[DESTINATARIO]],CHOOSE({1,2},Clientes_Proveedores[Razon Social],Clientes_Proveedores[Ruc / Dni]),2,0),"")</f>
        <v>20100047218</v>
      </c>
      <c r="X1556" s="25" t="s">
        <v>1078</v>
      </c>
      <c r="Y1556" s="25"/>
      <c r="Z1556" s="25"/>
      <c r="AA1556" s="99"/>
      <c r="AB1556" s="3" t="str">
        <f>IF(BCP_Soles[[#This Row],[FECHA]]&gt;0,TEXT(BCP_Soles[[#This Row],[FECHA]],"mmmm"),0)</f>
        <v>Mayo</v>
      </c>
    </row>
    <row r="1557" spans="2:28" ht="24" x14ac:dyDescent="0.3">
      <c r="B1557" s="2">
        <f>IF(BCP_Soles[[#This Row],[TIPO DE R.]]="R",COUNTIFS($D$4:$D1556,"R")+1,"")</f>
        <v>1209</v>
      </c>
      <c r="C1557" s="19" t="str">
        <f t="shared" si="120"/>
        <v>B-BCP - Soles</v>
      </c>
      <c r="D1557" s="3" t="s">
        <v>1074</v>
      </c>
      <c r="E1557" s="14">
        <v>45784</v>
      </c>
      <c r="F1557" s="5" t="s">
        <v>1082</v>
      </c>
      <c r="G1557" s="5" t="s">
        <v>1079</v>
      </c>
      <c r="H1557" s="6" t="s">
        <v>108</v>
      </c>
      <c r="I1557" s="6" t="s">
        <v>14</v>
      </c>
      <c r="J1557" s="6" t="s">
        <v>1121</v>
      </c>
      <c r="K1557" s="6">
        <v>4660</v>
      </c>
      <c r="L1557" s="7" t="s">
        <v>2669</v>
      </c>
      <c r="M1557" s="8">
        <v>1205030</v>
      </c>
      <c r="N1557" s="8" t="str">
        <f t="shared" si="121"/>
        <v>PEN</v>
      </c>
      <c r="O1557" s="13"/>
      <c r="P1557" s="13">
        <v>59</v>
      </c>
      <c r="Q1557" s="3">
        <f t="shared" si="122"/>
        <v>0</v>
      </c>
      <c r="R1557" s="3">
        <f t="shared" si="123"/>
        <v>59</v>
      </c>
      <c r="S1557" s="3">
        <f t="shared" si="124"/>
        <v>50308.550000000025</v>
      </c>
      <c r="T1557" s="24" t="s">
        <v>1081</v>
      </c>
      <c r="U1557" s="24" t="s">
        <v>1081</v>
      </c>
      <c r="V1557" s="67"/>
      <c r="W1557" s="25">
        <f>IFERROR(VLOOKUP(BCP_Soles[[#This Row],[DESTINATARIO]],CHOOSE({1,2},Clientes_Proveedores[Razon Social],Clientes_Proveedores[Ruc / Dni]),2,0),"")</f>
        <v>10425371652</v>
      </c>
      <c r="X1557" s="25" t="s">
        <v>108</v>
      </c>
      <c r="Y1557" s="25" t="s">
        <v>2670</v>
      </c>
      <c r="Z1557" s="25"/>
      <c r="AA1557" s="99"/>
      <c r="AB1557" s="3" t="str">
        <f>IF(BCP_Soles[[#This Row],[FECHA]]&gt;0,TEXT(BCP_Soles[[#This Row],[FECHA]],"mmmm"),0)</f>
        <v>Mayo</v>
      </c>
    </row>
    <row r="1558" spans="2:28" x14ac:dyDescent="0.3">
      <c r="B1558" s="2">
        <f>IF(BCP_Soles[[#This Row],[TIPO DE R.]]="R",COUNTIFS($D$4:$D1557,"R")+1,"")</f>
        <v>1210</v>
      </c>
      <c r="C1558" s="19" t="str">
        <f t="shared" si="120"/>
        <v>B-BCP - Soles</v>
      </c>
      <c r="D1558" s="3" t="s">
        <v>1074</v>
      </c>
      <c r="E1558" s="14">
        <v>45784</v>
      </c>
      <c r="F1558" s="5" t="s">
        <v>1158</v>
      </c>
      <c r="G1558" s="5" t="s">
        <v>1079</v>
      </c>
      <c r="H1558" s="6"/>
      <c r="I1558" s="6"/>
      <c r="J1558" s="6"/>
      <c r="K1558" s="6"/>
      <c r="L1558" s="7" t="s">
        <v>2671</v>
      </c>
      <c r="M1558" s="8">
        <v>1012898</v>
      </c>
      <c r="N1558" s="8" t="str">
        <f t="shared" si="121"/>
        <v>PEN</v>
      </c>
      <c r="O1558" s="13"/>
      <c r="P1558" s="13">
        <v>319</v>
      </c>
      <c r="Q1558" s="3">
        <f t="shared" si="122"/>
        <v>0</v>
      </c>
      <c r="R1558" s="3">
        <f t="shared" si="123"/>
        <v>319</v>
      </c>
      <c r="S1558" s="3">
        <f t="shared" si="124"/>
        <v>49989.550000000025</v>
      </c>
      <c r="T1558" s="24"/>
      <c r="U1558" s="24"/>
      <c r="V1558" s="67"/>
      <c r="W1558" s="25" t="str">
        <f>IFERROR(VLOOKUP(BCP_Soles[[#This Row],[DESTINATARIO]],CHOOSE({1,2},Clientes_Proveedores[Razon Social],Clientes_Proveedores[Ruc / Dni]),2,0),"")</f>
        <v/>
      </c>
      <c r="X1558" s="25" t="s">
        <v>2386</v>
      </c>
      <c r="Y1558" s="25"/>
      <c r="Z1558" s="25"/>
      <c r="AA1558" s="99"/>
      <c r="AB1558" s="3" t="str">
        <f>IF(BCP_Soles[[#This Row],[FECHA]]&gt;0,TEXT(BCP_Soles[[#This Row],[FECHA]],"mmmm"),0)</f>
        <v>Mayo</v>
      </c>
    </row>
    <row r="1559" spans="2:28" ht="24" x14ac:dyDescent="0.3">
      <c r="B1559" s="2">
        <f>IF(BCP_Soles[[#This Row],[TIPO DE R.]]="R",COUNTIFS($D$4:$D1558,"R")+1,"")</f>
        <v>1211</v>
      </c>
      <c r="C1559" s="19" t="str">
        <f t="shared" si="120"/>
        <v>B-BCP - Soles</v>
      </c>
      <c r="D1559" s="3" t="s">
        <v>1074</v>
      </c>
      <c r="E1559" s="14">
        <v>45784</v>
      </c>
      <c r="F1559" s="5" t="s">
        <v>1996</v>
      </c>
      <c r="G1559" s="5" t="s">
        <v>1079</v>
      </c>
      <c r="H1559" s="6" t="s">
        <v>729</v>
      </c>
      <c r="I1559" s="6" t="s">
        <v>87</v>
      </c>
      <c r="J1559" s="6">
        <v>1</v>
      </c>
      <c r="K1559" s="6">
        <v>342025</v>
      </c>
      <c r="L1559" s="7" t="s">
        <v>2672</v>
      </c>
      <c r="M1559" s="8">
        <v>1103411</v>
      </c>
      <c r="N1559" s="8" t="str">
        <f t="shared" si="121"/>
        <v>PEN</v>
      </c>
      <c r="O1559" s="13"/>
      <c r="P1559" s="13">
        <v>448</v>
      </c>
      <c r="Q1559" s="3">
        <f t="shared" si="122"/>
        <v>0</v>
      </c>
      <c r="R1559" s="3">
        <f t="shared" si="123"/>
        <v>448</v>
      </c>
      <c r="S1559" s="3">
        <f t="shared" si="124"/>
        <v>49541.550000000025</v>
      </c>
      <c r="T1559" s="24" t="s">
        <v>1081</v>
      </c>
      <c r="U1559" s="24" t="s">
        <v>1081</v>
      </c>
      <c r="V1559" s="67"/>
      <c r="W1559" s="25">
        <f>IFERROR(VLOOKUP(BCP_Soles[[#This Row],[DESTINATARIO]],CHOOSE({1,2},Clientes_Proveedores[Razon Social],Clientes_Proveedores[Ruc / Dni]),2,0),"")</f>
        <v>73238347</v>
      </c>
      <c r="X1559" s="25" t="s">
        <v>729</v>
      </c>
      <c r="Y1559" s="25" t="s">
        <v>2673</v>
      </c>
      <c r="Z1559" s="25"/>
      <c r="AA1559" s="99"/>
      <c r="AB1559" s="3" t="str">
        <f>IF(BCP_Soles[[#This Row],[FECHA]]&gt;0,TEXT(BCP_Soles[[#This Row],[FECHA]],"mmmm"),0)</f>
        <v>Mayo</v>
      </c>
    </row>
    <row r="1560" spans="2:28" x14ac:dyDescent="0.3">
      <c r="B1560" s="2">
        <f>IF(BCP_Soles[[#This Row],[TIPO DE R.]]="R",COUNTIFS($D$4:$D1559,"R")+1,"")</f>
        <v>1212</v>
      </c>
      <c r="C1560" s="19" t="str">
        <f t="shared" si="120"/>
        <v>B-BCP - Soles</v>
      </c>
      <c r="D1560" s="3" t="s">
        <v>1074</v>
      </c>
      <c r="E1560" s="14">
        <v>45784</v>
      </c>
      <c r="F1560" s="5" t="s">
        <v>1158</v>
      </c>
      <c r="G1560" s="5" t="s">
        <v>1079</v>
      </c>
      <c r="H1560" s="6"/>
      <c r="I1560" s="6"/>
      <c r="J1560" s="6"/>
      <c r="K1560" s="6"/>
      <c r="L1560" s="7" t="s">
        <v>2674</v>
      </c>
      <c r="M1560" s="8">
        <v>1013362</v>
      </c>
      <c r="N1560" s="8" t="str">
        <f t="shared" si="121"/>
        <v>PEN</v>
      </c>
      <c r="O1560" s="13"/>
      <c r="P1560" s="13">
        <v>531</v>
      </c>
      <c r="Q1560" s="3">
        <f t="shared" si="122"/>
        <v>0</v>
      </c>
      <c r="R1560" s="3">
        <f t="shared" si="123"/>
        <v>531</v>
      </c>
      <c r="S1560" s="3">
        <f t="shared" si="124"/>
        <v>49010.550000000025</v>
      </c>
      <c r="T1560" s="24"/>
      <c r="U1560" s="24"/>
      <c r="V1560" s="67"/>
      <c r="W1560" s="25" t="str">
        <f>IFERROR(VLOOKUP(BCP_Soles[[#This Row],[DESTINATARIO]],CHOOSE({1,2},Clientes_Proveedores[Razon Social],Clientes_Proveedores[Ruc / Dni]),2,0),"")</f>
        <v/>
      </c>
      <c r="X1560" s="25" t="s">
        <v>2386</v>
      </c>
      <c r="Y1560" s="25"/>
      <c r="Z1560" s="25"/>
      <c r="AA1560" s="99"/>
      <c r="AB1560" s="3" t="str">
        <f>IF(BCP_Soles[[#This Row],[FECHA]]&gt;0,TEXT(BCP_Soles[[#This Row],[FECHA]],"mmmm"),0)</f>
        <v>Mayo</v>
      </c>
    </row>
    <row r="1561" spans="2:28" x14ac:dyDescent="0.3">
      <c r="B1561" s="2">
        <f>IF(BCP_Soles[[#This Row],[TIPO DE R.]]="R",COUNTIFS($D$4:$D1560,"R")+1,"")</f>
        <v>1213</v>
      </c>
      <c r="C1561" s="19" t="str">
        <f t="shared" si="120"/>
        <v>B-BCP - Soles</v>
      </c>
      <c r="D1561" s="3" t="s">
        <v>1074</v>
      </c>
      <c r="E1561" s="14">
        <v>45784</v>
      </c>
      <c r="F1561" s="5" t="s">
        <v>1158</v>
      </c>
      <c r="G1561" s="5" t="s">
        <v>1079</v>
      </c>
      <c r="H1561" s="6"/>
      <c r="I1561" s="6"/>
      <c r="J1561" s="6"/>
      <c r="K1561" s="6"/>
      <c r="L1561" s="7" t="s">
        <v>2675</v>
      </c>
      <c r="M1561" s="8">
        <v>1013319</v>
      </c>
      <c r="N1561" s="8" t="str">
        <f t="shared" si="121"/>
        <v>PEN</v>
      </c>
      <c r="O1561" s="13"/>
      <c r="P1561" s="13">
        <v>743</v>
      </c>
      <c r="Q1561" s="3">
        <f t="shared" si="122"/>
        <v>0</v>
      </c>
      <c r="R1561" s="3">
        <f t="shared" si="123"/>
        <v>743</v>
      </c>
      <c r="S1561" s="3">
        <f t="shared" si="124"/>
        <v>48267.550000000025</v>
      </c>
      <c r="T1561" s="24"/>
      <c r="U1561" s="24"/>
      <c r="V1561" s="67"/>
      <c r="W1561" s="25" t="str">
        <f>IFERROR(VLOOKUP(BCP_Soles[[#This Row],[DESTINATARIO]],CHOOSE({1,2},Clientes_Proveedores[Razon Social],Clientes_Proveedores[Ruc / Dni]),2,0),"")</f>
        <v/>
      </c>
      <c r="X1561" s="25" t="s">
        <v>2386</v>
      </c>
      <c r="Y1561" s="25"/>
      <c r="Z1561" s="25"/>
      <c r="AA1561" s="99"/>
      <c r="AB1561" s="3" t="str">
        <f>IF(BCP_Soles[[#This Row],[FECHA]]&gt;0,TEXT(BCP_Soles[[#This Row],[FECHA]],"mmmm"),0)</f>
        <v>Mayo</v>
      </c>
    </row>
    <row r="1562" spans="2:28" ht="24" x14ac:dyDescent="0.3">
      <c r="B1562" s="2">
        <f>IF(BCP_Soles[[#This Row],[TIPO DE R.]]="R",COUNTIFS($D$4:$D1561,"R")+1,"")</f>
        <v>1214</v>
      </c>
      <c r="C1562" s="19" t="str">
        <f t="shared" si="120"/>
        <v>B-BCP - Soles</v>
      </c>
      <c r="D1562" s="3" t="s">
        <v>1074</v>
      </c>
      <c r="E1562" s="14">
        <v>45784</v>
      </c>
      <c r="F1562" s="5" t="s">
        <v>1082</v>
      </c>
      <c r="G1562" s="5" t="s">
        <v>1079</v>
      </c>
      <c r="H1562" s="6" t="s">
        <v>192</v>
      </c>
      <c r="I1562" s="6"/>
      <c r="J1562" s="6"/>
      <c r="K1562" s="6"/>
      <c r="L1562" s="7" t="s">
        <v>2676</v>
      </c>
      <c r="M1562" s="8">
        <v>1207002</v>
      </c>
      <c r="N1562" s="8" t="str">
        <f t="shared" si="121"/>
        <v>PEN</v>
      </c>
      <c r="O1562" s="13"/>
      <c r="P1562" s="13">
        <v>1095.98</v>
      </c>
      <c r="Q1562" s="3">
        <f t="shared" si="122"/>
        <v>0</v>
      </c>
      <c r="R1562" s="3">
        <f t="shared" si="123"/>
        <v>1095.98</v>
      </c>
      <c r="S1562" s="3">
        <f t="shared" si="124"/>
        <v>47171.570000000022</v>
      </c>
      <c r="T1562" s="24"/>
      <c r="U1562" s="24"/>
      <c r="V1562" s="67"/>
      <c r="W1562" s="25">
        <f>IFERROR(VLOOKUP(BCP_Soles[[#This Row],[DESTINATARIO]],CHOOSE({1,2},Clientes_Proveedores[Razon Social],Clientes_Proveedores[Ruc / Dni]),2,0),"")</f>
        <v>20302891452</v>
      </c>
      <c r="X1562" s="25" t="s">
        <v>192</v>
      </c>
      <c r="Y1562" s="25"/>
      <c r="Z1562" s="25"/>
      <c r="AA1562" s="99"/>
      <c r="AB1562" s="3" t="str">
        <f>IF(BCP_Soles[[#This Row],[FECHA]]&gt;0,TEXT(BCP_Soles[[#This Row],[FECHA]],"mmmm"),0)</f>
        <v>Mayo</v>
      </c>
    </row>
    <row r="1563" spans="2:28" ht="36" x14ac:dyDescent="0.3">
      <c r="B1563" s="2">
        <f>IF(BCP_Soles[[#This Row],[TIPO DE R.]]="R",COUNTIFS($D$4:$D1562,"R")+1,"")</f>
        <v>1215</v>
      </c>
      <c r="C1563" s="19" t="str">
        <f t="shared" si="120"/>
        <v>B-BCP - Soles</v>
      </c>
      <c r="D1563" s="3" t="s">
        <v>1074</v>
      </c>
      <c r="E1563" s="14">
        <v>45784</v>
      </c>
      <c r="F1563" s="5" t="s">
        <v>1082</v>
      </c>
      <c r="G1563" s="5" t="s">
        <v>1079</v>
      </c>
      <c r="H1563" s="6" t="s">
        <v>438</v>
      </c>
      <c r="I1563" s="6" t="s">
        <v>14</v>
      </c>
      <c r="J1563" s="6" t="s">
        <v>1121</v>
      </c>
      <c r="K1563" s="6">
        <v>3821</v>
      </c>
      <c r="L1563" s="7" t="s">
        <v>2677</v>
      </c>
      <c r="M1563" s="8">
        <v>1101947</v>
      </c>
      <c r="N1563" s="8" t="str">
        <f t="shared" si="121"/>
        <v>PEN</v>
      </c>
      <c r="O1563" s="13"/>
      <c r="P1563" s="13">
        <v>1593</v>
      </c>
      <c r="Q1563" s="3">
        <f t="shared" si="122"/>
        <v>0</v>
      </c>
      <c r="R1563" s="3">
        <f t="shared" si="123"/>
        <v>1593</v>
      </c>
      <c r="S1563" s="3">
        <f t="shared" si="124"/>
        <v>45578.570000000022</v>
      </c>
      <c r="T1563" s="24" t="s">
        <v>1081</v>
      </c>
      <c r="U1563" s="24" t="s">
        <v>1081</v>
      </c>
      <c r="V1563" s="67"/>
      <c r="W1563" s="25">
        <f>IFERROR(VLOOKUP(BCP_Soles[[#This Row],[DESTINATARIO]],CHOOSE({1,2},Clientes_Proveedores[Razon Social],Clientes_Proveedores[Ruc / Dni]),2,0),"")</f>
        <v>20602778861</v>
      </c>
      <c r="X1563" s="25" t="s">
        <v>438</v>
      </c>
      <c r="Y1563" s="25" t="s">
        <v>2678</v>
      </c>
      <c r="Z1563" s="25"/>
      <c r="AA1563" s="99"/>
      <c r="AB1563" s="3" t="str">
        <f>IF(BCP_Soles[[#This Row],[FECHA]]&gt;0,TEXT(BCP_Soles[[#This Row],[FECHA]],"mmmm"),0)</f>
        <v>Mayo</v>
      </c>
    </row>
    <row r="1564" spans="2:28" x14ac:dyDescent="0.3">
      <c r="B1564" s="2">
        <f>IF(BCP_Soles[[#This Row],[TIPO DE R.]]="R",COUNTIFS($D$4:$D1563,"R")+1,"")</f>
        <v>1216</v>
      </c>
      <c r="C1564" s="19" t="str">
        <f t="shared" si="120"/>
        <v>B-BCP - Soles</v>
      </c>
      <c r="D1564" s="3" t="s">
        <v>1074</v>
      </c>
      <c r="E1564" s="14">
        <v>45784</v>
      </c>
      <c r="F1564" s="5" t="s">
        <v>1158</v>
      </c>
      <c r="G1564" s="5" t="s">
        <v>1079</v>
      </c>
      <c r="H1564" s="6"/>
      <c r="I1564" s="6"/>
      <c r="J1564" s="6"/>
      <c r="K1564" s="6"/>
      <c r="L1564" s="7" t="s">
        <v>2679</v>
      </c>
      <c r="M1564" s="8">
        <v>1012786</v>
      </c>
      <c r="N1564" s="8" t="str">
        <f t="shared" si="121"/>
        <v>PEN</v>
      </c>
      <c r="O1564" s="13"/>
      <c r="P1564" s="13">
        <v>2301</v>
      </c>
      <c r="Q1564" s="3">
        <f t="shared" si="122"/>
        <v>0</v>
      </c>
      <c r="R1564" s="3">
        <f t="shared" si="123"/>
        <v>2301</v>
      </c>
      <c r="S1564" s="3">
        <f t="shared" si="124"/>
        <v>43277.570000000022</v>
      </c>
      <c r="T1564" s="24"/>
      <c r="U1564" s="24"/>
      <c r="V1564" s="67"/>
      <c r="W1564" s="25" t="str">
        <f>IFERROR(VLOOKUP(BCP_Soles[[#This Row],[DESTINATARIO]],CHOOSE({1,2},Clientes_Proveedores[Razon Social],Clientes_Proveedores[Ruc / Dni]),2,0),"")</f>
        <v/>
      </c>
      <c r="X1564" s="25" t="s">
        <v>2386</v>
      </c>
      <c r="Y1564" s="25"/>
      <c r="Z1564" s="25"/>
      <c r="AA1564" s="99"/>
      <c r="AB1564" s="3" t="str">
        <f>IF(BCP_Soles[[#This Row],[FECHA]]&gt;0,TEXT(BCP_Soles[[#This Row],[FECHA]],"mmmm"),0)</f>
        <v>Mayo</v>
      </c>
    </row>
    <row r="1565" spans="2:28" ht="24" x14ac:dyDescent="0.3">
      <c r="B1565" s="2">
        <f>IF(BCP_Soles[[#This Row],[TIPO DE R.]]="R",COUNTIFS($D$4:$D1564,"R")+1,"")</f>
        <v>1217</v>
      </c>
      <c r="C1565" s="19" t="str">
        <f t="shared" si="120"/>
        <v>B-BCP - Soles</v>
      </c>
      <c r="D1565" s="3" t="s">
        <v>1074</v>
      </c>
      <c r="E1565" s="14">
        <v>45784</v>
      </c>
      <c r="F1565" s="5" t="s">
        <v>1082</v>
      </c>
      <c r="G1565" s="5" t="s">
        <v>1079</v>
      </c>
      <c r="H1565" s="6" t="s">
        <v>640</v>
      </c>
      <c r="I1565" s="6"/>
      <c r="J1565" s="6"/>
      <c r="K1565" s="6"/>
      <c r="L1565" s="7" t="s">
        <v>2680</v>
      </c>
      <c r="M1565" s="8">
        <v>4010674</v>
      </c>
      <c r="N1565" s="8" t="str">
        <f t="shared" si="121"/>
        <v>PEN</v>
      </c>
      <c r="O1565" s="13"/>
      <c r="P1565" s="13">
        <v>3219.5</v>
      </c>
      <c r="Q1565" s="3">
        <f t="shared" si="122"/>
        <v>0</v>
      </c>
      <c r="R1565" s="3">
        <f t="shared" si="123"/>
        <v>3219.5</v>
      </c>
      <c r="S1565" s="3">
        <f t="shared" si="124"/>
        <v>40058.070000000022</v>
      </c>
      <c r="T1565" s="24"/>
      <c r="U1565" s="24"/>
      <c r="V1565" s="67"/>
      <c r="W1565" s="25">
        <f>IFERROR(VLOOKUP(BCP_Soles[[#This Row],[DESTINATARIO]],CHOOSE({1,2},Clientes_Proveedores[Razon Social],Clientes_Proveedores[Ruc / Dni]),2,0),"")</f>
        <v>10296347634</v>
      </c>
      <c r="X1565" s="25" t="s">
        <v>640</v>
      </c>
      <c r="Y1565" s="25"/>
      <c r="Z1565" s="25"/>
      <c r="AA1565" s="99"/>
      <c r="AB1565" s="3" t="str">
        <f>IF(BCP_Soles[[#This Row],[FECHA]]&gt;0,TEXT(BCP_Soles[[#This Row],[FECHA]],"mmmm"),0)</f>
        <v>Mayo</v>
      </c>
    </row>
    <row r="1566" spans="2:28" ht="24" x14ac:dyDescent="0.3">
      <c r="B1566" s="2">
        <f>IF(BCP_Soles[[#This Row],[TIPO DE R.]]="R",COUNTIFS($D$4:$D1565,"R")+1,"")</f>
        <v>1218</v>
      </c>
      <c r="C1566" s="19" t="str">
        <f t="shared" si="120"/>
        <v>B-BCP - Soles</v>
      </c>
      <c r="D1566" s="3" t="s">
        <v>1074</v>
      </c>
      <c r="E1566" s="14">
        <v>45785</v>
      </c>
      <c r="F1566" s="5" t="s">
        <v>1357</v>
      </c>
      <c r="G1566" s="5" t="s">
        <v>1087</v>
      </c>
      <c r="H1566" s="6"/>
      <c r="I1566" s="6"/>
      <c r="J1566" s="6"/>
      <c r="K1566" s="6"/>
      <c r="L1566" s="7" t="s">
        <v>1100</v>
      </c>
      <c r="M1566" s="8">
        <v>2529894</v>
      </c>
      <c r="N1566" s="8" t="str">
        <f t="shared" si="121"/>
        <v>PEN</v>
      </c>
      <c r="O1566" s="13"/>
      <c r="P1566" s="13">
        <v>1000</v>
      </c>
      <c r="Q1566" s="3">
        <f t="shared" si="122"/>
        <v>1000</v>
      </c>
      <c r="R1566" s="3">
        <f t="shared" si="123"/>
        <v>0</v>
      </c>
      <c r="S1566" s="3">
        <f t="shared" si="124"/>
        <v>41058.070000000022</v>
      </c>
      <c r="T1566" s="24" t="s">
        <v>1081</v>
      </c>
      <c r="U1566" s="24" t="s">
        <v>1081</v>
      </c>
      <c r="V1566" s="67"/>
      <c r="W1566" s="25" t="str">
        <f>IFERROR(VLOOKUP(BCP_Soles[[#This Row],[DESTINATARIO]],CHOOSE({1,2},Clientes_Proveedores[Razon Social],Clientes_Proveedores[Ruc / Dni]),2,0),"")</f>
        <v/>
      </c>
      <c r="X1566" s="25" t="s">
        <v>1090</v>
      </c>
      <c r="Y1566" s="25" t="s">
        <v>2583</v>
      </c>
      <c r="Z1566" s="25"/>
      <c r="AA1566" s="99"/>
      <c r="AB1566" s="3" t="str">
        <f>IF(BCP_Soles[[#This Row],[FECHA]]&gt;0,TEXT(BCP_Soles[[#This Row],[FECHA]],"mmmm"),0)</f>
        <v>Mayo</v>
      </c>
    </row>
    <row r="1567" spans="2:28" x14ac:dyDescent="0.3">
      <c r="B1567" s="2">
        <f>IF(BCP_Soles[[#This Row],[TIPO DE R.]]="R",COUNTIFS($D$4:$D1566,"R")+1,"")</f>
        <v>1219</v>
      </c>
      <c r="C1567" s="19" t="str">
        <f t="shared" si="120"/>
        <v>B-BCP - Soles</v>
      </c>
      <c r="D1567" s="3" t="s">
        <v>1074</v>
      </c>
      <c r="E1567" s="14">
        <v>45785</v>
      </c>
      <c r="F1567" s="5" t="s">
        <v>494</v>
      </c>
      <c r="G1567" s="5" t="s">
        <v>1087</v>
      </c>
      <c r="H1567" s="6"/>
      <c r="I1567" s="6"/>
      <c r="J1567" s="6"/>
      <c r="K1567" s="6"/>
      <c r="L1567" s="7" t="s">
        <v>1100</v>
      </c>
      <c r="M1567" s="8">
        <v>5108678</v>
      </c>
      <c r="N1567" s="8" t="str">
        <f t="shared" si="121"/>
        <v>PEN</v>
      </c>
      <c r="O1567" s="13"/>
      <c r="P1567" s="13">
        <v>3540</v>
      </c>
      <c r="Q1567" s="3">
        <f t="shared" si="122"/>
        <v>3540</v>
      </c>
      <c r="R1567" s="3">
        <f t="shared" si="123"/>
        <v>0</v>
      </c>
      <c r="S1567" s="3">
        <f t="shared" si="124"/>
        <v>44598.070000000022</v>
      </c>
      <c r="T1567" s="24" t="s">
        <v>1081</v>
      </c>
      <c r="U1567" s="24" t="s">
        <v>1081</v>
      </c>
      <c r="V1567" s="67"/>
      <c r="W1567" s="25" t="str">
        <f>IFERROR(VLOOKUP(BCP_Soles[[#This Row],[DESTINATARIO]],CHOOSE({1,2},Clientes_Proveedores[Razon Social],Clientes_Proveedores[Ruc / Dni]),2,0),"")</f>
        <v/>
      </c>
      <c r="X1567" s="25" t="s">
        <v>1090</v>
      </c>
      <c r="Y1567" s="25" t="s">
        <v>2681</v>
      </c>
      <c r="Z1567" s="25"/>
      <c r="AA1567" s="99"/>
      <c r="AB1567" s="3" t="str">
        <f>IF(BCP_Soles[[#This Row],[FECHA]]&gt;0,TEXT(BCP_Soles[[#This Row],[FECHA]],"mmmm"),0)</f>
        <v>Mayo</v>
      </c>
    </row>
    <row r="1568" spans="2:28" x14ac:dyDescent="0.3">
      <c r="B1568" s="2">
        <f>IF(BCP_Soles[[#This Row],[TIPO DE R.]]="R",COUNTIFS($D$4:$D1567,"R")+1,"")</f>
        <v>1220</v>
      </c>
      <c r="C1568" s="19" t="str">
        <f t="shared" si="120"/>
        <v>B-BCP - Soles</v>
      </c>
      <c r="D1568" s="3" t="s">
        <v>1074</v>
      </c>
      <c r="E1568" s="14">
        <v>45785</v>
      </c>
      <c r="F1568" s="5" t="s">
        <v>494</v>
      </c>
      <c r="G1568" s="5" t="s">
        <v>1087</v>
      </c>
      <c r="H1568" s="6"/>
      <c r="I1568" s="6"/>
      <c r="J1568" s="6"/>
      <c r="K1568" s="6"/>
      <c r="L1568" s="7" t="s">
        <v>1100</v>
      </c>
      <c r="M1568" s="8">
        <v>5111260</v>
      </c>
      <c r="N1568" s="8" t="str">
        <f t="shared" si="121"/>
        <v>PEN</v>
      </c>
      <c r="O1568" s="13"/>
      <c r="P1568" s="13">
        <v>4956</v>
      </c>
      <c r="Q1568" s="3">
        <f t="shared" si="122"/>
        <v>4956</v>
      </c>
      <c r="R1568" s="3">
        <f t="shared" si="123"/>
        <v>0</v>
      </c>
      <c r="S1568" s="3">
        <f t="shared" si="124"/>
        <v>49554.070000000022</v>
      </c>
      <c r="T1568" s="24" t="s">
        <v>1081</v>
      </c>
      <c r="U1568" s="24" t="s">
        <v>1081</v>
      </c>
      <c r="V1568" s="67"/>
      <c r="W1568" s="25" t="str">
        <f>IFERROR(VLOOKUP(BCP_Soles[[#This Row],[DESTINATARIO]],CHOOSE({1,2},Clientes_Proveedores[Razon Social],Clientes_Proveedores[Ruc / Dni]),2,0),"")</f>
        <v/>
      </c>
      <c r="X1568" s="25" t="s">
        <v>1090</v>
      </c>
      <c r="Y1568" s="25" t="s">
        <v>2682</v>
      </c>
      <c r="Z1568" s="25"/>
      <c r="AA1568" s="99"/>
      <c r="AB1568" s="3" t="str">
        <f>IF(BCP_Soles[[#This Row],[FECHA]]&gt;0,TEXT(BCP_Soles[[#This Row],[FECHA]],"mmmm"),0)</f>
        <v>Mayo</v>
      </c>
    </row>
    <row r="1569" spans="2:28" x14ac:dyDescent="0.3">
      <c r="B1569" s="2">
        <f>IF(BCP_Soles[[#This Row],[TIPO DE R.]]="R",COUNTIFS($D$4:$D1568,"R")+1,"")</f>
        <v>1221</v>
      </c>
      <c r="C1569" s="19" t="str">
        <f t="shared" si="120"/>
        <v>B-BCP - Soles</v>
      </c>
      <c r="D1569" s="3" t="s">
        <v>1074</v>
      </c>
      <c r="E1569" s="14">
        <v>45785</v>
      </c>
      <c r="F1569" s="5" t="s">
        <v>1078</v>
      </c>
      <c r="G1569" s="5" t="s">
        <v>1079</v>
      </c>
      <c r="H1569" s="6"/>
      <c r="I1569" s="6"/>
      <c r="J1569" s="6"/>
      <c r="K1569" s="6"/>
      <c r="L1569" s="7" t="s">
        <v>1080</v>
      </c>
      <c r="M1569" s="8"/>
      <c r="N1569" s="8" t="str">
        <f t="shared" si="121"/>
        <v>PEN</v>
      </c>
      <c r="O1569" s="13"/>
      <c r="P1569" s="13">
        <v>0.7</v>
      </c>
      <c r="Q1569" s="3">
        <f t="shared" si="122"/>
        <v>0</v>
      </c>
      <c r="R1569" s="3">
        <f t="shared" si="123"/>
        <v>0.7</v>
      </c>
      <c r="S1569" s="3">
        <f t="shared" si="124"/>
        <v>49553.370000000024</v>
      </c>
      <c r="T1569" s="24"/>
      <c r="U1569" s="24" t="s">
        <v>1081</v>
      </c>
      <c r="V1569" s="67"/>
      <c r="W1569" s="25" t="str">
        <f>IFERROR(VLOOKUP(BCP_Soles[[#This Row],[DESTINATARIO]],CHOOSE({1,2},Clientes_Proveedores[Razon Social],Clientes_Proveedores[Ruc / Dni]),2,0),"")</f>
        <v/>
      </c>
      <c r="X1569" s="25"/>
      <c r="Y1569" s="25"/>
      <c r="Z1569" s="25"/>
      <c r="AA1569" s="99"/>
      <c r="AB1569" s="3" t="str">
        <f>IF(BCP_Soles[[#This Row],[FECHA]]&gt;0,TEXT(BCP_Soles[[#This Row],[FECHA]],"mmmm"),0)</f>
        <v>Mayo</v>
      </c>
    </row>
    <row r="1570" spans="2:28" x14ac:dyDescent="0.3">
      <c r="B1570" s="2">
        <f>IF(BCP_Soles[[#This Row],[TIPO DE R.]]="R",COUNTIFS($D$4:$D1569,"R")+1,"")</f>
        <v>1222</v>
      </c>
      <c r="C1570" s="19" t="str">
        <f t="shared" si="120"/>
        <v>B-BCP - Soles</v>
      </c>
      <c r="D1570" s="3" t="s">
        <v>1074</v>
      </c>
      <c r="E1570" s="14">
        <v>45785</v>
      </c>
      <c r="F1570" s="5" t="s">
        <v>1082</v>
      </c>
      <c r="G1570" s="5" t="s">
        <v>1079</v>
      </c>
      <c r="H1570" s="6" t="s">
        <v>139</v>
      </c>
      <c r="I1570" s="6" t="s">
        <v>14</v>
      </c>
      <c r="J1570" s="6" t="s">
        <v>1953</v>
      </c>
      <c r="K1570" s="6">
        <v>6299</v>
      </c>
      <c r="L1570" s="7" t="s">
        <v>1954</v>
      </c>
      <c r="M1570" s="8">
        <v>99935</v>
      </c>
      <c r="N1570" s="8" t="str">
        <f t="shared" si="121"/>
        <v>PEN</v>
      </c>
      <c r="O1570" s="13"/>
      <c r="P1570" s="13">
        <v>3.96</v>
      </c>
      <c r="Q1570" s="3">
        <f t="shared" si="122"/>
        <v>0</v>
      </c>
      <c r="R1570" s="3">
        <f t="shared" si="123"/>
        <v>3.96</v>
      </c>
      <c r="S1570" s="3">
        <f t="shared" si="124"/>
        <v>49549.410000000025</v>
      </c>
      <c r="T1570" s="24" t="s">
        <v>1081</v>
      </c>
      <c r="U1570" s="24" t="s">
        <v>1081</v>
      </c>
      <c r="V1570" s="67"/>
      <c r="W1570" s="25">
        <f>IFERROR(VLOOKUP(BCP_Soles[[#This Row],[DESTINATARIO]],CHOOSE({1,2},Clientes_Proveedores[Razon Social],Clientes_Proveedores[Ruc / Dni]),2,0),"")</f>
        <v>20100055237</v>
      </c>
      <c r="X1570" s="25" t="s">
        <v>1955</v>
      </c>
      <c r="Y1570" s="25" t="s">
        <v>2683</v>
      </c>
      <c r="Z1570" s="25"/>
      <c r="AA1570" s="99"/>
      <c r="AB1570" s="3" t="str">
        <f>IF(BCP_Soles[[#This Row],[FECHA]]&gt;0,TEXT(BCP_Soles[[#This Row],[FECHA]],"mmmm"),0)</f>
        <v>Mayo</v>
      </c>
    </row>
    <row r="1571" spans="2:28" x14ac:dyDescent="0.3">
      <c r="B1571" s="2">
        <f>IF(BCP_Soles[[#This Row],[TIPO DE R.]]="R",COUNTIFS($D$4:$D1570,"R")+1,"")</f>
        <v>1223</v>
      </c>
      <c r="C1571" s="19" t="str">
        <f t="shared" si="120"/>
        <v>B-BCP - Soles</v>
      </c>
      <c r="D1571" s="3" t="s">
        <v>1074</v>
      </c>
      <c r="E1571" s="14">
        <v>45785</v>
      </c>
      <c r="F1571" s="5" t="s">
        <v>1082</v>
      </c>
      <c r="G1571" s="5" t="s">
        <v>1079</v>
      </c>
      <c r="H1571" s="6" t="s">
        <v>139</v>
      </c>
      <c r="I1571" s="6" t="s">
        <v>14</v>
      </c>
      <c r="J1571" s="6" t="s">
        <v>1953</v>
      </c>
      <c r="K1571" s="6">
        <v>6301</v>
      </c>
      <c r="L1571" s="7" t="s">
        <v>1954</v>
      </c>
      <c r="M1571" s="8">
        <v>100012</v>
      </c>
      <c r="N1571" s="8" t="str">
        <f t="shared" si="121"/>
        <v>PEN</v>
      </c>
      <c r="O1571" s="13"/>
      <c r="P1571" s="13">
        <v>46.28</v>
      </c>
      <c r="Q1571" s="3">
        <f t="shared" si="122"/>
        <v>0</v>
      </c>
      <c r="R1571" s="3">
        <f t="shared" si="123"/>
        <v>46.28</v>
      </c>
      <c r="S1571" s="3">
        <f t="shared" si="124"/>
        <v>49503.130000000026</v>
      </c>
      <c r="T1571" s="24" t="s">
        <v>1081</v>
      </c>
      <c r="U1571" s="24" t="s">
        <v>1081</v>
      </c>
      <c r="V1571" s="67"/>
      <c r="W1571" s="25">
        <f>IFERROR(VLOOKUP(BCP_Soles[[#This Row],[DESTINATARIO]],CHOOSE({1,2},Clientes_Proveedores[Razon Social],Clientes_Proveedores[Ruc / Dni]),2,0),"")</f>
        <v>20100055237</v>
      </c>
      <c r="X1571" s="25" t="s">
        <v>1955</v>
      </c>
      <c r="Y1571" s="25" t="s">
        <v>2684</v>
      </c>
      <c r="Z1571" s="25"/>
      <c r="AA1571" s="99"/>
      <c r="AB1571" s="3" t="str">
        <f>IF(BCP_Soles[[#This Row],[FECHA]]&gt;0,TEXT(BCP_Soles[[#This Row],[FECHA]],"mmmm"),0)</f>
        <v>Mayo</v>
      </c>
    </row>
    <row r="1572" spans="2:28" x14ac:dyDescent="0.3">
      <c r="B1572" s="2">
        <f>IF(BCP_Soles[[#This Row],[TIPO DE R.]]="R",COUNTIFS($D$4:$D1571,"R")+1,"")</f>
        <v>1224</v>
      </c>
      <c r="C1572" s="19" t="str">
        <f t="shared" si="120"/>
        <v>B-BCP - Soles</v>
      </c>
      <c r="D1572" s="3" t="s">
        <v>1074</v>
      </c>
      <c r="E1572" s="14">
        <v>45785</v>
      </c>
      <c r="F1572" s="5" t="s">
        <v>1082</v>
      </c>
      <c r="G1572" s="5" t="s">
        <v>1079</v>
      </c>
      <c r="H1572" s="6" t="s">
        <v>139</v>
      </c>
      <c r="I1572" s="6" t="s">
        <v>14</v>
      </c>
      <c r="J1572" s="6" t="s">
        <v>1953</v>
      </c>
      <c r="K1572" s="6">
        <v>6297</v>
      </c>
      <c r="L1572" s="7" t="s">
        <v>1954</v>
      </c>
      <c r="M1572" s="8">
        <v>98473</v>
      </c>
      <c r="N1572" s="8" t="str">
        <f t="shared" si="121"/>
        <v>PEN</v>
      </c>
      <c r="O1572" s="13"/>
      <c r="P1572" s="13">
        <v>146.04</v>
      </c>
      <c r="Q1572" s="3">
        <f t="shared" si="122"/>
        <v>0</v>
      </c>
      <c r="R1572" s="3">
        <f t="shared" si="123"/>
        <v>146.04</v>
      </c>
      <c r="S1572" s="3">
        <f t="shared" si="124"/>
        <v>49357.090000000026</v>
      </c>
      <c r="T1572" s="24" t="s">
        <v>1081</v>
      </c>
      <c r="U1572" s="24" t="s">
        <v>1081</v>
      </c>
      <c r="V1572" s="67"/>
      <c r="W1572" s="25">
        <f>IFERROR(VLOOKUP(BCP_Soles[[#This Row],[DESTINATARIO]],CHOOSE({1,2},Clientes_Proveedores[Razon Social],Clientes_Proveedores[Ruc / Dni]),2,0),"")</f>
        <v>20100055237</v>
      </c>
      <c r="X1572" s="25" t="s">
        <v>1955</v>
      </c>
      <c r="Y1572" s="25" t="s">
        <v>2685</v>
      </c>
      <c r="Z1572" s="25"/>
      <c r="AA1572" s="99"/>
      <c r="AB1572" s="3" t="str">
        <f>IF(BCP_Soles[[#This Row],[FECHA]]&gt;0,TEXT(BCP_Soles[[#This Row],[FECHA]],"mmmm"),0)</f>
        <v>Mayo</v>
      </c>
    </row>
    <row r="1573" spans="2:28" ht="24" x14ac:dyDescent="0.3">
      <c r="B1573" s="2">
        <f>IF(BCP_Soles[[#This Row],[TIPO DE R.]]="R",COUNTIFS($D$4:$D1572,"R")+1,"")</f>
        <v>1225</v>
      </c>
      <c r="C1573" s="19" t="str">
        <f t="shared" si="120"/>
        <v>B-BCP - Soles</v>
      </c>
      <c r="D1573" s="3" t="s">
        <v>1074</v>
      </c>
      <c r="E1573" s="14">
        <v>45785</v>
      </c>
      <c r="F1573" s="5" t="s">
        <v>1082</v>
      </c>
      <c r="G1573" s="5" t="s">
        <v>1079</v>
      </c>
      <c r="H1573" s="6" t="s">
        <v>192</v>
      </c>
      <c r="I1573" s="6"/>
      <c r="J1573" s="6"/>
      <c r="K1573" s="6"/>
      <c r="L1573" s="7" t="s">
        <v>2686</v>
      </c>
      <c r="M1573" s="8">
        <v>1217310</v>
      </c>
      <c r="N1573" s="8" t="str">
        <f t="shared" si="121"/>
        <v>PEN</v>
      </c>
      <c r="O1573" s="13"/>
      <c r="P1573" s="13">
        <v>243.04</v>
      </c>
      <c r="Q1573" s="3">
        <f t="shared" si="122"/>
        <v>0</v>
      </c>
      <c r="R1573" s="3">
        <f t="shared" si="123"/>
        <v>243.04</v>
      </c>
      <c r="S1573" s="3">
        <f t="shared" si="124"/>
        <v>49114.050000000025</v>
      </c>
      <c r="T1573" s="24"/>
      <c r="U1573" s="24"/>
      <c r="V1573" s="67"/>
      <c r="W1573" s="25">
        <f>IFERROR(VLOOKUP(BCP_Soles[[#This Row],[DESTINATARIO]],CHOOSE({1,2},Clientes_Proveedores[Razon Social],Clientes_Proveedores[Ruc / Dni]),2,0),"")</f>
        <v>20302891452</v>
      </c>
      <c r="X1573" s="25" t="s">
        <v>192</v>
      </c>
      <c r="Y1573" s="25"/>
      <c r="Z1573" s="25"/>
      <c r="AA1573" s="99"/>
      <c r="AB1573" s="3" t="str">
        <f>IF(BCP_Soles[[#This Row],[FECHA]]&gt;0,TEXT(BCP_Soles[[#This Row],[FECHA]],"mmmm"),0)</f>
        <v>Mayo</v>
      </c>
    </row>
    <row r="1574" spans="2:28" x14ac:dyDescent="0.3">
      <c r="B1574" s="2">
        <f>IF(BCP_Soles[[#This Row],[TIPO DE R.]]="R",COUNTIFS($D$4:$D1573,"R")+1,"")</f>
        <v>1226</v>
      </c>
      <c r="C1574" s="19" t="str">
        <f t="shared" si="120"/>
        <v>B-BCP - Soles</v>
      </c>
      <c r="D1574" s="3" t="s">
        <v>1074</v>
      </c>
      <c r="E1574" s="14">
        <v>45785</v>
      </c>
      <c r="F1574" s="5" t="s">
        <v>1082</v>
      </c>
      <c r="G1574" s="5" t="s">
        <v>1079</v>
      </c>
      <c r="H1574" s="6" t="s">
        <v>139</v>
      </c>
      <c r="I1574" s="6" t="s">
        <v>14</v>
      </c>
      <c r="J1574" s="6" t="s">
        <v>1953</v>
      </c>
      <c r="K1574" s="6">
        <v>6300</v>
      </c>
      <c r="L1574" s="7" t="s">
        <v>1954</v>
      </c>
      <c r="M1574" s="8">
        <v>96991</v>
      </c>
      <c r="N1574" s="8" t="str">
        <f t="shared" si="121"/>
        <v>PEN</v>
      </c>
      <c r="O1574" s="13"/>
      <c r="P1574" s="13">
        <v>258.44</v>
      </c>
      <c r="Q1574" s="3">
        <f t="shared" si="122"/>
        <v>0</v>
      </c>
      <c r="R1574" s="3">
        <f t="shared" si="123"/>
        <v>258.44</v>
      </c>
      <c r="S1574" s="3">
        <f t="shared" si="124"/>
        <v>48855.610000000022</v>
      </c>
      <c r="T1574" s="24" t="s">
        <v>1081</v>
      </c>
      <c r="U1574" s="24" t="s">
        <v>1081</v>
      </c>
      <c r="V1574" s="67"/>
      <c r="W1574" s="25">
        <f>IFERROR(VLOOKUP(BCP_Soles[[#This Row],[DESTINATARIO]],CHOOSE({1,2},Clientes_Proveedores[Razon Social],Clientes_Proveedores[Ruc / Dni]),2,0),"")</f>
        <v>20100055237</v>
      </c>
      <c r="X1574" s="25" t="s">
        <v>1955</v>
      </c>
      <c r="Y1574" s="25" t="s">
        <v>2687</v>
      </c>
      <c r="Z1574" s="25"/>
      <c r="AA1574" s="99"/>
      <c r="AB1574" s="3" t="str">
        <f>IF(BCP_Soles[[#This Row],[FECHA]]&gt;0,TEXT(BCP_Soles[[#This Row],[FECHA]],"mmmm"),0)</f>
        <v>Mayo</v>
      </c>
    </row>
    <row r="1575" spans="2:28" ht="24" x14ac:dyDescent="0.3">
      <c r="B1575" s="2">
        <f>IF(BCP_Soles[[#This Row],[TIPO DE R.]]="R",COUNTIFS($D$4:$D1574,"R")+1,"")</f>
        <v>1227</v>
      </c>
      <c r="C1575" s="19" t="str">
        <f t="shared" si="120"/>
        <v>B-BCP - Soles</v>
      </c>
      <c r="D1575" s="3" t="s">
        <v>1074</v>
      </c>
      <c r="E1575" s="14">
        <v>45785</v>
      </c>
      <c r="F1575" s="5" t="s">
        <v>1082</v>
      </c>
      <c r="G1575" s="5" t="s">
        <v>1079</v>
      </c>
      <c r="H1575" s="6" t="s">
        <v>192</v>
      </c>
      <c r="I1575" s="6"/>
      <c r="J1575" s="6"/>
      <c r="K1575" s="6"/>
      <c r="L1575" s="7" t="s">
        <v>2688</v>
      </c>
      <c r="M1575" s="8">
        <v>1217902</v>
      </c>
      <c r="N1575" s="8" t="str">
        <f t="shared" si="121"/>
        <v>PEN</v>
      </c>
      <c r="O1575" s="13"/>
      <c r="P1575" s="13">
        <v>283.2</v>
      </c>
      <c r="Q1575" s="3">
        <f t="shared" si="122"/>
        <v>0</v>
      </c>
      <c r="R1575" s="3">
        <f t="shared" si="123"/>
        <v>283.2</v>
      </c>
      <c r="S1575" s="3">
        <f t="shared" si="124"/>
        <v>48572.410000000025</v>
      </c>
      <c r="T1575" s="24"/>
      <c r="U1575" s="24"/>
      <c r="V1575" s="67"/>
      <c r="W1575" s="25">
        <f>IFERROR(VLOOKUP(BCP_Soles[[#This Row],[DESTINATARIO]],CHOOSE({1,2},Clientes_Proveedores[Razon Social],Clientes_Proveedores[Ruc / Dni]),2,0),"")</f>
        <v>20302891452</v>
      </c>
      <c r="X1575" s="25" t="s">
        <v>192</v>
      </c>
      <c r="Y1575" s="25"/>
      <c r="Z1575" s="25"/>
      <c r="AA1575" s="99"/>
      <c r="AB1575" s="3" t="str">
        <f>IF(BCP_Soles[[#This Row],[FECHA]]&gt;0,TEXT(BCP_Soles[[#This Row],[FECHA]],"mmmm"),0)</f>
        <v>Mayo</v>
      </c>
    </row>
    <row r="1576" spans="2:28" x14ac:dyDescent="0.3">
      <c r="B1576" s="2">
        <f>IF(BCP_Soles[[#This Row],[TIPO DE R.]]="R",COUNTIFS($D$4:$D1575,"R")+1,"")</f>
        <v>1228</v>
      </c>
      <c r="C1576" s="19" t="str">
        <f t="shared" si="120"/>
        <v>B-BCP - Soles</v>
      </c>
      <c r="D1576" s="3" t="s">
        <v>1074</v>
      </c>
      <c r="E1576" s="14">
        <v>45785</v>
      </c>
      <c r="F1576" s="5" t="s">
        <v>1082</v>
      </c>
      <c r="G1576" s="5" t="s">
        <v>1079</v>
      </c>
      <c r="H1576" s="6" t="s">
        <v>139</v>
      </c>
      <c r="I1576" s="6" t="s">
        <v>14</v>
      </c>
      <c r="J1576" s="6" t="s">
        <v>1953</v>
      </c>
      <c r="K1576" s="6">
        <v>6298</v>
      </c>
      <c r="L1576" s="7" t="s">
        <v>1954</v>
      </c>
      <c r="M1576" s="8">
        <v>97970</v>
      </c>
      <c r="N1576" s="8" t="str">
        <f t="shared" si="121"/>
        <v>PEN</v>
      </c>
      <c r="O1576" s="13"/>
      <c r="P1576" s="13">
        <v>333.94</v>
      </c>
      <c r="Q1576" s="3">
        <f t="shared" si="122"/>
        <v>0</v>
      </c>
      <c r="R1576" s="3">
        <f t="shared" si="123"/>
        <v>333.94</v>
      </c>
      <c r="S1576" s="3">
        <f t="shared" si="124"/>
        <v>48238.470000000023</v>
      </c>
      <c r="T1576" s="24" t="s">
        <v>1081</v>
      </c>
      <c r="U1576" s="24" t="s">
        <v>1081</v>
      </c>
      <c r="V1576" s="67"/>
      <c r="W1576" s="25">
        <f>IFERROR(VLOOKUP(BCP_Soles[[#This Row],[DESTINATARIO]],CHOOSE({1,2},Clientes_Proveedores[Razon Social],Clientes_Proveedores[Ruc / Dni]),2,0),"")</f>
        <v>20100055237</v>
      </c>
      <c r="X1576" s="25" t="s">
        <v>1955</v>
      </c>
      <c r="Y1576" s="25" t="s">
        <v>2689</v>
      </c>
      <c r="Z1576" s="25"/>
      <c r="AA1576" s="99"/>
      <c r="AB1576" s="3" t="str">
        <f>IF(BCP_Soles[[#This Row],[FECHA]]&gt;0,TEXT(BCP_Soles[[#This Row],[FECHA]],"mmmm"),0)</f>
        <v>Mayo</v>
      </c>
    </row>
    <row r="1577" spans="2:28" ht="24" x14ac:dyDescent="0.3">
      <c r="B1577" s="2">
        <f>IF(BCP_Soles[[#This Row],[TIPO DE R.]]="R",COUNTIFS($D$4:$D1576,"R")+1,"")</f>
        <v>1229</v>
      </c>
      <c r="C1577" s="19" t="str">
        <f t="shared" si="120"/>
        <v>B-BCP - Soles</v>
      </c>
      <c r="D1577" s="3" t="s">
        <v>1074</v>
      </c>
      <c r="E1577" s="14">
        <v>45785</v>
      </c>
      <c r="F1577" s="5" t="s">
        <v>1996</v>
      </c>
      <c r="G1577" s="5" t="s">
        <v>1079</v>
      </c>
      <c r="H1577" s="6" t="s">
        <v>192</v>
      </c>
      <c r="I1577" s="6"/>
      <c r="J1577" s="6"/>
      <c r="K1577" s="6"/>
      <c r="L1577" s="7" t="s">
        <v>2690</v>
      </c>
      <c r="M1577" s="8">
        <v>1009631</v>
      </c>
      <c r="N1577" s="8" t="str">
        <f t="shared" si="121"/>
        <v>PEN</v>
      </c>
      <c r="O1577" s="13"/>
      <c r="P1577" s="13">
        <v>871.88</v>
      </c>
      <c r="Q1577" s="3">
        <f t="shared" si="122"/>
        <v>0</v>
      </c>
      <c r="R1577" s="3">
        <f t="shared" si="123"/>
        <v>871.88</v>
      </c>
      <c r="S1577" s="3">
        <f t="shared" si="124"/>
        <v>47366.590000000026</v>
      </c>
      <c r="T1577" s="24"/>
      <c r="U1577" s="24"/>
      <c r="V1577" s="67"/>
      <c r="W1577" s="25">
        <f>IFERROR(VLOOKUP(BCP_Soles[[#This Row],[DESTINATARIO]],CHOOSE({1,2},Clientes_Proveedores[Razon Social],Clientes_Proveedores[Ruc / Dni]),2,0),"")</f>
        <v>20302891452</v>
      </c>
      <c r="X1577" s="25" t="s">
        <v>192</v>
      </c>
      <c r="Y1577" s="25"/>
      <c r="Z1577" s="25"/>
      <c r="AA1577" s="99"/>
      <c r="AB1577" s="3" t="str">
        <f>IF(BCP_Soles[[#This Row],[FECHA]]&gt;0,TEXT(BCP_Soles[[#This Row],[FECHA]],"mmmm"),0)</f>
        <v>Mayo</v>
      </c>
    </row>
    <row r="1578" spans="2:28" ht="24" x14ac:dyDescent="0.3">
      <c r="B1578" s="2">
        <f>IF(BCP_Soles[[#This Row],[TIPO DE R.]]="R",COUNTIFS($D$4:$D1577,"R")+1,"")</f>
        <v>1230</v>
      </c>
      <c r="C1578" s="19" t="str">
        <f t="shared" si="120"/>
        <v>B-BCP - Soles</v>
      </c>
      <c r="D1578" s="3" t="s">
        <v>1074</v>
      </c>
      <c r="E1578" s="14">
        <v>45785</v>
      </c>
      <c r="F1578" s="5" t="s">
        <v>1082</v>
      </c>
      <c r="G1578" s="5" t="s">
        <v>1079</v>
      </c>
      <c r="H1578" s="6" t="s">
        <v>699</v>
      </c>
      <c r="I1578" s="6" t="s">
        <v>18</v>
      </c>
      <c r="J1578" s="6" t="s">
        <v>1121</v>
      </c>
      <c r="K1578" s="6">
        <v>19</v>
      </c>
      <c r="L1578" s="7" t="s">
        <v>2691</v>
      </c>
      <c r="M1578" s="8">
        <v>1099441</v>
      </c>
      <c r="N1578" s="8" t="str">
        <f t="shared" si="121"/>
        <v>PEN</v>
      </c>
      <c r="O1578" s="13"/>
      <c r="P1578" s="13">
        <v>1000</v>
      </c>
      <c r="Q1578" s="3">
        <f t="shared" si="122"/>
        <v>0</v>
      </c>
      <c r="R1578" s="3">
        <f t="shared" si="123"/>
        <v>1000</v>
      </c>
      <c r="S1578" s="3">
        <f t="shared" si="124"/>
        <v>46366.590000000026</v>
      </c>
      <c r="T1578" s="24" t="s">
        <v>1081</v>
      </c>
      <c r="U1578" s="24" t="s">
        <v>1081</v>
      </c>
      <c r="V1578" s="67"/>
      <c r="W1578" s="25">
        <f>IFERROR(VLOOKUP(BCP_Soles[[#This Row],[DESTINATARIO]],CHOOSE({1,2},Clientes_Proveedores[Razon Social],Clientes_Proveedores[Ruc / Dni]),2,0),"")</f>
        <v>10108661343</v>
      </c>
      <c r="X1578" s="25" t="s">
        <v>1892</v>
      </c>
      <c r="Y1578" s="25" t="s">
        <v>2692</v>
      </c>
      <c r="Z1578" s="25"/>
      <c r="AA1578" s="99"/>
      <c r="AB1578" s="3" t="str">
        <f>IF(BCP_Soles[[#This Row],[FECHA]]&gt;0,TEXT(BCP_Soles[[#This Row],[FECHA]],"mmmm"),0)</f>
        <v>Mayo</v>
      </c>
    </row>
    <row r="1579" spans="2:28" ht="36" x14ac:dyDescent="0.3">
      <c r="B1579" s="2">
        <f>IF(BCP_Soles[[#This Row],[TIPO DE R.]]="R",COUNTIFS($D$4:$D1578,"R")+1,"")</f>
        <v>1231</v>
      </c>
      <c r="C1579" s="19" t="str">
        <f t="shared" si="120"/>
        <v>B-BCP - Soles</v>
      </c>
      <c r="D1579" s="3" t="s">
        <v>1074</v>
      </c>
      <c r="E1579" s="14">
        <v>45785</v>
      </c>
      <c r="F1579" s="5" t="s">
        <v>1082</v>
      </c>
      <c r="G1579" s="5" t="s">
        <v>1079</v>
      </c>
      <c r="H1579" s="6" t="s">
        <v>446</v>
      </c>
      <c r="I1579" s="6" t="s">
        <v>14</v>
      </c>
      <c r="J1579" s="6" t="s">
        <v>1121</v>
      </c>
      <c r="K1579" s="6">
        <v>666</v>
      </c>
      <c r="L1579" s="7" t="s">
        <v>2693</v>
      </c>
      <c r="M1579" s="8">
        <v>1097478</v>
      </c>
      <c r="N1579" s="8" t="str">
        <f t="shared" si="121"/>
        <v>PEN</v>
      </c>
      <c r="O1579" s="13"/>
      <c r="P1579" s="13">
        <v>1030</v>
      </c>
      <c r="Q1579" s="3">
        <f t="shared" si="122"/>
        <v>0</v>
      </c>
      <c r="R1579" s="3">
        <f t="shared" si="123"/>
        <v>1030</v>
      </c>
      <c r="S1579" s="3">
        <f t="shared" si="124"/>
        <v>45336.590000000026</v>
      </c>
      <c r="T1579" s="24" t="s">
        <v>1081</v>
      </c>
      <c r="U1579" s="24" t="s">
        <v>1081</v>
      </c>
      <c r="V1579" s="67"/>
      <c r="W1579" s="25">
        <f>IFERROR(VLOOKUP(BCP_Soles[[#This Row],[DESTINATARIO]],CHOOSE({1,2},Clientes_Proveedores[Razon Social],Clientes_Proveedores[Ruc / Dni]),2,0),"")</f>
        <v>20603001461</v>
      </c>
      <c r="X1579" s="25" t="s">
        <v>2694</v>
      </c>
      <c r="Y1579" s="25" t="s">
        <v>2695</v>
      </c>
      <c r="Z1579" s="25"/>
      <c r="AA1579" s="99"/>
      <c r="AB1579" s="3" t="str">
        <f>IF(BCP_Soles[[#This Row],[FECHA]]&gt;0,TEXT(BCP_Soles[[#This Row],[FECHA]],"mmmm"),0)</f>
        <v>Mayo</v>
      </c>
    </row>
    <row r="1580" spans="2:28" ht="24" x14ac:dyDescent="0.3">
      <c r="B1580" s="2">
        <f>IF(BCP_Soles[[#This Row],[TIPO DE R.]]="R",COUNTIFS($D$4:$D1579,"R")+1,"")</f>
        <v>1232</v>
      </c>
      <c r="C1580" s="19" t="str">
        <f t="shared" si="120"/>
        <v>B-BCP - Soles</v>
      </c>
      <c r="D1580" s="3" t="s">
        <v>1074</v>
      </c>
      <c r="E1580" s="14">
        <v>45785</v>
      </c>
      <c r="F1580" s="5" t="s">
        <v>1082</v>
      </c>
      <c r="G1580" s="5" t="s">
        <v>1079</v>
      </c>
      <c r="H1580" s="6"/>
      <c r="I1580" s="6"/>
      <c r="J1580" s="6"/>
      <c r="K1580" s="6"/>
      <c r="L1580" s="7" t="s">
        <v>2696</v>
      </c>
      <c r="M1580" s="8">
        <v>1219045</v>
      </c>
      <c r="N1580" s="8" t="str">
        <f t="shared" si="121"/>
        <v>PEN</v>
      </c>
      <c r="O1580" s="13"/>
      <c r="P1580" s="13">
        <v>1230</v>
      </c>
      <c r="Q1580" s="3">
        <f t="shared" si="122"/>
        <v>0</v>
      </c>
      <c r="R1580" s="3">
        <f t="shared" si="123"/>
        <v>1230</v>
      </c>
      <c r="S1580" s="3">
        <f t="shared" si="124"/>
        <v>44106.590000000026</v>
      </c>
      <c r="T1580" s="24" t="s">
        <v>1081</v>
      </c>
      <c r="U1580" s="24" t="s">
        <v>1081</v>
      </c>
      <c r="V1580" s="67"/>
      <c r="W1580" s="25" t="str">
        <f>IFERROR(VLOOKUP(BCP_Soles[[#This Row],[DESTINATARIO]],CHOOSE({1,2},Clientes_Proveedores[Razon Social],Clientes_Proveedores[Ruc / Dni]),2,0),"")</f>
        <v/>
      </c>
      <c r="X1580" s="25" t="s">
        <v>2697</v>
      </c>
      <c r="Y1580" s="25" t="s">
        <v>2698</v>
      </c>
      <c r="Z1580" s="25"/>
      <c r="AA1580" s="99"/>
      <c r="AB1580" s="3" t="str">
        <f>IF(BCP_Soles[[#This Row],[FECHA]]&gt;0,TEXT(BCP_Soles[[#This Row],[FECHA]],"mmmm"),0)</f>
        <v>Mayo</v>
      </c>
    </row>
    <row r="1581" spans="2:28" ht="24" x14ac:dyDescent="0.3">
      <c r="B1581" s="2">
        <f>IF(BCP_Soles[[#This Row],[TIPO DE R.]]="R",COUNTIFS($D$4:$D1580,"R")+1,"")</f>
        <v>1233</v>
      </c>
      <c r="C1581" s="19" t="str">
        <f t="shared" si="120"/>
        <v>B-BCP - Soles</v>
      </c>
      <c r="D1581" s="3" t="s">
        <v>1074</v>
      </c>
      <c r="E1581" s="14">
        <v>45785</v>
      </c>
      <c r="F1581" s="5" t="s">
        <v>1082</v>
      </c>
      <c r="G1581" s="5" t="s">
        <v>1079</v>
      </c>
      <c r="H1581" s="6"/>
      <c r="I1581" s="6"/>
      <c r="J1581" s="6"/>
      <c r="K1581" s="6"/>
      <c r="L1581" s="7" t="s">
        <v>2699</v>
      </c>
      <c r="M1581" s="8">
        <v>1219046</v>
      </c>
      <c r="N1581" s="8" t="str">
        <f t="shared" si="121"/>
        <v>PEN</v>
      </c>
      <c r="O1581" s="13"/>
      <c r="P1581" s="13">
        <v>1250</v>
      </c>
      <c r="Q1581" s="3">
        <f t="shared" si="122"/>
        <v>0</v>
      </c>
      <c r="R1581" s="3">
        <f t="shared" si="123"/>
        <v>1250</v>
      </c>
      <c r="S1581" s="3">
        <f t="shared" si="124"/>
        <v>42856.590000000026</v>
      </c>
      <c r="T1581" s="24" t="s">
        <v>1081</v>
      </c>
      <c r="U1581" s="24" t="s">
        <v>1081</v>
      </c>
      <c r="V1581" s="67"/>
      <c r="W1581" s="25" t="str">
        <f>IFERROR(VLOOKUP(BCP_Soles[[#This Row],[DESTINATARIO]],CHOOSE({1,2},Clientes_Proveedores[Razon Social],Clientes_Proveedores[Ruc / Dni]),2,0),"")</f>
        <v/>
      </c>
      <c r="X1581" s="25" t="s">
        <v>2697</v>
      </c>
      <c r="Y1581" s="25" t="s">
        <v>1992</v>
      </c>
      <c r="Z1581" s="25"/>
      <c r="AA1581" s="99"/>
      <c r="AB1581" s="3" t="str">
        <f>IF(BCP_Soles[[#This Row],[FECHA]]&gt;0,TEXT(BCP_Soles[[#This Row],[FECHA]],"mmmm"),0)</f>
        <v>Mayo</v>
      </c>
    </row>
    <row r="1582" spans="2:28" ht="24" x14ac:dyDescent="0.3">
      <c r="B1582" s="2">
        <f>IF(BCP_Soles[[#This Row],[TIPO DE R.]]="R",COUNTIFS($D$4:$D1581,"R")+1,"")</f>
        <v>1234</v>
      </c>
      <c r="C1582" s="19" t="str">
        <f t="shared" si="120"/>
        <v>B-BCP - Soles</v>
      </c>
      <c r="D1582" s="3" t="s">
        <v>1074</v>
      </c>
      <c r="E1582" s="14">
        <v>45785</v>
      </c>
      <c r="F1582" s="5" t="s">
        <v>1082</v>
      </c>
      <c r="G1582" s="5" t="s">
        <v>1079</v>
      </c>
      <c r="H1582" s="6"/>
      <c r="I1582" s="6"/>
      <c r="J1582" s="6"/>
      <c r="K1582" s="6"/>
      <c r="L1582" s="7" t="s">
        <v>2700</v>
      </c>
      <c r="M1582" s="8">
        <v>1216449</v>
      </c>
      <c r="N1582" s="8" t="str">
        <f t="shared" si="121"/>
        <v>PEN</v>
      </c>
      <c r="O1582" s="13"/>
      <c r="P1582" s="13">
        <v>1320</v>
      </c>
      <c r="Q1582" s="3">
        <f t="shared" si="122"/>
        <v>0</v>
      </c>
      <c r="R1582" s="3">
        <f t="shared" si="123"/>
        <v>1320</v>
      </c>
      <c r="S1582" s="3">
        <f t="shared" si="124"/>
        <v>41536.590000000026</v>
      </c>
      <c r="T1582" s="24" t="s">
        <v>1081</v>
      </c>
      <c r="U1582" s="24" t="s">
        <v>1081</v>
      </c>
      <c r="V1582" s="67"/>
      <c r="W1582" s="25" t="str">
        <f>IFERROR(VLOOKUP(BCP_Soles[[#This Row],[DESTINATARIO]],CHOOSE({1,2},Clientes_Proveedores[Razon Social],Clientes_Proveedores[Ruc / Dni]),2,0),"")</f>
        <v/>
      </c>
      <c r="X1582" s="25" t="s">
        <v>2697</v>
      </c>
      <c r="Y1582" s="25" t="s">
        <v>2701</v>
      </c>
      <c r="Z1582" s="25"/>
      <c r="AA1582" s="99"/>
      <c r="AB1582" s="3" t="str">
        <f>IF(BCP_Soles[[#This Row],[FECHA]]&gt;0,TEXT(BCP_Soles[[#This Row],[FECHA]],"mmmm"),0)</f>
        <v>Mayo</v>
      </c>
    </row>
    <row r="1583" spans="2:28" ht="24" x14ac:dyDescent="0.3">
      <c r="B1583" s="2">
        <f>IF(BCP_Soles[[#This Row],[TIPO DE R.]]="R",COUNTIFS($D$4:$D1582,"R")+1,"")</f>
        <v>1235</v>
      </c>
      <c r="C1583" s="19" t="str">
        <f t="shared" si="120"/>
        <v>B-BCP - Soles</v>
      </c>
      <c r="D1583" s="3" t="s">
        <v>1074</v>
      </c>
      <c r="E1583" s="14">
        <v>45785</v>
      </c>
      <c r="F1583" s="5" t="s">
        <v>1082</v>
      </c>
      <c r="G1583" s="5" t="s">
        <v>1079</v>
      </c>
      <c r="H1583" s="6" t="s">
        <v>192</v>
      </c>
      <c r="I1583" s="6"/>
      <c r="J1583" s="6"/>
      <c r="K1583" s="6"/>
      <c r="L1583" s="7" t="s">
        <v>2702</v>
      </c>
      <c r="M1583" s="8">
        <v>1218884</v>
      </c>
      <c r="N1583" s="8" t="str">
        <f t="shared" si="121"/>
        <v>PEN</v>
      </c>
      <c r="O1583" s="13"/>
      <c r="P1583" s="13">
        <v>2603.08</v>
      </c>
      <c r="Q1583" s="3">
        <f t="shared" si="122"/>
        <v>0</v>
      </c>
      <c r="R1583" s="3">
        <f t="shared" si="123"/>
        <v>2603.08</v>
      </c>
      <c r="S1583" s="3">
        <f t="shared" si="124"/>
        <v>38933.510000000024</v>
      </c>
      <c r="T1583" s="24"/>
      <c r="U1583" s="24"/>
      <c r="V1583" s="67"/>
      <c r="W1583" s="25">
        <f>IFERROR(VLOOKUP(BCP_Soles[[#This Row],[DESTINATARIO]],CHOOSE({1,2},Clientes_Proveedores[Razon Social],Clientes_Proveedores[Ruc / Dni]),2,0),"")</f>
        <v>20302891452</v>
      </c>
      <c r="X1583" s="25" t="s">
        <v>192</v>
      </c>
      <c r="Y1583" s="25"/>
      <c r="Z1583" s="25"/>
      <c r="AA1583" s="99"/>
      <c r="AB1583" s="3" t="str">
        <f>IF(BCP_Soles[[#This Row],[FECHA]]&gt;0,TEXT(BCP_Soles[[#This Row],[FECHA]],"mmmm"),0)</f>
        <v>Mayo</v>
      </c>
    </row>
    <row r="1584" spans="2:28" ht="24" x14ac:dyDescent="0.3">
      <c r="B1584" s="2">
        <f>IF(BCP_Soles[[#This Row],[TIPO DE R.]]="R",COUNTIFS($D$4:$D1583,"R")+1,"")</f>
        <v>1236</v>
      </c>
      <c r="C1584" s="19" t="str">
        <f t="shared" si="120"/>
        <v>B-BCP - Soles</v>
      </c>
      <c r="D1584" s="3" t="s">
        <v>1074</v>
      </c>
      <c r="E1584" s="14">
        <v>45785</v>
      </c>
      <c r="F1584" s="5" t="s">
        <v>1082</v>
      </c>
      <c r="G1584" s="5" t="s">
        <v>1079</v>
      </c>
      <c r="H1584" s="6" t="s">
        <v>192</v>
      </c>
      <c r="I1584" s="6"/>
      <c r="J1584" s="6"/>
      <c r="K1584" s="6"/>
      <c r="L1584" s="7" t="s">
        <v>2703</v>
      </c>
      <c r="M1584" s="8">
        <v>1234288</v>
      </c>
      <c r="N1584" s="8" t="str">
        <f t="shared" si="121"/>
        <v>PEN</v>
      </c>
      <c r="O1584" s="13"/>
      <c r="P1584" s="13">
        <v>2911.3</v>
      </c>
      <c r="Q1584" s="3">
        <f t="shared" si="122"/>
        <v>0</v>
      </c>
      <c r="R1584" s="3">
        <f t="shared" si="123"/>
        <v>2911.3</v>
      </c>
      <c r="S1584" s="3">
        <f t="shared" si="124"/>
        <v>36022.210000000021</v>
      </c>
      <c r="T1584" s="24"/>
      <c r="U1584" s="24"/>
      <c r="V1584" s="67"/>
      <c r="W1584" s="25">
        <f>IFERROR(VLOOKUP(BCP_Soles[[#This Row],[DESTINATARIO]],CHOOSE({1,2},Clientes_Proveedores[Razon Social],Clientes_Proveedores[Ruc / Dni]),2,0),"")</f>
        <v>20302891452</v>
      </c>
      <c r="X1584" s="25" t="s">
        <v>192</v>
      </c>
      <c r="Y1584" s="25"/>
      <c r="Z1584" s="25"/>
      <c r="AA1584" s="99"/>
      <c r="AB1584" s="3" t="str">
        <f>IF(BCP_Soles[[#This Row],[FECHA]]&gt;0,TEXT(BCP_Soles[[#This Row],[FECHA]],"mmmm"),0)</f>
        <v>Mayo</v>
      </c>
    </row>
    <row r="1585" spans="2:28" x14ac:dyDescent="0.3">
      <c r="B1585" s="2">
        <f>IF(BCP_Soles[[#This Row],[TIPO DE R.]]="R",COUNTIFS($D$4:$D1584,"R")+1,"")</f>
        <v>1237</v>
      </c>
      <c r="C1585" s="19" t="str">
        <f t="shared" si="120"/>
        <v>B-BCP - Soles</v>
      </c>
      <c r="D1585" s="3" t="s">
        <v>1074</v>
      </c>
      <c r="E1585" s="14">
        <v>45785</v>
      </c>
      <c r="F1585" s="5" t="s">
        <v>1082</v>
      </c>
      <c r="G1585" s="5" t="s">
        <v>1079</v>
      </c>
      <c r="H1585" s="6"/>
      <c r="I1585" s="6"/>
      <c r="J1585" s="6"/>
      <c r="K1585" s="6"/>
      <c r="L1585" s="7" t="s">
        <v>2704</v>
      </c>
      <c r="M1585" s="8">
        <v>3135088</v>
      </c>
      <c r="N1585" s="8" t="str">
        <f t="shared" si="121"/>
        <v>PEN</v>
      </c>
      <c r="O1585" s="13"/>
      <c r="P1585" s="13">
        <v>4573</v>
      </c>
      <c r="Q1585" s="3">
        <f t="shared" si="122"/>
        <v>0</v>
      </c>
      <c r="R1585" s="3">
        <f t="shared" si="123"/>
        <v>4573</v>
      </c>
      <c r="S1585" s="3">
        <f t="shared" si="124"/>
        <v>31449.210000000021</v>
      </c>
      <c r="T1585" s="24" t="s">
        <v>1081</v>
      </c>
      <c r="U1585" s="24" t="s">
        <v>1081</v>
      </c>
      <c r="V1585" s="67"/>
      <c r="W1585" s="25" t="str">
        <f>IFERROR(VLOOKUP(BCP_Soles[[#This Row],[DESTINATARIO]],CHOOSE({1,2},Clientes_Proveedores[Razon Social],Clientes_Proveedores[Ruc / Dni]),2,0),"")</f>
        <v/>
      </c>
      <c r="X1585" s="25" t="s">
        <v>1118</v>
      </c>
      <c r="Y1585" s="25"/>
      <c r="Z1585" s="25"/>
      <c r="AA1585" s="99"/>
      <c r="AB1585" s="3" t="str">
        <f>IF(BCP_Soles[[#This Row],[FECHA]]&gt;0,TEXT(BCP_Soles[[#This Row],[FECHA]],"mmmm"),0)</f>
        <v>Mayo</v>
      </c>
    </row>
    <row r="1586" spans="2:28" x14ac:dyDescent="0.3">
      <c r="B1586" s="2" t="str">
        <f>IF(BCP_Soles[[#This Row],[TIPO DE R.]]="R",COUNTIFS($D$4:$D1585,"R")+1,"")</f>
        <v/>
      </c>
      <c r="C1586" s="19" t="str">
        <f t="shared" si="120"/>
        <v>B-BCP - Soles</v>
      </c>
      <c r="D1586" s="3" t="s">
        <v>1101</v>
      </c>
      <c r="E1586" s="14">
        <v>45785</v>
      </c>
      <c r="F1586" s="5" t="s">
        <v>1082</v>
      </c>
      <c r="G1586" s="5"/>
      <c r="H1586" s="6" t="s">
        <v>465</v>
      </c>
      <c r="I1586" s="6" t="s">
        <v>14</v>
      </c>
      <c r="J1586" s="6" t="s">
        <v>1121</v>
      </c>
      <c r="K1586" s="6">
        <v>3849</v>
      </c>
      <c r="L1586" s="7" t="s">
        <v>2704</v>
      </c>
      <c r="M1586" s="8">
        <v>3135088</v>
      </c>
      <c r="N1586" s="8" t="str">
        <f t="shared" si="121"/>
        <v>PEN</v>
      </c>
      <c r="O1586" s="13">
        <v>424.8</v>
      </c>
      <c r="P1586" s="13"/>
      <c r="Q1586" s="3">
        <f t="shared" si="122"/>
        <v>0</v>
      </c>
      <c r="R1586" s="3">
        <f t="shared" si="123"/>
        <v>0</v>
      </c>
      <c r="S1586" s="3">
        <f t="shared" si="124"/>
        <v>31449.210000000021</v>
      </c>
      <c r="T1586" s="24"/>
      <c r="U1586" s="24" t="s">
        <v>1081</v>
      </c>
      <c r="V1586" s="67"/>
      <c r="W1586" s="25">
        <f>IFERROR(VLOOKUP(BCP_Soles[[#This Row],[DESTINATARIO]],CHOOSE({1,2},Clientes_Proveedores[Razon Social],Clientes_Proveedores[Ruc / Dni]),2,0),"")</f>
        <v>20603974817</v>
      </c>
      <c r="X1586" s="25"/>
      <c r="Y1586" s="25"/>
      <c r="Z1586" s="25"/>
      <c r="AA1586" s="99"/>
      <c r="AB1586" s="3" t="str">
        <f>IF(BCP_Soles[[#This Row],[FECHA]]&gt;0,TEXT(BCP_Soles[[#This Row],[FECHA]],"mmmm"),0)</f>
        <v>Mayo</v>
      </c>
    </row>
    <row r="1587" spans="2:28" x14ac:dyDescent="0.3">
      <c r="B1587" s="2" t="str">
        <f>IF(BCP_Soles[[#This Row],[TIPO DE R.]]="R",COUNTIFS($D$4:$D1586,"R")+1,"")</f>
        <v/>
      </c>
      <c r="C1587" s="19" t="str">
        <f t="shared" si="120"/>
        <v>B-BCP - Soles</v>
      </c>
      <c r="D1587" s="3" t="s">
        <v>1101</v>
      </c>
      <c r="E1587" s="14">
        <v>45785</v>
      </c>
      <c r="F1587" s="5" t="s">
        <v>1082</v>
      </c>
      <c r="G1587" s="5"/>
      <c r="H1587" s="6" t="s">
        <v>465</v>
      </c>
      <c r="I1587" s="6" t="s">
        <v>14</v>
      </c>
      <c r="J1587" s="6" t="s">
        <v>1121</v>
      </c>
      <c r="K1587" s="6">
        <v>3851</v>
      </c>
      <c r="L1587" s="7" t="s">
        <v>2704</v>
      </c>
      <c r="M1587" s="8">
        <v>3135088</v>
      </c>
      <c r="N1587" s="8" t="str">
        <f t="shared" si="121"/>
        <v>PEN</v>
      </c>
      <c r="O1587" s="13">
        <v>200.6</v>
      </c>
      <c r="P1587" s="13"/>
      <c r="Q1587" s="3">
        <f t="shared" si="122"/>
        <v>0</v>
      </c>
      <c r="R1587" s="3">
        <f t="shared" si="123"/>
        <v>0</v>
      </c>
      <c r="S1587" s="3">
        <f t="shared" si="124"/>
        <v>31449.210000000021</v>
      </c>
      <c r="T1587" s="24"/>
      <c r="U1587" s="24" t="s">
        <v>1081</v>
      </c>
      <c r="V1587" s="67"/>
      <c r="W1587" s="25">
        <f>IFERROR(VLOOKUP(BCP_Soles[[#This Row],[DESTINATARIO]],CHOOSE({1,2},Clientes_Proveedores[Razon Social],Clientes_Proveedores[Ruc / Dni]),2,0),"")</f>
        <v>20603974817</v>
      </c>
      <c r="X1587" s="25"/>
      <c r="Y1587" s="25"/>
      <c r="Z1587" s="25"/>
      <c r="AA1587" s="99"/>
      <c r="AB1587" s="3" t="str">
        <f>IF(BCP_Soles[[#This Row],[FECHA]]&gt;0,TEXT(BCP_Soles[[#This Row],[FECHA]],"mmmm"),0)</f>
        <v>Mayo</v>
      </c>
    </row>
    <row r="1588" spans="2:28" x14ac:dyDescent="0.3">
      <c r="B1588" s="2" t="str">
        <f>IF(BCP_Soles[[#This Row],[TIPO DE R.]]="R",COUNTIFS($D$4:$D1587,"R")+1,"")</f>
        <v/>
      </c>
      <c r="C1588" s="19" t="str">
        <f t="shared" si="120"/>
        <v>B-BCP - Soles</v>
      </c>
      <c r="D1588" s="3" t="s">
        <v>1101</v>
      </c>
      <c r="E1588" s="14">
        <v>45785</v>
      </c>
      <c r="F1588" s="5" t="s">
        <v>1082</v>
      </c>
      <c r="G1588" s="5"/>
      <c r="H1588" s="6" t="s">
        <v>465</v>
      </c>
      <c r="I1588" s="6" t="s">
        <v>14</v>
      </c>
      <c r="J1588" s="6" t="s">
        <v>1121</v>
      </c>
      <c r="K1588" s="6">
        <v>3845</v>
      </c>
      <c r="L1588" s="7" t="s">
        <v>2704</v>
      </c>
      <c r="M1588" s="8">
        <v>3135088</v>
      </c>
      <c r="N1588" s="8" t="str">
        <f t="shared" si="121"/>
        <v>PEN</v>
      </c>
      <c r="O1588" s="13">
        <v>212.4</v>
      </c>
      <c r="P1588" s="13"/>
      <c r="Q1588" s="3">
        <f t="shared" si="122"/>
        <v>0</v>
      </c>
      <c r="R1588" s="3">
        <f t="shared" si="123"/>
        <v>0</v>
      </c>
      <c r="S1588" s="3">
        <f t="shared" si="124"/>
        <v>31449.210000000021</v>
      </c>
      <c r="T1588" s="24"/>
      <c r="U1588" s="24" t="s">
        <v>1081</v>
      </c>
      <c r="V1588" s="67"/>
      <c r="W1588" s="25">
        <f>IFERROR(VLOOKUP(BCP_Soles[[#This Row],[DESTINATARIO]],CHOOSE({1,2},Clientes_Proveedores[Razon Social],Clientes_Proveedores[Ruc / Dni]),2,0),"")</f>
        <v>20603974817</v>
      </c>
      <c r="X1588" s="25"/>
      <c r="Y1588" s="25"/>
      <c r="Z1588" s="25"/>
      <c r="AA1588" s="99"/>
      <c r="AB1588" s="3" t="str">
        <f>IF(BCP_Soles[[#This Row],[FECHA]]&gt;0,TEXT(BCP_Soles[[#This Row],[FECHA]],"mmmm"),0)</f>
        <v>Mayo</v>
      </c>
    </row>
    <row r="1589" spans="2:28" x14ac:dyDescent="0.3">
      <c r="B1589" s="2" t="str">
        <f>IF(BCP_Soles[[#This Row],[TIPO DE R.]]="R",COUNTIFS($D$4:$D1588,"R")+1,"")</f>
        <v/>
      </c>
      <c r="C1589" s="19" t="str">
        <f t="shared" si="120"/>
        <v>B-BCP - Soles</v>
      </c>
      <c r="D1589" s="3" t="s">
        <v>1101</v>
      </c>
      <c r="E1589" s="14">
        <v>45785</v>
      </c>
      <c r="F1589" s="5" t="s">
        <v>1082</v>
      </c>
      <c r="G1589" s="5"/>
      <c r="H1589" s="6" t="s">
        <v>465</v>
      </c>
      <c r="I1589" s="6" t="s">
        <v>14</v>
      </c>
      <c r="J1589" s="6" t="s">
        <v>1121</v>
      </c>
      <c r="K1589" s="6">
        <v>3856</v>
      </c>
      <c r="L1589" s="7" t="s">
        <v>2704</v>
      </c>
      <c r="M1589" s="8">
        <v>3135088</v>
      </c>
      <c r="N1589" s="8" t="str">
        <f t="shared" si="121"/>
        <v>PEN</v>
      </c>
      <c r="O1589" s="13">
        <v>250.75</v>
      </c>
      <c r="P1589" s="13"/>
      <c r="Q1589" s="3">
        <f t="shared" si="122"/>
        <v>0</v>
      </c>
      <c r="R1589" s="3">
        <f t="shared" si="123"/>
        <v>0</v>
      </c>
      <c r="S1589" s="3">
        <f t="shared" si="124"/>
        <v>31449.210000000021</v>
      </c>
      <c r="T1589" s="24"/>
      <c r="U1589" s="24" t="s">
        <v>1081</v>
      </c>
      <c r="V1589" s="67"/>
      <c r="W1589" s="25">
        <f>IFERROR(VLOOKUP(BCP_Soles[[#This Row],[DESTINATARIO]],CHOOSE({1,2},Clientes_Proveedores[Razon Social],Clientes_Proveedores[Ruc / Dni]),2,0),"")</f>
        <v>20603974817</v>
      </c>
      <c r="X1589" s="25"/>
      <c r="Y1589" s="25"/>
      <c r="Z1589" s="25"/>
      <c r="AA1589" s="99"/>
      <c r="AB1589" s="3" t="str">
        <f>IF(BCP_Soles[[#This Row],[FECHA]]&gt;0,TEXT(BCP_Soles[[#This Row],[FECHA]],"mmmm"),0)</f>
        <v>Mayo</v>
      </c>
    </row>
    <row r="1590" spans="2:28" x14ac:dyDescent="0.3">
      <c r="B1590" s="2" t="str">
        <f>IF(BCP_Soles[[#This Row],[TIPO DE R.]]="R",COUNTIFS($D$4:$D1589,"R")+1,"")</f>
        <v/>
      </c>
      <c r="C1590" s="19" t="str">
        <f t="shared" si="120"/>
        <v>B-BCP - Soles</v>
      </c>
      <c r="D1590" s="3" t="s">
        <v>1101</v>
      </c>
      <c r="E1590" s="14">
        <v>45785</v>
      </c>
      <c r="F1590" s="5" t="s">
        <v>1082</v>
      </c>
      <c r="G1590" s="5"/>
      <c r="H1590" s="6" t="s">
        <v>465</v>
      </c>
      <c r="I1590" s="6" t="s">
        <v>14</v>
      </c>
      <c r="J1590" s="6" t="s">
        <v>1121</v>
      </c>
      <c r="K1590" s="6">
        <v>3840</v>
      </c>
      <c r="L1590" s="7" t="s">
        <v>2704</v>
      </c>
      <c r="M1590" s="8">
        <v>3135088</v>
      </c>
      <c r="N1590" s="8" t="str">
        <f t="shared" si="121"/>
        <v>PEN</v>
      </c>
      <c r="O1590" s="13">
        <v>150.44999999999999</v>
      </c>
      <c r="P1590" s="13"/>
      <c r="Q1590" s="3">
        <f t="shared" si="122"/>
        <v>0</v>
      </c>
      <c r="R1590" s="3">
        <f t="shared" si="123"/>
        <v>0</v>
      </c>
      <c r="S1590" s="3">
        <f t="shared" si="124"/>
        <v>31449.210000000021</v>
      </c>
      <c r="T1590" s="24"/>
      <c r="U1590" s="24" t="s">
        <v>1081</v>
      </c>
      <c r="V1590" s="67"/>
      <c r="W1590" s="25">
        <f>IFERROR(VLOOKUP(BCP_Soles[[#This Row],[DESTINATARIO]],CHOOSE({1,2},Clientes_Proveedores[Razon Social],Clientes_Proveedores[Ruc / Dni]),2,0),"")</f>
        <v>20603974817</v>
      </c>
      <c r="X1590" s="25"/>
      <c r="Y1590" s="25"/>
      <c r="Z1590" s="25"/>
      <c r="AA1590" s="99"/>
      <c r="AB1590" s="3" t="str">
        <f>IF(BCP_Soles[[#This Row],[FECHA]]&gt;0,TEXT(BCP_Soles[[#This Row],[FECHA]],"mmmm"),0)</f>
        <v>Mayo</v>
      </c>
    </row>
    <row r="1591" spans="2:28" x14ac:dyDescent="0.3">
      <c r="B1591" s="2" t="str">
        <f>IF(BCP_Soles[[#This Row],[TIPO DE R.]]="R",COUNTIFS($D$4:$D1590,"R")+1,"")</f>
        <v/>
      </c>
      <c r="C1591" s="19" t="str">
        <f t="shared" si="120"/>
        <v>B-BCP - Soles</v>
      </c>
      <c r="D1591" s="3" t="s">
        <v>1101</v>
      </c>
      <c r="E1591" s="14">
        <v>45785</v>
      </c>
      <c r="F1591" s="5" t="s">
        <v>1082</v>
      </c>
      <c r="G1591" s="5"/>
      <c r="H1591" s="6" t="s">
        <v>465</v>
      </c>
      <c r="I1591" s="6" t="s">
        <v>14</v>
      </c>
      <c r="J1591" s="6" t="s">
        <v>1121</v>
      </c>
      <c r="K1591" s="6">
        <v>3839</v>
      </c>
      <c r="L1591" s="7" t="s">
        <v>2704</v>
      </c>
      <c r="M1591" s="8">
        <v>3135088</v>
      </c>
      <c r="N1591" s="8" t="str">
        <f t="shared" si="121"/>
        <v>PEN</v>
      </c>
      <c r="O1591" s="13">
        <v>451.35</v>
      </c>
      <c r="P1591" s="13"/>
      <c r="Q1591" s="3">
        <f t="shared" si="122"/>
        <v>0</v>
      </c>
      <c r="R1591" s="3">
        <f t="shared" si="123"/>
        <v>0</v>
      </c>
      <c r="S1591" s="3">
        <f t="shared" si="124"/>
        <v>31449.210000000021</v>
      </c>
      <c r="T1591" s="24"/>
      <c r="U1591" s="24" t="s">
        <v>1081</v>
      </c>
      <c r="V1591" s="67"/>
      <c r="W1591" s="25">
        <f>IFERROR(VLOOKUP(BCP_Soles[[#This Row],[DESTINATARIO]],CHOOSE({1,2},Clientes_Proveedores[Razon Social],Clientes_Proveedores[Ruc / Dni]),2,0),"")</f>
        <v>20603974817</v>
      </c>
      <c r="X1591" s="25"/>
      <c r="Y1591" s="25"/>
      <c r="Z1591" s="25"/>
      <c r="AA1591" s="99"/>
      <c r="AB1591" s="3" t="str">
        <f>IF(BCP_Soles[[#This Row],[FECHA]]&gt;0,TEXT(BCP_Soles[[#This Row],[FECHA]],"mmmm"),0)</f>
        <v>Mayo</v>
      </c>
    </row>
    <row r="1592" spans="2:28" x14ac:dyDescent="0.3">
      <c r="B1592" s="2" t="str">
        <f>IF(BCP_Soles[[#This Row],[TIPO DE R.]]="R",COUNTIFS($D$4:$D1591,"R")+1,"")</f>
        <v/>
      </c>
      <c r="C1592" s="19" t="str">
        <f t="shared" si="120"/>
        <v>B-BCP - Soles</v>
      </c>
      <c r="D1592" s="3" t="s">
        <v>1101</v>
      </c>
      <c r="E1592" s="14">
        <v>45785</v>
      </c>
      <c r="F1592" s="5" t="s">
        <v>1082</v>
      </c>
      <c r="G1592" s="5"/>
      <c r="H1592" s="6" t="s">
        <v>465</v>
      </c>
      <c r="I1592" s="6" t="s">
        <v>14</v>
      </c>
      <c r="J1592" s="6" t="s">
        <v>1121</v>
      </c>
      <c r="K1592" s="6">
        <v>3828</v>
      </c>
      <c r="L1592" s="7" t="s">
        <v>2704</v>
      </c>
      <c r="M1592" s="8">
        <v>3135088</v>
      </c>
      <c r="N1592" s="8" t="str">
        <f t="shared" si="121"/>
        <v>PEN</v>
      </c>
      <c r="O1592" s="13">
        <v>150.44999999999999</v>
      </c>
      <c r="P1592" s="13"/>
      <c r="Q1592" s="3">
        <f t="shared" si="122"/>
        <v>0</v>
      </c>
      <c r="R1592" s="3">
        <f t="shared" si="123"/>
        <v>0</v>
      </c>
      <c r="S1592" s="3">
        <f t="shared" si="124"/>
        <v>31449.210000000021</v>
      </c>
      <c r="T1592" s="24"/>
      <c r="U1592" s="24" t="s">
        <v>1081</v>
      </c>
      <c r="V1592" s="67"/>
      <c r="W1592" s="25">
        <f>IFERROR(VLOOKUP(BCP_Soles[[#This Row],[DESTINATARIO]],CHOOSE({1,2},Clientes_Proveedores[Razon Social],Clientes_Proveedores[Ruc / Dni]),2,0),"")</f>
        <v>20603974817</v>
      </c>
      <c r="X1592" s="25"/>
      <c r="Y1592" s="25"/>
      <c r="Z1592" s="25"/>
      <c r="AA1592" s="99"/>
      <c r="AB1592" s="3" t="str">
        <f>IF(BCP_Soles[[#This Row],[FECHA]]&gt;0,TEXT(BCP_Soles[[#This Row],[FECHA]],"mmmm"),0)</f>
        <v>Mayo</v>
      </c>
    </row>
    <row r="1593" spans="2:28" ht="36" x14ac:dyDescent="0.3">
      <c r="B1593" s="2" t="str">
        <f>IF(BCP_Soles[[#This Row],[TIPO DE R.]]="R",COUNTIFS($D$4:$D1592,"R")+1,"")</f>
        <v/>
      </c>
      <c r="C1593" s="19" t="str">
        <f t="shared" si="120"/>
        <v>B-BCP - Soles</v>
      </c>
      <c r="D1593" s="3" t="s">
        <v>1101</v>
      </c>
      <c r="E1593" s="14">
        <v>45785</v>
      </c>
      <c r="F1593" s="5" t="s">
        <v>1082</v>
      </c>
      <c r="G1593" s="5"/>
      <c r="H1593" s="6" t="s">
        <v>438</v>
      </c>
      <c r="I1593" s="6" t="s">
        <v>14</v>
      </c>
      <c r="J1593" s="6" t="s">
        <v>1121</v>
      </c>
      <c r="K1593" s="6">
        <v>3809</v>
      </c>
      <c r="L1593" s="7" t="s">
        <v>2704</v>
      </c>
      <c r="M1593" s="8">
        <v>3135088</v>
      </c>
      <c r="N1593" s="8" t="str">
        <f t="shared" si="121"/>
        <v>PEN</v>
      </c>
      <c r="O1593" s="13">
        <v>1529</v>
      </c>
      <c r="P1593" s="13"/>
      <c r="Q1593" s="3">
        <f t="shared" si="122"/>
        <v>0</v>
      </c>
      <c r="R1593" s="3">
        <f t="shared" si="123"/>
        <v>0</v>
      </c>
      <c r="S1593" s="3">
        <f t="shared" si="124"/>
        <v>31449.210000000021</v>
      </c>
      <c r="T1593" s="24"/>
      <c r="U1593" s="24" t="s">
        <v>1081</v>
      </c>
      <c r="V1593" s="67"/>
      <c r="W1593" s="25">
        <f>IFERROR(VLOOKUP(BCP_Soles[[#This Row],[DESTINATARIO]],CHOOSE({1,2},Clientes_Proveedores[Razon Social],Clientes_Proveedores[Ruc / Dni]),2,0),"")</f>
        <v>20602778861</v>
      </c>
      <c r="X1593" s="25"/>
      <c r="Y1593" s="25"/>
      <c r="Z1593" s="25"/>
      <c r="AA1593" s="99"/>
      <c r="AB1593" s="3" t="str">
        <f>IF(BCP_Soles[[#This Row],[FECHA]]&gt;0,TEXT(BCP_Soles[[#This Row],[FECHA]],"mmmm"),0)</f>
        <v>Mayo</v>
      </c>
    </row>
    <row r="1594" spans="2:28" ht="24" x14ac:dyDescent="0.3">
      <c r="B1594" s="2" t="str">
        <f>IF(BCP_Soles[[#This Row],[TIPO DE R.]]="R",COUNTIFS($D$4:$D1593,"R")+1,"")</f>
        <v/>
      </c>
      <c r="C1594" s="19" t="str">
        <f t="shared" si="120"/>
        <v>B-BCP - Soles</v>
      </c>
      <c r="D1594" s="3" t="s">
        <v>1101</v>
      </c>
      <c r="E1594" s="14">
        <v>45785</v>
      </c>
      <c r="F1594" s="5" t="s">
        <v>1082</v>
      </c>
      <c r="G1594" s="5"/>
      <c r="H1594" s="6" t="s">
        <v>536</v>
      </c>
      <c r="I1594" s="6" t="s">
        <v>14</v>
      </c>
      <c r="J1594" s="6" t="s">
        <v>1121</v>
      </c>
      <c r="K1594" s="6">
        <v>2143</v>
      </c>
      <c r="L1594" s="7" t="s">
        <v>2704</v>
      </c>
      <c r="M1594" s="8">
        <v>3135088</v>
      </c>
      <c r="N1594" s="8" t="str">
        <f t="shared" si="121"/>
        <v>PEN</v>
      </c>
      <c r="O1594" s="13">
        <v>106.2</v>
      </c>
      <c r="P1594" s="13"/>
      <c r="Q1594" s="3">
        <f t="shared" si="122"/>
        <v>0</v>
      </c>
      <c r="R1594" s="3">
        <f t="shared" si="123"/>
        <v>0</v>
      </c>
      <c r="S1594" s="3">
        <f t="shared" si="124"/>
        <v>31449.210000000021</v>
      </c>
      <c r="T1594" s="24"/>
      <c r="U1594" s="24" t="s">
        <v>1081</v>
      </c>
      <c r="V1594" s="67"/>
      <c r="W1594" s="25">
        <f>IFERROR(VLOOKUP(BCP_Soles[[#This Row],[DESTINATARIO]],CHOOSE({1,2},Clientes_Proveedores[Razon Social],Clientes_Proveedores[Ruc / Dni]),2,0),"")</f>
        <v>20609764261</v>
      </c>
      <c r="X1594" s="25"/>
      <c r="Y1594" s="25"/>
      <c r="Z1594" s="25"/>
      <c r="AA1594" s="99"/>
      <c r="AB1594" s="3" t="str">
        <f>IF(BCP_Soles[[#This Row],[FECHA]]&gt;0,TEXT(BCP_Soles[[#This Row],[FECHA]],"mmmm"),0)</f>
        <v>Mayo</v>
      </c>
    </row>
    <row r="1595" spans="2:28" ht="24" x14ac:dyDescent="0.3">
      <c r="B1595" s="2" t="str">
        <f>IF(BCP_Soles[[#This Row],[TIPO DE R.]]="R",COUNTIFS($D$4:$D1594,"R")+1,"")</f>
        <v/>
      </c>
      <c r="C1595" s="19" t="str">
        <f t="shared" si="120"/>
        <v>B-BCP - Soles</v>
      </c>
      <c r="D1595" s="3" t="s">
        <v>1101</v>
      </c>
      <c r="E1595" s="14">
        <v>45785</v>
      </c>
      <c r="F1595" s="5" t="s">
        <v>1082</v>
      </c>
      <c r="G1595" s="5"/>
      <c r="H1595" s="6" t="s">
        <v>108</v>
      </c>
      <c r="I1595" s="6" t="s">
        <v>14</v>
      </c>
      <c r="J1595" s="6" t="s">
        <v>1121</v>
      </c>
      <c r="K1595" s="6">
        <v>4780</v>
      </c>
      <c r="L1595" s="7" t="s">
        <v>2704</v>
      </c>
      <c r="M1595" s="8">
        <v>3135088</v>
      </c>
      <c r="N1595" s="8" t="str">
        <f t="shared" si="121"/>
        <v>PEN</v>
      </c>
      <c r="O1595" s="13">
        <v>59</v>
      </c>
      <c r="P1595" s="13"/>
      <c r="Q1595" s="3">
        <f t="shared" si="122"/>
        <v>0</v>
      </c>
      <c r="R1595" s="3">
        <f t="shared" si="123"/>
        <v>0</v>
      </c>
      <c r="S1595" s="3">
        <f t="shared" si="124"/>
        <v>31449.210000000021</v>
      </c>
      <c r="T1595" s="24"/>
      <c r="U1595" s="24" t="s">
        <v>1081</v>
      </c>
      <c r="V1595" s="67"/>
      <c r="W1595" s="25">
        <f>IFERROR(VLOOKUP(BCP_Soles[[#This Row],[DESTINATARIO]],CHOOSE({1,2},Clientes_Proveedores[Razon Social],Clientes_Proveedores[Ruc / Dni]),2,0),"")</f>
        <v>10425371652</v>
      </c>
      <c r="X1595" s="25"/>
      <c r="Y1595" s="25"/>
      <c r="Z1595" s="25"/>
      <c r="AA1595" s="99"/>
      <c r="AB1595" s="3" t="str">
        <f>IF(BCP_Soles[[#This Row],[FECHA]]&gt;0,TEXT(BCP_Soles[[#This Row],[FECHA]],"mmmm"),0)</f>
        <v>Mayo</v>
      </c>
    </row>
    <row r="1596" spans="2:28" ht="36" x14ac:dyDescent="0.3">
      <c r="B1596" s="2" t="str">
        <f>IF(BCP_Soles[[#This Row],[TIPO DE R.]]="R",COUNTIFS($D$4:$D1595,"R")+1,"")</f>
        <v/>
      </c>
      <c r="C1596" s="19" t="str">
        <f t="shared" si="120"/>
        <v>B-BCP - Soles</v>
      </c>
      <c r="D1596" s="3" t="s">
        <v>1101</v>
      </c>
      <c r="E1596" s="14">
        <v>45785</v>
      </c>
      <c r="F1596" s="5" t="s">
        <v>1082</v>
      </c>
      <c r="G1596" s="5"/>
      <c r="H1596" s="6" t="s">
        <v>511</v>
      </c>
      <c r="I1596" s="6" t="s">
        <v>14</v>
      </c>
      <c r="J1596" s="6" t="s">
        <v>1121</v>
      </c>
      <c r="K1596" s="6">
        <v>622</v>
      </c>
      <c r="L1596" s="7" t="s">
        <v>2704</v>
      </c>
      <c r="M1596" s="8">
        <v>3135088</v>
      </c>
      <c r="N1596" s="8" t="str">
        <f t="shared" si="121"/>
        <v>PEN</v>
      </c>
      <c r="O1596" s="13">
        <v>528</v>
      </c>
      <c r="P1596" s="13"/>
      <c r="Q1596" s="3">
        <f t="shared" si="122"/>
        <v>0</v>
      </c>
      <c r="R1596" s="3">
        <f t="shared" si="123"/>
        <v>0</v>
      </c>
      <c r="S1596" s="3">
        <f t="shared" si="124"/>
        <v>31449.210000000021</v>
      </c>
      <c r="T1596" s="24"/>
      <c r="U1596" s="24" t="s">
        <v>1081</v>
      </c>
      <c r="V1596" s="67"/>
      <c r="W1596" s="25">
        <f>IFERROR(VLOOKUP(BCP_Soles[[#This Row],[DESTINATARIO]],CHOOSE({1,2},Clientes_Proveedores[Razon Social],Clientes_Proveedores[Ruc / Dni]),2,0),"")</f>
        <v>20608686747</v>
      </c>
      <c r="X1596" s="25"/>
      <c r="Y1596" s="25"/>
      <c r="Z1596" s="25"/>
      <c r="AA1596" s="99"/>
      <c r="AB1596" s="3" t="str">
        <f>IF(BCP_Soles[[#This Row],[FECHA]]&gt;0,TEXT(BCP_Soles[[#This Row],[FECHA]],"mmmm"),0)</f>
        <v>Mayo</v>
      </c>
    </row>
    <row r="1597" spans="2:28" ht="24" x14ac:dyDescent="0.3">
      <c r="B1597" s="2" t="str">
        <f>IF(BCP_Soles[[#This Row],[TIPO DE R.]]="R",COUNTIFS($D$4:$D1596,"R")+1,"")</f>
        <v/>
      </c>
      <c r="C1597" s="19" t="str">
        <f t="shared" si="120"/>
        <v>B-BCP - Soles</v>
      </c>
      <c r="D1597" s="3" t="s">
        <v>1101</v>
      </c>
      <c r="E1597" s="14">
        <v>45785</v>
      </c>
      <c r="F1597" s="5" t="s">
        <v>1082</v>
      </c>
      <c r="G1597" s="5"/>
      <c r="H1597" s="6" t="s">
        <v>609</v>
      </c>
      <c r="I1597" s="6" t="s">
        <v>14</v>
      </c>
      <c r="J1597" s="6" t="s">
        <v>1121</v>
      </c>
      <c r="K1597" s="6">
        <v>23</v>
      </c>
      <c r="L1597" s="7" t="s">
        <v>2704</v>
      </c>
      <c r="M1597" s="8">
        <v>3135088</v>
      </c>
      <c r="N1597" s="8" t="str">
        <f t="shared" si="121"/>
        <v>PEN</v>
      </c>
      <c r="O1597" s="13">
        <v>510</v>
      </c>
      <c r="P1597" s="13"/>
      <c r="Q1597" s="3">
        <f t="shared" si="122"/>
        <v>0</v>
      </c>
      <c r="R1597" s="3">
        <f t="shared" si="123"/>
        <v>0</v>
      </c>
      <c r="S1597" s="3">
        <f t="shared" si="124"/>
        <v>31449.210000000021</v>
      </c>
      <c r="T1597" s="24"/>
      <c r="U1597" s="24" t="s">
        <v>1081</v>
      </c>
      <c r="V1597" s="67"/>
      <c r="W1597" s="25">
        <f>IFERROR(VLOOKUP(BCP_Soles[[#This Row],[DESTINATARIO]],CHOOSE({1,2},Clientes_Proveedores[Razon Social],Clientes_Proveedores[Ruc / Dni]),2,0),"")</f>
        <v>10410687491</v>
      </c>
      <c r="X1597" s="25"/>
      <c r="Y1597" s="25"/>
      <c r="Z1597" s="25"/>
      <c r="AA1597" s="99"/>
      <c r="AB1597" s="3" t="str">
        <f>IF(BCP_Soles[[#This Row],[FECHA]]&gt;0,TEXT(BCP_Soles[[#This Row],[FECHA]],"mmmm"),0)</f>
        <v>Mayo</v>
      </c>
    </row>
    <row r="1598" spans="2:28" ht="14.25" customHeight="1" x14ac:dyDescent="0.3">
      <c r="B1598" s="2">
        <f>IF(BCP_Soles[[#This Row],[TIPO DE R.]]="R",COUNTIFS($D$4:$D1597,"R")+1,"")</f>
        <v>1238</v>
      </c>
      <c r="C1598" s="19" t="str">
        <f t="shared" si="120"/>
        <v>B-BCP - Soles</v>
      </c>
      <c r="D1598" s="3" t="s">
        <v>1074</v>
      </c>
      <c r="E1598" s="14">
        <v>45786</v>
      </c>
      <c r="F1598" s="5"/>
      <c r="G1598" s="5" t="s">
        <v>1087</v>
      </c>
      <c r="H1598" s="6"/>
      <c r="I1598" s="6"/>
      <c r="J1598" s="6"/>
      <c r="K1598" s="6"/>
      <c r="L1598" s="7" t="s">
        <v>2705</v>
      </c>
      <c r="M1598" s="8">
        <v>16867</v>
      </c>
      <c r="N1598" s="8" t="str">
        <f t="shared" si="121"/>
        <v>PEN</v>
      </c>
      <c r="O1598" s="13"/>
      <c r="P1598" s="13">
        <v>36511</v>
      </c>
      <c r="Q1598" s="3">
        <f t="shared" si="122"/>
        <v>36511</v>
      </c>
      <c r="R1598" s="3">
        <f t="shared" si="123"/>
        <v>0</v>
      </c>
      <c r="S1598" s="3">
        <f t="shared" si="124"/>
        <v>67960.210000000021</v>
      </c>
      <c r="T1598" s="24"/>
      <c r="U1598" s="24"/>
      <c r="V1598" s="67"/>
      <c r="W1598" s="25" t="str">
        <f>IFERROR(VLOOKUP(BCP_Soles[[#This Row],[DESTINATARIO]],CHOOSE({1,2},Clientes_Proveedores[Razon Social],Clientes_Proveedores[Ruc / Dni]),2,0),"")</f>
        <v/>
      </c>
      <c r="X1598" s="25" t="s">
        <v>1090</v>
      </c>
      <c r="Y1598" s="25"/>
      <c r="Z1598" s="25"/>
      <c r="AA1598" s="99"/>
      <c r="AB1598" s="3" t="str">
        <f>IF(BCP_Soles[[#This Row],[FECHA]]&gt;0,TEXT(BCP_Soles[[#This Row],[FECHA]],"mmmm"),0)</f>
        <v>Mayo</v>
      </c>
    </row>
    <row r="1599" spans="2:28" x14ac:dyDescent="0.3">
      <c r="B1599" s="2">
        <f>IF(BCP_Soles[[#This Row],[TIPO DE R.]]="R",COUNTIFS($D$4:$D1598,"R")+1,"")</f>
        <v>1239</v>
      </c>
      <c r="C1599" s="19" t="str">
        <f t="shared" si="120"/>
        <v>B-BCP - Soles</v>
      </c>
      <c r="D1599" s="3" t="s">
        <v>1074</v>
      </c>
      <c r="E1599" s="14">
        <v>45786</v>
      </c>
      <c r="F1599" s="5"/>
      <c r="G1599" s="5" t="s">
        <v>1087</v>
      </c>
      <c r="H1599" s="6"/>
      <c r="I1599" s="6"/>
      <c r="J1599" s="6"/>
      <c r="K1599" s="6"/>
      <c r="L1599" s="7" t="s">
        <v>1100</v>
      </c>
      <c r="M1599" s="8">
        <v>1415067</v>
      </c>
      <c r="N1599" s="8" t="str">
        <f t="shared" si="121"/>
        <v>PEN</v>
      </c>
      <c r="O1599" s="13"/>
      <c r="P1599" s="13">
        <v>36511</v>
      </c>
      <c r="Q1599" s="3">
        <f t="shared" si="122"/>
        <v>36511</v>
      </c>
      <c r="R1599" s="3">
        <f t="shared" si="123"/>
        <v>0</v>
      </c>
      <c r="S1599" s="3">
        <f t="shared" si="124"/>
        <v>104471.21000000002</v>
      </c>
      <c r="T1599" s="24"/>
      <c r="U1599" s="24"/>
      <c r="V1599" s="67"/>
      <c r="W1599" s="25" t="str">
        <f>IFERROR(VLOOKUP(BCP_Soles[[#This Row],[DESTINATARIO]],CHOOSE({1,2},Clientes_Proveedores[Razon Social],Clientes_Proveedores[Ruc / Dni]),2,0),"")</f>
        <v/>
      </c>
      <c r="X1599" s="25" t="s">
        <v>1090</v>
      </c>
      <c r="Y1599" s="25"/>
      <c r="Z1599" s="25"/>
      <c r="AA1599" s="99"/>
      <c r="AB1599" s="3" t="str">
        <f>IF(BCP_Soles[[#This Row],[FECHA]]&gt;0,TEXT(BCP_Soles[[#This Row],[FECHA]],"mmmm"),0)</f>
        <v>Mayo</v>
      </c>
    </row>
    <row r="1600" spans="2:28" ht="36" x14ac:dyDescent="0.3">
      <c r="B1600" s="2">
        <f>IF(BCP_Soles[[#This Row],[TIPO DE R.]]="R",COUNTIFS($D$4:$D1599,"R")+1,"")</f>
        <v>1240</v>
      </c>
      <c r="C1600" s="19" t="str">
        <f t="shared" si="120"/>
        <v>B-BCP - Soles</v>
      </c>
      <c r="D1600" s="3" t="s">
        <v>1074</v>
      </c>
      <c r="E1600" s="14">
        <v>45786</v>
      </c>
      <c r="F1600" s="5" t="s">
        <v>214</v>
      </c>
      <c r="G1600" s="5" t="s">
        <v>1087</v>
      </c>
      <c r="H1600" s="6"/>
      <c r="I1600" s="6"/>
      <c r="J1600" s="6"/>
      <c r="K1600" s="6"/>
      <c r="L1600" s="7" t="s">
        <v>2706</v>
      </c>
      <c r="M1600" s="8">
        <v>3476570</v>
      </c>
      <c r="N1600" s="8" t="str">
        <f t="shared" si="121"/>
        <v>PEN</v>
      </c>
      <c r="O1600" s="13"/>
      <c r="P1600" s="13">
        <v>16091.04</v>
      </c>
      <c r="Q1600" s="3">
        <f t="shared" si="122"/>
        <v>16091.04</v>
      </c>
      <c r="R1600" s="3">
        <f t="shared" si="123"/>
        <v>0</v>
      </c>
      <c r="S1600" s="3">
        <f t="shared" si="124"/>
        <v>120562.25000000003</v>
      </c>
      <c r="T1600" s="24" t="s">
        <v>1081</v>
      </c>
      <c r="U1600" s="24" t="s">
        <v>1081</v>
      </c>
      <c r="V1600" s="67"/>
      <c r="W1600" s="25" t="str">
        <f>IFERROR(VLOOKUP(BCP_Soles[[#This Row],[DESTINATARIO]],CHOOSE({1,2},Clientes_Proveedores[Razon Social],Clientes_Proveedores[Ruc / Dni]),2,0),"")</f>
        <v/>
      </c>
      <c r="X1600" s="25" t="s">
        <v>1090</v>
      </c>
      <c r="Y1600" s="25" t="s">
        <v>2707</v>
      </c>
      <c r="Z1600" s="25"/>
      <c r="AA1600" s="99"/>
      <c r="AB1600" s="3" t="str">
        <f>IF(BCP_Soles[[#This Row],[FECHA]]&gt;0,TEXT(BCP_Soles[[#This Row],[FECHA]],"mmmm"),0)</f>
        <v>Mayo</v>
      </c>
    </row>
    <row r="1601" spans="2:28" x14ac:dyDescent="0.3">
      <c r="B1601" s="2">
        <f>IF(BCP_Soles[[#This Row],[TIPO DE R.]]="R",COUNTIFS($D$4:$D1600,"R")+1,"")</f>
        <v>1241</v>
      </c>
      <c r="C1601" s="19" t="str">
        <f t="shared" si="120"/>
        <v>B-BCP - Soles</v>
      </c>
      <c r="D1601" s="3" t="s">
        <v>1074</v>
      </c>
      <c r="E1601" s="14">
        <v>45786</v>
      </c>
      <c r="F1601" s="5" t="s">
        <v>229</v>
      </c>
      <c r="G1601" s="5" t="s">
        <v>1087</v>
      </c>
      <c r="H1601" s="6"/>
      <c r="I1601" s="6"/>
      <c r="J1601" s="6"/>
      <c r="K1601" s="6"/>
      <c r="L1601" s="7" t="s">
        <v>1127</v>
      </c>
      <c r="M1601" s="8">
        <v>7313</v>
      </c>
      <c r="N1601" s="8" t="str">
        <f t="shared" si="121"/>
        <v>PEN</v>
      </c>
      <c r="O1601" s="13"/>
      <c r="P1601" s="13">
        <v>2725.35</v>
      </c>
      <c r="Q1601" s="3">
        <f t="shared" si="122"/>
        <v>2725.35</v>
      </c>
      <c r="R1601" s="3">
        <f t="shared" si="123"/>
        <v>0</v>
      </c>
      <c r="S1601" s="3">
        <f t="shared" si="124"/>
        <v>123287.60000000003</v>
      </c>
      <c r="T1601" s="24" t="s">
        <v>1081</v>
      </c>
      <c r="U1601" s="24" t="s">
        <v>1081</v>
      </c>
      <c r="V1601" s="67"/>
      <c r="W1601" s="25" t="str">
        <f>IFERROR(VLOOKUP(BCP_Soles[[#This Row],[DESTINATARIO]],CHOOSE({1,2},Clientes_Proveedores[Razon Social],Clientes_Proveedores[Ruc / Dni]),2,0),"")</f>
        <v/>
      </c>
      <c r="X1601" s="25" t="s">
        <v>1090</v>
      </c>
      <c r="Y1601" s="25" t="s">
        <v>2708</v>
      </c>
      <c r="Z1601" s="25"/>
      <c r="AA1601" s="99"/>
      <c r="AB1601" s="3" t="str">
        <f>IF(BCP_Soles[[#This Row],[FECHA]]&gt;0,TEXT(BCP_Soles[[#This Row],[FECHA]],"mmmm"),0)</f>
        <v>Mayo</v>
      </c>
    </row>
    <row r="1602" spans="2:28" x14ac:dyDescent="0.3">
      <c r="B1602" s="2">
        <f>IF(BCP_Soles[[#This Row],[TIPO DE R.]]="R",COUNTIFS($D$4:$D1601,"R")+1,"")</f>
        <v>1242</v>
      </c>
      <c r="C1602" s="19" t="str">
        <f t="shared" si="120"/>
        <v>B-BCP - Soles</v>
      </c>
      <c r="D1602" s="3" t="s">
        <v>1074</v>
      </c>
      <c r="E1602" s="14">
        <v>45786</v>
      </c>
      <c r="F1602" s="5" t="s">
        <v>278</v>
      </c>
      <c r="G1602" s="5" t="s">
        <v>1087</v>
      </c>
      <c r="H1602" s="6"/>
      <c r="I1602" s="6"/>
      <c r="J1602" s="6"/>
      <c r="K1602" s="6"/>
      <c r="L1602" s="7" t="s">
        <v>1648</v>
      </c>
      <c r="M1602" s="8">
        <v>2256416</v>
      </c>
      <c r="N1602" s="8" t="str">
        <f t="shared" si="121"/>
        <v>PEN</v>
      </c>
      <c r="O1602" s="13"/>
      <c r="P1602" s="13">
        <v>1515.45</v>
      </c>
      <c r="Q1602" s="3">
        <f t="shared" si="122"/>
        <v>1515.45</v>
      </c>
      <c r="R1602" s="3">
        <f t="shared" si="123"/>
        <v>0</v>
      </c>
      <c r="S1602" s="3">
        <f t="shared" si="124"/>
        <v>124803.05000000003</v>
      </c>
      <c r="T1602" s="24" t="s">
        <v>1081</v>
      </c>
      <c r="U1602" s="24" t="s">
        <v>1081</v>
      </c>
      <c r="V1602" s="67"/>
      <c r="W1602" s="25" t="str">
        <f>IFERROR(VLOOKUP(BCP_Soles[[#This Row],[DESTINATARIO]],CHOOSE({1,2},Clientes_Proveedores[Razon Social],Clientes_Proveedores[Ruc / Dni]),2,0),"")</f>
        <v/>
      </c>
      <c r="X1602" s="25" t="s">
        <v>1090</v>
      </c>
      <c r="Y1602" s="25" t="s">
        <v>2709</v>
      </c>
      <c r="Z1602" s="25"/>
      <c r="AA1602" s="99"/>
      <c r="AB1602" s="3" t="str">
        <f>IF(BCP_Soles[[#This Row],[FECHA]]&gt;0,TEXT(BCP_Soles[[#This Row],[FECHA]],"mmmm"),0)</f>
        <v>Mayo</v>
      </c>
    </row>
    <row r="1603" spans="2:28" x14ac:dyDescent="0.3">
      <c r="B1603" s="2">
        <f>IF(BCP_Soles[[#This Row],[TIPO DE R.]]="R",COUNTIFS($D$4:$D1602,"R")+1,"")</f>
        <v>1243</v>
      </c>
      <c r="C1603" s="19" t="str">
        <f t="shared" si="120"/>
        <v>B-BCP - Soles</v>
      </c>
      <c r="D1603" s="3" t="s">
        <v>1074</v>
      </c>
      <c r="E1603" s="14">
        <v>45786</v>
      </c>
      <c r="F1603" s="5" t="s">
        <v>159</v>
      </c>
      <c r="G1603" s="5" t="s">
        <v>1087</v>
      </c>
      <c r="H1603" s="6"/>
      <c r="I1603" s="6"/>
      <c r="J1603" s="6"/>
      <c r="K1603" s="6"/>
      <c r="L1603" s="7" t="s">
        <v>2710</v>
      </c>
      <c r="M1603" s="8">
        <v>3674513</v>
      </c>
      <c r="N1603" s="8" t="str">
        <f t="shared" si="121"/>
        <v>PEN</v>
      </c>
      <c r="O1603" s="13"/>
      <c r="P1603" s="13">
        <v>1159</v>
      </c>
      <c r="Q1603" s="3">
        <f t="shared" si="122"/>
        <v>1159</v>
      </c>
      <c r="R1603" s="3">
        <f t="shared" si="123"/>
        <v>0</v>
      </c>
      <c r="S1603" s="3">
        <f t="shared" si="124"/>
        <v>125962.05000000003</v>
      </c>
      <c r="T1603" s="24" t="s">
        <v>1081</v>
      </c>
      <c r="U1603" s="24" t="s">
        <v>1081</v>
      </c>
      <c r="V1603" s="67"/>
      <c r="W1603" s="25" t="str">
        <f>IFERROR(VLOOKUP(BCP_Soles[[#This Row],[DESTINATARIO]],CHOOSE({1,2},Clientes_Proveedores[Razon Social],Clientes_Proveedores[Ruc / Dni]),2,0),"")</f>
        <v/>
      </c>
      <c r="X1603" s="25" t="s">
        <v>1090</v>
      </c>
      <c r="Y1603" s="25" t="s">
        <v>2711</v>
      </c>
      <c r="Z1603" s="25"/>
      <c r="AA1603" s="99"/>
      <c r="AB1603" s="3" t="str">
        <f>IF(BCP_Soles[[#This Row],[FECHA]]&gt;0,TEXT(BCP_Soles[[#This Row],[FECHA]],"mmmm"),0)</f>
        <v>Mayo</v>
      </c>
    </row>
    <row r="1604" spans="2:28" ht="24" x14ac:dyDescent="0.3">
      <c r="B1604" s="2">
        <f>IF(BCP_Soles[[#This Row],[TIPO DE R.]]="R",COUNTIFS($D$4:$D1603,"R")+1,"")</f>
        <v>1244</v>
      </c>
      <c r="C1604" s="19" t="str">
        <f t="shared" si="120"/>
        <v>B-BCP - Soles</v>
      </c>
      <c r="D1604" s="3" t="s">
        <v>1074</v>
      </c>
      <c r="E1604" s="14">
        <v>45786</v>
      </c>
      <c r="F1604" s="5" t="s">
        <v>1373</v>
      </c>
      <c r="G1604" s="5" t="s">
        <v>1087</v>
      </c>
      <c r="H1604" s="6" t="s">
        <v>368</v>
      </c>
      <c r="I1604" s="6" t="s">
        <v>87</v>
      </c>
      <c r="J1604" s="6">
        <v>1</v>
      </c>
      <c r="K1604" s="6">
        <v>312025</v>
      </c>
      <c r="L1604" s="7" t="s">
        <v>2712</v>
      </c>
      <c r="M1604" s="8">
        <v>3237768</v>
      </c>
      <c r="N1604" s="8" t="str">
        <f t="shared" si="121"/>
        <v>PEN</v>
      </c>
      <c r="O1604" s="13"/>
      <c r="P1604" s="13">
        <v>34.1</v>
      </c>
      <c r="Q1604" s="3">
        <f t="shared" si="122"/>
        <v>34.1</v>
      </c>
      <c r="R1604" s="3">
        <f t="shared" si="123"/>
        <v>0</v>
      </c>
      <c r="S1604" s="3">
        <f t="shared" si="124"/>
        <v>125996.15000000004</v>
      </c>
      <c r="T1604" s="24" t="s">
        <v>1081</v>
      </c>
      <c r="U1604" s="24"/>
      <c r="V1604" s="67"/>
      <c r="W1604" s="25">
        <f>IFERROR(VLOOKUP(BCP_Soles[[#This Row],[DESTINATARIO]],CHOOSE({1,2},Clientes_Proveedores[Razon Social],Clientes_Proveedores[Ruc / Dni]),2,0),"")</f>
        <v>20558226979</v>
      </c>
      <c r="X1604" s="25" t="s">
        <v>1090</v>
      </c>
      <c r="Y1604" s="25" t="s">
        <v>2429</v>
      </c>
      <c r="Z1604" s="25"/>
      <c r="AA1604" s="99"/>
      <c r="AB1604" s="3" t="str">
        <f>IF(BCP_Soles[[#This Row],[FECHA]]&gt;0,TEXT(BCP_Soles[[#This Row],[FECHA]],"mmmm"),0)</f>
        <v>Mayo</v>
      </c>
    </row>
    <row r="1605" spans="2:28" x14ac:dyDescent="0.3">
      <c r="B1605" s="2">
        <f>IF(BCP_Soles[[#This Row],[TIPO DE R.]]="R",COUNTIFS($D$4:$D1604,"R")+1,"")</f>
        <v>1245</v>
      </c>
      <c r="C1605" s="19" t="str">
        <f t="shared" ref="C1605:C1668" si="125">"B-BCP - Soles"</f>
        <v>B-BCP - Soles</v>
      </c>
      <c r="D1605" s="3" t="s">
        <v>1074</v>
      </c>
      <c r="E1605" s="14">
        <v>45786</v>
      </c>
      <c r="F1605" s="5" t="s">
        <v>1078</v>
      </c>
      <c r="G1605" s="5" t="s">
        <v>1079</v>
      </c>
      <c r="H1605" s="6"/>
      <c r="I1605" s="6"/>
      <c r="J1605" s="6"/>
      <c r="K1605" s="6"/>
      <c r="L1605" s="7" t="s">
        <v>1080</v>
      </c>
      <c r="M1605" s="8"/>
      <c r="N1605" s="8" t="str">
        <f t="shared" ref="N1605:N1668" si="126">"PEN"</f>
        <v>PEN</v>
      </c>
      <c r="O1605" s="13"/>
      <c r="P1605" s="13">
        <v>5.7</v>
      </c>
      <c r="Q1605" s="3">
        <f t="shared" ref="Q1605:Q1668" si="127">+IF(OR($G1605="SALDO",$G1605="INGRESO"),$P1605,0)</f>
        <v>0</v>
      </c>
      <c r="R1605" s="3">
        <f t="shared" ref="R1605:R1668" si="128">+IF($G1605="EGRESO",$P1605,0)</f>
        <v>5.7</v>
      </c>
      <c r="S1605" s="3">
        <f t="shared" ref="S1605:S1668" si="129">IFERROR(IF(G1605="SALDO",Q1605,S1604+Q1605-R1605),0)</f>
        <v>125990.45000000004</v>
      </c>
      <c r="T1605" s="24"/>
      <c r="U1605" s="24" t="s">
        <v>1081</v>
      </c>
      <c r="V1605" s="67"/>
      <c r="W1605" s="25" t="str">
        <f>IFERROR(VLOOKUP(BCP_Soles[[#This Row],[DESTINATARIO]],CHOOSE({1,2},Clientes_Proveedores[Razon Social],Clientes_Proveedores[Ruc / Dni]),2,0),"")</f>
        <v/>
      </c>
      <c r="X1605" s="25"/>
      <c r="Y1605" s="25"/>
      <c r="Z1605" s="25"/>
      <c r="AA1605" s="99"/>
      <c r="AB1605" s="3" t="str">
        <f>IF(BCP_Soles[[#This Row],[FECHA]]&gt;0,TEXT(BCP_Soles[[#This Row],[FECHA]],"mmmm"),0)</f>
        <v>Mayo</v>
      </c>
    </row>
    <row r="1606" spans="2:28" ht="24" x14ac:dyDescent="0.3">
      <c r="B1606" s="2">
        <f>IF(BCP_Soles[[#This Row],[TIPO DE R.]]="R",COUNTIFS($D$4:$D1605,"R")+1,"")</f>
        <v>1246</v>
      </c>
      <c r="C1606" s="19" t="str">
        <f t="shared" si="125"/>
        <v>B-BCP - Soles</v>
      </c>
      <c r="D1606" s="3" t="s">
        <v>1074</v>
      </c>
      <c r="E1606" s="14">
        <v>45786</v>
      </c>
      <c r="F1606" s="5" t="s">
        <v>1078</v>
      </c>
      <c r="G1606" s="5" t="s">
        <v>1079</v>
      </c>
      <c r="H1606" s="6" t="s">
        <v>1001</v>
      </c>
      <c r="I1606" s="6"/>
      <c r="J1606" s="6"/>
      <c r="K1606" s="6"/>
      <c r="L1606" s="7" t="s">
        <v>1141</v>
      </c>
      <c r="M1606" s="8">
        <v>527</v>
      </c>
      <c r="N1606" s="8" t="str">
        <f t="shared" si="126"/>
        <v>PEN</v>
      </c>
      <c r="O1606" s="13"/>
      <c r="P1606" s="13">
        <v>10</v>
      </c>
      <c r="Q1606" s="3">
        <f t="shared" si="127"/>
        <v>0</v>
      </c>
      <c r="R1606" s="3">
        <f t="shared" si="128"/>
        <v>10</v>
      </c>
      <c r="S1606" s="3">
        <f t="shared" si="129"/>
        <v>125980.45000000004</v>
      </c>
      <c r="T1606" s="24"/>
      <c r="U1606" s="24"/>
      <c r="V1606" s="67"/>
      <c r="W1606" s="25">
        <f>IFERROR(VLOOKUP(BCP_Soles[[#This Row],[DESTINATARIO]],CHOOSE({1,2},Clientes_Proveedores[Razon Social],Clientes_Proveedores[Ruc / Dni]),2,0),"")</f>
        <v>20100047218</v>
      </c>
      <c r="X1606" s="25" t="s">
        <v>1078</v>
      </c>
      <c r="Y1606" s="25"/>
      <c r="Z1606" s="25"/>
      <c r="AA1606" s="99"/>
      <c r="AB1606" s="3" t="str">
        <f>IF(BCP_Soles[[#This Row],[FECHA]]&gt;0,TEXT(BCP_Soles[[#This Row],[FECHA]],"mmmm"),0)</f>
        <v>Mayo</v>
      </c>
    </row>
    <row r="1607" spans="2:28" ht="24" x14ac:dyDescent="0.3">
      <c r="B1607" s="2">
        <f>IF(BCP_Soles[[#This Row],[TIPO DE R.]]="R",COUNTIFS($D$4:$D1606,"R")+1,"")</f>
        <v>1247</v>
      </c>
      <c r="C1607" s="19" t="str">
        <f t="shared" si="125"/>
        <v>B-BCP - Soles</v>
      </c>
      <c r="D1607" s="3" t="s">
        <v>1074</v>
      </c>
      <c r="E1607" s="14">
        <v>45786</v>
      </c>
      <c r="F1607" s="5" t="s">
        <v>1082</v>
      </c>
      <c r="G1607" s="5" t="s">
        <v>1079</v>
      </c>
      <c r="H1607" s="6" t="s">
        <v>798</v>
      </c>
      <c r="I1607" s="6" t="s">
        <v>87</v>
      </c>
      <c r="J1607" s="6">
        <v>1</v>
      </c>
      <c r="K1607" s="6">
        <v>372025</v>
      </c>
      <c r="L1607" s="7" t="s">
        <v>2713</v>
      </c>
      <c r="M1607" s="8">
        <v>1285478</v>
      </c>
      <c r="N1607" s="8" t="str">
        <f t="shared" si="126"/>
        <v>PEN</v>
      </c>
      <c r="O1607" s="13"/>
      <c r="P1607" s="13">
        <v>140</v>
      </c>
      <c r="Q1607" s="3">
        <f t="shared" si="127"/>
        <v>0</v>
      </c>
      <c r="R1607" s="3">
        <f t="shared" si="128"/>
        <v>140</v>
      </c>
      <c r="S1607" s="3">
        <f t="shared" si="129"/>
        <v>125840.45000000004</v>
      </c>
      <c r="T1607" s="24" t="s">
        <v>1081</v>
      </c>
      <c r="U1607" s="24" t="s">
        <v>1081</v>
      </c>
      <c r="V1607" s="67"/>
      <c r="W1607" s="25">
        <f>IFERROR(VLOOKUP(BCP_Soles[[#This Row],[DESTINATARIO]],CHOOSE({1,2},Clientes_Proveedores[Razon Social],Clientes_Proveedores[Ruc / Dni]),2,0),"")</f>
        <v>70666331</v>
      </c>
      <c r="X1607" s="25" t="s">
        <v>798</v>
      </c>
      <c r="Y1607" s="25" t="s">
        <v>2714</v>
      </c>
      <c r="Z1607" s="25"/>
      <c r="AA1607" s="99"/>
      <c r="AB1607" s="3" t="str">
        <f>IF(BCP_Soles[[#This Row],[FECHA]]&gt;0,TEXT(BCP_Soles[[#This Row],[FECHA]],"mmmm"),0)</f>
        <v>Mayo</v>
      </c>
    </row>
    <row r="1608" spans="2:28" x14ac:dyDescent="0.3">
      <c r="B1608" s="2">
        <f>IF(BCP_Soles[[#This Row],[TIPO DE R.]]="R",COUNTIFS($D$4:$D1607,"R")+1,"")</f>
        <v>1248</v>
      </c>
      <c r="C1608" s="19" t="str">
        <f t="shared" si="125"/>
        <v>B-BCP - Soles</v>
      </c>
      <c r="D1608" s="3" t="s">
        <v>1074</v>
      </c>
      <c r="E1608" s="14">
        <v>45786</v>
      </c>
      <c r="F1608" s="5" t="s">
        <v>1082</v>
      </c>
      <c r="G1608" s="5" t="s">
        <v>1079</v>
      </c>
      <c r="H1608" s="6" t="s">
        <v>507</v>
      </c>
      <c r="I1608" s="6" t="s">
        <v>14</v>
      </c>
      <c r="J1608" s="6" t="s">
        <v>1174</v>
      </c>
      <c r="K1608" s="6">
        <v>181</v>
      </c>
      <c r="L1608" s="7" t="s">
        <v>2715</v>
      </c>
      <c r="M1608" s="8">
        <v>1124354</v>
      </c>
      <c r="N1608" s="8" t="str">
        <f t="shared" si="126"/>
        <v>PEN</v>
      </c>
      <c r="O1608" s="13"/>
      <c r="P1608" s="13">
        <v>180</v>
      </c>
      <c r="Q1608" s="3">
        <f t="shared" si="127"/>
        <v>0</v>
      </c>
      <c r="R1608" s="3">
        <f t="shared" si="128"/>
        <v>180</v>
      </c>
      <c r="S1608" s="3">
        <f t="shared" si="129"/>
        <v>125660.45000000004</v>
      </c>
      <c r="T1608" s="24" t="s">
        <v>1081</v>
      </c>
      <c r="U1608" s="24" t="s">
        <v>1081</v>
      </c>
      <c r="V1608" s="67"/>
      <c r="W1608" s="25">
        <f>IFERROR(VLOOKUP(BCP_Soles[[#This Row],[DESTINATARIO]],CHOOSE({1,2},Clientes_Proveedores[Razon Social],Clientes_Proveedores[Ruc / Dni]),2,0),"")</f>
        <v>20608587803</v>
      </c>
      <c r="X1608" s="25" t="s">
        <v>507</v>
      </c>
      <c r="Y1608" s="25" t="s">
        <v>2716</v>
      </c>
      <c r="Z1608" s="25"/>
      <c r="AA1608" s="99"/>
      <c r="AB1608" s="3" t="str">
        <f>IF(BCP_Soles[[#This Row],[FECHA]]&gt;0,TEXT(BCP_Soles[[#This Row],[FECHA]],"mmmm"),0)</f>
        <v>Mayo</v>
      </c>
    </row>
    <row r="1609" spans="2:28" x14ac:dyDescent="0.3">
      <c r="B1609" s="2">
        <f>IF(BCP_Soles[[#This Row],[TIPO DE R.]]="R",COUNTIFS($D$4:$D1608,"R")+1,"")</f>
        <v>1249</v>
      </c>
      <c r="C1609" s="19" t="str">
        <f t="shared" si="125"/>
        <v>B-BCP - Soles</v>
      </c>
      <c r="D1609" s="3" t="s">
        <v>1074</v>
      </c>
      <c r="E1609" s="14">
        <v>45786</v>
      </c>
      <c r="F1609" s="5" t="s">
        <v>1082</v>
      </c>
      <c r="G1609" s="5" t="s">
        <v>1079</v>
      </c>
      <c r="H1609" s="6" t="s">
        <v>517</v>
      </c>
      <c r="I1609" s="6" t="s">
        <v>14</v>
      </c>
      <c r="J1609" s="6" t="s">
        <v>1121</v>
      </c>
      <c r="K1609" s="6">
        <v>1174</v>
      </c>
      <c r="L1609" s="7" t="s">
        <v>1473</v>
      </c>
      <c r="M1609" s="8">
        <v>4015063</v>
      </c>
      <c r="N1609" s="8" t="str">
        <f t="shared" si="126"/>
        <v>PEN</v>
      </c>
      <c r="O1609" s="13"/>
      <c r="P1609" s="13">
        <v>600.5</v>
      </c>
      <c r="Q1609" s="3">
        <f t="shared" si="127"/>
        <v>0</v>
      </c>
      <c r="R1609" s="3">
        <f t="shared" si="128"/>
        <v>600.5</v>
      </c>
      <c r="S1609" s="3">
        <f t="shared" si="129"/>
        <v>125059.95000000004</v>
      </c>
      <c r="T1609" s="24" t="s">
        <v>1081</v>
      </c>
      <c r="U1609" s="24"/>
      <c r="V1609" s="67"/>
      <c r="W1609" s="25">
        <f>IFERROR(VLOOKUP(BCP_Soles[[#This Row],[DESTINATARIO]],CHOOSE({1,2},Clientes_Proveedores[Razon Social],Clientes_Proveedores[Ruc / Dni]),2,0),"")</f>
        <v>20608970909</v>
      </c>
      <c r="X1609" s="25" t="s">
        <v>517</v>
      </c>
      <c r="Y1609" s="25" t="s">
        <v>2717</v>
      </c>
      <c r="Z1609" s="25"/>
      <c r="AA1609" s="99"/>
      <c r="AB1609" s="3" t="str">
        <f>IF(BCP_Soles[[#This Row],[FECHA]]&gt;0,TEXT(BCP_Soles[[#This Row],[FECHA]],"mmmm"),0)</f>
        <v>Mayo</v>
      </c>
    </row>
    <row r="1610" spans="2:28" ht="36" x14ac:dyDescent="0.3">
      <c r="B1610" s="2">
        <f>IF(BCP_Soles[[#This Row],[TIPO DE R.]]="R",COUNTIFS($D$4:$D1609,"R")+1,"")</f>
        <v>1250</v>
      </c>
      <c r="C1610" s="19" t="str">
        <f t="shared" si="125"/>
        <v>B-BCP - Soles</v>
      </c>
      <c r="D1610" s="3" t="s">
        <v>1074</v>
      </c>
      <c r="E1610" s="14">
        <v>45786</v>
      </c>
      <c r="F1610" s="5" t="s">
        <v>1082</v>
      </c>
      <c r="G1610" s="5" t="s">
        <v>1079</v>
      </c>
      <c r="H1610" s="6" t="s">
        <v>617</v>
      </c>
      <c r="I1610" s="6"/>
      <c r="J1610" s="6"/>
      <c r="K1610" s="6"/>
      <c r="L1610" s="7" t="s">
        <v>2718</v>
      </c>
      <c r="M1610" s="8">
        <v>1127244</v>
      </c>
      <c r="N1610" s="8" t="str">
        <f t="shared" si="126"/>
        <v>PEN</v>
      </c>
      <c r="O1610" s="13"/>
      <c r="P1610" s="13">
        <v>1028.2</v>
      </c>
      <c r="Q1610" s="3">
        <f t="shared" si="127"/>
        <v>0</v>
      </c>
      <c r="R1610" s="3">
        <f t="shared" si="128"/>
        <v>1028.2</v>
      </c>
      <c r="S1610" s="3">
        <f t="shared" si="129"/>
        <v>124031.75000000004</v>
      </c>
      <c r="T1610" s="24" t="s">
        <v>1081</v>
      </c>
      <c r="U1610" s="24" t="s">
        <v>1081</v>
      </c>
      <c r="V1610" s="67"/>
      <c r="W1610" s="25">
        <f>IFERROR(VLOOKUP(BCP_Soles[[#This Row],[DESTINATARIO]],CHOOSE({1,2},Clientes_Proveedores[Razon Social],Clientes_Proveedores[Ruc / Dni]),2,0),"")</f>
        <v>20455911401</v>
      </c>
      <c r="X1610" s="25" t="s">
        <v>2631</v>
      </c>
      <c r="Y1610" s="25" t="s">
        <v>2632</v>
      </c>
      <c r="Z1610" s="25"/>
      <c r="AA1610" s="99"/>
      <c r="AB1610" s="3" t="str">
        <f>IF(BCP_Soles[[#This Row],[FECHA]]&gt;0,TEXT(BCP_Soles[[#This Row],[FECHA]],"mmmm"),0)</f>
        <v>Mayo</v>
      </c>
    </row>
    <row r="1611" spans="2:28" ht="36" x14ac:dyDescent="0.3">
      <c r="B1611" s="2" t="str">
        <f>IF(BCP_Soles[[#This Row],[TIPO DE R.]]="R",COUNTIFS($D$4:$D1610,"R")+1,"")</f>
        <v/>
      </c>
      <c r="C1611" s="19" t="str">
        <f t="shared" si="125"/>
        <v>B-BCP - Soles</v>
      </c>
      <c r="D1611" s="3" t="s">
        <v>1101</v>
      </c>
      <c r="E1611" s="14">
        <v>45786</v>
      </c>
      <c r="F1611" s="5" t="s">
        <v>1082</v>
      </c>
      <c r="G1611" s="5"/>
      <c r="H1611" s="6" t="s">
        <v>617</v>
      </c>
      <c r="I1611" s="6" t="s">
        <v>14</v>
      </c>
      <c r="J1611" s="6" t="s">
        <v>2629</v>
      </c>
      <c r="K1611" s="6">
        <v>1123</v>
      </c>
      <c r="L1611" s="7" t="s">
        <v>2718</v>
      </c>
      <c r="M1611" s="8"/>
      <c r="N1611" s="8" t="str">
        <f t="shared" si="126"/>
        <v>PEN</v>
      </c>
      <c r="O1611" s="13">
        <v>121.12</v>
      </c>
      <c r="P1611" s="13"/>
      <c r="Q1611" s="3">
        <f t="shared" si="127"/>
        <v>0</v>
      </c>
      <c r="R1611" s="3">
        <f t="shared" si="128"/>
        <v>0</v>
      </c>
      <c r="S1611" s="3">
        <f t="shared" si="129"/>
        <v>124031.75000000004</v>
      </c>
      <c r="T1611" s="24"/>
      <c r="U1611" s="24" t="s">
        <v>1081</v>
      </c>
      <c r="V1611" s="67"/>
      <c r="W1611" s="25">
        <f>IFERROR(VLOOKUP(BCP_Soles[[#This Row],[DESTINATARIO]],CHOOSE({1,2},Clientes_Proveedores[Razon Social],Clientes_Proveedores[Ruc / Dni]),2,0),"")</f>
        <v>20455911401</v>
      </c>
      <c r="X1611" s="25"/>
      <c r="Y1611" s="25"/>
      <c r="Z1611" s="25"/>
      <c r="AA1611" s="99"/>
      <c r="AB1611" s="3" t="str">
        <f>IF(BCP_Soles[[#This Row],[FECHA]]&gt;0,TEXT(BCP_Soles[[#This Row],[FECHA]],"mmmm"),0)</f>
        <v>Mayo</v>
      </c>
    </row>
    <row r="1612" spans="2:28" ht="36" x14ac:dyDescent="0.3">
      <c r="B1612" s="2" t="str">
        <f>IF(BCP_Soles[[#This Row],[TIPO DE R.]]="R",COUNTIFS($D$4:$D1611,"R")+1,"")</f>
        <v/>
      </c>
      <c r="C1612" s="19" t="str">
        <f t="shared" si="125"/>
        <v>B-BCP - Soles</v>
      </c>
      <c r="D1612" s="3" t="s">
        <v>1101</v>
      </c>
      <c r="E1612" s="14">
        <v>45786</v>
      </c>
      <c r="F1612" s="5" t="s">
        <v>1082</v>
      </c>
      <c r="G1612" s="5"/>
      <c r="H1612" s="6" t="s">
        <v>617</v>
      </c>
      <c r="I1612" s="6" t="s">
        <v>14</v>
      </c>
      <c r="J1612" s="6" t="s">
        <v>2629</v>
      </c>
      <c r="K1612" s="6">
        <v>1322</v>
      </c>
      <c r="L1612" s="7" t="s">
        <v>2718</v>
      </c>
      <c r="M1612" s="8"/>
      <c r="N1612" s="8" t="str">
        <f t="shared" si="126"/>
        <v>PEN</v>
      </c>
      <c r="O1612" s="13">
        <v>907.08</v>
      </c>
      <c r="P1612" s="13"/>
      <c r="Q1612" s="3">
        <f t="shared" si="127"/>
        <v>0</v>
      </c>
      <c r="R1612" s="3">
        <f t="shared" si="128"/>
        <v>0</v>
      </c>
      <c r="S1612" s="3">
        <f t="shared" si="129"/>
        <v>124031.75000000004</v>
      </c>
      <c r="T1612" s="24"/>
      <c r="U1612" s="24" t="s">
        <v>1081</v>
      </c>
      <c r="V1612" s="67"/>
      <c r="W1612" s="25">
        <f>IFERROR(VLOOKUP(BCP_Soles[[#This Row],[DESTINATARIO]],CHOOSE({1,2},Clientes_Proveedores[Razon Social],Clientes_Proveedores[Ruc / Dni]),2,0),"")</f>
        <v>20455911401</v>
      </c>
      <c r="X1612" s="25"/>
      <c r="Y1612" s="25"/>
      <c r="Z1612" s="25"/>
      <c r="AA1612" s="99"/>
      <c r="AB1612" s="3" t="str">
        <f>IF(BCP_Soles[[#This Row],[FECHA]]&gt;0,TEXT(BCP_Soles[[#This Row],[FECHA]],"mmmm"),0)</f>
        <v>Mayo</v>
      </c>
    </row>
    <row r="1613" spans="2:28" x14ac:dyDescent="0.3">
      <c r="B1613" s="2">
        <f>IF(BCP_Soles[[#This Row],[TIPO DE R.]]="R",COUNTIFS($D$4:$D1612,"R")+1,"")</f>
        <v>1251</v>
      </c>
      <c r="C1613" s="19" t="str">
        <f t="shared" si="125"/>
        <v>B-BCP - Soles</v>
      </c>
      <c r="D1613" s="3" t="s">
        <v>1074</v>
      </c>
      <c r="E1613" s="14">
        <v>45786</v>
      </c>
      <c r="F1613" s="5" t="s">
        <v>1082</v>
      </c>
      <c r="G1613" s="5" t="s">
        <v>1079</v>
      </c>
      <c r="H1613" s="6"/>
      <c r="I1613" s="6"/>
      <c r="J1613" s="6"/>
      <c r="K1613" s="6"/>
      <c r="L1613" s="7" t="s">
        <v>2719</v>
      </c>
      <c r="M1613" s="8">
        <v>1010176</v>
      </c>
      <c r="N1613" s="8" t="str">
        <f t="shared" si="126"/>
        <v>PEN</v>
      </c>
      <c r="O1613" s="13"/>
      <c r="P1613" s="13">
        <v>5331</v>
      </c>
      <c r="Q1613" s="3">
        <f t="shared" si="127"/>
        <v>0</v>
      </c>
      <c r="R1613" s="3">
        <f t="shared" si="128"/>
        <v>5331</v>
      </c>
      <c r="S1613" s="3">
        <f t="shared" si="129"/>
        <v>118700.75000000004</v>
      </c>
      <c r="T1613" s="24"/>
      <c r="U1613" s="24"/>
      <c r="V1613" s="67"/>
      <c r="W1613" s="25" t="str">
        <f>IFERROR(VLOOKUP(BCP_Soles[[#This Row],[DESTINATARIO]],CHOOSE({1,2},Clientes_Proveedores[Razon Social],Clientes_Proveedores[Ruc / Dni]),2,0),"")</f>
        <v/>
      </c>
      <c r="X1613" s="25" t="s">
        <v>2386</v>
      </c>
      <c r="Y1613" s="25"/>
      <c r="Z1613" s="25"/>
      <c r="AA1613" s="99"/>
      <c r="AB1613" s="3" t="str">
        <f>IF(BCP_Soles[[#This Row],[FECHA]]&gt;0,TEXT(BCP_Soles[[#This Row],[FECHA]],"mmmm"),0)</f>
        <v>Mayo</v>
      </c>
    </row>
    <row r="1614" spans="2:28" x14ac:dyDescent="0.3">
      <c r="B1614" s="2">
        <f>IF(BCP_Soles[[#This Row],[TIPO DE R.]]="R",COUNTIFS($D$4:$D1613,"R")+1,"")</f>
        <v>1252</v>
      </c>
      <c r="C1614" s="19" t="str">
        <f t="shared" si="125"/>
        <v>B-BCP - Soles</v>
      </c>
      <c r="D1614" s="3" t="s">
        <v>1074</v>
      </c>
      <c r="E1614" s="14">
        <v>45786</v>
      </c>
      <c r="F1614" s="5" t="s">
        <v>1082</v>
      </c>
      <c r="G1614" s="5" t="s">
        <v>1079</v>
      </c>
      <c r="H1614" s="6"/>
      <c r="I1614" s="6"/>
      <c r="J1614" s="6"/>
      <c r="K1614" s="6"/>
      <c r="L1614" s="7" t="s">
        <v>2720</v>
      </c>
      <c r="M1614" s="8">
        <v>3648766</v>
      </c>
      <c r="N1614" s="8" t="str">
        <f t="shared" si="126"/>
        <v>PEN</v>
      </c>
      <c r="O1614" s="13"/>
      <c r="P1614" s="13">
        <v>9603.86</v>
      </c>
      <c r="Q1614" s="3">
        <f t="shared" si="127"/>
        <v>0</v>
      </c>
      <c r="R1614" s="3">
        <f t="shared" si="128"/>
        <v>9603.86</v>
      </c>
      <c r="S1614" s="3">
        <f t="shared" si="129"/>
        <v>109096.89000000004</v>
      </c>
      <c r="T1614" s="24" t="s">
        <v>1081</v>
      </c>
      <c r="U1614" s="24" t="s">
        <v>1081</v>
      </c>
      <c r="V1614" s="67"/>
      <c r="W1614" s="25" t="str">
        <f>IFERROR(VLOOKUP(BCP_Soles[[#This Row],[DESTINATARIO]],CHOOSE({1,2},Clientes_Proveedores[Razon Social],Clientes_Proveedores[Ruc / Dni]),2,0),"")</f>
        <v/>
      </c>
      <c r="X1614" s="25" t="s">
        <v>1118</v>
      </c>
      <c r="Y1614" s="25"/>
      <c r="Z1614" s="25"/>
      <c r="AA1614" s="99"/>
      <c r="AB1614" s="3" t="str">
        <f>IF(BCP_Soles[[#This Row],[FECHA]]&gt;0,TEXT(BCP_Soles[[#This Row],[FECHA]],"mmmm"),0)</f>
        <v>Mayo</v>
      </c>
    </row>
    <row r="1615" spans="2:28" ht="24" x14ac:dyDescent="0.3">
      <c r="B1615" s="2" t="str">
        <f>IF(BCP_Soles[[#This Row],[TIPO DE R.]]="R",COUNTIFS($D$4:$D1614,"R")+1,"")</f>
        <v/>
      </c>
      <c r="C1615" s="19" t="str">
        <f t="shared" si="125"/>
        <v>B-BCP - Soles</v>
      </c>
      <c r="D1615" s="3" t="s">
        <v>1101</v>
      </c>
      <c r="E1615" s="14">
        <v>45786</v>
      </c>
      <c r="F1615" s="5" t="s">
        <v>1082</v>
      </c>
      <c r="G1615" s="5"/>
      <c r="H1615" s="6" t="s">
        <v>609</v>
      </c>
      <c r="I1615" s="6" t="s">
        <v>14</v>
      </c>
      <c r="J1615" s="6" t="s">
        <v>1121</v>
      </c>
      <c r="K1615" s="6">
        <v>24</v>
      </c>
      <c r="L1615" s="7" t="s">
        <v>2720</v>
      </c>
      <c r="M1615" s="8">
        <v>3648766</v>
      </c>
      <c r="N1615" s="8" t="str">
        <f t="shared" si="126"/>
        <v>PEN</v>
      </c>
      <c r="O1615" s="13">
        <v>510</v>
      </c>
      <c r="P1615" s="13"/>
      <c r="Q1615" s="3">
        <f t="shared" si="127"/>
        <v>0</v>
      </c>
      <c r="R1615" s="3">
        <f t="shared" si="128"/>
        <v>0</v>
      </c>
      <c r="S1615" s="3">
        <f t="shared" si="129"/>
        <v>109096.89000000004</v>
      </c>
      <c r="T1615" s="24"/>
      <c r="U1615" s="24" t="s">
        <v>1081</v>
      </c>
      <c r="V1615" s="67"/>
      <c r="W1615" s="25">
        <f>IFERROR(VLOOKUP(BCP_Soles[[#This Row],[DESTINATARIO]],CHOOSE({1,2},Clientes_Proveedores[Razon Social],Clientes_Proveedores[Ruc / Dni]),2,0),"")</f>
        <v>10410687491</v>
      </c>
      <c r="X1615" s="25"/>
      <c r="Y1615" s="25"/>
      <c r="Z1615" s="25"/>
      <c r="AA1615" s="99"/>
      <c r="AB1615" s="3" t="str">
        <f>IF(BCP_Soles[[#This Row],[FECHA]]&gt;0,TEXT(BCP_Soles[[#This Row],[FECHA]],"mmmm"),0)</f>
        <v>Mayo</v>
      </c>
    </row>
    <row r="1616" spans="2:28" x14ac:dyDescent="0.3">
      <c r="B1616" s="2" t="str">
        <f>IF(BCP_Soles[[#This Row],[TIPO DE R.]]="R",COUNTIFS($D$4:$D1615,"R")+1,"")</f>
        <v/>
      </c>
      <c r="C1616" s="19" t="str">
        <f t="shared" si="125"/>
        <v>B-BCP - Soles</v>
      </c>
      <c r="D1616" s="3" t="s">
        <v>1101</v>
      </c>
      <c r="E1616" s="14">
        <v>45786</v>
      </c>
      <c r="F1616" s="5" t="s">
        <v>1082</v>
      </c>
      <c r="G1616" s="5"/>
      <c r="H1616" s="6" t="s">
        <v>357</v>
      </c>
      <c r="I1616" s="6" t="s">
        <v>14</v>
      </c>
      <c r="J1616" s="6" t="s">
        <v>1119</v>
      </c>
      <c r="K1616" s="6">
        <v>13996</v>
      </c>
      <c r="L1616" s="7" t="s">
        <v>2720</v>
      </c>
      <c r="M1616" s="8">
        <v>3648766</v>
      </c>
      <c r="N1616" s="8" t="str">
        <f t="shared" si="126"/>
        <v>PEN</v>
      </c>
      <c r="O1616" s="13">
        <v>5445.01</v>
      </c>
      <c r="P1616" s="13"/>
      <c r="Q1616" s="3">
        <f t="shared" si="127"/>
        <v>0</v>
      </c>
      <c r="R1616" s="3">
        <f t="shared" si="128"/>
        <v>0</v>
      </c>
      <c r="S1616" s="3">
        <f t="shared" si="129"/>
        <v>109096.89000000004</v>
      </c>
      <c r="T1616" s="24"/>
      <c r="U1616" s="24" t="s">
        <v>1081</v>
      </c>
      <c r="V1616" s="67"/>
      <c r="W1616" s="25">
        <f>IFERROR(VLOOKUP(BCP_Soles[[#This Row],[DESTINATARIO]],CHOOSE({1,2},Clientes_Proveedores[Razon Social],Clientes_Proveedores[Ruc / Dni]),2,0),"")</f>
        <v>20553255709</v>
      </c>
      <c r="X1616" s="25"/>
      <c r="Y1616" s="25"/>
      <c r="Z1616" s="25"/>
      <c r="AA1616" s="99"/>
      <c r="AB1616" s="3" t="str">
        <f>IF(BCP_Soles[[#This Row],[FECHA]]&gt;0,TEXT(BCP_Soles[[#This Row],[FECHA]],"mmmm"),0)</f>
        <v>Mayo</v>
      </c>
    </row>
    <row r="1617" spans="2:28" ht="36" x14ac:dyDescent="0.3">
      <c r="B1617" s="2" t="str">
        <f>IF(BCP_Soles[[#This Row],[TIPO DE R.]]="R",COUNTIFS($D$4:$D1616,"R")+1,"")</f>
        <v/>
      </c>
      <c r="C1617" s="19" t="str">
        <f t="shared" si="125"/>
        <v>B-BCP - Soles</v>
      </c>
      <c r="D1617" s="3" t="s">
        <v>1101</v>
      </c>
      <c r="E1617" s="14">
        <v>45786</v>
      </c>
      <c r="F1617" s="5" t="s">
        <v>1082</v>
      </c>
      <c r="G1617" s="5"/>
      <c r="H1617" s="6" t="s">
        <v>208</v>
      </c>
      <c r="I1617" s="6" t="s">
        <v>14</v>
      </c>
      <c r="J1617" s="6" t="s">
        <v>2721</v>
      </c>
      <c r="K1617" s="6">
        <v>18815</v>
      </c>
      <c r="L1617" s="7" t="s">
        <v>2720</v>
      </c>
      <c r="M1617" s="8">
        <v>3648766</v>
      </c>
      <c r="N1617" s="8" t="str">
        <f t="shared" si="126"/>
        <v>PEN</v>
      </c>
      <c r="O1617" s="13">
        <v>865.4</v>
      </c>
      <c r="P1617" s="13"/>
      <c r="Q1617" s="3">
        <f t="shared" si="127"/>
        <v>0</v>
      </c>
      <c r="R1617" s="3">
        <f t="shared" si="128"/>
        <v>0</v>
      </c>
      <c r="S1617" s="3">
        <f t="shared" si="129"/>
        <v>109096.89000000004</v>
      </c>
      <c r="T1617" s="24"/>
      <c r="U1617" s="24" t="s">
        <v>1081</v>
      </c>
      <c r="V1617" s="67"/>
      <c r="W1617" s="25">
        <f>IFERROR(VLOOKUP(BCP_Soles[[#This Row],[DESTINATARIO]],CHOOSE({1,2},Clientes_Proveedores[Razon Social],Clientes_Proveedores[Ruc / Dni]),2,0),"")</f>
        <v>20412524218</v>
      </c>
      <c r="X1617" s="25"/>
      <c r="Y1617" s="25"/>
      <c r="Z1617" s="25"/>
      <c r="AA1617" s="99"/>
      <c r="AB1617" s="3" t="str">
        <f>IF(BCP_Soles[[#This Row],[FECHA]]&gt;0,TEXT(BCP_Soles[[#This Row],[FECHA]],"mmmm"),0)</f>
        <v>Mayo</v>
      </c>
    </row>
    <row r="1618" spans="2:28" x14ac:dyDescent="0.3">
      <c r="B1618" s="2" t="str">
        <f>IF(BCP_Soles[[#This Row],[TIPO DE R.]]="R",COUNTIFS($D$4:$D1617,"R")+1,"")</f>
        <v/>
      </c>
      <c r="C1618" s="19" t="str">
        <f t="shared" si="125"/>
        <v>B-BCP - Soles</v>
      </c>
      <c r="D1618" s="3" t="s">
        <v>1101</v>
      </c>
      <c r="E1618" s="14">
        <v>45786</v>
      </c>
      <c r="F1618" s="5" t="s">
        <v>1082</v>
      </c>
      <c r="G1618" s="5"/>
      <c r="H1618" s="6" t="s">
        <v>465</v>
      </c>
      <c r="I1618" s="6" t="s">
        <v>14</v>
      </c>
      <c r="J1618" s="6" t="s">
        <v>1121</v>
      </c>
      <c r="K1618" s="6">
        <v>3775</v>
      </c>
      <c r="L1618" s="7" t="s">
        <v>2720</v>
      </c>
      <c r="M1618" s="8">
        <v>3648766</v>
      </c>
      <c r="N1618" s="8" t="str">
        <f t="shared" si="126"/>
        <v>PEN</v>
      </c>
      <c r="O1618" s="13">
        <v>551.65</v>
      </c>
      <c r="P1618" s="13"/>
      <c r="Q1618" s="3">
        <f t="shared" si="127"/>
        <v>0</v>
      </c>
      <c r="R1618" s="3">
        <f t="shared" si="128"/>
        <v>0</v>
      </c>
      <c r="S1618" s="3">
        <f t="shared" si="129"/>
        <v>109096.89000000004</v>
      </c>
      <c r="T1618" s="24"/>
      <c r="U1618" s="24" t="s">
        <v>1081</v>
      </c>
      <c r="V1618" s="67"/>
      <c r="W1618" s="25">
        <f>IFERROR(VLOOKUP(BCP_Soles[[#This Row],[DESTINATARIO]],CHOOSE({1,2},Clientes_Proveedores[Razon Social],Clientes_Proveedores[Ruc / Dni]),2,0),"")</f>
        <v>20603974817</v>
      </c>
      <c r="X1618" s="25"/>
      <c r="Y1618" s="25"/>
      <c r="Z1618" s="25"/>
      <c r="AA1618" s="99"/>
      <c r="AB1618" s="3" t="str">
        <f>IF(BCP_Soles[[#This Row],[FECHA]]&gt;0,TEXT(BCP_Soles[[#This Row],[FECHA]],"mmmm"),0)</f>
        <v>Mayo</v>
      </c>
    </row>
    <row r="1619" spans="2:28" x14ac:dyDescent="0.3">
      <c r="B1619" s="2" t="str">
        <f>IF(BCP_Soles[[#This Row],[TIPO DE R.]]="R",COUNTIFS($D$4:$D1618,"R")+1,"")</f>
        <v/>
      </c>
      <c r="C1619" s="19" t="str">
        <f t="shared" si="125"/>
        <v>B-BCP - Soles</v>
      </c>
      <c r="D1619" s="3" t="s">
        <v>1101</v>
      </c>
      <c r="E1619" s="14">
        <v>45786</v>
      </c>
      <c r="F1619" s="5" t="s">
        <v>1082</v>
      </c>
      <c r="G1619" s="5"/>
      <c r="H1619" s="6" t="s">
        <v>289</v>
      </c>
      <c r="I1619" s="6" t="s">
        <v>14</v>
      </c>
      <c r="J1619" s="6" t="s">
        <v>1202</v>
      </c>
      <c r="K1619" s="6">
        <v>40717</v>
      </c>
      <c r="L1619" s="7" t="s">
        <v>2720</v>
      </c>
      <c r="M1619" s="8">
        <v>3648766</v>
      </c>
      <c r="N1619" s="8" t="str">
        <f t="shared" si="126"/>
        <v>PEN</v>
      </c>
      <c r="O1619" s="13">
        <v>1157.8</v>
      </c>
      <c r="P1619" s="13"/>
      <c r="Q1619" s="3">
        <f t="shared" si="127"/>
        <v>0</v>
      </c>
      <c r="R1619" s="3">
        <f t="shared" si="128"/>
        <v>0</v>
      </c>
      <c r="S1619" s="3">
        <f t="shared" si="129"/>
        <v>109096.89000000004</v>
      </c>
      <c r="T1619" s="24"/>
      <c r="U1619" s="24" t="s">
        <v>1081</v>
      </c>
      <c r="V1619" s="67"/>
      <c r="W1619" s="25">
        <f>IFERROR(VLOOKUP(BCP_Soles[[#This Row],[DESTINATARIO]],CHOOSE({1,2},Clientes_Proveedores[Razon Social],Clientes_Proveedores[Ruc / Dni]),2,0),"")</f>
        <v>20505675836</v>
      </c>
      <c r="X1619" s="25"/>
      <c r="Y1619" s="25"/>
      <c r="Z1619" s="25"/>
      <c r="AA1619" s="99"/>
      <c r="AB1619" s="3" t="str">
        <f>IF(BCP_Soles[[#This Row],[FECHA]]&gt;0,TEXT(BCP_Soles[[#This Row],[FECHA]],"mmmm"),0)</f>
        <v>Mayo</v>
      </c>
    </row>
    <row r="1620" spans="2:28" x14ac:dyDescent="0.3">
      <c r="B1620" s="2" t="str">
        <f>IF(BCP_Soles[[#This Row],[TIPO DE R.]]="R",COUNTIFS($D$4:$D1619,"R")+1,"")</f>
        <v/>
      </c>
      <c r="C1620" s="19" t="str">
        <f t="shared" si="125"/>
        <v>B-BCP - Soles</v>
      </c>
      <c r="D1620" s="3" t="s">
        <v>1101</v>
      </c>
      <c r="E1620" s="14">
        <v>45786</v>
      </c>
      <c r="F1620" s="5" t="s">
        <v>1082</v>
      </c>
      <c r="G1620" s="5"/>
      <c r="H1620" s="6" t="s">
        <v>289</v>
      </c>
      <c r="I1620" s="6" t="s">
        <v>14</v>
      </c>
      <c r="J1620" s="6" t="s">
        <v>1202</v>
      </c>
      <c r="K1620" s="6">
        <v>40713</v>
      </c>
      <c r="L1620" s="7" t="s">
        <v>2720</v>
      </c>
      <c r="M1620" s="8">
        <v>3648766</v>
      </c>
      <c r="N1620" s="8" t="str">
        <f t="shared" si="126"/>
        <v>PEN</v>
      </c>
      <c r="O1620" s="13">
        <v>1020.6</v>
      </c>
      <c r="P1620" s="13"/>
      <c r="Q1620" s="3">
        <f t="shared" si="127"/>
        <v>0</v>
      </c>
      <c r="R1620" s="3">
        <f t="shared" si="128"/>
        <v>0</v>
      </c>
      <c r="S1620" s="3">
        <f t="shared" si="129"/>
        <v>109096.89000000004</v>
      </c>
      <c r="T1620" s="24"/>
      <c r="U1620" s="24" t="s">
        <v>1081</v>
      </c>
      <c r="V1620" s="67"/>
      <c r="W1620" s="25">
        <f>IFERROR(VLOOKUP(BCP_Soles[[#This Row],[DESTINATARIO]],CHOOSE({1,2},Clientes_Proveedores[Razon Social],Clientes_Proveedores[Ruc / Dni]),2,0),"")</f>
        <v>20505675836</v>
      </c>
      <c r="X1620" s="25"/>
      <c r="Y1620" s="25"/>
      <c r="Z1620" s="25"/>
      <c r="AA1620" s="99"/>
      <c r="AB1620" s="3" t="str">
        <f>IF(BCP_Soles[[#This Row],[FECHA]]&gt;0,TEXT(BCP_Soles[[#This Row],[FECHA]],"mmmm"),0)</f>
        <v>Mayo</v>
      </c>
    </row>
    <row r="1621" spans="2:28" ht="36" x14ac:dyDescent="0.3">
      <c r="B1621" s="2" t="str">
        <f>IF(BCP_Soles[[#This Row],[TIPO DE R.]]="R",COUNTIFS($D$4:$D1620,"R")+1,"")</f>
        <v/>
      </c>
      <c r="C1621" s="19" t="str">
        <f t="shared" si="125"/>
        <v>B-BCP - Soles</v>
      </c>
      <c r="D1621" s="3" t="s">
        <v>1101</v>
      </c>
      <c r="E1621" s="14">
        <v>45786</v>
      </c>
      <c r="F1621" s="5" t="s">
        <v>1082</v>
      </c>
      <c r="G1621" s="5"/>
      <c r="H1621" s="6" t="s">
        <v>258</v>
      </c>
      <c r="I1621" s="6" t="s">
        <v>14</v>
      </c>
      <c r="J1621" s="6" t="s">
        <v>1121</v>
      </c>
      <c r="K1621" s="6">
        <v>2374</v>
      </c>
      <c r="L1621" s="7" t="s">
        <v>2720</v>
      </c>
      <c r="M1621" s="8">
        <v>3648766</v>
      </c>
      <c r="N1621" s="8" t="str">
        <f t="shared" si="126"/>
        <v>PEN</v>
      </c>
      <c r="O1621" s="13">
        <v>53.4</v>
      </c>
      <c r="P1621" s="13"/>
      <c r="Q1621" s="3">
        <f t="shared" si="127"/>
        <v>0</v>
      </c>
      <c r="R1621" s="3">
        <f t="shared" si="128"/>
        <v>0</v>
      </c>
      <c r="S1621" s="3">
        <f t="shared" si="129"/>
        <v>109096.89000000004</v>
      </c>
      <c r="T1621" s="24"/>
      <c r="U1621" s="24" t="s">
        <v>1081</v>
      </c>
      <c r="V1621" s="67"/>
      <c r="W1621" s="25">
        <f>IFERROR(VLOOKUP(BCP_Soles[[#This Row],[DESTINATARIO]],CHOOSE({1,2},Clientes_Proveedores[Razon Social],Clientes_Proveedores[Ruc / Dni]),2,0),"")</f>
        <v>20456565353</v>
      </c>
      <c r="X1621" s="25"/>
      <c r="Y1621" s="25"/>
      <c r="Z1621" s="25"/>
      <c r="AA1621" s="99"/>
      <c r="AB1621" s="3" t="str">
        <f>IF(BCP_Soles[[#This Row],[FECHA]]&gt;0,TEXT(BCP_Soles[[#This Row],[FECHA]],"mmmm"),0)</f>
        <v>Mayo</v>
      </c>
    </row>
    <row r="1622" spans="2:28" ht="24" x14ac:dyDescent="0.3">
      <c r="B1622" s="2">
        <f>IF(BCP_Soles[[#This Row],[TIPO DE R.]]="R",COUNTIFS($D$4:$D1621,"R")+1,"")</f>
        <v>1253</v>
      </c>
      <c r="C1622" s="19" t="str">
        <f t="shared" si="125"/>
        <v>B-BCP - Soles</v>
      </c>
      <c r="D1622" s="3" t="s">
        <v>1074</v>
      </c>
      <c r="E1622" s="14">
        <v>45787</v>
      </c>
      <c r="F1622" s="5" t="s">
        <v>1745</v>
      </c>
      <c r="G1622" s="5" t="s">
        <v>1087</v>
      </c>
      <c r="H1622" s="6"/>
      <c r="I1622" s="6"/>
      <c r="J1622" s="6"/>
      <c r="K1622" s="6"/>
      <c r="L1622" s="7" t="s">
        <v>1100</v>
      </c>
      <c r="M1622" s="8">
        <v>1962765</v>
      </c>
      <c r="N1622" s="8" t="str">
        <f t="shared" si="126"/>
        <v>PEN</v>
      </c>
      <c r="O1622" s="13"/>
      <c r="P1622" s="13">
        <v>1400</v>
      </c>
      <c r="Q1622" s="3">
        <f t="shared" si="127"/>
        <v>1400</v>
      </c>
      <c r="R1622" s="3">
        <f t="shared" si="128"/>
        <v>0</v>
      </c>
      <c r="S1622" s="3">
        <f t="shared" si="129"/>
        <v>110496.89000000004</v>
      </c>
      <c r="T1622" s="24" t="s">
        <v>1081</v>
      </c>
      <c r="U1622" s="24" t="s">
        <v>1081</v>
      </c>
      <c r="V1622" s="67"/>
      <c r="W1622" s="25" t="str">
        <f>IFERROR(VLOOKUP(BCP_Soles[[#This Row],[DESTINATARIO]],CHOOSE({1,2},Clientes_Proveedores[Razon Social],Clientes_Proveedores[Ruc / Dni]),2,0),"")</f>
        <v/>
      </c>
      <c r="X1622" s="25" t="s">
        <v>1090</v>
      </c>
      <c r="Y1622" s="25" t="s">
        <v>2722</v>
      </c>
      <c r="Z1622" s="25"/>
      <c r="AA1622" s="99"/>
      <c r="AB1622" s="3" t="str">
        <f>IF(BCP_Soles[[#This Row],[FECHA]]&gt;0,TEXT(BCP_Soles[[#This Row],[FECHA]],"mmmm"),0)</f>
        <v>Mayo</v>
      </c>
    </row>
    <row r="1623" spans="2:28" ht="24" x14ac:dyDescent="0.3">
      <c r="B1623" s="2">
        <f>IF(BCP_Soles[[#This Row],[TIPO DE R.]]="R",COUNTIFS($D$4:$D1622,"R")+1,"")</f>
        <v>1254</v>
      </c>
      <c r="C1623" s="19" t="str">
        <f t="shared" si="125"/>
        <v>B-BCP - Soles</v>
      </c>
      <c r="D1623" s="3" t="s">
        <v>1074</v>
      </c>
      <c r="E1623" s="14">
        <v>45787</v>
      </c>
      <c r="F1623" s="5" t="s">
        <v>1357</v>
      </c>
      <c r="G1623" s="5" t="s">
        <v>1087</v>
      </c>
      <c r="H1623" s="6"/>
      <c r="I1623" s="6"/>
      <c r="J1623" s="6"/>
      <c r="K1623" s="6"/>
      <c r="L1623" s="7" t="s">
        <v>1100</v>
      </c>
      <c r="M1623" s="8">
        <v>1953540</v>
      </c>
      <c r="N1623" s="8" t="str">
        <f t="shared" si="126"/>
        <v>PEN</v>
      </c>
      <c r="O1623" s="13"/>
      <c r="P1623" s="13">
        <v>443.2</v>
      </c>
      <c r="Q1623" s="3">
        <f t="shared" si="127"/>
        <v>443.2</v>
      </c>
      <c r="R1623" s="3">
        <f t="shared" si="128"/>
        <v>0</v>
      </c>
      <c r="S1623" s="3">
        <f t="shared" si="129"/>
        <v>110940.09000000004</v>
      </c>
      <c r="T1623" s="24" t="s">
        <v>1081</v>
      </c>
      <c r="U1623" s="24" t="s">
        <v>1081</v>
      </c>
      <c r="V1623" s="67"/>
      <c r="W1623" s="25" t="str">
        <f>IFERROR(VLOOKUP(BCP_Soles[[#This Row],[DESTINATARIO]],CHOOSE({1,2},Clientes_Proveedores[Razon Social],Clientes_Proveedores[Ruc / Dni]),2,0),"")</f>
        <v/>
      </c>
      <c r="X1623" s="25" t="s">
        <v>1090</v>
      </c>
      <c r="Y1623" s="25" t="s">
        <v>2583</v>
      </c>
      <c r="Z1623" s="25"/>
      <c r="AA1623" s="99"/>
      <c r="AB1623" s="3" t="str">
        <f>IF(BCP_Soles[[#This Row],[FECHA]]&gt;0,TEXT(BCP_Soles[[#This Row],[FECHA]],"mmmm"),0)</f>
        <v>Mayo</v>
      </c>
    </row>
    <row r="1624" spans="2:28" x14ac:dyDescent="0.3">
      <c r="B1624" s="2">
        <f>IF(BCP_Soles[[#This Row],[TIPO DE R.]]="R",COUNTIFS($D$4:$D1623,"R")+1,"")</f>
        <v>1255</v>
      </c>
      <c r="C1624" s="19" t="str">
        <f t="shared" si="125"/>
        <v>B-BCP - Soles</v>
      </c>
      <c r="D1624" s="3" t="s">
        <v>1074</v>
      </c>
      <c r="E1624" s="14">
        <v>45788</v>
      </c>
      <c r="F1624" s="5" t="s">
        <v>1078</v>
      </c>
      <c r="G1624" s="5" t="s">
        <v>1079</v>
      </c>
      <c r="H1624" s="6"/>
      <c r="I1624" s="6"/>
      <c r="J1624" s="6"/>
      <c r="K1624" s="6"/>
      <c r="L1624" s="7" t="s">
        <v>1080</v>
      </c>
      <c r="M1624" s="8"/>
      <c r="N1624" s="8" t="str">
        <f t="shared" si="126"/>
        <v>PEN</v>
      </c>
      <c r="O1624" s="13"/>
      <c r="P1624" s="13">
        <v>0.05</v>
      </c>
      <c r="Q1624" s="3">
        <f t="shared" si="127"/>
        <v>0</v>
      </c>
      <c r="R1624" s="3">
        <f t="shared" si="128"/>
        <v>0.05</v>
      </c>
      <c r="S1624" s="3">
        <f t="shared" si="129"/>
        <v>110940.04000000004</v>
      </c>
      <c r="T1624" s="24"/>
      <c r="U1624" s="24" t="s">
        <v>1081</v>
      </c>
      <c r="V1624" s="67"/>
      <c r="W1624" s="25" t="str">
        <f>IFERROR(VLOOKUP(BCP_Soles[[#This Row],[DESTINATARIO]],CHOOSE({1,2},Clientes_Proveedores[Razon Social],Clientes_Proveedores[Ruc / Dni]),2,0),"")</f>
        <v/>
      </c>
      <c r="X1624" s="25"/>
      <c r="Y1624" s="25"/>
      <c r="Z1624" s="25"/>
      <c r="AA1624" s="99"/>
      <c r="AB1624" s="3" t="str">
        <f>IF(BCP_Soles[[#This Row],[FECHA]]&gt;0,TEXT(BCP_Soles[[#This Row],[FECHA]],"mmmm"),0)</f>
        <v>Mayo</v>
      </c>
    </row>
    <row r="1625" spans="2:28" x14ac:dyDescent="0.3">
      <c r="B1625" s="2">
        <f>IF(BCP_Soles[[#This Row],[TIPO DE R.]]="R",COUNTIFS($D$4:$D1624,"R")+1,"")</f>
        <v>1256</v>
      </c>
      <c r="C1625" s="19" t="str">
        <f t="shared" si="125"/>
        <v>B-BCP - Soles</v>
      </c>
      <c r="D1625" s="3" t="s">
        <v>1074</v>
      </c>
      <c r="E1625" s="14">
        <v>45789</v>
      </c>
      <c r="F1625" s="5" t="s">
        <v>2518</v>
      </c>
      <c r="G1625" s="5" t="s">
        <v>1087</v>
      </c>
      <c r="H1625" s="6"/>
      <c r="I1625" s="6"/>
      <c r="J1625" s="6"/>
      <c r="K1625" s="6"/>
      <c r="L1625" s="7" t="s">
        <v>1100</v>
      </c>
      <c r="M1625" s="8">
        <v>355450</v>
      </c>
      <c r="N1625" s="8" t="str">
        <f t="shared" si="126"/>
        <v>PEN</v>
      </c>
      <c r="O1625" s="13"/>
      <c r="P1625" s="13">
        <v>265</v>
      </c>
      <c r="Q1625" s="3">
        <f t="shared" si="127"/>
        <v>265</v>
      </c>
      <c r="R1625" s="3">
        <f t="shared" si="128"/>
        <v>0</v>
      </c>
      <c r="S1625" s="3">
        <f t="shared" si="129"/>
        <v>111205.04000000004</v>
      </c>
      <c r="T1625" s="24" t="s">
        <v>1081</v>
      </c>
      <c r="U1625" s="24" t="s">
        <v>1081</v>
      </c>
      <c r="V1625" s="67"/>
      <c r="W1625" s="25" t="str">
        <f>IFERROR(VLOOKUP(BCP_Soles[[#This Row],[DESTINATARIO]],CHOOSE({1,2},Clientes_Proveedores[Razon Social],Clientes_Proveedores[Ruc / Dni]),2,0),"")</f>
        <v/>
      </c>
      <c r="X1625" s="25" t="s">
        <v>1090</v>
      </c>
      <c r="Y1625" s="25" t="s">
        <v>2723</v>
      </c>
      <c r="Z1625" s="25"/>
      <c r="AA1625" s="99"/>
      <c r="AB1625" s="3" t="str">
        <f>IF(BCP_Soles[[#This Row],[FECHA]]&gt;0,TEXT(BCP_Soles[[#This Row],[FECHA]],"mmmm"),0)</f>
        <v>Mayo</v>
      </c>
    </row>
    <row r="1626" spans="2:28" x14ac:dyDescent="0.3">
      <c r="B1626" s="2">
        <f>IF(BCP_Soles[[#This Row],[TIPO DE R.]]="R",COUNTIFS($D$4:$D1625,"R")+1,"")</f>
        <v>1257</v>
      </c>
      <c r="C1626" s="19" t="str">
        <f t="shared" si="125"/>
        <v>B-BCP - Soles</v>
      </c>
      <c r="D1626" s="3" t="s">
        <v>1074</v>
      </c>
      <c r="E1626" s="14">
        <v>45789</v>
      </c>
      <c r="F1626" s="5" t="s">
        <v>1477</v>
      </c>
      <c r="G1626" s="5" t="s">
        <v>1087</v>
      </c>
      <c r="H1626" s="6"/>
      <c r="I1626" s="6"/>
      <c r="J1626" s="6"/>
      <c r="K1626" s="6"/>
      <c r="L1626" s="7" t="s">
        <v>1100</v>
      </c>
      <c r="M1626" s="8">
        <v>352454</v>
      </c>
      <c r="N1626" s="8" t="str">
        <f t="shared" si="126"/>
        <v>PEN</v>
      </c>
      <c r="O1626" s="13"/>
      <c r="P1626" s="13">
        <v>48.8</v>
      </c>
      <c r="Q1626" s="3">
        <f t="shared" si="127"/>
        <v>48.8</v>
      </c>
      <c r="R1626" s="3">
        <f t="shared" si="128"/>
        <v>0</v>
      </c>
      <c r="S1626" s="3">
        <f t="shared" si="129"/>
        <v>111253.84000000004</v>
      </c>
      <c r="T1626" s="24" t="s">
        <v>1081</v>
      </c>
      <c r="U1626" s="24" t="s">
        <v>1081</v>
      </c>
      <c r="V1626" s="67"/>
      <c r="W1626" s="25" t="str">
        <f>IFERROR(VLOOKUP(BCP_Soles[[#This Row],[DESTINATARIO]],CHOOSE({1,2},Clientes_Proveedores[Razon Social],Clientes_Proveedores[Ruc / Dni]),2,0),"")</f>
        <v/>
      </c>
      <c r="X1626" s="25" t="s">
        <v>1090</v>
      </c>
      <c r="Y1626" s="25" t="s">
        <v>2724</v>
      </c>
      <c r="Z1626" s="25"/>
      <c r="AA1626" s="99"/>
      <c r="AB1626" s="3" t="str">
        <f>IF(BCP_Soles[[#This Row],[FECHA]]&gt;0,TEXT(BCP_Soles[[#This Row],[FECHA]],"mmmm"),0)</f>
        <v>Mayo</v>
      </c>
    </row>
    <row r="1627" spans="2:28" ht="24" x14ac:dyDescent="0.3">
      <c r="B1627" s="2">
        <f>IF(BCP_Soles[[#This Row],[TIPO DE R.]]="R",COUNTIFS($D$4:$D1626,"R")+1,"")</f>
        <v>1258</v>
      </c>
      <c r="C1627" s="19" t="str">
        <f t="shared" si="125"/>
        <v>B-BCP - Soles</v>
      </c>
      <c r="D1627" s="3" t="s">
        <v>1074</v>
      </c>
      <c r="E1627" s="14">
        <v>45789</v>
      </c>
      <c r="F1627" s="5" t="s">
        <v>1745</v>
      </c>
      <c r="G1627" s="5" t="s">
        <v>1087</v>
      </c>
      <c r="H1627" s="6"/>
      <c r="I1627" s="6"/>
      <c r="J1627" s="6"/>
      <c r="K1627" s="6"/>
      <c r="L1627" s="7" t="s">
        <v>1100</v>
      </c>
      <c r="M1627" s="8">
        <v>427513</v>
      </c>
      <c r="N1627" s="8" t="str">
        <f t="shared" si="126"/>
        <v>PEN</v>
      </c>
      <c r="O1627" s="13"/>
      <c r="P1627" s="13">
        <v>1009</v>
      </c>
      <c r="Q1627" s="3">
        <f t="shared" si="127"/>
        <v>1009</v>
      </c>
      <c r="R1627" s="3">
        <f t="shared" si="128"/>
        <v>0</v>
      </c>
      <c r="S1627" s="3">
        <f t="shared" si="129"/>
        <v>112262.84000000004</v>
      </c>
      <c r="T1627" s="24" t="s">
        <v>1081</v>
      </c>
      <c r="U1627" s="24" t="s">
        <v>1081</v>
      </c>
      <c r="V1627" s="67"/>
      <c r="W1627" s="25" t="str">
        <f>IFERROR(VLOOKUP(BCP_Soles[[#This Row],[DESTINATARIO]],CHOOSE({1,2},Clientes_Proveedores[Razon Social],Clientes_Proveedores[Ruc / Dni]),2,0),"")</f>
        <v/>
      </c>
      <c r="X1627" s="25" t="s">
        <v>1090</v>
      </c>
      <c r="Y1627" s="25" t="s">
        <v>2722</v>
      </c>
      <c r="Z1627" s="25"/>
      <c r="AA1627" s="99"/>
      <c r="AB1627" s="3" t="str">
        <f>IF(BCP_Soles[[#This Row],[FECHA]]&gt;0,TEXT(BCP_Soles[[#This Row],[FECHA]],"mmmm"),0)</f>
        <v>Mayo</v>
      </c>
    </row>
    <row r="1628" spans="2:28" ht="48" x14ac:dyDescent="0.3">
      <c r="B1628" s="2">
        <f>IF(BCP_Soles[[#This Row],[TIPO DE R.]]="R",COUNTIFS($D$4:$D1627,"R")+1,"")</f>
        <v>1259</v>
      </c>
      <c r="C1628" s="19" t="str">
        <f t="shared" si="125"/>
        <v>B-BCP - Soles</v>
      </c>
      <c r="D1628" s="3" t="s">
        <v>1074</v>
      </c>
      <c r="E1628" s="14">
        <v>45789</v>
      </c>
      <c r="F1628" s="5" t="s">
        <v>448</v>
      </c>
      <c r="G1628" s="5" t="s">
        <v>1087</v>
      </c>
      <c r="H1628" s="6"/>
      <c r="I1628" s="6"/>
      <c r="J1628" s="6"/>
      <c r="K1628" s="6"/>
      <c r="L1628" s="7" t="s">
        <v>2725</v>
      </c>
      <c r="M1628" s="8">
        <v>520029</v>
      </c>
      <c r="N1628" s="8" t="str">
        <f t="shared" si="126"/>
        <v>PEN</v>
      </c>
      <c r="O1628" s="13"/>
      <c r="P1628" s="13">
        <v>5359.63</v>
      </c>
      <c r="Q1628" s="3">
        <f t="shared" si="127"/>
        <v>5359.63</v>
      </c>
      <c r="R1628" s="3">
        <f t="shared" si="128"/>
        <v>0</v>
      </c>
      <c r="S1628" s="3">
        <f t="shared" si="129"/>
        <v>117622.47000000004</v>
      </c>
      <c r="T1628" s="24" t="s">
        <v>1081</v>
      </c>
      <c r="U1628" s="24" t="s">
        <v>1081</v>
      </c>
      <c r="V1628" s="67"/>
      <c r="W1628" s="25" t="str">
        <f>IFERROR(VLOOKUP(BCP_Soles[[#This Row],[DESTINATARIO]],CHOOSE({1,2},Clientes_Proveedores[Razon Social],Clientes_Proveedores[Ruc / Dni]),2,0),"")</f>
        <v/>
      </c>
      <c r="X1628" s="25" t="s">
        <v>1090</v>
      </c>
      <c r="Y1628" s="25" t="s">
        <v>2726</v>
      </c>
      <c r="Z1628" s="25"/>
      <c r="AA1628" s="99"/>
      <c r="AB1628" s="3" t="str">
        <f>IF(BCP_Soles[[#This Row],[FECHA]]&gt;0,TEXT(BCP_Soles[[#This Row],[FECHA]],"mmmm"),0)</f>
        <v>Mayo</v>
      </c>
    </row>
    <row r="1629" spans="2:28" x14ac:dyDescent="0.3">
      <c r="B1629" s="2">
        <f>IF(BCP_Soles[[#This Row],[TIPO DE R.]]="R",COUNTIFS($D$4:$D1628,"R")+1,"")</f>
        <v>1260</v>
      </c>
      <c r="C1629" s="19" t="str">
        <f t="shared" si="125"/>
        <v>B-BCP - Soles</v>
      </c>
      <c r="D1629" s="3" t="s">
        <v>1074</v>
      </c>
      <c r="E1629" s="14">
        <v>45789</v>
      </c>
      <c r="F1629" s="5" t="s">
        <v>1239</v>
      </c>
      <c r="G1629" s="5" t="s">
        <v>1087</v>
      </c>
      <c r="H1629" s="6"/>
      <c r="I1629" s="6"/>
      <c r="J1629" s="6"/>
      <c r="K1629" s="6"/>
      <c r="L1629" s="7" t="s">
        <v>1100</v>
      </c>
      <c r="M1629" s="8">
        <v>2825036</v>
      </c>
      <c r="N1629" s="8" t="str">
        <f t="shared" si="126"/>
        <v>PEN</v>
      </c>
      <c r="O1629" s="13"/>
      <c r="P1629" s="13">
        <v>120</v>
      </c>
      <c r="Q1629" s="3">
        <f t="shared" si="127"/>
        <v>120</v>
      </c>
      <c r="R1629" s="3">
        <f t="shared" si="128"/>
        <v>0</v>
      </c>
      <c r="S1629" s="3">
        <f t="shared" si="129"/>
        <v>117742.47000000004</v>
      </c>
      <c r="T1629" s="24" t="s">
        <v>1081</v>
      </c>
      <c r="U1629" s="24" t="s">
        <v>1081</v>
      </c>
      <c r="V1629" s="67"/>
      <c r="W1629" s="25" t="str">
        <f>IFERROR(VLOOKUP(BCP_Soles[[#This Row],[DESTINATARIO]],CHOOSE({1,2},Clientes_Proveedores[Razon Social],Clientes_Proveedores[Ruc / Dni]),2,0),"")</f>
        <v/>
      </c>
      <c r="X1629" s="25" t="s">
        <v>1090</v>
      </c>
      <c r="Y1629" s="25" t="s">
        <v>2727</v>
      </c>
      <c r="Z1629" s="25"/>
      <c r="AA1629" s="99"/>
      <c r="AB1629" s="3" t="str">
        <f>IF(BCP_Soles[[#This Row],[FECHA]]&gt;0,TEXT(BCP_Soles[[#This Row],[FECHA]],"mmmm"),0)</f>
        <v>Mayo</v>
      </c>
    </row>
    <row r="1630" spans="2:28" ht="24" x14ac:dyDescent="0.3">
      <c r="B1630" s="2">
        <f>IF(BCP_Soles[[#This Row],[TIPO DE R.]]="R",COUNTIFS($D$4:$D1629,"R")+1,"")</f>
        <v>1261</v>
      </c>
      <c r="C1630" s="19" t="str">
        <f t="shared" si="125"/>
        <v>B-BCP - Soles</v>
      </c>
      <c r="D1630" s="3" t="s">
        <v>1074</v>
      </c>
      <c r="E1630" s="14">
        <v>45789</v>
      </c>
      <c r="F1630" s="5" t="s">
        <v>2728</v>
      </c>
      <c r="G1630" s="5" t="s">
        <v>1087</v>
      </c>
      <c r="H1630" s="6"/>
      <c r="I1630" s="6"/>
      <c r="J1630" s="6"/>
      <c r="K1630" s="6"/>
      <c r="L1630" s="7" t="s">
        <v>1100</v>
      </c>
      <c r="M1630" s="8">
        <v>2804316</v>
      </c>
      <c r="N1630" s="8" t="str">
        <f t="shared" si="126"/>
        <v>PEN</v>
      </c>
      <c r="O1630" s="13"/>
      <c r="P1630" s="13">
        <v>15</v>
      </c>
      <c r="Q1630" s="3">
        <f t="shared" si="127"/>
        <v>15</v>
      </c>
      <c r="R1630" s="3">
        <f t="shared" si="128"/>
        <v>0</v>
      </c>
      <c r="S1630" s="3">
        <f t="shared" si="129"/>
        <v>117757.47000000004</v>
      </c>
      <c r="T1630" s="24" t="s">
        <v>1081</v>
      </c>
      <c r="U1630" s="24" t="s">
        <v>1081</v>
      </c>
      <c r="V1630" s="67"/>
      <c r="W1630" s="25" t="str">
        <f>IFERROR(VLOOKUP(BCP_Soles[[#This Row],[DESTINATARIO]],CHOOSE({1,2},Clientes_Proveedores[Razon Social],Clientes_Proveedores[Ruc / Dni]),2,0),"")</f>
        <v/>
      </c>
      <c r="X1630" s="25" t="s">
        <v>1090</v>
      </c>
      <c r="Y1630" s="25" t="s">
        <v>2729</v>
      </c>
      <c r="Z1630" s="25"/>
      <c r="AA1630" s="99"/>
      <c r="AB1630" s="3" t="str">
        <f>IF(BCP_Soles[[#This Row],[FECHA]]&gt;0,TEXT(BCP_Soles[[#This Row],[FECHA]],"mmmm"),0)</f>
        <v>Mayo</v>
      </c>
    </row>
    <row r="1631" spans="2:28" ht="24" x14ac:dyDescent="0.3">
      <c r="B1631" s="2">
        <f>IF(BCP_Soles[[#This Row],[TIPO DE R.]]="R",COUNTIFS($D$4:$D1630,"R")+1,"")</f>
        <v>1262</v>
      </c>
      <c r="C1631" s="19" t="str">
        <f t="shared" si="125"/>
        <v>B-BCP - Soles</v>
      </c>
      <c r="D1631" s="3" t="s">
        <v>1074</v>
      </c>
      <c r="E1631" s="14">
        <v>45789</v>
      </c>
      <c r="F1631" s="5" t="s">
        <v>1082</v>
      </c>
      <c r="G1631" s="5" t="s">
        <v>1079</v>
      </c>
      <c r="H1631" s="6" t="s">
        <v>130</v>
      </c>
      <c r="I1631" s="6" t="s">
        <v>14</v>
      </c>
      <c r="J1631" s="6" t="s">
        <v>1121</v>
      </c>
      <c r="K1631" s="6">
        <v>402</v>
      </c>
      <c r="L1631" s="7" t="s">
        <v>2730</v>
      </c>
      <c r="M1631" s="8">
        <v>1219109</v>
      </c>
      <c r="N1631" s="8" t="str">
        <f t="shared" si="126"/>
        <v>PEN</v>
      </c>
      <c r="O1631" s="13"/>
      <c r="P1631" s="13">
        <v>120</v>
      </c>
      <c r="Q1631" s="3">
        <f t="shared" si="127"/>
        <v>0</v>
      </c>
      <c r="R1631" s="3">
        <f t="shared" si="128"/>
        <v>120</v>
      </c>
      <c r="S1631" s="3">
        <f t="shared" si="129"/>
        <v>117637.47000000004</v>
      </c>
      <c r="T1631" s="24" t="s">
        <v>1081</v>
      </c>
      <c r="U1631" s="24" t="s">
        <v>1081</v>
      </c>
      <c r="V1631" s="67"/>
      <c r="W1631" s="25">
        <f>IFERROR(VLOOKUP(BCP_Soles[[#This Row],[DESTINATARIO]],CHOOSE({1,2},Clientes_Proveedores[Razon Social],Clientes_Proveedores[Ruc / Dni]),2,0),"")</f>
        <v>10706063426</v>
      </c>
      <c r="X1631" s="25" t="s">
        <v>130</v>
      </c>
      <c r="Y1631" s="25" t="s">
        <v>2731</v>
      </c>
      <c r="Z1631" s="25"/>
      <c r="AA1631" s="99"/>
      <c r="AB1631" s="3" t="str">
        <f>IF(BCP_Soles[[#This Row],[FECHA]]&gt;0,TEXT(BCP_Soles[[#This Row],[FECHA]],"mmmm"),0)</f>
        <v>Mayo</v>
      </c>
    </row>
    <row r="1632" spans="2:28" ht="24" x14ac:dyDescent="0.3">
      <c r="B1632" s="2">
        <f>IF(BCP_Soles[[#This Row],[TIPO DE R.]]="R",COUNTIFS($D$4:$D1631,"R")+1,"")</f>
        <v>1263</v>
      </c>
      <c r="C1632" s="19" t="str">
        <f t="shared" si="125"/>
        <v>B-BCP - Soles</v>
      </c>
      <c r="D1632" s="3" t="s">
        <v>1074</v>
      </c>
      <c r="E1632" s="14">
        <v>45789</v>
      </c>
      <c r="F1632" s="5" t="s">
        <v>1082</v>
      </c>
      <c r="G1632" s="5" t="s">
        <v>1079</v>
      </c>
      <c r="H1632" s="6" t="s">
        <v>645</v>
      </c>
      <c r="I1632" s="6" t="s">
        <v>52</v>
      </c>
      <c r="J1632" s="6" t="s">
        <v>1225</v>
      </c>
      <c r="K1632" s="6">
        <v>30222675</v>
      </c>
      <c r="L1632" s="7" t="s">
        <v>1226</v>
      </c>
      <c r="M1632" s="8">
        <v>101681</v>
      </c>
      <c r="N1632" s="8" t="str">
        <f t="shared" si="126"/>
        <v>PEN</v>
      </c>
      <c r="O1632" s="13"/>
      <c r="P1632" s="13">
        <v>141.30000000000001</v>
      </c>
      <c r="Q1632" s="3">
        <f t="shared" si="127"/>
        <v>0</v>
      </c>
      <c r="R1632" s="3">
        <f t="shared" si="128"/>
        <v>141.30000000000001</v>
      </c>
      <c r="S1632" s="3">
        <f t="shared" si="129"/>
        <v>117496.17000000004</v>
      </c>
      <c r="T1632" s="24" t="s">
        <v>1081</v>
      </c>
      <c r="U1632" s="24" t="s">
        <v>1081</v>
      </c>
      <c r="V1632" s="67"/>
      <c r="W1632" s="25">
        <f>IFERROR(VLOOKUP(BCP_Soles[[#This Row],[DESTINATARIO]],CHOOSE({1,2},Clientes_Proveedores[Razon Social],Clientes_Proveedores[Ruc / Dni]),2,0),"")</f>
        <v>20100188628</v>
      </c>
      <c r="X1632" s="25" t="s">
        <v>1227</v>
      </c>
      <c r="Y1632" s="25" t="s">
        <v>2732</v>
      </c>
      <c r="Z1632" s="25"/>
      <c r="AA1632" s="99"/>
      <c r="AB1632" s="3" t="str">
        <f>IF(BCP_Soles[[#This Row],[FECHA]]&gt;0,TEXT(BCP_Soles[[#This Row],[FECHA]],"mmmm"),0)</f>
        <v>Mayo</v>
      </c>
    </row>
    <row r="1633" spans="2:28" x14ac:dyDescent="0.3">
      <c r="B1633" s="2">
        <f>IF(BCP_Soles[[#This Row],[TIPO DE R.]]="R",COUNTIFS($D$4:$D1632,"R")+1,"")</f>
        <v>1264</v>
      </c>
      <c r="C1633" s="19" t="str">
        <f t="shared" si="125"/>
        <v>B-BCP - Soles</v>
      </c>
      <c r="D1633" s="3" t="s">
        <v>1074</v>
      </c>
      <c r="E1633" s="14">
        <v>45789</v>
      </c>
      <c r="F1633" s="5" t="s">
        <v>1996</v>
      </c>
      <c r="G1633" s="5" t="s">
        <v>1079</v>
      </c>
      <c r="H1633" s="6" t="s">
        <v>350</v>
      </c>
      <c r="I1633" s="6" t="s">
        <v>14</v>
      </c>
      <c r="J1633" s="6" t="s">
        <v>2733</v>
      </c>
      <c r="K1633" s="6">
        <v>12096</v>
      </c>
      <c r="L1633" s="7" t="s">
        <v>1222</v>
      </c>
      <c r="M1633" s="8">
        <v>102160</v>
      </c>
      <c r="N1633" s="8" t="str">
        <f t="shared" si="126"/>
        <v>PEN</v>
      </c>
      <c r="O1633" s="13"/>
      <c r="P1633" s="13">
        <v>196.52</v>
      </c>
      <c r="Q1633" s="3">
        <f t="shared" si="127"/>
        <v>0</v>
      </c>
      <c r="R1633" s="3">
        <f t="shared" si="128"/>
        <v>196.52</v>
      </c>
      <c r="S1633" s="3">
        <f t="shared" si="129"/>
        <v>117299.65000000004</v>
      </c>
      <c r="T1633" s="24" t="s">
        <v>1081</v>
      </c>
      <c r="U1633" s="24" t="s">
        <v>1081</v>
      </c>
      <c r="V1633" s="67"/>
      <c r="W1633" s="25">
        <f>IFERROR(VLOOKUP(BCP_Soles[[#This Row],[DESTINATARIO]],CHOOSE({1,2},Clientes_Proveedores[Razon Social],Clientes_Proveedores[Ruc / Dni]),2,0),"")</f>
        <v>20549068201</v>
      </c>
      <c r="X1633" s="25" t="s">
        <v>1223</v>
      </c>
      <c r="Y1633" s="25" t="s">
        <v>2734</v>
      </c>
      <c r="Z1633" s="25"/>
      <c r="AA1633" s="99"/>
      <c r="AB1633" s="3" t="str">
        <f>IF(BCP_Soles[[#This Row],[FECHA]]&gt;0,TEXT(BCP_Soles[[#This Row],[FECHA]],"mmmm"),0)</f>
        <v>Mayo</v>
      </c>
    </row>
    <row r="1634" spans="2:28" ht="24" x14ac:dyDescent="0.3">
      <c r="B1634" s="2">
        <f>IF(BCP_Soles[[#This Row],[TIPO DE R.]]="R",COUNTIFS($D$4:$D1633,"R")+1,"")</f>
        <v>1265</v>
      </c>
      <c r="C1634" s="19" t="str">
        <f t="shared" si="125"/>
        <v>B-BCP - Soles</v>
      </c>
      <c r="D1634" s="3" t="s">
        <v>1074</v>
      </c>
      <c r="E1634" s="14">
        <v>45789</v>
      </c>
      <c r="F1634" s="5" t="s">
        <v>1082</v>
      </c>
      <c r="G1634" s="5" t="s">
        <v>1079</v>
      </c>
      <c r="H1634" s="6" t="s">
        <v>645</v>
      </c>
      <c r="I1634" s="6" t="s">
        <v>52</v>
      </c>
      <c r="J1634" s="6" t="s">
        <v>1225</v>
      </c>
      <c r="K1634" s="6">
        <v>30222735</v>
      </c>
      <c r="L1634" s="7" t="s">
        <v>1301</v>
      </c>
      <c r="M1634" s="8">
        <v>101680</v>
      </c>
      <c r="N1634" s="8" t="str">
        <f t="shared" si="126"/>
        <v>PEN</v>
      </c>
      <c r="O1634" s="13"/>
      <c r="P1634" s="13">
        <v>359.4</v>
      </c>
      <c r="Q1634" s="3">
        <f t="shared" si="127"/>
        <v>0</v>
      </c>
      <c r="R1634" s="3">
        <f t="shared" si="128"/>
        <v>359.4</v>
      </c>
      <c r="S1634" s="3">
        <f t="shared" si="129"/>
        <v>116940.25000000004</v>
      </c>
      <c r="T1634" s="24" t="s">
        <v>1081</v>
      </c>
      <c r="U1634" s="24" t="s">
        <v>1081</v>
      </c>
      <c r="V1634" s="67"/>
      <c r="W1634" s="25">
        <f>IFERROR(VLOOKUP(BCP_Soles[[#This Row],[DESTINATARIO]],CHOOSE({1,2},Clientes_Proveedores[Razon Social],Clientes_Proveedores[Ruc / Dni]),2,0),"")</f>
        <v>20100188628</v>
      </c>
      <c r="X1634" s="25" t="s">
        <v>1227</v>
      </c>
      <c r="Y1634" s="25" t="s">
        <v>2735</v>
      </c>
      <c r="Z1634" s="25"/>
      <c r="AA1634" s="99"/>
      <c r="AB1634" s="3" t="str">
        <f>IF(BCP_Soles[[#This Row],[FECHA]]&gt;0,TEXT(BCP_Soles[[#This Row],[FECHA]],"mmmm"),0)</f>
        <v>Mayo</v>
      </c>
    </row>
    <row r="1635" spans="2:28" x14ac:dyDescent="0.3">
      <c r="B1635" s="2">
        <f>IF(BCP_Soles[[#This Row],[TIPO DE R.]]="R",COUNTIFS($D$4:$D1634,"R")+1,"")</f>
        <v>1266</v>
      </c>
      <c r="C1635" s="19" t="str">
        <f t="shared" si="125"/>
        <v>B-BCP - Soles</v>
      </c>
      <c r="D1635" s="3" t="s">
        <v>1074</v>
      </c>
      <c r="E1635" s="14">
        <v>45789</v>
      </c>
      <c r="F1635" s="5" t="s">
        <v>1082</v>
      </c>
      <c r="G1635" s="5" t="s">
        <v>1079</v>
      </c>
      <c r="H1635" s="6" t="s">
        <v>637</v>
      </c>
      <c r="I1635" s="6" t="s">
        <v>14</v>
      </c>
      <c r="J1635" s="6" t="s">
        <v>1453</v>
      </c>
      <c r="K1635" s="6">
        <v>138448</v>
      </c>
      <c r="L1635" s="7" t="s">
        <v>1123</v>
      </c>
      <c r="M1635" s="8">
        <v>102660</v>
      </c>
      <c r="N1635" s="8" t="str">
        <f t="shared" si="126"/>
        <v>PEN</v>
      </c>
      <c r="O1635" s="13"/>
      <c r="P1635" s="13">
        <v>599.72</v>
      </c>
      <c r="Q1635" s="3">
        <f t="shared" si="127"/>
        <v>0</v>
      </c>
      <c r="R1635" s="3">
        <f t="shared" si="128"/>
        <v>599.72</v>
      </c>
      <c r="S1635" s="3">
        <f t="shared" si="129"/>
        <v>116340.53000000004</v>
      </c>
      <c r="T1635" s="24" t="s">
        <v>1081</v>
      </c>
      <c r="U1635" s="24" t="s">
        <v>1081</v>
      </c>
      <c r="V1635" s="67"/>
      <c r="W1635" s="25">
        <f>IFERROR(VLOOKUP(BCP_Soles[[#This Row],[DESTINATARIO]],CHOOSE({1,2},Clientes_Proveedores[Razon Social],Clientes_Proveedores[Ruc / Dni]),2,0),"")</f>
        <v>20127765279</v>
      </c>
      <c r="X1635" s="25" t="s">
        <v>1124</v>
      </c>
      <c r="Y1635" s="25" t="s">
        <v>2736</v>
      </c>
      <c r="Z1635" s="25"/>
      <c r="AA1635" s="99"/>
      <c r="AB1635" s="3" t="str">
        <f>IF(BCP_Soles[[#This Row],[FECHA]]&gt;0,TEXT(BCP_Soles[[#This Row],[FECHA]],"mmmm"),0)</f>
        <v>Mayo</v>
      </c>
    </row>
    <row r="1636" spans="2:28" x14ac:dyDescent="0.3">
      <c r="B1636" s="2">
        <f>IF(BCP_Soles[[#This Row],[TIPO DE R.]]="R",COUNTIFS($D$4:$D1635,"R")+1,"")</f>
        <v>1267</v>
      </c>
      <c r="C1636" s="19" t="str">
        <f t="shared" si="125"/>
        <v>B-BCP - Soles</v>
      </c>
      <c r="D1636" s="3" t="s">
        <v>1074</v>
      </c>
      <c r="E1636" s="14">
        <v>45789</v>
      </c>
      <c r="F1636" s="5" t="s">
        <v>1082</v>
      </c>
      <c r="G1636" s="5" t="s">
        <v>1079</v>
      </c>
      <c r="H1636" s="6" t="s">
        <v>637</v>
      </c>
      <c r="I1636" s="6" t="s">
        <v>14</v>
      </c>
      <c r="J1636" s="6" t="s">
        <v>1253</v>
      </c>
      <c r="K1636" s="6">
        <v>160575</v>
      </c>
      <c r="L1636" s="7" t="s">
        <v>1123</v>
      </c>
      <c r="M1636" s="8">
        <v>100215</v>
      </c>
      <c r="N1636" s="8" t="str">
        <f t="shared" si="126"/>
        <v>PEN</v>
      </c>
      <c r="O1636" s="13"/>
      <c r="P1636" s="13">
        <v>821.82</v>
      </c>
      <c r="Q1636" s="3">
        <f t="shared" si="127"/>
        <v>0</v>
      </c>
      <c r="R1636" s="3">
        <f t="shared" si="128"/>
        <v>821.82</v>
      </c>
      <c r="S1636" s="3">
        <f t="shared" si="129"/>
        <v>115518.71000000004</v>
      </c>
      <c r="T1636" s="24" t="s">
        <v>1081</v>
      </c>
      <c r="U1636" s="24" t="s">
        <v>1081</v>
      </c>
      <c r="V1636" s="67"/>
      <c r="W1636" s="25">
        <f>IFERROR(VLOOKUP(BCP_Soles[[#This Row],[DESTINATARIO]],CHOOSE({1,2},Clientes_Proveedores[Razon Social],Clientes_Proveedores[Ruc / Dni]),2,0),"")</f>
        <v>20127765279</v>
      </c>
      <c r="X1636" s="25" t="s">
        <v>1124</v>
      </c>
      <c r="Y1636" s="25" t="s">
        <v>2737</v>
      </c>
      <c r="Z1636" s="25"/>
      <c r="AA1636" s="99"/>
      <c r="AB1636" s="3" t="str">
        <f>IF(BCP_Soles[[#This Row],[FECHA]]&gt;0,TEXT(BCP_Soles[[#This Row],[FECHA]],"mmmm"),0)</f>
        <v>Mayo</v>
      </c>
    </row>
    <row r="1637" spans="2:28" x14ac:dyDescent="0.3">
      <c r="B1637" s="2">
        <f>IF(BCP_Soles[[#This Row],[TIPO DE R.]]="R",COUNTIFS($D$4:$D1636,"R")+1,"")</f>
        <v>1268</v>
      </c>
      <c r="C1637" s="19" t="str">
        <f t="shared" si="125"/>
        <v>B-BCP - Soles</v>
      </c>
      <c r="D1637" s="3" t="s">
        <v>1074</v>
      </c>
      <c r="E1637" s="14">
        <v>45789</v>
      </c>
      <c r="F1637" s="5" t="s">
        <v>1078</v>
      </c>
      <c r="G1637" s="5" t="s">
        <v>1079</v>
      </c>
      <c r="H1637" s="6"/>
      <c r="I1637" s="6"/>
      <c r="J1637" s="6"/>
      <c r="K1637" s="6"/>
      <c r="L1637" s="7" t="s">
        <v>1080</v>
      </c>
      <c r="M1637" s="8"/>
      <c r="N1637" s="8" t="str">
        <f t="shared" si="126"/>
        <v>PEN</v>
      </c>
      <c r="O1637" s="13"/>
      <c r="P1637" s="13">
        <v>0.3</v>
      </c>
      <c r="Q1637" s="3">
        <f t="shared" si="127"/>
        <v>0</v>
      </c>
      <c r="R1637" s="3">
        <f t="shared" si="128"/>
        <v>0.3</v>
      </c>
      <c r="S1637" s="3">
        <f t="shared" si="129"/>
        <v>115518.41000000003</v>
      </c>
      <c r="T1637" s="24"/>
      <c r="U1637" s="24" t="s">
        <v>1081</v>
      </c>
      <c r="V1637" s="67"/>
      <c r="W1637" s="25" t="str">
        <f>IFERROR(VLOOKUP(BCP_Soles[[#This Row],[DESTINATARIO]],CHOOSE({1,2},Clientes_Proveedores[Razon Social],Clientes_Proveedores[Ruc / Dni]),2,0),"")</f>
        <v/>
      </c>
      <c r="X1637" s="25"/>
      <c r="Y1637" s="25"/>
      <c r="Z1637" s="25"/>
      <c r="AA1637" s="99"/>
      <c r="AB1637" s="3" t="str">
        <f>IF(BCP_Soles[[#This Row],[FECHA]]&gt;0,TEXT(BCP_Soles[[#This Row],[FECHA]],"mmmm"),0)</f>
        <v>Mayo</v>
      </c>
    </row>
    <row r="1638" spans="2:28" ht="36" x14ac:dyDescent="0.3">
      <c r="B1638" s="2">
        <f>IF(BCP_Soles[[#This Row],[TIPO DE R.]]="R",COUNTIFS($D$4:$D1637,"R")+1,"")</f>
        <v>1269</v>
      </c>
      <c r="C1638" s="19" t="str">
        <f t="shared" si="125"/>
        <v>B-BCP - Soles</v>
      </c>
      <c r="D1638" s="3" t="s">
        <v>1074</v>
      </c>
      <c r="E1638" s="14">
        <v>45790</v>
      </c>
      <c r="F1638" s="5" t="s">
        <v>294</v>
      </c>
      <c r="G1638" s="5" t="s">
        <v>1087</v>
      </c>
      <c r="H1638" s="6"/>
      <c r="I1638" s="6"/>
      <c r="J1638" s="6"/>
      <c r="K1638" s="6"/>
      <c r="L1638" s="7" t="s">
        <v>2738</v>
      </c>
      <c r="M1638" s="8">
        <v>2204255</v>
      </c>
      <c r="N1638" s="8" t="str">
        <f t="shared" si="126"/>
        <v>PEN</v>
      </c>
      <c r="O1638" s="13"/>
      <c r="P1638" s="13">
        <v>9960.77</v>
      </c>
      <c r="Q1638" s="3">
        <f t="shared" si="127"/>
        <v>9960.77</v>
      </c>
      <c r="R1638" s="3">
        <f t="shared" si="128"/>
        <v>0</v>
      </c>
      <c r="S1638" s="3">
        <f t="shared" si="129"/>
        <v>125479.18000000004</v>
      </c>
      <c r="T1638" s="24" t="s">
        <v>1081</v>
      </c>
      <c r="U1638" s="24" t="s">
        <v>1081</v>
      </c>
      <c r="V1638" s="67"/>
      <c r="W1638" s="25" t="str">
        <f>IFERROR(VLOOKUP(BCP_Soles[[#This Row],[DESTINATARIO]],CHOOSE({1,2},Clientes_Proveedores[Razon Social],Clientes_Proveedores[Ruc / Dni]),2,0),"")</f>
        <v/>
      </c>
      <c r="X1638" s="25" t="s">
        <v>1090</v>
      </c>
      <c r="Y1638" s="25" t="s">
        <v>2739</v>
      </c>
      <c r="Z1638" s="25"/>
      <c r="AA1638" s="99"/>
      <c r="AB1638" s="3" t="str">
        <f>IF(BCP_Soles[[#This Row],[FECHA]]&gt;0,TEXT(BCP_Soles[[#This Row],[FECHA]],"mmmm"),0)</f>
        <v>Mayo</v>
      </c>
    </row>
    <row r="1639" spans="2:28" x14ac:dyDescent="0.3">
      <c r="B1639" s="2">
        <f>IF(BCP_Soles[[#This Row],[TIPO DE R.]]="R",COUNTIFS($D$4:$D1638,"R")+1,"")</f>
        <v>1270</v>
      </c>
      <c r="C1639" s="19" t="str">
        <f t="shared" si="125"/>
        <v>B-BCP - Soles</v>
      </c>
      <c r="D1639" s="3" t="s">
        <v>1074</v>
      </c>
      <c r="E1639" s="14">
        <v>45790</v>
      </c>
      <c r="F1639" s="5"/>
      <c r="G1639" s="5" t="s">
        <v>1087</v>
      </c>
      <c r="H1639" s="6"/>
      <c r="I1639" s="6"/>
      <c r="J1639" s="6"/>
      <c r="K1639" s="6"/>
      <c r="L1639" s="7" t="s">
        <v>1100</v>
      </c>
      <c r="M1639" s="8">
        <v>3310673</v>
      </c>
      <c r="N1639" s="8" t="str">
        <f t="shared" si="126"/>
        <v>PEN</v>
      </c>
      <c r="O1639" s="13"/>
      <c r="P1639" s="13">
        <v>4127</v>
      </c>
      <c r="Q1639" s="3">
        <f t="shared" si="127"/>
        <v>4127</v>
      </c>
      <c r="R1639" s="3">
        <f t="shared" si="128"/>
        <v>0</v>
      </c>
      <c r="S1639" s="3">
        <f t="shared" si="129"/>
        <v>129606.18000000004</v>
      </c>
      <c r="T1639" s="24" t="s">
        <v>1081</v>
      </c>
      <c r="U1639" s="24" t="s">
        <v>1081</v>
      </c>
      <c r="V1639" s="67"/>
      <c r="W1639" s="25" t="str">
        <f>IFERROR(VLOOKUP(BCP_Soles[[#This Row],[DESTINATARIO]],CHOOSE({1,2},Clientes_Proveedores[Razon Social],Clientes_Proveedores[Ruc / Dni]),2,0),"")</f>
        <v/>
      </c>
      <c r="X1639" s="25" t="s">
        <v>1090</v>
      </c>
      <c r="Y1639" s="25"/>
      <c r="Z1639" s="25"/>
      <c r="AA1639" s="99"/>
      <c r="AB1639" s="3" t="str">
        <f>IF(BCP_Soles[[#This Row],[FECHA]]&gt;0,TEXT(BCP_Soles[[#This Row],[FECHA]],"mmmm"),0)</f>
        <v>Mayo</v>
      </c>
    </row>
    <row r="1640" spans="2:28" ht="24" x14ac:dyDescent="0.3">
      <c r="B1640" s="2" t="str">
        <f>IF(BCP_Soles[[#This Row],[TIPO DE R.]]="R",COUNTIFS($D$4:$D1639,"R")+1,"")</f>
        <v/>
      </c>
      <c r="C1640" s="19" t="str">
        <f t="shared" si="125"/>
        <v>B-BCP - Soles</v>
      </c>
      <c r="D1640" s="3" t="s">
        <v>1101</v>
      </c>
      <c r="E1640" s="14">
        <v>45790</v>
      </c>
      <c r="F1640" s="5" t="s">
        <v>479</v>
      </c>
      <c r="G1640" s="5"/>
      <c r="H1640" s="6"/>
      <c r="I1640" s="6"/>
      <c r="J1640" s="6"/>
      <c r="K1640" s="6"/>
      <c r="L1640" s="7" t="s">
        <v>1100</v>
      </c>
      <c r="M1640" s="8">
        <v>3310673</v>
      </c>
      <c r="N1640" s="8" t="str">
        <f t="shared" si="126"/>
        <v>PEN</v>
      </c>
      <c r="O1640" s="13"/>
      <c r="P1640" s="13">
        <v>1335</v>
      </c>
      <c r="Q1640" s="3">
        <f t="shared" si="127"/>
        <v>0</v>
      </c>
      <c r="R1640" s="3">
        <f t="shared" si="128"/>
        <v>0</v>
      </c>
      <c r="S1640" s="3">
        <f t="shared" si="129"/>
        <v>129606.18000000004</v>
      </c>
      <c r="T1640" s="24" t="s">
        <v>1081</v>
      </c>
      <c r="U1640" s="24" t="s">
        <v>1081</v>
      </c>
      <c r="V1640" s="67"/>
      <c r="W1640" s="25" t="str">
        <f>IFERROR(VLOOKUP(BCP_Soles[[#This Row],[DESTINATARIO]],CHOOSE({1,2},Clientes_Proveedores[Razon Social],Clientes_Proveedores[Ruc / Dni]),2,0),"")</f>
        <v/>
      </c>
      <c r="X1640" s="25" t="s">
        <v>1090</v>
      </c>
      <c r="Y1640" s="25" t="s">
        <v>2514</v>
      </c>
      <c r="Z1640" s="25"/>
      <c r="AA1640" s="99"/>
      <c r="AB1640" s="3" t="str">
        <f>IF(BCP_Soles[[#This Row],[FECHA]]&gt;0,TEXT(BCP_Soles[[#This Row],[FECHA]],"mmmm"),0)</f>
        <v>Mayo</v>
      </c>
    </row>
    <row r="1641" spans="2:28" ht="24" x14ac:dyDescent="0.3">
      <c r="B1641" s="2" t="str">
        <f>IF(BCP_Soles[[#This Row],[TIPO DE R.]]="R",COUNTIFS($D$4:$D1640,"R")+1,"")</f>
        <v/>
      </c>
      <c r="C1641" s="19" t="str">
        <f t="shared" si="125"/>
        <v>B-BCP - Soles</v>
      </c>
      <c r="D1641" s="3" t="s">
        <v>1101</v>
      </c>
      <c r="E1641" s="14">
        <v>45790</v>
      </c>
      <c r="F1641" s="5" t="s">
        <v>479</v>
      </c>
      <c r="G1641" s="5"/>
      <c r="H1641" s="6"/>
      <c r="I1641" s="6"/>
      <c r="J1641" s="6"/>
      <c r="K1641" s="6"/>
      <c r="L1641" s="7" t="s">
        <v>1100</v>
      </c>
      <c r="M1641" s="8">
        <v>3310673</v>
      </c>
      <c r="N1641" s="8" t="str">
        <f t="shared" si="126"/>
        <v>PEN</v>
      </c>
      <c r="O1641" s="13"/>
      <c r="P1641" s="13">
        <v>1768</v>
      </c>
      <c r="Q1641" s="3">
        <f t="shared" si="127"/>
        <v>0</v>
      </c>
      <c r="R1641" s="3">
        <f t="shared" si="128"/>
        <v>0</v>
      </c>
      <c r="S1641" s="3">
        <f t="shared" si="129"/>
        <v>129606.18000000004</v>
      </c>
      <c r="T1641" s="24" t="s">
        <v>1081</v>
      </c>
      <c r="U1641" s="24" t="s">
        <v>1081</v>
      </c>
      <c r="V1641" s="67"/>
      <c r="W1641" s="25" t="str">
        <f>IFERROR(VLOOKUP(BCP_Soles[[#This Row],[DESTINATARIO]],CHOOSE({1,2},Clientes_Proveedores[Razon Social],Clientes_Proveedores[Ruc / Dni]),2,0),"")</f>
        <v/>
      </c>
      <c r="X1641" s="25" t="s">
        <v>1090</v>
      </c>
      <c r="Y1641" s="25" t="s">
        <v>2740</v>
      </c>
      <c r="Z1641" s="25"/>
      <c r="AA1641" s="99"/>
      <c r="AB1641" s="3" t="str">
        <f>IF(BCP_Soles[[#This Row],[FECHA]]&gt;0,TEXT(BCP_Soles[[#This Row],[FECHA]],"mmmm"),0)</f>
        <v>Mayo</v>
      </c>
    </row>
    <row r="1642" spans="2:28" ht="24" x14ac:dyDescent="0.3">
      <c r="B1642" s="2" t="str">
        <f>IF(BCP_Soles[[#This Row],[TIPO DE R.]]="R",COUNTIFS($D$4:$D1641,"R")+1,"")</f>
        <v/>
      </c>
      <c r="C1642" s="19" t="str">
        <f t="shared" si="125"/>
        <v>B-BCP - Soles</v>
      </c>
      <c r="D1642" s="3" t="s">
        <v>1101</v>
      </c>
      <c r="E1642" s="14">
        <v>45790</v>
      </c>
      <c r="F1642" s="5" t="s">
        <v>479</v>
      </c>
      <c r="G1642" s="5"/>
      <c r="H1642" s="6"/>
      <c r="I1642" s="6"/>
      <c r="J1642" s="6"/>
      <c r="K1642" s="6"/>
      <c r="L1642" s="7" t="s">
        <v>1100</v>
      </c>
      <c r="M1642" s="8">
        <v>3310673</v>
      </c>
      <c r="N1642" s="8" t="str">
        <f t="shared" si="126"/>
        <v>PEN</v>
      </c>
      <c r="O1642" s="13"/>
      <c r="P1642" s="13">
        <v>1024</v>
      </c>
      <c r="Q1642" s="3">
        <f t="shared" si="127"/>
        <v>0</v>
      </c>
      <c r="R1642" s="3">
        <f t="shared" si="128"/>
        <v>0</v>
      </c>
      <c r="S1642" s="3">
        <f t="shared" si="129"/>
        <v>129606.18000000004</v>
      </c>
      <c r="T1642" s="24" t="s">
        <v>1081</v>
      </c>
      <c r="U1642" s="24" t="s">
        <v>1081</v>
      </c>
      <c r="V1642" s="67"/>
      <c r="W1642" s="25" t="str">
        <f>IFERROR(VLOOKUP(BCP_Soles[[#This Row],[DESTINATARIO]],CHOOSE({1,2},Clientes_Proveedores[Razon Social],Clientes_Proveedores[Ruc / Dni]),2,0),"")</f>
        <v/>
      </c>
      <c r="X1642" s="25" t="s">
        <v>1090</v>
      </c>
      <c r="Y1642" s="25" t="s">
        <v>2741</v>
      </c>
      <c r="Z1642" s="25"/>
      <c r="AA1642" s="99"/>
      <c r="AB1642" s="3" t="str">
        <f>IF(BCP_Soles[[#This Row],[FECHA]]&gt;0,TEXT(BCP_Soles[[#This Row],[FECHA]],"mmmm"),0)</f>
        <v>Mayo</v>
      </c>
    </row>
    <row r="1643" spans="2:28" x14ac:dyDescent="0.3">
      <c r="B1643" s="2">
        <f>IF(BCP_Soles[[#This Row],[TIPO DE R.]]="R",COUNTIFS($D$4:$D1642,"R")+1,"")</f>
        <v>1271</v>
      </c>
      <c r="C1643" s="19" t="str">
        <f t="shared" si="125"/>
        <v>B-BCP - Soles</v>
      </c>
      <c r="D1643" s="3" t="s">
        <v>1074</v>
      </c>
      <c r="E1643" s="14">
        <v>45790</v>
      </c>
      <c r="F1643" s="5" t="s">
        <v>370</v>
      </c>
      <c r="G1643" s="5" t="s">
        <v>1087</v>
      </c>
      <c r="H1643" s="6"/>
      <c r="I1643" s="6"/>
      <c r="J1643" s="6"/>
      <c r="K1643" s="6"/>
      <c r="L1643" s="7" t="s">
        <v>2742</v>
      </c>
      <c r="M1643" s="8">
        <v>766176</v>
      </c>
      <c r="N1643" s="8" t="str">
        <f t="shared" si="126"/>
        <v>PEN</v>
      </c>
      <c r="O1643" s="13"/>
      <c r="P1643" s="13">
        <v>2492.16</v>
      </c>
      <c r="Q1643" s="3">
        <f t="shared" si="127"/>
        <v>2492.16</v>
      </c>
      <c r="R1643" s="3">
        <f t="shared" si="128"/>
        <v>0</v>
      </c>
      <c r="S1643" s="3">
        <f t="shared" si="129"/>
        <v>132098.34000000003</v>
      </c>
      <c r="T1643" s="24" t="s">
        <v>1081</v>
      </c>
      <c r="U1643" s="24" t="s">
        <v>1081</v>
      </c>
      <c r="V1643" s="67"/>
      <c r="W1643" s="25" t="str">
        <f>IFERROR(VLOOKUP(BCP_Soles[[#This Row],[DESTINATARIO]],CHOOSE({1,2},Clientes_Proveedores[Razon Social],Clientes_Proveedores[Ruc / Dni]),2,0),"")</f>
        <v/>
      </c>
      <c r="X1643" s="25" t="s">
        <v>1090</v>
      </c>
      <c r="Y1643" s="25" t="s">
        <v>2743</v>
      </c>
      <c r="Z1643" s="25"/>
      <c r="AA1643" s="99"/>
      <c r="AB1643" s="3" t="str">
        <f>IF(BCP_Soles[[#This Row],[FECHA]]&gt;0,TEXT(BCP_Soles[[#This Row],[FECHA]],"mmmm"),0)</f>
        <v>Mayo</v>
      </c>
    </row>
    <row r="1644" spans="2:28" x14ac:dyDescent="0.3">
      <c r="B1644" s="2">
        <f>IF(BCP_Soles[[#This Row],[TIPO DE R.]]="R",COUNTIFS($D$4:$D1643,"R")+1,"")</f>
        <v>1272</v>
      </c>
      <c r="C1644" s="19" t="str">
        <f t="shared" si="125"/>
        <v>B-BCP - Soles</v>
      </c>
      <c r="D1644" s="3" t="s">
        <v>1074</v>
      </c>
      <c r="E1644" s="14">
        <v>45790</v>
      </c>
      <c r="F1644" s="5" t="s">
        <v>382</v>
      </c>
      <c r="G1644" s="5" t="s">
        <v>1087</v>
      </c>
      <c r="H1644" s="6"/>
      <c r="I1644" s="6"/>
      <c r="J1644" s="6"/>
      <c r="K1644" s="6"/>
      <c r="L1644" s="7" t="s">
        <v>1100</v>
      </c>
      <c r="M1644" s="8">
        <v>1827386</v>
      </c>
      <c r="N1644" s="8" t="str">
        <f t="shared" si="126"/>
        <v>PEN</v>
      </c>
      <c r="O1644" s="13"/>
      <c r="P1644" s="13">
        <v>1040</v>
      </c>
      <c r="Q1644" s="3">
        <f t="shared" si="127"/>
        <v>1040</v>
      </c>
      <c r="R1644" s="3">
        <f t="shared" si="128"/>
        <v>0</v>
      </c>
      <c r="S1644" s="3">
        <f t="shared" si="129"/>
        <v>133138.34000000003</v>
      </c>
      <c r="T1644" s="24" t="s">
        <v>1081</v>
      </c>
      <c r="U1644" s="24" t="s">
        <v>1081</v>
      </c>
      <c r="V1644" s="67"/>
      <c r="W1644" s="25" t="str">
        <f>IFERROR(VLOOKUP(BCP_Soles[[#This Row],[DESTINATARIO]],CHOOSE({1,2},Clientes_Proveedores[Razon Social],Clientes_Proveedores[Ruc / Dni]),2,0),"")</f>
        <v/>
      </c>
      <c r="X1644" s="25" t="s">
        <v>1090</v>
      </c>
      <c r="Y1644" s="25" t="s">
        <v>2744</v>
      </c>
      <c r="Z1644" s="25"/>
      <c r="AA1644" s="99"/>
      <c r="AB1644" s="3" t="str">
        <f>IF(BCP_Soles[[#This Row],[FECHA]]&gt;0,TEXT(BCP_Soles[[#This Row],[FECHA]],"mmmm"),0)</f>
        <v>Mayo</v>
      </c>
    </row>
    <row r="1645" spans="2:28" ht="36" x14ac:dyDescent="0.3">
      <c r="B1645" s="2">
        <f>IF(BCP_Soles[[#This Row],[TIPO DE R.]]="R",COUNTIFS($D$4:$D1644,"R")+1,"")</f>
        <v>1273</v>
      </c>
      <c r="C1645" s="19" t="str">
        <f t="shared" si="125"/>
        <v>B-BCP - Soles</v>
      </c>
      <c r="D1645" s="3" t="s">
        <v>1074</v>
      </c>
      <c r="E1645" s="14">
        <v>45790</v>
      </c>
      <c r="F1645" s="5" t="s">
        <v>602</v>
      </c>
      <c r="G1645" s="5" t="s">
        <v>1087</v>
      </c>
      <c r="H1645" s="6"/>
      <c r="I1645" s="6"/>
      <c r="J1645" s="6"/>
      <c r="K1645" s="6"/>
      <c r="L1645" s="7" t="s">
        <v>1100</v>
      </c>
      <c r="M1645" s="8">
        <v>766623</v>
      </c>
      <c r="N1645" s="8" t="str">
        <f t="shared" si="126"/>
        <v>PEN</v>
      </c>
      <c r="O1645" s="13"/>
      <c r="P1645" s="13">
        <v>531</v>
      </c>
      <c r="Q1645" s="3">
        <f t="shared" si="127"/>
        <v>531</v>
      </c>
      <c r="R1645" s="3">
        <f t="shared" si="128"/>
        <v>0</v>
      </c>
      <c r="S1645" s="3">
        <f t="shared" si="129"/>
        <v>133669.34000000003</v>
      </c>
      <c r="T1645" s="24" t="s">
        <v>1081</v>
      </c>
      <c r="U1645" s="24" t="s">
        <v>1081</v>
      </c>
      <c r="V1645" s="67"/>
      <c r="W1645" s="25" t="str">
        <f>IFERROR(VLOOKUP(BCP_Soles[[#This Row],[DESTINATARIO]],CHOOSE({1,2},Clientes_Proveedores[Razon Social],Clientes_Proveedores[Ruc / Dni]),2,0),"")</f>
        <v/>
      </c>
      <c r="X1645" s="25" t="s">
        <v>1090</v>
      </c>
      <c r="Y1645" s="25" t="s">
        <v>2745</v>
      </c>
      <c r="Z1645" s="25"/>
      <c r="AA1645" s="99"/>
      <c r="AB1645" s="3" t="str">
        <f>IF(BCP_Soles[[#This Row],[FECHA]]&gt;0,TEXT(BCP_Soles[[#This Row],[FECHA]],"mmmm"),0)</f>
        <v>Mayo</v>
      </c>
    </row>
    <row r="1646" spans="2:28" ht="24" x14ac:dyDescent="0.3">
      <c r="B1646" s="2">
        <f>IF(BCP_Soles[[#This Row],[TIPO DE R.]]="R",COUNTIFS($D$4:$D1645,"R")+1,"")</f>
        <v>1274</v>
      </c>
      <c r="C1646" s="19" t="str">
        <f t="shared" si="125"/>
        <v>B-BCP - Soles</v>
      </c>
      <c r="D1646" s="3" t="s">
        <v>1074</v>
      </c>
      <c r="E1646" s="14">
        <v>45790</v>
      </c>
      <c r="F1646" s="5" t="s">
        <v>1996</v>
      </c>
      <c r="G1646" s="5" t="s">
        <v>1079</v>
      </c>
      <c r="H1646" s="6" t="s">
        <v>128</v>
      </c>
      <c r="I1646" s="6" t="s">
        <v>14</v>
      </c>
      <c r="J1646" s="6" t="s">
        <v>1121</v>
      </c>
      <c r="K1646" s="6">
        <v>134</v>
      </c>
      <c r="L1646" s="7" t="s">
        <v>2746</v>
      </c>
      <c r="M1646" s="8">
        <v>1214395</v>
      </c>
      <c r="N1646" s="8" t="str">
        <f t="shared" si="126"/>
        <v>PEN</v>
      </c>
      <c r="O1646" s="13"/>
      <c r="P1646" s="13">
        <v>1721.6</v>
      </c>
      <c r="Q1646" s="3">
        <f t="shared" si="127"/>
        <v>0</v>
      </c>
      <c r="R1646" s="3">
        <f t="shared" si="128"/>
        <v>1721.6</v>
      </c>
      <c r="S1646" s="3">
        <f t="shared" si="129"/>
        <v>131947.74000000002</v>
      </c>
      <c r="T1646" s="24" t="s">
        <v>1081</v>
      </c>
      <c r="U1646" s="24" t="s">
        <v>1081</v>
      </c>
      <c r="V1646" s="67"/>
      <c r="W1646" s="25">
        <f>IFERROR(VLOOKUP(BCP_Soles[[#This Row],[DESTINATARIO]],CHOOSE({1,2},Clientes_Proveedores[Razon Social],Clientes_Proveedores[Ruc / Dni]),2,0),"")</f>
        <v>10489531963</v>
      </c>
      <c r="X1646" s="25" t="s">
        <v>128</v>
      </c>
      <c r="Y1646" s="25" t="s">
        <v>2747</v>
      </c>
      <c r="Z1646" s="25"/>
      <c r="AA1646" s="99"/>
      <c r="AB1646" s="3" t="str">
        <f>IF(BCP_Soles[[#This Row],[FECHA]]&gt;0,TEXT(BCP_Soles[[#This Row],[FECHA]],"mmmm"),0)</f>
        <v>Mayo</v>
      </c>
    </row>
    <row r="1647" spans="2:28" ht="24" x14ac:dyDescent="0.3">
      <c r="B1647" s="2">
        <f>IF(BCP_Soles[[#This Row],[TIPO DE R.]]="R",COUNTIFS($D$4:$D1646,"R")+1,"")</f>
        <v>1275</v>
      </c>
      <c r="C1647" s="19" t="str">
        <f t="shared" si="125"/>
        <v>B-BCP - Soles</v>
      </c>
      <c r="D1647" s="3" t="s">
        <v>1074</v>
      </c>
      <c r="E1647" s="14">
        <v>45790</v>
      </c>
      <c r="F1647" s="5" t="s">
        <v>1996</v>
      </c>
      <c r="G1647" s="5" t="s">
        <v>1079</v>
      </c>
      <c r="H1647" s="6" t="s">
        <v>192</v>
      </c>
      <c r="I1647" s="6"/>
      <c r="J1647" s="6"/>
      <c r="K1647" s="6"/>
      <c r="L1647" s="7" t="s">
        <v>2748</v>
      </c>
      <c r="M1647" s="8">
        <v>1214394</v>
      </c>
      <c r="N1647" s="8" t="str">
        <f t="shared" si="126"/>
        <v>PEN</v>
      </c>
      <c r="O1647" s="13"/>
      <c r="P1647" s="13">
        <v>1894.38</v>
      </c>
      <c r="Q1647" s="3">
        <f t="shared" si="127"/>
        <v>0</v>
      </c>
      <c r="R1647" s="3">
        <f t="shared" si="128"/>
        <v>1894.38</v>
      </c>
      <c r="S1647" s="3">
        <f t="shared" si="129"/>
        <v>130053.36000000002</v>
      </c>
      <c r="T1647" s="24"/>
      <c r="U1647" s="24"/>
      <c r="V1647" s="67"/>
      <c r="W1647" s="25">
        <f>IFERROR(VLOOKUP(BCP_Soles[[#This Row],[DESTINATARIO]],CHOOSE({1,2},Clientes_Proveedores[Razon Social],Clientes_Proveedores[Ruc / Dni]),2,0),"")</f>
        <v>20302891452</v>
      </c>
      <c r="X1647" s="25" t="s">
        <v>192</v>
      </c>
      <c r="Y1647" s="25"/>
      <c r="Z1647" s="25"/>
      <c r="AA1647" s="99"/>
      <c r="AB1647" s="3" t="str">
        <f>IF(BCP_Soles[[#This Row],[FECHA]]&gt;0,TEXT(BCP_Soles[[#This Row],[FECHA]],"mmmm"),0)</f>
        <v>Mayo</v>
      </c>
    </row>
    <row r="1648" spans="2:28" ht="24" x14ac:dyDescent="0.3">
      <c r="B1648" s="2">
        <f>IF(BCP_Soles[[#This Row],[TIPO DE R.]]="R",COUNTIFS($D$4:$D1647,"R")+1,"")</f>
        <v>1276</v>
      </c>
      <c r="C1648" s="19" t="str">
        <f t="shared" si="125"/>
        <v>B-BCP - Soles</v>
      </c>
      <c r="D1648" s="3" t="s">
        <v>1074</v>
      </c>
      <c r="E1648" s="14">
        <v>45790</v>
      </c>
      <c r="F1648" s="5" t="s">
        <v>1996</v>
      </c>
      <c r="G1648" s="5" t="s">
        <v>1079</v>
      </c>
      <c r="H1648" s="6" t="s">
        <v>842</v>
      </c>
      <c r="I1648" s="6"/>
      <c r="J1648" s="6"/>
      <c r="K1648" s="6"/>
      <c r="L1648" s="7" t="s">
        <v>2749</v>
      </c>
      <c r="M1648" s="8">
        <v>1112266</v>
      </c>
      <c r="N1648" s="8" t="str">
        <f t="shared" si="126"/>
        <v>PEN</v>
      </c>
      <c r="O1648" s="13"/>
      <c r="P1648" s="13">
        <v>3000.15</v>
      </c>
      <c r="Q1648" s="3">
        <f t="shared" si="127"/>
        <v>0</v>
      </c>
      <c r="R1648" s="3">
        <f t="shared" si="128"/>
        <v>3000.15</v>
      </c>
      <c r="S1648" s="3">
        <f t="shared" si="129"/>
        <v>127053.21000000002</v>
      </c>
      <c r="T1648" s="24"/>
      <c r="U1648" s="24" t="s">
        <v>1081</v>
      </c>
      <c r="V1648" s="67"/>
      <c r="W1648" s="25">
        <f>IFERROR(VLOOKUP(BCP_Soles[[#This Row],[DESTINATARIO]],CHOOSE({1,2},Clientes_Proveedores[Razon Social],Clientes_Proveedores[Ruc / Dni]),2,0),"")</f>
        <v>72131384</v>
      </c>
      <c r="X1648" s="25" t="s">
        <v>842</v>
      </c>
      <c r="Y1648" s="25" t="s">
        <v>2750</v>
      </c>
      <c r="Z1648" s="25"/>
      <c r="AA1648" s="99"/>
      <c r="AB1648" s="3" t="str">
        <f>IF(BCP_Soles[[#This Row],[FECHA]]&gt;0,TEXT(BCP_Soles[[#This Row],[FECHA]],"mmmm"),0)</f>
        <v>Mayo</v>
      </c>
    </row>
    <row r="1649" spans="2:28" ht="36" x14ac:dyDescent="0.3">
      <c r="B1649" s="2">
        <f>IF(BCP_Soles[[#This Row],[TIPO DE R.]]="R",COUNTIFS($D$4:$D1648,"R")+1,"")</f>
        <v>1277</v>
      </c>
      <c r="C1649" s="19" t="str">
        <f t="shared" si="125"/>
        <v>B-BCP - Soles</v>
      </c>
      <c r="D1649" s="3" t="s">
        <v>1074</v>
      </c>
      <c r="E1649" s="14">
        <v>45790</v>
      </c>
      <c r="F1649" s="5" t="s">
        <v>1996</v>
      </c>
      <c r="G1649" s="5" t="s">
        <v>1079</v>
      </c>
      <c r="H1649" s="6" t="s">
        <v>880</v>
      </c>
      <c r="I1649" s="6" t="s">
        <v>87</v>
      </c>
      <c r="J1649" s="6">
        <v>1</v>
      </c>
      <c r="K1649" s="6">
        <v>322025</v>
      </c>
      <c r="L1649" s="7" t="s">
        <v>2751</v>
      </c>
      <c r="M1649" s="8">
        <v>1112267</v>
      </c>
      <c r="N1649" s="8" t="str">
        <f t="shared" si="126"/>
        <v>PEN</v>
      </c>
      <c r="O1649" s="13"/>
      <c r="P1649" s="13">
        <v>11335</v>
      </c>
      <c r="Q1649" s="3">
        <f t="shared" si="127"/>
        <v>0</v>
      </c>
      <c r="R1649" s="3">
        <f t="shared" si="128"/>
        <v>11335</v>
      </c>
      <c r="S1649" s="3">
        <f t="shared" si="129"/>
        <v>115718.21000000002</v>
      </c>
      <c r="T1649" s="24" t="s">
        <v>1081</v>
      </c>
      <c r="U1649" s="24" t="s">
        <v>1081</v>
      </c>
      <c r="V1649" s="67"/>
      <c r="W1649" s="25">
        <f>IFERROR(VLOOKUP(BCP_Soles[[#This Row],[DESTINATARIO]],CHOOSE({1,2},Clientes_Proveedores[Razon Social],Clientes_Proveedores[Ruc / Dni]),2,0),"")</f>
        <v>72531546</v>
      </c>
      <c r="X1649" s="25" t="s">
        <v>880</v>
      </c>
      <c r="Y1649" s="25" t="s">
        <v>2752</v>
      </c>
      <c r="Z1649" s="25"/>
      <c r="AA1649" s="99"/>
      <c r="AB1649" s="3" t="str">
        <f>IF(BCP_Soles[[#This Row],[FECHA]]&gt;0,TEXT(BCP_Soles[[#This Row],[FECHA]],"mmmm"),0)</f>
        <v>Mayo</v>
      </c>
    </row>
    <row r="1650" spans="2:28" ht="36" x14ac:dyDescent="0.3">
      <c r="B1650" s="2">
        <f>IF(BCP_Soles[[#This Row],[TIPO DE R.]]="R",COUNTIFS($D$4:$D1649,"R")+1,"")</f>
        <v>1278</v>
      </c>
      <c r="C1650" s="19" t="str">
        <f t="shared" si="125"/>
        <v>B-BCP - Soles</v>
      </c>
      <c r="D1650" s="3" t="s">
        <v>1074</v>
      </c>
      <c r="E1650" s="14">
        <v>45790</v>
      </c>
      <c r="F1650" s="5" t="s">
        <v>204</v>
      </c>
      <c r="G1650" s="5" t="s">
        <v>1087</v>
      </c>
      <c r="H1650" s="6"/>
      <c r="I1650" s="6"/>
      <c r="J1650" s="6"/>
      <c r="K1650" s="6"/>
      <c r="L1650" s="7" t="s">
        <v>2753</v>
      </c>
      <c r="M1650" s="8">
        <v>4926802</v>
      </c>
      <c r="N1650" s="8" t="str">
        <f t="shared" si="126"/>
        <v>PEN</v>
      </c>
      <c r="O1650" s="13"/>
      <c r="P1650" s="13">
        <v>23592.02</v>
      </c>
      <c r="Q1650" s="3">
        <f t="shared" si="127"/>
        <v>23592.02</v>
      </c>
      <c r="R1650" s="3">
        <f t="shared" si="128"/>
        <v>0</v>
      </c>
      <c r="S1650" s="3">
        <f t="shared" si="129"/>
        <v>139310.23000000001</v>
      </c>
      <c r="T1650" s="24" t="s">
        <v>1081</v>
      </c>
      <c r="U1650" s="24" t="s">
        <v>1081</v>
      </c>
      <c r="V1650" s="67"/>
      <c r="W1650" s="25" t="str">
        <f>IFERROR(VLOOKUP(BCP_Soles[[#This Row],[DESTINATARIO]],CHOOSE({1,2},Clientes_Proveedores[Razon Social],Clientes_Proveedores[Ruc / Dni]),2,0),"")</f>
        <v/>
      </c>
      <c r="X1650" s="25" t="s">
        <v>1090</v>
      </c>
      <c r="Y1650" s="25" t="s">
        <v>2754</v>
      </c>
      <c r="Z1650" s="25"/>
      <c r="AA1650" s="99"/>
      <c r="AB1650" s="3" t="str">
        <f>IF(BCP_Soles[[#This Row],[FECHA]]&gt;0,TEXT(BCP_Soles[[#This Row],[FECHA]],"mmmm"),0)</f>
        <v>Mayo</v>
      </c>
    </row>
    <row r="1651" spans="2:28" x14ac:dyDescent="0.3">
      <c r="B1651" s="2">
        <f>IF(BCP_Soles[[#This Row],[TIPO DE R.]]="R",COUNTIFS($D$4:$D1650,"R")+1,"")</f>
        <v>1279</v>
      </c>
      <c r="C1651" s="19" t="str">
        <f t="shared" si="125"/>
        <v>B-BCP - Soles</v>
      </c>
      <c r="D1651" s="3" t="s">
        <v>1074</v>
      </c>
      <c r="E1651" s="14">
        <v>45790</v>
      </c>
      <c r="F1651" s="5" t="s">
        <v>1078</v>
      </c>
      <c r="G1651" s="5" t="s">
        <v>1079</v>
      </c>
      <c r="H1651" s="6"/>
      <c r="I1651" s="6"/>
      <c r="J1651" s="6"/>
      <c r="K1651" s="6"/>
      <c r="L1651" s="7" t="s">
        <v>1080</v>
      </c>
      <c r="M1651" s="8"/>
      <c r="N1651" s="8" t="str">
        <f t="shared" si="126"/>
        <v>PEN</v>
      </c>
      <c r="O1651" s="13"/>
      <c r="P1651" s="13">
        <v>2.75</v>
      </c>
      <c r="Q1651" s="3">
        <f t="shared" si="127"/>
        <v>0</v>
      </c>
      <c r="R1651" s="3">
        <f t="shared" si="128"/>
        <v>2.75</v>
      </c>
      <c r="S1651" s="3">
        <f t="shared" si="129"/>
        <v>139307.48000000001</v>
      </c>
      <c r="T1651" s="24"/>
      <c r="U1651" s="24" t="s">
        <v>1081</v>
      </c>
      <c r="V1651" s="67"/>
      <c r="W1651" s="25" t="str">
        <f>IFERROR(VLOOKUP(BCP_Soles[[#This Row],[DESTINATARIO]],CHOOSE({1,2},Clientes_Proveedores[Razon Social],Clientes_Proveedores[Ruc / Dni]),2,0),"")</f>
        <v/>
      </c>
      <c r="X1651" s="25"/>
      <c r="Y1651" s="25"/>
      <c r="Z1651" s="25"/>
      <c r="AA1651" s="99"/>
      <c r="AB1651" s="3" t="str">
        <f>IF(BCP_Soles[[#This Row],[FECHA]]&gt;0,TEXT(BCP_Soles[[#This Row],[FECHA]],"mmmm"),0)</f>
        <v>Mayo</v>
      </c>
    </row>
    <row r="1652" spans="2:28" ht="24" x14ac:dyDescent="0.3">
      <c r="B1652" s="2">
        <f>IF(BCP_Soles[[#This Row],[TIPO DE R.]]="R",COUNTIFS($D$4:$D1651,"R")+1,"")</f>
        <v>1280</v>
      </c>
      <c r="C1652" s="19" t="str">
        <f t="shared" si="125"/>
        <v>B-BCP - Soles</v>
      </c>
      <c r="D1652" s="3" t="s">
        <v>1074</v>
      </c>
      <c r="E1652" s="14">
        <v>45791</v>
      </c>
      <c r="F1652" s="5" t="s">
        <v>619</v>
      </c>
      <c r="G1652" s="5" t="s">
        <v>1087</v>
      </c>
      <c r="H1652" s="6"/>
      <c r="I1652" s="6"/>
      <c r="J1652" s="6"/>
      <c r="K1652" s="6"/>
      <c r="L1652" s="7" t="s">
        <v>1374</v>
      </c>
      <c r="M1652" s="8">
        <v>2553328</v>
      </c>
      <c r="N1652" s="8" t="str">
        <f t="shared" si="126"/>
        <v>PEN</v>
      </c>
      <c r="O1652" s="13"/>
      <c r="P1652" s="13">
        <v>3318.16</v>
      </c>
      <c r="Q1652" s="3">
        <f t="shared" si="127"/>
        <v>3318.16</v>
      </c>
      <c r="R1652" s="3">
        <f t="shared" si="128"/>
        <v>0</v>
      </c>
      <c r="S1652" s="3">
        <f t="shared" si="129"/>
        <v>142625.64000000001</v>
      </c>
      <c r="T1652" s="24" t="s">
        <v>1081</v>
      </c>
      <c r="U1652" s="24" t="s">
        <v>1081</v>
      </c>
      <c r="V1652" s="67"/>
      <c r="W1652" s="25" t="str">
        <f>IFERROR(VLOOKUP(BCP_Soles[[#This Row],[DESTINATARIO]],CHOOSE({1,2},Clientes_Proveedores[Razon Social],Clientes_Proveedores[Ruc / Dni]),2,0),"")</f>
        <v/>
      </c>
      <c r="X1652" s="25" t="s">
        <v>1090</v>
      </c>
      <c r="Y1652" s="25" t="s">
        <v>2755</v>
      </c>
      <c r="Z1652" s="25"/>
      <c r="AA1652" s="99"/>
      <c r="AB1652" s="3" t="str">
        <f>IF(BCP_Soles[[#This Row],[FECHA]]&gt;0,TEXT(BCP_Soles[[#This Row],[FECHA]],"mmmm"),0)</f>
        <v>Mayo</v>
      </c>
    </row>
    <row r="1653" spans="2:28" ht="24" x14ac:dyDescent="0.3">
      <c r="B1653" s="2">
        <f>IF(BCP_Soles[[#This Row],[TIPO DE R.]]="R",COUNTIFS($D$4:$D1652,"R")+1,"")</f>
        <v>1281</v>
      </c>
      <c r="C1653" s="19" t="str">
        <f t="shared" si="125"/>
        <v>B-BCP - Soles</v>
      </c>
      <c r="D1653" s="3" t="s">
        <v>1074</v>
      </c>
      <c r="E1653" s="14">
        <v>45791</v>
      </c>
      <c r="F1653" s="5" t="s">
        <v>1373</v>
      </c>
      <c r="G1653" s="5" t="s">
        <v>1087</v>
      </c>
      <c r="H1653" s="6" t="s">
        <v>368</v>
      </c>
      <c r="I1653" s="6" t="s">
        <v>87</v>
      </c>
      <c r="J1653" s="6">
        <v>1</v>
      </c>
      <c r="K1653" s="6">
        <v>282025</v>
      </c>
      <c r="L1653" s="7" t="s">
        <v>2756</v>
      </c>
      <c r="M1653" s="8">
        <v>2872326</v>
      </c>
      <c r="N1653" s="8" t="str">
        <f t="shared" si="126"/>
        <v>PEN</v>
      </c>
      <c r="O1653" s="13"/>
      <c r="P1653" s="13">
        <v>143.62</v>
      </c>
      <c r="Q1653" s="3">
        <f t="shared" si="127"/>
        <v>143.62</v>
      </c>
      <c r="R1653" s="3">
        <f t="shared" si="128"/>
        <v>0</v>
      </c>
      <c r="S1653" s="3">
        <f t="shared" si="129"/>
        <v>142769.26</v>
      </c>
      <c r="T1653" s="24" t="s">
        <v>1081</v>
      </c>
      <c r="U1653" s="24"/>
      <c r="V1653" s="67"/>
      <c r="W1653" s="25">
        <f>IFERROR(VLOOKUP(BCP_Soles[[#This Row],[DESTINATARIO]],CHOOSE({1,2},Clientes_Proveedores[Razon Social],Clientes_Proveedores[Ruc / Dni]),2,0),"")</f>
        <v>20558226979</v>
      </c>
      <c r="X1653" s="25" t="s">
        <v>1090</v>
      </c>
      <c r="Y1653" s="25" t="s">
        <v>2757</v>
      </c>
      <c r="Z1653" s="25"/>
      <c r="AA1653" s="99"/>
      <c r="AB1653" s="3" t="str">
        <f>IF(BCP_Soles[[#This Row],[FECHA]]&gt;0,TEXT(BCP_Soles[[#This Row],[FECHA]],"mmmm"),0)</f>
        <v>Mayo</v>
      </c>
    </row>
    <row r="1654" spans="2:28" ht="24" x14ac:dyDescent="0.3">
      <c r="B1654" s="2">
        <f>IF(BCP_Soles[[#This Row],[TIPO DE R.]]="R",COUNTIFS($D$4:$D1653,"R")+1,"")</f>
        <v>1282</v>
      </c>
      <c r="C1654" s="19" t="str">
        <f t="shared" si="125"/>
        <v>B-BCP - Soles</v>
      </c>
      <c r="D1654" s="3" t="s">
        <v>1074</v>
      </c>
      <c r="E1654" s="14">
        <v>45791</v>
      </c>
      <c r="F1654" s="5" t="s">
        <v>1373</v>
      </c>
      <c r="G1654" s="5" t="s">
        <v>1087</v>
      </c>
      <c r="H1654" s="6" t="s">
        <v>368</v>
      </c>
      <c r="I1654" s="6" t="s">
        <v>87</v>
      </c>
      <c r="J1654" s="6">
        <v>1</v>
      </c>
      <c r="K1654" s="6"/>
      <c r="L1654" s="7" t="s">
        <v>2758</v>
      </c>
      <c r="M1654" s="8">
        <v>2867064</v>
      </c>
      <c r="N1654" s="8" t="str">
        <f t="shared" si="126"/>
        <v>PEN</v>
      </c>
      <c r="O1654" s="13"/>
      <c r="P1654" s="13">
        <v>19</v>
      </c>
      <c r="Q1654" s="3">
        <f t="shared" si="127"/>
        <v>19</v>
      </c>
      <c r="R1654" s="3">
        <f t="shared" si="128"/>
        <v>0</v>
      </c>
      <c r="S1654" s="3">
        <f t="shared" si="129"/>
        <v>142788.26</v>
      </c>
      <c r="T1654" s="24"/>
      <c r="U1654" s="24"/>
      <c r="V1654" s="67"/>
      <c r="W1654" s="25">
        <f>IFERROR(VLOOKUP(BCP_Soles[[#This Row],[DESTINATARIO]],CHOOSE({1,2},Clientes_Proveedores[Razon Social],Clientes_Proveedores[Ruc / Dni]),2,0),"")</f>
        <v>20558226979</v>
      </c>
      <c r="X1654" s="25" t="s">
        <v>1090</v>
      </c>
      <c r="Y1654" s="25" t="s">
        <v>2414</v>
      </c>
      <c r="Z1654" s="25"/>
      <c r="AA1654" s="99"/>
      <c r="AB1654" s="3" t="str">
        <f>IF(BCP_Soles[[#This Row],[FECHA]]&gt;0,TEXT(BCP_Soles[[#This Row],[FECHA]],"mmmm"),0)</f>
        <v>Mayo</v>
      </c>
    </row>
    <row r="1655" spans="2:28" x14ac:dyDescent="0.3">
      <c r="B1655" s="2">
        <f>IF(BCP_Soles[[#This Row],[TIPO DE R.]]="R",COUNTIFS($D$4:$D1654,"R")+1,"")</f>
        <v>1283</v>
      </c>
      <c r="C1655" s="19" t="str">
        <f t="shared" si="125"/>
        <v>B-BCP - Soles</v>
      </c>
      <c r="D1655" s="3" t="s">
        <v>1074</v>
      </c>
      <c r="E1655" s="14">
        <v>45791</v>
      </c>
      <c r="F1655" s="5" t="s">
        <v>1078</v>
      </c>
      <c r="G1655" s="5" t="s">
        <v>1079</v>
      </c>
      <c r="H1655" s="6"/>
      <c r="I1655" s="6"/>
      <c r="J1655" s="6"/>
      <c r="K1655" s="6"/>
      <c r="L1655" s="7" t="s">
        <v>1080</v>
      </c>
      <c r="M1655" s="8"/>
      <c r="N1655" s="8" t="str">
        <f t="shared" si="126"/>
        <v>PEN</v>
      </c>
      <c r="O1655" s="13"/>
      <c r="P1655" s="13">
        <v>0.6</v>
      </c>
      <c r="Q1655" s="3">
        <f t="shared" si="127"/>
        <v>0</v>
      </c>
      <c r="R1655" s="3">
        <f t="shared" si="128"/>
        <v>0.6</v>
      </c>
      <c r="S1655" s="3">
        <f t="shared" si="129"/>
        <v>142787.66</v>
      </c>
      <c r="T1655" s="24"/>
      <c r="U1655" s="24" t="s">
        <v>1081</v>
      </c>
      <c r="V1655" s="67"/>
      <c r="W1655" s="25" t="str">
        <f>IFERROR(VLOOKUP(BCP_Soles[[#This Row],[DESTINATARIO]],CHOOSE({1,2},Clientes_Proveedores[Razon Social],Clientes_Proveedores[Ruc / Dni]),2,0),"")</f>
        <v/>
      </c>
      <c r="X1655" s="25"/>
      <c r="Y1655" s="25"/>
      <c r="Z1655" s="25"/>
      <c r="AA1655" s="99"/>
      <c r="AB1655" s="3" t="str">
        <f>IF(BCP_Soles[[#This Row],[FECHA]]&gt;0,TEXT(BCP_Soles[[#This Row],[FECHA]],"mmmm"),0)</f>
        <v>Mayo</v>
      </c>
    </row>
    <row r="1656" spans="2:28" x14ac:dyDescent="0.3">
      <c r="B1656" s="2">
        <f>IF(BCP_Soles[[#This Row],[TIPO DE R.]]="R",COUNTIFS($D$4:$D1655,"R")+1,"")</f>
        <v>1284</v>
      </c>
      <c r="C1656" s="19" t="str">
        <f t="shared" si="125"/>
        <v>B-BCP - Soles</v>
      </c>
      <c r="D1656" s="3" t="s">
        <v>1074</v>
      </c>
      <c r="E1656" s="14">
        <v>45791</v>
      </c>
      <c r="F1656" s="5" t="s">
        <v>1078</v>
      </c>
      <c r="G1656" s="5" t="s">
        <v>1079</v>
      </c>
      <c r="H1656" s="6"/>
      <c r="I1656" s="6"/>
      <c r="J1656" s="6"/>
      <c r="K1656" s="6"/>
      <c r="L1656" s="7" t="s">
        <v>2759</v>
      </c>
      <c r="M1656" s="8">
        <v>5454110</v>
      </c>
      <c r="N1656" s="8" t="str">
        <f t="shared" si="126"/>
        <v>PEN</v>
      </c>
      <c r="O1656" s="13"/>
      <c r="P1656" s="13">
        <v>5</v>
      </c>
      <c r="Q1656" s="3">
        <f t="shared" si="127"/>
        <v>0</v>
      </c>
      <c r="R1656" s="3">
        <f t="shared" si="128"/>
        <v>5</v>
      </c>
      <c r="S1656" s="3">
        <f t="shared" si="129"/>
        <v>142782.66</v>
      </c>
      <c r="T1656" s="24" t="s">
        <v>1081</v>
      </c>
      <c r="U1656" s="24" t="s">
        <v>1081</v>
      </c>
      <c r="V1656" s="67"/>
      <c r="W1656" s="25" t="str">
        <f>IFERROR(VLOOKUP(BCP_Soles[[#This Row],[DESTINATARIO]],CHOOSE({1,2},Clientes_Proveedores[Razon Social],Clientes_Proveedores[Ruc / Dni]),2,0),"")</f>
        <v/>
      </c>
      <c r="X1656" s="25" t="s">
        <v>1078</v>
      </c>
      <c r="Y1656" s="25" t="s">
        <v>2760</v>
      </c>
      <c r="Z1656" s="25"/>
      <c r="AA1656" s="99"/>
      <c r="AB1656" s="3" t="str">
        <f>IF(BCP_Soles[[#This Row],[FECHA]]&gt;0,TEXT(BCP_Soles[[#This Row],[FECHA]],"mmmm"),0)</f>
        <v>Mayo</v>
      </c>
    </row>
    <row r="1657" spans="2:28" x14ac:dyDescent="0.3">
      <c r="B1657" s="2">
        <f>IF(BCP_Soles[[#This Row],[TIPO DE R.]]="R",COUNTIFS($D$4:$D1656,"R")+1,"")</f>
        <v>1285</v>
      </c>
      <c r="C1657" s="19" t="str">
        <f t="shared" si="125"/>
        <v>B-BCP - Soles</v>
      </c>
      <c r="D1657" s="3" t="s">
        <v>1074</v>
      </c>
      <c r="E1657" s="14">
        <v>45791</v>
      </c>
      <c r="F1657" s="5" t="s">
        <v>1996</v>
      </c>
      <c r="G1657" s="5" t="s">
        <v>1079</v>
      </c>
      <c r="H1657" s="6" t="s">
        <v>139</v>
      </c>
      <c r="I1657" s="6" t="s">
        <v>14</v>
      </c>
      <c r="J1657" s="6" t="s">
        <v>1953</v>
      </c>
      <c r="K1657" s="6">
        <v>6324</v>
      </c>
      <c r="L1657" s="7" t="s">
        <v>1954</v>
      </c>
      <c r="M1657" s="8">
        <v>216342</v>
      </c>
      <c r="N1657" s="8" t="str">
        <f t="shared" si="126"/>
        <v>PEN</v>
      </c>
      <c r="O1657" s="13"/>
      <c r="P1657" s="13">
        <v>6.79</v>
      </c>
      <c r="Q1657" s="3">
        <f t="shared" si="127"/>
        <v>0</v>
      </c>
      <c r="R1657" s="3">
        <f t="shared" si="128"/>
        <v>6.79</v>
      </c>
      <c r="S1657" s="3">
        <f t="shared" si="129"/>
        <v>142775.87</v>
      </c>
      <c r="T1657" s="24" t="s">
        <v>1081</v>
      </c>
      <c r="U1657" s="24" t="s">
        <v>1081</v>
      </c>
      <c r="V1657" s="67"/>
      <c r="W1657" s="25">
        <f>IFERROR(VLOOKUP(BCP_Soles[[#This Row],[DESTINATARIO]],CHOOSE({1,2},Clientes_Proveedores[Razon Social],Clientes_Proveedores[Ruc / Dni]),2,0),"")</f>
        <v>20100055237</v>
      </c>
      <c r="X1657" s="25" t="s">
        <v>1955</v>
      </c>
      <c r="Y1657" s="25" t="s">
        <v>2761</v>
      </c>
      <c r="Z1657" s="25"/>
      <c r="AA1657" s="99"/>
      <c r="AB1657" s="3" t="str">
        <f>IF(BCP_Soles[[#This Row],[FECHA]]&gt;0,TEXT(BCP_Soles[[#This Row],[FECHA]],"mmmm"),0)</f>
        <v>Mayo</v>
      </c>
    </row>
    <row r="1658" spans="2:28" ht="24" x14ac:dyDescent="0.3">
      <c r="B1658" s="2">
        <f>IF(BCP_Soles[[#This Row],[TIPO DE R.]]="R",COUNTIFS($D$4:$D1657,"R")+1,"")</f>
        <v>1286</v>
      </c>
      <c r="C1658" s="19" t="str">
        <f t="shared" si="125"/>
        <v>B-BCP - Soles</v>
      </c>
      <c r="D1658" s="3" t="s">
        <v>1074</v>
      </c>
      <c r="E1658" s="14">
        <v>45791</v>
      </c>
      <c r="F1658" s="5" t="s">
        <v>1996</v>
      </c>
      <c r="G1658" s="5" t="s">
        <v>1079</v>
      </c>
      <c r="H1658" s="6" t="s">
        <v>646</v>
      </c>
      <c r="I1658" s="6" t="s">
        <v>52</v>
      </c>
      <c r="J1658" s="6" t="s">
        <v>1299</v>
      </c>
      <c r="K1658" s="6">
        <v>727094</v>
      </c>
      <c r="L1658" s="7" t="s">
        <v>1231</v>
      </c>
      <c r="M1658" s="8">
        <v>4216341</v>
      </c>
      <c r="N1658" s="8" t="str">
        <f t="shared" si="126"/>
        <v>PEN</v>
      </c>
      <c r="O1658" s="13"/>
      <c r="P1658" s="13">
        <v>15.3</v>
      </c>
      <c r="Q1658" s="3">
        <f t="shared" si="127"/>
        <v>0</v>
      </c>
      <c r="R1658" s="3">
        <f t="shared" si="128"/>
        <v>15.3</v>
      </c>
      <c r="S1658" s="3">
        <f t="shared" si="129"/>
        <v>142760.57</v>
      </c>
      <c r="T1658" s="24" t="s">
        <v>1081</v>
      </c>
      <c r="U1658" s="24" t="s">
        <v>1081</v>
      </c>
      <c r="V1658" s="67"/>
      <c r="W1658" s="25">
        <f>IFERROR(VLOOKUP(BCP_Soles[[#This Row],[DESTINATARIO]],CHOOSE({1,2},Clientes_Proveedores[Razon Social],Clientes_Proveedores[Ruc / Dni]),2,0),"")</f>
        <v>20100152356</v>
      </c>
      <c r="X1658" s="25" t="s">
        <v>646</v>
      </c>
      <c r="Y1658" s="25" t="s">
        <v>2762</v>
      </c>
      <c r="Z1658" s="25"/>
      <c r="AA1658" s="99"/>
      <c r="AB1658" s="3" t="str">
        <f>IF(BCP_Soles[[#This Row],[FECHA]]&gt;0,TEXT(BCP_Soles[[#This Row],[FECHA]],"mmmm"),0)</f>
        <v>Mayo</v>
      </c>
    </row>
    <row r="1659" spans="2:28" ht="24" x14ac:dyDescent="0.3">
      <c r="B1659" s="2">
        <f>IF(BCP_Soles[[#This Row],[TIPO DE R.]]="R",COUNTIFS($D$4:$D1658,"R")+1,"")</f>
        <v>1287</v>
      </c>
      <c r="C1659" s="19" t="str">
        <f t="shared" si="125"/>
        <v>B-BCP - Soles</v>
      </c>
      <c r="D1659" s="3" t="s">
        <v>1074</v>
      </c>
      <c r="E1659" s="14">
        <v>45791</v>
      </c>
      <c r="F1659" s="5" t="s">
        <v>1996</v>
      </c>
      <c r="G1659" s="5" t="s">
        <v>1079</v>
      </c>
      <c r="H1659" s="6"/>
      <c r="I1659" s="6" t="s">
        <v>52</v>
      </c>
      <c r="J1659" s="6" t="s">
        <v>1230</v>
      </c>
      <c r="K1659" s="6">
        <v>124201</v>
      </c>
      <c r="L1659" s="7" t="s">
        <v>1307</v>
      </c>
      <c r="M1659" s="8">
        <v>4217332</v>
      </c>
      <c r="N1659" s="8" t="str">
        <f t="shared" si="126"/>
        <v>PEN</v>
      </c>
      <c r="O1659" s="13"/>
      <c r="P1659" s="13">
        <v>16.5</v>
      </c>
      <c r="Q1659" s="3">
        <f t="shared" si="127"/>
        <v>0</v>
      </c>
      <c r="R1659" s="3">
        <f t="shared" si="128"/>
        <v>16.5</v>
      </c>
      <c r="S1659" s="3">
        <f t="shared" si="129"/>
        <v>142744.07</v>
      </c>
      <c r="T1659" s="24" t="s">
        <v>1081</v>
      </c>
      <c r="U1659" s="24" t="s">
        <v>1081</v>
      </c>
      <c r="V1659" s="67"/>
      <c r="W1659" s="25" t="str">
        <f>IFERROR(VLOOKUP(BCP_Soles[[#This Row],[DESTINATARIO]],CHOOSE({1,2},Clientes_Proveedores[Razon Social],Clientes_Proveedores[Ruc / Dni]),2,0),"")</f>
        <v/>
      </c>
      <c r="X1659" s="25" t="s">
        <v>1309</v>
      </c>
      <c r="Y1659" s="25" t="s">
        <v>2763</v>
      </c>
      <c r="Z1659" s="25"/>
      <c r="AA1659" s="99"/>
      <c r="AB1659" s="3" t="str">
        <f>IF(BCP_Soles[[#This Row],[FECHA]]&gt;0,TEXT(BCP_Soles[[#This Row],[FECHA]],"mmmm"),0)</f>
        <v>Mayo</v>
      </c>
    </row>
    <row r="1660" spans="2:28" x14ac:dyDescent="0.3">
      <c r="B1660" s="2">
        <f>IF(BCP_Soles[[#This Row],[TIPO DE R.]]="R",COUNTIFS($D$4:$D1659,"R")+1,"")</f>
        <v>1288</v>
      </c>
      <c r="C1660" s="19" t="str">
        <f t="shared" si="125"/>
        <v>B-BCP - Soles</v>
      </c>
      <c r="D1660" s="3" t="s">
        <v>1074</v>
      </c>
      <c r="E1660" s="14">
        <v>45791</v>
      </c>
      <c r="F1660" s="5" t="s">
        <v>1996</v>
      </c>
      <c r="G1660" s="5" t="s">
        <v>1079</v>
      </c>
      <c r="H1660" s="6" t="s">
        <v>139</v>
      </c>
      <c r="I1660" s="6" t="s">
        <v>14</v>
      </c>
      <c r="J1660" s="6" t="s">
        <v>1953</v>
      </c>
      <c r="K1660" s="6">
        <v>6323</v>
      </c>
      <c r="L1660" s="7" t="s">
        <v>1954</v>
      </c>
      <c r="M1660" s="8">
        <v>217807</v>
      </c>
      <c r="N1660" s="8" t="str">
        <f t="shared" si="126"/>
        <v>PEN</v>
      </c>
      <c r="O1660" s="13"/>
      <c r="P1660" s="13">
        <v>195.1</v>
      </c>
      <c r="Q1660" s="3">
        <f t="shared" si="127"/>
        <v>0</v>
      </c>
      <c r="R1660" s="3">
        <f t="shared" si="128"/>
        <v>195.1</v>
      </c>
      <c r="S1660" s="3">
        <f t="shared" si="129"/>
        <v>142548.97</v>
      </c>
      <c r="T1660" s="24" t="s">
        <v>1081</v>
      </c>
      <c r="U1660" s="24" t="s">
        <v>1081</v>
      </c>
      <c r="V1660" s="67"/>
      <c r="W1660" s="25">
        <f>IFERROR(VLOOKUP(BCP_Soles[[#This Row],[DESTINATARIO]],CHOOSE({1,2},Clientes_Proveedores[Razon Social],Clientes_Proveedores[Ruc / Dni]),2,0),"")</f>
        <v>20100055237</v>
      </c>
      <c r="X1660" s="25" t="s">
        <v>1955</v>
      </c>
      <c r="Y1660" s="25" t="s">
        <v>2764</v>
      </c>
      <c r="Z1660" s="25"/>
      <c r="AA1660" s="99"/>
      <c r="AB1660" s="3" t="str">
        <f>IF(BCP_Soles[[#This Row],[FECHA]]&gt;0,TEXT(BCP_Soles[[#This Row],[FECHA]],"mmmm"),0)</f>
        <v>Mayo</v>
      </c>
    </row>
    <row r="1661" spans="2:28" x14ac:dyDescent="0.3">
      <c r="B1661" s="2">
        <f>IF(BCP_Soles[[#This Row],[TIPO DE R.]]="R",COUNTIFS($D$4:$D1660,"R")+1,"")</f>
        <v>1289</v>
      </c>
      <c r="C1661" s="19" t="str">
        <f t="shared" si="125"/>
        <v>B-BCP - Soles</v>
      </c>
      <c r="D1661" s="3" t="s">
        <v>1074</v>
      </c>
      <c r="E1661" s="14">
        <v>45791</v>
      </c>
      <c r="F1661" s="5" t="s">
        <v>1996</v>
      </c>
      <c r="G1661" s="5" t="s">
        <v>1079</v>
      </c>
      <c r="H1661" s="6" t="s">
        <v>139</v>
      </c>
      <c r="I1661" s="6" t="s">
        <v>14</v>
      </c>
      <c r="J1661" s="6" t="s">
        <v>1953</v>
      </c>
      <c r="K1661" s="6">
        <v>6321</v>
      </c>
      <c r="L1661" s="7" t="s">
        <v>1954</v>
      </c>
      <c r="M1661" s="8">
        <v>219290</v>
      </c>
      <c r="N1661" s="8" t="str">
        <f t="shared" si="126"/>
        <v>PEN</v>
      </c>
      <c r="O1661" s="13"/>
      <c r="P1661" s="13">
        <v>238.37</v>
      </c>
      <c r="Q1661" s="3">
        <f t="shared" si="127"/>
        <v>0</v>
      </c>
      <c r="R1661" s="3">
        <f t="shared" si="128"/>
        <v>238.37</v>
      </c>
      <c r="S1661" s="3">
        <f t="shared" si="129"/>
        <v>142310.6</v>
      </c>
      <c r="T1661" s="24" t="s">
        <v>1081</v>
      </c>
      <c r="U1661" s="24" t="s">
        <v>1081</v>
      </c>
      <c r="V1661" s="67"/>
      <c r="W1661" s="25">
        <f>IFERROR(VLOOKUP(BCP_Soles[[#This Row],[DESTINATARIO]],CHOOSE({1,2},Clientes_Proveedores[Razon Social],Clientes_Proveedores[Ruc / Dni]),2,0),"")</f>
        <v>20100055237</v>
      </c>
      <c r="X1661" s="25" t="s">
        <v>1955</v>
      </c>
      <c r="Y1661" s="25" t="s">
        <v>2765</v>
      </c>
      <c r="Z1661" s="25"/>
      <c r="AA1661" s="99"/>
      <c r="AB1661" s="3" t="str">
        <f>IF(BCP_Soles[[#This Row],[FECHA]]&gt;0,TEXT(BCP_Soles[[#This Row],[FECHA]],"mmmm"),0)</f>
        <v>Mayo</v>
      </c>
    </row>
    <row r="1662" spans="2:28" x14ac:dyDescent="0.3">
      <c r="B1662" s="2">
        <f>IF(BCP_Soles[[#This Row],[TIPO DE R.]]="R",COUNTIFS($D$4:$D1661,"R")+1,"")</f>
        <v>1290</v>
      </c>
      <c r="C1662" s="19" t="str">
        <f t="shared" si="125"/>
        <v>B-BCP - Soles</v>
      </c>
      <c r="D1662" s="3" t="s">
        <v>1074</v>
      </c>
      <c r="E1662" s="14">
        <v>45791</v>
      </c>
      <c r="F1662" s="5" t="s">
        <v>1996</v>
      </c>
      <c r="G1662" s="5" t="s">
        <v>1079</v>
      </c>
      <c r="H1662" s="6" t="s">
        <v>139</v>
      </c>
      <c r="I1662" s="6" t="s">
        <v>14</v>
      </c>
      <c r="J1662" s="6" t="s">
        <v>1953</v>
      </c>
      <c r="K1662" s="6">
        <v>6325</v>
      </c>
      <c r="L1662" s="7" t="s">
        <v>1954</v>
      </c>
      <c r="M1662" s="8">
        <v>216845</v>
      </c>
      <c r="N1662" s="8" t="str">
        <f t="shared" si="126"/>
        <v>PEN</v>
      </c>
      <c r="O1662" s="13"/>
      <c r="P1662" s="13">
        <v>258.44</v>
      </c>
      <c r="Q1662" s="3">
        <f t="shared" si="127"/>
        <v>0</v>
      </c>
      <c r="R1662" s="3">
        <f t="shared" si="128"/>
        <v>258.44</v>
      </c>
      <c r="S1662" s="3">
        <f t="shared" si="129"/>
        <v>142052.16</v>
      </c>
      <c r="T1662" s="24" t="s">
        <v>1081</v>
      </c>
      <c r="U1662" s="24" t="s">
        <v>1081</v>
      </c>
      <c r="V1662" s="67"/>
      <c r="W1662" s="25">
        <f>IFERROR(VLOOKUP(BCP_Soles[[#This Row],[DESTINATARIO]],CHOOSE({1,2},Clientes_Proveedores[Razon Social],Clientes_Proveedores[Ruc / Dni]),2,0),"")</f>
        <v>20100055237</v>
      </c>
      <c r="X1662" s="25" t="s">
        <v>1955</v>
      </c>
      <c r="Y1662" s="25" t="s">
        <v>2766</v>
      </c>
      <c r="Z1662" s="25"/>
      <c r="AA1662" s="99"/>
      <c r="AB1662" s="3" t="str">
        <f>IF(BCP_Soles[[#This Row],[FECHA]]&gt;0,TEXT(BCP_Soles[[#This Row],[FECHA]],"mmmm"),0)</f>
        <v>Mayo</v>
      </c>
    </row>
    <row r="1663" spans="2:28" x14ac:dyDescent="0.3">
      <c r="B1663" s="2">
        <f>IF(BCP_Soles[[#This Row],[TIPO DE R.]]="R",COUNTIFS($D$4:$D1662,"R")+1,"")</f>
        <v>1291</v>
      </c>
      <c r="C1663" s="19" t="str">
        <f t="shared" si="125"/>
        <v>B-BCP - Soles</v>
      </c>
      <c r="D1663" s="3" t="s">
        <v>1074</v>
      </c>
      <c r="E1663" s="14">
        <v>45791</v>
      </c>
      <c r="F1663" s="5" t="s">
        <v>1996</v>
      </c>
      <c r="G1663" s="5" t="s">
        <v>1079</v>
      </c>
      <c r="H1663" s="6" t="s">
        <v>139</v>
      </c>
      <c r="I1663" s="6" t="s">
        <v>14</v>
      </c>
      <c r="J1663" s="6" t="s">
        <v>1953</v>
      </c>
      <c r="K1663" s="6">
        <v>6322</v>
      </c>
      <c r="L1663" s="7" t="s">
        <v>1954</v>
      </c>
      <c r="M1663" s="8">
        <v>219790</v>
      </c>
      <c r="N1663" s="8" t="str">
        <f t="shared" si="126"/>
        <v>PEN</v>
      </c>
      <c r="O1663" s="13"/>
      <c r="P1663" s="13">
        <v>370.42</v>
      </c>
      <c r="Q1663" s="3">
        <f t="shared" si="127"/>
        <v>0</v>
      </c>
      <c r="R1663" s="3">
        <f t="shared" si="128"/>
        <v>370.42</v>
      </c>
      <c r="S1663" s="3">
        <f t="shared" si="129"/>
        <v>141681.74</v>
      </c>
      <c r="T1663" s="24" t="s">
        <v>1081</v>
      </c>
      <c r="U1663" s="24" t="s">
        <v>1081</v>
      </c>
      <c r="V1663" s="67"/>
      <c r="W1663" s="25">
        <f>IFERROR(VLOOKUP(BCP_Soles[[#This Row],[DESTINATARIO]],CHOOSE({1,2},Clientes_Proveedores[Razon Social],Clientes_Proveedores[Ruc / Dni]),2,0),"")</f>
        <v>20100055237</v>
      </c>
      <c r="X1663" s="25" t="s">
        <v>1955</v>
      </c>
      <c r="Y1663" s="25" t="s">
        <v>2767</v>
      </c>
      <c r="Z1663" s="25"/>
      <c r="AA1663" s="99"/>
      <c r="AB1663" s="3" t="str">
        <f>IF(BCP_Soles[[#This Row],[FECHA]]&gt;0,TEXT(BCP_Soles[[#This Row],[FECHA]],"mmmm"),0)</f>
        <v>Mayo</v>
      </c>
    </row>
    <row r="1664" spans="2:28" x14ac:dyDescent="0.3">
      <c r="B1664" s="2">
        <f>IF(BCP_Soles[[#This Row],[TIPO DE R.]]="R",COUNTIFS($D$4:$D1663,"R")+1,"")</f>
        <v>1292</v>
      </c>
      <c r="C1664" s="19" t="str">
        <f t="shared" si="125"/>
        <v>B-BCP - Soles</v>
      </c>
      <c r="D1664" s="3" t="s">
        <v>1074</v>
      </c>
      <c r="E1664" s="14">
        <v>45791</v>
      </c>
      <c r="F1664" s="5" t="s">
        <v>1996</v>
      </c>
      <c r="G1664" s="5" t="s">
        <v>1079</v>
      </c>
      <c r="H1664" s="6" t="s">
        <v>139</v>
      </c>
      <c r="I1664" s="6" t="s">
        <v>14</v>
      </c>
      <c r="J1664" s="6" t="s">
        <v>1953</v>
      </c>
      <c r="K1664" s="6">
        <v>6327</v>
      </c>
      <c r="L1664" s="7" t="s">
        <v>1954</v>
      </c>
      <c r="M1664" s="8">
        <v>216842</v>
      </c>
      <c r="N1664" s="8" t="str">
        <f t="shared" si="126"/>
        <v>PEN</v>
      </c>
      <c r="O1664" s="13"/>
      <c r="P1664" s="13">
        <v>409.44</v>
      </c>
      <c r="Q1664" s="3">
        <f t="shared" si="127"/>
        <v>0</v>
      </c>
      <c r="R1664" s="3">
        <f t="shared" si="128"/>
        <v>409.44</v>
      </c>
      <c r="S1664" s="3">
        <f t="shared" si="129"/>
        <v>141272.29999999999</v>
      </c>
      <c r="T1664" s="24" t="s">
        <v>1081</v>
      </c>
      <c r="U1664" s="24" t="s">
        <v>1081</v>
      </c>
      <c r="V1664" s="67"/>
      <c r="W1664" s="25">
        <f>IFERROR(VLOOKUP(BCP_Soles[[#This Row],[DESTINATARIO]],CHOOSE({1,2},Clientes_Proveedores[Razon Social],Clientes_Proveedores[Ruc / Dni]),2,0),"")</f>
        <v>20100055237</v>
      </c>
      <c r="X1664" s="25" t="s">
        <v>1955</v>
      </c>
      <c r="Y1664" s="25" t="s">
        <v>2768</v>
      </c>
      <c r="Z1664" s="25"/>
      <c r="AA1664" s="99"/>
      <c r="AB1664" s="3" t="str">
        <f>IF(BCP_Soles[[#This Row],[FECHA]]&gt;0,TEXT(BCP_Soles[[#This Row],[FECHA]],"mmmm"),0)</f>
        <v>Mayo</v>
      </c>
    </row>
    <row r="1665" spans="2:28" x14ac:dyDescent="0.3">
      <c r="B1665" s="2">
        <f>IF(BCP_Soles[[#This Row],[TIPO DE R.]]="R",COUNTIFS($D$4:$D1664,"R")+1,"")</f>
        <v>1293</v>
      </c>
      <c r="C1665" s="19" t="str">
        <f t="shared" si="125"/>
        <v>B-BCP - Soles</v>
      </c>
      <c r="D1665" s="3" t="s">
        <v>1074</v>
      </c>
      <c r="E1665" s="14">
        <v>45791</v>
      </c>
      <c r="F1665" s="5" t="s">
        <v>1996</v>
      </c>
      <c r="G1665" s="5" t="s">
        <v>1079</v>
      </c>
      <c r="H1665" s="6" t="s">
        <v>139</v>
      </c>
      <c r="I1665" s="6" t="s">
        <v>14</v>
      </c>
      <c r="J1665" s="6" t="s">
        <v>1953</v>
      </c>
      <c r="K1665" s="6">
        <v>6328</v>
      </c>
      <c r="L1665" s="7" t="s">
        <v>1954</v>
      </c>
      <c r="M1665" s="8">
        <v>219784</v>
      </c>
      <c r="N1665" s="8" t="str">
        <f t="shared" si="126"/>
        <v>PEN</v>
      </c>
      <c r="O1665" s="13"/>
      <c r="P1665" s="13">
        <v>497.28</v>
      </c>
      <c r="Q1665" s="3">
        <f t="shared" si="127"/>
        <v>0</v>
      </c>
      <c r="R1665" s="3">
        <f t="shared" si="128"/>
        <v>497.28</v>
      </c>
      <c r="S1665" s="3">
        <f t="shared" si="129"/>
        <v>140775.01999999999</v>
      </c>
      <c r="T1665" s="24" t="s">
        <v>1081</v>
      </c>
      <c r="U1665" s="24" t="s">
        <v>1081</v>
      </c>
      <c r="V1665" s="67"/>
      <c r="W1665" s="25">
        <f>IFERROR(VLOOKUP(BCP_Soles[[#This Row],[DESTINATARIO]],CHOOSE({1,2},Clientes_Proveedores[Razon Social],Clientes_Proveedores[Ruc / Dni]),2,0),"")</f>
        <v>20100055237</v>
      </c>
      <c r="X1665" s="25" t="s">
        <v>1955</v>
      </c>
      <c r="Y1665" s="25" t="s">
        <v>2769</v>
      </c>
      <c r="Z1665" s="25"/>
      <c r="AA1665" s="99"/>
      <c r="AB1665" s="3" t="str">
        <f>IF(BCP_Soles[[#This Row],[FECHA]]&gt;0,TEXT(BCP_Soles[[#This Row],[FECHA]],"mmmm"),0)</f>
        <v>Mayo</v>
      </c>
    </row>
    <row r="1666" spans="2:28" x14ac:dyDescent="0.3">
      <c r="B1666" s="2">
        <f>IF(BCP_Soles[[#This Row],[TIPO DE R.]]="R",COUNTIFS($D$4:$D1665,"R")+1,"")</f>
        <v>1294</v>
      </c>
      <c r="C1666" s="19" t="str">
        <f t="shared" si="125"/>
        <v>B-BCP - Soles</v>
      </c>
      <c r="D1666" s="3" t="s">
        <v>1074</v>
      </c>
      <c r="E1666" s="14">
        <v>45791</v>
      </c>
      <c r="F1666" s="5" t="s">
        <v>1996</v>
      </c>
      <c r="G1666" s="5" t="s">
        <v>1079</v>
      </c>
      <c r="H1666" s="6" t="s">
        <v>139</v>
      </c>
      <c r="I1666" s="6" t="s">
        <v>14</v>
      </c>
      <c r="J1666" s="6" t="s">
        <v>1953</v>
      </c>
      <c r="K1666" s="6">
        <v>6326</v>
      </c>
      <c r="L1666" s="7" t="s">
        <v>1954</v>
      </c>
      <c r="M1666" s="8">
        <v>216343</v>
      </c>
      <c r="N1666" s="8" t="str">
        <f t="shared" si="126"/>
        <v>PEN</v>
      </c>
      <c r="O1666" s="13"/>
      <c r="P1666" s="13">
        <v>898.28</v>
      </c>
      <c r="Q1666" s="3">
        <f t="shared" si="127"/>
        <v>0</v>
      </c>
      <c r="R1666" s="3">
        <f t="shared" si="128"/>
        <v>898.28</v>
      </c>
      <c r="S1666" s="3">
        <f t="shared" si="129"/>
        <v>139876.74</v>
      </c>
      <c r="T1666" s="24" t="s">
        <v>1081</v>
      </c>
      <c r="U1666" s="24" t="s">
        <v>1081</v>
      </c>
      <c r="V1666" s="67"/>
      <c r="W1666" s="25">
        <f>IFERROR(VLOOKUP(BCP_Soles[[#This Row],[DESTINATARIO]],CHOOSE({1,2},Clientes_Proveedores[Razon Social],Clientes_Proveedores[Ruc / Dni]),2,0),"")</f>
        <v>20100055237</v>
      </c>
      <c r="X1666" s="25" t="s">
        <v>1955</v>
      </c>
      <c r="Y1666" s="25" t="s">
        <v>2770</v>
      </c>
      <c r="Z1666" s="25"/>
      <c r="AA1666" s="99"/>
      <c r="AB1666" s="3" t="str">
        <f>IF(BCP_Soles[[#This Row],[FECHA]]&gt;0,TEXT(BCP_Soles[[#This Row],[FECHA]],"mmmm"),0)</f>
        <v>Mayo</v>
      </c>
    </row>
    <row r="1667" spans="2:28" ht="24" x14ac:dyDescent="0.3">
      <c r="B1667" s="2">
        <f>IF(BCP_Soles[[#This Row],[TIPO DE R.]]="R",COUNTIFS($D$4:$D1666,"R")+1,"")</f>
        <v>1295</v>
      </c>
      <c r="C1667" s="19" t="str">
        <f t="shared" si="125"/>
        <v>B-BCP - Soles</v>
      </c>
      <c r="D1667" s="3" t="s">
        <v>1074</v>
      </c>
      <c r="E1667" s="14">
        <v>45791</v>
      </c>
      <c r="F1667" s="5" t="s">
        <v>1996</v>
      </c>
      <c r="G1667" s="5" t="s">
        <v>1079</v>
      </c>
      <c r="H1667" s="6"/>
      <c r="I1667" s="6" t="s">
        <v>52</v>
      </c>
      <c r="J1667" s="6" t="s">
        <v>1399</v>
      </c>
      <c r="K1667" s="6">
        <v>539540161</v>
      </c>
      <c r="L1667" s="7" t="s">
        <v>1400</v>
      </c>
      <c r="M1667" s="8">
        <v>218289</v>
      </c>
      <c r="N1667" s="8" t="str">
        <f t="shared" si="126"/>
        <v>PEN</v>
      </c>
      <c r="O1667" s="13"/>
      <c r="P1667" s="13">
        <v>1458.57</v>
      </c>
      <c r="Q1667" s="3">
        <f t="shared" si="127"/>
        <v>0</v>
      </c>
      <c r="R1667" s="3">
        <f t="shared" si="128"/>
        <v>1458.57</v>
      </c>
      <c r="S1667" s="3">
        <f t="shared" si="129"/>
        <v>138418.16999999998</v>
      </c>
      <c r="T1667" s="24" t="s">
        <v>1081</v>
      </c>
      <c r="U1667" s="24" t="s">
        <v>1081</v>
      </c>
      <c r="V1667" s="67"/>
      <c r="W1667" s="25" t="str">
        <f>IFERROR(VLOOKUP(BCP_Soles[[#This Row],[DESTINATARIO]],CHOOSE({1,2},Clientes_Proveedores[Razon Social],Clientes_Proveedores[Ruc / Dni]),2,0),"")</f>
        <v/>
      </c>
      <c r="X1667" s="25" t="s">
        <v>1397</v>
      </c>
      <c r="Y1667" s="25" t="s">
        <v>2771</v>
      </c>
      <c r="Z1667" s="25"/>
      <c r="AA1667" s="99"/>
      <c r="AB1667" s="3" t="str">
        <f>IF(BCP_Soles[[#This Row],[FECHA]]&gt;0,TEXT(BCP_Soles[[#This Row],[FECHA]],"mmmm"),0)</f>
        <v>Mayo</v>
      </c>
    </row>
    <row r="1668" spans="2:28" ht="24" x14ac:dyDescent="0.3">
      <c r="B1668" s="2">
        <f>IF(BCP_Soles[[#This Row],[TIPO DE R.]]="R",COUNTIFS($D$4:$D1667,"R")+1,"")</f>
        <v>1296</v>
      </c>
      <c r="C1668" s="19" t="str">
        <f t="shared" si="125"/>
        <v>B-BCP - Soles</v>
      </c>
      <c r="D1668" s="3" t="s">
        <v>1074</v>
      </c>
      <c r="E1668" s="14">
        <v>45791</v>
      </c>
      <c r="F1668" s="5" t="s">
        <v>1996</v>
      </c>
      <c r="G1668" s="5" t="s">
        <v>1079</v>
      </c>
      <c r="H1668" s="6"/>
      <c r="I1668" s="6"/>
      <c r="J1668" s="6"/>
      <c r="K1668" s="6"/>
      <c r="L1668" s="7" t="s">
        <v>2772</v>
      </c>
      <c r="M1668" s="8">
        <v>5454095</v>
      </c>
      <c r="N1668" s="8" t="str">
        <f t="shared" si="126"/>
        <v>PEN</v>
      </c>
      <c r="O1668" s="13"/>
      <c r="P1668" s="13">
        <v>8047.97</v>
      </c>
      <c r="Q1668" s="3">
        <f t="shared" si="127"/>
        <v>0</v>
      </c>
      <c r="R1668" s="3">
        <f t="shared" si="128"/>
        <v>8047.97</v>
      </c>
      <c r="S1668" s="3">
        <f t="shared" si="129"/>
        <v>130370.19999999998</v>
      </c>
      <c r="T1668" s="24" t="s">
        <v>1081</v>
      </c>
      <c r="U1668" s="24" t="s">
        <v>1586</v>
      </c>
      <c r="V1668" s="67"/>
      <c r="W1668" s="25" t="str">
        <f>IFERROR(VLOOKUP(BCP_Soles[[#This Row],[DESTINATARIO]],CHOOSE({1,2},Clientes_Proveedores[Razon Social],Clientes_Proveedores[Ruc / Dni]),2,0),"")</f>
        <v/>
      </c>
      <c r="X1668" s="25" t="s">
        <v>1118</v>
      </c>
      <c r="Y1668" s="25"/>
      <c r="Z1668" s="25"/>
      <c r="AA1668" s="99"/>
      <c r="AB1668" s="3" t="str">
        <f>IF(BCP_Soles[[#This Row],[FECHA]]&gt;0,TEXT(BCP_Soles[[#This Row],[FECHA]],"mmmm"),0)</f>
        <v>Mayo</v>
      </c>
    </row>
    <row r="1669" spans="2:28" ht="24" x14ac:dyDescent="0.3">
      <c r="B1669" s="2" t="str">
        <f>IF(BCP_Soles[[#This Row],[TIPO DE R.]]="R",COUNTIFS($D$4:$D1668,"R")+1,"")</f>
        <v/>
      </c>
      <c r="C1669" s="19" t="str">
        <f t="shared" ref="C1669:C1732" si="130">"B-BCP - Soles"</f>
        <v>B-BCP - Soles</v>
      </c>
      <c r="D1669" s="3" t="s">
        <v>1101</v>
      </c>
      <c r="E1669" s="14">
        <v>45791</v>
      </c>
      <c r="F1669" s="5" t="s">
        <v>1996</v>
      </c>
      <c r="G1669" s="5"/>
      <c r="H1669" s="6" t="s">
        <v>536</v>
      </c>
      <c r="I1669" s="6" t="s">
        <v>14</v>
      </c>
      <c r="J1669" s="6" t="s">
        <v>1121</v>
      </c>
      <c r="K1669" s="6">
        <v>2151</v>
      </c>
      <c r="L1669" s="7" t="s">
        <v>2772</v>
      </c>
      <c r="M1669" s="8">
        <v>5454095</v>
      </c>
      <c r="N1669" s="8" t="str">
        <f t="shared" ref="N1669:N1732" si="131">"PEN"</f>
        <v>PEN</v>
      </c>
      <c r="O1669" s="13">
        <v>70.8</v>
      </c>
      <c r="P1669" s="13"/>
      <c r="Q1669" s="3">
        <f t="shared" ref="Q1669:Q1732" si="132">+IF(OR($G1669="SALDO",$G1669="INGRESO"),$P1669,0)</f>
        <v>0</v>
      </c>
      <c r="R1669" s="3">
        <f t="shared" ref="R1669:R1732" si="133">+IF($G1669="EGRESO",$P1669,0)</f>
        <v>0</v>
      </c>
      <c r="S1669" s="3">
        <f t="shared" ref="S1669:S1732" si="134">IFERROR(IF(G1669="SALDO",Q1669,S1668+Q1669-R1669),0)</f>
        <v>130370.19999999998</v>
      </c>
      <c r="T1669" s="24"/>
      <c r="U1669" s="24"/>
      <c r="V1669" s="67"/>
      <c r="W1669" s="25">
        <f>IFERROR(VLOOKUP(BCP_Soles[[#This Row],[DESTINATARIO]],CHOOSE({1,2},Clientes_Proveedores[Razon Social],Clientes_Proveedores[Ruc / Dni]),2,0),"")</f>
        <v>20609764261</v>
      </c>
      <c r="X1669" s="25"/>
      <c r="Y1669" s="25"/>
      <c r="Z1669" s="25"/>
      <c r="AA1669" s="99"/>
      <c r="AB1669" s="3" t="str">
        <f>IF(BCP_Soles[[#This Row],[FECHA]]&gt;0,TEXT(BCP_Soles[[#This Row],[FECHA]],"mmmm"),0)</f>
        <v>Mayo</v>
      </c>
    </row>
    <row r="1670" spans="2:28" ht="24" x14ac:dyDescent="0.3">
      <c r="B1670" s="2" t="str">
        <f>IF(BCP_Soles[[#This Row],[TIPO DE R.]]="R",COUNTIFS($D$4:$D1669,"R")+1,"")</f>
        <v/>
      </c>
      <c r="C1670" s="19" t="str">
        <f t="shared" si="130"/>
        <v>B-BCP - Soles</v>
      </c>
      <c r="D1670" s="3" t="s">
        <v>1101</v>
      </c>
      <c r="E1670" s="14">
        <v>45791</v>
      </c>
      <c r="F1670" s="5" t="s">
        <v>1996</v>
      </c>
      <c r="G1670" s="5"/>
      <c r="H1670" s="6" t="s">
        <v>609</v>
      </c>
      <c r="I1670" s="6" t="s">
        <v>14</v>
      </c>
      <c r="J1670" s="6" t="s">
        <v>1121</v>
      </c>
      <c r="K1670" s="6">
        <v>25</v>
      </c>
      <c r="L1670" s="7" t="s">
        <v>2772</v>
      </c>
      <c r="M1670" s="8">
        <v>5454095</v>
      </c>
      <c r="N1670" s="8" t="str">
        <f t="shared" si="131"/>
        <v>PEN</v>
      </c>
      <c r="O1670" s="13">
        <v>510</v>
      </c>
      <c r="P1670" s="13"/>
      <c r="Q1670" s="3">
        <f t="shared" si="132"/>
        <v>0</v>
      </c>
      <c r="R1670" s="3">
        <f t="shared" si="133"/>
        <v>0</v>
      </c>
      <c r="S1670" s="3">
        <f t="shared" si="134"/>
        <v>130370.19999999998</v>
      </c>
      <c r="T1670" s="24"/>
      <c r="U1670" s="24"/>
      <c r="V1670" s="67"/>
      <c r="W1670" s="25">
        <f>IFERROR(VLOOKUP(BCP_Soles[[#This Row],[DESTINATARIO]],CHOOSE({1,2},Clientes_Proveedores[Razon Social],Clientes_Proveedores[Ruc / Dni]),2,0),"")</f>
        <v>10410687491</v>
      </c>
      <c r="X1670" s="25"/>
      <c r="Y1670" s="25"/>
      <c r="Z1670" s="25"/>
      <c r="AA1670" s="99"/>
      <c r="AB1670" s="3" t="str">
        <f>IF(BCP_Soles[[#This Row],[FECHA]]&gt;0,TEXT(BCP_Soles[[#This Row],[FECHA]],"mmmm"),0)</f>
        <v>Mayo</v>
      </c>
    </row>
    <row r="1671" spans="2:28" x14ac:dyDescent="0.3">
      <c r="B1671" s="2" t="str">
        <f>IF(BCP_Soles[[#This Row],[TIPO DE R.]]="R",COUNTIFS($D$4:$D1670,"R")+1,"")</f>
        <v/>
      </c>
      <c r="C1671" s="19" t="str">
        <f t="shared" si="130"/>
        <v>B-BCP - Soles</v>
      </c>
      <c r="D1671" s="3" t="s">
        <v>1101</v>
      </c>
      <c r="E1671" s="14">
        <v>45791</v>
      </c>
      <c r="F1671" s="5" t="s">
        <v>1996</v>
      </c>
      <c r="G1671" s="5"/>
      <c r="H1671" s="6" t="s">
        <v>465</v>
      </c>
      <c r="I1671" s="6" t="s">
        <v>14</v>
      </c>
      <c r="J1671" s="6" t="s">
        <v>1121</v>
      </c>
      <c r="K1671" s="6">
        <v>3881</v>
      </c>
      <c r="L1671" s="7" t="s">
        <v>2772</v>
      </c>
      <c r="M1671" s="8">
        <v>5454095</v>
      </c>
      <c r="N1671" s="8" t="str">
        <f t="shared" si="131"/>
        <v>PEN</v>
      </c>
      <c r="O1671" s="13">
        <v>150.44999999999999</v>
      </c>
      <c r="P1671" s="13"/>
      <c r="Q1671" s="3">
        <f t="shared" si="132"/>
        <v>0</v>
      </c>
      <c r="R1671" s="3">
        <f t="shared" si="133"/>
        <v>0</v>
      </c>
      <c r="S1671" s="3">
        <f t="shared" si="134"/>
        <v>130370.19999999998</v>
      </c>
      <c r="T1671" s="24"/>
      <c r="U1671" s="24"/>
      <c r="V1671" s="67"/>
      <c r="W1671" s="25">
        <f>IFERROR(VLOOKUP(BCP_Soles[[#This Row],[DESTINATARIO]],CHOOSE({1,2},Clientes_Proveedores[Razon Social],Clientes_Proveedores[Ruc / Dni]),2,0),"")</f>
        <v>20603974817</v>
      </c>
      <c r="X1671" s="25"/>
      <c r="Y1671" s="25"/>
      <c r="Z1671" s="25"/>
      <c r="AA1671" s="99"/>
      <c r="AB1671" s="3" t="str">
        <f>IF(BCP_Soles[[#This Row],[FECHA]]&gt;0,TEXT(BCP_Soles[[#This Row],[FECHA]],"mmmm"),0)</f>
        <v>Mayo</v>
      </c>
    </row>
    <row r="1672" spans="2:28" x14ac:dyDescent="0.3">
      <c r="B1672" s="2" t="str">
        <f>IF(BCP_Soles[[#This Row],[TIPO DE R.]]="R",COUNTIFS($D$4:$D1671,"R")+1,"")</f>
        <v/>
      </c>
      <c r="C1672" s="19" t="str">
        <f t="shared" si="130"/>
        <v>B-BCP - Soles</v>
      </c>
      <c r="D1672" s="3" t="s">
        <v>1101</v>
      </c>
      <c r="E1672" s="14">
        <v>45791</v>
      </c>
      <c r="F1672" s="5" t="s">
        <v>1996</v>
      </c>
      <c r="G1672" s="5"/>
      <c r="H1672" s="6" t="s">
        <v>465</v>
      </c>
      <c r="I1672" s="6" t="s">
        <v>14</v>
      </c>
      <c r="J1672" s="6" t="s">
        <v>1121</v>
      </c>
      <c r="K1672" s="6">
        <v>3874</v>
      </c>
      <c r="L1672" s="7" t="s">
        <v>2772</v>
      </c>
      <c r="M1672" s="8">
        <v>5454095</v>
      </c>
      <c r="N1672" s="8" t="str">
        <f t="shared" si="131"/>
        <v>PEN</v>
      </c>
      <c r="O1672" s="13">
        <v>351.05</v>
      </c>
      <c r="P1672" s="13"/>
      <c r="Q1672" s="3">
        <f t="shared" si="132"/>
        <v>0</v>
      </c>
      <c r="R1672" s="3">
        <f t="shared" si="133"/>
        <v>0</v>
      </c>
      <c r="S1672" s="3">
        <f t="shared" si="134"/>
        <v>130370.19999999998</v>
      </c>
      <c r="T1672" s="24"/>
      <c r="U1672" s="24"/>
      <c r="V1672" s="67"/>
      <c r="W1672" s="25">
        <f>IFERROR(VLOOKUP(BCP_Soles[[#This Row],[DESTINATARIO]],CHOOSE({1,2},Clientes_Proveedores[Razon Social],Clientes_Proveedores[Ruc / Dni]),2,0),"")</f>
        <v>20603974817</v>
      </c>
      <c r="X1672" s="25"/>
      <c r="Y1672" s="25"/>
      <c r="Z1672" s="25"/>
      <c r="AA1672" s="99"/>
      <c r="AB1672" s="3" t="str">
        <f>IF(BCP_Soles[[#This Row],[FECHA]]&gt;0,TEXT(BCP_Soles[[#This Row],[FECHA]],"mmmm"),0)</f>
        <v>Mayo</v>
      </c>
    </row>
    <row r="1673" spans="2:28" ht="24" x14ac:dyDescent="0.3">
      <c r="B1673" s="2" t="str">
        <f>IF(BCP_Soles[[#This Row],[TIPO DE R.]]="R",COUNTIFS($D$4:$D1672,"R")+1,"")</f>
        <v/>
      </c>
      <c r="C1673" s="19" t="str">
        <f t="shared" si="130"/>
        <v>B-BCP - Soles</v>
      </c>
      <c r="D1673" s="3" t="s">
        <v>1101</v>
      </c>
      <c r="E1673" s="14">
        <v>45791</v>
      </c>
      <c r="F1673" s="5" t="s">
        <v>1996</v>
      </c>
      <c r="G1673" s="5"/>
      <c r="H1673" s="6" t="s">
        <v>108</v>
      </c>
      <c r="I1673" s="6" t="s">
        <v>14</v>
      </c>
      <c r="J1673" s="6" t="s">
        <v>1121</v>
      </c>
      <c r="K1673" s="6">
        <v>4808</v>
      </c>
      <c r="L1673" s="7" t="s">
        <v>2772</v>
      </c>
      <c r="M1673" s="8">
        <v>5454095</v>
      </c>
      <c r="N1673" s="8" t="str">
        <f t="shared" si="131"/>
        <v>PEN</v>
      </c>
      <c r="O1673" s="13">
        <v>59</v>
      </c>
      <c r="P1673" s="13"/>
      <c r="Q1673" s="3">
        <f t="shared" si="132"/>
        <v>0</v>
      </c>
      <c r="R1673" s="3">
        <f t="shared" si="133"/>
        <v>0</v>
      </c>
      <c r="S1673" s="3">
        <f t="shared" si="134"/>
        <v>130370.19999999998</v>
      </c>
      <c r="T1673" s="24"/>
      <c r="U1673" s="24"/>
      <c r="V1673" s="67"/>
      <c r="W1673" s="25">
        <f>IFERROR(VLOOKUP(BCP_Soles[[#This Row],[DESTINATARIO]],CHOOSE({1,2},Clientes_Proveedores[Razon Social],Clientes_Proveedores[Ruc / Dni]),2,0),"")</f>
        <v>10425371652</v>
      </c>
      <c r="X1673" s="25"/>
      <c r="Y1673" s="25"/>
      <c r="Z1673" s="25"/>
      <c r="AA1673" s="99"/>
      <c r="AB1673" s="3" t="str">
        <f>IF(BCP_Soles[[#This Row],[FECHA]]&gt;0,TEXT(BCP_Soles[[#This Row],[FECHA]],"mmmm"),0)</f>
        <v>Mayo</v>
      </c>
    </row>
    <row r="1674" spans="2:28" ht="24" x14ac:dyDescent="0.3">
      <c r="B1674" s="2" t="str">
        <f>IF(BCP_Soles[[#This Row],[TIPO DE R.]]="R",COUNTIFS($D$4:$D1673,"R")+1,"")</f>
        <v/>
      </c>
      <c r="C1674" s="19" t="str">
        <f t="shared" si="130"/>
        <v>B-BCP - Soles</v>
      </c>
      <c r="D1674" s="3" t="s">
        <v>1101</v>
      </c>
      <c r="E1674" s="14">
        <v>45791</v>
      </c>
      <c r="F1674" s="5" t="s">
        <v>1996</v>
      </c>
      <c r="G1674" s="5"/>
      <c r="H1674" s="6" t="s">
        <v>118</v>
      </c>
      <c r="I1674" s="6" t="s">
        <v>14</v>
      </c>
      <c r="J1674" s="6" t="s">
        <v>1121</v>
      </c>
      <c r="K1674" s="6">
        <v>300</v>
      </c>
      <c r="L1674" s="7" t="s">
        <v>2772</v>
      </c>
      <c r="M1674" s="8">
        <v>5454095</v>
      </c>
      <c r="N1674" s="8" t="str">
        <f t="shared" si="131"/>
        <v>PEN</v>
      </c>
      <c r="O1674" s="13">
        <v>510</v>
      </c>
      <c r="P1674" s="13"/>
      <c r="Q1674" s="3">
        <f t="shared" si="132"/>
        <v>0</v>
      </c>
      <c r="R1674" s="3">
        <f t="shared" si="133"/>
        <v>0</v>
      </c>
      <c r="S1674" s="3">
        <f t="shared" si="134"/>
        <v>130370.19999999998</v>
      </c>
      <c r="T1674" s="24"/>
      <c r="U1674" s="24"/>
      <c r="V1674" s="67"/>
      <c r="W1674" s="25">
        <f>IFERROR(VLOOKUP(BCP_Soles[[#This Row],[DESTINATARIO]],CHOOSE({1,2},Clientes_Proveedores[Razon Social],Clientes_Proveedores[Ruc / Dni]),2,0),"")</f>
        <v>10470065147</v>
      </c>
      <c r="X1674" s="25"/>
      <c r="Y1674" s="25"/>
      <c r="Z1674" s="25"/>
      <c r="AA1674" s="99"/>
      <c r="AB1674" s="3" t="str">
        <f>IF(BCP_Soles[[#This Row],[FECHA]]&gt;0,TEXT(BCP_Soles[[#This Row],[FECHA]],"mmmm"),0)</f>
        <v>Mayo</v>
      </c>
    </row>
    <row r="1675" spans="2:28" x14ac:dyDescent="0.3">
      <c r="B1675" s="2" t="str">
        <f>IF(BCP_Soles[[#This Row],[TIPO DE R.]]="R",COUNTIFS($D$4:$D1674,"R")+1,"")</f>
        <v/>
      </c>
      <c r="C1675" s="19" t="str">
        <f t="shared" si="130"/>
        <v>B-BCP - Soles</v>
      </c>
      <c r="D1675" s="3" t="s">
        <v>1101</v>
      </c>
      <c r="E1675" s="14">
        <v>45791</v>
      </c>
      <c r="F1675" s="5" t="s">
        <v>1996</v>
      </c>
      <c r="G1675" s="5"/>
      <c r="H1675" s="6" t="s">
        <v>229</v>
      </c>
      <c r="I1675" s="6" t="s">
        <v>14</v>
      </c>
      <c r="J1675" s="6" t="s">
        <v>1429</v>
      </c>
      <c r="K1675" s="6">
        <v>1697</v>
      </c>
      <c r="L1675" s="7" t="s">
        <v>2772</v>
      </c>
      <c r="M1675" s="8">
        <v>5454095</v>
      </c>
      <c r="N1675" s="8" t="str">
        <f t="shared" si="131"/>
        <v>PEN</v>
      </c>
      <c r="O1675" s="13">
        <v>126.5</v>
      </c>
      <c r="P1675" s="13"/>
      <c r="Q1675" s="3">
        <f t="shared" si="132"/>
        <v>0</v>
      </c>
      <c r="R1675" s="3">
        <f t="shared" si="133"/>
        <v>0</v>
      </c>
      <c r="S1675" s="3">
        <f t="shared" si="134"/>
        <v>130370.19999999998</v>
      </c>
      <c r="T1675" s="24"/>
      <c r="U1675" s="24"/>
      <c r="V1675" s="67"/>
      <c r="W1675" s="25">
        <f>IFERROR(VLOOKUP(BCP_Soles[[#This Row],[DESTINATARIO]],CHOOSE({1,2},Clientes_Proveedores[Razon Social],Clientes_Proveedores[Ruc / Dni]),2,0),"")</f>
        <v>20454186002</v>
      </c>
      <c r="X1675" s="25"/>
      <c r="Y1675" s="25"/>
      <c r="Z1675" s="25"/>
      <c r="AA1675" s="99"/>
      <c r="AB1675" s="3" t="str">
        <f>IF(BCP_Soles[[#This Row],[FECHA]]&gt;0,TEXT(BCP_Soles[[#This Row],[FECHA]],"mmmm"),0)</f>
        <v>Mayo</v>
      </c>
    </row>
    <row r="1676" spans="2:28" x14ac:dyDescent="0.3">
      <c r="B1676" s="2" t="str">
        <f>IF(BCP_Soles[[#This Row],[TIPO DE R.]]="R",COUNTIFS($D$4:$D1675,"R")+1,"")</f>
        <v/>
      </c>
      <c r="C1676" s="19" t="str">
        <f t="shared" si="130"/>
        <v>B-BCP - Soles</v>
      </c>
      <c r="D1676" s="3" t="s">
        <v>1101</v>
      </c>
      <c r="E1676" s="14">
        <v>45791</v>
      </c>
      <c r="F1676" s="5" t="s">
        <v>1996</v>
      </c>
      <c r="G1676" s="5"/>
      <c r="H1676" s="6" t="s">
        <v>229</v>
      </c>
      <c r="I1676" s="6" t="s">
        <v>14</v>
      </c>
      <c r="J1676" s="6" t="s">
        <v>1429</v>
      </c>
      <c r="K1676" s="6">
        <v>1696</v>
      </c>
      <c r="L1676" s="7" t="s">
        <v>2772</v>
      </c>
      <c r="M1676" s="8">
        <v>5454095</v>
      </c>
      <c r="N1676" s="8" t="str">
        <f t="shared" si="131"/>
        <v>PEN</v>
      </c>
      <c r="O1676" s="13">
        <v>978.4</v>
      </c>
      <c r="P1676" s="13"/>
      <c r="Q1676" s="3">
        <f t="shared" si="132"/>
        <v>0</v>
      </c>
      <c r="R1676" s="3">
        <f t="shared" si="133"/>
        <v>0</v>
      </c>
      <c r="S1676" s="3">
        <f t="shared" si="134"/>
        <v>130370.19999999998</v>
      </c>
      <c r="T1676" s="24"/>
      <c r="U1676" s="24"/>
      <c r="V1676" s="67"/>
      <c r="W1676" s="25">
        <f>IFERROR(VLOOKUP(BCP_Soles[[#This Row],[DESTINATARIO]],CHOOSE({1,2},Clientes_Proveedores[Razon Social],Clientes_Proveedores[Ruc / Dni]),2,0),"")</f>
        <v>20454186002</v>
      </c>
      <c r="X1676" s="25"/>
      <c r="Y1676" s="25"/>
      <c r="Z1676" s="25"/>
      <c r="AA1676" s="99"/>
      <c r="AB1676" s="3" t="str">
        <f>IF(BCP_Soles[[#This Row],[FECHA]]&gt;0,TEXT(BCP_Soles[[#This Row],[FECHA]],"mmmm"),0)</f>
        <v>Mayo</v>
      </c>
    </row>
    <row r="1677" spans="2:28" ht="36" x14ac:dyDescent="0.3">
      <c r="B1677" s="2" t="str">
        <f>IF(BCP_Soles[[#This Row],[TIPO DE R.]]="R",COUNTIFS($D$4:$D1676,"R")+1,"")</f>
        <v/>
      </c>
      <c r="C1677" s="19" t="str">
        <f t="shared" si="130"/>
        <v>B-BCP - Soles</v>
      </c>
      <c r="D1677" s="3" t="s">
        <v>1101</v>
      </c>
      <c r="E1677" s="14">
        <v>45791</v>
      </c>
      <c r="F1677" s="5" t="s">
        <v>1996</v>
      </c>
      <c r="G1677" s="5"/>
      <c r="H1677" s="6" t="s">
        <v>326</v>
      </c>
      <c r="I1677" s="6" t="s">
        <v>14</v>
      </c>
      <c r="J1677" s="6" t="s">
        <v>1541</v>
      </c>
      <c r="K1677" s="6">
        <v>826</v>
      </c>
      <c r="L1677" s="7" t="s">
        <v>2772</v>
      </c>
      <c r="M1677" s="8">
        <v>5454095</v>
      </c>
      <c r="N1677" s="8" t="str">
        <f t="shared" si="131"/>
        <v>PEN</v>
      </c>
      <c r="O1677" s="13">
        <v>87.57</v>
      </c>
      <c r="P1677" s="13"/>
      <c r="Q1677" s="3">
        <f t="shared" si="132"/>
        <v>0</v>
      </c>
      <c r="R1677" s="3">
        <f t="shared" si="133"/>
        <v>0</v>
      </c>
      <c r="S1677" s="3">
        <f t="shared" si="134"/>
        <v>130370.19999999998</v>
      </c>
      <c r="T1677" s="24"/>
      <c r="U1677" s="24"/>
      <c r="V1677" s="67"/>
      <c r="W1677" s="25">
        <f>IFERROR(VLOOKUP(BCP_Soles[[#This Row],[DESTINATARIO]],CHOOSE({1,2},Clientes_Proveedores[Razon Social],Clientes_Proveedores[Ruc / Dni]),2,0),"")</f>
        <v>20538593053</v>
      </c>
      <c r="X1677" s="25"/>
      <c r="Y1677" s="25"/>
      <c r="Z1677" s="25"/>
      <c r="AA1677" s="99"/>
      <c r="AB1677" s="3" t="str">
        <f>IF(BCP_Soles[[#This Row],[FECHA]]&gt;0,TEXT(BCP_Soles[[#This Row],[FECHA]],"mmmm"),0)</f>
        <v>Mayo</v>
      </c>
    </row>
    <row r="1678" spans="2:28" ht="24" x14ac:dyDescent="0.3">
      <c r="B1678" s="2" t="str">
        <f>IF(BCP_Soles[[#This Row],[TIPO DE R.]]="R",COUNTIFS($D$4:$D1677,"R")+1,"")</f>
        <v/>
      </c>
      <c r="C1678" s="19" t="str">
        <f t="shared" si="130"/>
        <v>B-BCP - Soles</v>
      </c>
      <c r="D1678" s="3" t="s">
        <v>1101</v>
      </c>
      <c r="E1678" s="14">
        <v>45791</v>
      </c>
      <c r="F1678" s="5" t="s">
        <v>1996</v>
      </c>
      <c r="G1678" s="5"/>
      <c r="H1678" s="6" t="s">
        <v>152</v>
      </c>
      <c r="I1678" s="6" t="s">
        <v>14</v>
      </c>
      <c r="J1678" s="6" t="s">
        <v>1821</v>
      </c>
      <c r="K1678" s="6">
        <v>35090</v>
      </c>
      <c r="L1678" s="7" t="s">
        <v>2772</v>
      </c>
      <c r="M1678" s="8">
        <v>5454095</v>
      </c>
      <c r="N1678" s="8" t="str">
        <f t="shared" si="131"/>
        <v>PEN</v>
      </c>
      <c r="O1678" s="13">
        <v>4855.2</v>
      </c>
      <c r="P1678" s="13"/>
      <c r="Q1678" s="3">
        <f t="shared" si="132"/>
        <v>0</v>
      </c>
      <c r="R1678" s="3">
        <f t="shared" si="133"/>
        <v>0</v>
      </c>
      <c r="S1678" s="3">
        <f t="shared" si="134"/>
        <v>130370.19999999998</v>
      </c>
      <c r="T1678" s="24"/>
      <c r="U1678" s="24"/>
      <c r="V1678" s="67"/>
      <c r="W1678" s="25">
        <f>IFERROR(VLOOKUP(BCP_Soles[[#This Row],[DESTINATARIO]],CHOOSE({1,2},Clientes_Proveedores[Razon Social],Clientes_Proveedores[Ruc / Dni]),2,0),"")</f>
        <v>20100226902</v>
      </c>
      <c r="X1678" s="25"/>
      <c r="Y1678" s="25"/>
      <c r="Z1678" s="25"/>
      <c r="AA1678" s="99"/>
      <c r="AB1678" s="3" t="str">
        <f>IF(BCP_Soles[[#This Row],[FECHA]]&gt;0,TEXT(BCP_Soles[[#This Row],[FECHA]],"mmmm"),0)</f>
        <v>Mayo</v>
      </c>
    </row>
    <row r="1679" spans="2:28" ht="24" x14ac:dyDescent="0.3">
      <c r="B1679" s="2" t="str">
        <f>IF(BCP_Soles[[#This Row],[TIPO DE R.]]="R",COUNTIFS($D$4:$D1678,"R")+1,"")</f>
        <v/>
      </c>
      <c r="C1679" s="19" t="str">
        <f t="shared" si="130"/>
        <v>B-BCP - Soles</v>
      </c>
      <c r="D1679" s="3" t="s">
        <v>1101</v>
      </c>
      <c r="E1679" s="14">
        <v>45791</v>
      </c>
      <c r="F1679" s="5" t="s">
        <v>1996</v>
      </c>
      <c r="G1679" s="5"/>
      <c r="H1679" s="6" t="s">
        <v>108</v>
      </c>
      <c r="I1679" s="6" t="s">
        <v>14</v>
      </c>
      <c r="J1679" s="6" t="s">
        <v>1121</v>
      </c>
      <c r="K1679" s="6">
        <v>4822</v>
      </c>
      <c r="L1679" s="7" t="s">
        <v>2772</v>
      </c>
      <c r="M1679" s="8">
        <v>5454095</v>
      </c>
      <c r="N1679" s="8" t="str">
        <f t="shared" si="131"/>
        <v>PEN</v>
      </c>
      <c r="O1679" s="13">
        <v>59</v>
      </c>
      <c r="P1679" s="13"/>
      <c r="Q1679" s="3">
        <f t="shared" si="132"/>
        <v>0</v>
      </c>
      <c r="R1679" s="3">
        <f t="shared" si="133"/>
        <v>0</v>
      </c>
      <c r="S1679" s="3">
        <f t="shared" si="134"/>
        <v>130370.19999999998</v>
      </c>
      <c r="T1679" s="24"/>
      <c r="U1679" s="24"/>
      <c r="V1679" s="67"/>
      <c r="W1679" s="25">
        <f>IFERROR(VLOOKUP(BCP_Soles[[#This Row],[DESTINATARIO]],CHOOSE({1,2},Clientes_Proveedores[Razon Social],Clientes_Proveedores[Ruc / Dni]),2,0),"")</f>
        <v>10425371652</v>
      </c>
      <c r="X1679" s="25"/>
      <c r="Y1679" s="25"/>
      <c r="Z1679" s="25"/>
      <c r="AA1679" s="99"/>
      <c r="AB1679" s="3" t="str">
        <f>IF(BCP_Soles[[#This Row],[FECHA]]&gt;0,TEXT(BCP_Soles[[#This Row],[FECHA]],"mmmm"),0)</f>
        <v>Mayo</v>
      </c>
    </row>
    <row r="1680" spans="2:28" ht="36" x14ac:dyDescent="0.3">
      <c r="B1680" s="2" t="str">
        <f>IF(BCP_Soles[[#This Row],[TIPO DE R.]]="R",COUNTIFS($D$4:$D1679,"R")+1,"")</f>
        <v/>
      </c>
      <c r="C1680" s="19" t="str">
        <f t="shared" si="130"/>
        <v>B-BCP - Soles</v>
      </c>
      <c r="D1680" s="3" t="s">
        <v>1101</v>
      </c>
      <c r="E1680" s="14">
        <v>45791</v>
      </c>
      <c r="F1680" s="5" t="s">
        <v>1996</v>
      </c>
      <c r="G1680" s="5"/>
      <c r="H1680" s="6" t="s">
        <v>97</v>
      </c>
      <c r="I1680" s="6" t="s">
        <v>14</v>
      </c>
      <c r="J1680" s="6" t="s">
        <v>1121</v>
      </c>
      <c r="K1680" s="6">
        <v>396</v>
      </c>
      <c r="L1680" s="7" t="s">
        <v>2772</v>
      </c>
      <c r="M1680" s="8">
        <v>5454095</v>
      </c>
      <c r="N1680" s="8" t="str">
        <f t="shared" si="131"/>
        <v>PEN</v>
      </c>
      <c r="O1680" s="13">
        <v>290</v>
      </c>
      <c r="P1680" s="13"/>
      <c r="Q1680" s="3">
        <f t="shared" si="132"/>
        <v>0</v>
      </c>
      <c r="R1680" s="3">
        <f t="shared" si="133"/>
        <v>0</v>
      </c>
      <c r="S1680" s="3">
        <f t="shared" si="134"/>
        <v>130370.19999999998</v>
      </c>
      <c r="T1680" s="24"/>
      <c r="U1680" s="24"/>
      <c r="V1680" s="67"/>
      <c r="W1680" s="25">
        <f>IFERROR(VLOOKUP(BCP_Soles[[#This Row],[DESTINATARIO]],CHOOSE({1,2},Clientes_Proveedores[Razon Social],Clientes_Proveedores[Ruc / Dni]),2,0),"")</f>
        <v>10405211179</v>
      </c>
      <c r="X1680" s="25"/>
      <c r="Y1680" s="25"/>
      <c r="Z1680" s="25"/>
      <c r="AA1680" s="99"/>
      <c r="AB1680" s="3" t="str">
        <f>IF(BCP_Soles[[#This Row],[FECHA]]&gt;0,TEXT(BCP_Soles[[#This Row],[FECHA]],"mmmm"),0)</f>
        <v>Mayo</v>
      </c>
    </row>
    <row r="1681" spans="2:28" ht="36" x14ac:dyDescent="0.3">
      <c r="B1681" s="2">
        <f>IF(BCP_Soles[[#This Row],[TIPO DE R.]]="R",COUNTIFS($D$4:$D1680,"R")+1,"")</f>
        <v>1297</v>
      </c>
      <c r="C1681" s="19" t="str">
        <f t="shared" si="130"/>
        <v>B-BCP - Soles</v>
      </c>
      <c r="D1681" s="3" t="s">
        <v>1074</v>
      </c>
      <c r="E1681" s="14">
        <v>45792</v>
      </c>
      <c r="F1681" s="5" t="s">
        <v>214</v>
      </c>
      <c r="G1681" s="5" t="s">
        <v>1087</v>
      </c>
      <c r="H1681" s="6"/>
      <c r="I1681" s="6"/>
      <c r="J1681" s="6"/>
      <c r="K1681" s="6"/>
      <c r="L1681" s="7" t="s">
        <v>2773</v>
      </c>
      <c r="M1681" s="8">
        <v>6220206</v>
      </c>
      <c r="N1681" s="8" t="str">
        <f t="shared" si="131"/>
        <v>PEN</v>
      </c>
      <c r="O1681" s="13"/>
      <c r="P1681" s="13">
        <v>4105.72</v>
      </c>
      <c r="Q1681" s="3">
        <f t="shared" si="132"/>
        <v>4105.72</v>
      </c>
      <c r="R1681" s="3">
        <f t="shared" si="133"/>
        <v>0</v>
      </c>
      <c r="S1681" s="3">
        <f t="shared" si="134"/>
        <v>134475.91999999998</v>
      </c>
      <c r="T1681" s="24" t="s">
        <v>1081</v>
      </c>
      <c r="U1681" s="24" t="s">
        <v>1081</v>
      </c>
      <c r="V1681" s="67"/>
      <c r="W1681" s="25" t="str">
        <f>IFERROR(VLOOKUP(BCP_Soles[[#This Row],[DESTINATARIO]],CHOOSE({1,2},Clientes_Proveedores[Razon Social],Clientes_Proveedores[Ruc / Dni]),2,0),"")</f>
        <v/>
      </c>
      <c r="X1681" s="25" t="s">
        <v>1090</v>
      </c>
      <c r="Y1681" s="25" t="s">
        <v>2774</v>
      </c>
      <c r="Z1681" s="25"/>
      <c r="AA1681" s="99"/>
      <c r="AB1681" s="3" t="str">
        <f>IF(BCP_Soles[[#This Row],[FECHA]]&gt;0,TEXT(BCP_Soles[[#This Row],[FECHA]],"mmmm"),0)</f>
        <v>Mayo</v>
      </c>
    </row>
    <row r="1682" spans="2:28" ht="36" x14ac:dyDescent="0.3">
      <c r="B1682" s="2">
        <f>IF(BCP_Soles[[#This Row],[TIPO DE R.]]="R",COUNTIFS($D$4:$D1681,"R")+1,"")</f>
        <v>1298</v>
      </c>
      <c r="C1682" s="19" t="str">
        <f t="shared" si="130"/>
        <v>B-BCP - Soles</v>
      </c>
      <c r="D1682" s="3" t="s">
        <v>1074</v>
      </c>
      <c r="E1682" s="14">
        <v>45792</v>
      </c>
      <c r="F1682" s="5" t="s">
        <v>175</v>
      </c>
      <c r="G1682" s="5" t="s">
        <v>1087</v>
      </c>
      <c r="H1682" s="6"/>
      <c r="I1682" s="6"/>
      <c r="J1682" s="6"/>
      <c r="K1682" s="6"/>
      <c r="L1682" s="7" t="s">
        <v>1944</v>
      </c>
      <c r="M1682" s="8">
        <v>2134997</v>
      </c>
      <c r="N1682" s="8" t="str">
        <f t="shared" si="131"/>
        <v>PEN</v>
      </c>
      <c r="O1682" s="13"/>
      <c r="P1682" s="13">
        <v>3000</v>
      </c>
      <c r="Q1682" s="3">
        <f t="shared" si="132"/>
        <v>3000</v>
      </c>
      <c r="R1682" s="3">
        <f t="shared" si="133"/>
        <v>0</v>
      </c>
      <c r="S1682" s="3">
        <f t="shared" si="134"/>
        <v>137475.91999999998</v>
      </c>
      <c r="T1682" s="24" t="s">
        <v>1081</v>
      </c>
      <c r="U1682" s="24" t="s">
        <v>1081</v>
      </c>
      <c r="V1682" s="67"/>
      <c r="W1682" s="25" t="str">
        <f>IFERROR(VLOOKUP(BCP_Soles[[#This Row],[DESTINATARIO]],CHOOSE({1,2},Clientes_Proveedores[Razon Social],Clientes_Proveedores[Ruc / Dni]),2,0),"")</f>
        <v/>
      </c>
      <c r="X1682" s="25" t="s">
        <v>1090</v>
      </c>
      <c r="Y1682" s="25" t="s">
        <v>2775</v>
      </c>
      <c r="Z1682" s="25"/>
      <c r="AA1682" s="99"/>
      <c r="AB1682" s="3" t="str">
        <f>IF(BCP_Soles[[#This Row],[FECHA]]&gt;0,TEXT(BCP_Soles[[#This Row],[FECHA]],"mmmm"),0)</f>
        <v>Mayo</v>
      </c>
    </row>
    <row r="1683" spans="2:28" x14ac:dyDescent="0.3">
      <c r="B1683" s="2">
        <f>IF(BCP_Soles[[#This Row],[TIPO DE R.]]="R",COUNTIFS($D$4:$D1682,"R")+1,"")</f>
        <v>1299</v>
      </c>
      <c r="C1683" s="19" t="str">
        <f t="shared" si="130"/>
        <v>B-BCP - Soles</v>
      </c>
      <c r="D1683" s="3" t="s">
        <v>1074</v>
      </c>
      <c r="E1683" s="14">
        <v>45792</v>
      </c>
      <c r="F1683" s="5" t="s">
        <v>1078</v>
      </c>
      <c r="G1683" s="5" t="s">
        <v>1079</v>
      </c>
      <c r="H1683" s="6"/>
      <c r="I1683" s="6"/>
      <c r="J1683" s="6"/>
      <c r="K1683" s="6"/>
      <c r="L1683" s="7" t="s">
        <v>1080</v>
      </c>
      <c r="M1683" s="8"/>
      <c r="N1683" s="8" t="str">
        <f t="shared" si="131"/>
        <v>PEN</v>
      </c>
      <c r="O1683" s="13"/>
      <c r="P1683" s="13">
        <v>0.7</v>
      </c>
      <c r="Q1683" s="3">
        <f t="shared" si="132"/>
        <v>0</v>
      </c>
      <c r="R1683" s="3">
        <f t="shared" si="133"/>
        <v>0.7</v>
      </c>
      <c r="S1683" s="3">
        <f t="shared" si="134"/>
        <v>137475.21999999997</v>
      </c>
      <c r="T1683" s="24"/>
      <c r="U1683" s="24" t="s">
        <v>1081</v>
      </c>
      <c r="V1683" s="67"/>
      <c r="W1683" s="25" t="str">
        <f>IFERROR(VLOOKUP(BCP_Soles[[#This Row],[DESTINATARIO]],CHOOSE({1,2},Clientes_Proveedores[Razon Social],Clientes_Proveedores[Ruc / Dni]),2,0),"")</f>
        <v/>
      </c>
      <c r="X1683" s="25"/>
      <c r="Y1683" s="25"/>
      <c r="Z1683" s="25"/>
      <c r="AA1683" s="99"/>
      <c r="AB1683" s="3" t="str">
        <f>IF(BCP_Soles[[#This Row],[FECHA]]&gt;0,TEXT(BCP_Soles[[#This Row],[FECHA]],"mmmm"),0)</f>
        <v>Mayo</v>
      </c>
    </row>
    <row r="1684" spans="2:28" x14ac:dyDescent="0.3">
      <c r="B1684" s="2">
        <f>IF(BCP_Soles[[#This Row],[TIPO DE R.]]="R",COUNTIFS($D$4:$D1683,"R")+1,"")</f>
        <v>1300</v>
      </c>
      <c r="C1684" s="19" t="str">
        <f t="shared" si="130"/>
        <v>B-BCP - Soles</v>
      </c>
      <c r="D1684" s="3" t="s">
        <v>1074</v>
      </c>
      <c r="E1684" s="14">
        <v>45792</v>
      </c>
      <c r="F1684" s="5" t="s">
        <v>1078</v>
      </c>
      <c r="G1684" s="5" t="s">
        <v>1079</v>
      </c>
      <c r="H1684" s="6"/>
      <c r="I1684" s="6"/>
      <c r="J1684" s="6"/>
      <c r="K1684" s="6"/>
      <c r="L1684" s="7" t="s">
        <v>1292</v>
      </c>
      <c r="M1684" s="8">
        <v>959580</v>
      </c>
      <c r="N1684" s="8" t="str">
        <f t="shared" si="131"/>
        <v>PEN</v>
      </c>
      <c r="O1684" s="13"/>
      <c r="P1684" s="13">
        <v>10</v>
      </c>
      <c r="Q1684" s="3">
        <f t="shared" si="132"/>
        <v>0</v>
      </c>
      <c r="R1684" s="3">
        <f t="shared" si="133"/>
        <v>10</v>
      </c>
      <c r="S1684" s="3">
        <f t="shared" si="134"/>
        <v>137465.21999999997</v>
      </c>
      <c r="T1684" s="24" t="s">
        <v>1081</v>
      </c>
      <c r="U1684" s="24" t="s">
        <v>1081</v>
      </c>
      <c r="V1684" s="67"/>
      <c r="W1684" s="25" t="str">
        <f>IFERROR(VLOOKUP(BCP_Soles[[#This Row],[DESTINATARIO]],CHOOSE({1,2},Clientes_Proveedores[Razon Social],Clientes_Proveedores[Ruc / Dni]),2,0),"")</f>
        <v/>
      </c>
      <c r="X1684" s="25" t="s">
        <v>1078</v>
      </c>
      <c r="Y1684" s="25" t="s">
        <v>2776</v>
      </c>
      <c r="Z1684" s="25"/>
      <c r="AA1684" s="99"/>
      <c r="AB1684" s="3" t="str">
        <f>IF(BCP_Soles[[#This Row],[FECHA]]&gt;0,TEXT(BCP_Soles[[#This Row],[FECHA]],"mmmm"),0)</f>
        <v>Mayo</v>
      </c>
    </row>
    <row r="1685" spans="2:28" ht="24" x14ac:dyDescent="0.3">
      <c r="B1685" s="2">
        <f>IF(BCP_Soles[[#This Row],[TIPO DE R.]]="R",COUNTIFS($D$4:$D1684,"R")+1,"")</f>
        <v>1301</v>
      </c>
      <c r="C1685" s="19" t="str">
        <f t="shared" si="130"/>
        <v>B-BCP - Soles</v>
      </c>
      <c r="D1685" s="3" t="s">
        <v>1074</v>
      </c>
      <c r="E1685" s="14">
        <v>45792</v>
      </c>
      <c r="F1685" s="5" t="s">
        <v>1082</v>
      </c>
      <c r="G1685" s="5" t="s">
        <v>1079</v>
      </c>
      <c r="H1685" s="6"/>
      <c r="I1685" s="6"/>
      <c r="J1685" s="6"/>
      <c r="K1685" s="6"/>
      <c r="L1685" s="7" t="s">
        <v>2777</v>
      </c>
      <c r="M1685" s="8">
        <v>1161903</v>
      </c>
      <c r="N1685" s="8" t="str">
        <f t="shared" si="131"/>
        <v>PEN</v>
      </c>
      <c r="O1685" s="13"/>
      <c r="P1685" s="13">
        <v>1500</v>
      </c>
      <c r="Q1685" s="3">
        <f t="shared" si="132"/>
        <v>0</v>
      </c>
      <c r="R1685" s="3">
        <f t="shared" si="133"/>
        <v>1500</v>
      </c>
      <c r="S1685" s="3">
        <f t="shared" si="134"/>
        <v>135965.21999999997</v>
      </c>
      <c r="T1685" s="24"/>
      <c r="U1685" s="24"/>
      <c r="V1685" s="67"/>
      <c r="W1685" s="25" t="str">
        <f>IFERROR(VLOOKUP(BCP_Soles[[#This Row],[DESTINATARIO]],CHOOSE({1,2},Clientes_Proveedores[Razon Social],Clientes_Proveedores[Ruc / Dni]),2,0),"")</f>
        <v/>
      </c>
      <c r="X1685" s="25" t="s">
        <v>836</v>
      </c>
      <c r="Y1685" s="25"/>
      <c r="Z1685" s="25"/>
      <c r="AA1685" s="99"/>
      <c r="AB1685" s="3" t="str">
        <f>IF(BCP_Soles[[#This Row],[FECHA]]&gt;0,TEXT(BCP_Soles[[#This Row],[FECHA]],"mmmm"),0)</f>
        <v>Mayo</v>
      </c>
    </row>
    <row r="1686" spans="2:28" ht="24" x14ac:dyDescent="0.3">
      <c r="B1686" s="2">
        <f>IF(BCP_Soles[[#This Row],[TIPO DE R.]]="R",COUNTIFS($D$4:$D1685,"R")+1,"")</f>
        <v>1302</v>
      </c>
      <c r="C1686" s="19" t="str">
        <f t="shared" si="130"/>
        <v>B-BCP - Soles</v>
      </c>
      <c r="D1686" s="3" t="s">
        <v>1074</v>
      </c>
      <c r="E1686" s="14">
        <v>45792</v>
      </c>
      <c r="F1686" s="5" t="s">
        <v>1082</v>
      </c>
      <c r="G1686" s="5" t="s">
        <v>1079</v>
      </c>
      <c r="H1686" s="6" t="s">
        <v>777</v>
      </c>
      <c r="I1686" s="6"/>
      <c r="J1686" s="6"/>
      <c r="K1686" s="6"/>
      <c r="L1686" s="7" t="s">
        <v>2778</v>
      </c>
      <c r="M1686" s="8">
        <v>1163817</v>
      </c>
      <c r="N1686" s="8" t="str">
        <f t="shared" si="131"/>
        <v>PEN</v>
      </c>
      <c r="O1686" s="13"/>
      <c r="P1686" s="13">
        <v>3000</v>
      </c>
      <c r="Q1686" s="3">
        <f t="shared" si="132"/>
        <v>0</v>
      </c>
      <c r="R1686" s="3">
        <f t="shared" si="133"/>
        <v>3000</v>
      </c>
      <c r="S1686" s="3">
        <f t="shared" si="134"/>
        <v>132965.21999999997</v>
      </c>
      <c r="T1686" s="24"/>
      <c r="U1686" s="24"/>
      <c r="V1686" s="67"/>
      <c r="W1686" s="25">
        <f>IFERROR(VLOOKUP(BCP_Soles[[#This Row],[DESTINATARIO]],CHOOSE({1,2},Clientes_Proveedores[Razon Social],Clientes_Proveedores[Ruc / Dni]),2,0),"")</f>
        <v>44468346</v>
      </c>
      <c r="X1686" s="25" t="s">
        <v>777</v>
      </c>
      <c r="Y1686" s="25"/>
      <c r="Z1686" s="25"/>
      <c r="AA1686" s="99"/>
      <c r="AB1686" s="3" t="str">
        <f>IF(BCP_Soles[[#This Row],[FECHA]]&gt;0,TEXT(BCP_Soles[[#This Row],[FECHA]],"mmmm"),0)</f>
        <v>Mayo</v>
      </c>
    </row>
    <row r="1687" spans="2:28" ht="36" x14ac:dyDescent="0.3">
      <c r="B1687" s="2">
        <f>IF(BCP_Soles[[#This Row],[TIPO DE R.]]="R",COUNTIFS($D$4:$D1686,"R")+1,"")</f>
        <v>1303</v>
      </c>
      <c r="C1687" s="19" t="str">
        <f t="shared" si="130"/>
        <v>B-BCP - Soles</v>
      </c>
      <c r="D1687" s="3" t="s">
        <v>1074</v>
      </c>
      <c r="E1687" s="14">
        <v>45792</v>
      </c>
      <c r="F1687" s="5" t="s">
        <v>1082</v>
      </c>
      <c r="G1687" s="5" t="s">
        <v>1079</v>
      </c>
      <c r="H1687" s="6" t="s">
        <v>889</v>
      </c>
      <c r="I1687" s="6"/>
      <c r="J1687" s="6"/>
      <c r="K1687" s="6"/>
      <c r="L1687" s="7" t="s">
        <v>2778</v>
      </c>
      <c r="M1687" s="8">
        <v>1163360</v>
      </c>
      <c r="N1687" s="8" t="str">
        <f t="shared" si="131"/>
        <v>PEN</v>
      </c>
      <c r="O1687" s="13"/>
      <c r="P1687" s="13">
        <v>3000</v>
      </c>
      <c r="Q1687" s="3">
        <f t="shared" si="132"/>
        <v>0</v>
      </c>
      <c r="R1687" s="3">
        <f t="shared" si="133"/>
        <v>3000</v>
      </c>
      <c r="S1687" s="3">
        <f t="shared" si="134"/>
        <v>129965.21999999997</v>
      </c>
      <c r="T1687" s="24"/>
      <c r="U1687" s="24"/>
      <c r="V1687" s="67"/>
      <c r="W1687" s="25">
        <f>IFERROR(VLOOKUP(BCP_Soles[[#This Row],[DESTINATARIO]],CHOOSE({1,2},Clientes_Proveedores[Razon Social],Clientes_Proveedores[Ruc / Dni]),2,0),"")</f>
        <v>71311214</v>
      </c>
      <c r="X1687" s="25" t="s">
        <v>889</v>
      </c>
      <c r="Y1687" s="25"/>
      <c r="Z1687" s="25"/>
      <c r="AA1687" s="99"/>
      <c r="AB1687" s="3" t="str">
        <f>IF(BCP_Soles[[#This Row],[FECHA]]&gt;0,TEXT(BCP_Soles[[#This Row],[FECHA]],"mmmm"),0)</f>
        <v>Mayo</v>
      </c>
    </row>
    <row r="1688" spans="2:28" x14ac:dyDescent="0.3">
      <c r="B1688" s="2">
        <f>IF(BCP_Soles[[#This Row],[TIPO DE R.]]="R",COUNTIFS($D$4:$D1687,"R")+1,"")</f>
        <v>1304</v>
      </c>
      <c r="C1688" s="19" t="str">
        <f t="shared" si="130"/>
        <v>B-BCP - Soles</v>
      </c>
      <c r="D1688" s="3" t="s">
        <v>1074</v>
      </c>
      <c r="E1688" s="14">
        <v>45793</v>
      </c>
      <c r="F1688" s="5" t="s">
        <v>1158</v>
      </c>
      <c r="G1688" s="5" t="s">
        <v>1079</v>
      </c>
      <c r="H1688" s="6"/>
      <c r="I1688" s="6"/>
      <c r="J1688" s="6"/>
      <c r="K1688" s="6"/>
      <c r="L1688" s="7" t="s">
        <v>1279</v>
      </c>
      <c r="M1688" s="8">
        <v>73</v>
      </c>
      <c r="N1688" s="8" t="str">
        <f t="shared" si="131"/>
        <v>PEN</v>
      </c>
      <c r="O1688" s="13"/>
      <c r="P1688" s="13">
        <v>263.85000000000002</v>
      </c>
      <c r="Q1688" s="3">
        <f t="shared" si="132"/>
        <v>0</v>
      </c>
      <c r="R1688" s="3">
        <f t="shared" si="133"/>
        <v>263.85000000000002</v>
      </c>
      <c r="S1688" s="3">
        <f t="shared" si="134"/>
        <v>129701.36999999997</v>
      </c>
      <c r="T1688" s="24"/>
      <c r="U1688" s="24"/>
      <c r="V1688" s="67"/>
      <c r="W1688" s="25" t="str">
        <f>IFERROR(VLOOKUP(BCP_Soles[[#This Row],[DESTINATARIO]],CHOOSE({1,2},Clientes_Proveedores[Razon Social],Clientes_Proveedores[Ruc / Dni]),2,0),"")</f>
        <v/>
      </c>
      <c r="X1688" s="25" t="s">
        <v>1280</v>
      </c>
      <c r="Y1688" s="25"/>
      <c r="Z1688" s="25"/>
      <c r="AA1688" s="99"/>
      <c r="AB1688" s="3" t="str">
        <f>IF(BCP_Soles[[#This Row],[FECHA]]&gt;0,TEXT(BCP_Soles[[#This Row],[FECHA]],"mmmm"),0)</f>
        <v>Mayo</v>
      </c>
    </row>
    <row r="1689" spans="2:28" x14ac:dyDescent="0.3">
      <c r="B1689" s="2">
        <f>IF(BCP_Soles[[#This Row],[TIPO DE R.]]="R",COUNTIFS($D$4:$D1688,"R")+1,"")</f>
        <v>1305</v>
      </c>
      <c r="C1689" s="19" t="str">
        <f t="shared" si="130"/>
        <v>B-BCP - Soles</v>
      </c>
      <c r="D1689" s="3" t="s">
        <v>1074</v>
      </c>
      <c r="E1689" s="14">
        <v>45793</v>
      </c>
      <c r="F1689" s="5" t="s">
        <v>1158</v>
      </c>
      <c r="G1689" s="5" t="s">
        <v>1079</v>
      </c>
      <c r="H1689" s="6"/>
      <c r="I1689" s="6"/>
      <c r="J1689" s="6"/>
      <c r="K1689" s="6"/>
      <c r="L1689" s="7" t="s">
        <v>1274</v>
      </c>
      <c r="M1689" s="8">
        <v>72</v>
      </c>
      <c r="N1689" s="8" t="str">
        <f t="shared" si="131"/>
        <v>PEN</v>
      </c>
      <c r="O1689" s="13"/>
      <c r="P1689" s="13">
        <v>1919.04</v>
      </c>
      <c r="Q1689" s="3">
        <f t="shared" si="132"/>
        <v>0</v>
      </c>
      <c r="R1689" s="3">
        <f t="shared" si="133"/>
        <v>1919.04</v>
      </c>
      <c r="S1689" s="3">
        <f t="shared" si="134"/>
        <v>127782.32999999997</v>
      </c>
      <c r="T1689" s="24"/>
      <c r="U1689" s="24"/>
      <c r="V1689" s="67"/>
      <c r="W1689" s="25" t="str">
        <f>IFERROR(VLOOKUP(BCP_Soles[[#This Row],[DESTINATARIO]],CHOOSE({1,2},Clientes_Proveedores[Razon Social],Clientes_Proveedores[Ruc / Dni]),2,0),"")</f>
        <v/>
      </c>
      <c r="X1689" s="25" t="s">
        <v>1275</v>
      </c>
      <c r="Y1689" s="25"/>
      <c r="Z1689" s="25"/>
      <c r="AA1689" s="99"/>
      <c r="AB1689" s="3" t="str">
        <f>IF(BCP_Soles[[#This Row],[FECHA]]&gt;0,TEXT(BCP_Soles[[#This Row],[FECHA]],"mmmm"),0)</f>
        <v>Mayo</v>
      </c>
    </row>
    <row r="1690" spans="2:28" x14ac:dyDescent="0.3">
      <c r="B1690" s="2">
        <f>IF(BCP_Soles[[#This Row],[TIPO DE R.]]="R",COUNTIFS($D$4:$D1689,"R")+1,"")</f>
        <v>1306</v>
      </c>
      <c r="C1690" s="19" t="str">
        <f t="shared" si="130"/>
        <v>B-BCP - Soles</v>
      </c>
      <c r="D1690" s="3" t="s">
        <v>1074</v>
      </c>
      <c r="E1690" s="14">
        <v>45793</v>
      </c>
      <c r="F1690" s="5" t="s">
        <v>1158</v>
      </c>
      <c r="G1690" s="5" t="s">
        <v>1079</v>
      </c>
      <c r="H1690" s="6"/>
      <c r="I1690" s="6"/>
      <c r="J1690" s="6"/>
      <c r="K1690" s="6"/>
      <c r="L1690" s="7" t="s">
        <v>1271</v>
      </c>
      <c r="M1690" s="8">
        <v>70</v>
      </c>
      <c r="N1690" s="8" t="str">
        <f t="shared" si="131"/>
        <v>PEN</v>
      </c>
      <c r="O1690" s="13"/>
      <c r="P1690" s="13">
        <v>5281.92</v>
      </c>
      <c r="Q1690" s="3">
        <f t="shared" si="132"/>
        <v>0</v>
      </c>
      <c r="R1690" s="3">
        <f t="shared" si="133"/>
        <v>5281.92</v>
      </c>
      <c r="S1690" s="3">
        <f t="shared" si="134"/>
        <v>122500.40999999997</v>
      </c>
      <c r="T1690" s="24"/>
      <c r="U1690" s="24"/>
      <c r="V1690" s="67"/>
      <c r="W1690" s="25" t="str">
        <f>IFERROR(VLOOKUP(BCP_Soles[[#This Row],[DESTINATARIO]],CHOOSE({1,2},Clientes_Proveedores[Razon Social],Clientes_Proveedores[Ruc / Dni]),2,0),"")</f>
        <v/>
      </c>
      <c r="X1690" s="25" t="s">
        <v>1272</v>
      </c>
      <c r="Y1690" s="25"/>
      <c r="Z1690" s="25"/>
      <c r="AA1690" s="99"/>
      <c r="AB1690" s="3" t="str">
        <f>IF(BCP_Soles[[#This Row],[FECHA]]&gt;0,TEXT(BCP_Soles[[#This Row],[FECHA]],"mmmm"),0)</f>
        <v>Mayo</v>
      </c>
    </row>
    <row r="1691" spans="2:28" x14ac:dyDescent="0.3">
      <c r="B1691" s="2">
        <f>IF(BCP_Soles[[#This Row],[TIPO DE R.]]="R",COUNTIFS($D$4:$D1690,"R")+1,"")</f>
        <v>1307</v>
      </c>
      <c r="C1691" s="19" t="str">
        <f t="shared" si="130"/>
        <v>B-BCP - Soles</v>
      </c>
      <c r="D1691" s="3" t="s">
        <v>1074</v>
      </c>
      <c r="E1691" s="14">
        <v>45793</v>
      </c>
      <c r="F1691" s="5" t="s">
        <v>1158</v>
      </c>
      <c r="G1691" s="5" t="s">
        <v>1079</v>
      </c>
      <c r="H1691" s="6"/>
      <c r="I1691" s="6"/>
      <c r="J1691" s="6"/>
      <c r="K1691" s="6"/>
      <c r="L1691" s="7" t="s">
        <v>1277</v>
      </c>
      <c r="M1691" s="8">
        <v>69</v>
      </c>
      <c r="N1691" s="8" t="str">
        <f t="shared" si="131"/>
        <v>PEN</v>
      </c>
      <c r="O1691" s="13"/>
      <c r="P1691" s="13">
        <v>851.89</v>
      </c>
      <c r="Q1691" s="3">
        <f t="shared" si="132"/>
        <v>0</v>
      </c>
      <c r="R1691" s="3">
        <f t="shared" si="133"/>
        <v>851.89</v>
      </c>
      <c r="S1691" s="3">
        <f t="shared" si="134"/>
        <v>121648.51999999997</v>
      </c>
      <c r="T1691" s="24"/>
      <c r="U1691" s="24"/>
      <c r="V1691" s="67"/>
      <c r="W1691" s="25" t="str">
        <f>IFERROR(VLOOKUP(BCP_Soles[[#This Row],[DESTINATARIO]],CHOOSE({1,2},Clientes_Proveedores[Razon Social],Clientes_Proveedores[Ruc / Dni]),2,0),"")</f>
        <v/>
      </c>
      <c r="X1691" s="25" t="s">
        <v>1278</v>
      </c>
      <c r="Y1691" s="25"/>
      <c r="Z1691" s="25"/>
      <c r="AA1691" s="99"/>
      <c r="AB1691" s="3" t="str">
        <f>IF(BCP_Soles[[#This Row],[FECHA]]&gt;0,TEXT(BCP_Soles[[#This Row],[FECHA]],"mmmm"),0)</f>
        <v>Mayo</v>
      </c>
    </row>
    <row r="1692" spans="2:28" x14ac:dyDescent="0.3">
      <c r="B1692" s="2">
        <f>IF(BCP_Soles[[#This Row],[TIPO DE R.]]="R",COUNTIFS($D$4:$D1691,"R")+1,"")</f>
        <v>1308</v>
      </c>
      <c r="C1692" s="19" t="str">
        <f t="shared" si="130"/>
        <v>B-BCP - Soles</v>
      </c>
      <c r="D1692" s="3" t="s">
        <v>1074</v>
      </c>
      <c r="E1692" s="14">
        <v>45793</v>
      </c>
      <c r="F1692" s="5" t="s">
        <v>229</v>
      </c>
      <c r="G1692" s="5" t="s">
        <v>1087</v>
      </c>
      <c r="H1692" s="6"/>
      <c r="I1692" s="6"/>
      <c r="J1692" s="6"/>
      <c r="K1692" s="6"/>
      <c r="L1692" s="7" t="s">
        <v>1127</v>
      </c>
      <c r="M1692" s="8">
        <v>1917</v>
      </c>
      <c r="N1692" s="8" t="str">
        <f t="shared" si="131"/>
        <v>PEN</v>
      </c>
      <c r="O1692" s="13"/>
      <c r="P1692" s="13">
        <v>2661.36</v>
      </c>
      <c r="Q1692" s="3">
        <f t="shared" si="132"/>
        <v>2661.36</v>
      </c>
      <c r="R1692" s="3">
        <f t="shared" si="133"/>
        <v>0</v>
      </c>
      <c r="S1692" s="3">
        <f t="shared" si="134"/>
        <v>124309.87999999998</v>
      </c>
      <c r="T1692" s="24" t="s">
        <v>1081</v>
      </c>
      <c r="U1692" s="24" t="s">
        <v>1081</v>
      </c>
      <c r="V1692" s="67"/>
      <c r="W1692" s="25" t="str">
        <f>IFERROR(VLOOKUP(BCP_Soles[[#This Row],[DESTINATARIO]],CHOOSE({1,2},Clientes_Proveedores[Razon Social],Clientes_Proveedores[Ruc / Dni]),2,0),"")</f>
        <v/>
      </c>
      <c r="X1692" s="25" t="s">
        <v>1090</v>
      </c>
      <c r="Y1692" s="25" t="s">
        <v>2779</v>
      </c>
      <c r="Z1692" s="25"/>
      <c r="AA1692" s="99"/>
      <c r="AB1692" s="3" t="str">
        <f>IF(BCP_Soles[[#This Row],[FECHA]]&gt;0,TEXT(BCP_Soles[[#This Row],[FECHA]],"mmmm"),0)</f>
        <v>Mayo</v>
      </c>
    </row>
    <row r="1693" spans="2:28" x14ac:dyDescent="0.3">
      <c r="B1693" s="2">
        <f>IF(BCP_Soles[[#This Row],[TIPO DE R.]]="R",COUNTIFS($D$4:$D1692,"R")+1,"")</f>
        <v>1309</v>
      </c>
      <c r="C1693" s="19" t="str">
        <f t="shared" si="130"/>
        <v>B-BCP - Soles</v>
      </c>
      <c r="D1693" s="3" t="s">
        <v>1074</v>
      </c>
      <c r="E1693" s="14">
        <v>45793</v>
      </c>
      <c r="F1693" s="5" t="s">
        <v>382</v>
      </c>
      <c r="G1693" s="5" t="s">
        <v>1087</v>
      </c>
      <c r="H1693" s="6"/>
      <c r="I1693" s="6"/>
      <c r="J1693" s="6"/>
      <c r="K1693" s="6"/>
      <c r="L1693" s="7" t="s">
        <v>1100</v>
      </c>
      <c r="M1693" s="8">
        <v>3206680</v>
      </c>
      <c r="N1693" s="8" t="str">
        <f t="shared" si="131"/>
        <v>PEN</v>
      </c>
      <c r="O1693" s="13"/>
      <c r="P1693" s="13">
        <v>910</v>
      </c>
      <c r="Q1693" s="3">
        <f t="shared" si="132"/>
        <v>910</v>
      </c>
      <c r="R1693" s="3">
        <f t="shared" si="133"/>
        <v>0</v>
      </c>
      <c r="S1693" s="3">
        <f t="shared" si="134"/>
        <v>125219.87999999998</v>
      </c>
      <c r="T1693" s="24" t="s">
        <v>1081</v>
      </c>
      <c r="U1693" s="24" t="s">
        <v>1081</v>
      </c>
      <c r="V1693" s="67"/>
      <c r="W1693" s="25" t="str">
        <f>IFERROR(VLOOKUP(BCP_Soles[[#This Row],[DESTINATARIO]],CHOOSE({1,2},Clientes_Proveedores[Razon Social],Clientes_Proveedores[Ruc / Dni]),2,0),"")</f>
        <v/>
      </c>
      <c r="X1693" s="25" t="s">
        <v>1090</v>
      </c>
      <c r="Y1693" s="25" t="s">
        <v>2780</v>
      </c>
      <c r="Z1693" s="25"/>
      <c r="AA1693" s="99"/>
      <c r="AB1693" s="3" t="str">
        <f>IF(BCP_Soles[[#This Row],[FECHA]]&gt;0,TEXT(BCP_Soles[[#This Row],[FECHA]],"mmmm"),0)</f>
        <v>Mayo</v>
      </c>
    </row>
    <row r="1694" spans="2:28" ht="24" x14ac:dyDescent="0.3">
      <c r="B1694" s="2">
        <f>IF(BCP_Soles[[#This Row],[TIPO DE R.]]="R",COUNTIFS($D$4:$D1693,"R")+1,"")</f>
        <v>1310</v>
      </c>
      <c r="C1694" s="19" t="str">
        <f t="shared" si="130"/>
        <v>B-BCP - Soles</v>
      </c>
      <c r="D1694" s="3" t="s">
        <v>1074</v>
      </c>
      <c r="E1694" s="14">
        <v>45793</v>
      </c>
      <c r="F1694" s="5" t="s">
        <v>217</v>
      </c>
      <c r="G1694" s="5" t="s">
        <v>1087</v>
      </c>
      <c r="H1694" s="6"/>
      <c r="I1694" s="6"/>
      <c r="J1694" s="6"/>
      <c r="K1694" s="6"/>
      <c r="L1694" s="7" t="s">
        <v>1100</v>
      </c>
      <c r="M1694" s="8">
        <v>3206089</v>
      </c>
      <c r="N1694" s="8" t="str">
        <f t="shared" si="131"/>
        <v>PEN</v>
      </c>
      <c r="O1694" s="13"/>
      <c r="P1694" s="13">
        <v>209.96</v>
      </c>
      <c r="Q1694" s="3">
        <f t="shared" si="132"/>
        <v>209.96</v>
      </c>
      <c r="R1694" s="3">
        <f t="shared" si="133"/>
        <v>0</v>
      </c>
      <c r="S1694" s="3">
        <f t="shared" si="134"/>
        <v>125429.83999999998</v>
      </c>
      <c r="T1694" s="24" t="s">
        <v>1081</v>
      </c>
      <c r="U1694" s="24" t="s">
        <v>1081</v>
      </c>
      <c r="V1694" s="67"/>
      <c r="W1694" s="25" t="str">
        <f>IFERROR(VLOOKUP(BCP_Soles[[#This Row],[DESTINATARIO]],CHOOSE({1,2},Clientes_Proveedores[Razon Social],Clientes_Proveedores[Ruc / Dni]),2,0),"")</f>
        <v/>
      </c>
      <c r="X1694" s="25" t="s">
        <v>1090</v>
      </c>
      <c r="Y1694" s="25" t="s">
        <v>2781</v>
      </c>
      <c r="Z1694" s="25"/>
      <c r="AA1694" s="99"/>
      <c r="AB1694" s="3" t="str">
        <f>IF(BCP_Soles[[#This Row],[FECHA]]&gt;0,TEXT(BCP_Soles[[#This Row],[FECHA]],"mmmm"),0)</f>
        <v>Mayo</v>
      </c>
    </row>
    <row r="1695" spans="2:28" ht="60" x14ac:dyDescent="0.3">
      <c r="B1695" s="2">
        <f>IF(BCP_Soles[[#This Row],[TIPO DE R.]]="R",COUNTIFS($D$4:$D1694,"R")+1,"")</f>
        <v>1311</v>
      </c>
      <c r="C1695" s="19" t="str">
        <f t="shared" si="130"/>
        <v>B-BCP - Soles</v>
      </c>
      <c r="D1695" s="3" t="s">
        <v>1074</v>
      </c>
      <c r="E1695" s="14">
        <v>45793</v>
      </c>
      <c r="F1695" s="5" t="s">
        <v>238</v>
      </c>
      <c r="G1695" s="5" t="s">
        <v>1087</v>
      </c>
      <c r="H1695" s="6"/>
      <c r="I1695" s="6"/>
      <c r="J1695" s="6"/>
      <c r="K1695" s="6"/>
      <c r="L1695" s="7" t="s">
        <v>1170</v>
      </c>
      <c r="M1695" s="8">
        <v>2256631</v>
      </c>
      <c r="N1695" s="8" t="str">
        <f t="shared" si="131"/>
        <v>PEN</v>
      </c>
      <c r="O1695" s="13"/>
      <c r="P1695" s="13">
        <v>943.79</v>
      </c>
      <c r="Q1695" s="3">
        <f t="shared" si="132"/>
        <v>943.79</v>
      </c>
      <c r="R1695" s="3">
        <f t="shared" si="133"/>
        <v>0</v>
      </c>
      <c r="S1695" s="3">
        <f t="shared" si="134"/>
        <v>126373.62999999998</v>
      </c>
      <c r="T1695" s="24" t="s">
        <v>1081</v>
      </c>
      <c r="U1695" s="24" t="s">
        <v>1081</v>
      </c>
      <c r="V1695" s="67"/>
      <c r="W1695" s="25" t="str">
        <f>IFERROR(VLOOKUP(BCP_Soles[[#This Row],[DESTINATARIO]],CHOOSE({1,2},Clientes_Proveedores[Razon Social],Clientes_Proveedores[Ruc / Dni]),2,0),"")</f>
        <v/>
      </c>
      <c r="X1695" s="25" t="s">
        <v>1090</v>
      </c>
      <c r="Y1695" s="25" t="s">
        <v>2782</v>
      </c>
      <c r="Z1695" s="25"/>
      <c r="AA1695" s="99"/>
      <c r="AB1695" s="3" t="str">
        <f>IF(BCP_Soles[[#This Row],[FECHA]]&gt;0,TEXT(BCP_Soles[[#This Row],[FECHA]],"mmmm"),0)</f>
        <v>Mayo</v>
      </c>
    </row>
    <row r="1696" spans="2:28" ht="60" x14ac:dyDescent="0.3">
      <c r="B1696" s="2">
        <f>IF(BCP_Soles[[#This Row],[TIPO DE R.]]="R",COUNTIFS($D$4:$D1695,"R")+1,"")</f>
        <v>1312</v>
      </c>
      <c r="C1696" s="19" t="str">
        <f t="shared" si="130"/>
        <v>B-BCP - Soles</v>
      </c>
      <c r="D1696" s="3" t="s">
        <v>1074</v>
      </c>
      <c r="E1696" s="14">
        <v>45793</v>
      </c>
      <c r="F1696" s="5" t="s">
        <v>238</v>
      </c>
      <c r="G1696" s="5" t="s">
        <v>1087</v>
      </c>
      <c r="H1696" s="6"/>
      <c r="I1696" s="6"/>
      <c r="J1696" s="6"/>
      <c r="K1696" s="6"/>
      <c r="L1696" s="7" t="s">
        <v>1170</v>
      </c>
      <c r="M1696" s="8">
        <v>2253921</v>
      </c>
      <c r="N1696" s="8" t="str">
        <f t="shared" si="131"/>
        <v>PEN</v>
      </c>
      <c r="O1696" s="13"/>
      <c r="P1696" s="13">
        <v>338.25</v>
      </c>
      <c r="Q1696" s="3">
        <f t="shared" si="132"/>
        <v>338.25</v>
      </c>
      <c r="R1696" s="3">
        <f t="shared" si="133"/>
        <v>0</v>
      </c>
      <c r="S1696" s="3">
        <f t="shared" si="134"/>
        <v>126711.87999999998</v>
      </c>
      <c r="T1696" s="24" t="s">
        <v>1081</v>
      </c>
      <c r="U1696" s="24" t="s">
        <v>1081</v>
      </c>
      <c r="V1696" s="67"/>
      <c r="W1696" s="25" t="str">
        <f>IFERROR(VLOOKUP(BCP_Soles[[#This Row],[DESTINATARIO]],CHOOSE({1,2},Clientes_Proveedores[Razon Social],Clientes_Proveedores[Ruc / Dni]),2,0),"")</f>
        <v/>
      </c>
      <c r="X1696" s="25" t="s">
        <v>1090</v>
      </c>
      <c r="Y1696" s="25" t="s">
        <v>2783</v>
      </c>
      <c r="Z1696" s="25"/>
      <c r="AA1696" s="99"/>
      <c r="AB1696" s="3" t="str">
        <f>IF(BCP_Soles[[#This Row],[FECHA]]&gt;0,TEXT(BCP_Soles[[#This Row],[FECHA]],"mmmm"),0)</f>
        <v>Mayo</v>
      </c>
    </row>
    <row r="1697" spans="2:28" x14ac:dyDescent="0.3">
      <c r="B1697" s="2">
        <f>IF(BCP_Soles[[#This Row],[TIPO DE R.]]="R",COUNTIFS($D$4:$D1696,"R")+1,"")</f>
        <v>1313</v>
      </c>
      <c r="C1697" s="19" t="str">
        <f t="shared" si="130"/>
        <v>B-BCP - Soles</v>
      </c>
      <c r="D1697" s="3" t="s">
        <v>1074</v>
      </c>
      <c r="E1697" s="14">
        <v>45793</v>
      </c>
      <c r="F1697" s="5" t="s">
        <v>1996</v>
      </c>
      <c r="G1697" s="5" t="s">
        <v>1079</v>
      </c>
      <c r="H1697" s="6" t="s">
        <v>590</v>
      </c>
      <c r="I1697" s="6" t="s">
        <v>14</v>
      </c>
      <c r="J1697" s="6" t="s">
        <v>1119</v>
      </c>
      <c r="K1697" s="6">
        <v>1022366</v>
      </c>
      <c r="L1697" s="7" t="s">
        <v>1585</v>
      </c>
      <c r="M1697" s="8">
        <v>27326</v>
      </c>
      <c r="N1697" s="8" t="str">
        <f t="shared" si="131"/>
        <v>PEN</v>
      </c>
      <c r="O1697" s="13"/>
      <c r="P1697" s="13">
        <v>120.36</v>
      </c>
      <c r="Q1697" s="3">
        <f t="shared" si="132"/>
        <v>0</v>
      </c>
      <c r="R1697" s="3">
        <f t="shared" si="133"/>
        <v>120.36</v>
      </c>
      <c r="S1697" s="3">
        <f t="shared" si="134"/>
        <v>126591.51999999997</v>
      </c>
      <c r="T1697" s="24" t="s">
        <v>1081</v>
      </c>
      <c r="U1697" s="24" t="s">
        <v>1081</v>
      </c>
      <c r="V1697" s="67"/>
      <c r="W1697" s="25">
        <f>IFERROR(VLOOKUP(BCP_Soles[[#This Row],[DESTINATARIO]],CHOOSE({1,2},Clientes_Proveedores[Razon Social],Clientes_Proveedores[Ruc / Dni]),2,0),"")</f>
        <v>20265681299</v>
      </c>
      <c r="X1697" s="25" t="s">
        <v>590</v>
      </c>
      <c r="Y1697" s="25" t="s">
        <v>2784</v>
      </c>
      <c r="Z1697" s="25"/>
      <c r="AA1697" s="99"/>
      <c r="AB1697" s="3" t="str">
        <f>IF(BCP_Soles[[#This Row],[FECHA]]&gt;0,TEXT(BCP_Soles[[#This Row],[FECHA]],"mmmm"),0)</f>
        <v>Mayo</v>
      </c>
    </row>
    <row r="1698" spans="2:28" x14ac:dyDescent="0.3">
      <c r="B1698" s="2">
        <f>IF(BCP_Soles[[#This Row],[TIPO DE R.]]="R",COUNTIFS($D$4:$D1697,"R")+1,"")</f>
        <v>1314</v>
      </c>
      <c r="C1698" s="19" t="str">
        <f t="shared" si="130"/>
        <v>B-BCP - Soles</v>
      </c>
      <c r="D1698" s="3" t="s">
        <v>1074</v>
      </c>
      <c r="E1698" s="14">
        <v>45793</v>
      </c>
      <c r="F1698" s="5" t="s">
        <v>1996</v>
      </c>
      <c r="G1698" s="5" t="s">
        <v>1079</v>
      </c>
      <c r="H1698" s="6" t="s">
        <v>590</v>
      </c>
      <c r="I1698" s="6" t="s">
        <v>14</v>
      </c>
      <c r="J1698" s="6" t="s">
        <v>1119</v>
      </c>
      <c r="K1698" s="6">
        <v>1032039</v>
      </c>
      <c r="L1698" s="7" t="s">
        <v>1585</v>
      </c>
      <c r="M1698" s="8">
        <v>26340</v>
      </c>
      <c r="N1698" s="8" t="str">
        <f t="shared" si="131"/>
        <v>PEN</v>
      </c>
      <c r="O1698" s="13"/>
      <c r="P1698" s="13">
        <v>120.36</v>
      </c>
      <c r="Q1698" s="3">
        <f t="shared" si="132"/>
        <v>0</v>
      </c>
      <c r="R1698" s="3">
        <f t="shared" si="133"/>
        <v>120.36</v>
      </c>
      <c r="S1698" s="3">
        <f t="shared" si="134"/>
        <v>126471.15999999997</v>
      </c>
      <c r="T1698" s="24" t="s">
        <v>1081</v>
      </c>
      <c r="U1698" s="24" t="s">
        <v>1081</v>
      </c>
      <c r="V1698" s="67"/>
      <c r="W1698" s="25">
        <f>IFERROR(VLOOKUP(BCP_Soles[[#This Row],[DESTINATARIO]],CHOOSE({1,2},Clientes_Proveedores[Razon Social],Clientes_Proveedores[Ruc / Dni]),2,0),"")</f>
        <v>20265681299</v>
      </c>
      <c r="X1698" s="25" t="s">
        <v>590</v>
      </c>
      <c r="Y1698" s="25" t="s">
        <v>2785</v>
      </c>
      <c r="Z1698" s="25"/>
      <c r="AA1698" s="99"/>
      <c r="AB1698" s="3" t="str">
        <f>IF(BCP_Soles[[#This Row],[FECHA]]&gt;0,TEXT(BCP_Soles[[#This Row],[FECHA]],"mmmm"),0)</f>
        <v>Mayo</v>
      </c>
    </row>
    <row r="1699" spans="2:28" x14ac:dyDescent="0.3">
      <c r="B1699" s="2">
        <f>IF(BCP_Soles[[#This Row],[TIPO DE R.]]="R",COUNTIFS($D$4:$D1698,"R")+1,"")</f>
        <v>1315</v>
      </c>
      <c r="C1699" s="19" t="str">
        <f t="shared" si="130"/>
        <v>B-BCP - Soles</v>
      </c>
      <c r="D1699" s="3" t="s">
        <v>1074</v>
      </c>
      <c r="E1699" s="14">
        <v>45793</v>
      </c>
      <c r="F1699" s="5" t="s">
        <v>1996</v>
      </c>
      <c r="G1699" s="5" t="s">
        <v>1079</v>
      </c>
      <c r="H1699" s="6"/>
      <c r="I1699" s="6"/>
      <c r="J1699" s="6"/>
      <c r="K1699" s="6"/>
      <c r="L1699" s="7" t="s">
        <v>2786</v>
      </c>
      <c r="M1699" s="8">
        <v>1010809</v>
      </c>
      <c r="N1699" s="8" t="str">
        <f t="shared" si="131"/>
        <v>PEN</v>
      </c>
      <c r="O1699" s="13"/>
      <c r="P1699" s="13">
        <v>832</v>
      </c>
      <c r="Q1699" s="3">
        <f t="shared" si="132"/>
        <v>0</v>
      </c>
      <c r="R1699" s="3">
        <f t="shared" si="133"/>
        <v>832</v>
      </c>
      <c r="S1699" s="3">
        <f t="shared" si="134"/>
        <v>125639.15999999997</v>
      </c>
      <c r="T1699" s="24"/>
      <c r="U1699" s="24"/>
      <c r="V1699" s="67"/>
      <c r="W1699" s="25" t="str">
        <f>IFERROR(VLOOKUP(BCP_Soles[[#This Row],[DESTINATARIO]],CHOOSE({1,2},Clientes_Proveedores[Razon Social],Clientes_Proveedores[Ruc / Dni]),2,0),"")</f>
        <v/>
      </c>
      <c r="X1699" s="25" t="s">
        <v>2386</v>
      </c>
      <c r="Y1699" s="25"/>
      <c r="Z1699" s="25"/>
      <c r="AA1699" s="99"/>
      <c r="AB1699" s="3" t="str">
        <f>IF(BCP_Soles[[#This Row],[FECHA]]&gt;0,TEXT(BCP_Soles[[#This Row],[FECHA]],"mmmm"),0)</f>
        <v>Mayo</v>
      </c>
    </row>
    <row r="1700" spans="2:28" x14ac:dyDescent="0.3">
      <c r="B1700" s="2">
        <f>IF(BCP_Soles[[#This Row],[TIPO DE R.]]="R",COUNTIFS($D$4:$D1699,"R")+1,"")</f>
        <v>1316</v>
      </c>
      <c r="C1700" s="19" t="str">
        <f t="shared" si="130"/>
        <v>B-BCP - Soles</v>
      </c>
      <c r="D1700" s="3" t="s">
        <v>1074</v>
      </c>
      <c r="E1700" s="14">
        <v>45793</v>
      </c>
      <c r="F1700" s="5" t="s">
        <v>1996</v>
      </c>
      <c r="G1700" s="5" t="s">
        <v>1079</v>
      </c>
      <c r="H1700" s="6" t="s">
        <v>637</v>
      </c>
      <c r="I1700" s="6" t="s">
        <v>14</v>
      </c>
      <c r="J1700" s="6" t="s">
        <v>1122</v>
      </c>
      <c r="K1700" s="6">
        <v>162711</v>
      </c>
      <c r="L1700" s="7" t="s">
        <v>1123</v>
      </c>
      <c r="M1700" s="8">
        <v>26841</v>
      </c>
      <c r="N1700" s="8" t="str">
        <f t="shared" si="131"/>
        <v>PEN</v>
      </c>
      <c r="O1700" s="13"/>
      <c r="P1700" s="13">
        <v>1401.75</v>
      </c>
      <c r="Q1700" s="3">
        <f t="shared" si="132"/>
        <v>0</v>
      </c>
      <c r="R1700" s="3">
        <f t="shared" si="133"/>
        <v>1401.75</v>
      </c>
      <c r="S1700" s="3">
        <f t="shared" si="134"/>
        <v>124237.40999999997</v>
      </c>
      <c r="T1700" s="24" t="s">
        <v>1081</v>
      </c>
      <c r="U1700" s="24" t="s">
        <v>1081</v>
      </c>
      <c r="V1700" s="67"/>
      <c r="W1700" s="25">
        <f>IFERROR(VLOOKUP(BCP_Soles[[#This Row],[DESTINATARIO]],CHOOSE({1,2},Clientes_Proveedores[Razon Social],Clientes_Proveedores[Ruc / Dni]),2,0),"")</f>
        <v>20127765279</v>
      </c>
      <c r="X1700" s="25" t="s">
        <v>1124</v>
      </c>
      <c r="Y1700" s="25" t="s">
        <v>2787</v>
      </c>
      <c r="Z1700" s="25"/>
      <c r="AA1700" s="99"/>
      <c r="AB1700" s="3" t="str">
        <f>IF(BCP_Soles[[#This Row],[FECHA]]&gt;0,TEXT(BCP_Soles[[#This Row],[FECHA]],"mmmm"),0)</f>
        <v>Mayo</v>
      </c>
    </row>
    <row r="1701" spans="2:28" x14ac:dyDescent="0.3">
      <c r="B1701" s="2">
        <f>IF(BCP_Soles[[#This Row],[TIPO DE R.]]="R",COUNTIFS($D$4:$D1700,"R")+1,"")</f>
        <v>1317</v>
      </c>
      <c r="C1701" s="19" t="str">
        <f t="shared" si="130"/>
        <v>B-BCP - Soles</v>
      </c>
      <c r="D1701" s="3" t="s">
        <v>1074</v>
      </c>
      <c r="E1701" s="14">
        <v>45793</v>
      </c>
      <c r="F1701" s="5" t="s">
        <v>1996</v>
      </c>
      <c r="G1701" s="5" t="s">
        <v>1079</v>
      </c>
      <c r="H1701" s="6" t="s">
        <v>637</v>
      </c>
      <c r="I1701" s="6" t="s">
        <v>14</v>
      </c>
      <c r="J1701" s="6" t="s">
        <v>1122</v>
      </c>
      <c r="K1701" s="6">
        <v>162688</v>
      </c>
      <c r="L1701" s="7" t="s">
        <v>1123</v>
      </c>
      <c r="M1701" s="8">
        <v>26840</v>
      </c>
      <c r="N1701" s="8" t="str">
        <f t="shared" si="131"/>
        <v>PEN</v>
      </c>
      <c r="O1701" s="13"/>
      <c r="P1701" s="13">
        <v>1710.7</v>
      </c>
      <c r="Q1701" s="3">
        <f t="shared" si="132"/>
        <v>0</v>
      </c>
      <c r="R1701" s="3">
        <f t="shared" si="133"/>
        <v>1710.7</v>
      </c>
      <c r="S1701" s="3">
        <f t="shared" si="134"/>
        <v>122526.70999999998</v>
      </c>
      <c r="T1701" s="24" t="s">
        <v>1081</v>
      </c>
      <c r="U1701" s="24" t="s">
        <v>1081</v>
      </c>
      <c r="V1701" s="67"/>
      <c r="W1701" s="25">
        <f>IFERROR(VLOOKUP(BCP_Soles[[#This Row],[DESTINATARIO]],CHOOSE({1,2},Clientes_Proveedores[Razon Social],Clientes_Proveedores[Ruc / Dni]),2,0),"")</f>
        <v>20127765279</v>
      </c>
      <c r="X1701" s="25" t="s">
        <v>1124</v>
      </c>
      <c r="Y1701" s="25" t="s">
        <v>2788</v>
      </c>
      <c r="Z1701" s="25"/>
      <c r="AA1701" s="99"/>
      <c r="AB1701" s="3" t="str">
        <f>IF(BCP_Soles[[#This Row],[FECHA]]&gt;0,TEXT(BCP_Soles[[#This Row],[FECHA]],"mmmm"),0)</f>
        <v>Mayo</v>
      </c>
    </row>
    <row r="1702" spans="2:28" ht="24" x14ac:dyDescent="0.3">
      <c r="B1702" s="2">
        <f>IF(BCP_Soles[[#This Row],[TIPO DE R.]]="R",COUNTIFS($D$4:$D1701,"R")+1,"")</f>
        <v>1318</v>
      </c>
      <c r="C1702" s="19" t="str">
        <f t="shared" si="130"/>
        <v>B-BCP - Soles</v>
      </c>
      <c r="D1702" s="3" t="s">
        <v>1074</v>
      </c>
      <c r="E1702" s="14">
        <v>45793</v>
      </c>
      <c r="F1702" s="5" t="s">
        <v>1996</v>
      </c>
      <c r="G1702" s="5" t="s">
        <v>1079</v>
      </c>
      <c r="H1702" s="6" t="s">
        <v>719</v>
      </c>
      <c r="I1702" s="6" t="s">
        <v>14</v>
      </c>
      <c r="J1702" s="6" t="s">
        <v>2789</v>
      </c>
      <c r="K1702" s="6">
        <v>158055</v>
      </c>
      <c r="L1702" s="7" t="s">
        <v>2790</v>
      </c>
      <c r="M1702" s="8">
        <v>24364</v>
      </c>
      <c r="N1702" s="8" t="str">
        <f t="shared" si="131"/>
        <v>PEN</v>
      </c>
      <c r="O1702" s="13"/>
      <c r="P1702" s="13">
        <v>3734.89</v>
      </c>
      <c r="Q1702" s="3">
        <f t="shared" si="132"/>
        <v>0</v>
      </c>
      <c r="R1702" s="3">
        <f t="shared" si="133"/>
        <v>3734.89</v>
      </c>
      <c r="S1702" s="3">
        <f t="shared" si="134"/>
        <v>118791.81999999998</v>
      </c>
      <c r="T1702" s="24" t="s">
        <v>1081</v>
      </c>
      <c r="U1702" s="24"/>
      <c r="V1702" s="67"/>
      <c r="W1702" s="25">
        <f>IFERROR(VLOOKUP(BCP_Soles[[#This Row],[DESTINATARIO]],CHOOSE({1,2},Clientes_Proveedores[Razon Social],Clientes_Proveedores[Ruc / Dni]),2,0),"")</f>
        <v>20375361991</v>
      </c>
      <c r="X1702" s="25" t="s">
        <v>2791</v>
      </c>
      <c r="Y1702" s="25" t="s">
        <v>2792</v>
      </c>
      <c r="Z1702" s="25"/>
      <c r="AA1702" s="99"/>
      <c r="AB1702" s="3" t="str">
        <f>IF(BCP_Soles[[#This Row],[FECHA]]&gt;0,TEXT(BCP_Soles[[#This Row],[FECHA]],"mmmm"),0)</f>
        <v>Mayo</v>
      </c>
    </row>
    <row r="1703" spans="2:28" x14ac:dyDescent="0.3">
      <c r="B1703" s="2">
        <f>IF(BCP_Soles[[#This Row],[TIPO DE R.]]="R",COUNTIFS($D$4:$D1702,"R")+1,"")</f>
        <v>1319</v>
      </c>
      <c r="C1703" s="19" t="str">
        <f t="shared" si="130"/>
        <v>B-BCP - Soles</v>
      </c>
      <c r="D1703" s="3" t="s">
        <v>1074</v>
      </c>
      <c r="E1703" s="14">
        <v>45793</v>
      </c>
      <c r="F1703" s="5" t="s">
        <v>1158</v>
      </c>
      <c r="G1703" s="5" t="s">
        <v>1079</v>
      </c>
      <c r="H1703" s="6"/>
      <c r="I1703" s="6"/>
      <c r="J1703" s="6"/>
      <c r="K1703" s="6"/>
      <c r="L1703" s="7" t="s">
        <v>2793</v>
      </c>
      <c r="M1703" s="8">
        <v>6822940</v>
      </c>
      <c r="N1703" s="8" t="str">
        <f t="shared" si="131"/>
        <v>PEN</v>
      </c>
      <c r="O1703" s="13"/>
      <c r="P1703" s="13">
        <v>35227.019999999997</v>
      </c>
      <c r="Q1703" s="3">
        <f t="shared" si="132"/>
        <v>0</v>
      </c>
      <c r="R1703" s="3">
        <f t="shared" si="133"/>
        <v>35227.019999999997</v>
      </c>
      <c r="S1703" s="3">
        <f t="shared" si="134"/>
        <v>83564.799999999988</v>
      </c>
      <c r="T1703" s="24"/>
      <c r="U1703" s="24"/>
      <c r="V1703" s="67"/>
      <c r="W1703" s="25" t="str">
        <f>IFERROR(VLOOKUP(BCP_Soles[[#This Row],[DESTINATARIO]],CHOOSE({1,2},Clientes_Proveedores[Razon Social],Clientes_Proveedores[Ruc / Dni]),2,0),"")</f>
        <v/>
      </c>
      <c r="X1703" s="25"/>
      <c r="Y1703" s="25"/>
      <c r="Z1703" s="25"/>
      <c r="AA1703" s="99"/>
      <c r="AB1703" s="3" t="str">
        <f>IF(BCP_Soles[[#This Row],[FECHA]]&gt;0,TEXT(BCP_Soles[[#This Row],[FECHA]],"mmmm"),0)</f>
        <v>Mayo</v>
      </c>
    </row>
    <row r="1704" spans="2:28" ht="24" x14ac:dyDescent="0.3">
      <c r="B1704" s="2">
        <f>IF(BCP_Soles[[#This Row],[TIPO DE R.]]="R",COUNTIFS($D$4:$D1703,"R")+1,"")</f>
        <v>1320</v>
      </c>
      <c r="C1704" s="19" t="str">
        <f t="shared" si="130"/>
        <v>B-BCP - Soles</v>
      </c>
      <c r="D1704" s="3" t="s">
        <v>1074</v>
      </c>
      <c r="E1704" s="14">
        <v>45793</v>
      </c>
      <c r="F1704" s="5" t="s">
        <v>1158</v>
      </c>
      <c r="G1704" s="5" t="s">
        <v>1079</v>
      </c>
      <c r="H1704" s="6" t="s">
        <v>836</v>
      </c>
      <c r="I1704" s="6"/>
      <c r="J1704" s="6"/>
      <c r="K1704" s="6"/>
      <c r="L1704" s="7" t="s">
        <v>2794</v>
      </c>
      <c r="M1704" s="8">
        <v>1267491</v>
      </c>
      <c r="N1704" s="8" t="str">
        <f t="shared" si="131"/>
        <v>PEN</v>
      </c>
      <c r="O1704" s="13"/>
      <c r="P1704" s="13">
        <v>5810</v>
      </c>
      <c r="Q1704" s="3">
        <f t="shared" si="132"/>
        <v>0</v>
      </c>
      <c r="R1704" s="3">
        <f t="shared" si="133"/>
        <v>5810</v>
      </c>
      <c r="S1704" s="3">
        <f t="shared" si="134"/>
        <v>77754.799999999988</v>
      </c>
      <c r="T1704" s="24"/>
      <c r="U1704" s="24"/>
      <c r="V1704" s="67"/>
      <c r="W1704" s="25">
        <f>IFERROR(VLOOKUP(BCP_Soles[[#This Row],[DESTINATARIO]],CHOOSE({1,2},Clientes_Proveedores[Razon Social],Clientes_Proveedores[Ruc / Dni]),2,0),"")</f>
        <v>72144092</v>
      </c>
      <c r="X1704" s="25" t="s">
        <v>836</v>
      </c>
      <c r="Y1704" s="25"/>
      <c r="Z1704" s="25"/>
      <c r="AA1704" s="99"/>
      <c r="AB1704" s="3" t="str">
        <f>IF(BCP_Soles[[#This Row],[FECHA]]&gt;0,TEXT(BCP_Soles[[#This Row],[FECHA]],"mmmm"),0)</f>
        <v>Mayo</v>
      </c>
    </row>
    <row r="1705" spans="2:28" ht="24" x14ac:dyDescent="0.3">
      <c r="B1705" s="2">
        <f>IF(BCP_Soles[[#This Row],[TIPO DE R.]]="R",COUNTIFS($D$4:$D1704,"R")+1,"")</f>
        <v>1321</v>
      </c>
      <c r="C1705" s="19" t="str">
        <f t="shared" si="130"/>
        <v>B-BCP - Soles</v>
      </c>
      <c r="D1705" s="3" t="s">
        <v>1074</v>
      </c>
      <c r="E1705" s="14">
        <v>45793</v>
      </c>
      <c r="F1705" s="5" t="s">
        <v>1158</v>
      </c>
      <c r="G1705" s="5" t="s">
        <v>1079</v>
      </c>
      <c r="H1705" s="6"/>
      <c r="I1705" s="6"/>
      <c r="J1705" s="6"/>
      <c r="K1705" s="6"/>
      <c r="L1705" s="7" t="s">
        <v>2795</v>
      </c>
      <c r="M1705" s="8">
        <v>1268849</v>
      </c>
      <c r="N1705" s="8" t="str">
        <f t="shared" si="131"/>
        <v>PEN</v>
      </c>
      <c r="O1705" s="13"/>
      <c r="P1705" s="13">
        <v>36511</v>
      </c>
      <c r="Q1705" s="3">
        <f t="shared" si="132"/>
        <v>0</v>
      </c>
      <c r="R1705" s="3">
        <f t="shared" si="133"/>
        <v>36511</v>
      </c>
      <c r="S1705" s="3">
        <f t="shared" si="134"/>
        <v>41243.799999999988</v>
      </c>
      <c r="T1705" s="24"/>
      <c r="U1705" s="24"/>
      <c r="V1705" s="67"/>
      <c r="W1705" s="25" t="str">
        <f>IFERROR(VLOOKUP(BCP_Soles[[#This Row],[DESTINATARIO]],CHOOSE({1,2},Clientes_Proveedores[Razon Social],Clientes_Proveedores[Ruc / Dni]),2,0),"")</f>
        <v/>
      </c>
      <c r="X1705" s="25" t="s">
        <v>2796</v>
      </c>
      <c r="Y1705" s="25"/>
      <c r="Z1705" s="25"/>
      <c r="AA1705" s="99"/>
      <c r="AB1705" s="3" t="str">
        <f>IF(BCP_Soles[[#This Row],[FECHA]]&gt;0,TEXT(BCP_Soles[[#This Row],[FECHA]],"mmmm"),0)</f>
        <v>Mayo</v>
      </c>
    </row>
    <row r="1706" spans="2:28" ht="24" x14ac:dyDescent="0.3">
      <c r="B1706" s="2">
        <f>IF(BCP_Soles[[#This Row],[TIPO DE R.]]="R",COUNTIFS($D$4:$D1705,"R")+1,"")</f>
        <v>1322</v>
      </c>
      <c r="C1706" s="19" t="str">
        <f t="shared" si="130"/>
        <v>B-BCP - Soles</v>
      </c>
      <c r="D1706" s="3" t="s">
        <v>1074</v>
      </c>
      <c r="E1706" s="14">
        <v>45793</v>
      </c>
      <c r="F1706" s="5" t="s">
        <v>1158</v>
      </c>
      <c r="G1706" s="5" t="s">
        <v>1079</v>
      </c>
      <c r="H1706" s="6"/>
      <c r="I1706" s="6"/>
      <c r="J1706" s="6"/>
      <c r="K1706" s="6"/>
      <c r="L1706" s="7" t="s">
        <v>2797</v>
      </c>
      <c r="M1706" s="8">
        <v>1269319</v>
      </c>
      <c r="N1706" s="8" t="str">
        <f t="shared" si="131"/>
        <v>PEN</v>
      </c>
      <c r="O1706" s="13"/>
      <c r="P1706" s="13">
        <v>36511</v>
      </c>
      <c r="Q1706" s="3">
        <f t="shared" si="132"/>
        <v>0</v>
      </c>
      <c r="R1706" s="3">
        <f t="shared" si="133"/>
        <v>36511</v>
      </c>
      <c r="S1706" s="3">
        <f t="shared" si="134"/>
        <v>4732.7999999999884</v>
      </c>
      <c r="T1706" s="24"/>
      <c r="U1706" s="24"/>
      <c r="V1706" s="67"/>
      <c r="W1706" s="25" t="str">
        <f>IFERROR(VLOOKUP(BCP_Soles[[#This Row],[DESTINATARIO]],CHOOSE({1,2},Clientes_Proveedores[Razon Social],Clientes_Proveedores[Ruc / Dni]),2,0),"")</f>
        <v/>
      </c>
      <c r="X1706" s="25" t="s">
        <v>2798</v>
      </c>
      <c r="Y1706" s="25"/>
      <c r="Z1706" s="25"/>
      <c r="AA1706" s="99"/>
      <c r="AB1706" s="3" t="str">
        <f>IF(BCP_Soles[[#This Row],[FECHA]]&gt;0,TEXT(BCP_Soles[[#This Row],[FECHA]],"mmmm"),0)</f>
        <v>Mayo</v>
      </c>
    </row>
    <row r="1707" spans="2:28" x14ac:dyDescent="0.3">
      <c r="B1707" s="2">
        <f>IF(BCP_Soles[[#This Row],[TIPO DE R.]]="R",COUNTIFS($D$4:$D1706,"R")+1,"")</f>
        <v>1323</v>
      </c>
      <c r="C1707" s="19" t="str">
        <f t="shared" si="130"/>
        <v>B-BCP - Soles</v>
      </c>
      <c r="D1707" s="3" t="s">
        <v>1074</v>
      </c>
      <c r="E1707" s="14">
        <v>45793</v>
      </c>
      <c r="F1707" s="5" t="s">
        <v>1078</v>
      </c>
      <c r="G1707" s="5" t="s">
        <v>1079</v>
      </c>
      <c r="H1707" s="6"/>
      <c r="I1707" s="6"/>
      <c r="J1707" s="6"/>
      <c r="K1707" s="6"/>
      <c r="L1707" s="7" t="s">
        <v>1080</v>
      </c>
      <c r="M1707" s="8"/>
      <c r="N1707" s="8" t="str">
        <f t="shared" si="131"/>
        <v>PEN</v>
      </c>
      <c r="O1707" s="13"/>
      <c r="P1707" s="13">
        <v>6.25</v>
      </c>
      <c r="Q1707" s="3">
        <f t="shared" si="132"/>
        <v>0</v>
      </c>
      <c r="R1707" s="3">
        <f t="shared" si="133"/>
        <v>6.25</v>
      </c>
      <c r="S1707" s="3">
        <f t="shared" si="134"/>
        <v>4726.5499999999884</v>
      </c>
      <c r="T1707" s="24"/>
      <c r="U1707" s="24" t="s">
        <v>1081</v>
      </c>
      <c r="V1707" s="67"/>
      <c r="W1707" s="25" t="str">
        <f>IFERROR(VLOOKUP(BCP_Soles[[#This Row],[DESTINATARIO]],CHOOSE({1,2},Clientes_Proveedores[Razon Social],Clientes_Proveedores[Ruc / Dni]),2,0),"")</f>
        <v/>
      </c>
      <c r="X1707" s="25"/>
      <c r="Y1707" s="25"/>
      <c r="Z1707" s="25"/>
      <c r="AA1707" s="99"/>
      <c r="AB1707" s="3" t="str">
        <f>IF(BCP_Soles[[#This Row],[FECHA]]&gt;0,TEXT(BCP_Soles[[#This Row],[FECHA]],"mmmm"),0)</f>
        <v>Mayo</v>
      </c>
    </row>
    <row r="1708" spans="2:28" x14ac:dyDescent="0.3">
      <c r="B1708" s="2">
        <f>IF(BCP_Soles[[#This Row],[TIPO DE R.]]="R",COUNTIFS($D$4:$D1707,"R")+1,"")</f>
        <v>1324</v>
      </c>
      <c r="C1708" s="19" t="str">
        <f t="shared" si="130"/>
        <v>B-BCP - Soles</v>
      </c>
      <c r="D1708" s="3" t="s">
        <v>1074</v>
      </c>
      <c r="E1708" s="14">
        <v>45793</v>
      </c>
      <c r="F1708" s="5" t="s">
        <v>1078</v>
      </c>
      <c r="G1708" s="5" t="s">
        <v>1079</v>
      </c>
      <c r="H1708" s="6"/>
      <c r="I1708" s="6"/>
      <c r="J1708" s="6"/>
      <c r="K1708" s="6"/>
      <c r="L1708" s="7" t="s">
        <v>1141</v>
      </c>
      <c r="M1708" s="8">
        <v>453</v>
      </c>
      <c r="N1708" s="8" t="str">
        <f t="shared" si="131"/>
        <v>PEN</v>
      </c>
      <c r="O1708" s="13"/>
      <c r="P1708" s="13">
        <v>10</v>
      </c>
      <c r="Q1708" s="3">
        <f t="shared" si="132"/>
        <v>0</v>
      </c>
      <c r="R1708" s="3">
        <f t="shared" si="133"/>
        <v>10</v>
      </c>
      <c r="S1708" s="3">
        <f t="shared" si="134"/>
        <v>4716.5499999999884</v>
      </c>
      <c r="T1708" s="24" t="s">
        <v>1081</v>
      </c>
      <c r="U1708" s="24" t="s">
        <v>1081</v>
      </c>
      <c r="V1708" s="67"/>
      <c r="W1708" s="25" t="str">
        <f>IFERROR(VLOOKUP(BCP_Soles[[#This Row],[DESTINATARIO]],CHOOSE({1,2},Clientes_Proveedores[Razon Social],Clientes_Proveedores[Ruc / Dni]),2,0),"")</f>
        <v/>
      </c>
      <c r="X1708" s="25" t="s">
        <v>1078</v>
      </c>
      <c r="Y1708" s="25" t="s">
        <v>2799</v>
      </c>
      <c r="Z1708" s="25"/>
      <c r="AA1708" s="99"/>
      <c r="AB1708" s="3" t="str">
        <f>IF(BCP_Soles[[#This Row],[FECHA]]&gt;0,TEXT(BCP_Soles[[#This Row],[FECHA]],"mmmm"),0)</f>
        <v>Mayo</v>
      </c>
    </row>
    <row r="1709" spans="2:28" x14ac:dyDescent="0.3">
      <c r="B1709" s="2">
        <f>IF(BCP_Soles[[#This Row],[TIPO DE R.]]="R",COUNTIFS($D$4:$D1708,"R")+1,"")</f>
        <v>1325</v>
      </c>
      <c r="C1709" s="19" t="str">
        <f t="shared" si="130"/>
        <v>B-BCP - Soles</v>
      </c>
      <c r="D1709" s="3" t="s">
        <v>1074</v>
      </c>
      <c r="E1709" s="14">
        <v>45796</v>
      </c>
      <c r="F1709" s="5" t="s">
        <v>2800</v>
      </c>
      <c r="G1709" s="5" t="s">
        <v>1079</v>
      </c>
      <c r="H1709" s="6"/>
      <c r="I1709" s="6"/>
      <c r="J1709" s="6"/>
      <c r="K1709" s="6"/>
      <c r="L1709" s="7" t="s">
        <v>1322</v>
      </c>
      <c r="M1709" s="8">
        <v>1015277</v>
      </c>
      <c r="N1709" s="8" t="str">
        <f t="shared" si="131"/>
        <v>PEN</v>
      </c>
      <c r="O1709" s="13"/>
      <c r="P1709" s="13">
        <v>2791.24</v>
      </c>
      <c r="Q1709" s="3">
        <f t="shared" si="132"/>
        <v>0</v>
      </c>
      <c r="R1709" s="3">
        <f t="shared" si="133"/>
        <v>2791.24</v>
      </c>
      <c r="S1709" s="3">
        <f t="shared" si="134"/>
        <v>1925.3099999999886</v>
      </c>
      <c r="T1709" s="24"/>
      <c r="U1709" s="24"/>
      <c r="V1709" s="67"/>
      <c r="W1709" s="25" t="str">
        <f>IFERROR(VLOOKUP(BCP_Soles[[#This Row],[DESTINATARIO]],CHOOSE({1,2},Clientes_Proveedores[Razon Social],Clientes_Proveedores[Ruc / Dni]),2,0),"")</f>
        <v/>
      </c>
      <c r="X1709" s="25"/>
      <c r="Y1709" s="25"/>
      <c r="Z1709" s="25"/>
      <c r="AA1709" s="99"/>
      <c r="AB1709" s="3" t="str">
        <f>IF(BCP_Soles[[#This Row],[FECHA]]&gt;0,TEXT(BCP_Soles[[#This Row],[FECHA]],"mmmm"),0)</f>
        <v>Mayo</v>
      </c>
    </row>
    <row r="1710" spans="2:28" x14ac:dyDescent="0.3">
      <c r="B1710" s="2">
        <f>IF(BCP_Soles[[#This Row],[TIPO DE R.]]="R",COUNTIFS($D$4:$D1709,"R")+1,"")</f>
        <v>1326</v>
      </c>
      <c r="C1710" s="19" t="str">
        <f t="shared" si="130"/>
        <v>B-BCP - Soles</v>
      </c>
      <c r="D1710" s="3" t="s">
        <v>1074</v>
      </c>
      <c r="E1710" s="14">
        <v>45796</v>
      </c>
      <c r="F1710" s="5" t="s">
        <v>1090</v>
      </c>
      <c r="G1710" s="5" t="s">
        <v>1087</v>
      </c>
      <c r="H1710" s="6"/>
      <c r="I1710" s="6"/>
      <c r="J1710" s="6"/>
      <c r="K1710" s="6"/>
      <c r="L1710" s="7" t="s">
        <v>1374</v>
      </c>
      <c r="M1710" s="8">
        <v>2006427</v>
      </c>
      <c r="N1710" s="8" t="str">
        <f t="shared" si="131"/>
        <v>PEN</v>
      </c>
      <c r="O1710" s="13"/>
      <c r="P1710" s="13">
        <v>15000</v>
      </c>
      <c r="Q1710" s="3">
        <f t="shared" si="132"/>
        <v>15000</v>
      </c>
      <c r="R1710" s="3">
        <f t="shared" si="133"/>
        <v>0</v>
      </c>
      <c r="S1710" s="3">
        <f t="shared" si="134"/>
        <v>16925.30999999999</v>
      </c>
      <c r="T1710" s="24"/>
      <c r="U1710" s="24"/>
      <c r="V1710" s="67"/>
      <c r="W1710" s="25" t="str">
        <f>IFERROR(VLOOKUP(BCP_Soles[[#This Row],[DESTINATARIO]],CHOOSE({1,2},Clientes_Proveedores[Razon Social],Clientes_Proveedores[Ruc / Dni]),2,0),"")</f>
        <v/>
      </c>
      <c r="X1710" s="25" t="s">
        <v>1090</v>
      </c>
      <c r="Y1710" s="25"/>
      <c r="Z1710" s="25"/>
      <c r="AA1710" s="99"/>
      <c r="AB1710" s="3" t="str">
        <f>IF(BCP_Soles[[#This Row],[FECHA]]&gt;0,TEXT(BCP_Soles[[#This Row],[FECHA]],"mmmm"),0)</f>
        <v>Mayo</v>
      </c>
    </row>
    <row r="1711" spans="2:28" ht="24" x14ac:dyDescent="0.3">
      <c r="B1711" s="2">
        <f>IF(BCP_Soles[[#This Row],[TIPO DE R.]]="R",COUNTIFS($D$4:$D1710,"R")+1,"")</f>
        <v>1327</v>
      </c>
      <c r="C1711" s="19" t="str">
        <f t="shared" si="130"/>
        <v>B-BCP - Soles</v>
      </c>
      <c r="D1711" s="3" t="s">
        <v>1074</v>
      </c>
      <c r="E1711" s="14">
        <v>45796</v>
      </c>
      <c r="F1711" s="5" t="s">
        <v>2801</v>
      </c>
      <c r="G1711" s="5" t="s">
        <v>1087</v>
      </c>
      <c r="H1711" s="6"/>
      <c r="I1711" s="6"/>
      <c r="J1711" s="6"/>
      <c r="K1711" s="6"/>
      <c r="L1711" s="7" t="s">
        <v>1100</v>
      </c>
      <c r="M1711" s="8">
        <v>2459751</v>
      </c>
      <c r="N1711" s="8" t="str">
        <f t="shared" si="131"/>
        <v>PEN</v>
      </c>
      <c r="O1711" s="13"/>
      <c r="P1711" s="13">
        <v>2552</v>
      </c>
      <c r="Q1711" s="3">
        <f t="shared" si="132"/>
        <v>2552</v>
      </c>
      <c r="R1711" s="3">
        <f t="shared" si="133"/>
        <v>0</v>
      </c>
      <c r="S1711" s="3">
        <f t="shared" si="134"/>
        <v>19477.30999999999</v>
      </c>
      <c r="T1711" s="24" t="s">
        <v>1081</v>
      </c>
      <c r="U1711" s="24" t="s">
        <v>1081</v>
      </c>
      <c r="V1711" s="67"/>
      <c r="W1711" s="25" t="str">
        <f>IFERROR(VLOOKUP(BCP_Soles[[#This Row],[DESTINATARIO]],CHOOSE({1,2},Clientes_Proveedores[Razon Social],Clientes_Proveedores[Ruc / Dni]),2,0),"")</f>
        <v/>
      </c>
      <c r="X1711" s="25" t="s">
        <v>1090</v>
      </c>
      <c r="Y1711" s="25" t="s">
        <v>2802</v>
      </c>
      <c r="Z1711" s="25"/>
      <c r="AA1711" s="99"/>
      <c r="AB1711" s="3" t="str">
        <f>IF(BCP_Soles[[#This Row],[FECHA]]&gt;0,TEXT(BCP_Soles[[#This Row],[FECHA]],"mmmm"),0)</f>
        <v>Mayo</v>
      </c>
    </row>
    <row r="1712" spans="2:28" ht="24" x14ac:dyDescent="0.3">
      <c r="B1712" s="2">
        <f>IF(BCP_Soles[[#This Row],[TIPO DE R.]]="R",COUNTIFS($D$4:$D1711,"R")+1,"")</f>
        <v>1328</v>
      </c>
      <c r="C1712" s="19" t="str">
        <f t="shared" si="130"/>
        <v>B-BCP - Soles</v>
      </c>
      <c r="D1712" s="3" t="s">
        <v>1074</v>
      </c>
      <c r="E1712" s="14">
        <v>45796</v>
      </c>
      <c r="F1712" s="5" t="s">
        <v>2226</v>
      </c>
      <c r="G1712" s="5" t="s">
        <v>1087</v>
      </c>
      <c r="H1712" s="6"/>
      <c r="I1712" s="6"/>
      <c r="J1712" s="6"/>
      <c r="K1712" s="6"/>
      <c r="L1712" s="7" t="s">
        <v>1100</v>
      </c>
      <c r="M1712" s="8">
        <v>1141531</v>
      </c>
      <c r="N1712" s="8" t="str">
        <f t="shared" si="131"/>
        <v>PEN</v>
      </c>
      <c r="O1712" s="13"/>
      <c r="P1712" s="13">
        <v>185</v>
      </c>
      <c r="Q1712" s="3">
        <f t="shared" si="132"/>
        <v>185</v>
      </c>
      <c r="R1712" s="3">
        <f t="shared" si="133"/>
        <v>0</v>
      </c>
      <c r="S1712" s="3">
        <f t="shared" si="134"/>
        <v>19662.30999999999</v>
      </c>
      <c r="T1712" s="24" t="s">
        <v>1081</v>
      </c>
      <c r="U1712" s="24" t="s">
        <v>1081</v>
      </c>
      <c r="V1712" s="67"/>
      <c r="W1712" s="25" t="str">
        <f>IFERROR(VLOOKUP(BCP_Soles[[#This Row],[DESTINATARIO]],CHOOSE({1,2},Clientes_Proveedores[Razon Social],Clientes_Proveedores[Ruc / Dni]),2,0),"")</f>
        <v/>
      </c>
      <c r="X1712" s="25" t="s">
        <v>1090</v>
      </c>
      <c r="Y1712" s="25" t="s">
        <v>2803</v>
      </c>
      <c r="Z1712" s="25"/>
      <c r="AA1712" s="99"/>
      <c r="AB1712" s="3" t="str">
        <f>IF(BCP_Soles[[#This Row],[FECHA]]&gt;0,TEXT(BCP_Soles[[#This Row],[FECHA]],"mmmm"),0)</f>
        <v>Mayo</v>
      </c>
    </row>
    <row r="1713" spans="2:28" x14ac:dyDescent="0.3">
      <c r="B1713" s="2">
        <f>IF(BCP_Soles[[#This Row],[TIPO DE R.]]="R",COUNTIFS($D$4:$D1712,"R")+1,"")</f>
        <v>1329</v>
      </c>
      <c r="C1713" s="19" t="str">
        <f t="shared" si="130"/>
        <v>B-BCP - Soles</v>
      </c>
      <c r="D1713" s="3" t="s">
        <v>1074</v>
      </c>
      <c r="E1713" s="14">
        <v>45796</v>
      </c>
      <c r="F1713" s="5" t="s">
        <v>1239</v>
      </c>
      <c r="G1713" s="5" t="s">
        <v>1087</v>
      </c>
      <c r="H1713" s="6"/>
      <c r="I1713" s="6"/>
      <c r="J1713" s="6"/>
      <c r="K1713" s="6"/>
      <c r="L1713" s="7" t="s">
        <v>1100</v>
      </c>
      <c r="M1713" s="8">
        <v>1159518</v>
      </c>
      <c r="N1713" s="8" t="str">
        <f t="shared" si="131"/>
        <v>PEN</v>
      </c>
      <c r="O1713" s="13"/>
      <c r="P1713" s="13">
        <v>45</v>
      </c>
      <c r="Q1713" s="3">
        <f t="shared" si="132"/>
        <v>45</v>
      </c>
      <c r="R1713" s="3">
        <f t="shared" si="133"/>
        <v>0</v>
      </c>
      <c r="S1713" s="3">
        <f t="shared" si="134"/>
        <v>19707.30999999999</v>
      </c>
      <c r="T1713" s="24" t="s">
        <v>1081</v>
      </c>
      <c r="U1713" s="24" t="s">
        <v>1081</v>
      </c>
      <c r="V1713" s="67"/>
      <c r="W1713" s="25" t="str">
        <f>IFERROR(VLOOKUP(BCP_Soles[[#This Row],[DESTINATARIO]],CHOOSE({1,2},Clientes_Proveedores[Razon Social],Clientes_Proveedores[Ruc / Dni]),2,0),"")</f>
        <v/>
      </c>
      <c r="X1713" s="25" t="s">
        <v>1090</v>
      </c>
      <c r="Y1713" s="25" t="s">
        <v>2804</v>
      </c>
      <c r="Z1713" s="25"/>
      <c r="AA1713" s="99"/>
      <c r="AB1713" s="3" t="str">
        <f>IF(BCP_Soles[[#This Row],[FECHA]]&gt;0,TEXT(BCP_Soles[[#This Row],[FECHA]],"mmmm"),0)</f>
        <v>Mayo</v>
      </c>
    </row>
    <row r="1714" spans="2:28" ht="24" x14ac:dyDescent="0.3">
      <c r="B1714" s="2">
        <f>IF(BCP_Soles[[#This Row],[TIPO DE R.]]="R",COUNTIFS($D$4:$D1713,"R")+1,"")</f>
        <v>1330</v>
      </c>
      <c r="C1714" s="19" t="str">
        <f t="shared" si="130"/>
        <v>B-BCP - Soles</v>
      </c>
      <c r="D1714" s="3" t="s">
        <v>1074</v>
      </c>
      <c r="E1714" s="14">
        <v>45796</v>
      </c>
      <c r="F1714" s="5" t="s">
        <v>1245</v>
      </c>
      <c r="G1714" s="5" t="s">
        <v>1087</v>
      </c>
      <c r="H1714" s="6"/>
      <c r="I1714" s="6"/>
      <c r="J1714" s="6"/>
      <c r="K1714" s="6"/>
      <c r="L1714" s="7" t="s">
        <v>1100</v>
      </c>
      <c r="M1714" s="8">
        <v>3615640</v>
      </c>
      <c r="N1714" s="8" t="str">
        <f t="shared" si="131"/>
        <v>PEN</v>
      </c>
      <c r="O1714" s="13"/>
      <c r="P1714" s="13">
        <v>2299</v>
      </c>
      <c r="Q1714" s="3">
        <f t="shared" si="132"/>
        <v>2299</v>
      </c>
      <c r="R1714" s="3">
        <f t="shared" si="133"/>
        <v>0</v>
      </c>
      <c r="S1714" s="3">
        <f t="shared" si="134"/>
        <v>22006.30999999999</v>
      </c>
      <c r="T1714" s="24" t="s">
        <v>1081</v>
      </c>
      <c r="U1714" s="24" t="s">
        <v>1081</v>
      </c>
      <c r="V1714" s="67"/>
      <c r="W1714" s="25" t="str">
        <f>IFERROR(VLOOKUP(BCP_Soles[[#This Row],[DESTINATARIO]],CHOOSE({1,2},Clientes_Proveedores[Razon Social],Clientes_Proveedores[Ruc / Dni]),2,0),"")</f>
        <v/>
      </c>
      <c r="X1714" s="25" t="s">
        <v>1090</v>
      </c>
      <c r="Y1714" s="25" t="s">
        <v>2805</v>
      </c>
      <c r="Z1714" s="25"/>
      <c r="AA1714" s="99"/>
      <c r="AB1714" s="3" t="str">
        <f>IF(BCP_Soles[[#This Row],[FECHA]]&gt;0,TEXT(BCP_Soles[[#This Row],[FECHA]],"mmmm"),0)</f>
        <v>Mayo</v>
      </c>
    </row>
    <row r="1715" spans="2:28" ht="24" x14ac:dyDescent="0.3">
      <c r="B1715" s="2">
        <f>IF(BCP_Soles[[#This Row],[TIPO DE R.]]="R",COUNTIFS($D$4:$D1714,"R")+1,"")</f>
        <v>1331</v>
      </c>
      <c r="C1715" s="19" t="str">
        <f t="shared" si="130"/>
        <v>B-BCP - Soles</v>
      </c>
      <c r="D1715" s="3" t="s">
        <v>1074</v>
      </c>
      <c r="E1715" s="14">
        <v>45796</v>
      </c>
      <c r="F1715" s="5" t="s">
        <v>1082</v>
      </c>
      <c r="G1715" s="5" t="s">
        <v>1079</v>
      </c>
      <c r="H1715" s="6" t="s">
        <v>192</v>
      </c>
      <c r="I1715" s="6"/>
      <c r="J1715" s="6"/>
      <c r="K1715" s="6"/>
      <c r="L1715" s="7" t="s">
        <v>2806</v>
      </c>
      <c r="M1715" s="8">
        <v>1105289</v>
      </c>
      <c r="N1715" s="8" t="str">
        <f t="shared" si="131"/>
        <v>PEN</v>
      </c>
      <c r="O1715" s="13"/>
      <c r="P1715" s="13">
        <v>40.71</v>
      </c>
      <c r="Q1715" s="3">
        <f t="shared" si="132"/>
        <v>0</v>
      </c>
      <c r="R1715" s="3">
        <f t="shared" si="133"/>
        <v>40.71</v>
      </c>
      <c r="S1715" s="3">
        <f t="shared" si="134"/>
        <v>21965.599999999991</v>
      </c>
      <c r="T1715" s="24"/>
      <c r="U1715" s="24"/>
      <c r="V1715" s="67"/>
      <c r="W1715" s="25">
        <f>IFERROR(VLOOKUP(BCP_Soles[[#This Row],[DESTINATARIO]],CHOOSE({1,2},Clientes_Proveedores[Razon Social],Clientes_Proveedores[Ruc / Dni]),2,0),"")</f>
        <v>20302891452</v>
      </c>
      <c r="X1715" s="25" t="s">
        <v>192</v>
      </c>
      <c r="Y1715" s="25"/>
      <c r="Z1715" s="25"/>
      <c r="AA1715" s="99"/>
      <c r="AB1715" s="3" t="str">
        <f>IF(BCP_Soles[[#This Row],[FECHA]]&gt;0,TEXT(BCP_Soles[[#This Row],[FECHA]],"mmmm"),0)</f>
        <v>Mayo</v>
      </c>
    </row>
    <row r="1716" spans="2:28" ht="36" x14ac:dyDescent="0.3">
      <c r="B1716" s="2">
        <f>IF(BCP_Soles[[#This Row],[TIPO DE R.]]="R",COUNTIFS($D$4:$D1715,"R")+1,"")</f>
        <v>1332</v>
      </c>
      <c r="C1716" s="19" t="str">
        <f t="shared" si="130"/>
        <v>B-BCP - Soles</v>
      </c>
      <c r="D1716" s="3" t="s">
        <v>1074</v>
      </c>
      <c r="E1716" s="14">
        <v>45796</v>
      </c>
      <c r="F1716" s="5" t="s">
        <v>1082</v>
      </c>
      <c r="G1716" s="5" t="s">
        <v>1079</v>
      </c>
      <c r="H1716" s="6" t="s">
        <v>530</v>
      </c>
      <c r="I1716" s="6" t="s">
        <v>14</v>
      </c>
      <c r="J1716" s="6" t="s">
        <v>1121</v>
      </c>
      <c r="K1716" s="6">
        <v>415</v>
      </c>
      <c r="L1716" s="7" t="s">
        <v>2807</v>
      </c>
      <c r="M1716" s="8">
        <v>1204057</v>
      </c>
      <c r="N1716" s="8" t="str">
        <f t="shared" si="131"/>
        <v>PEN</v>
      </c>
      <c r="O1716" s="13"/>
      <c r="P1716" s="13">
        <v>70.680000000000007</v>
      </c>
      <c r="Q1716" s="3">
        <f t="shared" si="132"/>
        <v>0</v>
      </c>
      <c r="R1716" s="3">
        <f t="shared" si="133"/>
        <v>70.680000000000007</v>
      </c>
      <c r="S1716" s="3">
        <f t="shared" si="134"/>
        <v>21894.919999999991</v>
      </c>
      <c r="T1716" s="24" t="s">
        <v>1081</v>
      </c>
      <c r="U1716" s="24" t="s">
        <v>1081</v>
      </c>
      <c r="V1716" s="67"/>
      <c r="W1716" s="25">
        <f>IFERROR(VLOOKUP(BCP_Soles[[#This Row],[DESTINATARIO]],CHOOSE({1,2},Clientes_Proveedores[Razon Social],Clientes_Proveedores[Ruc / Dni]),2,0),"")</f>
        <v>20609368773</v>
      </c>
      <c r="X1716" s="25" t="s">
        <v>1181</v>
      </c>
      <c r="Y1716" s="25" t="s">
        <v>2808</v>
      </c>
      <c r="Z1716" s="25"/>
      <c r="AA1716" s="99"/>
      <c r="AB1716" s="3" t="str">
        <f>IF(BCP_Soles[[#This Row],[FECHA]]&gt;0,TEXT(BCP_Soles[[#This Row],[FECHA]],"mmmm"),0)</f>
        <v>Mayo</v>
      </c>
    </row>
    <row r="1717" spans="2:28" ht="24" x14ac:dyDescent="0.3">
      <c r="B1717" s="2">
        <f>IF(BCP_Soles[[#This Row],[TIPO DE R.]]="R",COUNTIFS($D$4:$D1716,"R")+1,"")</f>
        <v>1333</v>
      </c>
      <c r="C1717" s="19" t="str">
        <f t="shared" si="130"/>
        <v>B-BCP - Soles</v>
      </c>
      <c r="D1717" s="3" t="s">
        <v>1074</v>
      </c>
      <c r="E1717" s="14">
        <v>45796</v>
      </c>
      <c r="F1717" s="5" t="s">
        <v>1082</v>
      </c>
      <c r="G1717" s="5" t="s">
        <v>1079</v>
      </c>
      <c r="H1717" s="6" t="s">
        <v>281</v>
      </c>
      <c r="I1717" s="6" t="s">
        <v>14</v>
      </c>
      <c r="J1717" s="6" t="s">
        <v>1121</v>
      </c>
      <c r="K1717" s="6">
        <v>472</v>
      </c>
      <c r="L1717" s="7" t="s">
        <v>2809</v>
      </c>
      <c r="M1717" s="8">
        <v>1205011</v>
      </c>
      <c r="N1717" s="8" t="str">
        <f t="shared" si="131"/>
        <v>PEN</v>
      </c>
      <c r="O1717" s="13"/>
      <c r="P1717" s="13">
        <v>354</v>
      </c>
      <c r="Q1717" s="3">
        <f t="shared" si="132"/>
        <v>0</v>
      </c>
      <c r="R1717" s="3">
        <f t="shared" si="133"/>
        <v>354</v>
      </c>
      <c r="S1717" s="3">
        <f t="shared" si="134"/>
        <v>21540.919999999991</v>
      </c>
      <c r="T1717" s="24" t="s">
        <v>1081</v>
      </c>
      <c r="U1717" s="24" t="s">
        <v>1081</v>
      </c>
      <c r="V1717" s="67"/>
      <c r="W1717" s="25">
        <f>IFERROR(VLOOKUP(BCP_Soles[[#This Row],[DESTINATARIO]],CHOOSE({1,2},Clientes_Proveedores[Razon Social],Clientes_Proveedores[Ruc / Dni]),2,0),"")</f>
        <v>20498380931</v>
      </c>
      <c r="X1717" s="25" t="s">
        <v>281</v>
      </c>
      <c r="Y1717" s="25" t="s">
        <v>2810</v>
      </c>
      <c r="Z1717" s="25"/>
      <c r="AA1717" s="99"/>
      <c r="AB1717" s="3" t="str">
        <f>IF(BCP_Soles[[#This Row],[FECHA]]&gt;0,TEXT(BCP_Soles[[#This Row],[FECHA]],"mmmm"),0)</f>
        <v>Mayo</v>
      </c>
    </row>
    <row r="1718" spans="2:28" ht="24" x14ac:dyDescent="0.3">
      <c r="B1718" s="2">
        <f>IF(BCP_Soles[[#This Row],[TIPO DE R.]]="R",COUNTIFS($D$4:$D1717,"R")+1,"")</f>
        <v>1334</v>
      </c>
      <c r="C1718" s="19" t="str">
        <f t="shared" si="130"/>
        <v>B-BCP - Soles</v>
      </c>
      <c r="D1718" s="3" t="s">
        <v>1074</v>
      </c>
      <c r="E1718" s="14">
        <v>45796</v>
      </c>
      <c r="F1718" s="5" t="s">
        <v>1082</v>
      </c>
      <c r="G1718" s="5" t="s">
        <v>1079</v>
      </c>
      <c r="H1718" s="6" t="s">
        <v>963</v>
      </c>
      <c r="I1718" s="6"/>
      <c r="J1718" s="6"/>
      <c r="K1718" s="6"/>
      <c r="L1718" s="7" t="s">
        <v>2811</v>
      </c>
      <c r="M1718" s="8">
        <v>1104801</v>
      </c>
      <c r="N1718" s="8" t="str">
        <f t="shared" si="131"/>
        <v>PEN</v>
      </c>
      <c r="O1718" s="13"/>
      <c r="P1718" s="13">
        <v>400</v>
      </c>
      <c r="Q1718" s="3">
        <f t="shared" si="132"/>
        <v>0</v>
      </c>
      <c r="R1718" s="3">
        <f t="shared" si="133"/>
        <v>400</v>
      </c>
      <c r="S1718" s="3">
        <f t="shared" si="134"/>
        <v>21140.919999999991</v>
      </c>
      <c r="T1718" s="24"/>
      <c r="U1718" s="24"/>
      <c r="V1718" s="67"/>
      <c r="W1718" s="25">
        <f>IFERROR(VLOOKUP(BCP_Soles[[#This Row],[DESTINATARIO]],CHOOSE({1,2},Clientes_Proveedores[Razon Social],Clientes_Proveedores[Ruc / Dni]),2,0),"")</f>
        <v>73376012</v>
      </c>
      <c r="X1718" s="25" t="s">
        <v>963</v>
      </c>
      <c r="Y1718" s="25"/>
      <c r="Z1718" s="25"/>
      <c r="AA1718" s="99"/>
      <c r="AB1718" s="3" t="str">
        <f>IF(BCP_Soles[[#This Row],[FECHA]]&gt;0,TEXT(BCP_Soles[[#This Row],[FECHA]],"mmmm"),0)</f>
        <v>Mayo</v>
      </c>
    </row>
    <row r="1719" spans="2:28" ht="24" x14ac:dyDescent="0.3">
      <c r="B1719" s="2">
        <f>IF(BCP_Soles[[#This Row],[TIPO DE R.]]="R",COUNTIFS($D$4:$D1718,"R")+1,"")</f>
        <v>1335</v>
      </c>
      <c r="C1719" s="19" t="str">
        <f t="shared" si="130"/>
        <v>B-BCP - Soles</v>
      </c>
      <c r="D1719" s="3" t="s">
        <v>1074</v>
      </c>
      <c r="E1719" s="14">
        <v>45796</v>
      </c>
      <c r="F1719" s="5" t="s">
        <v>1082</v>
      </c>
      <c r="G1719" s="5" t="s">
        <v>1079</v>
      </c>
      <c r="H1719" s="6" t="s">
        <v>817</v>
      </c>
      <c r="I1719" s="6"/>
      <c r="J1719" s="6"/>
      <c r="K1719" s="6"/>
      <c r="L1719" s="7" t="s">
        <v>2812</v>
      </c>
      <c r="M1719" s="8">
        <v>1104800</v>
      </c>
      <c r="N1719" s="8" t="str">
        <f t="shared" si="131"/>
        <v>PEN</v>
      </c>
      <c r="O1719" s="13"/>
      <c r="P1719" s="13">
        <v>600</v>
      </c>
      <c r="Q1719" s="3">
        <f t="shared" si="132"/>
        <v>0</v>
      </c>
      <c r="R1719" s="3">
        <f t="shared" si="133"/>
        <v>600</v>
      </c>
      <c r="S1719" s="3">
        <f t="shared" si="134"/>
        <v>20540.919999999991</v>
      </c>
      <c r="T1719" s="24"/>
      <c r="U1719" s="24"/>
      <c r="V1719" s="67"/>
      <c r="W1719" s="25">
        <f>IFERROR(VLOOKUP(BCP_Soles[[#This Row],[DESTINATARIO]],CHOOSE({1,2},Clientes_Proveedores[Razon Social],Clientes_Proveedores[Ruc / Dni]),2,0),"")</f>
        <v>1829028</v>
      </c>
      <c r="X1719" s="25" t="s">
        <v>1334</v>
      </c>
      <c r="Y1719" s="25"/>
      <c r="Z1719" s="25"/>
      <c r="AA1719" s="99"/>
      <c r="AB1719" s="3" t="str">
        <f>IF(BCP_Soles[[#This Row],[FECHA]]&gt;0,TEXT(BCP_Soles[[#This Row],[FECHA]],"mmmm"),0)</f>
        <v>Mayo</v>
      </c>
    </row>
    <row r="1720" spans="2:28" ht="24" x14ac:dyDescent="0.3">
      <c r="B1720" s="2">
        <f>IF(BCP_Soles[[#This Row],[TIPO DE R.]]="R",COUNTIFS($D$4:$D1719,"R")+1,"")</f>
        <v>1336</v>
      </c>
      <c r="C1720" s="19" t="str">
        <f t="shared" si="130"/>
        <v>B-BCP - Soles</v>
      </c>
      <c r="D1720" s="3" t="s">
        <v>1074</v>
      </c>
      <c r="E1720" s="14">
        <v>45796</v>
      </c>
      <c r="F1720" s="5" t="s">
        <v>1082</v>
      </c>
      <c r="G1720" s="5" t="s">
        <v>1079</v>
      </c>
      <c r="H1720" s="6" t="s">
        <v>859</v>
      </c>
      <c r="I1720" s="6"/>
      <c r="J1720" s="6"/>
      <c r="K1720" s="6"/>
      <c r="L1720" s="7" t="s">
        <v>2813</v>
      </c>
      <c r="M1720" s="8">
        <v>1106257</v>
      </c>
      <c r="N1720" s="8" t="str">
        <f t="shared" si="131"/>
        <v>PEN</v>
      </c>
      <c r="O1720" s="13"/>
      <c r="P1720" s="13">
        <v>630</v>
      </c>
      <c r="Q1720" s="3">
        <f t="shared" si="132"/>
        <v>0</v>
      </c>
      <c r="R1720" s="3">
        <f t="shared" si="133"/>
        <v>630</v>
      </c>
      <c r="S1720" s="3">
        <f t="shared" si="134"/>
        <v>19910.919999999991</v>
      </c>
      <c r="T1720" s="24"/>
      <c r="U1720" s="24"/>
      <c r="V1720" s="67"/>
      <c r="W1720" s="25">
        <f>IFERROR(VLOOKUP(BCP_Soles[[#This Row],[DESTINATARIO]],CHOOSE({1,2},Clientes_Proveedores[Razon Social],Clientes_Proveedores[Ruc / Dni]),2,0),"")</f>
        <v>48536654</v>
      </c>
      <c r="X1720" s="25" t="s">
        <v>859</v>
      </c>
      <c r="Y1720" s="25"/>
      <c r="Z1720" s="25"/>
      <c r="AA1720" s="99"/>
      <c r="AB1720" s="3" t="str">
        <f>IF(BCP_Soles[[#This Row],[FECHA]]&gt;0,TEXT(BCP_Soles[[#This Row],[FECHA]],"mmmm"),0)</f>
        <v>Mayo</v>
      </c>
    </row>
    <row r="1721" spans="2:28" ht="24" x14ac:dyDescent="0.3">
      <c r="B1721" s="2">
        <f>IF(BCP_Soles[[#This Row],[TIPO DE R.]]="R",COUNTIFS($D$4:$D1720,"R")+1,"")</f>
        <v>1337</v>
      </c>
      <c r="C1721" s="19" t="str">
        <f t="shared" si="130"/>
        <v>B-BCP - Soles</v>
      </c>
      <c r="D1721" s="3" t="s">
        <v>1074</v>
      </c>
      <c r="E1721" s="14">
        <v>45796</v>
      </c>
      <c r="F1721" s="5" t="s">
        <v>1082</v>
      </c>
      <c r="G1721" s="5" t="s">
        <v>1079</v>
      </c>
      <c r="H1721" s="6" t="s">
        <v>829</v>
      </c>
      <c r="I1721" s="6" t="s">
        <v>91</v>
      </c>
      <c r="J1721" s="6">
        <v>13</v>
      </c>
      <c r="K1721" s="6">
        <v>31</v>
      </c>
      <c r="L1721" s="7" t="s">
        <v>2814</v>
      </c>
      <c r="M1721" s="8">
        <v>1104298</v>
      </c>
      <c r="N1721" s="8" t="str">
        <f t="shared" si="131"/>
        <v>PEN</v>
      </c>
      <c r="O1721" s="13"/>
      <c r="P1721" s="13">
        <v>1165</v>
      </c>
      <c r="Q1721" s="3">
        <f t="shared" si="132"/>
        <v>0</v>
      </c>
      <c r="R1721" s="3">
        <f t="shared" si="133"/>
        <v>1165</v>
      </c>
      <c r="S1721" s="3">
        <f t="shared" si="134"/>
        <v>18745.919999999991</v>
      </c>
      <c r="T1721" s="24"/>
      <c r="U1721" s="24"/>
      <c r="V1721" s="67"/>
      <c r="W1721" s="25">
        <f>IFERROR(VLOOKUP(BCP_Soles[[#This Row],[DESTINATARIO]],CHOOSE({1,2},Clientes_Proveedores[Razon Social],Clientes_Proveedores[Ruc / Dni]),2,0),"")</f>
        <v>47461440</v>
      </c>
      <c r="X1721" s="25"/>
      <c r="Y1721" s="25"/>
      <c r="Z1721" s="25"/>
      <c r="AA1721" s="99"/>
      <c r="AB1721" s="3" t="str">
        <f>IF(BCP_Soles[[#This Row],[FECHA]]&gt;0,TEXT(BCP_Soles[[#This Row],[FECHA]],"mmmm"),0)</f>
        <v>Mayo</v>
      </c>
    </row>
    <row r="1722" spans="2:28" ht="24" x14ac:dyDescent="0.3">
      <c r="B1722" s="2">
        <f>IF(BCP_Soles[[#This Row],[TIPO DE R.]]="R",COUNTIFS($D$4:$D1721,"R")+1,"")</f>
        <v>1338</v>
      </c>
      <c r="C1722" s="19" t="str">
        <f t="shared" si="130"/>
        <v>B-BCP - Soles</v>
      </c>
      <c r="D1722" s="3" t="s">
        <v>1074</v>
      </c>
      <c r="E1722" s="14">
        <v>45796</v>
      </c>
      <c r="F1722" s="5" t="s">
        <v>1082</v>
      </c>
      <c r="G1722" s="5" t="s">
        <v>1079</v>
      </c>
      <c r="H1722" s="6" t="s">
        <v>192</v>
      </c>
      <c r="I1722" s="6"/>
      <c r="J1722" s="6"/>
      <c r="K1722" s="6"/>
      <c r="L1722" s="7" t="s">
        <v>2815</v>
      </c>
      <c r="M1722" s="8">
        <v>1105781</v>
      </c>
      <c r="N1722" s="8" t="str">
        <f t="shared" si="131"/>
        <v>PEN</v>
      </c>
      <c r="O1722" s="13"/>
      <c r="P1722" s="13">
        <v>2272</v>
      </c>
      <c r="Q1722" s="3">
        <f t="shared" si="132"/>
        <v>0</v>
      </c>
      <c r="R1722" s="3">
        <f t="shared" si="133"/>
        <v>2272</v>
      </c>
      <c r="S1722" s="3">
        <f t="shared" si="134"/>
        <v>16473.919999999991</v>
      </c>
      <c r="T1722" s="24"/>
      <c r="U1722" s="24"/>
      <c r="V1722" s="67"/>
      <c r="W1722" s="25">
        <f>IFERROR(VLOOKUP(BCP_Soles[[#This Row],[DESTINATARIO]],CHOOSE({1,2},Clientes_Proveedores[Razon Social],Clientes_Proveedores[Ruc / Dni]),2,0),"")</f>
        <v>20302891452</v>
      </c>
      <c r="X1722" s="25" t="s">
        <v>192</v>
      </c>
      <c r="Y1722" s="25"/>
      <c r="Z1722" s="25"/>
      <c r="AA1722" s="99"/>
      <c r="AB1722" s="3" t="str">
        <f>IF(BCP_Soles[[#This Row],[FECHA]]&gt;0,TEXT(BCP_Soles[[#This Row],[FECHA]],"mmmm"),0)</f>
        <v>Mayo</v>
      </c>
    </row>
    <row r="1723" spans="2:28" x14ac:dyDescent="0.3">
      <c r="B1723" s="2">
        <f>IF(BCP_Soles[[#This Row],[TIPO DE R.]]="R",COUNTIFS($D$4:$D1722,"R")+1,"")</f>
        <v>1339</v>
      </c>
      <c r="C1723" s="19" t="str">
        <f t="shared" si="130"/>
        <v>B-BCP - Soles</v>
      </c>
      <c r="D1723" s="3" t="s">
        <v>1074</v>
      </c>
      <c r="E1723" s="14">
        <v>45796</v>
      </c>
      <c r="F1723" s="5" t="s">
        <v>1996</v>
      </c>
      <c r="G1723" s="5" t="s">
        <v>1079</v>
      </c>
      <c r="H1723" s="6"/>
      <c r="I1723" s="6"/>
      <c r="J1723" s="6"/>
      <c r="K1723" s="6"/>
      <c r="L1723" s="7" t="s">
        <v>2816</v>
      </c>
      <c r="M1723" s="8">
        <v>7794347</v>
      </c>
      <c r="N1723" s="8" t="str">
        <f t="shared" si="131"/>
        <v>PEN</v>
      </c>
      <c r="O1723" s="13"/>
      <c r="P1723" s="13">
        <v>4613.6400000000003</v>
      </c>
      <c r="Q1723" s="3">
        <f t="shared" si="132"/>
        <v>0</v>
      </c>
      <c r="R1723" s="3">
        <f t="shared" si="133"/>
        <v>4613.6400000000003</v>
      </c>
      <c r="S1723" s="3">
        <f t="shared" si="134"/>
        <v>11860.279999999992</v>
      </c>
      <c r="T1723" s="24"/>
      <c r="U1723" s="24" t="s">
        <v>1081</v>
      </c>
      <c r="V1723" s="67"/>
      <c r="W1723" s="25" t="str">
        <f>IFERROR(VLOOKUP(BCP_Soles[[#This Row],[DESTINATARIO]],CHOOSE({1,2},Clientes_Proveedores[Razon Social],Clientes_Proveedores[Ruc / Dni]),2,0),"")</f>
        <v/>
      </c>
      <c r="X1723" s="25" t="s">
        <v>1118</v>
      </c>
      <c r="Y1723" s="25"/>
      <c r="Z1723" s="25"/>
      <c r="AA1723" s="99"/>
      <c r="AB1723" s="3" t="str">
        <f>IF(BCP_Soles[[#This Row],[FECHA]]&gt;0,TEXT(BCP_Soles[[#This Row],[FECHA]],"mmmm"),0)</f>
        <v>Mayo</v>
      </c>
    </row>
    <row r="1724" spans="2:28" ht="24" x14ac:dyDescent="0.3">
      <c r="B1724" s="2" t="str">
        <f>IF(BCP_Soles[[#This Row],[TIPO DE R.]]="R",COUNTIFS($D$4:$D1723,"R")+1,"")</f>
        <v/>
      </c>
      <c r="C1724" s="19" t="str">
        <f t="shared" si="130"/>
        <v>B-BCP - Soles</v>
      </c>
      <c r="D1724" s="3" t="s">
        <v>1101</v>
      </c>
      <c r="E1724" s="14">
        <v>45796</v>
      </c>
      <c r="F1724" s="5" t="s">
        <v>1996</v>
      </c>
      <c r="G1724" s="5"/>
      <c r="H1724" s="6" t="s">
        <v>130</v>
      </c>
      <c r="I1724" s="6" t="s">
        <v>14</v>
      </c>
      <c r="J1724" s="6" t="s">
        <v>1121</v>
      </c>
      <c r="K1724" s="6">
        <v>419</v>
      </c>
      <c r="L1724" s="7" t="s">
        <v>2816</v>
      </c>
      <c r="M1724" s="8">
        <v>7794347</v>
      </c>
      <c r="N1724" s="8" t="str">
        <f t="shared" si="131"/>
        <v>PEN</v>
      </c>
      <c r="O1724" s="13">
        <v>120</v>
      </c>
      <c r="P1724" s="13"/>
      <c r="Q1724" s="3">
        <f t="shared" si="132"/>
        <v>0</v>
      </c>
      <c r="R1724" s="3">
        <f t="shared" si="133"/>
        <v>0</v>
      </c>
      <c r="S1724" s="3">
        <f t="shared" si="134"/>
        <v>11860.279999999992</v>
      </c>
      <c r="T1724" s="24"/>
      <c r="U1724" s="24" t="s">
        <v>1081</v>
      </c>
      <c r="V1724" s="67"/>
      <c r="W1724" s="25">
        <f>IFERROR(VLOOKUP(BCP_Soles[[#This Row],[DESTINATARIO]],CHOOSE({1,2},Clientes_Proveedores[Razon Social],Clientes_Proveedores[Ruc / Dni]),2,0),"")</f>
        <v>10706063426</v>
      </c>
      <c r="X1724" s="25"/>
      <c r="Y1724" s="25"/>
      <c r="Z1724" s="25"/>
      <c r="AA1724" s="99"/>
      <c r="AB1724" s="3" t="str">
        <f>IF(BCP_Soles[[#This Row],[FECHA]]&gt;0,TEXT(BCP_Soles[[#This Row],[FECHA]],"mmmm"),0)</f>
        <v>Mayo</v>
      </c>
    </row>
    <row r="1725" spans="2:28" ht="36" x14ac:dyDescent="0.3">
      <c r="B1725" s="2" t="str">
        <f>IF(BCP_Soles[[#This Row],[TIPO DE R.]]="R",COUNTIFS($D$4:$D1724,"R")+1,"")</f>
        <v/>
      </c>
      <c r="C1725" s="19" t="str">
        <f t="shared" si="130"/>
        <v>B-BCP - Soles</v>
      </c>
      <c r="D1725" s="3" t="s">
        <v>1101</v>
      </c>
      <c r="E1725" s="14">
        <v>45796</v>
      </c>
      <c r="F1725" s="5" t="s">
        <v>1996</v>
      </c>
      <c r="G1725" s="5"/>
      <c r="H1725" s="6" t="s">
        <v>97</v>
      </c>
      <c r="I1725" s="6" t="s">
        <v>14</v>
      </c>
      <c r="J1725" s="6" t="s">
        <v>1121</v>
      </c>
      <c r="K1725" s="6">
        <v>399</v>
      </c>
      <c r="L1725" s="7" t="s">
        <v>2816</v>
      </c>
      <c r="M1725" s="8">
        <v>7794347</v>
      </c>
      <c r="N1725" s="8" t="str">
        <f t="shared" si="131"/>
        <v>PEN</v>
      </c>
      <c r="O1725" s="13">
        <v>290</v>
      </c>
      <c r="P1725" s="13"/>
      <c r="Q1725" s="3">
        <f t="shared" si="132"/>
        <v>0</v>
      </c>
      <c r="R1725" s="3">
        <f t="shared" si="133"/>
        <v>0</v>
      </c>
      <c r="S1725" s="3">
        <f t="shared" si="134"/>
        <v>11860.279999999992</v>
      </c>
      <c r="T1725" s="24"/>
      <c r="U1725" s="24" t="s">
        <v>1081</v>
      </c>
      <c r="V1725" s="67"/>
      <c r="W1725" s="25">
        <f>IFERROR(VLOOKUP(BCP_Soles[[#This Row],[DESTINATARIO]],CHOOSE({1,2},Clientes_Proveedores[Razon Social],Clientes_Proveedores[Ruc / Dni]),2,0),"")</f>
        <v>10405211179</v>
      </c>
      <c r="X1725" s="25"/>
      <c r="Y1725" s="25"/>
      <c r="Z1725" s="25"/>
      <c r="AA1725" s="99"/>
      <c r="AB1725" s="3" t="str">
        <f>IF(BCP_Soles[[#This Row],[FECHA]]&gt;0,TEXT(BCP_Soles[[#This Row],[FECHA]],"mmmm"),0)</f>
        <v>Mayo</v>
      </c>
    </row>
    <row r="1726" spans="2:28" ht="36" x14ac:dyDescent="0.3">
      <c r="B1726" s="2" t="str">
        <f>IF(BCP_Soles[[#This Row],[TIPO DE R.]]="R",COUNTIFS($D$4:$D1725,"R")+1,"")</f>
        <v/>
      </c>
      <c r="C1726" s="19" t="str">
        <f t="shared" si="130"/>
        <v>B-BCP - Soles</v>
      </c>
      <c r="D1726" s="3" t="s">
        <v>1101</v>
      </c>
      <c r="E1726" s="14">
        <v>45796</v>
      </c>
      <c r="F1726" s="5" t="s">
        <v>1996</v>
      </c>
      <c r="G1726" s="5"/>
      <c r="H1726" s="6" t="s">
        <v>438</v>
      </c>
      <c r="I1726" s="6" t="s">
        <v>14</v>
      </c>
      <c r="J1726" s="6" t="s">
        <v>1121</v>
      </c>
      <c r="K1726" s="6">
        <v>3825</v>
      </c>
      <c r="L1726" s="7" t="s">
        <v>2816</v>
      </c>
      <c r="M1726" s="8">
        <v>7794347</v>
      </c>
      <c r="N1726" s="8" t="str">
        <f t="shared" si="131"/>
        <v>PEN</v>
      </c>
      <c r="O1726" s="13">
        <v>1926</v>
      </c>
      <c r="P1726" s="13"/>
      <c r="Q1726" s="3">
        <f t="shared" si="132"/>
        <v>0</v>
      </c>
      <c r="R1726" s="3">
        <f t="shared" si="133"/>
        <v>0</v>
      </c>
      <c r="S1726" s="3">
        <f t="shared" si="134"/>
        <v>11860.279999999992</v>
      </c>
      <c r="T1726" s="24"/>
      <c r="U1726" s="24" t="s">
        <v>1081</v>
      </c>
      <c r="V1726" s="67"/>
      <c r="W1726" s="25">
        <f>IFERROR(VLOOKUP(BCP_Soles[[#This Row],[DESTINATARIO]],CHOOSE({1,2},Clientes_Proveedores[Razon Social],Clientes_Proveedores[Ruc / Dni]),2,0),"")</f>
        <v>20602778861</v>
      </c>
      <c r="X1726" s="25"/>
      <c r="Y1726" s="25"/>
      <c r="Z1726" s="25"/>
      <c r="AA1726" s="99"/>
      <c r="AB1726" s="3" t="str">
        <f>IF(BCP_Soles[[#This Row],[FECHA]]&gt;0,TEXT(BCP_Soles[[#This Row],[FECHA]],"mmmm"),0)</f>
        <v>Mayo</v>
      </c>
    </row>
    <row r="1727" spans="2:28" ht="24" x14ac:dyDescent="0.3">
      <c r="B1727" s="2" t="str">
        <f>IF(BCP_Soles[[#This Row],[TIPO DE R.]]="R",COUNTIFS($D$4:$D1726,"R")+1,"")</f>
        <v/>
      </c>
      <c r="C1727" s="19" t="str">
        <f t="shared" si="130"/>
        <v>B-BCP - Soles</v>
      </c>
      <c r="D1727" s="3" t="s">
        <v>1101</v>
      </c>
      <c r="E1727" s="14">
        <v>45796</v>
      </c>
      <c r="F1727" s="5" t="s">
        <v>1996</v>
      </c>
      <c r="G1727" s="5"/>
      <c r="H1727" s="6" t="s">
        <v>609</v>
      </c>
      <c r="I1727" s="6" t="s">
        <v>14</v>
      </c>
      <c r="J1727" s="6" t="s">
        <v>1121</v>
      </c>
      <c r="K1727" s="6">
        <v>29</v>
      </c>
      <c r="L1727" s="7" t="s">
        <v>2816</v>
      </c>
      <c r="M1727" s="8">
        <v>7794347</v>
      </c>
      <c r="N1727" s="8" t="str">
        <f t="shared" si="131"/>
        <v>PEN</v>
      </c>
      <c r="O1727" s="13">
        <v>510</v>
      </c>
      <c r="P1727" s="13"/>
      <c r="Q1727" s="3">
        <f t="shared" si="132"/>
        <v>0</v>
      </c>
      <c r="R1727" s="3">
        <f t="shared" si="133"/>
        <v>0</v>
      </c>
      <c r="S1727" s="3">
        <f t="shared" si="134"/>
        <v>11860.279999999992</v>
      </c>
      <c r="T1727" s="24"/>
      <c r="U1727" s="24" t="s">
        <v>1081</v>
      </c>
      <c r="V1727" s="67"/>
      <c r="W1727" s="25">
        <f>IFERROR(VLOOKUP(BCP_Soles[[#This Row],[DESTINATARIO]],CHOOSE({1,2},Clientes_Proveedores[Razon Social],Clientes_Proveedores[Ruc / Dni]),2,0),"")</f>
        <v>10410687491</v>
      </c>
      <c r="X1727" s="25"/>
      <c r="Y1727" s="25"/>
      <c r="Z1727" s="25"/>
      <c r="AA1727" s="99"/>
      <c r="AB1727" s="3" t="str">
        <f>IF(BCP_Soles[[#This Row],[FECHA]]&gt;0,TEXT(BCP_Soles[[#This Row],[FECHA]],"mmmm"),0)</f>
        <v>Mayo</v>
      </c>
    </row>
    <row r="1728" spans="2:28" x14ac:dyDescent="0.3">
      <c r="B1728" s="2" t="str">
        <f>IF(BCP_Soles[[#This Row],[TIPO DE R.]]="R",COUNTIFS($D$4:$D1727,"R")+1,"")</f>
        <v/>
      </c>
      <c r="C1728" s="19" t="str">
        <f t="shared" si="130"/>
        <v>B-BCP - Soles</v>
      </c>
      <c r="D1728" s="3" t="s">
        <v>1101</v>
      </c>
      <c r="E1728" s="14">
        <v>45796</v>
      </c>
      <c r="F1728" s="5" t="s">
        <v>1996</v>
      </c>
      <c r="G1728" s="5"/>
      <c r="H1728" s="6" t="s">
        <v>465</v>
      </c>
      <c r="I1728" s="6" t="s">
        <v>14</v>
      </c>
      <c r="J1728" s="6" t="s">
        <v>1121</v>
      </c>
      <c r="K1728" s="6">
        <v>3869</v>
      </c>
      <c r="L1728" s="7" t="s">
        <v>2816</v>
      </c>
      <c r="M1728" s="8">
        <v>7794347</v>
      </c>
      <c r="N1728" s="8" t="str">
        <f t="shared" si="131"/>
        <v>PEN</v>
      </c>
      <c r="O1728" s="13">
        <v>401.2</v>
      </c>
      <c r="P1728" s="13"/>
      <c r="Q1728" s="3">
        <f t="shared" si="132"/>
        <v>0</v>
      </c>
      <c r="R1728" s="3">
        <f t="shared" si="133"/>
        <v>0</v>
      </c>
      <c r="S1728" s="3">
        <f t="shared" si="134"/>
        <v>11860.279999999992</v>
      </c>
      <c r="T1728" s="24"/>
      <c r="U1728" s="24" t="s">
        <v>1081</v>
      </c>
      <c r="V1728" s="67"/>
      <c r="W1728" s="25">
        <f>IFERROR(VLOOKUP(BCP_Soles[[#This Row],[DESTINATARIO]],CHOOSE({1,2},Clientes_Proveedores[Razon Social],Clientes_Proveedores[Ruc / Dni]),2,0),"")</f>
        <v>20603974817</v>
      </c>
      <c r="X1728" s="25"/>
      <c r="Y1728" s="25"/>
      <c r="Z1728" s="25"/>
      <c r="AA1728" s="99"/>
      <c r="AB1728" s="3" t="str">
        <f>IF(BCP_Soles[[#This Row],[FECHA]]&gt;0,TEXT(BCP_Soles[[#This Row],[FECHA]],"mmmm"),0)</f>
        <v>Mayo</v>
      </c>
    </row>
    <row r="1729" spans="2:28" ht="24" x14ac:dyDescent="0.3">
      <c r="B1729" s="2" t="str">
        <f>IF(BCP_Soles[[#This Row],[TIPO DE R.]]="R",COUNTIFS($D$4:$D1728,"R")+1,"")</f>
        <v/>
      </c>
      <c r="C1729" s="19" t="str">
        <f t="shared" si="130"/>
        <v>B-BCP - Soles</v>
      </c>
      <c r="D1729" s="3" t="s">
        <v>1101</v>
      </c>
      <c r="E1729" s="14">
        <v>45796</v>
      </c>
      <c r="F1729" s="5" t="s">
        <v>1996</v>
      </c>
      <c r="G1729" s="5"/>
      <c r="H1729" s="6" t="s">
        <v>536</v>
      </c>
      <c r="I1729" s="6" t="s">
        <v>14</v>
      </c>
      <c r="J1729" s="6" t="s">
        <v>1121</v>
      </c>
      <c r="K1729" s="6">
        <v>2155</v>
      </c>
      <c r="L1729" s="7" t="s">
        <v>2816</v>
      </c>
      <c r="M1729" s="8">
        <v>7794347</v>
      </c>
      <c r="N1729" s="8" t="str">
        <f t="shared" si="131"/>
        <v>PEN</v>
      </c>
      <c r="O1729" s="13">
        <v>70.8</v>
      </c>
      <c r="P1729" s="13"/>
      <c r="Q1729" s="3">
        <f t="shared" si="132"/>
        <v>0</v>
      </c>
      <c r="R1729" s="3">
        <f t="shared" si="133"/>
        <v>0</v>
      </c>
      <c r="S1729" s="3">
        <f t="shared" si="134"/>
        <v>11860.279999999992</v>
      </c>
      <c r="T1729" s="24"/>
      <c r="U1729" s="24" t="s">
        <v>1081</v>
      </c>
      <c r="V1729" s="67"/>
      <c r="W1729" s="25">
        <f>IFERROR(VLOOKUP(BCP_Soles[[#This Row],[DESTINATARIO]],CHOOSE({1,2},Clientes_Proveedores[Razon Social],Clientes_Proveedores[Ruc / Dni]),2,0),"")</f>
        <v>20609764261</v>
      </c>
      <c r="X1729" s="25"/>
      <c r="Y1729" s="25"/>
      <c r="Z1729" s="25"/>
      <c r="AA1729" s="99"/>
      <c r="AB1729" s="3" t="str">
        <f>IF(BCP_Soles[[#This Row],[FECHA]]&gt;0,TEXT(BCP_Soles[[#This Row],[FECHA]],"mmmm"),0)</f>
        <v>Mayo</v>
      </c>
    </row>
    <row r="1730" spans="2:28" x14ac:dyDescent="0.3">
      <c r="B1730" s="2" t="str">
        <f>IF(BCP_Soles[[#This Row],[TIPO DE R.]]="R",COUNTIFS($D$4:$D1729,"R")+1,"")</f>
        <v/>
      </c>
      <c r="C1730" s="19" t="str">
        <f t="shared" si="130"/>
        <v>B-BCP - Soles</v>
      </c>
      <c r="D1730" s="3" t="s">
        <v>1101</v>
      </c>
      <c r="E1730" s="14">
        <v>45796</v>
      </c>
      <c r="F1730" s="5" t="s">
        <v>1996</v>
      </c>
      <c r="G1730" s="5"/>
      <c r="H1730" s="6" t="s">
        <v>465</v>
      </c>
      <c r="I1730" s="6" t="s">
        <v>14</v>
      </c>
      <c r="J1730" s="6" t="s">
        <v>1121</v>
      </c>
      <c r="K1730" s="6">
        <v>3883</v>
      </c>
      <c r="L1730" s="7" t="s">
        <v>2816</v>
      </c>
      <c r="M1730" s="8">
        <v>7794347</v>
      </c>
      <c r="N1730" s="8" t="str">
        <f t="shared" si="131"/>
        <v>PEN</v>
      </c>
      <c r="O1730" s="13">
        <v>531.59</v>
      </c>
      <c r="P1730" s="13"/>
      <c r="Q1730" s="3">
        <f t="shared" si="132"/>
        <v>0</v>
      </c>
      <c r="R1730" s="3">
        <f t="shared" si="133"/>
        <v>0</v>
      </c>
      <c r="S1730" s="3">
        <f t="shared" si="134"/>
        <v>11860.279999999992</v>
      </c>
      <c r="T1730" s="24"/>
      <c r="U1730" s="24" t="s">
        <v>1081</v>
      </c>
      <c r="V1730" s="67"/>
      <c r="W1730" s="25">
        <f>IFERROR(VLOOKUP(BCP_Soles[[#This Row],[DESTINATARIO]],CHOOSE({1,2},Clientes_Proveedores[Razon Social],Clientes_Proveedores[Ruc / Dni]),2,0),"")</f>
        <v>20603974817</v>
      </c>
      <c r="X1730" s="25"/>
      <c r="Y1730" s="25"/>
      <c r="Z1730" s="25"/>
      <c r="AA1730" s="99"/>
      <c r="AB1730" s="3" t="str">
        <f>IF(BCP_Soles[[#This Row],[FECHA]]&gt;0,TEXT(BCP_Soles[[#This Row],[FECHA]],"mmmm"),0)</f>
        <v>Mayo</v>
      </c>
    </row>
    <row r="1731" spans="2:28" ht="24" x14ac:dyDescent="0.3">
      <c r="B1731" s="2" t="str">
        <f>IF(BCP_Soles[[#This Row],[TIPO DE R.]]="R",COUNTIFS($D$4:$D1730,"R")+1,"")</f>
        <v/>
      </c>
      <c r="C1731" s="19" t="str">
        <f t="shared" si="130"/>
        <v>B-BCP - Soles</v>
      </c>
      <c r="D1731" s="3" t="s">
        <v>1101</v>
      </c>
      <c r="E1731" s="14">
        <v>45796</v>
      </c>
      <c r="F1731" s="5" t="s">
        <v>1996</v>
      </c>
      <c r="G1731" s="5"/>
      <c r="H1731" s="6" t="s">
        <v>536</v>
      </c>
      <c r="I1731" s="6" t="s">
        <v>14</v>
      </c>
      <c r="J1731" s="6" t="s">
        <v>1121</v>
      </c>
      <c r="K1731" s="6">
        <v>2182</v>
      </c>
      <c r="L1731" s="7" t="s">
        <v>2816</v>
      </c>
      <c r="M1731" s="8">
        <v>7794347</v>
      </c>
      <c r="N1731" s="8" t="str">
        <f t="shared" si="131"/>
        <v>PEN</v>
      </c>
      <c r="O1731" s="13">
        <v>212.4</v>
      </c>
      <c r="P1731" s="13"/>
      <c r="Q1731" s="3">
        <f t="shared" si="132"/>
        <v>0</v>
      </c>
      <c r="R1731" s="3">
        <f t="shared" si="133"/>
        <v>0</v>
      </c>
      <c r="S1731" s="3">
        <f t="shared" si="134"/>
        <v>11860.279999999992</v>
      </c>
      <c r="T1731" s="24"/>
      <c r="U1731" s="24" t="s">
        <v>1081</v>
      </c>
      <c r="V1731" s="67"/>
      <c r="W1731" s="25">
        <f>IFERROR(VLOOKUP(BCP_Soles[[#This Row],[DESTINATARIO]],CHOOSE({1,2},Clientes_Proveedores[Razon Social],Clientes_Proveedores[Ruc / Dni]),2,0),"")</f>
        <v>20609764261</v>
      </c>
      <c r="X1731" s="25"/>
      <c r="Y1731" s="25"/>
      <c r="Z1731" s="25"/>
      <c r="AA1731" s="99"/>
      <c r="AB1731" s="3" t="str">
        <f>IF(BCP_Soles[[#This Row],[FECHA]]&gt;0,TEXT(BCP_Soles[[#This Row],[FECHA]],"mmmm"),0)</f>
        <v>Mayo</v>
      </c>
    </row>
    <row r="1732" spans="2:28" x14ac:dyDescent="0.3">
      <c r="B1732" s="2" t="str">
        <f>IF(BCP_Soles[[#This Row],[TIPO DE R.]]="R",COUNTIFS($D$4:$D1731,"R")+1,"")</f>
        <v/>
      </c>
      <c r="C1732" s="19" t="str">
        <f t="shared" si="130"/>
        <v>B-BCP - Soles</v>
      </c>
      <c r="D1732" s="3" t="s">
        <v>1101</v>
      </c>
      <c r="E1732" s="14">
        <v>45796</v>
      </c>
      <c r="F1732" s="5" t="s">
        <v>1996</v>
      </c>
      <c r="G1732" s="5"/>
      <c r="H1732" s="6" t="s">
        <v>465</v>
      </c>
      <c r="I1732" s="6" t="s">
        <v>14</v>
      </c>
      <c r="J1732" s="6" t="s">
        <v>1121</v>
      </c>
      <c r="K1732" s="6">
        <v>3890</v>
      </c>
      <c r="L1732" s="7" t="s">
        <v>2816</v>
      </c>
      <c r="M1732" s="8">
        <v>7794347</v>
      </c>
      <c r="N1732" s="8" t="str">
        <f t="shared" si="131"/>
        <v>PEN</v>
      </c>
      <c r="O1732" s="13">
        <v>551.65</v>
      </c>
      <c r="P1732" s="13"/>
      <c r="Q1732" s="3">
        <f t="shared" si="132"/>
        <v>0</v>
      </c>
      <c r="R1732" s="3">
        <f t="shared" si="133"/>
        <v>0</v>
      </c>
      <c r="S1732" s="3">
        <f t="shared" si="134"/>
        <v>11860.279999999992</v>
      </c>
      <c r="T1732" s="24"/>
      <c r="U1732" s="24" t="s">
        <v>1081</v>
      </c>
      <c r="V1732" s="67"/>
      <c r="W1732" s="25">
        <f>IFERROR(VLOOKUP(BCP_Soles[[#This Row],[DESTINATARIO]],CHOOSE({1,2},Clientes_Proveedores[Razon Social],Clientes_Proveedores[Ruc / Dni]),2,0),"")</f>
        <v>20603974817</v>
      </c>
      <c r="X1732" s="25"/>
      <c r="Y1732" s="25"/>
      <c r="Z1732" s="25"/>
      <c r="AA1732" s="99"/>
      <c r="AB1732" s="3" t="str">
        <f>IF(BCP_Soles[[#This Row],[FECHA]]&gt;0,TEXT(BCP_Soles[[#This Row],[FECHA]],"mmmm"),0)</f>
        <v>Mayo</v>
      </c>
    </row>
    <row r="1733" spans="2:28" x14ac:dyDescent="0.3">
      <c r="B1733" s="2">
        <f>IF(BCP_Soles[[#This Row],[TIPO DE R.]]="R",COUNTIFS($D$4:$D1732,"R")+1,"")</f>
        <v>1340</v>
      </c>
      <c r="C1733" s="19" t="str">
        <f t="shared" ref="C1733:C1796" si="135">"B-BCP - Soles"</f>
        <v>B-BCP - Soles</v>
      </c>
      <c r="D1733" s="3" t="s">
        <v>1074</v>
      </c>
      <c r="E1733" s="14">
        <v>45796</v>
      </c>
      <c r="F1733" s="5" t="s">
        <v>1078</v>
      </c>
      <c r="G1733" s="5" t="s">
        <v>1079</v>
      </c>
      <c r="H1733" s="6"/>
      <c r="I1733" s="6"/>
      <c r="J1733" s="6"/>
      <c r="K1733" s="6"/>
      <c r="L1733" s="7" t="s">
        <v>1080</v>
      </c>
      <c r="M1733" s="8"/>
      <c r="N1733" s="8" t="str">
        <f t="shared" ref="N1733:N1796" si="136">"PEN"</f>
        <v>PEN</v>
      </c>
      <c r="O1733" s="13"/>
      <c r="P1733" s="13">
        <v>0.65</v>
      </c>
      <c r="Q1733" s="3">
        <f t="shared" ref="Q1733:Q1796" si="137">+IF(OR($G1733="SALDO",$G1733="INGRESO"),$P1733,0)</f>
        <v>0</v>
      </c>
      <c r="R1733" s="3">
        <f t="shared" ref="R1733:R1796" si="138">+IF($G1733="EGRESO",$P1733,0)</f>
        <v>0.65</v>
      </c>
      <c r="S1733" s="3">
        <f t="shared" ref="S1733:S1796" si="139">IFERROR(IF(G1733="SALDO",Q1733,S1732+Q1733-R1733),0)</f>
        <v>11859.629999999992</v>
      </c>
      <c r="T1733" s="24"/>
      <c r="U1733" s="24" t="s">
        <v>1081</v>
      </c>
      <c r="V1733" s="67"/>
      <c r="W1733" s="25" t="str">
        <f>IFERROR(VLOOKUP(BCP_Soles[[#This Row],[DESTINATARIO]],CHOOSE({1,2},Clientes_Proveedores[Razon Social],Clientes_Proveedores[Ruc / Dni]),2,0),"")</f>
        <v/>
      </c>
      <c r="X1733" s="25"/>
      <c r="Y1733" s="25"/>
      <c r="Z1733" s="25"/>
      <c r="AA1733" s="99"/>
      <c r="AB1733" s="3" t="str">
        <f>IF(BCP_Soles[[#This Row],[FECHA]]&gt;0,TEXT(BCP_Soles[[#This Row],[FECHA]],"mmmm"),0)</f>
        <v>Mayo</v>
      </c>
    </row>
    <row r="1734" spans="2:28" x14ac:dyDescent="0.3">
      <c r="B1734" s="2">
        <f>IF(BCP_Soles[[#This Row],[TIPO DE R.]]="R",COUNTIFS($D$4:$D1733,"R")+1,"")</f>
        <v>1341</v>
      </c>
      <c r="C1734" s="19" t="str">
        <f t="shared" si="135"/>
        <v>B-BCP - Soles</v>
      </c>
      <c r="D1734" s="3" t="s">
        <v>1074</v>
      </c>
      <c r="E1734" s="14">
        <v>45797</v>
      </c>
      <c r="F1734" s="5" t="s">
        <v>1996</v>
      </c>
      <c r="G1734" s="5" t="s">
        <v>1079</v>
      </c>
      <c r="H1734" s="6"/>
      <c r="I1734" s="6" t="s">
        <v>14</v>
      </c>
      <c r="J1734" s="6" t="s">
        <v>1395</v>
      </c>
      <c r="K1734" s="6">
        <v>293332</v>
      </c>
      <c r="L1734" s="7" t="s">
        <v>1396</v>
      </c>
      <c r="M1734" s="8">
        <v>222765</v>
      </c>
      <c r="N1734" s="8" t="str">
        <f t="shared" si="136"/>
        <v>PEN</v>
      </c>
      <c r="O1734" s="13"/>
      <c r="P1734" s="13">
        <v>36.58</v>
      </c>
      <c r="Q1734" s="3">
        <f t="shared" si="137"/>
        <v>0</v>
      </c>
      <c r="R1734" s="3">
        <f t="shared" si="138"/>
        <v>36.58</v>
      </c>
      <c r="S1734" s="3">
        <f t="shared" si="139"/>
        <v>11823.049999999992</v>
      </c>
      <c r="T1734" s="24"/>
      <c r="U1734" s="24" t="s">
        <v>1081</v>
      </c>
      <c r="V1734" s="67"/>
      <c r="W1734" s="25" t="str">
        <f>IFERROR(VLOOKUP(BCP_Soles[[#This Row],[DESTINATARIO]],CHOOSE({1,2},Clientes_Proveedores[Razon Social],Clientes_Proveedores[Ruc / Dni]),2,0),"")</f>
        <v/>
      </c>
      <c r="X1734" s="25" t="s">
        <v>1397</v>
      </c>
      <c r="Y1734" s="25" t="s">
        <v>2817</v>
      </c>
      <c r="Z1734" s="25"/>
      <c r="AA1734" s="99"/>
      <c r="AB1734" s="3" t="str">
        <f>IF(BCP_Soles[[#This Row],[FECHA]]&gt;0,TEXT(BCP_Soles[[#This Row],[FECHA]],"mmmm"),0)</f>
        <v>Mayo</v>
      </c>
    </row>
    <row r="1735" spans="2:28" ht="24" x14ac:dyDescent="0.3">
      <c r="B1735" s="2">
        <f>IF(BCP_Soles[[#This Row],[TIPO DE R.]]="R",COUNTIFS($D$4:$D1734,"R")+1,"")</f>
        <v>1342</v>
      </c>
      <c r="C1735" s="19" t="str">
        <f t="shared" si="135"/>
        <v>B-BCP - Soles</v>
      </c>
      <c r="D1735" s="3" t="s">
        <v>1074</v>
      </c>
      <c r="E1735" s="14">
        <v>45797</v>
      </c>
      <c r="F1735" s="5" t="s">
        <v>1082</v>
      </c>
      <c r="G1735" s="5" t="s">
        <v>1079</v>
      </c>
      <c r="H1735" s="6" t="s">
        <v>192</v>
      </c>
      <c r="I1735" s="6"/>
      <c r="J1735" s="6"/>
      <c r="K1735" s="6"/>
      <c r="L1735" s="7" t="s">
        <v>2818</v>
      </c>
      <c r="M1735" s="8">
        <v>1223252</v>
      </c>
      <c r="N1735" s="8" t="str">
        <f t="shared" si="136"/>
        <v>PEN</v>
      </c>
      <c r="O1735" s="13"/>
      <c r="P1735" s="13">
        <v>624.16999999999996</v>
      </c>
      <c r="Q1735" s="3">
        <f t="shared" si="137"/>
        <v>0</v>
      </c>
      <c r="R1735" s="3">
        <f t="shared" si="138"/>
        <v>624.16999999999996</v>
      </c>
      <c r="S1735" s="3">
        <f t="shared" si="139"/>
        <v>11198.879999999992</v>
      </c>
      <c r="T1735" s="24"/>
      <c r="U1735" s="24"/>
      <c r="V1735" s="67"/>
      <c r="W1735" s="25">
        <f>IFERROR(VLOOKUP(BCP_Soles[[#This Row],[DESTINATARIO]],CHOOSE({1,2},Clientes_Proveedores[Razon Social],Clientes_Proveedores[Ruc / Dni]),2,0),"")</f>
        <v>20302891452</v>
      </c>
      <c r="X1735" s="25" t="s">
        <v>192</v>
      </c>
      <c r="Y1735" s="25"/>
      <c r="Z1735" s="25"/>
      <c r="AA1735" s="99"/>
      <c r="AB1735" s="3" t="str">
        <f>IF(BCP_Soles[[#This Row],[FECHA]]&gt;0,TEXT(BCP_Soles[[#This Row],[FECHA]],"mmmm"),0)</f>
        <v>Mayo</v>
      </c>
    </row>
    <row r="1736" spans="2:28" ht="36" x14ac:dyDescent="0.3">
      <c r="B1736" s="2">
        <f>IF(BCP_Soles[[#This Row],[TIPO DE R.]]="R",COUNTIFS($D$4:$D1735,"R")+1,"")</f>
        <v>1343</v>
      </c>
      <c r="C1736" s="19" t="str">
        <f t="shared" si="135"/>
        <v>B-BCP - Soles</v>
      </c>
      <c r="D1736" s="3" t="s">
        <v>1074</v>
      </c>
      <c r="E1736" s="14">
        <v>45797</v>
      </c>
      <c r="F1736" s="5" t="s">
        <v>1996</v>
      </c>
      <c r="G1736" s="5" t="s">
        <v>1079</v>
      </c>
      <c r="H1736" s="6"/>
      <c r="I1736" s="6" t="s">
        <v>14</v>
      </c>
      <c r="J1736" s="6" t="s">
        <v>2789</v>
      </c>
      <c r="K1736" s="6">
        <v>41155</v>
      </c>
      <c r="L1736" s="7" t="s">
        <v>2819</v>
      </c>
      <c r="M1736" s="8">
        <v>1223253</v>
      </c>
      <c r="N1736" s="8" t="str">
        <f t="shared" si="136"/>
        <v>PEN</v>
      </c>
      <c r="O1736" s="13"/>
      <c r="P1736" s="13">
        <v>234</v>
      </c>
      <c r="Q1736" s="3">
        <f t="shared" si="137"/>
        <v>0</v>
      </c>
      <c r="R1736" s="3">
        <f t="shared" si="138"/>
        <v>234</v>
      </c>
      <c r="S1736" s="3">
        <f t="shared" si="139"/>
        <v>10964.879999999992</v>
      </c>
      <c r="T1736" s="24" t="s">
        <v>1081</v>
      </c>
      <c r="U1736" s="24" t="s">
        <v>1081</v>
      </c>
      <c r="V1736" s="67"/>
      <c r="W1736" s="25" t="str">
        <f>IFERROR(VLOOKUP(BCP_Soles[[#This Row],[DESTINATARIO]],CHOOSE({1,2},Clientes_Proveedores[Razon Social],Clientes_Proveedores[Ruc / Dni]),2,0),"")</f>
        <v/>
      </c>
      <c r="X1736" s="25" t="s">
        <v>2820</v>
      </c>
      <c r="Y1736" s="25" t="s">
        <v>2821</v>
      </c>
      <c r="Z1736" s="25"/>
      <c r="AA1736" s="99"/>
      <c r="AB1736" s="3" t="str">
        <f>IF(BCP_Soles[[#This Row],[FECHA]]&gt;0,TEXT(BCP_Soles[[#This Row],[FECHA]],"mmmm"),0)</f>
        <v>Mayo</v>
      </c>
    </row>
    <row r="1737" spans="2:28" ht="24" x14ac:dyDescent="0.3">
      <c r="B1737" s="2">
        <f>IF(BCP_Soles[[#This Row],[TIPO DE R.]]="R",COUNTIFS($D$4:$D1736,"R")+1,"")</f>
        <v>1344</v>
      </c>
      <c r="C1737" s="19" t="str">
        <f t="shared" si="135"/>
        <v>B-BCP - Soles</v>
      </c>
      <c r="D1737" s="3" t="s">
        <v>1074</v>
      </c>
      <c r="E1737" s="14">
        <v>45797</v>
      </c>
      <c r="F1737" s="5" t="s">
        <v>1996</v>
      </c>
      <c r="G1737" s="5" t="s">
        <v>1079</v>
      </c>
      <c r="H1737" s="6" t="s">
        <v>1011</v>
      </c>
      <c r="I1737" s="6" t="s">
        <v>87</v>
      </c>
      <c r="J1737" s="6">
        <v>1</v>
      </c>
      <c r="K1737" s="6">
        <v>352025</v>
      </c>
      <c r="L1737" s="7" t="s">
        <v>2822</v>
      </c>
      <c r="M1737" s="8">
        <v>1102709</v>
      </c>
      <c r="N1737" s="8" t="str">
        <f t="shared" si="136"/>
        <v>PEN</v>
      </c>
      <c r="O1737" s="13"/>
      <c r="P1737" s="13">
        <v>403</v>
      </c>
      <c r="Q1737" s="3">
        <f t="shared" si="137"/>
        <v>0</v>
      </c>
      <c r="R1737" s="3">
        <f t="shared" si="138"/>
        <v>403</v>
      </c>
      <c r="S1737" s="3">
        <f t="shared" si="139"/>
        <v>10561.879999999992</v>
      </c>
      <c r="T1737" s="24" t="s">
        <v>1081</v>
      </c>
      <c r="U1737" s="24" t="s">
        <v>1081</v>
      </c>
      <c r="V1737" s="67"/>
      <c r="W1737" s="25">
        <f>IFERROR(VLOOKUP(BCP_Soles[[#This Row],[DESTINATARIO]],CHOOSE({1,2},Clientes_Proveedores[Razon Social],Clientes_Proveedores[Ruc / Dni]),2,0),"")</f>
        <v>46930934</v>
      </c>
      <c r="X1737" s="25" t="s">
        <v>1011</v>
      </c>
      <c r="Y1737" s="25" t="s">
        <v>2823</v>
      </c>
      <c r="Z1737" s="25"/>
      <c r="AA1737" s="99"/>
      <c r="AB1737" s="3" t="str">
        <f>IF(BCP_Soles[[#This Row],[FECHA]]&gt;0,TEXT(BCP_Soles[[#This Row],[FECHA]],"mmmm"),0)</f>
        <v>Mayo</v>
      </c>
    </row>
    <row r="1738" spans="2:28" x14ac:dyDescent="0.3">
      <c r="B1738" s="2">
        <f>IF(BCP_Soles[[#This Row],[TIPO DE R.]]="R",COUNTIFS($D$4:$D1737,"R")+1,"")</f>
        <v>1345</v>
      </c>
      <c r="C1738" s="19" t="str">
        <f t="shared" si="135"/>
        <v>B-BCP - Soles</v>
      </c>
      <c r="D1738" s="3" t="s">
        <v>1074</v>
      </c>
      <c r="E1738" s="14">
        <v>45797</v>
      </c>
      <c r="F1738" s="5" t="s">
        <v>1996</v>
      </c>
      <c r="G1738" s="5" t="s">
        <v>1079</v>
      </c>
      <c r="H1738" s="6"/>
      <c r="I1738" s="6" t="s">
        <v>14</v>
      </c>
      <c r="J1738" s="6" t="s">
        <v>1395</v>
      </c>
      <c r="K1738" s="6">
        <v>287519</v>
      </c>
      <c r="L1738" s="7" t="s">
        <v>1396</v>
      </c>
      <c r="M1738" s="8">
        <v>103669</v>
      </c>
      <c r="N1738" s="8" t="str">
        <f t="shared" si="136"/>
        <v>PEN</v>
      </c>
      <c r="O1738" s="13"/>
      <c r="P1738" s="13">
        <v>36.58</v>
      </c>
      <c r="Q1738" s="3">
        <f t="shared" si="137"/>
        <v>0</v>
      </c>
      <c r="R1738" s="3">
        <f t="shared" si="138"/>
        <v>36.58</v>
      </c>
      <c r="S1738" s="3">
        <f t="shared" si="139"/>
        <v>10525.299999999992</v>
      </c>
      <c r="T1738" s="24"/>
      <c r="U1738" s="24" t="s">
        <v>1081</v>
      </c>
      <c r="V1738" s="67"/>
      <c r="W1738" s="25" t="str">
        <f>IFERROR(VLOOKUP(BCP_Soles[[#This Row],[DESTINATARIO]],CHOOSE({1,2},Clientes_Proveedores[Razon Social],Clientes_Proveedores[Ruc / Dni]),2,0),"")</f>
        <v/>
      </c>
      <c r="X1738" s="25" t="s">
        <v>1397</v>
      </c>
      <c r="Y1738" s="25" t="s">
        <v>2824</v>
      </c>
      <c r="Z1738" s="25"/>
      <c r="AA1738" s="99"/>
      <c r="AB1738" s="3" t="str">
        <f>IF(BCP_Soles[[#This Row],[FECHA]]&gt;0,TEXT(BCP_Soles[[#This Row],[FECHA]],"mmmm"),0)</f>
        <v>Mayo</v>
      </c>
    </row>
    <row r="1739" spans="2:28" ht="24" x14ac:dyDescent="0.3">
      <c r="B1739" s="2">
        <f>IF(BCP_Soles[[#This Row],[TIPO DE R.]]="R",COUNTIFS($D$4:$D1738,"R")+1,"")</f>
        <v>1346</v>
      </c>
      <c r="C1739" s="19" t="str">
        <f t="shared" si="135"/>
        <v>B-BCP - Soles</v>
      </c>
      <c r="D1739" s="3" t="s">
        <v>1074</v>
      </c>
      <c r="E1739" s="14">
        <v>45797</v>
      </c>
      <c r="F1739" s="5" t="s">
        <v>1996</v>
      </c>
      <c r="G1739" s="5" t="s">
        <v>1079</v>
      </c>
      <c r="H1739" s="6" t="s">
        <v>192</v>
      </c>
      <c r="I1739" s="6"/>
      <c r="J1739" s="6"/>
      <c r="K1739" s="6"/>
      <c r="L1739" s="7" t="s">
        <v>2825</v>
      </c>
      <c r="M1739" s="8">
        <v>1004391</v>
      </c>
      <c r="N1739" s="8" t="str">
        <f t="shared" si="136"/>
        <v>PEN</v>
      </c>
      <c r="O1739" s="13"/>
      <c r="P1739" s="13">
        <v>1038.4000000000001</v>
      </c>
      <c r="Q1739" s="3">
        <f t="shared" si="137"/>
        <v>0</v>
      </c>
      <c r="R1739" s="3">
        <f t="shared" si="138"/>
        <v>1038.4000000000001</v>
      </c>
      <c r="S1739" s="3">
        <f t="shared" si="139"/>
        <v>9486.8999999999924</v>
      </c>
      <c r="T1739" s="24"/>
      <c r="U1739" s="24"/>
      <c r="V1739" s="67"/>
      <c r="W1739" s="25">
        <f>IFERROR(VLOOKUP(BCP_Soles[[#This Row],[DESTINATARIO]],CHOOSE({1,2},Clientes_Proveedores[Razon Social],Clientes_Proveedores[Ruc / Dni]),2,0),"")</f>
        <v>20302891452</v>
      </c>
      <c r="X1739" s="25" t="s">
        <v>192</v>
      </c>
      <c r="Y1739" s="25"/>
      <c r="Z1739" s="25"/>
      <c r="AA1739" s="99"/>
      <c r="AB1739" s="3" t="str">
        <f>IF(BCP_Soles[[#This Row],[FECHA]]&gt;0,TEXT(BCP_Soles[[#This Row],[FECHA]],"mmmm"),0)</f>
        <v>Mayo</v>
      </c>
    </row>
    <row r="1740" spans="2:28" ht="48" x14ac:dyDescent="0.3">
      <c r="B1740" s="2">
        <f>IF(BCP_Soles[[#This Row],[TIPO DE R.]]="R",COUNTIFS($D$4:$D1739,"R")+1,"")</f>
        <v>1347</v>
      </c>
      <c r="C1740" s="19" t="str">
        <f t="shared" si="135"/>
        <v>B-BCP - Soles</v>
      </c>
      <c r="D1740" s="3" t="s">
        <v>1074</v>
      </c>
      <c r="E1740" s="14">
        <v>45797</v>
      </c>
      <c r="F1740" s="5" t="s">
        <v>1996</v>
      </c>
      <c r="G1740" s="5" t="s">
        <v>1079</v>
      </c>
      <c r="H1740" s="6" t="s">
        <v>444</v>
      </c>
      <c r="I1740" s="6" t="s">
        <v>14</v>
      </c>
      <c r="J1740" s="6" t="s">
        <v>1266</v>
      </c>
      <c r="K1740" s="6">
        <v>10386</v>
      </c>
      <c r="L1740" s="7" t="s">
        <v>2826</v>
      </c>
      <c r="M1740" s="8">
        <v>1007867</v>
      </c>
      <c r="N1740" s="8" t="str">
        <f t="shared" si="136"/>
        <v>PEN</v>
      </c>
      <c r="O1740" s="13"/>
      <c r="P1740" s="13">
        <v>286</v>
      </c>
      <c r="Q1740" s="3">
        <f t="shared" si="137"/>
        <v>0</v>
      </c>
      <c r="R1740" s="3">
        <f t="shared" si="138"/>
        <v>286</v>
      </c>
      <c r="S1740" s="3">
        <f t="shared" si="139"/>
        <v>9200.8999999999924</v>
      </c>
      <c r="T1740" s="24" t="s">
        <v>1081</v>
      </c>
      <c r="U1740" s="24" t="s">
        <v>1081</v>
      </c>
      <c r="V1740" s="67"/>
      <c r="W1740" s="25">
        <f>IFERROR(VLOOKUP(BCP_Soles[[#This Row],[DESTINATARIO]],CHOOSE({1,2},Clientes_Proveedores[Razon Social],Clientes_Proveedores[Ruc / Dni]),2,0),"")</f>
        <v>20602978274</v>
      </c>
      <c r="X1740" s="25" t="s">
        <v>1268</v>
      </c>
      <c r="Y1740" s="25" t="s">
        <v>2827</v>
      </c>
      <c r="Z1740" s="25"/>
      <c r="AA1740" s="99"/>
      <c r="AB1740" s="3" t="str">
        <f>IF(BCP_Soles[[#This Row],[FECHA]]&gt;0,TEXT(BCP_Soles[[#This Row],[FECHA]],"mmmm"),0)</f>
        <v>Mayo</v>
      </c>
    </row>
    <row r="1741" spans="2:28" ht="48" x14ac:dyDescent="0.3">
      <c r="B1741" s="2">
        <f>IF(BCP_Soles[[#This Row],[TIPO DE R.]]="R",COUNTIFS($D$4:$D1740,"R")+1,"")</f>
        <v>1348</v>
      </c>
      <c r="C1741" s="19" t="str">
        <f t="shared" si="135"/>
        <v>B-BCP - Soles</v>
      </c>
      <c r="D1741" s="3" t="s">
        <v>1074</v>
      </c>
      <c r="E1741" s="14">
        <v>45797</v>
      </c>
      <c r="F1741" s="5" t="s">
        <v>1996</v>
      </c>
      <c r="G1741" s="5" t="s">
        <v>1079</v>
      </c>
      <c r="H1741" s="6" t="s">
        <v>444</v>
      </c>
      <c r="I1741" s="6" t="s">
        <v>14</v>
      </c>
      <c r="J1741" s="6" t="s">
        <v>1390</v>
      </c>
      <c r="K1741" s="6">
        <v>7754</v>
      </c>
      <c r="L1741" s="7" t="s">
        <v>2828</v>
      </c>
      <c r="M1741" s="8">
        <v>1004392</v>
      </c>
      <c r="N1741" s="8" t="str">
        <f t="shared" si="136"/>
        <v>PEN</v>
      </c>
      <c r="O1741" s="13"/>
      <c r="P1741" s="13">
        <v>196.86</v>
      </c>
      <c r="Q1741" s="3">
        <f t="shared" si="137"/>
        <v>0</v>
      </c>
      <c r="R1741" s="3">
        <f t="shared" si="138"/>
        <v>196.86</v>
      </c>
      <c r="S1741" s="3">
        <f t="shared" si="139"/>
        <v>9004.0399999999918</v>
      </c>
      <c r="T1741" s="24" t="s">
        <v>1081</v>
      </c>
      <c r="U1741" s="24" t="s">
        <v>1081</v>
      </c>
      <c r="V1741" s="67"/>
      <c r="W1741" s="25">
        <f>IFERROR(VLOOKUP(BCP_Soles[[#This Row],[DESTINATARIO]],CHOOSE({1,2},Clientes_Proveedores[Razon Social],Clientes_Proveedores[Ruc / Dni]),2,0),"")</f>
        <v>20602978274</v>
      </c>
      <c r="X1741" s="25" t="s">
        <v>1268</v>
      </c>
      <c r="Y1741" s="25" t="s">
        <v>2829</v>
      </c>
      <c r="Z1741" s="25"/>
      <c r="AA1741" s="99"/>
      <c r="AB1741" s="3" t="str">
        <f>IF(BCP_Soles[[#This Row],[FECHA]]&gt;0,TEXT(BCP_Soles[[#This Row],[FECHA]],"mmmm"),0)</f>
        <v>Mayo</v>
      </c>
    </row>
    <row r="1742" spans="2:28" ht="24" x14ac:dyDescent="0.3">
      <c r="B1742" s="2">
        <f>IF(BCP_Soles[[#This Row],[TIPO DE R.]]="R",COUNTIFS($D$4:$D1741,"R")+1,"")</f>
        <v>1349</v>
      </c>
      <c r="C1742" s="19" t="str">
        <f t="shared" si="135"/>
        <v>B-BCP - Soles</v>
      </c>
      <c r="D1742" s="3" t="s">
        <v>1074</v>
      </c>
      <c r="E1742" s="14">
        <v>45797</v>
      </c>
      <c r="F1742" s="5" t="s">
        <v>1996</v>
      </c>
      <c r="G1742" s="5" t="s">
        <v>1079</v>
      </c>
      <c r="H1742" s="6"/>
      <c r="I1742" s="6"/>
      <c r="J1742" s="6"/>
      <c r="K1742" s="6"/>
      <c r="L1742" s="7" t="s">
        <v>2830</v>
      </c>
      <c r="M1742" s="8">
        <v>227198</v>
      </c>
      <c r="N1742" s="8" t="str">
        <f t="shared" si="136"/>
        <v>PEN</v>
      </c>
      <c r="O1742" s="13"/>
      <c r="P1742" s="13">
        <v>4306.26</v>
      </c>
      <c r="Q1742" s="3">
        <f t="shared" si="137"/>
        <v>0</v>
      </c>
      <c r="R1742" s="3">
        <f t="shared" si="138"/>
        <v>4306.26</v>
      </c>
      <c r="S1742" s="3">
        <f t="shared" si="139"/>
        <v>4697.7799999999916</v>
      </c>
      <c r="T1742" s="24"/>
      <c r="U1742" s="24"/>
      <c r="V1742" s="67"/>
      <c r="W1742" s="25" t="str">
        <f>IFERROR(VLOOKUP(BCP_Soles[[#This Row],[DESTINATARIO]],CHOOSE({1,2},Clientes_Proveedores[Razon Social],Clientes_Proveedores[Ruc / Dni]),2,0),"")</f>
        <v/>
      </c>
      <c r="X1742" s="25" t="s">
        <v>825</v>
      </c>
      <c r="Y1742" s="25"/>
      <c r="Z1742" s="25"/>
      <c r="AA1742" s="99"/>
      <c r="AB1742" s="3" t="str">
        <f>IF(BCP_Soles[[#This Row],[FECHA]]&gt;0,TEXT(BCP_Soles[[#This Row],[FECHA]],"mmmm"),0)</f>
        <v>Mayo</v>
      </c>
    </row>
    <row r="1743" spans="2:28" x14ac:dyDescent="0.3">
      <c r="B1743" s="2">
        <f>IF(BCP_Soles[[#This Row],[TIPO DE R.]]="R",COUNTIFS($D$4:$D1742,"R")+1,"")</f>
        <v>1350</v>
      </c>
      <c r="C1743" s="19" t="str">
        <f t="shared" si="135"/>
        <v>B-BCP - Soles</v>
      </c>
      <c r="D1743" s="3" t="s">
        <v>1074</v>
      </c>
      <c r="E1743" s="14">
        <v>45797</v>
      </c>
      <c r="F1743" s="5" t="s">
        <v>1078</v>
      </c>
      <c r="G1743" s="5" t="s">
        <v>1079</v>
      </c>
      <c r="H1743" s="6"/>
      <c r="I1743" s="6"/>
      <c r="J1743" s="6"/>
      <c r="K1743" s="6"/>
      <c r="L1743" s="7" t="s">
        <v>1080</v>
      </c>
      <c r="M1743" s="8"/>
      <c r="N1743" s="8" t="str">
        <f t="shared" si="136"/>
        <v>PEN</v>
      </c>
      <c r="O1743" s="13"/>
      <c r="P1743" s="13">
        <v>0.25</v>
      </c>
      <c r="Q1743" s="3">
        <f t="shared" si="137"/>
        <v>0</v>
      </c>
      <c r="R1743" s="3">
        <f t="shared" si="138"/>
        <v>0.25</v>
      </c>
      <c r="S1743" s="3">
        <f t="shared" si="139"/>
        <v>4697.5299999999916</v>
      </c>
      <c r="T1743" s="24"/>
      <c r="U1743" s="24" t="s">
        <v>1081</v>
      </c>
      <c r="V1743" s="67"/>
      <c r="W1743" s="25" t="str">
        <f>IFERROR(VLOOKUP(BCP_Soles[[#This Row],[DESTINATARIO]],CHOOSE({1,2},Clientes_Proveedores[Razon Social],Clientes_Proveedores[Ruc / Dni]),2,0),"")</f>
        <v/>
      </c>
      <c r="X1743" s="25"/>
      <c r="Y1743" s="25"/>
      <c r="Z1743" s="25"/>
      <c r="AA1743" s="99"/>
      <c r="AB1743" s="3" t="str">
        <f>IF(BCP_Soles[[#This Row],[FECHA]]&gt;0,TEXT(BCP_Soles[[#This Row],[FECHA]],"mmmm"),0)</f>
        <v>Mayo</v>
      </c>
    </row>
    <row r="1744" spans="2:28" ht="48" x14ac:dyDescent="0.3">
      <c r="B1744" s="2">
        <f>IF(BCP_Soles[[#This Row],[TIPO DE R.]]="R",COUNTIFS($D$4:$D1743,"R")+1,"")</f>
        <v>1351</v>
      </c>
      <c r="C1744" s="19" t="str">
        <f t="shared" si="135"/>
        <v>B-BCP - Soles</v>
      </c>
      <c r="D1744" s="3" t="s">
        <v>1074</v>
      </c>
      <c r="E1744" s="14">
        <v>45798</v>
      </c>
      <c r="F1744" s="5" t="s">
        <v>166</v>
      </c>
      <c r="G1744" s="5" t="s">
        <v>1087</v>
      </c>
      <c r="H1744" s="6"/>
      <c r="I1744" s="6"/>
      <c r="J1744" s="6"/>
      <c r="K1744" s="6"/>
      <c r="L1744" s="7" t="s">
        <v>2396</v>
      </c>
      <c r="M1744" s="8">
        <v>2045984</v>
      </c>
      <c r="N1744" s="8" t="str">
        <f t="shared" si="136"/>
        <v>PEN</v>
      </c>
      <c r="O1744" s="13"/>
      <c r="P1744" s="13">
        <v>2941.11</v>
      </c>
      <c r="Q1744" s="3">
        <f t="shared" si="137"/>
        <v>2941.11</v>
      </c>
      <c r="R1744" s="3">
        <f t="shared" si="138"/>
        <v>0</v>
      </c>
      <c r="S1744" s="3">
        <f t="shared" si="139"/>
        <v>7638.6399999999921</v>
      </c>
      <c r="T1744" s="24" t="s">
        <v>1081</v>
      </c>
      <c r="U1744" s="24" t="s">
        <v>1081</v>
      </c>
      <c r="V1744" s="67"/>
      <c r="W1744" s="25" t="str">
        <f>IFERROR(VLOOKUP(BCP_Soles[[#This Row],[DESTINATARIO]],CHOOSE({1,2},Clientes_Proveedores[Razon Social],Clientes_Proveedores[Ruc / Dni]),2,0),"")</f>
        <v/>
      </c>
      <c r="X1744" s="25" t="s">
        <v>1090</v>
      </c>
      <c r="Y1744" s="25" t="s">
        <v>2831</v>
      </c>
      <c r="Z1744" s="25"/>
      <c r="AA1744" s="99"/>
      <c r="AB1744" s="3" t="str">
        <f>IF(BCP_Soles[[#This Row],[FECHA]]&gt;0,TEXT(BCP_Soles[[#This Row],[FECHA]],"mmmm"),0)</f>
        <v>Mayo</v>
      </c>
    </row>
    <row r="1745" spans="2:28" ht="36" x14ac:dyDescent="0.3">
      <c r="B1745" s="2">
        <f>IF(BCP_Soles[[#This Row],[TIPO DE R.]]="R",COUNTIFS($D$4:$D1744,"R")+1,"")</f>
        <v>1352</v>
      </c>
      <c r="C1745" s="19" t="str">
        <f t="shared" si="135"/>
        <v>B-BCP - Soles</v>
      </c>
      <c r="D1745" s="3" t="s">
        <v>1074</v>
      </c>
      <c r="E1745" s="14">
        <v>45798</v>
      </c>
      <c r="F1745" s="5" t="s">
        <v>497</v>
      </c>
      <c r="G1745" s="5" t="s">
        <v>1087</v>
      </c>
      <c r="H1745" s="6"/>
      <c r="I1745" s="6"/>
      <c r="J1745" s="6"/>
      <c r="K1745" s="6"/>
      <c r="L1745" s="7" t="s">
        <v>1093</v>
      </c>
      <c r="M1745" s="8">
        <v>2077070</v>
      </c>
      <c r="N1745" s="8" t="str">
        <f t="shared" si="136"/>
        <v>PEN</v>
      </c>
      <c r="O1745" s="13"/>
      <c r="P1745" s="13">
        <v>1059.08</v>
      </c>
      <c r="Q1745" s="3">
        <f t="shared" si="137"/>
        <v>1059.08</v>
      </c>
      <c r="R1745" s="3">
        <f t="shared" si="138"/>
        <v>0</v>
      </c>
      <c r="S1745" s="3">
        <f t="shared" si="139"/>
        <v>8697.7199999999921</v>
      </c>
      <c r="T1745" s="24" t="s">
        <v>1081</v>
      </c>
      <c r="U1745" s="24" t="s">
        <v>1081</v>
      </c>
      <c r="V1745" s="67"/>
      <c r="W1745" s="25" t="str">
        <f>IFERROR(VLOOKUP(BCP_Soles[[#This Row],[DESTINATARIO]],CHOOSE({1,2},Clientes_Proveedores[Razon Social],Clientes_Proveedores[Ruc / Dni]),2,0),"")</f>
        <v/>
      </c>
      <c r="X1745" s="25" t="s">
        <v>1090</v>
      </c>
      <c r="Y1745" s="25" t="s">
        <v>2832</v>
      </c>
      <c r="Z1745" s="25"/>
      <c r="AA1745" s="99"/>
      <c r="AB1745" s="3" t="str">
        <f>IF(BCP_Soles[[#This Row],[FECHA]]&gt;0,TEXT(BCP_Soles[[#This Row],[FECHA]],"mmmm"),0)</f>
        <v>Mayo</v>
      </c>
    </row>
    <row r="1746" spans="2:28" ht="36" x14ac:dyDescent="0.3">
      <c r="B1746" s="2">
        <f>IF(BCP_Soles[[#This Row],[TIPO DE R.]]="R",COUNTIFS($D$4:$D1745,"R")+1,"")</f>
        <v>1353</v>
      </c>
      <c r="C1746" s="19" t="str">
        <f t="shared" si="135"/>
        <v>B-BCP - Soles</v>
      </c>
      <c r="D1746" s="3" t="s">
        <v>1074</v>
      </c>
      <c r="E1746" s="14">
        <v>45798</v>
      </c>
      <c r="F1746" s="5" t="s">
        <v>497</v>
      </c>
      <c r="G1746" s="5" t="s">
        <v>1087</v>
      </c>
      <c r="H1746" s="6"/>
      <c r="I1746" s="6"/>
      <c r="J1746" s="6"/>
      <c r="K1746" s="6"/>
      <c r="L1746" s="7" t="s">
        <v>1093</v>
      </c>
      <c r="M1746" s="8">
        <v>2081202</v>
      </c>
      <c r="N1746" s="8" t="str">
        <f t="shared" si="136"/>
        <v>PEN</v>
      </c>
      <c r="O1746" s="13"/>
      <c r="P1746" s="13">
        <v>954.36</v>
      </c>
      <c r="Q1746" s="3">
        <f t="shared" si="137"/>
        <v>954.36</v>
      </c>
      <c r="R1746" s="3">
        <f t="shared" si="138"/>
        <v>0</v>
      </c>
      <c r="S1746" s="3">
        <f t="shared" si="139"/>
        <v>9652.0799999999927</v>
      </c>
      <c r="T1746" s="24" t="s">
        <v>1081</v>
      </c>
      <c r="U1746" s="24" t="s">
        <v>1081</v>
      </c>
      <c r="V1746" s="67"/>
      <c r="W1746" s="25" t="str">
        <f>IFERROR(VLOOKUP(BCP_Soles[[#This Row],[DESTINATARIO]],CHOOSE({1,2},Clientes_Proveedores[Razon Social],Clientes_Proveedores[Ruc / Dni]),2,0),"")</f>
        <v/>
      </c>
      <c r="X1746" s="25" t="s">
        <v>1090</v>
      </c>
      <c r="Y1746" s="25" t="s">
        <v>2833</v>
      </c>
      <c r="Z1746" s="25"/>
      <c r="AA1746" s="99"/>
      <c r="AB1746" s="3" t="str">
        <f>IF(BCP_Soles[[#This Row],[FECHA]]&gt;0,TEXT(BCP_Soles[[#This Row],[FECHA]],"mmmm"),0)</f>
        <v>Mayo</v>
      </c>
    </row>
    <row r="1747" spans="2:28" ht="36" x14ac:dyDescent="0.3">
      <c r="B1747" s="2">
        <f>IF(BCP_Soles[[#This Row],[TIPO DE R.]]="R",COUNTIFS($D$4:$D1746,"R")+1,"")</f>
        <v>1354</v>
      </c>
      <c r="C1747" s="19" t="str">
        <f t="shared" si="135"/>
        <v>B-BCP - Soles</v>
      </c>
      <c r="D1747" s="3" t="s">
        <v>1074</v>
      </c>
      <c r="E1747" s="14">
        <v>45798</v>
      </c>
      <c r="F1747" s="5" t="s">
        <v>497</v>
      </c>
      <c r="G1747" s="5" t="s">
        <v>1087</v>
      </c>
      <c r="H1747" s="6"/>
      <c r="I1747" s="6"/>
      <c r="J1747" s="6"/>
      <c r="K1747" s="6"/>
      <c r="L1747" s="7" t="s">
        <v>1093</v>
      </c>
      <c r="M1747" s="8">
        <v>2077890</v>
      </c>
      <c r="N1747" s="8" t="str">
        <f t="shared" si="136"/>
        <v>PEN</v>
      </c>
      <c r="O1747" s="13"/>
      <c r="P1747" s="13">
        <v>850.64</v>
      </c>
      <c r="Q1747" s="3">
        <f t="shared" si="137"/>
        <v>850.64</v>
      </c>
      <c r="R1747" s="3">
        <f t="shared" si="138"/>
        <v>0</v>
      </c>
      <c r="S1747" s="3">
        <f t="shared" si="139"/>
        <v>10502.719999999992</v>
      </c>
      <c r="T1747" s="24" t="s">
        <v>1081</v>
      </c>
      <c r="U1747" s="24" t="s">
        <v>1081</v>
      </c>
      <c r="V1747" s="67"/>
      <c r="W1747" s="25" t="str">
        <f>IFERROR(VLOOKUP(BCP_Soles[[#This Row],[DESTINATARIO]],CHOOSE({1,2},Clientes_Proveedores[Razon Social],Clientes_Proveedores[Ruc / Dni]),2,0),"")</f>
        <v/>
      </c>
      <c r="X1747" s="25" t="s">
        <v>1090</v>
      </c>
      <c r="Y1747" s="25" t="s">
        <v>2834</v>
      </c>
      <c r="Z1747" s="25"/>
      <c r="AA1747" s="99"/>
      <c r="AB1747" s="3" t="str">
        <f>IF(BCP_Soles[[#This Row],[FECHA]]&gt;0,TEXT(BCP_Soles[[#This Row],[FECHA]],"mmmm"),0)</f>
        <v>Mayo</v>
      </c>
    </row>
    <row r="1748" spans="2:28" ht="36" x14ac:dyDescent="0.3">
      <c r="B1748" s="2">
        <f>IF(BCP_Soles[[#This Row],[TIPO DE R.]]="R",COUNTIFS($D$4:$D1747,"R")+1,"")</f>
        <v>1355</v>
      </c>
      <c r="C1748" s="19" t="str">
        <f t="shared" si="135"/>
        <v>B-BCP - Soles</v>
      </c>
      <c r="D1748" s="3" t="s">
        <v>1074</v>
      </c>
      <c r="E1748" s="14">
        <v>45798</v>
      </c>
      <c r="F1748" s="5" t="s">
        <v>497</v>
      </c>
      <c r="G1748" s="5" t="s">
        <v>1087</v>
      </c>
      <c r="H1748" s="6"/>
      <c r="I1748" s="6"/>
      <c r="J1748" s="6"/>
      <c r="K1748" s="6"/>
      <c r="L1748" s="7" t="s">
        <v>1093</v>
      </c>
      <c r="M1748" s="8">
        <v>2078174</v>
      </c>
      <c r="N1748" s="8" t="str">
        <f t="shared" si="136"/>
        <v>PEN</v>
      </c>
      <c r="O1748" s="13"/>
      <c r="P1748" s="13">
        <v>810.44</v>
      </c>
      <c r="Q1748" s="3">
        <f t="shared" si="137"/>
        <v>810.44</v>
      </c>
      <c r="R1748" s="3">
        <f t="shared" si="138"/>
        <v>0</v>
      </c>
      <c r="S1748" s="3">
        <f t="shared" si="139"/>
        <v>11313.159999999993</v>
      </c>
      <c r="T1748" s="24" t="s">
        <v>1081</v>
      </c>
      <c r="U1748" s="24" t="s">
        <v>1081</v>
      </c>
      <c r="V1748" s="67"/>
      <c r="W1748" s="25" t="str">
        <f>IFERROR(VLOOKUP(BCP_Soles[[#This Row],[DESTINATARIO]],CHOOSE({1,2},Clientes_Proveedores[Razon Social],Clientes_Proveedores[Ruc / Dni]),2,0),"")</f>
        <v/>
      </c>
      <c r="X1748" s="25" t="s">
        <v>1090</v>
      </c>
      <c r="Y1748" s="25" t="s">
        <v>2835</v>
      </c>
      <c r="Z1748" s="25"/>
      <c r="AA1748" s="99"/>
      <c r="AB1748" s="3" t="str">
        <f>IF(BCP_Soles[[#This Row],[FECHA]]&gt;0,TEXT(BCP_Soles[[#This Row],[FECHA]],"mmmm"),0)</f>
        <v>Mayo</v>
      </c>
    </row>
    <row r="1749" spans="2:28" ht="24" x14ac:dyDescent="0.3">
      <c r="B1749" s="2">
        <f>IF(BCP_Soles[[#This Row],[TIPO DE R.]]="R",COUNTIFS($D$4:$D1748,"R")+1,"")</f>
        <v>1356</v>
      </c>
      <c r="C1749" s="19" t="str">
        <f t="shared" si="135"/>
        <v>B-BCP - Soles</v>
      </c>
      <c r="D1749" s="3" t="s">
        <v>1074</v>
      </c>
      <c r="E1749" s="14">
        <v>45798</v>
      </c>
      <c r="F1749" s="5" t="s">
        <v>405</v>
      </c>
      <c r="G1749" s="5" t="s">
        <v>1087</v>
      </c>
      <c r="H1749" s="6"/>
      <c r="I1749" s="6"/>
      <c r="J1749" s="6"/>
      <c r="K1749" s="6"/>
      <c r="L1749" s="7" t="s">
        <v>1100</v>
      </c>
      <c r="M1749" s="8">
        <v>3027560</v>
      </c>
      <c r="N1749" s="8" t="str">
        <f t="shared" si="136"/>
        <v>PEN</v>
      </c>
      <c r="O1749" s="13"/>
      <c r="P1749" s="13">
        <v>578</v>
      </c>
      <c r="Q1749" s="3">
        <f t="shared" si="137"/>
        <v>578</v>
      </c>
      <c r="R1749" s="3">
        <f t="shared" si="138"/>
        <v>0</v>
      </c>
      <c r="S1749" s="3">
        <f t="shared" si="139"/>
        <v>11891.159999999993</v>
      </c>
      <c r="T1749" s="24" t="s">
        <v>1081</v>
      </c>
      <c r="U1749" s="24" t="s">
        <v>1081</v>
      </c>
      <c r="V1749" s="67"/>
      <c r="W1749" s="25" t="str">
        <f>IFERROR(VLOOKUP(BCP_Soles[[#This Row],[DESTINATARIO]],CHOOSE({1,2},Clientes_Proveedores[Razon Social],Clientes_Proveedores[Ruc / Dni]),2,0),"")</f>
        <v/>
      </c>
      <c r="X1749" s="25" t="s">
        <v>1090</v>
      </c>
      <c r="Y1749" s="25" t="s">
        <v>2836</v>
      </c>
      <c r="Z1749" s="25"/>
      <c r="AA1749" s="99"/>
      <c r="AB1749" s="3" t="str">
        <f>IF(BCP_Soles[[#This Row],[FECHA]]&gt;0,TEXT(BCP_Soles[[#This Row],[FECHA]],"mmmm"),0)</f>
        <v>Mayo</v>
      </c>
    </row>
    <row r="1750" spans="2:28" ht="24" x14ac:dyDescent="0.3">
      <c r="B1750" s="2">
        <f>IF(BCP_Soles[[#This Row],[TIPO DE R.]]="R",COUNTIFS($D$4:$D1749,"R")+1,"")</f>
        <v>1357</v>
      </c>
      <c r="C1750" s="19" t="str">
        <f t="shared" si="135"/>
        <v>B-BCP - Soles</v>
      </c>
      <c r="D1750" s="3" t="s">
        <v>1074</v>
      </c>
      <c r="E1750" s="14">
        <v>45798</v>
      </c>
      <c r="F1750" s="5" t="s">
        <v>1996</v>
      </c>
      <c r="G1750" s="5" t="s">
        <v>1079</v>
      </c>
      <c r="H1750" s="6" t="s">
        <v>425</v>
      </c>
      <c r="I1750" s="6" t="s">
        <v>14</v>
      </c>
      <c r="J1750" s="6" t="s">
        <v>1119</v>
      </c>
      <c r="K1750" s="6">
        <v>479</v>
      </c>
      <c r="L1750" s="7" t="s">
        <v>2837</v>
      </c>
      <c r="M1750" s="8">
        <v>1105929</v>
      </c>
      <c r="N1750" s="8" t="str">
        <f t="shared" si="136"/>
        <v>PEN</v>
      </c>
      <c r="O1750" s="13"/>
      <c r="P1750" s="13">
        <v>129.80000000000001</v>
      </c>
      <c r="Q1750" s="3">
        <f t="shared" si="137"/>
        <v>0</v>
      </c>
      <c r="R1750" s="3">
        <f t="shared" si="138"/>
        <v>129.80000000000001</v>
      </c>
      <c r="S1750" s="3">
        <f t="shared" si="139"/>
        <v>11761.359999999993</v>
      </c>
      <c r="T1750" s="24" t="s">
        <v>1081</v>
      </c>
      <c r="U1750" s="24" t="s">
        <v>1081</v>
      </c>
      <c r="V1750" s="67"/>
      <c r="W1750" s="25">
        <f>IFERROR(VLOOKUP(BCP_Soles[[#This Row],[DESTINATARIO]],CHOOSE({1,2},Clientes_Proveedores[Razon Social],Clientes_Proveedores[Ruc / Dni]),2,0),"")</f>
        <v>20602441165</v>
      </c>
      <c r="X1750" s="25" t="s">
        <v>425</v>
      </c>
      <c r="Y1750" s="25" t="s">
        <v>2838</v>
      </c>
      <c r="Z1750" s="25"/>
      <c r="AA1750" s="99"/>
      <c r="AB1750" s="3" t="str">
        <f>IF(BCP_Soles[[#This Row],[FECHA]]&gt;0,TEXT(BCP_Soles[[#This Row],[FECHA]],"mmmm"),0)</f>
        <v>Mayo</v>
      </c>
    </row>
    <row r="1751" spans="2:28" x14ac:dyDescent="0.3">
      <c r="B1751" s="2">
        <f>IF(BCP_Soles[[#This Row],[TIPO DE R.]]="R",COUNTIFS($D$4:$D1750,"R")+1,"")</f>
        <v>1358</v>
      </c>
      <c r="C1751" s="19" t="str">
        <f t="shared" si="135"/>
        <v>B-BCP - Soles</v>
      </c>
      <c r="D1751" s="3" t="s">
        <v>1074</v>
      </c>
      <c r="E1751" s="14">
        <v>45798</v>
      </c>
      <c r="F1751" s="5" t="s">
        <v>1996</v>
      </c>
      <c r="G1751" s="5" t="s">
        <v>1079</v>
      </c>
      <c r="H1751" s="6"/>
      <c r="I1751" s="6"/>
      <c r="J1751" s="6"/>
      <c r="K1751" s="6"/>
      <c r="L1751" s="7" t="s">
        <v>1396</v>
      </c>
      <c r="M1751" s="8">
        <v>106439</v>
      </c>
      <c r="N1751" s="8" t="str">
        <f t="shared" si="136"/>
        <v>PEN</v>
      </c>
      <c r="O1751" s="13"/>
      <c r="P1751" s="13">
        <v>512.12</v>
      </c>
      <c r="Q1751" s="3">
        <f t="shared" si="137"/>
        <v>0</v>
      </c>
      <c r="R1751" s="3">
        <f t="shared" si="138"/>
        <v>512.12</v>
      </c>
      <c r="S1751" s="3">
        <f t="shared" si="139"/>
        <v>11249.239999999993</v>
      </c>
      <c r="T1751" s="24"/>
      <c r="U1751" s="24" t="s">
        <v>1081</v>
      </c>
      <c r="V1751" s="67"/>
      <c r="W1751" s="25" t="str">
        <f>IFERROR(VLOOKUP(BCP_Soles[[#This Row],[DESTINATARIO]],CHOOSE({1,2},Clientes_Proveedores[Razon Social],Clientes_Proveedores[Ruc / Dni]),2,0),"")</f>
        <v/>
      </c>
      <c r="X1751" s="25" t="s">
        <v>1397</v>
      </c>
      <c r="Y1751" s="25" t="s">
        <v>2839</v>
      </c>
      <c r="Z1751" s="25"/>
      <c r="AA1751" s="99"/>
      <c r="AB1751" s="3" t="str">
        <f>IF(BCP_Soles[[#This Row],[FECHA]]&gt;0,TEXT(BCP_Soles[[#This Row],[FECHA]],"mmmm"),0)</f>
        <v>Mayo</v>
      </c>
    </row>
    <row r="1752" spans="2:28" x14ac:dyDescent="0.3">
      <c r="B1752" s="2">
        <f>IF(BCP_Soles[[#This Row],[TIPO DE R.]]="R",COUNTIFS($D$4:$D1751,"R")+1,"")</f>
        <v>1359</v>
      </c>
      <c r="C1752" s="19" t="str">
        <f t="shared" si="135"/>
        <v>B-BCP - Soles</v>
      </c>
      <c r="D1752" s="3" t="s">
        <v>1074</v>
      </c>
      <c r="E1752" s="14">
        <v>45798</v>
      </c>
      <c r="F1752" s="5" t="s">
        <v>1078</v>
      </c>
      <c r="G1752" s="5" t="s">
        <v>1079</v>
      </c>
      <c r="H1752" s="6"/>
      <c r="I1752" s="6"/>
      <c r="J1752" s="6"/>
      <c r="K1752" s="6"/>
      <c r="L1752" s="7" t="s">
        <v>1080</v>
      </c>
      <c r="M1752" s="8"/>
      <c r="N1752" s="8" t="str">
        <f t="shared" si="136"/>
        <v>PEN</v>
      </c>
      <c r="O1752" s="13"/>
      <c r="P1752" s="13">
        <v>0.15</v>
      </c>
      <c r="Q1752" s="3">
        <f t="shared" si="137"/>
        <v>0</v>
      </c>
      <c r="R1752" s="3">
        <f t="shared" si="138"/>
        <v>0.15</v>
      </c>
      <c r="S1752" s="3">
        <f t="shared" si="139"/>
        <v>11249.089999999993</v>
      </c>
      <c r="T1752" s="24"/>
      <c r="U1752" s="24" t="s">
        <v>1081</v>
      </c>
      <c r="V1752" s="67"/>
      <c r="W1752" s="25" t="str">
        <f>IFERROR(VLOOKUP(BCP_Soles[[#This Row],[DESTINATARIO]],CHOOSE({1,2},Clientes_Proveedores[Razon Social],Clientes_Proveedores[Ruc / Dni]),2,0),"")</f>
        <v/>
      </c>
      <c r="X1752" s="25"/>
      <c r="Y1752" s="25"/>
      <c r="Z1752" s="25"/>
      <c r="AA1752" s="99"/>
      <c r="AB1752" s="3" t="str">
        <f>IF(BCP_Soles[[#This Row],[FECHA]]&gt;0,TEXT(BCP_Soles[[#This Row],[FECHA]],"mmmm"),0)</f>
        <v>Mayo</v>
      </c>
    </row>
    <row r="1753" spans="2:28" x14ac:dyDescent="0.3">
      <c r="B1753" s="2">
        <f>IF(BCP_Soles[[#This Row],[TIPO DE R.]]="R",COUNTIFS($D$4:$D1752,"R")+1,"")</f>
        <v>1360</v>
      </c>
      <c r="C1753" s="19" t="str">
        <f t="shared" si="135"/>
        <v>B-BCP - Soles</v>
      </c>
      <c r="D1753" s="3" t="s">
        <v>1074</v>
      </c>
      <c r="E1753" s="14">
        <v>45799</v>
      </c>
      <c r="F1753" s="5" t="s">
        <v>1090</v>
      </c>
      <c r="G1753" s="5" t="s">
        <v>1087</v>
      </c>
      <c r="H1753" s="6"/>
      <c r="I1753" s="6"/>
      <c r="J1753" s="6"/>
      <c r="K1753" s="6"/>
      <c r="L1753" s="7" t="s">
        <v>1374</v>
      </c>
      <c r="M1753" s="8">
        <v>2852981</v>
      </c>
      <c r="N1753" s="8" t="str">
        <f t="shared" si="136"/>
        <v>PEN</v>
      </c>
      <c r="O1753" s="13"/>
      <c r="P1753" s="13">
        <v>20000</v>
      </c>
      <c r="Q1753" s="3">
        <f t="shared" si="137"/>
        <v>20000</v>
      </c>
      <c r="R1753" s="3">
        <f t="shared" si="138"/>
        <v>0</v>
      </c>
      <c r="S1753" s="3">
        <f t="shared" si="139"/>
        <v>31249.089999999993</v>
      </c>
      <c r="T1753" s="24"/>
      <c r="U1753" s="24"/>
      <c r="V1753" s="67"/>
      <c r="W1753" s="25" t="str">
        <f>IFERROR(VLOOKUP(BCP_Soles[[#This Row],[DESTINATARIO]],CHOOSE({1,2},Clientes_Proveedores[Razon Social],Clientes_Proveedores[Ruc / Dni]),2,0),"")</f>
        <v/>
      </c>
      <c r="X1753" s="25" t="s">
        <v>1090</v>
      </c>
      <c r="Y1753" s="25"/>
      <c r="Z1753" s="25"/>
      <c r="AA1753" s="99"/>
      <c r="AB1753" s="3" t="str">
        <f>IF(BCP_Soles[[#This Row],[FECHA]]&gt;0,TEXT(BCP_Soles[[#This Row],[FECHA]],"mmmm"),0)</f>
        <v>Mayo</v>
      </c>
    </row>
    <row r="1754" spans="2:28" ht="36" x14ac:dyDescent="0.3">
      <c r="B1754" s="2">
        <f>IF(BCP_Soles[[#This Row],[TIPO DE R.]]="R",COUNTIFS($D$4:$D1753,"R")+1,"")</f>
        <v>1361</v>
      </c>
      <c r="C1754" s="19" t="str">
        <f t="shared" si="135"/>
        <v>B-BCP - Soles</v>
      </c>
      <c r="D1754" s="3" t="s">
        <v>1074</v>
      </c>
      <c r="E1754" s="14">
        <v>45799</v>
      </c>
      <c r="F1754" s="5" t="s">
        <v>175</v>
      </c>
      <c r="G1754" s="5" t="s">
        <v>1087</v>
      </c>
      <c r="H1754" s="6"/>
      <c r="I1754" s="6"/>
      <c r="J1754" s="6"/>
      <c r="K1754" s="6"/>
      <c r="L1754" s="7" t="s">
        <v>1944</v>
      </c>
      <c r="M1754" s="8">
        <v>2119805</v>
      </c>
      <c r="N1754" s="8" t="str">
        <f t="shared" si="136"/>
        <v>PEN</v>
      </c>
      <c r="O1754" s="13"/>
      <c r="P1754" s="13">
        <v>1196.7</v>
      </c>
      <c r="Q1754" s="3">
        <f t="shared" si="137"/>
        <v>1196.7</v>
      </c>
      <c r="R1754" s="3">
        <f t="shared" si="138"/>
        <v>0</v>
      </c>
      <c r="S1754" s="3">
        <f t="shared" si="139"/>
        <v>32445.789999999994</v>
      </c>
      <c r="T1754" s="24" t="s">
        <v>1081</v>
      </c>
      <c r="U1754" s="24" t="s">
        <v>1081</v>
      </c>
      <c r="V1754" s="67"/>
      <c r="W1754" s="25" t="str">
        <f>IFERROR(VLOOKUP(BCP_Soles[[#This Row],[DESTINATARIO]],CHOOSE({1,2},Clientes_Proveedores[Razon Social],Clientes_Proveedores[Ruc / Dni]),2,0),"")</f>
        <v/>
      </c>
      <c r="X1754" s="25" t="s">
        <v>1090</v>
      </c>
      <c r="Y1754" s="25" t="s">
        <v>2775</v>
      </c>
      <c r="Z1754" s="25"/>
      <c r="AA1754" s="99"/>
      <c r="AB1754" s="3" t="str">
        <f>IF(BCP_Soles[[#This Row],[FECHA]]&gt;0,TEXT(BCP_Soles[[#This Row],[FECHA]],"mmmm"),0)</f>
        <v>Mayo</v>
      </c>
    </row>
    <row r="1755" spans="2:28" x14ac:dyDescent="0.3">
      <c r="B1755" s="2">
        <f>IF(BCP_Soles[[#This Row],[TIPO DE R.]]="R",COUNTIFS($D$4:$D1754,"R")+1,"")</f>
        <v>1362</v>
      </c>
      <c r="C1755" s="19" t="str">
        <f t="shared" si="135"/>
        <v>B-BCP - Soles</v>
      </c>
      <c r="D1755" s="3" t="s">
        <v>1074</v>
      </c>
      <c r="E1755" s="14">
        <v>45799</v>
      </c>
      <c r="F1755" s="5" t="s">
        <v>1082</v>
      </c>
      <c r="G1755" s="5" t="s">
        <v>1079</v>
      </c>
      <c r="H1755" s="6" t="s">
        <v>139</v>
      </c>
      <c r="I1755" s="6" t="s">
        <v>14</v>
      </c>
      <c r="J1755" s="6" t="s">
        <v>1953</v>
      </c>
      <c r="K1755" s="6">
        <v>6372</v>
      </c>
      <c r="L1755" s="7" t="s">
        <v>1954</v>
      </c>
      <c r="M1755" s="8">
        <v>207398</v>
      </c>
      <c r="N1755" s="8" t="str">
        <f t="shared" si="136"/>
        <v>PEN</v>
      </c>
      <c r="O1755" s="13"/>
      <c r="P1755" s="13">
        <v>8.56</v>
      </c>
      <c r="Q1755" s="3">
        <f t="shared" si="137"/>
        <v>0</v>
      </c>
      <c r="R1755" s="3">
        <f t="shared" si="138"/>
        <v>8.56</v>
      </c>
      <c r="S1755" s="3">
        <f t="shared" si="139"/>
        <v>32437.229999999992</v>
      </c>
      <c r="T1755" s="24" t="s">
        <v>1081</v>
      </c>
      <c r="U1755" s="24" t="s">
        <v>1081</v>
      </c>
      <c r="V1755" s="67"/>
      <c r="W1755" s="25">
        <f>IFERROR(VLOOKUP(BCP_Soles[[#This Row],[DESTINATARIO]],CHOOSE({1,2},Clientes_Proveedores[Razon Social],Clientes_Proveedores[Ruc / Dni]),2,0),"")</f>
        <v>20100055237</v>
      </c>
      <c r="X1755" s="25" t="s">
        <v>1955</v>
      </c>
      <c r="Y1755" s="25" t="s">
        <v>2840</v>
      </c>
      <c r="Z1755" s="25"/>
      <c r="AA1755" s="99"/>
      <c r="AB1755" s="3" t="str">
        <f>IF(BCP_Soles[[#This Row],[FECHA]]&gt;0,TEXT(BCP_Soles[[#This Row],[FECHA]],"mmmm"),0)</f>
        <v>Mayo</v>
      </c>
    </row>
    <row r="1756" spans="2:28" x14ac:dyDescent="0.3">
      <c r="B1756" s="2">
        <f>IF(BCP_Soles[[#This Row],[TIPO DE R.]]="R",COUNTIFS($D$4:$D1755,"R")+1,"")</f>
        <v>1363</v>
      </c>
      <c r="C1756" s="19" t="str">
        <f t="shared" si="135"/>
        <v>B-BCP - Soles</v>
      </c>
      <c r="D1756" s="3" t="s">
        <v>1074</v>
      </c>
      <c r="E1756" s="14">
        <v>45799</v>
      </c>
      <c r="F1756" s="5" t="s">
        <v>1082</v>
      </c>
      <c r="G1756" s="5" t="s">
        <v>1079</v>
      </c>
      <c r="H1756" s="6" t="s">
        <v>139</v>
      </c>
      <c r="I1756" s="6" t="s">
        <v>14</v>
      </c>
      <c r="J1756" s="6" t="s">
        <v>1953</v>
      </c>
      <c r="K1756" s="6">
        <v>6368</v>
      </c>
      <c r="L1756" s="7" t="s">
        <v>1954</v>
      </c>
      <c r="M1756" s="8">
        <v>205454</v>
      </c>
      <c r="N1756" s="8" t="str">
        <f t="shared" si="136"/>
        <v>PEN</v>
      </c>
      <c r="O1756" s="13"/>
      <c r="P1756" s="13">
        <v>26.86</v>
      </c>
      <c r="Q1756" s="3">
        <f t="shared" si="137"/>
        <v>0</v>
      </c>
      <c r="R1756" s="3">
        <f t="shared" si="138"/>
        <v>26.86</v>
      </c>
      <c r="S1756" s="3">
        <f t="shared" si="139"/>
        <v>32410.369999999992</v>
      </c>
      <c r="T1756" s="24" t="s">
        <v>1081</v>
      </c>
      <c r="U1756" s="24" t="s">
        <v>1081</v>
      </c>
      <c r="V1756" s="67"/>
      <c r="W1756" s="25">
        <f>IFERROR(VLOOKUP(BCP_Soles[[#This Row],[DESTINATARIO]],CHOOSE({1,2},Clientes_Proveedores[Razon Social],Clientes_Proveedores[Ruc / Dni]),2,0),"")</f>
        <v>20100055237</v>
      </c>
      <c r="X1756" s="25" t="s">
        <v>1955</v>
      </c>
      <c r="Y1756" s="25" t="s">
        <v>2841</v>
      </c>
      <c r="Z1756" s="25"/>
      <c r="AA1756" s="99"/>
      <c r="AB1756" s="3" t="str">
        <f>IF(BCP_Soles[[#This Row],[FECHA]]&gt;0,TEXT(BCP_Soles[[#This Row],[FECHA]],"mmmm"),0)</f>
        <v>Mayo</v>
      </c>
    </row>
    <row r="1757" spans="2:28" x14ac:dyDescent="0.3">
      <c r="B1757" s="2">
        <f>IF(BCP_Soles[[#This Row],[TIPO DE R.]]="R",COUNTIFS($D$4:$D1756,"R")+1,"")</f>
        <v>1364</v>
      </c>
      <c r="C1757" s="19" t="str">
        <f t="shared" si="135"/>
        <v>B-BCP - Soles</v>
      </c>
      <c r="D1757" s="3" t="s">
        <v>1074</v>
      </c>
      <c r="E1757" s="14">
        <v>45799</v>
      </c>
      <c r="F1757" s="5" t="s">
        <v>1082</v>
      </c>
      <c r="G1757" s="5" t="s">
        <v>1079</v>
      </c>
      <c r="H1757" s="6" t="s">
        <v>139</v>
      </c>
      <c r="I1757" s="6" t="s">
        <v>14</v>
      </c>
      <c r="J1757" s="6" t="s">
        <v>1953</v>
      </c>
      <c r="K1757" s="6">
        <v>6367</v>
      </c>
      <c r="L1757" s="7" t="s">
        <v>1954</v>
      </c>
      <c r="M1757" s="8">
        <v>204983</v>
      </c>
      <c r="N1757" s="8" t="str">
        <f t="shared" si="136"/>
        <v>PEN</v>
      </c>
      <c r="O1757" s="13"/>
      <c r="P1757" s="13">
        <v>62.28</v>
      </c>
      <c r="Q1757" s="3">
        <f t="shared" si="137"/>
        <v>0</v>
      </c>
      <c r="R1757" s="3">
        <f t="shared" si="138"/>
        <v>62.28</v>
      </c>
      <c r="S1757" s="3">
        <f t="shared" si="139"/>
        <v>32348.089999999993</v>
      </c>
      <c r="T1757" s="24" t="s">
        <v>1081</v>
      </c>
      <c r="U1757" s="24" t="s">
        <v>1081</v>
      </c>
      <c r="V1757" s="67"/>
      <c r="W1757" s="25">
        <f>IFERROR(VLOOKUP(BCP_Soles[[#This Row],[DESTINATARIO]],CHOOSE({1,2},Clientes_Proveedores[Razon Social],Clientes_Proveedores[Ruc / Dni]),2,0),"")</f>
        <v>20100055237</v>
      </c>
      <c r="X1757" s="25" t="s">
        <v>1955</v>
      </c>
      <c r="Y1757" s="25" t="s">
        <v>2842</v>
      </c>
      <c r="Z1757" s="25"/>
      <c r="AA1757" s="99"/>
      <c r="AB1757" s="3" t="str">
        <f>IF(BCP_Soles[[#This Row],[FECHA]]&gt;0,TEXT(BCP_Soles[[#This Row],[FECHA]],"mmmm"),0)</f>
        <v>Mayo</v>
      </c>
    </row>
    <row r="1758" spans="2:28" x14ac:dyDescent="0.3">
      <c r="B1758" s="2">
        <f>IF(BCP_Soles[[#This Row],[TIPO DE R.]]="R",COUNTIFS($D$4:$D1757,"R")+1,"")</f>
        <v>1365</v>
      </c>
      <c r="C1758" s="19" t="str">
        <f t="shared" si="135"/>
        <v>B-BCP - Soles</v>
      </c>
      <c r="D1758" s="3" t="s">
        <v>1074</v>
      </c>
      <c r="E1758" s="14">
        <v>45799</v>
      </c>
      <c r="F1758" s="5" t="s">
        <v>1082</v>
      </c>
      <c r="G1758" s="5" t="s">
        <v>1079</v>
      </c>
      <c r="H1758" s="6" t="s">
        <v>139</v>
      </c>
      <c r="I1758" s="6" t="s">
        <v>14</v>
      </c>
      <c r="J1758" s="6" t="s">
        <v>1953</v>
      </c>
      <c r="K1758" s="6">
        <v>6370</v>
      </c>
      <c r="L1758" s="7" t="s">
        <v>1954</v>
      </c>
      <c r="M1758" s="8">
        <v>206428</v>
      </c>
      <c r="N1758" s="8" t="str">
        <f t="shared" si="136"/>
        <v>PEN</v>
      </c>
      <c r="O1758" s="13"/>
      <c r="P1758" s="13">
        <v>126.68</v>
      </c>
      <c r="Q1758" s="3">
        <f t="shared" si="137"/>
        <v>0</v>
      </c>
      <c r="R1758" s="3">
        <f t="shared" si="138"/>
        <v>126.68</v>
      </c>
      <c r="S1758" s="3">
        <f t="shared" si="139"/>
        <v>32221.409999999993</v>
      </c>
      <c r="T1758" s="24" t="s">
        <v>1081</v>
      </c>
      <c r="U1758" s="24" t="s">
        <v>1081</v>
      </c>
      <c r="V1758" s="67"/>
      <c r="W1758" s="25">
        <f>IFERROR(VLOOKUP(BCP_Soles[[#This Row],[DESTINATARIO]],CHOOSE({1,2},Clientes_Proveedores[Razon Social],Clientes_Proveedores[Ruc / Dni]),2,0),"")</f>
        <v>20100055237</v>
      </c>
      <c r="X1758" s="25" t="s">
        <v>1955</v>
      </c>
      <c r="Y1758" s="25" t="s">
        <v>2843</v>
      </c>
      <c r="Z1758" s="25"/>
      <c r="AA1758" s="99"/>
      <c r="AB1758" s="3" t="str">
        <f>IF(BCP_Soles[[#This Row],[FECHA]]&gt;0,TEXT(BCP_Soles[[#This Row],[FECHA]],"mmmm"),0)</f>
        <v>Mayo</v>
      </c>
    </row>
    <row r="1759" spans="2:28" x14ac:dyDescent="0.3">
      <c r="B1759" s="2">
        <f>IF(BCP_Soles[[#This Row],[TIPO DE R.]]="R",COUNTIFS($D$4:$D1758,"R")+1,"")</f>
        <v>1366</v>
      </c>
      <c r="C1759" s="19" t="str">
        <f t="shared" si="135"/>
        <v>B-BCP - Soles</v>
      </c>
      <c r="D1759" s="3" t="s">
        <v>1074</v>
      </c>
      <c r="E1759" s="14">
        <v>45799</v>
      </c>
      <c r="F1759" s="5" t="s">
        <v>1082</v>
      </c>
      <c r="G1759" s="5" t="s">
        <v>1079</v>
      </c>
      <c r="H1759" s="6" t="s">
        <v>139</v>
      </c>
      <c r="I1759" s="6" t="s">
        <v>14</v>
      </c>
      <c r="J1759" s="6" t="s">
        <v>1953</v>
      </c>
      <c r="K1759" s="6">
        <v>6369</v>
      </c>
      <c r="L1759" s="7" t="s">
        <v>1954</v>
      </c>
      <c r="M1759" s="8">
        <v>204984</v>
      </c>
      <c r="N1759" s="8" t="str">
        <f t="shared" si="136"/>
        <v>PEN</v>
      </c>
      <c r="O1759" s="13"/>
      <c r="P1759" s="13">
        <v>130.4</v>
      </c>
      <c r="Q1759" s="3">
        <f t="shared" si="137"/>
        <v>0</v>
      </c>
      <c r="R1759" s="3">
        <f t="shared" si="138"/>
        <v>130.4</v>
      </c>
      <c r="S1759" s="3">
        <f t="shared" si="139"/>
        <v>32091.009999999991</v>
      </c>
      <c r="T1759" s="24" t="s">
        <v>1081</v>
      </c>
      <c r="U1759" s="24" t="s">
        <v>1081</v>
      </c>
      <c r="V1759" s="67"/>
      <c r="W1759" s="25">
        <f>IFERROR(VLOOKUP(BCP_Soles[[#This Row],[DESTINATARIO]],CHOOSE({1,2},Clientes_Proveedores[Razon Social],Clientes_Proveedores[Ruc / Dni]),2,0),"")</f>
        <v>20100055237</v>
      </c>
      <c r="X1759" s="25" t="s">
        <v>1955</v>
      </c>
      <c r="Y1759" s="25" t="s">
        <v>2844</v>
      </c>
      <c r="Z1759" s="25"/>
      <c r="AA1759" s="99"/>
      <c r="AB1759" s="3" t="str">
        <f>IF(BCP_Soles[[#This Row],[FECHA]]&gt;0,TEXT(BCP_Soles[[#This Row],[FECHA]],"mmmm"),0)</f>
        <v>Mayo</v>
      </c>
    </row>
    <row r="1760" spans="2:28" ht="24" x14ac:dyDescent="0.3">
      <c r="B1760" s="2">
        <f>IF(BCP_Soles[[#This Row],[TIPO DE R.]]="R",COUNTIFS($D$4:$D1759,"R")+1,"")</f>
        <v>1367</v>
      </c>
      <c r="C1760" s="19" t="str">
        <f t="shared" si="135"/>
        <v>B-BCP - Soles</v>
      </c>
      <c r="D1760" s="3" t="s">
        <v>1074</v>
      </c>
      <c r="E1760" s="14">
        <v>45799</v>
      </c>
      <c r="F1760" s="5" t="s">
        <v>1082</v>
      </c>
      <c r="G1760" s="5" t="s">
        <v>1079</v>
      </c>
      <c r="H1760" s="6"/>
      <c r="I1760" s="6"/>
      <c r="J1760" s="6"/>
      <c r="K1760" s="6"/>
      <c r="L1760" s="7" t="s">
        <v>2845</v>
      </c>
      <c r="M1760" s="8">
        <v>1206905</v>
      </c>
      <c r="N1760" s="8" t="str">
        <f t="shared" si="136"/>
        <v>PEN</v>
      </c>
      <c r="O1760" s="13"/>
      <c r="P1760" s="13">
        <v>336.01</v>
      </c>
      <c r="Q1760" s="3">
        <f t="shared" si="137"/>
        <v>0</v>
      </c>
      <c r="R1760" s="3">
        <f t="shared" si="138"/>
        <v>336.01</v>
      </c>
      <c r="S1760" s="3">
        <f t="shared" si="139"/>
        <v>31754.999999999993</v>
      </c>
      <c r="T1760" s="24" t="s">
        <v>1081</v>
      </c>
      <c r="U1760" s="24" t="s">
        <v>1081</v>
      </c>
      <c r="V1760" s="67"/>
      <c r="W1760" s="25" t="str">
        <f>IFERROR(VLOOKUP(BCP_Soles[[#This Row],[DESTINATARIO]],CHOOSE({1,2},Clientes_Proveedores[Razon Social],Clientes_Proveedores[Ruc / Dni]),2,0),"")</f>
        <v/>
      </c>
      <c r="X1760" s="25" t="s">
        <v>2627</v>
      </c>
      <c r="Y1760" s="25" t="s">
        <v>2846</v>
      </c>
      <c r="Z1760" s="25"/>
      <c r="AA1760" s="99"/>
      <c r="AB1760" s="3" t="str">
        <f>IF(BCP_Soles[[#This Row],[FECHA]]&gt;0,TEXT(BCP_Soles[[#This Row],[FECHA]],"mmmm"),0)</f>
        <v>Mayo</v>
      </c>
    </row>
    <row r="1761" spans="2:28" x14ac:dyDescent="0.3">
      <c r="B1761" s="2">
        <f>IF(BCP_Soles[[#This Row],[TIPO DE R.]]="R",COUNTIFS($D$4:$D1760,"R")+1,"")</f>
        <v>1368</v>
      </c>
      <c r="C1761" s="19" t="str">
        <f t="shared" si="135"/>
        <v>B-BCP - Soles</v>
      </c>
      <c r="D1761" s="3" t="s">
        <v>1074</v>
      </c>
      <c r="E1761" s="14">
        <v>45799</v>
      </c>
      <c r="F1761" s="5" t="s">
        <v>1082</v>
      </c>
      <c r="G1761" s="5" t="s">
        <v>1079</v>
      </c>
      <c r="H1761" s="6" t="s">
        <v>139</v>
      </c>
      <c r="I1761" s="6" t="s">
        <v>14</v>
      </c>
      <c r="J1761" s="6" t="s">
        <v>1953</v>
      </c>
      <c r="K1761" s="6">
        <v>6371</v>
      </c>
      <c r="L1761" s="7" t="s">
        <v>1954</v>
      </c>
      <c r="M1761" s="8">
        <v>207396</v>
      </c>
      <c r="N1761" s="8" t="str">
        <f t="shared" si="136"/>
        <v>PEN</v>
      </c>
      <c r="O1761" s="13"/>
      <c r="P1761" s="13">
        <v>397.28</v>
      </c>
      <c r="Q1761" s="3">
        <f t="shared" si="137"/>
        <v>0</v>
      </c>
      <c r="R1761" s="3">
        <f t="shared" si="138"/>
        <v>397.28</v>
      </c>
      <c r="S1761" s="3">
        <f t="shared" si="139"/>
        <v>31357.719999999994</v>
      </c>
      <c r="T1761" s="24" t="s">
        <v>1081</v>
      </c>
      <c r="U1761" s="24" t="s">
        <v>1081</v>
      </c>
      <c r="V1761" s="67"/>
      <c r="W1761" s="25">
        <f>IFERROR(VLOOKUP(BCP_Soles[[#This Row],[DESTINATARIO]],CHOOSE({1,2},Clientes_Proveedores[Razon Social],Clientes_Proveedores[Ruc / Dni]),2,0),"")</f>
        <v>20100055237</v>
      </c>
      <c r="X1761" s="25" t="s">
        <v>1955</v>
      </c>
      <c r="Y1761" s="25" t="s">
        <v>2847</v>
      </c>
      <c r="Z1761" s="25"/>
      <c r="AA1761" s="99"/>
      <c r="AB1761" s="3" t="str">
        <f>IF(BCP_Soles[[#This Row],[FECHA]]&gt;0,TEXT(BCP_Soles[[#This Row],[FECHA]],"mmmm"),0)</f>
        <v>Mayo</v>
      </c>
    </row>
    <row r="1762" spans="2:28" x14ac:dyDescent="0.3">
      <c r="B1762" s="2">
        <f>IF(BCP_Soles[[#This Row],[TIPO DE R.]]="R",COUNTIFS($D$4:$D1761,"R")+1,"")</f>
        <v>1369</v>
      </c>
      <c r="C1762" s="19" t="str">
        <f t="shared" si="135"/>
        <v>B-BCP - Soles</v>
      </c>
      <c r="D1762" s="3" t="s">
        <v>1074</v>
      </c>
      <c r="E1762" s="14">
        <v>45799</v>
      </c>
      <c r="F1762" s="5" t="s">
        <v>1082</v>
      </c>
      <c r="G1762" s="5" t="s">
        <v>1079</v>
      </c>
      <c r="H1762" s="6" t="s">
        <v>139</v>
      </c>
      <c r="I1762" s="6" t="s">
        <v>14</v>
      </c>
      <c r="J1762" s="6" t="s">
        <v>1953</v>
      </c>
      <c r="K1762" s="6">
        <v>6373</v>
      </c>
      <c r="L1762" s="7" t="s">
        <v>1954</v>
      </c>
      <c r="M1762" s="8">
        <v>207397</v>
      </c>
      <c r="N1762" s="8" t="str">
        <f t="shared" si="136"/>
        <v>PEN</v>
      </c>
      <c r="O1762" s="13"/>
      <c r="P1762" s="13">
        <v>565.52</v>
      </c>
      <c r="Q1762" s="3">
        <f t="shared" si="137"/>
        <v>0</v>
      </c>
      <c r="R1762" s="3">
        <f t="shared" si="138"/>
        <v>565.52</v>
      </c>
      <c r="S1762" s="3">
        <f t="shared" si="139"/>
        <v>30792.199999999993</v>
      </c>
      <c r="T1762" s="24" t="s">
        <v>1081</v>
      </c>
      <c r="U1762" s="24" t="s">
        <v>1081</v>
      </c>
      <c r="V1762" s="67"/>
      <c r="W1762" s="25">
        <f>IFERROR(VLOOKUP(BCP_Soles[[#This Row],[DESTINATARIO]],CHOOSE({1,2},Clientes_Proveedores[Razon Social],Clientes_Proveedores[Ruc / Dni]),2,0),"")</f>
        <v>20100055237</v>
      </c>
      <c r="X1762" s="25" t="s">
        <v>1955</v>
      </c>
      <c r="Y1762" s="25" t="s">
        <v>2848</v>
      </c>
      <c r="Z1762" s="25"/>
      <c r="AA1762" s="99"/>
      <c r="AB1762" s="3" t="str">
        <f>IF(BCP_Soles[[#This Row],[FECHA]]&gt;0,TEXT(BCP_Soles[[#This Row],[FECHA]],"mmmm"),0)</f>
        <v>Mayo</v>
      </c>
    </row>
    <row r="1763" spans="2:28" ht="36" x14ac:dyDescent="0.3">
      <c r="B1763" s="2">
        <f>IF(BCP_Soles[[#This Row],[TIPO DE R.]]="R",COUNTIFS($D$4:$D1762,"R")+1,"")</f>
        <v>1370</v>
      </c>
      <c r="C1763" s="19" t="str">
        <f t="shared" si="135"/>
        <v>B-BCP - Soles</v>
      </c>
      <c r="D1763" s="3" t="s">
        <v>1074</v>
      </c>
      <c r="E1763" s="14">
        <v>45799</v>
      </c>
      <c r="F1763" s="5" t="s">
        <v>1082</v>
      </c>
      <c r="G1763" s="5" t="s">
        <v>1079</v>
      </c>
      <c r="H1763" s="6"/>
      <c r="I1763" s="6"/>
      <c r="J1763" s="6"/>
      <c r="K1763" s="6"/>
      <c r="L1763" s="7" t="s">
        <v>2849</v>
      </c>
      <c r="M1763" s="8">
        <v>1102942</v>
      </c>
      <c r="N1763" s="8" t="str">
        <f t="shared" si="136"/>
        <v>PEN</v>
      </c>
      <c r="O1763" s="13"/>
      <c r="P1763" s="13">
        <v>639.16999999999996</v>
      </c>
      <c r="Q1763" s="3">
        <f t="shared" si="137"/>
        <v>0</v>
      </c>
      <c r="R1763" s="3">
        <f t="shared" si="138"/>
        <v>639.16999999999996</v>
      </c>
      <c r="S1763" s="3">
        <f t="shared" si="139"/>
        <v>30153.029999999995</v>
      </c>
      <c r="T1763" s="24"/>
      <c r="U1763" s="24"/>
      <c r="V1763" s="67"/>
      <c r="W1763" s="25" t="str">
        <f>IFERROR(VLOOKUP(BCP_Soles[[#This Row],[DESTINATARIO]],CHOOSE({1,2},Clientes_Proveedores[Razon Social],Clientes_Proveedores[Ruc / Dni]),2,0),"")</f>
        <v/>
      </c>
      <c r="X1763" s="25" t="s">
        <v>2850</v>
      </c>
      <c r="Y1763" s="25"/>
      <c r="Z1763" s="25"/>
      <c r="AA1763" s="99"/>
      <c r="AB1763" s="3" t="str">
        <f>IF(BCP_Soles[[#This Row],[FECHA]]&gt;0,TEXT(BCP_Soles[[#This Row],[FECHA]],"mmmm"),0)</f>
        <v>Mayo</v>
      </c>
    </row>
    <row r="1764" spans="2:28" x14ac:dyDescent="0.3">
      <c r="B1764" s="2">
        <f>IF(BCP_Soles[[#This Row],[TIPO DE R.]]="R",COUNTIFS($D$4:$D1763,"R")+1,"")</f>
        <v>1371</v>
      </c>
      <c r="C1764" s="19" t="str">
        <f t="shared" si="135"/>
        <v>B-BCP - Soles</v>
      </c>
      <c r="D1764" s="3" t="s">
        <v>1074</v>
      </c>
      <c r="E1764" s="14">
        <v>45799</v>
      </c>
      <c r="F1764" s="5" t="s">
        <v>1082</v>
      </c>
      <c r="G1764" s="5" t="s">
        <v>1079</v>
      </c>
      <c r="H1764" s="6" t="s">
        <v>638</v>
      </c>
      <c r="I1764" s="6"/>
      <c r="J1764" s="6"/>
      <c r="K1764" s="6"/>
      <c r="L1764" s="7" t="s">
        <v>2851</v>
      </c>
      <c r="M1764" s="8">
        <v>8890778</v>
      </c>
      <c r="N1764" s="8" t="str">
        <f t="shared" si="136"/>
        <v>PEN</v>
      </c>
      <c r="O1764" s="13"/>
      <c r="P1764" s="13">
        <v>22595.48</v>
      </c>
      <c r="Q1764" s="3">
        <f t="shared" si="137"/>
        <v>0</v>
      </c>
      <c r="R1764" s="3">
        <f t="shared" si="138"/>
        <v>22595.48</v>
      </c>
      <c r="S1764" s="3">
        <f t="shared" si="139"/>
        <v>7557.5499999999956</v>
      </c>
      <c r="T1764" s="24" t="s">
        <v>1081</v>
      </c>
      <c r="U1764" s="24" t="s">
        <v>1081</v>
      </c>
      <c r="V1764" s="67"/>
      <c r="W1764" s="25">
        <f>IFERROR(VLOOKUP(BCP_Soles[[#This Row],[DESTINATARIO]],CHOOSE({1,2},Clientes_Proveedores[Razon Social],Clientes_Proveedores[Ruc / Dni]),2,0),"")</f>
        <v>0</v>
      </c>
      <c r="X1764" s="25" t="s">
        <v>1118</v>
      </c>
      <c r="Y1764" s="25"/>
      <c r="Z1764" s="25"/>
      <c r="AA1764" s="99"/>
      <c r="AB1764" s="3" t="str">
        <f>IF(BCP_Soles[[#This Row],[FECHA]]&gt;0,TEXT(BCP_Soles[[#This Row],[FECHA]],"mmmm"),0)</f>
        <v>Mayo</v>
      </c>
    </row>
    <row r="1765" spans="2:28" x14ac:dyDescent="0.3">
      <c r="B1765" s="2" t="str">
        <f>IF(BCP_Soles[[#This Row],[TIPO DE R.]]="R",COUNTIFS($D$4:$D1764,"R")+1,"")</f>
        <v/>
      </c>
      <c r="C1765" s="19" t="str">
        <f t="shared" si="135"/>
        <v>B-BCP - Soles</v>
      </c>
      <c r="D1765" s="3" t="s">
        <v>1101</v>
      </c>
      <c r="E1765" s="14">
        <v>45799</v>
      </c>
      <c r="F1765" s="5" t="s">
        <v>1082</v>
      </c>
      <c r="G1765" s="5"/>
      <c r="H1765" s="6" t="s">
        <v>323</v>
      </c>
      <c r="I1765" s="6" t="s">
        <v>14</v>
      </c>
      <c r="J1765" s="6" t="s">
        <v>1148</v>
      </c>
      <c r="K1765" s="6">
        <v>21135</v>
      </c>
      <c r="L1765" s="7" t="s">
        <v>2851</v>
      </c>
      <c r="M1765" s="8">
        <v>8890778</v>
      </c>
      <c r="N1765" s="8" t="str">
        <f t="shared" si="136"/>
        <v>PEN</v>
      </c>
      <c r="O1765" s="13">
        <v>10310.56</v>
      </c>
      <c r="P1765" s="13"/>
      <c r="Q1765" s="3">
        <f t="shared" si="137"/>
        <v>0</v>
      </c>
      <c r="R1765" s="3">
        <f t="shared" si="138"/>
        <v>0</v>
      </c>
      <c r="S1765" s="3">
        <f t="shared" si="139"/>
        <v>7557.5499999999956</v>
      </c>
      <c r="T1765" s="24"/>
      <c r="U1765" s="24" t="s">
        <v>1081</v>
      </c>
      <c r="V1765" s="67"/>
      <c r="W1765" s="25">
        <f>IFERROR(VLOOKUP(BCP_Soles[[#This Row],[DESTINATARIO]],CHOOSE({1,2},Clientes_Proveedores[Razon Social],Clientes_Proveedores[Ruc / Dni]),2,0),"")</f>
        <v>20537921464</v>
      </c>
      <c r="X1765" s="25"/>
      <c r="Y1765" s="25"/>
      <c r="Z1765" s="25"/>
      <c r="AA1765" s="99"/>
      <c r="AB1765" s="3" t="str">
        <f>IF(BCP_Soles[[#This Row],[FECHA]]&gt;0,TEXT(BCP_Soles[[#This Row],[FECHA]],"mmmm"),0)</f>
        <v>Mayo</v>
      </c>
    </row>
    <row r="1766" spans="2:28" x14ac:dyDescent="0.3">
      <c r="B1766" s="2" t="str">
        <f>IF(BCP_Soles[[#This Row],[TIPO DE R.]]="R",COUNTIFS($D$4:$D1765,"R")+1,"")</f>
        <v/>
      </c>
      <c r="C1766" s="19" t="str">
        <f t="shared" si="135"/>
        <v>B-BCP - Soles</v>
      </c>
      <c r="D1766" s="3" t="s">
        <v>1101</v>
      </c>
      <c r="E1766" s="14">
        <v>45799</v>
      </c>
      <c r="F1766" s="5" t="s">
        <v>1082</v>
      </c>
      <c r="G1766" s="5"/>
      <c r="H1766" s="6" t="s">
        <v>323</v>
      </c>
      <c r="I1766" s="6" t="s">
        <v>14</v>
      </c>
      <c r="J1766" s="6" t="s">
        <v>1148</v>
      </c>
      <c r="K1766" s="6">
        <v>21134</v>
      </c>
      <c r="L1766" s="7" t="s">
        <v>2851</v>
      </c>
      <c r="M1766" s="8">
        <v>8890778</v>
      </c>
      <c r="N1766" s="8" t="str">
        <f t="shared" si="136"/>
        <v>PEN</v>
      </c>
      <c r="O1766" s="13">
        <v>9877.42</v>
      </c>
      <c r="P1766" s="13"/>
      <c r="Q1766" s="3">
        <f t="shared" si="137"/>
        <v>0</v>
      </c>
      <c r="R1766" s="3">
        <f t="shared" si="138"/>
        <v>0</v>
      </c>
      <c r="S1766" s="3">
        <f t="shared" si="139"/>
        <v>7557.5499999999956</v>
      </c>
      <c r="T1766" s="24"/>
      <c r="U1766" s="24" t="s">
        <v>1081</v>
      </c>
      <c r="V1766" s="67"/>
      <c r="W1766" s="25">
        <f>IFERROR(VLOOKUP(BCP_Soles[[#This Row],[DESTINATARIO]],CHOOSE({1,2},Clientes_Proveedores[Razon Social],Clientes_Proveedores[Ruc / Dni]),2,0),"")</f>
        <v>20537921464</v>
      </c>
      <c r="X1766" s="25"/>
      <c r="Y1766" s="25"/>
      <c r="Z1766" s="25"/>
      <c r="AA1766" s="99"/>
      <c r="AB1766" s="3" t="str">
        <f>IF(BCP_Soles[[#This Row],[FECHA]]&gt;0,TEXT(BCP_Soles[[#This Row],[FECHA]],"mmmm"),0)</f>
        <v>Mayo</v>
      </c>
    </row>
    <row r="1767" spans="2:28" ht="24" x14ac:dyDescent="0.3">
      <c r="B1767" s="2" t="str">
        <f>IF(BCP_Soles[[#This Row],[TIPO DE R.]]="R",COUNTIFS($D$4:$D1766,"R")+1,"")</f>
        <v/>
      </c>
      <c r="C1767" s="19" t="str">
        <f t="shared" si="135"/>
        <v>B-BCP - Soles</v>
      </c>
      <c r="D1767" s="3" t="s">
        <v>1101</v>
      </c>
      <c r="E1767" s="14">
        <v>45799</v>
      </c>
      <c r="F1767" s="5" t="s">
        <v>1082</v>
      </c>
      <c r="G1767" s="5"/>
      <c r="H1767" s="6" t="s">
        <v>609</v>
      </c>
      <c r="I1767" s="6" t="s">
        <v>14</v>
      </c>
      <c r="J1767" s="6" t="s">
        <v>1121</v>
      </c>
      <c r="K1767" s="6">
        <v>31</v>
      </c>
      <c r="L1767" s="7" t="s">
        <v>2851</v>
      </c>
      <c r="M1767" s="8">
        <v>8890778</v>
      </c>
      <c r="N1767" s="8" t="str">
        <f t="shared" si="136"/>
        <v>PEN</v>
      </c>
      <c r="O1767" s="13">
        <v>510</v>
      </c>
      <c r="P1767" s="13"/>
      <c r="Q1767" s="3">
        <f t="shared" si="137"/>
        <v>0</v>
      </c>
      <c r="R1767" s="3">
        <f t="shared" si="138"/>
        <v>0</v>
      </c>
      <c r="S1767" s="3">
        <f t="shared" si="139"/>
        <v>7557.5499999999956</v>
      </c>
      <c r="T1767" s="24"/>
      <c r="U1767" s="24" t="s">
        <v>1081</v>
      </c>
      <c r="V1767" s="67"/>
      <c r="W1767" s="25">
        <f>IFERROR(VLOOKUP(BCP_Soles[[#This Row],[DESTINATARIO]],CHOOSE({1,2},Clientes_Proveedores[Razon Social],Clientes_Proveedores[Ruc / Dni]),2,0),"")</f>
        <v>10410687491</v>
      </c>
      <c r="X1767" s="25"/>
      <c r="Y1767" s="25"/>
      <c r="Z1767" s="25"/>
      <c r="AA1767" s="99"/>
      <c r="AB1767" s="3" t="str">
        <f>IF(BCP_Soles[[#This Row],[FECHA]]&gt;0,TEXT(BCP_Soles[[#This Row],[FECHA]],"mmmm"),0)</f>
        <v>Mayo</v>
      </c>
    </row>
    <row r="1768" spans="2:28" x14ac:dyDescent="0.3">
      <c r="B1768" s="2" t="str">
        <f>IF(BCP_Soles[[#This Row],[TIPO DE R.]]="R",COUNTIFS($D$4:$D1767,"R")+1,"")</f>
        <v/>
      </c>
      <c r="C1768" s="19" t="str">
        <f t="shared" si="135"/>
        <v>B-BCP - Soles</v>
      </c>
      <c r="D1768" s="3" t="s">
        <v>1101</v>
      </c>
      <c r="E1768" s="14">
        <v>45799</v>
      </c>
      <c r="F1768" s="5" t="s">
        <v>1082</v>
      </c>
      <c r="G1768" s="5"/>
      <c r="H1768" s="6" t="s">
        <v>276</v>
      </c>
      <c r="I1768" s="6" t="s">
        <v>14</v>
      </c>
      <c r="J1768" s="6" t="s">
        <v>1121</v>
      </c>
      <c r="K1768" s="6">
        <v>714</v>
      </c>
      <c r="L1768" s="7" t="s">
        <v>2851</v>
      </c>
      <c r="M1768" s="8">
        <v>8890778</v>
      </c>
      <c r="N1768" s="8" t="str">
        <f t="shared" si="136"/>
        <v>PEN</v>
      </c>
      <c r="O1768" s="13">
        <v>885</v>
      </c>
      <c r="P1768" s="13"/>
      <c r="Q1768" s="3">
        <f t="shared" si="137"/>
        <v>0</v>
      </c>
      <c r="R1768" s="3">
        <f t="shared" si="138"/>
        <v>0</v>
      </c>
      <c r="S1768" s="3">
        <f t="shared" si="139"/>
        <v>7557.5499999999956</v>
      </c>
      <c r="T1768" s="24"/>
      <c r="U1768" s="24" t="s">
        <v>1081</v>
      </c>
      <c r="V1768" s="67"/>
      <c r="W1768" s="25">
        <f>IFERROR(VLOOKUP(BCP_Soles[[#This Row],[DESTINATARIO]],CHOOSE({1,2},Clientes_Proveedores[Razon Social],Clientes_Proveedores[Ruc / Dni]),2,0),"")</f>
        <v>20498218831</v>
      </c>
      <c r="X1768" s="25"/>
      <c r="Y1768" s="25"/>
      <c r="Z1768" s="25"/>
      <c r="AA1768" s="99"/>
      <c r="AB1768" s="3" t="str">
        <f>IF(BCP_Soles[[#This Row],[FECHA]]&gt;0,TEXT(BCP_Soles[[#This Row],[FECHA]],"mmmm"),0)</f>
        <v>Mayo</v>
      </c>
    </row>
    <row r="1769" spans="2:28" ht="36" x14ac:dyDescent="0.3">
      <c r="B1769" s="2" t="str">
        <f>IF(BCP_Soles[[#This Row],[TIPO DE R.]]="R",COUNTIFS($D$4:$D1768,"R")+1,"")</f>
        <v/>
      </c>
      <c r="C1769" s="19" t="str">
        <f t="shared" si="135"/>
        <v>B-BCP - Soles</v>
      </c>
      <c r="D1769" s="3" t="s">
        <v>1101</v>
      </c>
      <c r="E1769" s="14">
        <v>45799</v>
      </c>
      <c r="F1769" s="5" t="s">
        <v>1082</v>
      </c>
      <c r="G1769" s="5"/>
      <c r="H1769" s="6" t="s">
        <v>565</v>
      </c>
      <c r="I1769" s="6" t="s">
        <v>14</v>
      </c>
      <c r="J1769" s="6" t="s">
        <v>1119</v>
      </c>
      <c r="K1769" s="6">
        <v>7778</v>
      </c>
      <c r="L1769" s="7" t="s">
        <v>2851</v>
      </c>
      <c r="M1769" s="8">
        <v>8890778</v>
      </c>
      <c r="N1769" s="8" t="str">
        <f t="shared" si="136"/>
        <v>PEN</v>
      </c>
      <c r="O1769" s="13">
        <v>1012.5</v>
      </c>
      <c r="P1769" s="13"/>
      <c r="Q1769" s="3">
        <f t="shared" si="137"/>
        <v>0</v>
      </c>
      <c r="R1769" s="3">
        <f t="shared" si="138"/>
        <v>0</v>
      </c>
      <c r="S1769" s="3">
        <f t="shared" si="139"/>
        <v>7557.5499999999956</v>
      </c>
      <c r="T1769" s="24"/>
      <c r="U1769" s="24" t="s">
        <v>1081</v>
      </c>
      <c r="V1769" s="67"/>
      <c r="W1769" s="25">
        <f>IFERROR(VLOOKUP(BCP_Soles[[#This Row],[DESTINATARIO]],CHOOSE({1,2},Clientes_Proveedores[Razon Social],Clientes_Proveedores[Ruc / Dni]),2,0),"")</f>
        <v>20454819137</v>
      </c>
      <c r="X1769" s="25"/>
      <c r="Y1769" s="25"/>
      <c r="Z1769" s="25"/>
      <c r="AA1769" s="99"/>
      <c r="AB1769" s="3" t="str">
        <f>IF(BCP_Soles[[#This Row],[FECHA]]&gt;0,TEXT(BCP_Soles[[#This Row],[FECHA]],"mmmm"),0)</f>
        <v>Mayo</v>
      </c>
    </row>
    <row r="1770" spans="2:28" ht="36" x14ac:dyDescent="0.3">
      <c r="B1770" s="2">
        <f>IF(BCP_Soles[[#This Row],[TIPO DE R.]]="R",COUNTIFS($D$4:$D1769,"R")+1,"")</f>
        <v>1372</v>
      </c>
      <c r="C1770" s="19" t="str">
        <f t="shared" si="135"/>
        <v>B-BCP - Soles</v>
      </c>
      <c r="D1770" s="3" t="s">
        <v>1074</v>
      </c>
      <c r="E1770" s="14">
        <v>45799</v>
      </c>
      <c r="F1770" s="5" t="s">
        <v>459</v>
      </c>
      <c r="G1770" s="5" t="s">
        <v>1087</v>
      </c>
      <c r="H1770" s="6"/>
      <c r="I1770" s="6"/>
      <c r="J1770" s="6"/>
      <c r="K1770" s="6"/>
      <c r="L1770" s="7" t="s">
        <v>2852</v>
      </c>
      <c r="M1770" s="8">
        <v>2221446</v>
      </c>
      <c r="N1770" s="8" t="str">
        <f t="shared" si="136"/>
        <v>PEN</v>
      </c>
      <c r="O1770" s="13"/>
      <c r="P1770" s="13">
        <v>4029.35</v>
      </c>
      <c r="Q1770" s="3">
        <f t="shared" si="137"/>
        <v>4029.35</v>
      </c>
      <c r="R1770" s="3">
        <f t="shared" si="138"/>
        <v>0</v>
      </c>
      <c r="S1770" s="3">
        <f t="shared" si="139"/>
        <v>11586.899999999996</v>
      </c>
      <c r="T1770" s="24" t="s">
        <v>1081</v>
      </c>
      <c r="U1770" s="24" t="s">
        <v>1081</v>
      </c>
      <c r="V1770" s="67"/>
      <c r="W1770" s="25" t="str">
        <f>IFERROR(VLOOKUP(BCP_Soles[[#This Row],[DESTINATARIO]],CHOOSE({1,2},Clientes_Proveedores[Razon Social],Clientes_Proveedores[Ruc / Dni]),2,0),"")</f>
        <v/>
      </c>
      <c r="X1770" s="25" t="s">
        <v>1090</v>
      </c>
      <c r="Y1770" s="25" t="s">
        <v>2853</v>
      </c>
      <c r="Z1770" s="25"/>
      <c r="AA1770" s="99"/>
      <c r="AB1770" s="3" t="str">
        <f>IF(BCP_Soles[[#This Row],[FECHA]]&gt;0,TEXT(BCP_Soles[[#This Row],[FECHA]],"mmmm"),0)</f>
        <v>Mayo</v>
      </c>
    </row>
    <row r="1771" spans="2:28" x14ac:dyDescent="0.3">
      <c r="B1771" s="2">
        <f>IF(BCP_Soles[[#This Row],[TIPO DE R.]]="R",COUNTIFS($D$4:$D1770,"R")+1,"")</f>
        <v>1373</v>
      </c>
      <c r="C1771" s="19" t="str">
        <f t="shared" si="135"/>
        <v>B-BCP - Soles</v>
      </c>
      <c r="D1771" s="3" t="s">
        <v>1074</v>
      </c>
      <c r="E1771" s="14">
        <v>45799</v>
      </c>
      <c r="F1771" s="5" t="s">
        <v>1078</v>
      </c>
      <c r="G1771" s="5" t="s">
        <v>1079</v>
      </c>
      <c r="H1771" s="6"/>
      <c r="I1771" s="6"/>
      <c r="J1771" s="6"/>
      <c r="K1771" s="6"/>
      <c r="L1771" s="7" t="s">
        <v>1080</v>
      </c>
      <c r="M1771" s="8"/>
      <c r="N1771" s="8" t="str">
        <f t="shared" si="136"/>
        <v>PEN</v>
      </c>
      <c r="O1771" s="13"/>
      <c r="P1771" s="13">
        <v>1.35</v>
      </c>
      <c r="Q1771" s="3">
        <f t="shared" si="137"/>
        <v>0</v>
      </c>
      <c r="R1771" s="3">
        <f t="shared" si="138"/>
        <v>1.35</v>
      </c>
      <c r="S1771" s="3">
        <f t="shared" si="139"/>
        <v>11585.549999999996</v>
      </c>
      <c r="T1771" s="24"/>
      <c r="U1771" s="24" t="s">
        <v>1081</v>
      </c>
      <c r="V1771" s="67"/>
      <c r="W1771" s="25" t="str">
        <f>IFERROR(VLOOKUP(BCP_Soles[[#This Row],[DESTINATARIO]],CHOOSE({1,2},Clientes_Proveedores[Razon Social],Clientes_Proveedores[Ruc / Dni]),2,0),"")</f>
        <v/>
      </c>
      <c r="X1771" s="25"/>
      <c r="Y1771" s="25"/>
      <c r="Z1771" s="25"/>
      <c r="AA1771" s="99"/>
      <c r="AB1771" s="3" t="str">
        <f>IF(BCP_Soles[[#This Row],[FECHA]]&gt;0,TEXT(BCP_Soles[[#This Row],[FECHA]],"mmmm"),0)</f>
        <v>Mayo</v>
      </c>
    </row>
    <row r="1772" spans="2:28" x14ac:dyDescent="0.3">
      <c r="B1772" s="2">
        <f>IF(BCP_Soles[[#This Row],[TIPO DE R.]]="R",COUNTIFS($D$4:$D1771,"R")+1,"")</f>
        <v>1374</v>
      </c>
      <c r="C1772" s="19" t="str">
        <f t="shared" si="135"/>
        <v>B-BCP - Soles</v>
      </c>
      <c r="D1772" s="3" t="s">
        <v>1074</v>
      </c>
      <c r="E1772" s="14">
        <v>45800</v>
      </c>
      <c r="F1772" s="5" t="s">
        <v>149</v>
      </c>
      <c r="G1772" s="5" t="s">
        <v>1087</v>
      </c>
      <c r="H1772" s="6"/>
      <c r="I1772" s="6"/>
      <c r="J1772" s="6"/>
      <c r="K1772" s="6"/>
      <c r="L1772" s="7" t="s">
        <v>2854</v>
      </c>
      <c r="M1772" s="8">
        <v>9199422</v>
      </c>
      <c r="N1772" s="8" t="str">
        <f t="shared" si="136"/>
        <v>PEN</v>
      </c>
      <c r="O1772" s="13"/>
      <c r="P1772" s="13">
        <v>7028.9</v>
      </c>
      <c r="Q1772" s="3">
        <f t="shared" si="137"/>
        <v>7028.9</v>
      </c>
      <c r="R1772" s="3">
        <f t="shared" si="138"/>
        <v>0</v>
      </c>
      <c r="S1772" s="3">
        <f t="shared" si="139"/>
        <v>18614.449999999997</v>
      </c>
      <c r="T1772" s="24" t="s">
        <v>1081</v>
      </c>
      <c r="U1772" s="24" t="s">
        <v>1081</v>
      </c>
      <c r="V1772" s="67"/>
      <c r="W1772" s="25" t="str">
        <f>IFERROR(VLOOKUP(BCP_Soles[[#This Row],[DESTINATARIO]],CHOOSE({1,2},Clientes_Proveedores[Razon Social],Clientes_Proveedores[Ruc / Dni]),2,0),"")</f>
        <v/>
      </c>
      <c r="X1772" s="25" t="s">
        <v>1090</v>
      </c>
      <c r="Y1772" s="25" t="s">
        <v>2855</v>
      </c>
      <c r="Z1772" s="25"/>
      <c r="AA1772" s="99"/>
      <c r="AB1772" s="3" t="str">
        <f>IF(BCP_Soles[[#This Row],[FECHA]]&gt;0,TEXT(BCP_Soles[[#This Row],[FECHA]],"mmmm"),0)</f>
        <v>Mayo</v>
      </c>
    </row>
    <row r="1773" spans="2:28" ht="24" x14ac:dyDescent="0.3">
      <c r="B1773" s="2">
        <f>IF(BCP_Soles[[#This Row],[TIPO DE R.]]="R",COUNTIFS($D$4:$D1772,"R")+1,"")</f>
        <v>1375</v>
      </c>
      <c r="C1773" s="19" t="str">
        <f t="shared" si="135"/>
        <v>B-BCP - Soles</v>
      </c>
      <c r="D1773" s="3" t="s">
        <v>1074</v>
      </c>
      <c r="E1773" s="14">
        <v>45800</v>
      </c>
      <c r="F1773" s="5" t="s">
        <v>2856</v>
      </c>
      <c r="G1773" s="5" t="s">
        <v>1087</v>
      </c>
      <c r="H1773" s="6"/>
      <c r="I1773" s="6"/>
      <c r="J1773" s="6"/>
      <c r="K1773" s="6"/>
      <c r="L1773" s="7" t="s">
        <v>1100</v>
      </c>
      <c r="M1773" s="8">
        <v>2696196</v>
      </c>
      <c r="N1773" s="8" t="str">
        <f t="shared" si="136"/>
        <v>PEN</v>
      </c>
      <c r="O1773" s="13"/>
      <c r="P1773" s="13">
        <v>5720</v>
      </c>
      <c r="Q1773" s="3">
        <f t="shared" si="137"/>
        <v>5720</v>
      </c>
      <c r="R1773" s="3">
        <f t="shared" si="138"/>
        <v>0</v>
      </c>
      <c r="S1773" s="3">
        <f t="shared" si="139"/>
        <v>24334.449999999997</v>
      </c>
      <c r="T1773" s="24" t="s">
        <v>1081</v>
      </c>
      <c r="U1773" s="24" t="s">
        <v>1081</v>
      </c>
      <c r="V1773" s="67"/>
      <c r="W1773" s="25" t="str">
        <f>IFERROR(VLOOKUP(BCP_Soles[[#This Row],[DESTINATARIO]],CHOOSE({1,2},Clientes_Proveedores[Razon Social],Clientes_Proveedores[Ruc / Dni]),2,0),"")</f>
        <v/>
      </c>
      <c r="X1773" s="25" t="s">
        <v>1090</v>
      </c>
      <c r="Y1773" s="25" t="s">
        <v>2857</v>
      </c>
      <c r="Z1773" s="25"/>
      <c r="AA1773" s="99"/>
      <c r="AB1773" s="3" t="str">
        <f>IF(BCP_Soles[[#This Row],[FECHA]]&gt;0,TEXT(BCP_Soles[[#This Row],[FECHA]],"mmmm"),0)</f>
        <v>Mayo</v>
      </c>
    </row>
    <row r="1774" spans="2:28" ht="24" x14ac:dyDescent="0.3">
      <c r="B1774" s="2">
        <f>IF(BCP_Soles[[#This Row],[TIPO DE R.]]="R",COUNTIFS($D$4:$D1773,"R")+1,"")</f>
        <v>1376</v>
      </c>
      <c r="C1774" s="19" t="str">
        <f t="shared" si="135"/>
        <v>B-BCP - Soles</v>
      </c>
      <c r="D1774" s="3" t="s">
        <v>1074</v>
      </c>
      <c r="E1774" s="14">
        <v>45800</v>
      </c>
      <c r="F1774" s="5" t="s">
        <v>2856</v>
      </c>
      <c r="G1774" s="5" t="s">
        <v>1087</v>
      </c>
      <c r="H1774" s="6"/>
      <c r="I1774" s="6"/>
      <c r="J1774" s="6"/>
      <c r="K1774" s="6"/>
      <c r="L1774" s="7" t="s">
        <v>1100</v>
      </c>
      <c r="M1774" s="8">
        <v>2685182</v>
      </c>
      <c r="N1774" s="8" t="str">
        <f t="shared" si="136"/>
        <v>PEN</v>
      </c>
      <c r="O1774" s="13"/>
      <c r="P1774" s="13">
        <v>2680</v>
      </c>
      <c r="Q1774" s="3">
        <f t="shared" si="137"/>
        <v>2680</v>
      </c>
      <c r="R1774" s="3">
        <f t="shared" si="138"/>
        <v>0</v>
      </c>
      <c r="S1774" s="3">
        <f t="shared" si="139"/>
        <v>27014.449999999997</v>
      </c>
      <c r="T1774" s="24" t="s">
        <v>1081</v>
      </c>
      <c r="U1774" s="24" t="s">
        <v>1081</v>
      </c>
      <c r="V1774" s="67"/>
      <c r="W1774" s="25" t="str">
        <f>IFERROR(VLOOKUP(BCP_Soles[[#This Row],[DESTINATARIO]],CHOOSE({1,2},Clientes_Proveedores[Razon Social],Clientes_Proveedores[Ruc / Dni]),2,0),"")</f>
        <v/>
      </c>
      <c r="X1774" s="25" t="s">
        <v>1090</v>
      </c>
      <c r="Y1774" s="25" t="s">
        <v>2857</v>
      </c>
      <c r="Z1774" s="25"/>
      <c r="AA1774" s="99"/>
      <c r="AB1774" s="3" t="str">
        <f>IF(BCP_Soles[[#This Row],[FECHA]]&gt;0,TEXT(BCP_Soles[[#This Row],[FECHA]],"mmmm"),0)</f>
        <v>Mayo</v>
      </c>
    </row>
    <row r="1775" spans="2:28" ht="24" x14ac:dyDescent="0.3">
      <c r="B1775" s="2">
        <f>IF(BCP_Soles[[#This Row],[TIPO DE R.]]="R",COUNTIFS($D$4:$D1774,"R")+1,"")</f>
        <v>1377</v>
      </c>
      <c r="C1775" s="19" t="str">
        <f t="shared" si="135"/>
        <v>B-BCP - Soles</v>
      </c>
      <c r="D1775" s="3" t="s">
        <v>1074</v>
      </c>
      <c r="E1775" s="14">
        <v>45800</v>
      </c>
      <c r="F1775" s="5" t="s">
        <v>183</v>
      </c>
      <c r="G1775" s="5" t="s">
        <v>1087</v>
      </c>
      <c r="H1775" s="6"/>
      <c r="I1775" s="6"/>
      <c r="J1775" s="6"/>
      <c r="K1775" s="6"/>
      <c r="L1775" s="7" t="s">
        <v>2858</v>
      </c>
      <c r="M1775" s="8">
        <v>9396723</v>
      </c>
      <c r="N1775" s="8" t="str">
        <f t="shared" si="136"/>
        <v>PEN</v>
      </c>
      <c r="O1775" s="13"/>
      <c r="P1775" s="13">
        <v>1204.68</v>
      </c>
      <c r="Q1775" s="3">
        <f t="shared" si="137"/>
        <v>1204.68</v>
      </c>
      <c r="R1775" s="3">
        <f t="shared" si="138"/>
        <v>0</v>
      </c>
      <c r="S1775" s="3">
        <f t="shared" si="139"/>
        <v>28219.129999999997</v>
      </c>
      <c r="T1775" s="24" t="s">
        <v>1081</v>
      </c>
      <c r="U1775" s="24" t="s">
        <v>1081</v>
      </c>
      <c r="V1775" s="67"/>
      <c r="W1775" s="25" t="str">
        <f>IFERROR(VLOOKUP(BCP_Soles[[#This Row],[DESTINATARIO]],CHOOSE({1,2},Clientes_Proveedores[Razon Social],Clientes_Proveedores[Ruc / Dni]),2,0),"")</f>
        <v/>
      </c>
      <c r="X1775" s="25" t="s">
        <v>1090</v>
      </c>
      <c r="Y1775" s="25" t="s">
        <v>2859</v>
      </c>
      <c r="Z1775" s="25"/>
      <c r="AA1775" s="99"/>
      <c r="AB1775" s="3" t="str">
        <f>IF(BCP_Soles[[#This Row],[FECHA]]&gt;0,TEXT(BCP_Soles[[#This Row],[FECHA]],"mmmm"),0)</f>
        <v>Mayo</v>
      </c>
    </row>
    <row r="1776" spans="2:28" ht="84" x14ac:dyDescent="0.3">
      <c r="B1776" s="2">
        <f>IF(BCP_Soles[[#This Row],[TIPO DE R.]]="R",COUNTIFS($D$4:$D1775,"R")+1,"")</f>
        <v>1378</v>
      </c>
      <c r="C1776" s="19" t="str">
        <f t="shared" si="135"/>
        <v>B-BCP - Soles</v>
      </c>
      <c r="D1776" s="3" t="s">
        <v>1074</v>
      </c>
      <c r="E1776" s="14">
        <v>45800</v>
      </c>
      <c r="F1776" s="5" t="s">
        <v>301</v>
      </c>
      <c r="G1776" s="5" t="s">
        <v>1087</v>
      </c>
      <c r="H1776" s="6"/>
      <c r="I1776" s="6"/>
      <c r="J1776" s="6"/>
      <c r="K1776" s="6"/>
      <c r="L1776" s="7" t="s">
        <v>1260</v>
      </c>
      <c r="M1776" s="8">
        <v>2306985</v>
      </c>
      <c r="N1776" s="8" t="str">
        <f t="shared" si="136"/>
        <v>PEN</v>
      </c>
      <c r="O1776" s="13"/>
      <c r="P1776" s="13">
        <v>52.09</v>
      </c>
      <c r="Q1776" s="3">
        <f t="shared" si="137"/>
        <v>52.09</v>
      </c>
      <c r="R1776" s="3">
        <f t="shared" si="138"/>
        <v>0</v>
      </c>
      <c r="S1776" s="3">
        <f t="shared" si="139"/>
        <v>28271.219999999998</v>
      </c>
      <c r="T1776" s="24" t="s">
        <v>1081</v>
      </c>
      <c r="U1776" s="24" t="s">
        <v>1081</v>
      </c>
      <c r="V1776" s="67"/>
      <c r="W1776" s="25" t="str">
        <f>IFERROR(VLOOKUP(BCP_Soles[[#This Row],[DESTINATARIO]],CHOOSE({1,2},Clientes_Proveedores[Razon Social],Clientes_Proveedores[Ruc / Dni]),2,0),"")</f>
        <v/>
      </c>
      <c r="X1776" s="25" t="s">
        <v>1090</v>
      </c>
      <c r="Y1776" s="25" t="s">
        <v>2860</v>
      </c>
      <c r="Z1776" s="25"/>
      <c r="AA1776" s="99"/>
      <c r="AB1776" s="3" t="str">
        <f>IF(BCP_Soles[[#This Row],[FECHA]]&gt;0,TEXT(BCP_Soles[[#This Row],[FECHA]],"mmmm"),0)</f>
        <v>Mayo</v>
      </c>
    </row>
    <row r="1777" spans="2:28" ht="24" x14ac:dyDescent="0.3">
      <c r="B1777" s="2">
        <f>IF(BCP_Soles[[#This Row],[TIPO DE R.]]="R",COUNTIFS($D$4:$D1776,"R")+1,"")</f>
        <v>1379</v>
      </c>
      <c r="C1777" s="19" t="str">
        <f t="shared" si="135"/>
        <v>B-BCP - Soles</v>
      </c>
      <c r="D1777" s="3" t="s">
        <v>1074</v>
      </c>
      <c r="E1777" s="14">
        <v>45800</v>
      </c>
      <c r="F1777" s="5" t="s">
        <v>1082</v>
      </c>
      <c r="G1777" s="5" t="s">
        <v>1079</v>
      </c>
      <c r="H1777" s="6"/>
      <c r="I1777" s="6"/>
      <c r="J1777" s="6"/>
      <c r="K1777" s="6"/>
      <c r="L1777" s="7" t="s">
        <v>2861</v>
      </c>
      <c r="M1777" s="8">
        <v>1117987</v>
      </c>
      <c r="N1777" s="8" t="str">
        <f t="shared" si="136"/>
        <v>PEN</v>
      </c>
      <c r="O1777" s="13"/>
      <c r="P1777" s="13">
        <v>428</v>
      </c>
      <c r="Q1777" s="3">
        <f t="shared" si="137"/>
        <v>0</v>
      </c>
      <c r="R1777" s="3">
        <f t="shared" si="138"/>
        <v>428</v>
      </c>
      <c r="S1777" s="3">
        <f t="shared" si="139"/>
        <v>27843.219999999998</v>
      </c>
      <c r="T1777" s="24" t="s">
        <v>1081</v>
      </c>
      <c r="U1777" s="24" t="s">
        <v>1081</v>
      </c>
      <c r="V1777" s="67"/>
      <c r="W1777" s="25" t="str">
        <f>IFERROR(VLOOKUP(BCP_Soles[[#This Row],[DESTINATARIO]],CHOOSE({1,2},Clientes_Proveedores[Razon Social],Clientes_Proveedores[Ruc / Dni]),2,0),"")</f>
        <v/>
      </c>
      <c r="X1777" s="25" t="s">
        <v>271</v>
      </c>
      <c r="Y1777" s="25" t="s">
        <v>2862</v>
      </c>
      <c r="Z1777" s="25"/>
      <c r="AA1777" s="99"/>
      <c r="AB1777" s="3" t="str">
        <f>IF(BCP_Soles[[#This Row],[FECHA]]&gt;0,TEXT(BCP_Soles[[#This Row],[FECHA]],"mmmm"),0)</f>
        <v>Mayo</v>
      </c>
    </row>
    <row r="1778" spans="2:28" ht="24" x14ac:dyDescent="0.3">
      <c r="B1778" s="2" t="str">
        <f>IF(BCP_Soles[[#This Row],[TIPO DE R.]]="R",COUNTIFS($D$4:$D1777,"R")+1,"")</f>
        <v/>
      </c>
      <c r="C1778" s="19" t="str">
        <f t="shared" si="135"/>
        <v>B-BCP - Soles</v>
      </c>
      <c r="D1778" s="3" t="s">
        <v>1101</v>
      </c>
      <c r="E1778" s="14">
        <v>45800</v>
      </c>
      <c r="F1778" s="5" t="s">
        <v>1082</v>
      </c>
      <c r="G1778" s="5"/>
      <c r="H1778" s="6" t="s">
        <v>271</v>
      </c>
      <c r="I1778" s="6" t="s">
        <v>14</v>
      </c>
      <c r="J1778" s="6" t="s">
        <v>1119</v>
      </c>
      <c r="K1778" s="6">
        <v>8265</v>
      </c>
      <c r="L1778" s="7" t="s">
        <v>2861</v>
      </c>
      <c r="M1778" s="8">
        <v>1117987</v>
      </c>
      <c r="N1778" s="8" t="str">
        <f t="shared" si="136"/>
        <v>PEN</v>
      </c>
      <c r="O1778" s="13">
        <v>90</v>
      </c>
      <c r="P1778" s="13"/>
      <c r="Q1778" s="3">
        <f t="shared" si="137"/>
        <v>0</v>
      </c>
      <c r="R1778" s="3">
        <f t="shared" si="138"/>
        <v>0</v>
      </c>
      <c r="S1778" s="3">
        <f t="shared" si="139"/>
        <v>27843.219999999998</v>
      </c>
      <c r="T1778" s="24"/>
      <c r="U1778" s="24" t="s">
        <v>1081</v>
      </c>
      <c r="V1778" s="67"/>
      <c r="W1778" s="25">
        <f>IFERROR(VLOOKUP(BCP_Soles[[#This Row],[DESTINATARIO]],CHOOSE({1,2},Clientes_Proveedores[Razon Social],Clientes_Proveedores[Ruc / Dni]),2,0),"")</f>
        <v>20498041567</v>
      </c>
      <c r="X1778" s="25"/>
      <c r="Y1778" s="25"/>
      <c r="Z1778" s="25"/>
      <c r="AA1778" s="99"/>
      <c r="AB1778" s="3" t="str">
        <f>IF(BCP_Soles[[#This Row],[FECHA]]&gt;0,TEXT(BCP_Soles[[#This Row],[FECHA]],"mmmm"),0)</f>
        <v>Mayo</v>
      </c>
    </row>
    <row r="1779" spans="2:28" ht="24" x14ac:dyDescent="0.3">
      <c r="B1779" s="2" t="str">
        <f>IF(BCP_Soles[[#This Row],[TIPO DE R.]]="R",COUNTIFS($D$4:$D1778,"R")+1,"")</f>
        <v/>
      </c>
      <c r="C1779" s="19" t="str">
        <f t="shared" si="135"/>
        <v>B-BCP - Soles</v>
      </c>
      <c r="D1779" s="3" t="s">
        <v>1101</v>
      </c>
      <c r="E1779" s="14">
        <v>45800</v>
      </c>
      <c r="F1779" s="5" t="s">
        <v>1082</v>
      </c>
      <c r="G1779" s="5"/>
      <c r="H1779" s="6" t="s">
        <v>271</v>
      </c>
      <c r="I1779" s="6" t="s">
        <v>14</v>
      </c>
      <c r="J1779" s="6" t="s">
        <v>1119</v>
      </c>
      <c r="K1779" s="6">
        <v>8257</v>
      </c>
      <c r="L1779" s="7" t="s">
        <v>2861</v>
      </c>
      <c r="M1779" s="8">
        <v>1117987</v>
      </c>
      <c r="N1779" s="8" t="str">
        <f t="shared" si="136"/>
        <v>PEN</v>
      </c>
      <c r="O1779" s="13">
        <v>338</v>
      </c>
      <c r="P1779" s="13"/>
      <c r="Q1779" s="3">
        <f t="shared" si="137"/>
        <v>0</v>
      </c>
      <c r="R1779" s="3">
        <f t="shared" si="138"/>
        <v>0</v>
      </c>
      <c r="S1779" s="3">
        <f t="shared" si="139"/>
        <v>27843.219999999998</v>
      </c>
      <c r="T1779" s="24"/>
      <c r="U1779" s="24" t="s">
        <v>1081</v>
      </c>
      <c r="V1779" s="67"/>
      <c r="W1779" s="25">
        <f>IFERROR(VLOOKUP(BCP_Soles[[#This Row],[DESTINATARIO]],CHOOSE({1,2},Clientes_Proveedores[Razon Social],Clientes_Proveedores[Ruc / Dni]),2,0),"")</f>
        <v>20498041567</v>
      </c>
      <c r="X1779" s="25"/>
      <c r="Y1779" s="25"/>
      <c r="Z1779" s="25"/>
      <c r="AA1779" s="99"/>
      <c r="AB1779" s="3" t="str">
        <f>IF(BCP_Soles[[#This Row],[FECHA]]&gt;0,TEXT(BCP_Soles[[#This Row],[FECHA]],"mmmm"),0)</f>
        <v>Mayo</v>
      </c>
    </row>
    <row r="1780" spans="2:28" x14ac:dyDescent="0.3">
      <c r="B1780" s="2">
        <f>IF(BCP_Soles[[#This Row],[TIPO DE R.]]="R",COUNTIFS($D$4:$D1779,"R")+1,"")</f>
        <v>1380</v>
      </c>
      <c r="C1780" s="19" t="str">
        <f t="shared" si="135"/>
        <v>B-BCP - Soles</v>
      </c>
      <c r="D1780" s="3" t="s">
        <v>1074</v>
      </c>
      <c r="E1780" s="14">
        <v>45800</v>
      </c>
      <c r="F1780" s="5" t="s">
        <v>1082</v>
      </c>
      <c r="G1780" s="5" t="s">
        <v>1079</v>
      </c>
      <c r="H1780" s="6"/>
      <c r="I1780" s="6"/>
      <c r="J1780" s="6"/>
      <c r="K1780" s="6"/>
      <c r="L1780" s="7" t="s">
        <v>2863</v>
      </c>
      <c r="M1780" s="8">
        <v>1011125</v>
      </c>
      <c r="N1780" s="8" t="str">
        <f t="shared" si="136"/>
        <v>PEN</v>
      </c>
      <c r="O1780" s="13"/>
      <c r="P1780" s="13">
        <v>1497</v>
      </c>
      <c r="Q1780" s="3">
        <f t="shared" si="137"/>
        <v>0</v>
      </c>
      <c r="R1780" s="3">
        <f t="shared" si="138"/>
        <v>1497</v>
      </c>
      <c r="S1780" s="3">
        <f t="shared" si="139"/>
        <v>26346.219999999998</v>
      </c>
      <c r="T1780" s="24"/>
      <c r="U1780" s="24"/>
      <c r="V1780" s="67"/>
      <c r="W1780" s="25" t="str">
        <f>IFERROR(VLOOKUP(BCP_Soles[[#This Row],[DESTINATARIO]],CHOOSE({1,2},Clientes_Proveedores[Razon Social],Clientes_Proveedores[Ruc / Dni]),2,0),"")</f>
        <v/>
      </c>
      <c r="X1780" s="25" t="s">
        <v>2386</v>
      </c>
      <c r="Y1780" s="25"/>
      <c r="Z1780" s="25"/>
      <c r="AA1780" s="99"/>
      <c r="AB1780" s="3" t="str">
        <f>IF(BCP_Soles[[#This Row],[FECHA]]&gt;0,TEXT(BCP_Soles[[#This Row],[FECHA]],"mmmm"),0)</f>
        <v>Mayo</v>
      </c>
    </row>
    <row r="1781" spans="2:28" ht="24" x14ac:dyDescent="0.3">
      <c r="B1781" s="2">
        <f>IF(BCP_Soles[[#This Row],[TIPO DE R.]]="R",COUNTIFS($D$4:$D1780,"R")+1,"")</f>
        <v>1381</v>
      </c>
      <c r="C1781" s="19" t="str">
        <f t="shared" si="135"/>
        <v>B-BCP - Soles</v>
      </c>
      <c r="D1781" s="3" t="s">
        <v>1074</v>
      </c>
      <c r="E1781" s="14">
        <v>45800</v>
      </c>
      <c r="F1781" s="5" t="s">
        <v>1082</v>
      </c>
      <c r="G1781" s="5" t="s">
        <v>1079</v>
      </c>
      <c r="H1781" s="6" t="s">
        <v>54</v>
      </c>
      <c r="I1781" s="6" t="s">
        <v>14</v>
      </c>
      <c r="J1781" s="6" t="s">
        <v>1119</v>
      </c>
      <c r="K1781" s="6">
        <v>16143</v>
      </c>
      <c r="L1781" s="7" t="s">
        <v>2864</v>
      </c>
      <c r="M1781" s="8">
        <v>1189165</v>
      </c>
      <c r="N1781" s="8" t="str">
        <f t="shared" si="136"/>
        <v>PEN</v>
      </c>
      <c r="O1781" s="13"/>
      <c r="P1781" s="13">
        <v>1540</v>
      </c>
      <c r="Q1781" s="3">
        <f t="shared" si="137"/>
        <v>0</v>
      </c>
      <c r="R1781" s="3">
        <f t="shared" si="138"/>
        <v>1540</v>
      </c>
      <c r="S1781" s="3">
        <f t="shared" si="139"/>
        <v>24806.219999999998</v>
      </c>
      <c r="T1781" s="24" t="s">
        <v>1081</v>
      </c>
      <c r="U1781" s="24" t="s">
        <v>1081</v>
      </c>
      <c r="V1781" s="67"/>
      <c r="W1781" s="25">
        <f>IFERROR(VLOOKUP(BCP_Soles[[#This Row],[DESTINATARIO]],CHOOSE({1,2},Clientes_Proveedores[Razon Social],Clientes_Proveedores[Ruc / Dni]),2,0),"")</f>
        <v>10295259634</v>
      </c>
      <c r="X1781" s="25" t="s">
        <v>54</v>
      </c>
      <c r="Y1781" s="25" t="s">
        <v>2865</v>
      </c>
      <c r="Z1781" s="25"/>
      <c r="AA1781" s="99"/>
      <c r="AB1781" s="3" t="str">
        <f>IF(BCP_Soles[[#This Row],[FECHA]]&gt;0,TEXT(BCP_Soles[[#This Row],[FECHA]],"mmmm"),0)</f>
        <v>Mayo</v>
      </c>
    </row>
    <row r="1782" spans="2:28" x14ac:dyDescent="0.3">
      <c r="B1782" s="2">
        <f>IF(BCP_Soles[[#This Row],[TIPO DE R.]]="R",COUNTIFS($D$4:$D1781,"R")+1,"")</f>
        <v>1382</v>
      </c>
      <c r="C1782" s="19" t="str">
        <f t="shared" si="135"/>
        <v>B-BCP - Soles</v>
      </c>
      <c r="D1782" s="3" t="s">
        <v>1074</v>
      </c>
      <c r="E1782" s="14">
        <v>45800</v>
      </c>
      <c r="F1782" s="5" t="s">
        <v>1082</v>
      </c>
      <c r="G1782" s="5" t="s">
        <v>1079</v>
      </c>
      <c r="H1782" s="6" t="s">
        <v>638</v>
      </c>
      <c r="I1782" s="6"/>
      <c r="J1782" s="6"/>
      <c r="K1782" s="6"/>
      <c r="L1782" s="7" t="s">
        <v>2866</v>
      </c>
      <c r="M1782" s="8">
        <v>9434885</v>
      </c>
      <c r="N1782" s="8" t="str">
        <f t="shared" si="136"/>
        <v>PEN</v>
      </c>
      <c r="O1782" s="13"/>
      <c r="P1782" s="13">
        <v>4428.2</v>
      </c>
      <c r="Q1782" s="3">
        <f t="shared" si="137"/>
        <v>0</v>
      </c>
      <c r="R1782" s="3">
        <f t="shared" si="138"/>
        <v>4428.2</v>
      </c>
      <c r="S1782" s="3">
        <f t="shared" si="139"/>
        <v>20378.019999999997</v>
      </c>
      <c r="T1782" s="24" t="s">
        <v>1081</v>
      </c>
      <c r="U1782" s="24" t="s">
        <v>1081</v>
      </c>
      <c r="V1782" s="67"/>
      <c r="W1782" s="25">
        <f>IFERROR(VLOOKUP(BCP_Soles[[#This Row],[DESTINATARIO]],CHOOSE({1,2},Clientes_Proveedores[Razon Social],Clientes_Proveedores[Ruc / Dni]),2,0),"")</f>
        <v>0</v>
      </c>
      <c r="X1782" s="25" t="s">
        <v>1118</v>
      </c>
      <c r="Y1782" s="25"/>
      <c r="Z1782" s="25"/>
      <c r="AA1782" s="99"/>
      <c r="AB1782" s="3" t="str">
        <f>IF(BCP_Soles[[#This Row],[FECHA]]&gt;0,TEXT(BCP_Soles[[#This Row],[FECHA]],"mmmm"),0)</f>
        <v>Mayo</v>
      </c>
    </row>
    <row r="1783" spans="2:28" ht="48" x14ac:dyDescent="0.3">
      <c r="B1783" s="2" t="str">
        <f>IF(BCP_Soles[[#This Row],[TIPO DE R.]]="R",COUNTIFS($D$4:$D1782,"R")+1,"")</f>
        <v/>
      </c>
      <c r="C1783" s="19" t="str">
        <f t="shared" si="135"/>
        <v>B-BCP - Soles</v>
      </c>
      <c r="D1783" s="3" t="s">
        <v>1101</v>
      </c>
      <c r="E1783" s="14">
        <v>45800</v>
      </c>
      <c r="F1783" s="5" t="s">
        <v>1082</v>
      </c>
      <c r="G1783" s="5"/>
      <c r="H1783" s="6" t="s">
        <v>484</v>
      </c>
      <c r="I1783" s="6" t="s">
        <v>14</v>
      </c>
      <c r="J1783" s="6" t="s">
        <v>1119</v>
      </c>
      <c r="K1783" s="6">
        <v>25</v>
      </c>
      <c r="L1783" s="7" t="s">
        <v>2866</v>
      </c>
      <c r="M1783" s="8">
        <v>9434885</v>
      </c>
      <c r="N1783" s="8" t="str">
        <f t="shared" si="136"/>
        <v>PEN</v>
      </c>
      <c r="O1783" s="13">
        <v>1070</v>
      </c>
      <c r="P1783" s="13"/>
      <c r="Q1783" s="3">
        <f t="shared" si="137"/>
        <v>0</v>
      </c>
      <c r="R1783" s="3">
        <f t="shared" si="138"/>
        <v>0</v>
      </c>
      <c r="S1783" s="3">
        <f t="shared" si="139"/>
        <v>20378.019999999997</v>
      </c>
      <c r="T1783" s="24"/>
      <c r="U1783" s="24" t="s">
        <v>1081</v>
      </c>
      <c r="V1783" s="67"/>
      <c r="W1783" s="25">
        <f>IFERROR(VLOOKUP(BCP_Soles[[#This Row],[DESTINATARIO]],CHOOSE({1,2},Clientes_Proveedores[Razon Social],Clientes_Proveedores[Ruc / Dni]),2,0),"")</f>
        <v>20605931457</v>
      </c>
      <c r="X1783" s="25"/>
      <c r="Y1783" s="25"/>
      <c r="Z1783" s="25"/>
      <c r="AA1783" s="99"/>
      <c r="AB1783" s="3" t="str">
        <f>IF(BCP_Soles[[#This Row],[FECHA]]&gt;0,TEXT(BCP_Soles[[#This Row],[FECHA]],"mmmm"),0)</f>
        <v>Mayo</v>
      </c>
    </row>
    <row r="1784" spans="2:28" ht="48" x14ac:dyDescent="0.3">
      <c r="B1784" s="2" t="str">
        <f>IF(BCP_Soles[[#This Row],[TIPO DE R.]]="R",COUNTIFS($D$4:$D1783,"R")+1,"")</f>
        <v/>
      </c>
      <c r="C1784" s="19" t="str">
        <f t="shared" si="135"/>
        <v>B-BCP - Soles</v>
      </c>
      <c r="D1784" s="3" t="s">
        <v>1101</v>
      </c>
      <c r="E1784" s="14">
        <v>45800</v>
      </c>
      <c r="F1784" s="5" t="s">
        <v>1082</v>
      </c>
      <c r="G1784" s="5"/>
      <c r="H1784" s="6" t="s">
        <v>484</v>
      </c>
      <c r="I1784" s="6" t="s">
        <v>14</v>
      </c>
      <c r="J1784" s="6" t="s">
        <v>1119</v>
      </c>
      <c r="K1784" s="6">
        <v>24</v>
      </c>
      <c r="L1784" s="7" t="s">
        <v>2866</v>
      </c>
      <c r="M1784" s="8">
        <v>9434885</v>
      </c>
      <c r="N1784" s="8" t="str">
        <f t="shared" si="136"/>
        <v>PEN</v>
      </c>
      <c r="O1784" s="13">
        <v>1399</v>
      </c>
      <c r="P1784" s="13"/>
      <c r="Q1784" s="3">
        <f t="shared" si="137"/>
        <v>0</v>
      </c>
      <c r="R1784" s="3">
        <f t="shared" si="138"/>
        <v>0</v>
      </c>
      <c r="S1784" s="3">
        <f t="shared" si="139"/>
        <v>20378.019999999997</v>
      </c>
      <c r="T1784" s="24"/>
      <c r="U1784" s="24" t="s">
        <v>1081</v>
      </c>
      <c r="V1784" s="67"/>
      <c r="W1784" s="25">
        <f>IFERROR(VLOOKUP(BCP_Soles[[#This Row],[DESTINATARIO]],CHOOSE({1,2},Clientes_Proveedores[Razon Social],Clientes_Proveedores[Ruc / Dni]),2,0),"")</f>
        <v>20605931457</v>
      </c>
      <c r="X1784" s="25"/>
      <c r="Y1784" s="25"/>
      <c r="Z1784" s="25"/>
      <c r="AA1784" s="99"/>
      <c r="AB1784" s="3" t="str">
        <f>IF(BCP_Soles[[#This Row],[FECHA]]&gt;0,TEXT(BCP_Soles[[#This Row],[FECHA]],"mmmm"),0)</f>
        <v>Mayo</v>
      </c>
    </row>
    <row r="1785" spans="2:28" ht="48" x14ac:dyDescent="0.3">
      <c r="B1785" s="2" t="str">
        <f>IF(BCP_Soles[[#This Row],[TIPO DE R.]]="R",COUNTIFS($D$4:$D1784,"R")+1,"")</f>
        <v/>
      </c>
      <c r="C1785" s="19" t="str">
        <f t="shared" si="135"/>
        <v>B-BCP - Soles</v>
      </c>
      <c r="D1785" s="3" t="s">
        <v>1101</v>
      </c>
      <c r="E1785" s="14">
        <v>45800</v>
      </c>
      <c r="F1785" s="5" t="s">
        <v>1082</v>
      </c>
      <c r="G1785" s="5"/>
      <c r="H1785" s="6" t="s">
        <v>484</v>
      </c>
      <c r="I1785" s="6" t="s">
        <v>14</v>
      </c>
      <c r="J1785" s="6" t="s">
        <v>1119</v>
      </c>
      <c r="K1785" s="6">
        <v>17</v>
      </c>
      <c r="L1785" s="7" t="s">
        <v>2866</v>
      </c>
      <c r="M1785" s="8">
        <v>9434885</v>
      </c>
      <c r="N1785" s="8" t="str">
        <f t="shared" si="136"/>
        <v>PEN</v>
      </c>
      <c r="O1785" s="13">
        <v>519.20000000000005</v>
      </c>
      <c r="P1785" s="13"/>
      <c r="Q1785" s="3">
        <f t="shared" si="137"/>
        <v>0</v>
      </c>
      <c r="R1785" s="3">
        <f t="shared" si="138"/>
        <v>0</v>
      </c>
      <c r="S1785" s="3">
        <f t="shared" si="139"/>
        <v>20378.019999999997</v>
      </c>
      <c r="T1785" s="24"/>
      <c r="U1785" s="24" t="s">
        <v>1081</v>
      </c>
      <c r="V1785" s="67"/>
      <c r="W1785" s="25">
        <f>IFERROR(VLOOKUP(BCP_Soles[[#This Row],[DESTINATARIO]],CHOOSE({1,2},Clientes_Proveedores[Razon Social],Clientes_Proveedores[Ruc / Dni]),2,0),"")</f>
        <v>20605931457</v>
      </c>
      <c r="X1785" s="25"/>
      <c r="Y1785" s="25"/>
      <c r="Z1785" s="25"/>
      <c r="AA1785" s="99"/>
      <c r="AB1785" s="3" t="str">
        <f>IF(BCP_Soles[[#This Row],[FECHA]]&gt;0,TEXT(BCP_Soles[[#This Row],[FECHA]],"mmmm"),0)</f>
        <v>Mayo</v>
      </c>
    </row>
    <row r="1786" spans="2:28" ht="36" x14ac:dyDescent="0.3">
      <c r="B1786" s="2" t="str">
        <f>IF(BCP_Soles[[#This Row],[TIPO DE R.]]="R",COUNTIFS($D$4:$D1785,"R")+1,"")</f>
        <v/>
      </c>
      <c r="C1786" s="19" t="str">
        <f t="shared" si="135"/>
        <v>B-BCP - Soles</v>
      </c>
      <c r="D1786" s="3" t="s">
        <v>1101</v>
      </c>
      <c r="E1786" s="14">
        <v>45800</v>
      </c>
      <c r="F1786" s="5" t="s">
        <v>1082</v>
      </c>
      <c r="G1786" s="5"/>
      <c r="H1786" s="6" t="s">
        <v>220</v>
      </c>
      <c r="I1786" s="6" t="s">
        <v>14</v>
      </c>
      <c r="J1786" s="6" t="s">
        <v>1148</v>
      </c>
      <c r="K1786" s="6">
        <v>1726</v>
      </c>
      <c r="L1786" s="7" t="s">
        <v>2866</v>
      </c>
      <c r="M1786" s="8">
        <v>9434885</v>
      </c>
      <c r="N1786" s="8" t="str">
        <f t="shared" si="136"/>
        <v>PEN</v>
      </c>
      <c r="O1786" s="13">
        <v>1440</v>
      </c>
      <c r="P1786" s="13"/>
      <c r="Q1786" s="3">
        <f t="shared" si="137"/>
        <v>0</v>
      </c>
      <c r="R1786" s="3">
        <f t="shared" si="138"/>
        <v>0</v>
      </c>
      <c r="S1786" s="3">
        <f t="shared" si="139"/>
        <v>20378.019999999997</v>
      </c>
      <c r="T1786" s="24"/>
      <c r="U1786" s="24" t="s">
        <v>1081</v>
      </c>
      <c r="V1786" s="67"/>
      <c r="W1786" s="25">
        <f>IFERROR(VLOOKUP(BCP_Soles[[#This Row],[DESTINATARIO]],CHOOSE({1,2},Clientes_Proveedores[Razon Social],Clientes_Proveedores[Ruc / Dni]),2,0),"")</f>
        <v>20429640939</v>
      </c>
      <c r="X1786" s="25"/>
      <c r="Y1786" s="25"/>
      <c r="Z1786" s="25"/>
      <c r="AA1786" s="99"/>
      <c r="AB1786" s="3" t="str">
        <f>IF(BCP_Soles[[#This Row],[FECHA]]&gt;0,TEXT(BCP_Soles[[#This Row],[FECHA]],"mmmm"),0)</f>
        <v>Mayo</v>
      </c>
    </row>
    <row r="1787" spans="2:28" x14ac:dyDescent="0.3">
      <c r="B1787" s="2">
        <f>IF(BCP_Soles[[#This Row],[TIPO DE R.]]="R",COUNTIFS($D$4:$D1786,"R")+1,"")</f>
        <v>1383</v>
      </c>
      <c r="C1787" s="19" t="str">
        <f t="shared" si="135"/>
        <v>B-BCP - Soles</v>
      </c>
      <c r="D1787" s="3" t="s">
        <v>1074</v>
      </c>
      <c r="E1787" s="14">
        <v>45800</v>
      </c>
      <c r="F1787" s="5" t="s">
        <v>1082</v>
      </c>
      <c r="G1787" s="5" t="s">
        <v>1079</v>
      </c>
      <c r="H1787" s="6"/>
      <c r="I1787" s="6"/>
      <c r="J1787" s="6"/>
      <c r="K1787" s="6"/>
      <c r="L1787" s="7" t="s">
        <v>2867</v>
      </c>
      <c r="M1787" s="8">
        <v>1013848</v>
      </c>
      <c r="N1787" s="8" t="str">
        <f t="shared" si="136"/>
        <v>PEN</v>
      </c>
      <c r="O1787" s="13"/>
      <c r="P1787" s="13">
        <v>6079</v>
      </c>
      <c r="Q1787" s="3">
        <f t="shared" si="137"/>
        <v>0</v>
      </c>
      <c r="R1787" s="3">
        <f t="shared" si="138"/>
        <v>6079</v>
      </c>
      <c r="S1787" s="3">
        <f t="shared" si="139"/>
        <v>14299.019999999997</v>
      </c>
      <c r="T1787" s="24"/>
      <c r="U1787" s="24"/>
      <c r="V1787" s="67"/>
      <c r="W1787" s="25" t="str">
        <f>IFERROR(VLOOKUP(BCP_Soles[[#This Row],[DESTINATARIO]],CHOOSE({1,2},Clientes_Proveedores[Razon Social],Clientes_Proveedores[Ruc / Dni]),2,0),"")</f>
        <v/>
      </c>
      <c r="X1787" s="25" t="s">
        <v>2386</v>
      </c>
      <c r="Y1787" s="25"/>
      <c r="Z1787" s="25"/>
      <c r="AA1787" s="99"/>
      <c r="AB1787" s="3" t="str">
        <f>IF(BCP_Soles[[#This Row],[FECHA]]&gt;0,TEXT(BCP_Soles[[#This Row],[FECHA]],"mmmm"),0)</f>
        <v>Mayo</v>
      </c>
    </row>
    <row r="1788" spans="2:28" x14ac:dyDescent="0.3">
      <c r="B1788" s="2">
        <f>IF(BCP_Soles[[#This Row],[TIPO DE R.]]="R",COUNTIFS($D$4:$D1787,"R")+1,"")</f>
        <v>1384</v>
      </c>
      <c r="C1788" s="19" t="str">
        <f t="shared" si="135"/>
        <v>B-BCP - Soles</v>
      </c>
      <c r="D1788" s="3" t="s">
        <v>1074</v>
      </c>
      <c r="E1788" s="14">
        <v>45800</v>
      </c>
      <c r="F1788" s="5" t="s">
        <v>1078</v>
      </c>
      <c r="G1788" s="5" t="s">
        <v>1079</v>
      </c>
      <c r="H1788" s="6"/>
      <c r="I1788" s="6"/>
      <c r="J1788" s="6"/>
      <c r="K1788" s="6"/>
      <c r="L1788" s="7" t="s">
        <v>2868</v>
      </c>
      <c r="M1788" s="8"/>
      <c r="N1788" s="8" t="str">
        <f t="shared" si="136"/>
        <v>PEN</v>
      </c>
      <c r="O1788" s="13"/>
      <c r="P1788" s="13">
        <v>1.35</v>
      </c>
      <c r="Q1788" s="3">
        <f t="shared" si="137"/>
        <v>0</v>
      </c>
      <c r="R1788" s="3">
        <f t="shared" si="138"/>
        <v>1.35</v>
      </c>
      <c r="S1788" s="3">
        <f t="shared" si="139"/>
        <v>14297.669999999996</v>
      </c>
      <c r="T1788" s="24"/>
      <c r="U1788" s="24" t="s">
        <v>1081</v>
      </c>
      <c r="V1788" s="67"/>
      <c r="W1788" s="25" t="str">
        <f>IFERROR(VLOOKUP(BCP_Soles[[#This Row],[DESTINATARIO]],CHOOSE({1,2},Clientes_Proveedores[Razon Social],Clientes_Proveedores[Ruc / Dni]),2,0),"")</f>
        <v/>
      </c>
      <c r="X1788" s="25"/>
      <c r="Y1788" s="25"/>
      <c r="Z1788" s="25"/>
      <c r="AA1788" s="99"/>
      <c r="AB1788" s="3" t="str">
        <f>IF(BCP_Soles[[#This Row],[FECHA]]&gt;0,TEXT(BCP_Soles[[#This Row],[FECHA]],"mmmm"),0)</f>
        <v>Mayo</v>
      </c>
    </row>
    <row r="1789" spans="2:28" x14ac:dyDescent="0.3">
      <c r="B1789" s="2">
        <f>IF(BCP_Soles[[#This Row],[TIPO DE R.]]="R",COUNTIFS($D$4:$D1788,"R")+1,"")</f>
        <v>1385</v>
      </c>
      <c r="C1789" s="19" t="str">
        <f t="shared" si="135"/>
        <v>B-BCP - Soles</v>
      </c>
      <c r="D1789" s="3" t="s">
        <v>1074</v>
      </c>
      <c r="E1789" s="14">
        <v>45800</v>
      </c>
      <c r="F1789" s="5" t="s">
        <v>1078</v>
      </c>
      <c r="G1789" s="5" t="s">
        <v>1079</v>
      </c>
      <c r="H1789" s="6"/>
      <c r="I1789" s="6"/>
      <c r="J1789" s="6"/>
      <c r="K1789" s="6"/>
      <c r="L1789" s="7" t="s">
        <v>1141</v>
      </c>
      <c r="M1789" s="8">
        <v>469</v>
      </c>
      <c r="N1789" s="8" t="str">
        <f t="shared" si="136"/>
        <v>PEN</v>
      </c>
      <c r="O1789" s="13"/>
      <c r="P1789" s="13">
        <v>10</v>
      </c>
      <c r="Q1789" s="3">
        <f t="shared" si="137"/>
        <v>0</v>
      </c>
      <c r="R1789" s="3">
        <f t="shared" si="138"/>
        <v>10</v>
      </c>
      <c r="S1789" s="3">
        <f t="shared" si="139"/>
        <v>14287.669999999996</v>
      </c>
      <c r="T1789" s="24" t="s">
        <v>1081</v>
      </c>
      <c r="U1789" s="24" t="s">
        <v>1081</v>
      </c>
      <c r="V1789" s="67"/>
      <c r="W1789" s="25" t="str">
        <f>IFERROR(VLOOKUP(BCP_Soles[[#This Row],[DESTINATARIO]],CHOOSE({1,2},Clientes_Proveedores[Razon Social],Clientes_Proveedores[Ruc / Dni]),2,0),"")</f>
        <v/>
      </c>
      <c r="X1789" s="25" t="s">
        <v>1078</v>
      </c>
      <c r="Y1789" s="25" t="s">
        <v>2869</v>
      </c>
      <c r="Z1789" s="25"/>
      <c r="AA1789" s="99"/>
      <c r="AB1789" s="3" t="str">
        <f>IF(BCP_Soles[[#This Row],[FECHA]]&gt;0,TEXT(BCP_Soles[[#This Row],[FECHA]],"mmmm"),0)</f>
        <v>Mayo</v>
      </c>
    </row>
    <row r="1790" spans="2:28" x14ac:dyDescent="0.3">
      <c r="B1790" s="2">
        <f>IF(BCP_Soles[[#This Row],[TIPO DE R.]]="R",COUNTIFS($D$4:$D1789,"R")+1,"")</f>
        <v>1386</v>
      </c>
      <c r="C1790" s="19" t="str">
        <f t="shared" si="135"/>
        <v>B-BCP - Soles</v>
      </c>
      <c r="D1790" s="3" t="s">
        <v>1074</v>
      </c>
      <c r="E1790" s="14">
        <v>45800</v>
      </c>
      <c r="F1790" s="5" t="s">
        <v>1078</v>
      </c>
      <c r="G1790" s="5" t="s">
        <v>1079</v>
      </c>
      <c r="H1790" s="6"/>
      <c r="I1790" s="6"/>
      <c r="J1790" s="6"/>
      <c r="K1790" s="6"/>
      <c r="L1790" s="7" t="s">
        <v>1141</v>
      </c>
      <c r="M1790" s="8">
        <v>469</v>
      </c>
      <c r="N1790" s="8" t="str">
        <f t="shared" si="136"/>
        <v>PEN</v>
      </c>
      <c r="O1790" s="13"/>
      <c r="P1790" s="13">
        <v>10</v>
      </c>
      <c r="Q1790" s="3">
        <f t="shared" si="137"/>
        <v>0</v>
      </c>
      <c r="R1790" s="3">
        <f t="shared" si="138"/>
        <v>10</v>
      </c>
      <c r="S1790" s="3">
        <f t="shared" si="139"/>
        <v>14277.669999999996</v>
      </c>
      <c r="T1790" s="24" t="s">
        <v>1081</v>
      </c>
      <c r="U1790" s="24" t="s">
        <v>1081</v>
      </c>
      <c r="V1790" s="67"/>
      <c r="W1790" s="25" t="str">
        <f>IFERROR(VLOOKUP(BCP_Soles[[#This Row],[DESTINATARIO]],CHOOSE({1,2},Clientes_Proveedores[Razon Social],Clientes_Proveedores[Ruc / Dni]),2,0),"")</f>
        <v/>
      </c>
      <c r="X1790" s="25" t="s">
        <v>1078</v>
      </c>
      <c r="Y1790" s="25" t="s">
        <v>2869</v>
      </c>
      <c r="Z1790" s="25"/>
      <c r="AA1790" s="99"/>
      <c r="AB1790" s="3" t="str">
        <f>IF(BCP_Soles[[#This Row],[FECHA]]&gt;0,TEXT(BCP_Soles[[#This Row],[FECHA]],"mmmm"),0)</f>
        <v>Mayo</v>
      </c>
    </row>
    <row r="1791" spans="2:28" x14ac:dyDescent="0.3">
      <c r="B1791" s="2">
        <f>IF(BCP_Soles[[#This Row],[TIPO DE R.]]="R",COUNTIFS($D$4:$D1790,"R")+1,"")</f>
        <v>1387</v>
      </c>
      <c r="C1791" s="19" t="str">
        <f t="shared" si="135"/>
        <v>B-BCP - Soles</v>
      </c>
      <c r="D1791" s="3" t="s">
        <v>1074</v>
      </c>
      <c r="E1791" s="14">
        <v>45801</v>
      </c>
      <c r="F1791" s="5"/>
      <c r="G1791" s="5" t="s">
        <v>1087</v>
      </c>
      <c r="H1791" s="6"/>
      <c r="I1791" s="6"/>
      <c r="J1791" s="6"/>
      <c r="K1791" s="6"/>
      <c r="L1791" s="7" t="s">
        <v>1100</v>
      </c>
      <c r="M1791" s="8">
        <v>674351</v>
      </c>
      <c r="N1791" s="8" t="str">
        <f t="shared" si="136"/>
        <v>PEN</v>
      </c>
      <c r="O1791" s="13"/>
      <c r="P1791" s="13">
        <v>3284</v>
      </c>
      <c r="Q1791" s="3">
        <f t="shared" si="137"/>
        <v>3284</v>
      </c>
      <c r="R1791" s="3">
        <f t="shared" si="138"/>
        <v>0</v>
      </c>
      <c r="S1791" s="3">
        <f t="shared" si="139"/>
        <v>17561.669999999998</v>
      </c>
      <c r="T1791" s="24" t="s">
        <v>1081</v>
      </c>
      <c r="U1791" s="24" t="s">
        <v>1081</v>
      </c>
      <c r="V1791" s="67"/>
      <c r="W1791" s="25" t="str">
        <f>IFERROR(VLOOKUP(BCP_Soles[[#This Row],[DESTINATARIO]],CHOOSE({1,2},Clientes_Proveedores[Razon Social],Clientes_Proveedores[Ruc / Dni]),2,0),"")</f>
        <v/>
      </c>
      <c r="X1791" s="25" t="s">
        <v>1090</v>
      </c>
      <c r="Y1791" s="25"/>
      <c r="Z1791" s="25"/>
      <c r="AA1791" s="99"/>
      <c r="AB1791" s="3" t="str">
        <f>IF(BCP_Soles[[#This Row],[FECHA]]&gt;0,TEXT(BCP_Soles[[#This Row],[FECHA]],"mmmm"),0)</f>
        <v>Mayo</v>
      </c>
    </row>
    <row r="1792" spans="2:28" ht="24" x14ac:dyDescent="0.3">
      <c r="B1792" s="2" t="str">
        <f>IF(BCP_Soles[[#This Row],[TIPO DE R.]]="R",COUNTIFS($D$4:$D1791,"R")+1,"")</f>
        <v/>
      </c>
      <c r="C1792" s="19" t="str">
        <f t="shared" si="135"/>
        <v>B-BCP - Soles</v>
      </c>
      <c r="D1792" s="3" t="s">
        <v>1101</v>
      </c>
      <c r="E1792" s="14">
        <v>45801</v>
      </c>
      <c r="F1792" s="5" t="s">
        <v>479</v>
      </c>
      <c r="G1792" s="5"/>
      <c r="H1792" s="6"/>
      <c r="I1792" s="6"/>
      <c r="J1792" s="6"/>
      <c r="K1792" s="6"/>
      <c r="L1792" s="7" t="s">
        <v>1100</v>
      </c>
      <c r="M1792" s="8">
        <v>674351</v>
      </c>
      <c r="N1792" s="8" t="str">
        <f t="shared" si="136"/>
        <v>PEN</v>
      </c>
      <c r="O1792" s="13"/>
      <c r="P1792" s="13">
        <v>2322</v>
      </c>
      <c r="Q1792" s="3">
        <f t="shared" si="137"/>
        <v>0</v>
      </c>
      <c r="R1792" s="3">
        <f t="shared" si="138"/>
        <v>0</v>
      </c>
      <c r="S1792" s="3">
        <f t="shared" si="139"/>
        <v>17561.669999999998</v>
      </c>
      <c r="T1792" s="24" t="s">
        <v>1081</v>
      </c>
      <c r="U1792" s="24" t="s">
        <v>1081</v>
      </c>
      <c r="V1792" s="67"/>
      <c r="W1792" s="25" t="str">
        <f>IFERROR(VLOOKUP(BCP_Soles[[#This Row],[DESTINATARIO]],CHOOSE({1,2},Clientes_Proveedores[Razon Social],Clientes_Proveedores[Ruc / Dni]),2,0),"")</f>
        <v/>
      </c>
      <c r="X1792" s="25" t="s">
        <v>1090</v>
      </c>
      <c r="Y1792" s="25" t="s">
        <v>2870</v>
      </c>
      <c r="Z1792" s="25"/>
      <c r="AA1792" s="99"/>
      <c r="AB1792" s="3" t="str">
        <f>IF(BCP_Soles[[#This Row],[FECHA]]&gt;0,TEXT(BCP_Soles[[#This Row],[FECHA]],"mmmm"),0)</f>
        <v>Mayo</v>
      </c>
    </row>
    <row r="1793" spans="2:28" ht="24" x14ac:dyDescent="0.3">
      <c r="B1793" s="2" t="str">
        <f>IF(BCP_Soles[[#This Row],[TIPO DE R.]]="R",COUNTIFS($D$4:$D1792,"R")+1,"")</f>
        <v/>
      </c>
      <c r="C1793" s="19" t="str">
        <f t="shared" si="135"/>
        <v>B-BCP - Soles</v>
      </c>
      <c r="D1793" s="3" t="s">
        <v>1101</v>
      </c>
      <c r="E1793" s="14">
        <v>45801</v>
      </c>
      <c r="F1793" s="5" t="s">
        <v>479</v>
      </c>
      <c r="G1793" s="5"/>
      <c r="H1793" s="6"/>
      <c r="I1793" s="6"/>
      <c r="J1793" s="6"/>
      <c r="K1793" s="6"/>
      <c r="L1793" s="7" t="s">
        <v>1100</v>
      </c>
      <c r="M1793" s="8">
        <v>674351</v>
      </c>
      <c r="N1793" s="8" t="str">
        <f t="shared" si="136"/>
        <v>PEN</v>
      </c>
      <c r="O1793" s="13"/>
      <c r="P1793" s="13">
        <v>962</v>
      </c>
      <c r="Q1793" s="3">
        <f t="shared" si="137"/>
        <v>0</v>
      </c>
      <c r="R1793" s="3">
        <f t="shared" si="138"/>
        <v>0</v>
      </c>
      <c r="S1793" s="3">
        <f t="shared" si="139"/>
        <v>17561.669999999998</v>
      </c>
      <c r="T1793" s="24" t="s">
        <v>1081</v>
      </c>
      <c r="U1793" s="24" t="s">
        <v>1081</v>
      </c>
      <c r="V1793" s="67"/>
      <c r="W1793" s="25" t="str">
        <f>IFERROR(VLOOKUP(BCP_Soles[[#This Row],[DESTINATARIO]],CHOOSE({1,2},Clientes_Proveedores[Razon Social],Clientes_Proveedores[Ruc / Dni]),2,0),"")</f>
        <v/>
      </c>
      <c r="X1793" s="25" t="s">
        <v>1090</v>
      </c>
      <c r="Y1793" s="25" t="s">
        <v>2871</v>
      </c>
      <c r="Z1793" s="25"/>
      <c r="AA1793" s="99"/>
      <c r="AB1793" s="3" t="str">
        <f>IF(BCP_Soles[[#This Row],[FECHA]]&gt;0,TEXT(BCP_Soles[[#This Row],[FECHA]],"mmmm"),0)</f>
        <v>Mayo</v>
      </c>
    </row>
    <row r="1794" spans="2:28" x14ac:dyDescent="0.3">
      <c r="B1794" s="2">
        <f>IF(BCP_Soles[[#This Row],[TIPO DE R.]]="R",COUNTIFS($D$4:$D1793,"R")+1,"")</f>
        <v>1388</v>
      </c>
      <c r="C1794" s="19" t="str">
        <f t="shared" si="135"/>
        <v>B-BCP - Soles</v>
      </c>
      <c r="D1794" s="3" t="s">
        <v>1074</v>
      </c>
      <c r="E1794" s="14">
        <v>45802</v>
      </c>
      <c r="F1794" s="5" t="s">
        <v>1078</v>
      </c>
      <c r="G1794" s="5" t="s">
        <v>1079</v>
      </c>
      <c r="H1794" s="6"/>
      <c r="I1794" s="6"/>
      <c r="J1794" s="6"/>
      <c r="K1794" s="6"/>
      <c r="L1794" s="7" t="s">
        <v>2868</v>
      </c>
      <c r="M1794" s="8"/>
      <c r="N1794" s="8" t="str">
        <f t="shared" si="136"/>
        <v>PEN</v>
      </c>
      <c r="O1794" s="13"/>
      <c r="P1794" s="13">
        <v>0.15</v>
      </c>
      <c r="Q1794" s="3">
        <f t="shared" si="137"/>
        <v>0</v>
      </c>
      <c r="R1794" s="3">
        <f t="shared" si="138"/>
        <v>0.15</v>
      </c>
      <c r="S1794" s="3">
        <f t="shared" si="139"/>
        <v>17561.519999999997</v>
      </c>
      <c r="T1794" s="24" t="s">
        <v>1081</v>
      </c>
      <c r="U1794" s="24" t="s">
        <v>1081</v>
      </c>
      <c r="V1794" s="67"/>
      <c r="W1794" s="25" t="str">
        <f>IFERROR(VLOOKUP(BCP_Soles[[#This Row],[DESTINATARIO]],CHOOSE({1,2},Clientes_Proveedores[Razon Social],Clientes_Proveedores[Ruc / Dni]),2,0),"")</f>
        <v/>
      </c>
      <c r="X1794" s="25"/>
      <c r="Y1794" s="25"/>
      <c r="Z1794" s="25"/>
      <c r="AA1794" s="99"/>
      <c r="AB1794" s="3" t="str">
        <f>IF(BCP_Soles[[#This Row],[FECHA]]&gt;0,TEXT(BCP_Soles[[#This Row],[FECHA]],"mmmm"),0)</f>
        <v>Mayo</v>
      </c>
    </row>
    <row r="1795" spans="2:28" ht="24" x14ac:dyDescent="0.3">
      <c r="B1795" s="2">
        <f>IF(BCP_Soles[[#This Row],[TIPO DE R.]]="R",COUNTIFS($D$4:$D1794,"R")+1,"")</f>
        <v>1389</v>
      </c>
      <c r="C1795" s="19" t="str">
        <f t="shared" si="135"/>
        <v>B-BCP - Soles</v>
      </c>
      <c r="D1795" s="3" t="s">
        <v>1074</v>
      </c>
      <c r="E1795" s="14">
        <v>45803</v>
      </c>
      <c r="F1795" s="5" t="s">
        <v>1838</v>
      </c>
      <c r="G1795" s="5" t="s">
        <v>1087</v>
      </c>
      <c r="H1795" s="6"/>
      <c r="I1795" s="6"/>
      <c r="J1795" s="6"/>
      <c r="K1795" s="6"/>
      <c r="L1795" s="7" t="s">
        <v>1740</v>
      </c>
      <c r="M1795" s="8">
        <v>2181678</v>
      </c>
      <c r="N1795" s="8" t="str">
        <f t="shared" si="136"/>
        <v>PEN</v>
      </c>
      <c r="O1795" s="13"/>
      <c r="P1795" s="13">
        <v>12600</v>
      </c>
      <c r="Q1795" s="3">
        <f t="shared" si="137"/>
        <v>12600</v>
      </c>
      <c r="R1795" s="3">
        <f t="shared" si="138"/>
        <v>0</v>
      </c>
      <c r="S1795" s="3">
        <f t="shared" si="139"/>
        <v>30161.519999999997</v>
      </c>
      <c r="T1795" s="24" t="s">
        <v>1081</v>
      </c>
      <c r="U1795" s="24" t="s">
        <v>1081</v>
      </c>
      <c r="V1795" s="67"/>
      <c r="W1795" s="25" t="str">
        <f>IFERROR(VLOOKUP(BCP_Soles[[#This Row],[DESTINATARIO]],CHOOSE({1,2},Clientes_Proveedores[Razon Social],Clientes_Proveedores[Ruc / Dni]),2,0),"")</f>
        <v/>
      </c>
      <c r="X1795" s="25" t="s">
        <v>1090</v>
      </c>
      <c r="Y1795" s="25" t="s">
        <v>2872</v>
      </c>
      <c r="Z1795" s="25"/>
      <c r="AA1795" s="99"/>
      <c r="AB1795" s="3" t="str">
        <f>IF(BCP_Soles[[#This Row],[FECHA]]&gt;0,TEXT(BCP_Soles[[#This Row],[FECHA]],"mmmm"),0)</f>
        <v>Mayo</v>
      </c>
    </row>
    <row r="1796" spans="2:28" ht="36" x14ac:dyDescent="0.3">
      <c r="B1796" s="2">
        <f>IF(BCP_Soles[[#This Row],[TIPO DE R.]]="R",COUNTIFS($D$4:$D1795,"R")+1,"")</f>
        <v>1390</v>
      </c>
      <c r="C1796" s="19" t="str">
        <f t="shared" si="135"/>
        <v>B-BCP - Soles</v>
      </c>
      <c r="D1796" s="3" t="s">
        <v>1074</v>
      </c>
      <c r="E1796" s="14">
        <v>45803</v>
      </c>
      <c r="F1796" s="5" t="s">
        <v>497</v>
      </c>
      <c r="G1796" s="5" t="s">
        <v>1087</v>
      </c>
      <c r="H1796" s="6"/>
      <c r="I1796" s="6"/>
      <c r="J1796" s="6"/>
      <c r="K1796" s="6"/>
      <c r="L1796" s="7" t="s">
        <v>1093</v>
      </c>
      <c r="M1796" s="8">
        <v>2168514</v>
      </c>
      <c r="N1796" s="8" t="str">
        <f t="shared" si="136"/>
        <v>PEN</v>
      </c>
      <c r="O1796" s="13"/>
      <c r="P1796" s="13">
        <v>2118.16</v>
      </c>
      <c r="Q1796" s="3">
        <f t="shared" si="137"/>
        <v>2118.16</v>
      </c>
      <c r="R1796" s="3">
        <f t="shared" si="138"/>
        <v>0</v>
      </c>
      <c r="S1796" s="3">
        <f t="shared" si="139"/>
        <v>32279.679999999997</v>
      </c>
      <c r="T1796" s="24" t="s">
        <v>1081</v>
      </c>
      <c r="U1796" s="24" t="s">
        <v>1081</v>
      </c>
      <c r="V1796" s="67"/>
      <c r="W1796" s="25" t="str">
        <f>IFERROR(VLOOKUP(BCP_Soles[[#This Row],[DESTINATARIO]],CHOOSE({1,2},Clientes_Proveedores[Razon Social],Clientes_Proveedores[Ruc / Dni]),2,0),"")</f>
        <v/>
      </c>
      <c r="X1796" s="25" t="s">
        <v>1090</v>
      </c>
      <c r="Y1796" s="25" t="s">
        <v>2873</v>
      </c>
      <c r="Z1796" s="25"/>
      <c r="AA1796" s="99"/>
      <c r="AB1796" s="3" t="str">
        <f>IF(BCP_Soles[[#This Row],[FECHA]]&gt;0,TEXT(BCP_Soles[[#This Row],[FECHA]],"mmmm"),0)</f>
        <v>Mayo</v>
      </c>
    </row>
    <row r="1797" spans="2:28" ht="24" x14ac:dyDescent="0.3">
      <c r="B1797" s="2">
        <f>IF(BCP_Soles[[#This Row],[TIPO DE R.]]="R",COUNTIFS($D$4:$D1796,"R")+1,"")</f>
        <v>1391</v>
      </c>
      <c r="C1797" s="19" t="str">
        <f t="shared" ref="C1797:C1860" si="140">"B-BCP - Soles"</f>
        <v>B-BCP - Soles</v>
      </c>
      <c r="D1797" s="3" t="s">
        <v>1074</v>
      </c>
      <c r="E1797" s="14">
        <v>45803</v>
      </c>
      <c r="F1797" s="5" t="s">
        <v>2874</v>
      </c>
      <c r="G1797" s="5" t="s">
        <v>1087</v>
      </c>
      <c r="H1797" s="6"/>
      <c r="I1797" s="6"/>
      <c r="J1797" s="6"/>
      <c r="K1797" s="6"/>
      <c r="L1797" s="7" t="s">
        <v>1100</v>
      </c>
      <c r="M1797" s="8">
        <v>3160553</v>
      </c>
      <c r="N1797" s="8" t="str">
        <f t="shared" ref="N1797:N1860" si="141">"PEN"</f>
        <v>PEN</v>
      </c>
      <c r="O1797" s="13"/>
      <c r="P1797" s="13">
        <v>370</v>
      </c>
      <c r="Q1797" s="3">
        <f t="shared" ref="Q1797:Q1860" si="142">+IF(OR($G1797="SALDO",$G1797="INGRESO"),$P1797,0)</f>
        <v>370</v>
      </c>
      <c r="R1797" s="3">
        <f t="shared" ref="R1797:R1860" si="143">+IF($G1797="EGRESO",$P1797,0)</f>
        <v>0</v>
      </c>
      <c r="S1797" s="3">
        <f t="shared" ref="S1797:S1860" si="144">IFERROR(IF(G1797="SALDO",Q1797,S1796+Q1797-R1797),0)</f>
        <v>32649.679999999997</v>
      </c>
      <c r="T1797" s="24" t="s">
        <v>1081</v>
      </c>
      <c r="U1797" s="24" t="s">
        <v>1081</v>
      </c>
      <c r="V1797" s="67"/>
      <c r="W1797" s="25" t="str">
        <f>IFERROR(VLOOKUP(BCP_Soles[[#This Row],[DESTINATARIO]],CHOOSE({1,2},Clientes_Proveedores[Razon Social],Clientes_Proveedores[Ruc / Dni]),2,0),"")</f>
        <v/>
      </c>
      <c r="X1797" s="25" t="s">
        <v>1090</v>
      </c>
      <c r="Y1797" s="25" t="s">
        <v>2875</v>
      </c>
      <c r="Z1797" s="25"/>
      <c r="AA1797" s="99"/>
      <c r="AB1797" s="3" t="str">
        <f>IF(BCP_Soles[[#This Row],[FECHA]]&gt;0,TEXT(BCP_Soles[[#This Row],[FECHA]],"mmmm"),0)</f>
        <v>Mayo</v>
      </c>
    </row>
    <row r="1798" spans="2:28" x14ac:dyDescent="0.3">
      <c r="B1798" s="2">
        <f>IF(BCP_Soles[[#This Row],[TIPO DE R.]]="R",COUNTIFS($D$4:$D1797,"R")+1,"")</f>
        <v>1392</v>
      </c>
      <c r="C1798" s="19" t="str">
        <f t="shared" si="140"/>
        <v>B-BCP - Soles</v>
      </c>
      <c r="D1798" s="3" t="s">
        <v>1074</v>
      </c>
      <c r="E1798" s="14">
        <v>45803</v>
      </c>
      <c r="F1798" s="5" t="s">
        <v>1082</v>
      </c>
      <c r="G1798" s="5" t="s">
        <v>1079</v>
      </c>
      <c r="H1798" s="6" t="s">
        <v>139</v>
      </c>
      <c r="I1798" s="6" t="s">
        <v>14</v>
      </c>
      <c r="J1798" s="6" t="s">
        <v>1953</v>
      </c>
      <c r="K1798" s="6">
        <v>6396</v>
      </c>
      <c r="L1798" s="7" t="s">
        <v>1954</v>
      </c>
      <c r="M1798" s="8">
        <v>217224</v>
      </c>
      <c r="N1798" s="8" t="str">
        <f t="shared" si="141"/>
        <v>PEN</v>
      </c>
      <c r="O1798" s="13"/>
      <c r="P1798" s="13">
        <v>20.78</v>
      </c>
      <c r="Q1798" s="3">
        <f t="shared" si="142"/>
        <v>0</v>
      </c>
      <c r="R1798" s="3">
        <f t="shared" si="143"/>
        <v>20.78</v>
      </c>
      <c r="S1798" s="3">
        <f t="shared" si="144"/>
        <v>32628.899999999998</v>
      </c>
      <c r="T1798" s="24" t="s">
        <v>1081</v>
      </c>
      <c r="U1798" s="24" t="s">
        <v>1081</v>
      </c>
      <c r="V1798" s="67"/>
      <c r="W1798" s="25">
        <f>IFERROR(VLOOKUP(BCP_Soles[[#This Row],[DESTINATARIO]],CHOOSE({1,2},Clientes_Proveedores[Razon Social],Clientes_Proveedores[Ruc / Dni]),2,0),"")</f>
        <v>20100055237</v>
      </c>
      <c r="X1798" s="25" t="s">
        <v>1955</v>
      </c>
      <c r="Y1798" s="25" t="s">
        <v>2876</v>
      </c>
      <c r="Z1798" s="25"/>
      <c r="AA1798" s="99"/>
      <c r="AB1798" s="3" t="str">
        <f>IF(BCP_Soles[[#This Row],[FECHA]]&gt;0,TEXT(BCP_Soles[[#This Row],[FECHA]],"mmmm"),0)</f>
        <v>Mayo</v>
      </c>
    </row>
    <row r="1799" spans="2:28" ht="24" x14ac:dyDescent="0.3">
      <c r="B1799" s="2">
        <f>IF(BCP_Soles[[#This Row],[TIPO DE R.]]="R",COUNTIFS($D$4:$D1798,"R")+1,"")</f>
        <v>1393</v>
      </c>
      <c r="C1799" s="19" t="str">
        <f t="shared" si="140"/>
        <v>B-BCP - Soles</v>
      </c>
      <c r="D1799" s="3" t="s">
        <v>1074</v>
      </c>
      <c r="E1799" s="14">
        <v>45803</v>
      </c>
      <c r="F1799" s="5" t="s">
        <v>1082</v>
      </c>
      <c r="G1799" s="5" t="s">
        <v>1079</v>
      </c>
      <c r="H1799" s="6" t="s">
        <v>647</v>
      </c>
      <c r="I1799" s="6" t="s">
        <v>52</v>
      </c>
      <c r="J1799" s="6"/>
      <c r="K1799" s="6"/>
      <c r="L1799" s="7" t="s">
        <v>2213</v>
      </c>
      <c r="M1799" s="8">
        <v>4218678</v>
      </c>
      <c r="N1799" s="8" t="str">
        <f t="shared" si="141"/>
        <v>PEN</v>
      </c>
      <c r="O1799" s="13"/>
      <c r="P1799" s="13">
        <v>142.9</v>
      </c>
      <c r="Q1799" s="3">
        <f t="shared" si="142"/>
        <v>0</v>
      </c>
      <c r="R1799" s="3">
        <f t="shared" si="143"/>
        <v>142.9</v>
      </c>
      <c r="S1799" s="3">
        <f t="shared" si="144"/>
        <v>32485.999999999996</v>
      </c>
      <c r="T1799" s="24"/>
      <c r="U1799" s="24"/>
      <c r="V1799" s="67"/>
      <c r="W1799" s="25">
        <f>IFERROR(VLOOKUP(BCP_Soles[[#This Row],[DESTINATARIO]],CHOOSE({1,2},Clientes_Proveedores[Razon Social],Clientes_Proveedores[Ruc / Dni]),2,0),"")</f>
        <v>20100017491</v>
      </c>
      <c r="X1799" s="25" t="s">
        <v>1305</v>
      </c>
      <c r="Y1799" s="25"/>
      <c r="Z1799" s="25"/>
      <c r="AA1799" s="99"/>
      <c r="AB1799" s="3" t="str">
        <f>IF(BCP_Soles[[#This Row],[FECHA]]&gt;0,TEXT(BCP_Soles[[#This Row],[FECHA]],"mmmm"),0)</f>
        <v>Mayo</v>
      </c>
    </row>
    <row r="1800" spans="2:28" x14ac:dyDescent="0.3">
      <c r="B1800" s="2">
        <f>IF(BCP_Soles[[#This Row],[TIPO DE R.]]="R",COUNTIFS($D$4:$D1799,"R")+1,"")</f>
        <v>1394</v>
      </c>
      <c r="C1800" s="19" t="str">
        <f t="shared" si="140"/>
        <v>B-BCP - Soles</v>
      </c>
      <c r="D1800" s="3" t="s">
        <v>1074</v>
      </c>
      <c r="E1800" s="14">
        <v>45803</v>
      </c>
      <c r="F1800" s="5" t="s">
        <v>1082</v>
      </c>
      <c r="G1800" s="5" t="s">
        <v>1079</v>
      </c>
      <c r="H1800" s="6" t="s">
        <v>139</v>
      </c>
      <c r="I1800" s="6" t="s">
        <v>14</v>
      </c>
      <c r="J1800" s="6" t="s">
        <v>1953</v>
      </c>
      <c r="K1800" s="6">
        <v>6393</v>
      </c>
      <c r="L1800" s="7" t="s">
        <v>1954</v>
      </c>
      <c r="M1800" s="8">
        <v>216261</v>
      </c>
      <c r="N1800" s="8" t="str">
        <f t="shared" si="141"/>
        <v>PEN</v>
      </c>
      <c r="O1800" s="13"/>
      <c r="P1800" s="13">
        <v>153.54</v>
      </c>
      <c r="Q1800" s="3">
        <f t="shared" si="142"/>
        <v>0</v>
      </c>
      <c r="R1800" s="3">
        <f t="shared" si="143"/>
        <v>153.54</v>
      </c>
      <c r="S1800" s="3">
        <f t="shared" si="144"/>
        <v>32332.459999999995</v>
      </c>
      <c r="T1800" s="24" t="s">
        <v>1081</v>
      </c>
      <c r="U1800" s="24" t="s">
        <v>1081</v>
      </c>
      <c r="V1800" s="67"/>
      <c r="W1800" s="25">
        <f>IFERROR(VLOOKUP(BCP_Soles[[#This Row],[DESTINATARIO]],CHOOSE({1,2},Clientes_Proveedores[Razon Social],Clientes_Proveedores[Ruc / Dni]),2,0),"")</f>
        <v>20100055237</v>
      </c>
      <c r="X1800" s="25" t="s">
        <v>1955</v>
      </c>
      <c r="Y1800" s="25" t="s">
        <v>2877</v>
      </c>
      <c r="Z1800" s="25"/>
      <c r="AA1800" s="99"/>
      <c r="AB1800" s="3" t="str">
        <f>IF(BCP_Soles[[#This Row],[FECHA]]&gt;0,TEXT(BCP_Soles[[#This Row],[FECHA]],"mmmm"),0)</f>
        <v>Mayo</v>
      </c>
    </row>
    <row r="1801" spans="2:28" x14ac:dyDescent="0.3">
      <c r="B1801" s="2">
        <f>IF(BCP_Soles[[#This Row],[TIPO DE R.]]="R",COUNTIFS($D$4:$D1800,"R")+1,"")</f>
        <v>1395</v>
      </c>
      <c r="C1801" s="19" t="str">
        <f t="shared" si="140"/>
        <v>B-BCP - Soles</v>
      </c>
      <c r="D1801" s="3" t="s">
        <v>1074</v>
      </c>
      <c r="E1801" s="14">
        <v>45803</v>
      </c>
      <c r="F1801" s="5" t="s">
        <v>1082</v>
      </c>
      <c r="G1801" s="5" t="s">
        <v>1079</v>
      </c>
      <c r="H1801" s="6" t="s">
        <v>139</v>
      </c>
      <c r="I1801" s="6" t="s">
        <v>14</v>
      </c>
      <c r="J1801" s="6" t="s">
        <v>1953</v>
      </c>
      <c r="K1801" s="6">
        <v>6394</v>
      </c>
      <c r="L1801" s="7" t="s">
        <v>1954</v>
      </c>
      <c r="M1801" s="8">
        <v>216731</v>
      </c>
      <c r="N1801" s="8" t="str">
        <f t="shared" si="141"/>
        <v>PEN</v>
      </c>
      <c r="O1801" s="13"/>
      <c r="P1801" s="13">
        <v>280.39999999999998</v>
      </c>
      <c r="Q1801" s="3">
        <f t="shared" si="142"/>
        <v>0</v>
      </c>
      <c r="R1801" s="3">
        <f t="shared" si="143"/>
        <v>280.39999999999998</v>
      </c>
      <c r="S1801" s="3">
        <f t="shared" si="144"/>
        <v>32052.059999999994</v>
      </c>
      <c r="T1801" s="24" t="s">
        <v>1081</v>
      </c>
      <c r="U1801" s="24" t="s">
        <v>1081</v>
      </c>
      <c r="V1801" s="67"/>
      <c r="W1801" s="25">
        <f>IFERROR(VLOOKUP(BCP_Soles[[#This Row],[DESTINATARIO]],CHOOSE({1,2},Clientes_Proveedores[Razon Social],Clientes_Proveedores[Ruc / Dni]),2,0),"")</f>
        <v>20100055237</v>
      </c>
      <c r="X1801" s="25" t="s">
        <v>1955</v>
      </c>
      <c r="Y1801" s="25" t="s">
        <v>2878</v>
      </c>
      <c r="Z1801" s="25"/>
      <c r="AA1801" s="99"/>
      <c r="AB1801" s="3" t="str">
        <f>IF(BCP_Soles[[#This Row],[FECHA]]&gt;0,TEXT(BCP_Soles[[#This Row],[FECHA]],"mmmm"),0)</f>
        <v>Mayo</v>
      </c>
    </row>
    <row r="1802" spans="2:28" x14ac:dyDescent="0.3">
      <c r="B1802" s="2">
        <f>IF(BCP_Soles[[#This Row],[TIPO DE R.]]="R",COUNTIFS($D$4:$D1801,"R")+1,"")</f>
        <v>1396</v>
      </c>
      <c r="C1802" s="19" t="str">
        <f t="shared" si="140"/>
        <v>B-BCP - Soles</v>
      </c>
      <c r="D1802" s="3" t="s">
        <v>1074</v>
      </c>
      <c r="E1802" s="14">
        <v>45803</v>
      </c>
      <c r="F1802" s="5" t="s">
        <v>1082</v>
      </c>
      <c r="G1802" s="5" t="s">
        <v>1079</v>
      </c>
      <c r="H1802" s="6" t="s">
        <v>139</v>
      </c>
      <c r="I1802" s="6" t="s">
        <v>14</v>
      </c>
      <c r="J1802" s="6" t="s">
        <v>1953</v>
      </c>
      <c r="K1802" s="6">
        <v>6392</v>
      </c>
      <c r="L1802" s="7" t="s">
        <v>1954</v>
      </c>
      <c r="M1802" s="8">
        <v>216259</v>
      </c>
      <c r="N1802" s="8" t="str">
        <f t="shared" si="141"/>
        <v>PEN</v>
      </c>
      <c r="O1802" s="13"/>
      <c r="P1802" s="13">
        <v>325.32</v>
      </c>
      <c r="Q1802" s="3">
        <f t="shared" si="142"/>
        <v>0</v>
      </c>
      <c r="R1802" s="3">
        <f t="shared" si="143"/>
        <v>325.32</v>
      </c>
      <c r="S1802" s="3">
        <f t="shared" si="144"/>
        <v>31726.739999999994</v>
      </c>
      <c r="T1802" s="24" t="s">
        <v>1081</v>
      </c>
      <c r="U1802" s="24" t="s">
        <v>1081</v>
      </c>
      <c r="V1802" s="67"/>
      <c r="W1802" s="25">
        <f>IFERROR(VLOOKUP(BCP_Soles[[#This Row],[DESTINATARIO]],CHOOSE({1,2},Clientes_Proveedores[Razon Social],Clientes_Proveedores[Ruc / Dni]),2,0),"")</f>
        <v>20100055237</v>
      </c>
      <c r="X1802" s="25" t="s">
        <v>1955</v>
      </c>
      <c r="Y1802" s="25" t="s">
        <v>2879</v>
      </c>
      <c r="Z1802" s="25"/>
      <c r="AA1802" s="99"/>
      <c r="AB1802" s="3" t="str">
        <f>IF(BCP_Soles[[#This Row],[FECHA]]&gt;0,TEXT(BCP_Soles[[#This Row],[FECHA]],"mmmm"),0)</f>
        <v>Mayo</v>
      </c>
    </row>
    <row r="1803" spans="2:28" ht="36" x14ac:dyDescent="0.3">
      <c r="B1803" s="2">
        <f>IF(BCP_Soles[[#This Row],[TIPO DE R.]]="R",COUNTIFS($D$4:$D1802,"R")+1,"")</f>
        <v>1397</v>
      </c>
      <c r="C1803" s="19" t="str">
        <f t="shared" si="140"/>
        <v>B-BCP - Soles</v>
      </c>
      <c r="D1803" s="3" t="s">
        <v>1074</v>
      </c>
      <c r="E1803" s="14">
        <v>45803</v>
      </c>
      <c r="F1803" s="5" t="s">
        <v>1082</v>
      </c>
      <c r="G1803" s="5" t="s">
        <v>1079</v>
      </c>
      <c r="H1803" s="6" t="s">
        <v>880</v>
      </c>
      <c r="I1803" s="6" t="s">
        <v>87</v>
      </c>
      <c r="J1803" s="6">
        <v>1</v>
      </c>
      <c r="K1803" s="6">
        <v>292025</v>
      </c>
      <c r="L1803" s="7" t="s">
        <v>2880</v>
      </c>
      <c r="M1803" s="8">
        <v>1136206</v>
      </c>
      <c r="N1803" s="8" t="str">
        <f t="shared" si="141"/>
        <v>PEN</v>
      </c>
      <c r="O1803" s="13"/>
      <c r="P1803" s="13">
        <v>365.7</v>
      </c>
      <c r="Q1803" s="3">
        <f t="shared" si="142"/>
        <v>0</v>
      </c>
      <c r="R1803" s="3">
        <f t="shared" si="143"/>
        <v>365.7</v>
      </c>
      <c r="S1803" s="3">
        <f t="shared" si="144"/>
        <v>31361.039999999994</v>
      </c>
      <c r="T1803" s="24" t="s">
        <v>1081</v>
      </c>
      <c r="U1803" s="24"/>
      <c r="V1803" s="67"/>
      <c r="W1803" s="25">
        <f>IFERROR(VLOOKUP(BCP_Soles[[#This Row],[DESTINATARIO]],CHOOSE({1,2},Clientes_Proveedores[Razon Social],Clientes_Proveedores[Ruc / Dni]),2,0),"")</f>
        <v>72531546</v>
      </c>
      <c r="X1803" s="25" t="s">
        <v>880</v>
      </c>
      <c r="Y1803" s="25" t="s">
        <v>2557</v>
      </c>
      <c r="Z1803" s="25"/>
      <c r="AA1803" s="99"/>
      <c r="AB1803" s="3" t="str">
        <f>IF(BCP_Soles[[#This Row],[FECHA]]&gt;0,TEXT(BCP_Soles[[#This Row],[FECHA]],"mmmm"),0)</f>
        <v>Mayo</v>
      </c>
    </row>
    <row r="1804" spans="2:28" x14ac:dyDescent="0.3">
      <c r="B1804" s="2">
        <f>IF(BCP_Soles[[#This Row],[TIPO DE R.]]="R",COUNTIFS($D$4:$D1803,"R")+1,"")</f>
        <v>1398</v>
      </c>
      <c r="C1804" s="19" t="str">
        <f t="shared" si="140"/>
        <v>B-BCP - Soles</v>
      </c>
      <c r="D1804" s="3" t="s">
        <v>1074</v>
      </c>
      <c r="E1804" s="14">
        <v>45803</v>
      </c>
      <c r="F1804" s="5" t="s">
        <v>1082</v>
      </c>
      <c r="G1804" s="5" t="s">
        <v>1079</v>
      </c>
      <c r="H1804" s="6" t="s">
        <v>139</v>
      </c>
      <c r="I1804" s="6" t="s">
        <v>14</v>
      </c>
      <c r="J1804" s="6" t="s">
        <v>1953</v>
      </c>
      <c r="K1804" s="6">
        <v>6391</v>
      </c>
      <c r="L1804" s="7" t="s">
        <v>1954</v>
      </c>
      <c r="M1804" s="8">
        <v>219173</v>
      </c>
      <c r="N1804" s="8" t="str">
        <f t="shared" si="141"/>
        <v>PEN</v>
      </c>
      <c r="O1804" s="13"/>
      <c r="P1804" s="13">
        <v>593.55999999999995</v>
      </c>
      <c r="Q1804" s="3">
        <f t="shared" si="142"/>
        <v>0</v>
      </c>
      <c r="R1804" s="3">
        <f t="shared" si="143"/>
        <v>593.55999999999995</v>
      </c>
      <c r="S1804" s="3">
        <f t="shared" si="144"/>
        <v>30767.479999999992</v>
      </c>
      <c r="T1804" s="24" t="s">
        <v>1081</v>
      </c>
      <c r="U1804" s="24" t="s">
        <v>1081</v>
      </c>
      <c r="V1804" s="67"/>
      <c r="W1804" s="25">
        <f>IFERROR(VLOOKUP(BCP_Soles[[#This Row],[DESTINATARIO]],CHOOSE({1,2},Clientes_Proveedores[Razon Social],Clientes_Proveedores[Ruc / Dni]),2,0),"")</f>
        <v>20100055237</v>
      </c>
      <c r="X1804" s="25" t="s">
        <v>1955</v>
      </c>
      <c r="Y1804" s="25" t="s">
        <v>2881</v>
      </c>
      <c r="Z1804" s="25"/>
      <c r="AA1804" s="99"/>
      <c r="AB1804" s="3" t="str">
        <f>IF(BCP_Soles[[#This Row],[FECHA]]&gt;0,TEXT(BCP_Soles[[#This Row],[FECHA]],"mmmm"),0)</f>
        <v>Mayo</v>
      </c>
    </row>
    <row r="1805" spans="2:28" x14ac:dyDescent="0.3">
      <c r="B1805" s="2">
        <f>IF(BCP_Soles[[#This Row],[TIPO DE R.]]="R",COUNTIFS($D$4:$D1804,"R")+1,"")</f>
        <v>1399</v>
      </c>
      <c r="C1805" s="19" t="str">
        <f t="shared" si="140"/>
        <v>B-BCP - Soles</v>
      </c>
      <c r="D1805" s="3" t="s">
        <v>1074</v>
      </c>
      <c r="E1805" s="14">
        <v>45803</v>
      </c>
      <c r="F1805" s="5" t="s">
        <v>1082</v>
      </c>
      <c r="G1805" s="5" t="s">
        <v>1079</v>
      </c>
      <c r="H1805" s="6" t="s">
        <v>139</v>
      </c>
      <c r="I1805" s="6" t="s">
        <v>14</v>
      </c>
      <c r="J1805" s="6" t="s">
        <v>1953</v>
      </c>
      <c r="K1805" s="6">
        <v>6395</v>
      </c>
      <c r="L1805" s="7" t="s">
        <v>1954</v>
      </c>
      <c r="M1805" s="8">
        <v>216260</v>
      </c>
      <c r="N1805" s="8" t="str">
        <f t="shared" si="141"/>
        <v>PEN</v>
      </c>
      <c r="O1805" s="13"/>
      <c r="P1805" s="13">
        <v>603.36</v>
      </c>
      <c r="Q1805" s="3">
        <f t="shared" si="142"/>
        <v>0</v>
      </c>
      <c r="R1805" s="3">
        <f t="shared" si="143"/>
        <v>603.36</v>
      </c>
      <c r="S1805" s="3">
        <f t="shared" si="144"/>
        <v>30164.119999999992</v>
      </c>
      <c r="T1805" s="24" t="s">
        <v>1081</v>
      </c>
      <c r="U1805" s="24" t="s">
        <v>1081</v>
      </c>
      <c r="V1805" s="67"/>
      <c r="W1805" s="25">
        <f>IFERROR(VLOOKUP(BCP_Soles[[#This Row],[DESTINATARIO]],CHOOSE({1,2},Clientes_Proveedores[Razon Social],Clientes_Proveedores[Ruc / Dni]),2,0),"")</f>
        <v>20100055237</v>
      </c>
      <c r="X1805" s="25" t="s">
        <v>1955</v>
      </c>
      <c r="Y1805" s="25" t="s">
        <v>2882</v>
      </c>
      <c r="Z1805" s="25"/>
      <c r="AA1805" s="99"/>
      <c r="AB1805" s="3" t="str">
        <f>IF(BCP_Soles[[#This Row],[FECHA]]&gt;0,TEXT(BCP_Soles[[#This Row],[FECHA]],"mmmm"),0)</f>
        <v>Mayo</v>
      </c>
    </row>
    <row r="1806" spans="2:28" x14ac:dyDescent="0.3">
      <c r="B1806" s="2">
        <f>IF(BCP_Soles[[#This Row],[TIPO DE R.]]="R",COUNTIFS($D$4:$D1805,"R")+1,"")</f>
        <v>1400</v>
      </c>
      <c r="C1806" s="19" t="str">
        <f t="shared" si="140"/>
        <v>B-BCP - Soles</v>
      </c>
      <c r="D1806" s="3" t="s">
        <v>1074</v>
      </c>
      <c r="E1806" s="14">
        <v>45803</v>
      </c>
      <c r="F1806" s="5" t="s">
        <v>1082</v>
      </c>
      <c r="G1806" s="5" t="s">
        <v>1079</v>
      </c>
      <c r="H1806" s="6" t="s">
        <v>637</v>
      </c>
      <c r="I1806" s="6" t="s">
        <v>14</v>
      </c>
      <c r="J1806" s="6" t="s">
        <v>1253</v>
      </c>
      <c r="K1806" s="6">
        <v>162950</v>
      </c>
      <c r="L1806" s="7" t="s">
        <v>1123</v>
      </c>
      <c r="M1806" s="8">
        <v>217225</v>
      </c>
      <c r="N1806" s="8" t="str">
        <f t="shared" si="141"/>
        <v>PEN</v>
      </c>
      <c r="O1806" s="13"/>
      <c r="P1806" s="13">
        <v>957.61</v>
      </c>
      <c r="Q1806" s="3">
        <f t="shared" si="142"/>
        <v>0</v>
      </c>
      <c r="R1806" s="3">
        <f t="shared" si="143"/>
        <v>957.61</v>
      </c>
      <c r="S1806" s="3">
        <f t="shared" si="144"/>
        <v>29206.509999999991</v>
      </c>
      <c r="T1806" s="24" t="s">
        <v>1081</v>
      </c>
      <c r="U1806" s="24" t="s">
        <v>1081</v>
      </c>
      <c r="V1806" s="67"/>
      <c r="W1806" s="25">
        <f>IFERROR(VLOOKUP(BCP_Soles[[#This Row],[DESTINATARIO]],CHOOSE({1,2},Clientes_Proveedores[Razon Social],Clientes_Proveedores[Ruc / Dni]),2,0),"")</f>
        <v>20127765279</v>
      </c>
      <c r="X1806" s="25" t="s">
        <v>1124</v>
      </c>
      <c r="Y1806" s="25" t="s">
        <v>2883</v>
      </c>
      <c r="Z1806" s="25"/>
      <c r="AA1806" s="99"/>
      <c r="AB1806" s="3" t="str">
        <f>IF(BCP_Soles[[#This Row],[FECHA]]&gt;0,TEXT(BCP_Soles[[#This Row],[FECHA]],"mmmm"),0)</f>
        <v>Mayo</v>
      </c>
    </row>
    <row r="1807" spans="2:28" x14ac:dyDescent="0.3">
      <c r="B1807" s="2">
        <f>IF(BCP_Soles[[#This Row],[TIPO DE R.]]="R",COUNTIFS($D$4:$D1806,"R")+1,"")</f>
        <v>1401</v>
      </c>
      <c r="C1807" s="19" t="str">
        <f t="shared" si="140"/>
        <v>B-BCP - Soles</v>
      </c>
      <c r="D1807" s="3" t="s">
        <v>1074</v>
      </c>
      <c r="E1807" s="14">
        <v>45803</v>
      </c>
      <c r="F1807" s="5" t="s">
        <v>1082</v>
      </c>
      <c r="G1807" s="5" t="s">
        <v>1079</v>
      </c>
      <c r="H1807" s="6" t="s">
        <v>637</v>
      </c>
      <c r="I1807" s="6" t="s">
        <v>14</v>
      </c>
      <c r="J1807" s="6" t="s">
        <v>1122</v>
      </c>
      <c r="K1807" s="6">
        <v>164008</v>
      </c>
      <c r="L1807" s="7" t="s">
        <v>1123</v>
      </c>
      <c r="M1807" s="8">
        <v>218679</v>
      </c>
      <c r="N1807" s="8" t="str">
        <f t="shared" si="141"/>
        <v>PEN</v>
      </c>
      <c r="O1807" s="13"/>
      <c r="P1807" s="13">
        <v>1220.83</v>
      </c>
      <c r="Q1807" s="3">
        <f t="shared" si="142"/>
        <v>0</v>
      </c>
      <c r="R1807" s="3">
        <f t="shared" si="143"/>
        <v>1220.83</v>
      </c>
      <c r="S1807" s="3">
        <f t="shared" si="144"/>
        <v>27985.679999999993</v>
      </c>
      <c r="T1807" s="24" t="s">
        <v>1081</v>
      </c>
      <c r="U1807" s="24" t="s">
        <v>1081</v>
      </c>
      <c r="V1807" s="67"/>
      <c r="W1807" s="25">
        <f>IFERROR(VLOOKUP(BCP_Soles[[#This Row],[DESTINATARIO]],CHOOSE({1,2},Clientes_Proveedores[Razon Social],Clientes_Proveedores[Ruc / Dni]),2,0),"")</f>
        <v>20127765279</v>
      </c>
      <c r="X1807" s="25" t="s">
        <v>1124</v>
      </c>
      <c r="Y1807" s="25" t="s">
        <v>2884</v>
      </c>
      <c r="Z1807" s="25"/>
      <c r="AA1807" s="99"/>
      <c r="AB1807" s="3" t="str">
        <f>IF(BCP_Soles[[#This Row],[FECHA]]&gt;0,TEXT(BCP_Soles[[#This Row],[FECHA]],"mmmm"),0)</f>
        <v>Mayo</v>
      </c>
    </row>
    <row r="1808" spans="2:28" x14ac:dyDescent="0.3">
      <c r="B1808" s="2">
        <f>IF(BCP_Soles[[#This Row],[TIPO DE R.]]="R",COUNTIFS($D$4:$D1807,"R")+1,"")</f>
        <v>1402</v>
      </c>
      <c r="C1808" s="19" t="str">
        <f t="shared" si="140"/>
        <v>B-BCP - Soles</v>
      </c>
      <c r="D1808" s="3" t="s">
        <v>1074</v>
      </c>
      <c r="E1808" s="14">
        <v>45803</v>
      </c>
      <c r="F1808" s="5" t="s">
        <v>1078</v>
      </c>
      <c r="G1808" s="5" t="s">
        <v>1079</v>
      </c>
      <c r="H1808" s="6"/>
      <c r="I1808" s="6"/>
      <c r="J1808" s="6"/>
      <c r="K1808" s="6"/>
      <c r="L1808" s="7" t="s">
        <v>2868</v>
      </c>
      <c r="M1808" s="8"/>
      <c r="N1808" s="8" t="str">
        <f t="shared" si="141"/>
        <v>PEN</v>
      </c>
      <c r="O1808" s="13"/>
      <c r="P1808" s="13">
        <v>0.75</v>
      </c>
      <c r="Q1808" s="3">
        <f t="shared" si="142"/>
        <v>0</v>
      </c>
      <c r="R1808" s="3">
        <f t="shared" si="143"/>
        <v>0.75</v>
      </c>
      <c r="S1808" s="3">
        <f t="shared" si="144"/>
        <v>27984.929999999993</v>
      </c>
      <c r="T1808" s="24"/>
      <c r="U1808" s="24" t="s">
        <v>1081</v>
      </c>
      <c r="V1808" s="67"/>
      <c r="W1808" s="25" t="str">
        <f>IFERROR(VLOOKUP(BCP_Soles[[#This Row],[DESTINATARIO]],CHOOSE({1,2},Clientes_Proveedores[Razon Social],Clientes_Proveedores[Ruc / Dni]),2,0),"")</f>
        <v/>
      </c>
      <c r="X1808" s="25"/>
      <c r="Y1808" s="25"/>
      <c r="Z1808" s="25"/>
      <c r="AA1808" s="99"/>
      <c r="AB1808" s="3" t="str">
        <f>IF(BCP_Soles[[#This Row],[FECHA]]&gt;0,TEXT(BCP_Soles[[#This Row],[FECHA]],"mmmm"),0)</f>
        <v>Mayo</v>
      </c>
    </row>
    <row r="1809" spans="2:28" ht="24" x14ac:dyDescent="0.3">
      <c r="B1809" s="2">
        <f>IF(BCP_Soles[[#This Row],[TIPO DE R.]]="R",COUNTIFS($D$4:$D1808,"R")+1,"")</f>
        <v>1403</v>
      </c>
      <c r="C1809" s="19" t="str">
        <f t="shared" si="140"/>
        <v>B-BCP - Soles</v>
      </c>
      <c r="D1809" s="3" t="s">
        <v>1074</v>
      </c>
      <c r="E1809" s="14">
        <v>45804</v>
      </c>
      <c r="F1809" s="5" t="s">
        <v>2856</v>
      </c>
      <c r="G1809" s="5" t="s">
        <v>1087</v>
      </c>
      <c r="H1809" s="6"/>
      <c r="I1809" s="6"/>
      <c r="J1809" s="6"/>
      <c r="K1809" s="6"/>
      <c r="L1809" s="7" t="s">
        <v>1100</v>
      </c>
      <c r="M1809" s="8">
        <v>1198956</v>
      </c>
      <c r="N1809" s="8" t="str">
        <f t="shared" si="141"/>
        <v>PEN</v>
      </c>
      <c r="O1809" s="13"/>
      <c r="P1809" s="13">
        <v>7810</v>
      </c>
      <c r="Q1809" s="3">
        <f t="shared" si="142"/>
        <v>7810</v>
      </c>
      <c r="R1809" s="3">
        <f t="shared" si="143"/>
        <v>0</v>
      </c>
      <c r="S1809" s="3">
        <f t="shared" si="144"/>
        <v>35794.929999999993</v>
      </c>
      <c r="T1809" s="24" t="s">
        <v>1081</v>
      </c>
      <c r="U1809" s="24" t="s">
        <v>1081</v>
      </c>
      <c r="V1809" s="67"/>
      <c r="W1809" s="25" t="str">
        <f>IFERROR(VLOOKUP(BCP_Soles[[#This Row],[DESTINATARIO]],CHOOSE({1,2},Clientes_Proveedores[Razon Social],Clientes_Proveedores[Ruc / Dni]),2,0),"")</f>
        <v/>
      </c>
      <c r="X1809" s="25" t="s">
        <v>1090</v>
      </c>
      <c r="Y1809" s="25" t="s">
        <v>2885</v>
      </c>
      <c r="Z1809" s="25"/>
      <c r="AA1809" s="99"/>
      <c r="AB1809" s="3" t="str">
        <f>IF(BCP_Soles[[#This Row],[FECHA]]&gt;0,TEXT(BCP_Soles[[#This Row],[FECHA]],"mmmm"),0)</f>
        <v>Mayo</v>
      </c>
    </row>
    <row r="1810" spans="2:28" ht="36" x14ac:dyDescent="0.3">
      <c r="B1810" s="2">
        <f>IF(BCP_Soles[[#This Row],[TIPO DE R.]]="R",COUNTIFS($D$4:$D1809,"R")+1,"")</f>
        <v>1404</v>
      </c>
      <c r="C1810" s="19" t="str">
        <f t="shared" si="140"/>
        <v>B-BCP - Soles</v>
      </c>
      <c r="D1810" s="3" t="s">
        <v>1074</v>
      </c>
      <c r="E1810" s="14">
        <v>45804</v>
      </c>
      <c r="F1810" s="5" t="s">
        <v>602</v>
      </c>
      <c r="G1810" s="5" t="s">
        <v>1087</v>
      </c>
      <c r="H1810" s="6"/>
      <c r="I1810" s="6"/>
      <c r="J1810" s="6"/>
      <c r="K1810" s="6"/>
      <c r="L1810" s="7" t="s">
        <v>1100</v>
      </c>
      <c r="M1810" s="8">
        <v>961897</v>
      </c>
      <c r="N1810" s="8" t="str">
        <f t="shared" si="141"/>
        <v>PEN</v>
      </c>
      <c r="O1810" s="13"/>
      <c r="P1810" s="13">
        <v>619.5</v>
      </c>
      <c r="Q1810" s="3">
        <f t="shared" si="142"/>
        <v>619.5</v>
      </c>
      <c r="R1810" s="3">
        <f t="shared" si="143"/>
        <v>0</v>
      </c>
      <c r="S1810" s="3">
        <f t="shared" si="144"/>
        <v>36414.429999999993</v>
      </c>
      <c r="T1810" s="24" t="s">
        <v>1081</v>
      </c>
      <c r="U1810" s="24" t="s">
        <v>1081</v>
      </c>
      <c r="V1810" s="67"/>
      <c r="W1810" s="25" t="str">
        <f>IFERROR(VLOOKUP(BCP_Soles[[#This Row],[DESTINATARIO]],CHOOSE({1,2},Clientes_Proveedores[Razon Social],Clientes_Proveedores[Ruc / Dni]),2,0),"")</f>
        <v/>
      </c>
      <c r="X1810" s="25" t="s">
        <v>1090</v>
      </c>
      <c r="Y1810" s="25" t="s">
        <v>2886</v>
      </c>
      <c r="Z1810" s="25"/>
      <c r="AA1810" s="99"/>
      <c r="AB1810" s="3" t="str">
        <f>IF(BCP_Soles[[#This Row],[FECHA]]&gt;0,TEXT(BCP_Soles[[#This Row],[FECHA]],"mmmm"),0)</f>
        <v>Mayo</v>
      </c>
    </row>
    <row r="1811" spans="2:28" ht="36" x14ac:dyDescent="0.3">
      <c r="B1811" s="2">
        <f>IF(BCP_Soles[[#This Row],[TIPO DE R.]]="R",COUNTIFS($D$4:$D1810,"R")+1,"")</f>
        <v>1405</v>
      </c>
      <c r="C1811" s="19" t="str">
        <f t="shared" si="140"/>
        <v>B-BCP - Soles</v>
      </c>
      <c r="D1811" s="3" t="s">
        <v>1074</v>
      </c>
      <c r="E1811" s="14">
        <v>45804</v>
      </c>
      <c r="F1811" s="5" t="s">
        <v>180</v>
      </c>
      <c r="G1811" s="5" t="s">
        <v>1087</v>
      </c>
      <c r="H1811" s="6"/>
      <c r="I1811" s="6"/>
      <c r="J1811" s="6"/>
      <c r="K1811" s="6"/>
      <c r="L1811" s="7" t="s">
        <v>2887</v>
      </c>
      <c r="M1811" s="8">
        <v>465148</v>
      </c>
      <c r="N1811" s="8" t="str">
        <f t="shared" si="141"/>
        <v>PEN</v>
      </c>
      <c r="O1811" s="13"/>
      <c r="P1811" s="13">
        <v>3222.54</v>
      </c>
      <c r="Q1811" s="3">
        <f t="shared" si="142"/>
        <v>3222.54</v>
      </c>
      <c r="R1811" s="3">
        <f t="shared" si="143"/>
        <v>0</v>
      </c>
      <c r="S1811" s="3">
        <f t="shared" si="144"/>
        <v>39636.969999999994</v>
      </c>
      <c r="T1811" s="24" t="s">
        <v>1081</v>
      </c>
      <c r="U1811" s="24" t="s">
        <v>1081</v>
      </c>
      <c r="V1811" s="67"/>
      <c r="W1811" s="25" t="str">
        <f>IFERROR(VLOOKUP(BCP_Soles[[#This Row],[DESTINATARIO]],CHOOSE({1,2},Clientes_Proveedores[Razon Social],Clientes_Proveedores[Ruc / Dni]),2,0),"")</f>
        <v/>
      </c>
      <c r="X1811" s="25" t="s">
        <v>1090</v>
      </c>
      <c r="Y1811" s="25" t="s">
        <v>2888</v>
      </c>
      <c r="Z1811" s="25"/>
      <c r="AA1811" s="99"/>
      <c r="AB1811" s="3" t="str">
        <f>IF(BCP_Soles[[#This Row],[FECHA]]&gt;0,TEXT(BCP_Soles[[#This Row],[FECHA]],"mmmm"),0)</f>
        <v>Mayo</v>
      </c>
    </row>
    <row r="1812" spans="2:28" ht="24" x14ac:dyDescent="0.3">
      <c r="B1812" s="2">
        <f>IF(BCP_Soles[[#This Row],[TIPO DE R.]]="R",COUNTIFS($D$4:$D1811,"R")+1,"")</f>
        <v>1406</v>
      </c>
      <c r="C1812" s="19" t="str">
        <f t="shared" si="140"/>
        <v>B-BCP - Soles</v>
      </c>
      <c r="D1812" s="3" t="s">
        <v>1074</v>
      </c>
      <c r="E1812" s="14">
        <v>45804</v>
      </c>
      <c r="F1812" s="5" t="s">
        <v>1936</v>
      </c>
      <c r="G1812" s="5" t="s">
        <v>1087</v>
      </c>
      <c r="H1812" s="6"/>
      <c r="I1812" s="6"/>
      <c r="J1812" s="6"/>
      <c r="K1812" s="6"/>
      <c r="L1812" s="7" t="s">
        <v>1100</v>
      </c>
      <c r="M1812" s="8">
        <v>2748732</v>
      </c>
      <c r="N1812" s="8" t="str">
        <f t="shared" si="141"/>
        <v>PEN</v>
      </c>
      <c r="O1812" s="13"/>
      <c r="P1812" s="13">
        <v>2253</v>
      </c>
      <c r="Q1812" s="3">
        <f t="shared" si="142"/>
        <v>2253</v>
      </c>
      <c r="R1812" s="3">
        <f t="shared" si="143"/>
        <v>0</v>
      </c>
      <c r="S1812" s="3">
        <f t="shared" si="144"/>
        <v>41889.969999999994</v>
      </c>
      <c r="T1812" s="24" t="s">
        <v>1081</v>
      </c>
      <c r="U1812" s="24" t="s">
        <v>1081</v>
      </c>
      <c r="V1812" s="67"/>
      <c r="W1812" s="25" t="str">
        <f>IFERROR(VLOOKUP(BCP_Soles[[#This Row],[DESTINATARIO]],CHOOSE({1,2},Clientes_Proveedores[Razon Social],Clientes_Proveedores[Ruc / Dni]),2,0),"")</f>
        <v/>
      </c>
      <c r="X1812" s="25" t="s">
        <v>1090</v>
      </c>
      <c r="Y1812" s="25" t="s">
        <v>2889</v>
      </c>
      <c r="Z1812" s="25"/>
      <c r="AA1812" s="99"/>
      <c r="AB1812" s="3" t="str">
        <f>IF(BCP_Soles[[#This Row],[FECHA]]&gt;0,TEXT(BCP_Soles[[#This Row],[FECHA]],"mmmm"),0)</f>
        <v>Mayo</v>
      </c>
    </row>
    <row r="1813" spans="2:28" x14ac:dyDescent="0.3">
      <c r="B1813" s="2">
        <f>IF(BCP_Soles[[#This Row],[TIPO DE R.]]="R",COUNTIFS($D$4:$D1812,"R")+1,"")</f>
        <v>1407</v>
      </c>
      <c r="C1813" s="19" t="str">
        <f t="shared" si="140"/>
        <v>B-BCP - Soles</v>
      </c>
      <c r="D1813" s="3" t="s">
        <v>1074</v>
      </c>
      <c r="E1813" s="14">
        <v>45804</v>
      </c>
      <c r="F1813" s="5" t="s">
        <v>1082</v>
      </c>
      <c r="G1813" s="5" t="s">
        <v>1079</v>
      </c>
      <c r="H1813" s="6" t="s">
        <v>139</v>
      </c>
      <c r="I1813" s="6" t="s">
        <v>14</v>
      </c>
      <c r="J1813" s="6" t="s">
        <v>1953</v>
      </c>
      <c r="K1813" s="6">
        <v>6390</v>
      </c>
      <c r="L1813" s="7" t="s">
        <v>1954</v>
      </c>
      <c r="M1813" s="8">
        <v>221255</v>
      </c>
      <c r="N1813" s="8" t="str">
        <f t="shared" si="141"/>
        <v>PEN</v>
      </c>
      <c r="O1813" s="13"/>
      <c r="P1813" s="13">
        <v>21.96</v>
      </c>
      <c r="Q1813" s="3">
        <f t="shared" si="142"/>
        <v>0</v>
      </c>
      <c r="R1813" s="3">
        <f t="shared" si="143"/>
        <v>21.96</v>
      </c>
      <c r="S1813" s="3">
        <f t="shared" si="144"/>
        <v>41868.009999999995</v>
      </c>
      <c r="T1813" s="24" t="s">
        <v>1081</v>
      </c>
      <c r="U1813" s="24" t="s">
        <v>1081</v>
      </c>
      <c r="V1813" s="67"/>
      <c r="W1813" s="25">
        <f>IFERROR(VLOOKUP(BCP_Soles[[#This Row],[DESTINATARIO]],CHOOSE({1,2},Clientes_Proveedores[Razon Social],Clientes_Proveedores[Ruc / Dni]),2,0),"")</f>
        <v>20100055237</v>
      </c>
      <c r="X1813" s="25" t="s">
        <v>1955</v>
      </c>
      <c r="Y1813" s="25" t="s">
        <v>2890</v>
      </c>
      <c r="Z1813" s="25"/>
      <c r="AA1813" s="99"/>
      <c r="AB1813" s="3" t="str">
        <f>IF(BCP_Soles[[#This Row],[FECHA]]&gt;0,TEXT(BCP_Soles[[#This Row],[FECHA]],"mmmm"),0)</f>
        <v>Mayo</v>
      </c>
    </row>
    <row r="1814" spans="2:28" ht="24" x14ac:dyDescent="0.3">
      <c r="B1814" s="2">
        <f>IF(BCP_Soles[[#This Row],[TIPO DE R.]]="R",COUNTIFS($D$4:$D1813,"R")+1,"")</f>
        <v>1408</v>
      </c>
      <c r="C1814" s="19" t="str">
        <f t="shared" si="140"/>
        <v>B-BCP - Soles</v>
      </c>
      <c r="D1814" s="3" t="s">
        <v>1074</v>
      </c>
      <c r="E1814" s="14">
        <v>45804</v>
      </c>
      <c r="F1814" s="5" t="s">
        <v>1082</v>
      </c>
      <c r="G1814" s="5" t="s">
        <v>1079</v>
      </c>
      <c r="H1814" s="6"/>
      <c r="I1814" s="6" t="s">
        <v>14</v>
      </c>
      <c r="J1814" s="6" t="s">
        <v>1119</v>
      </c>
      <c r="K1814" s="6">
        <v>15</v>
      </c>
      <c r="L1814" s="7" t="s">
        <v>2891</v>
      </c>
      <c r="M1814" s="8">
        <v>1220765</v>
      </c>
      <c r="N1814" s="8" t="str">
        <f t="shared" si="141"/>
        <v>PEN</v>
      </c>
      <c r="O1814" s="13"/>
      <c r="P1814" s="13">
        <v>600</v>
      </c>
      <c r="Q1814" s="3">
        <f t="shared" si="142"/>
        <v>0</v>
      </c>
      <c r="R1814" s="3">
        <f t="shared" si="143"/>
        <v>600</v>
      </c>
      <c r="S1814" s="3">
        <f t="shared" si="144"/>
        <v>41268.009999999995</v>
      </c>
      <c r="T1814" s="24" t="s">
        <v>1081</v>
      </c>
      <c r="U1814" s="24" t="s">
        <v>1081</v>
      </c>
      <c r="V1814" s="67"/>
      <c r="W1814" s="25" t="str">
        <f>IFERROR(VLOOKUP(BCP_Soles[[#This Row],[DESTINATARIO]],CHOOSE({1,2},Clientes_Proveedores[Razon Social],Clientes_Proveedores[Ruc / Dni]),2,0),"")</f>
        <v/>
      </c>
      <c r="X1814" s="25" t="s">
        <v>677</v>
      </c>
      <c r="Y1814" s="25" t="s">
        <v>2892</v>
      </c>
      <c r="Z1814" s="25"/>
      <c r="AA1814" s="99"/>
      <c r="AB1814" s="3" t="str">
        <f>IF(BCP_Soles[[#This Row],[FECHA]]&gt;0,TEXT(BCP_Soles[[#This Row],[FECHA]],"mmmm"),0)</f>
        <v>Mayo</v>
      </c>
    </row>
    <row r="1815" spans="2:28" ht="36" x14ac:dyDescent="0.3">
      <c r="B1815" s="2">
        <f>IF(BCP_Soles[[#This Row],[TIPO DE R.]]="R",COUNTIFS($D$4:$D1814,"R")+1,"")</f>
        <v>1409</v>
      </c>
      <c r="C1815" s="19" t="str">
        <f t="shared" si="140"/>
        <v>B-BCP - Soles</v>
      </c>
      <c r="D1815" s="3" t="s">
        <v>1074</v>
      </c>
      <c r="E1815" s="14">
        <v>45804</v>
      </c>
      <c r="F1815" s="5" t="s">
        <v>1082</v>
      </c>
      <c r="G1815" s="5" t="s">
        <v>1079</v>
      </c>
      <c r="H1815" s="6" t="s">
        <v>688</v>
      </c>
      <c r="I1815" s="6" t="s">
        <v>18</v>
      </c>
      <c r="J1815" s="6"/>
      <c r="K1815" s="6"/>
      <c r="L1815" s="7" t="s">
        <v>2893</v>
      </c>
      <c r="M1815" s="8">
        <v>1221256</v>
      </c>
      <c r="N1815" s="8" t="str">
        <f t="shared" si="141"/>
        <v>PEN</v>
      </c>
      <c r="O1815" s="13"/>
      <c r="P1815" s="13">
        <v>600</v>
      </c>
      <c r="Q1815" s="3">
        <f t="shared" si="142"/>
        <v>0</v>
      </c>
      <c r="R1815" s="3">
        <f t="shared" si="143"/>
        <v>600</v>
      </c>
      <c r="S1815" s="3">
        <f t="shared" si="144"/>
        <v>40668.009999999995</v>
      </c>
      <c r="T1815" s="24" t="s">
        <v>1081</v>
      </c>
      <c r="U1815" s="24" t="s">
        <v>1081</v>
      </c>
      <c r="V1815" s="67"/>
      <c r="W1815" s="25">
        <f>IFERROR(VLOOKUP(BCP_Soles[[#This Row],[DESTINATARIO]],CHOOSE({1,2},Clientes_Proveedores[Razon Social],Clientes_Proveedores[Ruc / Dni]),2,0),"")</f>
        <v>10446328129</v>
      </c>
      <c r="X1815" s="25" t="s">
        <v>1422</v>
      </c>
      <c r="Y1815" s="25" t="s">
        <v>2894</v>
      </c>
      <c r="Z1815" s="25"/>
      <c r="AA1815" s="99"/>
      <c r="AB1815" s="3" t="str">
        <f>IF(BCP_Soles[[#This Row],[FECHA]]&gt;0,TEXT(BCP_Soles[[#This Row],[FECHA]],"mmmm"),0)</f>
        <v>Mayo</v>
      </c>
    </row>
    <row r="1816" spans="2:28" ht="36" x14ac:dyDescent="0.3">
      <c r="B1816" s="2" t="str">
        <f>IF(BCP_Soles[[#This Row],[TIPO DE R.]]="R",COUNTIFS($D$4:$D1815,"R")+1,"")</f>
        <v/>
      </c>
      <c r="C1816" s="19" t="str">
        <f t="shared" si="140"/>
        <v>B-BCP - Soles</v>
      </c>
      <c r="D1816" s="3" t="s">
        <v>1101</v>
      </c>
      <c r="E1816" s="14">
        <v>45804</v>
      </c>
      <c r="F1816" s="5" t="s">
        <v>1082</v>
      </c>
      <c r="G1816" s="5"/>
      <c r="H1816" s="6" t="s">
        <v>688</v>
      </c>
      <c r="I1816" s="6" t="s">
        <v>18</v>
      </c>
      <c r="J1816" s="6" t="s">
        <v>1121</v>
      </c>
      <c r="K1816" s="6">
        <v>29</v>
      </c>
      <c r="L1816" s="7" t="s">
        <v>2893</v>
      </c>
      <c r="M1816" s="8">
        <v>1221256</v>
      </c>
      <c r="N1816" s="8" t="str">
        <f t="shared" si="141"/>
        <v>PEN</v>
      </c>
      <c r="O1816" s="13">
        <v>200</v>
      </c>
      <c r="P1816" s="13"/>
      <c r="Q1816" s="3">
        <f t="shared" si="142"/>
        <v>0</v>
      </c>
      <c r="R1816" s="3">
        <f t="shared" si="143"/>
        <v>0</v>
      </c>
      <c r="S1816" s="3">
        <f t="shared" si="144"/>
        <v>40668.009999999995</v>
      </c>
      <c r="T1816" s="24"/>
      <c r="U1816" s="24" t="s">
        <v>1081</v>
      </c>
      <c r="V1816" s="67"/>
      <c r="W1816" s="25">
        <f>IFERROR(VLOOKUP(BCP_Soles[[#This Row],[DESTINATARIO]],CHOOSE({1,2},Clientes_Proveedores[Razon Social],Clientes_Proveedores[Ruc / Dni]),2,0),"")</f>
        <v>10446328129</v>
      </c>
      <c r="X1816" s="25"/>
      <c r="Y1816" s="25"/>
      <c r="Z1816" s="25"/>
      <c r="AA1816" s="99"/>
      <c r="AB1816" s="3" t="str">
        <f>IF(BCP_Soles[[#This Row],[FECHA]]&gt;0,TEXT(BCP_Soles[[#This Row],[FECHA]],"mmmm"),0)</f>
        <v>Mayo</v>
      </c>
    </row>
    <row r="1817" spans="2:28" ht="36" x14ac:dyDescent="0.3">
      <c r="B1817" s="2" t="str">
        <f>IF(BCP_Soles[[#This Row],[TIPO DE R.]]="R",COUNTIFS($D$4:$D1816,"R")+1,"")</f>
        <v/>
      </c>
      <c r="C1817" s="19" t="str">
        <f t="shared" si="140"/>
        <v>B-BCP - Soles</v>
      </c>
      <c r="D1817" s="3" t="s">
        <v>1101</v>
      </c>
      <c r="E1817" s="14">
        <v>45804</v>
      </c>
      <c r="F1817" s="5" t="s">
        <v>1082</v>
      </c>
      <c r="G1817" s="5"/>
      <c r="H1817" s="6" t="s">
        <v>688</v>
      </c>
      <c r="I1817" s="6" t="s">
        <v>18</v>
      </c>
      <c r="J1817" s="6" t="s">
        <v>1121</v>
      </c>
      <c r="K1817" s="6">
        <v>30</v>
      </c>
      <c r="L1817" s="7" t="s">
        <v>2893</v>
      </c>
      <c r="M1817" s="8">
        <v>1221256</v>
      </c>
      <c r="N1817" s="8" t="str">
        <f t="shared" si="141"/>
        <v>PEN</v>
      </c>
      <c r="O1817" s="13">
        <v>200</v>
      </c>
      <c r="P1817" s="13"/>
      <c r="Q1817" s="3">
        <f t="shared" si="142"/>
        <v>0</v>
      </c>
      <c r="R1817" s="3">
        <f t="shared" si="143"/>
        <v>0</v>
      </c>
      <c r="S1817" s="3">
        <f t="shared" si="144"/>
        <v>40668.009999999995</v>
      </c>
      <c r="T1817" s="24"/>
      <c r="U1817" s="24" t="s">
        <v>1081</v>
      </c>
      <c r="V1817" s="67"/>
      <c r="W1817" s="25">
        <f>IFERROR(VLOOKUP(BCP_Soles[[#This Row],[DESTINATARIO]],CHOOSE({1,2},Clientes_Proveedores[Razon Social],Clientes_Proveedores[Ruc / Dni]),2,0),"")</f>
        <v>10446328129</v>
      </c>
      <c r="X1817" s="25"/>
      <c r="Y1817" s="25"/>
      <c r="Z1817" s="25"/>
      <c r="AA1817" s="99"/>
      <c r="AB1817" s="3" t="str">
        <f>IF(BCP_Soles[[#This Row],[FECHA]]&gt;0,TEXT(BCP_Soles[[#This Row],[FECHA]],"mmmm"),0)</f>
        <v>Mayo</v>
      </c>
    </row>
    <row r="1818" spans="2:28" ht="36" x14ac:dyDescent="0.3">
      <c r="B1818" s="2" t="str">
        <f>IF(BCP_Soles[[#This Row],[TIPO DE R.]]="R",COUNTIFS($D$4:$D1817,"R")+1,"")</f>
        <v/>
      </c>
      <c r="C1818" s="19" t="str">
        <f t="shared" si="140"/>
        <v>B-BCP - Soles</v>
      </c>
      <c r="D1818" s="3" t="s">
        <v>1101</v>
      </c>
      <c r="E1818" s="14">
        <v>45804</v>
      </c>
      <c r="F1818" s="5" t="s">
        <v>1082</v>
      </c>
      <c r="G1818" s="5"/>
      <c r="H1818" s="6" t="s">
        <v>688</v>
      </c>
      <c r="I1818" s="6" t="s">
        <v>18</v>
      </c>
      <c r="J1818" s="6" t="s">
        <v>1121</v>
      </c>
      <c r="K1818" s="6">
        <v>31</v>
      </c>
      <c r="L1818" s="7" t="s">
        <v>2893</v>
      </c>
      <c r="M1818" s="8">
        <v>1221256</v>
      </c>
      <c r="N1818" s="8" t="str">
        <f t="shared" si="141"/>
        <v>PEN</v>
      </c>
      <c r="O1818" s="13">
        <v>200</v>
      </c>
      <c r="P1818" s="13"/>
      <c r="Q1818" s="3">
        <f t="shared" si="142"/>
        <v>0</v>
      </c>
      <c r="R1818" s="3">
        <f t="shared" si="143"/>
        <v>0</v>
      </c>
      <c r="S1818" s="3">
        <f t="shared" si="144"/>
        <v>40668.009999999995</v>
      </c>
      <c r="T1818" s="24"/>
      <c r="U1818" s="24" t="s">
        <v>1081</v>
      </c>
      <c r="V1818" s="67"/>
      <c r="W1818" s="25">
        <f>IFERROR(VLOOKUP(BCP_Soles[[#This Row],[DESTINATARIO]],CHOOSE({1,2},Clientes_Proveedores[Razon Social],Clientes_Proveedores[Ruc / Dni]),2,0),"")</f>
        <v>10446328129</v>
      </c>
      <c r="X1818" s="25"/>
      <c r="Y1818" s="25"/>
      <c r="Z1818" s="25"/>
      <c r="AA1818" s="99"/>
      <c r="AB1818" s="3" t="str">
        <f>IF(BCP_Soles[[#This Row],[FECHA]]&gt;0,TEXT(BCP_Soles[[#This Row],[FECHA]],"mmmm"),0)</f>
        <v>Mayo</v>
      </c>
    </row>
    <row r="1819" spans="2:28" ht="36" x14ac:dyDescent="0.3">
      <c r="B1819" s="2">
        <f>IF(BCP_Soles[[#This Row],[TIPO DE R.]]="R",COUNTIFS($D$4:$D1818,"R")+1,"")</f>
        <v>1410</v>
      </c>
      <c r="C1819" s="19" t="str">
        <f t="shared" si="140"/>
        <v>B-BCP - Soles</v>
      </c>
      <c r="D1819" s="3" t="s">
        <v>1074</v>
      </c>
      <c r="E1819" s="14">
        <v>45804</v>
      </c>
      <c r="F1819" s="5" t="s">
        <v>1082</v>
      </c>
      <c r="G1819" s="5" t="s">
        <v>1079</v>
      </c>
      <c r="H1819" s="6" t="s">
        <v>440</v>
      </c>
      <c r="I1819" s="6" t="s">
        <v>14</v>
      </c>
      <c r="J1819" s="6" t="s">
        <v>1148</v>
      </c>
      <c r="K1819" s="6">
        <v>19575</v>
      </c>
      <c r="L1819" s="7" t="s">
        <v>2895</v>
      </c>
      <c r="M1819" s="8">
        <v>1102431</v>
      </c>
      <c r="N1819" s="8" t="str">
        <f t="shared" si="141"/>
        <v>PEN</v>
      </c>
      <c r="O1819" s="13"/>
      <c r="P1819" s="13">
        <v>920</v>
      </c>
      <c r="Q1819" s="3">
        <f t="shared" si="142"/>
        <v>0</v>
      </c>
      <c r="R1819" s="3">
        <f t="shared" si="143"/>
        <v>920</v>
      </c>
      <c r="S1819" s="3">
        <f t="shared" si="144"/>
        <v>39748.009999999995</v>
      </c>
      <c r="T1819" s="24" t="s">
        <v>1081</v>
      </c>
      <c r="U1819" s="24" t="s">
        <v>1081</v>
      </c>
      <c r="V1819" s="67"/>
      <c r="W1819" s="25">
        <f>IFERROR(VLOOKUP(BCP_Soles[[#This Row],[DESTINATARIO]],CHOOSE({1,2},Clientes_Proveedores[Razon Social],Clientes_Proveedores[Ruc / Dni]),2,0),"")</f>
        <v>20602810497</v>
      </c>
      <c r="X1819" s="25" t="s">
        <v>1331</v>
      </c>
      <c r="Y1819" s="25" t="s">
        <v>2896</v>
      </c>
      <c r="Z1819" s="25"/>
      <c r="AA1819" s="99"/>
      <c r="AB1819" s="3" t="str">
        <f>IF(BCP_Soles[[#This Row],[FECHA]]&gt;0,TEXT(BCP_Soles[[#This Row],[FECHA]],"mmmm"),0)</f>
        <v>Mayo</v>
      </c>
    </row>
    <row r="1820" spans="2:28" x14ac:dyDescent="0.3">
      <c r="B1820" s="2">
        <f>IF(BCP_Soles[[#This Row],[TIPO DE R.]]="R",COUNTIFS($D$4:$D1819,"R")+1,"")</f>
        <v>1411</v>
      </c>
      <c r="C1820" s="19" t="str">
        <f t="shared" si="140"/>
        <v>B-BCP - Soles</v>
      </c>
      <c r="D1820" s="3" t="s">
        <v>1074</v>
      </c>
      <c r="E1820" s="14">
        <v>45804</v>
      </c>
      <c r="F1820" s="5" t="s">
        <v>1082</v>
      </c>
      <c r="G1820" s="5" t="s">
        <v>1079</v>
      </c>
      <c r="H1820" s="6" t="s">
        <v>638</v>
      </c>
      <c r="I1820" s="6"/>
      <c r="J1820" s="6"/>
      <c r="K1820" s="6"/>
      <c r="L1820" s="7" t="s">
        <v>2897</v>
      </c>
      <c r="M1820" s="8">
        <v>525398</v>
      </c>
      <c r="N1820" s="8" t="str">
        <f t="shared" si="141"/>
        <v>PEN</v>
      </c>
      <c r="O1820" s="13"/>
      <c r="P1820" s="13">
        <v>2951.25</v>
      </c>
      <c r="Q1820" s="3">
        <f t="shared" si="142"/>
        <v>0</v>
      </c>
      <c r="R1820" s="3">
        <f t="shared" si="143"/>
        <v>2951.25</v>
      </c>
      <c r="S1820" s="3">
        <f t="shared" si="144"/>
        <v>36796.759999999995</v>
      </c>
      <c r="T1820" s="24" t="s">
        <v>1081</v>
      </c>
      <c r="U1820" s="24" t="s">
        <v>1081</v>
      </c>
      <c r="V1820" s="67"/>
      <c r="W1820" s="25">
        <f>IFERROR(VLOOKUP(BCP_Soles[[#This Row],[DESTINATARIO]],CHOOSE({1,2},Clientes_Proveedores[Razon Social],Clientes_Proveedores[Ruc / Dni]),2,0),"")</f>
        <v>0</v>
      </c>
      <c r="X1820" s="25" t="s">
        <v>1118</v>
      </c>
      <c r="Y1820" s="25"/>
      <c r="Z1820" s="25"/>
      <c r="AA1820" s="99"/>
      <c r="AB1820" s="3" t="str">
        <f>IF(BCP_Soles[[#This Row],[FECHA]]&gt;0,TEXT(BCP_Soles[[#This Row],[FECHA]],"mmmm"),0)</f>
        <v>Mayo</v>
      </c>
    </row>
    <row r="1821" spans="2:28" ht="36" x14ac:dyDescent="0.3">
      <c r="B1821" s="2" t="str">
        <f>IF(BCP_Soles[[#This Row],[TIPO DE R.]]="R",COUNTIFS($D$4:$D1820,"R")+1,"")</f>
        <v/>
      </c>
      <c r="C1821" s="19" t="str">
        <f t="shared" si="140"/>
        <v>B-BCP - Soles</v>
      </c>
      <c r="D1821" s="3" t="s">
        <v>1101</v>
      </c>
      <c r="E1821" s="14">
        <v>45804</v>
      </c>
      <c r="F1821" s="5" t="s">
        <v>1082</v>
      </c>
      <c r="G1821" s="5"/>
      <c r="H1821" s="6" t="s">
        <v>220</v>
      </c>
      <c r="I1821" s="6"/>
      <c r="J1821" s="6" t="s">
        <v>1148</v>
      </c>
      <c r="K1821" s="6">
        <v>1729</v>
      </c>
      <c r="L1821" s="7" t="s">
        <v>2897</v>
      </c>
      <c r="M1821" s="8">
        <v>525398</v>
      </c>
      <c r="N1821" s="8" t="str">
        <f t="shared" si="141"/>
        <v>PEN</v>
      </c>
      <c r="O1821" s="13">
        <v>300</v>
      </c>
      <c r="P1821" s="13"/>
      <c r="Q1821" s="3">
        <f t="shared" si="142"/>
        <v>0</v>
      </c>
      <c r="R1821" s="3">
        <f t="shared" si="143"/>
        <v>0</v>
      </c>
      <c r="S1821" s="3">
        <f t="shared" si="144"/>
        <v>36796.759999999995</v>
      </c>
      <c r="T1821" s="24"/>
      <c r="U1821" s="24" t="s">
        <v>1081</v>
      </c>
      <c r="V1821" s="67"/>
      <c r="W1821" s="25">
        <f>IFERROR(VLOOKUP(BCP_Soles[[#This Row],[DESTINATARIO]],CHOOSE({1,2},Clientes_Proveedores[Razon Social],Clientes_Proveedores[Ruc / Dni]),2,0),"")</f>
        <v>20429640939</v>
      </c>
      <c r="X1821" s="25"/>
      <c r="Y1821" s="25"/>
      <c r="Z1821" s="25"/>
      <c r="AA1821" s="99"/>
      <c r="AB1821" s="3" t="str">
        <f>IF(BCP_Soles[[#This Row],[FECHA]]&gt;0,TEXT(BCP_Soles[[#This Row],[FECHA]],"mmmm"),0)</f>
        <v>Mayo</v>
      </c>
    </row>
    <row r="1822" spans="2:28" ht="36" x14ac:dyDescent="0.3">
      <c r="B1822" s="2" t="str">
        <f>IF(BCP_Soles[[#This Row],[TIPO DE R.]]="R",COUNTIFS($D$4:$D1821,"R")+1,"")</f>
        <v/>
      </c>
      <c r="C1822" s="19" t="str">
        <f t="shared" si="140"/>
        <v>B-BCP - Soles</v>
      </c>
      <c r="D1822" s="3" t="s">
        <v>1101</v>
      </c>
      <c r="E1822" s="14">
        <v>45804</v>
      </c>
      <c r="F1822" s="5" t="s">
        <v>1082</v>
      </c>
      <c r="G1822" s="5"/>
      <c r="H1822" s="6" t="s">
        <v>332</v>
      </c>
      <c r="I1822" s="6"/>
      <c r="J1822" s="6" t="s">
        <v>1119</v>
      </c>
      <c r="K1822" s="6">
        <v>1624</v>
      </c>
      <c r="L1822" s="7" t="s">
        <v>2897</v>
      </c>
      <c r="M1822" s="8">
        <v>525398</v>
      </c>
      <c r="N1822" s="8" t="str">
        <f t="shared" si="141"/>
        <v>PEN</v>
      </c>
      <c r="O1822" s="13">
        <v>83.8</v>
      </c>
      <c r="P1822" s="13"/>
      <c r="Q1822" s="3">
        <f t="shared" si="142"/>
        <v>0</v>
      </c>
      <c r="R1822" s="3">
        <f t="shared" si="143"/>
        <v>0</v>
      </c>
      <c r="S1822" s="3">
        <f t="shared" si="144"/>
        <v>36796.759999999995</v>
      </c>
      <c r="T1822" s="24"/>
      <c r="U1822" s="24" t="s">
        <v>1081</v>
      </c>
      <c r="V1822" s="67"/>
      <c r="W1822" s="25">
        <f>IFERROR(VLOOKUP(BCP_Soles[[#This Row],[DESTINATARIO]],CHOOSE({1,2},Clientes_Proveedores[Razon Social],Clientes_Proveedores[Ruc / Dni]),2,0),"")</f>
        <v>20539627938</v>
      </c>
      <c r="X1822" s="25"/>
      <c r="Y1822" s="25"/>
      <c r="Z1822" s="25"/>
      <c r="AA1822" s="99"/>
      <c r="AB1822" s="3" t="str">
        <f>IF(BCP_Soles[[#This Row],[FECHA]]&gt;0,TEXT(BCP_Soles[[#This Row],[FECHA]],"mmmm"),0)</f>
        <v>Mayo</v>
      </c>
    </row>
    <row r="1823" spans="2:28" x14ac:dyDescent="0.3">
      <c r="B1823" s="2" t="str">
        <f>IF(BCP_Soles[[#This Row],[TIPO DE R.]]="R",COUNTIFS($D$4:$D1822,"R")+1,"")</f>
        <v/>
      </c>
      <c r="C1823" s="19" t="str">
        <f t="shared" si="140"/>
        <v>B-BCP - Soles</v>
      </c>
      <c r="D1823" s="3" t="s">
        <v>1101</v>
      </c>
      <c r="E1823" s="14">
        <v>45804</v>
      </c>
      <c r="F1823" s="5" t="s">
        <v>1082</v>
      </c>
      <c r="G1823" s="5"/>
      <c r="H1823" s="6" t="s">
        <v>465</v>
      </c>
      <c r="I1823" s="6" t="s">
        <v>14</v>
      </c>
      <c r="J1823" s="6" t="s">
        <v>1121</v>
      </c>
      <c r="K1823" s="6">
        <v>3891</v>
      </c>
      <c r="L1823" s="7" t="s">
        <v>2897</v>
      </c>
      <c r="M1823" s="8">
        <v>525398</v>
      </c>
      <c r="N1823" s="8" t="str">
        <f t="shared" si="141"/>
        <v>PEN</v>
      </c>
      <c r="O1823" s="13">
        <v>451.35</v>
      </c>
      <c r="P1823" s="13"/>
      <c r="Q1823" s="3">
        <f t="shared" si="142"/>
        <v>0</v>
      </c>
      <c r="R1823" s="3">
        <f t="shared" si="143"/>
        <v>0</v>
      </c>
      <c r="S1823" s="3">
        <f t="shared" si="144"/>
        <v>36796.759999999995</v>
      </c>
      <c r="T1823" s="24"/>
      <c r="U1823" s="24" t="s">
        <v>1081</v>
      </c>
      <c r="V1823" s="67"/>
      <c r="W1823" s="25">
        <f>IFERROR(VLOOKUP(BCP_Soles[[#This Row],[DESTINATARIO]],CHOOSE({1,2},Clientes_Proveedores[Razon Social],Clientes_Proveedores[Ruc / Dni]),2,0),"")</f>
        <v>20603974817</v>
      </c>
      <c r="X1823" s="25"/>
      <c r="Y1823" s="25"/>
      <c r="Z1823" s="25"/>
      <c r="AA1823" s="99"/>
      <c r="AB1823" s="3" t="str">
        <f>IF(BCP_Soles[[#This Row],[FECHA]]&gt;0,TEXT(BCP_Soles[[#This Row],[FECHA]],"mmmm"),0)</f>
        <v>Mayo</v>
      </c>
    </row>
    <row r="1824" spans="2:28" x14ac:dyDescent="0.3">
      <c r="B1824" s="2" t="str">
        <f>IF(BCP_Soles[[#This Row],[TIPO DE R.]]="R",COUNTIFS($D$4:$D1823,"R")+1,"")</f>
        <v/>
      </c>
      <c r="C1824" s="19" t="str">
        <f t="shared" si="140"/>
        <v>B-BCP - Soles</v>
      </c>
      <c r="D1824" s="3" t="s">
        <v>1101</v>
      </c>
      <c r="E1824" s="14">
        <v>45804</v>
      </c>
      <c r="F1824" s="5" t="s">
        <v>1082</v>
      </c>
      <c r="G1824" s="5"/>
      <c r="H1824" s="6" t="s">
        <v>465</v>
      </c>
      <c r="I1824" s="6" t="s">
        <v>14</v>
      </c>
      <c r="J1824" s="6" t="s">
        <v>1121</v>
      </c>
      <c r="K1824" s="6">
        <v>3897</v>
      </c>
      <c r="L1824" s="7" t="s">
        <v>2897</v>
      </c>
      <c r="M1824" s="8">
        <v>525398</v>
      </c>
      <c r="N1824" s="8" t="str">
        <f t="shared" si="141"/>
        <v>PEN</v>
      </c>
      <c r="O1824" s="13">
        <v>250.75</v>
      </c>
      <c r="P1824" s="13"/>
      <c r="Q1824" s="3">
        <f t="shared" si="142"/>
        <v>0</v>
      </c>
      <c r="R1824" s="3">
        <f t="shared" si="143"/>
        <v>0</v>
      </c>
      <c r="S1824" s="3">
        <f t="shared" si="144"/>
        <v>36796.759999999995</v>
      </c>
      <c r="T1824" s="24"/>
      <c r="U1824" s="24" t="s">
        <v>1081</v>
      </c>
      <c r="V1824" s="67"/>
      <c r="W1824" s="25">
        <f>IFERROR(VLOOKUP(BCP_Soles[[#This Row],[DESTINATARIO]],CHOOSE({1,2},Clientes_Proveedores[Razon Social],Clientes_Proveedores[Ruc / Dni]),2,0),"")</f>
        <v>20603974817</v>
      </c>
      <c r="X1824" s="25"/>
      <c r="Y1824" s="25"/>
      <c r="Z1824" s="25"/>
      <c r="AA1824" s="99"/>
      <c r="AB1824" s="3" t="str">
        <f>IF(BCP_Soles[[#This Row],[FECHA]]&gt;0,TEXT(BCP_Soles[[#This Row],[FECHA]],"mmmm"),0)</f>
        <v>Mayo</v>
      </c>
    </row>
    <row r="1825" spans="2:28" x14ac:dyDescent="0.3">
      <c r="B1825" s="2" t="str">
        <f>IF(BCP_Soles[[#This Row],[TIPO DE R.]]="R",COUNTIFS($D$4:$D1824,"R")+1,"")</f>
        <v/>
      </c>
      <c r="C1825" s="19" t="str">
        <f t="shared" si="140"/>
        <v>B-BCP - Soles</v>
      </c>
      <c r="D1825" s="3" t="s">
        <v>1101</v>
      </c>
      <c r="E1825" s="14">
        <v>45804</v>
      </c>
      <c r="F1825" s="5" t="s">
        <v>1082</v>
      </c>
      <c r="G1825" s="5"/>
      <c r="H1825" s="6" t="s">
        <v>465</v>
      </c>
      <c r="I1825" s="6" t="s">
        <v>14</v>
      </c>
      <c r="J1825" s="6" t="s">
        <v>1121</v>
      </c>
      <c r="K1825" s="6">
        <v>3892</v>
      </c>
      <c r="L1825" s="7" t="s">
        <v>2897</v>
      </c>
      <c r="M1825" s="8">
        <v>525398</v>
      </c>
      <c r="N1825" s="8" t="str">
        <f t="shared" si="141"/>
        <v>PEN</v>
      </c>
      <c r="O1825" s="13">
        <v>651.95000000000005</v>
      </c>
      <c r="P1825" s="13"/>
      <c r="Q1825" s="3">
        <f t="shared" si="142"/>
        <v>0</v>
      </c>
      <c r="R1825" s="3">
        <f t="shared" si="143"/>
        <v>0</v>
      </c>
      <c r="S1825" s="3">
        <f t="shared" si="144"/>
        <v>36796.759999999995</v>
      </c>
      <c r="T1825" s="24"/>
      <c r="U1825" s="24" t="s">
        <v>1081</v>
      </c>
      <c r="V1825" s="67"/>
      <c r="W1825" s="25">
        <f>IFERROR(VLOOKUP(BCP_Soles[[#This Row],[DESTINATARIO]],CHOOSE({1,2},Clientes_Proveedores[Razon Social],Clientes_Proveedores[Ruc / Dni]),2,0),"")</f>
        <v>20603974817</v>
      </c>
      <c r="X1825" s="25"/>
      <c r="Y1825" s="25"/>
      <c r="Z1825" s="25"/>
      <c r="AA1825" s="99"/>
      <c r="AB1825" s="3" t="str">
        <f>IF(BCP_Soles[[#This Row],[FECHA]]&gt;0,TEXT(BCP_Soles[[#This Row],[FECHA]],"mmmm"),0)</f>
        <v>Mayo</v>
      </c>
    </row>
    <row r="1826" spans="2:28" ht="24" x14ac:dyDescent="0.3">
      <c r="B1826" s="2" t="str">
        <f>IF(BCP_Soles[[#This Row],[TIPO DE R.]]="R",COUNTIFS($D$4:$D1825,"R")+1,"")</f>
        <v/>
      </c>
      <c r="C1826" s="19" t="str">
        <f t="shared" si="140"/>
        <v>B-BCP - Soles</v>
      </c>
      <c r="D1826" s="3" t="s">
        <v>1101</v>
      </c>
      <c r="E1826" s="14">
        <v>45804</v>
      </c>
      <c r="F1826" s="5" t="s">
        <v>1082</v>
      </c>
      <c r="G1826" s="5"/>
      <c r="H1826" s="6" t="s">
        <v>108</v>
      </c>
      <c r="I1826" s="6"/>
      <c r="J1826" s="6" t="s">
        <v>1121</v>
      </c>
      <c r="K1826" s="6">
        <v>4839</v>
      </c>
      <c r="L1826" s="7" t="s">
        <v>2897</v>
      </c>
      <c r="M1826" s="8">
        <v>525398</v>
      </c>
      <c r="N1826" s="8" t="str">
        <f t="shared" si="141"/>
        <v>PEN</v>
      </c>
      <c r="O1826" s="13">
        <v>59</v>
      </c>
      <c r="P1826" s="13"/>
      <c r="Q1826" s="3">
        <f t="shared" si="142"/>
        <v>0</v>
      </c>
      <c r="R1826" s="3">
        <f t="shared" si="143"/>
        <v>0</v>
      </c>
      <c r="S1826" s="3">
        <f t="shared" si="144"/>
        <v>36796.759999999995</v>
      </c>
      <c r="T1826" s="24"/>
      <c r="U1826" s="24" t="s">
        <v>1081</v>
      </c>
      <c r="V1826" s="67"/>
      <c r="W1826" s="25">
        <f>IFERROR(VLOOKUP(BCP_Soles[[#This Row],[DESTINATARIO]],CHOOSE({1,2},Clientes_Proveedores[Razon Social],Clientes_Proveedores[Ruc / Dni]),2,0),"")</f>
        <v>10425371652</v>
      </c>
      <c r="X1826" s="25"/>
      <c r="Y1826" s="25"/>
      <c r="Z1826" s="25"/>
      <c r="AA1826" s="99"/>
      <c r="AB1826" s="3" t="str">
        <f>IF(BCP_Soles[[#This Row],[FECHA]]&gt;0,TEXT(BCP_Soles[[#This Row],[FECHA]],"mmmm"),0)</f>
        <v>Mayo</v>
      </c>
    </row>
    <row r="1827" spans="2:28" ht="24" x14ac:dyDescent="0.3">
      <c r="B1827" s="2" t="str">
        <f>IF(BCP_Soles[[#This Row],[TIPO DE R.]]="R",COUNTIFS($D$4:$D1826,"R")+1,"")</f>
        <v/>
      </c>
      <c r="C1827" s="19" t="str">
        <f t="shared" si="140"/>
        <v>B-BCP - Soles</v>
      </c>
      <c r="D1827" s="3" t="s">
        <v>1101</v>
      </c>
      <c r="E1827" s="14">
        <v>45804</v>
      </c>
      <c r="F1827" s="5" t="s">
        <v>1082</v>
      </c>
      <c r="G1827" s="5"/>
      <c r="H1827" s="6" t="s">
        <v>536</v>
      </c>
      <c r="I1827" s="6"/>
      <c r="J1827" s="6" t="s">
        <v>1121</v>
      </c>
      <c r="K1827" s="6">
        <v>2190</v>
      </c>
      <c r="L1827" s="7" t="s">
        <v>2897</v>
      </c>
      <c r="M1827" s="8">
        <v>525398</v>
      </c>
      <c r="N1827" s="8" t="str">
        <f t="shared" si="141"/>
        <v>PEN</v>
      </c>
      <c r="O1827" s="13">
        <v>70.8</v>
      </c>
      <c r="P1827" s="13"/>
      <c r="Q1827" s="3">
        <f t="shared" si="142"/>
        <v>0</v>
      </c>
      <c r="R1827" s="3">
        <f t="shared" si="143"/>
        <v>0</v>
      </c>
      <c r="S1827" s="3">
        <f t="shared" si="144"/>
        <v>36796.759999999995</v>
      </c>
      <c r="T1827" s="24"/>
      <c r="U1827" s="24" t="s">
        <v>1081</v>
      </c>
      <c r="V1827" s="67"/>
      <c r="W1827" s="25">
        <f>IFERROR(VLOOKUP(BCP_Soles[[#This Row],[DESTINATARIO]],CHOOSE({1,2},Clientes_Proveedores[Razon Social],Clientes_Proveedores[Ruc / Dni]),2,0),"")</f>
        <v>20609764261</v>
      </c>
      <c r="X1827" s="25"/>
      <c r="Y1827" s="25"/>
      <c r="Z1827" s="25"/>
      <c r="AA1827" s="99"/>
      <c r="AB1827" s="3" t="str">
        <f>IF(BCP_Soles[[#This Row],[FECHA]]&gt;0,TEXT(BCP_Soles[[#This Row],[FECHA]],"mmmm"),0)</f>
        <v>Mayo</v>
      </c>
    </row>
    <row r="1828" spans="2:28" ht="24" x14ac:dyDescent="0.3">
      <c r="B1828" s="2" t="str">
        <f>IF(BCP_Soles[[#This Row],[TIPO DE R.]]="R",COUNTIFS($D$4:$D1827,"R")+1,"")</f>
        <v/>
      </c>
      <c r="C1828" s="19" t="str">
        <f t="shared" si="140"/>
        <v>B-BCP - Soles</v>
      </c>
      <c r="D1828" s="3" t="s">
        <v>1101</v>
      </c>
      <c r="E1828" s="14">
        <v>45804</v>
      </c>
      <c r="F1828" s="5" t="s">
        <v>1082</v>
      </c>
      <c r="G1828" s="5"/>
      <c r="H1828" s="6" t="s">
        <v>536</v>
      </c>
      <c r="I1828" s="6"/>
      <c r="J1828" s="6" t="s">
        <v>1121</v>
      </c>
      <c r="K1828" s="6">
        <v>2197</v>
      </c>
      <c r="L1828" s="7" t="s">
        <v>2897</v>
      </c>
      <c r="M1828" s="8">
        <v>525398</v>
      </c>
      <c r="N1828" s="8" t="str">
        <f t="shared" si="141"/>
        <v>PEN</v>
      </c>
      <c r="O1828" s="13">
        <v>70.8</v>
      </c>
      <c r="P1828" s="13"/>
      <c r="Q1828" s="3">
        <f t="shared" si="142"/>
        <v>0</v>
      </c>
      <c r="R1828" s="3">
        <f t="shared" si="143"/>
        <v>0</v>
      </c>
      <c r="S1828" s="3">
        <f t="shared" si="144"/>
        <v>36796.759999999995</v>
      </c>
      <c r="T1828" s="24"/>
      <c r="U1828" s="24" t="s">
        <v>1081</v>
      </c>
      <c r="V1828" s="67"/>
      <c r="W1828" s="25">
        <f>IFERROR(VLOOKUP(BCP_Soles[[#This Row],[DESTINATARIO]],CHOOSE({1,2},Clientes_Proveedores[Razon Social],Clientes_Proveedores[Ruc / Dni]),2,0),"")</f>
        <v>20609764261</v>
      </c>
      <c r="X1828" s="25"/>
      <c r="Y1828" s="25"/>
      <c r="Z1828" s="25"/>
      <c r="AA1828" s="99"/>
      <c r="AB1828" s="3" t="str">
        <f>IF(BCP_Soles[[#This Row],[FECHA]]&gt;0,TEXT(BCP_Soles[[#This Row],[FECHA]],"mmmm"),0)</f>
        <v>Mayo</v>
      </c>
    </row>
    <row r="1829" spans="2:28" ht="24" x14ac:dyDescent="0.3">
      <c r="B1829" s="2" t="str">
        <f>IF(BCP_Soles[[#This Row],[TIPO DE R.]]="R",COUNTIFS($D$4:$D1828,"R")+1,"")</f>
        <v/>
      </c>
      <c r="C1829" s="19" t="str">
        <f t="shared" si="140"/>
        <v>B-BCP - Soles</v>
      </c>
      <c r="D1829" s="3" t="s">
        <v>1101</v>
      </c>
      <c r="E1829" s="14">
        <v>45804</v>
      </c>
      <c r="F1829" s="5" t="s">
        <v>1082</v>
      </c>
      <c r="G1829" s="5"/>
      <c r="H1829" s="6" t="s">
        <v>536</v>
      </c>
      <c r="I1829" s="6"/>
      <c r="J1829" s="6" t="s">
        <v>1121</v>
      </c>
      <c r="K1829" s="6">
        <v>2189</v>
      </c>
      <c r="L1829" s="7" t="s">
        <v>2897</v>
      </c>
      <c r="M1829" s="8">
        <v>525398</v>
      </c>
      <c r="N1829" s="8" t="str">
        <f t="shared" si="141"/>
        <v>PEN</v>
      </c>
      <c r="O1829" s="13">
        <v>70.8</v>
      </c>
      <c r="P1829" s="13"/>
      <c r="Q1829" s="3">
        <f t="shared" si="142"/>
        <v>0</v>
      </c>
      <c r="R1829" s="3">
        <f t="shared" si="143"/>
        <v>0</v>
      </c>
      <c r="S1829" s="3">
        <f t="shared" si="144"/>
        <v>36796.759999999995</v>
      </c>
      <c r="T1829" s="24"/>
      <c r="U1829" s="24" t="s">
        <v>1081</v>
      </c>
      <c r="V1829" s="67"/>
      <c r="W1829" s="25">
        <f>IFERROR(VLOOKUP(BCP_Soles[[#This Row],[DESTINATARIO]],CHOOSE({1,2},Clientes_Proveedores[Razon Social],Clientes_Proveedores[Ruc / Dni]),2,0),"")</f>
        <v>20609764261</v>
      </c>
      <c r="X1829" s="25"/>
      <c r="Y1829" s="25"/>
      <c r="Z1829" s="25"/>
      <c r="AA1829" s="99"/>
      <c r="AB1829" s="3" t="str">
        <f>IF(BCP_Soles[[#This Row],[FECHA]]&gt;0,TEXT(BCP_Soles[[#This Row],[FECHA]],"mmmm"),0)</f>
        <v>Mayo</v>
      </c>
    </row>
    <row r="1830" spans="2:28" ht="24" x14ac:dyDescent="0.3">
      <c r="B1830" s="2" t="str">
        <f>IF(BCP_Soles[[#This Row],[TIPO DE R.]]="R",COUNTIFS($D$4:$D1829,"R")+1,"")</f>
        <v/>
      </c>
      <c r="C1830" s="19" t="str">
        <f t="shared" si="140"/>
        <v>B-BCP - Soles</v>
      </c>
      <c r="D1830" s="3" t="s">
        <v>1101</v>
      </c>
      <c r="E1830" s="14">
        <v>45804</v>
      </c>
      <c r="F1830" s="5" t="s">
        <v>1082</v>
      </c>
      <c r="G1830" s="5"/>
      <c r="H1830" s="6" t="s">
        <v>609</v>
      </c>
      <c r="I1830" s="6"/>
      <c r="J1830" s="6" t="s">
        <v>1121</v>
      </c>
      <c r="K1830" s="6">
        <v>30</v>
      </c>
      <c r="L1830" s="7" t="s">
        <v>2897</v>
      </c>
      <c r="M1830" s="8">
        <v>525398</v>
      </c>
      <c r="N1830" s="8" t="str">
        <f t="shared" si="141"/>
        <v>PEN</v>
      </c>
      <c r="O1830" s="13">
        <v>510</v>
      </c>
      <c r="P1830" s="13"/>
      <c r="Q1830" s="3">
        <f t="shared" si="142"/>
        <v>0</v>
      </c>
      <c r="R1830" s="3">
        <f t="shared" si="143"/>
        <v>0</v>
      </c>
      <c r="S1830" s="3">
        <f t="shared" si="144"/>
        <v>36796.759999999995</v>
      </c>
      <c r="T1830" s="24"/>
      <c r="U1830" s="24" t="s">
        <v>1081</v>
      </c>
      <c r="V1830" s="67"/>
      <c r="W1830" s="25">
        <f>IFERROR(VLOOKUP(BCP_Soles[[#This Row],[DESTINATARIO]],CHOOSE({1,2},Clientes_Proveedores[Razon Social],Clientes_Proveedores[Ruc / Dni]),2,0),"")</f>
        <v>10410687491</v>
      </c>
      <c r="X1830" s="25"/>
      <c r="Y1830" s="25"/>
      <c r="Z1830" s="25"/>
      <c r="AA1830" s="99"/>
      <c r="AB1830" s="3" t="str">
        <f>IF(BCP_Soles[[#This Row],[FECHA]]&gt;0,TEXT(BCP_Soles[[#This Row],[FECHA]],"mmmm"),0)</f>
        <v>Mayo</v>
      </c>
    </row>
    <row r="1831" spans="2:28" ht="36" x14ac:dyDescent="0.3">
      <c r="B1831" s="2" t="str">
        <f>IF(BCP_Soles[[#This Row],[TIPO DE R.]]="R",COUNTIFS($D$4:$D1830,"R")+1,"")</f>
        <v/>
      </c>
      <c r="C1831" s="19" t="str">
        <f t="shared" si="140"/>
        <v>B-BCP - Soles</v>
      </c>
      <c r="D1831" s="3" t="s">
        <v>1101</v>
      </c>
      <c r="E1831" s="14">
        <v>45804</v>
      </c>
      <c r="F1831" s="5" t="s">
        <v>1082</v>
      </c>
      <c r="G1831" s="5"/>
      <c r="H1831" s="6" t="s">
        <v>417</v>
      </c>
      <c r="I1831" s="6"/>
      <c r="J1831" s="6" t="s">
        <v>1121</v>
      </c>
      <c r="K1831" s="6">
        <v>761</v>
      </c>
      <c r="L1831" s="7" t="s">
        <v>2897</v>
      </c>
      <c r="M1831" s="8">
        <v>525398</v>
      </c>
      <c r="N1831" s="8" t="str">
        <f t="shared" si="141"/>
        <v>PEN</v>
      </c>
      <c r="O1831" s="13">
        <v>432</v>
      </c>
      <c r="P1831" s="13"/>
      <c r="Q1831" s="3">
        <f t="shared" si="142"/>
        <v>0</v>
      </c>
      <c r="R1831" s="3">
        <f t="shared" si="143"/>
        <v>0</v>
      </c>
      <c r="S1831" s="3">
        <f t="shared" si="144"/>
        <v>36796.759999999995</v>
      </c>
      <c r="T1831" s="24"/>
      <c r="U1831" s="24" t="s">
        <v>1081</v>
      </c>
      <c r="V1831" s="67"/>
      <c r="W1831" s="25">
        <f>IFERROR(VLOOKUP(BCP_Soles[[#This Row],[DESTINATARIO]],CHOOSE({1,2},Clientes_Proveedores[Razon Social],Clientes_Proveedores[Ruc / Dni]),2,0),"")</f>
        <v>20602075177</v>
      </c>
      <c r="X1831" s="25"/>
      <c r="Y1831" s="25"/>
      <c r="Z1831" s="25"/>
      <c r="AA1831" s="99"/>
      <c r="AB1831" s="3" t="str">
        <f>IF(BCP_Soles[[#This Row],[FECHA]]&gt;0,TEXT(BCP_Soles[[#This Row],[FECHA]],"mmmm"),0)</f>
        <v>Mayo</v>
      </c>
    </row>
    <row r="1832" spans="2:28" x14ac:dyDescent="0.3">
      <c r="B1832" s="2">
        <f>IF(BCP_Soles[[#This Row],[TIPO DE R.]]="R",COUNTIFS($D$4:$D1831,"R")+1,"")</f>
        <v>1412</v>
      </c>
      <c r="C1832" s="19" t="str">
        <f t="shared" si="140"/>
        <v>B-BCP - Soles</v>
      </c>
      <c r="D1832" s="3" t="s">
        <v>1074</v>
      </c>
      <c r="E1832" s="14">
        <v>45804</v>
      </c>
      <c r="F1832" s="5" t="s">
        <v>2898</v>
      </c>
      <c r="G1832" s="5" t="s">
        <v>1079</v>
      </c>
      <c r="H1832" s="6"/>
      <c r="I1832" s="6"/>
      <c r="J1832" s="6"/>
      <c r="K1832" s="6"/>
      <c r="L1832" s="7" t="s">
        <v>2899</v>
      </c>
      <c r="M1832" s="8">
        <v>1008852</v>
      </c>
      <c r="N1832" s="8" t="str">
        <f t="shared" si="141"/>
        <v>PEN</v>
      </c>
      <c r="O1832" s="13"/>
      <c r="P1832" s="13">
        <v>3440</v>
      </c>
      <c r="Q1832" s="3">
        <f t="shared" si="142"/>
        <v>0</v>
      </c>
      <c r="R1832" s="3">
        <f t="shared" si="143"/>
        <v>3440</v>
      </c>
      <c r="S1832" s="3">
        <f t="shared" si="144"/>
        <v>33356.759999999995</v>
      </c>
      <c r="T1832" s="24"/>
      <c r="U1832" s="24"/>
      <c r="V1832" s="67"/>
      <c r="W1832" s="25" t="str">
        <f>IFERROR(VLOOKUP(BCP_Soles[[#This Row],[DESTINATARIO]],CHOOSE({1,2},Clientes_Proveedores[Razon Social],Clientes_Proveedores[Ruc / Dni]),2,0),"")</f>
        <v/>
      </c>
      <c r="X1832" s="25" t="s">
        <v>2386</v>
      </c>
      <c r="Y1832" s="25"/>
      <c r="Z1832" s="25"/>
      <c r="AA1832" s="99"/>
      <c r="AB1832" s="3" t="str">
        <f>IF(BCP_Soles[[#This Row],[FECHA]]&gt;0,TEXT(BCP_Soles[[#This Row],[FECHA]],"mmmm"),0)</f>
        <v>Mayo</v>
      </c>
    </row>
    <row r="1833" spans="2:28" ht="36" x14ac:dyDescent="0.3">
      <c r="B1833" s="2">
        <f>IF(BCP_Soles[[#This Row],[TIPO DE R.]]="R",COUNTIFS($D$4:$D1832,"R")+1,"")</f>
        <v>1413</v>
      </c>
      <c r="C1833" s="19" t="str">
        <f t="shared" si="140"/>
        <v>B-BCP - Soles</v>
      </c>
      <c r="D1833" s="3" t="s">
        <v>1074</v>
      </c>
      <c r="E1833" s="14">
        <v>45804</v>
      </c>
      <c r="F1833" s="5" t="s">
        <v>1158</v>
      </c>
      <c r="G1833" s="5" t="s">
        <v>1079</v>
      </c>
      <c r="H1833" s="6"/>
      <c r="I1833" s="6"/>
      <c r="J1833" s="6"/>
      <c r="K1833" s="6"/>
      <c r="L1833" s="7" t="s">
        <v>2900</v>
      </c>
      <c r="M1833" s="8">
        <v>1103431</v>
      </c>
      <c r="N1833" s="8" t="str">
        <f t="shared" si="141"/>
        <v>PEN</v>
      </c>
      <c r="O1833" s="13"/>
      <c r="P1833" s="13">
        <v>10582.1</v>
      </c>
      <c r="Q1833" s="3">
        <f t="shared" si="142"/>
        <v>0</v>
      </c>
      <c r="R1833" s="3">
        <f t="shared" si="143"/>
        <v>10582.1</v>
      </c>
      <c r="S1833" s="3">
        <f t="shared" si="144"/>
        <v>22774.659999999996</v>
      </c>
      <c r="T1833" s="24"/>
      <c r="U1833" s="24"/>
      <c r="V1833" s="67"/>
      <c r="W1833" s="25" t="str">
        <f>IFERROR(VLOOKUP(BCP_Soles[[#This Row],[DESTINATARIO]],CHOOSE({1,2},Clientes_Proveedores[Razon Social],Clientes_Proveedores[Ruc / Dni]),2,0),"")</f>
        <v/>
      </c>
      <c r="X1833" s="25" t="s">
        <v>1325</v>
      </c>
      <c r="Y1833" s="25"/>
      <c r="Z1833" s="25"/>
      <c r="AA1833" s="99"/>
      <c r="AB1833" s="3" t="str">
        <f>IF(BCP_Soles[[#This Row],[FECHA]]&gt;0,TEXT(BCP_Soles[[#This Row],[FECHA]],"mmmm"),0)</f>
        <v>Mayo</v>
      </c>
    </row>
    <row r="1834" spans="2:28" x14ac:dyDescent="0.3">
      <c r="B1834" s="2">
        <f>IF(BCP_Soles[[#This Row],[TIPO DE R.]]="R",COUNTIFS($D$4:$D1833,"R")+1,"")</f>
        <v>1414</v>
      </c>
      <c r="C1834" s="19" t="str">
        <f t="shared" si="140"/>
        <v>B-BCP - Soles</v>
      </c>
      <c r="D1834" s="3" t="s">
        <v>1074</v>
      </c>
      <c r="E1834" s="14">
        <v>45804</v>
      </c>
      <c r="F1834" s="5" t="s">
        <v>1078</v>
      </c>
      <c r="G1834" s="5" t="s">
        <v>1079</v>
      </c>
      <c r="H1834" s="6"/>
      <c r="I1834" s="6"/>
      <c r="J1834" s="6"/>
      <c r="K1834" s="6"/>
      <c r="L1834" s="7" t="s">
        <v>2868</v>
      </c>
      <c r="M1834" s="8"/>
      <c r="N1834" s="8" t="str">
        <f t="shared" si="141"/>
        <v>PEN</v>
      </c>
      <c r="O1834" s="13"/>
      <c r="P1834" s="13">
        <v>0.85</v>
      </c>
      <c r="Q1834" s="3">
        <f t="shared" si="142"/>
        <v>0</v>
      </c>
      <c r="R1834" s="3">
        <f t="shared" si="143"/>
        <v>0.85</v>
      </c>
      <c r="S1834" s="3">
        <f t="shared" si="144"/>
        <v>22773.809999999998</v>
      </c>
      <c r="T1834" s="24"/>
      <c r="U1834" s="24"/>
      <c r="V1834" s="67"/>
      <c r="W1834" s="25" t="str">
        <f>IFERROR(VLOOKUP(BCP_Soles[[#This Row],[DESTINATARIO]],CHOOSE({1,2},Clientes_Proveedores[Razon Social],Clientes_Proveedores[Ruc / Dni]),2,0),"")</f>
        <v/>
      </c>
      <c r="X1834" s="25"/>
      <c r="Y1834" s="25"/>
      <c r="Z1834" s="25"/>
      <c r="AA1834" s="99"/>
      <c r="AB1834" s="3" t="str">
        <f>IF(BCP_Soles[[#This Row],[FECHA]]&gt;0,TEXT(BCP_Soles[[#This Row],[FECHA]],"mmmm"),0)</f>
        <v>Mayo</v>
      </c>
    </row>
    <row r="1835" spans="2:28" x14ac:dyDescent="0.3">
      <c r="B1835" s="2">
        <f>IF(BCP_Soles[[#This Row],[TIPO DE R.]]="R",COUNTIFS($D$4:$D1834,"R")+1,"")</f>
        <v>1415</v>
      </c>
      <c r="C1835" s="19" t="str">
        <f t="shared" si="140"/>
        <v>B-BCP - Soles</v>
      </c>
      <c r="D1835" s="3" t="s">
        <v>1074</v>
      </c>
      <c r="E1835" s="14">
        <v>45804</v>
      </c>
      <c r="F1835" s="5" t="s">
        <v>1078</v>
      </c>
      <c r="G1835" s="5" t="s">
        <v>1079</v>
      </c>
      <c r="H1835" s="6"/>
      <c r="I1835" s="6"/>
      <c r="J1835" s="6"/>
      <c r="K1835" s="6"/>
      <c r="L1835" s="7" t="s">
        <v>1141</v>
      </c>
      <c r="M1835" s="8">
        <v>465</v>
      </c>
      <c r="N1835" s="8" t="str">
        <f t="shared" si="141"/>
        <v>PEN</v>
      </c>
      <c r="O1835" s="13"/>
      <c r="P1835" s="13">
        <v>10</v>
      </c>
      <c r="Q1835" s="3">
        <f t="shared" si="142"/>
        <v>0</v>
      </c>
      <c r="R1835" s="3">
        <f t="shared" si="143"/>
        <v>10</v>
      </c>
      <c r="S1835" s="3">
        <f t="shared" si="144"/>
        <v>22763.809999999998</v>
      </c>
      <c r="T1835" s="24" t="s">
        <v>1081</v>
      </c>
      <c r="U1835" s="24" t="s">
        <v>1081</v>
      </c>
      <c r="V1835" s="67"/>
      <c r="W1835" s="25" t="str">
        <f>IFERROR(VLOOKUP(BCP_Soles[[#This Row],[DESTINATARIO]],CHOOSE({1,2},Clientes_Proveedores[Razon Social],Clientes_Proveedores[Ruc / Dni]),2,0),"")</f>
        <v/>
      </c>
      <c r="X1835" s="25" t="s">
        <v>1078</v>
      </c>
      <c r="Y1835" s="25" t="s">
        <v>2901</v>
      </c>
      <c r="Z1835" s="25"/>
      <c r="AA1835" s="99"/>
      <c r="AB1835" s="3" t="str">
        <f>IF(BCP_Soles[[#This Row],[FECHA]]&gt;0,TEXT(BCP_Soles[[#This Row],[FECHA]],"mmmm"),0)</f>
        <v>Mayo</v>
      </c>
    </row>
    <row r="1836" spans="2:28" ht="24" x14ac:dyDescent="0.3">
      <c r="B1836" s="2">
        <f>IF(BCP_Soles[[#This Row],[TIPO DE R.]]="R",COUNTIFS($D$4:$D1835,"R")+1,"")</f>
        <v>1416</v>
      </c>
      <c r="C1836" s="19" t="str">
        <f t="shared" si="140"/>
        <v>B-BCP - Soles</v>
      </c>
      <c r="D1836" s="3" t="s">
        <v>1074</v>
      </c>
      <c r="E1836" s="14">
        <v>45805</v>
      </c>
      <c r="F1836" s="5" t="s">
        <v>630</v>
      </c>
      <c r="G1836" s="5" t="s">
        <v>1087</v>
      </c>
      <c r="H1836" s="6"/>
      <c r="I1836" s="6"/>
      <c r="J1836" s="6"/>
      <c r="K1836" s="6"/>
      <c r="L1836" s="7" t="s">
        <v>2902</v>
      </c>
      <c r="M1836" s="8">
        <v>2091068</v>
      </c>
      <c r="N1836" s="8" t="str">
        <f t="shared" si="141"/>
        <v>PEN</v>
      </c>
      <c r="O1836" s="13"/>
      <c r="P1836" s="13">
        <v>4731.92</v>
      </c>
      <c r="Q1836" s="3">
        <f t="shared" si="142"/>
        <v>4731.92</v>
      </c>
      <c r="R1836" s="3">
        <f t="shared" si="143"/>
        <v>0</v>
      </c>
      <c r="S1836" s="3">
        <f t="shared" si="144"/>
        <v>27495.729999999996</v>
      </c>
      <c r="T1836" s="24" t="s">
        <v>1081</v>
      </c>
      <c r="U1836" s="24" t="s">
        <v>1081</v>
      </c>
      <c r="V1836" s="67"/>
      <c r="W1836" s="25" t="str">
        <f>IFERROR(VLOOKUP(BCP_Soles[[#This Row],[DESTINATARIO]],CHOOSE({1,2},Clientes_Proveedores[Razon Social],Clientes_Proveedores[Ruc / Dni]),2,0),"")</f>
        <v/>
      </c>
      <c r="X1836" s="25" t="s">
        <v>1090</v>
      </c>
      <c r="Y1836" s="25" t="s">
        <v>2903</v>
      </c>
      <c r="Z1836" s="25"/>
      <c r="AA1836" s="99"/>
      <c r="AB1836" s="3" t="str">
        <f>IF(BCP_Soles[[#This Row],[FECHA]]&gt;0,TEXT(BCP_Soles[[#This Row],[FECHA]],"mmmm"),0)</f>
        <v>Mayo</v>
      </c>
    </row>
    <row r="1837" spans="2:28" ht="36" x14ac:dyDescent="0.3">
      <c r="B1837" s="2">
        <f>IF(BCP_Soles[[#This Row],[TIPO DE R.]]="R",COUNTIFS($D$4:$D1836,"R")+1,"")</f>
        <v>1417</v>
      </c>
      <c r="C1837" s="19" t="str">
        <f t="shared" si="140"/>
        <v>B-BCP - Soles</v>
      </c>
      <c r="D1837" s="3" t="s">
        <v>1074</v>
      </c>
      <c r="E1837" s="14">
        <v>45805</v>
      </c>
      <c r="F1837" s="5" t="s">
        <v>180</v>
      </c>
      <c r="G1837" s="5" t="s">
        <v>1087</v>
      </c>
      <c r="H1837" s="6"/>
      <c r="I1837" s="6"/>
      <c r="J1837" s="6"/>
      <c r="K1837" s="6"/>
      <c r="L1837" s="7" t="s">
        <v>2904</v>
      </c>
      <c r="M1837" s="8">
        <v>884022</v>
      </c>
      <c r="N1837" s="8" t="str">
        <f t="shared" si="141"/>
        <v>PEN</v>
      </c>
      <c r="O1837" s="13"/>
      <c r="P1837" s="13">
        <v>3081.06</v>
      </c>
      <c r="Q1837" s="3">
        <f t="shared" si="142"/>
        <v>3081.06</v>
      </c>
      <c r="R1837" s="3">
        <f t="shared" si="143"/>
        <v>0</v>
      </c>
      <c r="S1837" s="3">
        <f t="shared" si="144"/>
        <v>30576.789999999997</v>
      </c>
      <c r="T1837" s="24" t="s">
        <v>1081</v>
      </c>
      <c r="U1837" s="24" t="s">
        <v>1081</v>
      </c>
      <c r="V1837" s="67"/>
      <c r="W1837" s="25" t="str">
        <f>IFERROR(VLOOKUP(BCP_Soles[[#This Row],[DESTINATARIO]],CHOOSE({1,2},Clientes_Proveedores[Razon Social],Clientes_Proveedores[Ruc / Dni]),2,0),"")</f>
        <v/>
      </c>
      <c r="X1837" s="25" t="s">
        <v>1090</v>
      </c>
      <c r="Y1837" s="25" t="s">
        <v>2905</v>
      </c>
      <c r="Z1837" s="25"/>
      <c r="AA1837" s="99"/>
      <c r="AB1837" s="3" t="str">
        <f>IF(BCP_Soles[[#This Row],[FECHA]]&gt;0,TEXT(BCP_Soles[[#This Row],[FECHA]],"mmmm"),0)</f>
        <v>Mayo</v>
      </c>
    </row>
    <row r="1838" spans="2:28" ht="24" x14ac:dyDescent="0.3">
      <c r="B1838" s="2">
        <f>IF(BCP_Soles[[#This Row],[TIPO DE R.]]="R",COUNTIFS($D$4:$D1837,"R")+1,"")</f>
        <v>1418</v>
      </c>
      <c r="C1838" s="19" t="str">
        <f t="shared" si="140"/>
        <v>B-BCP - Soles</v>
      </c>
      <c r="D1838" s="3" t="s">
        <v>1074</v>
      </c>
      <c r="E1838" s="14">
        <v>45805</v>
      </c>
      <c r="F1838" s="5" t="s">
        <v>2906</v>
      </c>
      <c r="G1838" s="5" t="s">
        <v>1087</v>
      </c>
      <c r="H1838" s="6"/>
      <c r="I1838" s="6"/>
      <c r="J1838" s="6"/>
      <c r="K1838" s="6"/>
      <c r="L1838" s="7" t="s">
        <v>2907</v>
      </c>
      <c r="M1838" s="8">
        <v>120714</v>
      </c>
      <c r="N1838" s="8" t="str">
        <f t="shared" si="141"/>
        <v>PEN</v>
      </c>
      <c r="O1838" s="13"/>
      <c r="P1838" s="13">
        <v>2000</v>
      </c>
      <c r="Q1838" s="3">
        <f t="shared" si="142"/>
        <v>2000</v>
      </c>
      <c r="R1838" s="3">
        <f t="shared" si="143"/>
        <v>0</v>
      </c>
      <c r="S1838" s="3">
        <f t="shared" si="144"/>
        <v>32576.789999999997</v>
      </c>
      <c r="T1838" s="24" t="s">
        <v>1081</v>
      </c>
      <c r="U1838" s="24" t="s">
        <v>1081</v>
      </c>
      <c r="V1838" s="67"/>
      <c r="W1838" s="25" t="str">
        <f>IFERROR(VLOOKUP(BCP_Soles[[#This Row],[DESTINATARIO]],CHOOSE({1,2},Clientes_Proveedores[Razon Social],Clientes_Proveedores[Ruc / Dni]),2,0),"")</f>
        <v/>
      </c>
      <c r="X1838" s="25" t="s">
        <v>1090</v>
      </c>
      <c r="Y1838" s="25" t="s">
        <v>2908</v>
      </c>
      <c r="Z1838" s="25"/>
      <c r="AA1838" s="99"/>
      <c r="AB1838" s="3" t="str">
        <f>IF(BCP_Soles[[#This Row],[FECHA]]&gt;0,TEXT(BCP_Soles[[#This Row],[FECHA]],"mmmm"),0)</f>
        <v>Mayo</v>
      </c>
    </row>
    <row r="1839" spans="2:28" ht="36" x14ac:dyDescent="0.3">
      <c r="B1839" s="2">
        <f>IF(BCP_Soles[[#This Row],[TIPO DE R.]]="R",COUNTIFS($D$4:$D1838,"R")+1,"")</f>
        <v>1419</v>
      </c>
      <c r="C1839" s="19" t="str">
        <f t="shared" si="140"/>
        <v>B-BCP - Soles</v>
      </c>
      <c r="D1839" s="3" t="s">
        <v>1074</v>
      </c>
      <c r="E1839" s="14">
        <v>45805</v>
      </c>
      <c r="F1839" s="5" t="s">
        <v>1368</v>
      </c>
      <c r="G1839" s="5" t="s">
        <v>1087</v>
      </c>
      <c r="H1839" s="6"/>
      <c r="I1839" s="6"/>
      <c r="J1839" s="6"/>
      <c r="K1839" s="6"/>
      <c r="L1839" s="7" t="s">
        <v>1100</v>
      </c>
      <c r="M1839" s="8">
        <v>3389699</v>
      </c>
      <c r="N1839" s="8" t="str">
        <f t="shared" si="141"/>
        <v>PEN</v>
      </c>
      <c r="O1839" s="13"/>
      <c r="P1839" s="13">
        <v>1301.5</v>
      </c>
      <c r="Q1839" s="3">
        <f t="shared" si="142"/>
        <v>1301.5</v>
      </c>
      <c r="R1839" s="3">
        <f t="shared" si="143"/>
        <v>0</v>
      </c>
      <c r="S1839" s="3">
        <f t="shared" si="144"/>
        <v>33878.289999999994</v>
      </c>
      <c r="T1839" s="24" t="s">
        <v>1081</v>
      </c>
      <c r="U1839" s="24" t="s">
        <v>1081</v>
      </c>
      <c r="V1839" s="67"/>
      <c r="W1839" s="25" t="str">
        <f>IFERROR(VLOOKUP(BCP_Soles[[#This Row],[DESTINATARIO]],CHOOSE({1,2},Clientes_Proveedores[Razon Social],Clientes_Proveedores[Ruc / Dni]),2,0),"")</f>
        <v/>
      </c>
      <c r="X1839" s="25" t="s">
        <v>1090</v>
      </c>
      <c r="Y1839" s="25" t="s">
        <v>2909</v>
      </c>
      <c r="Z1839" s="25"/>
      <c r="AA1839" s="99"/>
      <c r="AB1839" s="3" t="str">
        <f>IF(BCP_Soles[[#This Row],[FECHA]]&gt;0,TEXT(BCP_Soles[[#This Row],[FECHA]],"mmmm"),0)</f>
        <v>Mayo</v>
      </c>
    </row>
    <row r="1840" spans="2:28" ht="24" x14ac:dyDescent="0.3">
      <c r="B1840" s="2">
        <f>IF(BCP_Soles[[#This Row],[TIPO DE R.]]="R",COUNTIFS($D$4:$D1839,"R")+1,"")</f>
        <v>1420</v>
      </c>
      <c r="C1840" s="19" t="str">
        <f t="shared" si="140"/>
        <v>B-BCP - Soles</v>
      </c>
      <c r="D1840" s="3" t="s">
        <v>1074</v>
      </c>
      <c r="E1840" s="14">
        <v>45805</v>
      </c>
      <c r="F1840" s="5" t="s">
        <v>2910</v>
      </c>
      <c r="G1840" s="5" t="s">
        <v>1087</v>
      </c>
      <c r="H1840" s="6"/>
      <c r="I1840" s="6"/>
      <c r="J1840" s="6"/>
      <c r="K1840" s="6"/>
      <c r="L1840" s="7" t="s">
        <v>1100</v>
      </c>
      <c r="M1840" s="8">
        <v>4209564</v>
      </c>
      <c r="N1840" s="8" t="str">
        <f t="shared" si="141"/>
        <v>PEN</v>
      </c>
      <c r="O1840" s="13"/>
      <c r="P1840" s="13">
        <v>1000</v>
      </c>
      <c r="Q1840" s="3">
        <f t="shared" si="142"/>
        <v>1000</v>
      </c>
      <c r="R1840" s="3">
        <f t="shared" si="143"/>
        <v>0</v>
      </c>
      <c r="S1840" s="3">
        <f t="shared" si="144"/>
        <v>34878.289999999994</v>
      </c>
      <c r="T1840" s="24" t="s">
        <v>1081</v>
      </c>
      <c r="U1840" s="24" t="s">
        <v>1081</v>
      </c>
      <c r="V1840" s="67"/>
      <c r="W1840" s="25" t="str">
        <f>IFERROR(VLOOKUP(BCP_Soles[[#This Row],[DESTINATARIO]],CHOOSE({1,2},Clientes_Proveedores[Razon Social],Clientes_Proveedores[Ruc / Dni]),2,0),"")</f>
        <v/>
      </c>
      <c r="X1840" s="25" t="s">
        <v>1090</v>
      </c>
      <c r="Y1840" s="25" t="s">
        <v>2911</v>
      </c>
      <c r="Z1840" s="25"/>
      <c r="AA1840" s="99"/>
      <c r="AB1840" s="3" t="str">
        <f>IF(BCP_Soles[[#This Row],[FECHA]]&gt;0,TEXT(BCP_Soles[[#This Row],[FECHA]],"mmmm"),0)</f>
        <v>Mayo</v>
      </c>
    </row>
    <row r="1841" spans="2:28" x14ac:dyDescent="0.3">
      <c r="B1841" s="2">
        <f>IF(BCP_Soles[[#This Row],[TIPO DE R.]]="R",COUNTIFS($D$4:$D1840,"R")+1,"")</f>
        <v>1421</v>
      </c>
      <c r="C1841" s="19" t="str">
        <f t="shared" si="140"/>
        <v>B-BCP - Soles</v>
      </c>
      <c r="D1841" s="3" t="s">
        <v>1074</v>
      </c>
      <c r="E1841" s="14">
        <v>45805</v>
      </c>
      <c r="F1841" s="5" t="s">
        <v>1078</v>
      </c>
      <c r="G1841" s="5" t="s">
        <v>1079</v>
      </c>
      <c r="H1841" s="6"/>
      <c r="I1841" s="6"/>
      <c r="J1841" s="6"/>
      <c r="K1841" s="6"/>
      <c r="L1841" s="7" t="s">
        <v>2868</v>
      </c>
      <c r="M1841" s="8"/>
      <c r="N1841" s="8" t="str">
        <f t="shared" si="141"/>
        <v>PEN</v>
      </c>
      <c r="O1841" s="13"/>
      <c r="P1841" s="13">
        <v>0.65</v>
      </c>
      <c r="Q1841" s="3">
        <f t="shared" si="142"/>
        <v>0</v>
      </c>
      <c r="R1841" s="3">
        <f t="shared" si="143"/>
        <v>0.65</v>
      </c>
      <c r="S1841" s="3">
        <f t="shared" si="144"/>
        <v>34877.639999999992</v>
      </c>
      <c r="T1841" s="24"/>
      <c r="U1841" s="24"/>
      <c r="V1841" s="67"/>
      <c r="W1841" s="25" t="str">
        <f>IFERROR(VLOOKUP(BCP_Soles[[#This Row],[DESTINATARIO]],CHOOSE({1,2},Clientes_Proveedores[Razon Social],Clientes_Proveedores[Ruc / Dni]),2,0),"")</f>
        <v/>
      </c>
      <c r="X1841" s="25"/>
      <c r="Y1841" s="25"/>
      <c r="Z1841" s="25"/>
      <c r="AA1841" s="99"/>
      <c r="AB1841" s="3" t="str">
        <f>IF(BCP_Soles[[#This Row],[FECHA]]&gt;0,TEXT(BCP_Soles[[#This Row],[FECHA]],"mmmm"),0)</f>
        <v>Mayo</v>
      </c>
    </row>
    <row r="1842" spans="2:28" ht="24" x14ac:dyDescent="0.3">
      <c r="B1842" s="2">
        <f>IF(BCP_Soles[[#This Row],[TIPO DE R.]]="R",COUNTIFS($D$4:$D1841,"R")+1,"")</f>
        <v>1422</v>
      </c>
      <c r="C1842" s="19" t="str">
        <f t="shared" si="140"/>
        <v>B-BCP - Soles</v>
      </c>
      <c r="D1842" s="3" t="s">
        <v>1074</v>
      </c>
      <c r="E1842" s="14">
        <v>45805</v>
      </c>
      <c r="F1842" s="5" t="s">
        <v>1082</v>
      </c>
      <c r="G1842" s="5" t="s">
        <v>1079</v>
      </c>
      <c r="H1842" s="6"/>
      <c r="I1842" s="6"/>
      <c r="J1842" s="6"/>
      <c r="K1842" s="6"/>
      <c r="L1842" s="7" t="s">
        <v>2912</v>
      </c>
      <c r="M1842" s="8">
        <v>1236217</v>
      </c>
      <c r="N1842" s="8" t="str">
        <f t="shared" si="141"/>
        <v>PEN</v>
      </c>
      <c r="O1842" s="13"/>
      <c r="P1842" s="13">
        <v>1180</v>
      </c>
      <c r="Q1842" s="3">
        <f t="shared" si="142"/>
        <v>0</v>
      </c>
      <c r="R1842" s="3">
        <f t="shared" si="143"/>
        <v>1180</v>
      </c>
      <c r="S1842" s="3">
        <f t="shared" si="144"/>
        <v>33697.639999999992</v>
      </c>
      <c r="T1842" s="24" t="s">
        <v>1081</v>
      </c>
      <c r="U1842" s="24" t="s">
        <v>1081</v>
      </c>
      <c r="V1842" s="67"/>
      <c r="W1842" s="25" t="str">
        <f>IFERROR(VLOOKUP(BCP_Soles[[#This Row],[DESTINATARIO]],CHOOSE({1,2},Clientes_Proveedores[Razon Social],Clientes_Proveedores[Ruc / Dni]),2,0),"")</f>
        <v/>
      </c>
      <c r="X1842" s="25" t="s">
        <v>823</v>
      </c>
      <c r="Y1842" s="25" t="s">
        <v>2913</v>
      </c>
      <c r="Z1842" s="25"/>
      <c r="AA1842" s="99"/>
      <c r="AB1842" s="3" t="str">
        <f>IF(BCP_Soles[[#This Row],[FECHA]]&gt;0,TEXT(BCP_Soles[[#This Row],[FECHA]],"mmmm"),0)</f>
        <v>Mayo</v>
      </c>
    </row>
    <row r="1843" spans="2:28" ht="24" x14ac:dyDescent="0.3">
      <c r="B1843" s="2">
        <f>IF(BCP_Soles[[#This Row],[TIPO DE R.]]="R",COUNTIFS($D$4:$D1842,"R")+1,"")</f>
        <v>1423</v>
      </c>
      <c r="C1843" s="19" t="str">
        <f t="shared" si="140"/>
        <v>B-BCP - Soles</v>
      </c>
      <c r="D1843" s="3" t="s">
        <v>1074</v>
      </c>
      <c r="E1843" s="14">
        <v>45805</v>
      </c>
      <c r="F1843" s="5" t="s">
        <v>1082</v>
      </c>
      <c r="G1843" s="5" t="s">
        <v>1079</v>
      </c>
      <c r="H1843" s="6" t="s">
        <v>192</v>
      </c>
      <c r="I1843" s="6"/>
      <c r="J1843" s="6"/>
      <c r="K1843" s="6"/>
      <c r="L1843" s="7" t="s">
        <v>2914</v>
      </c>
      <c r="M1843" s="8">
        <v>1238646</v>
      </c>
      <c r="N1843" s="8" t="str">
        <f t="shared" si="141"/>
        <v>PEN</v>
      </c>
      <c r="O1843" s="13"/>
      <c r="P1843" s="13">
        <v>1337.53</v>
      </c>
      <c r="Q1843" s="3">
        <f t="shared" si="142"/>
        <v>0</v>
      </c>
      <c r="R1843" s="3">
        <f t="shared" si="143"/>
        <v>1337.53</v>
      </c>
      <c r="S1843" s="3">
        <f t="shared" si="144"/>
        <v>32360.109999999993</v>
      </c>
      <c r="T1843" s="24"/>
      <c r="U1843" s="24"/>
      <c r="V1843" s="67"/>
      <c r="W1843" s="25">
        <f>IFERROR(VLOOKUP(BCP_Soles[[#This Row],[DESTINATARIO]],CHOOSE({1,2},Clientes_Proveedores[Razon Social],Clientes_Proveedores[Ruc / Dni]),2,0),"")</f>
        <v>20302891452</v>
      </c>
      <c r="X1843" s="25" t="s">
        <v>192</v>
      </c>
      <c r="Y1843" s="25"/>
      <c r="Z1843" s="25"/>
      <c r="AA1843" s="99"/>
      <c r="AB1843" s="3" t="str">
        <f>IF(BCP_Soles[[#This Row],[FECHA]]&gt;0,TEXT(BCP_Soles[[#This Row],[FECHA]],"mmmm"),0)</f>
        <v>Mayo</v>
      </c>
    </row>
    <row r="1844" spans="2:28" ht="36" x14ac:dyDescent="0.3">
      <c r="B1844" s="2">
        <f>IF(BCP_Soles[[#This Row],[TIPO DE R.]]="R",COUNTIFS($D$4:$D1843,"R")+1,"")</f>
        <v>1424</v>
      </c>
      <c r="C1844" s="19" t="str">
        <f t="shared" si="140"/>
        <v>B-BCP - Soles</v>
      </c>
      <c r="D1844" s="3" t="s">
        <v>1074</v>
      </c>
      <c r="E1844" s="14">
        <v>45806</v>
      </c>
      <c r="F1844" s="5" t="s">
        <v>214</v>
      </c>
      <c r="G1844" s="5" t="s">
        <v>1087</v>
      </c>
      <c r="H1844" s="6"/>
      <c r="I1844" s="6"/>
      <c r="J1844" s="6"/>
      <c r="K1844" s="6"/>
      <c r="L1844" s="7" t="s">
        <v>2915</v>
      </c>
      <c r="M1844" s="8">
        <v>1432016</v>
      </c>
      <c r="N1844" s="8" t="str">
        <f t="shared" si="141"/>
        <v>PEN</v>
      </c>
      <c r="O1844" s="13"/>
      <c r="P1844" s="13">
        <v>2970.1</v>
      </c>
      <c r="Q1844" s="3">
        <f t="shared" si="142"/>
        <v>2970.1</v>
      </c>
      <c r="R1844" s="3">
        <f t="shared" si="143"/>
        <v>0</v>
      </c>
      <c r="S1844" s="3">
        <f t="shared" si="144"/>
        <v>35330.209999999992</v>
      </c>
      <c r="T1844" s="24" t="s">
        <v>1081</v>
      </c>
      <c r="U1844" s="24" t="s">
        <v>1081</v>
      </c>
      <c r="V1844" s="67"/>
      <c r="W1844" s="25" t="str">
        <f>IFERROR(VLOOKUP(BCP_Soles[[#This Row],[DESTINATARIO]],CHOOSE({1,2},Clientes_Proveedores[Razon Social],Clientes_Proveedores[Ruc / Dni]),2,0),"")</f>
        <v/>
      </c>
      <c r="X1844" s="25" t="s">
        <v>1090</v>
      </c>
      <c r="Y1844" s="25" t="s">
        <v>2916</v>
      </c>
      <c r="Z1844" s="25"/>
      <c r="AA1844" s="99"/>
      <c r="AB1844" s="3" t="str">
        <f>IF(BCP_Soles[[#This Row],[FECHA]]&gt;0,TEXT(BCP_Soles[[#This Row],[FECHA]],"mmmm"),0)</f>
        <v>Mayo</v>
      </c>
    </row>
    <row r="1845" spans="2:28" ht="60" x14ac:dyDescent="0.3">
      <c r="B1845" s="2">
        <f>IF(BCP_Soles[[#This Row],[TIPO DE R.]]="R",COUNTIFS($D$4:$D1844,"R")+1,"")</f>
        <v>1425</v>
      </c>
      <c r="C1845" s="19" t="str">
        <f t="shared" si="140"/>
        <v>B-BCP - Soles</v>
      </c>
      <c r="D1845" s="3" t="s">
        <v>1074</v>
      </c>
      <c r="E1845" s="14">
        <v>45806</v>
      </c>
      <c r="F1845" s="5" t="s">
        <v>238</v>
      </c>
      <c r="G1845" s="5" t="s">
        <v>1087</v>
      </c>
      <c r="H1845" s="6"/>
      <c r="I1845" s="6"/>
      <c r="J1845" s="6"/>
      <c r="K1845" s="6"/>
      <c r="L1845" s="7" t="s">
        <v>1170</v>
      </c>
      <c r="M1845" s="8">
        <v>2065663</v>
      </c>
      <c r="N1845" s="8" t="str">
        <f t="shared" si="141"/>
        <v>PEN</v>
      </c>
      <c r="O1845" s="13"/>
      <c r="P1845" s="13">
        <v>848.28</v>
      </c>
      <c r="Q1845" s="3">
        <f t="shared" si="142"/>
        <v>848.28</v>
      </c>
      <c r="R1845" s="3">
        <f t="shared" si="143"/>
        <v>0</v>
      </c>
      <c r="S1845" s="3">
        <f t="shared" si="144"/>
        <v>36178.489999999991</v>
      </c>
      <c r="T1845" s="24" t="s">
        <v>1081</v>
      </c>
      <c r="U1845" s="24" t="s">
        <v>1081</v>
      </c>
      <c r="V1845" s="67"/>
      <c r="W1845" s="25" t="str">
        <f>IFERROR(VLOOKUP(BCP_Soles[[#This Row],[DESTINATARIO]],CHOOSE({1,2},Clientes_Proveedores[Razon Social],Clientes_Proveedores[Ruc / Dni]),2,0),"")</f>
        <v/>
      </c>
      <c r="X1845" s="25" t="s">
        <v>1090</v>
      </c>
      <c r="Y1845" s="25" t="s">
        <v>2917</v>
      </c>
      <c r="Z1845" s="25"/>
      <c r="AA1845" s="99"/>
      <c r="AB1845" s="3" t="str">
        <f>IF(BCP_Soles[[#This Row],[FECHA]]&gt;0,TEXT(BCP_Soles[[#This Row],[FECHA]],"mmmm"),0)</f>
        <v>Mayo</v>
      </c>
    </row>
    <row r="1846" spans="2:28" ht="60" x14ac:dyDescent="0.3">
      <c r="B1846" s="2">
        <f>IF(BCP_Soles[[#This Row],[TIPO DE R.]]="R",COUNTIFS($D$4:$D1845,"R")+1,"")</f>
        <v>1426</v>
      </c>
      <c r="C1846" s="19" t="str">
        <f t="shared" si="140"/>
        <v>B-BCP - Soles</v>
      </c>
      <c r="D1846" s="3" t="s">
        <v>1074</v>
      </c>
      <c r="E1846" s="14">
        <v>45806</v>
      </c>
      <c r="F1846" s="5" t="s">
        <v>238</v>
      </c>
      <c r="G1846" s="5" t="s">
        <v>1087</v>
      </c>
      <c r="H1846" s="6"/>
      <c r="I1846" s="6"/>
      <c r="J1846" s="6"/>
      <c r="K1846" s="6"/>
      <c r="L1846" s="7" t="s">
        <v>1170</v>
      </c>
      <c r="M1846" s="8">
        <v>2061451</v>
      </c>
      <c r="N1846" s="8" t="str">
        <f t="shared" si="141"/>
        <v>PEN</v>
      </c>
      <c r="O1846" s="13"/>
      <c r="P1846" s="13">
        <v>361.39</v>
      </c>
      <c r="Q1846" s="3">
        <f t="shared" si="142"/>
        <v>361.39</v>
      </c>
      <c r="R1846" s="3">
        <f t="shared" si="143"/>
        <v>0</v>
      </c>
      <c r="S1846" s="3">
        <f t="shared" si="144"/>
        <v>36539.87999999999</v>
      </c>
      <c r="T1846" s="24" t="s">
        <v>1081</v>
      </c>
      <c r="U1846" s="24" t="s">
        <v>1081</v>
      </c>
      <c r="V1846" s="67"/>
      <c r="W1846" s="25" t="str">
        <f>IFERROR(VLOOKUP(BCP_Soles[[#This Row],[DESTINATARIO]],CHOOSE({1,2},Clientes_Proveedores[Razon Social],Clientes_Proveedores[Ruc / Dni]),2,0),"")</f>
        <v/>
      </c>
      <c r="X1846" s="25" t="s">
        <v>1090</v>
      </c>
      <c r="Y1846" s="25" t="s">
        <v>2918</v>
      </c>
      <c r="Z1846" s="25"/>
      <c r="AA1846" s="99"/>
      <c r="AB1846" s="3" t="str">
        <f>IF(BCP_Soles[[#This Row],[FECHA]]&gt;0,TEXT(BCP_Soles[[#This Row],[FECHA]],"mmmm"),0)</f>
        <v>Mayo</v>
      </c>
    </row>
    <row r="1847" spans="2:28" ht="60" x14ac:dyDescent="0.3">
      <c r="B1847" s="2">
        <f>IF(BCP_Soles[[#This Row],[TIPO DE R.]]="R",COUNTIFS($D$4:$D1846,"R")+1,"")</f>
        <v>1427</v>
      </c>
      <c r="C1847" s="19" t="str">
        <f t="shared" si="140"/>
        <v>B-BCP - Soles</v>
      </c>
      <c r="D1847" s="3" t="s">
        <v>1074</v>
      </c>
      <c r="E1847" s="14">
        <v>45806</v>
      </c>
      <c r="F1847" s="5" t="s">
        <v>238</v>
      </c>
      <c r="G1847" s="5" t="s">
        <v>1087</v>
      </c>
      <c r="H1847" s="6"/>
      <c r="I1847" s="6"/>
      <c r="J1847" s="6"/>
      <c r="K1847" s="6"/>
      <c r="L1847" s="7" t="s">
        <v>1170</v>
      </c>
      <c r="M1847" s="8">
        <v>2066764</v>
      </c>
      <c r="N1847" s="8" t="str">
        <f t="shared" si="141"/>
        <v>PEN</v>
      </c>
      <c r="O1847" s="13"/>
      <c r="P1847" s="13">
        <v>297.45999999999998</v>
      </c>
      <c r="Q1847" s="3">
        <f t="shared" si="142"/>
        <v>297.45999999999998</v>
      </c>
      <c r="R1847" s="3">
        <f t="shared" si="143"/>
        <v>0</v>
      </c>
      <c r="S1847" s="3">
        <f t="shared" si="144"/>
        <v>36837.339999999989</v>
      </c>
      <c r="T1847" s="24" t="s">
        <v>1081</v>
      </c>
      <c r="U1847" s="24" t="s">
        <v>1081</v>
      </c>
      <c r="V1847" s="67"/>
      <c r="W1847" s="25" t="str">
        <f>IFERROR(VLOOKUP(BCP_Soles[[#This Row],[DESTINATARIO]],CHOOSE({1,2},Clientes_Proveedores[Razon Social],Clientes_Proveedores[Ruc / Dni]),2,0),"")</f>
        <v/>
      </c>
      <c r="X1847" s="25" t="s">
        <v>1090</v>
      </c>
      <c r="Y1847" s="25" t="s">
        <v>2919</v>
      </c>
      <c r="Z1847" s="25"/>
      <c r="AA1847" s="99"/>
      <c r="AB1847" s="3" t="str">
        <f>IF(BCP_Soles[[#This Row],[FECHA]]&gt;0,TEXT(BCP_Soles[[#This Row],[FECHA]],"mmmm"),0)</f>
        <v>Mayo</v>
      </c>
    </row>
    <row r="1848" spans="2:28" x14ac:dyDescent="0.3">
      <c r="B1848" s="2">
        <f>IF(BCP_Soles[[#This Row],[TIPO DE R.]]="R",COUNTIFS($D$4:$D1847,"R")+1,"")</f>
        <v>1428</v>
      </c>
      <c r="C1848" s="19" t="str">
        <f t="shared" si="140"/>
        <v>B-BCP - Soles</v>
      </c>
      <c r="D1848" s="3" t="s">
        <v>1074</v>
      </c>
      <c r="E1848" s="14">
        <v>45806</v>
      </c>
      <c r="F1848" s="5" t="s">
        <v>1082</v>
      </c>
      <c r="G1848" s="5" t="s">
        <v>1079</v>
      </c>
      <c r="H1848" s="6" t="s">
        <v>139</v>
      </c>
      <c r="I1848" s="6" t="s">
        <v>14</v>
      </c>
      <c r="J1848" s="6" t="s">
        <v>2920</v>
      </c>
      <c r="K1848" s="6">
        <v>122451</v>
      </c>
      <c r="L1848" s="7" t="s">
        <v>1954</v>
      </c>
      <c r="M1848" s="8">
        <v>232330</v>
      </c>
      <c r="N1848" s="8" t="str">
        <f t="shared" si="141"/>
        <v>PEN</v>
      </c>
      <c r="O1848" s="13"/>
      <c r="P1848" s="13">
        <v>21.37</v>
      </c>
      <c r="Q1848" s="3">
        <f t="shared" si="142"/>
        <v>0</v>
      </c>
      <c r="R1848" s="3">
        <f t="shared" si="143"/>
        <v>21.37</v>
      </c>
      <c r="S1848" s="3">
        <f t="shared" si="144"/>
        <v>36815.969999999987</v>
      </c>
      <c r="T1848" s="24" t="s">
        <v>1081</v>
      </c>
      <c r="U1848" s="24" t="s">
        <v>1081</v>
      </c>
      <c r="V1848" s="67"/>
      <c r="W1848" s="25">
        <f>IFERROR(VLOOKUP(BCP_Soles[[#This Row],[DESTINATARIO]],CHOOSE({1,2},Clientes_Proveedores[Razon Social],Clientes_Proveedores[Ruc / Dni]),2,0),"")</f>
        <v>20100055237</v>
      </c>
      <c r="X1848" s="25" t="s">
        <v>1955</v>
      </c>
      <c r="Y1848" s="25" t="s">
        <v>2921</v>
      </c>
      <c r="Z1848" s="25"/>
      <c r="AA1848" s="99"/>
      <c r="AB1848" s="3" t="str">
        <f>IF(BCP_Soles[[#This Row],[FECHA]]&gt;0,TEXT(BCP_Soles[[#This Row],[FECHA]],"mmmm"),0)</f>
        <v>Mayo</v>
      </c>
    </row>
    <row r="1849" spans="2:28" ht="36" x14ac:dyDescent="0.3">
      <c r="B1849" s="2">
        <f>IF(BCP_Soles[[#This Row],[TIPO DE R.]]="R",COUNTIFS($D$4:$D1848,"R")+1,"")</f>
        <v>1429</v>
      </c>
      <c r="C1849" s="19" t="str">
        <f t="shared" si="140"/>
        <v>B-BCP - Soles</v>
      </c>
      <c r="D1849" s="3" t="s">
        <v>1074</v>
      </c>
      <c r="E1849" s="14">
        <v>45806</v>
      </c>
      <c r="F1849" s="5" t="s">
        <v>1082</v>
      </c>
      <c r="G1849" s="5" t="s">
        <v>1079</v>
      </c>
      <c r="H1849" s="6"/>
      <c r="I1849" s="6"/>
      <c r="J1849" s="6"/>
      <c r="K1849" s="6"/>
      <c r="L1849" s="7" t="s">
        <v>2922</v>
      </c>
      <c r="M1849" s="8">
        <v>1109192</v>
      </c>
      <c r="N1849" s="8" t="str">
        <f t="shared" si="141"/>
        <v>PEN</v>
      </c>
      <c r="O1849" s="13"/>
      <c r="P1849" s="13">
        <v>220</v>
      </c>
      <c r="Q1849" s="3">
        <f t="shared" si="142"/>
        <v>0</v>
      </c>
      <c r="R1849" s="3">
        <f t="shared" si="143"/>
        <v>220</v>
      </c>
      <c r="S1849" s="3">
        <f t="shared" si="144"/>
        <v>36595.969999999987</v>
      </c>
      <c r="T1849" s="24" t="s">
        <v>1081</v>
      </c>
      <c r="U1849" s="24" t="s">
        <v>1081</v>
      </c>
      <c r="V1849" s="67"/>
      <c r="W1849" s="25" t="str">
        <f>IFERROR(VLOOKUP(BCP_Soles[[#This Row],[DESTINATARIO]],CHOOSE({1,2},Clientes_Proveedores[Razon Social],Clientes_Proveedores[Ruc / Dni]),2,0),"")</f>
        <v/>
      </c>
      <c r="X1849" s="25" t="s">
        <v>2923</v>
      </c>
      <c r="Y1849" s="25" t="s">
        <v>2924</v>
      </c>
      <c r="Z1849" s="25"/>
      <c r="AA1849" s="99"/>
      <c r="AB1849" s="3" t="str">
        <f>IF(BCP_Soles[[#This Row],[FECHA]]&gt;0,TEXT(BCP_Soles[[#This Row],[FECHA]],"mmmm"),0)</f>
        <v>Mayo</v>
      </c>
    </row>
    <row r="1850" spans="2:28" ht="48" x14ac:dyDescent="0.3">
      <c r="B1850" s="2" t="str">
        <f>IF(BCP_Soles[[#This Row],[TIPO DE R.]]="R",COUNTIFS($D$4:$D1849,"R")+1,"")</f>
        <v/>
      </c>
      <c r="C1850" s="19" t="str">
        <f t="shared" si="140"/>
        <v>B-BCP - Soles</v>
      </c>
      <c r="D1850" s="3" t="s">
        <v>1101</v>
      </c>
      <c r="E1850" s="14">
        <v>45806</v>
      </c>
      <c r="F1850" s="5" t="s">
        <v>1082</v>
      </c>
      <c r="G1850" s="5"/>
      <c r="H1850" s="6" t="s">
        <v>431</v>
      </c>
      <c r="I1850" s="6" t="s">
        <v>14</v>
      </c>
      <c r="J1850" s="6" t="s">
        <v>1119</v>
      </c>
      <c r="K1850" s="6">
        <v>35842</v>
      </c>
      <c r="L1850" s="7" t="s">
        <v>2922</v>
      </c>
      <c r="M1850" s="8">
        <v>1109192</v>
      </c>
      <c r="N1850" s="8" t="str">
        <f t="shared" si="141"/>
        <v>PEN</v>
      </c>
      <c r="O1850" s="13">
        <v>100</v>
      </c>
      <c r="P1850" s="13"/>
      <c r="Q1850" s="3">
        <f t="shared" si="142"/>
        <v>0</v>
      </c>
      <c r="R1850" s="3">
        <f t="shared" si="143"/>
        <v>0</v>
      </c>
      <c r="S1850" s="3">
        <f t="shared" si="144"/>
        <v>36595.969999999987</v>
      </c>
      <c r="T1850" s="24"/>
      <c r="U1850" s="24" t="s">
        <v>1081</v>
      </c>
      <c r="V1850" s="67"/>
      <c r="W1850" s="25">
        <f>IFERROR(VLOOKUP(BCP_Soles[[#This Row],[DESTINATARIO]],CHOOSE({1,2},Clientes_Proveedores[Razon Social],Clientes_Proveedores[Ruc / Dni]),2,0),"")</f>
        <v>20602484425</v>
      </c>
      <c r="X1850" s="25"/>
      <c r="Y1850" s="25"/>
      <c r="Z1850" s="25"/>
      <c r="AA1850" s="99"/>
      <c r="AB1850" s="3" t="str">
        <f>IF(BCP_Soles[[#This Row],[FECHA]]&gt;0,TEXT(BCP_Soles[[#This Row],[FECHA]],"mmmm"),0)</f>
        <v>Mayo</v>
      </c>
    </row>
    <row r="1851" spans="2:28" ht="48" x14ac:dyDescent="0.3">
      <c r="B1851" s="2" t="str">
        <f>IF(BCP_Soles[[#This Row],[TIPO DE R.]]="R",COUNTIFS($D$4:$D1850,"R")+1,"")</f>
        <v/>
      </c>
      <c r="C1851" s="19" t="str">
        <f t="shared" si="140"/>
        <v>B-BCP - Soles</v>
      </c>
      <c r="D1851" s="3" t="s">
        <v>1101</v>
      </c>
      <c r="E1851" s="14">
        <v>45806</v>
      </c>
      <c r="F1851" s="5" t="s">
        <v>1082</v>
      </c>
      <c r="G1851" s="5"/>
      <c r="H1851" s="6" t="s">
        <v>431</v>
      </c>
      <c r="I1851" s="6" t="s">
        <v>14</v>
      </c>
      <c r="J1851" s="6" t="s">
        <v>1119</v>
      </c>
      <c r="K1851" s="6">
        <v>35843</v>
      </c>
      <c r="L1851" s="7" t="s">
        <v>2922</v>
      </c>
      <c r="M1851" s="8">
        <v>1109192</v>
      </c>
      <c r="N1851" s="8" t="str">
        <f t="shared" si="141"/>
        <v>PEN</v>
      </c>
      <c r="O1851" s="13">
        <v>120</v>
      </c>
      <c r="P1851" s="13"/>
      <c r="Q1851" s="3">
        <f t="shared" si="142"/>
        <v>0</v>
      </c>
      <c r="R1851" s="3">
        <f t="shared" si="143"/>
        <v>0</v>
      </c>
      <c r="S1851" s="3">
        <f t="shared" si="144"/>
        <v>36595.969999999987</v>
      </c>
      <c r="T1851" s="24"/>
      <c r="U1851" s="24" t="s">
        <v>1081</v>
      </c>
      <c r="V1851" s="67"/>
      <c r="W1851" s="25">
        <f>IFERROR(VLOOKUP(BCP_Soles[[#This Row],[DESTINATARIO]],CHOOSE({1,2},Clientes_Proveedores[Razon Social],Clientes_Proveedores[Ruc / Dni]),2,0),"")</f>
        <v>20602484425</v>
      </c>
      <c r="X1851" s="25"/>
      <c r="Y1851" s="25"/>
      <c r="Z1851" s="25"/>
      <c r="AA1851" s="99"/>
      <c r="AB1851" s="3" t="str">
        <f>IF(BCP_Soles[[#This Row],[FECHA]]&gt;0,TEXT(BCP_Soles[[#This Row],[FECHA]],"mmmm"),0)</f>
        <v>Mayo</v>
      </c>
    </row>
    <row r="1852" spans="2:28" ht="24" x14ac:dyDescent="0.3">
      <c r="B1852" s="2">
        <f>IF(BCP_Soles[[#This Row],[TIPO DE R.]]="R",COUNTIFS($D$4:$D1851,"R")+1,"")</f>
        <v>1430</v>
      </c>
      <c r="C1852" s="19" t="str">
        <f t="shared" si="140"/>
        <v>B-BCP - Soles</v>
      </c>
      <c r="D1852" s="3" t="s">
        <v>1074</v>
      </c>
      <c r="E1852" s="14">
        <v>45806</v>
      </c>
      <c r="F1852" s="5" t="s">
        <v>1082</v>
      </c>
      <c r="G1852" s="5" t="s">
        <v>1079</v>
      </c>
      <c r="H1852" s="6" t="s">
        <v>192</v>
      </c>
      <c r="I1852" s="6"/>
      <c r="J1852" s="6"/>
      <c r="K1852" s="6"/>
      <c r="L1852" s="7" t="s">
        <v>2925</v>
      </c>
      <c r="M1852" s="8">
        <v>1233794</v>
      </c>
      <c r="N1852" s="8" t="str">
        <f t="shared" si="141"/>
        <v>PEN</v>
      </c>
      <c r="O1852" s="13"/>
      <c r="P1852" s="13">
        <v>290.75</v>
      </c>
      <c r="Q1852" s="3">
        <f t="shared" si="142"/>
        <v>0</v>
      </c>
      <c r="R1852" s="3">
        <f t="shared" si="143"/>
        <v>290.75</v>
      </c>
      <c r="S1852" s="3">
        <f t="shared" si="144"/>
        <v>36305.219999999987</v>
      </c>
      <c r="T1852" s="24"/>
      <c r="U1852" s="24"/>
      <c r="V1852" s="67"/>
      <c r="W1852" s="25">
        <f>IFERROR(VLOOKUP(BCP_Soles[[#This Row],[DESTINATARIO]],CHOOSE({1,2},Clientes_Proveedores[Razon Social],Clientes_Proveedores[Ruc / Dni]),2,0),"")</f>
        <v>20302891452</v>
      </c>
      <c r="X1852" s="25" t="s">
        <v>192</v>
      </c>
      <c r="Y1852" s="25"/>
      <c r="Z1852" s="25"/>
      <c r="AA1852" s="99"/>
      <c r="AB1852" s="3" t="str">
        <f>IF(BCP_Soles[[#This Row],[FECHA]]&gt;0,TEXT(BCP_Soles[[#This Row],[FECHA]],"mmmm"),0)</f>
        <v>Mayo</v>
      </c>
    </row>
    <row r="1853" spans="2:28" ht="36" x14ac:dyDescent="0.3">
      <c r="B1853" s="2">
        <f>IF(BCP_Soles[[#This Row],[TIPO DE R.]]="R",COUNTIFS($D$4:$D1852,"R")+1,"")</f>
        <v>1431</v>
      </c>
      <c r="C1853" s="19" t="str">
        <f t="shared" si="140"/>
        <v>B-BCP - Soles</v>
      </c>
      <c r="D1853" s="3" t="s">
        <v>1074</v>
      </c>
      <c r="E1853" s="14">
        <v>45806</v>
      </c>
      <c r="F1853" s="5" t="s">
        <v>1082</v>
      </c>
      <c r="G1853" s="5" t="s">
        <v>1079</v>
      </c>
      <c r="H1853" s="6" t="s">
        <v>617</v>
      </c>
      <c r="I1853" s="6" t="s">
        <v>14</v>
      </c>
      <c r="J1853" s="6" t="s">
        <v>2629</v>
      </c>
      <c r="K1853" s="6">
        <v>1333</v>
      </c>
      <c r="L1853" s="7" t="s">
        <v>2926</v>
      </c>
      <c r="M1853" s="8">
        <v>1108199</v>
      </c>
      <c r="N1853" s="8" t="str">
        <f t="shared" si="141"/>
        <v>PEN</v>
      </c>
      <c r="O1853" s="13"/>
      <c r="P1853" s="13">
        <v>327.45</v>
      </c>
      <c r="Q1853" s="3">
        <f t="shared" si="142"/>
        <v>0</v>
      </c>
      <c r="R1853" s="3">
        <f t="shared" si="143"/>
        <v>327.45</v>
      </c>
      <c r="S1853" s="3">
        <f t="shared" si="144"/>
        <v>35977.76999999999</v>
      </c>
      <c r="T1853" s="24" t="s">
        <v>1081</v>
      </c>
      <c r="U1853" s="24" t="s">
        <v>1081</v>
      </c>
      <c r="V1853" s="67"/>
      <c r="W1853" s="25">
        <f>IFERROR(VLOOKUP(BCP_Soles[[#This Row],[DESTINATARIO]],CHOOSE({1,2},Clientes_Proveedores[Razon Social],Clientes_Proveedores[Ruc / Dni]),2,0),"")</f>
        <v>20455911401</v>
      </c>
      <c r="X1853" s="25" t="s">
        <v>2631</v>
      </c>
      <c r="Y1853" s="25" t="s">
        <v>2927</v>
      </c>
      <c r="Z1853" s="25"/>
      <c r="AA1853" s="99"/>
      <c r="AB1853" s="3" t="str">
        <f>IF(BCP_Soles[[#This Row],[FECHA]]&gt;0,TEXT(BCP_Soles[[#This Row],[FECHA]],"mmmm"),0)</f>
        <v>Mayo</v>
      </c>
    </row>
    <row r="1854" spans="2:28" ht="36" x14ac:dyDescent="0.3">
      <c r="B1854" s="2">
        <f>IF(BCP_Soles[[#This Row],[TIPO DE R.]]="R",COUNTIFS($D$4:$D1853,"R")+1,"")</f>
        <v>1432</v>
      </c>
      <c r="C1854" s="19" t="str">
        <f t="shared" si="140"/>
        <v>B-BCP - Soles</v>
      </c>
      <c r="D1854" s="3" t="s">
        <v>1074</v>
      </c>
      <c r="E1854" s="14">
        <v>45806</v>
      </c>
      <c r="F1854" s="5" t="s">
        <v>1082</v>
      </c>
      <c r="G1854" s="5" t="s">
        <v>1079</v>
      </c>
      <c r="H1854" s="6" t="s">
        <v>631</v>
      </c>
      <c r="I1854" s="6" t="s">
        <v>14</v>
      </c>
      <c r="J1854" s="6" t="s">
        <v>1121</v>
      </c>
      <c r="K1854" s="6">
        <v>176</v>
      </c>
      <c r="L1854" s="7" t="s">
        <v>2928</v>
      </c>
      <c r="M1854" s="8">
        <v>1108198</v>
      </c>
      <c r="N1854" s="8" t="str">
        <f t="shared" si="141"/>
        <v>PEN</v>
      </c>
      <c r="O1854" s="13"/>
      <c r="P1854" s="13">
        <v>906</v>
      </c>
      <c r="Q1854" s="3">
        <f t="shared" si="142"/>
        <v>0</v>
      </c>
      <c r="R1854" s="3">
        <f t="shared" si="143"/>
        <v>906</v>
      </c>
      <c r="S1854" s="3">
        <f t="shared" si="144"/>
        <v>35071.76999999999</v>
      </c>
      <c r="T1854" s="24" t="s">
        <v>1081</v>
      </c>
      <c r="U1854" s="24" t="s">
        <v>1081</v>
      </c>
      <c r="V1854" s="67"/>
      <c r="W1854" s="25">
        <f>IFERROR(VLOOKUP(BCP_Soles[[#This Row],[DESTINATARIO]],CHOOSE({1,2},Clientes_Proveedores[Razon Social],Clientes_Proveedores[Ruc / Dni]),2,0),"")</f>
        <v>20610055487</v>
      </c>
      <c r="X1854" s="25" t="s">
        <v>2929</v>
      </c>
      <c r="Y1854" s="25" t="s">
        <v>2930</v>
      </c>
      <c r="Z1854" s="25"/>
      <c r="AA1854" s="99"/>
      <c r="AB1854" s="3" t="str">
        <f>IF(BCP_Soles[[#This Row],[FECHA]]&gt;0,TEXT(BCP_Soles[[#This Row],[FECHA]],"mmmm"),0)</f>
        <v>Mayo</v>
      </c>
    </row>
    <row r="1855" spans="2:28" ht="24" x14ac:dyDescent="0.3">
      <c r="B1855" s="2">
        <f>IF(BCP_Soles[[#This Row],[TIPO DE R.]]="R",COUNTIFS($D$4:$D1854,"R")+1,"")</f>
        <v>1433</v>
      </c>
      <c r="C1855" s="19" t="str">
        <f t="shared" si="140"/>
        <v>B-BCP - Soles</v>
      </c>
      <c r="D1855" s="3" t="s">
        <v>1074</v>
      </c>
      <c r="E1855" s="14">
        <v>45806</v>
      </c>
      <c r="F1855" s="5" t="s">
        <v>1082</v>
      </c>
      <c r="G1855" s="5" t="s">
        <v>1079</v>
      </c>
      <c r="H1855" s="6" t="s">
        <v>699</v>
      </c>
      <c r="I1855" s="6" t="s">
        <v>18</v>
      </c>
      <c r="J1855" s="6" t="s">
        <v>1121</v>
      </c>
      <c r="K1855" s="6">
        <v>20</v>
      </c>
      <c r="L1855" s="7" t="s">
        <v>2931</v>
      </c>
      <c r="M1855" s="8">
        <v>1234269</v>
      </c>
      <c r="N1855" s="8" t="str">
        <f t="shared" si="141"/>
        <v>PEN</v>
      </c>
      <c r="O1855" s="13"/>
      <c r="P1855" s="13">
        <v>1250</v>
      </c>
      <c r="Q1855" s="3">
        <f t="shared" si="142"/>
        <v>0</v>
      </c>
      <c r="R1855" s="3">
        <f t="shared" si="143"/>
        <v>1250</v>
      </c>
      <c r="S1855" s="3">
        <f t="shared" si="144"/>
        <v>33821.76999999999</v>
      </c>
      <c r="T1855" s="24"/>
      <c r="U1855" s="24" t="s">
        <v>1081</v>
      </c>
      <c r="V1855" s="67"/>
      <c r="W1855" s="25">
        <f>IFERROR(VLOOKUP(BCP_Soles[[#This Row],[DESTINATARIO]],CHOOSE({1,2},Clientes_Proveedores[Razon Social],Clientes_Proveedores[Ruc / Dni]),2,0),"")</f>
        <v>10108661343</v>
      </c>
      <c r="X1855" s="25" t="s">
        <v>1892</v>
      </c>
      <c r="Y1855" s="25"/>
      <c r="Z1855" s="25"/>
      <c r="AA1855" s="99"/>
      <c r="AB1855" s="3" t="str">
        <f>IF(BCP_Soles[[#This Row],[FECHA]]&gt;0,TEXT(BCP_Soles[[#This Row],[FECHA]],"mmmm"),0)</f>
        <v>Mayo</v>
      </c>
    </row>
    <row r="1856" spans="2:28" x14ac:dyDescent="0.3">
      <c r="B1856" s="2">
        <f>IF(BCP_Soles[[#This Row],[TIPO DE R.]]="R",COUNTIFS($D$4:$D1855,"R")+1,"")</f>
        <v>1434</v>
      </c>
      <c r="C1856" s="19" t="str">
        <f t="shared" si="140"/>
        <v>B-BCP - Soles</v>
      </c>
      <c r="D1856" s="3" t="s">
        <v>1074</v>
      </c>
      <c r="E1856" s="14">
        <v>45806</v>
      </c>
      <c r="F1856" s="5" t="s">
        <v>1078</v>
      </c>
      <c r="G1856" s="5" t="s">
        <v>1079</v>
      </c>
      <c r="H1856" s="6"/>
      <c r="I1856" s="6"/>
      <c r="J1856" s="6"/>
      <c r="K1856" s="6"/>
      <c r="L1856" s="7" t="s">
        <v>2868</v>
      </c>
      <c r="M1856" s="8"/>
      <c r="N1856" s="8" t="str">
        <f t="shared" si="141"/>
        <v>PEN</v>
      </c>
      <c r="O1856" s="13"/>
      <c r="P1856" s="13">
        <v>0.15</v>
      </c>
      <c r="Q1856" s="3">
        <f t="shared" si="142"/>
        <v>0</v>
      </c>
      <c r="R1856" s="3">
        <f t="shared" si="143"/>
        <v>0.15</v>
      </c>
      <c r="S1856" s="3">
        <f t="shared" si="144"/>
        <v>33821.619999999988</v>
      </c>
      <c r="T1856" s="24"/>
      <c r="U1856" s="24"/>
      <c r="V1856" s="67"/>
      <c r="W1856" s="25" t="str">
        <f>IFERROR(VLOOKUP(BCP_Soles[[#This Row],[DESTINATARIO]],CHOOSE({1,2},Clientes_Proveedores[Razon Social],Clientes_Proveedores[Ruc / Dni]),2,0),"")</f>
        <v/>
      </c>
      <c r="X1856" s="25"/>
      <c r="Y1856" s="25"/>
      <c r="Z1856" s="25"/>
      <c r="AA1856" s="99"/>
      <c r="AB1856" s="3" t="str">
        <f>IF(BCP_Soles[[#This Row],[FECHA]]&gt;0,TEXT(BCP_Soles[[#This Row],[FECHA]],"mmmm"),0)</f>
        <v>Mayo</v>
      </c>
    </row>
    <row r="1857" spans="2:28" x14ac:dyDescent="0.3">
      <c r="B1857" s="2">
        <f>IF(BCP_Soles[[#This Row],[TIPO DE R.]]="R",COUNTIFS($D$4:$D1856,"R")+1,"")</f>
        <v>1435</v>
      </c>
      <c r="C1857" s="19" t="str">
        <f t="shared" si="140"/>
        <v>B-BCP - Soles</v>
      </c>
      <c r="D1857" s="3" t="s">
        <v>1074</v>
      </c>
      <c r="E1857" s="14">
        <v>45807</v>
      </c>
      <c r="F1857" s="5"/>
      <c r="G1857" s="5" t="s">
        <v>1087</v>
      </c>
      <c r="H1857" s="6" t="s">
        <v>368</v>
      </c>
      <c r="I1857" s="6"/>
      <c r="J1857" s="6"/>
      <c r="K1857" s="6"/>
      <c r="L1857" s="7" t="s">
        <v>2932</v>
      </c>
      <c r="M1857" s="8">
        <v>830205</v>
      </c>
      <c r="N1857" s="8" t="str">
        <f t="shared" si="141"/>
        <v>PEN</v>
      </c>
      <c r="O1857" s="13"/>
      <c r="P1857" s="13">
        <v>40000</v>
      </c>
      <c r="Q1857" s="3">
        <f t="shared" si="142"/>
        <v>40000</v>
      </c>
      <c r="R1857" s="3">
        <f t="shared" si="143"/>
        <v>0</v>
      </c>
      <c r="S1857" s="3">
        <f t="shared" si="144"/>
        <v>73821.62</v>
      </c>
      <c r="T1857" s="24"/>
      <c r="U1857" s="24"/>
      <c r="V1857" s="67"/>
      <c r="W1857" s="25">
        <f>IFERROR(VLOOKUP(BCP_Soles[[#This Row],[DESTINATARIO]],CHOOSE({1,2},Clientes_Proveedores[Razon Social],Clientes_Proveedores[Ruc / Dni]),2,0),"")</f>
        <v>20558226979</v>
      </c>
      <c r="X1857" s="25" t="s">
        <v>1090</v>
      </c>
      <c r="Y1857" s="25"/>
      <c r="Z1857" s="25"/>
      <c r="AA1857" s="99"/>
      <c r="AB1857" s="3" t="str">
        <f>IF(BCP_Soles[[#This Row],[FECHA]]&gt;0,TEXT(BCP_Soles[[#This Row],[FECHA]],"mmmm"),0)</f>
        <v>Mayo</v>
      </c>
    </row>
    <row r="1858" spans="2:28" ht="36" x14ac:dyDescent="0.3">
      <c r="B1858" s="2">
        <f>IF(BCP_Soles[[#This Row],[TIPO DE R.]]="R",COUNTIFS($D$4:$D1857,"R")+1,"")</f>
        <v>1436</v>
      </c>
      <c r="C1858" s="19" t="str">
        <f t="shared" si="140"/>
        <v>B-BCP - Soles</v>
      </c>
      <c r="D1858" s="3" t="s">
        <v>1074</v>
      </c>
      <c r="E1858" s="14">
        <v>45807</v>
      </c>
      <c r="F1858" s="5" t="s">
        <v>204</v>
      </c>
      <c r="G1858" s="5" t="s">
        <v>1087</v>
      </c>
      <c r="H1858" s="6"/>
      <c r="I1858" s="6"/>
      <c r="J1858" s="6"/>
      <c r="K1858" s="6"/>
      <c r="L1858" s="7" t="s">
        <v>2933</v>
      </c>
      <c r="M1858" s="8">
        <v>1944551</v>
      </c>
      <c r="N1858" s="8" t="str">
        <f t="shared" si="141"/>
        <v>PEN</v>
      </c>
      <c r="O1858" s="13"/>
      <c r="P1858" s="13">
        <v>18364.09</v>
      </c>
      <c r="Q1858" s="3">
        <f t="shared" si="142"/>
        <v>18364.09</v>
      </c>
      <c r="R1858" s="3">
        <f t="shared" si="143"/>
        <v>0</v>
      </c>
      <c r="S1858" s="3">
        <f t="shared" si="144"/>
        <v>92185.709999999992</v>
      </c>
      <c r="T1858" s="24" t="s">
        <v>1081</v>
      </c>
      <c r="U1858" s="24" t="s">
        <v>1081</v>
      </c>
      <c r="V1858" s="67"/>
      <c r="W1858" s="25" t="str">
        <f>IFERROR(VLOOKUP(BCP_Soles[[#This Row],[DESTINATARIO]],CHOOSE({1,2},Clientes_Proveedores[Razon Social],Clientes_Proveedores[Ruc / Dni]),2,0),"")</f>
        <v/>
      </c>
      <c r="X1858" s="25" t="s">
        <v>1090</v>
      </c>
      <c r="Y1858" s="25" t="s">
        <v>2934</v>
      </c>
      <c r="Z1858" s="25"/>
      <c r="AA1858" s="99"/>
      <c r="AB1858" s="3" t="str">
        <f>IF(BCP_Soles[[#This Row],[FECHA]]&gt;0,TEXT(BCP_Soles[[#This Row],[FECHA]],"mmmm"),0)</f>
        <v>Mayo</v>
      </c>
    </row>
    <row r="1859" spans="2:28" ht="36" x14ac:dyDescent="0.3">
      <c r="B1859" s="2">
        <f>IF(BCP_Soles[[#This Row],[TIPO DE R.]]="R",COUNTIFS($D$4:$D1858,"R")+1,"")</f>
        <v>1437</v>
      </c>
      <c r="C1859" s="19" t="str">
        <f t="shared" si="140"/>
        <v>B-BCP - Soles</v>
      </c>
      <c r="D1859" s="3" t="s">
        <v>1074</v>
      </c>
      <c r="E1859" s="14">
        <v>45807</v>
      </c>
      <c r="F1859" s="5" t="s">
        <v>180</v>
      </c>
      <c r="G1859" s="5" t="s">
        <v>1087</v>
      </c>
      <c r="H1859" s="6"/>
      <c r="I1859" s="6"/>
      <c r="J1859" s="6"/>
      <c r="K1859" s="6"/>
      <c r="L1859" s="7" t="s">
        <v>2663</v>
      </c>
      <c r="M1859" s="8">
        <v>2069181</v>
      </c>
      <c r="N1859" s="8" t="str">
        <f t="shared" si="141"/>
        <v>PEN</v>
      </c>
      <c r="O1859" s="13"/>
      <c r="P1859" s="13">
        <v>3758.42</v>
      </c>
      <c r="Q1859" s="3">
        <f t="shared" si="142"/>
        <v>3758.42</v>
      </c>
      <c r="R1859" s="3">
        <f t="shared" si="143"/>
        <v>0</v>
      </c>
      <c r="S1859" s="3">
        <f t="shared" si="144"/>
        <v>95944.12999999999</v>
      </c>
      <c r="T1859" s="24" t="s">
        <v>1081</v>
      </c>
      <c r="U1859" s="24" t="s">
        <v>1081</v>
      </c>
      <c r="V1859" s="67"/>
      <c r="W1859" s="25" t="str">
        <f>IFERROR(VLOOKUP(BCP_Soles[[#This Row],[DESTINATARIO]],CHOOSE({1,2},Clientes_Proveedores[Razon Social],Clientes_Proveedores[Ruc / Dni]),2,0),"")</f>
        <v/>
      </c>
      <c r="X1859" s="25" t="s">
        <v>1090</v>
      </c>
      <c r="Y1859" s="25" t="s">
        <v>2935</v>
      </c>
      <c r="Z1859" s="25"/>
      <c r="AA1859" s="99"/>
      <c r="AB1859" s="3" t="str">
        <f>IF(BCP_Soles[[#This Row],[FECHA]]&gt;0,TEXT(BCP_Soles[[#This Row],[FECHA]],"mmmm"),0)</f>
        <v>Mayo</v>
      </c>
    </row>
    <row r="1860" spans="2:28" ht="24" x14ac:dyDescent="0.3">
      <c r="B1860" s="2">
        <f>IF(BCP_Soles[[#This Row],[TIPO DE R.]]="R",COUNTIFS($D$4:$D1859,"R")+1,"")</f>
        <v>1438</v>
      </c>
      <c r="C1860" s="19" t="str">
        <f t="shared" si="140"/>
        <v>B-BCP - Soles</v>
      </c>
      <c r="D1860" s="3" t="s">
        <v>1074</v>
      </c>
      <c r="E1860" s="14">
        <v>45807</v>
      </c>
      <c r="F1860" s="5" t="s">
        <v>285</v>
      </c>
      <c r="G1860" s="5" t="s">
        <v>1087</v>
      </c>
      <c r="H1860" s="6"/>
      <c r="I1860" s="6"/>
      <c r="J1860" s="6"/>
      <c r="K1860" s="6"/>
      <c r="L1860" s="7" t="s">
        <v>2936</v>
      </c>
      <c r="M1860" s="8">
        <v>2281413</v>
      </c>
      <c r="N1860" s="8" t="str">
        <f t="shared" si="141"/>
        <v>PEN</v>
      </c>
      <c r="O1860" s="13"/>
      <c r="P1860" s="13">
        <v>1468.82</v>
      </c>
      <c r="Q1860" s="3">
        <f t="shared" si="142"/>
        <v>1468.82</v>
      </c>
      <c r="R1860" s="3">
        <f t="shared" si="143"/>
        <v>0</v>
      </c>
      <c r="S1860" s="3">
        <f t="shared" si="144"/>
        <v>97412.95</v>
      </c>
      <c r="T1860" s="24"/>
      <c r="U1860" s="24" t="s">
        <v>1081</v>
      </c>
      <c r="V1860" s="67"/>
      <c r="W1860" s="25" t="str">
        <f>IFERROR(VLOOKUP(BCP_Soles[[#This Row],[DESTINATARIO]],CHOOSE({1,2},Clientes_Proveedores[Razon Social],Clientes_Proveedores[Ruc / Dni]),2,0),"")</f>
        <v/>
      </c>
      <c r="X1860" s="25" t="s">
        <v>1090</v>
      </c>
      <c r="Y1860" s="25" t="s">
        <v>2937</v>
      </c>
      <c r="Z1860" s="25"/>
      <c r="AA1860" s="99"/>
      <c r="AB1860" s="3" t="str">
        <f>IF(BCP_Soles[[#This Row],[FECHA]]&gt;0,TEXT(BCP_Soles[[#This Row],[FECHA]],"mmmm"),0)</f>
        <v>Mayo</v>
      </c>
    </row>
    <row r="1861" spans="2:28" ht="24" x14ac:dyDescent="0.3">
      <c r="B1861" s="2">
        <f>IF(BCP_Soles[[#This Row],[TIPO DE R.]]="R",COUNTIFS($D$4:$D1860,"R")+1,"")</f>
        <v>1439</v>
      </c>
      <c r="C1861" s="19" t="str">
        <f t="shared" ref="C1861:C1924" si="145">"B-BCP - Soles"</f>
        <v>B-BCP - Soles</v>
      </c>
      <c r="D1861" s="3" t="s">
        <v>1074</v>
      </c>
      <c r="E1861" s="14">
        <v>45807</v>
      </c>
      <c r="F1861" s="5" t="s">
        <v>1245</v>
      </c>
      <c r="G1861" s="5" t="s">
        <v>1087</v>
      </c>
      <c r="H1861" s="6" t="s">
        <v>368</v>
      </c>
      <c r="I1861" s="6" t="s">
        <v>63</v>
      </c>
      <c r="J1861" s="6">
        <v>2</v>
      </c>
      <c r="K1861" s="6">
        <v>784</v>
      </c>
      <c r="L1861" s="7" t="s">
        <v>2938</v>
      </c>
      <c r="M1861" s="8">
        <v>7096</v>
      </c>
      <c r="N1861" s="8" t="str">
        <f t="shared" ref="N1861:N1924" si="146">"PEN"</f>
        <v>PEN</v>
      </c>
      <c r="O1861" s="13"/>
      <c r="P1861" s="13">
        <v>420</v>
      </c>
      <c r="Q1861" s="3">
        <f t="shared" ref="Q1861:Q1924" si="147">+IF(OR($G1861="SALDO",$G1861="INGRESO"),$P1861,0)</f>
        <v>420</v>
      </c>
      <c r="R1861" s="3">
        <f t="shared" ref="R1861:R1924" si="148">+IF($G1861="EGRESO",$P1861,0)</f>
        <v>0</v>
      </c>
      <c r="S1861" s="3">
        <f t="shared" ref="S1861:S1924" si="149">IFERROR(IF(G1861="SALDO",Q1861,S1860+Q1861-R1861),0)</f>
        <v>97832.95</v>
      </c>
      <c r="T1861" s="24" t="s">
        <v>1081</v>
      </c>
      <c r="U1861" s="24"/>
      <c r="V1861" s="67"/>
      <c r="W1861" s="25">
        <f>IFERROR(VLOOKUP(BCP_Soles[[#This Row],[DESTINATARIO]],CHOOSE({1,2},Clientes_Proveedores[Razon Social],Clientes_Proveedores[Ruc / Dni]),2,0),"")</f>
        <v>20558226979</v>
      </c>
      <c r="X1861" s="25" t="s">
        <v>1090</v>
      </c>
      <c r="Y1861" s="25"/>
      <c r="Z1861" s="25"/>
      <c r="AA1861" s="99"/>
      <c r="AB1861" s="3" t="str">
        <f>IF(BCP_Soles[[#This Row],[FECHA]]&gt;0,TEXT(BCP_Soles[[#This Row],[FECHA]],"mmmm"),0)</f>
        <v>Mayo</v>
      </c>
    </row>
    <row r="1862" spans="2:28" ht="24" x14ac:dyDescent="0.3">
      <c r="B1862" s="2">
        <f>IF(BCP_Soles[[#This Row],[TIPO DE R.]]="R",COUNTIFS($D$4:$D1861,"R")+1,"")</f>
        <v>1440</v>
      </c>
      <c r="C1862" s="19" t="str">
        <f t="shared" si="145"/>
        <v>B-BCP - Soles</v>
      </c>
      <c r="D1862" s="3" t="s">
        <v>1074</v>
      </c>
      <c r="E1862" s="14">
        <v>45807</v>
      </c>
      <c r="F1862" s="5" t="s">
        <v>1078</v>
      </c>
      <c r="G1862" s="5" t="s">
        <v>1079</v>
      </c>
      <c r="H1862" s="6" t="s">
        <v>1001</v>
      </c>
      <c r="I1862" s="6"/>
      <c r="J1862" s="6"/>
      <c r="K1862" s="6"/>
      <c r="L1862" s="7" t="s">
        <v>2939</v>
      </c>
      <c r="M1862" s="8">
        <v>2339567</v>
      </c>
      <c r="N1862" s="8" t="str">
        <f t="shared" si="146"/>
        <v>PEN</v>
      </c>
      <c r="O1862" s="13"/>
      <c r="P1862" s="13">
        <v>5</v>
      </c>
      <c r="Q1862" s="3">
        <f t="shared" si="147"/>
        <v>0</v>
      </c>
      <c r="R1862" s="3">
        <f t="shared" si="148"/>
        <v>5</v>
      </c>
      <c r="S1862" s="3">
        <f t="shared" si="149"/>
        <v>97827.95</v>
      </c>
      <c r="T1862" s="24"/>
      <c r="U1862" s="24"/>
      <c r="V1862" s="67"/>
      <c r="W1862" s="25">
        <f>IFERROR(VLOOKUP(BCP_Soles[[#This Row],[DESTINATARIO]],CHOOSE({1,2},Clientes_Proveedores[Razon Social],Clientes_Proveedores[Ruc / Dni]),2,0),"")</f>
        <v>20100047218</v>
      </c>
      <c r="X1862" s="25" t="s">
        <v>1078</v>
      </c>
      <c r="Y1862" s="25"/>
      <c r="Z1862" s="25"/>
      <c r="AA1862" s="99"/>
      <c r="AB1862" s="3" t="str">
        <f>IF(BCP_Soles[[#This Row],[FECHA]]&gt;0,TEXT(BCP_Soles[[#This Row],[FECHA]],"mmmm"),0)</f>
        <v>Mayo</v>
      </c>
    </row>
    <row r="1863" spans="2:28" x14ac:dyDescent="0.3">
      <c r="B1863" s="2">
        <f>IF(BCP_Soles[[#This Row],[TIPO DE R.]]="R",COUNTIFS($D$4:$D1862,"R")+1,"")</f>
        <v>1441</v>
      </c>
      <c r="C1863" s="19" t="str">
        <f t="shared" si="145"/>
        <v>B-BCP - Soles</v>
      </c>
      <c r="D1863" s="3" t="s">
        <v>1074</v>
      </c>
      <c r="E1863" s="14">
        <v>45807</v>
      </c>
      <c r="F1863" s="5" t="s">
        <v>1078</v>
      </c>
      <c r="G1863" s="5" t="s">
        <v>1079</v>
      </c>
      <c r="H1863" s="6"/>
      <c r="I1863" s="6"/>
      <c r="J1863" s="6"/>
      <c r="K1863" s="6"/>
      <c r="L1863" s="7" t="s">
        <v>2868</v>
      </c>
      <c r="M1863" s="8"/>
      <c r="N1863" s="8" t="str">
        <f t="shared" si="146"/>
        <v>PEN</v>
      </c>
      <c r="O1863" s="13"/>
      <c r="P1863" s="13">
        <v>7.2</v>
      </c>
      <c r="Q1863" s="3">
        <f t="shared" si="147"/>
        <v>0</v>
      </c>
      <c r="R1863" s="3">
        <f t="shared" si="148"/>
        <v>7.2</v>
      </c>
      <c r="S1863" s="3">
        <f t="shared" si="149"/>
        <v>97820.75</v>
      </c>
      <c r="T1863" s="24"/>
      <c r="U1863" s="24"/>
      <c r="V1863" s="67"/>
      <c r="W1863" s="25" t="str">
        <f>IFERROR(VLOOKUP(BCP_Soles[[#This Row],[DESTINATARIO]],CHOOSE({1,2},Clientes_Proveedores[Razon Social],Clientes_Proveedores[Ruc / Dni]),2,0),"")</f>
        <v/>
      </c>
      <c r="X1863" s="25"/>
      <c r="Y1863" s="25"/>
      <c r="Z1863" s="25"/>
      <c r="AA1863" s="99"/>
      <c r="AB1863" s="3" t="str">
        <f>IF(BCP_Soles[[#This Row],[FECHA]]&gt;0,TEXT(BCP_Soles[[#This Row],[FECHA]],"mmmm"),0)</f>
        <v>Mayo</v>
      </c>
    </row>
    <row r="1864" spans="2:28" ht="24" x14ac:dyDescent="0.3">
      <c r="B1864" s="2">
        <f>IF(BCP_Soles[[#This Row],[TIPO DE R.]]="R",COUNTIFS($D$4:$D1863,"R")+1,"")</f>
        <v>1442</v>
      </c>
      <c r="C1864" s="19" t="str">
        <f t="shared" si="145"/>
        <v>B-BCP - Soles</v>
      </c>
      <c r="D1864" s="3" t="s">
        <v>1074</v>
      </c>
      <c r="E1864" s="14">
        <v>45807</v>
      </c>
      <c r="F1864" s="5" t="s">
        <v>1078</v>
      </c>
      <c r="G1864" s="5" t="s">
        <v>1079</v>
      </c>
      <c r="H1864" s="6" t="s">
        <v>1001</v>
      </c>
      <c r="I1864" s="6"/>
      <c r="J1864" s="6"/>
      <c r="K1864" s="6"/>
      <c r="L1864" s="7" t="s">
        <v>1141</v>
      </c>
      <c r="M1864" s="8">
        <v>776</v>
      </c>
      <c r="N1864" s="8" t="str">
        <f t="shared" si="146"/>
        <v>PEN</v>
      </c>
      <c r="O1864" s="13"/>
      <c r="P1864" s="13">
        <v>10</v>
      </c>
      <c r="Q1864" s="3">
        <f t="shared" si="147"/>
        <v>0</v>
      </c>
      <c r="R1864" s="3">
        <f t="shared" si="148"/>
        <v>10</v>
      </c>
      <c r="S1864" s="3">
        <f t="shared" si="149"/>
        <v>97810.75</v>
      </c>
      <c r="T1864" s="24"/>
      <c r="U1864" s="24"/>
      <c r="V1864" s="67"/>
      <c r="W1864" s="25">
        <f>IFERROR(VLOOKUP(BCP_Soles[[#This Row],[DESTINATARIO]],CHOOSE({1,2},Clientes_Proveedores[Razon Social],Clientes_Proveedores[Ruc / Dni]),2,0),"")</f>
        <v>20100047218</v>
      </c>
      <c r="X1864" s="25" t="s">
        <v>1078</v>
      </c>
      <c r="Y1864" s="25"/>
      <c r="Z1864" s="25"/>
      <c r="AA1864" s="99"/>
      <c r="AB1864" s="3" t="str">
        <f>IF(BCP_Soles[[#This Row],[FECHA]]&gt;0,TEXT(BCP_Soles[[#This Row],[FECHA]],"mmmm"),0)</f>
        <v>Mayo</v>
      </c>
    </row>
    <row r="1865" spans="2:28" ht="24" x14ac:dyDescent="0.3">
      <c r="B1865" s="2">
        <f>IF(BCP_Soles[[#This Row],[TIPO DE R.]]="R",COUNTIFS($D$4:$D1864,"R")+1,"")</f>
        <v>1443</v>
      </c>
      <c r="C1865" s="19" t="str">
        <f t="shared" si="145"/>
        <v>B-BCP - Soles</v>
      </c>
      <c r="D1865" s="3" t="s">
        <v>1074</v>
      </c>
      <c r="E1865" s="14">
        <v>45807</v>
      </c>
      <c r="F1865" s="5" t="s">
        <v>1082</v>
      </c>
      <c r="G1865" s="5" t="s">
        <v>1079</v>
      </c>
      <c r="H1865" s="6"/>
      <c r="I1865" s="6" t="s">
        <v>52</v>
      </c>
      <c r="J1865" s="6" t="s">
        <v>1303</v>
      </c>
      <c r="K1865" s="6">
        <v>69309475</v>
      </c>
      <c r="L1865" s="7" t="s">
        <v>1304</v>
      </c>
      <c r="M1865" s="8">
        <v>4145100</v>
      </c>
      <c r="N1865" s="8" t="str">
        <f t="shared" si="146"/>
        <v>PEN</v>
      </c>
      <c r="O1865" s="13"/>
      <c r="P1865" s="13">
        <v>79.900000000000006</v>
      </c>
      <c r="Q1865" s="3">
        <f t="shared" si="147"/>
        <v>0</v>
      </c>
      <c r="R1865" s="3">
        <f t="shared" si="148"/>
        <v>79.900000000000006</v>
      </c>
      <c r="S1865" s="3">
        <f t="shared" si="149"/>
        <v>97730.85</v>
      </c>
      <c r="T1865" s="24" t="s">
        <v>1081</v>
      </c>
      <c r="U1865" s="24" t="s">
        <v>1081</v>
      </c>
      <c r="V1865" s="67"/>
      <c r="W1865" s="25" t="str">
        <f>IFERROR(VLOOKUP(BCP_Soles[[#This Row],[DESTINATARIO]],CHOOSE({1,2},Clientes_Proveedores[Razon Social],Clientes_Proveedores[Ruc / Dni]),2,0),"")</f>
        <v/>
      </c>
      <c r="X1865" s="25" t="s">
        <v>1305</v>
      </c>
      <c r="Y1865" s="25" t="s">
        <v>2940</v>
      </c>
      <c r="Z1865" s="25"/>
      <c r="AA1865" s="99"/>
      <c r="AB1865" s="3" t="str">
        <f>IF(BCP_Soles[[#This Row],[FECHA]]&gt;0,TEXT(BCP_Soles[[#This Row],[FECHA]],"mmmm"),0)</f>
        <v>Mayo</v>
      </c>
    </row>
    <row r="1866" spans="2:28" ht="24" x14ac:dyDescent="0.3">
      <c r="B1866" s="2">
        <f>IF(BCP_Soles[[#This Row],[TIPO DE R.]]="R",COUNTIFS($D$4:$D1865,"R")+1,"")</f>
        <v>1444</v>
      </c>
      <c r="C1866" s="19" t="str">
        <f t="shared" si="145"/>
        <v>B-BCP - Soles</v>
      </c>
      <c r="D1866" s="3" t="s">
        <v>1074</v>
      </c>
      <c r="E1866" s="14">
        <v>45807</v>
      </c>
      <c r="F1866" s="5" t="s">
        <v>1082</v>
      </c>
      <c r="G1866" s="5" t="s">
        <v>1079</v>
      </c>
      <c r="H1866" s="6"/>
      <c r="I1866" s="6" t="s">
        <v>14</v>
      </c>
      <c r="J1866" s="6" t="s">
        <v>2058</v>
      </c>
      <c r="K1866" s="6">
        <v>2647</v>
      </c>
      <c r="L1866" s="7" t="s">
        <v>2941</v>
      </c>
      <c r="M1866" s="8">
        <v>1148051</v>
      </c>
      <c r="N1866" s="8" t="str">
        <f t="shared" si="146"/>
        <v>PEN</v>
      </c>
      <c r="O1866" s="13"/>
      <c r="P1866" s="13">
        <v>645</v>
      </c>
      <c r="Q1866" s="3">
        <f t="shared" si="147"/>
        <v>0</v>
      </c>
      <c r="R1866" s="3">
        <f t="shared" si="148"/>
        <v>645</v>
      </c>
      <c r="S1866" s="3">
        <f t="shared" si="149"/>
        <v>97085.85</v>
      </c>
      <c r="T1866" s="24" t="s">
        <v>1081</v>
      </c>
      <c r="U1866" s="24" t="s">
        <v>1081</v>
      </c>
      <c r="V1866" s="67"/>
      <c r="W1866" s="25" t="str">
        <f>IFERROR(VLOOKUP(BCP_Soles[[#This Row],[DESTINATARIO]],CHOOSE({1,2},Clientes_Proveedores[Razon Social],Clientes_Proveedores[Ruc / Dni]),2,0),"")</f>
        <v/>
      </c>
      <c r="X1866" s="25" t="s">
        <v>678</v>
      </c>
      <c r="Y1866" s="25" t="s">
        <v>2942</v>
      </c>
      <c r="Z1866" s="25"/>
      <c r="AA1866" s="99"/>
      <c r="AB1866" s="3" t="str">
        <f>IF(BCP_Soles[[#This Row],[FECHA]]&gt;0,TEXT(BCP_Soles[[#This Row],[FECHA]],"mmmm"),0)</f>
        <v>Mayo</v>
      </c>
    </row>
    <row r="1867" spans="2:28" x14ac:dyDescent="0.3">
      <c r="B1867" s="2">
        <f>IF(BCP_Soles[[#This Row],[TIPO DE R.]]="R",COUNTIFS($D$4:$D1866,"R")+1,"")</f>
        <v>1445</v>
      </c>
      <c r="C1867" s="19" t="str">
        <f t="shared" si="145"/>
        <v>B-BCP - Soles</v>
      </c>
      <c r="D1867" s="3" t="s">
        <v>1074</v>
      </c>
      <c r="E1867" s="14">
        <v>45807</v>
      </c>
      <c r="F1867" s="5"/>
      <c r="G1867" s="5" t="s">
        <v>1079</v>
      </c>
      <c r="H1867" s="6"/>
      <c r="I1867" s="6"/>
      <c r="J1867" s="6"/>
      <c r="K1867" s="6"/>
      <c r="L1867" s="7" t="s">
        <v>2943</v>
      </c>
      <c r="M1867" s="8">
        <v>1014297</v>
      </c>
      <c r="N1867" s="8" t="str">
        <f t="shared" si="146"/>
        <v>PEN</v>
      </c>
      <c r="O1867" s="13"/>
      <c r="P1867" s="13">
        <v>750</v>
      </c>
      <c r="Q1867" s="3">
        <f t="shared" si="147"/>
        <v>0</v>
      </c>
      <c r="R1867" s="3">
        <f t="shared" si="148"/>
        <v>750</v>
      </c>
      <c r="S1867" s="3">
        <f t="shared" si="149"/>
        <v>96335.85</v>
      </c>
      <c r="T1867" s="24"/>
      <c r="U1867" s="24"/>
      <c r="V1867" s="67"/>
      <c r="W1867" s="25" t="str">
        <f>IFERROR(VLOOKUP(BCP_Soles[[#This Row],[DESTINATARIO]],CHOOSE({1,2},Clientes_Proveedores[Razon Social],Clientes_Proveedores[Ruc / Dni]),2,0),"")</f>
        <v/>
      </c>
      <c r="X1867" s="25"/>
      <c r="Y1867" s="25"/>
      <c r="Z1867" s="25"/>
      <c r="AA1867" s="99"/>
      <c r="AB1867" s="3" t="str">
        <f>IF(BCP_Soles[[#This Row],[FECHA]]&gt;0,TEXT(BCP_Soles[[#This Row],[FECHA]],"mmmm"),0)</f>
        <v>Mayo</v>
      </c>
    </row>
    <row r="1868" spans="2:28" ht="24" x14ac:dyDescent="0.3">
      <c r="B1868" s="2">
        <f>IF(BCP_Soles[[#This Row],[TIPO DE R.]]="R",COUNTIFS($D$4:$D1867,"R")+1,"")</f>
        <v>1446</v>
      </c>
      <c r="C1868" s="19" t="str">
        <f t="shared" si="145"/>
        <v>B-BCP - Soles</v>
      </c>
      <c r="D1868" s="3" t="s">
        <v>1074</v>
      </c>
      <c r="E1868" s="14">
        <v>45807</v>
      </c>
      <c r="F1868" s="5" t="s">
        <v>1082</v>
      </c>
      <c r="G1868" s="5" t="s">
        <v>1079</v>
      </c>
      <c r="H1868" s="6"/>
      <c r="I1868" s="6"/>
      <c r="J1868" s="6"/>
      <c r="K1868" s="6"/>
      <c r="L1868" s="7" t="s">
        <v>2944</v>
      </c>
      <c r="M1868" s="8">
        <v>4036115</v>
      </c>
      <c r="N1868" s="8" t="str">
        <f t="shared" si="146"/>
        <v>PEN</v>
      </c>
      <c r="O1868" s="13"/>
      <c r="P1868" s="13">
        <v>802.01</v>
      </c>
      <c r="Q1868" s="3">
        <f t="shared" si="147"/>
        <v>0</v>
      </c>
      <c r="R1868" s="3">
        <f t="shared" si="148"/>
        <v>802.01</v>
      </c>
      <c r="S1868" s="3">
        <f t="shared" si="149"/>
        <v>95533.840000000011</v>
      </c>
      <c r="T1868" s="24"/>
      <c r="U1868" s="24" t="s">
        <v>1081</v>
      </c>
      <c r="V1868" s="67"/>
      <c r="W1868" s="25" t="str">
        <f>IFERROR(VLOOKUP(BCP_Soles[[#This Row],[DESTINATARIO]],CHOOSE({1,2},Clientes_Proveedores[Razon Social],Clientes_Proveedores[Ruc / Dni]),2,0),"")</f>
        <v/>
      </c>
      <c r="X1868" s="25" t="s">
        <v>2609</v>
      </c>
      <c r="Y1868" s="25" t="s">
        <v>2945</v>
      </c>
      <c r="Z1868" s="25"/>
      <c r="AA1868" s="99"/>
      <c r="AB1868" s="3" t="str">
        <f>IF(BCP_Soles[[#This Row],[FECHA]]&gt;0,TEXT(BCP_Soles[[#This Row],[FECHA]],"mmmm"),0)</f>
        <v>Mayo</v>
      </c>
    </row>
    <row r="1869" spans="2:28" x14ac:dyDescent="0.3">
      <c r="B1869" s="2" t="str">
        <f>IF(BCP_Soles[[#This Row],[TIPO DE R.]]="R",COUNTIFS($D$4:$D1868,"R")+1,"")</f>
        <v/>
      </c>
      <c r="C1869" s="19" t="str">
        <f t="shared" si="145"/>
        <v>B-BCP - Soles</v>
      </c>
      <c r="D1869" s="3" t="s">
        <v>1101</v>
      </c>
      <c r="E1869" s="14">
        <v>45807</v>
      </c>
      <c r="F1869" s="5" t="s">
        <v>1082</v>
      </c>
      <c r="G1869" s="5"/>
      <c r="H1869" s="6" t="s">
        <v>229</v>
      </c>
      <c r="I1869" s="6" t="s">
        <v>14</v>
      </c>
      <c r="J1869" s="6" t="s">
        <v>1429</v>
      </c>
      <c r="K1869" s="6">
        <v>1698</v>
      </c>
      <c r="L1869" s="7" t="s">
        <v>2944</v>
      </c>
      <c r="M1869" s="8">
        <v>4036115</v>
      </c>
      <c r="N1869" s="8" t="str">
        <f t="shared" si="146"/>
        <v>PEN</v>
      </c>
      <c r="O1869" s="13">
        <v>529.51</v>
      </c>
      <c r="P1869" s="13"/>
      <c r="Q1869" s="3">
        <f t="shared" si="147"/>
        <v>0</v>
      </c>
      <c r="R1869" s="3">
        <f t="shared" si="148"/>
        <v>0</v>
      </c>
      <c r="S1869" s="3">
        <f t="shared" si="149"/>
        <v>95533.840000000011</v>
      </c>
      <c r="T1869" s="24"/>
      <c r="U1869" s="24" t="s">
        <v>1081</v>
      </c>
      <c r="V1869" s="67"/>
      <c r="W1869" s="25">
        <f>IFERROR(VLOOKUP(BCP_Soles[[#This Row],[DESTINATARIO]],CHOOSE({1,2},Clientes_Proveedores[Razon Social],Clientes_Proveedores[Ruc / Dni]),2,0),"")</f>
        <v>20454186002</v>
      </c>
      <c r="X1869" s="25"/>
      <c r="Y1869" s="25"/>
      <c r="Z1869" s="25"/>
      <c r="AA1869" s="99"/>
      <c r="AB1869" s="3" t="str">
        <f>IF(BCP_Soles[[#This Row],[FECHA]]&gt;0,TEXT(BCP_Soles[[#This Row],[FECHA]],"mmmm"),0)</f>
        <v>Mayo</v>
      </c>
    </row>
    <row r="1870" spans="2:28" x14ac:dyDescent="0.3">
      <c r="B1870" s="2" t="str">
        <f>IF(BCP_Soles[[#This Row],[TIPO DE R.]]="R",COUNTIFS($D$4:$D1869,"R")+1,"")</f>
        <v/>
      </c>
      <c r="C1870" s="19" t="str">
        <f t="shared" si="145"/>
        <v>B-BCP - Soles</v>
      </c>
      <c r="D1870" s="3" t="s">
        <v>1101</v>
      </c>
      <c r="E1870" s="14">
        <v>45807</v>
      </c>
      <c r="F1870" s="5" t="s">
        <v>1082</v>
      </c>
      <c r="G1870" s="5"/>
      <c r="H1870" s="6" t="s">
        <v>229</v>
      </c>
      <c r="I1870" s="6" t="s">
        <v>14</v>
      </c>
      <c r="J1870" s="6" t="s">
        <v>1429</v>
      </c>
      <c r="K1870" s="6">
        <v>1699</v>
      </c>
      <c r="L1870" s="7" t="s">
        <v>2944</v>
      </c>
      <c r="M1870" s="8">
        <v>4036115</v>
      </c>
      <c r="N1870" s="8" t="str">
        <f t="shared" si="146"/>
        <v>PEN</v>
      </c>
      <c r="O1870" s="13">
        <v>268.2</v>
      </c>
      <c r="P1870" s="13"/>
      <c r="Q1870" s="3">
        <f t="shared" si="147"/>
        <v>0</v>
      </c>
      <c r="R1870" s="3">
        <f t="shared" si="148"/>
        <v>0</v>
      </c>
      <c r="S1870" s="3">
        <f t="shared" si="149"/>
        <v>95533.840000000011</v>
      </c>
      <c r="T1870" s="24"/>
      <c r="U1870" s="24" t="s">
        <v>1081</v>
      </c>
      <c r="V1870" s="67"/>
      <c r="W1870" s="25">
        <f>IFERROR(VLOOKUP(BCP_Soles[[#This Row],[DESTINATARIO]],CHOOSE({1,2},Clientes_Proveedores[Razon Social],Clientes_Proveedores[Ruc / Dni]),2,0),"")</f>
        <v>20454186002</v>
      </c>
      <c r="X1870" s="25"/>
      <c r="Y1870" s="25"/>
      <c r="Z1870" s="25"/>
      <c r="AA1870" s="99"/>
      <c r="AB1870" s="3" t="str">
        <f>IF(BCP_Soles[[#This Row],[FECHA]]&gt;0,TEXT(BCP_Soles[[#This Row],[FECHA]],"mmmm"),0)</f>
        <v>Mayo</v>
      </c>
    </row>
    <row r="1871" spans="2:28" x14ac:dyDescent="0.3">
      <c r="B1871" s="2">
        <f>IF(BCP_Soles[[#This Row],[TIPO DE R.]]="R",COUNTIFS($D$4:$D1870,"R")+1,"")</f>
        <v>1447</v>
      </c>
      <c r="C1871" s="19" t="str">
        <f t="shared" si="145"/>
        <v>B-BCP - Soles</v>
      </c>
      <c r="D1871" s="3" t="s">
        <v>1074</v>
      </c>
      <c r="E1871" s="14">
        <v>45807</v>
      </c>
      <c r="F1871" s="5" t="s">
        <v>1996</v>
      </c>
      <c r="G1871" s="5" t="s">
        <v>1079</v>
      </c>
      <c r="H1871" s="6"/>
      <c r="I1871" s="6"/>
      <c r="J1871" s="6"/>
      <c r="K1871" s="6"/>
      <c r="L1871" s="7" t="s">
        <v>2946</v>
      </c>
      <c r="M1871" s="8">
        <v>1006415</v>
      </c>
      <c r="N1871" s="8" t="str">
        <f t="shared" si="146"/>
        <v>PEN</v>
      </c>
      <c r="O1871" s="13"/>
      <c r="P1871" s="13">
        <v>866</v>
      </c>
      <c r="Q1871" s="3">
        <f t="shared" si="147"/>
        <v>0</v>
      </c>
      <c r="R1871" s="3">
        <f t="shared" si="148"/>
        <v>866</v>
      </c>
      <c r="S1871" s="3">
        <f t="shared" si="149"/>
        <v>94667.840000000011</v>
      </c>
      <c r="T1871" s="24"/>
      <c r="U1871" s="24"/>
      <c r="V1871" s="67"/>
      <c r="W1871" s="25" t="str">
        <f>IFERROR(VLOOKUP(BCP_Soles[[#This Row],[DESTINATARIO]],CHOOSE({1,2},Clientes_Proveedores[Razon Social],Clientes_Proveedores[Ruc / Dni]),2,0),"")</f>
        <v/>
      </c>
      <c r="X1871" s="25" t="s">
        <v>2386</v>
      </c>
      <c r="Y1871" s="25"/>
      <c r="Z1871" s="25"/>
      <c r="AA1871" s="99"/>
      <c r="AB1871" s="3" t="str">
        <f>IF(BCP_Soles[[#This Row],[FECHA]]&gt;0,TEXT(BCP_Soles[[#This Row],[FECHA]],"mmmm"),0)</f>
        <v>Mayo</v>
      </c>
    </row>
    <row r="1872" spans="2:28" ht="36" x14ac:dyDescent="0.3">
      <c r="B1872" s="2">
        <f>IF(BCP_Soles[[#This Row],[TIPO DE R.]]="R",COUNTIFS($D$4:$D1871,"R")+1,"")</f>
        <v>1448</v>
      </c>
      <c r="C1872" s="19" t="str">
        <f t="shared" si="145"/>
        <v>B-BCP - Soles</v>
      </c>
      <c r="D1872" s="3" t="s">
        <v>1074</v>
      </c>
      <c r="E1872" s="14">
        <v>45807</v>
      </c>
      <c r="F1872" s="5" t="s">
        <v>1082</v>
      </c>
      <c r="G1872" s="5" t="s">
        <v>1079</v>
      </c>
      <c r="H1872" s="6"/>
      <c r="I1872" s="6"/>
      <c r="J1872" s="6"/>
      <c r="K1872" s="6"/>
      <c r="L1872" s="7" t="s">
        <v>2947</v>
      </c>
      <c r="M1872" s="8">
        <v>1349267</v>
      </c>
      <c r="N1872" s="8" t="str">
        <f t="shared" si="146"/>
        <v>PEN</v>
      </c>
      <c r="O1872" s="13"/>
      <c r="P1872" s="13">
        <v>888</v>
      </c>
      <c r="Q1872" s="3">
        <f t="shared" si="147"/>
        <v>0</v>
      </c>
      <c r="R1872" s="3">
        <f t="shared" si="148"/>
        <v>888</v>
      </c>
      <c r="S1872" s="3">
        <f t="shared" si="149"/>
        <v>93779.840000000011</v>
      </c>
      <c r="T1872" s="24" t="s">
        <v>1081</v>
      </c>
      <c r="U1872" s="24" t="s">
        <v>1081</v>
      </c>
      <c r="V1872" s="67"/>
      <c r="W1872" s="25" t="str">
        <f>IFERROR(VLOOKUP(BCP_Soles[[#This Row],[DESTINATARIO]],CHOOSE({1,2},Clientes_Proveedores[Razon Social],Clientes_Proveedores[Ruc / Dni]),2,0),"")</f>
        <v/>
      </c>
      <c r="X1872" s="25" t="s">
        <v>76</v>
      </c>
      <c r="Y1872" s="25" t="s">
        <v>2948</v>
      </c>
      <c r="Z1872" s="25"/>
      <c r="AA1872" s="99"/>
      <c r="AB1872" s="3" t="str">
        <f>IF(BCP_Soles[[#This Row],[FECHA]]&gt;0,TEXT(BCP_Soles[[#This Row],[FECHA]],"mmmm"),0)</f>
        <v>Mayo</v>
      </c>
    </row>
    <row r="1873" spans="2:28" x14ac:dyDescent="0.3">
      <c r="B1873" s="2">
        <f>IF(BCP_Soles[[#This Row],[TIPO DE R.]]="R",COUNTIFS($D$4:$D1872,"R")+1,"")</f>
        <v>1449</v>
      </c>
      <c r="C1873" s="19" t="str">
        <f t="shared" si="145"/>
        <v>B-BCP - Soles</v>
      </c>
      <c r="D1873" s="3" t="s">
        <v>1074</v>
      </c>
      <c r="E1873" s="14">
        <v>45807</v>
      </c>
      <c r="F1873" s="5" t="s">
        <v>1082</v>
      </c>
      <c r="G1873" s="5" t="s">
        <v>1079</v>
      </c>
      <c r="H1873" s="6" t="s">
        <v>638</v>
      </c>
      <c r="I1873" s="6"/>
      <c r="J1873" s="6"/>
      <c r="K1873" s="6"/>
      <c r="L1873" s="7" t="s">
        <v>2949</v>
      </c>
      <c r="M1873" s="8">
        <v>2339481</v>
      </c>
      <c r="N1873" s="8" t="str">
        <f t="shared" si="146"/>
        <v>PEN</v>
      </c>
      <c r="O1873" s="13"/>
      <c r="P1873" s="13">
        <v>3667.8</v>
      </c>
      <c r="Q1873" s="3">
        <f t="shared" si="147"/>
        <v>0</v>
      </c>
      <c r="R1873" s="3">
        <f t="shared" si="148"/>
        <v>3667.8</v>
      </c>
      <c r="S1873" s="3">
        <f t="shared" si="149"/>
        <v>90112.040000000008</v>
      </c>
      <c r="T1873" s="24" t="s">
        <v>1081</v>
      </c>
      <c r="U1873" s="24" t="s">
        <v>1081</v>
      </c>
      <c r="V1873" s="67"/>
      <c r="W1873" s="25">
        <f>IFERROR(VLOOKUP(BCP_Soles[[#This Row],[DESTINATARIO]],CHOOSE({1,2},Clientes_Proveedores[Razon Social],Clientes_Proveedores[Ruc / Dni]),2,0),"")</f>
        <v>0</v>
      </c>
      <c r="X1873" s="25" t="s">
        <v>1118</v>
      </c>
      <c r="Y1873" s="25"/>
      <c r="Z1873" s="25"/>
      <c r="AA1873" s="99"/>
      <c r="AB1873" s="3" t="str">
        <f>IF(BCP_Soles[[#This Row],[FECHA]]&gt;0,TEXT(BCP_Soles[[#This Row],[FECHA]],"mmmm"),0)</f>
        <v>Mayo</v>
      </c>
    </row>
    <row r="1874" spans="2:28" ht="36" x14ac:dyDescent="0.3">
      <c r="B1874" s="2" t="str">
        <f>IF(BCP_Soles[[#This Row],[TIPO DE R.]]="R",COUNTIFS($D$4:$D1873,"R")+1,"")</f>
        <v/>
      </c>
      <c r="C1874" s="19" t="str">
        <f t="shared" si="145"/>
        <v>B-BCP - Soles</v>
      </c>
      <c r="D1874" s="3" t="s">
        <v>1101</v>
      </c>
      <c r="E1874" s="14">
        <v>45807</v>
      </c>
      <c r="F1874" s="5" t="s">
        <v>1082</v>
      </c>
      <c r="G1874" s="5"/>
      <c r="H1874" s="6" t="s">
        <v>61</v>
      </c>
      <c r="I1874" s="6"/>
      <c r="J1874" s="6" t="s">
        <v>1121</v>
      </c>
      <c r="K1874" s="6">
        <v>491</v>
      </c>
      <c r="L1874" s="7" t="s">
        <v>2949</v>
      </c>
      <c r="M1874" s="8">
        <v>2339481</v>
      </c>
      <c r="N1874" s="8" t="str">
        <f t="shared" si="146"/>
        <v>PEN</v>
      </c>
      <c r="O1874" s="13">
        <v>453</v>
      </c>
      <c r="P1874" s="13"/>
      <c r="Q1874" s="3">
        <f t="shared" si="147"/>
        <v>0</v>
      </c>
      <c r="R1874" s="3">
        <f t="shared" si="148"/>
        <v>0</v>
      </c>
      <c r="S1874" s="3">
        <f t="shared" si="149"/>
        <v>90112.040000000008</v>
      </c>
      <c r="T1874" s="24"/>
      <c r="U1874" s="24" t="s">
        <v>1081</v>
      </c>
      <c r="V1874" s="67"/>
      <c r="W1874" s="25">
        <f>IFERROR(VLOOKUP(BCP_Soles[[#This Row],[DESTINATARIO]],CHOOSE({1,2},Clientes_Proveedores[Razon Social],Clientes_Proveedores[Ruc / Dni]),2,0),"")</f>
        <v>10295492908</v>
      </c>
      <c r="X1874" s="25"/>
      <c r="Y1874" s="25"/>
      <c r="Z1874" s="25"/>
      <c r="AA1874" s="99"/>
      <c r="AB1874" s="3" t="str">
        <f>IF(BCP_Soles[[#This Row],[FECHA]]&gt;0,TEXT(BCP_Soles[[#This Row],[FECHA]],"mmmm"),0)</f>
        <v>Mayo</v>
      </c>
    </row>
    <row r="1875" spans="2:28" ht="36" x14ac:dyDescent="0.3">
      <c r="B1875" s="2" t="str">
        <f>IF(BCP_Soles[[#This Row],[TIPO DE R.]]="R",COUNTIFS($D$4:$D1874,"R")+1,"")</f>
        <v/>
      </c>
      <c r="C1875" s="19" t="str">
        <f t="shared" si="145"/>
        <v>B-BCP - Soles</v>
      </c>
      <c r="D1875" s="3" t="s">
        <v>1101</v>
      </c>
      <c r="E1875" s="14">
        <v>45807</v>
      </c>
      <c r="F1875" s="5" t="s">
        <v>1082</v>
      </c>
      <c r="G1875" s="5"/>
      <c r="H1875" s="6" t="s">
        <v>417</v>
      </c>
      <c r="I1875" s="6"/>
      <c r="J1875" s="6" t="s">
        <v>1121</v>
      </c>
      <c r="K1875" s="6">
        <v>767</v>
      </c>
      <c r="L1875" s="7" t="s">
        <v>2949</v>
      </c>
      <c r="M1875" s="8">
        <v>2339481</v>
      </c>
      <c r="N1875" s="8" t="str">
        <f t="shared" si="146"/>
        <v>PEN</v>
      </c>
      <c r="O1875" s="13">
        <v>672</v>
      </c>
      <c r="P1875" s="13"/>
      <c r="Q1875" s="3">
        <f t="shared" si="147"/>
        <v>0</v>
      </c>
      <c r="R1875" s="3">
        <f t="shared" si="148"/>
        <v>0</v>
      </c>
      <c r="S1875" s="3">
        <f t="shared" si="149"/>
        <v>90112.040000000008</v>
      </c>
      <c r="T1875" s="24"/>
      <c r="U1875" s="24" t="s">
        <v>1081</v>
      </c>
      <c r="V1875" s="67"/>
      <c r="W1875" s="25">
        <f>IFERROR(VLOOKUP(BCP_Soles[[#This Row],[DESTINATARIO]],CHOOSE({1,2},Clientes_Proveedores[Razon Social],Clientes_Proveedores[Ruc / Dni]),2,0),"")</f>
        <v>20602075177</v>
      </c>
      <c r="X1875" s="25"/>
      <c r="Y1875" s="25"/>
      <c r="Z1875" s="25"/>
      <c r="AA1875" s="99"/>
      <c r="AB1875" s="3" t="str">
        <f>IF(BCP_Soles[[#This Row],[FECHA]]&gt;0,TEXT(BCP_Soles[[#This Row],[FECHA]],"mmmm"),0)</f>
        <v>Mayo</v>
      </c>
    </row>
    <row r="1876" spans="2:28" ht="36" x14ac:dyDescent="0.3">
      <c r="B1876" s="2" t="str">
        <f>IF(BCP_Soles[[#This Row],[TIPO DE R.]]="R",COUNTIFS($D$4:$D1875,"R")+1,"")</f>
        <v/>
      </c>
      <c r="C1876" s="19" t="str">
        <f t="shared" si="145"/>
        <v>B-BCP - Soles</v>
      </c>
      <c r="D1876" s="3" t="s">
        <v>1101</v>
      </c>
      <c r="E1876" s="14">
        <v>45807</v>
      </c>
      <c r="F1876" s="5" t="s">
        <v>1082</v>
      </c>
      <c r="G1876" s="5"/>
      <c r="H1876" s="6" t="s">
        <v>97</v>
      </c>
      <c r="I1876" s="6"/>
      <c r="J1876" s="6" t="s">
        <v>1121</v>
      </c>
      <c r="K1876" s="6">
        <v>400</v>
      </c>
      <c r="L1876" s="7" t="s">
        <v>2949</v>
      </c>
      <c r="M1876" s="8">
        <v>2339481</v>
      </c>
      <c r="N1876" s="8" t="str">
        <f t="shared" si="146"/>
        <v>PEN</v>
      </c>
      <c r="O1876" s="13">
        <v>290</v>
      </c>
      <c r="P1876" s="13"/>
      <c r="Q1876" s="3">
        <f t="shared" si="147"/>
        <v>0</v>
      </c>
      <c r="R1876" s="3">
        <f t="shared" si="148"/>
        <v>0</v>
      </c>
      <c r="S1876" s="3">
        <f t="shared" si="149"/>
        <v>90112.040000000008</v>
      </c>
      <c r="T1876" s="24"/>
      <c r="U1876" s="24" t="s">
        <v>1081</v>
      </c>
      <c r="V1876" s="67"/>
      <c r="W1876" s="25">
        <f>IFERROR(VLOOKUP(BCP_Soles[[#This Row],[DESTINATARIO]],CHOOSE({1,2},Clientes_Proveedores[Razon Social],Clientes_Proveedores[Ruc / Dni]),2,0),"")</f>
        <v>10405211179</v>
      </c>
      <c r="X1876" s="25"/>
      <c r="Y1876" s="25"/>
      <c r="Z1876" s="25"/>
      <c r="AA1876" s="99"/>
      <c r="AB1876" s="3" t="str">
        <f>IF(BCP_Soles[[#This Row],[FECHA]]&gt;0,TEXT(BCP_Soles[[#This Row],[FECHA]],"mmmm"),0)</f>
        <v>Mayo</v>
      </c>
    </row>
    <row r="1877" spans="2:28" ht="36" x14ac:dyDescent="0.3">
      <c r="B1877" s="2" t="str">
        <f>IF(BCP_Soles[[#This Row],[TIPO DE R.]]="R",COUNTIFS($D$4:$D1876,"R")+1,"")</f>
        <v/>
      </c>
      <c r="C1877" s="19" t="str">
        <f t="shared" si="145"/>
        <v>B-BCP - Soles</v>
      </c>
      <c r="D1877" s="3" t="s">
        <v>1101</v>
      </c>
      <c r="E1877" s="14">
        <v>45807</v>
      </c>
      <c r="F1877" s="5" t="s">
        <v>1082</v>
      </c>
      <c r="G1877" s="5"/>
      <c r="H1877" s="6" t="s">
        <v>220</v>
      </c>
      <c r="I1877" s="6"/>
      <c r="J1877" s="6" t="s">
        <v>1148</v>
      </c>
      <c r="K1877" s="6">
        <v>1754</v>
      </c>
      <c r="L1877" s="7" t="s">
        <v>2949</v>
      </c>
      <c r="M1877" s="8">
        <v>2339481</v>
      </c>
      <c r="N1877" s="8" t="str">
        <f t="shared" si="146"/>
        <v>PEN</v>
      </c>
      <c r="O1877" s="13">
        <v>1728</v>
      </c>
      <c r="P1877" s="13"/>
      <c r="Q1877" s="3">
        <f t="shared" si="147"/>
        <v>0</v>
      </c>
      <c r="R1877" s="3">
        <f t="shared" si="148"/>
        <v>0</v>
      </c>
      <c r="S1877" s="3">
        <f t="shared" si="149"/>
        <v>90112.040000000008</v>
      </c>
      <c r="T1877" s="24"/>
      <c r="U1877" s="24" t="s">
        <v>1081</v>
      </c>
      <c r="V1877" s="67"/>
      <c r="W1877" s="25">
        <f>IFERROR(VLOOKUP(BCP_Soles[[#This Row],[DESTINATARIO]],CHOOSE({1,2},Clientes_Proveedores[Razon Social],Clientes_Proveedores[Ruc / Dni]),2,0),"")</f>
        <v>20429640939</v>
      </c>
      <c r="X1877" s="25"/>
      <c r="Y1877" s="25"/>
      <c r="Z1877" s="25"/>
      <c r="AA1877" s="99"/>
      <c r="AB1877" s="3" t="str">
        <f>IF(BCP_Soles[[#This Row],[FECHA]]&gt;0,TEXT(BCP_Soles[[#This Row],[FECHA]],"mmmm"),0)</f>
        <v>Mayo</v>
      </c>
    </row>
    <row r="1878" spans="2:28" ht="24" x14ac:dyDescent="0.3">
      <c r="B1878" s="2" t="str">
        <f>IF(BCP_Soles[[#This Row],[TIPO DE R.]]="R",COUNTIFS($D$4:$D1877,"R")+1,"")</f>
        <v/>
      </c>
      <c r="C1878" s="19" t="str">
        <f t="shared" si="145"/>
        <v>B-BCP - Soles</v>
      </c>
      <c r="D1878" s="3" t="s">
        <v>1101</v>
      </c>
      <c r="E1878" s="14">
        <v>45807</v>
      </c>
      <c r="F1878" s="5" t="s">
        <v>1082</v>
      </c>
      <c r="G1878" s="5"/>
      <c r="H1878" s="6" t="s">
        <v>130</v>
      </c>
      <c r="I1878" s="6"/>
      <c r="J1878" s="6" t="s">
        <v>1121</v>
      </c>
      <c r="K1878" s="6">
        <v>439</v>
      </c>
      <c r="L1878" s="7" t="s">
        <v>2949</v>
      </c>
      <c r="M1878" s="8">
        <v>2339481</v>
      </c>
      <c r="N1878" s="8" t="str">
        <f t="shared" si="146"/>
        <v>PEN</v>
      </c>
      <c r="O1878" s="13">
        <v>100</v>
      </c>
      <c r="P1878" s="13"/>
      <c r="Q1878" s="3">
        <f t="shared" si="147"/>
        <v>0</v>
      </c>
      <c r="R1878" s="3">
        <f t="shared" si="148"/>
        <v>0</v>
      </c>
      <c r="S1878" s="3">
        <f t="shared" si="149"/>
        <v>90112.040000000008</v>
      </c>
      <c r="T1878" s="24"/>
      <c r="U1878" s="24" t="s">
        <v>1081</v>
      </c>
      <c r="V1878" s="67"/>
      <c r="W1878" s="25">
        <f>IFERROR(VLOOKUP(BCP_Soles[[#This Row],[DESTINATARIO]],CHOOSE({1,2},Clientes_Proveedores[Razon Social],Clientes_Proveedores[Ruc / Dni]),2,0),"")</f>
        <v>10706063426</v>
      </c>
      <c r="X1878" s="25"/>
      <c r="Y1878" s="25"/>
      <c r="Z1878" s="25"/>
      <c r="AA1878" s="99"/>
      <c r="AB1878" s="3" t="str">
        <f>IF(BCP_Soles[[#This Row],[FECHA]]&gt;0,TEXT(BCP_Soles[[#This Row],[FECHA]],"mmmm"),0)</f>
        <v>Mayo</v>
      </c>
    </row>
    <row r="1879" spans="2:28" x14ac:dyDescent="0.3">
      <c r="B1879" s="2" t="str">
        <f>IF(BCP_Soles[[#This Row],[TIPO DE R.]]="R",COUNTIFS($D$4:$D1878,"R")+1,"")</f>
        <v/>
      </c>
      <c r="C1879" s="19" t="str">
        <f t="shared" si="145"/>
        <v>B-BCP - Soles</v>
      </c>
      <c r="D1879" s="3" t="s">
        <v>1101</v>
      </c>
      <c r="E1879" s="14">
        <v>45807</v>
      </c>
      <c r="F1879" s="5" t="s">
        <v>1082</v>
      </c>
      <c r="G1879" s="5"/>
      <c r="H1879" s="6" t="s">
        <v>229</v>
      </c>
      <c r="I1879" s="6"/>
      <c r="J1879" s="6" t="s">
        <v>1429</v>
      </c>
      <c r="K1879" s="6">
        <v>1700</v>
      </c>
      <c r="L1879" s="7" t="s">
        <v>2949</v>
      </c>
      <c r="M1879" s="8">
        <v>2339481</v>
      </c>
      <c r="N1879" s="8" t="str">
        <f t="shared" si="146"/>
        <v>PEN</v>
      </c>
      <c r="O1879" s="13">
        <v>258</v>
      </c>
      <c r="P1879" s="13"/>
      <c r="Q1879" s="3">
        <f t="shared" si="147"/>
        <v>0</v>
      </c>
      <c r="R1879" s="3">
        <f t="shared" si="148"/>
        <v>0</v>
      </c>
      <c r="S1879" s="3">
        <f t="shared" si="149"/>
        <v>90112.040000000008</v>
      </c>
      <c r="T1879" s="24"/>
      <c r="U1879" s="24" t="s">
        <v>1081</v>
      </c>
      <c r="V1879" s="67"/>
      <c r="W1879" s="25">
        <f>IFERROR(VLOOKUP(BCP_Soles[[#This Row],[DESTINATARIO]],CHOOSE({1,2},Clientes_Proveedores[Razon Social],Clientes_Proveedores[Ruc / Dni]),2,0),"")</f>
        <v>20454186002</v>
      </c>
      <c r="X1879" s="25"/>
      <c r="Y1879" s="25"/>
      <c r="Z1879" s="25"/>
      <c r="AA1879" s="99"/>
      <c r="AB1879" s="3" t="str">
        <f>IF(BCP_Soles[[#This Row],[FECHA]]&gt;0,TEXT(BCP_Soles[[#This Row],[FECHA]],"mmmm"),0)</f>
        <v>Mayo</v>
      </c>
    </row>
    <row r="1880" spans="2:28" x14ac:dyDescent="0.3">
      <c r="B1880" s="2" t="str">
        <f>IF(BCP_Soles[[#This Row],[TIPO DE R.]]="R",COUNTIFS($D$4:$D1879,"R")+1,"")</f>
        <v/>
      </c>
      <c r="C1880" s="19" t="str">
        <f t="shared" si="145"/>
        <v>B-BCP - Soles</v>
      </c>
      <c r="D1880" s="3" t="s">
        <v>1101</v>
      </c>
      <c r="E1880" s="14">
        <v>45807</v>
      </c>
      <c r="F1880" s="5" t="s">
        <v>1082</v>
      </c>
      <c r="G1880" s="5"/>
      <c r="H1880" s="6" t="s">
        <v>229</v>
      </c>
      <c r="I1880" s="6"/>
      <c r="J1880" s="6" t="s">
        <v>1429</v>
      </c>
      <c r="K1880" s="6">
        <v>1701</v>
      </c>
      <c r="L1880" s="7" t="s">
        <v>2949</v>
      </c>
      <c r="M1880" s="8">
        <v>2339481</v>
      </c>
      <c r="N1880" s="8" t="str">
        <f t="shared" si="146"/>
        <v>PEN</v>
      </c>
      <c r="O1880" s="13">
        <v>166.8</v>
      </c>
      <c r="P1880" s="13"/>
      <c r="Q1880" s="3">
        <f t="shared" si="147"/>
        <v>0</v>
      </c>
      <c r="R1880" s="3">
        <f t="shared" si="148"/>
        <v>0</v>
      </c>
      <c r="S1880" s="3">
        <f t="shared" si="149"/>
        <v>90112.040000000008</v>
      </c>
      <c r="T1880" s="24"/>
      <c r="U1880" s="24" t="s">
        <v>1081</v>
      </c>
      <c r="V1880" s="67"/>
      <c r="W1880" s="25">
        <f>IFERROR(VLOOKUP(BCP_Soles[[#This Row],[DESTINATARIO]],CHOOSE({1,2},Clientes_Proveedores[Razon Social],Clientes_Proveedores[Ruc / Dni]),2,0),"")</f>
        <v>20454186002</v>
      </c>
      <c r="X1880" s="25"/>
      <c r="Y1880" s="25"/>
      <c r="Z1880" s="25"/>
      <c r="AA1880" s="99"/>
      <c r="AB1880" s="3" t="str">
        <f>IF(BCP_Soles[[#This Row],[FECHA]]&gt;0,TEXT(BCP_Soles[[#This Row],[FECHA]],"mmmm"),0)</f>
        <v>Mayo</v>
      </c>
    </row>
    <row r="1881" spans="2:28" x14ac:dyDescent="0.3">
      <c r="B1881" s="2">
        <f>IF(BCP_Soles[[#This Row],[TIPO DE R.]]="R",COUNTIFS($D$4:$D1880,"R")+1,"")</f>
        <v>1450</v>
      </c>
      <c r="C1881" s="19" t="str">
        <f t="shared" si="145"/>
        <v>B-BCP - Soles</v>
      </c>
      <c r="D1881" s="3" t="s">
        <v>1074</v>
      </c>
      <c r="E1881" s="14">
        <v>45807</v>
      </c>
      <c r="F1881" s="5" t="s">
        <v>1158</v>
      </c>
      <c r="G1881" s="5" t="s">
        <v>1079</v>
      </c>
      <c r="H1881" s="6" t="s">
        <v>638</v>
      </c>
      <c r="I1881" s="6"/>
      <c r="J1881" s="6"/>
      <c r="K1881" s="6"/>
      <c r="L1881" s="7" t="s">
        <v>2950</v>
      </c>
      <c r="M1881" s="8">
        <v>2339449</v>
      </c>
      <c r="N1881" s="8" t="str">
        <f t="shared" si="146"/>
        <v>PEN</v>
      </c>
      <c r="O1881" s="13"/>
      <c r="P1881" s="13">
        <v>79406.84</v>
      </c>
      <c r="Q1881" s="3">
        <f t="shared" si="147"/>
        <v>0</v>
      </c>
      <c r="R1881" s="3">
        <f t="shared" si="148"/>
        <v>79406.84</v>
      </c>
      <c r="S1881" s="3">
        <f t="shared" si="149"/>
        <v>10705.200000000012</v>
      </c>
      <c r="T1881" s="24"/>
      <c r="U1881" s="24"/>
      <c r="V1881" s="67"/>
      <c r="W1881" s="25">
        <f>IFERROR(VLOOKUP(BCP_Soles[[#This Row],[DESTINATARIO]],CHOOSE({1,2},Clientes_Proveedores[Razon Social],Clientes_Proveedores[Ruc / Dni]),2,0),"")</f>
        <v>0</v>
      </c>
      <c r="X1881" s="25" t="s">
        <v>1118</v>
      </c>
      <c r="Y1881" s="25"/>
      <c r="Z1881" s="25"/>
      <c r="AA1881" s="99"/>
      <c r="AB1881" s="3" t="str">
        <f>IF(BCP_Soles[[#This Row],[FECHA]]&gt;0,TEXT(BCP_Soles[[#This Row],[FECHA]],"mmmm"),0)</f>
        <v>Mayo</v>
      </c>
    </row>
    <row r="1882" spans="2:28" ht="36" x14ac:dyDescent="0.3">
      <c r="B1882" s="2">
        <f>IF(BCP_Soles[[#This Row],[TIPO DE R.]]="R",COUNTIFS($D$4:$D1881,"R")+1,"")</f>
        <v>1451</v>
      </c>
      <c r="C1882" s="19" t="str">
        <f t="shared" si="145"/>
        <v>B-BCP - Soles</v>
      </c>
      <c r="D1882" s="3" t="s">
        <v>1074</v>
      </c>
      <c r="E1882" s="14">
        <v>45808</v>
      </c>
      <c r="F1882" s="5" t="s">
        <v>204</v>
      </c>
      <c r="G1882" s="5" t="s">
        <v>1087</v>
      </c>
      <c r="H1882" s="6"/>
      <c r="I1882" s="6"/>
      <c r="J1882" s="6"/>
      <c r="K1882" s="6"/>
      <c r="L1882" s="7" t="s">
        <v>2951</v>
      </c>
      <c r="M1882" s="8">
        <v>2839373</v>
      </c>
      <c r="N1882" s="8" t="str">
        <f t="shared" si="146"/>
        <v>PEN</v>
      </c>
      <c r="O1882" s="13"/>
      <c r="P1882" s="13">
        <v>26112.13</v>
      </c>
      <c r="Q1882" s="3">
        <f t="shared" si="147"/>
        <v>26112.13</v>
      </c>
      <c r="R1882" s="3">
        <f t="shared" si="148"/>
        <v>0</v>
      </c>
      <c r="S1882" s="3">
        <f t="shared" si="149"/>
        <v>36817.330000000016</v>
      </c>
      <c r="T1882" s="24" t="s">
        <v>1081</v>
      </c>
      <c r="U1882" s="24" t="s">
        <v>1081</v>
      </c>
      <c r="V1882" s="67"/>
      <c r="W1882" s="25" t="str">
        <f>IFERROR(VLOOKUP(BCP_Soles[[#This Row],[DESTINATARIO]],CHOOSE({1,2},Clientes_Proveedores[Razon Social],Clientes_Proveedores[Ruc / Dni]),2,0),"")</f>
        <v/>
      </c>
      <c r="X1882" s="25" t="s">
        <v>1090</v>
      </c>
      <c r="Y1882" s="25" t="s">
        <v>2952</v>
      </c>
      <c r="Z1882" s="25"/>
      <c r="AA1882" s="99"/>
      <c r="AB1882" s="3" t="str">
        <f>IF(BCP_Soles[[#This Row],[FECHA]]&gt;0,TEXT(BCP_Soles[[#This Row],[FECHA]],"mmmm"),0)</f>
        <v>Mayo</v>
      </c>
    </row>
    <row r="1883" spans="2:28" x14ac:dyDescent="0.3">
      <c r="B1883" s="2">
        <f>IF(BCP_Soles[[#This Row],[TIPO DE R.]]="R",COUNTIFS($D$4:$D1882,"R")+1,"")</f>
        <v>1452</v>
      </c>
      <c r="C1883" s="19" t="str">
        <f t="shared" si="145"/>
        <v>B-BCP - Soles</v>
      </c>
      <c r="D1883" s="3" t="s">
        <v>1074</v>
      </c>
      <c r="E1883" s="14">
        <v>45808</v>
      </c>
      <c r="F1883" s="5" t="s">
        <v>1078</v>
      </c>
      <c r="G1883" s="5" t="s">
        <v>1079</v>
      </c>
      <c r="H1883" s="6"/>
      <c r="I1883" s="6"/>
      <c r="J1883" s="6"/>
      <c r="K1883" s="6"/>
      <c r="L1883" s="7" t="s">
        <v>2868</v>
      </c>
      <c r="M1883" s="8"/>
      <c r="N1883" s="8" t="str">
        <f t="shared" si="146"/>
        <v>PEN</v>
      </c>
      <c r="O1883" s="13"/>
      <c r="P1883" s="13">
        <v>1.3</v>
      </c>
      <c r="Q1883" s="3">
        <f t="shared" si="147"/>
        <v>0</v>
      </c>
      <c r="R1883" s="3">
        <f t="shared" si="148"/>
        <v>1.3</v>
      </c>
      <c r="S1883" s="3">
        <f t="shared" si="149"/>
        <v>36816.030000000013</v>
      </c>
      <c r="T1883" s="24"/>
      <c r="U1883" s="24"/>
      <c r="V1883" s="67"/>
      <c r="W1883" s="25" t="str">
        <f>IFERROR(VLOOKUP(BCP_Soles[[#This Row],[DESTINATARIO]],CHOOSE({1,2},Clientes_Proveedores[Razon Social],Clientes_Proveedores[Ruc / Dni]),2,0),"")</f>
        <v/>
      </c>
      <c r="X1883" s="25"/>
      <c r="Y1883" s="25"/>
      <c r="Z1883" s="25"/>
      <c r="AA1883" s="99"/>
      <c r="AB1883" s="3" t="str">
        <f>IF(BCP_Soles[[#This Row],[FECHA]]&gt;0,TEXT(BCP_Soles[[#This Row],[FECHA]],"mmmm"),0)</f>
        <v>Mayo</v>
      </c>
    </row>
    <row r="1884" spans="2:28" ht="24" x14ac:dyDescent="0.3">
      <c r="B1884" s="2">
        <f>IF(BCP_Soles[[#This Row],[TIPO DE R.]]="R",COUNTIFS($D$4:$D1883,"R")+1,"")</f>
        <v>1453</v>
      </c>
      <c r="C1884" s="19" t="str">
        <f t="shared" si="145"/>
        <v>B-BCP - Soles</v>
      </c>
      <c r="D1884" s="3" t="s">
        <v>1074</v>
      </c>
      <c r="E1884" s="14">
        <v>45808</v>
      </c>
      <c r="F1884" s="5" t="s">
        <v>1078</v>
      </c>
      <c r="G1884" s="5" t="s">
        <v>1079</v>
      </c>
      <c r="H1884" s="6" t="s">
        <v>1001</v>
      </c>
      <c r="I1884" s="6"/>
      <c r="J1884" s="6"/>
      <c r="K1884" s="6"/>
      <c r="L1884" s="7" t="s">
        <v>1495</v>
      </c>
      <c r="M1884" s="8">
        <v>973953</v>
      </c>
      <c r="N1884" s="8" t="str">
        <f t="shared" si="146"/>
        <v>PEN</v>
      </c>
      <c r="O1884" s="13"/>
      <c r="P1884" s="13">
        <v>5.5</v>
      </c>
      <c r="Q1884" s="3">
        <f t="shared" si="147"/>
        <v>0</v>
      </c>
      <c r="R1884" s="3">
        <f t="shared" si="148"/>
        <v>5.5</v>
      </c>
      <c r="S1884" s="3">
        <f t="shared" si="149"/>
        <v>36810.530000000013</v>
      </c>
      <c r="T1884" s="24"/>
      <c r="U1884" s="24"/>
      <c r="V1884" s="67"/>
      <c r="W1884" s="25">
        <f>IFERROR(VLOOKUP(BCP_Soles[[#This Row],[DESTINATARIO]],CHOOSE({1,2},Clientes_Proveedores[Razon Social],Clientes_Proveedores[Ruc / Dni]),2,0),"")</f>
        <v>20100047218</v>
      </c>
      <c r="X1884" s="25" t="s">
        <v>1078</v>
      </c>
      <c r="Y1884" s="25"/>
      <c r="Z1884" s="25"/>
      <c r="AA1884" s="99"/>
      <c r="AB1884" s="3" t="str">
        <f>IF(BCP_Soles[[#This Row],[FECHA]]&gt;0,TEXT(BCP_Soles[[#This Row],[FECHA]],"mmmm"),0)</f>
        <v>Mayo</v>
      </c>
    </row>
    <row r="1885" spans="2:28" ht="24" x14ac:dyDescent="0.3">
      <c r="B1885" s="2">
        <f>IF(BCP_Soles[[#This Row],[TIPO DE R.]]="R",COUNTIFS($D$4:$D1884,"R")+1,"")</f>
        <v>1454</v>
      </c>
      <c r="C1885" s="19" t="str">
        <f t="shared" si="145"/>
        <v>B-BCP - Soles</v>
      </c>
      <c r="D1885" s="3" t="s">
        <v>1074</v>
      </c>
      <c r="E1885" s="14">
        <v>45808</v>
      </c>
      <c r="F1885" s="5" t="s">
        <v>1078</v>
      </c>
      <c r="G1885" s="5" t="s">
        <v>1079</v>
      </c>
      <c r="H1885" s="6" t="s">
        <v>1001</v>
      </c>
      <c r="I1885" s="6"/>
      <c r="J1885" s="6"/>
      <c r="K1885" s="6"/>
      <c r="L1885" s="7" t="s">
        <v>1493</v>
      </c>
      <c r="M1885" s="8"/>
      <c r="N1885" s="8" t="str">
        <f t="shared" si="146"/>
        <v>PEN</v>
      </c>
      <c r="O1885" s="13"/>
      <c r="P1885" s="13">
        <v>35</v>
      </c>
      <c r="Q1885" s="3">
        <f t="shared" si="147"/>
        <v>0</v>
      </c>
      <c r="R1885" s="3">
        <f t="shared" si="148"/>
        <v>35</v>
      </c>
      <c r="S1885" s="3">
        <f t="shared" si="149"/>
        <v>36775.530000000013</v>
      </c>
      <c r="T1885" s="24"/>
      <c r="U1885" s="24"/>
      <c r="V1885" s="67"/>
      <c r="W1885" s="25">
        <f>IFERROR(VLOOKUP(BCP_Soles[[#This Row],[DESTINATARIO]],CHOOSE({1,2},Clientes_Proveedores[Razon Social],Clientes_Proveedores[Ruc / Dni]),2,0),"")</f>
        <v>20100047218</v>
      </c>
      <c r="X1885" s="25" t="s">
        <v>1078</v>
      </c>
      <c r="Y1885" s="25"/>
      <c r="Z1885" s="25"/>
      <c r="AA1885" s="99"/>
      <c r="AB1885" s="3" t="str">
        <f>IF(BCP_Soles[[#This Row],[FECHA]]&gt;0,TEXT(BCP_Soles[[#This Row],[FECHA]],"mmmm"),0)</f>
        <v>Mayo</v>
      </c>
    </row>
    <row r="1886" spans="2:28" x14ac:dyDescent="0.3">
      <c r="B1886" s="2">
        <f>IF(BCP_Soles[[#This Row],[TIPO DE R.]]="R",COUNTIFS($D$4:$D1885,"R")+1,"")</f>
        <v>1455</v>
      </c>
      <c r="C1886" s="19" t="str">
        <f t="shared" si="145"/>
        <v>B-BCP - Soles</v>
      </c>
      <c r="D1886" s="3" t="s">
        <v>1074</v>
      </c>
      <c r="E1886" s="14">
        <v>45810</v>
      </c>
      <c r="F1886" s="5" t="s">
        <v>1239</v>
      </c>
      <c r="G1886" s="5" t="s">
        <v>1087</v>
      </c>
      <c r="H1886" s="6"/>
      <c r="I1886" s="6"/>
      <c r="J1886" s="6"/>
      <c r="K1886" s="6"/>
      <c r="L1886" s="7" t="s">
        <v>1100</v>
      </c>
      <c r="M1886" s="8">
        <v>3873512</v>
      </c>
      <c r="N1886" s="8" t="str">
        <f t="shared" si="146"/>
        <v>PEN</v>
      </c>
      <c r="O1886" s="13"/>
      <c r="P1886" s="13">
        <v>260</v>
      </c>
      <c r="Q1886" s="3">
        <f t="shared" si="147"/>
        <v>260</v>
      </c>
      <c r="R1886" s="3">
        <f t="shared" si="148"/>
        <v>0</v>
      </c>
      <c r="S1886" s="3">
        <f t="shared" si="149"/>
        <v>37035.530000000013</v>
      </c>
      <c r="T1886" s="24" t="s">
        <v>1081</v>
      </c>
      <c r="U1886" s="24" t="s">
        <v>1081</v>
      </c>
      <c r="V1886" s="67"/>
      <c r="W1886" s="25" t="str">
        <f>IFERROR(VLOOKUP(BCP_Soles[[#This Row],[DESTINATARIO]],CHOOSE({1,2},Clientes_Proveedores[Razon Social],Clientes_Proveedores[Ruc / Dni]),2,0),"")</f>
        <v/>
      </c>
      <c r="X1886" s="25" t="s">
        <v>1090</v>
      </c>
      <c r="Y1886" s="25" t="s">
        <v>2953</v>
      </c>
      <c r="Z1886" s="25"/>
      <c r="AA1886" s="99"/>
      <c r="AB1886" s="3" t="str">
        <f>IF(BCP_Soles[[#This Row],[FECHA]]&gt;0,TEXT(BCP_Soles[[#This Row],[FECHA]],"mmmm"),0)</f>
        <v>Junio</v>
      </c>
    </row>
    <row r="1887" spans="2:28" x14ac:dyDescent="0.3">
      <c r="B1887" s="2">
        <f>IF(BCP_Soles[[#This Row],[TIPO DE R.]]="R",COUNTIFS($D$4:$D1886,"R")+1,"")</f>
        <v>1456</v>
      </c>
      <c r="C1887" s="19" t="str">
        <f t="shared" si="145"/>
        <v>B-BCP - Soles</v>
      </c>
      <c r="D1887" s="3" t="s">
        <v>1074</v>
      </c>
      <c r="E1887" s="14">
        <v>45810</v>
      </c>
      <c r="F1887" s="5"/>
      <c r="G1887" s="5" t="s">
        <v>1087</v>
      </c>
      <c r="H1887" s="6"/>
      <c r="I1887" s="6"/>
      <c r="J1887" s="6"/>
      <c r="K1887" s="6"/>
      <c r="L1887" s="7" t="s">
        <v>1100</v>
      </c>
      <c r="M1887" s="8">
        <v>1570066</v>
      </c>
      <c r="N1887" s="8" t="str">
        <f t="shared" si="146"/>
        <v>PEN</v>
      </c>
      <c r="O1887" s="13"/>
      <c r="P1887" s="13">
        <v>136.5</v>
      </c>
      <c r="Q1887" s="3">
        <f t="shared" si="147"/>
        <v>136.5</v>
      </c>
      <c r="R1887" s="3">
        <f t="shared" si="148"/>
        <v>0</v>
      </c>
      <c r="S1887" s="3">
        <f t="shared" si="149"/>
        <v>37172.030000000013</v>
      </c>
      <c r="T1887" s="24" t="s">
        <v>1081</v>
      </c>
      <c r="U1887" s="24" t="s">
        <v>1081</v>
      </c>
      <c r="V1887" s="67"/>
      <c r="W1887" s="25" t="str">
        <f>IFERROR(VLOOKUP(BCP_Soles[[#This Row],[DESTINATARIO]],CHOOSE({1,2},Clientes_Proveedores[Razon Social],Clientes_Proveedores[Ruc / Dni]),2,0),"")</f>
        <v/>
      </c>
      <c r="X1887" s="25" t="s">
        <v>1090</v>
      </c>
      <c r="Y1887" s="25"/>
      <c r="Z1887" s="25"/>
      <c r="AA1887" s="99"/>
      <c r="AB1887" s="3" t="str">
        <f>IF(BCP_Soles[[#This Row],[FECHA]]&gt;0,TEXT(BCP_Soles[[#This Row],[FECHA]],"mmmm"),0)</f>
        <v>Junio</v>
      </c>
    </row>
    <row r="1888" spans="2:28" ht="36" x14ac:dyDescent="0.3">
      <c r="B1888" s="2" t="str">
        <f>IF(BCP_Soles[[#This Row],[TIPO DE R.]]="R",COUNTIFS($D$4:$D1887,"R")+1,"")</f>
        <v/>
      </c>
      <c r="C1888" s="19" t="str">
        <f t="shared" si="145"/>
        <v>B-BCP - Soles</v>
      </c>
      <c r="D1888" s="3" t="s">
        <v>1101</v>
      </c>
      <c r="E1888" s="14">
        <v>45810</v>
      </c>
      <c r="F1888" s="5" t="s">
        <v>1368</v>
      </c>
      <c r="G1888" s="5"/>
      <c r="H1888" s="6"/>
      <c r="I1888" s="6"/>
      <c r="J1888" s="6"/>
      <c r="K1888" s="6"/>
      <c r="L1888" s="7" t="s">
        <v>1100</v>
      </c>
      <c r="M1888" s="8">
        <v>1570066</v>
      </c>
      <c r="N1888" s="8" t="str">
        <f t="shared" si="146"/>
        <v>PEN</v>
      </c>
      <c r="O1888" s="13"/>
      <c r="P1888" s="13">
        <v>49.6</v>
      </c>
      <c r="Q1888" s="3">
        <f t="shared" si="147"/>
        <v>0</v>
      </c>
      <c r="R1888" s="3">
        <f t="shared" si="148"/>
        <v>0</v>
      </c>
      <c r="S1888" s="3">
        <f t="shared" si="149"/>
        <v>37172.030000000013</v>
      </c>
      <c r="T1888" s="24" t="s">
        <v>1081</v>
      </c>
      <c r="U1888" s="24" t="s">
        <v>1081</v>
      </c>
      <c r="V1888" s="67"/>
      <c r="W1888" s="25" t="str">
        <f>IFERROR(VLOOKUP(BCP_Soles[[#This Row],[DESTINATARIO]],CHOOSE({1,2},Clientes_Proveedores[Razon Social],Clientes_Proveedores[Ruc / Dni]),2,0),"")</f>
        <v/>
      </c>
      <c r="X1888" s="25" t="s">
        <v>1090</v>
      </c>
      <c r="Y1888" s="25" t="s">
        <v>2954</v>
      </c>
      <c r="Z1888" s="25"/>
      <c r="AA1888" s="99"/>
      <c r="AB1888" s="3" t="str">
        <f>IF(BCP_Soles[[#This Row],[FECHA]]&gt;0,TEXT(BCP_Soles[[#This Row],[FECHA]],"mmmm"),0)</f>
        <v>Junio</v>
      </c>
    </row>
    <row r="1889" spans="2:28" ht="36" x14ac:dyDescent="0.3">
      <c r="B1889" s="2" t="str">
        <f>IF(BCP_Soles[[#This Row],[TIPO DE R.]]="R",COUNTIFS($D$4:$D1888,"R")+1,"")</f>
        <v/>
      </c>
      <c r="C1889" s="19" t="str">
        <f t="shared" si="145"/>
        <v>B-BCP - Soles</v>
      </c>
      <c r="D1889" s="3" t="s">
        <v>1101</v>
      </c>
      <c r="E1889" s="14">
        <v>45810</v>
      </c>
      <c r="F1889" s="5" t="s">
        <v>1368</v>
      </c>
      <c r="G1889" s="5"/>
      <c r="H1889" s="6"/>
      <c r="I1889" s="6"/>
      <c r="J1889" s="6"/>
      <c r="K1889" s="6"/>
      <c r="L1889" s="7" t="s">
        <v>1100</v>
      </c>
      <c r="M1889" s="8">
        <v>1570066</v>
      </c>
      <c r="N1889" s="8" t="str">
        <f t="shared" si="146"/>
        <v>PEN</v>
      </c>
      <c r="O1889" s="13"/>
      <c r="P1889" s="13">
        <v>86.9</v>
      </c>
      <c r="Q1889" s="3">
        <f t="shared" si="147"/>
        <v>0</v>
      </c>
      <c r="R1889" s="3">
        <f t="shared" si="148"/>
        <v>0</v>
      </c>
      <c r="S1889" s="3">
        <f t="shared" si="149"/>
        <v>37172.030000000013</v>
      </c>
      <c r="T1889" s="24" t="s">
        <v>1081</v>
      </c>
      <c r="U1889" s="24" t="s">
        <v>1081</v>
      </c>
      <c r="V1889" s="67"/>
      <c r="W1889" s="25" t="str">
        <f>IFERROR(VLOOKUP(BCP_Soles[[#This Row],[DESTINATARIO]],CHOOSE({1,2},Clientes_Proveedores[Razon Social],Clientes_Proveedores[Ruc / Dni]),2,0),"")</f>
        <v/>
      </c>
      <c r="X1889" s="25" t="s">
        <v>1090</v>
      </c>
      <c r="Y1889" s="25" t="s">
        <v>2955</v>
      </c>
      <c r="Z1889" s="25"/>
      <c r="AA1889" s="99"/>
      <c r="AB1889" s="3" t="str">
        <f>IF(BCP_Soles[[#This Row],[FECHA]]&gt;0,TEXT(BCP_Soles[[#This Row],[FECHA]],"mmmm"),0)</f>
        <v>Junio</v>
      </c>
    </row>
    <row r="1890" spans="2:28" ht="24" x14ac:dyDescent="0.3">
      <c r="B1890" s="2">
        <f>IF(BCP_Soles[[#This Row],[TIPO DE R.]]="R",COUNTIFS($D$4:$D1889,"R")+1,"")</f>
        <v>1457</v>
      </c>
      <c r="C1890" s="19" t="str">
        <f t="shared" si="145"/>
        <v>B-BCP - Soles</v>
      </c>
      <c r="D1890" s="3" t="s">
        <v>1074</v>
      </c>
      <c r="E1890" s="14">
        <v>45810</v>
      </c>
      <c r="F1890" s="5" t="s">
        <v>608</v>
      </c>
      <c r="G1890" s="5" t="s">
        <v>1087</v>
      </c>
      <c r="H1890" s="6"/>
      <c r="I1890" s="6"/>
      <c r="J1890" s="6"/>
      <c r="K1890" s="6"/>
      <c r="L1890" s="7" t="s">
        <v>2956</v>
      </c>
      <c r="M1890" s="8">
        <v>3437290</v>
      </c>
      <c r="N1890" s="8" t="str">
        <f t="shared" si="146"/>
        <v>PEN</v>
      </c>
      <c r="O1890" s="13"/>
      <c r="P1890" s="13">
        <v>696.11</v>
      </c>
      <c r="Q1890" s="3">
        <f t="shared" si="147"/>
        <v>696.11</v>
      </c>
      <c r="R1890" s="3">
        <f t="shared" si="148"/>
        <v>0</v>
      </c>
      <c r="S1890" s="3">
        <f t="shared" si="149"/>
        <v>37868.140000000014</v>
      </c>
      <c r="T1890" s="24" t="s">
        <v>1081</v>
      </c>
      <c r="U1890" s="24" t="s">
        <v>1081</v>
      </c>
      <c r="V1890" s="67"/>
      <c r="W1890" s="25" t="str">
        <f>IFERROR(VLOOKUP(BCP_Soles[[#This Row],[DESTINATARIO]],CHOOSE({1,2},Clientes_Proveedores[Razon Social],Clientes_Proveedores[Ruc / Dni]),2,0),"")</f>
        <v/>
      </c>
      <c r="X1890" s="25" t="s">
        <v>1090</v>
      </c>
      <c r="Y1890" s="25" t="s">
        <v>2957</v>
      </c>
      <c r="Z1890" s="25"/>
      <c r="AA1890" s="99"/>
      <c r="AB1890" s="3" t="str">
        <f>IF(BCP_Soles[[#This Row],[FECHA]]&gt;0,TEXT(BCP_Soles[[#This Row],[FECHA]],"mmmm"),0)</f>
        <v>Junio</v>
      </c>
    </row>
    <row r="1891" spans="2:28" ht="24" x14ac:dyDescent="0.3">
      <c r="B1891" s="2">
        <f>IF(BCP_Soles[[#This Row],[TIPO DE R.]]="R",COUNTIFS($D$4:$D1890,"R")+1,"")</f>
        <v>1458</v>
      </c>
      <c r="C1891" s="19" t="str">
        <f t="shared" si="145"/>
        <v>B-BCP - Soles</v>
      </c>
      <c r="D1891" s="3" t="s">
        <v>1074</v>
      </c>
      <c r="E1891" s="14">
        <v>45810</v>
      </c>
      <c r="F1891" s="5" t="s">
        <v>1078</v>
      </c>
      <c r="G1891" s="5" t="s">
        <v>1079</v>
      </c>
      <c r="H1891" s="6" t="s">
        <v>1001</v>
      </c>
      <c r="I1891" s="6"/>
      <c r="J1891" s="6"/>
      <c r="K1891" s="6"/>
      <c r="L1891" s="7" t="s">
        <v>2958</v>
      </c>
      <c r="M1891" s="8">
        <v>3351814</v>
      </c>
      <c r="N1891" s="8" t="str">
        <f t="shared" si="146"/>
        <v>PEN</v>
      </c>
      <c r="O1891" s="13"/>
      <c r="P1891" s="13">
        <v>5</v>
      </c>
      <c r="Q1891" s="3">
        <f t="shared" si="147"/>
        <v>0</v>
      </c>
      <c r="R1891" s="3">
        <f t="shared" si="148"/>
        <v>5</v>
      </c>
      <c r="S1891" s="3">
        <f t="shared" si="149"/>
        <v>37863.140000000014</v>
      </c>
      <c r="T1891" s="24"/>
      <c r="U1891" s="24"/>
      <c r="V1891" s="67"/>
      <c r="W1891" s="25">
        <f>IFERROR(VLOOKUP(BCP_Soles[[#This Row],[DESTINATARIO]],CHOOSE({1,2},Clientes_Proveedores[Razon Social],Clientes_Proveedores[Ruc / Dni]),2,0),"")</f>
        <v>20100047218</v>
      </c>
      <c r="X1891" s="25" t="s">
        <v>1078</v>
      </c>
      <c r="Y1891" s="25"/>
      <c r="Z1891" s="25"/>
      <c r="AA1891" s="99"/>
      <c r="AB1891" s="3" t="str">
        <f>IF(BCP_Soles[[#This Row],[FECHA]]&gt;0,TEXT(BCP_Soles[[#This Row],[FECHA]],"mmmm"),0)</f>
        <v>Junio</v>
      </c>
    </row>
    <row r="1892" spans="2:28" ht="24" x14ac:dyDescent="0.3">
      <c r="B1892" s="2">
        <f>IF(BCP_Soles[[#This Row],[TIPO DE R.]]="R",COUNTIFS($D$4:$D1891,"R")+1,"")</f>
        <v>1459</v>
      </c>
      <c r="C1892" s="19" t="str">
        <f t="shared" si="145"/>
        <v>B-BCP - Soles</v>
      </c>
      <c r="D1892" s="3" t="s">
        <v>1074</v>
      </c>
      <c r="E1892" s="14">
        <v>45810</v>
      </c>
      <c r="F1892" s="5" t="s">
        <v>1082</v>
      </c>
      <c r="G1892" s="5" t="s">
        <v>1079</v>
      </c>
      <c r="H1892" s="6" t="s">
        <v>807</v>
      </c>
      <c r="I1892" s="6" t="s">
        <v>87</v>
      </c>
      <c r="J1892" s="6">
        <v>1</v>
      </c>
      <c r="K1892" s="6"/>
      <c r="L1892" s="7" t="s">
        <v>2959</v>
      </c>
      <c r="M1892" s="8">
        <v>1147252</v>
      </c>
      <c r="N1892" s="8" t="str">
        <f t="shared" si="146"/>
        <v>PEN</v>
      </c>
      <c r="O1892" s="13"/>
      <c r="P1892" s="13">
        <v>400</v>
      </c>
      <c r="Q1892" s="3">
        <f t="shared" si="147"/>
        <v>0</v>
      </c>
      <c r="R1892" s="3">
        <f t="shared" si="148"/>
        <v>400</v>
      </c>
      <c r="S1892" s="3">
        <f t="shared" si="149"/>
        <v>37463.140000000014</v>
      </c>
      <c r="T1892" s="24"/>
      <c r="U1892" s="24"/>
      <c r="V1892" s="67"/>
      <c r="W1892" s="25">
        <f>IFERROR(VLOOKUP(BCP_Soles[[#This Row],[DESTINATARIO]],CHOOSE({1,2},Clientes_Proveedores[Razon Social],Clientes_Proveedores[Ruc / Dni]),2,0),"")</f>
        <v>45921913</v>
      </c>
      <c r="X1892" s="25" t="s">
        <v>807</v>
      </c>
      <c r="Y1892" s="25" t="s">
        <v>2414</v>
      </c>
      <c r="Z1892" s="25"/>
      <c r="AA1892" s="99"/>
      <c r="AB1892" s="3" t="str">
        <f>IF(BCP_Soles[[#This Row],[FECHA]]&gt;0,TEXT(BCP_Soles[[#This Row],[FECHA]],"mmmm"),0)</f>
        <v>Junio</v>
      </c>
    </row>
    <row r="1893" spans="2:28" ht="36" x14ac:dyDescent="0.3">
      <c r="B1893" s="2">
        <f>IF(BCP_Soles[[#This Row],[TIPO DE R.]]="R",COUNTIFS($D$4:$D1892,"R")+1,"")</f>
        <v>1460</v>
      </c>
      <c r="C1893" s="19" t="str">
        <f t="shared" si="145"/>
        <v>B-BCP - Soles</v>
      </c>
      <c r="D1893" s="3" t="s">
        <v>1074</v>
      </c>
      <c r="E1893" s="14">
        <v>45810</v>
      </c>
      <c r="F1893" s="5" t="s">
        <v>1082</v>
      </c>
      <c r="G1893" s="5" t="s">
        <v>1079</v>
      </c>
      <c r="H1893" s="6"/>
      <c r="I1893" s="6" t="s">
        <v>14</v>
      </c>
      <c r="J1893" s="6" t="s">
        <v>1121</v>
      </c>
      <c r="K1893" s="6">
        <v>2546</v>
      </c>
      <c r="L1893" s="7" t="s">
        <v>2960</v>
      </c>
      <c r="M1893" s="8">
        <v>1172644</v>
      </c>
      <c r="N1893" s="8" t="str">
        <f t="shared" si="146"/>
        <v>PEN</v>
      </c>
      <c r="O1893" s="13"/>
      <c r="P1893" s="13">
        <v>414</v>
      </c>
      <c r="Q1893" s="3">
        <f t="shared" si="147"/>
        <v>0</v>
      </c>
      <c r="R1893" s="3">
        <f t="shared" si="148"/>
        <v>414</v>
      </c>
      <c r="S1893" s="3">
        <f t="shared" si="149"/>
        <v>37049.140000000014</v>
      </c>
      <c r="T1893" s="24" t="s">
        <v>1081</v>
      </c>
      <c r="U1893" s="24" t="s">
        <v>1081</v>
      </c>
      <c r="V1893" s="67"/>
      <c r="W1893" s="25" t="str">
        <f>IFERROR(VLOOKUP(BCP_Soles[[#This Row],[DESTINATARIO]],CHOOSE({1,2},Clientes_Proveedores[Razon Social],Clientes_Proveedores[Ruc / Dni]),2,0),"")</f>
        <v/>
      </c>
      <c r="X1893" s="25" t="s">
        <v>2961</v>
      </c>
      <c r="Y1893" s="25" t="s">
        <v>2962</v>
      </c>
      <c r="Z1893" s="25"/>
      <c r="AA1893" s="99"/>
      <c r="AB1893" s="3" t="str">
        <f>IF(BCP_Soles[[#This Row],[FECHA]]&gt;0,TEXT(BCP_Soles[[#This Row],[FECHA]],"mmmm"),0)</f>
        <v>Junio</v>
      </c>
    </row>
    <row r="1894" spans="2:28" x14ac:dyDescent="0.3">
      <c r="B1894" s="2">
        <f>IF(BCP_Soles[[#This Row],[TIPO DE R.]]="R",COUNTIFS($D$4:$D1893,"R")+1,"")</f>
        <v>1461</v>
      </c>
      <c r="C1894" s="19" t="str">
        <f t="shared" si="145"/>
        <v>B-BCP - Soles</v>
      </c>
      <c r="D1894" s="3" t="s">
        <v>1074</v>
      </c>
      <c r="E1894" s="14">
        <v>45810</v>
      </c>
      <c r="F1894" s="5" t="s">
        <v>1082</v>
      </c>
      <c r="G1894" s="5" t="s">
        <v>1079</v>
      </c>
      <c r="H1894" s="6" t="s">
        <v>637</v>
      </c>
      <c r="I1894" s="6" t="s">
        <v>14</v>
      </c>
      <c r="J1894" s="6" t="s">
        <v>1453</v>
      </c>
      <c r="K1894" s="6">
        <v>141459</v>
      </c>
      <c r="L1894" s="7" t="s">
        <v>1123</v>
      </c>
      <c r="M1894" s="8">
        <v>146751</v>
      </c>
      <c r="N1894" s="8" t="str">
        <f t="shared" si="146"/>
        <v>PEN</v>
      </c>
      <c r="O1894" s="13"/>
      <c r="P1894" s="13">
        <v>740.02</v>
      </c>
      <c r="Q1894" s="3">
        <f t="shared" si="147"/>
        <v>0</v>
      </c>
      <c r="R1894" s="3">
        <f t="shared" si="148"/>
        <v>740.02</v>
      </c>
      <c r="S1894" s="3">
        <f t="shared" si="149"/>
        <v>36309.120000000017</v>
      </c>
      <c r="T1894" s="24" t="s">
        <v>1081</v>
      </c>
      <c r="U1894" s="24" t="s">
        <v>1081</v>
      </c>
      <c r="V1894" s="67"/>
      <c r="W1894" s="25">
        <f>IFERROR(VLOOKUP(BCP_Soles[[#This Row],[DESTINATARIO]],CHOOSE({1,2},Clientes_Proveedores[Razon Social],Clientes_Proveedores[Ruc / Dni]),2,0),"")</f>
        <v>20127765279</v>
      </c>
      <c r="X1894" s="25" t="s">
        <v>1124</v>
      </c>
      <c r="Y1894" s="25" t="s">
        <v>2963</v>
      </c>
      <c r="Z1894" s="25"/>
      <c r="AA1894" s="99"/>
      <c r="AB1894" s="3" t="str">
        <f>IF(BCP_Soles[[#This Row],[FECHA]]&gt;0,TEXT(BCP_Soles[[#This Row],[FECHA]],"mmmm"),0)</f>
        <v>Junio</v>
      </c>
    </row>
    <row r="1895" spans="2:28" x14ac:dyDescent="0.3">
      <c r="B1895" s="2">
        <f>IF(BCP_Soles[[#This Row],[TIPO DE R.]]="R",COUNTIFS($D$4:$D1894,"R")+1,"")</f>
        <v>1462</v>
      </c>
      <c r="C1895" s="19" t="str">
        <f t="shared" si="145"/>
        <v>B-BCP - Soles</v>
      </c>
      <c r="D1895" s="3" t="s">
        <v>1074</v>
      </c>
      <c r="E1895" s="14">
        <v>45810</v>
      </c>
      <c r="F1895" s="5" t="s">
        <v>1082</v>
      </c>
      <c r="G1895" s="5" t="s">
        <v>1079</v>
      </c>
      <c r="H1895" s="6" t="s">
        <v>638</v>
      </c>
      <c r="I1895" s="6"/>
      <c r="J1895" s="6"/>
      <c r="K1895" s="6"/>
      <c r="L1895" s="7" t="s">
        <v>2964</v>
      </c>
      <c r="M1895" s="8">
        <v>3351797</v>
      </c>
      <c r="N1895" s="8" t="str">
        <f t="shared" si="146"/>
        <v>PEN</v>
      </c>
      <c r="O1895" s="13"/>
      <c r="P1895" s="13">
        <v>2609.06</v>
      </c>
      <c r="Q1895" s="3">
        <f t="shared" si="147"/>
        <v>0</v>
      </c>
      <c r="R1895" s="3">
        <f t="shared" si="148"/>
        <v>2609.06</v>
      </c>
      <c r="S1895" s="3">
        <f t="shared" si="149"/>
        <v>33700.060000000019</v>
      </c>
      <c r="T1895" s="24" t="s">
        <v>1081</v>
      </c>
      <c r="U1895" s="24" t="s">
        <v>1081</v>
      </c>
      <c r="V1895" s="67"/>
      <c r="W1895" s="25">
        <f>IFERROR(VLOOKUP(BCP_Soles[[#This Row],[DESTINATARIO]],CHOOSE({1,2},Clientes_Proveedores[Razon Social],Clientes_Proveedores[Ruc / Dni]),2,0),"")</f>
        <v>0</v>
      </c>
      <c r="X1895" s="25" t="s">
        <v>1118</v>
      </c>
      <c r="Y1895" s="25"/>
      <c r="Z1895" s="25"/>
      <c r="AA1895" s="99"/>
      <c r="AB1895" s="3" t="str">
        <f>IF(BCP_Soles[[#This Row],[FECHA]]&gt;0,TEXT(BCP_Soles[[#This Row],[FECHA]],"mmmm"),0)</f>
        <v>Junio</v>
      </c>
    </row>
    <row r="1896" spans="2:28" ht="24" x14ac:dyDescent="0.3">
      <c r="B1896" s="2" t="str">
        <f>IF(BCP_Soles[[#This Row],[TIPO DE R.]]="R",COUNTIFS($D$4:$D1895,"R")+1,"")</f>
        <v/>
      </c>
      <c r="C1896" s="19" t="str">
        <f t="shared" si="145"/>
        <v>B-BCP - Soles</v>
      </c>
      <c r="D1896" s="3" t="s">
        <v>1101</v>
      </c>
      <c r="E1896" s="14">
        <v>45810</v>
      </c>
      <c r="F1896" s="5" t="s">
        <v>1082</v>
      </c>
      <c r="G1896" s="5"/>
      <c r="H1896" s="6" t="s">
        <v>480</v>
      </c>
      <c r="I1896" s="6" t="s">
        <v>14</v>
      </c>
      <c r="J1896" s="6" t="s">
        <v>1121</v>
      </c>
      <c r="K1896" s="6">
        <v>853</v>
      </c>
      <c r="L1896" s="7" t="s">
        <v>2964</v>
      </c>
      <c r="M1896" s="8">
        <v>3351797</v>
      </c>
      <c r="N1896" s="8" t="str">
        <f t="shared" si="146"/>
        <v>PEN</v>
      </c>
      <c r="O1896" s="13">
        <v>289.01</v>
      </c>
      <c r="P1896" s="13"/>
      <c r="Q1896" s="3">
        <f t="shared" si="147"/>
        <v>0</v>
      </c>
      <c r="R1896" s="3">
        <f t="shared" si="148"/>
        <v>0</v>
      </c>
      <c r="S1896" s="3">
        <f t="shared" si="149"/>
        <v>33700.060000000019</v>
      </c>
      <c r="T1896" s="24"/>
      <c r="U1896" s="24" t="s">
        <v>1081</v>
      </c>
      <c r="V1896" s="67"/>
      <c r="W1896" s="25">
        <f>IFERROR(VLOOKUP(BCP_Soles[[#This Row],[DESTINATARIO]],CHOOSE({1,2},Clientes_Proveedores[Razon Social],Clientes_Proveedores[Ruc / Dni]),2,0),"")</f>
        <v>20605447814</v>
      </c>
      <c r="X1896" s="25"/>
      <c r="Y1896" s="25"/>
      <c r="Z1896" s="25"/>
      <c r="AA1896" s="99"/>
      <c r="AB1896" s="3" t="str">
        <f>IF(BCP_Soles[[#This Row],[FECHA]]&gt;0,TEXT(BCP_Soles[[#This Row],[FECHA]],"mmmm"),0)</f>
        <v>Junio</v>
      </c>
    </row>
    <row r="1897" spans="2:28" x14ac:dyDescent="0.3">
      <c r="B1897" s="2" t="str">
        <f>IF(BCP_Soles[[#This Row],[TIPO DE R.]]="R",COUNTIFS($D$4:$D1896,"R")+1,"")</f>
        <v/>
      </c>
      <c r="C1897" s="19" t="str">
        <f t="shared" si="145"/>
        <v>B-BCP - Soles</v>
      </c>
      <c r="D1897" s="3" t="s">
        <v>1101</v>
      </c>
      <c r="E1897" s="14">
        <v>45810</v>
      </c>
      <c r="F1897" s="5" t="s">
        <v>1082</v>
      </c>
      <c r="G1897" s="5"/>
      <c r="H1897" s="6" t="s">
        <v>229</v>
      </c>
      <c r="I1897" s="6" t="s">
        <v>14</v>
      </c>
      <c r="J1897" s="6" t="s">
        <v>1429</v>
      </c>
      <c r="K1897" s="6">
        <v>1702</v>
      </c>
      <c r="L1897" s="7" t="s">
        <v>2964</v>
      </c>
      <c r="M1897" s="8">
        <v>3351797</v>
      </c>
      <c r="N1897" s="8" t="str">
        <f t="shared" si="146"/>
        <v>PEN</v>
      </c>
      <c r="O1897" s="13">
        <v>314.51</v>
      </c>
      <c r="P1897" s="13"/>
      <c r="Q1897" s="3">
        <f t="shared" si="147"/>
        <v>0</v>
      </c>
      <c r="R1897" s="3">
        <f t="shared" si="148"/>
        <v>0</v>
      </c>
      <c r="S1897" s="3">
        <f t="shared" si="149"/>
        <v>33700.060000000019</v>
      </c>
      <c r="T1897" s="24"/>
      <c r="U1897" s="24" t="s">
        <v>1081</v>
      </c>
      <c r="V1897" s="67"/>
      <c r="W1897" s="25">
        <f>IFERROR(VLOOKUP(BCP_Soles[[#This Row],[DESTINATARIO]],CHOOSE({1,2},Clientes_Proveedores[Razon Social],Clientes_Proveedores[Ruc / Dni]),2,0),"")</f>
        <v>20454186002</v>
      </c>
      <c r="X1897" s="25"/>
      <c r="Y1897" s="25"/>
      <c r="Z1897" s="25"/>
      <c r="AA1897" s="99"/>
      <c r="AB1897" s="3" t="str">
        <f>IF(BCP_Soles[[#This Row],[FECHA]]&gt;0,TEXT(BCP_Soles[[#This Row],[FECHA]],"mmmm"),0)</f>
        <v>Junio</v>
      </c>
    </row>
    <row r="1898" spans="2:28" x14ac:dyDescent="0.3">
      <c r="B1898" s="2" t="str">
        <f>IF(BCP_Soles[[#This Row],[TIPO DE R.]]="R",COUNTIFS($D$4:$D1897,"R")+1,"")</f>
        <v/>
      </c>
      <c r="C1898" s="19" t="str">
        <f t="shared" si="145"/>
        <v>B-BCP - Soles</v>
      </c>
      <c r="D1898" s="3" t="s">
        <v>1101</v>
      </c>
      <c r="E1898" s="14">
        <v>45810</v>
      </c>
      <c r="F1898" s="5" t="s">
        <v>1082</v>
      </c>
      <c r="G1898" s="5"/>
      <c r="H1898" s="6" t="s">
        <v>229</v>
      </c>
      <c r="I1898" s="6" t="s">
        <v>14</v>
      </c>
      <c r="J1898" s="6" t="s">
        <v>1429</v>
      </c>
      <c r="K1898" s="6">
        <v>1703</v>
      </c>
      <c r="L1898" s="7" t="s">
        <v>2964</v>
      </c>
      <c r="M1898" s="8">
        <v>3351797</v>
      </c>
      <c r="N1898" s="8" t="str">
        <f t="shared" si="146"/>
        <v>PEN</v>
      </c>
      <c r="O1898" s="13">
        <v>150.54</v>
      </c>
      <c r="P1898" s="13"/>
      <c r="Q1898" s="3">
        <f t="shared" si="147"/>
        <v>0</v>
      </c>
      <c r="R1898" s="3">
        <f t="shared" si="148"/>
        <v>0</v>
      </c>
      <c r="S1898" s="3">
        <f t="shared" si="149"/>
        <v>33700.060000000019</v>
      </c>
      <c r="T1898" s="24"/>
      <c r="U1898" s="24" t="s">
        <v>1081</v>
      </c>
      <c r="V1898" s="67"/>
      <c r="W1898" s="25">
        <f>IFERROR(VLOOKUP(BCP_Soles[[#This Row],[DESTINATARIO]],CHOOSE({1,2},Clientes_Proveedores[Razon Social],Clientes_Proveedores[Ruc / Dni]),2,0),"")</f>
        <v>20454186002</v>
      </c>
      <c r="X1898" s="25"/>
      <c r="Y1898" s="25"/>
      <c r="Z1898" s="25"/>
      <c r="AA1898" s="99"/>
      <c r="AB1898" s="3" t="str">
        <f>IF(BCP_Soles[[#This Row],[FECHA]]&gt;0,TEXT(BCP_Soles[[#This Row],[FECHA]],"mmmm"),0)</f>
        <v>Junio</v>
      </c>
    </row>
    <row r="1899" spans="2:28" ht="36" x14ac:dyDescent="0.3">
      <c r="B1899" s="2" t="str">
        <f>IF(BCP_Soles[[#This Row],[TIPO DE R.]]="R",COUNTIFS($D$4:$D1898,"R")+1,"")</f>
        <v/>
      </c>
      <c r="C1899" s="19" t="str">
        <f t="shared" si="145"/>
        <v>B-BCP - Soles</v>
      </c>
      <c r="D1899" s="3" t="s">
        <v>1101</v>
      </c>
      <c r="E1899" s="14">
        <v>45810</v>
      </c>
      <c r="F1899" s="5" t="s">
        <v>1082</v>
      </c>
      <c r="G1899" s="5"/>
      <c r="H1899" s="6" t="s">
        <v>417</v>
      </c>
      <c r="I1899" s="6" t="s">
        <v>14</v>
      </c>
      <c r="J1899" s="6" t="s">
        <v>1121</v>
      </c>
      <c r="K1899" s="6">
        <v>765</v>
      </c>
      <c r="L1899" s="7" t="s">
        <v>2964</v>
      </c>
      <c r="M1899" s="8">
        <v>3351797</v>
      </c>
      <c r="N1899" s="8" t="str">
        <f t="shared" si="146"/>
        <v>PEN</v>
      </c>
      <c r="O1899" s="13">
        <v>793</v>
      </c>
      <c r="P1899" s="13"/>
      <c r="Q1899" s="3">
        <f t="shared" si="147"/>
        <v>0</v>
      </c>
      <c r="R1899" s="3">
        <f t="shared" si="148"/>
        <v>0</v>
      </c>
      <c r="S1899" s="3">
        <f t="shared" si="149"/>
        <v>33700.060000000019</v>
      </c>
      <c r="T1899" s="24"/>
      <c r="U1899" s="24" t="s">
        <v>1081</v>
      </c>
      <c r="V1899" s="67"/>
      <c r="W1899" s="25">
        <f>IFERROR(VLOOKUP(BCP_Soles[[#This Row],[DESTINATARIO]],CHOOSE({1,2},Clientes_Proveedores[Razon Social],Clientes_Proveedores[Ruc / Dni]),2,0),"")</f>
        <v>20602075177</v>
      </c>
      <c r="X1899" s="25"/>
      <c r="Y1899" s="25"/>
      <c r="Z1899" s="25"/>
      <c r="AA1899" s="99"/>
      <c r="AB1899" s="3" t="str">
        <f>IF(BCP_Soles[[#This Row],[FECHA]]&gt;0,TEXT(BCP_Soles[[#This Row],[FECHA]],"mmmm"),0)</f>
        <v>Junio</v>
      </c>
    </row>
    <row r="1900" spans="2:28" x14ac:dyDescent="0.3">
      <c r="B1900" s="2" t="str">
        <f>IF(BCP_Soles[[#This Row],[TIPO DE R.]]="R",COUNTIFS($D$4:$D1899,"R")+1,"")</f>
        <v/>
      </c>
      <c r="C1900" s="19" t="str">
        <f t="shared" si="145"/>
        <v>B-BCP - Soles</v>
      </c>
      <c r="D1900" s="3" t="s">
        <v>1101</v>
      </c>
      <c r="E1900" s="14">
        <v>45810</v>
      </c>
      <c r="F1900" s="5" t="s">
        <v>1082</v>
      </c>
      <c r="G1900" s="5"/>
      <c r="H1900" s="6" t="s">
        <v>276</v>
      </c>
      <c r="I1900" s="6" t="s">
        <v>14</v>
      </c>
      <c r="J1900" s="6" t="s">
        <v>1121</v>
      </c>
      <c r="K1900" s="6">
        <v>722</v>
      </c>
      <c r="L1900" s="7" t="s">
        <v>2964</v>
      </c>
      <c r="M1900" s="8">
        <v>3351797</v>
      </c>
      <c r="N1900" s="8" t="str">
        <f t="shared" si="146"/>
        <v>PEN</v>
      </c>
      <c r="O1900" s="13">
        <v>1062</v>
      </c>
      <c r="P1900" s="13"/>
      <c r="Q1900" s="3">
        <f t="shared" si="147"/>
        <v>0</v>
      </c>
      <c r="R1900" s="3">
        <f t="shared" si="148"/>
        <v>0</v>
      </c>
      <c r="S1900" s="3">
        <f t="shared" si="149"/>
        <v>33700.060000000019</v>
      </c>
      <c r="T1900" s="24"/>
      <c r="U1900" s="24" t="s">
        <v>1081</v>
      </c>
      <c r="V1900" s="67"/>
      <c r="W1900" s="25">
        <f>IFERROR(VLOOKUP(BCP_Soles[[#This Row],[DESTINATARIO]],CHOOSE({1,2},Clientes_Proveedores[Razon Social],Clientes_Proveedores[Ruc / Dni]),2,0),"")</f>
        <v>20498218831</v>
      </c>
      <c r="X1900" s="25"/>
      <c r="Y1900" s="25"/>
      <c r="Z1900" s="25"/>
      <c r="AA1900" s="99"/>
      <c r="AB1900" s="3" t="str">
        <f>IF(BCP_Soles[[#This Row],[FECHA]]&gt;0,TEXT(BCP_Soles[[#This Row],[FECHA]],"mmmm"),0)</f>
        <v>Junio</v>
      </c>
    </row>
    <row r="1901" spans="2:28" x14ac:dyDescent="0.3">
      <c r="B1901" s="2">
        <f>IF(BCP_Soles[[#This Row],[TIPO DE R.]]="R",COUNTIFS($D$4:$D1900,"R")+1,"")</f>
        <v>1463</v>
      </c>
      <c r="C1901" s="19" t="str">
        <f t="shared" si="145"/>
        <v>B-BCP - Soles</v>
      </c>
      <c r="D1901" s="3" t="s">
        <v>1074</v>
      </c>
      <c r="E1901" s="14">
        <v>45810</v>
      </c>
      <c r="F1901" s="5" t="s">
        <v>1082</v>
      </c>
      <c r="G1901" s="5" t="s">
        <v>1079</v>
      </c>
      <c r="H1901" s="6" t="s">
        <v>637</v>
      </c>
      <c r="I1901" s="6" t="s">
        <v>14</v>
      </c>
      <c r="J1901" s="6" t="s">
        <v>1122</v>
      </c>
      <c r="K1901" s="6">
        <v>165181</v>
      </c>
      <c r="L1901" s="7" t="s">
        <v>1123</v>
      </c>
      <c r="M1901" s="8">
        <v>146750</v>
      </c>
      <c r="N1901" s="8" t="str">
        <f t="shared" si="146"/>
        <v>PEN</v>
      </c>
      <c r="O1901" s="13"/>
      <c r="P1901" s="13">
        <v>3774.74</v>
      </c>
      <c r="Q1901" s="3">
        <f t="shared" si="147"/>
        <v>0</v>
      </c>
      <c r="R1901" s="3">
        <f t="shared" si="148"/>
        <v>3774.74</v>
      </c>
      <c r="S1901" s="3">
        <f t="shared" si="149"/>
        <v>29925.320000000022</v>
      </c>
      <c r="T1901" s="24" t="s">
        <v>1081</v>
      </c>
      <c r="U1901" s="24" t="s">
        <v>1081</v>
      </c>
      <c r="V1901" s="67"/>
      <c r="W1901" s="25">
        <f>IFERROR(VLOOKUP(BCP_Soles[[#This Row],[DESTINATARIO]],CHOOSE({1,2},Clientes_Proveedores[Razon Social],Clientes_Proveedores[Ruc / Dni]),2,0),"")</f>
        <v>20127765279</v>
      </c>
      <c r="X1901" s="25" t="s">
        <v>1124</v>
      </c>
      <c r="Y1901" s="25" t="s">
        <v>2965</v>
      </c>
      <c r="Z1901" s="25"/>
      <c r="AA1901" s="99"/>
      <c r="AB1901" s="3" t="str">
        <f>IF(BCP_Soles[[#This Row],[FECHA]]&gt;0,TEXT(BCP_Soles[[#This Row],[FECHA]],"mmmm"),0)</f>
        <v>Junio</v>
      </c>
    </row>
    <row r="1902" spans="2:28" x14ac:dyDescent="0.3">
      <c r="B1902" s="2">
        <f>IF(BCP_Soles[[#This Row],[TIPO DE R.]]="R",COUNTIFS($D$4:$D1901,"R")+1,"")</f>
        <v>1464</v>
      </c>
      <c r="C1902" s="19" t="str">
        <f t="shared" si="145"/>
        <v>B-BCP - Soles</v>
      </c>
      <c r="D1902" s="3" t="s">
        <v>1074</v>
      </c>
      <c r="E1902" s="14">
        <v>45810</v>
      </c>
      <c r="F1902" s="5" t="s">
        <v>1078</v>
      </c>
      <c r="G1902" s="5" t="s">
        <v>1079</v>
      </c>
      <c r="H1902" s="6"/>
      <c r="I1902" s="6"/>
      <c r="J1902" s="6"/>
      <c r="K1902" s="6"/>
      <c r="L1902" s="7" t="s">
        <v>2868</v>
      </c>
      <c r="M1902" s="8"/>
      <c r="N1902" s="8" t="str">
        <f t="shared" si="146"/>
        <v>PEN</v>
      </c>
      <c r="O1902" s="13"/>
      <c r="P1902" s="13">
        <v>0.25</v>
      </c>
      <c r="Q1902" s="3">
        <f t="shared" si="147"/>
        <v>0</v>
      </c>
      <c r="R1902" s="3">
        <f t="shared" si="148"/>
        <v>0.25</v>
      </c>
      <c r="S1902" s="3">
        <f t="shared" si="149"/>
        <v>29925.070000000022</v>
      </c>
      <c r="T1902" s="24"/>
      <c r="U1902" s="24"/>
      <c r="V1902" s="67"/>
      <c r="W1902" s="25" t="str">
        <f>IFERROR(VLOOKUP(BCP_Soles[[#This Row],[DESTINATARIO]],CHOOSE({1,2},Clientes_Proveedores[Razon Social],Clientes_Proveedores[Ruc / Dni]),2,0),"")</f>
        <v/>
      </c>
      <c r="X1902" s="25"/>
      <c r="Y1902" s="25"/>
      <c r="Z1902" s="25"/>
      <c r="AA1902" s="99"/>
      <c r="AB1902" s="3" t="str">
        <f>IF(BCP_Soles[[#This Row],[FECHA]]&gt;0,TEXT(BCP_Soles[[#This Row],[FECHA]],"mmmm"),0)</f>
        <v>Junio</v>
      </c>
    </row>
    <row r="1903" spans="2:28" ht="36" x14ac:dyDescent="0.3">
      <c r="B1903" s="2">
        <f>IF(BCP_Soles[[#This Row],[TIPO DE R.]]="R",COUNTIFS($D$4:$D1902,"R")+1,"")</f>
        <v>1465</v>
      </c>
      <c r="C1903" s="19" t="str">
        <f t="shared" si="145"/>
        <v>B-BCP - Soles</v>
      </c>
      <c r="D1903" s="3" t="s">
        <v>1074</v>
      </c>
      <c r="E1903" s="14">
        <v>45811</v>
      </c>
      <c r="F1903" s="5" t="s">
        <v>880</v>
      </c>
      <c r="G1903" s="5" t="s">
        <v>1087</v>
      </c>
      <c r="H1903" s="6"/>
      <c r="I1903" s="6"/>
      <c r="J1903" s="6"/>
      <c r="K1903" s="6"/>
      <c r="L1903" s="7" t="s">
        <v>1100</v>
      </c>
      <c r="M1903" s="8">
        <v>3924135</v>
      </c>
      <c r="N1903" s="8" t="str">
        <f t="shared" si="146"/>
        <v>PEN</v>
      </c>
      <c r="O1903" s="13"/>
      <c r="P1903" s="13">
        <v>975.29</v>
      </c>
      <c r="Q1903" s="3">
        <f t="shared" si="147"/>
        <v>975.29</v>
      </c>
      <c r="R1903" s="3">
        <f t="shared" si="148"/>
        <v>0</v>
      </c>
      <c r="S1903" s="3">
        <f t="shared" si="149"/>
        <v>30900.360000000022</v>
      </c>
      <c r="T1903" s="24" t="s">
        <v>1081</v>
      </c>
      <c r="U1903" s="24"/>
      <c r="V1903" s="67"/>
      <c r="W1903" s="25" t="str">
        <f>IFERROR(VLOOKUP(BCP_Soles[[#This Row],[DESTINATARIO]],CHOOSE({1,2},Clientes_Proveedores[Razon Social],Clientes_Proveedores[Ruc / Dni]),2,0),"")</f>
        <v/>
      </c>
      <c r="X1903" s="25" t="s">
        <v>1090</v>
      </c>
      <c r="Y1903" s="25" t="s">
        <v>2752</v>
      </c>
      <c r="Z1903" s="25"/>
      <c r="AA1903" s="99"/>
      <c r="AB1903" s="3" t="str">
        <f>IF(BCP_Soles[[#This Row],[FECHA]]&gt;0,TEXT(BCP_Soles[[#This Row],[FECHA]],"mmmm"),0)</f>
        <v>Junio</v>
      </c>
    </row>
    <row r="1904" spans="2:28" ht="48" x14ac:dyDescent="0.3">
      <c r="B1904" s="2">
        <f>IF(BCP_Soles[[#This Row],[TIPO DE R.]]="R",COUNTIFS($D$4:$D1903,"R")+1,"")</f>
        <v>1466</v>
      </c>
      <c r="C1904" s="19" t="str">
        <f t="shared" si="145"/>
        <v>B-BCP - Soles</v>
      </c>
      <c r="D1904" s="3" t="s">
        <v>1074</v>
      </c>
      <c r="E1904" s="14">
        <v>45811</v>
      </c>
      <c r="F1904" s="5" t="s">
        <v>1082</v>
      </c>
      <c r="G1904" s="5" t="s">
        <v>1079</v>
      </c>
      <c r="H1904" s="6" t="s">
        <v>444</v>
      </c>
      <c r="I1904" s="6" t="s">
        <v>14</v>
      </c>
      <c r="J1904" s="6" t="s">
        <v>1266</v>
      </c>
      <c r="K1904" s="6">
        <v>10502</v>
      </c>
      <c r="L1904" s="7" t="s">
        <v>2966</v>
      </c>
      <c r="M1904" s="8">
        <v>1015230</v>
      </c>
      <c r="N1904" s="8" t="str">
        <f t="shared" si="146"/>
        <v>PEN</v>
      </c>
      <c r="O1904" s="13"/>
      <c r="P1904" s="13">
        <v>75.510000000000005</v>
      </c>
      <c r="Q1904" s="3">
        <f t="shared" si="147"/>
        <v>0</v>
      </c>
      <c r="R1904" s="3">
        <f t="shared" si="148"/>
        <v>75.510000000000005</v>
      </c>
      <c r="S1904" s="3">
        <f t="shared" si="149"/>
        <v>30824.850000000024</v>
      </c>
      <c r="T1904" s="24" t="s">
        <v>1081</v>
      </c>
      <c r="U1904" s="24" t="s">
        <v>1081</v>
      </c>
      <c r="V1904" s="67"/>
      <c r="W1904" s="25">
        <f>IFERROR(VLOOKUP(BCP_Soles[[#This Row],[DESTINATARIO]],CHOOSE({1,2},Clientes_Proveedores[Razon Social],Clientes_Proveedores[Ruc / Dni]),2,0),"")</f>
        <v>20602978274</v>
      </c>
      <c r="X1904" s="25" t="s">
        <v>1268</v>
      </c>
      <c r="Y1904" s="25" t="s">
        <v>2967</v>
      </c>
      <c r="Z1904" s="25"/>
      <c r="AA1904" s="99"/>
      <c r="AB1904" s="3" t="str">
        <f>IF(BCP_Soles[[#This Row],[FECHA]]&gt;0,TEXT(BCP_Soles[[#This Row],[FECHA]],"mmmm"),0)</f>
        <v>Junio</v>
      </c>
    </row>
    <row r="1905" spans="2:28" ht="48" x14ac:dyDescent="0.3">
      <c r="B1905" s="2">
        <f>IF(BCP_Soles[[#This Row],[TIPO DE R.]]="R",COUNTIFS($D$4:$D1904,"R")+1,"")</f>
        <v>1467</v>
      </c>
      <c r="C1905" s="19" t="str">
        <f t="shared" si="145"/>
        <v>B-BCP - Soles</v>
      </c>
      <c r="D1905" s="3" t="s">
        <v>1074</v>
      </c>
      <c r="E1905" s="14">
        <v>45811</v>
      </c>
      <c r="F1905" s="5" t="s">
        <v>1996</v>
      </c>
      <c r="G1905" s="5" t="s">
        <v>1079</v>
      </c>
      <c r="H1905" s="6" t="s">
        <v>431</v>
      </c>
      <c r="I1905" s="6" t="s">
        <v>14</v>
      </c>
      <c r="J1905" s="6" t="s">
        <v>1119</v>
      </c>
      <c r="K1905" s="6">
        <v>35937</v>
      </c>
      <c r="L1905" s="7" t="s">
        <v>2968</v>
      </c>
      <c r="M1905" s="8">
        <v>1216725</v>
      </c>
      <c r="N1905" s="8" t="str">
        <f t="shared" si="146"/>
        <v>PEN</v>
      </c>
      <c r="O1905" s="13"/>
      <c r="P1905" s="13">
        <v>120</v>
      </c>
      <c r="Q1905" s="3">
        <f t="shared" si="147"/>
        <v>0</v>
      </c>
      <c r="R1905" s="3">
        <f t="shared" si="148"/>
        <v>120</v>
      </c>
      <c r="S1905" s="3">
        <f t="shared" si="149"/>
        <v>30704.850000000024</v>
      </c>
      <c r="T1905" s="24" t="s">
        <v>1081</v>
      </c>
      <c r="U1905" s="24" t="s">
        <v>1081</v>
      </c>
      <c r="V1905" s="67"/>
      <c r="W1905" s="25">
        <f>IFERROR(VLOOKUP(BCP_Soles[[#This Row],[DESTINATARIO]],CHOOSE({1,2},Clientes_Proveedores[Razon Social],Clientes_Proveedores[Ruc / Dni]),2,0),"")</f>
        <v>20602484425</v>
      </c>
      <c r="X1905" s="25" t="s">
        <v>2923</v>
      </c>
      <c r="Y1905" s="25" t="s">
        <v>2969</v>
      </c>
      <c r="Z1905" s="25"/>
      <c r="AA1905" s="99"/>
      <c r="AB1905" s="3" t="str">
        <f>IF(BCP_Soles[[#This Row],[FECHA]]&gt;0,TEXT(BCP_Soles[[#This Row],[FECHA]],"mmmm"),0)</f>
        <v>Junio</v>
      </c>
    </row>
    <row r="1906" spans="2:28" ht="24" x14ac:dyDescent="0.3">
      <c r="B1906" s="2">
        <f>IF(BCP_Soles[[#This Row],[TIPO DE R.]]="R",COUNTIFS($D$4:$D1905,"R")+1,"")</f>
        <v>1468</v>
      </c>
      <c r="C1906" s="19" t="str">
        <f t="shared" si="145"/>
        <v>B-BCP - Soles</v>
      </c>
      <c r="D1906" s="3" t="s">
        <v>1074</v>
      </c>
      <c r="E1906" s="14">
        <v>45811</v>
      </c>
      <c r="F1906" s="5" t="s">
        <v>1996</v>
      </c>
      <c r="G1906" s="5" t="s">
        <v>1079</v>
      </c>
      <c r="H1906" s="6" t="s">
        <v>192</v>
      </c>
      <c r="I1906" s="6"/>
      <c r="J1906" s="6"/>
      <c r="K1906" s="6"/>
      <c r="L1906" s="7" t="s">
        <v>2970</v>
      </c>
      <c r="M1906" s="8">
        <v>1015231</v>
      </c>
      <c r="N1906" s="8" t="str">
        <f t="shared" si="146"/>
        <v>PEN</v>
      </c>
      <c r="O1906" s="13"/>
      <c r="P1906" s="13">
        <v>122.13</v>
      </c>
      <c r="Q1906" s="3">
        <f t="shared" si="147"/>
        <v>0</v>
      </c>
      <c r="R1906" s="3">
        <f t="shared" si="148"/>
        <v>122.13</v>
      </c>
      <c r="S1906" s="3">
        <f t="shared" si="149"/>
        <v>30582.720000000023</v>
      </c>
      <c r="T1906" s="24"/>
      <c r="U1906" s="24"/>
      <c r="V1906" s="67"/>
      <c r="W1906" s="25">
        <f>IFERROR(VLOOKUP(BCP_Soles[[#This Row],[DESTINATARIO]],CHOOSE({1,2},Clientes_Proveedores[Razon Social],Clientes_Proveedores[Ruc / Dni]),2,0),"")</f>
        <v>20302891452</v>
      </c>
      <c r="X1906" s="25" t="s">
        <v>192</v>
      </c>
      <c r="Y1906" s="25"/>
      <c r="Z1906" s="25"/>
      <c r="AA1906" s="99"/>
      <c r="AB1906" s="3" t="str">
        <f>IF(BCP_Soles[[#This Row],[FECHA]]&gt;0,TEXT(BCP_Soles[[#This Row],[FECHA]],"mmmm"),0)</f>
        <v>Junio</v>
      </c>
    </row>
    <row r="1907" spans="2:28" x14ac:dyDescent="0.3">
      <c r="B1907" s="2">
        <f>IF(BCP_Soles[[#This Row],[TIPO DE R.]]="R",COUNTIFS($D$4:$D1906,"R")+1,"")</f>
        <v>1469</v>
      </c>
      <c r="C1907" s="19" t="str">
        <f t="shared" si="145"/>
        <v>B-BCP - Soles</v>
      </c>
      <c r="D1907" s="3" t="s">
        <v>1074</v>
      </c>
      <c r="E1907" s="14">
        <v>45811</v>
      </c>
      <c r="F1907" s="5" t="s">
        <v>1996</v>
      </c>
      <c r="G1907" s="5" t="s">
        <v>1079</v>
      </c>
      <c r="H1907" s="6" t="s">
        <v>350</v>
      </c>
      <c r="I1907" s="6" t="s">
        <v>14</v>
      </c>
      <c r="J1907" s="6" t="s">
        <v>2971</v>
      </c>
      <c r="K1907" s="6">
        <v>10638</v>
      </c>
      <c r="L1907" s="7" t="s">
        <v>1222</v>
      </c>
      <c r="M1907" s="8">
        <v>216240</v>
      </c>
      <c r="N1907" s="8" t="str">
        <f t="shared" si="146"/>
        <v>PEN</v>
      </c>
      <c r="O1907" s="13"/>
      <c r="P1907" s="13">
        <v>196.52</v>
      </c>
      <c r="Q1907" s="3">
        <f t="shared" si="147"/>
        <v>0</v>
      </c>
      <c r="R1907" s="3">
        <f t="shared" si="148"/>
        <v>196.52</v>
      </c>
      <c r="S1907" s="3">
        <f t="shared" si="149"/>
        <v>30386.200000000023</v>
      </c>
      <c r="T1907" s="24" t="s">
        <v>1081</v>
      </c>
      <c r="U1907" s="24" t="s">
        <v>1081</v>
      </c>
      <c r="V1907" s="67"/>
      <c r="W1907" s="25">
        <f>IFERROR(VLOOKUP(BCP_Soles[[#This Row],[DESTINATARIO]],CHOOSE({1,2},Clientes_Proveedores[Razon Social],Clientes_Proveedores[Ruc / Dni]),2,0),"")</f>
        <v>20549068201</v>
      </c>
      <c r="X1907" s="25" t="s">
        <v>1223</v>
      </c>
      <c r="Y1907" s="25" t="s">
        <v>2972</v>
      </c>
      <c r="Z1907" s="25"/>
      <c r="AA1907" s="99"/>
      <c r="AB1907" s="3" t="str">
        <f>IF(BCP_Soles[[#This Row],[FECHA]]&gt;0,TEXT(BCP_Soles[[#This Row],[FECHA]],"mmmm"),0)</f>
        <v>Junio</v>
      </c>
    </row>
    <row r="1908" spans="2:28" ht="24" x14ac:dyDescent="0.3">
      <c r="B1908" s="2">
        <f>IF(BCP_Soles[[#This Row],[TIPO DE R.]]="R",COUNTIFS($D$4:$D1907,"R")+1,"")</f>
        <v>1470</v>
      </c>
      <c r="C1908" s="19" t="str">
        <f t="shared" si="145"/>
        <v>B-BCP - Soles</v>
      </c>
      <c r="D1908" s="3" t="s">
        <v>1074</v>
      </c>
      <c r="E1908" s="14">
        <v>45811</v>
      </c>
      <c r="F1908" s="5" t="s">
        <v>1158</v>
      </c>
      <c r="G1908" s="5" t="s">
        <v>1079</v>
      </c>
      <c r="H1908" s="6" t="s">
        <v>1011</v>
      </c>
      <c r="I1908" s="6" t="s">
        <v>87</v>
      </c>
      <c r="J1908" s="6">
        <v>1</v>
      </c>
      <c r="K1908" s="6">
        <v>352025</v>
      </c>
      <c r="L1908" s="7" t="s">
        <v>2973</v>
      </c>
      <c r="M1908" s="8">
        <v>1217709</v>
      </c>
      <c r="N1908" s="8" t="str">
        <f t="shared" si="146"/>
        <v>PEN</v>
      </c>
      <c r="O1908" s="13"/>
      <c r="P1908" s="13">
        <v>241.8</v>
      </c>
      <c r="Q1908" s="3">
        <f t="shared" si="147"/>
        <v>0</v>
      </c>
      <c r="R1908" s="3">
        <f t="shared" si="148"/>
        <v>241.8</v>
      </c>
      <c r="S1908" s="3">
        <f t="shared" si="149"/>
        <v>30144.400000000023</v>
      </c>
      <c r="T1908" s="24"/>
      <c r="U1908" s="24"/>
      <c r="V1908" s="67"/>
      <c r="W1908" s="25">
        <f>IFERROR(VLOOKUP(BCP_Soles[[#This Row],[DESTINATARIO]],CHOOSE({1,2},Clientes_Proveedores[Razon Social],Clientes_Proveedores[Ruc / Dni]),2,0),"")</f>
        <v>46930934</v>
      </c>
      <c r="X1908" s="25" t="s">
        <v>1011</v>
      </c>
      <c r="Y1908" s="25" t="s">
        <v>2823</v>
      </c>
      <c r="Z1908" s="25"/>
      <c r="AA1908" s="99"/>
      <c r="AB1908" s="3" t="str">
        <f>IF(BCP_Soles[[#This Row],[FECHA]]&gt;0,TEXT(BCP_Soles[[#This Row],[FECHA]],"mmmm"),0)</f>
        <v>Junio</v>
      </c>
    </row>
    <row r="1909" spans="2:28" ht="24" x14ac:dyDescent="0.3">
      <c r="B1909" s="2">
        <f>IF(BCP_Soles[[#This Row],[TIPO DE R.]]="R",COUNTIFS($D$4:$D1908,"R")+1,"")</f>
        <v>1471</v>
      </c>
      <c r="C1909" s="19" t="str">
        <f t="shared" si="145"/>
        <v>B-BCP - Soles</v>
      </c>
      <c r="D1909" s="3" t="s">
        <v>1074</v>
      </c>
      <c r="E1909" s="14">
        <v>45811</v>
      </c>
      <c r="F1909" s="5" t="s">
        <v>1082</v>
      </c>
      <c r="G1909" s="5" t="s">
        <v>1079</v>
      </c>
      <c r="H1909" s="6" t="s">
        <v>192</v>
      </c>
      <c r="I1909" s="6"/>
      <c r="J1909" s="6"/>
      <c r="K1909" s="6"/>
      <c r="L1909" s="7" t="s">
        <v>2974</v>
      </c>
      <c r="M1909" s="8">
        <v>1013248</v>
      </c>
      <c r="N1909" s="8" t="str">
        <f t="shared" si="146"/>
        <v>PEN</v>
      </c>
      <c r="O1909" s="13"/>
      <c r="P1909" s="13">
        <v>337.01</v>
      </c>
      <c r="Q1909" s="3">
        <f t="shared" si="147"/>
        <v>0</v>
      </c>
      <c r="R1909" s="3">
        <f t="shared" si="148"/>
        <v>337.01</v>
      </c>
      <c r="S1909" s="3">
        <f t="shared" si="149"/>
        <v>29807.390000000025</v>
      </c>
      <c r="T1909" s="24"/>
      <c r="U1909" s="24"/>
      <c r="V1909" s="67"/>
      <c r="W1909" s="25">
        <f>IFERROR(VLOOKUP(BCP_Soles[[#This Row],[DESTINATARIO]],CHOOSE({1,2},Clientes_Proveedores[Razon Social],Clientes_Proveedores[Ruc / Dni]),2,0),"")</f>
        <v>20302891452</v>
      </c>
      <c r="X1909" s="25" t="s">
        <v>192</v>
      </c>
      <c r="Y1909" s="25"/>
      <c r="Z1909" s="25"/>
      <c r="AA1909" s="99"/>
      <c r="AB1909" s="3" t="str">
        <f>IF(BCP_Soles[[#This Row],[FECHA]]&gt;0,TEXT(BCP_Soles[[#This Row],[FECHA]],"mmmm"),0)</f>
        <v>Junio</v>
      </c>
    </row>
    <row r="1910" spans="2:28" ht="24" x14ac:dyDescent="0.3">
      <c r="B1910" s="2">
        <f>IF(BCP_Soles[[#This Row],[TIPO DE R.]]="R",COUNTIFS($D$4:$D1909,"R")+1,"")</f>
        <v>1472</v>
      </c>
      <c r="C1910" s="19" t="str">
        <f t="shared" si="145"/>
        <v>B-BCP - Soles</v>
      </c>
      <c r="D1910" s="3" t="s">
        <v>1074</v>
      </c>
      <c r="E1910" s="14">
        <v>45811</v>
      </c>
      <c r="F1910" s="5" t="s">
        <v>1082</v>
      </c>
      <c r="G1910" s="5" t="s">
        <v>1079</v>
      </c>
      <c r="H1910" s="6"/>
      <c r="I1910" s="6" t="s">
        <v>14</v>
      </c>
      <c r="J1910" s="6" t="s">
        <v>1121</v>
      </c>
      <c r="K1910" s="6">
        <v>2546</v>
      </c>
      <c r="L1910" s="7" t="s">
        <v>2975</v>
      </c>
      <c r="M1910" s="8">
        <v>1102670</v>
      </c>
      <c r="N1910" s="8" t="str">
        <f t="shared" si="146"/>
        <v>PEN</v>
      </c>
      <c r="O1910" s="13"/>
      <c r="P1910" s="13">
        <v>414</v>
      </c>
      <c r="Q1910" s="3">
        <f t="shared" si="147"/>
        <v>0</v>
      </c>
      <c r="R1910" s="3">
        <f t="shared" si="148"/>
        <v>414</v>
      </c>
      <c r="S1910" s="3">
        <f t="shared" si="149"/>
        <v>29393.390000000025</v>
      </c>
      <c r="T1910" s="24" t="s">
        <v>1081</v>
      </c>
      <c r="U1910" s="24" t="s">
        <v>1081</v>
      </c>
      <c r="V1910" s="67"/>
      <c r="W1910" s="25" t="str">
        <f>IFERROR(VLOOKUP(BCP_Soles[[#This Row],[DESTINATARIO]],CHOOSE({1,2},Clientes_Proveedores[Razon Social],Clientes_Proveedores[Ruc / Dni]),2,0),"")</f>
        <v/>
      </c>
      <c r="X1910" s="25" t="s">
        <v>2961</v>
      </c>
      <c r="Y1910" s="25" t="s">
        <v>2962</v>
      </c>
      <c r="Z1910" s="25"/>
      <c r="AA1910" s="99"/>
      <c r="AB1910" s="3" t="str">
        <f>IF(BCP_Soles[[#This Row],[FECHA]]&gt;0,TEXT(BCP_Soles[[#This Row],[FECHA]],"mmmm"),0)</f>
        <v>Junio</v>
      </c>
    </row>
    <row r="1911" spans="2:28" ht="24" x14ac:dyDescent="0.3">
      <c r="B1911" s="2">
        <f>IF(BCP_Soles[[#This Row],[TIPO DE R.]]="R",COUNTIFS($D$4:$D1910,"R")+1,"")</f>
        <v>1473</v>
      </c>
      <c r="C1911" s="19" t="str">
        <f t="shared" si="145"/>
        <v>B-BCP - Soles</v>
      </c>
      <c r="D1911" s="3" t="s">
        <v>1074</v>
      </c>
      <c r="E1911" s="14">
        <v>45811</v>
      </c>
      <c r="F1911" s="5" t="s">
        <v>1996</v>
      </c>
      <c r="G1911" s="5" t="s">
        <v>1079</v>
      </c>
      <c r="H1911" s="6" t="s">
        <v>829</v>
      </c>
      <c r="I1911" s="6" t="s">
        <v>91</v>
      </c>
      <c r="J1911" s="6">
        <v>14</v>
      </c>
      <c r="K1911" s="6">
        <v>32</v>
      </c>
      <c r="L1911" s="7" t="s">
        <v>2976</v>
      </c>
      <c r="M1911" s="8">
        <v>1102669</v>
      </c>
      <c r="N1911" s="8" t="str">
        <f t="shared" si="146"/>
        <v>PEN</v>
      </c>
      <c r="O1911" s="13"/>
      <c r="P1911" s="13">
        <v>1957.54</v>
      </c>
      <c r="Q1911" s="3">
        <f t="shared" si="147"/>
        <v>0</v>
      </c>
      <c r="R1911" s="3">
        <f t="shared" si="148"/>
        <v>1957.54</v>
      </c>
      <c r="S1911" s="3">
        <f t="shared" si="149"/>
        <v>27435.850000000024</v>
      </c>
      <c r="T1911" s="24"/>
      <c r="U1911" s="24"/>
      <c r="V1911" s="67"/>
      <c r="W1911" s="25">
        <f>IFERROR(VLOOKUP(BCP_Soles[[#This Row],[DESTINATARIO]],CHOOSE({1,2},Clientes_Proveedores[Razon Social],Clientes_Proveedores[Ruc / Dni]),2,0),"")</f>
        <v>47461440</v>
      </c>
      <c r="X1911" s="25"/>
      <c r="Y1911" s="25"/>
      <c r="Z1911" s="25"/>
      <c r="AA1911" s="99"/>
      <c r="AB1911" s="3" t="str">
        <f>IF(BCP_Soles[[#This Row],[FECHA]]&gt;0,TEXT(BCP_Soles[[#This Row],[FECHA]],"mmmm"),0)</f>
        <v>Junio</v>
      </c>
    </row>
    <row r="1912" spans="2:28" x14ac:dyDescent="0.3">
      <c r="B1912" s="2">
        <f>IF(BCP_Soles[[#This Row],[TIPO DE R.]]="R",COUNTIFS($D$4:$D1911,"R")+1,"")</f>
        <v>1474</v>
      </c>
      <c r="C1912" s="19" t="str">
        <f t="shared" si="145"/>
        <v>B-BCP - Soles</v>
      </c>
      <c r="D1912" s="3" t="s">
        <v>1074</v>
      </c>
      <c r="E1912" s="14">
        <v>45811</v>
      </c>
      <c r="F1912" s="5" t="s">
        <v>1078</v>
      </c>
      <c r="G1912" s="5" t="s">
        <v>1079</v>
      </c>
      <c r="H1912" s="6"/>
      <c r="I1912" s="6"/>
      <c r="J1912" s="6"/>
      <c r="K1912" s="6"/>
      <c r="L1912" s="7" t="s">
        <v>2868</v>
      </c>
      <c r="M1912" s="8"/>
      <c r="N1912" s="8" t="str">
        <f t="shared" si="146"/>
        <v>PEN</v>
      </c>
      <c r="O1912" s="13"/>
      <c r="P1912" s="13">
        <v>0.05</v>
      </c>
      <c r="Q1912" s="3">
        <f t="shared" si="147"/>
        <v>0</v>
      </c>
      <c r="R1912" s="3">
        <f t="shared" si="148"/>
        <v>0.05</v>
      </c>
      <c r="S1912" s="3">
        <f t="shared" si="149"/>
        <v>27435.800000000025</v>
      </c>
      <c r="T1912" s="24"/>
      <c r="U1912" s="24"/>
      <c r="V1912" s="67"/>
      <c r="W1912" s="25" t="str">
        <f>IFERROR(VLOOKUP(BCP_Soles[[#This Row],[DESTINATARIO]],CHOOSE({1,2},Clientes_Proveedores[Razon Social],Clientes_Proveedores[Ruc / Dni]),2,0),"")</f>
        <v/>
      </c>
      <c r="X1912" s="25"/>
      <c r="Y1912" s="25"/>
      <c r="Z1912" s="25"/>
      <c r="AA1912" s="99"/>
      <c r="AB1912" s="3" t="str">
        <f>IF(BCP_Soles[[#This Row],[FECHA]]&gt;0,TEXT(BCP_Soles[[#This Row],[FECHA]],"mmmm"),0)</f>
        <v>Junio</v>
      </c>
    </row>
    <row r="1913" spans="2:28" ht="48" x14ac:dyDescent="0.3">
      <c r="B1913" s="2">
        <f>IF(BCP_Soles[[#This Row],[TIPO DE R.]]="R",COUNTIFS($D$4:$D1912,"R")+1,"")</f>
        <v>1475</v>
      </c>
      <c r="C1913" s="19" t="str">
        <f t="shared" si="145"/>
        <v>B-BCP - Soles</v>
      </c>
      <c r="D1913" s="3" t="s">
        <v>1074</v>
      </c>
      <c r="E1913" s="14">
        <v>45812</v>
      </c>
      <c r="F1913" s="5" t="s">
        <v>289</v>
      </c>
      <c r="G1913" s="5" t="s">
        <v>1087</v>
      </c>
      <c r="H1913" s="6"/>
      <c r="I1913" s="6"/>
      <c r="J1913" s="6"/>
      <c r="K1913" s="6"/>
      <c r="L1913" s="7" t="s">
        <v>1194</v>
      </c>
      <c r="M1913" s="8">
        <v>4082886</v>
      </c>
      <c r="N1913" s="8" t="str">
        <f t="shared" si="146"/>
        <v>PEN</v>
      </c>
      <c r="O1913" s="13"/>
      <c r="P1913" s="13">
        <v>13585.31</v>
      </c>
      <c r="Q1913" s="3">
        <f t="shared" si="147"/>
        <v>13585.31</v>
      </c>
      <c r="R1913" s="3">
        <f t="shared" si="148"/>
        <v>0</v>
      </c>
      <c r="S1913" s="3">
        <f t="shared" si="149"/>
        <v>41021.110000000022</v>
      </c>
      <c r="T1913" s="24" t="s">
        <v>1081</v>
      </c>
      <c r="U1913" s="24" t="s">
        <v>1081</v>
      </c>
      <c r="V1913" s="67"/>
      <c r="W1913" s="25" t="str">
        <f>IFERROR(VLOOKUP(BCP_Soles[[#This Row],[DESTINATARIO]],CHOOSE({1,2},Clientes_Proveedores[Razon Social],Clientes_Proveedores[Ruc / Dni]),2,0),"")</f>
        <v/>
      </c>
      <c r="X1913" s="25" t="s">
        <v>1090</v>
      </c>
      <c r="Y1913" s="25" t="s">
        <v>2977</v>
      </c>
      <c r="Z1913" s="25"/>
      <c r="AA1913" s="99"/>
      <c r="AB1913" s="3" t="str">
        <f>IF(BCP_Soles[[#This Row],[FECHA]]&gt;0,TEXT(BCP_Soles[[#This Row],[FECHA]],"mmmm"),0)</f>
        <v>Junio</v>
      </c>
    </row>
    <row r="1914" spans="2:28" ht="60" x14ac:dyDescent="0.3">
      <c r="B1914" s="2">
        <f>IF(BCP_Soles[[#This Row],[TIPO DE R.]]="R",COUNTIFS($D$4:$D1913,"R")+1,"")</f>
        <v>1476</v>
      </c>
      <c r="C1914" s="19" t="str">
        <f t="shared" si="145"/>
        <v>B-BCP - Soles</v>
      </c>
      <c r="D1914" s="3" t="s">
        <v>1074</v>
      </c>
      <c r="E1914" s="14">
        <v>45812</v>
      </c>
      <c r="F1914" s="5" t="s">
        <v>214</v>
      </c>
      <c r="G1914" s="5" t="s">
        <v>1087</v>
      </c>
      <c r="H1914" s="6"/>
      <c r="I1914" s="6"/>
      <c r="J1914" s="6"/>
      <c r="K1914" s="6"/>
      <c r="L1914" s="7" t="s">
        <v>2978</v>
      </c>
      <c r="M1914" s="8">
        <v>4085428</v>
      </c>
      <c r="N1914" s="8" t="str">
        <f t="shared" si="146"/>
        <v>PEN</v>
      </c>
      <c r="O1914" s="13"/>
      <c r="P1914" s="13">
        <v>7425.25</v>
      </c>
      <c r="Q1914" s="3">
        <f t="shared" si="147"/>
        <v>7425.25</v>
      </c>
      <c r="R1914" s="3">
        <f t="shared" si="148"/>
        <v>0</v>
      </c>
      <c r="S1914" s="3">
        <f t="shared" si="149"/>
        <v>48446.360000000022</v>
      </c>
      <c r="T1914" s="24" t="s">
        <v>1081</v>
      </c>
      <c r="U1914" s="24" t="s">
        <v>1081</v>
      </c>
      <c r="V1914" s="67"/>
      <c r="W1914" s="25" t="str">
        <f>IFERROR(VLOOKUP(BCP_Soles[[#This Row],[DESTINATARIO]],CHOOSE({1,2},Clientes_Proveedores[Razon Social],Clientes_Proveedores[Ruc / Dni]),2,0),"")</f>
        <v/>
      </c>
      <c r="X1914" s="25" t="s">
        <v>1090</v>
      </c>
      <c r="Y1914" s="25" t="s">
        <v>2979</v>
      </c>
      <c r="Z1914" s="25"/>
      <c r="AA1914" s="99"/>
      <c r="AB1914" s="3" t="str">
        <f>IF(BCP_Soles[[#This Row],[FECHA]]&gt;0,TEXT(BCP_Soles[[#This Row],[FECHA]],"mmmm"),0)</f>
        <v>Junio</v>
      </c>
    </row>
    <row r="1915" spans="2:28" ht="24" x14ac:dyDescent="0.3">
      <c r="B1915" s="2">
        <f>IF(BCP_Soles[[#This Row],[TIPO DE R.]]="R",COUNTIFS($D$4:$D1914,"R")+1,"")</f>
        <v>1477</v>
      </c>
      <c r="C1915" s="19" t="str">
        <f t="shared" si="145"/>
        <v>B-BCP - Soles</v>
      </c>
      <c r="D1915" s="3" t="s">
        <v>1074</v>
      </c>
      <c r="E1915" s="14">
        <v>45812</v>
      </c>
      <c r="F1915" s="5" t="s">
        <v>2801</v>
      </c>
      <c r="G1915" s="5" t="s">
        <v>1087</v>
      </c>
      <c r="H1915" s="6"/>
      <c r="I1915" s="6"/>
      <c r="J1915" s="6"/>
      <c r="K1915" s="6"/>
      <c r="L1915" s="7" t="s">
        <v>1100</v>
      </c>
      <c r="M1915" s="8">
        <v>3755848</v>
      </c>
      <c r="N1915" s="8" t="str">
        <f t="shared" si="146"/>
        <v>PEN</v>
      </c>
      <c r="O1915" s="13"/>
      <c r="P1915" s="13">
        <v>5160</v>
      </c>
      <c r="Q1915" s="3">
        <f t="shared" si="147"/>
        <v>5160</v>
      </c>
      <c r="R1915" s="3">
        <f t="shared" si="148"/>
        <v>0</v>
      </c>
      <c r="S1915" s="3">
        <f t="shared" si="149"/>
        <v>53606.360000000022</v>
      </c>
      <c r="T1915" s="24" t="s">
        <v>1081</v>
      </c>
      <c r="U1915" s="24" t="s">
        <v>1081</v>
      </c>
      <c r="V1915" s="67"/>
      <c r="W1915" s="25" t="str">
        <f>IFERROR(VLOOKUP(BCP_Soles[[#This Row],[DESTINATARIO]],CHOOSE({1,2},Clientes_Proveedores[Razon Social],Clientes_Proveedores[Ruc / Dni]),2,0),"")</f>
        <v/>
      </c>
      <c r="X1915" s="25" t="s">
        <v>1090</v>
      </c>
      <c r="Y1915" s="25" t="s">
        <v>2980</v>
      </c>
      <c r="Z1915" s="25"/>
      <c r="AA1915" s="99"/>
      <c r="AB1915" s="3" t="str">
        <f>IF(BCP_Soles[[#This Row],[FECHA]]&gt;0,TEXT(BCP_Soles[[#This Row],[FECHA]],"mmmm"),0)</f>
        <v>Junio</v>
      </c>
    </row>
    <row r="1916" spans="2:28" ht="24" x14ac:dyDescent="0.3">
      <c r="B1916" s="2">
        <f>IF(BCP_Soles[[#This Row],[TIPO DE R.]]="R",COUNTIFS($D$4:$D1915,"R")+1,"")</f>
        <v>1478</v>
      </c>
      <c r="C1916" s="19" t="str">
        <f t="shared" si="145"/>
        <v>B-BCP - Soles</v>
      </c>
      <c r="D1916" s="3" t="s">
        <v>1074</v>
      </c>
      <c r="E1916" s="14">
        <v>45812</v>
      </c>
      <c r="F1916" s="5" t="s">
        <v>1407</v>
      </c>
      <c r="G1916" s="5" t="s">
        <v>1087</v>
      </c>
      <c r="H1916" s="6"/>
      <c r="I1916" s="6"/>
      <c r="J1916" s="6"/>
      <c r="K1916" s="6"/>
      <c r="L1916" s="7" t="s">
        <v>1100</v>
      </c>
      <c r="M1916" s="8">
        <v>3348455</v>
      </c>
      <c r="N1916" s="8" t="str">
        <f t="shared" si="146"/>
        <v>PEN</v>
      </c>
      <c r="O1916" s="13"/>
      <c r="P1916" s="13">
        <v>2100</v>
      </c>
      <c r="Q1916" s="3">
        <f t="shared" si="147"/>
        <v>2100</v>
      </c>
      <c r="R1916" s="3">
        <f t="shared" si="148"/>
        <v>0</v>
      </c>
      <c r="S1916" s="3">
        <f t="shared" si="149"/>
        <v>55706.360000000022</v>
      </c>
      <c r="T1916" s="24" t="s">
        <v>1081</v>
      </c>
      <c r="U1916" s="24" t="s">
        <v>1081</v>
      </c>
      <c r="V1916" s="67"/>
      <c r="W1916" s="25" t="str">
        <f>IFERROR(VLOOKUP(BCP_Soles[[#This Row],[DESTINATARIO]],CHOOSE({1,2},Clientes_Proveedores[Razon Social],Clientes_Proveedores[Ruc / Dni]),2,0),"")</f>
        <v/>
      </c>
      <c r="X1916" s="25" t="s">
        <v>1090</v>
      </c>
      <c r="Y1916" s="25" t="s">
        <v>2981</v>
      </c>
      <c r="Z1916" s="25"/>
      <c r="AA1916" s="99"/>
      <c r="AB1916" s="3" t="str">
        <f>IF(BCP_Soles[[#This Row],[FECHA]]&gt;0,TEXT(BCP_Soles[[#This Row],[FECHA]],"mmmm"),0)</f>
        <v>Junio</v>
      </c>
    </row>
    <row r="1917" spans="2:28" ht="24" x14ac:dyDescent="0.3">
      <c r="B1917" s="2">
        <f>IF(BCP_Soles[[#This Row],[TIPO DE R.]]="R",COUNTIFS($D$4:$D1916,"R")+1,"")</f>
        <v>1479</v>
      </c>
      <c r="C1917" s="19" t="str">
        <f t="shared" si="145"/>
        <v>B-BCP - Soles</v>
      </c>
      <c r="D1917" s="3" t="s">
        <v>1074</v>
      </c>
      <c r="E1917" s="14">
        <v>45812</v>
      </c>
      <c r="F1917" s="5" t="s">
        <v>1245</v>
      </c>
      <c r="G1917" s="5" t="s">
        <v>1087</v>
      </c>
      <c r="H1917" s="6"/>
      <c r="I1917" s="6"/>
      <c r="J1917" s="6"/>
      <c r="K1917" s="6"/>
      <c r="L1917" s="7" t="s">
        <v>1100</v>
      </c>
      <c r="M1917" s="8">
        <v>3591067</v>
      </c>
      <c r="N1917" s="8" t="str">
        <f t="shared" si="146"/>
        <v>PEN</v>
      </c>
      <c r="O1917" s="13"/>
      <c r="P1917" s="13">
        <v>1974.4</v>
      </c>
      <c r="Q1917" s="3">
        <f t="shared" si="147"/>
        <v>1974.4</v>
      </c>
      <c r="R1917" s="3">
        <f t="shared" si="148"/>
        <v>0</v>
      </c>
      <c r="S1917" s="3">
        <f t="shared" si="149"/>
        <v>57680.760000000024</v>
      </c>
      <c r="T1917" s="24" t="s">
        <v>1081</v>
      </c>
      <c r="U1917" s="24" t="s">
        <v>1081</v>
      </c>
      <c r="V1917" s="67"/>
      <c r="W1917" s="25" t="str">
        <f>IFERROR(VLOOKUP(BCP_Soles[[#This Row],[DESTINATARIO]],CHOOSE({1,2},Clientes_Proveedores[Razon Social],Clientes_Proveedores[Ruc / Dni]),2,0),"")</f>
        <v/>
      </c>
      <c r="X1917" s="25" t="s">
        <v>1090</v>
      </c>
      <c r="Y1917" s="25" t="s">
        <v>2202</v>
      </c>
      <c r="Z1917" s="25"/>
      <c r="AA1917" s="99"/>
      <c r="AB1917" s="3" t="str">
        <f>IF(BCP_Soles[[#This Row],[FECHA]]&gt;0,TEXT(BCP_Soles[[#This Row],[FECHA]],"mmmm"),0)</f>
        <v>Junio</v>
      </c>
    </row>
    <row r="1918" spans="2:28" x14ac:dyDescent="0.3">
      <c r="B1918" s="2">
        <f>IF(BCP_Soles[[#This Row],[TIPO DE R.]]="R",COUNTIFS($D$4:$D1917,"R")+1,"")</f>
        <v>1480</v>
      </c>
      <c r="C1918" s="19" t="str">
        <f t="shared" si="145"/>
        <v>B-BCP - Soles</v>
      </c>
      <c r="D1918" s="3" t="s">
        <v>1074</v>
      </c>
      <c r="E1918" s="14">
        <v>45812</v>
      </c>
      <c r="F1918" s="5" t="s">
        <v>1078</v>
      </c>
      <c r="G1918" s="5" t="s">
        <v>1079</v>
      </c>
      <c r="H1918" s="6"/>
      <c r="I1918" s="6"/>
      <c r="J1918" s="6"/>
      <c r="K1918" s="6"/>
      <c r="L1918" s="7" t="s">
        <v>2868</v>
      </c>
      <c r="M1918" s="8"/>
      <c r="N1918" s="8" t="str">
        <f t="shared" si="146"/>
        <v>PEN</v>
      </c>
      <c r="O1918" s="13"/>
      <c r="P1918" s="13">
        <v>2</v>
      </c>
      <c r="Q1918" s="3">
        <f t="shared" si="147"/>
        <v>0</v>
      </c>
      <c r="R1918" s="3">
        <f t="shared" si="148"/>
        <v>2</v>
      </c>
      <c r="S1918" s="3">
        <f t="shared" si="149"/>
        <v>57678.760000000024</v>
      </c>
      <c r="T1918" s="24"/>
      <c r="U1918" s="24"/>
      <c r="V1918" s="67"/>
      <c r="W1918" s="25" t="str">
        <f>IFERROR(VLOOKUP(BCP_Soles[[#This Row],[DESTINATARIO]],CHOOSE({1,2},Clientes_Proveedores[Razon Social],Clientes_Proveedores[Ruc / Dni]),2,0),"")</f>
        <v/>
      </c>
      <c r="X1918" s="25"/>
      <c r="Y1918" s="25"/>
      <c r="Z1918" s="25"/>
      <c r="AA1918" s="99"/>
      <c r="AB1918" s="3" t="str">
        <f>IF(BCP_Soles[[#This Row],[FECHA]]&gt;0,TEXT(BCP_Soles[[#This Row],[FECHA]],"mmmm"),0)</f>
        <v>Junio</v>
      </c>
    </row>
    <row r="1919" spans="2:28" ht="24" x14ac:dyDescent="0.3">
      <c r="B1919" s="2">
        <f>IF(BCP_Soles[[#This Row],[TIPO DE R.]]="R",COUNTIFS($D$4:$D1918,"R")+1,"")</f>
        <v>1481</v>
      </c>
      <c r="C1919" s="19" t="str">
        <f t="shared" si="145"/>
        <v>B-BCP - Soles</v>
      </c>
      <c r="D1919" s="3" t="s">
        <v>1074</v>
      </c>
      <c r="E1919" s="14">
        <v>45812</v>
      </c>
      <c r="F1919" s="5" t="s">
        <v>1082</v>
      </c>
      <c r="G1919" s="5" t="s">
        <v>1079</v>
      </c>
      <c r="H1919" s="6" t="s">
        <v>192</v>
      </c>
      <c r="I1919" s="6"/>
      <c r="J1919" s="6"/>
      <c r="K1919" s="6"/>
      <c r="L1919" s="7" t="s">
        <v>2982</v>
      </c>
      <c r="M1919" s="8">
        <v>1216697</v>
      </c>
      <c r="N1919" s="8" t="str">
        <f t="shared" si="146"/>
        <v>PEN</v>
      </c>
      <c r="O1919" s="13"/>
      <c r="P1919" s="13">
        <v>40.71</v>
      </c>
      <c r="Q1919" s="3">
        <f t="shared" si="147"/>
        <v>0</v>
      </c>
      <c r="R1919" s="3">
        <f t="shared" si="148"/>
        <v>40.71</v>
      </c>
      <c r="S1919" s="3">
        <f t="shared" si="149"/>
        <v>57638.050000000025</v>
      </c>
      <c r="T1919" s="24"/>
      <c r="U1919" s="24"/>
      <c r="V1919" s="67"/>
      <c r="W1919" s="25">
        <f>IFERROR(VLOOKUP(BCP_Soles[[#This Row],[DESTINATARIO]],CHOOSE({1,2},Clientes_Proveedores[Razon Social],Clientes_Proveedores[Ruc / Dni]),2,0),"")</f>
        <v>20302891452</v>
      </c>
      <c r="X1919" s="25" t="s">
        <v>192</v>
      </c>
      <c r="Y1919" s="25"/>
      <c r="Z1919" s="25"/>
      <c r="AA1919" s="99"/>
      <c r="AB1919" s="3" t="str">
        <f>IF(BCP_Soles[[#This Row],[FECHA]]&gt;0,TEXT(BCP_Soles[[#This Row],[FECHA]],"mmmm"),0)</f>
        <v>Junio</v>
      </c>
    </row>
    <row r="1920" spans="2:28" ht="48" x14ac:dyDescent="0.3">
      <c r="B1920" s="2">
        <f>IF(BCP_Soles[[#This Row],[TIPO DE R.]]="R",COUNTIFS($D$4:$D1919,"R")+1,"")</f>
        <v>1482</v>
      </c>
      <c r="C1920" s="19" t="str">
        <f t="shared" si="145"/>
        <v>B-BCP - Soles</v>
      </c>
      <c r="D1920" s="3" t="s">
        <v>1074</v>
      </c>
      <c r="E1920" s="14">
        <v>45812</v>
      </c>
      <c r="F1920" s="5" t="s">
        <v>1082</v>
      </c>
      <c r="G1920" s="5" t="s">
        <v>1079</v>
      </c>
      <c r="H1920" s="6" t="s">
        <v>444</v>
      </c>
      <c r="I1920" s="6" t="s">
        <v>14</v>
      </c>
      <c r="J1920" s="6" t="s">
        <v>1266</v>
      </c>
      <c r="K1920" s="6">
        <v>10509</v>
      </c>
      <c r="L1920" s="7" t="s">
        <v>2983</v>
      </c>
      <c r="M1920" s="8">
        <v>1011973</v>
      </c>
      <c r="N1920" s="8" t="str">
        <f t="shared" si="146"/>
        <v>PEN</v>
      </c>
      <c r="O1920" s="13"/>
      <c r="P1920" s="13">
        <v>69.61</v>
      </c>
      <c r="Q1920" s="3">
        <f t="shared" si="147"/>
        <v>0</v>
      </c>
      <c r="R1920" s="3">
        <f t="shared" si="148"/>
        <v>69.61</v>
      </c>
      <c r="S1920" s="3">
        <f t="shared" si="149"/>
        <v>57568.440000000024</v>
      </c>
      <c r="T1920" s="24" t="s">
        <v>1081</v>
      </c>
      <c r="U1920" s="24" t="s">
        <v>1081</v>
      </c>
      <c r="V1920" s="67"/>
      <c r="W1920" s="25">
        <f>IFERROR(VLOOKUP(BCP_Soles[[#This Row],[DESTINATARIO]],CHOOSE({1,2},Clientes_Proveedores[Razon Social],Clientes_Proveedores[Ruc / Dni]),2,0),"")</f>
        <v>20602978274</v>
      </c>
      <c r="X1920" s="25" t="s">
        <v>1268</v>
      </c>
      <c r="Y1920" s="25" t="s">
        <v>2984</v>
      </c>
      <c r="Z1920" s="25"/>
      <c r="AA1920" s="99"/>
      <c r="AB1920" s="3" t="str">
        <f>IF(BCP_Soles[[#This Row],[FECHA]]&gt;0,TEXT(BCP_Soles[[#This Row],[FECHA]],"mmmm"),0)</f>
        <v>Junio</v>
      </c>
    </row>
    <row r="1921" spans="2:28" ht="36" x14ac:dyDescent="0.3">
      <c r="B1921" s="2">
        <f>IF(BCP_Soles[[#This Row],[TIPO DE R.]]="R",COUNTIFS($D$4:$D1920,"R")+1,"")</f>
        <v>1483</v>
      </c>
      <c r="C1921" s="19" t="str">
        <f t="shared" si="145"/>
        <v>B-BCP - Soles</v>
      </c>
      <c r="D1921" s="3" t="s">
        <v>1074</v>
      </c>
      <c r="E1921" s="14">
        <v>45812</v>
      </c>
      <c r="F1921" s="5" t="s">
        <v>1082</v>
      </c>
      <c r="G1921" s="5" t="s">
        <v>1079</v>
      </c>
      <c r="H1921" s="6" t="s">
        <v>530</v>
      </c>
      <c r="I1921" s="6" t="s">
        <v>14</v>
      </c>
      <c r="J1921" s="6" t="s">
        <v>1121</v>
      </c>
      <c r="K1921" s="6">
        <v>429</v>
      </c>
      <c r="L1921" s="7" t="s">
        <v>2985</v>
      </c>
      <c r="M1921" s="8">
        <v>1100548</v>
      </c>
      <c r="N1921" s="8" t="str">
        <f t="shared" si="146"/>
        <v>PEN</v>
      </c>
      <c r="O1921" s="13"/>
      <c r="P1921" s="13">
        <v>94.28</v>
      </c>
      <c r="Q1921" s="3">
        <f t="shared" si="147"/>
        <v>0</v>
      </c>
      <c r="R1921" s="3">
        <f t="shared" si="148"/>
        <v>94.28</v>
      </c>
      <c r="S1921" s="3">
        <f t="shared" si="149"/>
        <v>57474.160000000025</v>
      </c>
      <c r="T1921" s="24" t="s">
        <v>1081</v>
      </c>
      <c r="U1921" s="24" t="s">
        <v>1081</v>
      </c>
      <c r="V1921" s="67"/>
      <c r="W1921" s="25">
        <f>IFERROR(VLOOKUP(BCP_Soles[[#This Row],[DESTINATARIO]],CHOOSE({1,2},Clientes_Proveedores[Razon Social],Clientes_Proveedores[Ruc / Dni]),2,0),"")</f>
        <v>20609368773</v>
      </c>
      <c r="X1921" s="25" t="s">
        <v>1181</v>
      </c>
      <c r="Y1921" s="25" t="s">
        <v>2986</v>
      </c>
      <c r="Z1921" s="25"/>
      <c r="AA1921" s="99"/>
      <c r="AB1921" s="3" t="str">
        <f>IF(BCP_Soles[[#This Row],[FECHA]]&gt;0,TEXT(BCP_Soles[[#This Row],[FECHA]],"mmmm"),0)</f>
        <v>Junio</v>
      </c>
    </row>
    <row r="1922" spans="2:28" ht="24" x14ac:dyDescent="0.3">
      <c r="B1922" s="2">
        <f>IF(BCP_Soles[[#This Row],[TIPO DE R.]]="R",COUNTIFS($D$4:$D1921,"R")+1,"")</f>
        <v>1484</v>
      </c>
      <c r="C1922" s="19" t="str">
        <f t="shared" si="145"/>
        <v>B-BCP - Soles</v>
      </c>
      <c r="D1922" s="3" t="s">
        <v>1074</v>
      </c>
      <c r="E1922" s="14">
        <v>45812</v>
      </c>
      <c r="F1922" s="5" t="s">
        <v>1082</v>
      </c>
      <c r="G1922" s="5" t="s">
        <v>1079</v>
      </c>
      <c r="H1922" s="6" t="s">
        <v>798</v>
      </c>
      <c r="I1922" s="6" t="s">
        <v>87</v>
      </c>
      <c r="J1922" s="6">
        <v>1</v>
      </c>
      <c r="K1922" s="6">
        <v>452025</v>
      </c>
      <c r="L1922" s="7" t="s">
        <v>2987</v>
      </c>
      <c r="M1922" s="8">
        <v>1099945</v>
      </c>
      <c r="N1922" s="8" t="str">
        <f t="shared" si="146"/>
        <v>PEN</v>
      </c>
      <c r="O1922" s="13"/>
      <c r="P1922" s="13">
        <v>154.02000000000001</v>
      </c>
      <c r="Q1922" s="3">
        <f t="shared" si="147"/>
        <v>0</v>
      </c>
      <c r="R1922" s="3">
        <f t="shared" si="148"/>
        <v>154.02000000000001</v>
      </c>
      <c r="S1922" s="3">
        <f t="shared" si="149"/>
        <v>57320.140000000029</v>
      </c>
      <c r="T1922" s="24" t="s">
        <v>1081</v>
      </c>
      <c r="U1922" s="24" t="s">
        <v>1081</v>
      </c>
      <c r="V1922" s="67"/>
      <c r="W1922" s="25">
        <f>IFERROR(VLOOKUP(BCP_Soles[[#This Row],[DESTINATARIO]],CHOOSE({1,2},Clientes_Proveedores[Razon Social],Clientes_Proveedores[Ruc / Dni]),2,0),"")</f>
        <v>70666331</v>
      </c>
      <c r="X1922" s="25" t="s">
        <v>798</v>
      </c>
      <c r="Y1922" s="25" t="s">
        <v>2988</v>
      </c>
      <c r="Z1922" s="25"/>
      <c r="AA1922" s="99"/>
      <c r="AB1922" s="3" t="str">
        <f>IF(BCP_Soles[[#This Row],[FECHA]]&gt;0,TEXT(BCP_Soles[[#This Row],[FECHA]],"mmmm"),0)</f>
        <v>Junio</v>
      </c>
    </row>
    <row r="1923" spans="2:28" x14ac:dyDescent="0.3">
      <c r="B1923" s="2">
        <f>IF(BCP_Soles[[#This Row],[TIPO DE R.]]="R",COUNTIFS($D$4:$D1922,"R")+1,"")</f>
        <v>1485</v>
      </c>
      <c r="C1923" s="19" t="str">
        <f t="shared" si="145"/>
        <v>B-BCP - Soles</v>
      </c>
      <c r="D1923" s="3" t="s">
        <v>1074</v>
      </c>
      <c r="E1923" s="14">
        <v>45812</v>
      </c>
      <c r="F1923" s="5"/>
      <c r="G1923" s="5" t="s">
        <v>1079</v>
      </c>
      <c r="H1923" s="6"/>
      <c r="I1923" s="6"/>
      <c r="J1923" s="6"/>
      <c r="K1923" s="6"/>
      <c r="L1923" s="7" t="s">
        <v>2989</v>
      </c>
      <c r="M1923" s="8">
        <v>1009998</v>
      </c>
      <c r="N1923" s="8" t="str">
        <f t="shared" si="146"/>
        <v>PEN</v>
      </c>
      <c r="O1923" s="13"/>
      <c r="P1923" s="13">
        <v>164.83</v>
      </c>
      <c r="Q1923" s="3">
        <f t="shared" si="147"/>
        <v>0</v>
      </c>
      <c r="R1923" s="3">
        <f t="shared" si="148"/>
        <v>164.83</v>
      </c>
      <c r="S1923" s="3">
        <f t="shared" si="149"/>
        <v>57155.310000000027</v>
      </c>
      <c r="T1923" s="24"/>
      <c r="U1923" s="24"/>
      <c r="V1923" s="67"/>
      <c r="W1923" s="25" t="str">
        <f>IFERROR(VLOOKUP(BCP_Soles[[#This Row],[DESTINATARIO]],CHOOSE({1,2},Clientes_Proveedores[Razon Social],Clientes_Proveedores[Ruc / Dni]),2,0),"")</f>
        <v/>
      </c>
      <c r="X1923" s="25"/>
      <c r="Y1923" s="25"/>
      <c r="Z1923" s="25"/>
      <c r="AA1923" s="99"/>
      <c r="AB1923" s="3" t="str">
        <f>IF(BCP_Soles[[#This Row],[FECHA]]&gt;0,TEXT(BCP_Soles[[#This Row],[FECHA]],"mmmm"),0)</f>
        <v>Junio</v>
      </c>
    </row>
    <row r="1924" spans="2:28" x14ac:dyDescent="0.3">
      <c r="B1924" s="2">
        <f>IF(BCP_Soles[[#This Row],[TIPO DE R.]]="R",COUNTIFS($D$4:$D1923,"R")+1,"")</f>
        <v>1486</v>
      </c>
      <c r="C1924" s="19" t="str">
        <f t="shared" si="145"/>
        <v>B-BCP - Soles</v>
      </c>
      <c r="D1924" s="3" t="s">
        <v>1074</v>
      </c>
      <c r="E1924" s="14">
        <v>45812</v>
      </c>
      <c r="F1924" s="5" t="s">
        <v>1082</v>
      </c>
      <c r="G1924" s="5" t="s">
        <v>1079</v>
      </c>
      <c r="H1924" s="6" t="s">
        <v>507</v>
      </c>
      <c r="I1924" s="6" t="s">
        <v>14</v>
      </c>
      <c r="J1924" s="6" t="s">
        <v>1174</v>
      </c>
      <c r="K1924" s="6">
        <v>203</v>
      </c>
      <c r="L1924" s="7" t="s">
        <v>2990</v>
      </c>
      <c r="M1924" s="8">
        <v>1097999</v>
      </c>
      <c r="N1924" s="8" t="str">
        <f t="shared" si="146"/>
        <v>PEN</v>
      </c>
      <c r="O1924" s="13"/>
      <c r="P1924" s="13">
        <v>180</v>
      </c>
      <c r="Q1924" s="3">
        <f t="shared" si="147"/>
        <v>0</v>
      </c>
      <c r="R1924" s="3">
        <f t="shared" si="148"/>
        <v>180</v>
      </c>
      <c r="S1924" s="3">
        <f t="shared" si="149"/>
        <v>56975.310000000027</v>
      </c>
      <c r="T1924" s="24" t="s">
        <v>1081</v>
      </c>
      <c r="U1924" s="24" t="s">
        <v>1081</v>
      </c>
      <c r="V1924" s="67"/>
      <c r="W1924" s="25">
        <f>IFERROR(VLOOKUP(BCP_Soles[[#This Row],[DESTINATARIO]],CHOOSE({1,2},Clientes_Proveedores[Razon Social],Clientes_Proveedores[Ruc / Dni]),2,0),"")</f>
        <v>20608587803</v>
      </c>
      <c r="X1924" s="25" t="s">
        <v>507</v>
      </c>
      <c r="Y1924" s="25" t="s">
        <v>2991</v>
      </c>
      <c r="Z1924" s="25"/>
      <c r="AA1924" s="99"/>
      <c r="AB1924" s="3" t="str">
        <f>IF(BCP_Soles[[#This Row],[FECHA]]&gt;0,TEXT(BCP_Soles[[#This Row],[FECHA]],"mmmm"),0)</f>
        <v>Junio</v>
      </c>
    </row>
    <row r="1925" spans="2:28" ht="24" x14ac:dyDescent="0.3">
      <c r="B1925" s="2">
        <f>IF(BCP_Soles[[#This Row],[TIPO DE R.]]="R",COUNTIFS($D$4:$D1924,"R")+1,"")</f>
        <v>1487</v>
      </c>
      <c r="C1925" s="19" t="str">
        <f t="shared" ref="C1925:C1988" si="150">"B-BCP - Soles"</f>
        <v>B-BCP - Soles</v>
      </c>
      <c r="D1925" s="3" t="s">
        <v>1074</v>
      </c>
      <c r="E1925" s="14">
        <v>45812</v>
      </c>
      <c r="F1925" s="5" t="s">
        <v>1082</v>
      </c>
      <c r="G1925" s="5" t="s">
        <v>1079</v>
      </c>
      <c r="H1925" s="6" t="s">
        <v>425</v>
      </c>
      <c r="I1925" s="6" t="s">
        <v>14</v>
      </c>
      <c r="J1925" s="6" t="s">
        <v>1119</v>
      </c>
      <c r="K1925" s="6">
        <v>482</v>
      </c>
      <c r="L1925" s="7" t="s">
        <v>2992</v>
      </c>
      <c r="M1925" s="8">
        <v>1098977</v>
      </c>
      <c r="N1925" s="8" t="str">
        <f t="shared" ref="N1925:N1988" si="151">"PEN"</f>
        <v>PEN</v>
      </c>
      <c r="O1925" s="13"/>
      <c r="P1925" s="13">
        <v>283.2</v>
      </c>
      <c r="Q1925" s="3">
        <f t="shared" ref="Q1925:Q1988" si="152">+IF(OR($G1925="SALDO",$G1925="INGRESO"),$P1925,0)</f>
        <v>0</v>
      </c>
      <c r="R1925" s="3">
        <f t="shared" ref="R1925:R1988" si="153">+IF($G1925="EGRESO",$P1925,0)</f>
        <v>283.2</v>
      </c>
      <c r="S1925" s="3">
        <f t="shared" ref="S1925:S1988" si="154">IFERROR(IF(G1925="SALDO",Q1925,S1924+Q1925-R1925),0)</f>
        <v>56692.11000000003</v>
      </c>
      <c r="T1925" s="24" t="s">
        <v>1081</v>
      </c>
      <c r="U1925" s="24" t="s">
        <v>1081</v>
      </c>
      <c r="V1925" s="67"/>
      <c r="W1925" s="25">
        <f>IFERROR(VLOOKUP(BCP_Soles[[#This Row],[DESTINATARIO]],CHOOSE({1,2},Clientes_Proveedores[Razon Social],Clientes_Proveedores[Ruc / Dni]),2,0),"")</f>
        <v>20602441165</v>
      </c>
      <c r="X1925" s="25" t="s">
        <v>425</v>
      </c>
      <c r="Y1925" s="25" t="s">
        <v>2993</v>
      </c>
      <c r="Z1925" s="25"/>
      <c r="AA1925" s="99"/>
      <c r="AB1925" s="3" t="str">
        <f>IF(BCP_Soles[[#This Row],[FECHA]]&gt;0,TEXT(BCP_Soles[[#This Row],[FECHA]],"mmmm"),0)</f>
        <v>Junio</v>
      </c>
    </row>
    <row r="1926" spans="2:28" ht="48" x14ac:dyDescent="0.3">
      <c r="B1926" s="2">
        <f>IF(BCP_Soles[[#This Row],[TIPO DE R.]]="R",COUNTIFS($D$4:$D1925,"R")+1,"")</f>
        <v>1488</v>
      </c>
      <c r="C1926" s="19" t="str">
        <f t="shared" si="150"/>
        <v>B-BCP - Soles</v>
      </c>
      <c r="D1926" s="3" t="s">
        <v>1074</v>
      </c>
      <c r="E1926" s="14">
        <v>45812</v>
      </c>
      <c r="F1926" s="5" t="s">
        <v>1082</v>
      </c>
      <c r="G1926" s="5" t="s">
        <v>1079</v>
      </c>
      <c r="H1926" s="6" t="s">
        <v>444</v>
      </c>
      <c r="I1926" s="6" t="s">
        <v>14</v>
      </c>
      <c r="J1926" s="6" t="s">
        <v>1390</v>
      </c>
      <c r="K1926" s="6">
        <v>7894</v>
      </c>
      <c r="L1926" s="7" t="s">
        <v>2994</v>
      </c>
      <c r="M1926" s="8">
        <v>1009492</v>
      </c>
      <c r="N1926" s="8" t="str">
        <f t="shared" si="151"/>
        <v>PEN</v>
      </c>
      <c r="O1926" s="13"/>
      <c r="P1926" s="13">
        <v>285.70999999999998</v>
      </c>
      <c r="Q1926" s="3">
        <f t="shared" si="152"/>
        <v>0</v>
      </c>
      <c r="R1926" s="3">
        <f t="shared" si="153"/>
        <v>285.70999999999998</v>
      </c>
      <c r="S1926" s="3">
        <f t="shared" si="154"/>
        <v>56406.400000000031</v>
      </c>
      <c r="T1926" s="24" t="s">
        <v>1081</v>
      </c>
      <c r="U1926" s="24" t="s">
        <v>1081</v>
      </c>
      <c r="V1926" s="67"/>
      <c r="W1926" s="25">
        <f>IFERROR(VLOOKUP(BCP_Soles[[#This Row],[DESTINATARIO]],CHOOSE({1,2},Clientes_Proveedores[Razon Social],Clientes_Proveedores[Ruc / Dni]),2,0),"")</f>
        <v>20602978274</v>
      </c>
      <c r="X1926" s="25" t="s">
        <v>1268</v>
      </c>
      <c r="Y1926" s="25" t="s">
        <v>2995</v>
      </c>
      <c r="Z1926" s="25"/>
      <c r="AA1926" s="99"/>
      <c r="AB1926" s="3" t="str">
        <f>IF(BCP_Soles[[#This Row],[FECHA]]&gt;0,TEXT(BCP_Soles[[#This Row],[FECHA]],"mmmm"),0)</f>
        <v>Junio</v>
      </c>
    </row>
    <row r="1927" spans="2:28" ht="24" x14ac:dyDescent="0.3">
      <c r="B1927" s="2">
        <f>IF(BCP_Soles[[#This Row],[TIPO DE R.]]="R",COUNTIFS($D$4:$D1926,"R")+1,"")</f>
        <v>1489</v>
      </c>
      <c r="C1927" s="19" t="str">
        <f t="shared" si="150"/>
        <v>B-BCP - Soles</v>
      </c>
      <c r="D1927" s="3" t="s">
        <v>1074</v>
      </c>
      <c r="E1927" s="14">
        <v>45812</v>
      </c>
      <c r="F1927" s="5" t="s">
        <v>1082</v>
      </c>
      <c r="G1927" s="5" t="s">
        <v>1079</v>
      </c>
      <c r="H1927" s="6" t="s">
        <v>425</v>
      </c>
      <c r="I1927" s="6" t="s">
        <v>14</v>
      </c>
      <c r="J1927" s="6" t="s">
        <v>1119</v>
      </c>
      <c r="K1927" s="6">
        <v>483</v>
      </c>
      <c r="L1927" s="7" t="s">
        <v>2996</v>
      </c>
      <c r="M1927" s="8">
        <v>1099468</v>
      </c>
      <c r="N1927" s="8" t="str">
        <f t="shared" si="151"/>
        <v>PEN</v>
      </c>
      <c r="O1927" s="13"/>
      <c r="P1927" s="13">
        <v>865</v>
      </c>
      <c r="Q1927" s="3">
        <f t="shared" si="152"/>
        <v>0</v>
      </c>
      <c r="R1927" s="3">
        <f t="shared" si="153"/>
        <v>865</v>
      </c>
      <c r="S1927" s="3">
        <f t="shared" si="154"/>
        <v>55541.400000000031</v>
      </c>
      <c r="T1927" s="24" t="s">
        <v>1081</v>
      </c>
      <c r="U1927" s="24" t="s">
        <v>1081</v>
      </c>
      <c r="V1927" s="67"/>
      <c r="W1927" s="25">
        <f>IFERROR(VLOOKUP(BCP_Soles[[#This Row],[DESTINATARIO]],CHOOSE({1,2},Clientes_Proveedores[Razon Social],Clientes_Proveedores[Ruc / Dni]),2,0),"")</f>
        <v>20602441165</v>
      </c>
      <c r="X1927" s="25" t="s">
        <v>425</v>
      </c>
      <c r="Y1927" s="25" t="s">
        <v>2997</v>
      </c>
      <c r="Z1927" s="25"/>
      <c r="AA1927" s="99"/>
      <c r="AB1927" s="3" t="str">
        <f>IF(BCP_Soles[[#This Row],[FECHA]]&gt;0,TEXT(BCP_Soles[[#This Row],[FECHA]],"mmmm"),0)</f>
        <v>Junio</v>
      </c>
    </row>
    <row r="1928" spans="2:28" ht="24" x14ac:dyDescent="0.3">
      <c r="B1928" s="2">
        <f>IF(BCP_Soles[[#This Row],[TIPO DE R.]]="R",COUNTIFS($D$4:$D1927,"R")+1,"")</f>
        <v>1490</v>
      </c>
      <c r="C1928" s="19" t="str">
        <f t="shared" si="150"/>
        <v>B-BCP - Soles</v>
      </c>
      <c r="D1928" s="3" t="s">
        <v>1074</v>
      </c>
      <c r="E1928" s="14">
        <v>45812</v>
      </c>
      <c r="F1928" s="5" t="s">
        <v>1996</v>
      </c>
      <c r="G1928" s="5" t="s">
        <v>1079</v>
      </c>
      <c r="H1928" s="6" t="s">
        <v>192</v>
      </c>
      <c r="I1928" s="6"/>
      <c r="J1928" s="6"/>
      <c r="K1928" s="6"/>
      <c r="L1928" s="7" t="s">
        <v>2982</v>
      </c>
      <c r="M1928" s="8">
        <v>1218643</v>
      </c>
      <c r="N1928" s="8" t="str">
        <f t="shared" si="151"/>
        <v>PEN</v>
      </c>
      <c r="O1928" s="13"/>
      <c r="P1928" s="13">
        <v>1140.07</v>
      </c>
      <c r="Q1928" s="3">
        <f t="shared" si="152"/>
        <v>0</v>
      </c>
      <c r="R1928" s="3">
        <f t="shared" si="153"/>
        <v>1140.07</v>
      </c>
      <c r="S1928" s="3">
        <f t="shared" si="154"/>
        <v>54401.330000000031</v>
      </c>
      <c r="T1928" s="24"/>
      <c r="U1928" s="24"/>
      <c r="V1928" s="67"/>
      <c r="W1928" s="25">
        <f>IFERROR(VLOOKUP(BCP_Soles[[#This Row],[DESTINATARIO]],CHOOSE({1,2},Clientes_Proveedores[Razon Social],Clientes_Proveedores[Ruc / Dni]),2,0),"")</f>
        <v>20302891452</v>
      </c>
      <c r="X1928" s="25" t="s">
        <v>192</v>
      </c>
      <c r="Y1928" s="25"/>
      <c r="Z1928" s="25"/>
      <c r="AA1928" s="99"/>
      <c r="AB1928" s="3" t="str">
        <f>IF(BCP_Soles[[#This Row],[FECHA]]&gt;0,TEXT(BCP_Soles[[#This Row],[FECHA]],"mmmm"),0)</f>
        <v>Junio</v>
      </c>
    </row>
    <row r="1929" spans="2:28" ht="24" x14ac:dyDescent="0.3">
      <c r="B1929" s="2">
        <f>IF(BCP_Soles[[#This Row],[TIPO DE R.]]="R",COUNTIFS($D$4:$D1928,"R")+1,"")</f>
        <v>1491</v>
      </c>
      <c r="C1929" s="19" t="str">
        <f t="shared" si="150"/>
        <v>B-BCP - Soles</v>
      </c>
      <c r="D1929" s="3" t="s">
        <v>1074</v>
      </c>
      <c r="E1929" s="14">
        <v>45812</v>
      </c>
      <c r="F1929" s="5" t="s">
        <v>1996</v>
      </c>
      <c r="G1929" s="5" t="s">
        <v>1079</v>
      </c>
      <c r="H1929" s="6"/>
      <c r="I1929" s="6" t="s">
        <v>14</v>
      </c>
      <c r="J1929" s="6" t="s">
        <v>1121</v>
      </c>
      <c r="K1929" s="6">
        <v>4302</v>
      </c>
      <c r="L1929" s="7" t="s">
        <v>2998</v>
      </c>
      <c r="M1929" s="8">
        <v>1218642</v>
      </c>
      <c r="N1929" s="8" t="str">
        <f t="shared" si="151"/>
        <v>PEN</v>
      </c>
      <c r="O1929" s="13"/>
      <c r="P1929" s="13">
        <v>2008</v>
      </c>
      <c r="Q1929" s="3">
        <f t="shared" si="152"/>
        <v>0</v>
      </c>
      <c r="R1929" s="3">
        <f t="shared" si="153"/>
        <v>2008</v>
      </c>
      <c r="S1929" s="3">
        <f t="shared" si="154"/>
        <v>52393.330000000031</v>
      </c>
      <c r="T1929" s="24" t="s">
        <v>1081</v>
      </c>
      <c r="U1929" s="24" t="s">
        <v>1081</v>
      </c>
      <c r="V1929" s="67"/>
      <c r="W1929" s="25" t="str">
        <f>IFERROR(VLOOKUP(BCP_Soles[[#This Row],[DESTINATARIO]],CHOOSE({1,2},Clientes_Proveedores[Razon Social],Clientes_Proveedores[Ruc / Dni]),2,0),"")</f>
        <v/>
      </c>
      <c r="X1929" s="25" t="s">
        <v>666</v>
      </c>
      <c r="Y1929" s="25" t="s">
        <v>2999</v>
      </c>
      <c r="Z1929" s="25"/>
      <c r="AA1929" s="99"/>
      <c r="AB1929" s="3" t="str">
        <f>IF(BCP_Soles[[#This Row],[FECHA]]&gt;0,TEXT(BCP_Soles[[#This Row],[FECHA]],"mmmm"),0)</f>
        <v>Junio</v>
      </c>
    </row>
    <row r="1930" spans="2:28" x14ac:dyDescent="0.3">
      <c r="B1930" s="2">
        <f>IF(BCP_Soles[[#This Row],[TIPO DE R.]]="R",COUNTIFS($D$4:$D1929,"R")+1,"")</f>
        <v>1492</v>
      </c>
      <c r="C1930" s="19" t="str">
        <f t="shared" si="150"/>
        <v>B-BCP - Soles</v>
      </c>
      <c r="D1930" s="3" t="s">
        <v>1074</v>
      </c>
      <c r="E1930" s="14">
        <v>45812</v>
      </c>
      <c r="F1930" s="5" t="s">
        <v>1996</v>
      </c>
      <c r="G1930" s="5" t="s">
        <v>1079</v>
      </c>
      <c r="H1930" s="6" t="s">
        <v>638</v>
      </c>
      <c r="I1930" s="6"/>
      <c r="J1930" s="6"/>
      <c r="K1930" s="6"/>
      <c r="L1930" s="7" t="s">
        <v>3000</v>
      </c>
      <c r="M1930" s="8">
        <v>4111141</v>
      </c>
      <c r="N1930" s="8" t="str">
        <f t="shared" si="151"/>
        <v>PEN</v>
      </c>
      <c r="O1930" s="13"/>
      <c r="P1930" s="13">
        <v>9237.33</v>
      </c>
      <c r="Q1930" s="3">
        <f t="shared" si="152"/>
        <v>0</v>
      </c>
      <c r="R1930" s="3">
        <f t="shared" si="153"/>
        <v>9237.33</v>
      </c>
      <c r="S1930" s="3">
        <f t="shared" si="154"/>
        <v>43156.000000000029</v>
      </c>
      <c r="T1930" s="24" t="s">
        <v>1081</v>
      </c>
      <c r="U1930" s="24" t="s">
        <v>1081</v>
      </c>
      <c r="V1930" s="67"/>
      <c r="W1930" s="25">
        <f>IFERROR(VLOOKUP(BCP_Soles[[#This Row],[DESTINATARIO]],CHOOSE({1,2},Clientes_Proveedores[Razon Social],Clientes_Proveedores[Ruc / Dni]),2,0),"")</f>
        <v>0</v>
      </c>
      <c r="X1930" s="25" t="s">
        <v>1118</v>
      </c>
      <c r="Y1930" s="25"/>
      <c r="Z1930" s="25"/>
      <c r="AA1930" s="99"/>
      <c r="AB1930" s="3" t="str">
        <f>IF(BCP_Soles[[#This Row],[FECHA]]&gt;0,TEXT(BCP_Soles[[#This Row],[FECHA]],"mmmm"),0)</f>
        <v>Junio</v>
      </c>
    </row>
    <row r="1931" spans="2:28" ht="24" x14ac:dyDescent="0.3">
      <c r="B1931" s="2" t="str">
        <f>IF(BCP_Soles[[#This Row],[TIPO DE R.]]="R",COUNTIFS($D$4:$D1930,"R")+1,"")</f>
        <v/>
      </c>
      <c r="C1931" s="19" t="str">
        <f t="shared" si="150"/>
        <v>B-BCP - Soles</v>
      </c>
      <c r="D1931" s="3" t="s">
        <v>1101</v>
      </c>
      <c r="E1931" s="14">
        <v>45812</v>
      </c>
      <c r="F1931" s="5" t="s">
        <v>1996</v>
      </c>
      <c r="G1931" s="5"/>
      <c r="H1931" s="6" t="s">
        <v>130</v>
      </c>
      <c r="I1931" s="6" t="s">
        <v>14</v>
      </c>
      <c r="J1931" s="6" t="s">
        <v>1121</v>
      </c>
      <c r="K1931" s="6">
        <v>446</v>
      </c>
      <c r="L1931" s="7" t="s">
        <v>3000</v>
      </c>
      <c r="M1931" s="8">
        <v>4111141</v>
      </c>
      <c r="N1931" s="8" t="str">
        <f t="shared" si="151"/>
        <v>PEN</v>
      </c>
      <c r="O1931" s="13">
        <v>350</v>
      </c>
      <c r="P1931" s="13"/>
      <c r="Q1931" s="3">
        <f t="shared" si="152"/>
        <v>0</v>
      </c>
      <c r="R1931" s="3">
        <f t="shared" si="153"/>
        <v>0</v>
      </c>
      <c r="S1931" s="3">
        <f t="shared" si="154"/>
        <v>43156.000000000029</v>
      </c>
      <c r="T1931" s="24"/>
      <c r="U1931" s="24" t="s">
        <v>1081</v>
      </c>
      <c r="V1931" s="67"/>
      <c r="W1931" s="25">
        <f>IFERROR(VLOOKUP(BCP_Soles[[#This Row],[DESTINATARIO]],CHOOSE({1,2},Clientes_Proveedores[Razon Social],Clientes_Proveedores[Ruc / Dni]),2,0),"")</f>
        <v>10706063426</v>
      </c>
      <c r="X1931" s="25"/>
      <c r="Y1931" s="25"/>
      <c r="Z1931" s="25"/>
      <c r="AA1931" s="99"/>
      <c r="AB1931" s="3" t="str">
        <f>IF(BCP_Soles[[#This Row],[FECHA]]&gt;0,TEXT(BCP_Soles[[#This Row],[FECHA]],"mmmm"),0)</f>
        <v>Junio</v>
      </c>
    </row>
    <row r="1932" spans="2:28" ht="36" x14ac:dyDescent="0.3">
      <c r="B1932" s="2" t="str">
        <f>IF(BCP_Soles[[#This Row],[TIPO DE R.]]="R",COUNTIFS($D$4:$D1931,"R")+1,"")</f>
        <v/>
      </c>
      <c r="C1932" s="19" t="str">
        <f t="shared" si="150"/>
        <v>B-BCP - Soles</v>
      </c>
      <c r="D1932" s="3" t="s">
        <v>1101</v>
      </c>
      <c r="E1932" s="14">
        <v>45812</v>
      </c>
      <c r="F1932" s="5" t="s">
        <v>1996</v>
      </c>
      <c r="G1932" s="5"/>
      <c r="H1932" s="6" t="s">
        <v>76</v>
      </c>
      <c r="I1932" s="6" t="s">
        <v>14</v>
      </c>
      <c r="J1932" s="6" t="s">
        <v>1121</v>
      </c>
      <c r="K1932" s="6">
        <v>727</v>
      </c>
      <c r="L1932" s="7" t="s">
        <v>3000</v>
      </c>
      <c r="M1932" s="8">
        <v>4111141</v>
      </c>
      <c r="N1932" s="8" t="str">
        <f t="shared" si="151"/>
        <v>PEN</v>
      </c>
      <c r="O1932" s="13">
        <v>592</v>
      </c>
      <c r="P1932" s="13"/>
      <c r="Q1932" s="3">
        <f t="shared" si="152"/>
        <v>0</v>
      </c>
      <c r="R1932" s="3">
        <f t="shared" si="153"/>
        <v>0</v>
      </c>
      <c r="S1932" s="3">
        <f t="shared" si="154"/>
        <v>43156.000000000029</v>
      </c>
      <c r="T1932" s="24"/>
      <c r="U1932" s="24" t="s">
        <v>1081</v>
      </c>
      <c r="V1932" s="67"/>
      <c r="W1932" s="25">
        <f>IFERROR(VLOOKUP(BCP_Soles[[#This Row],[DESTINATARIO]],CHOOSE({1,2},Clientes_Proveedores[Razon Social],Clientes_Proveedores[Ruc / Dni]),2,0),"")</f>
        <v>10296695781</v>
      </c>
      <c r="X1932" s="25"/>
      <c r="Y1932" s="25"/>
      <c r="Z1932" s="25"/>
      <c r="AA1932" s="99"/>
      <c r="AB1932" s="3" t="str">
        <f>IF(BCP_Soles[[#This Row],[FECHA]]&gt;0,TEXT(BCP_Soles[[#This Row],[FECHA]],"mmmm"),0)</f>
        <v>Junio</v>
      </c>
    </row>
    <row r="1933" spans="2:28" ht="24" x14ac:dyDescent="0.3">
      <c r="B1933" s="2" t="str">
        <f>IF(BCP_Soles[[#This Row],[TIPO DE R.]]="R",COUNTIFS($D$4:$D1932,"R")+1,"")</f>
        <v/>
      </c>
      <c r="C1933" s="19" t="str">
        <f t="shared" si="150"/>
        <v>B-BCP - Soles</v>
      </c>
      <c r="D1933" s="3" t="s">
        <v>1101</v>
      </c>
      <c r="E1933" s="14">
        <v>45812</v>
      </c>
      <c r="F1933" s="5" t="s">
        <v>1996</v>
      </c>
      <c r="G1933" s="5"/>
      <c r="H1933" s="6" t="s">
        <v>105</v>
      </c>
      <c r="I1933" s="6" t="s">
        <v>14</v>
      </c>
      <c r="J1933" s="6" t="s">
        <v>1121</v>
      </c>
      <c r="K1933" s="6">
        <v>284</v>
      </c>
      <c r="L1933" s="7" t="s">
        <v>3000</v>
      </c>
      <c r="M1933" s="8">
        <v>4111141</v>
      </c>
      <c r="N1933" s="8" t="str">
        <f t="shared" si="151"/>
        <v>PEN</v>
      </c>
      <c r="O1933" s="13">
        <v>98</v>
      </c>
      <c r="P1933" s="13"/>
      <c r="Q1933" s="3">
        <f t="shared" si="152"/>
        <v>0</v>
      </c>
      <c r="R1933" s="3">
        <f t="shared" si="153"/>
        <v>0</v>
      </c>
      <c r="S1933" s="3">
        <f t="shared" si="154"/>
        <v>43156.000000000029</v>
      </c>
      <c r="T1933" s="24"/>
      <c r="U1933" s="24" t="s">
        <v>1081</v>
      </c>
      <c r="V1933" s="67"/>
      <c r="W1933" s="25">
        <f>IFERROR(VLOOKUP(BCP_Soles[[#This Row],[DESTINATARIO]],CHOOSE({1,2},Clientes_Proveedores[Razon Social],Clientes_Proveedores[Ruc / Dni]),2,0),"")</f>
        <v>10416031679</v>
      </c>
      <c r="X1933" s="25"/>
      <c r="Y1933" s="25"/>
      <c r="Z1933" s="25"/>
      <c r="AA1933" s="99"/>
      <c r="AB1933" s="3" t="str">
        <f>IF(BCP_Soles[[#This Row],[FECHA]]&gt;0,TEXT(BCP_Soles[[#This Row],[FECHA]],"mmmm"),0)</f>
        <v>Junio</v>
      </c>
    </row>
    <row r="1934" spans="2:28" ht="24" x14ac:dyDescent="0.3">
      <c r="B1934" s="2" t="str">
        <f>IF(BCP_Soles[[#This Row],[TIPO DE R.]]="R",COUNTIFS($D$4:$D1933,"R")+1,"")</f>
        <v/>
      </c>
      <c r="C1934" s="19" t="str">
        <f t="shared" si="150"/>
        <v>B-BCP - Soles</v>
      </c>
      <c r="D1934" s="3" t="s">
        <v>1101</v>
      </c>
      <c r="E1934" s="14">
        <v>45812</v>
      </c>
      <c r="F1934" s="5" t="s">
        <v>1996</v>
      </c>
      <c r="G1934" s="5"/>
      <c r="H1934" s="6" t="s">
        <v>108</v>
      </c>
      <c r="I1934" s="6" t="s">
        <v>14</v>
      </c>
      <c r="J1934" s="6" t="s">
        <v>1121</v>
      </c>
      <c r="K1934" s="6">
        <v>4884</v>
      </c>
      <c r="L1934" s="7" t="s">
        <v>3000</v>
      </c>
      <c r="M1934" s="8">
        <v>4111141</v>
      </c>
      <c r="N1934" s="8" t="str">
        <f t="shared" si="151"/>
        <v>PEN</v>
      </c>
      <c r="O1934" s="13">
        <v>59</v>
      </c>
      <c r="P1934" s="13"/>
      <c r="Q1934" s="3">
        <f t="shared" si="152"/>
        <v>0</v>
      </c>
      <c r="R1934" s="3">
        <f t="shared" si="153"/>
        <v>0</v>
      </c>
      <c r="S1934" s="3">
        <f t="shared" si="154"/>
        <v>43156.000000000029</v>
      </c>
      <c r="T1934" s="24"/>
      <c r="U1934" s="24" t="s">
        <v>1081</v>
      </c>
      <c r="V1934" s="67"/>
      <c r="W1934" s="25">
        <f>IFERROR(VLOOKUP(BCP_Soles[[#This Row],[DESTINATARIO]],CHOOSE({1,2},Clientes_Proveedores[Razon Social],Clientes_Proveedores[Ruc / Dni]),2,0),"")</f>
        <v>10425371652</v>
      </c>
      <c r="X1934" s="25"/>
      <c r="Y1934" s="25"/>
      <c r="Z1934" s="25"/>
      <c r="AA1934" s="99"/>
      <c r="AB1934" s="3" t="str">
        <f>IF(BCP_Soles[[#This Row],[FECHA]]&gt;0,TEXT(BCP_Soles[[#This Row],[FECHA]],"mmmm"),0)</f>
        <v>Junio</v>
      </c>
    </row>
    <row r="1935" spans="2:28" ht="24" x14ac:dyDescent="0.3">
      <c r="B1935" s="2" t="str">
        <f>IF(BCP_Soles[[#This Row],[TIPO DE R.]]="R",COUNTIFS($D$4:$D1934,"R")+1,"")</f>
        <v/>
      </c>
      <c r="C1935" s="19" t="str">
        <f t="shared" si="150"/>
        <v>B-BCP - Soles</v>
      </c>
      <c r="D1935" s="3" t="s">
        <v>1101</v>
      </c>
      <c r="E1935" s="14">
        <v>45812</v>
      </c>
      <c r="F1935" s="5" t="s">
        <v>1996</v>
      </c>
      <c r="G1935" s="5"/>
      <c r="H1935" s="6" t="s">
        <v>108</v>
      </c>
      <c r="I1935" s="6" t="s">
        <v>14</v>
      </c>
      <c r="J1935" s="6" t="s">
        <v>1121</v>
      </c>
      <c r="K1935" s="6">
        <v>4892</v>
      </c>
      <c r="L1935" s="7" t="s">
        <v>3000</v>
      </c>
      <c r="M1935" s="8">
        <v>4111141</v>
      </c>
      <c r="N1935" s="8" t="str">
        <f t="shared" si="151"/>
        <v>PEN</v>
      </c>
      <c r="O1935" s="13">
        <v>59</v>
      </c>
      <c r="P1935" s="13"/>
      <c r="Q1935" s="3">
        <f t="shared" si="152"/>
        <v>0</v>
      </c>
      <c r="R1935" s="3">
        <f t="shared" si="153"/>
        <v>0</v>
      </c>
      <c r="S1935" s="3">
        <f t="shared" si="154"/>
        <v>43156.000000000029</v>
      </c>
      <c r="T1935" s="24"/>
      <c r="U1935" s="24" t="s">
        <v>1081</v>
      </c>
      <c r="V1935" s="67"/>
      <c r="W1935" s="25">
        <f>IFERROR(VLOOKUP(BCP_Soles[[#This Row],[DESTINATARIO]],CHOOSE({1,2},Clientes_Proveedores[Razon Social],Clientes_Proveedores[Ruc / Dni]),2,0),"")</f>
        <v>10425371652</v>
      </c>
      <c r="X1935" s="25"/>
      <c r="Y1935" s="25"/>
      <c r="Z1935" s="25"/>
      <c r="AA1935" s="99"/>
      <c r="AB1935" s="3" t="str">
        <f>IF(BCP_Soles[[#This Row],[FECHA]]&gt;0,TEXT(BCP_Soles[[#This Row],[FECHA]],"mmmm"),0)</f>
        <v>Junio</v>
      </c>
    </row>
    <row r="1936" spans="2:28" ht="24" x14ac:dyDescent="0.3">
      <c r="B1936" s="2" t="str">
        <f>IF(BCP_Soles[[#This Row],[TIPO DE R.]]="R",COUNTIFS($D$4:$D1935,"R")+1,"")</f>
        <v/>
      </c>
      <c r="C1936" s="19" t="str">
        <f t="shared" si="150"/>
        <v>B-BCP - Soles</v>
      </c>
      <c r="D1936" s="3" t="s">
        <v>1101</v>
      </c>
      <c r="E1936" s="14">
        <v>45812</v>
      </c>
      <c r="F1936" s="5" t="s">
        <v>1996</v>
      </c>
      <c r="G1936" s="5"/>
      <c r="H1936" s="6" t="s">
        <v>108</v>
      </c>
      <c r="I1936" s="6" t="s">
        <v>14</v>
      </c>
      <c r="J1936" s="6" t="s">
        <v>1121</v>
      </c>
      <c r="K1936" s="6">
        <v>4913</v>
      </c>
      <c r="L1936" s="7" t="s">
        <v>3000</v>
      </c>
      <c r="M1936" s="8">
        <v>4111141</v>
      </c>
      <c r="N1936" s="8" t="str">
        <f t="shared" si="151"/>
        <v>PEN</v>
      </c>
      <c r="O1936" s="13">
        <v>118</v>
      </c>
      <c r="P1936" s="13"/>
      <c r="Q1936" s="3">
        <f t="shared" si="152"/>
        <v>0</v>
      </c>
      <c r="R1936" s="3">
        <f t="shared" si="153"/>
        <v>0</v>
      </c>
      <c r="S1936" s="3">
        <f t="shared" si="154"/>
        <v>43156.000000000029</v>
      </c>
      <c r="T1936" s="24"/>
      <c r="U1936" s="24" t="s">
        <v>1081</v>
      </c>
      <c r="V1936" s="67"/>
      <c r="W1936" s="25">
        <f>IFERROR(VLOOKUP(BCP_Soles[[#This Row],[DESTINATARIO]],CHOOSE({1,2},Clientes_Proveedores[Razon Social],Clientes_Proveedores[Ruc / Dni]),2,0),"")</f>
        <v>10425371652</v>
      </c>
      <c r="X1936" s="25"/>
      <c r="Y1936" s="25"/>
      <c r="Z1936" s="25"/>
      <c r="AA1936" s="99"/>
      <c r="AB1936" s="3" t="str">
        <f>IF(BCP_Soles[[#This Row],[FECHA]]&gt;0,TEXT(BCP_Soles[[#This Row],[FECHA]],"mmmm"),0)</f>
        <v>Junio</v>
      </c>
    </row>
    <row r="1937" spans="2:28" x14ac:dyDescent="0.3">
      <c r="B1937" s="2" t="str">
        <f>IF(BCP_Soles[[#This Row],[TIPO DE R.]]="R",COUNTIFS($D$4:$D1936,"R")+1,"")</f>
        <v/>
      </c>
      <c r="C1937" s="19" t="str">
        <f t="shared" si="150"/>
        <v>B-BCP - Soles</v>
      </c>
      <c r="D1937" s="3" t="s">
        <v>1101</v>
      </c>
      <c r="E1937" s="14">
        <v>45812</v>
      </c>
      <c r="F1937" s="5" t="s">
        <v>1996</v>
      </c>
      <c r="G1937" s="5"/>
      <c r="H1937" s="6" t="s">
        <v>357</v>
      </c>
      <c r="I1937" s="6" t="s">
        <v>14</v>
      </c>
      <c r="J1937" s="6" t="s">
        <v>1119</v>
      </c>
      <c r="K1937" s="6">
        <v>14170</v>
      </c>
      <c r="L1937" s="7" t="s">
        <v>3000</v>
      </c>
      <c r="M1937" s="8">
        <v>4111141</v>
      </c>
      <c r="N1937" s="8" t="str">
        <f t="shared" si="151"/>
        <v>PEN</v>
      </c>
      <c r="O1937" s="13">
        <v>7409.68</v>
      </c>
      <c r="P1937" s="13"/>
      <c r="Q1937" s="3">
        <f t="shared" si="152"/>
        <v>0</v>
      </c>
      <c r="R1937" s="3">
        <f t="shared" si="153"/>
        <v>0</v>
      </c>
      <c r="S1937" s="3">
        <f t="shared" si="154"/>
        <v>43156.000000000029</v>
      </c>
      <c r="T1937" s="24"/>
      <c r="U1937" s="24" t="s">
        <v>1081</v>
      </c>
      <c r="V1937" s="67"/>
      <c r="W1937" s="25">
        <f>IFERROR(VLOOKUP(BCP_Soles[[#This Row],[DESTINATARIO]],CHOOSE({1,2},Clientes_Proveedores[Razon Social],Clientes_Proveedores[Ruc / Dni]),2,0),"")</f>
        <v>20553255709</v>
      </c>
      <c r="X1937" s="25"/>
      <c r="Y1937" s="25"/>
      <c r="Z1937" s="25"/>
      <c r="AA1937" s="99"/>
      <c r="AB1937" s="3" t="str">
        <f>IF(BCP_Soles[[#This Row],[FECHA]]&gt;0,TEXT(BCP_Soles[[#This Row],[FECHA]],"mmmm"),0)</f>
        <v>Junio</v>
      </c>
    </row>
    <row r="1938" spans="2:28" x14ac:dyDescent="0.3">
      <c r="B1938" s="2" t="str">
        <f>IF(BCP_Soles[[#This Row],[TIPO DE R.]]="R",COUNTIFS($D$4:$D1937,"R")+1,"")</f>
        <v/>
      </c>
      <c r="C1938" s="19" t="str">
        <f t="shared" si="150"/>
        <v>B-BCP - Soles</v>
      </c>
      <c r="D1938" s="3" t="s">
        <v>1101</v>
      </c>
      <c r="E1938" s="14">
        <v>45812</v>
      </c>
      <c r="F1938" s="5" t="s">
        <v>1996</v>
      </c>
      <c r="G1938" s="5"/>
      <c r="H1938" s="6" t="s">
        <v>465</v>
      </c>
      <c r="I1938" s="6" t="s">
        <v>14</v>
      </c>
      <c r="J1938" s="6" t="s">
        <v>1121</v>
      </c>
      <c r="K1938" s="6">
        <v>3908</v>
      </c>
      <c r="L1938" s="7" t="s">
        <v>3000</v>
      </c>
      <c r="M1938" s="8">
        <v>4111141</v>
      </c>
      <c r="N1938" s="8" t="str">
        <f t="shared" si="151"/>
        <v>PEN</v>
      </c>
      <c r="O1938" s="13">
        <v>250.75</v>
      </c>
      <c r="P1938" s="13"/>
      <c r="Q1938" s="3">
        <f t="shared" si="152"/>
        <v>0</v>
      </c>
      <c r="R1938" s="3">
        <f t="shared" si="153"/>
        <v>0</v>
      </c>
      <c r="S1938" s="3">
        <f t="shared" si="154"/>
        <v>43156.000000000029</v>
      </c>
      <c r="T1938" s="24"/>
      <c r="U1938" s="24" t="s">
        <v>1081</v>
      </c>
      <c r="V1938" s="67"/>
      <c r="W1938" s="25">
        <f>IFERROR(VLOOKUP(BCP_Soles[[#This Row],[DESTINATARIO]],CHOOSE({1,2},Clientes_Proveedores[Razon Social],Clientes_Proveedores[Ruc / Dni]),2,0),"")</f>
        <v>20603974817</v>
      </c>
      <c r="X1938" s="25"/>
      <c r="Y1938" s="25"/>
      <c r="Z1938" s="25"/>
      <c r="AA1938" s="99"/>
      <c r="AB1938" s="3" t="str">
        <f>IF(BCP_Soles[[#This Row],[FECHA]]&gt;0,TEXT(BCP_Soles[[#This Row],[FECHA]],"mmmm"),0)</f>
        <v>Junio</v>
      </c>
    </row>
    <row r="1939" spans="2:28" x14ac:dyDescent="0.3">
      <c r="B1939" s="2" t="str">
        <f>IF(BCP_Soles[[#This Row],[TIPO DE R.]]="R",COUNTIFS($D$4:$D1938,"R")+1,"")</f>
        <v/>
      </c>
      <c r="C1939" s="19" t="str">
        <f t="shared" si="150"/>
        <v>B-BCP - Soles</v>
      </c>
      <c r="D1939" s="3" t="s">
        <v>1101</v>
      </c>
      <c r="E1939" s="14">
        <v>45812</v>
      </c>
      <c r="F1939" s="5" t="s">
        <v>1996</v>
      </c>
      <c r="G1939" s="5"/>
      <c r="H1939" s="6" t="s">
        <v>465</v>
      </c>
      <c r="I1939" s="6" t="s">
        <v>14</v>
      </c>
      <c r="J1939" s="6" t="s">
        <v>1121</v>
      </c>
      <c r="K1939" s="6">
        <v>3918</v>
      </c>
      <c r="L1939" s="7" t="s">
        <v>3000</v>
      </c>
      <c r="M1939" s="8">
        <v>4111141</v>
      </c>
      <c r="N1939" s="8" t="str">
        <f t="shared" si="151"/>
        <v>PEN</v>
      </c>
      <c r="O1939" s="13">
        <v>300.89999999999998</v>
      </c>
      <c r="P1939" s="13"/>
      <c r="Q1939" s="3">
        <f t="shared" si="152"/>
        <v>0</v>
      </c>
      <c r="R1939" s="3">
        <f t="shared" si="153"/>
        <v>0</v>
      </c>
      <c r="S1939" s="3">
        <f t="shared" si="154"/>
        <v>43156.000000000029</v>
      </c>
      <c r="T1939" s="24"/>
      <c r="U1939" s="24" t="s">
        <v>1081</v>
      </c>
      <c r="V1939" s="67"/>
      <c r="W1939" s="25">
        <f>IFERROR(VLOOKUP(BCP_Soles[[#This Row],[DESTINATARIO]],CHOOSE({1,2},Clientes_Proveedores[Razon Social],Clientes_Proveedores[Ruc / Dni]),2,0),"")</f>
        <v>20603974817</v>
      </c>
      <c r="X1939" s="25"/>
      <c r="Y1939" s="25"/>
      <c r="Z1939" s="25"/>
      <c r="AA1939" s="99"/>
      <c r="AB1939" s="3" t="str">
        <f>IF(BCP_Soles[[#This Row],[FECHA]]&gt;0,TEXT(BCP_Soles[[#This Row],[FECHA]],"mmmm"),0)</f>
        <v>Junio</v>
      </c>
    </row>
    <row r="1940" spans="2:28" ht="24" x14ac:dyDescent="0.3">
      <c r="B1940" s="2">
        <f>IF(BCP_Soles[[#This Row],[TIPO DE R.]]="R",COUNTIFS($D$4:$D1939,"R")+1,"")</f>
        <v>1493</v>
      </c>
      <c r="C1940" s="19" t="str">
        <f t="shared" si="150"/>
        <v>B-BCP - Soles</v>
      </c>
      <c r="D1940" s="3" t="s">
        <v>1074</v>
      </c>
      <c r="E1940" s="14">
        <v>45813</v>
      </c>
      <c r="F1940" s="5" t="s">
        <v>3001</v>
      </c>
      <c r="G1940" s="5" t="s">
        <v>1087</v>
      </c>
      <c r="H1940" s="6"/>
      <c r="I1940" s="6"/>
      <c r="J1940" s="6"/>
      <c r="K1940" s="6"/>
      <c r="L1940" s="7" t="s">
        <v>1100</v>
      </c>
      <c r="M1940" s="8">
        <v>3248155</v>
      </c>
      <c r="N1940" s="8" t="str">
        <f t="shared" si="151"/>
        <v>PEN</v>
      </c>
      <c r="O1940" s="13"/>
      <c r="P1940" s="13">
        <v>215</v>
      </c>
      <c r="Q1940" s="3">
        <f t="shared" si="152"/>
        <v>215</v>
      </c>
      <c r="R1940" s="3">
        <f t="shared" si="153"/>
        <v>0</v>
      </c>
      <c r="S1940" s="3">
        <f t="shared" si="154"/>
        <v>43371.000000000029</v>
      </c>
      <c r="T1940" s="24" t="s">
        <v>1081</v>
      </c>
      <c r="U1940" s="24" t="s">
        <v>1081</v>
      </c>
      <c r="V1940" s="67"/>
      <c r="W1940" s="25" t="str">
        <f>IFERROR(VLOOKUP(BCP_Soles[[#This Row],[DESTINATARIO]],CHOOSE({1,2},Clientes_Proveedores[Razon Social],Clientes_Proveedores[Ruc / Dni]),2,0),"")</f>
        <v/>
      </c>
      <c r="X1940" s="25" t="s">
        <v>1090</v>
      </c>
      <c r="Y1940" s="25" t="s">
        <v>3002</v>
      </c>
      <c r="Z1940" s="25"/>
      <c r="AA1940" s="99"/>
      <c r="AB1940" s="3" t="str">
        <f>IF(BCP_Soles[[#This Row],[FECHA]]&gt;0,TEXT(BCP_Soles[[#This Row],[FECHA]],"mmmm"),0)</f>
        <v>Junio</v>
      </c>
    </row>
    <row r="1941" spans="2:28" ht="24" x14ac:dyDescent="0.3">
      <c r="B1941" s="2">
        <f>IF(BCP_Soles[[#This Row],[TIPO DE R.]]="R",COUNTIFS($D$4:$D1940,"R")+1,"")</f>
        <v>1494</v>
      </c>
      <c r="C1941" s="19" t="str">
        <f t="shared" si="150"/>
        <v>B-BCP - Soles</v>
      </c>
      <c r="D1941" s="3" t="s">
        <v>1074</v>
      </c>
      <c r="E1941" s="14">
        <v>45813</v>
      </c>
      <c r="F1941" s="5" t="s">
        <v>147</v>
      </c>
      <c r="G1941" s="5" t="s">
        <v>1087</v>
      </c>
      <c r="H1941" s="6"/>
      <c r="I1941" s="6"/>
      <c r="J1941" s="6"/>
      <c r="K1941" s="6"/>
      <c r="L1941" s="7" t="s">
        <v>1095</v>
      </c>
      <c r="M1941" s="8">
        <v>4369030</v>
      </c>
      <c r="N1941" s="8" t="str">
        <f t="shared" si="151"/>
        <v>PEN</v>
      </c>
      <c r="O1941" s="13"/>
      <c r="P1941" s="13">
        <v>10190.59</v>
      </c>
      <c r="Q1941" s="3">
        <f t="shared" si="152"/>
        <v>10190.59</v>
      </c>
      <c r="R1941" s="3">
        <f t="shared" si="153"/>
        <v>0</v>
      </c>
      <c r="S1941" s="3">
        <f t="shared" si="154"/>
        <v>53561.590000000026</v>
      </c>
      <c r="T1941" s="24" t="s">
        <v>1081</v>
      </c>
      <c r="U1941" s="24" t="s">
        <v>1081</v>
      </c>
      <c r="V1941" s="67"/>
      <c r="W1941" s="25" t="str">
        <f>IFERROR(VLOOKUP(BCP_Soles[[#This Row],[DESTINATARIO]],CHOOSE({1,2},Clientes_Proveedores[Razon Social],Clientes_Proveedores[Ruc / Dni]),2,0),"")</f>
        <v/>
      </c>
      <c r="X1941" s="25" t="s">
        <v>1090</v>
      </c>
      <c r="Y1941" s="25" t="s">
        <v>3003</v>
      </c>
      <c r="Z1941" s="25"/>
      <c r="AA1941" s="99"/>
      <c r="AB1941" s="3" t="str">
        <f>IF(BCP_Soles[[#This Row],[FECHA]]&gt;0,TEXT(BCP_Soles[[#This Row],[FECHA]],"mmmm"),0)</f>
        <v>Junio</v>
      </c>
    </row>
    <row r="1942" spans="2:28" ht="24" x14ac:dyDescent="0.3">
      <c r="B1942" s="2">
        <f>IF(BCP_Soles[[#This Row],[TIPO DE R.]]="R",COUNTIFS($D$4:$D1941,"R")+1,"")</f>
        <v>1495</v>
      </c>
      <c r="C1942" s="19" t="str">
        <f t="shared" si="150"/>
        <v>B-BCP - Soles</v>
      </c>
      <c r="D1942" s="3" t="s">
        <v>1074</v>
      </c>
      <c r="E1942" s="14">
        <v>45813</v>
      </c>
      <c r="F1942" s="5" t="s">
        <v>184</v>
      </c>
      <c r="G1942" s="5" t="s">
        <v>1087</v>
      </c>
      <c r="H1942" s="6" t="s">
        <v>368</v>
      </c>
      <c r="I1942" s="6" t="s">
        <v>14</v>
      </c>
      <c r="J1942" s="6" t="s">
        <v>1521</v>
      </c>
      <c r="K1942" s="6">
        <v>69</v>
      </c>
      <c r="L1942" s="7" t="s">
        <v>3004</v>
      </c>
      <c r="M1942" s="8">
        <v>4332334</v>
      </c>
      <c r="N1942" s="8" t="str">
        <f t="shared" si="151"/>
        <v>PEN</v>
      </c>
      <c r="O1942" s="13"/>
      <c r="P1942" s="13">
        <v>8366.4</v>
      </c>
      <c r="Q1942" s="3">
        <f t="shared" si="152"/>
        <v>8366.4</v>
      </c>
      <c r="R1942" s="3">
        <f t="shared" si="153"/>
        <v>0</v>
      </c>
      <c r="S1942" s="3">
        <f t="shared" si="154"/>
        <v>61927.990000000027</v>
      </c>
      <c r="T1942" s="24" t="s">
        <v>1081</v>
      </c>
      <c r="U1942" s="24" t="s">
        <v>1081</v>
      </c>
      <c r="V1942" s="67"/>
      <c r="W1942" s="25">
        <f>IFERROR(VLOOKUP(BCP_Soles[[#This Row],[DESTINATARIO]],CHOOSE({1,2},Clientes_Proveedores[Razon Social],Clientes_Proveedores[Ruc / Dni]),2,0),"")</f>
        <v>20558226979</v>
      </c>
      <c r="X1942" s="25" t="s">
        <v>1090</v>
      </c>
      <c r="Y1942" s="25"/>
      <c r="Z1942" s="25"/>
      <c r="AA1942" s="99"/>
      <c r="AB1942" s="3" t="str">
        <f>IF(BCP_Soles[[#This Row],[FECHA]]&gt;0,TEXT(BCP_Soles[[#This Row],[FECHA]],"mmmm"),0)</f>
        <v>Junio</v>
      </c>
    </row>
    <row r="1943" spans="2:28" x14ac:dyDescent="0.3">
      <c r="B1943" s="2">
        <f>IF(BCP_Soles[[#This Row],[TIPO DE R.]]="R",COUNTIFS($D$4:$D1942,"R")+1,"")</f>
        <v>1496</v>
      </c>
      <c r="C1943" s="19" t="str">
        <f t="shared" si="150"/>
        <v>B-BCP - Soles</v>
      </c>
      <c r="D1943" s="3" t="s">
        <v>1074</v>
      </c>
      <c r="E1943" s="14">
        <v>45813</v>
      </c>
      <c r="F1943" s="5" t="s">
        <v>1996</v>
      </c>
      <c r="G1943" s="5" t="s">
        <v>1079</v>
      </c>
      <c r="H1943" s="6" t="s">
        <v>637</v>
      </c>
      <c r="I1943" s="6" t="s">
        <v>14</v>
      </c>
      <c r="J1943" s="6" t="s">
        <v>1122</v>
      </c>
      <c r="K1943" s="6">
        <v>165759</v>
      </c>
      <c r="L1943" s="7" t="s">
        <v>1123</v>
      </c>
      <c r="M1943" s="8">
        <v>97462</v>
      </c>
      <c r="N1943" s="8" t="str">
        <f t="shared" si="151"/>
        <v>PEN</v>
      </c>
      <c r="O1943" s="13"/>
      <c r="P1943" s="13">
        <v>181.82</v>
      </c>
      <c r="Q1943" s="3">
        <f t="shared" si="152"/>
        <v>0</v>
      </c>
      <c r="R1943" s="3">
        <f t="shared" si="153"/>
        <v>181.82</v>
      </c>
      <c r="S1943" s="3">
        <f t="shared" si="154"/>
        <v>61746.170000000027</v>
      </c>
      <c r="T1943" s="24" t="s">
        <v>1081</v>
      </c>
      <c r="U1943" s="24" t="s">
        <v>1081</v>
      </c>
      <c r="V1943" s="67"/>
      <c r="W1943" s="25">
        <f>IFERROR(VLOOKUP(BCP_Soles[[#This Row],[DESTINATARIO]],CHOOSE({1,2},Clientes_Proveedores[Razon Social],Clientes_Proveedores[Ruc / Dni]),2,0),"")</f>
        <v>20127765279</v>
      </c>
      <c r="X1943" s="25" t="s">
        <v>1124</v>
      </c>
      <c r="Y1943" s="25" t="s">
        <v>3005</v>
      </c>
      <c r="Z1943" s="25"/>
      <c r="AA1943" s="99"/>
      <c r="AB1943" s="3" t="str">
        <f>IF(BCP_Soles[[#This Row],[FECHA]]&gt;0,TEXT(BCP_Soles[[#This Row],[FECHA]],"mmmm"),0)</f>
        <v>Junio</v>
      </c>
    </row>
    <row r="1944" spans="2:28" ht="24" x14ac:dyDescent="0.3">
      <c r="B1944" s="2">
        <f>IF(BCP_Soles[[#This Row],[TIPO DE R.]]="R",COUNTIFS($D$4:$D1943,"R")+1,"")</f>
        <v>1497</v>
      </c>
      <c r="C1944" s="19" t="str">
        <f t="shared" si="150"/>
        <v>B-BCP - Soles</v>
      </c>
      <c r="D1944" s="3" t="s">
        <v>1074</v>
      </c>
      <c r="E1944" s="14">
        <v>45813</v>
      </c>
      <c r="F1944" s="5" t="s">
        <v>1996</v>
      </c>
      <c r="G1944" s="5" t="s">
        <v>1079</v>
      </c>
      <c r="H1944" s="6" t="s">
        <v>640</v>
      </c>
      <c r="I1944" s="6"/>
      <c r="J1944" s="6"/>
      <c r="K1944" s="6"/>
      <c r="L1944" s="7" t="s">
        <v>3006</v>
      </c>
      <c r="M1944" s="8">
        <v>4008213</v>
      </c>
      <c r="N1944" s="8" t="str">
        <f t="shared" si="151"/>
        <v>PEN</v>
      </c>
      <c r="O1944" s="13"/>
      <c r="P1944" s="13">
        <v>3219.5</v>
      </c>
      <c r="Q1944" s="3">
        <f t="shared" si="152"/>
        <v>0</v>
      </c>
      <c r="R1944" s="3">
        <f t="shared" si="153"/>
        <v>3219.5</v>
      </c>
      <c r="S1944" s="3">
        <f t="shared" si="154"/>
        <v>58526.670000000027</v>
      </c>
      <c r="T1944" s="24"/>
      <c r="U1944" s="24"/>
      <c r="V1944" s="67"/>
      <c r="W1944" s="25">
        <f>IFERROR(VLOOKUP(BCP_Soles[[#This Row],[DESTINATARIO]],CHOOSE({1,2},Clientes_Proveedores[Razon Social],Clientes_Proveedores[Ruc / Dni]),2,0),"")</f>
        <v>10296347634</v>
      </c>
      <c r="X1944" s="25" t="s">
        <v>640</v>
      </c>
      <c r="Y1944" s="25"/>
      <c r="Z1944" s="25"/>
      <c r="AA1944" s="99"/>
      <c r="AB1944" s="3" t="str">
        <f>IF(BCP_Soles[[#This Row],[FECHA]]&gt;0,TEXT(BCP_Soles[[#This Row],[FECHA]],"mmmm"),0)</f>
        <v>Junio</v>
      </c>
    </row>
    <row r="1945" spans="2:28" ht="36" x14ac:dyDescent="0.3">
      <c r="B1945" s="2">
        <f>IF(BCP_Soles[[#This Row],[TIPO DE R.]]="R",COUNTIFS($D$4:$D1944,"R")+1,"")</f>
        <v>1498</v>
      </c>
      <c r="C1945" s="19" t="str">
        <f t="shared" si="150"/>
        <v>B-BCP - Soles</v>
      </c>
      <c r="D1945" s="3" t="s">
        <v>1074</v>
      </c>
      <c r="E1945" s="14">
        <v>45813</v>
      </c>
      <c r="F1945" s="5" t="s">
        <v>1996</v>
      </c>
      <c r="G1945" s="5" t="s">
        <v>1079</v>
      </c>
      <c r="H1945" s="6"/>
      <c r="I1945" s="6"/>
      <c r="J1945" s="6"/>
      <c r="K1945" s="6"/>
      <c r="L1945" s="7" t="s">
        <v>3007</v>
      </c>
      <c r="M1945" s="8">
        <v>1097961</v>
      </c>
      <c r="N1945" s="8" t="str">
        <f t="shared" si="151"/>
        <v>PEN</v>
      </c>
      <c r="O1945" s="13"/>
      <c r="P1945" s="13">
        <v>220</v>
      </c>
      <c r="Q1945" s="3">
        <f t="shared" si="152"/>
        <v>0</v>
      </c>
      <c r="R1945" s="3">
        <f t="shared" si="153"/>
        <v>220</v>
      </c>
      <c r="S1945" s="3">
        <f t="shared" si="154"/>
        <v>58306.670000000027</v>
      </c>
      <c r="T1945" s="24" t="s">
        <v>1081</v>
      </c>
      <c r="U1945" s="24" t="s">
        <v>1081</v>
      </c>
      <c r="V1945" s="67"/>
      <c r="W1945" s="25" t="str">
        <f>IFERROR(VLOOKUP(BCP_Soles[[#This Row],[DESTINATARIO]],CHOOSE({1,2},Clientes_Proveedores[Razon Social],Clientes_Proveedores[Ruc / Dni]),2,0),"")</f>
        <v/>
      </c>
      <c r="X1945" s="25" t="s">
        <v>2923</v>
      </c>
      <c r="Y1945" s="25" t="s">
        <v>3008</v>
      </c>
      <c r="Z1945" s="25"/>
      <c r="AA1945" s="99"/>
      <c r="AB1945" s="3" t="str">
        <f>IF(BCP_Soles[[#This Row],[FECHA]]&gt;0,TEXT(BCP_Soles[[#This Row],[FECHA]],"mmmm"),0)</f>
        <v>Junio</v>
      </c>
    </row>
    <row r="1946" spans="2:28" ht="48" x14ac:dyDescent="0.3">
      <c r="B1946" s="2" t="str">
        <f>IF(BCP_Soles[[#This Row],[TIPO DE R.]]="R",COUNTIFS($D$4:$D1945,"R")+1,"")</f>
        <v/>
      </c>
      <c r="C1946" s="19" t="str">
        <f t="shared" si="150"/>
        <v>B-BCP - Soles</v>
      </c>
      <c r="D1946" s="3" t="s">
        <v>1101</v>
      </c>
      <c r="E1946" s="14">
        <v>45813</v>
      </c>
      <c r="F1946" s="5" t="s">
        <v>1996</v>
      </c>
      <c r="G1946" s="5"/>
      <c r="H1946" s="6" t="s">
        <v>431</v>
      </c>
      <c r="I1946" s="6" t="s">
        <v>14</v>
      </c>
      <c r="J1946" s="6" t="s">
        <v>1119</v>
      </c>
      <c r="K1946" s="6">
        <v>36014</v>
      </c>
      <c r="L1946" s="7" t="s">
        <v>3007</v>
      </c>
      <c r="M1946" s="8">
        <v>1097961</v>
      </c>
      <c r="N1946" s="8" t="str">
        <f t="shared" si="151"/>
        <v>PEN</v>
      </c>
      <c r="O1946" s="13">
        <v>120</v>
      </c>
      <c r="P1946" s="13"/>
      <c r="Q1946" s="3">
        <f t="shared" si="152"/>
        <v>0</v>
      </c>
      <c r="R1946" s="3">
        <f t="shared" si="153"/>
        <v>0</v>
      </c>
      <c r="S1946" s="3">
        <f t="shared" si="154"/>
        <v>58306.670000000027</v>
      </c>
      <c r="T1946" s="24"/>
      <c r="U1946" s="24" t="s">
        <v>1081</v>
      </c>
      <c r="V1946" s="67"/>
      <c r="W1946" s="25">
        <f>IFERROR(VLOOKUP(BCP_Soles[[#This Row],[DESTINATARIO]],CHOOSE({1,2},Clientes_Proveedores[Razon Social],Clientes_Proveedores[Ruc / Dni]),2,0),"")</f>
        <v>20602484425</v>
      </c>
      <c r="X1946" s="25"/>
      <c r="Y1946" s="25"/>
      <c r="Z1946" s="25"/>
      <c r="AA1946" s="99"/>
      <c r="AB1946" s="3" t="str">
        <f>IF(BCP_Soles[[#This Row],[FECHA]]&gt;0,TEXT(BCP_Soles[[#This Row],[FECHA]],"mmmm"),0)</f>
        <v>Junio</v>
      </c>
    </row>
    <row r="1947" spans="2:28" ht="48" x14ac:dyDescent="0.3">
      <c r="B1947" s="2" t="str">
        <f>IF(BCP_Soles[[#This Row],[TIPO DE R.]]="R",COUNTIFS($D$4:$D1946,"R")+1,"")</f>
        <v/>
      </c>
      <c r="C1947" s="19" t="str">
        <f t="shared" si="150"/>
        <v>B-BCP - Soles</v>
      </c>
      <c r="D1947" s="3" t="s">
        <v>1101</v>
      </c>
      <c r="E1947" s="14">
        <v>45813</v>
      </c>
      <c r="F1947" s="5" t="s">
        <v>1996</v>
      </c>
      <c r="G1947" s="5"/>
      <c r="H1947" s="6" t="s">
        <v>431</v>
      </c>
      <c r="I1947" s="6" t="s">
        <v>14</v>
      </c>
      <c r="J1947" s="6" t="s">
        <v>1119</v>
      </c>
      <c r="K1947" s="6">
        <v>36013</v>
      </c>
      <c r="L1947" s="7" t="s">
        <v>3007</v>
      </c>
      <c r="M1947" s="8">
        <v>1097961</v>
      </c>
      <c r="N1947" s="8" t="str">
        <f t="shared" si="151"/>
        <v>PEN</v>
      </c>
      <c r="O1947" s="13">
        <v>100</v>
      </c>
      <c r="P1947" s="13"/>
      <c r="Q1947" s="3">
        <f t="shared" si="152"/>
        <v>0</v>
      </c>
      <c r="R1947" s="3">
        <f t="shared" si="153"/>
        <v>0</v>
      </c>
      <c r="S1947" s="3">
        <f t="shared" si="154"/>
        <v>58306.670000000027</v>
      </c>
      <c r="T1947" s="24"/>
      <c r="U1947" s="24" t="s">
        <v>1081</v>
      </c>
      <c r="V1947" s="67"/>
      <c r="W1947" s="25">
        <f>IFERROR(VLOOKUP(BCP_Soles[[#This Row],[DESTINATARIO]],CHOOSE({1,2},Clientes_Proveedores[Razon Social],Clientes_Proveedores[Ruc / Dni]),2,0),"")</f>
        <v>20602484425</v>
      </c>
      <c r="X1947" s="25"/>
      <c r="Y1947" s="25"/>
      <c r="Z1947" s="25"/>
      <c r="AA1947" s="99"/>
      <c r="AB1947" s="3" t="str">
        <f>IF(BCP_Soles[[#This Row],[FECHA]]&gt;0,TEXT(BCP_Soles[[#This Row],[FECHA]],"mmmm"),0)</f>
        <v>Junio</v>
      </c>
    </row>
    <row r="1948" spans="2:28" x14ac:dyDescent="0.3">
      <c r="B1948" s="2">
        <f>IF(BCP_Soles[[#This Row],[TIPO DE R.]]="R",COUNTIFS($D$4:$D1947,"R")+1,"")</f>
        <v>1499</v>
      </c>
      <c r="C1948" s="19" t="str">
        <f t="shared" si="150"/>
        <v>B-BCP - Soles</v>
      </c>
      <c r="D1948" s="3" t="s">
        <v>1074</v>
      </c>
      <c r="E1948" s="14">
        <v>45813</v>
      </c>
      <c r="F1948" s="5" t="s">
        <v>1082</v>
      </c>
      <c r="G1948" s="5" t="s">
        <v>1079</v>
      </c>
      <c r="H1948" s="6" t="s">
        <v>637</v>
      </c>
      <c r="I1948" s="6" t="s">
        <v>14</v>
      </c>
      <c r="J1948" s="6" t="s">
        <v>1122</v>
      </c>
      <c r="K1948" s="6">
        <v>165760</v>
      </c>
      <c r="L1948" s="7" t="s">
        <v>1123</v>
      </c>
      <c r="M1948" s="8">
        <v>96996</v>
      </c>
      <c r="N1948" s="8" t="str">
        <f t="shared" si="151"/>
        <v>PEN</v>
      </c>
      <c r="O1948" s="13"/>
      <c r="P1948" s="13">
        <v>171.8</v>
      </c>
      <c r="Q1948" s="3">
        <f t="shared" si="152"/>
        <v>0</v>
      </c>
      <c r="R1948" s="3">
        <f t="shared" si="153"/>
        <v>171.8</v>
      </c>
      <c r="S1948" s="3">
        <f t="shared" si="154"/>
        <v>58134.870000000024</v>
      </c>
      <c r="T1948" s="24" t="s">
        <v>1081</v>
      </c>
      <c r="U1948" s="24" t="s">
        <v>1081</v>
      </c>
      <c r="V1948" s="67"/>
      <c r="W1948" s="25">
        <f>IFERROR(VLOOKUP(BCP_Soles[[#This Row],[DESTINATARIO]],CHOOSE({1,2},Clientes_Proveedores[Razon Social],Clientes_Proveedores[Ruc / Dni]),2,0),"")</f>
        <v>20127765279</v>
      </c>
      <c r="X1948" s="25" t="s">
        <v>1124</v>
      </c>
      <c r="Y1948" s="25" t="s">
        <v>3009</v>
      </c>
      <c r="Z1948" s="25"/>
      <c r="AA1948" s="99"/>
      <c r="AB1948" s="3" t="str">
        <f>IF(BCP_Soles[[#This Row],[FECHA]]&gt;0,TEXT(BCP_Soles[[#This Row],[FECHA]],"mmmm"),0)</f>
        <v>Junio</v>
      </c>
    </row>
    <row r="1949" spans="2:28" x14ac:dyDescent="0.3">
      <c r="B1949" s="2">
        <f>IF(BCP_Soles[[#This Row],[TIPO DE R.]]="R",COUNTIFS($D$4:$D1948,"R")+1,"")</f>
        <v>1500</v>
      </c>
      <c r="C1949" s="19" t="str">
        <f t="shared" si="150"/>
        <v>B-BCP - Soles</v>
      </c>
      <c r="D1949" s="3" t="s">
        <v>1074</v>
      </c>
      <c r="E1949" s="14">
        <v>45813</v>
      </c>
      <c r="F1949" s="5" t="s">
        <v>1078</v>
      </c>
      <c r="G1949" s="5" t="s">
        <v>1079</v>
      </c>
      <c r="H1949" s="6"/>
      <c r="I1949" s="6"/>
      <c r="J1949" s="6"/>
      <c r="K1949" s="6"/>
      <c r="L1949" s="7" t="s">
        <v>2868</v>
      </c>
      <c r="M1949" s="8"/>
      <c r="N1949" s="8" t="str">
        <f t="shared" si="151"/>
        <v>PEN</v>
      </c>
      <c r="O1949" s="13"/>
      <c r="P1949" s="13">
        <v>1.05</v>
      </c>
      <c r="Q1949" s="3">
        <f t="shared" si="152"/>
        <v>0</v>
      </c>
      <c r="R1949" s="3">
        <f t="shared" si="153"/>
        <v>1.05</v>
      </c>
      <c r="S1949" s="3">
        <f t="shared" si="154"/>
        <v>58133.820000000022</v>
      </c>
      <c r="T1949" s="24"/>
      <c r="U1949" s="24"/>
      <c r="V1949" s="67"/>
      <c r="W1949" s="25" t="str">
        <f>IFERROR(VLOOKUP(BCP_Soles[[#This Row],[DESTINATARIO]],CHOOSE({1,2},Clientes_Proveedores[Razon Social],Clientes_Proveedores[Ruc / Dni]),2,0),"")</f>
        <v/>
      </c>
      <c r="X1949" s="25"/>
      <c r="Y1949" s="25"/>
      <c r="Z1949" s="25"/>
      <c r="AA1949" s="99"/>
      <c r="AB1949" s="3" t="str">
        <f>IF(BCP_Soles[[#This Row],[FECHA]]&gt;0,TEXT(BCP_Soles[[#This Row],[FECHA]],"mmmm"),0)</f>
        <v>Junio</v>
      </c>
    </row>
    <row r="1950" spans="2:28" ht="24" x14ac:dyDescent="0.3">
      <c r="B1950" s="2">
        <f>IF(BCP_Soles[[#This Row],[TIPO DE R.]]="R",COUNTIFS($D$4:$D1949,"R")+1,"")</f>
        <v>1501</v>
      </c>
      <c r="C1950" s="19" t="str">
        <f t="shared" si="150"/>
        <v>B-BCP - Soles</v>
      </c>
      <c r="D1950" s="3" t="s">
        <v>1074</v>
      </c>
      <c r="E1950" s="14">
        <v>45814</v>
      </c>
      <c r="F1950" s="5" t="s">
        <v>155</v>
      </c>
      <c r="G1950" s="5" t="s">
        <v>1087</v>
      </c>
      <c r="H1950" s="6" t="s">
        <v>368</v>
      </c>
      <c r="I1950" s="6" t="s">
        <v>14</v>
      </c>
      <c r="J1950" s="6" t="s">
        <v>3010</v>
      </c>
      <c r="K1950" s="6">
        <v>53</v>
      </c>
      <c r="L1950" s="7" t="s">
        <v>3011</v>
      </c>
      <c r="M1950" s="8">
        <v>4823755</v>
      </c>
      <c r="N1950" s="8" t="str">
        <f t="shared" si="151"/>
        <v>PEN</v>
      </c>
      <c r="O1950" s="13"/>
      <c r="P1950" s="13">
        <v>310.08999999999997</v>
      </c>
      <c r="Q1950" s="3">
        <f t="shared" si="152"/>
        <v>310.08999999999997</v>
      </c>
      <c r="R1950" s="3">
        <f t="shared" si="153"/>
        <v>0</v>
      </c>
      <c r="S1950" s="3">
        <f t="shared" si="154"/>
        <v>58443.910000000018</v>
      </c>
      <c r="T1950" s="24" t="s">
        <v>1081</v>
      </c>
      <c r="U1950" s="24" t="s">
        <v>1081</v>
      </c>
      <c r="V1950" s="67"/>
      <c r="W1950" s="25">
        <f>IFERROR(VLOOKUP(BCP_Soles[[#This Row],[DESTINATARIO]],CHOOSE({1,2},Clientes_Proveedores[Razon Social],Clientes_Proveedores[Ruc / Dni]),2,0),"")</f>
        <v>20558226979</v>
      </c>
      <c r="X1950" s="25" t="s">
        <v>1090</v>
      </c>
      <c r="Y1950" s="25" t="s">
        <v>3012</v>
      </c>
      <c r="Z1950" s="25"/>
      <c r="AA1950" s="99"/>
      <c r="AB1950" s="3" t="str">
        <f>IF(BCP_Soles[[#This Row],[FECHA]]&gt;0,TEXT(BCP_Soles[[#This Row],[FECHA]],"mmmm"),0)</f>
        <v>Junio</v>
      </c>
    </row>
    <row r="1951" spans="2:28" x14ac:dyDescent="0.3">
      <c r="B1951" s="2">
        <f>IF(BCP_Soles[[#This Row],[TIPO DE R.]]="R",COUNTIFS($D$4:$D1950,"R")+1,"")</f>
        <v>1502</v>
      </c>
      <c r="C1951" s="19" t="str">
        <f t="shared" si="150"/>
        <v>B-BCP - Soles</v>
      </c>
      <c r="D1951" s="3" t="s">
        <v>1074</v>
      </c>
      <c r="E1951" s="14">
        <v>45814</v>
      </c>
      <c r="F1951" s="5" t="s">
        <v>229</v>
      </c>
      <c r="G1951" s="5" t="s">
        <v>1087</v>
      </c>
      <c r="H1951" s="6" t="s">
        <v>368</v>
      </c>
      <c r="I1951" s="6" t="s">
        <v>14</v>
      </c>
      <c r="J1951" s="6" t="s">
        <v>1521</v>
      </c>
      <c r="K1951" s="6">
        <v>91</v>
      </c>
      <c r="L1951" s="7" t="s">
        <v>1127</v>
      </c>
      <c r="M1951" s="8">
        <v>2582</v>
      </c>
      <c r="N1951" s="8" t="str">
        <f t="shared" si="151"/>
        <v>PEN</v>
      </c>
      <c r="O1951" s="13"/>
      <c r="P1951" s="13">
        <v>2152.16</v>
      </c>
      <c r="Q1951" s="3">
        <f t="shared" si="152"/>
        <v>2152.16</v>
      </c>
      <c r="R1951" s="3">
        <f t="shared" si="153"/>
        <v>0</v>
      </c>
      <c r="S1951" s="3">
        <f t="shared" si="154"/>
        <v>60596.070000000022</v>
      </c>
      <c r="T1951" s="24" t="s">
        <v>1081</v>
      </c>
      <c r="U1951" s="24" t="s">
        <v>1081</v>
      </c>
      <c r="V1951" s="67"/>
      <c r="W1951" s="25">
        <f>IFERROR(VLOOKUP(BCP_Soles[[#This Row],[DESTINATARIO]],CHOOSE({1,2},Clientes_Proveedores[Razon Social],Clientes_Proveedores[Ruc / Dni]),2,0),"")</f>
        <v>20558226979</v>
      </c>
      <c r="X1951" s="25" t="s">
        <v>1090</v>
      </c>
      <c r="Y1951" s="25" t="s">
        <v>3013</v>
      </c>
      <c r="Z1951" s="25"/>
      <c r="AA1951" s="99"/>
      <c r="AB1951" s="3" t="str">
        <f>IF(BCP_Soles[[#This Row],[FECHA]]&gt;0,TEXT(BCP_Soles[[#This Row],[FECHA]],"mmmm"),0)</f>
        <v>Junio</v>
      </c>
    </row>
    <row r="1952" spans="2:28" x14ac:dyDescent="0.3">
      <c r="B1952" s="2">
        <f>IF(BCP_Soles[[#This Row],[TIPO DE R.]]="R",COUNTIFS($D$4:$D1951,"R")+1,"")</f>
        <v>1503</v>
      </c>
      <c r="C1952" s="19" t="str">
        <f t="shared" si="150"/>
        <v>B-BCP - Soles</v>
      </c>
      <c r="D1952" s="3" t="s">
        <v>1074</v>
      </c>
      <c r="E1952" s="14">
        <v>45814</v>
      </c>
      <c r="F1952" s="5" t="s">
        <v>382</v>
      </c>
      <c r="G1952" s="5" t="s">
        <v>1087</v>
      </c>
      <c r="H1952" s="6"/>
      <c r="I1952" s="6"/>
      <c r="J1952" s="6"/>
      <c r="K1952" s="6"/>
      <c r="L1952" s="7" t="s">
        <v>1100</v>
      </c>
      <c r="M1952" s="8">
        <v>1477159</v>
      </c>
      <c r="N1952" s="8" t="str">
        <f t="shared" si="151"/>
        <v>PEN</v>
      </c>
      <c r="O1952" s="13"/>
      <c r="P1952" s="13">
        <v>676</v>
      </c>
      <c r="Q1952" s="3">
        <f t="shared" si="152"/>
        <v>676</v>
      </c>
      <c r="R1952" s="3">
        <f t="shared" si="153"/>
        <v>0</v>
      </c>
      <c r="S1952" s="3">
        <f t="shared" si="154"/>
        <v>61272.070000000022</v>
      </c>
      <c r="T1952" s="24" t="s">
        <v>1081</v>
      </c>
      <c r="U1952" s="24" t="s">
        <v>1081</v>
      </c>
      <c r="V1952" s="67"/>
      <c r="W1952" s="25" t="str">
        <f>IFERROR(VLOOKUP(BCP_Soles[[#This Row],[DESTINATARIO]],CHOOSE({1,2},Clientes_Proveedores[Razon Social],Clientes_Proveedores[Ruc / Dni]),2,0),"")</f>
        <v/>
      </c>
      <c r="X1952" s="25" t="s">
        <v>1090</v>
      </c>
      <c r="Y1952" s="25" t="s">
        <v>3014</v>
      </c>
      <c r="Z1952" s="25"/>
      <c r="AA1952" s="99"/>
      <c r="AB1952" s="3" t="str">
        <f>IF(BCP_Soles[[#This Row],[FECHA]]&gt;0,TEXT(BCP_Soles[[#This Row],[FECHA]],"mmmm"),0)</f>
        <v>Junio</v>
      </c>
    </row>
    <row r="1953" spans="2:28" ht="24" x14ac:dyDescent="0.3">
      <c r="B1953" s="2">
        <f>IF(BCP_Soles[[#This Row],[TIPO DE R.]]="R",COUNTIFS($D$4:$D1952,"R")+1,"")</f>
        <v>1504</v>
      </c>
      <c r="C1953" s="19" t="str">
        <f t="shared" si="150"/>
        <v>B-BCP - Soles</v>
      </c>
      <c r="D1953" s="3" t="s">
        <v>1074</v>
      </c>
      <c r="E1953" s="14">
        <v>45814</v>
      </c>
      <c r="F1953" s="5" t="s">
        <v>1745</v>
      </c>
      <c r="G1953" s="5" t="s">
        <v>1087</v>
      </c>
      <c r="H1953" s="6"/>
      <c r="I1953" s="6"/>
      <c r="J1953" s="6"/>
      <c r="K1953" s="6"/>
      <c r="L1953" s="7" t="s">
        <v>1100</v>
      </c>
      <c r="M1953" s="8">
        <v>1229129</v>
      </c>
      <c r="N1953" s="8" t="str">
        <f t="shared" si="151"/>
        <v>PEN</v>
      </c>
      <c r="O1953" s="13"/>
      <c r="P1953" s="13">
        <v>488</v>
      </c>
      <c r="Q1953" s="3">
        <f t="shared" si="152"/>
        <v>488</v>
      </c>
      <c r="R1953" s="3">
        <f t="shared" si="153"/>
        <v>0</v>
      </c>
      <c r="S1953" s="3">
        <f t="shared" si="154"/>
        <v>61760.070000000022</v>
      </c>
      <c r="T1953" s="24" t="s">
        <v>1081</v>
      </c>
      <c r="U1953" s="24" t="s">
        <v>1081</v>
      </c>
      <c r="V1953" s="67"/>
      <c r="W1953" s="25" t="str">
        <f>IFERROR(VLOOKUP(BCP_Soles[[#This Row],[DESTINATARIO]],CHOOSE({1,2},Clientes_Proveedores[Razon Social],Clientes_Proveedores[Ruc / Dni]),2,0),"")</f>
        <v/>
      </c>
      <c r="X1953" s="25" t="s">
        <v>1090</v>
      </c>
      <c r="Y1953" s="25" t="s">
        <v>3015</v>
      </c>
      <c r="Z1953" s="25"/>
      <c r="AA1953" s="99"/>
      <c r="AB1953" s="3" t="str">
        <f>IF(BCP_Soles[[#This Row],[FECHA]]&gt;0,TEXT(BCP_Soles[[#This Row],[FECHA]],"mmmm"),0)</f>
        <v>Junio</v>
      </c>
    </row>
    <row r="1954" spans="2:28" x14ac:dyDescent="0.3">
      <c r="B1954" s="2">
        <f>IF(BCP_Soles[[#This Row],[TIPO DE R.]]="R",COUNTIFS($D$4:$D1953,"R")+1,"")</f>
        <v>1505</v>
      </c>
      <c r="C1954" s="19" t="str">
        <f t="shared" si="150"/>
        <v>B-BCP - Soles</v>
      </c>
      <c r="D1954" s="3" t="s">
        <v>1074</v>
      </c>
      <c r="E1954" s="14">
        <v>45814</v>
      </c>
      <c r="F1954" s="5" t="s">
        <v>3016</v>
      </c>
      <c r="G1954" s="5" t="s">
        <v>1087</v>
      </c>
      <c r="H1954" s="6"/>
      <c r="I1954" s="6"/>
      <c r="J1954" s="6"/>
      <c r="K1954" s="6"/>
      <c r="L1954" s="7" t="s">
        <v>3017</v>
      </c>
      <c r="M1954" s="8">
        <v>252398</v>
      </c>
      <c r="N1954" s="8" t="str">
        <f t="shared" si="151"/>
        <v>PEN</v>
      </c>
      <c r="O1954" s="13"/>
      <c r="P1954" s="13">
        <v>5032</v>
      </c>
      <c r="Q1954" s="3">
        <f t="shared" si="152"/>
        <v>5032</v>
      </c>
      <c r="R1954" s="3">
        <f t="shared" si="153"/>
        <v>0</v>
      </c>
      <c r="S1954" s="3">
        <f t="shared" si="154"/>
        <v>66792.070000000022</v>
      </c>
      <c r="T1954" s="24" t="s">
        <v>1081</v>
      </c>
      <c r="U1954" s="24"/>
      <c r="V1954" s="67"/>
      <c r="W1954" s="25" t="str">
        <f>IFERROR(VLOOKUP(BCP_Soles[[#This Row],[DESTINATARIO]],CHOOSE({1,2},Clientes_Proveedores[Razon Social],Clientes_Proveedores[Ruc / Dni]),2,0),"")</f>
        <v/>
      </c>
      <c r="X1954" s="25"/>
      <c r="Y1954" s="25"/>
      <c r="Z1954" s="25"/>
      <c r="AA1954" s="99"/>
      <c r="AB1954" s="3" t="str">
        <f>IF(BCP_Soles[[#This Row],[FECHA]]&gt;0,TEXT(BCP_Soles[[#This Row],[FECHA]],"mmmm"),0)</f>
        <v>Junio</v>
      </c>
    </row>
    <row r="1955" spans="2:28" ht="36" x14ac:dyDescent="0.3">
      <c r="B1955" s="2">
        <f>IF(BCP_Soles[[#This Row],[TIPO DE R.]]="R",COUNTIFS($D$4:$D1954,"R")+1,"")</f>
        <v>1506</v>
      </c>
      <c r="C1955" s="19" t="str">
        <f t="shared" si="150"/>
        <v>B-BCP - Soles</v>
      </c>
      <c r="D1955" s="3" t="s">
        <v>1074</v>
      </c>
      <c r="E1955" s="14">
        <v>45814</v>
      </c>
      <c r="F1955" s="5" t="s">
        <v>204</v>
      </c>
      <c r="G1955" s="5" t="s">
        <v>1087</v>
      </c>
      <c r="H1955" s="6" t="s">
        <v>368</v>
      </c>
      <c r="I1955" s="6" t="s">
        <v>14</v>
      </c>
      <c r="J1955" s="6" t="s">
        <v>3010</v>
      </c>
      <c r="K1955" s="6">
        <v>54</v>
      </c>
      <c r="L1955" s="7" t="s">
        <v>3018</v>
      </c>
      <c r="M1955" s="8">
        <v>4905971</v>
      </c>
      <c r="N1955" s="8" t="str">
        <f t="shared" si="151"/>
        <v>PEN</v>
      </c>
      <c r="O1955" s="13"/>
      <c r="P1955" s="13">
        <v>4503.3900000000003</v>
      </c>
      <c r="Q1955" s="3">
        <f t="shared" si="152"/>
        <v>4503.3900000000003</v>
      </c>
      <c r="R1955" s="3">
        <f t="shared" si="153"/>
        <v>0</v>
      </c>
      <c r="S1955" s="3">
        <f t="shared" si="154"/>
        <v>71295.460000000021</v>
      </c>
      <c r="T1955" s="24" t="s">
        <v>1081</v>
      </c>
      <c r="U1955" s="24" t="s">
        <v>1081</v>
      </c>
      <c r="V1955" s="67"/>
      <c r="W1955" s="25">
        <f>IFERROR(VLOOKUP(BCP_Soles[[#This Row],[DESTINATARIO]],CHOOSE({1,2},Clientes_Proveedores[Razon Social],Clientes_Proveedores[Ruc / Dni]),2,0),"")</f>
        <v>20558226979</v>
      </c>
      <c r="X1955" s="25" t="s">
        <v>1090</v>
      </c>
      <c r="Y1955" s="25" t="s">
        <v>3019</v>
      </c>
      <c r="Z1955" s="25"/>
      <c r="AA1955" s="99"/>
      <c r="AB1955" s="3" t="str">
        <f>IF(BCP_Soles[[#This Row],[FECHA]]&gt;0,TEXT(BCP_Soles[[#This Row],[FECHA]],"mmmm"),0)</f>
        <v>Junio</v>
      </c>
    </row>
    <row r="1956" spans="2:28" ht="24" x14ac:dyDescent="0.3">
      <c r="B1956" s="2">
        <f>IF(BCP_Soles[[#This Row],[TIPO DE R.]]="R",COUNTIFS($D$4:$D1955,"R")+1,"")</f>
        <v>1507</v>
      </c>
      <c r="C1956" s="19" t="str">
        <f t="shared" si="150"/>
        <v>B-BCP - Soles</v>
      </c>
      <c r="D1956" s="3" t="s">
        <v>1074</v>
      </c>
      <c r="E1956" s="14">
        <v>45814</v>
      </c>
      <c r="F1956" s="5" t="s">
        <v>1158</v>
      </c>
      <c r="G1956" s="5" t="s">
        <v>1079</v>
      </c>
      <c r="H1956" s="6" t="s">
        <v>192</v>
      </c>
      <c r="I1956" s="6"/>
      <c r="J1956" s="6"/>
      <c r="K1956" s="6"/>
      <c r="L1956" s="7" t="s">
        <v>3020</v>
      </c>
      <c r="M1956" s="8">
        <v>1026776</v>
      </c>
      <c r="N1956" s="8" t="str">
        <f t="shared" si="151"/>
        <v>PEN</v>
      </c>
      <c r="O1956" s="13"/>
      <c r="P1956" s="13">
        <v>993.96</v>
      </c>
      <c r="Q1956" s="3">
        <f t="shared" si="152"/>
        <v>0</v>
      </c>
      <c r="R1956" s="3">
        <f t="shared" si="153"/>
        <v>993.96</v>
      </c>
      <c r="S1956" s="3">
        <f t="shared" si="154"/>
        <v>70301.500000000015</v>
      </c>
      <c r="T1956" s="24"/>
      <c r="U1956" s="24"/>
      <c r="V1956" s="67"/>
      <c r="W1956" s="25">
        <f>IFERROR(VLOOKUP(BCP_Soles[[#This Row],[DESTINATARIO]],CHOOSE({1,2},Clientes_Proveedores[Razon Social],Clientes_Proveedores[Ruc / Dni]),2,0),"")</f>
        <v>20302891452</v>
      </c>
      <c r="X1956" s="25" t="s">
        <v>192</v>
      </c>
      <c r="Y1956" s="25"/>
      <c r="Z1956" s="25"/>
      <c r="AA1956" s="99"/>
      <c r="AB1956" s="3" t="str">
        <f>IF(BCP_Soles[[#This Row],[FECHA]]&gt;0,TEXT(BCP_Soles[[#This Row],[FECHA]],"mmmm"),0)</f>
        <v>Junio</v>
      </c>
    </row>
    <row r="1957" spans="2:28" ht="36" x14ac:dyDescent="0.3">
      <c r="B1957" s="2">
        <f>IF(BCP_Soles[[#This Row],[TIPO DE R.]]="R",COUNTIFS($D$4:$D1956,"R")+1,"")</f>
        <v>1508</v>
      </c>
      <c r="C1957" s="19" t="str">
        <f t="shared" si="150"/>
        <v>B-BCP - Soles</v>
      </c>
      <c r="D1957" s="3" t="s">
        <v>1074</v>
      </c>
      <c r="E1957" s="14">
        <v>45814</v>
      </c>
      <c r="F1957" s="5" t="s">
        <v>1158</v>
      </c>
      <c r="G1957" s="5" t="s">
        <v>1079</v>
      </c>
      <c r="H1957" s="6" t="s">
        <v>878</v>
      </c>
      <c r="I1957" s="6" t="s">
        <v>87</v>
      </c>
      <c r="J1957" s="6">
        <v>1</v>
      </c>
      <c r="K1957" s="6">
        <v>422025</v>
      </c>
      <c r="L1957" s="7" t="s">
        <v>3021</v>
      </c>
      <c r="M1957" s="8">
        <v>1176625</v>
      </c>
      <c r="N1957" s="8" t="str">
        <f t="shared" si="151"/>
        <v>PEN</v>
      </c>
      <c r="O1957" s="13"/>
      <c r="P1957" s="13">
        <v>618</v>
      </c>
      <c r="Q1957" s="3">
        <f t="shared" si="152"/>
        <v>0</v>
      </c>
      <c r="R1957" s="3">
        <f t="shared" si="153"/>
        <v>618</v>
      </c>
      <c r="S1957" s="3">
        <f t="shared" si="154"/>
        <v>69683.500000000015</v>
      </c>
      <c r="T1957" s="24" t="s">
        <v>1081</v>
      </c>
      <c r="U1957" s="24" t="s">
        <v>1081</v>
      </c>
      <c r="V1957" s="67"/>
      <c r="W1957" s="25">
        <f>IFERROR(VLOOKUP(BCP_Soles[[#This Row],[DESTINATARIO]],CHOOSE({1,2},Clientes_Proveedores[Razon Social],Clientes_Proveedores[Ruc / Dni]),2,0),"")</f>
        <v>72728100</v>
      </c>
      <c r="X1957" s="25" t="s">
        <v>878</v>
      </c>
      <c r="Y1957" s="25" t="s">
        <v>3022</v>
      </c>
      <c r="Z1957" s="25"/>
      <c r="AA1957" s="99"/>
      <c r="AB1957" s="3" t="str">
        <f>IF(BCP_Soles[[#This Row],[FECHA]]&gt;0,TEXT(BCP_Soles[[#This Row],[FECHA]],"mmmm"),0)</f>
        <v>Junio</v>
      </c>
    </row>
    <row r="1958" spans="2:28" ht="24" x14ac:dyDescent="0.3">
      <c r="B1958" s="2">
        <f>IF(BCP_Soles[[#This Row],[TIPO DE R.]]="R",COUNTIFS($D$4:$D1957,"R")+1,"")</f>
        <v>1509</v>
      </c>
      <c r="C1958" s="19" t="str">
        <f t="shared" si="150"/>
        <v>B-BCP - Soles</v>
      </c>
      <c r="D1958" s="3" t="s">
        <v>1074</v>
      </c>
      <c r="E1958" s="14">
        <v>45814</v>
      </c>
      <c r="F1958" s="5" t="s">
        <v>1158</v>
      </c>
      <c r="G1958" s="5" t="s">
        <v>1079</v>
      </c>
      <c r="H1958" s="6" t="s">
        <v>1010</v>
      </c>
      <c r="I1958" s="6" t="s">
        <v>87</v>
      </c>
      <c r="J1958" s="6">
        <v>1</v>
      </c>
      <c r="K1958" s="6">
        <v>442025</v>
      </c>
      <c r="L1958" s="7" t="s">
        <v>3023</v>
      </c>
      <c r="M1958" s="8">
        <v>1178079</v>
      </c>
      <c r="N1958" s="8" t="str">
        <f t="shared" si="151"/>
        <v>PEN</v>
      </c>
      <c r="O1958" s="13"/>
      <c r="P1958" s="13">
        <v>2000</v>
      </c>
      <c r="Q1958" s="3">
        <f t="shared" si="152"/>
        <v>0</v>
      </c>
      <c r="R1958" s="3">
        <f t="shared" si="153"/>
        <v>2000</v>
      </c>
      <c r="S1958" s="3">
        <f t="shared" si="154"/>
        <v>67683.500000000015</v>
      </c>
      <c r="T1958" s="24" t="s">
        <v>1081</v>
      </c>
      <c r="U1958" s="24" t="s">
        <v>1081</v>
      </c>
      <c r="V1958" s="67"/>
      <c r="W1958" s="25">
        <f>IFERROR(VLOOKUP(BCP_Soles[[#This Row],[DESTINATARIO]],CHOOSE({1,2},Clientes_Proveedores[Razon Social],Clientes_Proveedores[Ruc / Dni]),2,0),"")</f>
        <v>72378581</v>
      </c>
      <c r="X1958" s="25" t="s">
        <v>2627</v>
      </c>
      <c r="Y1958" s="25" t="s">
        <v>3024</v>
      </c>
      <c r="Z1958" s="25"/>
      <c r="AA1958" s="99"/>
      <c r="AB1958" s="3" t="str">
        <f>IF(BCP_Soles[[#This Row],[FECHA]]&gt;0,TEXT(BCP_Soles[[#This Row],[FECHA]],"mmmm"),0)</f>
        <v>Junio</v>
      </c>
    </row>
    <row r="1959" spans="2:28" ht="24" x14ac:dyDescent="0.3">
      <c r="B1959" s="2">
        <f>IF(BCP_Soles[[#This Row],[TIPO DE R.]]="R",COUNTIFS($D$4:$D1958,"R")+1,"")</f>
        <v>1510</v>
      </c>
      <c r="C1959" s="19" t="str">
        <f t="shared" si="150"/>
        <v>B-BCP - Soles</v>
      </c>
      <c r="D1959" s="3" t="s">
        <v>1074</v>
      </c>
      <c r="E1959" s="14">
        <v>45814</v>
      </c>
      <c r="F1959" s="5" t="s">
        <v>1158</v>
      </c>
      <c r="G1959" s="5" t="s">
        <v>1079</v>
      </c>
      <c r="H1959" s="6" t="s">
        <v>328</v>
      </c>
      <c r="I1959" s="6" t="s">
        <v>14</v>
      </c>
      <c r="J1959" s="6" t="s">
        <v>1121</v>
      </c>
      <c r="K1959" s="6">
        <v>1322</v>
      </c>
      <c r="L1959" s="7" t="s">
        <v>3025</v>
      </c>
      <c r="M1959" s="8">
        <v>1289900</v>
      </c>
      <c r="N1959" s="8" t="str">
        <f t="shared" si="151"/>
        <v>PEN</v>
      </c>
      <c r="O1959" s="13"/>
      <c r="P1959" s="13">
        <v>2761.85</v>
      </c>
      <c r="Q1959" s="3">
        <f t="shared" si="152"/>
        <v>0</v>
      </c>
      <c r="R1959" s="3">
        <f t="shared" si="153"/>
        <v>2761.85</v>
      </c>
      <c r="S1959" s="3">
        <f t="shared" si="154"/>
        <v>64921.650000000016</v>
      </c>
      <c r="T1959" s="24" t="s">
        <v>1081</v>
      </c>
      <c r="U1959" s="24" t="s">
        <v>1081</v>
      </c>
      <c r="V1959" s="67"/>
      <c r="W1959" s="25">
        <f>IFERROR(VLOOKUP(BCP_Soles[[#This Row],[DESTINATARIO]],CHOOSE({1,2},Clientes_Proveedores[Razon Social],Clientes_Proveedores[Ruc / Dni]),2,0),"")</f>
        <v>20539387104</v>
      </c>
      <c r="X1959" s="25" t="s">
        <v>328</v>
      </c>
      <c r="Y1959" s="25" t="s">
        <v>3026</v>
      </c>
      <c r="Z1959" s="25"/>
      <c r="AA1959" s="99"/>
      <c r="AB1959" s="3" t="str">
        <f>IF(BCP_Soles[[#This Row],[FECHA]]&gt;0,TEXT(BCP_Soles[[#This Row],[FECHA]],"mmmm"),0)</f>
        <v>Junio</v>
      </c>
    </row>
    <row r="1960" spans="2:28" ht="24" x14ac:dyDescent="0.3">
      <c r="B1960" s="2">
        <f>IF(BCP_Soles[[#This Row],[TIPO DE R.]]="R",COUNTIFS($D$4:$D1959,"R")+1,"")</f>
        <v>1511</v>
      </c>
      <c r="C1960" s="19" t="str">
        <f t="shared" si="150"/>
        <v>B-BCP - Soles</v>
      </c>
      <c r="D1960" s="3" t="s">
        <v>1074</v>
      </c>
      <c r="E1960" s="14">
        <v>45814</v>
      </c>
      <c r="F1960" s="5" t="s">
        <v>1158</v>
      </c>
      <c r="G1960" s="5" t="s">
        <v>1079</v>
      </c>
      <c r="H1960" s="6" t="s">
        <v>192</v>
      </c>
      <c r="I1960" s="6"/>
      <c r="J1960" s="6"/>
      <c r="K1960" s="6"/>
      <c r="L1960" s="7" t="s">
        <v>3027</v>
      </c>
      <c r="M1960" s="8">
        <v>1290364</v>
      </c>
      <c r="N1960" s="8" t="str">
        <f t="shared" si="151"/>
        <v>PEN</v>
      </c>
      <c r="O1960" s="13"/>
      <c r="P1960" s="13">
        <v>181.16</v>
      </c>
      <c r="Q1960" s="3">
        <f t="shared" si="152"/>
        <v>0</v>
      </c>
      <c r="R1960" s="3">
        <f t="shared" si="153"/>
        <v>181.16</v>
      </c>
      <c r="S1960" s="3">
        <f t="shared" si="154"/>
        <v>64740.490000000013</v>
      </c>
      <c r="T1960" s="24"/>
      <c r="U1960" s="24"/>
      <c r="V1960" s="67"/>
      <c r="W1960" s="25">
        <f>IFERROR(VLOOKUP(BCP_Soles[[#This Row],[DESTINATARIO]],CHOOSE({1,2},Clientes_Proveedores[Razon Social],Clientes_Proveedores[Ruc / Dni]),2,0),"")</f>
        <v>20302891452</v>
      </c>
      <c r="X1960" s="25" t="s">
        <v>192</v>
      </c>
      <c r="Y1960" s="25"/>
      <c r="Z1960" s="25"/>
      <c r="AA1960" s="99"/>
      <c r="AB1960" s="3" t="str">
        <f>IF(BCP_Soles[[#This Row],[FECHA]]&gt;0,TEXT(BCP_Soles[[#This Row],[FECHA]],"mmmm"),0)</f>
        <v>Junio</v>
      </c>
    </row>
    <row r="1961" spans="2:28" x14ac:dyDescent="0.3">
      <c r="B1961" s="2">
        <f>IF(BCP_Soles[[#This Row],[TIPO DE R.]]="R",COUNTIFS($D$4:$D1960,"R")+1,"")</f>
        <v>1512</v>
      </c>
      <c r="C1961" s="19" t="str">
        <f t="shared" si="150"/>
        <v>B-BCP - Soles</v>
      </c>
      <c r="D1961" s="3" t="s">
        <v>1074</v>
      </c>
      <c r="E1961" s="14">
        <v>45814</v>
      </c>
      <c r="F1961" s="5" t="s">
        <v>2898</v>
      </c>
      <c r="G1961" s="5" t="s">
        <v>1079</v>
      </c>
      <c r="H1961" s="6"/>
      <c r="I1961" s="6"/>
      <c r="J1961" s="6"/>
      <c r="K1961" s="6"/>
      <c r="L1961" s="7" t="s">
        <v>3028</v>
      </c>
      <c r="M1961" s="8">
        <v>1021087</v>
      </c>
      <c r="N1961" s="8" t="str">
        <f t="shared" si="151"/>
        <v>PEN</v>
      </c>
      <c r="O1961" s="13"/>
      <c r="P1961" s="13">
        <v>1817</v>
      </c>
      <c r="Q1961" s="3">
        <f t="shared" si="152"/>
        <v>0</v>
      </c>
      <c r="R1961" s="3">
        <f t="shared" si="153"/>
        <v>1817</v>
      </c>
      <c r="S1961" s="3">
        <f t="shared" si="154"/>
        <v>62923.490000000013</v>
      </c>
      <c r="T1961" s="24"/>
      <c r="U1961" s="24"/>
      <c r="V1961" s="67"/>
      <c r="W1961" s="25" t="str">
        <f>IFERROR(VLOOKUP(BCP_Soles[[#This Row],[DESTINATARIO]],CHOOSE({1,2},Clientes_Proveedores[Razon Social],Clientes_Proveedores[Ruc / Dni]),2,0),"")</f>
        <v/>
      </c>
      <c r="X1961" s="25"/>
      <c r="Y1961" s="25"/>
      <c r="Z1961" s="25"/>
      <c r="AA1961" s="99"/>
      <c r="AB1961" s="3" t="str">
        <f>IF(BCP_Soles[[#This Row],[FECHA]]&gt;0,TEXT(BCP_Soles[[#This Row],[FECHA]],"mmmm"),0)</f>
        <v>Junio</v>
      </c>
    </row>
    <row r="1962" spans="2:28" ht="24" x14ac:dyDescent="0.3">
      <c r="B1962" s="2">
        <f>IF(BCP_Soles[[#This Row],[TIPO DE R.]]="R",COUNTIFS($D$4:$D1961,"R")+1,"")</f>
        <v>1513</v>
      </c>
      <c r="C1962" s="19" t="str">
        <f t="shared" si="150"/>
        <v>B-BCP - Soles</v>
      </c>
      <c r="D1962" s="3" t="s">
        <v>1074</v>
      </c>
      <c r="E1962" s="14">
        <v>45814</v>
      </c>
      <c r="F1962" s="5" t="s">
        <v>1078</v>
      </c>
      <c r="G1962" s="5" t="s">
        <v>1079</v>
      </c>
      <c r="H1962" s="6" t="s">
        <v>1001</v>
      </c>
      <c r="I1962" s="6"/>
      <c r="J1962" s="6"/>
      <c r="K1962" s="6"/>
      <c r="L1962" s="7" t="s">
        <v>1141</v>
      </c>
      <c r="M1962" s="8">
        <v>1755</v>
      </c>
      <c r="N1962" s="8" t="str">
        <f t="shared" si="151"/>
        <v>PEN</v>
      </c>
      <c r="O1962" s="13"/>
      <c r="P1962" s="13">
        <v>10</v>
      </c>
      <c r="Q1962" s="3">
        <f t="shared" si="152"/>
        <v>0</v>
      </c>
      <c r="R1962" s="3">
        <f t="shared" si="153"/>
        <v>10</v>
      </c>
      <c r="S1962" s="3">
        <f t="shared" si="154"/>
        <v>62913.490000000013</v>
      </c>
      <c r="T1962" s="24"/>
      <c r="U1962" s="24"/>
      <c r="V1962" s="67"/>
      <c r="W1962" s="25">
        <f>IFERROR(VLOOKUP(BCP_Soles[[#This Row],[DESTINATARIO]],CHOOSE({1,2},Clientes_Proveedores[Razon Social],Clientes_Proveedores[Ruc / Dni]),2,0),"")</f>
        <v>20100047218</v>
      </c>
      <c r="X1962" s="25" t="s">
        <v>1078</v>
      </c>
      <c r="Y1962" s="25"/>
      <c r="Z1962" s="25"/>
      <c r="AA1962" s="99"/>
      <c r="AB1962" s="3" t="str">
        <f>IF(BCP_Soles[[#This Row],[FECHA]]&gt;0,TEXT(BCP_Soles[[#This Row],[FECHA]],"mmmm"),0)</f>
        <v>Junio</v>
      </c>
    </row>
    <row r="1963" spans="2:28" x14ac:dyDescent="0.3">
      <c r="B1963" s="2">
        <f>IF(BCP_Soles[[#This Row],[TIPO DE R.]]="R",COUNTIFS($D$4:$D1962,"R")+1,"")</f>
        <v>1514</v>
      </c>
      <c r="C1963" s="19" t="str">
        <f t="shared" si="150"/>
        <v>B-BCP - Soles</v>
      </c>
      <c r="D1963" s="3" t="s">
        <v>1074</v>
      </c>
      <c r="E1963" s="14">
        <v>45814</v>
      </c>
      <c r="F1963" s="5" t="s">
        <v>1078</v>
      </c>
      <c r="G1963" s="5" t="s">
        <v>1079</v>
      </c>
      <c r="H1963" s="6"/>
      <c r="I1963" s="6"/>
      <c r="J1963" s="6"/>
      <c r="K1963" s="6"/>
      <c r="L1963" s="7" t="s">
        <v>2868</v>
      </c>
      <c r="M1963" s="8"/>
      <c r="N1963" s="8" t="str">
        <f t="shared" si="151"/>
        <v>PEN</v>
      </c>
      <c r="O1963" s="13"/>
      <c r="P1963" s="13">
        <v>0.8</v>
      </c>
      <c r="Q1963" s="3">
        <f t="shared" si="152"/>
        <v>0</v>
      </c>
      <c r="R1963" s="3">
        <f t="shared" si="153"/>
        <v>0.8</v>
      </c>
      <c r="S1963" s="3">
        <f t="shared" si="154"/>
        <v>62912.69000000001</v>
      </c>
      <c r="T1963" s="24"/>
      <c r="U1963" s="24"/>
      <c r="V1963" s="67"/>
      <c r="W1963" s="25" t="str">
        <f>IFERROR(VLOOKUP(BCP_Soles[[#This Row],[DESTINATARIO]],CHOOSE({1,2},Clientes_Proveedores[Razon Social],Clientes_Proveedores[Ruc / Dni]),2,0),"")</f>
        <v/>
      </c>
      <c r="X1963" s="25"/>
      <c r="Y1963" s="25"/>
      <c r="Z1963" s="25"/>
      <c r="AA1963" s="99"/>
      <c r="AB1963" s="3" t="str">
        <f>IF(BCP_Soles[[#This Row],[FECHA]]&gt;0,TEXT(BCP_Soles[[#This Row],[FECHA]],"mmmm"),0)</f>
        <v>Junio</v>
      </c>
    </row>
    <row r="1964" spans="2:28" x14ac:dyDescent="0.3">
      <c r="B1964" s="2">
        <f>IF(BCP_Soles[[#This Row],[TIPO DE R.]]="R",COUNTIFS($D$4:$D1963,"R")+1,"")</f>
        <v>1515</v>
      </c>
      <c r="C1964" s="19" t="str">
        <f t="shared" si="150"/>
        <v>B-BCP - Soles</v>
      </c>
      <c r="D1964" s="3" t="s">
        <v>1074</v>
      </c>
      <c r="E1964" s="14">
        <v>45815</v>
      </c>
      <c r="F1964" s="5"/>
      <c r="G1964" s="5" t="s">
        <v>1087</v>
      </c>
      <c r="H1964" s="6"/>
      <c r="I1964" s="6"/>
      <c r="J1964" s="6"/>
      <c r="K1964" s="6"/>
      <c r="L1964" s="7" t="s">
        <v>1100</v>
      </c>
      <c r="M1964" s="8">
        <v>5490500</v>
      </c>
      <c r="N1964" s="8" t="str">
        <f t="shared" si="151"/>
        <v>PEN</v>
      </c>
      <c r="O1964" s="13"/>
      <c r="P1964" s="13">
        <v>7985.05</v>
      </c>
      <c r="Q1964" s="3">
        <f t="shared" si="152"/>
        <v>7985.05</v>
      </c>
      <c r="R1964" s="3">
        <f t="shared" si="153"/>
        <v>0</v>
      </c>
      <c r="S1964" s="3">
        <f t="shared" si="154"/>
        <v>70897.740000000005</v>
      </c>
      <c r="T1964" s="24" t="s">
        <v>1081</v>
      </c>
      <c r="U1964" s="24" t="s">
        <v>1081</v>
      </c>
      <c r="V1964" s="67"/>
      <c r="W1964" s="25" t="str">
        <f>IFERROR(VLOOKUP(BCP_Soles[[#This Row],[DESTINATARIO]],CHOOSE({1,2},Clientes_Proveedores[Razon Social],Clientes_Proveedores[Ruc / Dni]),2,0),"")</f>
        <v/>
      </c>
      <c r="X1964" s="25" t="s">
        <v>1090</v>
      </c>
      <c r="Y1964" s="25"/>
      <c r="Z1964" s="25"/>
      <c r="AA1964" s="99"/>
      <c r="AB1964" s="3" t="str">
        <f>IF(BCP_Soles[[#This Row],[FECHA]]&gt;0,TEXT(BCP_Soles[[#This Row],[FECHA]],"mmmm"),0)</f>
        <v>Junio</v>
      </c>
    </row>
    <row r="1965" spans="2:28" ht="24" x14ac:dyDescent="0.3">
      <c r="B1965" s="2" t="str">
        <f>IF(BCP_Soles[[#This Row],[TIPO DE R.]]="R",COUNTIFS($D$4:$D1964,"R")+1,"")</f>
        <v/>
      </c>
      <c r="C1965" s="19" t="str">
        <f t="shared" si="150"/>
        <v>B-BCP - Soles</v>
      </c>
      <c r="D1965" s="3" t="s">
        <v>1101</v>
      </c>
      <c r="E1965" s="14">
        <v>45815</v>
      </c>
      <c r="F1965" s="5" t="s">
        <v>479</v>
      </c>
      <c r="G1965" s="5"/>
      <c r="H1965" s="6"/>
      <c r="I1965" s="6"/>
      <c r="J1965" s="6"/>
      <c r="K1965" s="6"/>
      <c r="L1965" s="7" t="s">
        <v>1100</v>
      </c>
      <c r="M1965" s="8">
        <v>5490500</v>
      </c>
      <c r="N1965" s="8" t="str">
        <f t="shared" si="151"/>
        <v>PEN</v>
      </c>
      <c r="O1965" s="13"/>
      <c r="P1965" s="13">
        <v>10</v>
      </c>
      <c r="Q1965" s="3">
        <f t="shared" si="152"/>
        <v>0</v>
      </c>
      <c r="R1965" s="3">
        <f t="shared" si="153"/>
        <v>0</v>
      </c>
      <c r="S1965" s="3">
        <f t="shared" si="154"/>
        <v>70897.740000000005</v>
      </c>
      <c r="T1965" s="24" t="s">
        <v>1081</v>
      </c>
      <c r="U1965" s="24" t="s">
        <v>1081</v>
      </c>
      <c r="V1965" s="67"/>
      <c r="W1965" s="25" t="str">
        <f>IFERROR(VLOOKUP(BCP_Soles[[#This Row],[DESTINATARIO]],CHOOSE({1,2},Clientes_Proveedores[Razon Social],Clientes_Proveedores[Ruc / Dni]),2,0),"")</f>
        <v/>
      </c>
      <c r="X1965" s="25" t="s">
        <v>1090</v>
      </c>
      <c r="Y1965" s="25" t="s">
        <v>2871</v>
      </c>
      <c r="Z1965" s="25"/>
      <c r="AA1965" s="99"/>
      <c r="AB1965" s="3" t="str">
        <f>IF(BCP_Soles[[#This Row],[FECHA]]&gt;0,TEXT(BCP_Soles[[#This Row],[FECHA]],"mmmm"),0)</f>
        <v>Junio</v>
      </c>
    </row>
    <row r="1966" spans="2:28" ht="24" x14ac:dyDescent="0.3">
      <c r="B1966" s="2" t="str">
        <f>IF(BCP_Soles[[#This Row],[TIPO DE R.]]="R",COUNTIFS($D$4:$D1965,"R")+1,"")</f>
        <v/>
      </c>
      <c r="C1966" s="19" t="str">
        <f t="shared" si="150"/>
        <v>B-BCP - Soles</v>
      </c>
      <c r="D1966" s="3" t="s">
        <v>1101</v>
      </c>
      <c r="E1966" s="14">
        <v>45815</v>
      </c>
      <c r="F1966" s="5" t="s">
        <v>479</v>
      </c>
      <c r="G1966" s="5"/>
      <c r="H1966" s="6"/>
      <c r="I1966" s="6"/>
      <c r="J1966" s="6"/>
      <c r="K1966" s="6"/>
      <c r="L1966" s="7" t="s">
        <v>1100</v>
      </c>
      <c r="M1966" s="8">
        <v>5490500</v>
      </c>
      <c r="N1966" s="8" t="str">
        <f t="shared" si="151"/>
        <v>PEN</v>
      </c>
      <c r="O1966" s="13"/>
      <c r="P1966" s="13">
        <v>4992</v>
      </c>
      <c r="Q1966" s="3">
        <f t="shared" si="152"/>
        <v>0</v>
      </c>
      <c r="R1966" s="3">
        <f t="shared" si="153"/>
        <v>0</v>
      </c>
      <c r="S1966" s="3">
        <f t="shared" si="154"/>
        <v>70897.740000000005</v>
      </c>
      <c r="T1966" s="24" t="s">
        <v>1081</v>
      </c>
      <c r="U1966" s="24" t="s">
        <v>1081</v>
      </c>
      <c r="V1966" s="67"/>
      <c r="W1966" s="25" t="str">
        <f>IFERROR(VLOOKUP(BCP_Soles[[#This Row],[DESTINATARIO]],CHOOSE({1,2},Clientes_Proveedores[Razon Social],Clientes_Proveedores[Ruc / Dni]),2,0),"")</f>
        <v/>
      </c>
      <c r="X1966" s="25" t="s">
        <v>1090</v>
      </c>
      <c r="Y1966" s="25" t="s">
        <v>3029</v>
      </c>
      <c r="Z1966" s="25"/>
      <c r="AA1966" s="99"/>
      <c r="AB1966" s="3" t="str">
        <f>IF(BCP_Soles[[#This Row],[FECHA]]&gt;0,TEXT(BCP_Soles[[#This Row],[FECHA]],"mmmm"),0)</f>
        <v>Junio</v>
      </c>
    </row>
    <row r="1967" spans="2:28" ht="24" x14ac:dyDescent="0.3">
      <c r="B1967" s="2" t="str">
        <f>IF(BCP_Soles[[#This Row],[TIPO DE R.]]="R",COUNTIFS($D$4:$D1966,"R")+1,"")</f>
        <v/>
      </c>
      <c r="C1967" s="19" t="str">
        <f t="shared" si="150"/>
        <v>B-BCP - Soles</v>
      </c>
      <c r="D1967" s="3" t="s">
        <v>1101</v>
      </c>
      <c r="E1967" s="14">
        <v>45815</v>
      </c>
      <c r="F1967" s="5" t="s">
        <v>479</v>
      </c>
      <c r="G1967" s="5"/>
      <c r="H1967" s="6"/>
      <c r="I1967" s="6"/>
      <c r="J1967" s="6"/>
      <c r="K1967" s="6"/>
      <c r="L1967" s="7" t="s">
        <v>1100</v>
      </c>
      <c r="M1967" s="8">
        <v>5490500</v>
      </c>
      <c r="N1967" s="8" t="str">
        <f t="shared" si="151"/>
        <v>PEN</v>
      </c>
      <c r="O1967" s="13"/>
      <c r="P1967" s="13">
        <v>2983.05</v>
      </c>
      <c r="Q1967" s="3">
        <f t="shared" si="152"/>
        <v>0</v>
      </c>
      <c r="R1967" s="3">
        <f t="shared" si="153"/>
        <v>0</v>
      </c>
      <c r="S1967" s="3">
        <f t="shared" si="154"/>
        <v>70897.740000000005</v>
      </c>
      <c r="T1967" s="24" t="s">
        <v>1081</v>
      </c>
      <c r="U1967" s="24" t="s">
        <v>1081</v>
      </c>
      <c r="V1967" s="67"/>
      <c r="W1967" s="25" t="str">
        <f>IFERROR(VLOOKUP(BCP_Soles[[#This Row],[DESTINATARIO]],CHOOSE({1,2},Clientes_Proveedores[Razon Social],Clientes_Proveedores[Ruc / Dni]),2,0),"")</f>
        <v/>
      </c>
      <c r="X1967" s="25" t="s">
        <v>1090</v>
      </c>
      <c r="Y1967" s="25" t="s">
        <v>3030</v>
      </c>
      <c r="Z1967" s="25"/>
      <c r="AA1967" s="99"/>
      <c r="AB1967" s="3" t="str">
        <f>IF(BCP_Soles[[#This Row],[FECHA]]&gt;0,TEXT(BCP_Soles[[#This Row],[FECHA]],"mmmm"),0)</f>
        <v>Junio</v>
      </c>
    </row>
    <row r="1968" spans="2:28" ht="24" x14ac:dyDescent="0.3">
      <c r="B1968" s="2">
        <f>IF(BCP_Soles[[#This Row],[TIPO DE R.]]="R",COUNTIFS($D$4:$D1967,"R")+1,"")</f>
        <v>1516</v>
      </c>
      <c r="C1968" s="19" t="str">
        <f t="shared" si="150"/>
        <v>B-BCP - Soles</v>
      </c>
      <c r="D1968" s="3" t="s">
        <v>1074</v>
      </c>
      <c r="E1968" s="14">
        <v>45815</v>
      </c>
      <c r="F1968" s="5" t="s">
        <v>479</v>
      </c>
      <c r="G1968" s="5" t="s">
        <v>1087</v>
      </c>
      <c r="H1968" s="6"/>
      <c r="I1968" s="6"/>
      <c r="J1968" s="6"/>
      <c r="K1968" s="6"/>
      <c r="L1968" s="7" t="s">
        <v>1100</v>
      </c>
      <c r="M1968" s="8">
        <v>2713577</v>
      </c>
      <c r="N1968" s="8" t="str">
        <f t="shared" si="151"/>
        <v>PEN</v>
      </c>
      <c r="O1968" s="13"/>
      <c r="P1968" s="13">
        <v>4959</v>
      </c>
      <c r="Q1968" s="3">
        <f t="shared" si="152"/>
        <v>4959</v>
      </c>
      <c r="R1968" s="3">
        <f t="shared" si="153"/>
        <v>0</v>
      </c>
      <c r="S1968" s="3">
        <f t="shared" si="154"/>
        <v>75856.740000000005</v>
      </c>
      <c r="T1968" s="24" t="s">
        <v>1081</v>
      </c>
      <c r="U1968" s="24" t="s">
        <v>1081</v>
      </c>
      <c r="V1968" s="67"/>
      <c r="W1968" s="25" t="str">
        <f>IFERROR(VLOOKUP(BCP_Soles[[#This Row],[DESTINATARIO]],CHOOSE({1,2},Clientes_Proveedores[Razon Social],Clientes_Proveedores[Ruc / Dni]),2,0),"")</f>
        <v/>
      </c>
      <c r="X1968" s="25"/>
      <c r="Y1968" s="25" t="s">
        <v>3031</v>
      </c>
      <c r="Z1968" s="25"/>
      <c r="AA1968" s="99"/>
      <c r="AB1968" s="3" t="str">
        <f>IF(BCP_Soles[[#This Row],[FECHA]]&gt;0,TEXT(BCP_Soles[[#This Row],[FECHA]],"mmmm"),0)</f>
        <v>Junio</v>
      </c>
    </row>
    <row r="1969" spans="2:28" ht="36" x14ac:dyDescent="0.3">
      <c r="B1969" s="2">
        <f>IF(BCP_Soles[[#This Row],[TIPO DE R.]]="R",COUNTIFS($D$4:$D1968,"R")+1,"")</f>
        <v>1517</v>
      </c>
      <c r="C1969" s="19" t="str">
        <f t="shared" si="150"/>
        <v>B-BCP - Soles</v>
      </c>
      <c r="D1969" s="3" t="s">
        <v>1074</v>
      </c>
      <c r="E1969" s="14">
        <v>45815</v>
      </c>
      <c r="F1969" s="5" t="s">
        <v>602</v>
      </c>
      <c r="G1969" s="5" t="s">
        <v>1087</v>
      </c>
      <c r="H1969" s="6" t="s">
        <v>368</v>
      </c>
      <c r="I1969" s="6" t="s">
        <v>14</v>
      </c>
      <c r="J1969" s="6" t="s">
        <v>3010</v>
      </c>
      <c r="K1969" s="6">
        <v>58</v>
      </c>
      <c r="L1969" s="7" t="s">
        <v>1100</v>
      </c>
      <c r="M1969" s="8">
        <v>4436399</v>
      </c>
      <c r="N1969" s="8" t="str">
        <f t="shared" si="151"/>
        <v>PEN</v>
      </c>
      <c r="O1969" s="13"/>
      <c r="P1969" s="13">
        <v>649</v>
      </c>
      <c r="Q1969" s="3">
        <f t="shared" si="152"/>
        <v>649</v>
      </c>
      <c r="R1969" s="3">
        <f t="shared" si="153"/>
        <v>0</v>
      </c>
      <c r="S1969" s="3">
        <f t="shared" si="154"/>
        <v>76505.740000000005</v>
      </c>
      <c r="T1969" s="24" t="s">
        <v>1081</v>
      </c>
      <c r="U1969" s="24" t="s">
        <v>1081</v>
      </c>
      <c r="V1969" s="67"/>
      <c r="W1969" s="25">
        <f>IFERROR(VLOOKUP(BCP_Soles[[#This Row],[DESTINATARIO]],CHOOSE({1,2},Clientes_Proveedores[Razon Social],Clientes_Proveedores[Ruc / Dni]),2,0),"")</f>
        <v>20558226979</v>
      </c>
      <c r="X1969" s="25" t="s">
        <v>1090</v>
      </c>
      <c r="Y1969" s="25" t="s">
        <v>3032</v>
      </c>
      <c r="Z1969" s="25"/>
      <c r="AA1969" s="99"/>
      <c r="AB1969" s="3" t="str">
        <f>IF(BCP_Soles[[#This Row],[FECHA]]&gt;0,TEXT(BCP_Soles[[#This Row],[FECHA]],"mmmm"),0)</f>
        <v>Junio</v>
      </c>
    </row>
    <row r="1970" spans="2:28" x14ac:dyDescent="0.3">
      <c r="B1970" s="2">
        <f>IF(BCP_Soles[[#This Row],[TIPO DE R.]]="R",COUNTIFS($D$4:$D1969,"R")+1,"")</f>
        <v>1518</v>
      </c>
      <c r="C1970" s="19" t="str">
        <f t="shared" si="150"/>
        <v>B-BCP - Soles</v>
      </c>
      <c r="D1970" s="3" t="s">
        <v>1074</v>
      </c>
      <c r="E1970" s="14">
        <v>45816</v>
      </c>
      <c r="F1970" s="5" t="s">
        <v>1078</v>
      </c>
      <c r="G1970" s="5" t="s">
        <v>1079</v>
      </c>
      <c r="H1970" s="6"/>
      <c r="I1970" s="6"/>
      <c r="J1970" s="6"/>
      <c r="K1970" s="6"/>
      <c r="L1970" s="7" t="s">
        <v>2868</v>
      </c>
      <c r="M1970" s="8"/>
      <c r="N1970" s="8" t="str">
        <f t="shared" si="151"/>
        <v>PEN</v>
      </c>
      <c r="O1970" s="13"/>
      <c r="P1970" s="13">
        <v>0.55000000000000004</v>
      </c>
      <c r="Q1970" s="3">
        <f t="shared" si="152"/>
        <v>0</v>
      </c>
      <c r="R1970" s="3">
        <f t="shared" si="153"/>
        <v>0.55000000000000004</v>
      </c>
      <c r="S1970" s="3">
        <f t="shared" si="154"/>
        <v>76505.19</v>
      </c>
      <c r="T1970" s="24"/>
      <c r="U1970" s="24"/>
      <c r="V1970" s="67"/>
      <c r="W1970" s="25" t="str">
        <f>IFERROR(VLOOKUP(BCP_Soles[[#This Row],[DESTINATARIO]],CHOOSE({1,2},Clientes_Proveedores[Razon Social],Clientes_Proveedores[Ruc / Dni]),2,0),"")</f>
        <v/>
      </c>
      <c r="X1970" s="25"/>
      <c r="Y1970" s="25"/>
      <c r="Z1970" s="25"/>
      <c r="AA1970" s="99"/>
      <c r="AB1970" s="3" t="str">
        <f>IF(BCP_Soles[[#This Row],[FECHA]]&gt;0,TEXT(BCP_Soles[[#This Row],[FECHA]],"mmmm"),0)</f>
        <v>Junio</v>
      </c>
    </row>
    <row r="1971" spans="2:28" ht="60" x14ac:dyDescent="0.3">
      <c r="B1971" s="2">
        <f>IF(BCP_Soles[[#This Row],[TIPO DE R.]]="R",COUNTIFS($D$4:$D1970,"R")+1,"")</f>
        <v>1519</v>
      </c>
      <c r="C1971" s="19" t="str">
        <f t="shared" si="150"/>
        <v>B-BCP - Soles</v>
      </c>
      <c r="D1971" s="3" t="s">
        <v>1074</v>
      </c>
      <c r="E1971" s="14">
        <v>45817</v>
      </c>
      <c r="F1971" s="5" t="s">
        <v>238</v>
      </c>
      <c r="G1971" s="5" t="s">
        <v>1087</v>
      </c>
      <c r="H1971" s="6" t="s">
        <v>368</v>
      </c>
      <c r="I1971" s="6" t="s">
        <v>14</v>
      </c>
      <c r="J1971" s="6" t="s">
        <v>3010</v>
      </c>
      <c r="K1971" s="6">
        <v>46</v>
      </c>
      <c r="L1971" s="7" t="s">
        <v>1170</v>
      </c>
      <c r="M1971" s="8">
        <v>2175656</v>
      </c>
      <c r="N1971" s="8" t="str">
        <f t="shared" si="151"/>
        <v>PEN</v>
      </c>
      <c r="O1971" s="13"/>
      <c r="P1971" s="13">
        <v>1011.44</v>
      </c>
      <c r="Q1971" s="3">
        <f t="shared" si="152"/>
        <v>1011.44</v>
      </c>
      <c r="R1971" s="3">
        <f t="shared" si="153"/>
        <v>0</v>
      </c>
      <c r="S1971" s="3">
        <f t="shared" si="154"/>
        <v>77516.63</v>
      </c>
      <c r="T1971" s="24" t="s">
        <v>1081</v>
      </c>
      <c r="U1971" s="24" t="s">
        <v>1081</v>
      </c>
      <c r="V1971" s="67"/>
      <c r="W1971" s="25">
        <f>IFERROR(VLOOKUP(BCP_Soles[[#This Row],[DESTINATARIO]],CHOOSE({1,2},Clientes_Proveedores[Razon Social],Clientes_Proveedores[Ruc / Dni]),2,0),"")</f>
        <v>20558226979</v>
      </c>
      <c r="X1971" s="25" t="s">
        <v>1090</v>
      </c>
      <c r="Y1971" s="25" t="s">
        <v>3033</v>
      </c>
      <c r="Z1971" s="25"/>
      <c r="AA1971" s="99"/>
      <c r="AB1971" s="3" t="str">
        <f>IF(BCP_Soles[[#This Row],[FECHA]]&gt;0,TEXT(BCP_Soles[[#This Row],[FECHA]],"mmmm"),0)</f>
        <v>Junio</v>
      </c>
    </row>
    <row r="1972" spans="2:28" ht="24" x14ac:dyDescent="0.3">
      <c r="B1972" s="2">
        <f>IF(BCP_Soles[[#This Row],[TIPO DE R.]]="R",COUNTIFS($D$4:$D1971,"R")+1,"")</f>
        <v>1520</v>
      </c>
      <c r="C1972" s="19" t="str">
        <f t="shared" si="150"/>
        <v>B-BCP - Soles</v>
      </c>
      <c r="D1972" s="3" t="s">
        <v>1074</v>
      </c>
      <c r="E1972" s="14">
        <v>45817</v>
      </c>
      <c r="F1972" s="5" t="s">
        <v>1075</v>
      </c>
      <c r="G1972" s="5" t="s">
        <v>1079</v>
      </c>
      <c r="H1972" s="6" t="s">
        <v>938</v>
      </c>
      <c r="I1972" s="6" t="s">
        <v>87</v>
      </c>
      <c r="J1972" s="6">
        <v>1</v>
      </c>
      <c r="K1972" s="6"/>
      <c r="L1972" s="7" t="s">
        <v>3034</v>
      </c>
      <c r="M1972" s="8">
        <v>1198140</v>
      </c>
      <c r="N1972" s="8" t="str">
        <f t="shared" si="151"/>
        <v>PEN</v>
      </c>
      <c r="O1972" s="13"/>
      <c r="P1972" s="13">
        <v>560</v>
      </c>
      <c r="Q1972" s="3">
        <f t="shared" si="152"/>
        <v>0</v>
      </c>
      <c r="R1972" s="3">
        <f t="shared" si="153"/>
        <v>560</v>
      </c>
      <c r="S1972" s="3">
        <f t="shared" si="154"/>
        <v>76956.63</v>
      </c>
      <c r="T1972" s="24"/>
      <c r="U1972" s="24"/>
      <c r="V1972" s="67"/>
      <c r="W1972" s="25">
        <f>IFERROR(VLOOKUP(BCP_Soles[[#This Row],[DESTINATARIO]],CHOOSE({1,2},Clientes_Proveedores[Razon Social],Clientes_Proveedores[Ruc / Dni]),2,0),"")</f>
        <v>71334789</v>
      </c>
      <c r="X1972" s="25" t="s">
        <v>938</v>
      </c>
      <c r="Y1972" s="25"/>
      <c r="Z1972" s="25"/>
      <c r="AA1972" s="99"/>
      <c r="AB1972" s="3" t="str">
        <f>IF(BCP_Soles[[#This Row],[FECHA]]&gt;0,TEXT(BCP_Soles[[#This Row],[FECHA]],"mmmm"),0)</f>
        <v>Junio</v>
      </c>
    </row>
    <row r="1973" spans="2:28" ht="36" x14ac:dyDescent="0.3">
      <c r="B1973" s="2">
        <f>IF(BCP_Soles[[#This Row],[TIPO DE R.]]="R",COUNTIFS($D$4:$D1972,"R")+1,"")</f>
        <v>1521</v>
      </c>
      <c r="C1973" s="19" t="str">
        <f t="shared" si="150"/>
        <v>B-BCP - Soles</v>
      </c>
      <c r="D1973" s="3" t="s">
        <v>1074</v>
      </c>
      <c r="E1973" s="14">
        <v>45817</v>
      </c>
      <c r="F1973" s="5" t="s">
        <v>1075</v>
      </c>
      <c r="G1973" s="5" t="s">
        <v>1079</v>
      </c>
      <c r="H1973" s="6" t="s">
        <v>440</v>
      </c>
      <c r="I1973" s="6" t="s">
        <v>14</v>
      </c>
      <c r="J1973" s="6" t="s">
        <v>1148</v>
      </c>
      <c r="K1973" s="6">
        <v>19737</v>
      </c>
      <c r="L1973" s="7" t="s">
        <v>3035</v>
      </c>
      <c r="M1973" s="8">
        <v>1196185</v>
      </c>
      <c r="N1973" s="8" t="str">
        <f t="shared" si="151"/>
        <v>PEN</v>
      </c>
      <c r="O1973" s="13"/>
      <c r="P1973" s="13">
        <v>505</v>
      </c>
      <c r="Q1973" s="3">
        <f t="shared" si="152"/>
        <v>0</v>
      </c>
      <c r="R1973" s="3">
        <f t="shared" si="153"/>
        <v>505</v>
      </c>
      <c r="S1973" s="3">
        <f t="shared" si="154"/>
        <v>76451.63</v>
      </c>
      <c r="T1973" s="24" t="s">
        <v>1081</v>
      </c>
      <c r="U1973" s="24" t="s">
        <v>1081</v>
      </c>
      <c r="V1973" s="67"/>
      <c r="W1973" s="25">
        <f>IFERROR(VLOOKUP(BCP_Soles[[#This Row],[DESTINATARIO]],CHOOSE({1,2},Clientes_Proveedores[Razon Social],Clientes_Proveedores[Ruc / Dni]),2,0),"")</f>
        <v>20602810497</v>
      </c>
      <c r="X1973" s="25" t="s">
        <v>1331</v>
      </c>
      <c r="Y1973" s="25" t="s">
        <v>3036</v>
      </c>
      <c r="Z1973" s="25"/>
      <c r="AA1973" s="99"/>
      <c r="AB1973" s="3" t="str">
        <f>IF(BCP_Soles[[#This Row],[FECHA]]&gt;0,TEXT(BCP_Soles[[#This Row],[FECHA]],"mmmm"),0)</f>
        <v>Junio</v>
      </c>
    </row>
    <row r="1974" spans="2:28" ht="24" x14ac:dyDescent="0.3">
      <c r="B1974" s="2">
        <f>IF(BCP_Soles[[#This Row],[TIPO DE R.]]="R",COUNTIFS($D$4:$D1973,"R")+1,"")</f>
        <v>1522</v>
      </c>
      <c r="C1974" s="19" t="str">
        <f t="shared" si="150"/>
        <v>B-BCP - Soles</v>
      </c>
      <c r="D1974" s="3" t="s">
        <v>1074</v>
      </c>
      <c r="E1974" s="14">
        <v>45817</v>
      </c>
      <c r="F1974" s="5" t="s">
        <v>1075</v>
      </c>
      <c r="G1974" s="5" t="s">
        <v>1079</v>
      </c>
      <c r="H1974" s="6"/>
      <c r="I1974" s="6" t="s">
        <v>14</v>
      </c>
      <c r="J1974" s="6" t="s">
        <v>1121</v>
      </c>
      <c r="K1974" s="6">
        <v>1682</v>
      </c>
      <c r="L1974" s="7" t="s">
        <v>3037</v>
      </c>
      <c r="M1974" s="8">
        <v>1199552</v>
      </c>
      <c r="N1974" s="8" t="str">
        <f t="shared" si="151"/>
        <v>PEN</v>
      </c>
      <c r="O1974" s="13"/>
      <c r="P1974" s="13">
        <v>90</v>
      </c>
      <c r="Q1974" s="3">
        <f t="shared" si="152"/>
        <v>0</v>
      </c>
      <c r="R1974" s="3">
        <f t="shared" si="153"/>
        <v>90</v>
      </c>
      <c r="S1974" s="3">
        <f t="shared" si="154"/>
        <v>76361.63</v>
      </c>
      <c r="T1974" s="24" t="s">
        <v>1081</v>
      </c>
      <c r="U1974" s="24" t="s">
        <v>1081</v>
      </c>
      <c r="V1974" s="67"/>
      <c r="W1974" s="25" t="str">
        <f>IFERROR(VLOOKUP(BCP_Soles[[#This Row],[DESTINATARIO]],CHOOSE({1,2},Clientes_Proveedores[Razon Social],Clientes_Proveedores[Ruc / Dni]),2,0),"")</f>
        <v/>
      </c>
      <c r="X1974" s="25" t="s">
        <v>2593</v>
      </c>
      <c r="Y1974" s="25" t="s">
        <v>3038</v>
      </c>
      <c r="Z1974" s="25"/>
      <c r="AA1974" s="99"/>
      <c r="AB1974" s="3" t="str">
        <f>IF(BCP_Soles[[#This Row],[FECHA]]&gt;0,TEXT(BCP_Soles[[#This Row],[FECHA]],"mmmm"),0)</f>
        <v>Junio</v>
      </c>
    </row>
    <row r="1975" spans="2:28" ht="24" x14ac:dyDescent="0.3">
      <c r="B1975" s="2">
        <f>IF(BCP_Soles[[#This Row],[TIPO DE R.]]="R",COUNTIFS($D$4:$D1974,"R")+1,"")</f>
        <v>1523</v>
      </c>
      <c r="C1975" s="19" t="str">
        <f t="shared" si="150"/>
        <v>B-BCP - Soles</v>
      </c>
      <c r="D1975" s="3" t="s">
        <v>1074</v>
      </c>
      <c r="E1975" s="14">
        <v>45817</v>
      </c>
      <c r="F1975" s="5" t="s">
        <v>1075</v>
      </c>
      <c r="G1975" s="5" t="s">
        <v>1079</v>
      </c>
      <c r="H1975" s="6" t="s">
        <v>210</v>
      </c>
      <c r="I1975" s="6" t="s">
        <v>14</v>
      </c>
      <c r="J1975" s="6" t="s">
        <v>1714</v>
      </c>
      <c r="K1975" s="6">
        <v>26653</v>
      </c>
      <c r="L1975" s="7" t="s">
        <v>3039</v>
      </c>
      <c r="M1975" s="8">
        <v>1196681</v>
      </c>
      <c r="N1975" s="8" t="str">
        <f t="shared" si="151"/>
        <v>PEN</v>
      </c>
      <c r="O1975" s="13"/>
      <c r="P1975" s="13">
        <v>1961.42</v>
      </c>
      <c r="Q1975" s="3">
        <f t="shared" si="152"/>
        <v>0</v>
      </c>
      <c r="R1975" s="3">
        <f t="shared" si="153"/>
        <v>1961.42</v>
      </c>
      <c r="S1975" s="3">
        <f t="shared" si="154"/>
        <v>74400.210000000006</v>
      </c>
      <c r="T1975" s="24" t="s">
        <v>1081</v>
      </c>
      <c r="U1975" s="24" t="s">
        <v>1081</v>
      </c>
      <c r="V1975" s="67"/>
      <c r="W1975" s="25">
        <f>IFERROR(VLOOKUP(BCP_Soles[[#This Row],[DESTINATARIO]],CHOOSE({1,2},Clientes_Proveedores[Razon Social],Clientes_Proveedores[Ruc / Dni]),2,0),"")</f>
        <v>20413666130</v>
      </c>
      <c r="X1975" s="25" t="s">
        <v>1716</v>
      </c>
      <c r="Y1975" s="25" t="s">
        <v>3040</v>
      </c>
      <c r="Z1975" s="25"/>
      <c r="AA1975" s="99"/>
      <c r="AB1975" s="3" t="str">
        <f>IF(BCP_Soles[[#This Row],[FECHA]]&gt;0,TEXT(BCP_Soles[[#This Row],[FECHA]],"mmmm"),0)</f>
        <v>Junio</v>
      </c>
    </row>
    <row r="1976" spans="2:28" x14ac:dyDescent="0.3">
      <c r="B1976" s="2">
        <f>IF(BCP_Soles[[#This Row],[TIPO DE R.]]="R",COUNTIFS($D$4:$D1975,"R")+1,"")</f>
        <v>1524</v>
      </c>
      <c r="C1976" s="19" t="str">
        <f t="shared" si="150"/>
        <v>B-BCP - Soles</v>
      </c>
      <c r="D1976" s="3" t="s">
        <v>1074</v>
      </c>
      <c r="E1976" s="14">
        <v>45817</v>
      </c>
      <c r="F1976" s="5" t="s">
        <v>1075</v>
      </c>
      <c r="G1976" s="5" t="s">
        <v>1079</v>
      </c>
      <c r="H1976" s="6" t="s">
        <v>638</v>
      </c>
      <c r="I1976" s="6"/>
      <c r="J1976" s="6"/>
      <c r="K1976" s="6"/>
      <c r="L1976" s="7" t="s">
        <v>3041</v>
      </c>
      <c r="M1976" s="8">
        <v>5615367</v>
      </c>
      <c r="N1976" s="8" t="str">
        <f t="shared" si="151"/>
        <v>PEN</v>
      </c>
      <c r="O1976" s="13"/>
      <c r="P1976" s="13">
        <v>16176.4</v>
      </c>
      <c r="Q1976" s="3">
        <f t="shared" si="152"/>
        <v>0</v>
      </c>
      <c r="R1976" s="3">
        <f t="shared" si="153"/>
        <v>16176.4</v>
      </c>
      <c r="S1976" s="3">
        <f t="shared" si="154"/>
        <v>58223.810000000005</v>
      </c>
      <c r="T1976" s="24" t="s">
        <v>1081</v>
      </c>
      <c r="U1976" s="24" t="s">
        <v>1081</v>
      </c>
      <c r="V1976" s="67"/>
      <c r="W1976" s="25">
        <f>IFERROR(VLOOKUP(BCP_Soles[[#This Row],[DESTINATARIO]],CHOOSE({1,2},Clientes_Proveedores[Razon Social],Clientes_Proveedores[Ruc / Dni]),2,0),"")</f>
        <v>0</v>
      </c>
      <c r="X1976" s="25" t="s">
        <v>1118</v>
      </c>
      <c r="Y1976" s="25"/>
      <c r="Z1976" s="25"/>
      <c r="AA1976" s="99"/>
      <c r="AB1976" s="3" t="str">
        <f>IF(BCP_Soles[[#This Row],[FECHA]]&gt;0,TEXT(BCP_Soles[[#This Row],[FECHA]],"mmmm"),0)</f>
        <v>Junio</v>
      </c>
    </row>
    <row r="1977" spans="2:28" x14ac:dyDescent="0.3">
      <c r="B1977" s="2" t="str">
        <f>IF(BCP_Soles[[#This Row],[TIPO DE R.]]="R",COUNTIFS($D$4:$D1976,"R")+1,"")</f>
        <v/>
      </c>
      <c r="C1977" s="19" t="str">
        <f t="shared" si="150"/>
        <v>B-BCP - Soles</v>
      </c>
      <c r="D1977" s="3" t="s">
        <v>1101</v>
      </c>
      <c r="E1977" s="14">
        <v>45817</v>
      </c>
      <c r="F1977" s="5" t="s">
        <v>1075</v>
      </c>
      <c r="G1977" s="5"/>
      <c r="H1977" s="6" t="s">
        <v>289</v>
      </c>
      <c r="I1977" s="6" t="s">
        <v>14</v>
      </c>
      <c r="J1977" s="6" t="s">
        <v>1202</v>
      </c>
      <c r="K1977" s="6">
        <v>41511</v>
      </c>
      <c r="L1977" s="7" t="s">
        <v>3041</v>
      </c>
      <c r="M1977" s="8">
        <v>5615367</v>
      </c>
      <c r="N1977" s="8" t="str">
        <f t="shared" si="151"/>
        <v>PEN</v>
      </c>
      <c r="O1977" s="13">
        <v>2326.0100000000002</v>
      </c>
      <c r="P1977" s="13"/>
      <c r="Q1977" s="3">
        <f t="shared" si="152"/>
        <v>0</v>
      </c>
      <c r="R1977" s="3">
        <f t="shared" si="153"/>
        <v>0</v>
      </c>
      <c r="S1977" s="3">
        <f t="shared" si="154"/>
        <v>58223.810000000005</v>
      </c>
      <c r="T1977" s="24"/>
      <c r="U1977" s="24" t="s">
        <v>1081</v>
      </c>
      <c r="V1977" s="67"/>
      <c r="W1977" s="25">
        <f>IFERROR(VLOOKUP(BCP_Soles[[#This Row],[DESTINATARIO]],CHOOSE({1,2},Clientes_Proveedores[Razon Social],Clientes_Proveedores[Ruc / Dni]),2,0),"")</f>
        <v>20505675836</v>
      </c>
      <c r="X1977" s="25"/>
      <c r="Y1977" s="25"/>
      <c r="Z1977" s="25"/>
      <c r="AA1977" s="99"/>
      <c r="AB1977" s="3" t="str">
        <f>IF(BCP_Soles[[#This Row],[FECHA]]&gt;0,TEXT(BCP_Soles[[#This Row],[FECHA]],"mmmm"),0)</f>
        <v>Junio</v>
      </c>
    </row>
    <row r="1978" spans="2:28" x14ac:dyDescent="0.3">
      <c r="B1978" s="2" t="str">
        <f>IF(BCP_Soles[[#This Row],[TIPO DE R.]]="R",COUNTIFS($D$4:$D1977,"R")+1,"")</f>
        <v/>
      </c>
      <c r="C1978" s="19" t="str">
        <f t="shared" si="150"/>
        <v>B-BCP - Soles</v>
      </c>
      <c r="D1978" s="3" t="s">
        <v>1101</v>
      </c>
      <c r="E1978" s="14">
        <v>45817</v>
      </c>
      <c r="F1978" s="5" t="s">
        <v>1075</v>
      </c>
      <c r="G1978" s="5"/>
      <c r="H1978" s="6" t="s">
        <v>289</v>
      </c>
      <c r="I1978" s="6" t="s">
        <v>14</v>
      </c>
      <c r="J1978" s="6" t="s">
        <v>1202</v>
      </c>
      <c r="K1978" s="6">
        <v>41510</v>
      </c>
      <c r="L1978" s="7" t="s">
        <v>3041</v>
      </c>
      <c r="M1978" s="8">
        <v>5615367</v>
      </c>
      <c r="N1978" s="8" t="str">
        <f t="shared" si="151"/>
        <v>PEN</v>
      </c>
      <c r="O1978" s="13">
        <v>10814.4</v>
      </c>
      <c r="P1978" s="13"/>
      <c r="Q1978" s="3">
        <f t="shared" si="152"/>
        <v>0</v>
      </c>
      <c r="R1978" s="3">
        <f t="shared" si="153"/>
        <v>0</v>
      </c>
      <c r="S1978" s="3">
        <f t="shared" si="154"/>
        <v>58223.810000000005</v>
      </c>
      <c r="T1978" s="24"/>
      <c r="U1978" s="24" t="s">
        <v>1081</v>
      </c>
      <c r="V1978" s="67"/>
      <c r="W1978" s="25">
        <f>IFERROR(VLOOKUP(BCP_Soles[[#This Row],[DESTINATARIO]],CHOOSE({1,2},Clientes_Proveedores[Razon Social],Clientes_Proveedores[Ruc / Dni]),2,0),"")</f>
        <v>20505675836</v>
      </c>
      <c r="X1978" s="25"/>
      <c r="Y1978" s="25"/>
      <c r="Z1978" s="25"/>
      <c r="AA1978" s="99"/>
      <c r="AB1978" s="3" t="str">
        <f>IF(BCP_Soles[[#This Row],[FECHA]]&gt;0,TEXT(BCP_Soles[[#This Row],[FECHA]],"mmmm"),0)</f>
        <v>Junio</v>
      </c>
    </row>
    <row r="1979" spans="2:28" x14ac:dyDescent="0.3">
      <c r="B1979" s="2" t="str">
        <f>IF(BCP_Soles[[#This Row],[TIPO DE R.]]="R",COUNTIFS($D$4:$D1978,"R")+1,"")</f>
        <v/>
      </c>
      <c r="C1979" s="19" t="str">
        <f t="shared" si="150"/>
        <v>B-BCP - Soles</v>
      </c>
      <c r="D1979" s="3" t="s">
        <v>1101</v>
      </c>
      <c r="E1979" s="14">
        <v>45817</v>
      </c>
      <c r="F1979" s="5" t="s">
        <v>1075</v>
      </c>
      <c r="G1979" s="5"/>
      <c r="H1979" s="6" t="s">
        <v>289</v>
      </c>
      <c r="I1979" s="6" t="s">
        <v>14</v>
      </c>
      <c r="J1979" s="6" t="s">
        <v>1202</v>
      </c>
      <c r="K1979" s="6">
        <v>41594</v>
      </c>
      <c r="L1979" s="7" t="s">
        <v>3041</v>
      </c>
      <c r="M1979" s="8">
        <v>5615367</v>
      </c>
      <c r="N1979" s="8" t="str">
        <f t="shared" si="151"/>
        <v>PEN</v>
      </c>
      <c r="O1979" s="13">
        <v>1596.39</v>
      </c>
      <c r="P1979" s="13"/>
      <c r="Q1979" s="3">
        <f t="shared" si="152"/>
        <v>0</v>
      </c>
      <c r="R1979" s="3">
        <f t="shared" si="153"/>
        <v>0</v>
      </c>
      <c r="S1979" s="3">
        <f t="shared" si="154"/>
        <v>58223.810000000005</v>
      </c>
      <c r="T1979" s="24"/>
      <c r="U1979" s="24" t="s">
        <v>1081</v>
      </c>
      <c r="V1979" s="67"/>
      <c r="W1979" s="25">
        <f>IFERROR(VLOOKUP(BCP_Soles[[#This Row],[DESTINATARIO]],CHOOSE({1,2},Clientes_Proveedores[Razon Social],Clientes_Proveedores[Ruc / Dni]),2,0),"")</f>
        <v>20505675836</v>
      </c>
      <c r="X1979" s="25"/>
      <c r="Y1979" s="25"/>
      <c r="Z1979" s="25"/>
      <c r="AA1979" s="99"/>
      <c r="AB1979" s="3" t="str">
        <f>IF(BCP_Soles[[#This Row],[FECHA]]&gt;0,TEXT(BCP_Soles[[#This Row],[FECHA]],"mmmm"),0)</f>
        <v>Junio</v>
      </c>
    </row>
    <row r="1980" spans="2:28" x14ac:dyDescent="0.3">
      <c r="B1980" s="2" t="str">
        <f>IF(BCP_Soles[[#This Row],[TIPO DE R.]]="R",COUNTIFS($D$4:$D1979,"R")+1,"")</f>
        <v/>
      </c>
      <c r="C1980" s="19" t="str">
        <f t="shared" si="150"/>
        <v>B-BCP - Soles</v>
      </c>
      <c r="D1980" s="3" t="s">
        <v>1101</v>
      </c>
      <c r="E1980" s="14">
        <v>45817</v>
      </c>
      <c r="F1980" s="5" t="s">
        <v>1075</v>
      </c>
      <c r="G1980" s="5"/>
      <c r="H1980" s="6" t="s">
        <v>289</v>
      </c>
      <c r="I1980" s="6" t="s">
        <v>14</v>
      </c>
      <c r="J1980" s="6" t="s">
        <v>1202</v>
      </c>
      <c r="K1980" s="6">
        <v>41595</v>
      </c>
      <c r="L1980" s="7" t="s">
        <v>3041</v>
      </c>
      <c r="M1980" s="8">
        <v>5615367</v>
      </c>
      <c r="N1980" s="8" t="str">
        <f t="shared" si="151"/>
        <v>PEN</v>
      </c>
      <c r="O1980" s="13">
        <v>888.6</v>
      </c>
      <c r="P1980" s="13"/>
      <c r="Q1980" s="3">
        <f t="shared" si="152"/>
        <v>0</v>
      </c>
      <c r="R1980" s="3">
        <f t="shared" si="153"/>
        <v>0</v>
      </c>
      <c r="S1980" s="3">
        <f t="shared" si="154"/>
        <v>58223.810000000005</v>
      </c>
      <c r="T1980" s="24"/>
      <c r="U1980" s="24" t="s">
        <v>1081</v>
      </c>
      <c r="V1980" s="67"/>
      <c r="W1980" s="25">
        <f>IFERROR(VLOOKUP(BCP_Soles[[#This Row],[DESTINATARIO]],CHOOSE({1,2},Clientes_Proveedores[Razon Social],Clientes_Proveedores[Ruc / Dni]),2,0),"")</f>
        <v>20505675836</v>
      </c>
      <c r="X1980" s="25"/>
      <c r="Y1980" s="25"/>
      <c r="Z1980" s="25"/>
      <c r="AA1980" s="99"/>
      <c r="AB1980" s="3" t="str">
        <f>IF(BCP_Soles[[#This Row],[FECHA]]&gt;0,TEXT(BCP_Soles[[#This Row],[FECHA]],"mmmm"),0)</f>
        <v>Junio</v>
      </c>
    </row>
    <row r="1981" spans="2:28" ht="36" x14ac:dyDescent="0.3">
      <c r="B1981" s="2" t="str">
        <f>IF(BCP_Soles[[#This Row],[TIPO DE R.]]="R",COUNTIFS($D$4:$D1980,"R")+1,"")</f>
        <v/>
      </c>
      <c r="C1981" s="19" t="str">
        <f t="shared" si="150"/>
        <v>B-BCP - Soles</v>
      </c>
      <c r="D1981" s="3" t="s">
        <v>1101</v>
      </c>
      <c r="E1981" s="14">
        <v>45817</v>
      </c>
      <c r="F1981" s="5" t="s">
        <v>1075</v>
      </c>
      <c r="G1981" s="5"/>
      <c r="H1981" s="6" t="s">
        <v>208</v>
      </c>
      <c r="I1981" s="6" t="s">
        <v>14</v>
      </c>
      <c r="J1981" s="6" t="s">
        <v>2721</v>
      </c>
      <c r="K1981" s="6">
        <v>19288</v>
      </c>
      <c r="L1981" s="7" t="s">
        <v>3041</v>
      </c>
      <c r="M1981" s="8">
        <v>5615367</v>
      </c>
      <c r="N1981" s="8" t="str">
        <f t="shared" si="151"/>
        <v>PEN</v>
      </c>
      <c r="O1981" s="13">
        <v>551</v>
      </c>
      <c r="P1981" s="13"/>
      <c r="Q1981" s="3">
        <f t="shared" si="152"/>
        <v>0</v>
      </c>
      <c r="R1981" s="3">
        <f t="shared" si="153"/>
        <v>0</v>
      </c>
      <c r="S1981" s="3">
        <f t="shared" si="154"/>
        <v>58223.810000000005</v>
      </c>
      <c r="T1981" s="24"/>
      <c r="U1981" s="24" t="s">
        <v>1081</v>
      </c>
      <c r="V1981" s="67"/>
      <c r="W1981" s="25">
        <f>IFERROR(VLOOKUP(BCP_Soles[[#This Row],[DESTINATARIO]],CHOOSE({1,2},Clientes_Proveedores[Razon Social],Clientes_Proveedores[Ruc / Dni]),2,0),"")</f>
        <v>20412524218</v>
      </c>
      <c r="X1981" s="25"/>
      <c r="Y1981" s="25"/>
      <c r="Z1981" s="25"/>
      <c r="AA1981" s="99"/>
      <c r="AB1981" s="3" t="str">
        <f>IF(BCP_Soles[[#This Row],[FECHA]]&gt;0,TEXT(BCP_Soles[[#This Row],[FECHA]],"mmmm"),0)</f>
        <v>Junio</v>
      </c>
    </row>
    <row r="1982" spans="2:28" x14ac:dyDescent="0.3">
      <c r="B1982" s="2">
        <f>IF(BCP_Soles[[#This Row],[TIPO DE R.]]="R",COUNTIFS($D$4:$D1981,"R")+1,"")</f>
        <v>1525</v>
      </c>
      <c r="C1982" s="19" t="str">
        <f t="shared" si="150"/>
        <v>B-BCP - Soles</v>
      </c>
      <c r="D1982" s="3" t="s">
        <v>1074</v>
      </c>
      <c r="E1982" s="14">
        <v>45817</v>
      </c>
      <c r="F1982" s="5" t="s">
        <v>1078</v>
      </c>
      <c r="G1982" s="5" t="s">
        <v>1079</v>
      </c>
      <c r="H1982" s="6"/>
      <c r="I1982" s="6"/>
      <c r="J1982" s="6"/>
      <c r="K1982" s="6"/>
      <c r="L1982" s="7" t="s">
        <v>2868</v>
      </c>
      <c r="M1982" s="8"/>
      <c r="N1982" s="8" t="str">
        <f t="shared" si="151"/>
        <v>PEN</v>
      </c>
      <c r="O1982" s="13"/>
      <c r="P1982" s="13">
        <v>0.9</v>
      </c>
      <c r="Q1982" s="3">
        <f t="shared" si="152"/>
        <v>0</v>
      </c>
      <c r="R1982" s="3">
        <f t="shared" si="153"/>
        <v>0.9</v>
      </c>
      <c r="S1982" s="3">
        <f t="shared" si="154"/>
        <v>58222.91</v>
      </c>
      <c r="T1982" s="24"/>
      <c r="U1982" s="24"/>
      <c r="V1982" s="67"/>
      <c r="W1982" s="25" t="str">
        <f>IFERROR(VLOOKUP(BCP_Soles[[#This Row],[DESTINATARIO]],CHOOSE({1,2},Clientes_Proveedores[Razon Social],Clientes_Proveedores[Ruc / Dni]),2,0),"")</f>
        <v/>
      </c>
      <c r="X1982" s="25"/>
      <c r="Y1982" s="25"/>
      <c r="Z1982" s="25"/>
      <c r="AA1982" s="99"/>
      <c r="AB1982" s="3" t="str">
        <f>IF(BCP_Soles[[#This Row],[FECHA]]&gt;0,TEXT(BCP_Soles[[#This Row],[FECHA]],"mmmm"),0)</f>
        <v>Junio</v>
      </c>
    </row>
    <row r="1983" spans="2:28" ht="36" x14ac:dyDescent="0.3">
      <c r="B1983" s="2">
        <f>IF(BCP_Soles[[#This Row],[TIPO DE R.]]="R",COUNTIFS($D$4:$D1982,"R")+1,"")</f>
        <v>1526</v>
      </c>
      <c r="C1983" s="19" t="str">
        <f t="shared" si="150"/>
        <v>B-BCP - Soles</v>
      </c>
      <c r="D1983" s="3" t="s">
        <v>1074</v>
      </c>
      <c r="E1983" s="14">
        <v>45818</v>
      </c>
      <c r="F1983" s="5" t="s">
        <v>180</v>
      </c>
      <c r="G1983" s="5" t="s">
        <v>1087</v>
      </c>
      <c r="H1983" s="6"/>
      <c r="I1983" s="6"/>
      <c r="J1983" s="6"/>
      <c r="K1983" s="6"/>
      <c r="L1983" s="7" t="s">
        <v>2663</v>
      </c>
      <c r="M1983" s="8">
        <v>5975940</v>
      </c>
      <c r="N1983" s="8" t="str">
        <f t="shared" si="151"/>
        <v>PEN</v>
      </c>
      <c r="O1983" s="13"/>
      <c r="P1983" s="13">
        <v>3780.38</v>
      </c>
      <c r="Q1983" s="3">
        <f t="shared" si="152"/>
        <v>3780.38</v>
      </c>
      <c r="R1983" s="3">
        <f t="shared" si="153"/>
        <v>0</v>
      </c>
      <c r="S1983" s="3">
        <f t="shared" si="154"/>
        <v>62003.29</v>
      </c>
      <c r="T1983" s="24" t="s">
        <v>1081</v>
      </c>
      <c r="U1983" s="24" t="s">
        <v>1081</v>
      </c>
      <c r="V1983" s="67"/>
      <c r="W1983" s="25" t="str">
        <f>IFERROR(VLOOKUP(BCP_Soles[[#This Row],[DESTINATARIO]],CHOOSE({1,2},Clientes_Proveedores[Razon Social],Clientes_Proveedores[Ruc / Dni]),2,0),"")</f>
        <v/>
      </c>
      <c r="X1983" s="25" t="s">
        <v>1090</v>
      </c>
      <c r="Y1983" s="25" t="s">
        <v>3042</v>
      </c>
      <c r="Z1983" s="25"/>
      <c r="AA1983" s="99"/>
      <c r="AB1983" s="3" t="str">
        <f>IF(BCP_Soles[[#This Row],[FECHA]]&gt;0,TEXT(BCP_Soles[[#This Row],[FECHA]],"mmmm"),0)</f>
        <v>Junio</v>
      </c>
    </row>
    <row r="1984" spans="2:28" x14ac:dyDescent="0.3">
      <c r="B1984" s="2">
        <f>IF(BCP_Soles[[#This Row],[TIPO DE R.]]="R",COUNTIFS($D$4:$D1983,"R")+1,"")</f>
        <v>1527</v>
      </c>
      <c r="C1984" s="19" t="str">
        <f t="shared" si="150"/>
        <v>B-BCP - Soles</v>
      </c>
      <c r="D1984" s="3" t="s">
        <v>1074</v>
      </c>
      <c r="E1984" s="14">
        <v>45818</v>
      </c>
      <c r="F1984" s="5"/>
      <c r="G1984" s="5" t="s">
        <v>1087</v>
      </c>
      <c r="H1984" s="6"/>
      <c r="I1984" s="6"/>
      <c r="J1984" s="6"/>
      <c r="K1984" s="6"/>
      <c r="L1984" s="7" t="s">
        <v>3043</v>
      </c>
      <c r="M1984" s="8">
        <v>305797</v>
      </c>
      <c r="N1984" s="8" t="str">
        <f t="shared" si="151"/>
        <v>PEN</v>
      </c>
      <c r="O1984" s="13"/>
      <c r="P1984" s="13">
        <v>2000</v>
      </c>
      <c r="Q1984" s="3">
        <f t="shared" si="152"/>
        <v>2000</v>
      </c>
      <c r="R1984" s="3">
        <f t="shared" si="153"/>
        <v>0</v>
      </c>
      <c r="S1984" s="3">
        <f t="shared" si="154"/>
        <v>64003.29</v>
      </c>
      <c r="T1984" s="24" t="s">
        <v>1081</v>
      </c>
      <c r="U1984" s="24" t="s">
        <v>1081</v>
      </c>
      <c r="V1984" s="67"/>
      <c r="W1984" s="25" t="str">
        <f>IFERROR(VLOOKUP(BCP_Soles[[#This Row],[DESTINATARIO]],CHOOSE({1,2},Clientes_Proveedores[Razon Social],Clientes_Proveedores[Ruc / Dni]),2,0),"")</f>
        <v/>
      </c>
      <c r="X1984" s="25"/>
      <c r="Y1984" s="25"/>
      <c r="Z1984" s="25"/>
      <c r="AA1984" s="99"/>
      <c r="AB1984" s="3" t="str">
        <f>IF(BCP_Soles[[#This Row],[FECHA]]&gt;0,TEXT(BCP_Soles[[#This Row],[FECHA]],"mmmm"),0)</f>
        <v>Junio</v>
      </c>
    </row>
    <row r="1985" spans="2:28" ht="24" x14ac:dyDescent="0.3">
      <c r="B1985" s="2" t="str">
        <f>IF(BCP_Soles[[#This Row],[TIPO DE R.]]="R",COUNTIFS($D$4:$D1984,"R")+1,"")</f>
        <v/>
      </c>
      <c r="C1985" s="19" t="str">
        <f t="shared" si="150"/>
        <v>B-BCP - Soles</v>
      </c>
      <c r="D1985" s="3" t="s">
        <v>1101</v>
      </c>
      <c r="E1985" s="14">
        <v>45818</v>
      </c>
      <c r="F1985" s="5" t="s">
        <v>2906</v>
      </c>
      <c r="G1985" s="5"/>
      <c r="H1985" s="6"/>
      <c r="I1985" s="6"/>
      <c r="J1985" s="6"/>
      <c r="K1985" s="6"/>
      <c r="L1985" s="7" t="s">
        <v>3043</v>
      </c>
      <c r="M1985" s="8">
        <v>305797</v>
      </c>
      <c r="N1985" s="8" t="str">
        <f t="shared" si="151"/>
        <v>PEN</v>
      </c>
      <c r="O1985" s="13"/>
      <c r="P1985" s="13">
        <v>532</v>
      </c>
      <c r="Q1985" s="3">
        <f t="shared" si="152"/>
        <v>0</v>
      </c>
      <c r="R1985" s="3">
        <f t="shared" si="153"/>
        <v>0</v>
      </c>
      <c r="S1985" s="3">
        <f t="shared" si="154"/>
        <v>64003.29</v>
      </c>
      <c r="T1985" s="24" t="s">
        <v>1081</v>
      </c>
      <c r="U1985" s="24" t="s">
        <v>1081</v>
      </c>
      <c r="V1985" s="67"/>
      <c r="W1985" s="25" t="str">
        <f>IFERROR(VLOOKUP(BCP_Soles[[#This Row],[DESTINATARIO]],CHOOSE({1,2},Clientes_Proveedores[Razon Social],Clientes_Proveedores[Ruc / Dni]),2,0),"")</f>
        <v/>
      </c>
      <c r="X1985" s="25" t="s">
        <v>1090</v>
      </c>
      <c r="Y1985" s="25" t="s">
        <v>3044</v>
      </c>
      <c r="Z1985" s="25"/>
      <c r="AA1985" s="99"/>
      <c r="AB1985" s="3" t="str">
        <f>IF(BCP_Soles[[#This Row],[FECHA]]&gt;0,TEXT(BCP_Soles[[#This Row],[FECHA]],"mmmm"),0)</f>
        <v>Junio</v>
      </c>
    </row>
    <row r="1986" spans="2:28" ht="24" x14ac:dyDescent="0.3">
      <c r="B1986" s="2" t="str">
        <f>IF(BCP_Soles[[#This Row],[TIPO DE R.]]="R",COUNTIFS($D$4:$D1985,"R")+1,"")</f>
        <v/>
      </c>
      <c r="C1986" s="19" t="str">
        <f t="shared" si="150"/>
        <v>B-BCP - Soles</v>
      </c>
      <c r="D1986" s="3" t="s">
        <v>1101</v>
      </c>
      <c r="E1986" s="14">
        <v>45818</v>
      </c>
      <c r="F1986" s="5" t="s">
        <v>2906</v>
      </c>
      <c r="G1986" s="5"/>
      <c r="H1986" s="6"/>
      <c r="I1986" s="6"/>
      <c r="J1986" s="6"/>
      <c r="K1986" s="6"/>
      <c r="L1986" s="7" t="s">
        <v>3043</v>
      </c>
      <c r="M1986" s="8">
        <v>305797</v>
      </c>
      <c r="N1986" s="8" t="str">
        <f t="shared" si="151"/>
        <v>PEN</v>
      </c>
      <c r="O1986" s="13"/>
      <c r="P1986" s="13">
        <v>1139</v>
      </c>
      <c r="Q1986" s="3">
        <f t="shared" si="152"/>
        <v>0</v>
      </c>
      <c r="R1986" s="3">
        <f t="shared" si="153"/>
        <v>0</v>
      </c>
      <c r="S1986" s="3">
        <f t="shared" si="154"/>
        <v>64003.29</v>
      </c>
      <c r="T1986" s="24" t="s">
        <v>1081</v>
      </c>
      <c r="U1986" s="24" t="s">
        <v>1081</v>
      </c>
      <c r="V1986" s="67"/>
      <c r="W1986" s="25" t="str">
        <f>IFERROR(VLOOKUP(BCP_Soles[[#This Row],[DESTINATARIO]],CHOOSE({1,2},Clientes_Proveedores[Razon Social],Clientes_Proveedores[Ruc / Dni]),2,0),"")</f>
        <v/>
      </c>
      <c r="X1986" s="25" t="s">
        <v>1090</v>
      </c>
      <c r="Y1986" s="25" t="s">
        <v>3045</v>
      </c>
      <c r="Z1986" s="25"/>
      <c r="AA1986" s="99"/>
      <c r="AB1986" s="3" t="str">
        <f>IF(BCP_Soles[[#This Row],[FECHA]]&gt;0,TEXT(BCP_Soles[[#This Row],[FECHA]],"mmmm"),0)</f>
        <v>Junio</v>
      </c>
    </row>
    <row r="1987" spans="2:28" ht="24" x14ac:dyDescent="0.3">
      <c r="B1987" s="2" t="str">
        <f>IF(BCP_Soles[[#This Row],[TIPO DE R.]]="R",COUNTIFS($D$4:$D1986,"R")+1,"")</f>
        <v/>
      </c>
      <c r="C1987" s="19" t="str">
        <f t="shared" si="150"/>
        <v>B-BCP - Soles</v>
      </c>
      <c r="D1987" s="3" t="s">
        <v>1101</v>
      </c>
      <c r="E1987" s="14">
        <v>45818</v>
      </c>
      <c r="F1987" s="5" t="s">
        <v>2906</v>
      </c>
      <c r="G1987" s="5"/>
      <c r="H1987" s="6"/>
      <c r="I1987" s="6"/>
      <c r="J1987" s="6"/>
      <c r="K1987" s="6"/>
      <c r="L1987" s="7" t="s">
        <v>3043</v>
      </c>
      <c r="M1987" s="8">
        <v>305797</v>
      </c>
      <c r="N1987" s="8" t="str">
        <f t="shared" si="151"/>
        <v>PEN</v>
      </c>
      <c r="O1987" s="13"/>
      <c r="P1987" s="13">
        <v>329</v>
      </c>
      <c r="Q1987" s="3">
        <f t="shared" si="152"/>
        <v>0</v>
      </c>
      <c r="R1987" s="3">
        <f t="shared" si="153"/>
        <v>0</v>
      </c>
      <c r="S1987" s="3">
        <f t="shared" si="154"/>
        <v>64003.29</v>
      </c>
      <c r="T1987" s="24" t="s">
        <v>1081</v>
      </c>
      <c r="U1987" s="24" t="s">
        <v>1081</v>
      </c>
      <c r="V1987" s="67"/>
      <c r="W1987" s="25" t="str">
        <f>IFERROR(VLOOKUP(BCP_Soles[[#This Row],[DESTINATARIO]],CHOOSE({1,2},Clientes_Proveedores[Razon Social],Clientes_Proveedores[Ruc / Dni]),2,0),"")</f>
        <v/>
      </c>
      <c r="X1987" s="25" t="s">
        <v>1090</v>
      </c>
      <c r="Y1987" s="25" t="s">
        <v>3046</v>
      </c>
      <c r="Z1987" s="25"/>
      <c r="AA1987" s="99"/>
      <c r="AB1987" s="3" t="str">
        <f>IF(BCP_Soles[[#This Row],[FECHA]]&gt;0,TEXT(BCP_Soles[[#This Row],[FECHA]],"mmmm"),0)</f>
        <v>Junio</v>
      </c>
    </row>
    <row r="1988" spans="2:28" x14ac:dyDescent="0.3">
      <c r="B1988" s="2">
        <f>IF(BCP_Soles[[#This Row],[TIPO DE R.]]="R",COUNTIFS($D$4:$D1987,"R")+1,"")</f>
        <v>1528</v>
      </c>
      <c r="C1988" s="19" t="str">
        <f t="shared" si="150"/>
        <v>B-BCP - Soles</v>
      </c>
      <c r="D1988" s="3" t="s">
        <v>1074</v>
      </c>
      <c r="E1988" s="14">
        <v>45818</v>
      </c>
      <c r="F1988" s="5"/>
      <c r="G1988" s="5" t="s">
        <v>1087</v>
      </c>
      <c r="H1988" s="6"/>
      <c r="I1988" s="6"/>
      <c r="J1988" s="6"/>
      <c r="K1988" s="6"/>
      <c r="L1988" s="7" t="s">
        <v>1100</v>
      </c>
      <c r="M1988" s="8">
        <v>3909008</v>
      </c>
      <c r="N1988" s="8" t="str">
        <f t="shared" si="151"/>
        <v>PEN</v>
      </c>
      <c r="O1988" s="13"/>
      <c r="P1988" s="13">
        <v>1780</v>
      </c>
      <c r="Q1988" s="3">
        <f t="shared" si="152"/>
        <v>1780</v>
      </c>
      <c r="R1988" s="3">
        <f t="shared" si="153"/>
        <v>0</v>
      </c>
      <c r="S1988" s="3">
        <f t="shared" si="154"/>
        <v>65783.290000000008</v>
      </c>
      <c r="T1988" s="24"/>
      <c r="U1988" s="24"/>
      <c r="V1988" s="67"/>
      <c r="W1988" s="25" t="str">
        <f>IFERROR(VLOOKUP(BCP_Soles[[#This Row],[DESTINATARIO]],CHOOSE({1,2},Clientes_Proveedores[Razon Social],Clientes_Proveedores[Ruc / Dni]),2,0),"")</f>
        <v/>
      </c>
      <c r="X1988" s="25"/>
      <c r="Y1988" s="25"/>
      <c r="Z1988" s="25"/>
      <c r="AA1988" s="99"/>
      <c r="AB1988" s="3" t="str">
        <f>IF(BCP_Soles[[#This Row],[FECHA]]&gt;0,TEXT(BCP_Soles[[#This Row],[FECHA]],"mmmm"),0)</f>
        <v>Junio</v>
      </c>
    </row>
    <row r="1989" spans="2:28" ht="24" x14ac:dyDescent="0.3">
      <c r="B1989" s="2">
        <f>IF(BCP_Soles[[#This Row],[TIPO DE R.]]="R",COUNTIFS($D$4:$D1988,"R")+1,"")</f>
        <v>1529</v>
      </c>
      <c r="C1989" s="19" t="str">
        <f t="shared" ref="C1989:C2052" si="155">"B-BCP - Soles"</f>
        <v>B-BCP - Soles</v>
      </c>
      <c r="D1989" s="3" t="s">
        <v>1074</v>
      </c>
      <c r="E1989" s="14">
        <v>45818</v>
      </c>
      <c r="F1989" s="5" t="s">
        <v>1745</v>
      </c>
      <c r="G1989" s="5" t="s">
        <v>1087</v>
      </c>
      <c r="H1989" s="6"/>
      <c r="I1989" s="6"/>
      <c r="J1989" s="6"/>
      <c r="K1989" s="6"/>
      <c r="L1989" s="7" t="s">
        <v>1100</v>
      </c>
      <c r="M1989" s="8">
        <v>3546935</v>
      </c>
      <c r="N1989" s="8" t="str">
        <f t="shared" ref="N1989:N2052" si="156">"PEN"</f>
        <v>PEN</v>
      </c>
      <c r="O1989" s="13"/>
      <c r="P1989" s="13">
        <v>1022</v>
      </c>
      <c r="Q1989" s="3">
        <f t="shared" ref="Q1989:Q2052" si="157">+IF(OR($G1989="SALDO",$G1989="INGRESO"),$P1989,0)</f>
        <v>1022</v>
      </c>
      <c r="R1989" s="3">
        <f t="shared" ref="R1989:R2052" si="158">+IF($G1989="EGRESO",$P1989,0)</f>
        <v>0</v>
      </c>
      <c r="S1989" s="3">
        <f t="shared" ref="S1989:S2052" si="159">IFERROR(IF(G1989="SALDO",Q1989,S1988+Q1989-R1989),0)</f>
        <v>66805.290000000008</v>
      </c>
      <c r="T1989" s="24" t="s">
        <v>1081</v>
      </c>
      <c r="U1989" s="24" t="s">
        <v>1081</v>
      </c>
      <c r="V1989" s="67"/>
      <c r="W1989" s="25" t="str">
        <f>IFERROR(VLOOKUP(BCP_Soles[[#This Row],[DESTINATARIO]],CHOOSE({1,2},Clientes_Proveedores[Razon Social],Clientes_Proveedores[Ruc / Dni]),2,0),"")</f>
        <v/>
      </c>
      <c r="X1989" s="25" t="s">
        <v>1090</v>
      </c>
      <c r="Y1989" s="25" t="s">
        <v>3047</v>
      </c>
      <c r="Z1989" s="25"/>
      <c r="AA1989" s="99"/>
      <c r="AB1989" s="3" t="str">
        <f>IF(BCP_Soles[[#This Row],[FECHA]]&gt;0,TEXT(BCP_Soles[[#This Row],[FECHA]],"mmmm"),0)</f>
        <v>Junio</v>
      </c>
    </row>
    <row r="1990" spans="2:28" ht="60" x14ac:dyDescent="0.3">
      <c r="B1990" s="2">
        <f>IF(BCP_Soles[[#This Row],[TIPO DE R.]]="R",COUNTIFS($D$4:$D1989,"R")+1,"")</f>
        <v>1530</v>
      </c>
      <c r="C1990" s="19" t="str">
        <f t="shared" si="155"/>
        <v>B-BCP - Soles</v>
      </c>
      <c r="D1990" s="3" t="s">
        <v>1074</v>
      </c>
      <c r="E1990" s="14">
        <v>45818</v>
      </c>
      <c r="F1990" s="5" t="s">
        <v>238</v>
      </c>
      <c r="G1990" s="5" t="s">
        <v>1087</v>
      </c>
      <c r="H1990" s="6" t="s">
        <v>368</v>
      </c>
      <c r="I1990" s="6" t="s">
        <v>14</v>
      </c>
      <c r="J1990" s="6" t="s">
        <v>3010</v>
      </c>
      <c r="K1990" s="6">
        <v>48</v>
      </c>
      <c r="L1990" s="7" t="s">
        <v>1170</v>
      </c>
      <c r="M1990" s="8">
        <v>2110101</v>
      </c>
      <c r="N1990" s="8" t="str">
        <f t="shared" si="156"/>
        <v>PEN</v>
      </c>
      <c r="O1990" s="13"/>
      <c r="P1990" s="13">
        <v>438.84</v>
      </c>
      <c r="Q1990" s="3">
        <f t="shared" si="157"/>
        <v>438.84</v>
      </c>
      <c r="R1990" s="3">
        <f t="shared" si="158"/>
        <v>0</v>
      </c>
      <c r="S1990" s="3">
        <f t="shared" si="159"/>
        <v>67244.13</v>
      </c>
      <c r="T1990" s="24" t="s">
        <v>1081</v>
      </c>
      <c r="U1990" s="24" t="s">
        <v>1081</v>
      </c>
      <c r="V1990" s="67"/>
      <c r="W1990" s="25">
        <f>IFERROR(VLOOKUP(BCP_Soles[[#This Row],[DESTINATARIO]],CHOOSE({1,2},Clientes_Proveedores[Razon Social],Clientes_Proveedores[Ruc / Dni]),2,0),"")</f>
        <v>20558226979</v>
      </c>
      <c r="X1990" s="25" t="s">
        <v>1090</v>
      </c>
      <c r="Y1990" s="25" t="s">
        <v>3048</v>
      </c>
      <c r="Z1990" s="25"/>
      <c r="AA1990" s="99"/>
      <c r="AB1990" s="3" t="str">
        <f>IF(BCP_Soles[[#This Row],[FECHA]]&gt;0,TEXT(BCP_Soles[[#This Row],[FECHA]],"mmmm"),0)</f>
        <v>Junio</v>
      </c>
    </row>
    <row r="1991" spans="2:28" ht="24" x14ac:dyDescent="0.3">
      <c r="B1991" s="2">
        <f>IF(BCP_Soles[[#This Row],[TIPO DE R.]]="R",COUNTIFS($D$4:$D1990,"R")+1,"")</f>
        <v>1531</v>
      </c>
      <c r="C1991" s="19" t="str">
        <f t="shared" si="155"/>
        <v>B-BCP - Soles</v>
      </c>
      <c r="D1991" s="3" t="s">
        <v>1074</v>
      </c>
      <c r="E1991" s="14">
        <v>45818</v>
      </c>
      <c r="F1991" s="5" t="s">
        <v>1745</v>
      </c>
      <c r="G1991" s="5" t="s">
        <v>1087</v>
      </c>
      <c r="H1991" s="6"/>
      <c r="I1991" s="6"/>
      <c r="J1991" s="6"/>
      <c r="K1991" s="6"/>
      <c r="L1991" s="7" t="s">
        <v>1100</v>
      </c>
      <c r="M1991" s="8">
        <v>3524396</v>
      </c>
      <c r="N1991" s="8" t="str">
        <f t="shared" si="156"/>
        <v>PEN</v>
      </c>
      <c r="O1991" s="13"/>
      <c r="P1991" s="13">
        <v>350</v>
      </c>
      <c r="Q1991" s="3">
        <f t="shared" si="157"/>
        <v>350</v>
      </c>
      <c r="R1991" s="3">
        <f t="shared" si="158"/>
        <v>0</v>
      </c>
      <c r="S1991" s="3">
        <f t="shared" si="159"/>
        <v>67594.13</v>
      </c>
      <c r="T1991" s="24" t="s">
        <v>1081</v>
      </c>
      <c r="U1991" s="24" t="s">
        <v>1081</v>
      </c>
      <c r="V1991" s="67"/>
      <c r="W1991" s="25" t="str">
        <f>IFERROR(VLOOKUP(BCP_Soles[[#This Row],[DESTINATARIO]],CHOOSE({1,2},Clientes_Proveedores[Razon Social],Clientes_Proveedores[Ruc / Dni]),2,0),"")</f>
        <v/>
      </c>
      <c r="X1991" s="25" t="s">
        <v>1090</v>
      </c>
      <c r="Y1991" s="25" t="s">
        <v>3049</v>
      </c>
      <c r="Z1991" s="25"/>
      <c r="AA1991" s="99"/>
      <c r="AB1991" s="3" t="str">
        <f>IF(BCP_Soles[[#This Row],[FECHA]]&gt;0,TEXT(BCP_Soles[[#This Row],[FECHA]],"mmmm"),0)</f>
        <v>Junio</v>
      </c>
    </row>
    <row r="1992" spans="2:28" ht="60" x14ac:dyDescent="0.3">
      <c r="B1992" s="2">
        <f>IF(BCP_Soles[[#This Row],[TIPO DE R.]]="R",COUNTIFS($D$4:$D1991,"R")+1,"")</f>
        <v>1532</v>
      </c>
      <c r="C1992" s="19" t="str">
        <f t="shared" si="155"/>
        <v>B-BCP - Soles</v>
      </c>
      <c r="D1992" s="3" t="s">
        <v>1074</v>
      </c>
      <c r="E1992" s="14">
        <v>45818</v>
      </c>
      <c r="F1992" s="5" t="s">
        <v>238</v>
      </c>
      <c r="G1992" s="5" t="s">
        <v>1087</v>
      </c>
      <c r="H1992" s="6" t="s">
        <v>368</v>
      </c>
      <c r="I1992" s="6" t="s">
        <v>14</v>
      </c>
      <c r="J1992" s="6" t="s">
        <v>3010</v>
      </c>
      <c r="K1992" s="6">
        <v>47</v>
      </c>
      <c r="L1992" s="7" t="s">
        <v>1170</v>
      </c>
      <c r="M1992" s="8">
        <v>2097427</v>
      </c>
      <c r="N1992" s="8" t="str">
        <f t="shared" si="156"/>
        <v>PEN</v>
      </c>
      <c r="O1992" s="13"/>
      <c r="P1992" s="13">
        <v>324.32</v>
      </c>
      <c r="Q1992" s="3">
        <f t="shared" si="157"/>
        <v>324.32</v>
      </c>
      <c r="R1992" s="3">
        <f t="shared" si="158"/>
        <v>0</v>
      </c>
      <c r="S1992" s="3">
        <f t="shared" si="159"/>
        <v>67918.450000000012</v>
      </c>
      <c r="T1992" s="24" t="s">
        <v>1081</v>
      </c>
      <c r="U1992" s="24" t="s">
        <v>1081</v>
      </c>
      <c r="V1992" s="67"/>
      <c r="W1992" s="25">
        <f>IFERROR(VLOOKUP(BCP_Soles[[#This Row],[DESTINATARIO]],CHOOSE({1,2},Clientes_Proveedores[Razon Social],Clientes_Proveedores[Ruc / Dni]),2,0),"")</f>
        <v>20558226979</v>
      </c>
      <c r="X1992" s="25" t="s">
        <v>1090</v>
      </c>
      <c r="Y1992" s="25" t="s">
        <v>3050</v>
      </c>
      <c r="Z1992" s="25"/>
      <c r="AA1992" s="99"/>
      <c r="AB1992" s="3" t="str">
        <f>IF(BCP_Soles[[#This Row],[FECHA]]&gt;0,TEXT(BCP_Soles[[#This Row],[FECHA]],"mmmm"),0)</f>
        <v>Junio</v>
      </c>
    </row>
    <row r="1993" spans="2:28" ht="24" x14ac:dyDescent="0.3">
      <c r="B1993" s="2">
        <f>IF(BCP_Soles[[#This Row],[TIPO DE R.]]="R",COUNTIFS($D$4:$D1992,"R")+1,"")</f>
        <v>1533</v>
      </c>
      <c r="C1993" s="19" t="str">
        <f t="shared" si="155"/>
        <v>B-BCP - Soles</v>
      </c>
      <c r="D1993" s="3" t="s">
        <v>1074</v>
      </c>
      <c r="E1993" s="14">
        <v>45818</v>
      </c>
      <c r="F1993" s="5" t="s">
        <v>1075</v>
      </c>
      <c r="G1993" s="5" t="s">
        <v>1079</v>
      </c>
      <c r="H1993" s="6" t="s">
        <v>934</v>
      </c>
      <c r="I1993" s="6" t="s">
        <v>87</v>
      </c>
      <c r="J1993" s="6">
        <v>1</v>
      </c>
      <c r="K1993" s="6">
        <v>392025</v>
      </c>
      <c r="L1993" s="7" t="s">
        <v>3051</v>
      </c>
      <c r="M1993" s="8">
        <v>1216065</v>
      </c>
      <c r="N1993" s="8" t="str">
        <f t="shared" si="156"/>
        <v>PEN</v>
      </c>
      <c r="O1993" s="13"/>
      <c r="P1993" s="13">
        <v>944</v>
      </c>
      <c r="Q1993" s="3">
        <f t="shared" si="157"/>
        <v>0</v>
      </c>
      <c r="R1993" s="3">
        <f t="shared" si="158"/>
        <v>944</v>
      </c>
      <c r="S1993" s="3">
        <f t="shared" si="159"/>
        <v>66974.450000000012</v>
      </c>
      <c r="T1993" s="24" t="s">
        <v>1081</v>
      </c>
      <c r="U1993" s="24" t="s">
        <v>1081</v>
      </c>
      <c r="V1993" s="67"/>
      <c r="W1993" s="25">
        <f>IFERROR(VLOOKUP(BCP_Soles[[#This Row],[DESTINATARIO]],CHOOSE({1,2},Clientes_Proveedores[Razon Social],Clientes_Proveedores[Ruc / Dni]),2,0),"")</f>
        <v>76390500</v>
      </c>
      <c r="X1993" s="25" t="s">
        <v>934</v>
      </c>
      <c r="Y1993" s="25" t="s">
        <v>3052</v>
      </c>
      <c r="Z1993" s="25"/>
      <c r="AA1993" s="99"/>
      <c r="AB1993" s="3" t="str">
        <f>IF(BCP_Soles[[#This Row],[FECHA]]&gt;0,TEXT(BCP_Soles[[#This Row],[FECHA]],"mmmm"),0)</f>
        <v>Junio</v>
      </c>
    </row>
    <row r="1994" spans="2:28" ht="24" x14ac:dyDescent="0.3">
      <c r="B1994" s="2">
        <f>IF(BCP_Soles[[#This Row],[TIPO DE R.]]="R",COUNTIFS($D$4:$D1993,"R")+1,"")</f>
        <v>1534</v>
      </c>
      <c r="C1994" s="19" t="str">
        <f t="shared" si="155"/>
        <v>B-BCP - Soles</v>
      </c>
      <c r="D1994" s="3" t="s">
        <v>1074</v>
      </c>
      <c r="E1994" s="14">
        <v>45818</v>
      </c>
      <c r="F1994" s="5" t="s">
        <v>1075</v>
      </c>
      <c r="G1994" s="5" t="s">
        <v>1079</v>
      </c>
      <c r="H1994" s="6" t="s">
        <v>343</v>
      </c>
      <c r="I1994" s="6" t="s">
        <v>14</v>
      </c>
      <c r="J1994" s="6" t="s">
        <v>2058</v>
      </c>
      <c r="K1994" s="6">
        <v>117985</v>
      </c>
      <c r="L1994" s="7" t="s">
        <v>3053</v>
      </c>
      <c r="M1994" s="8">
        <v>1145232</v>
      </c>
      <c r="N1994" s="8" t="str">
        <f t="shared" si="156"/>
        <v>PEN</v>
      </c>
      <c r="O1994" s="13"/>
      <c r="P1994" s="13">
        <v>241</v>
      </c>
      <c r="Q1994" s="3">
        <f t="shared" si="157"/>
        <v>0</v>
      </c>
      <c r="R1994" s="3">
        <f t="shared" si="158"/>
        <v>241</v>
      </c>
      <c r="S1994" s="3">
        <f t="shared" si="159"/>
        <v>66733.450000000012</v>
      </c>
      <c r="T1994" s="24" t="s">
        <v>1081</v>
      </c>
      <c r="U1994" s="24" t="s">
        <v>1081</v>
      </c>
      <c r="V1994" s="67"/>
      <c r="W1994" s="25">
        <f>IFERROR(VLOOKUP(BCP_Soles[[#This Row],[DESTINATARIO]],CHOOSE({1,2},Clientes_Proveedores[Razon Social],Clientes_Proveedores[Ruc / Dni]),2,0),"")</f>
        <v>20546153372</v>
      </c>
      <c r="X1994" s="25" t="s">
        <v>1628</v>
      </c>
      <c r="Y1994" s="25" t="s">
        <v>3054</v>
      </c>
      <c r="Z1994" s="25"/>
      <c r="AA1994" s="99"/>
      <c r="AB1994" s="3" t="str">
        <f>IF(BCP_Soles[[#This Row],[FECHA]]&gt;0,TEXT(BCP_Soles[[#This Row],[FECHA]],"mmmm"),0)</f>
        <v>Junio</v>
      </c>
    </row>
    <row r="1995" spans="2:28" ht="24" x14ac:dyDescent="0.3">
      <c r="B1995" s="2">
        <f>IF(BCP_Soles[[#This Row],[TIPO DE R.]]="R",COUNTIFS($D$4:$D1994,"R")+1,"")</f>
        <v>1535</v>
      </c>
      <c r="C1995" s="19" t="str">
        <f t="shared" si="155"/>
        <v>B-BCP - Soles</v>
      </c>
      <c r="D1995" s="3" t="s">
        <v>1074</v>
      </c>
      <c r="E1995" s="14">
        <v>45818</v>
      </c>
      <c r="F1995" s="5" t="s">
        <v>1075</v>
      </c>
      <c r="G1995" s="5" t="s">
        <v>1079</v>
      </c>
      <c r="H1995" s="6"/>
      <c r="I1995" s="6" t="s">
        <v>14</v>
      </c>
      <c r="J1995" s="6" t="s">
        <v>1121</v>
      </c>
      <c r="K1995" s="6">
        <v>4319</v>
      </c>
      <c r="L1995" s="7" t="s">
        <v>3055</v>
      </c>
      <c r="M1995" s="8">
        <v>1147593</v>
      </c>
      <c r="N1995" s="8" t="str">
        <f t="shared" si="156"/>
        <v>PEN</v>
      </c>
      <c r="O1995" s="13"/>
      <c r="P1995" s="13">
        <v>1890</v>
      </c>
      <c r="Q1995" s="3">
        <f t="shared" si="157"/>
        <v>0</v>
      </c>
      <c r="R1995" s="3">
        <f t="shared" si="158"/>
        <v>1890</v>
      </c>
      <c r="S1995" s="3">
        <f t="shared" si="159"/>
        <v>64843.450000000012</v>
      </c>
      <c r="T1995" s="24" t="s">
        <v>1081</v>
      </c>
      <c r="U1995" s="24" t="s">
        <v>1081</v>
      </c>
      <c r="V1995" s="67"/>
      <c r="W1995" s="25" t="str">
        <f>IFERROR(VLOOKUP(BCP_Soles[[#This Row],[DESTINATARIO]],CHOOSE({1,2},Clientes_Proveedores[Razon Social],Clientes_Proveedores[Ruc / Dni]),2,0),"")</f>
        <v/>
      </c>
      <c r="X1995" s="25" t="s">
        <v>666</v>
      </c>
      <c r="Y1995" s="25" t="s">
        <v>3056</v>
      </c>
      <c r="Z1995" s="25"/>
      <c r="AA1995" s="99"/>
      <c r="AB1995" s="3" t="str">
        <f>IF(BCP_Soles[[#This Row],[FECHA]]&gt;0,TEXT(BCP_Soles[[#This Row],[FECHA]],"mmmm"),0)</f>
        <v>Junio</v>
      </c>
    </row>
    <row r="1996" spans="2:28" ht="36" x14ac:dyDescent="0.3">
      <c r="B1996" s="2">
        <f>IF(BCP_Soles[[#This Row],[TIPO DE R.]]="R",COUNTIFS($D$4:$D1995,"R")+1,"")</f>
        <v>1536</v>
      </c>
      <c r="C1996" s="19" t="str">
        <f t="shared" si="155"/>
        <v>B-BCP - Soles</v>
      </c>
      <c r="D1996" s="3" t="s">
        <v>1074</v>
      </c>
      <c r="E1996" s="14">
        <v>45818</v>
      </c>
      <c r="F1996" s="5" t="s">
        <v>1075</v>
      </c>
      <c r="G1996" s="5" t="s">
        <v>1079</v>
      </c>
      <c r="H1996" s="6"/>
      <c r="I1996" s="6" t="s">
        <v>14</v>
      </c>
      <c r="J1996" s="6" t="s">
        <v>1119</v>
      </c>
      <c r="K1996" s="6">
        <v>3036</v>
      </c>
      <c r="L1996" s="7" t="s">
        <v>3057</v>
      </c>
      <c r="M1996" s="8">
        <v>1146138</v>
      </c>
      <c r="N1996" s="8" t="str">
        <f t="shared" si="156"/>
        <v>PEN</v>
      </c>
      <c r="O1996" s="13"/>
      <c r="P1996" s="13">
        <v>230</v>
      </c>
      <c r="Q1996" s="3">
        <f t="shared" si="157"/>
        <v>0</v>
      </c>
      <c r="R1996" s="3">
        <f t="shared" si="158"/>
        <v>230</v>
      </c>
      <c r="S1996" s="3">
        <f t="shared" si="159"/>
        <v>64613.450000000012</v>
      </c>
      <c r="T1996" s="24" t="s">
        <v>1081</v>
      </c>
      <c r="U1996" s="24" t="s">
        <v>1081</v>
      </c>
      <c r="V1996" s="67"/>
      <c r="W1996" s="25" t="str">
        <f>IFERROR(VLOOKUP(BCP_Soles[[#This Row],[DESTINATARIO]],CHOOSE({1,2},Clientes_Proveedores[Razon Social],Clientes_Proveedores[Ruc / Dni]),2,0),"")</f>
        <v/>
      </c>
      <c r="X1996" s="25" t="s">
        <v>3058</v>
      </c>
      <c r="Y1996" s="25" t="s">
        <v>3059</v>
      </c>
      <c r="Z1996" s="25"/>
      <c r="AA1996" s="99"/>
      <c r="AB1996" s="3" t="str">
        <f>IF(BCP_Soles[[#This Row],[FECHA]]&gt;0,TEXT(BCP_Soles[[#This Row],[FECHA]],"mmmm"),0)</f>
        <v>Junio</v>
      </c>
    </row>
    <row r="1997" spans="2:28" x14ac:dyDescent="0.3">
      <c r="B1997" s="2">
        <f>IF(BCP_Soles[[#This Row],[TIPO DE R.]]="R",COUNTIFS($D$4:$D1996,"R")+1,"")</f>
        <v>1537</v>
      </c>
      <c r="C1997" s="19" t="str">
        <f t="shared" si="155"/>
        <v>B-BCP - Soles</v>
      </c>
      <c r="D1997" s="3" t="s">
        <v>1074</v>
      </c>
      <c r="E1997" s="14">
        <v>45818</v>
      </c>
      <c r="F1997" s="5" t="s">
        <v>1078</v>
      </c>
      <c r="G1997" s="5" t="s">
        <v>1079</v>
      </c>
      <c r="H1997" s="6"/>
      <c r="I1997" s="6"/>
      <c r="J1997" s="6"/>
      <c r="K1997" s="6"/>
      <c r="L1997" s="7" t="s">
        <v>2868</v>
      </c>
      <c r="M1997" s="8"/>
      <c r="N1997" s="8" t="str">
        <f t="shared" si="156"/>
        <v>PEN</v>
      </c>
      <c r="O1997" s="13"/>
      <c r="P1997" s="13">
        <v>0.4</v>
      </c>
      <c r="Q1997" s="3">
        <f t="shared" si="157"/>
        <v>0</v>
      </c>
      <c r="R1997" s="3">
        <f t="shared" si="158"/>
        <v>0.4</v>
      </c>
      <c r="S1997" s="3">
        <f t="shared" si="159"/>
        <v>64613.05000000001</v>
      </c>
      <c r="T1997" s="24"/>
      <c r="U1997" s="24"/>
      <c r="V1997" s="67"/>
      <c r="W1997" s="25" t="str">
        <f>IFERROR(VLOOKUP(BCP_Soles[[#This Row],[DESTINATARIO]],CHOOSE({1,2},Clientes_Proveedores[Razon Social],Clientes_Proveedores[Ruc / Dni]),2,0),"")</f>
        <v/>
      </c>
      <c r="X1997" s="25"/>
      <c r="Y1997" s="25"/>
      <c r="Z1997" s="25"/>
      <c r="AA1997" s="99"/>
      <c r="AB1997" s="3" t="str">
        <f>IF(BCP_Soles[[#This Row],[FECHA]]&gt;0,TEXT(BCP_Soles[[#This Row],[FECHA]],"mmmm"),0)</f>
        <v>Junio</v>
      </c>
    </row>
    <row r="1998" spans="2:28" ht="24" x14ac:dyDescent="0.3">
      <c r="B1998" s="2">
        <f>IF(BCP_Soles[[#This Row],[TIPO DE R.]]="R",COUNTIFS($D$4:$D1997,"R")+1,"")</f>
        <v>1538</v>
      </c>
      <c r="C1998" s="19" t="str">
        <f t="shared" si="155"/>
        <v>B-BCP - Soles</v>
      </c>
      <c r="D1998" s="3" t="s">
        <v>1074</v>
      </c>
      <c r="E1998" s="14">
        <v>45819</v>
      </c>
      <c r="F1998" s="5" t="s">
        <v>1838</v>
      </c>
      <c r="G1998" s="5" t="s">
        <v>1087</v>
      </c>
      <c r="H1998" s="6" t="s">
        <v>368</v>
      </c>
      <c r="I1998" s="6" t="s">
        <v>63</v>
      </c>
      <c r="J1998" s="6">
        <v>1</v>
      </c>
      <c r="K1998" s="6">
        <v>4493</v>
      </c>
      <c r="L1998" s="7" t="s">
        <v>1740</v>
      </c>
      <c r="M1998" s="8">
        <v>2181615</v>
      </c>
      <c r="N1998" s="8" t="str">
        <f t="shared" si="156"/>
        <v>PEN</v>
      </c>
      <c r="O1998" s="13"/>
      <c r="P1998" s="13">
        <v>10000</v>
      </c>
      <c r="Q1998" s="3">
        <f t="shared" si="157"/>
        <v>10000</v>
      </c>
      <c r="R1998" s="3">
        <f t="shared" si="158"/>
        <v>0</v>
      </c>
      <c r="S1998" s="3">
        <f t="shared" si="159"/>
        <v>74613.050000000017</v>
      </c>
      <c r="T1998" s="24" t="s">
        <v>1081</v>
      </c>
      <c r="U1998" s="24" t="s">
        <v>1081</v>
      </c>
      <c r="V1998" s="67"/>
      <c r="W1998" s="25">
        <f>IFERROR(VLOOKUP(BCP_Soles[[#This Row],[DESTINATARIO]],CHOOSE({1,2},Clientes_Proveedores[Razon Social],Clientes_Proveedores[Ruc / Dni]),2,0),"")</f>
        <v>20558226979</v>
      </c>
      <c r="X1998" s="25" t="s">
        <v>1090</v>
      </c>
      <c r="Y1998" s="25" t="s">
        <v>3060</v>
      </c>
      <c r="Z1998" s="25"/>
      <c r="AA1998" s="99"/>
      <c r="AB1998" s="3" t="str">
        <f>IF(BCP_Soles[[#This Row],[FECHA]]&gt;0,TEXT(BCP_Soles[[#This Row],[FECHA]],"mmmm"),0)</f>
        <v>Junio</v>
      </c>
    </row>
    <row r="1999" spans="2:28" ht="24" x14ac:dyDescent="0.3">
      <c r="B1999" s="2">
        <f>IF(BCP_Soles[[#This Row],[TIPO DE R.]]="R",COUNTIFS($D$4:$D1998,"R")+1,"")</f>
        <v>1539</v>
      </c>
      <c r="C1999" s="19" t="str">
        <f t="shared" si="155"/>
        <v>B-BCP - Soles</v>
      </c>
      <c r="D1999" s="3" t="s">
        <v>1074</v>
      </c>
      <c r="E1999" s="14">
        <v>45819</v>
      </c>
      <c r="F1999" s="5" t="s">
        <v>479</v>
      </c>
      <c r="G1999" s="5" t="s">
        <v>1087</v>
      </c>
      <c r="H1999" s="6" t="s">
        <v>368</v>
      </c>
      <c r="I1999" s="6" t="s">
        <v>63</v>
      </c>
      <c r="J1999" s="6">
        <v>1</v>
      </c>
      <c r="K1999" s="6">
        <v>4485</v>
      </c>
      <c r="L1999" s="7" t="s">
        <v>1100</v>
      </c>
      <c r="M1999" s="8">
        <v>3850633</v>
      </c>
      <c r="N1999" s="8" t="str">
        <f t="shared" si="156"/>
        <v>PEN</v>
      </c>
      <c r="O1999" s="13"/>
      <c r="P1999" s="13">
        <v>7900</v>
      </c>
      <c r="Q1999" s="3">
        <f t="shared" si="157"/>
        <v>7900</v>
      </c>
      <c r="R1999" s="3">
        <f t="shared" si="158"/>
        <v>0</v>
      </c>
      <c r="S1999" s="3">
        <f t="shared" si="159"/>
        <v>82513.050000000017</v>
      </c>
      <c r="T1999" s="24" t="s">
        <v>1081</v>
      </c>
      <c r="U1999" s="24" t="s">
        <v>1081</v>
      </c>
      <c r="V1999" s="67"/>
      <c r="W1999" s="25">
        <f>IFERROR(VLOOKUP(BCP_Soles[[#This Row],[DESTINATARIO]],CHOOSE({1,2},Clientes_Proveedores[Razon Social],Clientes_Proveedores[Ruc / Dni]),2,0),"")</f>
        <v>20558226979</v>
      </c>
      <c r="X1999" s="25" t="s">
        <v>1090</v>
      </c>
      <c r="Y1999" s="25" t="s">
        <v>3061</v>
      </c>
      <c r="Z1999" s="25"/>
      <c r="AA1999" s="99"/>
      <c r="AB1999" s="3" t="str">
        <f>IF(BCP_Soles[[#This Row],[FECHA]]&gt;0,TEXT(BCP_Soles[[#This Row],[FECHA]],"mmmm"),0)</f>
        <v>Junio</v>
      </c>
    </row>
    <row r="2000" spans="2:28" ht="36" x14ac:dyDescent="0.3">
      <c r="B2000" s="2">
        <f>IF(BCP_Soles[[#This Row],[TIPO DE R.]]="R",COUNTIFS($D$4:$D1999,"R")+1,"")</f>
        <v>1540</v>
      </c>
      <c r="C2000" s="19" t="str">
        <f t="shared" si="155"/>
        <v>B-BCP - Soles</v>
      </c>
      <c r="D2000" s="3" t="s">
        <v>1074</v>
      </c>
      <c r="E2000" s="14">
        <v>45819</v>
      </c>
      <c r="F2000" s="5" t="s">
        <v>636</v>
      </c>
      <c r="G2000" s="5" t="s">
        <v>1087</v>
      </c>
      <c r="H2000" s="6" t="s">
        <v>368</v>
      </c>
      <c r="I2000" s="6" t="s">
        <v>14</v>
      </c>
      <c r="J2000" s="6" t="s">
        <v>3010</v>
      </c>
      <c r="K2000" s="6">
        <v>60</v>
      </c>
      <c r="L2000" s="7" t="s">
        <v>1100</v>
      </c>
      <c r="M2000" s="8">
        <v>2612017</v>
      </c>
      <c r="N2000" s="8" t="str">
        <f t="shared" si="156"/>
        <v>PEN</v>
      </c>
      <c r="O2000" s="13"/>
      <c r="P2000" s="13">
        <v>826</v>
      </c>
      <c r="Q2000" s="3">
        <f t="shared" si="157"/>
        <v>826</v>
      </c>
      <c r="R2000" s="3">
        <f t="shared" si="158"/>
        <v>0</v>
      </c>
      <c r="S2000" s="3">
        <f t="shared" si="159"/>
        <v>83339.050000000017</v>
      </c>
      <c r="T2000" s="24" t="s">
        <v>1081</v>
      </c>
      <c r="U2000" s="24" t="s">
        <v>1081</v>
      </c>
      <c r="V2000" s="67"/>
      <c r="W2000" s="25">
        <f>IFERROR(VLOOKUP(BCP_Soles[[#This Row],[DESTINATARIO]],CHOOSE({1,2},Clientes_Proveedores[Razon Social],Clientes_Proveedores[Ruc / Dni]),2,0),"")</f>
        <v>20558226979</v>
      </c>
      <c r="X2000" s="25" t="s">
        <v>1090</v>
      </c>
      <c r="Y2000" s="25" t="s">
        <v>3062</v>
      </c>
      <c r="Z2000" s="25"/>
      <c r="AA2000" s="99"/>
      <c r="AB2000" s="3" t="str">
        <f>IF(BCP_Soles[[#This Row],[FECHA]]&gt;0,TEXT(BCP_Soles[[#This Row],[FECHA]],"mmmm"),0)</f>
        <v>Junio</v>
      </c>
    </row>
    <row r="2001" spans="2:28" ht="24" x14ac:dyDescent="0.3">
      <c r="B2001" s="2">
        <f>IF(BCP_Soles[[#This Row],[TIPO DE R.]]="R",COUNTIFS($D$4:$D2000,"R")+1,"")</f>
        <v>1541</v>
      </c>
      <c r="C2001" s="19" t="str">
        <f t="shared" si="155"/>
        <v>B-BCP - Soles</v>
      </c>
      <c r="D2001" s="3" t="s">
        <v>1074</v>
      </c>
      <c r="E2001" s="14">
        <v>45819</v>
      </c>
      <c r="F2001" s="5" t="s">
        <v>367</v>
      </c>
      <c r="G2001" s="5" t="s">
        <v>1087</v>
      </c>
      <c r="H2001" s="6" t="s">
        <v>368</v>
      </c>
      <c r="I2001" s="6" t="s">
        <v>14</v>
      </c>
      <c r="J2001" s="6" t="s">
        <v>3010</v>
      </c>
      <c r="K2001" s="6">
        <v>59</v>
      </c>
      <c r="L2001" s="7" t="s">
        <v>1665</v>
      </c>
      <c r="M2001" s="8">
        <v>6012675</v>
      </c>
      <c r="N2001" s="8" t="str">
        <f t="shared" si="156"/>
        <v>PEN</v>
      </c>
      <c r="O2001" s="13"/>
      <c r="P2001" s="13">
        <v>120.6</v>
      </c>
      <c r="Q2001" s="3">
        <f t="shared" si="157"/>
        <v>120.6</v>
      </c>
      <c r="R2001" s="3">
        <f t="shared" si="158"/>
        <v>0</v>
      </c>
      <c r="S2001" s="3">
        <f t="shared" si="159"/>
        <v>83459.650000000023</v>
      </c>
      <c r="T2001" s="24" t="s">
        <v>1081</v>
      </c>
      <c r="U2001" s="24" t="s">
        <v>1081</v>
      </c>
      <c r="V2001" s="67"/>
      <c r="W2001" s="25">
        <f>IFERROR(VLOOKUP(BCP_Soles[[#This Row],[DESTINATARIO]],CHOOSE({1,2},Clientes_Proveedores[Razon Social],Clientes_Proveedores[Ruc / Dni]),2,0),"")</f>
        <v>20558226979</v>
      </c>
      <c r="X2001" s="25" t="s">
        <v>1090</v>
      </c>
      <c r="Y2001" s="25" t="s">
        <v>3063</v>
      </c>
      <c r="Z2001" s="25"/>
      <c r="AA2001" s="99"/>
      <c r="AB2001" s="3" t="str">
        <f>IF(BCP_Soles[[#This Row],[FECHA]]&gt;0,TEXT(BCP_Soles[[#This Row],[FECHA]],"mmmm"),0)</f>
        <v>Junio</v>
      </c>
    </row>
    <row r="2002" spans="2:28" ht="36" x14ac:dyDescent="0.3">
      <c r="B2002" s="2">
        <f>IF(BCP_Soles[[#This Row],[TIPO DE R.]]="R",COUNTIFS($D$4:$D2001,"R")+1,"")</f>
        <v>1542</v>
      </c>
      <c r="C2002" s="19" t="str">
        <f t="shared" si="155"/>
        <v>B-BCP - Soles</v>
      </c>
      <c r="D2002" s="3" t="s">
        <v>1074</v>
      </c>
      <c r="E2002" s="14">
        <v>45819</v>
      </c>
      <c r="F2002" s="5" t="s">
        <v>1075</v>
      </c>
      <c r="G2002" s="5" t="s">
        <v>1079</v>
      </c>
      <c r="H2002" s="6" t="s">
        <v>880</v>
      </c>
      <c r="I2002" s="6"/>
      <c r="J2002" s="6"/>
      <c r="K2002" s="6"/>
      <c r="L2002" s="7" t="s">
        <v>3064</v>
      </c>
      <c r="M2002" s="8">
        <v>1182434</v>
      </c>
      <c r="N2002" s="8" t="str">
        <f t="shared" si="156"/>
        <v>PEN</v>
      </c>
      <c r="O2002" s="13"/>
      <c r="P2002" s="13">
        <v>2715.34</v>
      </c>
      <c r="Q2002" s="3">
        <f t="shared" si="157"/>
        <v>0</v>
      </c>
      <c r="R2002" s="3">
        <f t="shared" si="158"/>
        <v>2715.34</v>
      </c>
      <c r="S2002" s="3">
        <f t="shared" si="159"/>
        <v>80744.310000000027</v>
      </c>
      <c r="T2002" s="24"/>
      <c r="U2002" s="24"/>
      <c r="V2002" s="67"/>
      <c r="W2002" s="25">
        <f>IFERROR(VLOOKUP(BCP_Soles[[#This Row],[DESTINATARIO]],CHOOSE({1,2},Clientes_Proveedores[Razon Social],Clientes_Proveedores[Ruc / Dni]),2,0),"")</f>
        <v>72531546</v>
      </c>
      <c r="X2002" s="25" t="s">
        <v>880</v>
      </c>
      <c r="Y2002" s="25"/>
      <c r="Z2002" s="25"/>
      <c r="AA2002" s="99"/>
      <c r="AB2002" s="3" t="str">
        <f>IF(BCP_Soles[[#This Row],[FECHA]]&gt;0,TEXT(BCP_Soles[[#This Row],[FECHA]],"mmmm"),0)</f>
        <v>Junio</v>
      </c>
    </row>
    <row r="2003" spans="2:28" x14ac:dyDescent="0.3">
      <c r="B2003" s="2">
        <f>IF(BCP_Soles[[#This Row],[TIPO DE R.]]="R",COUNTIFS($D$4:$D2002,"R")+1,"")</f>
        <v>1543</v>
      </c>
      <c r="C2003" s="19" t="str">
        <f t="shared" si="155"/>
        <v>B-BCP - Soles</v>
      </c>
      <c r="D2003" s="3" t="s">
        <v>1074</v>
      </c>
      <c r="E2003" s="14">
        <v>45819</v>
      </c>
      <c r="F2003" s="5" t="s">
        <v>1075</v>
      </c>
      <c r="G2003" s="5" t="s">
        <v>1079</v>
      </c>
      <c r="H2003" s="6" t="s">
        <v>139</v>
      </c>
      <c r="I2003" s="6" t="s">
        <v>14</v>
      </c>
      <c r="J2003" s="6" t="s">
        <v>1953</v>
      </c>
      <c r="K2003" s="6">
        <v>6445</v>
      </c>
      <c r="L2003" s="7" t="s">
        <v>1954</v>
      </c>
      <c r="M2003" s="8">
        <v>182433</v>
      </c>
      <c r="N2003" s="8" t="str">
        <f t="shared" si="156"/>
        <v>PEN</v>
      </c>
      <c r="O2003" s="13"/>
      <c r="P2003" s="13">
        <v>344.92</v>
      </c>
      <c r="Q2003" s="3">
        <f t="shared" si="157"/>
        <v>0</v>
      </c>
      <c r="R2003" s="3">
        <f t="shared" si="158"/>
        <v>344.92</v>
      </c>
      <c r="S2003" s="3">
        <f t="shared" si="159"/>
        <v>80399.390000000029</v>
      </c>
      <c r="T2003" s="24" t="s">
        <v>1081</v>
      </c>
      <c r="U2003" s="24" t="s">
        <v>1081</v>
      </c>
      <c r="V2003" s="67"/>
      <c r="W2003" s="25">
        <f>IFERROR(VLOOKUP(BCP_Soles[[#This Row],[DESTINATARIO]],CHOOSE({1,2},Clientes_Proveedores[Razon Social],Clientes_Proveedores[Ruc / Dni]),2,0),"")</f>
        <v>20100055237</v>
      </c>
      <c r="X2003" s="25" t="s">
        <v>1955</v>
      </c>
      <c r="Y2003" s="25" t="s">
        <v>3065</v>
      </c>
      <c r="Z2003" s="25"/>
      <c r="AA2003" s="99"/>
      <c r="AB2003" s="3" t="str">
        <f>IF(BCP_Soles[[#This Row],[FECHA]]&gt;0,TEXT(BCP_Soles[[#This Row],[FECHA]],"mmmm"),0)</f>
        <v>Junio</v>
      </c>
    </row>
    <row r="2004" spans="2:28" x14ac:dyDescent="0.3">
      <c r="B2004" s="2">
        <f>IF(BCP_Soles[[#This Row],[TIPO DE R.]]="R",COUNTIFS($D$4:$D2003,"R")+1,"")</f>
        <v>1544</v>
      </c>
      <c r="C2004" s="19" t="str">
        <f t="shared" si="155"/>
        <v>B-BCP - Soles</v>
      </c>
      <c r="D2004" s="3" t="s">
        <v>1074</v>
      </c>
      <c r="E2004" s="14">
        <v>45819</v>
      </c>
      <c r="F2004" s="5" t="s">
        <v>1075</v>
      </c>
      <c r="G2004" s="5" t="s">
        <v>1079</v>
      </c>
      <c r="H2004" s="6" t="s">
        <v>139</v>
      </c>
      <c r="I2004" s="6" t="s">
        <v>14</v>
      </c>
      <c r="J2004" s="6" t="s">
        <v>1953</v>
      </c>
      <c r="K2004" s="6">
        <v>6446</v>
      </c>
      <c r="L2004" s="7" t="s">
        <v>1954</v>
      </c>
      <c r="M2004" s="8">
        <v>183903</v>
      </c>
      <c r="N2004" s="8" t="str">
        <f t="shared" si="156"/>
        <v>PEN</v>
      </c>
      <c r="O2004" s="13"/>
      <c r="P2004" s="13">
        <v>52.95</v>
      </c>
      <c r="Q2004" s="3">
        <f t="shared" si="157"/>
        <v>0</v>
      </c>
      <c r="R2004" s="3">
        <f t="shared" si="158"/>
        <v>52.95</v>
      </c>
      <c r="S2004" s="3">
        <f t="shared" si="159"/>
        <v>80346.440000000031</v>
      </c>
      <c r="T2004" s="24" t="s">
        <v>1081</v>
      </c>
      <c r="U2004" s="24" t="s">
        <v>1081</v>
      </c>
      <c r="V2004" s="67"/>
      <c r="W2004" s="25">
        <f>IFERROR(VLOOKUP(BCP_Soles[[#This Row],[DESTINATARIO]],CHOOSE({1,2},Clientes_Proveedores[Razon Social],Clientes_Proveedores[Ruc / Dni]),2,0),"")</f>
        <v>20100055237</v>
      </c>
      <c r="X2004" s="25" t="s">
        <v>1955</v>
      </c>
      <c r="Y2004" s="25" t="s">
        <v>3066</v>
      </c>
      <c r="Z2004" s="25"/>
      <c r="AA2004" s="99"/>
      <c r="AB2004" s="3" t="str">
        <f>IF(BCP_Soles[[#This Row],[FECHA]]&gt;0,TEXT(BCP_Soles[[#This Row],[FECHA]],"mmmm"),0)</f>
        <v>Junio</v>
      </c>
    </row>
    <row r="2005" spans="2:28" x14ac:dyDescent="0.3">
      <c r="B2005" s="2">
        <f>IF(BCP_Soles[[#This Row],[TIPO DE R.]]="R",COUNTIFS($D$4:$D2004,"R")+1,"")</f>
        <v>1545</v>
      </c>
      <c r="C2005" s="19" t="str">
        <f t="shared" si="155"/>
        <v>B-BCP - Soles</v>
      </c>
      <c r="D2005" s="3" t="s">
        <v>1074</v>
      </c>
      <c r="E2005" s="14">
        <v>45819</v>
      </c>
      <c r="F2005" s="5" t="s">
        <v>1075</v>
      </c>
      <c r="G2005" s="5" t="s">
        <v>1079</v>
      </c>
      <c r="H2005" s="6" t="s">
        <v>139</v>
      </c>
      <c r="I2005" s="6" t="s">
        <v>14</v>
      </c>
      <c r="J2005" s="6" t="s">
        <v>1953</v>
      </c>
      <c r="K2005" s="6">
        <v>6447</v>
      </c>
      <c r="L2005" s="7" t="s">
        <v>1954</v>
      </c>
      <c r="M2005" s="8">
        <v>181437</v>
      </c>
      <c r="N2005" s="8" t="str">
        <f t="shared" si="156"/>
        <v>PEN</v>
      </c>
      <c r="O2005" s="13"/>
      <c r="P2005" s="13">
        <v>388.66</v>
      </c>
      <c r="Q2005" s="3">
        <f t="shared" si="157"/>
        <v>0</v>
      </c>
      <c r="R2005" s="3">
        <f t="shared" si="158"/>
        <v>388.66</v>
      </c>
      <c r="S2005" s="3">
        <f t="shared" si="159"/>
        <v>79957.780000000028</v>
      </c>
      <c r="T2005" s="24" t="s">
        <v>1081</v>
      </c>
      <c r="U2005" s="24" t="s">
        <v>1081</v>
      </c>
      <c r="V2005" s="67"/>
      <c r="W2005" s="25">
        <f>IFERROR(VLOOKUP(BCP_Soles[[#This Row],[DESTINATARIO]],CHOOSE({1,2},Clientes_Proveedores[Razon Social],Clientes_Proveedores[Ruc / Dni]),2,0),"")</f>
        <v>20100055237</v>
      </c>
      <c r="X2005" s="25" t="s">
        <v>1955</v>
      </c>
      <c r="Y2005" s="25" t="s">
        <v>3067</v>
      </c>
      <c r="Z2005" s="25"/>
      <c r="AA2005" s="99"/>
      <c r="AB2005" s="3" t="str">
        <f>IF(BCP_Soles[[#This Row],[FECHA]]&gt;0,TEXT(BCP_Soles[[#This Row],[FECHA]],"mmmm"),0)</f>
        <v>Junio</v>
      </c>
    </row>
    <row r="2006" spans="2:28" x14ac:dyDescent="0.3">
      <c r="B2006" s="2">
        <f>IF(BCP_Soles[[#This Row],[TIPO DE R.]]="R",COUNTIFS($D$4:$D2005,"R")+1,"")</f>
        <v>1546</v>
      </c>
      <c r="C2006" s="19" t="str">
        <f t="shared" si="155"/>
        <v>B-BCP - Soles</v>
      </c>
      <c r="D2006" s="3" t="s">
        <v>1074</v>
      </c>
      <c r="E2006" s="14">
        <v>45819</v>
      </c>
      <c r="F2006" s="5" t="s">
        <v>1075</v>
      </c>
      <c r="G2006" s="5" t="s">
        <v>1079</v>
      </c>
      <c r="H2006" s="6" t="s">
        <v>139</v>
      </c>
      <c r="I2006" s="6" t="s">
        <v>14</v>
      </c>
      <c r="J2006" s="6" t="s">
        <v>1953</v>
      </c>
      <c r="K2006" s="6">
        <v>6448</v>
      </c>
      <c r="L2006" s="7" t="s">
        <v>1954</v>
      </c>
      <c r="M2006" s="8">
        <v>180498</v>
      </c>
      <c r="N2006" s="8" t="str">
        <f t="shared" si="156"/>
        <v>PEN</v>
      </c>
      <c r="O2006" s="13"/>
      <c r="P2006" s="13">
        <v>86.95</v>
      </c>
      <c r="Q2006" s="3">
        <f t="shared" si="157"/>
        <v>0</v>
      </c>
      <c r="R2006" s="3">
        <f t="shared" si="158"/>
        <v>86.95</v>
      </c>
      <c r="S2006" s="3">
        <f t="shared" si="159"/>
        <v>79870.830000000031</v>
      </c>
      <c r="T2006" s="24" t="s">
        <v>1081</v>
      </c>
      <c r="U2006" s="24" t="s">
        <v>1081</v>
      </c>
      <c r="V2006" s="67"/>
      <c r="W2006" s="25">
        <f>IFERROR(VLOOKUP(BCP_Soles[[#This Row],[DESTINATARIO]],CHOOSE({1,2},Clientes_Proveedores[Razon Social],Clientes_Proveedores[Ruc / Dni]),2,0),"")</f>
        <v>20100055237</v>
      </c>
      <c r="X2006" s="25" t="s">
        <v>1955</v>
      </c>
      <c r="Y2006" s="25" t="s">
        <v>3068</v>
      </c>
      <c r="Z2006" s="25"/>
      <c r="AA2006" s="99"/>
      <c r="AB2006" s="3" t="str">
        <f>IF(BCP_Soles[[#This Row],[FECHA]]&gt;0,TEXT(BCP_Soles[[#This Row],[FECHA]],"mmmm"),0)</f>
        <v>Junio</v>
      </c>
    </row>
    <row r="2007" spans="2:28" x14ac:dyDescent="0.3">
      <c r="B2007" s="2">
        <f>IF(BCP_Soles[[#This Row],[TIPO DE R.]]="R",COUNTIFS($D$4:$D2006,"R")+1,"")</f>
        <v>1547</v>
      </c>
      <c r="C2007" s="19" t="str">
        <f t="shared" si="155"/>
        <v>B-BCP - Soles</v>
      </c>
      <c r="D2007" s="3" t="s">
        <v>1074</v>
      </c>
      <c r="E2007" s="14">
        <v>45819</v>
      </c>
      <c r="F2007" s="5" t="s">
        <v>1075</v>
      </c>
      <c r="G2007" s="5" t="s">
        <v>1079</v>
      </c>
      <c r="H2007" s="6" t="s">
        <v>139</v>
      </c>
      <c r="I2007" s="6" t="s">
        <v>14</v>
      </c>
      <c r="J2007" s="6" t="s">
        <v>1953</v>
      </c>
      <c r="K2007" s="6">
        <v>6449</v>
      </c>
      <c r="L2007" s="7" t="s">
        <v>1954</v>
      </c>
      <c r="M2007" s="8">
        <v>181435</v>
      </c>
      <c r="N2007" s="8" t="str">
        <f t="shared" si="156"/>
        <v>PEN</v>
      </c>
      <c r="O2007" s="13"/>
      <c r="P2007" s="13">
        <v>558.08000000000004</v>
      </c>
      <c r="Q2007" s="3">
        <f t="shared" si="157"/>
        <v>0</v>
      </c>
      <c r="R2007" s="3">
        <f t="shared" si="158"/>
        <v>558.08000000000004</v>
      </c>
      <c r="S2007" s="3">
        <f t="shared" si="159"/>
        <v>79312.750000000029</v>
      </c>
      <c r="T2007" s="24" t="s">
        <v>1081</v>
      </c>
      <c r="U2007" s="24" t="s">
        <v>1081</v>
      </c>
      <c r="V2007" s="67"/>
      <c r="W2007" s="25">
        <f>IFERROR(VLOOKUP(BCP_Soles[[#This Row],[DESTINATARIO]],CHOOSE({1,2},Clientes_Proveedores[Razon Social],Clientes_Proveedores[Ruc / Dni]),2,0),"")</f>
        <v>20100055237</v>
      </c>
      <c r="X2007" s="25" t="s">
        <v>1955</v>
      </c>
      <c r="Y2007" s="25" t="s">
        <v>3069</v>
      </c>
      <c r="Z2007" s="25"/>
      <c r="AA2007" s="99"/>
      <c r="AB2007" s="3" t="str">
        <f>IF(BCP_Soles[[#This Row],[FECHA]]&gt;0,TEXT(BCP_Soles[[#This Row],[FECHA]],"mmmm"),0)</f>
        <v>Junio</v>
      </c>
    </row>
    <row r="2008" spans="2:28" x14ac:dyDescent="0.3">
      <c r="B2008" s="2">
        <f>IF(BCP_Soles[[#This Row],[TIPO DE R.]]="R",COUNTIFS($D$4:$D2007,"R")+1,"")</f>
        <v>1548</v>
      </c>
      <c r="C2008" s="19" t="str">
        <f t="shared" si="155"/>
        <v>B-BCP - Soles</v>
      </c>
      <c r="D2008" s="3" t="s">
        <v>1074</v>
      </c>
      <c r="E2008" s="14">
        <v>45819</v>
      </c>
      <c r="F2008" s="5" t="s">
        <v>1075</v>
      </c>
      <c r="G2008" s="5" t="s">
        <v>1079</v>
      </c>
      <c r="H2008" s="6" t="s">
        <v>139</v>
      </c>
      <c r="I2008" s="6" t="s">
        <v>14</v>
      </c>
      <c r="J2008" s="6" t="s">
        <v>1953</v>
      </c>
      <c r="K2008" s="6">
        <v>6451</v>
      </c>
      <c r="L2008" s="7" t="s">
        <v>1954</v>
      </c>
      <c r="M2008" s="8">
        <v>182917</v>
      </c>
      <c r="N2008" s="8" t="str">
        <f t="shared" si="156"/>
        <v>PEN</v>
      </c>
      <c r="O2008" s="13"/>
      <c r="P2008" s="13">
        <v>78.39</v>
      </c>
      <c r="Q2008" s="3">
        <f t="shared" si="157"/>
        <v>0</v>
      </c>
      <c r="R2008" s="3">
        <f t="shared" si="158"/>
        <v>78.39</v>
      </c>
      <c r="S2008" s="3">
        <f t="shared" si="159"/>
        <v>79234.36000000003</v>
      </c>
      <c r="T2008" s="24" t="s">
        <v>1081</v>
      </c>
      <c r="U2008" s="24" t="s">
        <v>1081</v>
      </c>
      <c r="V2008" s="67"/>
      <c r="W2008" s="25">
        <f>IFERROR(VLOOKUP(BCP_Soles[[#This Row],[DESTINATARIO]],CHOOSE({1,2},Clientes_Proveedores[Razon Social],Clientes_Proveedores[Ruc / Dni]),2,0),"")</f>
        <v>20100055237</v>
      </c>
      <c r="X2008" s="25" t="s">
        <v>1955</v>
      </c>
      <c r="Y2008" s="25" t="s">
        <v>3070</v>
      </c>
      <c r="Z2008" s="25"/>
      <c r="AA2008" s="99"/>
      <c r="AB2008" s="3" t="str">
        <f>IF(BCP_Soles[[#This Row],[FECHA]]&gt;0,TEXT(BCP_Soles[[#This Row],[FECHA]],"mmmm"),0)</f>
        <v>Junio</v>
      </c>
    </row>
    <row r="2009" spans="2:28" x14ac:dyDescent="0.3">
      <c r="B2009" s="2">
        <f>IF(BCP_Soles[[#This Row],[TIPO DE R.]]="R",COUNTIFS($D$4:$D2008,"R")+1,"")</f>
        <v>1549</v>
      </c>
      <c r="C2009" s="19" t="str">
        <f t="shared" si="155"/>
        <v>B-BCP - Soles</v>
      </c>
      <c r="D2009" s="3" t="s">
        <v>1074</v>
      </c>
      <c r="E2009" s="14">
        <v>45819</v>
      </c>
      <c r="F2009" s="5" t="s">
        <v>1075</v>
      </c>
      <c r="G2009" s="5" t="s">
        <v>1079</v>
      </c>
      <c r="H2009" s="6" t="s">
        <v>139</v>
      </c>
      <c r="I2009" s="6" t="s">
        <v>14</v>
      </c>
      <c r="J2009" s="6" t="s">
        <v>1953</v>
      </c>
      <c r="K2009" s="6">
        <v>6450</v>
      </c>
      <c r="L2009" s="7" t="s">
        <v>1954</v>
      </c>
      <c r="M2009" s="8">
        <v>180499</v>
      </c>
      <c r="N2009" s="8" t="str">
        <f t="shared" si="156"/>
        <v>PEN</v>
      </c>
      <c r="O2009" s="13"/>
      <c r="P2009" s="13">
        <v>99.41</v>
      </c>
      <c r="Q2009" s="3">
        <f t="shared" si="157"/>
        <v>0</v>
      </c>
      <c r="R2009" s="3">
        <f t="shared" si="158"/>
        <v>99.41</v>
      </c>
      <c r="S2009" s="3">
        <f t="shared" si="159"/>
        <v>79134.950000000026</v>
      </c>
      <c r="T2009" s="24" t="s">
        <v>1081</v>
      </c>
      <c r="U2009" s="24" t="s">
        <v>1081</v>
      </c>
      <c r="V2009" s="67"/>
      <c r="W2009" s="25">
        <f>IFERROR(VLOOKUP(BCP_Soles[[#This Row],[DESTINATARIO]],CHOOSE({1,2},Clientes_Proveedores[Razon Social],Clientes_Proveedores[Ruc / Dni]),2,0),"")</f>
        <v>20100055237</v>
      </c>
      <c r="X2009" s="25" t="s">
        <v>1955</v>
      </c>
      <c r="Y2009" s="25" t="s">
        <v>3071</v>
      </c>
      <c r="Z2009" s="25"/>
      <c r="AA2009" s="99"/>
      <c r="AB2009" s="3" t="str">
        <f>IF(BCP_Soles[[#This Row],[FECHA]]&gt;0,TEXT(BCP_Soles[[#This Row],[FECHA]],"mmmm"),0)</f>
        <v>Junio</v>
      </c>
    </row>
    <row r="2010" spans="2:28" x14ac:dyDescent="0.3">
      <c r="B2010" s="2">
        <f>IF(BCP_Soles[[#This Row],[TIPO DE R.]]="R",COUNTIFS($D$4:$D2009,"R")+1,"")</f>
        <v>1550</v>
      </c>
      <c r="C2010" s="19" t="str">
        <f t="shared" si="155"/>
        <v>B-BCP - Soles</v>
      </c>
      <c r="D2010" s="3" t="s">
        <v>1074</v>
      </c>
      <c r="E2010" s="14">
        <v>45819</v>
      </c>
      <c r="F2010" s="5" t="s">
        <v>1075</v>
      </c>
      <c r="G2010" s="5" t="s">
        <v>1079</v>
      </c>
      <c r="H2010" s="6" t="s">
        <v>139</v>
      </c>
      <c r="I2010" s="6" t="s">
        <v>14</v>
      </c>
      <c r="J2010" s="6" t="s">
        <v>1953</v>
      </c>
      <c r="K2010" s="6">
        <v>6452</v>
      </c>
      <c r="L2010" s="7" t="s">
        <v>1954</v>
      </c>
      <c r="M2010" s="8">
        <v>182432</v>
      </c>
      <c r="N2010" s="8" t="str">
        <f t="shared" si="156"/>
        <v>PEN</v>
      </c>
      <c r="O2010" s="13"/>
      <c r="P2010" s="13">
        <v>215.7</v>
      </c>
      <c r="Q2010" s="3">
        <f t="shared" si="157"/>
        <v>0</v>
      </c>
      <c r="R2010" s="3">
        <f t="shared" si="158"/>
        <v>215.7</v>
      </c>
      <c r="S2010" s="3">
        <f t="shared" si="159"/>
        <v>78919.250000000029</v>
      </c>
      <c r="T2010" s="24" t="s">
        <v>1081</v>
      </c>
      <c r="U2010" s="24" t="s">
        <v>1081</v>
      </c>
      <c r="V2010" s="67"/>
      <c r="W2010" s="25">
        <f>IFERROR(VLOOKUP(BCP_Soles[[#This Row],[DESTINATARIO]],CHOOSE({1,2},Clientes_Proveedores[Razon Social],Clientes_Proveedores[Ruc / Dni]),2,0),"")</f>
        <v>20100055237</v>
      </c>
      <c r="X2010" s="25" t="s">
        <v>1955</v>
      </c>
      <c r="Y2010" s="25" t="s">
        <v>3072</v>
      </c>
      <c r="Z2010" s="25"/>
      <c r="AA2010" s="99"/>
      <c r="AB2010" s="3" t="str">
        <f>IF(BCP_Soles[[#This Row],[FECHA]]&gt;0,TEXT(BCP_Soles[[#This Row],[FECHA]],"mmmm"),0)</f>
        <v>Junio</v>
      </c>
    </row>
    <row r="2011" spans="2:28" x14ac:dyDescent="0.3">
      <c r="B2011" s="2">
        <f>IF(BCP_Soles[[#This Row],[TIPO DE R.]]="R",COUNTIFS($D$4:$D2010,"R")+1,"")</f>
        <v>1551</v>
      </c>
      <c r="C2011" s="19" t="str">
        <f t="shared" si="155"/>
        <v>B-BCP - Soles</v>
      </c>
      <c r="D2011" s="3" t="s">
        <v>1074</v>
      </c>
      <c r="E2011" s="14">
        <v>45819</v>
      </c>
      <c r="F2011" s="5" t="s">
        <v>1075</v>
      </c>
      <c r="G2011" s="5" t="s">
        <v>1079</v>
      </c>
      <c r="H2011" s="6" t="s">
        <v>139</v>
      </c>
      <c r="I2011" s="6" t="s">
        <v>14</v>
      </c>
      <c r="J2011" s="6" t="s">
        <v>1953</v>
      </c>
      <c r="K2011" s="6">
        <v>6454</v>
      </c>
      <c r="L2011" s="7" t="s">
        <v>1954</v>
      </c>
      <c r="M2011" s="8">
        <v>182918</v>
      </c>
      <c r="N2011" s="8" t="str">
        <f t="shared" si="156"/>
        <v>PEN</v>
      </c>
      <c r="O2011" s="13"/>
      <c r="P2011" s="13">
        <v>63.34</v>
      </c>
      <c r="Q2011" s="3">
        <f t="shared" si="157"/>
        <v>0</v>
      </c>
      <c r="R2011" s="3">
        <f t="shared" si="158"/>
        <v>63.34</v>
      </c>
      <c r="S2011" s="3">
        <f t="shared" si="159"/>
        <v>78855.910000000033</v>
      </c>
      <c r="T2011" s="24" t="s">
        <v>1081</v>
      </c>
      <c r="U2011" s="24" t="s">
        <v>1081</v>
      </c>
      <c r="V2011" s="67"/>
      <c r="W2011" s="25">
        <f>IFERROR(VLOOKUP(BCP_Soles[[#This Row],[DESTINATARIO]],CHOOSE({1,2},Clientes_Proveedores[Razon Social],Clientes_Proveedores[Ruc / Dni]),2,0),"")</f>
        <v>20100055237</v>
      </c>
      <c r="X2011" s="25" t="s">
        <v>1955</v>
      </c>
      <c r="Y2011" s="25" t="s">
        <v>3073</v>
      </c>
      <c r="Z2011" s="25"/>
      <c r="AA2011" s="99"/>
      <c r="AB2011" s="3" t="str">
        <f>IF(BCP_Soles[[#This Row],[FECHA]]&gt;0,TEXT(BCP_Soles[[#This Row],[FECHA]],"mmmm"),0)</f>
        <v>Junio</v>
      </c>
    </row>
    <row r="2012" spans="2:28" x14ac:dyDescent="0.3">
      <c r="B2012" s="2">
        <f>IF(BCP_Soles[[#This Row],[TIPO DE R.]]="R",COUNTIFS($D$4:$D2011,"R")+1,"")</f>
        <v>1552</v>
      </c>
      <c r="C2012" s="19" t="str">
        <f t="shared" si="155"/>
        <v>B-BCP - Soles</v>
      </c>
      <c r="D2012" s="3" t="s">
        <v>1074</v>
      </c>
      <c r="E2012" s="14">
        <v>45819</v>
      </c>
      <c r="F2012" s="5" t="s">
        <v>1075</v>
      </c>
      <c r="G2012" s="5" t="s">
        <v>1079</v>
      </c>
      <c r="H2012" s="6" t="s">
        <v>139</v>
      </c>
      <c r="I2012" s="6" t="s">
        <v>14</v>
      </c>
      <c r="J2012" s="6" t="s">
        <v>1953</v>
      </c>
      <c r="K2012" s="6">
        <v>6453</v>
      </c>
      <c r="L2012" s="7" t="s">
        <v>1954</v>
      </c>
      <c r="M2012" s="8">
        <v>180497</v>
      </c>
      <c r="N2012" s="8" t="str">
        <f t="shared" si="156"/>
        <v>PEN</v>
      </c>
      <c r="O2012" s="13"/>
      <c r="P2012" s="13">
        <v>9.68</v>
      </c>
      <c r="Q2012" s="3">
        <f t="shared" si="157"/>
        <v>0</v>
      </c>
      <c r="R2012" s="3">
        <f t="shared" si="158"/>
        <v>9.68</v>
      </c>
      <c r="S2012" s="3">
        <f t="shared" si="159"/>
        <v>78846.23000000004</v>
      </c>
      <c r="T2012" s="24" t="s">
        <v>1081</v>
      </c>
      <c r="U2012" s="24" t="s">
        <v>1081</v>
      </c>
      <c r="V2012" s="67"/>
      <c r="W2012" s="25">
        <f>IFERROR(VLOOKUP(BCP_Soles[[#This Row],[DESTINATARIO]],CHOOSE({1,2},Clientes_Proveedores[Razon Social],Clientes_Proveedores[Ruc / Dni]),2,0),"")</f>
        <v>20100055237</v>
      </c>
      <c r="X2012" s="25" t="s">
        <v>1955</v>
      </c>
      <c r="Y2012" s="25" t="s">
        <v>3074</v>
      </c>
      <c r="Z2012" s="25"/>
      <c r="AA2012" s="99"/>
      <c r="AB2012" s="3" t="str">
        <f>IF(BCP_Soles[[#This Row],[FECHA]]&gt;0,TEXT(BCP_Soles[[#This Row],[FECHA]],"mmmm"),0)</f>
        <v>Junio</v>
      </c>
    </row>
    <row r="2013" spans="2:28" x14ac:dyDescent="0.3">
      <c r="B2013" s="2">
        <f>IF(BCP_Soles[[#This Row],[TIPO DE R.]]="R",COUNTIFS($D$4:$D2012,"R")+1,"")</f>
        <v>1553</v>
      </c>
      <c r="C2013" s="19" t="str">
        <f t="shared" si="155"/>
        <v>B-BCP - Soles</v>
      </c>
      <c r="D2013" s="3" t="s">
        <v>1074</v>
      </c>
      <c r="E2013" s="14">
        <v>45819</v>
      </c>
      <c r="F2013" s="5" t="s">
        <v>1075</v>
      </c>
      <c r="G2013" s="5" t="s">
        <v>1079</v>
      </c>
      <c r="H2013" s="6" t="s">
        <v>139</v>
      </c>
      <c r="I2013" s="6" t="s">
        <v>14</v>
      </c>
      <c r="J2013" s="6" t="s">
        <v>1953</v>
      </c>
      <c r="K2013" s="6">
        <v>6455</v>
      </c>
      <c r="L2013" s="7" t="s">
        <v>1954</v>
      </c>
      <c r="M2013" s="8">
        <v>183416</v>
      </c>
      <c r="N2013" s="8" t="str">
        <f t="shared" si="156"/>
        <v>PEN</v>
      </c>
      <c r="O2013" s="13"/>
      <c r="P2013" s="13">
        <v>333.94</v>
      </c>
      <c r="Q2013" s="3">
        <f t="shared" si="157"/>
        <v>0</v>
      </c>
      <c r="R2013" s="3">
        <f t="shared" si="158"/>
        <v>333.94</v>
      </c>
      <c r="S2013" s="3">
        <f t="shared" si="159"/>
        <v>78512.290000000037</v>
      </c>
      <c r="T2013" s="24" t="s">
        <v>1081</v>
      </c>
      <c r="U2013" s="24" t="s">
        <v>1081</v>
      </c>
      <c r="V2013" s="67"/>
      <c r="W2013" s="25">
        <f>IFERROR(VLOOKUP(BCP_Soles[[#This Row],[DESTINATARIO]],CHOOSE({1,2},Clientes_Proveedores[Razon Social],Clientes_Proveedores[Ruc / Dni]),2,0),"")</f>
        <v>20100055237</v>
      </c>
      <c r="X2013" s="25" t="s">
        <v>1955</v>
      </c>
      <c r="Y2013" s="25" t="s">
        <v>3075</v>
      </c>
      <c r="Z2013" s="25"/>
      <c r="AA2013" s="99"/>
      <c r="AB2013" s="3" t="str">
        <f>IF(BCP_Soles[[#This Row],[FECHA]]&gt;0,TEXT(BCP_Soles[[#This Row],[FECHA]],"mmmm"),0)</f>
        <v>Junio</v>
      </c>
    </row>
    <row r="2014" spans="2:28" x14ac:dyDescent="0.3">
      <c r="B2014" s="2">
        <f>IF(BCP_Soles[[#This Row],[TIPO DE R.]]="R",COUNTIFS($D$4:$D2013,"R")+1,"")</f>
        <v>1554</v>
      </c>
      <c r="C2014" s="19" t="str">
        <f t="shared" si="155"/>
        <v>B-BCP - Soles</v>
      </c>
      <c r="D2014" s="3" t="s">
        <v>1074</v>
      </c>
      <c r="E2014" s="14">
        <v>45819</v>
      </c>
      <c r="F2014" s="5" t="s">
        <v>1075</v>
      </c>
      <c r="G2014" s="5" t="s">
        <v>1079</v>
      </c>
      <c r="H2014" s="6" t="s">
        <v>139</v>
      </c>
      <c r="I2014" s="6" t="s">
        <v>14</v>
      </c>
      <c r="J2014" s="6" t="s">
        <v>1953</v>
      </c>
      <c r="K2014" s="6">
        <v>6457</v>
      </c>
      <c r="L2014" s="7" t="s">
        <v>1954</v>
      </c>
      <c r="M2014" s="8">
        <v>180500</v>
      </c>
      <c r="N2014" s="8" t="str">
        <f t="shared" si="156"/>
        <v>PEN</v>
      </c>
      <c r="O2014" s="13"/>
      <c r="P2014" s="13">
        <v>416.88</v>
      </c>
      <c r="Q2014" s="3">
        <f t="shared" si="157"/>
        <v>0</v>
      </c>
      <c r="R2014" s="3">
        <f t="shared" si="158"/>
        <v>416.88</v>
      </c>
      <c r="S2014" s="3">
        <f t="shared" si="159"/>
        <v>78095.410000000033</v>
      </c>
      <c r="T2014" s="24" t="s">
        <v>1081</v>
      </c>
      <c r="U2014" s="24" t="s">
        <v>1081</v>
      </c>
      <c r="V2014" s="67"/>
      <c r="W2014" s="25">
        <f>IFERROR(VLOOKUP(BCP_Soles[[#This Row],[DESTINATARIO]],CHOOSE({1,2},Clientes_Proveedores[Razon Social],Clientes_Proveedores[Ruc / Dni]),2,0),"")</f>
        <v>20100055237</v>
      </c>
      <c r="X2014" s="25" t="s">
        <v>1955</v>
      </c>
      <c r="Y2014" s="25" t="s">
        <v>3076</v>
      </c>
      <c r="Z2014" s="25"/>
      <c r="AA2014" s="99"/>
      <c r="AB2014" s="3" t="str">
        <f>IF(BCP_Soles[[#This Row],[FECHA]]&gt;0,TEXT(BCP_Soles[[#This Row],[FECHA]],"mmmm"),0)</f>
        <v>Junio</v>
      </c>
    </row>
    <row r="2015" spans="2:28" x14ac:dyDescent="0.3">
      <c r="B2015" s="2">
        <f>IF(BCP_Soles[[#This Row],[TIPO DE R.]]="R",COUNTIFS($D$4:$D2014,"R")+1,"")</f>
        <v>1555</v>
      </c>
      <c r="C2015" s="19" t="str">
        <f t="shared" si="155"/>
        <v>B-BCP - Soles</v>
      </c>
      <c r="D2015" s="3" t="s">
        <v>1074</v>
      </c>
      <c r="E2015" s="14">
        <v>45819</v>
      </c>
      <c r="F2015" s="5" t="s">
        <v>1075</v>
      </c>
      <c r="G2015" s="5" t="s">
        <v>1079</v>
      </c>
      <c r="H2015" s="6" t="s">
        <v>139</v>
      </c>
      <c r="I2015" s="6" t="s">
        <v>14</v>
      </c>
      <c r="J2015" s="6" t="s">
        <v>1953</v>
      </c>
      <c r="K2015" s="6">
        <v>6456</v>
      </c>
      <c r="L2015" s="7" t="s">
        <v>1954</v>
      </c>
      <c r="M2015" s="8">
        <v>183417</v>
      </c>
      <c r="N2015" s="8" t="str">
        <f t="shared" si="156"/>
        <v>PEN</v>
      </c>
      <c r="O2015" s="13"/>
      <c r="P2015" s="13">
        <v>151.41999999999999</v>
      </c>
      <c r="Q2015" s="3">
        <f t="shared" si="157"/>
        <v>0</v>
      </c>
      <c r="R2015" s="3">
        <f t="shared" si="158"/>
        <v>151.41999999999999</v>
      </c>
      <c r="S2015" s="3">
        <f t="shared" si="159"/>
        <v>77943.990000000034</v>
      </c>
      <c r="T2015" s="24" t="s">
        <v>1081</v>
      </c>
      <c r="U2015" s="24" t="s">
        <v>1081</v>
      </c>
      <c r="V2015" s="67"/>
      <c r="W2015" s="25">
        <f>IFERROR(VLOOKUP(BCP_Soles[[#This Row],[DESTINATARIO]],CHOOSE({1,2},Clientes_Proveedores[Razon Social],Clientes_Proveedores[Ruc / Dni]),2,0),"")</f>
        <v>20100055237</v>
      </c>
      <c r="X2015" s="25" t="s">
        <v>1955</v>
      </c>
      <c r="Y2015" s="25" t="s">
        <v>3077</v>
      </c>
      <c r="Z2015" s="25"/>
      <c r="AA2015" s="99"/>
      <c r="AB2015" s="3" t="str">
        <f>IF(BCP_Soles[[#This Row],[FECHA]]&gt;0,TEXT(BCP_Soles[[#This Row],[FECHA]],"mmmm"),0)</f>
        <v>Junio</v>
      </c>
    </row>
    <row r="2016" spans="2:28" ht="24" x14ac:dyDescent="0.3">
      <c r="B2016" s="2">
        <f>IF(BCP_Soles[[#This Row],[TIPO DE R.]]="R",COUNTIFS($D$4:$D2015,"R")+1,"")</f>
        <v>1556</v>
      </c>
      <c r="C2016" s="19" t="str">
        <f t="shared" si="155"/>
        <v>B-BCP - Soles</v>
      </c>
      <c r="D2016" s="3" t="s">
        <v>1074</v>
      </c>
      <c r="E2016" s="14">
        <v>45819</v>
      </c>
      <c r="F2016" s="5" t="s">
        <v>1075</v>
      </c>
      <c r="G2016" s="5" t="s">
        <v>1079</v>
      </c>
      <c r="H2016" s="6" t="s">
        <v>807</v>
      </c>
      <c r="I2016" s="6" t="s">
        <v>87</v>
      </c>
      <c r="J2016" s="6">
        <v>1</v>
      </c>
      <c r="K2016" s="6">
        <v>402025</v>
      </c>
      <c r="L2016" s="7" t="s">
        <v>3078</v>
      </c>
      <c r="M2016" s="8">
        <v>1182920</v>
      </c>
      <c r="N2016" s="8" t="str">
        <f t="shared" si="156"/>
        <v>PEN</v>
      </c>
      <c r="O2016" s="13"/>
      <c r="P2016" s="13">
        <v>460</v>
      </c>
      <c r="Q2016" s="3">
        <f t="shared" si="157"/>
        <v>0</v>
      </c>
      <c r="R2016" s="3">
        <f t="shared" si="158"/>
        <v>460</v>
      </c>
      <c r="S2016" s="3">
        <f t="shared" si="159"/>
        <v>77483.990000000034</v>
      </c>
      <c r="T2016" s="24"/>
      <c r="U2016" s="24"/>
      <c r="V2016" s="67"/>
      <c r="W2016" s="25">
        <f>IFERROR(VLOOKUP(BCP_Soles[[#This Row],[DESTINATARIO]],CHOOSE({1,2},Clientes_Proveedores[Razon Social],Clientes_Proveedores[Ruc / Dni]),2,0),"")</f>
        <v>45921913</v>
      </c>
      <c r="X2016" s="25" t="s">
        <v>807</v>
      </c>
      <c r="Y2016" s="25" t="s">
        <v>3079</v>
      </c>
      <c r="Z2016" s="25"/>
      <c r="AA2016" s="99"/>
      <c r="AB2016" s="3" t="str">
        <f>IF(BCP_Soles[[#This Row],[FECHA]]&gt;0,TEXT(BCP_Soles[[#This Row],[FECHA]],"mmmm"),0)</f>
        <v>Junio</v>
      </c>
    </row>
    <row r="2017" spans="2:28" ht="24" x14ac:dyDescent="0.3">
      <c r="B2017" s="2">
        <f>IF(BCP_Soles[[#This Row],[TIPO DE R.]]="R",COUNTIFS($D$4:$D2016,"R")+1,"")</f>
        <v>1557</v>
      </c>
      <c r="C2017" s="19" t="str">
        <f t="shared" si="155"/>
        <v>B-BCP - Soles</v>
      </c>
      <c r="D2017" s="3" t="s">
        <v>1074</v>
      </c>
      <c r="E2017" s="14">
        <v>45819</v>
      </c>
      <c r="F2017" s="5" t="s">
        <v>1075</v>
      </c>
      <c r="G2017" s="5" t="s">
        <v>1079</v>
      </c>
      <c r="H2017" s="6" t="s">
        <v>192</v>
      </c>
      <c r="I2017" s="6"/>
      <c r="J2017" s="6"/>
      <c r="K2017" s="6"/>
      <c r="L2017" s="7" t="s">
        <v>3080</v>
      </c>
      <c r="M2017" s="8">
        <v>1181438</v>
      </c>
      <c r="N2017" s="8" t="str">
        <f t="shared" si="156"/>
        <v>PEN</v>
      </c>
      <c r="O2017" s="13"/>
      <c r="P2017" s="13">
        <v>2142.41</v>
      </c>
      <c r="Q2017" s="3">
        <f t="shared" si="157"/>
        <v>0</v>
      </c>
      <c r="R2017" s="3">
        <f t="shared" si="158"/>
        <v>2142.41</v>
      </c>
      <c r="S2017" s="3">
        <f t="shared" si="159"/>
        <v>75341.580000000031</v>
      </c>
      <c r="T2017" s="24"/>
      <c r="U2017" s="24"/>
      <c r="V2017" s="67"/>
      <c r="W2017" s="25">
        <f>IFERROR(VLOOKUP(BCP_Soles[[#This Row],[DESTINATARIO]],CHOOSE({1,2},Clientes_Proveedores[Razon Social],Clientes_Proveedores[Ruc / Dni]),2,0),"")</f>
        <v>20302891452</v>
      </c>
      <c r="X2017" s="25" t="s">
        <v>192</v>
      </c>
      <c r="Y2017" s="25"/>
      <c r="Z2017" s="25"/>
      <c r="AA2017" s="99"/>
      <c r="AB2017" s="3" t="str">
        <f>IF(BCP_Soles[[#This Row],[FECHA]]&gt;0,TEXT(BCP_Soles[[#This Row],[FECHA]],"mmmm"),0)</f>
        <v>Junio</v>
      </c>
    </row>
    <row r="2018" spans="2:28" ht="24" x14ac:dyDescent="0.3">
      <c r="B2018" s="2">
        <f>IF(BCP_Soles[[#This Row],[TIPO DE R.]]="R",COUNTIFS($D$4:$D2017,"R")+1,"")</f>
        <v>1558</v>
      </c>
      <c r="C2018" s="19" t="str">
        <f t="shared" si="155"/>
        <v>B-BCP - Soles</v>
      </c>
      <c r="D2018" s="3" t="s">
        <v>1074</v>
      </c>
      <c r="E2018" s="14">
        <v>45819</v>
      </c>
      <c r="F2018" s="5" t="s">
        <v>1075</v>
      </c>
      <c r="G2018" s="5" t="s">
        <v>1079</v>
      </c>
      <c r="H2018" s="6" t="s">
        <v>637</v>
      </c>
      <c r="I2018" s="6" t="s">
        <v>14</v>
      </c>
      <c r="J2018" s="6"/>
      <c r="K2018" s="6"/>
      <c r="L2018" s="7" t="s">
        <v>1123</v>
      </c>
      <c r="M2018" s="8">
        <v>180953</v>
      </c>
      <c r="N2018" s="8" t="str">
        <f t="shared" si="156"/>
        <v>PEN</v>
      </c>
      <c r="O2018" s="13"/>
      <c r="P2018" s="13">
        <v>4387.0200000000004</v>
      </c>
      <c r="Q2018" s="3">
        <f t="shared" si="157"/>
        <v>0</v>
      </c>
      <c r="R2018" s="3">
        <f t="shared" si="158"/>
        <v>4387.0200000000004</v>
      </c>
      <c r="S2018" s="3">
        <f t="shared" si="159"/>
        <v>70954.560000000027</v>
      </c>
      <c r="T2018" s="24" t="s">
        <v>1081</v>
      </c>
      <c r="U2018" s="24" t="s">
        <v>1081</v>
      </c>
      <c r="V2018" s="67"/>
      <c r="W2018" s="25">
        <f>IFERROR(VLOOKUP(BCP_Soles[[#This Row],[DESTINATARIO]],CHOOSE({1,2},Clientes_Proveedores[Razon Social],Clientes_Proveedores[Ruc / Dni]),2,0),"")</f>
        <v>20127765279</v>
      </c>
      <c r="X2018" s="25" t="s">
        <v>1124</v>
      </c>
      <c r="Y2018" s="25" t="s">
        <v>3081</v>
      </c>
      <c r="Z2018" s="25"/>
      <c r="AA2018" s="99"/>
      <c r="AB2018" s="3" t="str">
        <f>IF(BCP_Soles[[#This Row],[FECHA]]&gt;0,TEXT(BCP_Soles[[#This Row],[FECHA]],"mmmm"),0)</f>
        <v>Junio</v>
      </c>
    </row>
    <row r="2019" spans="2:28" ht="24" x14ac:dyDescent="0.3">
      <c r="B2019" s="2">
        <f>IF(BCP_Soles[[#This Row],[TIPO DE R.]]="R",COUNTIFS($D$4:$D2018,"R")+1,"")</f>
        <v>1559</v>
      </c>
      <c r="C2019" s="19" t="str">
        <f t="shared" si="155"/>
        <v>B-BCP - Soles</v>
      </c>
      <c r="D2019" s="3" t="s">
        <v>1074</v>
      </c>
      <c r="E2019" s="14">
        <v>45819</v>
      </c>
      <c r="F2019" s="5" t="s">
        <v>1075</v>
      </c>
      <c r="G2019" s="5" t="s">
        <v>1079</v>
      </c>
      <c r="H2019" s="6" t="s">
        <v>647</v>
      </c>
      <c r="I2019" s="6" t="s">
        <v>52</v>
      </c>
      <c r="J2019" s="6" t="s">
        <v>1303</v>
      </c>
      <c r="K2019" s="6">
        <v>70410182</v>
      </c>
      <c r="L2019" s="7" t="s">
        <v>3082</v>
      </c>
      <c r="M2019" s="8">
        <v>4184001</v>
      </c>
      <c r="N2019" s="8" t="str">
        <f t="shared" si="156"/>
        <v>PEN</v>
      </c>
      <c r="O2019" s="13"/>
      <c r="P2019" s="13">
        <v>79.900000000000006</v>
      </c>
      <c r="Q2019" s="3">
        <f t="shared" si="157"/>
        <v>0</v>
      </c>
      <c r="R2019" s="3">
        <f t="shared" si="158"/>
        <v>79.900000000000006</v>
      </c>
      <c r="S2019" s="3">
        <f t="shared" si="159"/>
        <v>70874.660000000033</v>
      </c>
      <c r="T2019" s="24" t="s">
        <v>1081</v>
      </c>
      <c r="U2019" s="24"/>
      <c r="V2019" s="67"/>
      <c r="W2019" s="25">
        <f>IFERROR(VLOOKUP(BCP_Soles[[#This Row],[DESTINATARIO]],CHOOSE({1,2},Clientes_Proveedores[Razon Social],Clientes_Proveedores[Ruc / Dni]),2,0),"")</f>
        <v>20100017491</v>
      </c>
      <c r="X2019" s="25" t="s">
        <v>1305</v>
      </c>
      <c r="Y2019" s="25" t="s">
        <v>3083</v>
      </c>
      <c r="Z2019" s="25"/>
      <c r="AA2019" s="99"/>
      <c r="AB2019" s="3" t="str">
        <f>IF(BCP_Soles[[#This Row],[FECHA]]&gt;0,TEXT(BCP_Soles[[#This Row],[FECHA]],"mmmm"),0)</f>
        <v>Junio</v>
      </c>
    </row>
    <row r="2020" spans="2:28" ht="24" x14ac:dyDescent="0.3">
      <c r="B2020" s="2">
        <f>IF(BCP_Soles[[#This Row],[TIPO DE R.]]="R",COUNTIFS($D$4:$D2019,"R")+1,"")</f>
        <v>1560</v>
      </c>
      <c r="C2020" s="19" t="str">
        <f t="shared" si="155"/>
        <v>B-BCP - Soles</v>
      </c>
      <c r="D2020" s="3" t="s">
        <v>1074</v>
      </c>
      <c r="E2020" s="14">
        <v>45819</v>
      </c>
      <c r="F2020" s="5" t="s">
        <v>1075</v>
      </c>
      <c r="G2020" s="5" t="s">
        <v>1079</v>
      </c>
      <c r="H2020" s="6" t="s">
        <v>1010</v>
      </c>
      <c r="I2020" s="6" t="s">
        <v>87</v>
      </c>
      <c r="J2020" s="6">
        <v>1</v>
      </c>
      <c r="K2020" s="6">
        <v>332025</v>
      </c>
      <c r="L2020" s="7" t="s">
        <v>3084</v>
      </c>
      <c r="M2020" s="8">
        <v>1183905</v>
      </c>
      <c r="N2020" s="8" t="str">
        <f t="shared" si="156"/>
        <v>PEN</v>
      </c>
      <c r="O2020" s="13"/>
      <c r="P2020" s="13">
        <v>8.6999999999999993</v>
      </c>
      <c r="Q2020" s="3">
        <f t="shared" si="157"/>
        <v>0</v>
      </c>
      <c r="R2020" s="3">
        <f t="shared" si="158"/>
        <v>8.6999999999999993</v>
      </c>
      <c r="S2020" s="3">
        <f t="shared" si="159"/>
        <v>70865.960000000036</v>
      </c>
      <c r="T2020" s="24" t="s">
        <v>1081</v>
      </c>
      <c r="U2020" s="24"/>
      <c r="V2020" s="67"/>
      <c r="W2020" s="25">
        <f>IFERROR(VLOOKUP(BCP_Soles[[#This Row],[DESTINATARIO]],CHOOSE({1,2},Clientes_Proveedores[Razon Social],Clientes_Proveedores[Ruc / Dni]),2,0),"")</f>
        <v>72378581</v>
      </c>
      <c r="X2020" s="25" t="s">
        <v>2627</v>
      </c>
      <c r="Y2020" s="25" t="s">
        <v>2628</v>
      </c>
      <c r="Z2020" s="25"/>
      <c r="AA2020" s="99"/>
      <c r="AB2020" s="3" t="str">
        <f>IF(BCP_Soles[[#This Row],[FECHA]]&gt;0,TEXT(BCP_Soles[[#This Row],[FECHA]],"mmmm"),0)</f>
        <v>Junio</v>
      </c>
    </row>
    <row r="2021" spans="2:28" ht="24" x14ac:dyDescent="0.3">
      <c r="B2021" s="2">
        <f>IF(BCP_Soles[[#This Row],[TIPO DE R.]]="R",COUNTIFS($D$4:$D2020,"R")+1,"")</f>
        <v>1561</v>
      </c>
      <c r="C2021" s="19" t="str">
        <f t="shared" si="155"/>
        <v>B-BCP - Soles</v>
      </c>
      <c r="D2021" s="3" t="s">
        <v>1074</v>
      </c>
      <c r="E2021" s="14">
        <v>45819</v>
      </c>
      <c r="F2021" s="5" t="s">
        <v>1075</v>
      </c>
      <c r="G2021" s="5" t="s">
        <v>1079</v>
      </c>
      <c r="H2021" s="6" t="s">
        <v>374</v>
      </c>
      <c r="I2021" s="6" t="s">
        <v>14</v>
      </c>
      <c r="J2021" s="6" t="s">
        <v>1119</v>
      </c>
      <c r="K2021" s="6">
        <v>2120</v>
      </c>
      <c r="L2021" s="7" t="s">
        <v>3085</v>
      </c>
      <c r="M2021" s="8">
        <v>1182919</v>
      </c>
      <c r="N2021" s="8" t="str">
        <f t="shared" si="156"/>
        <v>PEN</v>
      </c>
      <c r="O2021" s="13"/>
      <c r="P2021" s="13">
        <v>600</v>
      </c>
      <c r="Q2021" s="3">
        <f t="shared" si="157"/>
        <v>0</v>
      </c>
      <c r="R2021" s="3">
        <f t="shared" si="158"/>
        <v>600</v>
      </c>
      <c r="S2021" s="3">
        <f t="shared" si="159"/>
        <v>70265.960000000036</v>
      </c>
      <c r="T2021" s="24" t="s">
        <v>1081</v>
      </c>
      <c r="U2021" s="24" t="s">
        <v>1081</v>
      </c>
      <c r="V2021" s="67"/>
      <c r="W2021" s="25">
        <f>IFERROR(VLOOKUP(BCP_Soles[[#This Row],[DESTINATARIO]],CHOOSE({1,2},Clientes_Proveedores[Razon Social],Clientes_Proveedores[Ruc / Dni]),2,0),"")</f>
        <v>20558627299</v>
      </c>
      <c r="X2021" s="25" t="s">
        <v>3086</v>
      </c>
      <c r="Y2021" s="25" t="s">
        <v>3087</v>
      </c>
      <c r="Z2021" s="25"/>
      <c r="AA2021" s="99"/>
      <c r="AB2021" s="3" t="str">
        <f>IF(BCP_Soles[[#This Row],[FECHA]]&gt;0,TEXT(BCP_Soles[[#This Row],[FECHA]],"mmmm"),0)</f>
        <v>Junio</v>
      </c>
    </row>
    <row r="2022" spans="2:28" x14ac:dyDescent="0.3">
      <c r="B2022" s="2">
        <f>IF(BCP_Soles[[#This Row],[TIPO DE R.]]="R",COUNTIFS($D$4:$D2021,"R")+1,"")</f>
        <v>1562</v>
      </c>
      <c r="C2022" s="19" t="str">
        <f t="shared" si="155"/>
        <v>B-BCP - Soles</v>
      </c>
      <c r="D2022" s="3" t="s">
        <v>1074</v>
      </c>
      <c r="E2022" s="14">
        <v>45819</v>
      </c>
      <c r="F2022" s="5" t="s">
        <v>1075</v>
      </c>
      <c r="G2022" s="5" t="s">
        <v>1079</v>
      </c>
      <c r="H2022" s="6"/>
      <c r="I2022" s="6"/>
      <c r="J2022" s="6"/>
      <c r="K2022" s="6"/>
      <c r="L2022" s="7" t="s">
        <v>3088</v>
      </c>
      <c r="M2022" s="8">
        <v>1003076</v>
      </c>
      <c r="N2022" s="8" t="str">
        <f t="shared" si="156"/>
        <v>PEN</v>
      </c>
      <c r="O2022" s="13"/>
      <c r="P2022" s="13">
        <v>1592</v>
      </c>
      <c r="Q2022" s="3">
        <f t="shared" si="157"/>
        <v>0</v>
      </c>
      <c r="R2022" s="3">
        <f t="shared" si="158"/>
        <v>1592</v>
      </c>
      <c r="S2022" s="3">
        <f t="shared" si="159"/>
        <v>68673.960000000036</v>
      </c>
      <c r="T2022" s="24"/>
      <c r="U2022" s="24"/>
      <c r="V2022" s="67"/>
      <c r="W2022" s="25" t="str">
        <f>IFERROR(VLOOKUP(BCP_Soles[[#This Row],[DESTINATARIO]],CHOOSE({1,2},Clientes_Proveedores[Razon Social],Clientes_Proveedores[Ruc / Dni]),2,0),"")</f>
        <v/>
      </c>
      <c r="X2022" s="25"/>
      <c r="Y2022" s="25"/>
      <c r="Z2022" s="25"/>
      <c r="AA2022" s="99"/>
      <c r="AB2022" s="3" t="str">
        <f>IF(BCP_Soles[[#This Row],[FECHA]]&gt;0,TEXT(BCP_Soles[[#This Row],[FECHA]],"mmmm"),0)</f>
        <v>Junio</v>
      </c>
    </row>
    <row r="2023" spans="2:28" x14ac:dyDescent="0.3">
      <c r="B2023" s="2">
        <f>IF(BCP_Soles[[#This Row],[TIPO DE R.]]="R",COUNTIFS($D$4:$D2022,"R")+1,"")</f>
        <v>1563</v>
      </c>
      <c r="C2023" s="19" t="str">
        <f t="shared" si="155"/>
        <v>B-BCP - Soles</v>
      </c>
      <c r="D2023" s="3" t="s">
        <v>1074</v>
      </c>
      <c r="E2023" s="14">
        <v>45819</v>
      </c>
      <c r="F2023" s="5" t="s">
        <v>1078</v>
      </c>
      <c r="G2023" s="5" t="s">
        <v>1079</v>
      </c>
      <c r="H2023" s="6"/>
      <c r="I2023" s="6"/>
      <c r="J2023" s="6"/>
      <c r="K2023" s="6"/>
      <c r="L2023" s="7" t="s">
        <v>2868</v>
      </c>
      <c r="M2023" s="8"/>
      <c r="N2023" s="8" t="str">
        <f t="shared" si="156"/>
        <v>PEN</v>
      </c>
      <c r="O2023" s="13"/>
      <c r="P2023" s="13">
        <v>1.3</v>
      </c>
      <c r="Q2023" s="3">
        <f t="shared" si="157"/>
        <v>0</v>
      </c>
      <c r="R2023" s="3">
        <f t="shared" si="158"/>
        <v>1.3</v>
      </c>
      <c r="S2023" s="3">
        <f t="shared" si="159"/>
        <v>68672.660000000033</v>
      </c>
      <c r="T2023" s="24"/>
      <c r="U2023" s="24"/>
      <c r="V2023" s="67"/>
      <c r="W2023" s="25" t="str">
        <f>IFERROR(VLOOKUP(BCP_Soles[[#This Row],[DESTINATARIO]],CHOOSE({1,2},Clientes_Proveedores[Razon Social],Clientes_Proveedores[Ruc / Dni]),2,0),"")</f>
        <v/>
      </c>
      <c r="X2023" s="25"/>
      <c r="Y2023" s="25"/>
      <c r="Z2023" s="25"/>
      <c r="AA2023" s="99"/>
      <c r="AB2023" s="3" t="str">
        <f>IF(BCP_Soles[[#This Row],[FECHA]]&gt;0,TEXT(BCP_Soles[[#This Row],[FECHA]],"mmmm"),0)</f>
        <v>Junio</v>
      </c>
    </row>
    <row r="2024" spans="2:28" ht="24" x14ac:dyDescent="0.3">
      <c r="B2024" s="2">
        <f>IF(BCP_Soles[[#This Row],[TIPO DE R.]]="R",COUNTIFS($D$4:$D2023,"R")+1,"")</f>
        <v>1564</v>
      </c>
      <c r="C2024" s="19" t="str">
        <f t="shared" si="155"/>
        <v>B-BCP - Soles</v>
      </c>
      <c r="D2024" s="3" t="s">
        <v>1074</v>
      </c>
      <c r="E2024" s="14">
        <v>45819</v>
      </c>
      <c r="F2024" s="5" t="s">
        <v>1078</v>
      </c>
      <c r="G2024" s="5" t="s">
        <v>1079</v>
      </c>
      <c r="H2024" s="6" t="s">
        <v>1001</v>
      </c>
      <c r="I2024" s="6"/>
      <c r="J2024" s="6"/>
      <c r="K2024" s="6"/>
      <c r="L2024" s="7" t="s">
        <v>1141</v>
      </c>
      <c r="M2024" s="8">
        <v>401</v>
      </c>
      <c r="N2024" s="8" t="str">
        <f t="shared" si="156"/>
        <v>PEN</v>
      </c>
      <c r="O2024" s="13"/>
      <c r="P2024" s="13">
        <v>10</v>
      </c>
      <c r="Q2024" s="3">
        <f t="shared" si="157"/>
        <v>0</v>
      </c>
      <c r="R2024" s="3">
        <f t="shared" si="158"/>
        <v>10</v>
      </c>
      <c r="S2024" s="3">
        <f t="shared" si="159"/>
        <v>68662.660000000033</v>
      </c>
      <c r="T2024" s="24"/>
      <c r="U2024" s="24"/>
      <c r="V2024" s="67"/>
      <c r="W2024" s="25">
        <f>IFERROR(VLOOKUP(BCP_Soles[[#This Row],[DESTINATARIO]],CHOOSE({1,2},Clientes_Proveedores[Razon Social],Clientes_Proveedores[Ruc / Dni]),2,0),"")</f>
        <v>20100047218</v>
      </c>
      <c r="X2024" s="25" t="s">
        <v>1078</v>
      </c>
      <c r="Y2024" s="25"/>
      <c r="Z2024" s="25"/>
      <c r="AA2024" s="99"/>
      <c r="AB2024" s="3" t="str">
        <f>IF(BCP_Soles[[#This Row],[FECHA]]&gt;0,TEXT(BCP_Soles[[#This Row],[FECHA]],"mmmm"),0)</f>
        <v>Junio</v>
      </c>
    </row>
    <row r="2025" spans="2:28" ht="36" x14ac:dyDescent="0.3">
      <c r="B2025" s="2">
        <f>IF(BCP_Soles[[#This Row],[TIPO DE R.]]="R",COUNTIFS($D$4:$D2024,"R")+1,"")</f>
        <v>1565</v>
      </c>
      <c r="C2025" s="19" t="str">
        <f t="shared" si="155"/>
        <v>B-BCP - Soles</v>
      </c>
      <c r="D2025" s="3" t="s">
        <v>1074</v>
      </c>
      <c r="E2025" s="14">
        <v>45820</v>
      </c>
      <c r="F2025" s="5" t="s">
        <v>497</v>
      </c>
      <c r="G2025" s="5" t="s">
        <v>1087</v>
      </c>
      <c r="H2025" s="6" t="s">
        <v>368</v>
      </c>
      <c r="I2025" s="6"/>
      <c r="J2025" s="6"/>
      <c r="K2025" s="6"/>
      <c r="L2025" s="7" t="s">
        <v>3089</v>
      </c>
      <c r="M2025" s="8">
        <v>6567600</v>
      </c>
      <c r="N2025" s="8" t="str">
        <f t="shared" si="156"/>
        <v>PEN</v>
      </c>
      <c r="O2025" s="13"/>
      <c r="P2025" s="13">
        <v>3257.64</v>
      </c>
      <c r="Q2025" s="3">
        <f t="shared" si="157"/>
        <v>3257.64</v>
      </c>
      <c r="R2025" s="3">
        <f t="shared" si="158"/>
        <v>0</v>
      </c>
      <c r="S2025" s="3">
        <f t="shared" si="159"/>
        <v>71920.300000000032</v>
      </c>
      <c r="T2025" s="24" t="s">
        <v>1081</v>
      </c>
      <c r="U2025" s="24" t="s">
        <v>1081</v>
      </c>
      <c r="V2025" s="67"/>
      <c r="W2025" s="25">
        <f>IFERROR(VLOOKUP(BCP_Soles[[#This Row],[DESTINATARIO]],CHOOSE({1,2},Clientes_Proveedores[Razon Social],Clientes_Proveedores[Ruc / Dni]),2,0),"")</f>
        <v>20558226979</v>
      </c>
      <c r="X2025" s="25" t="s">
        <v>1090</v>
      </c>
      <c r="Y2025" s="25" t="s">
        <v>3090</v>
      </c>
      <c r="Z2025" s="25"/>
      <c r="AA2025" s="99"/>
      <c r="AB2025" s="3" t="str">
        <f>IF(BCP_Soles[[#This Row],[FECHA]]&gt;0,TEXT(BCP_Soles[[#This Row],[FECHA]],"mmmm"),0)</f>
        <v>Junio</v>
      </c>
    </row>
    <row r="2026" spans="2:28" ht="36" x14ac:dyDescent="0.3">
      <c r="B2026" s="2" t="str">
        <f>IF(BCP_Soles[[#This Row],[TIPO DE R.]]="R",COUNTIFS($D$4:$D2025,"R")+1,"")</f>
        <v/>
      </c>
      <c r="C2026" s="19" t="str">
        <f t="shared" si="155"/>
        <v>B-BCP - Soles</v>
      </c>
      <c r="D2026" s="3" t="s">
        <v>1101</v>
      </c>
      <c r="E2026" s="14">
        <v>45820</v>
      </c>
      <c r="F2026" s="5" t="s">
        <v>497</v>
      </c>
      <c r="G2026" s="5"/>
      <c r="H2026" s="6" t="s">
        <v>368</v>
      </c>
      <c r="I2026" s="6" t="s">
        <v>14</v>
      </c>
      <c r="J2026" s="6" t="s">
        <v>3091</v>
      </c>
      <c r="K2026" s="6">
        <v>28</v>
      </c>
      <c r="L2026" s="7" t="s">
        <v>3089</v>
      </c>
      <c r="M2026" s="8">
        <v>6567600</v>
      </c>
      <c r="N2026" s="8" t="str">
        <f t="shared" si="156"/>
        <v>PEN</v>
      </c>
      <c r="O2026" s="13">
        <v>810.44</v>
      </c>
      <c r="P2026" s="13"/>
      <c r="Q2026" s="3">
        <f t="shared" si="157"/>
        <v>0</v>
      </c>
      <c r="R2026" s="3">
        <f t="shared" si="158"/>
        <v>0</v>
      </c>
      <c r="S2026" s="3">
        <f t="shared" si="159"/>
        <v>71920.300000000032</v>
      </c>
      <c r="T2026" s="24"/>
      <c r="U2026" s="24" t="s">
        <v>1081</v>
      </c>
      <c r="V2026" s="67"/>
      <c r="W2026" s="25">
        <f>IFERROR(VLOOKUP(BCP_Soles[[#This Row],[DESTINATARIO]],CHOOSE({1,2},Clientes_Proveedores[Razon Social],Clientes_Proveedores[Ruc / Dni]),2,0),"")</f>
        <v>20558226979</v>
      </c>
      <c r="X2026" s="25"/>
      <c r="Y2026" s="25"/>
      <c r="Z2026" s="25"/>
      <c r="AA2026" s="99"/>
      <c r="AB2026" s="3" t="str">
        <f>IF(BCP_Soles[[#This Row],[FECHA]]&gt;0,TEXT(BCP_Soles[[#This Row],[FECHA]],"mmmm"),0)</f>
        <v>Junio</v>
      </c>
    </row>
    <row r="2027" spans="2:28" ht="36" x14ac:dyDescent="0.3">
      <c r="B2027" s="2" t="str">
        <f>IF(BCP_Soles[[#This Row],[TIPO DE R.]]="R",COUNTIFS($D$4:$D2026,"R")+1,"")</f>
        <v/>
      </c>
      <c r="C2027" s="19" t="str">
        <f t="shared" si="155"/>
        <v>B-BCP - Soles</v>
      </c>
      <c r="D2027" s="3" t="s">
        <v>1101</v>
      </c>
      <c r="E2027" s="14">
        <v>45820</v>
      </c>
      <c r="F2027" s="5" t="s">
        <v>497</v>
      </c>
      <c r="G2027" s="5"/>
      <c r="H2027" s="6" t="s">
        <v>368</v>
      </c>
      <c r="I2027" s="6" t="s">
        <v>14</v>
      </c>
      <c r="J2027" s="6" t="s">
        <v>3091</v>
      </c>
      <c r="K2027" s="6">
        <v>30</v>
      </c>
      <c r="L2027" s="7" t="s">
        <v>3089</v>
      </c>
      <c r="M2027" s="8">
        <v>6567600</v>
      </c>
      <c r="N2027" s="8" t="str">
        <f t="shared" si="156"/>
        <v>PEN</v>
      </c>
      <c r="O2027" s="13">
        <v>1018.88</v>
      </c>
      <c r="P2027" s="13"/>
      <c r="Q2027" s="3">
        <f t="shared" si="157"/>
        <v>0</v>
      </c>
      <c r="R2027" s="3">
        <f t="shared" si="158"/>
        <v>0</v>
      </c>
      <c r="S2027" s="3">
        <f t="shared" si="159"/>
        <v>71920.300000000032</v>
      </c>
      <c r="T2027" s="24"/>
      <c r="U2027" s="24" t="s">
        <v>1081</v>
      </c>
      <c r="V2027" s="67"/>
      <c r="W2027" s="25">
        <f>IFERROR(VLOOKUP(BCP_Soles[[#This Row],[DESTINATARIO]],CHOOSE({1,2},Clientes_Proveedores[Razon Social],Clientes_Proveedores[Ruc / Dni]),2,0),"")</f>
        <v>20558226979</v>
      </c>
      <c r="X2027" s="25"/>
      <c r="Y2027" s="25"/>
      <c r="Z2027" s="25"/>
      <c r="AA2027" s="99"/>
      <c r="AB2027" s="3" t="str">
        <f>IF(BCP_Soles[[#This Row],[FECHA]]&gt;0,TEXT(BCP_Soles[[#This Row],[FECHA]],"mmmm"),0)</f>
        <v>Junio</v>
      </c>
    </row>
    <row r="2028" spans="2:28" ht="36" x14ac:dyDescent="0.3">
      <c r="B2028" s="2" t="str">
        <f>IF(BCP_Soles[[#This Row],[TIPO DE R.]]="R",COUNTIFS($D$4:$D2027,"R")+1,"")</f>
        <v/>
      </c>
      <c r="C2028" s="19" t="str">
        <f t="shared" si="155"/>
        <v>B-BCP - Soles</v>
      </c>
      <c r="D2028" s="3" t="s">
        <v>1101</v>
      </c>
      <c r="E2028" s="14">
        <v>45820</v>
      </c>
      <c r="F2028" s="5" t="s">
        <v>497</v>
      </c>
      <c r="G2028" s="5"/>
      <c r="H2028" s="6" t="s">
        <v>368</v>
      </c>
      <c r="I2028" s="6" t="s">
        <v>14</v>
      </c>
      <c r="J2028" s="6" t="s">
        <v>3091</v>
      </c>
      <c r="K2028" s="6">
        <v>31</v>
      </c>
      <c r="L2028" s="7" t="s">
        <v>3089</v>
      </c>
      <c r="M2028" s="8">
        <v>6567600</v>
      </c>
      <c r="N2028" s="8" t="str">
        <f t="shared" si="156"/>
        <v>PEN</v>
      </c>
      <c r="O2028" s="13">
        <v>1428.32</v>
      </c>
      <c r="P2028" s="13"/>
      <c r="Q2028" s="3">
        <f t="shared" si="157"/>
        <v>0</v>
      </c>
      <c r="R2028" s="3">
        <f t="shared" si="158"/>
        <v>0</v>
      </c>
      <c r="S2028" s="3">
        <f t="shared" si="159"/>
        <v>71920.300000000032</v>
      </c>
      <c r="T2028" s="24"/>
      <c r="U2028" s="24" t="s">
        <v>1081</v>
      </c>
      <c r="V2028" s="67"/>
      <c r="W2028" s="25">
        <f>IFERROR(VLOOKUP(BCP_Soles[[#This Row],[DESTINATARIO]],CHOOSE({1,2},Clientes_Proveedores[Razon Social],Clientes_Proveedores[Ruc / Dni]),2,0),"")</f>
        <v>20558226979</v>
      </c>
      <c r="X2028" s="25"/>
      <c r="Y2028" s="25"/>
      <c r="Z2028" s="25"/>
      <c r="AA2028" s="99"/>
      <c r="AB2028" s="3" t="str">
        <f>IF(BCP_Soles[[#This Row],[FECHA]]&gt;0,TEXT(BCP_Soles[[#This Row],[FECHA]],"mmmm"),0)</f>
        <v>Junio</v>
      </c>
    </row>
    <row r="2029" spans="2:28" x14ac:dyDescent="0.3">
      <c r="B2029" s="2">
        <f>IF(BCP_Soles[[#This Row],[TIPO DE R.]]="R",COUNTIFS($D$4:$D2028,"R")+1,"")</f>
        <v>1566</v>
      </c>
      <c r="C2029" s="19" t="str">
        <f t="shared" si="155"/>
        <v>B-BCP - Soles</v>
      </c>
      <c r="D2029" s="3" t="s">
        <v>1074</v>
      </c>
      <c r="E2029" s="14">
        <v>45820</v>
      </c>
      <c r="F2029" s="5" t="s">
        <v>139</v>
      </c>
      <c r="G2029" s="5" t="s">
        <v>1087</v>
      </c>
      <c r="H2029" s="6" t="s">
        <v>368</v>
      </c>
      <c r="I2029" s="6" t="s">
        <v>14</v>
      </c>
      <c r="J2029" s="6" t="s">
        <v>1521</v>
      </c>
      <c r="K2029" s="6">
        <v>72</v>
      </c>
      <c r="L2029" s="7" t="s">
        <v>3092</v>
      </c>
      <c r="M2029" s="8">
        <v>11382</v>
      </c>
      <c r="N2029" s="8" t="str">
        <f t="shared" si="156"/>
        <v>PEN</v>
      </c>
      <c r="O2029" s="13"/>
      <c r="P2029" s="13">
        <v>2700.36</v>
      </c>
      <c r="Q2029" s="3">
        <f t="shared" si="157"/>
        <v>2700.36</v>
      </c>
      <c r="R2029" s="3">
        <f t="shared" si="158"/>
        <v>0</v>
      </c>
      <c r="S2029" s="3">
        <f t="shared" si="159"/>
        <v>74620.660000000033</v>
      </c>
      <c r="T2029" s="24" t="s">
        <v>1081</v>
      </c>
      <c r="U2029" s="24" t="s">
        <v>1081</v>
      </c>
      <c r="V2029" s="67"/>
      <c r="W2029" s="25">
        <f>IFERROR(VLOOKUP(BCP_Soles[[#This Row],[DESTINATARIO]],CHOOSE({1,2},Clientes_Proveedores[Razon Social],Clientes_Proveedores[Ruc / Dni]),2,0),"")</f>
        <v>20558226979</v>
      </c>
      <c r="X2029" s="25" t="s">
        <v>1090</v>
      </c>
      <c r="Y2029" s="25" t="s">
        <v>3093</v>
      </c>
      <c r="Z2029" s="25"/>
      <c r="AA2029" s="99"/>
      <c r="AB2029" s="3" t="str">
        <f>IF(BCP_Soles[[#This Row],[FECHA]]&gt;0,TEXT(BCP_Soles[[#This Row],[FECHA]],"mmmm"),0)</f>
        <v>Junio</v>
      </c>
    </row>
    <row r="2030" spans="2:28" ht="24" x14ac:dyDescent="0.3">
      <c r="B2030" s="2">
        <f>IF(BCP_Soles[[#This Row],[TIPO DE R.]]="R",COUNTIFS($D$4:$D2029,"R")+1,"")</f>
        <v>1567</v>
      </c>
      <c r="C2030" s="19" t="str">
        <f t="shared" si="155"/>
        <v>B-BCP - Soles</v>
      </c>
      <c r="D2030" s="3" t="s">
        <v>1074</v>
      </c>
      <c r="E2030" s="14">
        <v>45820</v>
      </c>
      <c r="F2030" s="5" t="s">
        <v>1075</v>
      </c>
      <c r="G2030" s="5" t="s">
        <v>1079</v>
      </c>
      <c r="H2030" s="6" t="s">
        <v>1010</v>
      </c>
      <c r="I2030" s="6" t="s">
        <v>87</v>
      </c>
      <c r="J2030" s="6">
        <v>1</v>
      </c>
      <c r="K2030" s="6">
        <v>412025</v>
      </c>
      <c r="L2030" s="7" t="s">
        <v>3094</v>
      </c>
      <c r="M2030" s="8">
        <v>1114058</v>
      </c>
      <c r="N2030" s="8" t="str">
        <f t="shared" si="156"/>
        <v>PEN</v>
      </c>
      <c r="O2030" s="13"/>
      <c r="P2030" s="13">
        <v>2000</v>
      </c>
      <c r="Q2030" s="3">
        <f t="shared" si="157"/>
        <v>0</v>
      </c>
      <c r="R2030" s="3">
        <f t="shared" si="158"/>
        <v>2000</v>
      </c>
      <c r="S2030" s="3">
        <f t="shared" si="159"/>
        <v>72620.660000000033</v>
      </c>
      <c r="T2030" s="24" t="s">
        <v>1081</v>
      </c>
      <c r="U2030" s="24" t="s">
        <v>1081</v>
      </c>
      <c r="V2030" s="67"/>
      <c r="W2030" s="25">
        <f>IFERROR(VLOOKUP(BCP_Soles[[#This Row],[DESTINATARIO]],CHOOSE({1,2},Clientes_Proveedores[Razon Social],Clientes_Proveedores[Ruc / Dni]),2,0),"")</f>
        <v>72378581</v>
      </c>
      <c r="X2030" s="25" t="s">
        <v>2627</v>
      </c>
      <c r="Y2030" s="25" t="s">
        <v>3095</v>
      </c>
      <c r="Z2030" s="25"/>
      <c r="AA2030" s="99"/>
      <c r="AB2030" s="3" t="str">
        <f>IF(BCP_Soles[[#This Row],[FECHA]]&gt;0,TEXT(BCP_Soles[[#This Row],[FECHA]],"mmmm"),0)</f>
        <v>Junio</v>
      </c>
    </row>
    <row r="2031" spans="2:28" ht="24" x14ac:dyDescent="0.3">
      <c r="B2031" s="2">
        <f>IF(BCP_Soles[[#This Row],[TIPO DE R.]]="R",COUNTIFS($D$4:$D2030,"R")+1,"")</f>
        <v>1568</v>
      </c>
      <c r="C2031" s="19" t="str">
        <f t="shared" si="155"/>
        <v>B-BCP - Soles</v>
      </c>
      <c r="D2031" s="3" t="s">
        <v>1074</v>
      </c>
      <c r="E2031" s="14">
        <v>45820</v>
      </c>
      <c r="F2031" s="5" t="s">
        <v>1075</v>
      </c>
      <c r="G2031" s="5" t="s">
        <v>1079</v>
      </c>
      <c r="H2031" s="6"/>
      <c r="I2031" s="6"/>
      <c r="J2031" s="6"/>
      <c r="K2031" s="6"/>
      <c r="L2031" s="7" t="s">
        <v>3096</v>
      </c>
      <c r="M2031" s="8">
        <v>1114542</v>
      </c>
      <c r="N2031" s="8" t="str">
        <f t="shared" si="156"/>
        <v>PEN</v>
      </c>
      <c r="O2031" s="13"/>
      <c r="P2031" s="13">
        <v>654</v>
      </c>
      <c r="Q2031" s="3">
        <f t="shared" si="157"/>
        <v>0</v>
      </c>
      <c r="R2031" s="3">
        <f t="shared" si="158"/>
        <v>654</v>
      </c>
      <c r="S2031" s="3">
        <f t="shared" si="159"/>
        <v>71966.660000000033</v>
      </c>
      <c r="T2031" s="24" t="s">
        <v>1081</v>
      </c>
      <c r="U2031" s="24" t="s">
        <v>1081</v>
      </c>
      <c r="V2031" s="67"/>
      <c r="W2031" s="25" t="str">
        <f>IFERROR(VLOOKUP(BCP_Soles[[#This Row],[DESTINATARIO]],CHOOSE({1,2},Clientes_Proveedores[Razon Social],Clientes_Proveedores[Ruc / Dni]),2,0),"")</f>
        <v/>
      </c>
      <c r="X2031" s="25" t="s">
        <v>664</v>
      </c>
      <c r="Y2031" s="25" t="s">
        <v>3097</v>
      </c>
      <c r="Z2031" s="25"/>
      <c r="AA2031" s="99"/>
      <c r="AB2031" s="3" t="str">
        <f>IF(BCP_Soles[[#This Row],[FECHA]]&gt;0,TEXT(BCP_Soles[[#This Row],[FECHA]],"mmmm"),0)</f>
        <v>Junio</v>
      </c>
    </row>
    <row r="2032" spans="2:28" ht="24" x14ac:dyDescent="0.3">
      <c r="B2032" s="2">
        <f>IF(BCP_Soles[[#This Row],[TIPO DE R.]]="R",COUNTIFS($D$4:$D2031,"R")+1,"")</f>
        <v>1569</v>
      </c>
      <c r="C2032" s="19" t="str">
        <f t="shared" si="155"/>
        <v>B-BCP - Soles</v>
      </c>
      <c r="D2032" s="3" t="s">
        <v>1074</v>
      </c>
      <c r="E2032" s="14">
        <v>45820</v>
      </c>
      <c r="F2032" s="5" t="s">
        <v>1075</v>
      </c>
      <c r="G2032" s="5" t="s">
        <v>1079</v>
      </c>
      <c r="H2032" s="6" t="s">
        <v>681</v>
      </c>
      <c r="I2032" s="6" t="s">
        <v>14</v>
      </c>
      <c r="J2032" s="6" t="s">
        <v>1121</v>
      </c>
      <c r="K2032" s="6">
        <v>650</v>
      </c>
      <c r="L2032" s="7" t="s">
        <v>3098</v>
      </c>
      <c r="M2032" s="8">
        <v>1112126</v>
      </c>
      <c r="N2032" s="8" t="str">
        <f t="shared" si="156"/>
        <v>PEN</v>
      </c>
      <c r="O2032" s="13"/>
      <c r="P2032" s="13">
        <v>667.7</v>
      </c>
      <c r="Q2032" s="3">
        <f t="shared" si="157"/>
        <v>0</v>
      </c>
      <c r="R2032" s="3">
        <f t="shared" si="158"/>
        <v>667.7</v>
      </c>
      <c r="S2032" s="3">
        <f t="shared" si="159"/>
        <v>71298.960000000036</v>
      </c>
      <c r="T2032" s="24" t="s">
        <v>1081</v>
      </c>
      <c r="U2032" s="24" t="s">
        <v>1081</v>
      </c>
      <c r="V2032" s="67"/>
      <c r="W2032" s="25">
        <f>IFERROR(VLOOKUP(BCP_Soles[[#This Row],[DESTINATARIO]],CHOOSE({1,2},Clientes_Proveedores[Razon Social],Clientes_Proveedores[Ruc / Dni]),2,0),"")</f>
        <v>20604615594</v>
      </c>
      <c r="X2032" s="25" t="s">
        <v>3099</v>
      </c>
      <c r="Y2032" s="25" t="s">
        <v>3100</v>
      </c>
      <c r="Z2032" s="25"/>
      <c r="AA2032" s="99"/>
      <c r="AB2032" s="3" t="str">
        <f>IF(BCP_Soles[[#This Row],[FECHA]]&gt;0,TEXT(BCP_Soles[[#This Row],[FECHA]],"mmmm"),0)</f>
        <v>Junio</v>
      </c>
    </row>
    <row r="2033" spans="2:28" ht="24" x14ac:dyDescent="0.3">
      <c r="B2033" s="2">
        <f>IF(BCP_Soles[[#This Row],[TIPO DE R.]]="R",COUNTIFS($D$4:$D2032,"R")+1,"")</f>
        <v>1570</v>
      </c>
      <c r="C2033" s="19" t="str">
        <f t="shared" si="155"/>
        <v>B-BCP - Soles</v>
      </c>
      <c r="D2033" s="3" t="s">
        <v>1074</v>
      </c>
      <c r="E2033" s="14">
        <v>45820</v>
      </c>
      <c r="F2033" s="5" t="s">
        <v>1075</v>
      </c>
      <c r="G2033" s="5" t="s">
        <v>1079</v>
      </c>
      <c r="H2033" s="6" t="s">
        <v>836</v>
      </c>
      <c r="I2033" s="6"/>
      <c r="J2033" s="6"/>
      <c r="K2033" s="6"/>
      <c r="L2033" s="7" t="s">
        <v>3101</v>
      </c>
      <c r="M2033" s="8">
        <v>1221430</v>
      </c>
      <c r="N2033" s="8" t="str">
        <f t="shared" si="156"/>
        <v>PEN</v>
      </c>
      <c r="O2033" s="13"/>
      <c r="P2033" s="13">
        <v>1960.3</v>
      </c>
      <c r="Q2033" s="3">
        <f t="shared" si="157"/>
        <v>0</v>
      </c>
      <c r="R2033" s="3">
        <f t="shared" si="158"/>
        <v>1960.3</v>
      </c>
      <c r="S2033" s="3">
        <f t="shared" si="159"/>
        <v>69338.660000000033</v>
      </c>
      <c r="T2033" s="24"/>
      <c r="U2033" s="24"/>
      <c r="V2033" s="67"/>
      <c r="W2033" s="25">
        <f>IFERROR(VLOOKUP(BCP_Soles[[#This Row],[DESTINATARIO]],CHOOSE({1,2},Clientes_Proveedores[Razon Social],Clientes_Proveedores[Ruc / Dni]),2,0),"")</f>
        <v>72144092</v>
      </c>
      <c r="X2033" s="25" t="s">
        <v>836</v>
      </c>
      <c r="Y2033" s="25"/>
      <c r="Z2033" s="25"/>
      <c r="AA2033" s="99"/>
      <c r="AB2033" s="3" t="str">
        <f>IF(BCP_Soles[[#This Row],[FECHA]]&gt;0,TEXT(BCP_Soles[[#This Row],[FECHA]],"mmmm"),0)</f>
        <v>Junio</v>
      </c>
    </row>
    <row r="2034" spans="2:28" x14ac:dyDescent="0.3">
      <c r="B2034" s="2">
        <f>IF(BCP_Soles[[#This Row],[TIPO DE R.]]="R",COUNTIFS($D$4:$D2033,"R")+1,"")</f>
        <v>1571</v>
      </c>
      <c r="C2034" s="19" t="str">
        <f t="shared" si="155"/>
        <v>B-BCP - Soles</v>
      </c>
      <c r="D2034" s="3" t="s">
        <v>1074</v>
      </c>
      <c r="E2034" s="14">
        <v>45820</v>
      </c>
      <c r="F2034" s="5" t="s">
        <v>1075</v>
      </c>
      <c r="G2034" s="5" t="s">
        <v>1079</v>
      </c>
      <c r="H2034" s="6"/>
      <c r="I2034" s="6"/>
      <c r="J2034" s="6"/>
      <c r="K2034" s="6"/>
      <c r="L2034" s="7" t="s">
        <v>1277</v>
      </c>
      <c r="M2034" s="8">
        <v>226</v>
      </c>
      <c r="N2034" s="8" t="str">
        <f t="shared" si="156"/>
        <v>PEN</v>
      </c>
      <c r="O2034" s="13"/>
      <c r="P2034" s="13">
        <v>872.69</v>
      </c>
      <c r="Q2034" s="3">
        <f t="shared" si="157"/>
        <v>0</v>
      </c>
      <c r="R2034" s="3">
        <f t="shared" si="158"/>
        <v>872.69</v>
      </c>
      <c r="S2034" s="3">
        <f t="shared" si="159"/>
        <v>68465.97000000003</v>
      </c>
      <c r="T2034" s="24"/>
      <c r="U2034" s="24"/>
      <c r="V2034" s="67"/>
      <c r="W2034" s="25" t="str">
        <f>IFERROR(VLOOKUP(BCP_Soles[[#This Row],[DESTINATARIO]],CHOOSE({1,2},Clientes_Proveedores[Razon Social],Clientes_Proveedores[Ruc / Dni]),2,0),"")</f>
        <v/>
      </c>
      <c r="X2034" s="25"/>
      <c r="Y2034" s="25"/>
      <c r="Z2034" s="25"/>
      <c r="AA2034" s="99"/>
      <c r="AB2034" s="3" t="str">
        <f>IF(BCP_Soles[[#This Row],[FECHA]]&gt;0,TEXT(BCP_Soles[[#This Row],[FECHA]],"mmmm"),0)</f>
        <v>Junio</v>
      </c>
    </row>
    <row r="2035" spans="2:28" x14ac:dyDescent="0.3">
      <c r="B2035" s="2">
        <f>IF(BCP_Soles[[#This Row],[TIPO DE R.]]="R",COUNTIFS($D$4:$D2034,"R")+1,"")</f>
        <v>1572</v>
      </c>
      <c r="C2035" s="19" t="str">
        <f t="shared" si="155"/>
        <v>B-BCP - Soles</v>
      </c>
      <c r="D2035" s="3" t="s">
        <v>1074</v>
      </c>
      <c r="E2035" s="14">
        <v>45820</v>
      </c>
      <c r="F2035" s="5" t="s">
        <v>1075</v>
      </c>
      <c r="G2035" s="5" t="s">
        <v>1079</v>
      </c>
      <c r="H2035" s="6"/>
      <c r="I2035" s="6"/>
      <c r="J2035" s="6"/>
      <c r="K2035" s="6"/>
      <c r="L2035" s="7" t="s">
        <v>1274</v>
      </c>
      <c r="M2035" s="8">
        <v>231</v>
      </c>
      <c r="N2035" s="8" t="str">
        <f t="shared" si="156"/>
        <v>PEN</v>
      </c>
      <c r="O2035" s="13"/>
      <c r="P2035" s="13">
        <v>1885.47</v>
      </c>
      <c r="Q2035" s="3">
        <f t="shared" si="157"/>
        <v>0</v>
      </c>
      <c r="R2035" s="3">
        <f t="shared" si="158"/>
        <v>1885.47</v>
      </c>
      <c r="S2035" s="3">
        <f t="shared" si="159"/>
        <v>66580.500000000029</v>
      </c>
      <c r="T2035" s="24"/>
      <c r="U2035" s="24"/>
      <c r="V2035" s="67"/>
      <c r="W2035" s="25" t="str">
        <f>IFERROR(VLOOKUP(BCP_Soles[[#This Row],[DESTINATARIO]],CHOOSE({1,2},Clientes_Proveedores[Razon Social],Clientes_Proveedores[Ruc / Dni]),2,0),"")</f>
        <v/>
      </c>
      <c r="X2035" s="25"/>
      <c r="Y2035" s="25"/>
      <c r="Z2035" s="25"/>
      <c r="AA2035" s="99"/>
      <c r="AB2035" s="3" t="str">
        <f>IF(BCP_Soles[[#This Row],[FECHA]]&gt;0,TEXT(BCP_Soles[[#This Row],[FECHA]],"mmmm"),0)</f>
        <v>Junio</v>
      </c>
    </row>
    <row r="2036" spans="2:28" x14ac:dyDescent="0.3">
      <c r="B2036" s="2">
        <f>IF(BCP_Soles[[#This Row],[TIPO DE R.]]="R",COUNTIFS($D$4:$D2035,"R")+1,"")</f>
        <v>1573</v>
      </c>
      <c r="C2036" s="19" t="str">
        <f t="shared" si="155"/>
        <v>B-BCP - Soles</v>
      </c>
      <c r="D2036" s="3" t="s">
        <v>1074</v>
      </c>
      <c r="E2036" s="14">
        <v>45820</v>
      </c>
      <c r="F2036" s="5" t="s">
        <v>1075</v>
      </c>
      <c r="G2036" s="5" t="s">
        <v>1079</v>
      </c>
      <c r="H2036" s="6"/>
      <c r="I2036" s="6"/>
      <c r="J2036" s="6"/>
      <c r="K2036" s="6"/>
      <c r="L2036" s="7" t="s">
        <v>1271</v>
      </c>
      <c r="M2036" s="8">
        <v>228</v>
      </c>
      <c r="N2036" s="8" t="str">
        <f t="shared" si="156"/>
        <v>PEN</v>
      </c>
      <c r="O2036" s="13"/>
      <c r="P2036" s="13">
        <v>5134.9799999999996</v>
      </c>
      <c r="Q2036" s="3">
        <f t="shared" si="157"/>
        <v>0</v>
      </c>
      <c r="R2036" s="3">
        <f t="shared" si="158"/>
        <v>5134.9799999999996</v>
      </c>
      <c r="S2036" s="3">
        <f t="shared" si="159"/>
        <v>61445.520000000033</v>
      </c>
      <c r="T2036" s="24"/>
      <c r="U2036" s="24"/>
      <c r="V2036" s="67"/>
      <c r="W2036" s="25" t="str">
        <f>IFERROR(VLOOKUP(BCP_Soles[[#This Row],[DESTINATARIO]],CHOOSE({1,2},Clientes_Proveedores[Razon Social],Clientes_Proveedores[Ruc / Dni]),2,0),"")</f>
        <v/>
      </c>
      <c r="X2036" s="25"/>
      <c r="Y2036" s="25"/>
      <c r="Z2036" s="25"/>
      <c r="AA2036" s="99"/>
      <c r="AB2036" s="3" t="str">
        <f>IF(BCP_Soles[[#This Row],[FECHA]]&gt;0,TEXT(BCP_Soles[[#This Row],[FECHA]],"mmmm"),0)</f>
        <v>Junio</v>
      </c>
    </row>
    <row r="2037" spans="2:28" x14ac:dyDescent="0.3">
      <c r="B2037" s="2">
        <f>IF(BCP_Soles[[#This Row],[TIPO DE R.]]="R",COUNTIFS($D$4:$D2036,"R")+1,"")</f>
        <v>1574</v>
      </c>
      <c r="C2037" s="19" t="str">
        <f t="shared" si="155"/>
        <v>B-BCP - Soles</v>
      </c>
      <c r="D2037" s="3" t="s">
        <v>1074</v>
      </c>
      <c r="E2037" s="14">
        <v>45820</v>
      </c>
      <c r="F2037" s="5" t="s">
        <v>1075</v>
      </c>
      <c r="G2037" s="5" t="s">
        <v>1079</v>
      </c>
      <c r="H2037" s="6"/>
      <c r="I2037" s="6"/>
      <c r="J2037" s="6"/>
      <c r="K2037" s="6"/>
      <c r="L2037" s="7" t="s">
        <v>1279</v>
      </c>
      <c r="M2037" s="8">
        <v>232</v>
      </c>
      <c r="N2037" s="8" t="str">
        <f t="shared" si="156"/>
        <v>PEN</v>
      </c>
      <c r="O2037" s="13"/>
      <c r="P2037" s="13">
        <v>209.63</v>
      </c>
      <c r="Q2037" s="3">
        <f t="shared" si="157"/>
        <v>0</v>
      </c>
      <c r="R2037" s="3">
        <f t="shared" si="158"/>
        <v>209.63</v>
      </c>
      <c r="S2037" s="3">
        <f t="shared" si="159"/>
        <v>61235.890000000036</v>
      </c>
      <c r="T2037" s="24"/>
      <c r="U2037" s="24"/>
      <c r="V2037" s="67"/>
      <c r="W2037" s="25" t="str">
        <f>IFERROR(VLOOKUP(BCP_Soles[[#This Row],[DESTINATARIO]],CHOOSE({1,2},Clientes_Proveedores[Razon Social],Clientes_Proveedores[Ruc / Dni]),2,0),"")</f>
        <v/>
      </c>
      <c r="X2037" s="25"/>
      <c r="Y2037" s="25"/>
      <c r="Z2037" s="25"/>
      <c r="AA2037" s="99"/>
      <c r="AB2037" s="3" t="str">
        <f>IF(BCP_Soles[[#This Row],[FECHA]]&gt;0,TEXT(BCP_Soles[[#This Row],[FECHA]],"mmmm"),0)</f>
        <v>Junio</v>
      </c>
    </row>
    <row r="2038" spans="2:28" x14ac:dyDescent="0.3">
      <c r="B2038" s="2">
        <f>IF(BCP_Soles[[#This Row],[TIPO DE R.]]="R",COUNTIFS($D$4:$D2037,"R")+1,"")</f>
        <v>1575</v>
      </c>
      <c r="C2038" s="19" t="str">
        <f t="shared" si="155"/>
        <v>B-BCP - Soles</v>
      </c>
      <c r="D2038" s="3" t="s">
        <v>1074</v>
      </c>
      <c r="E2038" s="14">
        <v>45820</v>
      </c>
      <c r="F2038" s="5" t="s">
        <v>1078</v>
      </c>
      <c r="G2038" s="5" t="s">
        <v>1079</v>
      </c>
      <c r="H2038" s="6"/>
      <c r="I2038" s="6"/>
      <c r="J2038" s="6"/>
      <c r="K2038" s="6"/>
      <c r="L2038" s="7" t="s">
        <v>2868</v>
      </c>
      <c r="M2038" s="8"/>
      <c r="N2038" s="8" t="str">
        <f t="shared" si="156"/>
        <v>PEN</v>
      </c>
      <c r="O2038" s="13"/>
      <c r="P2038" s="13">
        <v>0.7</v>
      </c>
      <c r="Q2038" s="3">
        <f t="shared" si="157"/>
        <v>0</v>
      </c>
      <c r="R2038" s="3">
        <f t="shared" si="158"/>
        <v>0.7</v>
      </c>
      <c r="S2038" s="3">
        <f t="shared" si="159"/>
        <v>61235.190000000039</v>
      </c>
      <c r="T2038" s="24"/>
      <c r="U2038" s="24"/>
      <c r="V2038" s="67"/>
      <c r="W2038" s="25" t="str">
        <f>IFERROR(VLOOKUP(BCP_Soles[[#This Row],[DESTINATARIO]],CHOOSE({1,2},Clientes_Proveedores[Razon Social],Clientes_Proveedores[Ruc / Dni]),2,0),"")</f>
        <v/>
      </c>
      <c r="X2038" s="25"/>
      <c r="Y2038" s="25"/>
      <c r="Z2038" s="25"/>
      <c r="AA2038" s="99"/>
      <c r="AB2038" s="3" t="str">
        <f>IF(BCP_Soles[[#This Row],[FECHA]]&gt;0,TEXT(BCP_Soles[[#This Row],[FECHA]],"mmmm"),0)</f>
        <v>Junio</v>
      </c>
    </row>
    <row r="2039" spans="2:28" x14ac:dyDescent="0.3">
      <c r="B2039" s="2">
        <f>IF(BCP_Soles[[#This Row],[TIPO DE R.]]="R",COUNTIFS($D$4:$D2038,"R")+1,"")</f>
        <v>1576</v>
      </c>
      <c r="C2039" s="19" t="str">
        <f t="shared" si="155"/>
        <v>B-BCP - Soles</v>
      </c>
      <c r="D2039" s="3" t="s">
        <v>1074</v>
      </c>
      <c r="E2039" s="14">
        <v>45821</v>
      </c>
      <c r="F2039" s="5" t="s">
        <v>319</v>
      </c>
      <c r="G2039" s="5" t="s">
        <v>1087</v>
      </c>
      <c r="H2039" s="6" t="s">
        <v>368</v>
      </c>
      <c r="I2039" s="6" t="s">
        <v>14</v>
      </c>
      <c r="J2039" s="6" t="s">
        <v>1521</v>
      </c>
      <c r="K2039" s="6">
        <v>102</v>
      </c>
      <c r="L2039" s="7" t="s">
        <v>1127</v>
      </c>
      <c r="M2039" s="8">
        <v>11260</v>
      </c>
      <c r="N2039" s="8" t="str">
        <f t="shared" si="156"/>
        <v>PEN</v>
      </c>
      <c r="O2039" s="13"/>
      <c r="P2039" s="13">
        <v>998.74</v>
      </c>
      <c r="Q2039" s="3">
        <f t="shared" si="157"/>
        <v>998.74</v>
      </c>
      <c r="R2039" s="3">
        <f t="shared" si="158"/>
        <v>0</v>
      </c>
      <c r="S2039" s="3">
        <f t="shared" si="159"/>
        <v>62233.930000000037</v>
      </c>
      <c r="T2039" s="24" t="s">
        <v>1081</v>
      </c>
      <c r="U2039" s="24" t="s">
        <v>1081</v>
      </c>
      <c r="V2039" s="67"/>
      <c r="W2039" s="25">
        <f>IFERROR(VLOOKUP(BCP_Soles[[#This Row],[DESTINATARIO]],CHOOSE({1,2},Clientes_Proveedores[Razon Social],Clientes_Proveedores[Ruc / Dni]),2,0),"")</f>
        <v>20558226979</v>
      </c>
      <c r="X2039" s="25" t="s">
        <v>1090</v>
      </c>
      <c r="Y2039" s="25" t="s">
        <v>3102</v>
      </c>
      <c r="Z2039" s="25"/>
      <c r="AA2039" s="99"/>
      <c r="AB2039" s="3" t="str">
        <f>IF(BCP_Soles[[#This Row],[FECHA]]&gt;0,TEXT(BCP_Soles[[#This Row],[FECHA]],"mmmm"),0)</f>
        <v>Junio</v>
      </c>
    </row>
    <row r="2040" spans="2:28" ht="24" x14ac:dyDescent="0.3">
      <c r="B2040" s="2">
        <f>IF(BCP_Soles[[#This Row],[TIPO DE R.]]="R",COUNTIFS($D$4:$D2039,"R")+1,"")</f>
        <v>1577</v>
      </c>
      <c r="C2040" s="19" t="str">
        <f t="shared" si="155"/>
        <v>B-BCP - Soles</v>
      </c>
      <c r="D2040" s="3" t="s">
        <v>1074</v>
      </c>
      <c r="E2040" s="14">
        <v>45821</v>
      </c>
      <c r="F2040" s="5" t="s">
        <v>1745</v>
      </c>
      <c r="G2040" s="5" t="s">
        <v>1087</v>
      </c>
      <c r="H2040" s="6" t="s">
        <v>368</v>
      </c>
      <c r="I2040" s="6" t="s">
        <v>63</v>
      </c>
      <c r="J2040" s="6">
        <v>1</v>
      </c>
      <c r="K2040" s="6">
        <v>4501</v>
      </c>
      <c r="L2040" s="7" t="s">
        <v>1100</v>
      </c>
      <c r="M2040" s="8">
        <v>1126656</v>
      </c>
      <c r="N2040" s="8" t="str">
        <f t="shared" si="156"/>
        <v>PEN</v>
      </c>
      <c r="O2040" s="13"/>
      <c r="P2040" s="13">
        <v>184</v>
      </c>
      <c r="Q2040" s="3">
        <f t="shared" si="157"/>
        <v>184</v>
      </c>
      <c r="R2040" s="3">
        <f t="shared" si="158"/>
        <v>0</v>
      </c>
      <c r="S2040" s="3">
        <f t="shared" si="159"/>
        <v>62417.930000000037</v>
      </c>
      <c r="T2040" s="24" t="s">
        <v>1081</v>
      </c>
      <c r="U2040" s="24" t="s">
        <v>1081</v>
      </c>
      <c r="V2040" s="67"/>
      <c r="W2040" s="25">
        <f>IFERROR(VLOOKUP(BCP_Soles[[#This Row],[DESTINATARIO]],CHOOSE({1,2},Clientes_Proveedores[Razon Social],Clientes_Proveedores[Ruc / Dni]),2,0),"")</f>
        <v>20558226979</v>
      </c>
      <c r="X2040" s="25" t="s">
        <v>1090</v>
      </c>
      <c r="Y2040" s="25" t="s">
        <v>3103</v>
      </c>
      <c r="Z2040" s="25"/>
      <c r="AA2040" s="99"/>
      <c r="AB2040" s="3" t="str">
        <f>IF(BCP_Soles[[#This Row],[FECHA]]&gt;0,TEXT(BCP_Soles[[#This Row],[FECHA]],"mmmm"),0)</f>
        <v>Junio</v>
      </c>
    </row>
    <row r="2041" spans="2:28" ht="24" x14ac:dyDescent="0.3">
      <c r="B2041" s="2">
        <f>IF(BCP_Soles[[#This Row],[TIPO DE R.]]="R",COUNTIFS($D$4:$D2040,"R")+1,"")</f>
        <v>1578</v>
      </c>
      <c r="C2041" s="19" t="str">
        <f t="shared" si="155"/>
        <v>B-BCP - Soles</v>
      </c>
      <c r="D2041" s="3" t="s">
        <v>1074</v>
      </c>
      <c r="E2041" s="14">
        <v>45821</v>
      </c>
      <c r="F2041" s="5" t="s">
        <v>1745</v>
      </c>
      <c r="G2041" s="5" t="s">
        <v>1087</v>
      </c>
      <c r="H2041" s="6" t="s">
        <v>368</v>
      </c>
      <c r="I2041" s="6" t="s">
        <v>63</v>
      </c>
      <c r="J2041" s="6">
        <v>1</v>
      </c>
      <c r="K2041" s="6">
        <v>4500</v>
      </c>
      <c r="L2041" s="7" t="s">
        <v>1100</v>
      </c>
      <c r="M2041" s="8">
        <v>1132251</v>
      </c>
      <c r="N2041" s="8" t="str">
        <f t="shared" si="156"/>
        <v>PEN</v>
      </c>
      <c r="O2041" s="13"/>
      <c r="P2041" s="13">
        <v>1132</v>
      </c>
      <c r="Q2041" s="3">
        <f t="shared" si="157"/>
        <v>1132</v>
      </c>
      <c r="R2041" s="3">
        <f t="shared" si="158"/>
        <v>0</v>
      </c>
      <c r="S2041" s="3">
        <f t="shared" si="159"/>
        <v>63549.930000000037</v>
      </c>
      <c r="T2041" s="24" t="s">
        <v>1081</v>
      </c>
      <c r="U2041" s="24" t="s">
        <v>1081</v>
      </c>
      <c r="V2041" s="67"/>
      <c r="W2041" s="25">
        <f>IFERROR(VLOOKUP(BCP_Soles[[#This Row],[DESTINATARIO]],CHOOSE({1,2},Clientes_Proveedores[Razon Social],Clientes_Proveedores[Ruc / Dni]),2,0),"")</f>
        <v>20558226979</v>
      </c>
      <c r="X2041" s="25" t="s">
        <v>1090</v>
      </c>
      <c r="Y2041" s="25" t="s">
        <v>3104</v>
      </c>
      <c r="Z2041" s="25"/>
      <c r="AA2041" s="99"/>
      <c r="AB2041" s="3" t="str">
        <f>IF(BCP_Soles[[#This Row],[FECHA]]&gt;0,TEXT(BCP_Soles[[#This Row],[FECHA]],"mmmm"),0)</f>
        <v>Junio</v>
      </c>
    </row>
    <row r="2042" spans="2:28" ht="24" x14ac:dyDescent="0.3">
      <c r="B2042" s="2">
        <f>IF(BCP_Soles[[#This Row],[TIPO DE R.]]="R",COUNTIFS($D$4:$D2041,"R")+1,"")</f>
        <v>1579</v>
      </c>
      <c r="C2042" s="19" t="str">
        <f t="shared" si="155"/>
        <v>B-BCP - Soles</v>
      </c>
      <c r="D2042" s="3" t="s">
        <v>1074</v>
      </c>
      <c r="E2042" s="14">
        <v>45821</v>
      </c>
      <c r="F2042" s="5" t="s">
        <v>285</v>
      </c>
      <c r="G2042" s="5" t="s">
        <v>1087</v>
      </c>
      <c r="H2042" s="6" t="s">
        <v>368</v>
      </c>
      <c r="I2042" s="6" t="s">
        <v>14</v>
      </c>
      <c r="J2042" s="6" t="s">
        <v>1521</v>
      </c>
      <c r="K2042" s="6">
        <v>101</v>
      </c>
      <c r="L2042" s="7" t="s">
        <v>3105</v>
      </c>
      <c r="M2042" s="8">
        <v>2329981</v>
      </c>
      <c r="N2042" s="8" t="str">
        <f t="shared" si="156"/>
        <v>PEN</v>
      </c>
      <c r="O2042" s="13"/>
      <c r="P2042" s="13">
        <v>1247.22</v>
      </c>
      <c r="Q2042" s="3">
        <f t="shared" si="157"/>
        <v>1247.22</v>
      </c>
      <c r="R2042" s="3">
        <f t="shared" si="158"/>
        <v>0</v>
      </c>
      <c r="S2042" s="3">
        <f t="shared" si="159"/>
        <v>64797.150000000038</v>
      </c>
      <c r="T2042" s="24" t="s">
        <v>1081</v>
      </c>
      <c r="U2042" s="24" t="s">
        <v>1081</v>
      </c>
      <c r="V2042" s="67"/>
      <c r="W2042" s="25">
        <f>IFERROR(VLOOKUP(BCP_Soles[[#This Row],[DESTINATARIO]],CHOOSE({1,2},Clientes_Proveedores[Razon Social],Clientes_Proveedores[Ruc / Dni]),2,0),"")</f>
        <v>20558226979</v>
      </c>
      <c r="X2042" s="25" t="s">
        <v>1090</v>
      </c>
      <c r="Y2042" s="25" t="s">
        <v>3106</v>
      </c>
      <c r="Z2042" s="25"/>
      <c r="AA2042" s="99"/>
      <c r="AB2042" s="3" t="str">
        <f>IF(BCP_Soles[[#This Row],[FECHA]]&gt;0,TEXT(BCP_Soles[[#This Row],[FECHA]],"mmmm"),0)</f>
        <v>Junio</v>
      </c>
    </row>
    <row r="2043" spans="2:28" ht="24" x14ac:dyDescent="0.3">
      <c r="B2043" s="2">
        <f>IF(BCP_Soles[[#This Row],[TIPO DE R.]]="R",COUNTIFS($D$4:$D2042,"R")+1,"")</f>
        <v>1580</v>
      </c>
      <c r="C2043" s="19" t="str">
        <f t="shared" si="155"/>
        <v>B-BCP - Soles</v>
      </c>
      <c r="D2043" s="3" t="s">
        <v>1074</v>
      </c>
      <c r="E2043" s="14">
        <v>45821</v>
      </c>
      <c r="F2043" s="5" t="s">
        <v>479</v>
      </c>
      <c r="G2043" s="5" t="s">
        <v>1087</v>
      </c>
      <c r="H2043" s="6" t="s">
        <v>368</v>
      </c>
      <c r="I2043" s="6" t="s">
        <v>63</v>
      </c>
      <c r="J2043" s="6">
        <v>1</v>
      </c>
      <c r="K2043" s="6">
        <v>4484</v>
      </c>
      <c r="L2043" s="7" t="s">
        <v>1100</v>
      </c>
      <c r="M2043" s="8">
        <v>408180</v>
      </c>
      <c r="N2043" s="8" t="str">
        <f t="shared" si="156"/>
        <v>PEN</v>
      </c>
      <c r="O2043" s="13"/>
      <c r="P2043" s="13">
        <v>10</v>
      </c>
      <c r="Q2043" s="3">
        <f t="shared" si="157"/>
        <v>10</v>
      </c>
      <c r="R2043" s="3">
        <f t="shared" si="158"/>
        <v>0</v>
      </c>
      <c r="S2043" s="3">
        <f t="shared" si="159"/>
        <v>64807.150000000038</v>
      </c>
      <c r="T2043" s="24" t="s">
        <v>1081</v>
      </c>
      <c r="U2043" s="24" t="s">
        <v>1081</v>
      </c>
      <c r="V2043" s="67"/>
      <c r="W2043" s="25">
        <f>IFERROR(VLOOKUP(BCP_Soles[[#This Row],[DESTINATARIO]],CHOOSE({1,2},Clientes_Proveedores[Razon Social],Clientes_Proveedores[Ruc / Dni]),2,0),"")</f>
        <v>20558226979</v>
      </c>
      <c r="X2043" s="25" t="s">
        <v>1090</v>
      </c>
      <c r="Y2043" s="25" t="s">
        <v>3031</v>
      </c>
      <c r="Z2043" s="25"/>
      <c r="AA2043" s="99"/>
      <c r="AB2043" s="3" t="str">
        <f>IF(BCP_Soles[[#This Row],[FECHA]]&gt;0,TEXT(BCP_Soles[[#This Row],[FECHA]],"mmmm"),0)</f>
        <v>Junio</v>
      </c>
    </row>
    <row r="2044" spans="2:28" ht="36" x14ac:dyDescent="0.3">
      <c r="B2044" s="2">
        <f>IF(BCP_Soles[[#This Row],[TIPO DE R.]]="R",COUNTIFS($D$4:$D2043,"R")+1,"")</f>
        <v>1581</v>
      </c>
      <c r="C2044" s="19" t="str">
        <f t="shared" si="155"/>
        <v>B-BCP - Soles</v>
      </c>
      <c r="D2044" s="3" t="s">
        <v>1074</v>
      </c>
      <c r="E2044" s="14">
        <v>45821</v>
      </c>
      <c r="F2044" s="5" t="s">
        <v>187</v>
      </c>
      <c r="G2044" s="5" t="s">
        <v>1087</v>
      </c>
      <c r="H2044" s="6" t="s">
        <v>368</v>
      </c>
      <c r="I2044" s="6" t="s">
        <v>14</v>
      </c>
      <c r="J2044" s="6" t="s">
        <v>1521</v>
      </c>
      <c r="K2044" s="6">
        <v>88</v>
      </c>
      <c r="L2044" s="7" t="s">
        <v>3107</v>
      </c>
      <c r="M2044" s="8">
        <v>7452182</v>
      </c>
      <c r="N2044" s="8" t="str">
        <f t="shared" si="156"/>
        <v>PEN</v>
      </c>
      <c r="O2044" s="13"/>
      <c r="P2044" s="13">
        <v>5749.42</v>
      </c>
      <c r="Q2044" s="3">
        <f t="shared" si="157"/>
        <v>5749.42</v>
      </c>
      <c r="R2044" s="3">
        <f t="shared" si="158"/>
        <v>0</v>
      </c>
      <c r="S2044" s="3">
        <f t="shared" si="159"/>
        <v>70556.570000000036</v>
      </c>
      <c r="T2044" s="24" t="s">
        <v>1081</v>
      </c>
      <c r="U2044" s="24" t="s">
        <v>1081</v>
      </c>
      <c r="V2044" s="67"/>
      <c r="W2044" s="25">
        <f>IFERROR(VLOOKUP(BCP_Soles[[#This Row],[DESTINATARIO]],CHOOSE({1,2},Clientes_Proveedores[Razon Social],Clientes_Proveedores[Ruc / Dni]),2,0),"")</f>
        <v>20558226979</v>
      </c>
      <c r="X2044" s="25" t="s">
        <v>1090</v>
      </c>
      <c r="Y2044" s="25" t="s">
        <v>3108</v>
      </c>
      <c r="Z2044" s="25"/>
      <c r="AA2044" s="99"/>
      <c r="AB2044" s="3" t="str">
        <f>IF(BCP_Soles[[#This Row],[FECHA]]&gt;0,TEXT(BCP_Soles[[#This Row],[FECHA]],"mmmm"),0)</f>
        <v>Junio</v>
      </c>
    </row>
    <row r="2045" spans="2:28" x14ac:dyDescent="0.3">
      <c r="B2045" s="2">
        <f>IF(BCP_Soles[[#This Row],[TIPO DE R.]]="R",COUNTIFS($D$4:$D2044,"R")+1,"")</f>
        <v>1582</v>
      </c>
      <c r="C2045" s="19" t="str">
        <f t="shared" si="155"/>
        <v>B-BCP - Soles</v>
      </c>
      <c r="D2045" s="3" t="s">
        <v>1074</v>
      </c>
      <c r="E2045" s="14">
        <v>45821</v>
      </c>
      <c r="F2045" s="5" t="s">
        <v>1078</v>
      </c>
      <c r="G2045" s="5" t="s">
        <v>1079</v>
      </c>
      <c r="H2045" s="6"/>
      <c r="I2045" s="6"/>
      <c r="J2045" s="6"/>
      <c r="K2045" s="6"/>
      <c r="L2045" s="7" t="s">
        <v>2868</v>
      </c>
      <c r="M2045" s="8"/>
      <c r="N2045" s="8" t="str">
        <f t="shared" si="156"/>
        <v>PEN</v>
      </c>
      <c r="O2045" s="13"/>
      <c r="P2045" s="13">
        <v>0.35</v>
      </c>
      <c r="Q2045" s="3">
        <f t="shared" si="157"/>
        <v>0</v>
      </c>
      <c r="R2045" s="3">
        <f t="shared" si="158"/>
        <v>0.35</v>
      </c>
      <c r="S2045" s="3">
        <f t="shared" si="159"/>
        <v>70556.22000000003</v>
      </c>
      <c r="T2045" s="24"/>
      <c r="U2045" s="24"/>
      <c r="V2045" s="67"/>
      <c r="W2045" s="25" t="str">
        <f>IFERROR(VLOOKUP(BCP_Soles[[#This Row],[DESTINATARIO]],CHOOSE({1,2},Clientes_Proveedores[Razon Social],Clientes_Proveedores[Ruc / Dni]),2,0),"")</f>
        <v/>
      </c>
      <c r="X2045" s="25"/>
      <c r="Y2045" s="25"/>
      <c r="Z2045" s="25"/>
      <c r="AA2045" s="99"/>
      <c r="AB2045" s="3" t="str">
        <f>IF(BCP_Soles[[#This Row],[FECHA]]&gt;0,TEXT(BCP_Soles[[#This Row],[FECHA]],"mmmm"),0)</f>
        <v>Junio</v>
      </c>
    </row>
    <row r="2046" spans="2:28" x14ac:dyDescent="0.3">
      <c r="B2046" s="2">
        <f>IF(BCP_Soles[[#This Row],[TIPO DE R.]]="R",COUNTIFS($D$4:$D2045,"R")+1,"")</f>
        <v>1583</v>
      </c>
      <c r="C2046" s="19" t="str">
        <f t="shared" si="155"/>
        <v>B-BCP - Soles</v>
      </c>
      <c r="D2046" s="3" t="s">
        <v>1074</v>
      </c>
      <c r="E2046" s="14">
        <v>45824</v>
      </c>
      <c r="F2046" s="5" t="s">
        <v>1239</v>
      </c>
      <c r="G2046" s="5" t="s">
        <v>1087</v>
      </c>
      <c r="H2046" s="6"/>
      <c r="I2046" s="6"/>
      <c r="J2046" s="6"/>
      <c r="K2046" s="6"/>
      <c r="L2046" s="7" t="s">
        <v>1100</v>
      </c>
      <c r="M2046" s="8">
        <v>4056999</v>
      </c>
      <c r="N2046" s="8" t="str">
        <f t="shared" si="156"/>
        <v>PEN</v>
      </c>
      <c r="O2046" s="13"/>
      <c r="P2046" s="13">
        <v>130</v>
      </c>
      <c r="Q2046" s="3">
        <f t="shared" si="157"/>
        <v>130</v>
      </c>
      <c r="R2046" s="3">
        <f t="shared" si="158"/>
        <v>0</v>
      </c>
      <c r="S2046" s="3">
        <f t="shared" si="159"/>
        <v>70686.22000000003</v>
      </c>
      <c r="T2046" s="24" t="s">
        <v>1081</v>
      </c>
      <c r="U2046" s="24" t="s">
        <v>1081</v>
      </c>
      <c r="V2046" s="67"/>
      <c r="W2046" s="25" t="str">
        <f>IFERROR(VLOOKUP(BCP_Soles[[#This Row],[DESTINATARIO]],CHOOSE({1,2},Clientes_Proveedores[Razon Social],Clientes_Proveedores[Ruc / Dni]),2,0),"")</f>
        <v/>
      </c>
      <c r="X2046" s="25" t="s">
        <v>1090</v>
      </c>
      <c r="Y2046" s="25" t="s">
        <v>3109</v>
      </c>
      <c r="Z2046" s="25"/>
      <c r="AA2046" s="99"/>
      <c r="AB2046" s="3" t="str">
        <f>IF(BCP_Soles[[#This Row],[FECHA]]&gt;0,TEXT(BCP_Soles[[#This Row],[FECHA]],"mmmm"),0)</f>
        <v>Junio</v>
      </c>
    </row>
    <row r="2047" spans="2:28" ht="24" x14ac:dyDescent="0.3">
      <c r="B2047" s="2">
        <f>IF(BCP_Soles[[#This Row],[TIPO DE R.]]="R",COUNTIFS($D$4:$D2046,"R")+1,"")</f>
        <v>1584</v>
      </c>
      <c r="C2047" s="19" t="str">
        <f t="shared" si="155"/>
        <v>B-BCP - Soles</v>
      </c>
      <c r="D2047" s="3" t="s">
        <v>1074</v>
      </c>
      <c r="E2047" s="14">
        <v>45824</v>
      </c>
      <c r="F2047" s="5" t="s">
        <v>2226</v>
      </c>
      <c r="G2047" s="5" t="s">
        <v>1087</v>
      </c>
      <c r="H2047" s="6"/>
      <c r="I2047" s="6"/>
      <c r="J2047" s="6"/>
      <c r="K2047" s="6"/>
      <c r="L2047" s="7" t="s">
        <v>1100</v>
      </c>
      <c r="M2047" s="8">
        <v>4046892</v>
      </c>
      <c r="N2047" s="8" t="str">
        <f t="shared" si="156"/>
        <v>PEN</v>
      </c>
      <c r="O2047" s="13"/>
      <c r="P2047" s="13">
        <v>1040</v>
      </c>
      <c r="Q2047" s="3">
        <f t="shared" si="157"/>
        <v>1040</v>
      </c>
      <c r="R2047" s="3">
        <f t="shared" si="158"/>
        <v>0</v>
      </c>
      <c r="S2047" s="3">
        <f t="shared" si="159"/>
        <v>71726.22000000003</v>
      </c>
      <c r="T2047" s="24" t="s">
        <v>1081</v>
      </c>
      <c r="U2047" s="24" t="s">
        <v>1081</v>
      </c>
      <c r="V2047" s="67"/>
      <c r="W2047" s="25" t="str">
        <f>IFERROR(VLOOKUP(BCP_Soles[[#This Row],[DESTINATARIO]],CHOOSE({1,2},Clientes_Proveedores[Razon Social],Clientes_Proveedores[Ruc / Dni]),2,0),"")</f>
        <v/>
      </c>
      <c r="X2047" s="25" t="s">
        <v>1090</v>
      </c>
      <c r="Y2047" s="25" t="s">
        <v>3110</v>
      </c>
      <c r="Z2047" s="25"/>
      <c r="AA2047" s="99"/>
      <c r="AB2047" s="3" t="str">
        <f>IF(BCP_Soles[[#This Row],[FECHA]]&gt;0,TEXT(BCP_Soles[[#This Row],[FECHA]],"mmmm"),0)</f>
        <v>Junio</v>
      </c>
    </row>
    <row r="2048" spans="2:28" ht="24" x14ac:dyDescent="0.3">
      <c r="B2048" s="2">
        <f>IF(BCP_Soles[[#This Row],[TIPO DE R.]]="R",COUNTIFS($D$4:$D2047,"R")+1,"")</f>
        <v>1585</v>
      </c>
      <c r="C2048" s="19" t="str">
        <f t="shared" si="155"/>
        <v>B-BCP - Soles</v>
      </c>
      <c r="D2048" s="3" t="s">
        <v>1074</v>
      </c>
      <c r="E2048" s="14">
        <v>45824</v>
      </c>
      <c r="F2048" s="5" t="s">
        <v>1245</v>
      </c>
      <c r="G2048" s="5" t="s">
        <v>1087</v>
      </c>
      <c r="H2048" s="6"/>
      <c r="I2048" s="6"/>
      <c r="J2048" s="6"/>
      <c r="K2048" s="6"/>
      <c r="L2048" s="7" t="s">
        <v>1100</v>
      </c>
      <c r="M2048" s="8">
        <v>3303031</v>
      </c>
      <c r="N2048" s="8" t="str">
        <f t="shared" si="156"/>
        <v>PEN</v>
      </c>
      <c r="O2048" s="13"/>
      <c r="P2048" s="13">
        <v>2352</v>
      </c>
      <c r="Q2048" s="3">
        <f t="shared" si="157"/>
        <v>2352</v>
      </c>
      <c r="R2048" s="3">
        <f t="shared" si="158"/>
        <v>0</v>
      </c>
      <c r="S2048" s="3">
        <f t="shared" si="159"/>
        <v>74078.22000000003</v>
      </c>
      <c r="T2048" s="24" t="s">
        <v>1081</v>
      </c>
      <c r="U2048" s="24" t="s">
        <v>1081</v>
      </c>
      <c r="V2048" s="67"/>
      <c r="W2048" s="25" t="str">
        <f>IFERROR(VLOOKUP(BCP_Soles[[#This Row],[DESTINATARIO]],CHOOSE({1,2},Clientes_Proveedores[Razon Social],Clientes_Proveedores[Ruc / Dni]),2,0),"")</f>
        <v/>
      </c>
      <c r="X2048" s="25" t="s">
        <v>1090</v>
      </c>
      <c r="Y2048" s="25" t="s">
        <v>3111</v>
      </c>
      <c r="Z2048" s="25"/>
      <c r="AA2048" s="99"/>
      <c r="AB2048" s="3" t="str">
        <f>IF(BCP_Soles[[#This Row],[FECHA]]&gt;0,TEXT(BCP_Soles[[#This Row],[FECHA]],"mmmm"),0)</f>
        <v>Junio</v>
      </c>
    </row>
    <row r="2049" spans="2:28" ht="24" x14ac:dyDescent="0.3">
      <c r="B2049" s="2">
        <f>IF(BCP_Soles[[#This Row],[TIPO DE R.]]="R",COUNTIFS($D$4:$D2048,"R")+1,"")</f>
        <v>1586</v>
      </c>
      <c r="C2049" s="19" t="str">
        <f t="shared" si="155"/>
        <v>B-BCP - Soles</v>
      </c>
      <c r="D2049" s="3" t="s">
        <v>1074</v>
      </c>
      <c r="E2049" s="14">
        <v>45824</v>
      </c>
      <c r="F2049" s="5" t="s">
        <v>1245</v>
      </c>
      <c r="G2049" s="5" t="s">
        <v>1087</v>
      </c>
      <c r="H2049" s="6"/>
      <c r="I2049" s="6"/>
      <c r="J2049" s="6"/>
      <c r="K2049" s="6"/>
      <c r="L2049" s="7" t="s">
        <v>1100</v>
      </c>
      <c r="M2049" s="8">
        <v>3270258</v>
      </c>
      <c r="N2049" s="8" t="str">
        <f t="shared" si="156"/>
        <v>PEN</v>
      </c>
      <c r="O2049" s="13"/>
      <c r="P2049" s="13">
        <v>2378</v>
      </c>
      <c r="Q2049" s="3">
        <f t="shared" si="157"/>
        <v>2378</v>
      </c>
      <c r="R2049" s="3">
        <f t="shared" si="158"/>
        <v>0</v>
      </c>
      <c r="S2049" s="3">
        <f t="shared" si="159"/>
        <v>76456.22000000003</v>
      </c>
      <c r="T2049" s="24" t="s">
        <v>1081</v>
      </c>
      <c r="U2049" s="24" t="s">
        <v>1081</v>
      </c>
      <c r="V2049" s="67"/>
      <c r="W2049" s="25" t="str">
        <f>IFERROR(VLOOKUP(BCP_Soles[[#This Row],[DESTINATARIO]],CHOOSE({1,2},Clientes_Proveedores[Razon Social],Clientes_Proveedores[Ruc / Dni]),2,0),"")</f>
        <v/>
      </c>
      <c r="X2049" s="25" t="s">
        <v>1090</v>
      </c>
      <c r="Y2049" s="25" t="s">
        <v>3112</v>
      </c>
      <c r="Z2049" s="25"/>
      <c r="AA2049" s="99"/>
      <c r="AB2049" s="3" t="str">
        <f>IF(BCP_Soles[[#This Row],[FECHA]]&gt;0,TEXT(BCP_Soles[[#This Row],[FECHA]],"mmmm"),0)</f>
        <v>Junio</v>
      </c>
    </row>
    <row r="2050" spans="2:28" ht="24" x14ac:dyDescent="0.3">
      <c r="B2050" s="2">
        <f>IF(BCP_Soles[[#This Row],[TIPO DE R.]]="R",COUNTIFS($D$4:$D2049,"R")+1,"")</f>
        <v>1587</v>
      </c>
      <c r="C2050" s="19" t="str">
        <f t="shared" si="155"/>
        <v>B-BCP - Soles</v>
      </c>
      <c r="D2050" s="3" t="s">
        <v>1074</v>
      </c>
      <c r="E2050" s="14">
        <v>45824</v>
      </c>
      <c r="F2050" s="5" t="s">
        <v>1075</v>
      </c>
      <c r="G2050" s="5" t="s">
        <v>1079</v>
      </c>
      <c r="H2050" s="6" t="s">
        <v>525</v>
      </c>
      <c r="I2050" s="6" t="s">
        <v>14</v>
      </c>
      <c r="J2050" s="6" t="s">
        <v>1121</v>
      </c>
      <c r="K2050" s="6">
        <v>823</v>
      </c>
      <c r="L2050" s="7" t="s">
        <v>3113</v>
      </c>
      <c r="M2050" s="8">
        <v>1245955</v>
      </c>
      <c r="N2050" s="8" t="str">
        <f t="shared" si="156"/>
        <v>PEN</v>
      </c>
      <c r="O2050" s="13"/>
      <c r="P2050" s="13">
        <v>3285</v>
      </c>
      <c r="Q2050" s="3">
        <f t="shared" si="157"/>
        <v>0</v>
      </c>
      <c r="R2050" s="3">
        <f t="shared" si="158"/>
        <v>3285</v>
      </c>
      <c r="S2050" s="3">
        <f t="shared" si="159"/>
        <v>73171.22000000003</v>
      </c>
      <c r="T2050" s="24" t="s">
        <v>1081</v>
      </c>
      <c r="U2050" s="24" t="s">
        <v>1081</v>
      </c>
      <c r="V2050" s="67"/>
      <c r="W2050" s="25">
        <f>IFERROR(VLOOKUP(BCP_Soles[[#This Row],[DESTINATARIO]],CHOOSE({1,2},Clientes_Proveedores[Razon Social],Clientes_Proveedores[Ruc / Dni]),2,0),"")</f>
        <v>20609155303</v>
      </c>
      <c r="X2050" s="25" t="s">
        <v>1632</v>
      </c>
      <c r="Y2050" s="25"/>
      <c r="Z2050" s="25"/>
      <c r="AA2050" s="99"/>
      <c r="AB2050" s="3" t="str">
        <f>IF(BCP_Soles[[#This Row],[FECHA]]&gt;0,TEXT(BCP_Soles[[#This Row],[FECHA]],"mmmm"),0)</f>
        <v>Junio</v>
      </c>
    </row>
    <row r="2051" spans="2:28" x14ac:dyDescent="0.3">
      <c r="B2051" s="2">
        <f>IF(BCP_Soles[[#This Row],[TIPO DE R.]]="R",COUNTIFS($D$4:$D2050,"R")+1,"")</f>
        <v>1588</v>
      </c>
      <c r="C2051" s="19" t="str">
        <f t="shared" si="155"/>
        <v>B-BCP - Soles</v>
      </c>
      <c r="D2051" s="3" t="s">
        <v>1074</v>
      </c>
      <c r="E2051" s="14">
        <v>45824</v>
      </c>
      <c r="F2051" s="5" t="s">
        <v>3114</v>
      </c>
      <c r="G2051" s="5" t="s">
        <v>1079</v>
      </c>
      <c r="H2051" s="6"/>
      <c r="I2051" s="6"/>
      <c r="J2051" s="6"/>
      <c r="K2051" s="6"/>
      <c r="L2051" s="7" t="s">
        <v>1322</v>
      </c>
      <c r="M2051" s="8">
        <v>1002401</v>
      </c>
      <c r="N2051" s="8" t="str">
        <f t="shared" si="156"/>
        <v>PEN</v>
      </c>
      <c r="O2051" s="13"/>
      <c r="P2051" s="13">
        <v>2765.65</v>
      </c>
      <c r="Q2051" s="3">
        <f t="shared" si="157"/>
        <v>0</v>
      </c>
      <c r="R2051" s="3">
        <f t="shared" si="158"/>
        <v>2765.65</v>
      </c>
      <c r="S2051" s="3">
        <f t="shared" si="159"/>
        <v>70405.570000000036</v>
      </c>
      <c r="T2051" s="24"/>
      <c r="U2051" s="24"/>
      <c r="V2051" s="67"/>
      <c r="W2051" s="25" t="str">
        <f>IFERROR(VLOOKUP(BCP_Soles[[#This Row],[DESTINATARIO]],CHOOSE({1,2},Clientes_Proveedores[Razon Social],Clientes_Proveedores[Ruc / Dni]),2,0),"")</f>
        <v/>
      </c>
      <c r="X2051" s="25"/>
      <c r="Y2051" s="25"/>
      <c r="Z2051" s="25"/>
      <c r="AA2051" s="99"/>
      <c r="AB2051" s="3" t="str">
        <f>IF(BCP_Soles[[#This Row],[FECHA]]&gt;0,TEXT(BCP_Soles[[#This Row],[FECHA]],"mmmm"),0)</f>
        <v>Junio</v>
      </c>
    </row>
    <row r="2052" spans="2:28" ht="24" x14ac:dyDescent="0.3">
      <c r="B2052" s="2">
        <f>IF(BCP_Soles[[#This Row],[TIPO DE R.]]="R",COUNTIFS($D$4:$D2051,"R")+1,"")</f>
        <v>1589</v>
      </c>
      <c r="C2052" s="19" t="str">
        <f t="shared" si="155"/>
        <v>B-BCP - Soles</v>
      </c>
      <c r="D2052" s="3" t="s">
        <v>1074</v>
      </c>
      <c r="E2052" s="14">
        <v>45824</v>
      </c>
      <c r="F2052" s="5" t="s">
        <v>1075</v>
      </c>
      <c r="G2052" s="5" t="s">
        <v>1079</v>
      </c>
      <c r="H2052" s="6" t="s">
        <v>210</v>
      </c>
      <c r="I2052" s="6" t="s">
        <v>14</v>
      </c>
      <c r="J2052" s="6" t="s">
        <v>1714</v>
      </c>
      <c r="K2052" s="6">
        <v>26715</v>
      </c>
      <c r="L2052" s="7" t="s">
        <v>3115</v>
      </c>
      <c r="M2052" s="8">
        <v>1245494</v>
      </c>
      <c r="N2052" s="8" t="str">
        <f t="shared" si="156"/>
        <v>PEN</v>
      </c>
      <c r="O2052" s="13"/>
      <c r="P2052" s="13">
        <v>1289.93</v>
      </c>
      <c r="Q2052" s="3">
        <f t="shared" si="157"/>
        <v>0</v>
      </c>
      <c r="R2052" s="3">
        <f t="shared" si="158"/>
        <v>1289.93</v>
      </c>
      <c r="S2052" s="3">
        <f t="shared" si="159"/>
        <v>69115.640000000043</v>
      </c>
      <c r="T2052" s="24" t="s">
        <v>1081</v>
      </c>
      <c r="U2052" s="24" t="s">
        <v>1081</v>
      </c>
      <c r="V2052" s="67"/>
      <c r="W2052" s="25">
        <f>IFERROR(VLOOKUP(BCP_Soles[[#This Row],[DESTINATARIO]],CHOOSE({1,2},Clientes_Proveedores[Razon Social],Clientes_Proveedores[Ruc / Dni]),2,0),"")</f>
        <v>20413666130</v>
      </c>
      <c r="X2052" s="25" t="s">
        <v>1716</v>
      </c>
      <c r="Y2052" s="25" t="s">
        <v>3116</v>
      </c>
      <c r="Z2052" s="25"/>
      <c r="AA2052" s="99"/>
      <c r="AB2052" s="3" t="str">
        <f>IF(BCP_Soles[[#This Row],[FECHA]]&gt;0,TEXT(BCP_Soles[[#This Row],[FECHA]],"mmmm"),0)</f>
        <v>Junio</v>
      </c>
    </row>
    <row r="2053" spans="2:28" ht="24" x14ac:dyDescent="0.3">
      <c r="B2053" s="2">
        <f>IF(BCP_Soles[[#This Row],[TIPO DE R.]]="R",COUNTIFS($D$4:$D2052,"R")+1,"")</f>
        <v>1590</v>
      </c>
      <c r="C2053" s="19" t="str">
        <f t="shared" ref="C2053:C2116" si="160">"B-BCP - Soles"</f>
        <v>B-BCP - Soles</v>
      </c>
      <c r="D2053" s="3" t="s">
        <v>1074</v>
      </c>
      <c r="E2053" s="14">
        <v>45824</v>
      </c>
      <c r="F2053" s="5" t="s">
        <v>1075</v>
      </c>
      <c r="G2053" s="5" t="s">
        <v>1079</v>
      </c>
      <c r="H2053" s="6" t="s">
        <v>192</v>
      </c>
      <c r="I2053" s="6"/>
      <c r="J2053" s="6"/>
      <c r="K2053" s="6"/>
      <c r="L2053" s="7" t="s">
        <v>3117</v>
      </c>
      <c r="M2053" s="8">
        <v>1246606</v>
      </c>
      <c r="N2053" s="8" t="str">
        <f t="shared" ref="N2053:N2116" si="161">"PEN"</f>
        <v>PEN</v>
      </c>
      <c r="O2053" s="13"/>
      <c r="P2053" s="13">
        <v>1254.0999999999999</v>
      </c>
      <c r="Q2053" s="3">
        <f t="shared" ref="Q2053:Q2116" si="162">+IF(OR($G2053="SALDO",$G2053="INGRESO"),$P2053,0)</f>
        <v>0</v>
      </c>
      <c r="R2053" s="3">
        <f t="shared" ref="R2053:R2116" si="163">+IF($G2053="EGRESO",$P2053,0)</f>
        <v>1254.0999999999999</v>
      </c>
      <c r="S2053" s="3">
        <f t="shared" ref="S2053:S2116" si="164">IFERROR(IF(G2053="SALDO",Q2053,S2052+Q2053-R2053),0)</f>
        <v>67861.540000000037</v>
      </c>
      <c r="T2053" s="24"/>
      <c r="U2053" s="24"/>
      <c r="V2053" s="67"/>
      <c r="W2053" s="25">
        <f>IFERROR(VLOOKUP(BCP_Soles[[#This Row],[DESTINATARIO]],CHOOSE({1,2},Clientes_Proveedores[Razon Social],Clientes_Proveedores[Ruc / Dni]),2,0),"")</f>
        <v>20302891452</v>
      </c>
      <c r="X2053" s="25" t="s">
        <v>192</v>
      </c>
      <c r="Y2053" s="25"/>
      <c r="Z2053" s="25"/>
      <c r="AA2053" s="99"/>
      <c r="AB2053" s="3" t="str">
        <f>IF(BCP_Soles[[#This Row],[FECHA]]&gt;0,TEXT(BCP_Soles[[#This Row],[FECHA]],"mmmm"),0)</f>
        <v>Junio</v>
      </c>
    </row>
    <row r="2054" spans="2:28" ht="24" x14ac:dyDescent="0.3">
      <c r="B2054" s="2">
        <f>IF(BCP_Soles[[#This Row],[TIPO DE R.]]="R",COUNTIFS($D$4:$D2053,"R")+1,"")</f>
        <v>1591</v>
      </c>
      <c r="C2054" s="19" t="str">
        <f t="shared" si="160"/>
        <v>B-BCP - Soles</v>
      </c>
      <c r="D2054" s="3" t="s">
        <v>1074</v>
      </c>
      <c r="E2054" s="14">
        <v>45824</v>
      </c>
      <c r="F2054" s="5" t="s">
        <v>1075</v>
      </c>
      <c r="G2054" s="5" t="s">
        <v>1079</v>
      </c>
      <c r="H2054" s="6" t="s">
        <v>192</v>
      </c>
      <c r="I2054" s="6"/>
      <c r="J2054" s="6"/>
      <c r="K2054" s="6"/>
      <c r="L2054" s="7" t="s">
        <v>3118</v>
      </c>
      <c r="M2054" s="8">
        <v>1248016</v>
      </c>
      <c r="N2054" s="8" t="str">
        <f t="shared" si="161"/>
        <v>PEN</v>
      </c>
      <c r="O2054" s="13"/>
      <c r="P2054" s="13">
        <v>830.72</v>
      </c>
      <c r="Q2054" s="3">
        <f t="shared" si="162"/>
        <v>0</v>
      </c>
      <c r="R2054" s="3">
        <f t="shared" si="163"/>
        <v>830.72</v>
      </c>
      <c r="S2054" s="3">
        <f t="shared" si="164"/>
        <v>67030.820000000036</v>
      </c>
      <c r="T2054" s="24"/>
      <c r="U2054" s="24"/>
      <c r="V2054" s="67"/>
      <c r="W2054" s="25">
        <f>IFERROR(VLOOKUP(BCP_Soles[[#This Row],[DESTINATARIO]],CHOOSE({1,2},Clientes_Proveedores[Razon Social],Clientes_Proveedores[Ruc / Dni]),2,0),"")</f>
        <v>20302891452</v>
      </c>
      <c r="X2054" s="25" t="s">
        <v>192</v>
      </c>
      <c r="Y2054" s="25"/>
      <c r="Z2054" s="25"/>
      <c r="AA2054" s="99"/>
      <c r="AB2054" s="3" t="str">
        <f>IF(BCP_Soles[[#This Row],[FECHA]]&gt;0,TEXT(BCP_Soles[[#This Row],[FECHA]],"mmmm"),0)</f>
        <v>Junio</v>
      </c>
    </row>
    <row r="2055" spans="2:28" ht="36" x14ac:dyDescent="0.3">
      <c r="B2055" s="2">
        <f>IF(BCP_Soles[[#This Row],[TIPO DE R.]]="R",COUNTIFS($D$4:$D2054,"R")+1,"")</f>
        <v>1592</v>
      </c>
      <c r="C2055" s="19" t="str">
        <f t="shared" si="160"/>
        <v>B-BCP - Soles</v>
      </c>
      <c r="D2055" s="3" t="s">
        <v>1074</v>
      </c>
      <c r="E2055" s="14">
        <v>45824</v>
      </c>
      <c r="F2055" s="5" t="s">
        <v>1075</v>
      </c>
      <c r="G2055" s="5" t="s">
        <v>1079</v>
      </c>
      <c r="H2055" s="6" t="s">
        <v>61</v>
      </c>
      <c r="I2055" s="6" t="s">
        <v>14</v>
      </c>
      <c r="J2055" s="6" t="s">
        <v>1121</v>
      </c>
      <c r="K2055" s="6">
        <v>497</v>
      </c>
      <c r="L2055" s="7" t="s">
        <v>3119</v>
      </c>
      <c r="M2055" s="8">
        <v>1247560</v>
      </c>
      <c r="N2055" s="8" t="str">
        <f t="shared" si="161"/>
        <v>PEN</v>
      </c>
      <c r="O2055" s="13"/>
      <c r="P2055" s="13">
        <v>453</v>
      </c>
      <c r="Q2055" s="3">
        <f t="shared" si="162"/>
        <v>0</v>
      </c>
      <c r="R2055" s="3">
        <f t="shared" si="163"/>
        <v>453</v>
      </c>
      <c r="S2055" s="3">
        <f t="shared" si="164"/>
        <v>66577.820000000036</v>
      </c>
      <c r="T2055" s="24" t="s">
        <v>1081</v>
      </c>
      <c r="U2055" s="24" t="s">
        <v>1081</v>
      </c>
      <c r="V2055" s="104" t="s">
        <v>3120</v>
      </c>
      <c r="W2055" s="126">
        <f>IFERROR(VLOOKUP(BCP_Soles[[#This Row],[DESTINATARIO]],CHOOSE({1,2},Clientes_Proveedores[Razon Social],Clientes_Proveedores[Ruc / Dni]),2,0),"")</f>
        <v>10295492908</v>
      </c>
      <c r="X2055" s="26" t="s">
        <v>61</v>
      </c>
      <c r="Y2055" s="26" t="s">
        <v>3121</v>
      </c>
      <c r="Z2055" s="26"/>
      <c r="AA2055" s="100"/>
      <c r="AB2055" s="3" t="str">
        <f>IF(BCP_Soles[[#This Row],[FECHA]]&gt;0,TEXT(BCP_Soles[[#This Row],[FECHA]],"mmmm"),0)</f>
        <v>Junio</v>
      </c>
    </row>
    <row r="2056" spans="2:28" ht="24" x14ac:dyDescent="0.3">
      <c r="B2056" s="2">
        <f>IF(BCP_Soles[[#This Row],[TIPO DE R.]]="R",COUNTIFS($D$4:$D2055,"R")+1,"")</f>
        <v>1593</v>
      </c>
      <c r="C2056" s="19" t="str">
        <f t="shared" si="160"/>
        <v>B-BCP - Soles</v>
      </c>
      <c r="D2056" s="3" t="s">
        <v>1074</v>
      </c>
      <c r="E2056" s="14">
        <v>45824</v>
      </c>
      <c r="F2056" s="5" t="s">
        <v>1075</v>
      </c>
      <c r="G2056" s="5" t="s">
        <v>1079</v>
      </c>
      <c r="H2056" s="6" t="s">
        <v>798</v>
      </c>
      <c r="I2056" s="6" t="s">
        <v>87</v>
      </c>
      <c r="J2056" s="6">
        <v>1</v>
      </c>
      <c r="K2056" s="6">
        <v>432025</v>
      </c>
      <c r="L2056" s="7" t="s">
        <v>3122</v>
      </c>
      <c r="M2056" s="8">
        <v>1247894</v>
      </c>
      <c r="N2056" s="8" t="str">
        <f t="shared" si="161"/>
        <v>PEN</v>
      </c>
      <c r="O2056" s="13"/>
      <c r="P2056" s="13">
        <v>238</v>
      </c>
      <c r="Q2056" s="3">
        <f t="shared" si="162"/>
        <v>0</v>
      </c>
      <c r="R2056" s="3">
        <f t="shared" si="163"/>
        <v>238</v>
      </c>
      <c r="S2056" s="3">
        <f t="shared" si="164"/>
        <v>66339.820000000036</v>
      </c>
      <c r="T2056" s="24" t="s">
        <v>1081</v>
      </c>
      <c r="U2056" s="24" t="s">
        <v>1081</v>
      </c>
      <c r="V2056" s="67"/>
      <c r="W2056" s="25">
        <f>IFERROR(VLOOKUP(BCP_Soles[[#This Row],[DESTINATARIO]],CHOOSE({1,2},Clientes_Proveedores[Razon Social],Clientes_Proveedores[Ruc / Dni]),2,0),"")</f>
        <v>70666331</v>
      </c>
      <c r="X2056" s="25" t="s">
        <v>798</v>
      </c>
      <c r="Y2056" s="25" t="s">
        <v>3123</v>
      </c>
      <c r="Z2056" s="25"/>
      <c r="AA2056" s="99"/>
      <c r="AB2056" s="3" t="str">
        <f>IF(BCP_Soles[[#This Row],[FECHA]]&gt;0,TEXT(BCP_Soles[[#This Row],[FECHA]],"mmmm"),0)</f>
        <v>Junio</v>
      </c>
    </row>
    <row r="2057" spans="2:28" ht="24" x14ac:dyDescent="0.3">
      <c r="B2057" s="2">
        <f>IF(BCP_Soles[[#This Row],[TIPO DE R.]]="R",COUNTIFS($D$4:$D2056,"R")+1,"")</f>
        <v>1594</v>
      </c>
      <c r="C2057" s="19" t="str">
        <f t="shared" si="160"/>
        <v>B-BCP - Soles</v>
      </c>
      <c r="D2057" s="3" t="s">
        <v>1074</v>
      </c>
      <c r="E2057" s="14">
        <v>45824</v>
      </c>
      <c r="F2057" s="5" t="s">
        <v>1075</v>
      </c>
      <c r="G2057" s="5" t="s">
        <v>1079</v>
      </c>
      <c r="H2057" s="6"/>
      <c r="I2057" s="6" t="s">
        <v>14</v>
      </c>
      <c r="J2057" s="6" t="s">
        <v>1121</v>
      </c>
      <c r="K2057" s="6">
        <v>423</v>
      </c>
      <c r="L2057" s="7" t="s">
        <v>3124</v>
      </c>
      <c r="M2057" s="8">
        <v>1248509</v>
      </c>
      <c r="N2057" s="8" t="str">
        <f t="shared" si="161"/>
        <v>PEN</v>
      </c>
      <c r="O2057" s="13"/>
      <c r="P2057" s="13">
        <v>140</v>
      </c>
      <c r="Q2057" s="3">
        <f t="shared" si="162"/>
        <v>0</v>
      </c>
      <c r="R2057" s="3">
        <f t="shared" si="163"/>
        <v>140</v>
      </c>
      <c r="S2057" s="3">
        <f t="shared" si="164"/>
        <v>66199.820000000036</v>
      </c>
      <c r="T2057" s="24" t="s">
        <v>1081</v>
      </c>
      <c r="U2057" s="24" t="s">
        <v>1081</v>
      </c>
      <c r="V2057" s="104" t="s">
        <v>3125</v>
      </c>
      <c r="W2057" s="126" t="str">
        <f>IFERROR(VLOOKUP(BCP_Soles[[#This Row],[DESTINATARIO]],CHOOSE({1,2},Clientes_Proveedores[Razon Social],Clientes_Proveedores[Ruc / Dni]),2,0),"")</f>
        <v/>
      </c>
      <c r="X2057" s="26" t="s">
        <v>682</v>
      </c>
      <c r="Y2057" s="26" t="s">
        <v>3126</v>
      </c>
      <c r="Z2057" s="26"/>
      <c r="AA2057" s="100"/>
      <c r="AB2057" s="3" t="str">
        <f>IF(BCP_Soles[[#This Row],[FECHA]]&gt;0,TEXT(BCP_Soles[[#This Row],[FECHA]],"mmmm"),0)</f>
        <v>Junio</v>
      </c>
    </row>
    <row r="2058" spans="2:28" ht="24" x14ac:dyDescent="0.3">
      <c r="B2058" s="2">
        <f>IF(BCP_Soles[[#This Row],[TIPO DE R.]]="R",COUNTIFS($D$4:$D2057,"R")+1,"")</f>
        <v>1595</v>
      </c>
      <c r="C2058" s="19" t="str">
        <f t="shared" si="160"/>
        <v>B-BCP - Soles</v>
      </c>
      <c r="D2058" s="3" t="s">
        <v>1074</v>
      </c>
      <c r="E2058" s="14">
        <v>45824</v>
      </c>
      <c r="F2058" s="5" t="s">
        <v>1075</v>
      </c>
      <c r="G2058" s="5" t="s">
        <v>1079</v>
      </c>
      <c r="H2058" s="6" t="s">
        <v>192</v>
      </c>
      <c r="I2058" s="6"/>
      <c r="J2058" s="6"/>
      <c r="K2058" s="6"/>
      <c r="L2058" s="7" t="s">
        <v>3127</v>
      </c>
      <c r="M2058" s="8">
        <v>1244174</v>
      </c>
      <c r="N2058" s="8" t="str">
        <f t="shared" si="161"/>
        <v>PEN</v>
      </c>
      <c r="O2058" s="13"/>
      <c r="P2058" s="13">
        <v>81.42</v>
      </c>
      <c r="Q2058" s="3">
        <f t="shared" si="162"/>
        <v>0</v>
      </c>
      <c r="R2058" s="3">
        <f t="shared" si="163"/>
        <v>81.42</v>
      </c>
      <c r="S2058" s="3">
        <f t="shared" si="164"/>
        <v>66118.400000000038</v>
      </c>
      <c r="T2058" s="24"/>
      <c r="U2058" s="24"/>
      <c r="V2058" s="67"/>
      <c r="W2058" s="25">
        <f>IFERROR(VLOOKUP(BCP_Soles[[#This Row],[DESTINATARIO]],CHOOSE({1,2},Clientes_Proveedores[Razon Social],Clientes_Proveedores[Ruc / Dni]),2,0),"")</f>
        <v>20302891452</v>
      </c>
      <c r="X2058" s="25" t="s">
        <v>192</v>
      </c>
      <c r="Y2058" s="25"/>
      <c r="Z2058" s="25"/>
      <c r="AA2058" s="99"/>
      <c r="AB2058" s="3" t="str">
        <f>IF(BCP_Soles[[#This Row],[FECHA]]&gt;0,TEXT(BCP_Soles[[#This Row],[FECHA]],"mmmm"),0)</f>
        <v>Junio</v>
      </c>
    </row>
    <row r="2059" spans="2:28" ht="24" x14ac:dyDescent="0.3">
      <c r="B2059" s="2">
        <f>IF(BCP_Soles[[#This Row],[TIPO DE R.]]="R",COUNTIFS($D$4:$D2058,"R")+1,"")</f>
        <v>1596</v>
      </c>
      <c r="C2059" s="19" t="str">
        <f t="shared" si="160"/>
        <v>B-BCP - Soles</v>
      </c>
      <c r="D2059" s="3" t="s">
        <v>1074</v>
      </c>
      <c r="E2059" s="14">
        <v>45824</v>
      </c>
      <c r="F2059" s="5" t="s">
        <v>1075</v>
      </c>
      <c r="G2059" s="5" t="s">
        <v>1079</v>
      </c>
      <c r="H2059" s="6" t="s">
        <v>192</v>
      </c>
      <c r="I2059" s="6"/>
      <c r="J2059" s="6"/>
      <c r="K2059" s="6"/>
      <c r="L2059" s="7" t="s">
        <v>3118</v>
      </c>
      <c r="M2059" s="8">
        <v>1245493</v>
      </c>
      <c r="N2059" s="8" t="str">
        <f t="shared" si="161"/>
        <v>PEN</v>
      </c>
      <c r="O2059" s="13"/>
      <c r="P2059" s="13">
        <v>40.71</v>
      </c>
      <c r="Q2059" s="3">
        <f t="shared" si="162"/>
        <v>0</v>
      </c>
      <c r="R2059" s="3">
        <f t="shared" si="163"/>
        <v>40.71</v>
      </c>
      <c r="S2059" s="3">
        <f t="shared" si="164"/>
        <v>66077.690000000031</v>
      </c>
      <c r="T2059" s="24"/>
      <c r="U2059" s="24"/>
      <c r="V2059" s="67"/>
      <c r="W2059" s="25">
        <f>IFERROR(VLOOKUP(BCP_Soles[[#This Row],[DESTINATARIO]],CHOOSE({1,2},Clientes_Proveedores[Razon Social],Clientes_Proveedores[Ruc / Dni]),2,0),"")</f>
        <v>20302891452</v>
      </c>
      <c r="X2059" s="25" t="s">
        <v>192</v>
      </c>
      <c r="Y2059" s="25"/>
      <c r="Z2059" s="25"/>
      <c r="AA2059" s="99"/>
      <c r="AB2059" s="3" t="str">
        <f>IF(BCP_Soles[[#This Row],[FECHA]]&gt;0,TEXT(BCP_Soles[[#This Row],[FECHA]],"mmmm"),0)</f>
        <v>Junio</v>
      </c>
    </row>
    <row r="2060" spans="2:28" ht="24" x14ac:dyDescent="0.3">
      <c r="B2060" s="2">
        <f>IF(BCP_Soles[[#This Row],[TIPO DE R.]]="R",COUNTIFS($D$4:$D2059,"R")+1,"")</f>
        <v>1597</v>
      </c>
      <c r="C2060" s="19" t="str">
        <f t="shared" si="160"/>
        <v>B-BCP - Soles</v>
      </c>
      <c r="D2060" s="3" t="s">
        <v>1074</v>
      </c>
      <c r="E2060" s="14">
        <v>45824</v>
      </c>
      <c r="F2060" s="5" t="s">
        <v>1078</v>
      </c>
      <c r="G2060" s="5" t="s">
        <v>1079</v>
      </c>
      <c r="H2060" s="6" t="s">
        <v>1001</v>
      </c>
      <c r="I2060" s="6" t="s">
        <v>14</v>
      </c>
      <c r="J2060" s="6" t="s">
        <v>3128</v>
      </c>
      <c r="K2060" s="6">
        <v>33908644</v>
      </c>
      <c r="L2060" s="7" t="s">
        <v>1292</v>
      </c>
      <c r="M2060" s="8">
        <v>964162</v>
      </c>
      <c r="N2060" s="8" t="str">
        <f t="shared" si="161"/>
        <v>PEN</v>
      </c>
      <c r="O2060" s="13"/>
      <c r="P2060" s="13">
        <v>10</v>
      </c>
      <c r="Q2060" s="3">
        <f t="shared" si="162"/>
        <v>0</v>
      </c>
      <c r="R2060" s="3">
        <f t="shared" si="163"/>
        <v>10</v>
      </c>
      <c r="S2060" s="3">
        <f t="shared" si="164"/>
        <v>66067.690000000031</v>
      </c>
      <c r="T2060" s="24" t="s">
        <v>1081</v>
      </c>
      <c r="U2060" s="24" t="s">
        <v>1081</v>
      </c>
      <c r="V2060" s="67"/>
      <c r="W2060" s="25">
        <f>IFERROR(VLOOKUP(BCP_Soles[[#This Row],[DESTINATARIO]],CHOOSE({1,2},Clientes_Proveedores[Razon Social],Clientes_Proveedores[Ruc / Dni]),2,0),"")</f>
        <v>20100047218</v>
      </c>
      <c r="X2060" s="25" t="s">
        <v>1078</v>
      </c>
      <c r="Y2060" s="25"/>
      <c r="Z2060" s="25"/>
      <c r="AA2060" s="99"/>
      <c r="AB2060" s="3" t="str">
        <f>IF(BCP_Soles[[#This Row],[FECHA]]&gt;0,TEXT(BCP_Soles[[#This Row],[FECHA]],"mmmm"),0)</f>
        <v>Junio</v>
      </c>
    </row>
    <row r="2061" spans="2:28" x14ac:dyDescent="0.3">
      <c r="B2061" s="2">
        <f>IF(BCP_Soles[[#This Row],[TIPO DE R.]]="R",COUNTIFS($D$4:$D2060,"R")+1,"")</f>
        <v>1598</v>
      </c>
      <c r="C2061" s="19" t="str">
        <f t="shared" si="160"/>
        <v>B-BCP - Soles</v>
      </c>
      <c r="D2061" s="3" t="s">
        <v>1074</v>
      </c>
      <c r="E2061" s="14">
        <v>45824</v>
      </c>
      <c r="F2061" s="5" t="s">
        <v>1078</v>
      </c>
      <c r="G2061" s="5" t="s">
        <v>1079</v>
      </c>
      <c r="H2061" s="6"/>
      <c r="I2061" s="6"/>
      <c r="J2061" s="6"/>
      <c r="K2061" s="6"/>
      <c r="L2061" s="7" t="s">
        <v>2868</v>
      </c>
      <c r="M2061" s="8"/>
      <c r="N2061" s="8" t="str">
        <f t="shared" si="161"/>
        <v>PEN</v>
      </c>
      <c r="O2061" s="13"/>
      <c r="P2061" s="13">
        <v>0.6</v>
      </c>
      <c r="Q2061" s="3">
        <f t="shared" si="162"/>
        <v>0</v>
      </c>
      <c r="R2061" s="3">
        <f t="shared" si="163"/>
        <v>0.6</v>
      </c>
      <c r="S2061" s="3">
        <f t="shared" si="164"/>
        <v>66067.090000000026</v>
      </c>
      <c r="T2061" s="24"/>
      <c r="U2061" s="24"/>
      <c r="V2061" s="67"/>
      <c r="W2061" s="25" t="str">
        <f>IFERROR(VLOOKUP(BCP_Soles[[#This Row],[DESTINATARIO]],CHOOSE({1,2},Clientes_Proveedores[Razon Social],Clientes_Proveedores[Ruc / Dni]),2,0),"")</f>
        <v/>
      </c>
      <c r="X2061" s="25"/>
      <c r="Y2061" s="25"/>
      <c r="Z2061" s="25"/>
      <c r="AA2061" s="99"/>
      <c r="AB2061" s="3" t="str">
        <f>IF(BCP_Soles[[#This Row],[FECHA]]&gt;0,TEXT(BCP_Soles[[#This Row],[FECHA]],"mmmm"),0)</f>
        <v>Junio</v>
      </c>
    </row>
    <row r="2062" spans="2:28" ht="36" x14ac:dyDescent="0.3">
      <c r="B2062" s="2">
        <f>IF(BCP_Soles[[#This Row],[TIPO DE R.]]="R",COUNTIFS($D$4:$D2061,"R")+1,"")</f>
        <v>1599</v>
      </c>
      <c r="C2062" s="19" t="str">
        <f t="shared" si="160"/>
        <v>B-BCP - Soles</v>
      </c>
      <c r="D2062" s="3" t="s">
        <v>1074</v>
      </c>
      <c r="E2062" s="14">
        <v>45825</v>
      </c>
      <c r="F2062" s="5" t="s">
        <v>204</v>
      </c>
      <c r="G2062" s="5" t="s">
        <v>1087</v>
      </c>
      <c r="H2062" s="6" t="s">
        <v>368</v>
      </c>
      <c r="I2062" s="6" t="s">
        <v>14</v>
      </c>
      <c r="J2062" s="6" t="s">
        <v>3010</v>
      </c>
      <c r="K2062" s="6">
        <v>62</v>
      </c>
      <c r="L2062" s="7" t="s">
        <v>3129</v>
      </c>
      <c r="M2062" s="8">
        <v>8754036</v>
      </c>
      <c r="N2062" s="8" t="str">
        <f t="shared" si="161"/>
        <v>PEN</v>
      </c>
      <c r="O2062" s="13"/>
      <c r="P2062" s="13">
        <v>28353.48</v>
      </c>
      <c r="Q2062" s="3">
        <f t="shared" si="162"/>
        <v>28353.48</v>
      </c>
      <c r="R2062" s="3">
        <f t="shared" si="163"/>
        <v>0</v>
      </c>
      <c r="S2062" s="3">
        <f t="shared" si="164"/>
        <v>94420.570000000022</v>
      </c>
      <c r="T2062" s="24" t="s">
        <v>1081</v>
      </c>
      <c r="U2062" s="24" t="s">
        <v>1081</v>
      </c>
      <c r="V2062" s="67"/>
      <c r="W2062" s="25">
        <f>IFERROR(VLOOKUP(BCP_Soles[[#This Row],[DESTINATARIO]],CHOOSE({1,2},Clientes_Proveedores[Razon Social],Clientes_Proveedores[Ruc / Dni]),2,0),"")</f>
        <v>20558226979</v>
      </c>
      <c r="X2062" s="25" t="s">
        <v>1090</v>
      </c>
      <c r="Y2062" s="25" t="s">
        <v>3130</v>
      </c>
      <c r="Z2062" s="25"/>
      <c r="AA2062" s="99"/>
      <c r="AB2062" s="3" t="str">
        <f>IF(BCP_Soles[[#This Row],[FECHA]]&gt;0,TEXT(BCP_Soles[[#This Row],[FECHA]],"mmmm"),0)</f>
        <v>Junio</v>
      </c>
    </row>
    <row r="2063" spans="2:28" ht="48" x14ac:dyDescent="0.3">
      <c r="B2063" s="2">
        <f>IF(BCP_Soles[[#This Row],[TIPO DE R.]]="R",COUNTIFS($D$4:$D2062,"R")+1,"")</f>
        <v>1600</v>
      </c>
      <c r="C2063" s="19" t="str">
        <f t="shared" si="160"/>
        <v>B-BCP - Soles</v>
      </c>
      <c r="D2063" s="3" t="s">
        <v>1074</v>
      </c>
      <c r="E2063" s="14">
        <v>45825</v>
      </c>
      <c r="F2063" s="5" t="s">
        <v>448</v>
      </c>
      <c r="G2063" s="5" t="s">
        <v>1087</v>
      </c>
      <c r="H2063" s="6"/>
      <c r="I2063" s="6"/>
      <c r="J2063" s="6"/>
      <c r="K2063" s="6"/>
      <c r="L2063" s="7" t="s">
        <v>1100</v>
      </c>
      <c r="M2063" s="8">
        <v>1166751</v>
      </c>
      <c r="N2063" s="8" t="str">
        <f t="shared" si="161"/>
        <v>PEN</v>
      </c>
      <c r="O2063" s="13"/>
      <c r="P2063" s="13">
        <v>6766.46</v>
      </c>
      <c r="Q2063" s="3">
        <f t="shared" si="162"/>
        <v>6766.46</v>
      </c>
      <c r="R2063" s="3">
        <f t="shared" si="163"/>
        <v>0</v>
      </c>
      <c r="S2063" s="3">
        <f t="shared" si="164"/>
        <v>101187.03000000003</v>
      </c>
      <c r="T2063" s="24" t="s">
        <v>1081</v>
      </c>
      <c r="U2063" s="24" t="s">
        <v>1081</v>
      </c>
      <c r="V2063" s="67"/>
      <c r="W2063" s="25" t="str">
        <f>IFERROR(VLOOKUP(BCP_Soles[[#This Row],[DESTINATARIO]],CHOOSE({1,2},Clientes_Proveedores[Razon Social],Clientes_Proveedores[Ruc / Dni]),2,0),"")</f>
        <v/>
      </c>
      <c r="X2063" s="25" t="s">
        <v>1090</v>
      </c>
      <c r="Y2063" s="25" t="s">
        <v>3131</v>
      </c>
      <c r="Z2063" s="25"/>
      <c r="AA2063" s="99"/>
      <c r="AB2063" s="3" t="str">
        <f>IF(BCP_Soles[[#This Row],[FECHA]]&gt;0,TEXT(BCP_Soles[[#This Row],[FECHA]],"mmmm"),0)</f>
        <v>Junio</v>
      </c>
    </row>
    <row r="2064" spans="2:28" ht="48" x14ac:dyDescent="0.3">
      <c r="B2064" s="2" t="str">
        <f>IF(BCP_Soles[[#This Row],[TIPO DE R.]]="R",COUNTIFS($D$4:$D2063,"R")+1,"")</f>
        <v/>
      </c>
      <c r="C2064" s="19" t="str">
        <f t="shared" si="160"/>
        <v>B-BCP - Soles</v>
      </c>
      <c r="D2064" s="3" t="s">
        <v>1101</v>
      </c>
      <c r="E2064" s="14">
        <v>45825</v>
      </c>
      <c r="F2064" s="5" t="s">
        <v>448</v>
      </c>
      <c r="G2064" s="5"/>
      <c r="H2064" s="6" t="s">
        <v>368</v>
      </c>
      <c r="I2064" s="6" t="s">
        <v>14</v>
      </c>
      <c r="J2064" s="6" t="s">
        <v>3091</v>
      </c>
      <c r="K2064" s="6">
        <v>20</v>
      </c>
      <c r="L2064" s="7" t="s">
        <v>1100</v>
      </c>
      <c r="M2064" s="8">
        <v>1166751</v>
      </c>
      <c r="N2064" s="8" t="str">
        <f t="shared" si="161"/>
        <v>PEN</v>
      </c>
      <c r="O2064" s="13">
        <v>1579.5</v>
      </c>
      <c r="P2064" s="13"/>
      <c r="Q2064" s="3">
        <f t="shared" si="162"/>
        <v>0</v>
      </c>
      <c r="R2064" s="3">
        <f t="shared" si="163"/>
        <v>0</v>
      </c>
      <c r="S2064" s="3">
        <f t="shared" si="164"/>
        <v>101187.03000000003</v>
      </c>
      <c r="T2064" s="24"/>
      <c r="U2064" s="24" t="s">
        <v>1081</v>
      </c>
      <c r="V2064" s="67"/>
      <c r="W2064" s="25">
        <f>IFERROR(VLOOKUP(BCP_Soles[[#This Row],[DESTINATARIO]],CHOOSE({1,2},Clientes_Proveedores[Razon Social],Clientes_Proveedores[Ruc / Dni]),2,0),"")</f>
        <v>20558226979</v>
      </c>
      <c r="X2064" s="25"/>
      <c r="Y2064" s="25"/>
      <c r="Z2064" s="25"/>
      <c r="AA2064" s="99"/>
      <c r="AB2064" s="3" t="str">
        <f>IF(BCP_Soles[[#This Row],[FECHA]]&gt;0,TEXT(BCP_Soles[[#This Row],[FECHA]],"mmmm"),0)</f>
        <v>Junio</v>
      </c>
    </row>
    <row r="2065" spans="2:28" ht="48" x14ac:dyDescent="0.3">
      <c r="B2065" s="2" t="str">
        <f>IF(BCP_Soles[[#This Row],[TIPO DE R.]]="R",COUNTIFS($D$4:$D2064,"R")+1,"")</f>
        <v/>
      </c>
      <c r="C2065" s="19" t="str">
        <f t="shared" si="160"/>
        <v>B-BCP - Soles</v>
      </c>
      <c r="D2065" s="3" t="s">
        <v>1101</v>
      </c>
      <c r="E2065" s="14">
        <v>45825</v>
      </c>
      <c r="F2065" s="5" t="s">
        <v>448</v>
      </c>
      <c r="G2065" s="5"/>
      <c r="H2065" s="6" t="s">
        <v>368</v>
      </c>
      <c r="I2065" s="6" t="s">
        <v>14</v>
      </c>
      <c r="J2065" s="6" t="s">
        <v>3091</v>
      </c>
      <c r="K2065" s="6">
        <v>25</v>
      </c>
      <c r="L2065" s="7" t="s">
        <v>1100</v>
      </c>
      <c r="M2065" s="8">
        <v>1166751</v>
      </c>
      <c r="N2065" s="8" t="str">
        <f t="shared" si="161"/>
        <v>PEN</v>
      </c>
      <c r="O2065" s="13">
        <v>3312.54</v>
      </c>
      <c r="P2065" s="13"/>
      <c r="Q2065" s="3">
        <f t="shared" si="162"/>
        <v>0</v>
      </c>
      <c r="R2065" s="3">
        <f t="shared" si="163"/>
        <v>0</v>
      </c>
      <c r="S2065" s="3">
        <f t="shared" si="164"/>
        <v>101187.03000000003</v>
      </c>
      <c r="T2065" s="24"/>
      <c r="U2065" s="24" t="s">
        <v>1081</v>
      </c>
      <c r="V2065" s="67"/>
      <c r="W2065" s="25">
        <f>IFERROR(VLOOKUP(BCP_Soles[[#This Row],[DESTINATARIO]],CHOOSE({1,2},Clientes_Proveedores[Razon Social],Clientes_Proveedores[Ruc / Dni]),2,0),"")</f>
        <v>20558226979</v>
      </c>
      <c r="X2065" s="25"/>
      <c r="Y2065" s="25"/>
      <c r="Z2065" s="25"/>
      <c r="AA2065" s="99"/>
      <c r="AB2065" s="3" t="str">
        <f>IF(BCP_Soles[[#This Row],[FECHA]]&gt;0,TEXT(BCP_Soles[[#This Row],[FECHA]],"mmmm"),0)</f>
        <v>Junio</v>
      </c>
    </row>
    <row r="2066" spans="2:28" ht="48" x14ac:dyDescent="0.3">
      <c r="B2066" s="2" t="str">
        <f>IF(BCP_Soles[[#This Row],[TIPO DE R.]]="R",COUNTIFS($D$4:$D2065,"R")+1,"")</f>
        <v/>
      </c>
      <c r="C2066" s="19" t="str">
        <f t="shared" si="160"/>
        <v>B-BCP - Soles</v>
      </c>
      <c r="D2066" s="3" t="s">
        <v>1101</v>
      </c>
      <c r="E2066" s="14">
        <v>45825</v>
      </c>
      <c r="F2066" s="5" t="s">
        <v>448</v>
      </c>
      <c r="G2066" s="5"/>
      <c r="H2066" s="6" t="s">
        <v>368</v>
      </c>
      <c r="I2066" s="6" t="s">
        <v>14</v>
      </c>
      <c r="J2066" s="6" t="s">
        <v>3091</v>
      </c>
      <c r="K2066" s="6">
        <v>33</v>
      </c>
      <c r="L2066" s="7" t="s">
        <v>1100</v>
      </c>
      <c r="M2066" s="8">
        <v>1166751</v>
      </c>
      <c r="N2066" s="8" t="str">
        <f t="shared" si="161"/>
        <v>PEN</v>
      </c>
      <c r="O2066" s="13">
        <v>1874.42</v>
      </c>
      <c r="P2066" s="13"/>
      <c r="Q2066" s="3">
        <f t="shared" si="162"/>
        <v>0</v>
      </c>
      <c r="R2066" s="3">
        <f t="shared" si="163"/>
        <v>0</v>
      </c>
      <c r="S2066" s="3">
        <f t="shared" si="164"/>
        <v>101187.03000000003</v>
      </c>
      <c r="T2066" s="24"/>
      <c r="U2066" s="24" t="s">
        <v>1081</v>
      </c>
      <c r="V2066" s="67"/>
      <c r="W2066" s="25">
        <f>IFERROR(VLOOKUP(BCP_Soles[[#This Row],[DESTINATARIO]],CHOOSE({1,2},Clientes_Proveedores[Razon Social],Clientes_Proveedores[Ruc / Dni]),2,0),"")</f>
        <v>20558226979</v>
      </c>
      <c r="X2066" s="25"/>
      <c r="Y2066" s="25"/>
      <c r="Z2066" s="25"/>
      <c r="AA2066" s="99"/>
      <c r="AB2066" s="3" t="str">
        <f>IF(BCP_Soles[[#This Row],[FECHA]]&gt;0,TEXT(BCP_Soles[[#This Row],[FECHA]],"mmmm"),0)</f>
        <v>Junio</v>
      </c>
    </row>
    <row r="2067" spans="2:28" x14ac:dyDescent="0.3">
      <c r="B2067" s="2">
        <f>IF(BCP_Soles[[#This Row],[TIPO DE R.]]="R",COUNTIFS($D$4:$D2066,"R")+1,"")</f>
        <v>1601</v>
      </c>
      <c r="C2067" s="19" t="str">
        <f t="shared" si="160"/>
        <v>B-BCP - Soles</v>
      </c>
      <c r="D2067" s="3" t="s">
        <v>1074</v>
      </c>
      <c r="E2067" s="14">
        <v>45825</v>
      </c>
      <c r="F2067" s="5" t="s">
        <v>1075</v>
      </c>
      <c r="G2067" s="5" t="s">
        <v>1079</v>
      </c>
      <c r="H2067" s="6" t="s">
        <v>638</v>
      </c>
      <c r="I2067" s="6"/>
      <c r="J2067" s="6"/>
      <c r="K2067" s="6"/>
      <c r="L2067" s="7" t="s">
        <v>3132</v>
      </c>
      <c r="M2067" s="8">
        <v>8756843</v>
      </c>
      <c r="N2067" s="8" t="str">
        <f t="shared" si="161"/>
        <v>PEN</v>
      </c>
      <c r="O2067" s="13"/>
      <c r="P2067" s="13">
        <v>5972.44</v>
      </c>
      <c r="Q2067" s="3">
        <f t="shared" si="162"/>
        <v>0</v>
      </c>
      <c r="R2067" s="3">
        <f t="shared" si="163"/>
        <v>5972.44</v>
      </c>
      <c r="S2067" s="3">
        <f t="shared" si="164"/>
        <v>95214.590000000026</v>
      </c>
      <c r="T2067" s="24" t="s">
        <v>1081</v>
      </c>
      <c r="U2067" s="24" t="s">
        <v>1081</v>
      </c>
      <c r="V2067" s="104" t="s">
        <v>3133</v>
      </c>
      <c r="W2067" s="126">
        <f>IFERROR(VLOOKUP(BCP_Soles[[#This Row],[DESTINATARIO]],CHOOSE({1,2},Clientes_Proveedores[Razon Social],Clientes_Proveedores[Ruc / Dni]),2,0),"")</f>
        <v>0</v>
      </c>
      <c r="X2067" s="26" t="s">
        <v>1118</v>
      </c>
      <c r="Y2067" s="26"/>
      <c r="Z2067" s="26"/>
      <c r="AA2067" s="100"/>
      <c r="AB2067" s="3" t="str">
        <f>IF(BCP_Soles[[#This Row],[FECHA]]&gt;0,TEXT(BCP_Soles[[#This Row],[FECHA]],"mmmm"),0)</f>
        <v>Junio</v>
      </c>
    </row>
    <row r="2068" spans="2:28" ht="36" x14ac:dyDescent="0.3">
      <c r="B2068" s="2" t="str">
        <f>IF(BCP_Soles[[#This Row],[TIPO DE R.]]="R",COUNTIFS($D$4:$D2067,"R")+1,"")</f>
        <v/>
      </c>
      <c r="C2068" s="19" t="str">
        <f t="shared" si="160"/>
        <v>B-BCP - Soles</v>
      </c>
      <c r="D2068" s="3" t="s">
        <v>1101</v>
      </c>
      <c r="E2068" s="14">
        <v>45825</v>
      </c>
      <c r="F2068" s="5" t="s">
        <v>1075</v>
      </c>
      <c r="G2068" s="5"/>
      <c r="H2068" s="6" t="s">
        <v>326</v>
      </c>
      <c r="I2068" s="6" t="s">
        <v>14</v>
      </c>
      <c r="J2068" s="6" t="s">
        <v>1541</v>
      </c>
      <c r="K2068" s="6">
        <v>865</v>
      </c>
      <c r="L2068" s="7" t="s">
        <v>3132</v>
      </c>
      <c r="M2068" s="8">
        <v>8756843</v>
      </c>
      <c r="N2068" s="8" t="str">
        <f t="shared" si="161"/>
        <v>PEN</v>
      </c>
      <c r="O2068" s="13">
        <v>180.48</v>
      </c>
      <c r="P2068" s="13"/>
      <c r="Q2068" s="3">
        <f t="shared" si="162"/>
        <v>0</v>
      </c>
      <c r="R2068" s="3">
        <f t="shared" si="163"/>
        <v>0</v>
      </c>
      <c r="S2068" s="3">
        <f t="shared" si="164"/>
        <v>95214.590000000026</v>
      </c>
      <c r="T2068" s="24"/>
      <c r="U2068" s="24" t="s">
        <v>1081</v>
      </c>
      <c r="V2068" s="104"/>
      <c r="W2068" s="126">
        <f>IFERROR(VLOOKUP(BCP_Soles[[#This Row],[DESTINATARIO]],CHOOSE({1,2},Clientes_Proveedores[Razon Social],Clientes_Proveedores[Ruc / Dni]),2,0),"")</f>
        <v>20538593053</v>
      </c>
      <c r="X2068" s="26"/>
      <c r="Y2068" s="26"/>
      <c r="Z2068" s="26"/>
      <c r="AA2068" s="100"/>
      <c r="AB2068" s="3" t="str">
        <f>IF(BCP_Soles[[#This Row],[FECHA]]&gt;0,TEXT(BCP_Soles[[#This Row],[FECHA]],"mmmm"),0)</f>
        <v>Junio</v>
      </c>
    </row>
    <row r="2069" spans="2:28" x14ac:dyDescent="0.3">
      <c r="B2069" s="2" t="str">
        <f>IF(BCP_Soles[[#This Row],[TIPO DE R.]]="R",COUNTIFS($D$4:$D2068,"R")+1,"")</f>
        <v/>
      </c>
      <c r="C2069" s="19" t="str">
        <f t="shared" si="160"/>
        <v>B-BCP - Soles</v>
      </c>
      <c r="D2069" s="3" t="s">
        <v>1101</v>
      </c>
      <c r="E2069" s="14">
        <v>45825</v>
      </c>
      <c r="F2069" s="5" t="s">
        <v>1075</v>
      </c>
      <c r="G2069" s="5"/>
      <c r="H2069" s="6" t="s">
        <v>465</v>
      </c>
      <c r="I2069" s="6" t="s">
        <v>14</v>
      </c>
      <c r="J2069" s="6" t="s">
        <v>1121</v>
      </c>
      <c r="K2069" s="6">
        <v>3932</v>
      </c>
      <c r="L2069" s="7" t="s">
        <v>3132</v>
      </c>
      <c r="M2069" s="8">
        <v>8756843</v>
      </c>
      <c r="N2069" s="8" t="str">
        <f t="shared" si="161"/>
        <v>PEN</v>
      </c>
      <c r="O2069" s="13">
        <v>250.75</v>
      </c>
      <c r="P2069" s="13"/>
      <c r="Q2069" s="3">
        <f t="shared" si="162"/>
        <v>0</v>
      </c>
      <c r="R2069" s="3">
        <f t="shared" si="163"/>
        <v>0</v>
      </c>
      <c r="S2069" s="3">
        <f t="shared" si="164"/>
        <v>95214.590000000026</v>
      </c>
      <c r="T2069" s="24"/>
      <c r="U2069" s="24" t="s">
        <v>1081</v>
      </c>
      <c r="V2069" s="104"/>
      <c r="W2069" s="126">
        <f>IFERROR(VLOOKUP(BCP_Soles[[#This Row],[DESTINATARIO]],CHOOSE({1,2},Clientes_Proveedores[Razon Social],Clientes_Proveedores[Ruc / Dni]),2,0),"")</f>
        <v>20603974817</v>
      </c>
      <c r="X2069" s="26"/>
      <c r="Y2069" s="26"/>
      <c r="Z2069" s="26"/>
      <c r="AA2069" s="100"/>
      <c r="AB2069" s="3" t="str">
        <f>IF(BCP_Soles[[#This Row],[FECHA]]&gt;0,TEXT(BCP_Soles[[#This Row],[FECHA]],"mmmm"),0)</f>
        <v>Junio</v>
      </c>
    </row>
    <row r="2070" spans="2:28" x14ac:dyDescent="0.3">
      <c r="B2070" s="2" t="str">
        <f>IF(BCP_Soles[[#This Row],[TIPO DE R.]]="R",COUNTIFS($D$4:$D2069,"R")+1,"")</f>
        <v/>
      </c>
      <c r="C2070" s="19" t="str">
        <f t="shared" si="160"/>
        <v>B-BCP - Soles</v>
      </c>
      <c r="D2070" s="3" t="s">
        <v>1101</v>
      </c>
      <c r="E2070" s="14">
        <v>45825</v>
      </c>
      <c r="F2070" s="5" t="s">
        <v>1075</v>
      </c>
      <c r="G2070" s="5"/>
      <c r="H2070" s="6" t="s">
        <v>465</v>
      </c>
      <c r="I2070" s="6" t="s">
        <v>14</v>
      </c>
      <c r="J2070" s="6" t="s">
        <v>1121</v>
      </c>
      <c r="K2070" s="6">
        <v>3933</v>
      </c>
      <c r="L2070" s="7" t="s">
        <v>3132</v>
      </c>
      <c r="M2070" s="8">
        <v>8756843</v>
      </c>
      <c r="N2070" s="8" t="str">
        <f t="shared" si="161"/>
        <v>PEN</v>
      </c>
      <c r="O2070" s="13">
        <v>150.44999999999999</v>
      </c>
      <c r="P2070" s="13"/>
      <c r="Q2070" s="3">
        <f t="shared" si="162"/>
        <v>0</v>
      </c>
      <c r="R2070" s="3">
        <f t="shared" si="163"/>
        <v>0</v>
      </c>
      <c r="S2070" s="3">
        <f t="shared" si="164"/>
        <v>95214.590000000026</v>
      </c>
      <c r="T2070" s="24"/>
      <c r="U2070" s="24" t="s">
        <v>1081</v>
      </c>
      <c r="V2070" s="104"/>
      <c r="W2070" s="126">
        <f>IFERROR(VLOOKUP(BCP_Soles[[#This Row],[DESTINATARIO]],CHOOSE({1,2},Clientes_Proveedores[Razon Social],Clientes_Proveedores[Ruc / Dni]),2,0),"")</f>
        <v>20603974817</v>
      </c>
      <c r="X2070" s="26"/>
      <c r="Y2070" s="26"/>
      <c r="Z2070" s="26"/>
      <c r="AA2070" s="100"/>
      <c r="AB2070" s="3" t="str">
        <f>IF(BCP_Soles[[#This Row],[FECHA]]&gt;0,TEXT(BCP_Soles[[#This Row],[FECHA]],"mmmm"),0)</f>
        <v>Junio</v>
      </c>
    </row>
    <row r="2071" spans="2:28" x14ac:dyDescent="0.3">
      <c r="B2071" s="2" t="str">
        <f>IF(BCP_Soles[[#This Row],[TIPO DE R.]]="R",COUNTIFS($D$4:$D2070,"R")+1,"")</f>
        <v/>
      </c>
      <c r="C2071" s="19" t="str">
        <f t="shared" si="160"/>
        <v>B-BCP - Soles</v>
      </c>
      <c r="D2071" s="3" t="s">
        <v>1101</v>
      </c>
      <c r="E2071" s="14">
        <v>45825</v>
      </c>
      <c r="F2071" s="5" t="s">
        <v>1075</v>
      </c>
      <c r="G2071" s="5"/>
      <c r="H2071" s="6" t="s">
        <v>465</v>
      </c>
      <c r="I2071" s="6" t="s">
        <v>14</v>
      </c>
      <c r="J2071" s="6" t="s">
        <v>1121</v>
      </c>
      <c r="K2071" s="6">
        <v>3922</v>
      </c>
      <c r="L2071" s="7" t="s">
        <v>3132</v>
      </c>
      <c r="M2071" s="8">
        <v>8756843</v>
      </c>
      <c r="N2071" s="8" t="str">
        <f t="shared" si="161"/>
        <v>PEN</v>
      </c>
      <c r="O2071" s="13">
        <v>250.75</v>
      </c>
      <c r="P2071" s="13"/>
      <c r="Q2071" s="3">
        <f t="shared" si="162"/>
        <v>0</v>
      </c>
      <c r="R2071" s="3">
        <f t="shared" si="163"/>
        <v>0</v>
      </c>
      <c r="S2071" s="3">
        <f t="shared" si="164"/>
        <v>95214.590000000026</v>
      </c>
      <c r="T2071" s="24"/>
      <c r="U2071" s="24" t="s">
        <v>1081</v>
      </c>
      <c r="V2071" s="104"/>
      <c r="W2071" s="126">
        <f>IFERROR(VLOOKUP(BCP_Soles[[#This Row],[DESTINATARIO]],CHOOSE({1,2},Clientes_Proveedores[Razon Social],Clientes_Proveedores[Ruc / Dni]),2,0),"")</f>
        <v>20603974817</v>
      </c>
      <c r="X2071" s="26"/>
      <c r="Y2071" s="26"/>
      <c r="Z2071" s="26"/>
      <c r="AA2071" s="100"/>
      <c r="AB2071" s="3" t="str">
        <f>IF(BCP_Soles[[#This Row],[FECHA]]&gt;0,TEXT(BCP_Soles[[#This Row],[FECHA]],"mmmm"),0)</f>
        <v>Junio</v>
      </c>
    </row>
    <row r="2072" spans="2:28" x14ac:dyDescent="0.3">
      <c r="B2072" s="2" t="str">
        <f>IF(BCP_Soles[[#This Row],[TIPO DE R.]]="R",COUNTIFS($D$4:$D2071,"R")+1,"")</f>
        <v/>
      </c>
      <c r="C2072" s="19" t="str">
        <f t="shared" si="160"/>
        <v>B-BCP - Soles</v>
      </c>
      <c r="D2072" s="3" t="s">
        <v>1101</v>
      </c>
      <c r="E2072" s="14">
        <v>45825</v>
      </c>
      <c r="F2072" s="5" t="s">
        <v>1075</v>
      </c>
      <c r="G2072" s="5"/>
      <c r="H2072" s="6" t="s">
        <v>465</v>
      </c>
      <c r="I2072" s="6" t="s">
        <v>14</v>
      </c>
      <c r="J2072" s="6" t="s">
        <v>1121</v>
      </c>
      <c r="K2072" s="6">
        <v>3926</v>
      </c>
      <c r="L2072" s="7" t="s">
        <v>3132</v>
      </c>
      <c r="M2072" s="8">
        <v>8756843</v>
      </c>
      <c r="N2072" s="8" t="str">
        <f t="shared" si="161"/>
        <v>PEN</v>
      </c>
      <c r="O2072" s="13">
        <v>300.89999999999998</v>
      </c>
      <c r="P2072" s="13"/>
      <c r="Q2072" s="3">
        <f t="shared" si="162"/>
        <v>0</v>
      </c>
      <c r="R2072" s="3">
        <f t="shared" si="163"/>
        <v>0</v>
      </c>
      <c r="S2072" s="3">
        <f t="shared" si="164"/>
        <v>95214.590000000026</v>
      </c>
      <c r="T2072" s="24"/>
      <c r="U2072" s="24" t="s">
        <v>1081</v>
      </c>
      <c r="V2072" s="104"/>
      <c r="W2072" s="126">
        <f>IFERROR(VLOOKUP(BCP_Soles[[#This Row],[DESTINATARIO]],CHOOSE({1,2},Clientes_Proveedores[Razon Social],Clientes_Proveedores[Ruc / Dni]),2,0),"")</f>
        <v>20603974817</v>
      </c>
      <c r="X2072" s="26"/>
      <c r="Y2072" s="26"/>
      <c r="Z2072" s="26"/>
      <c r="AA2072" s="100"/>
      <c r="AB2072" s="3" t="str">
        <f>IF(BCP_Soles[[#This Row],[FECHA]]&gt;0,TEXT(BCP_Soles[[#This Row],[FECHA]],"mmmm"),0)</f>
        <v>Junio</v>
      </c>
    </row>
    <row r="2073" spans="2:28" ht="24" x14ac:dyDescent="0.3">
      <c r="B2073" s="2" t="str">
        <f>IF(BCP_Soles[[#This Row],[TIPO DE R.]]="R",COUNTIFS($D$4:$D2072,"R")+1,"")</f>
        <v/>
      </c>
      <c r="C2073" s="19" t="str">
        <f t="shared" si="160"/>
        <v>B-BCP - Soles</v>
      </c>
      <c r="D2073" s="3" t="s">
        <v>1101</v>
      </c>
      <c r="E2073" s="14">
        <v>45825</v>
      </c>
      <c r="F2073" s="5" t="s">
        <v>1075</v>
      </c>
      <c r="G2073" s="5"/>
      <c r="H2073" s="6" t="s">
        <v>536</v>
      </c>
      <c r="I2073" s="6" t="s">
        <v>14</v>
      </c>
      <c r="J2073" s="6" t="s">
        <v>1121</v>
      </c>
      <c r="K2073" s="6">
        <v>2245</v>
      </c>
      <c r="L2073" s="7" t="s">
        <v>3132</v>
      </c>
      <c r="M2073" s="8">
        <v>8756843</v>
      </c>
      <c r="N2073" s="8" t="str">
        <f t="shared" si="161"/>
        <v>PEN</v>
      </c>
      <c r="O2073" s="13">
        <v>70.8</v>
      </c>
      <c r="P2073" s="13"/>
      <c r="Q2073" s="3">
        <f t="shared" si="162"/>
        <v>0</v>
      </c>
      <c r="R2073" s="3">
        <f t="shared" si="163"/>
        <v>0</v>
      </c>
      <c r="S2073" s="3">
        <f t="shared" si="164"/>
        <v>95214.590000000026</v>
      </c>
      <c r="T2073" s="24"/>
      <c r="U2073" s="24" t="s">
        <v>1081</v>
      </c>
      <c r="V2073" s="104"/>
      <c r="W2073" s="126">
        <f>IFERROR(VLOOKUP(BCP_Soles[[#This Row],[DESTINATARIO]],CHOOSE({1,2},Clientes_Proveedores[Razon Social],Clientes_Proveedores[Ruc / Dni]),2,0),"")</f>
        <v>20609764261</v>
      </c>
      <c r="X2073" s="26"/>
      <c r="Y2073" s="26"/>
      <c r="Z2073" s="26"/>
      <c r="AA2073" s="100"/>
      <c r="AB2073" s="3" t="str">
        <f>IF(BCP_Soles[[#This Row],[FECHA]]&gt;0,TEXT(BCP_Soles[[#This Row],[FECHA]],"mmmm"),0)</f>
        <v>Junio</v>
      </c>
    </row>
    <row r="2074" spans="2:28" ht="24" x14ac:dyDescent="0.3">
      <c r="B2074" s="2" t="str">
        <f>IF(BCP_Soles[[#This Row],[TIPO DE R.]]="R",COUNTIFS($D$4:$D2073,"R")+1,"")</f>
        <v/>
      </c>
      <c r="C2074" s="19" t="str">
        <f t="shared" si="160"/>
        <v>B-BCP - Soles</v>
      </c>
      <c r="D2074" s="3" t="s">
        <v>1101</v>
      </c>
      <c r="E2074" s="14">
        <v>45825</v>
      </c>
      <c r="F2074" s="5" t="s">
        <v>1075</v>
      </c>
      <c r="G2074" s="5"/>
      <c r="H2074" s="6" t="s">
        <v>609</v>
      </c>
      <c r="I2074" s="6" t="s">
        <v>14</v>
      </c>
      <c r="J2074" s="6" t="s">
        <v>1121</v>
      </c>
      <c r="K2074" s="6">
        <v>32</v>
      </c>
      <c r="L2074" s="7" t="s">
        <v>3132</v>
      </c>
      <c r="M2074" s="8">
        <v>8756843</v>
      </c>
      <c r="N2074" s="8" t="str">
        <f t="shared" si="161"/>
        <v>PEN</v>
      </c>
      <c r="O2074" s="13">
        <v>354</v>
      </c>
      <c r="P2074" s="13"/>
      <c r="Q2074" s="3">
        <f t="shared" si="162"/>
        <v>0</v>
      </c>
      <c r="R2074" s="3">
        <f t="shared" si="163"/>
        <v>0</v>
      </c>
      <c r="S2074" s="3">
        <f t="shared" si="164"/>
        <v>95214.590000000026</v>
      </c>
      <c r="T2074" s="24"/>
      <c r="U2074" s="24" t="s">
        <v>1081</v>
      </c>
      <c r="V2074" s="104"/>
      <c r="W2074" s="126">
        <f>IFERROR(VLOOKUP(BCP_Soles[[#This Row],[DESTINATARIO]],CHOOSE({1,2},Clientes_Proveedores[Razon Social],Clientes_Proveedores[Ruc / Dni]),2,0),"")</f>
        <v>10410687491</v>
      </c>
      <c r="X2074" s="26"/>
      <c r="Y2074" s="26"/>
      <c r="Z2074" s="26"/>
      <c r="AA2074" s="100"/>
      <c r="AB2074" s="3" t="str">
        <f>IF(BCP_Soles[[#This Row],[FECHA]]&gt;0,TEXT(BCP_Soles[[#This Row],[FECHA]],"mmmm"),0)</f>
        <v>Junio</v>
      </c>
    </row>
    <row r="2075" spans="2:28" ht="24" x14ac:dyDescent="0.3">
      <c r="B2075" s="2" t="str">
        <f>IF(BCP_Soles[[#This Row],[TIPO DE R.]]="R",COUNTIFS($D$4:$D2074,"R")+1,"")</f>
        <v/>
      </c>
      <c r="C2075" s="19" t="str">
        <f t="shared" si="160"/>
        <v>B-BCP - Soles</v>
      </c>
      <c r="D2075" s="3" t="s">
        <v>1101</v>
      </c>
      <c r="E2075" s="14">
        <v>45825</v>
      </c>
      <c r="F2075" s="5" t="s">
        <v>1075</v>
      </c>
      <c r="G2075" s="5"/>
      <c r="H2075" s="6" t="s">
        <v>634</v>
      </c>
      <c r="I2075" s="6" t="s">
        <v>14</v>
      </c>
      <c r="J2075" s="6" t="s">
        <v>1121</v>
      </c>
      <c r="K2075" s="6">
        <v>1</v>
      </c>
      <c r="L2075" s="7" t="s">
        <v>3132</v>
      </c>
      <c r="M2075" s="8">
        <v>8756843</v>
      </c>
      <c r="N2075" s="8" t="str">
        <f t="shared" si="161"/>
        <v>PEN</v>
      </c>
      <c r="O2075" s="13">
        <v>453</v>
      </c>
      <c r="P2075" s="13"/>
      <c r="Q2075" s="3">
        <f t="shared" si="162"/>
        <v>0</v>
      </c>
      <c r="R2075" s="3">
        <f t="shared" si="163"/>
        <v>0</v>
      </c>
      <c r="S2075" s="3">
        <f t="shared" si="164"/>
        <v>95214.590000000026</v>
      </c>
      <c r="T2075" s="24"/>
      <c r="U2075" s="24" t="s">
        <v>1081</v>
      </c>
      <c r="V2075" s="104"/>
      <c r="W2075" s="126">
        <f>IFERROR(VLOOKUP(BCP_Soles[[#This Row],[DESTINATARIO]],CHOOSE({1,2},Clientes_Proveedores[Razon Social],Clientes_Proveedores[Ruc / Dni]),2,0),"")</f>
        <v>10736055631</v>
      </c>
      <c r="X2075" s="26"/>
      <c r="Y2075" s="26"/>
      <c r="Z2075" s="26"/>
      <c r="AA2075" s="100"/>
      <c r="AB2075" s="3" t="str">
        <f>IF(BCP_Soles[[#This Row],[FECHA]]&gt;0,TEXT(BCP_Soles[[#This Row],[FECHA]],"mmmm"),0)</f>
        <v>Junio</v>
      </c>
    </row>
    <row r="2076" spans="2:28" x14ac:dyDescent="0.3">
      <c r="B2076" s="2" t="str">
        <f>IF(BCP_Soles[[#This Row],[TIPO DE R.]]="R",COUNTIFS($D$4:$D2075,"R")+1,"")</f>
        <v/>
      </c>
      <c r="C2076" s="19" t="str">
        <f t="shared" si="160"/>
        <v>B-BCP - Soles</v>
      </c>
      <c r="D2076" s="3" t="s">
        <v>1101</v>
      </c>
      <c r="E2076" s="14">
        <v>45825</v>
      </c>
      <c r="F2076" s="5" t="s">
        <v>1075</v>
      </c>
      <c r="G2076" s="5"/>
      <c r="H2076" s="6" t="s">
        <v>465</v>
      </c>
      <c r="I2076" s="6" t="s">
        <v>14</v>
      </c>
      <c r="J2076" s="6" t="s">
        <v>1121</v>
      </c>
      <c r="K2076" s="6">
        <v>3924</v>
      </c>
      <c r="L2076" s="7" t="s">
        <v>3132</v>
      </c>
      <c r="M2076" s="8">
        <v>8756843</v>
      </c>
      <c r="N2076" s="8" t="str">
        <f t="shared" si="161"/>
        <v>PEN</v>
      </c>
      <c r="O2076" s="13">
        <v>501.5</v>
      </c>
      <c r="P2076" s="13"/>
      <c r="Q2076" s="3">
        <f t="shared" si="162"/>
        <v>0</v>
      </c>
      <c r="R2076" s="3">
        <f t="shared" si="163"/>
        <v>0</v>
      </c>
      <c r="S2076" s="3">
        <f t="shared" si="164"/>
        <v>95214.590000000026</v>
      </c>
      <c r="T2076" s="24"/>
      <c r="U2076" s="24" t="s">
        <v>1081</v>
      </c>
      <c r="V2076" s="104"/>
      <c r="W2076" s="126">
        <f>IFERROR(VLOOKUP(BCP_Soles[[#This Row],[DESTINATARIO]],CHOOSE({1,2},Clientes_Proveedores[Razon Social],Clientes_Proveedores[Ruc / Dni]),2,0),"")</f>
        <v>20603974817</v>
      </c>
      <c r="X2076" s="26"/>
      <c r="Y2076" s="26"/>
      <c r="Z2076" s="26"/>
      <c r="AA2076" s="100"/>
      <c r="AB2076" s="3" t="str">
        <f>IF(BCP_Soles[[#This Row],[FECHA]]&gt;0,TEXT(BCP_Soles[[#This Row],[FECHA]],"mmmm"),0)</f>
        <v>Junio</v>
      </c>
    </row>
    <row r="2077" spans="2:28" ht="24" x14ac:dyDescent="0.3">
      <c r="B2077" s="2" t="str">
        <f>IF(BCP_Soles[[#This Row],[TIPO DE R.]]="R",COUNTIFS($D$4:$D2076,"R")+1,"")</f>
        <v/>
      </c>
      <c r="C2077" s="19" t="str">
        <f t="shared" si="160"/>
        <v>B-BCP - Soles</v>
      </c>
      <c r="D2077" s="3" t="s">
        <v>1101</v>
      </c>
      <c r="E2077" s="14">
        <v>45825</v>
      </c>
      <c r="F2077" s="5" t="s">
        <v>1075</v>
      </c>
      <c r="G2077" s="5"/>
      <c r="H2077" s="6" t="s">
        <v>214</v>
      </c>
      <c r="I2077" s="6" t="s">
        <v>14</v>
      </c>
      <c r="J2077" s="6" t="s">
        <v>1120</v>
      </c>
      <c r="K2077" s="6">
        <v>6914</v>
      </c>
      <c r="L2077" s="7" t="s">
        <v>3132</v>
      </c>
      <c r="M2077" s="8">
        <v>8756843</v>
      </c>
      <c r="N2077" s="8" t="str">
        <f t="shared" si="161"/>
        <v>PEN</v>
      </c>
      <c r="O2077" s="13">
        <v>1327</v>
      </c>
      <c r="P2077" s="13"/>
      <c r="Q2077" s="3">
        <f t="shared" si="162"/>
        <v>0</v>
      </c>
      <c r="R2077" s="3">
        <f t="shared" si="163"/>
        <v>0</v>
      </c>
      <c r="S2077" s="3">
        <f t="shared" si="164"/>
        <v>95214.590000000026</v>
      </c>
      <c r="T2077" s="24"/>
      <c r="U2077" s="24" t="s">
        <v>1081</v>
      </c>
      <c r="V2077" s="104"/>
      <c r="W2077" s="126">
        <f>IFERROR(VLOOKUP(BCP_Soles[[#This Row],[DESTINATARIO]],CHOOSE({1,2},Clientes_Proveedores[Razon Social],Clientes_Proveedores[Ruc / Dni]),2,0),"")</f>
        <v>20419158462</v>
      </c>
      <c r="X2077" s="26"/>
      <c r="Y2077" s="26"/>
      <c r="Z2077" s="26"/>
      <c r="AA2077" s="100"/>
      <c r="AB2077" s="3" t="str">
        <f>IF(BCP_Soles[[#This Row],[FECHA]]&gt;0,TEXT(BCP_Soles[[#This Row],[FECHA]],"mmmm"),0)</f>
        <v>Junio</v>
      </c>
    </row>
    <row r="2078" spans="2:28" ht="24" x14ac:dyDescent="0.3">
      <c r="B2078" s="2" t="str">
        <f>IF(BCP_Soles[[#This Row],[TIPO DE R.]]="R",COUNTIFS($D$4:$D2077,"R")+1,"")</f>
        <v/>
      </c>
      <c r="C2078" s="19" t="str">
        <f t="shared" si="160"/>
        <v>B-BCP - Soles</v>
      </c>
      <c r="D2078" s="3" t="s">
        <v>1101</v>
      </c>
      <c r="E2078" s="14">
        <v>45825</v>
      </c>
      <c r="F2078" s="5" t="s">
        <v>1075</v>
      </c>
      <c r="G2078" s="5"/>
      <c r="H2078" s="6" t="s">
        <v>214</v>
      </c>
      <c r="I2078" s="6" t="s">
        <v>14</v>
      </c>
      <c r="J2078" s="6" t="s">
        <v>1120</v>
      </c>
      <c r="K2078" s="6">
        <v>6911</v>
      </c>
      <c r="L2078" s="7" t="s">
        <v>3132</v>
      </c>
      <c r="M2078" s="8">
        <v>8756843</v>
      </c>
      <c r="N2078" s="8" t="str">
        <f t="shared" si="161"/>
        <v>PEN</v>
      </c>
      <c r="O2078" s="13">
        <v>248.8</v>
      </c>
      <c r="P2078" s="13"/>
      <c r="Q2078" s="3">
        <f t="shared" si="162"/>
        <v>0</v>
      </c>
      <c r="R2078" s="3">
        <f t="shared" si="163"/>
        <v>0</v>
      </c>
      <c r="S2078" s="3">
        <f t="shared" si="164"/>
        <v>95214.590000000026</v>
      </c>
      <c r="T2078" s="24"/>
      <c r="U2078" s="24" t="s">
        <v>1081</v>
      </c>
      <c r="V2078" s="104"/>
      <c r="W2078" s="126">
        <f>IFERROR(VLOOKUP(BCP_Soles[[#This Row],[DESTINATARIO]],CHOOSE({1,2},Clientes_Proveedores[Razon Social],Clientes_Proveedores[Ruc / Dni]),2,0),"")</f>
        <v>20419158462</v>
      </c>
      <c r="X2078" s="26"/>
      <c r="Y2078" s="26"/>
      <c r="Z2078" s="26"/>
      <c r="AA2078" s="100"/>
      <c r="AB2078" s="3" t="str">
        <f>IF(BCP_Soles[[#This Row],[FECHA]]&gt;0,TEXT(BCP_Soles[[#This Row],[FECHA]],"mmmm"),0)</f>
        <v>Junio</v>
      </c>
    </row>
    <row r="2079" spans="2:28" ht="24" x14ac:dyDescent="0.3">
      <c r="B2079" s="2" t="str">
        <f>IF(BCP_Soles[[#This Row],[TIPO DE R.]]="R",COUNTIFS($D$4:$D2078,"R")+1,"")</f>
        <v/>
      </c>
      <c r="C2079" s="19" t="str">
        <f t="shared" si="160"/>
        <v>B-BCP - Soles</v>
      </c>
      <c r="D2079" s="3" t="s">
        <v>1101</v>
      </c>
      <c r="E2079" s="14">
        <v>45825</v>
      </c>
      <c r="F2079" s="5" t="s">
        <v>1075</v>
      </c>
      <c r="G2079" s="5"/>
      <c r="H2079" s="6" t="s">
        <v>634</v>
      </c>
      <c r="I2079" s="6" t="s">
        <v>14</v>
      </c>
      <c r="J2079" s="6" t="s">
        <v>1121</v>
      </c>
      <c r="K2079" s="6">
        <v>2</v>
      </c>
      <c r="L2079" s="7" t="s">
        <v>3132</v>
      </c>
      <c r="M2079" s="8">
        <v>8756843</v>
      </c>
      <c r="N2079" s="8" t="str">
        <f t="shared" si="161"/>
        <v>PEN</v>
      </c>
      <c r="O2079" s="13">
        <v>864.01</v>
      </c>
      <c r="P2079" s="13"/>
      <c r="Q2079" s="3">
        <f t="shared" si="162"/>
        <v>0</v>
      </c>
      <c r="R2079" s="3">
        <f t="shared" si="163"/>
        <v>0</v>
      </c>
      <c r="S2079" s="3">
        <f t="shared" si="164"/>
        <v>95214.590000000026</v>
      </c>
      <c r="T2079" s="24"/>
      <c r="U2079" s="24" t="s">
        <v>1081</v>
      </c>
      <c r="V2079" s="104"/>
      <c r="W2079" s="126">
        <f>IFERROR(VLOOKUP(BCP_Soles[[#This Row],[DESTINATARIO]],CHOOSE({1,2},Clientes_Proveedores[Razon Social],Clientes_Proveedores[Ruc / Dni]),2,0),"")</f>
        <v>10736055631</v>
      </c>
      <c r="X2079" s="26"/>
      <c r="Y2079" s="26"/>
      <c r="Z2079" s="26"/>
      <c r="AA2079" s="100"/>
      <c r="AB2079" s="3" t="str">
        <f>IF(BCP_Soles[[#This Row],[FECHA]]&gt;0,TEXT(BCP_Soles[[#This Row],[FECHA]],"mmmm"),0)</f>
        <v>Junio</v>
      </c>
    </row>
    <row r="2080" spans="2:28" ht="24" x14ac:dyDescent="0.3">
      <c r="B2080" s="2" t="str">
        <f>IF(BCP_Soles[[#This Row],[TIPO DE R.]]="R",COUNTIFS($D$4:$D2079,"R")+1,"")</f>
        <v/>
      </c>
      <c r="C2080" s="19" t="str">
        <f t="shared" si="160"/>
        <v>B-BCP - Soles</v>
      </c>
      <c r="D2080" s="3" t="s">
        <v>1101</v>
      </c>
      <c r="E2080" s="14">
        <v>45825</v>
      </c>
      <c r="F2080" s="5" t="s">
        <v>1075</v>
      </c>
      <c r="G2080" s="5"/>
      <c r="H2080" s="6" t="s">
        <v>609</v>
      </c>
      <c r="I2080" s="6" t="s">
        <v>14</v>
      </c>
      <c r="J2080" s="6" t="s">
        <v>1121</v>
      </c>
      <c r="K2080" s="6">
        <v>37</v>
      </c>
      <c r="L2080" s="7" t="s">
        <v>3132</v>
      </c>
      <c r="M2080" s="8">
        <v>8756843</v>
      </c>
      <c r="N2080" s="8" t="str">
        <f t="shared" si="161"/>
        <v>PEN</v>
      </c>
      <c r="O2080" s="13">
        <v>510</v>
      </c>
      <c r="P2080" s="13"/>
      <c r="Q2080" s="3">
        <f t="shared" si="162"/>
        <v>0</v>
      </c>
      <c r="R2080" s="3">
        <f t="shared" si="163"/>
        <v>0</v>
      </c>
      <c r="S2080" s="3">
        <f t="shared" si="164"/>
        <v>95214.590000000026</v>
      </c>
      <c r="T2080" s="24"/>
      <c r="U2080" s="24" t="s">
        <v>1081</v>
      </c>
      <c r="V2080" s="104"/>
      <c r="W2080" s="126">
        <f>IFERROR(VLOOKUP(BCP_Soles[[#This Row],[DESTINATARIO]],CHOOSE({1,2},Clientes_Proveedores[Razon Social],Clientes_Proveedores[Ruc / Dni]),2,0),"")</f>
        <v>10410687491</v>
      </c>
      <c r="X2080" s="26"/>
      <c r="Y2080" s="26"/>
      <c r="Z2080" s="26"/>
      <c r="AA2080" s="100"/>
      <c r="AB2080" s="3" t="str">
        <f>IF(BCP_Soles[[#This Row],[FECHA]]&gt;0,TEXT(BCP_Soles[[#This Row],[FECHA]],"mmmm"),0)</f>
        <v>Junio</v>
      </c>
    </row>
    <row r="2081" spans="2:28" ht="24" x14ac:dyDescent="0.3">
      <c r="B2081" s="2" t="str">
        <f>IF(BCP_Soles[[#This Row],[TIPO DE R.]]="R",COUNTIFS($D$4:$D2080,"R")+1,"")</f>
        <v/>
      </c>
      <c r="C2081" s="19" t="str">
        <f t="shared" si="160"/>
        <v>B-BCP - Soles</v>
      </c>
      <c r="D2081" s="3" t="s">
        <v>1101</v>
      </c>
      <c r="E2081" s="14">
        <v>45825</v>
      </c>
      <c r="F2081" s="5" t="s">
        <v>1075</v>
      </c>
      <c r="G2081" s="5"/>
      <c r="H2081" s="6" t="s">
        <v>634</v>
      </c>
      <c r="I2081" s="6" t="s">
        <v>14</v>
      </c>
      <c r="J2081" s="6" t="s">
        <v>1121</v>
      </c>
      <c r="K2081" s="6">
        <v>6</v>
      </c>
      <c r="L2081" s="7" t="s">
        <v>3132</v>
      </c>
      <c r="M2081" s="8">
        <v>8756843</v>
      </c>
      <c r="N2081" s="8" t="str">
        <f t="shared" si="161"/>
        <v>PEN</v>
      </c>
      <c r="O2081" s="13">
        <v>510</v>
      </c>
      <c r="P2081" s="13"/>
      <c r="Q2081" s="3">
        <f t="shared" si="162"/>
        <v>0</v>
      </c>
      <c r="R2081" s="3">
        <f t="shared" si="163"/>
        <v>0</v>
      </c>
      <c r="S2081" s="3">
        <f t="shared" si="164"/>
        <v>95214.590000000026</v>
      </c>
      <c r="T2081" s="24"/>
      <c r="U2081" s="24" t="s">
        <v>1081</v>
      </c>
      <c r="V2081" s="104"/>
      <c r="W2081" s="126">
        <f>IFERROR(VLOOKUP(BCP_Soles[[#This Row],[DESTINATARIO]],CHOOSE({1,2},Clientes_Proveedores[Razon Social],Clientes_Proveedores[Ruc / Dni]),2,0),"")</f>
        <v>10736055631</v>
      </c>
      <c r="X2081" s="26"/>
      <c r="Y2081" s="26"/>
      <c r="Z2081" s="26"/>
      <c r="AA2081" s="100"/>
      <c r="AB2081" s="3" t="str">
        <f>IF(BCP_Soles[[#This Row],[FECHA]]&gt;0,TEXT(BCP_Soles[[#This Row],[FECHA]],"mmmm"),0)</f>
        <v>Junio</v>
      </c>
    </row>
    <row r="2082" spans="2:28" ht="24" x14ac:dyDescent="0.3">
      <c r="B2082" s="2">
        <f>IF(BCP_Soles[[#This Row],[TIPO DE R.]]="R",COUNTIFS($D$4:$D2081,"R")+1,"")</f>
        <v>1602</v>
      </c>
      <c r="C2082" s="19" t="str">
        <f t="shared" si="160"/>
        <v>B-BCP - Soles</v>
      </c>
      <c r="D2082" s="3" t="s">
        <v>1074</v>
      </c>
      <c r="E2082" s="14">
        <v>45825</v>
      </c>
      <c r="F2082" s="5" t="s">
        <v>1075</v>
      </c>
      <c r="G2082" s="5" t="s">
        <v>1079</v>
      </c>
      <c r="H2082" s="6" t="s">
        <v>963</v>
      </c>
      <c r="I2082" s="6"/>
      <c r="J2082" s="6"/>
      <c r="K2082" s="6"/>
      <c r="L2082" s="7" t="s">
        <v>3134</v>
      </c>
      <c r="M2082" s="8">
        <v>1220237</v>
      </c>
      <c r="N2082" s="8" t="str">
        <f t="shared" si="161"/>
        <v>PEN</v>
      </c>
      <c r="O2082" s="13"/>
      <c r="P2082" s="13">
        <v>400</v>
      </c>
      <c r="Q2082" s="3">
        <f t="shared" si="162"/>
        <v>0</v>
      </c>
      <c r="R2082" s="3">
        <f t="shared" si="163"/>
        <v>400</v>
      </c>
      <c r="S2082" s="3">
        <f t="shared" si="164"/>
        <v>94814.590000000026</v>
      </c>
      <c r="T2082" s="24"/>
      <c r="U2082" s="24"/>
      <c r="V2082" s="104" t="s">
        <v>3135</v>
      </c>
      <c r="W2082" s="126">
        <f>IFERROR(VLOOKUP(BCP_Soles[[#This Row],[DESTINATARIO]],CHOOSE({1,2},Clientes_Proveedores[Razon Social],Clientes_Proveedores[Ruc / Dni]),2,0),"")</f>
        <v>73376012</v>
      </c>
      <c r="X2082" s="26" t="s">
        <v>963</v>
      </c>
      <c r="Y2082" s="26"/>
      <c r="Z2082" s="26"/>
      <c r="AA2082" s="100"/>
      <c r="AB2082" s="3" t="str">
        <f>IF(BCP_Soles[[#This Row],[FECHA]]&gt;0,TEXT(BCP_Soles[[#This Row],[FECHA]],"mmmm"),0)</f>
        <v>Junio</v>
      </c>
    </row>
    <row r="2083" spans="2:28" x14ac:dyDescent="0.3">
      <c r="B2083" s="2">
        <f>IF(BCP_Soles[[#This Row],[TIPO DE R.]]="R",COUNTIFS($D$4:$D2082,"R")+1,"")</f>
        <v>1603</v>
      </c>
      <c r="C2083" s="19" t="str">
        <f t="shared" si="160"/>
        <v>B-BCP - Soles</v>
      </c>
      <c r="D2083" s="3" t="s">
        <v>1074</v>
      </c>
      <c r="E2083" s="14">
        <v>45825</v>
      </c>
      <c r="F2083" s="5" t="s">
        <v>1075</v>
      </c>
      <c r="G2083" s="5" t="s">
        <v>1079</v>
      </c>
      <c r="H2083" s="6" t="s">
        <v>817</v>
      </c>
      <c r="I2083" s="6"/>
      <c r="J2083" s="6"/>
      <c r="K2083" s="6"/>
      <c r="L2083" s="7" t="s">
        <v>3134</v>
      </c>
      <c r="M2083" s="8">
        <v>1223146</v>
      </c>
      <c r="N2083" s="8" t="str">
        <f t="shared" si="161"/>
        <v>PEN</v>
      </c>
      <c r="O2083" s="13"/>
      <c r="P2083" s="13">
        <v>600</v>
      </c>
      <c r="Q2083" s="3">
        <f t="shared" si="162"/>
        <v>0</v>
      </c>
      <c r="R2083" s="3">
        <f t="shared" si="163"/>
        <v>600</v>
      </c>
      <c r="S2083" s="3">
        <f t="shared" si="164"/>
        <v>94214.590000000026</v>
      </c>
      <c r="T2083" s="24"/>
      <c r="U2083" s="24"/>
      <c r="V2083" s="104" t="s">
        <v>3136</v>
      </c>
      <c r="W2083" s="126">
        <f>IFERROR(VLOOKUP(BCP_Soles[[#This Row],[DESTINATARIO]],CHOOSE({1,2},Clientes_Proveedores[Razon Social],Clientes_Proveedores[Ruc / Dni]),2,0),"")</f>
        <v>1829028</v>
      </c>
      <c r="X2083" s="26" t="s">
        <v>1334</v>
      </c>
      <c r="Y2083" s="26"/>
      <c r="Z2083" s="26"/>
      <c r="AA2083" s="100"/>
      <c r="AB2083" s="3" t="str">
        <f>IF(BCP_Soles[[#This Row],[FECHA]]&gt;0,TEXT(BCP_Soles[[#This Row],[FECHA]],"mmmm"),0)</f>
        <v>Junio</v>
      </c>
    </row>
    <row r="2084" spans="2:28" ht="24" x14ac:dyDescent="0.3">
      <c r="B2084" s="2">
        <f>IF(BCP_Soles[[#This Row],[TIPO DE R.]]="R",COUNTIFS($D$4:$D2083,"R")+1,"")</f>
        <v>1604</v>
      </c>
      <c r="C2084" s="19" t="str">
        <f t="shared" si="160"/>
        <v>B-BCP - Soles</v>
      </c>
      <c r="D2084" s="3" t="s">
        <v>1074</v>
      </c>
      <c r="E2084" s="14">
        <v>45825</v>
      </c>
      <c r="F2084" s="5" t="s">
        <v>1075</v>
      </c>
      <c r="G2084" s="5" t="s">
        <v>1079</v>
      </c>
      <c r="H2084" s="6" t="s">
        <v>850</v>
      </c>
      <c r="I2084" s="6"/>
      <c r="J2084" s="6"/>
      <c r="K2084" s="6"/>
      <c r="L2084" s="7" t="s">
        <v>3134</v>
      </c>
      <c r="M2084" s="8">
        <v>1223602</v>
      </c>
      <c r="N2084" s="8" t="str">
        <f t="shared" si="161"/>
        <v>PEN</v>
      </c>
      <c r="O2084" s="13"/>
      <c r="P2084" s="13">
        <v>600</v>
      </c>
      <c r="Q2084" s="3">
        <f t="shared" si="162"/>
        <v>0</v>
      </c>
      <c r="R2084" s="3">
        <f t="shared" si="163"/>
        <v>600</v>
      </c>
      <c r="S2084" s="3">
        <f t="shared" si="164"/>
        <v>93614.590000000026</v>
      </c>
      <c r="T2084" s="24"/>
      <c r="U2084" s="24"/>
      <c r="V2084" s="104" t="s">
        <v>3137</v>
      </c>
      <c r="W2084" s="126">
        <f>IFERROR(VLOOKUP(BCP_Soles[[#This Row],[DESTINATARIO]],CHOOSE({1,2},Clientes_Proveedores[Razon Social],Clientes_Proveedores[Ruc / Dni]),2,0),"")</f>
        <v>44314304</v>
      </c>
      <c r="X2084" s="26" t="s">
        <v>850</v>
      </c>
      <c r="Y2084" s="26"/>
      <c r="Z2084" s="26"/>
      <c r="AA2084" s="100"/>
      <c r="AB2084" s="3" t="str">
        <f>IF(BCP_Soles[[#This Row],[FECHA]]&gt;0,TEXT(BCP_Soles[[#This Row],[FECHA]],"mmmm"),0)</f>
        <v>Junio</v>
      </c>
    </row>
    <row r="2085" spans="2:28" ht="24" x14ac:dyDescent="0.3">
      <c r="B2085" s="2">
        <f>IF(BCP_Soles[[#This Row],[TIPO DE R.]]="R",COUNTIFS($D$4:$D2084,"R")+1,"")</f>
        <v>1605</v>
      </c>
      <c r="C2085" s="19" t="str">
        <f t="shared" si="160"/>
        <v>B-BCP - Soles</v>
      </c>
      <c r="D2085" s="3" t="s">
        <v>1074</v>
      </c>
      <c r="E2085" s="14">
        <v>45825</v>
      </c>
      <c r="F2085" s="5" t="s">
        <v>1075</v>
      </c>
      <c r="G2085" s="5" t="s">
        <v>1079</v>
      </c>
      <c r="H2085" s="6" t="s">
        <v>859</v>
      </c>
      <c r="I2085" s="6"/>
      <c r="J2085" s="6"/>
      <c r="K2085" s="6"/>
      <c r="L2085" s="7" t="s">
        <v>3134</v>
      </c>
      <c r="M2085" s="8">
        <v>1221187</v>
      </c>
      <c r="N2085" s="8" t="str">
        <f t="shared" si="161"/>
        <v>PEN</v>
      </c>
      <c r="O2085" s="13"/>
      <c r="P2085" s="13">
        <v>600</v>
      </c>
      <c r="Q2085" s="3">
        <f t="shared" si="162"/>
        <v>0</v>
      </c>
      <c r="R2085" s="3">
        <f t="shared" si="163"/>
        <v>600</v>
      </c>
      <c r="S2085" s="3">
        <f t="shared" si="164"/>
        <v>93014.590000000026</v>
      </c>
      <c r="T2085" s="24"/>
      <c r="U2085" s="24"/>
      <c r="V2085" s="104" t="s">
        <v>3138</v>
      </c>
      <c r="W2085" s="126">
        <f>IFERROR(VLOOKUP(BCP_Soles[[#This Row],[DESTINATARIO]],CHOOSE({1,2},Clientes_Proveedores[Razon Social],Clientes_Proveedores[Ruc / Dni]),2,0),"")</f>
        <v>48536654</v>
      </c>
      <c r="X2085" s="26" t="s">
        <v>859</v>
      </c>
      <c r="Y2085" s="26"/>
      <c r="Z2085" s="26"/>
      <c r="AA2085" s="100"/>
      <c r="AB2085" s="3" t="str">
        <f>IF(BCP_Soles[[#This Row],[FECHA]]&gt;0,TEXT(BCP_Soles[[#This Row],[FECHA]],"mmmm"),0)</f>
        <v>Junio</v>
      </c>
    </row>
    <row r="2086" spans="2:28" x14ac:dyDescent="0.3">
      <c r="B2086" s="2">
        <f>IF(BCP_Soles[[#This Row],[TIPO DE R.]]="R",COUNTIFS($D$4:$D2085,"R")+1,"")</f>
        <v>1606</v>
      </c>
      <c r="C2086" s="19" t="str">
        <f t="shared" si="160"/>
        <v>B-BCP - Soles</v>
      </c>
      <c r="D2086" s="3" t="s">
        <v>1074</v>
      </c>
      <c r="E2086" s="14">
        <v>45825</v>
      </c>
      <c r="F2086" s="5" t="s">
        <v>1075</v>
      </c>
      <c r="G2086" s="5" t="s">
        <v>1079</v>
      </c>
      <c r="H2086" s="6"/>
      <c r="I2086" s="6"/>
      <c r="J2086" s="6"/>
      <c r="K2086" s="6"/>
      <c r="L2086" s="7" t="s">
        <v>3134</v>
      </c>
      <c r="M2086" s="8">
        <v>1222175</v>
      </c>
      <c r="N2086" s="8" t="str">
        <f t="shared" si="161"/>
        <v>PEN</v>
      </c>
      <c r="O2086" s="13"/>
      <c r="P2086" s="13">
        <v>400</v>
      </c>
      <c r="Q2086" s="3">
        <f t="shared" si="162"/>
        <v>0</v>
      </c>
      <c r="R2086" s="3">
        <f t="shared" si="163"/>
        <v>400</v>
      </c>
      <c r="S2086" s="3">
        <f t="shared" si="164"/>
        <v>92614.590000000026</v>
      </c>
      <c r="T2086" s="24"/>
      <c r="U2086" s="24"/>
      <c r="V2086" s="104" t="s">
        <v>3139</v>
      </c>
      <c r="W2086" s="126" t="str">
        <f>IFERROR(VLOOKUP(BCP_Soles[[#This Row],[DESTINATARIO]],CHOOSE({1,2},Clientes_Proveedores[Razon Social],Clientes_Proveedores[Ruc / Dni]),2,0),"")</f>
        <v/>
      </c>
      <c r="X2086" s="26" t="s">
        <v>1035</v>
      </c>
      <c r="Y2086" s="26"/>
      <c r="Z2086" s="26"/>
      <c r="AA2086" s="100"/>
      <c r="AB2086" s="3" t="str">
        <f>IF(BCP_Soles[[#This Row],[FECHA]]&gt;0,TEXT(BCP_Soles[[#This Row],[FECHA]],"mmmm"),0)</f>
        <v>Junio</v>
      </c>
    </row>
    <row r="2087" spans="2:28" ht="48" x14ac:dyDescent="0.3">
      <c r="B2087" s="2">
        <f>IF(BCP_Soles[[#This Row],[TIPO DE R.]]="R",COUNTIFS($D$4:$D2086,"R")+1,"")</f>
        <v>1607</v>
      </c>
      <c r="C2087" s="19" t="str">
        <f t="shared" si="160"/>
        <v>B-BCP - Soles</v>
      </c>
      <c r="D2087" s="3" t="s">
        <v>1074</v>
      </c>
      <c r="E2087" s="14">
        <v>45825</v>
      </c>
      <c r="F2087" s="5" t="s">
        <v>1075</v>
      </c>
      <c r="G2087" s="5" t="s">
        <v>1079</v>
      </c>
      <c r="H2087" s="6" t="s">
        <v>444</v>
      </c>
      <c r="I2087" s="6" t="s">
        <v>14</v>
      </c>
      <c r="J2087" s="6" t="s">
        <v>1266</v>
      </c>
      <c r="K2087" s="6">
        <v>10626</v>
      </c>
      <c r="L2087" s="7" t="s">
        <v>3140</v>
      </c>
      <c r="M2087" s="8">
        <v>1194650</v>
      </c>
      <c r="N2087" s="8" t="str">
        <f t="shared" si="161"/>
        <v>PEN</v>
      </c>
      <c r="O2087" s="13"/>
      <c r="P2087" s="13">
        <v>297.69</v>
      </c>
      <c r="Q2087" s="3">
        <f t="shared" si="162"/>
        <v>0</v>
      </c>
      <c r="R2087" s="3">
        <f t="shared" si="163"/>
        <v>297.69</v>
      </c>
      <c r="S2087" s="3">
        <f t="shared" si="164"/>
        <v>92316.900000000023</v>
      </c>
      <c r="T2087" s="24" t="s">
        <v>1081</v>
      </c>
      <c r="U2087" s="24" t="s">
        <v>1081</v>
      </c>
      <c r="V2087" s="104" t="s">
        <v>3141</v>
      </c>
      <c r="W2087" s="126">
        <f>IFERROR(VLOOKUP(BCP_Soles[[#This Row],[DESTINATARIO]],CHOOSE({1,2},Clientes_Proveedores[Razon Social],Clientes_Proveedores[Ruc / Dni]),2,0),"")</f>
        <v>20602978274</v>
      </c>
      <c r="X2087" s="26" t="s">
        <v>1268</v>
      </c>
      <c r="Y2087" s="26" t="s">
        <v>3142</v>
      </c>
      <c r="Z2087" s="26"/>
      <c r="AA2087" s="100"/>
      <c r="AB2087" s="3" t="str">
        <f>IF(BCP_Soles[[#This Row],[FECHA]]&gt;0,TEXT(BCP_Soles[[#This Row],[FECHA]],"mmmm"),0)</f>
        <v>Junio</v>
      </c>
    </row>
    <row r="2088" spans="2:28" ht="48" x14ac:dyDescent="0.3">
      <c r="B2088" s="2">
        <f>IF(BCP_Soles[[#This Row],[TIPO DE R.]]="R",COUNTIFS($D$4:$D2087,"R")+1,"")</f>
        <v>1608</v>
      </c>
      <c r="C2088" s="19" t="str">
        <f t="shared" si="160"/>
        <v>B-BCP - Soles</v>
      </c>
      <c r="D2088" s="3" t="s">
        <v>1074</v>
      </c>
      <c r="E2088" s="14">
        <v>45825</v>
      </c>
      <c r="F2088" s="5" t="s">
        <v>1075</v>
      </c>
      <c r="G2088" s="5" t="s">
        <v>1079</v>
      </c>
      <c r="H2088" s="6" t="s">
        <v>444</v>
      </c>
      <c r="I2088" s="6" t="s">
        <v>14</v>
      </c>
      <c r="J2088" s="6" t="s">
        <v>1390</v>
      </c>
      <c r="K2088" s="6">
        <v>8037</v>
      </c>
      <c r="L2088" s="7" t="s">
        <v>3143</v>
      </c>
      <c r="M2088" s="8">
        <v>1192684</v>
      </c>
      <c r="N2088" s="8" t="str">
        <f t="shared" si="161"/>
        <v>PEN</v>
      </c>
      <c r="O2088" s="13"/>
      <c r="P2088" s="13">
        <v>193.97</v>
      </c>
      <c r="Q2088" s="3">
        <f t="shared" si="162"/>
        <v>0</v>
      </c>
      <c r="R2088" s="3">
        <f t="shared" si="163"/>
        <v>193.97</v>
      </c>
      <c r="S2088" s="3">
        <f t="shared" si="164"/>
        <v>92122.930000000022</v>
      </c>
      <c r="T2088" s="24" t="s">
        <v>1081</v>
      </c>
      <c r="U2088" s="24" t="s">
        <v>1081</v>
      </c>
      <c r="V2088" s="104" t="s">
        <v>3144</v>
      </c>
      <c r="W2088" s="126">
        <f>IFERROR(VLOOKUP(BCP_Soles[[#This Row],[DESTINATARIO]],CHOOSE({1,2},Clientes_Proveedores[Razon Social],Clientes_Proveedores[Ruc / Dni]),2,0),"")</f>
        <v>20602978274</v>
      </c>
      <c r="X2088" s="26" t="s">
        <v>1268</v>
      </c>
      <c r="Y2088" s="26" t="s">
        <v>3145</v>
      </c>
      <c r="Z2088" s="26"/>
      <c r="AA2088" s="100"/>
      <c r="AB2088" s="3" t="str">
        <f>IF(BCP_Soles[[#This Row],[FECHA]]&gt;0,TEXT(BCP_Soles[[#This Row],[FECHA]],"mmmm"),0)</f>
        <v>Junio</v>
      </c>
    </row>
    <row r="2089" spans="2:28" ht="36" x14ac:dyDescent="0.3">
      <c r="B2089" s="2">
        <f>IF(BCP_Soles[[#This Row],[TIPO DE R.]]="R",COUNTIFS($D$4:$D2088,"R")+1,"")</f>
        <v>1609</v>
      </c>
      <c r="C2089" s="19" t="str">
        <f t="shared" si="160"/>
        <v>B-BCP - Soles</v>
      </c>
      <c r="D2089" s="3" t="s">
        <v>1074</v>
      </c>
      <c r="E2089" s="14">
        <v>45825</v>
      </c>
      <c r="F2089" s="5" t="s">
        <v>1075</v>
      </c>
      <c r="G2089" s="5" t="s">
        <v>1079</v>
      </c>
      <c r="H2089" s="6" t="s">
        <v>617</v>
      </c>
      <c r="I2089" s="6" t="s">
        <v>14</v>
      </c>
      <c r="J2089" s="6" t="s">
        <v>2629</v>
      </c>
      <c r="K2089" s="6">
        <v>1539</v>
      </c>
      <c r="L2089" s="7" t="s">
        <v>3146</v>
      </c>
      <c r="M2089" s="8">
        <v>1220720</v>
      </c>
      <c r="N2089" s="8" t="str">
        <f t="shared" si="161"/>
        <v>PEN</v>
      </c>
      <c r="O2089" s="13"/>
      <c r="P2089" s="13">
        <v>720.69</v>
      </c>
      <c r="Q2089" s="3">
        <f t="shared" si="162"/>
        <v>0</v>
      </c>
      <c r="R2089" s="3">
        <f t="shared" si="163"/>
        <v>720.69</v>
      </c>
      <c r="S2089" s="3">
        <f t="shared" si="164"/>
        <v>91402.24000000002</v>
      </c>
      <c r="T2089" s="24" t="s">
        <v>1081</v>
      </c>
      <c r="U2089" s="24" t="s">
        <v>1081</v>
      </c>
      <c r="V2089" s="104" t="s">
        <v>3147</v>
      </c>
      <c r="W2089" s="126">
        <f>IFERROR(VLOOKUP(BCP_Soles[[#This Row],[DESTINATARIO]],CHOOSE({1,2},Clientes_Proveedores[Razon Social],Clientes_Proveedores[Ruc / Dni]),2,0),"")</f>
        <v>20455911401</v>
      </c>
      <c r="X2089" s="26" t="s">
        <v>2631</v>
      </c>
      <c r="Y2089" s="26" t="s">
        <v>3148</v>
      </c>
      <c r="Z2089" s="26"/>
      <c r="AA2089" s="100"/>
      <c r="AB2089" s="3" t="str">
        <f>IF(BCP_Soles[[#This Row],[FECHA]]&gt;0,TEXT(BCP_Soles[[#This Row],[FECHA]],"mmmm"),0)</f>
        <v>Junio</v>
      </c>
    </row>
    <row r="2090" spans="2:28" x14ac:dyDescent="0.3">
      <c r="B2090" s="2">
        <f>IF(BCP_Soles[[#This Row],[TIPO DE R.]]="R",COUNTIFS($D$4:$D2089,"R")+1,"")</f>
        <v>1610</v>
      </c>
      <c r="C2090" s="19" t="str">
        <f t="shared" si="160"/>
        <v>B-BCP - Soles</v>
      </c>
      <c r="D2090" s="3" t="s">
        <v>1074</v>
      </c>
      <c r="E2090" s="14">
        <v>45825</v>
      </c>
      <c r="F2090" s="5" t="s">
        <v>1075</v>
      </c>
      <c r="G2090" s="5" t="s">
        <v>1079</v>
      </c>
      <c r="H2090" s="6" t="s">
        <v>637</v>
      </c>
      <c r="I2090" s="6" t="s">
        <v>14</v>
      </c>
      <c r="J2090" s="6"/>
      <c r="K2090" s="6"/>
      <c r="L2090" s="7" t="s">
        <v>1123</v>
      </c>
      <c r="M2090" s="8">
        <v>222673</v>
      </c>
      <c r="N2090" s="8" t="str">
        <f t="shared" si="161"/>
        <v>PEN</v>
      </c>
      <c r="O2090" s="13"/>
      <c r="P2090" s="13">
        <v>2495.73</v>
      </c>
      <c r="Q2090" s="3">
        <f t="shared" si="162"/>
        <v>0</v>
      </c>
      <c r="R2090" s="3">
        <f t="shared" si="163"/>
        <v>2495.73</v>
      </c>
      <c r="S2090" s="3">
        <f t="shared" si="164"/>
        <v>88906.510000000024</v>
      </c>
      <c r="T2090" s="24" t="s">
        <v>1081</v>
      </c>
      <c r="U2090" s="24" t="s">
        <v>1081</v>
      </c>
      <c r="V2090" s="104" t="s">
        <v>3149</v>
      </c>
      <c r="W2090" s="126">
        <f>IFERROR(VLOOKUP(BCP_Soles[[#This Row],[DESTINATARIO]],CHOOSE({1,2},Clientes_Proveedores[Razon Social],Clientes_Proveedores[Ruc / Dni]),2,0),"")</f>
        <v>20127765279</v>
      </c>
      <c r="X2090" s="26" t="s">
        <v>1124</v>
      </c>
      <c r="Y2090" s="26" t="s">
        <v>3150</v>
      </c>
      <c r="Z2090" s="26"/>
      <c r="AA2090" s="100"/>
      <c r="AB2090" s="3" t="str">
        <f>IF(BCP_Soles[[#This Row],[FECHA]]&gt;0,TEXT(BCP_Soles[[#This Row],[FECHA]],"mmmm"),0)</f>
        <v>Junio</v>
      </c>
    </row>
    <row r="2091" spans="2:28" ht="24" x14ac:dyDescent="0.3">
      <c r="B2091" s="2">
        <f>IF(BCP_Soles[[#This Row],[TIPO DE R.]]="R",COUNTIFS($D$4:$D2090,"R")+1,"")</f>
        <v>1611</v>
      </c>
      <c r="C2091" s="19" t="str">
        <f t="shared" si="160"/>
        <v>B-BCP - Soles</v>
      </c>
      <c r="D2091" s="3" t="s">
        <v>1074</v>
      </c>
      <c r="E2091" s="14">
        <v>45825</v>
      </c>
      <c r="F2091" s="5" t="s">
        <v>1075</v>
      </c>
      <c r="G2091" s="5" t="s">
        <v>1079</v>
      </c>
      <c r="H2091" s="6" t="s">
        <v>667</v>
      </c>
      <c r="I2091" s="6" t="s">
        <v>14</v>
      </c>
      <c r="J2091" s="6" t="s">
        <v>1121</v>
      </c>
      <c r="K2091" s="6">
        <v>1761</v>
      </c>
      <c r="L2091" s="7" t="s">
        <v>3151</v>
      </c>
      <c r="M2091" s="8">
        <v>1220236</v>
      </c>
      <c r="N2091" s="8" t="str">
        <f t="shared" si="161"/>
        <v>PEN</v>
      </c>
      <c r="O2091" s="13"/>
      <c r="P2091" s="13">
        <v>5900</v>
      </c>
      <c r="Q2091" s="3">
        <f t="shared" si="162"/>
        <v>0</v>
      </c>
      <c r="R2091" s="3">
        <f t="shared" si="163"/>
        <v>5900</v>
      </c>
      <c r="S2091" s="3">
        <f t="shared" si="164"/>
        <v>83006.510000000024</v>
      </c>
      <c r="T2091" s="24" t="s">
        <v>1081</v>
      </c>
      <c r="U2091" s="24" t="s">
        <v>1081</v>
      </c>
      <c r="V2091" s="104" t="s">
        <v>3152</v>
      </c>
      <c r="W2091" s="126">
        <f>IFERROR(VLOOKUP(BCP_Soles[[#This Row],[DESTINATARIO]],CHOOSE({1,2},Clientes_Proveedores[Razon Social],Clientes_Proveedores[Ruc / Dni]),2,0),"")</f>
        <v>20601423058</v>
      </c>
      <c r="X2091" s="26" t="s">
        <v>2356</v>
      </c>
      <c r="Y2091" s="26"/>
      <c r="Z2091" s="26"/>
      <c r="AA2091" s="100"/>
      <c r="AB2091" s="3" t="str">
        <f>IF(BCP_Soles[[#This Row],[FECHA]]&gt;0,TEXT(BCP_Soles[[#This Row],[FECHA]],"mmmm"),0)</f>
        <v>Junio</v>
      </c>
    </row>
    <row r="2092" spans="2:28" x14ac:dyDescent="0.3">
      <c r="B2092" s="2">
        <f>IF(BCP_Soles[[#This Row],[TIPO DE R.]]="R",COUNTIFS($D$4:$D2091,"R")+1,"")</f>
        <v>1612</v>
      </c>
      <c r="C2092" s="19" t="str">
        <f t="shared" si="160"/>
        <v>B-BCP - Soles</v>
      </c>
      <c r="D2092" s="3" t="s">
        <v>1074</v>
      </c>
      <c r="E2092" s="14">
        <v>45825</v>
      </c>
      <c r="F2092" s="5" t="s">
        <v>1078</v>
      </c>
      <c r="G2092" s="5" t="s">
        <v>1079</v>
      </c>
      <c r="H2092" s="6"/>
      <c r="I2092" s="6"/>
      <c r="J2092" s="6"/>
      <c r="K2092" s="6"/>
      <c r="L2092" s="7" t="s">
        <v>2868</v>
      </c>
      <c r="M2092" s="8"/>
      <c r="N2092" s="8" t="str">
        <f t="shared" si="161"/>
        <v>PEN</v>
      </c>
      <c r="O2092" s="13"/>
      <c r="P2092" s="13">
        <v>2.2999999999999998</v>
      </c>
      <c r="Q2092" s="3">
        <f t="shared" si="162"/>
        <v>0</v>
      </c>
      <c r="R2092" s="3">
        <f t="shared" si="163"/>
        <v>2.2999999999999998</v>
      </c>
      <c r="S2092" s="3">
        <f t="shared" si="164"/>
        <v>83004.210000000021</v>
      </c>
      <c r="T2092" s="24"/>
      <c r="U2092" s="24"/>
      <c r="V2092" s="67"/>
      <c r="W2092" s="25" t="str">
        <f>IFERROR(VLOOKUP(BCP_Soles[[#This Row],[DESTINATARIO]],CHOOSE({1,2},Clientes_Proveedores[Razon Social],Clientes_Proveedores[Ruc / Dni]),2,0),"")</f>
        <v/>
      </c>
      <c r="X2092" s="25"/>
      <c r="Y2092" s="25"/>
      <c r="Z2092" s="25"/>
      <c r="AA2092" s="99"/>
      <c r="AB2092" s="3" t="str">
        <f>IF(BCP_Soles[[#This Row],[FECHA]]&gt;0,TEXT(BCP_Soles[[#This Row],[FECHA]],"mmmm"),0)</f>
        <v>Junio</v>
      </c>
    </row>
    <row r="2093" spans="2:28" x14ac:dyDescent="0.3">
      <c r="B2093" s="2">
        <f>IF(BCP_Soles[[#This Row],[TIPO DE R.]]="R",COUNTIFS($D$4:$D2092,"R")+1,"")</f>
        <v>1613</v>
      </c>
      <c r="C2093" s="19" t="str">
        <f t="shared" si="160"/>
        <v>B-BCP - Soles</v>
      </c>
      <c r="D2093" s="3" t="s">
        <v>1074</v>
      </c>
      <c r="E2093" s="14">
        <v>45826</v>
      </c>
      <c r="F2093" s="5"/>
      <c r="G2093" s="5" t="s">
        <v>1087</v>
      </c>
      <c r="H2093" s="6"/>
      <c r="I2093" s="6"/>
      <c r="J2093" s="6"/>
      <c r="K2093" s="6"/>
      <c r="L2093" s="7" t="s">
        <v>1740</v>
      </c>
      <c r="M2093" s="8">
        <v>2140488</v>
      </c>
      <c r="N2093" s="8" t="str">
        <f t="shared" si="161"/>
        <v>PEN</v>
      </c>
      <c r="O2093" s="13"/>
      <c r="P2093" s="13">
        <v>22600</v>
      </c>
      <c r="Q2093" s="3">
        <f t="shared" si="162"/>
        <v>22600</v>
      </c>
      <c r="R2093" s="3">
        <f t="shared" si="163"/>
        <v>0</v>
      </c>
      <c r="S2093" s="3">
        <f t="shared" si="164"/>
        <v>105604.21000000002</v>
      </c>
      <c r="T2093" s="24" t="s">
        <v>1081</v>
      </c>
      <c r="U2093" s="24"/>
      <c r="V2093" s="67"/>
      <c r="W2093" s="25" t="str">
        <f>IFERROR(VLOOKUP(BCP_Soles[[#This Row],[DESTINATARIO]],CHOOSE({1,2},Clientes_Proveedores[Razon Social],Clientes_Proveedores[Ruc / Dni]),2,0),"")</f>
        <v/>
      </c>
      <c r="X2093" s="25" t="s">
        <v>1090</v>
      </c>
      <c r="Y2093" s="25"/>
      <c r="Z2093" s="25"/>
      <c r="AA2093" s="99"/>
      <c r="AB2093" s="3" t="str">
        <f>IF(BCP_Soles[[#This Row],[FECHA]]&gt;0,TEXT(BCP_Soles[[#This Row],[FECHA]],"mmmm"),0)</f>
        <v>Junio</v>
      </c>
    </row>
    <row r="2094" spans="2:28" ht="24" x14ac:dyDescent="0.3">
      <c r="B2094" s="2" t="str">
        <f>IF(BCP_Soles[[#This Row],[TIPO DE R.]]="R",COUNTIFS($D$4:$D2093,"R")+1,"")</f>
        <v/>
      </c>
      <c r="C2094" s="19" t="str">
        <f t="shared" si="160"/>
        <v>B-BCP - Soles</v>
      </c>
      <c r="D2094" s="3" t="s">
        <v>1101</v>
      </c>
      <c r="E2094" s="14">
        <v>45826</v>
      </c>
      <c r="F2094" s="5" t="s">
        <v>587</v>
      </c>
      <c r="G2094" s="5"/>
      <c r="H2094" s="6"/>
      <c r="I2094" s="6" t="s">
        <v>14</v>
      </c>
      <c r="J2094" s="6" t="s">
        <v>3010</v>
      </c>
      <c r="K2094" s="6">
        <v>63</v>
      </c>
      <c r="L2094" s="7" t="s">
        <v>1740</v>
      </c>
      <c r="M2094" s="8">
        <v>2140488</v>
      </c>
      <c r="N2094" s="8" t="str">
        <f t="shared" si="161"/>
        <v>PEN</v>
      </c>
      <c r="O2094" s="13"/>
      <c r="P2094" s="13">
        <v>13452</v>
      </c>
      <c r="Q2094" s="3">
        <f t="shared" si="162"/>
        <v>0</v>
      </c>
      <c r="R2094" s="3">
        <f t="shared" si="163"/>
        <v>0</v>
      </c>
      <c r="S2094" s="3">
        <f t="shared" si="164"/>
        <v>105604.21000000002</v>
      </c>
      <c r="T2094" s="24" t="s">
        <v>1081</v>
      </c>
      <c r="U2094" s="24"/>
      <c r="V2094" s="67"/>
      <c r="W2094" s="25" t="str">
        <f>IFERROR(VLOOKUP(BCP_Soles[[#This Row],[DESTINATARIO]],CHOOSE({1,2},Clientes_Proveedores[Razon Social],Clientes_Proveedores[Ruc / Dni]),2,0),"")</f>
        <v/>
      </c>
      <c r="X2094" s="25" t="s">
        <v>1090</v>
      </c>
      <c r="Y2094" s="25" t="s">
        <v>3153</v>
      </c>
      <c r="Z2094" s="25"/>
      <c r="AA2094" s="99"/>
      <c r="AB2094" s="3" t="str">
        <f>IF(BCP_Soles[[#This Row],[FECHA]]&gt;0,TEXT(BCP_Soles[[#This Row],[FECHA]],"mmmm"),0)</f>
        <v>Junio</v>
      </c>
    </row>
    <row r="2095" spans="2:28" ht="24" x14ac:dyDescent="0.3">
      <c r="B2095" s="2" t="str">
        <f>IF(BCP_Soles[[#This Row],[TIPO DE R.]]="R",COUNTIFS($D$4:$D2094,"R")+1,"")</f>
        <v/>
      </c>
      <c r="C2095" s="19" t="str">
        <f t="shared" si="160"/>
        <v>B-BCP - Soles</v>
      </c>
      <c r="D2095" s="3" t="s">
        <v>1101</v>
      </c>
      <c r="E2095" s="14">
        <v>45826</v>
      </c>
      <c r="F2095" s="5" t="s">
        <v>3154</v>
      </c>
      <c r="G2095" s="5"/>
      <c r="H2095" s="6"/>
      <c r="I2095" s="6" t="s">
        <v>63</v>
      </c>
      <c r="J2095" s="6">
        <v>1</v>
      </c>
      <c r="K2095" s="6">
        <v>4511</v>
      </c>
      <c r="L2095" s="7" t="s">
        <v>1740</v>
      </c>
      <c r="M2095" s="8">
        <v>2140488</v>
      </c>
      <c r="N2095" s="8" t="str">
        <f t="shared" si="161"/>
        <v>PEN</v>
      </c>
      <c r="O2095" s="13"/>
      <c r="P2095" s="13">
        <v>9100</v>
      </c>
      <c r="Q2095" s="3">
        <f t="shared" si="162"/>
        <v>0</v>
      </c>
      <c r="R2095" s="3">
        <f t="shared" si="163"/>
        <v>0</v>
      </c>
      <c r="S2095" s="3">
        <f t="shared" si="164"/>
        <v>105604.21000000002</v>
      </c>
      <c r="T2095" s="24" t="s">
        <v>1081</v>
      </c>
      <c r="U2095" s="24"/>
      <c r="V2095" s="67"/>
      <c r="W2095" s="25" t="str">
        <f>IFERROR(VLOOKUP(BCP_Soles[[#This Row],[DESTINATARIO]],CHOOSE({1,2},Clientes_Proveedores[Razon Social],Clientes_Proveedores[Ruc / Dni]),2,0),"")</f>
        <v/>
      </c>
      <c r="X2095" s="25" t="s">
        <v>1090</v>
      </c>
      <c r="Y2095" s="25" t="s">
        <v>3155</v>
      </c>
      <c r="Z2095" s="25"/>
      <c r="AA2095" s="99"/>
      <c r="AB2095" s="3" t="str">
        <f>IF(BCP_Soles[[#This Row],[FECHA]]&gt;0,TEXT(BCP_Soles[[#This Row],[FECHA]],"mmmm"),0)</f>
        <v>Junio</v>
      </c>
    </row>
    <row r="2096" spans="2:28" x14ac:dyDescent="0.3">
      <c r="B2096" s="2" t="str">
        <f>IF(BCP_Soles[[#This Row],[TIPO DE R.]]="R",COUNTIFS($D$4:$D2095,"R")+1,"")</f>
        <v/>
      </c>
      <c r="C2096" s="19" t="str">
        <f t="shared" si="160"/>
        <v>B-BCP - Soles</v>
      </c>
      <c r="D2096" s="3" t="s">
        <v>1101</v>
      </c>
      <c r="E2096" s="14">
        <v>45826</v>
      </c>
      <c r="F2096" s="5" t="s">
        <v>3156</v>
      </c>
      <c r="G2096" s="5"/>
      <c r="H2096" s="6"/>
      <c r="I2096" s="6"/>
      <c r="J2096" s="6"/>
      <c r="K2096" s="6"/>
      <c r="L2096" s="7" t="s">
        <v>1740</v>
      </c>
      <c r="M2096" s="8">
        <v>2140488</v>
      </c>
      <c r="N2096" s="8" t="str">
        <f t="shared" si="161"/>
        <v>PEN</v>
      </c>
      <c r="O2096" s="13"/>
      <c r="P2096" s="13">
        <v>48</v>
      </c>
      <c r="Q2096" s="3">
        <f t="shared" si="162"/>
        <v>0</v>
      </c>
      <c r="R2096" s="3">
        <f t="shared" si="163"/>
        <v>0</v>
      </c>
      <c r="S2096" s="3">
        <f t="shared" si="164"/>
        <v>105604.21000000002</v>
      </c>
      <c r="T2096" s="24"/>
      <c r="U2096" s="24"/>
      <c r="V2096" s="67"/>
      <c r="W2096" s="25" t="str">
        <f>IFERROR(VLOOKUP(BCP_Soles[[#This Row],[DESTINATARIO]],CHOOSE({1,2},Clientes_Proveedores[Razon Social],Clientes_Proveedores[Ruc / Dni]),2,0),"")</f>
        <v/>
      </c>
      <c r="X2096" s="25" t="s">
        <v>1090</v>
      </c>
      <c r="Y2096" s="25" t="s">
        <v>3157</v>
      </c>
      <c r="Z2096" s="25"/>
      <c r="AA2096" s="99"/>
      <c r="AB2096" s="3" t="str">
        <f>IF(BCP_Soles[[#This Row],[FECHA]]&gt;0,TEXT(BCP_Soles[[#This Row],[FECHA]],"mmmm"),0)</f>
        <v>Junio</v>
      </c>
    </row>
    <row r="2097" spans="2:28" ht="24" x14ac:dyDescent="0.3">
      <c r="B2097" s="2">
        <f>IF(BCP_Soles[[#This Row],[TIPO DE R.]]="R",COUNTIFS($D$4:$D2096,"R")+1,"")</f>
        <v>1614</v>
      </c>
      <c r="C2097" s="19" t="str">
        <f t="shared" si="160"/>
        <v>B-BCP - Soles</v>
      </c>
      <c r="D2097" s="3" t="s">
        <v>1074</v>
      </c>
      <c r="E2097" s="14">
        <v>45826</v>
      </c>
      <c r="F2097" s="5" t="s">
        <v>3158</v>
      </c>
      <c r="G2097" s="5" t="s">
        <v>1087</v>
      </c>
      <c r="H2097" s="6"/>
      <c r="I2097" s="6"/>
      <c r="J2097" s="6"/>
      <c r="K2097" s="6"/>
      <c r="L2097" s="7" t="s">
        <v>1100</v>
      </c>
      <c r="M2097" s="8">
        <v>3337732</v>
      </c>
      <c r="N2097" s="8" t="str">
        <f t="shared" si="161"/>
        <v>PEN</v>
      </c>
      <c r="O2097" s="13"/>
      <c r="P2097" s="13">
        <v>948</v>
      </c>
      <c r="Q2097" s="3">
        <f t="shared" si="162"/>
        <v>948</v>
      </c>
      <c r="R2097" s="3">
        <f t="shared" si="163"/>
        <v>0</v>
      </c>
      <c r="S2097" s="3">
        <f t="shared" si="164"/>
        <v>106552.21000000002</v>
      </c>
      <c r="T2097" s="24" t="s">
        <v>1081</v>
      </c>
      <c r="U2097" s="24" t="s">
        <v>1081</v>
      </c>
      <c r="V2097" s="67"/>
      <c r="W2097" s="25" t="str">
        <f>IFERROR(VLOOKUP(BCP_Soles[[#This Row],[DESTINATARIO]],CHOOSE({1,2},Clientes_Proveedores[Razon Social],Clientes_Proveedores[Ruc / Dni]),2,0),"")</f>
        <v/>
      </c>
      <c r="X2097" s="25" t="s">
        <v>1090</v>
      </c>
      <c r="Y2097" s="25" t="s">
        <v>3159</v>
      </c>
      <c r="Z2097" s="25"/>
      <c r="AA2097" s="99"/>
      <c r="AB2097" s="3" t="str">
        <f>IF(BCP_Soles[[#This Row],[FECHA]]&gt;0,TEXT(BCP_Soles[[#This Row],[FECHA]],"mmmm"),0)</f>
        <v>Junio</v>
      </c>
    </row>
    <row r="2098" spans="2:28" ht="24" x14ac:dyDescent="0.3">
      <c r="B2098" s="2">
        <f>IF(BCP_Soles[[#This Row],[TIPO DE R.]]="R",COUNTIFS($D$4:$D2097,"R")+1,"")</f>
        <v>1615</v>
      </c>
      <c r="C2098" s="19" t="str">
        <f t="shared" si="160"/>
        <v>B-BCP - Soles</v>
      </c>
      <c r="D2098" s="3" t="s">
        <v>1074</v>
      </c>
      <c r="E2098" s="14">
        <v>45826</v>
      </c>
      <c r="F2098" s="5" t="s">
        <v>2226</v>
      </c>
      <c r="G2098" s="5" t="s">
        <v>1087</v>
      </c>
      <c r="H2098" s="6"/>
      <c r="I2098" s="6"/>
      <c r="J2098" s="6"/>
      <c r="K2098" s="6"/>
      <c r="L2098" s="7" t="s">
        <v>1100</v>
      </c>
      <c r="M2098" s="8">
        <v>1779601</v>
      </c>
      <c r="N2098" s="8" t="str">
        <f t="shared" si="161"/>
        <v>PEN</v>
      </c>
      <c r="O2098" s="13"/>
      <c r="P2098" s="13">
        <v>510</v>
      </c>
      <c r="Q2098" s="3">
        <f t="shared" si="162"/>
        <v>510</v>
      </c>
      <c r="R2098" s="3">
        <f t="shared" si="163"/>
        <v>0</v>
      </c>
      <c r="S2098" s="3">
        <f t="shared" si="164"/>
        <v>107062.21000000002</v>
      </c>
      <c r="T2098" s="24" t="s">
        <v>1081</v>
      </c>
      <c r="U2098" s="24" t="s">
        <v>1081</v>
      </c>
      <c r="V2098" s="67"/>
      <c r="W2098" s="25" t="str">
        <f>IFERROR(VLOOKUP(BCP_Soles[[#This Row],[DESTINATARIO]],CHOOSE({1,2},Clientes_Proveedores[Razon Social],Clientes_Proveedores[Ruc / Dni]),2,0),"")</f>
        <v/>
      </c>
      <c r="X2098" s="25" t="s">
        <v>1090</v>
      </c>
      <c r="Y2098" s="25" t="s">
        <v>3160</v>
      </c>
      <c r="Z2098" s="25"/>
      <c r="AA2098" s="99"/>
      <c r="AB2098" s="3" t="str">
        <f>IF(BCP_Soles[[#This Row],[FECHA]]&gt;0,TEXT(BCP_Soles[[#This Row],[FECHA]],"mmmm"),0)</f>
        <v>Junio</v>
      </c>
    </row>
    <row r="2099" spans="2:28" ht="24" x14ac:dyDescent="0.3">
      <c r="B2099" s="2">
        <f>IF(BCP_Soles[[#This Row],[TIPO DE R.]]="R",COUNTIFS($D$4:$D2098,"R")+1,"")</f>
        <v>1616</v>
      </c>
      <c r="C2099" s="19" t="str">
        <f t="shared" si="160"/>
        <v>B-BCP - Soles</v>
      </c>
      <c r="D2099" s="3" t="s">
        <v>1074</v>
      </c>
      <c r="E2099" s="14">
        <v>45826</v>
      </c>
      <c r="F2099" s="5" t="s">
        <v>3161</v>
      </c>
      <c r="G2099" s="5" t="s">
        <v>1087</v>
      </c>
      <c r="H2099" s="6"/>
      <c r="I2099" s="6"/>
      <c r="J2099" s="6"/>
      <c r="K2099" s="6"/>
      <c r="L2099" s="7" t="s">
        <v>1100</v>
      </c>
      <c r="M2099" s="8">
        <v>1761987</v>
      </c>
      <c r="N2099" s="8" t="str">
        <f t="shared" si="161"/>
        <v>PEN</v>
      </c>
      <c r="O2099" s="13"/>
      <c r="P2099" s="13">
        <v>350</v>
      </c>
      <c r="Q2099" s="3">
        <f t="shared" si="162"/>
        <v>350</v>
      </c>
      <c r="R2099" s="3">
        <f t="shared" si="163"/>
        <v>0</v>
      </c>
      <c r="S2099" s="3">
        <f t="shared" si="164"/>
        <v>107412.21000000002</v>
      </c>
      <c r="T2099" s="24" t="s">
        <v>1081</v>
      </c>
      <c r="U2099" s="24" t="s">
        <v>1081</v>
      </c>
      <c r="V2099" s="67"/>
      <c r="W2099" s="25" t="str">
        <f>IFERROR(VLOOKUP(BCP_Soles[[#This Row],[DESTINATARIO]],CHOOSE({1,2},Clientes_Proveedores[Razon Social],Clientes_Proveedores[Ruc / Dni]),2,0),"")</f>
        <v/>
      </c>
      <c r="X2099" s="25" t="s">
        <v>1090</v>
      </c>
      <c r="Y2099" s="25" t="s">
        <v>3162</v>
      </c>
      <c r="Z2099" s="25"/>
      <c r="AA2099" s="99"/>
      <c r="AB2099" s="3" t="str">
        <f>IF(BCP_Soles[[#This Row],[FECHA]]&gt;0,TEXT(BCP_Soles[[#This Row],[FECHA]],"mmmm"),0)</f>
        <v>Junio</v>
      </c>
    </row>
    <row r="2100" spans="2:28" x14ac:dyDescent="0.3">
      <c r="B2100" s="2">
        <f>IF(BCP_Soles[[#This Row],[TIPO DE R.]]="R",COUNTIFS($D$4:$D2099,"R")+1,"")</f>
        <v>1617</v>
      </c>
      <c r="C2100" s="19" t="str">
        <f t="shared" si="160"/>
        <v>B-BCP - Soles</v>
      </c>
      <c r="D2100" s="3" t="s">
        <v>1074</v>
      </c>
      <c r="E2100" s="14">
        <v>45826</v>
      </c>
      <c r="F2100" s="5" t="s">
        <v>1477</v>
      </c>
      <c r="G2100" s="5" t="s">
        <v>1087</v>
      </c>
      <c r="H2100" s="6"/>
      <c r="I2100" s="6"/>
      <c r="J2100" s="6"/>
      <c r="K2100" s="6"/>
      <c r="L2100" s="7" t="s">
        <v>1100</v>
      </c>
      <c r="M2100" s="8">
        <v>3349637</v>
      </c>
      <c r="N2100" s="8" t="str">
        <f t="shared" si="161"/>
        <v>PEN</v>
      </c>
      <c r="O2100" s="13"/>
      <c r="P2100" s="13">
        <v>340</v>
      </c>
      <c r="Q2100" s="3">
        <f t="shared" si="162"/>
        <v>340</v>
      </c>
      <c r="R2100" s="3">
        <f t="shared" si="163"/>
        <v>0</v>
      </c>
      <c r="S2100" s="3">
        <f t="shared" si="164"/>
        <v>107752.21000000002</v>
      </c>
      <c r="T2100" s="24" t="s">
        <v>1081</v>
      </c>
      <c r="U2100" s="24" t="s">
        <v>1081</v>
      </c>
      <c r="V2100" s="67"/>
      <c r="W2100" s="25" t="str">
        <f>IFERROR(VLOOKUP(BCP_Soles[[#This Row],[DESTINATARIO]],CHOOSE({1,2},Clientes_Proveedores[Razon Social],Clientes_Proveedores[Ruc / Dni]),2,0),"")</f>
        <v/>
      </c>
      <c r="X2100" s="25" t="s">
        <v>1090</v>
      </c>
      <c r="Y2100" s="25"/>
      <c r="Z2100" s="25"/>
      <c r="AA2100" s="99"/>
      <c r="AB2100" s="3" t="str">
        <f>IF(BCP_Soles[[#This Row],[FECHA]]&gt;0,TEXT(BCP_Soles[[#This Row],[FECHA]],"mmmm"),0)</f>
        <v>Junio</v>
      </c>
    </row>
    <row r="2101" spans="2:28" x14ac:dyDescent="0.3">
      <c r="B2101" s="2" t="str">
        <f>IF(BCP_Soles[[#This Row],[TIPO DE R.]]="R",COUNTIFS($D$4:$D2100,"R")+1,"")</f>
        <v/>
      </c>
      <c r="C2101" s="19" t="str">
        <f t="shared" si="160"/>
        <v>B-BCP - Soles</v>
      </c>
      <c r="D2101" s="3" t="s">
        <v>1101</v>
      </c>
      <c r="E2101" s="14">
        <v>45826</v>
      </c>
      <c r="F2101" s="5" t="s">
        <v>1477</v>
      </c>
      <c r="G2101" s="5"/>
      <c r="H2101" s="6"/>
      <c r="I2101" s="6"/>
      <c r="J2101" s="6"/>
      <c r="K2101" s="6"/>
      <c r="L2101" s="7" t="s">
        <v>1100</v>
      </c>
      <c r="M2101" s="8">
        <v>3349637</v>
      </c>
      <c r="N2101" s="8" t="str">
        <f t="shared" si="161"/>
        <v>PEN</v>
      </c>
      <c r="O2101" s="13"/>
      <c r="P2101" s="13">
        <v>40</v>
      </c>
      <c r="Q2101" s="3">
        <f t="shared" si="162"/>
        <v>0</v>
      </c>
      <c r="R2101" s="3">
        <f t="shared" si="163"/>
        <v>0</v>
      </c>
      <c r="S2101" s="3">
        <f t="shared" si="164"/>
        <v>107752.21000000002</v>
      </c>
      <c r="T2101" s="24" t="s">
        <v>1081</v>
      </c>
      <c r="U2101" s="24" t="s">
        <v>1081</v>
      </c>
      <c r="V2101" s="67"/>
      <c r="W2101" s="25" t="str">
        <f>IFERROR(VLOOKUP(BCP_Soles[[#This Row],[DESTINATARIO]],CHOOSE({1,2},Clientes_Proveedores[Razon Social],Clientes_Proveedores[Ruc / Dni]),2,0),"")</f>
        <v/>
      </c>
      <c r="X2101" s="25" t="s">
        <v>1090</v>
      </c>
      <c r="Y2101" s="25" t="s">
        <v>3163</v>
      </c>
      <c r="Z2101" s="25"/>
      <c r="AA2101" s="99"/>
      <c r="AB2101" s="3" t="str">
        <f>IF(BCP_Soles[[#This Row],[FECHA]]&gt;0,TEXT(BCP_Soles[[#This Row],[FECHA]],"mmmm"),0)</f>
        <v>Junio</v>
      </c>
    </row>
    <row r="2102" spans="2:28" x14ac:dyDescent="0.3">
      <c r="B2102" s="2" t="str">
        <f>IF(BCP_Soles[[#This Row],[TIPO DE R.]]="R",COUNTIFS($D$4:$D2101,"R")+1,"")</f>
        <v/>
      </c>
      <c r="C2102" s="19" t="str">
        <f t="shared" si="160"/>
        <v>B-BCP - Soles</v>
      </c>
      <c r="D2102" s="3" t="s">
        <v>1101</v>
      </c>
      <c r="E2102" s="14">
        <v>45826</v>
      </c>
      <c r="F2102" s="5" t="s">
        <v>1477</v>
      </c>
      <c r="G2102" s="5"/>
      <c r="H2102" s="6"/>
      <c r="I2102" s="6"/>
      <c r="J2102" s="6"/>
      <c r="K2102" s="6"/>
      <c r="L2102" s="7" t="s">
        <v>1100</v>
      </c>
      <c r="M2102" s="8">
        <v>3349637</v>
      </c>
      <c r="N2102" s="8" t="str">
        <f t="shared" si="161"/>
        <v>PEN</v>
      </c>
      <c r="O2102" s="13"/>
      <c r="P2102" s="13">
        <v>300</v>
      </c>
      <c r="Q2102" s="3">
        <f t="shared" si="162"/>
        <v>0</v>
      </c>
      <c r="R2102" s="3">
        <f t="shared" si="163"/>
        <v>0</v>
      </c>
      <c r="S2102" s="3">
        <f t="shared" si="164"/>
        <v>107752.21000000002</v>
      </c>
      <c r="T2102" s="24" t="s">
        <v>1081</v>
      </c>
      <c r="U2102" s="24" t="s">
        <v>1081</v>
      </c>
      <c r="V2102" s="67"/>
      <c r="W2102" s="25" t="str">
        <f>IFERROR(VLOOKUP(BCP_Soles[[#This Row],[DESTINATARIO]],CHOOSE({1,2},Clientes_Proveedores[Razon Social],Clientes_Proveedores[Ruc / Dni]),2,0),"")</f>
        <v/>
      </c>
      <c r="X2102" s="25" t="s">
        <v>1090</v>
      </c>
      <c r="Y2102" s="25" t="s">
        <v>3164</v>
      </c>
      <c r="Z2102" s="25"/>
      <c r="AA2102" s="99"/>
      <c r="AB2102" s="3" t="str">
        <f>IF(BCP_Soles[[#This Row],[FECHA]]&gt;0,TEXT(BCP_Soles[[#This Row],[FECHA]],"mmmm"),0)</f>
        <v>Junio</v>
      </c>
    </row>
    <row r="2103" spans="2:28" x14ac:dyDescent="0.3">
      <c r="B2103" s="2">
        <f>IF(BCP_Soles[[#This Row],[TIPO DE R.]]="R",COUNTIFS($D$4:$D2102,"R")+1,"")</f>
        <v>1618</v>
      </c>
      <c r="C2103" s="19" t="str">
        <f t="shared" si="160"/>
        <v>B-BCP - Soles</v>
      </c>
      <c r="D2103" s="3" t="s">
        <v>1074</v>
      </c>
      <c r="E2103" s="14">
        <v>45826</v>
      </c>
      <c r="F2103" s="5" t="s">
        <v>1239</v>
      </c>
      <c r="G2103" s="5" t="s">
        <v>1087</v>
      </c>
      <c r="H2103" s="6"/>
      <c r="I2103" s="6"/>
      <c r="J2103" s="6"/>
      <c r="K2103" s="6"/>
      <c r="L2103" s="7" t="s">
        <v>1100</v>
      </c>
      <c r="M2103" s="8">
        <v>3366984</v>
      </c>
      <c r="N2103" s="8" t="str">
        <f t="shared" si="161"/>
        <v>PEN</v>
      </c>
      <c r="O2103" s="13"/>
      <c r="P2103" s="13">
        <v>217</v>
      </c>
      <c r="Q2103" s="3">
        <f t="shared" si="162"/>
        <v>217</v>
      </c>
      <c r="R2103" s="3">
        <f t="shared" si="163"/>
        <v>0</v>
      </c>
      <c r="S2103" s="3">
        <f t="shared" si="164"/>
        <v>107969.21000000002</v>
      </c>
      <c r="T2103" s="24" t="s">
        <v>1081</v>
      </c>
      <c r="U2103" s="24" t="s">
        <v>1081</v>
      </c>
      <c r="V2103" s="67"/>
      <c r="W2103" s="25" t="str">
        <f>IFERROR(VLOOKUP(BCP_Soles[[#This Row],[DESTINATARIO]],CHOOSE({1,2},Clientes_Proveedores[Razon Social],Clientes_Proveedores[Ruc / Dni]),2,0),"")</f>
        <v/>
      </c>
      <c r="X2103" s="25" t="s">
        <v>1090</v>
      </c>
      <c r="Y2103" s="25" t="s">
        <v>3165</v>
      </c>
      <c r="Z2103" s="25"/>
      <c r="AA2103" s="99"/>
      <c r="AB2103" s="3" t="str">
        <f>IF(BCP_Soles[[#This Row],[FECHA]]&gt;0,TEXT(BCP_Soles[[#This Row],[FECHA]],"mmmm"),0)</f>
        <v>Junio</v>
      </c>
    </row>
    <row r="2104" spans="2:28" ht="24" x14ac:dyDescent="0.3">
      <c r="B2104" s="2">
        <f>IF(BCP_Soles[[#This Row],[TIPO DE R.]]="R",COUNTIFS($D$4:$D2103,"R")+1,"")</f>
        <v>1619</v>
      </c>
      <c r="C2104" s="19" t="str">
        <f t="shared" si="160"/>
        <v>B-BCP - Soles</v>
      </c>
      <c r="D2104" s="3" t="s">
        <v>1074</v>
      </c>
      <c r="E2104" s="14">
        <v>45826</v>
      </c>
      <c r="F2104" s="5" t="s">
        <v>1075</v>
      </c>
      <c r="G2104" s="5" t="s">
        <v>1079</v>
      </c>
      <c r="H2104" s="6" t="s">
        <v>646</v>
      </c>
      <c r="I2104" s="6" t="s">
        <v>52</v>
      </c>
      <c r="J2104" s="6" t="s">
        <v>1299</v>
      </c>
      <c r="K2104" s="6">
        <v>8960873</v>
      </c>
      <c r="L2104" s="7" t="s">
        <v>3166</v>
      </c>
      <c r="M2104" s="8">
        <v>4205474</v>
      </c>
      <c r="N2104" s="8" t="str">
        <f t="shared" si="161"/>
        <v>PEN</v>
      </c>
      <c r="O2104" s="13"/>
      <c r="P2104" s="13">
        <v>23.1</v>
      </c>
      <c r="Q2104" s="3">
        <f t="shared" si="162"/>
        <v>0</v>
      </c>
      <c r="R2104" s="3">
        <f t="shared" si="163"/>
        <v>23.1</v>
      </c>
      <c r="S2104" s="3">
        <f t="shared" si="164"/>
        <v>107946.11000000002</v>
      </c>
      <c r="T2104" s="24" t="s">
        <v>1081</v>
      </c>
      <c r="U2104" s="24" t="s">
        <v>1081</v>
      </c>
      <c r="V2104" s="104" t="s">
        <v>3167</v>
      </c>
      <c r="W2104" s="126">
        <f>IFERROR(VLOOKUP(BCP_Soles[[#This Row],[DESTINATARIO]],CHOOSE({1,2},Clientes_Proveedores[Razon Social],Clientes_Proveedores[Ruc / Dni]),2,0),"")</f>
        <v>20100152356</v>
      </c>
      <c r="X2104" s="26" t="s">
        <v>646</v>
      </c>
      <c r="Y2104" s="26" t="s">
        <v>3168</v>
      </c>
      <c r="Z2104" s="26"/>
      <c r="AA2104" s="100"/>
      <c r="AB2104" s="3" t="str">
        <f>IF(BCP_Soles[[#This Row],[FECHA]]&gt;0,TEXT(BCP_Soles[[#This Row],[FECHA]],"mmmm"),0)</f>
        <v>Junio</v>
      </c>
    </row>
    <row r="2105" spans="2:28" ht="24" x14ac:dyDescent="0.3">
      <c r="B2105" s="2">
        <f>IF(BCP_Soles[[#This Row],[TIPO DE R.]]="R",COUNTIFS($D$4:$D2104,"R")+1,"")</f>
        <v>1620</v>
      </c>
      <c r="C2105" s="19" t="str">
        <f t="shared" si="160"/>
        <v>B-BCP - Soles</v>
      </c>
      <c r="D2105" s="3" t="s">
        <v>1074</v>
      </c>
      <c r="E2105" s="14">
        <v>45826</v>
      </c>
      <c r="F2105" s="5" t="s">
        <v>1075</v>
      </c>
      <c r="G2105" s="5" t="s">
        <v>1079</v>
      </c>
      <c r="H2105" s="6"/>
      <c r="I2105" s="6" t="s">
        <v>52</v>
      </c>
      <c r="J2105" s="6" t="s">
        <v>1230</v>
      </c>
      <c r="K2105" s="6">
        <v>190557</v>
      </c>
      <c r="L2105" s="7" t="s">
        <v>3169</v>
      </c>
      <c r="M2105" s="8">
        <v>4205964</v>
      </c>
      <c r="N2105" s="8" t="str">
        <f t="shared" si="161"/>
        <v>PEN</v>
      </c>
      <c r="O2105" s="13"/>
      <c r="P2105" s="13">
        <v>18.7</v>
      </c>
      <c r="Q2105" s="3">
        <f t="shared" si="162"/>
        <v>0</v>
      </c>
      <c r="R2105" s="3">
        <f t="shared" si="163"/>
        <v>18.7</v>
      </c>
      <c r="S2105" s="3">
        <f t="shared" si="164"/>
        <v>107927.41000000002</v>
      </c>
      <c r="T2105" s="24" t="s">
        <v>1081</v>
      </c>
      <c r="U2105" s="24" t="s">
        <v>1081</v>
      </c>
      <c r="V2105" s="104" t="s">
        <v>3170</v>
      </c>
      <c r="W2105" s="126" t="str">
        <f>IFERROR(VLOOKUP(BCP_Soles[[#This Row],[DESTINATARIO]],CHOOSE({1,2},Clientes_Proveedores[Razon Social],Clientes_Proveedores[Ruc / Dni]),2,0),"")</f>
        <v/>
      </c>
      <c r="X2105" s="26" t="s">
        <v>1309</v>
      </c>
      <c r="Y2105" s="26" t="s">
        <v>3171</v>
      </c>
      <c r="Z2105" s="26"/>
      <c r="AA2105" s="100"/>
      <c r="AB2105" s="3" t="str">
        <f>IF(BCP_Soles[[#This Row],[FECHA]]&gt;0,TEXT(BCP_Soles[[#This Row],[FECHA]],"mmmm"),0)</f>
        <v>Junio</v>
      </c>
    </row>
    <row r="2106" spans="2:28" ht="36" x14ac:dyDescent="0.3">
      <c r="B2106" s="2">
        <f>IF(BCP_Soles[[#This Row],[TIPO DE R.]]="R",COUNTIFS($D$4:$D2105,"R")+1,"")</f>
        <v>1621</v>
      </c>
      <c r="C2106" s="19" t="str">
        <f t="shared" si="160"/>
        <v>B-BCP - Soles</v>
      </c>
      <c r="D2106" s="3" t="s">
        <v>1074</v>
      </c>
      <c r="E2106" s="14">
        <v>45826</v>
      </c>
      <c r="F2106" s="5" t="s">
        <v>1075</v>
      </c>
      <c r="G2106" s="5" t="s">
        <v>1079</v>
      </c>
      <c r="H2106" s="6" t="s">
        <v>530</v>
      </c>
      <c r="I2106" s="6" t="s">
        <v>14</v>
      </c>
      <c r="J2106" s="6" t="s">
        <v>1121</v>
      </c>
      <c r="K2106" s="6">
        <v>438</v>
      </c>
      <c r="L2106" s="7" t="s">
        <v>3172</v>
      </c>
      <c r="M2106" s="8">
        <v>1205965</v>
      </c>
      <c r="N2106" s="8" t="str">
        <f t="shared" si="161"/>
        <v>PEN</v>
      </c>
      <c r="O2106" s="13"/>
      <c r="P2106" s="13">
        <v>70.680000000000007</v>
      </c>
      <c r="Q2106" s="3">
        <f t="shared" si="162"/>
        <v>0</v>
      </c>
      <c r="R2106" s="3">
        <f t="shared" si="163"/>
        <v>70.680000000000007</v>
      </c>
      <c r="S2106" s="3">
        <f t="shared" si="164"/>
        <v>107856.73000000003</v>
      </c>
      <c r="T2106" s="24" t="s">
        <v>1081</v>
      </c>
      <c r="U2106" s="24" t="s">
        <v>1081</v>
      </c>
      <c r="V2106" s="104" t="s">
        <v>3173</v>
      </c>
      <c r="W2106" s="126">
        <f>IFERROR(VLOOKUP(BCP_Soles[[#This Row],[DESTINATARIO]],CHOOSE({1,2},Clientes_Proveedores[Razon Social],Clientes_Proveedores[Ruc / Dni]),2,0),"")</f>
        <v>20609368773</v>
      </c>
      <c r="X2106" s="26" t="s">
        <v>1181</v>
      </c>
      <c r="Y2106" s="26" t="s">
        <v>3174</v>
      </c>
      <c r="Z2106" s="26"/>
      <c r="AA2106" s="100"/>
      <c r="AB2106" s="3" t="str">
        <f>IF(BCP_Soles[[#This Row],[FECHA]]&gt;0,TEXT(BCP_Soles[[#This Row],[FECHA]],"mmmm"),0)</f>
        <v>Junio</v>
      </c>
    </row>
    <row r="2107" spans="2:28" ht="24" x14ac:dyDescent="0.3">
      <c r="B2107" s="2">
        <f>IF(BCP_Soles[[#This Row],[TIPO DE R.]]="R",COUNTIFS($D$4:$D2106,"R")+1,"")</f>
        <v>1622</v>
      </c>
      <c r="C2107" s="19" t="str">
        <f t="shared" si="160"/>
        <v>B-BCP - Soles</v>
      </c>
      <c r="D2107" s="3" t="s">
        <v>1074</v>
      </c>
      <c r="E2107" s="14">
        <v>45826</v>
      </c>
      <c r="F2107" s="5" t="s">
        <v>1075</v>
      </c>
      <c r="G2107" s="5" t="s">
        <v>1079</v>
      </c>
      <c r="H2107" s="6"/>
      <c r="I2107" s="6" t="s">
        <v>52</v>
      </c>
      <c r="J2107" s="6" t="s">
        <v>1225</v>
      </c>
      <c r="K2107" s="6">
        <v>30732500</v>
      </c>
      <c r="L2107" s="7" t="s">
        <v>3175</v>
      </c>
      <c r="M2107" s="8">
        <v>205000</v>
      </c>
      <c r="N2107" s="8" t="str">
        <f t="shared" si="161"/>
        <v>PEN</v>
      </c>
      <c r="O2107" s="13"/>
      <c r="P2107" s="13">
        <v>410</v>
      </c>
      <c r="Q2107" s="3">
        <f t="shared" si="162"/>
        <v>0</v>
      </c>
      <c r="R2107" s="3">
        <f t="shared" si="163"/>
        <v>410</v>
      </c>
      <c r="S2107" s="3">
        <f t="shared" si="164"/>
        <v>107446.73000000003</v>
      </c>
      <c r="T2107" s="24" t="s">
        <v>1081</v>
      </c>
      <c r="U2107" s="24" t="s">
        <v>1081</v>
      </c>
      <c r="V2107" s="104" t="s">
        <v>3176</v>
      </c>
      <c r="W2107" s="126" t="str">
        <f>IFERROR(VLOOKUP(BCP_Soles[[#This Row],[DESTINATARIO]],CHOOSE({1,2},Clientes_Proveedores[Razon Social],Clientes_Proveedores[Ruc / Dni]),2,0),"")</f>
        <v/>
      </c>
      <c r="X2107" s="26" t="s">
        <v>645</v>
      </c>
      <c r="Y2107" s="26" t="s">
        <v>3177</v>
      </c>
      <c r="Z2107" s="26"/>
      <c r="AA2107" s="100"/>
      <c r="AB2107" s="3" t="str">
        <f>IF(BCP_Soles[[#This Row],[FECHA]]&gt;0,TEXT(BCP_Soles[[#This Row],[FECHA]],"mmmm"),0)</f>
        <v>Junio</v>
      </c>
    </row>
    <row r="2108" spans="2:28" ht="24" x14ac:dyDescent="0.3">
      <c r="B2108" s="2">
        <f>IF(BCP_Soles[[#This Row],[TIPO DE R.]]="R",COUNTIFS($D$4:$D2107,"R")+1,"")</f>
        <v>1623</v>
      </c>
      <c r="C2108" s="19" t="str">
        <f t="shared" si="160"/>
        <v>B-BCP - Soles</v>
      </c>
      <c r="D2108" s="3" t="s">
        <v>1074</v>
      </c>
      <c r="E2108" s="14">
        <v>45826</v>
      </c>
      <c r="F2108" s="5" t="s">
        <v>1075</v>
      </c>
      <c r="G2108" s="5" t="s">
        <v>1079</v>
      </c>
      <c r="H2108" s="6"/>
      <c r="I2108" s="6" t="s">
        <v>52</v>
      </c>
      <c r="J2108" s="6" t="s">
        <v>1225</v>
      </c>
      <c r="K2108" s="6">
        <v>30732440</v>
      </c>
      <c r="L2108" s="7" t="s">
        <v>3175</v>
      </c>
      <c r="M2108" s="8">
        <v>206922</v>
      </c>
      <c r="N2108" s="8" t="str">
        <f t="shared" si="161"/>
        <v>PEN</v>
      </c>
      <c r="O2108" s="13"/>
      <c r="P2108" s="13">
        <v>130</v>
      </c>
      <c r="Q2108" s="3">
        <f t="shared" si="162"/>
        <v>0</v>
      </c>
      <c r="R2108" s="3">
        <f t="shared" si="163"/>
        <v>130</v>
      </c>
      <c r="S2108" s="3">
        <f t="shared" si="164"/>
        <v>107316.73000000003</v>
      </c>
      <c r="T2108" s="24" t="s">
        <v>1081</v>
      </c>
      <c r="U2108" s="24" t="s">
        <v>1081</v>
      </c>
      <c r="V2108" s="104" t="s">
        <v>3178</v>
      </c>
      <c r="W2108" s="126" t="str">
        <f>IFERROR(VLOOKUP(BCP_Soles[[#This Row],[DESTINATARIO]],CHOOSE({1,2},Clientes_Proveedores[Razon Social],Clientes_Proveedores[Ruc / Dni]),2,0),"")</f>
        <v/>
      </c>
      <c r="X2108" s="26" t="s">
        <v>645</v>
      </c>
      <c r="Y2108" s="26" t="s">
        <v>3179</v>
      </c>
      <c r="Z2108" s="26"/>
      <c r="AA2108" s="100"/>
      <c r="AB2108" s="3" t="str">
        <f>IF(BCP_Soles[[#This Row],[FECHA]]&gt;0,TEXT(BCP_Soles[[#This Row],[FECHA]],"mmmm"),0)</f>
        <v>Junio</v>
      </c>
    </row>
    <row r="2109" spans="2:28" ht="24" x14ac:dyDescent="0.3">
      <c r="B2109" s="2">
        <f>IF(BCP_Soles[[#This Row],[TIPO DE R.]]="R",COUNTIFS($D$4:$D2108,"R")+1,"")</f>
        <v>1624</v>
      </c>
      <c r="C2109" s="19" t="str">
        <f t="shared" si="160"/>
        <v>B-BCP - Soles</v>
      </c>
      <c r="D2109" s="3" t="s">
        <v>1074</v>
      </c>
      <c r="E2109" s="14">
        <v>45826</v>
      </c>
      <c r="F2109" s="5" t="s">
        <v>1075</v>
      </c>
      <c r="G2109" s="5" t="s">
        <v>1079</v>
      </c>
      <c r="H2109" s="6"/>
      <c r="I2109" s="6" t="s">
        <v>52</v>
      </c>
      <c r="J2109" s="6">
        <v>1</v>
      </c>
      <c r="K2109" s="6">
        <v>59332947</v>
      </c>
      <c r="L2109" s="7" t="s">
        <v>3180</v>
      </c>
      <c r="M2109" s="8">
        <v>208026</v>
      </c>
      <c r="N2109" s="8" t="str">
        <f t="shared" si="161"/>
        <v>PEN</v>
      </c>
      <c r="O2109" s="13"/>
      <c r="P2109" s="13">
        <v>337.8</v>
      </c>
      <c r="Q2109" s="3">
        <f t="shared" si="162"/>
        <v>0</v>
      </c>
      <c r="R2109" s="3">
        <f t="shared" si="163"/>
        <v>337.8</v>
      </c>
      <c r="S2109" s="3">
        <f t="shared" si="164"/>
        <v>106978.93000000002</v>
      </c>
      <c r="T2109" s="24" t="s">
        <v>1081</v>
      </c>
      <c r="U2109" s="24" t="s">
        <v>1081</v>
      </c>
      <c r="V2109" s="104" t="s">
        <v>3181</v>
      </c>
      <c r="W2109" s="126" t="str">
        <f>IFERROR(VLOOKUP(BCP_Soles[[#This Row],[DESTINATARIO]],CHOOSE({1,2},Clientes_Proveedores[Razon Social],Clientes_Proveedores[Ruc / Dni]),2,0),"")</f>
        <v/>
      </c>
      <c r="X2109" s="26" t="s">
        <v>1219</v>
      </c>
      <c r="Y2109" s="26" t="s">
        <v>3182</v>
      </c>
      <c r="Z2109" s="26"/>
      <c r="AA2109" s="100"/>
      <c r="AB2109" s="3" t="str">
        <f>IF(BCP_Soles[[#This Row],[FECHA]]&gt;0,TEXT(BCP_Soles[[#This Row],[FECHA]],"mmmm"),0)</f>
        <v>Junio</v>
      </c>
    </row>
    <row r="2110" spans="2:28" ht="24" x14ac:dyDescent="0.3">
      <c r="B2110" s="2">
        <f>IF(BCP_Soles[[#This Row],[TIPO DE R.]]="R",COUNTIFS($D$4:$D2109,"R")+1,"")</f>
        <v>1625</v>
      </c>
      <c r="C2110" s="19" t="str">
        <f t="shared" si="160"/>
        <v>B-BCP - Soles</v>
      </c>
      <c r="D2110" s="3" t="s">
        <v>1074</v>
      </c>
      <c r="E2110" s="14">
        <v>45826</v>
      </c>
      <c r="F2110" s="5" t="s">
        <v>1158</v>
      </c>
      <c r="G2110" s="5" t="s">
        <v>1079</v>
      </c>
      <c r="H2110" s="6" t="s">
        <v>836</v>
      </c>
      <c r="I2110" s="6"/>
      <c r="J2110" s="6"/>
      <c r="K2110" s="6"/>
      <c r="L2110" s="7" t="s">
        <v>2794</v>
      </c>
      <c r="M2110" s="8">
        <v>1208027</v>
      </c>
      <c r="N2110" s="8" t="str">
        <f t="shared" si="161"/>
        <v>PEN</v>
      </c>
      <c r="O2110" s="13"/>
      <c r="P2110" s="13">
        <v>2460</v>
      </c>
      <c r="Q2110" s="3">
        <f t="shared" si="162"/>
        <v>0</v>
      </c>
      <c r="R2110" s="3">
        <f t="shared" si="163"/>
        <v>2460</v>
      </c>
      <c r="S2110" s="3">
        <f t="shared" si="164"/>
        <v>104518.93000000002</v>
      </c>
      <c r="T2110" s="24"/>
      <c r="U2110" s="24"/>
      <c r="V2110" s="104" t="s">
        <v>3183</v>
      </c>
      <c r="W2110" s="126">
        <f>IFERROR(VLOOKUP(BCP_Soles[[#This Row],[DESTINATARIO]],CHOOSE({1,2},Clientes_Proveedores[Razon Social],Clientes_Proveedores[Ruc / Dni]),2,0),"")</f>
        <v>72144092</v>
      </c>
      <c r="X2110" s="26" t="s">
        <v>836</v>
      </c>
      <c r="Y2110" s="26"/>
      <c r="Z2110" s="26"/>
      <c r="AA2110" s="100"/>
      <c r="AB2110" s="3" t="str">
        <f>IF(BCP_Soles[[#This Row],[FECHA]]&gt;0,TEXT(BCP_Soles[[#This Row],[FECHA]],"mmmm"),0)</f>
        <v>Junio</v>
      </c>
    </row>
    <row r="2111" spans="2:28" ht="24" x14ac:dyDescent="0.3">
      <c r="B2111" s="2">
        <f>IF(BCP_Soles[[#This Row],[TIPO DE R.]]="R",COUNTIFS($D$4:$D2110,"R")+1,"")</f>
        <v>1626</v>
      </c>
      <c r="C2111" s="19" t="str">
        <f t="shared" si="160"/>
        <v>B-BCP - Soles</v>
      </c>
      <c r="D2111" s="3" t="s">
        <v>1074</v>
      </c>
      <c r="E2111" s="14">
        <v>45826</v>
      </c>
      <c r="F2111" s="5" t="s">
        <v>1158</v>
      </c>
      <c r="G2111" s="5" t="s">
        <v>1079</v>
      </c>
      <c r="H2111" s="6" t="s">
        <v>829</v>
      </c>
      <c r="I2111" s="6" t="s">
        <v>91</v>
      </c>
      <c r="J2111" s="6">
        <v>13</v>
      </c>
      <c r="K2111" s="6">
        <v>32</v>
      </c>
      <c r="L2111" s="7" t="s">
        <v>3184</v>
      </c>
      <c r="M2111" s="8">
        <v>1207425</v>
      </c>
      <c r="N2111" s="8" t="str">
        <f t="shared" si="161"/>
        <v>PEN</v>
      </c>
      <c r="O2111" s="13"/>
      <c r="P2111" s="13">
        <v>1165</v>
      </c>
      <c r="Q2111" s="3">
        <f t="shared" si="162"/>
        <v>0</v>
      </c>
      <c r="R2111" s="3">
        <f t="shared" si="163"/>
        <v>1165</v>
      </c>
      <c r="S2111" s="3">
        <f t="shared" si="164"/>
        <v>103353.93000000002</v>
      </c>
      <c r="T2111" s="24"/>
      <c r="U2111" s="24"/>
      <c r="V2111" s="104"/>
      <c r="W2111" s="128">
        <f>IFERROR(VLOOKUP(BCP_Soles[[#This Row],[DESTINATARIO]],CHOOSE({1,2},Clientes_Proveedores[Razon Social],Clientes_Proveedores[Ruc / Dni]),2,0),"")</f>
        <v>47461440</v>
      </c>
      <c r="X2111" s="26"/>
      <c r="Y2111" s="26"/>
      <c r="Z2111" s="26"/>
      <c r="AA2111" s="100"/>
      <c r="AB2111" s="3" t="str">
        <f>IF(BCP_Soles[[#This Row],[FECHA]]&gt;0,TEXT(BCP_Soles[[#This Row],[FECHA]],"mmmm"),0)</f>
        <v>Junio</v>
      </c>
    </row>
    <row r="2112" spans="2:28" x14ac:dyDescent="0.3">
      <c r="B2112" s="2">
        <f>IF(BCP_Soles[[#This Row],[TIPO DE R.]]="R",COUNTIFS($D$4:$D2111,"R")+1,"")</f>
        <v>1627</v>
      </c>
      <c r="C2112" s="19" t="str">
        <f t="shared" si="160"/>
        <v>B-BCP - Soles</v>
      </c>
      <c r="D2112" s="3" t="s">
        <v>1074</v>
      </c>
      <c r="E2112" s="14">
        <v>45826</v>
      </c>
      <c r="F2112" s="5" t="s">
        <v>1078</v>
      </c>
      <c r="G2112" s="5" t="s">
        <v>1079</v>
      </c>
      <c r="H2112" s="6"/>
      <c r="I2112" s="6"/>
      <c r="J2112" s="6"/>
      <c r="K2112" s="6"/>
      <c r="L2112" s="7" t="s">
        <v>2868</v>
      </c>
      <c r="M2112" s="8"/>
      <c r="N2112" s="8" t="str">
        <f t="shared" si="161"/>
        <v>PEN</v>
      </c>
      <c r="O2112" s="13"/>
      <c r="P2112" s="13">
        <v>1.25</v>
      </c>
      <c r="Q2112" s="3">
        <f t="shared" si="162"/>
        <v>0</v>
      </c>
      <c r="R2112" s="3">
        <f t="shared" si="163"/>
        <v>1.25</v>
      </c>
      <c r="S2112" s="3">
        <f t="shared" si="164"/>
        <v>103352.68000000002</v>
      </c>
      <c r="T2112" s="24"/>
      <c r="U2112" s="24"/>
      <c r="V2112" s="67"/>
      <c r="W2112" s="25" t="str">
        <f>IFERROR(VLOOKUP(BCP_Soles[[#This Row],[DESTINATARIO]],CHOOSE({1,2},Clientes_Proveedores[Razon Social],Clientes_Proveedores[Ruc / Dni]),2,0),"")</f>
        <v/>
      </c>
      <c r="X2112" s="25"/>
      <c r="Y2112" s="25"/>
      <c r="Z2112" s="25"/>
      <c r="AA2112" s="99"/>
      <c r="AB2112" s="3" t="str">
        <f>IF(BCP_Soles[[#This Row],[FECHA]]&gt;0,TEXT(BCP_Soles[[#This Row],[FECHA]],"mmmm"),0)</f>
        <v>Junio</v>
      </c>
    </row>
    <row r="2113" spans="2:28" x14ac:dyDescent="0.3">
      <c r="B2113" s="2">
        <f>IF(BCP_Soles[[#This Row],[TIPO DE R.]]="R",COUNTIFS($D$4:$D2112,"R")+1,"")</f>
        <v>1628</v>
      </c>
      <c r="C2113" s="19" t="str">
        <f t="shared" si="160"/>
        <v>B-BCP - Soles</v>
      </c>
      <c r="D2113" s="3" t="s">
        <v>1074</v>
      </c>
      <c r="E2113" s="14">
        <v>45827</v>
      </c>
      <c r="F2113" s="5"/>
      <c r="G2113" s="5" t="s">
        <v>1087</v>
      </c>
      <c r="H2113" s="6"/>
      <c r="I2113" s="6"/>
      <c r="J2113" s="6"/>
      <c r="K2113" s="6"/>
      <c r="L2113" s="7" t="s">
        <v>1100</v>
      </c>
      <c r="M2113" s="8">
        <v>2660467</v>
      </c>
      <c r="N2113" s="8" t="str">
        <f t="shared" si="161"/>
        <v>PEN</v>
      </c>
      <c r="O2113" s="13"/>
      <c r="P2113" s="13">
        <v>2722.1</v>
      </c>
      <c r="Q2113" s="3">
        <f t="shared" si="162"/>
        <v>2722.1</v>
      </c>
      <c r="R2113" s="3">
        <f t="shared" si="163"/>
        <v>0</v>
      </c>
      <c r="S2113" s="3">
        <f t="shared" si="164"/>
        <v>106074.78000000003</v>
      </c>
      <c r="T2113" s="24" t="s">
        <v>1081</v>
      </c>
      <c r="U2113" s="24" t="s">
        <v>1081</v>
      </c>
      <c r="V2113" s="67"/>
      <c r="W2113" s="25" t="str">
        <f>IFERROR(VLOOKUP(BCP_Soles[[#This Row],[DESTINATARIO]],CHOOSE({1,2},Clientes_Proveedores[Razon Social],Clientes_Proveedores[Ruc / Dni]),2,0),"")</f>
        <v/>
      </c>
      <c r="X2113" s="25" t="s">
        <v>1090</v>
      </c>
      <c r="Y2113" s="25"/>
      <c r="Z2113" s="25"/>
      <c r="AA2113" s="99"/>
      <c r="AB2113" s="3" t="str">
        <f>IF(BCP_Soles[[#This Row],[FECHA]]&gt;0,TEXT(BCP_Soles[[#This Row],[FECHA]],"mmmm"),0)</f>
        <v>Junio</v>
      </c>
    </row>
    <row r="2114" spans="2:28" ht="24" x14ac:dyDescent="0.3">
      <c r="B2114" s="2" t="str">
        <f>IF(BCP_Soles[[#This Row],[TIPO DE R.]]="R",COUNTIFS($D$4:$D2113,"R")+1,"")</f>
        <v/>
      </c>
      <c r="C2114" s="19" t="str">
        <f t="shared" si="160"/>
        <v>B-BCP - Soles</v>
      </c>
      <c r="D2114" s="3" t="s">
        <v>1101</v>
      </c>
      <c r="E2114" s="14">
        <v>45827</v>
      </c>
      <c r="F2114" s="5" t="s">
        <v>479</v>
      </c>
      <c r="G2114" s="5"/>
      <c r="H2114" s="6"/>
      <c r="I2114" s="6"/>
      <c r="J2114" s="6"/>
      <c r="K2114" s="6"/>
      <c r="L2114" s="7" t="s">
        <v>1100</v>
      </c>
      <c r="M2114" s="8">
        <v>2660467</v>
      </c>
      <c r="N2114" s="8" t="str">
        <f t="shared" si="161"/>
        <v>PEN</v>
      </c>
      <c r="O2114" s="13"/>
      <c r="P2114" s="13">
        <v>832</v>
      </c>
      <c r="Q2114" s="3">
        <f t="shared" si="162"/>
        <v>0</v>
      </c>
      <c r="R2114" s="3">
        <f t="shared" si="163"/>
        <v>0</v>
      </c>
      <c r="S2114" s="3">
        <f t="shared" si="164"/>
        <v>106074.78000000003</v>
      </c>
      <c r="T2114" s="24" t="s">
        <v>1081</v>
      </c>
      <c r="U2114" s="24" t="s">
        <v>1081</v>
      </c>
      <c r="V2114" s="67"/>
      <c r="W2114" s="25" t="str">
        <f>IFERROR(VLOOKUP(BCP_Soles[[#This Row],[DESTINATARIO]],CHOOSE({1,2},Clientes_Proveedores[Razon Social],Clientes_Proveedores[Ruc / Dni]),2,0),"")</f>
        <v/>
      </c>
      <c r="X2114" s="25" t="s">
        <v>1090</v>
      </c>
      <c r="Y2114" s="25" t="s">
        <v>3185</v>
      </c>
      <c r="Z2114" s="25"/>
      <c r="AA2114" s="99"/>
      <c r="AB2114" s="3" t="str">
        <f>IF(BCP_Soles[[#This Row],[FECHA]]&gt;0,TEXT(BCP_Soles[[#This Row],[FECHA]],"mmmm"),0)</f>
        <v>Junio</v>
      </c>
    </row>
    <row r="2115" spans="2:28" ht="24" x14ac:dyDescent="0.3">
      <c r="B2115" s="2" t="str">
        <f>IF(BCP_Soles[[#This Row],[TIPO DE R.]]="R",COUNTIFS($D$4:$D2114,"R")+1,"")</f>
        <v/>
      </c>
      <c r="C2115" s="19" t="str">
        <f t="shared" si="160"/>
        <v>B-BCP - Soles</v>
      </c>
      <c r="D2115" s="3" t="s">
        <v>1101</v>
      </c>
      <c r="E2115" s="14">
        <v>45827</v>
      </c>
      <c r="F2115" s="5" t="s">
        <v>479</v>
      </c>
      <c r="G2115" s="5"/>
      <c r="H2115" s="6"/>
      <c r="I2115" s="6"/>
      <c r="J2115" s="6"/>
      <c r="K2115" s="6"/>
      <c r="L2115" s="7" t="s">
        <v>1100</v>
      </c>
      <c r="M2115" s="8">
        <v>2660467</v>
      </c>
      <c r="N2115" s="8" t="str">
        <f t="shared" si="161"/>
        <v>PEN</v>
      </c>
      <c r="O2115" s="13"/>
      <c r="P2115" s="13">
        <v>1890.1</v>
      </c>
      <c r="Q2115" s="3">
        <f t="shared" si="162"/>
        <v>0</v>
      </c>
      <c r="R2115" s="3">
        <f t="shared" si="163"/>
        <v>0</v>
      </c>
      <c r="S2115" s="3">
        <f t="shared" si="164"/>
        <v>106074.78000000003</v>
      </c>
      <c r="T2115" s="24" t="s">
        <v>1081</v>
      </c>
      <c r="U2115" s="24" t="s">
        <v>1081</v>
      </c>
      <c r="V2115" s="67"/>
      <c r="W2115" s="25" t="str">
        <f>IFERROR(VLOOKUP(BCP_Soles[[#This Row],[DESTINATARIO]],CHOOSE({1,2},Clientes_Proveedores[Razon Social],Clientes_Proveedores[Ruc / Dni]),2,0),"")</f>
        <v/>
      </c>
      <c r="X2115" s="25" t="s">
        <v>1090</v>
      </c>
      <c r="Y2115" s="25" t="s">
        <v>3186</v>
      </c>
      <c r="Z2115" s="25"/>
      <c r="AA2115" s="99"/>
      <c r="AB2115" s="3" t="str">
        <f>IF(BCP_Soles[[#This Row],[FECHA]]&gt;0,TEXT(BCP_Soles[[#This Row],[FECHA]],"mmmm"),0)</f>
        <v>Junio</v>
      </c>
    </row>
    <row r="2116" spans="2:28" x14ac:dyDescent="0.3">
      <c r="B2116" s="2">
        <f>IF(BCP_Soles[[#This Row],[TIPO DE R.]]="R",COUNTIFS($D$4:$D2115,"R")+1,"")</f>
        <v>1629</v>
      </c>
      <c r="C2116" s="19" t="str">
        <f t="shared" si="160"/>
        <v>B-BCP - Soles</v>
      </c>
      <c r="D2116" s="3" t="s">
        <v>1074</v>
      </c>
      <c r="E2116" s="14">
        <v>45827</v>
      </c>
      <c r="F2116" s="5"/>
      <c r="G2116" s="5" t="s">
        <v>1087</v>
      </c>
      <c r="H2116" s="6"/>
      <c r="I2116" s="6"/>
      <c r="J2116" s="6"/>
      <c r="K2116" s="6"/>
      <c r="L2116" s="7" t="s">
        <v>1100</v>
      </c>
      <c r="M2116" s="8">
        <v>2700122</v>
      </c>
      <c r="N2116" s="8" t="str">
        <f t="shared" si="161"/>
        <v>PEN</v>
      </c>
      <c r="O2116" s="13"/>
      <c r="P2116" s="13">
        <v>551</v>
      </c>
      <c r="Q2116" s="3">
        <f t="shared" si="162"/>
        <v>551</v>
      </c>
      <c r="R2116" s="3">
        <f t="shared" si="163"/>
        <v>0</v>
      </c>
      <c r="S2116" s="3">
        <f t="shared" si="164"/>
        <v>106625.78000000003</v>
      </c>
      <c r="T2116" s="24"/>
      <c r="U2116" s="24"/>
      <c r="V2116" s="67"/>
      <c r="W2116" s="25" t="str">
        <f>IFERROR(VLOOKUP(BCP_Soles[[#This Row],[DESTINATARIO]],CHOOSE({1,2},Clientes_Proveedores[Razon Social],Clientes_Proveedores[Ruc / Dni]),2,0),"")</f>
        <v/>
      </c>
      <c r="X2116" s="25"/>
      <c r="Y2116" s="25"/>
      <c r="Z2116" s="25"/>
      <c r="AA2116" s="99"/>
      <c r="AB2116" s="3" t="str">
        <f>IF(BCP_Soles[[#This Row],[FECHA]]&gt;0,TEXT(BCP_Soles[[#This Row],[FECHA]],"mmmm"),0)</f>
        <v>Junio</v>
      </c>
    </row>
    <row r="2117" spans="2:28" ht="24" x14ac:dyDescent="0.3">
      <c r="B2117" s="2">
        <f>IF(BCP_Soles[[#This Row],[TIPO DE R.]]="R",COUNTIFS($D$4:$D2116,"R")+1,"")</f>
        <v>1630</v>
      </c>
      <c r="C2117" s="19" t="str">
        <f t="shared" ref="C2117:C2180" si="165">"B-BCP - Soles"</f>
        <v>B-BCP - Soles</v>
      </c>
      <c r="D2117" s="3" t="s">
        <v>1074</v>
      </c>
      <c r="E2117" s="14">
        <v>45827</v>
      </c>
      <c r="F2117" s="5" t="s">
        <v>3158</v>
      </c>
      <c r="G2117" s="5" t="s">
        <v>1087</v>
      </c>
      <c r="H2117" s="6" t="s">
        <v>368</v>
      </c>
      <c r="I2117" s="6" t="s">
        <v>63</v>
      </c>
      <c r="J2117" s="6">
        <v>1</v>
      </c>
      <c r="K2117" s="6">
        <v>4523</v>
      </c>
      <c r="L2117" s="7" t="s">
        <v>1100</v>
      </c>
      <c r="M2117" s="8">
        <v>3453736</v>
      </c>
      <c r="N2117" s="8" t="str">
        <f t="shared" ref="N2117:N2180" si="166">"PEN"</f>
        <v>PEN</v>
      </c>
      <c r="O2117" s="13"/>
      <c r="P2117" s="13">
        <v>270</v>
      </c>
      <c r="Q2117" s="3">
        <f t="shared" ref="Q2117:Q2180" si="167">+IF(OR($G2117="SALDO",$G2117="INGRESO"),$P2117,0)</f>
        <v>270</v>
      </c>
      <c r="R2117" s="3">
        <f t="shared" ref="R2117:R2180" si="168">+IF($G2117="EGRESO",$P2117,0)</f>
        <v>0</v>
      </c>
      <c r="S2117" s="3">
        <f t="shared" ref="S2117:S2180" si="169">IFERROR(IF(G2117="SALDO",Q2117,S2116+Q2117-R2117),0)</f>
        <v>106895.78000000003</v>
      </c>
      <c r="T2117" s="24" t="s">
        <v>1081</v>
      </c>
      <c r="U2117" s="24" t="s">
        <v>1081</v>
      </c>
      <c r="V2117" s="67"/>
      <c r="W2117" s="25">
        <f>IFERROR(VLOOKUP(BCP_Soles[[#This Row],[DESTINATARIO]],CHOOSE({1,2},Clientes_Proveedores[Razon Social],Clientes_Proveedores[Ruc / Dni]),2,0),"")</f>
        <v>20558226979</v>
      </c>
      <c r="X2117" s="25" t="s">
        <v>1090</v>
      </c>
      <c r="Y2117" s="25" t="s">
        <v>3187</v>
      </c>
      <c r="Z2117" s="25"/>
      <c r="AA2117" s="99"/>
      <c r="AB2117" s="3" t="str">
        <f>IF(BCP_Soles[[#This Row],[FECHA]]&gt;0,TEXT(BCP_Soles[[#This Row],[FECHA]],"mmmm"),0)</f>
        <v>Junio</v>
      </c>
    </row>
    <row r="2118" spans="2:28" ht="24" x14ac:dyDescent="0.3">
      <c r="B2118" s="2">
        <f>IF(BCP_Soles[[#This Row],[TIPO DE R.]]="R",COUNTIFS($D$4:$D2117,"R")+1,"")</f>
        <v>1631</v>
      </c>
      <c r="C2118" s="19" t="str">
        <f t="shared" si="165"/>
        <v>B-BCP - Soles</v>
      </c>
      <c r="D2118" s="3" t="s">
        <v>1074</v>
      </c>
      <c r="E2118" s="14">
        <v>45827</v>
      </c>
      <c r="F2118" s="5" t="s">
        <v>1075</v>
      </c>
      <c r="G2118" s="5" t="s">
        <v>1079</v>
      </c>
      <c r="H2118" s="6" t="s">
        <v>192</v>
      </c>
      <c r="I2118" s="6"/>
      <c r="J2118" s="6"/>
      <c r="K2118" s="6"/>
      <c r="L2118" s="7" t="s">
        <v>3188</v>
      </c>
      <c r="M2118" s="8">
        <v>1105363</v>
      </c>
      <c r="N2118" s="8" t="str">
        <f t="shared" si="166"/>
        <v>PEN</v>
      </c>
      <c r="O2118" s="13"/>
      <c r="P2118" s="13">
        <v>40.71</v>
      </c>
      <c r="Q2118" s="3">
        <f t="shared" si="167"/>
        <v>0</v>
      </c>
      <c r="R2118" s="3">
        <f t="shared" si="168"/>
        <v>40.71</v>
      </c>
      <c r="S2118" s="3">
        <f t="shared" si="169"/>
        <v>106855.07000000002</v>
      </c>
      <c r="T2118" s="24"/>
      <c r="U2118" s="24"/>
      <c r="V2118" s="104" t="s">
        <v>3189</v>
      </c>
      <c r="W2118" s="126">
        <f>IFERROR(VLOOKUP(BCP_Soles[[#This Row],[DESTINATARIO]],CHOOSE({1,2},Clientes_Proveedores[Razon Social],Clientes_Proveedores[Ruc / Dni]),2,0),"")</f>
        <v>20302891452</v>
      </c>
      <c r="X2118" s="26" t="s">
        <v>192</v>
      </c>
      <c r="Y2118" s="26"/>
      <c r="Z2118" s="26"/>
      <c r="AA2118" s="100"/>
      <c r="AB2118" s="3" t="str">
        <f>IF(BCP_Soles[[#This Row],[FECHA]]&gt;0,TEXT(BCP_Soles[[#This Row],[FECHA]],"mmmm"),0)</f>
        <v>Junio</v>
      </c>
    </row>
    <row r="2119" spans="2:28" ht="24" x14ac:dyDescent="0.3">
      <c r="B2119" s="2">
        <f>IF(BCP_Soles[[#This Row],[TIPO DE R.]]="R",COUNTIFS($D$4:$D2118,"R")+1,"")</f>
        <v>1632</v>
      </c>
      <c r="C2119" s="19" t="str">
        <f t="shared" si="165"/>
        <v>B-BCP - Soles</v>
      </c>
      <c r="D2119" s="3" t="s">
        <v>1074</v>
      </c>
      <c r="E2119" s="14">
        <v>45827</v>
      </c>
      <c r="F2119" s="5" t="s">
        <v>1075</v>
      </c>
      <c r="G2119" s="5" t="s">
        <v>1079</v>
      </c>
      <c r="H2119" s="6" t="s">
        <v>192</v>
      </c>
      <c r="I2119" s="6"/>
      <c r="J2119" s="6"/>
      <c r="K2119" s="6"/>
      <c r="L2119" s="7" t="s">
        <v>3190</v>
      </c>
      <c r="M2119" s="8">
        <v>1104378</v>
      </c>
      <c r="N2119" s="8" t="str">
        <f t="shared" si="166"/>
        <v>PEN</v>
      </c>
      <c r="O2119" s="13"/>
      <c r="P2119" s="13">
        <v>849.6</v>
      </c>
      <c r="Q2119" s="3">
        <f t="shared" si="167"/>
        <v>0</v>
      </c>
      <c r="R2119" s="3">
        <f t="shared" si="168"/>
        <v>849.6</v>
      </c>
      <c r="S2119" s="3">
        <f t="shared" si="169"/>
        <v>106005.47000000002</v>
      </c>
      <c r="T2119" s="24"/>
      <c r="U2119" s="24"/>
      <c r="V2119" s="104" t="s">
        <v>3191</v>
      </c>
      <c r="W2119" s="126">
        <f>IFERROR(VLOOKUP(BCP_Soles[[#This Row],[DESTINATARIO]],CHOOSE({1,2},Clientes_Proveedores[Razon Social],Clientes_Proveedores[Ruc / Dni]),2,0),"")</f>
        <v>20302891452</v>
      </c>
      <c r="X2119" s="26" t="s">
        <v>192</v>
      </c>
      <c r="Y2119" s="26"/>
      <c r="Z2119" s="26"/>
      <c r="AA2119" s="100"/>
      <c r="AB2119" s="3" t="str">
        <f>IF(BCP_Soles[[#This Row],[FECHA]]&gt;0,TEXT(BCP_Soles[[#This Row],[FECHA]],"mmmm"),0)</f>
        <v>Junio</v>
      </c>
    </row>
    <row r="2120" spans="2:28" ht="36" x14ac:dyDescent="0.3">
      <c r="B2120" s="2">
        <f>IF(BCP_Soles[[#This Row],[TIPO DE R.]]="R",COUNTIFS($D$4:$D2119,"R")+1,"")</f>
        <v>1633</v>
      </c>
      <c r="C2120" s="19" t="str">
        <f t="shared" si="165"/>
        <v>B-BCP - Soles</v>
      </c>
      <c r="D2120" s="3" t="s">
        <v>1074</v>
      </c>
      <c r="E2120" s="14">
        <v>45827</v>
      </c>
      <c r="F2120" s="5" t="s">
        <v>1075</v>
      </c>
      <c r="G2120" s="5" t="s">
        <v>1079</v>
      </c>
      <c r="H2120" s="6" t="s">
        <v>926</v>
      </c>
      <c r="I2120" s="6"/>
      <c r="J2120" s="6"/>
      <c r="K2120" s="6"/>
      <c r="L2120" s="7" t="s">
        <v>3192</v>
      </c>
      <c r="M2120" s="8">
        <v>1106342</v>
      </c>
      <c r="N2120" s="8" t="str">
        <f t="shared" si="166"/>
        <v>PEN</v>
      </c>
      <c r="O2120" s="13"/>
      <c r="P2120" s="13">
        <v>3740</v>
      </c>
      <c r="Q2120" s="3">
        <f t="shared" si="167"/>
        <v>0</v>
      </c>
      <c r="R2120" s="3">
        <f t="shared" si="168"/>
        <v>3740</v>
      </c>
      <c r="S2120" s="3">
        <f t="shared" si="169"/>
        <v>102265.47000000002</v>
      </c>
      <c r="T2120" s="24" t="s">
        <v>1081</v>
      </c>
      <c r="U2120" s="24" t="s">
        <v>1081</v>
      </c>
      <c r="V2120" s="104" t="s">
        <v>3193</v>
      </c>
      <c r="W2120" s="126">
        <f>IFERROR(VLOOKUP(BCP_Soles[[#This Row],[DESTINATARIO]],CHOOSE({1,2},Clientes_Proveedores[Razon Social],Clientes_Proveedores[Ruc / Dni]),2,0),"")</f>
        <v>20600922310</v>
      </c>
      <c r="X2120" s="26" t="s">
        <v>3194</v>
      </c>
      <c r="Y2120" s="26" t="s">
        <v>926</v>
      </c>
      <c r="Z2120" s="26"/>
      <c r="AA2120" s="100"/>
      <c r="AB2120" s="3" t="str">
        <f>IF(BCP_Soles[[#This Row],[FECHA]]&gt;0,TEXT(BCP_Soles[[#This Row],[FECHA]],"mmmm"),0)</f>
        <v>Junio</v>
      </c>
    </row>
    <row r="2121" spans="2:28" ht="36" x14ac:dyDescent="0.3">
      <c r="B2121" s="2" t="str">
        <f>IF(BCP_Soles[[#This Row],[TIPO DE R.]]="R",COUNTIFS($D$4:$D2120,"R")+1,"")</f>
        <v/>
      </c>
      <c r="C2121" s="19" t="str">
        <f t="shared" si="165"/>
        <v>B-BCP - Soles</v>
      </c>
      <c r="D2121" s="3" t="s">
        <v>1101</v>
      </c>
      <c r="E2121" s="14">
        <v>45827</v>
      </c>
      <c r="F2121" s="5" t="s">
        <v>1075</v>
      </c>
      <c r="G2121" s="5"/>
      <c r="H2121" s="6" t="s">
        <v>926</v>
      </c>
      <c r="I2121" s="6" t="s">
        <v>14</v>
      </c>
      <c r="J2121" s="6" t="s">
        <v>1121</v>
      </c>
      <c r="K2121" s="6">
        <v>99</v>
      </c>
      <c r="L2121" s="7" t="s">
        <v>3195</v>
      </c>
      <c r="M2121" s="8">
        <v>1106342</v>
      </c>
      <c r="N2121" s="8" t="str">
        <f t="shared" si="166"/>
        <v>PEN</v>
      </c>
      <c r="O2121" s="13">
        <v>1928.7</v>
      </c>
      <c r="P2121" s="13"/>
      <c r="Q2121" s="3">
        <f t="shared" si="167"/>
        <v>0</v>
      </c>
      <c r="R2121" s="3">
        <f t="shared" si="168"/>
        <v>0</v>
      </c>
      <c r="S2121" s="3">
        <f t="shared" si="169"/>
        <v>102265.47000000002</v>
      </c>
      <c r="T2121" s="24" t="s">
        <v>1081</v>
      </c>
      <c r="U2121" s="24" t="s">
        <v>1081</v>
      </c>
      <c r="V2121" s="104"/>
      <c r="W2121" s="126">
        <f>IFERROR(VLOOKUP(BCP_Soles[[#This Row],[DESTINATARIO]],CHOOSE({1,2},Clientes_Proveedores[Razon Social],Clientes_Proveedores[Ruc / Dni]),2,0),"")</f>
        <v>20600922310</v>
      </c>
      <c r="X2121" s="26"/>
      <c r="Y2121" s="26"/>
      <c r="Z2121" s="26"/>
      <c r="AA2121" s="100"/>
      <c r="AB2121" s="3" t="str">
        <f>IF(BCP_Soles[[#This Row],[FECHA]]&gt;0,TEXT(BCP_Soles[[#This Row],[FECHA]],"mmmm"),0)</f>
        <v>Junio</v>
      </c>
    </row>
    <row r="2122" spans="2:28" ht="36" x14ac:dyDescent="0.3">
      <c r="B2122" s="2" t="str">
        <f>IF(BCP_Soles[[#This Row],[TIPO DE R.]]="R",COUNTIFS($D$4:$D2121,"R")+1,"")</f>
        <v/>
      </c>
      <c r="C2122" s="19" t="str">
        <f t="shared" si="165"/>
        <v>B-BCP - Soles</v>
      </c>
      <c r="D2122" s="3" t="s">
        <v>1101</v>
      </c>
      <c r="E2122" s="14">
        <v>45827</v>
      </c>
      <c r="F2122" s="5" t="s">
        <v>1075</v>
      </c>
      <c r="G2122" s="5"/>
      <c r="H2122" s="6" t="s">
        <v>926</v>
      </c>
      <c r="I2122" s="6" t="s">
        <v>14</v>
      </c>
      <c r="J2122" s="6" t="s">
        <v>1121</v>
      </c>
      <c r="K2122" s="6">
        <v>98</v>
      </c>
      <c r="L2122" s="7" t="s">
        <v>3195</v>
      </c>
      <c r="M2122" s="8">
        <v>1106342</v>
      </c>
      <c r="N2122" s="8" t="str">
        <f t="shared" si="166"/>
        <v>PEN</v>
      </c>
      <c r="O2122" s="13">
        <v>1811.3</v>
      </c>
      <c r="P2122" s="13"/>
      <c r="Q2122" s="3">
        <f t="shared" si="167"/>
        <v>0</v>
      </c>
      <c r="R2122" s="3">
        <f t="shared" si="168"/>
        <v>0</v>
      </c>
      <c r="S2122" s="3">
        <f t="shared" si="169"/>
        <v>102265.47000000002</v>
      </c>
      <c r="T2122" s="24" t="s">
        <v>1081</v>
      </c>
      <c r="U2122" s="24" t="s">
        <v>1081</v>
      </c>
      <c r="V2122" s="104"/>
      <c r="W2122" s="126">
        <f>IFERROR(VLOOKUP(BCP_Soles[[#This Row],[DESTINATARIO]],CHOOSE({1,2},Clientes_Proveedores[Razon Social],Clientes_Proveedores[Ruc / Dni]),2,0),"")</f>
        <v>20600922310</v>
      </c>
      <c r="X2122" s="26"/>
      <c r="Y2122" s="26"/>
      <c r="Z2122" s="26"/>
      <c r="AA2122" s="100"/>
      <c r="AB2122" s="3" t="str">
        <f>IF(BCP_Soles[[#This Row],[FECHA]]&gt;0,TEXT(BCP_Soles[[#This Row],[FECHA]],"mmmm"),0)</f>
        <v>Junio</v>
      </c>
    </row>
    <row r="2123" spans="2:28" x14ac:dyDescent="0.3">
      <c r="B2123" s="2">
        <f>IF(BCP_Soles[[#This Row],[TIPO DE R.]]="R",COUNTIFS($D$4:$D2122,"R")+1,"")</f>
        <v>1634</v>
      </c>
      <c r="C2123" s="19" t="str">
        <f t="shared" si="165"/>
        <v>B-BCP - Soles</v>
      </c>
      <c r="D2123" s="3" t="s">
        <v>1074</v>
      </c>
      <c r="E2123" s="14">
        <v>45827</v>
      </c>
      <c r="F2123" s="5" t="s">
        <v>1075</v>
      </c>
      <c r="G2123" s="5" t="s">
        <v>1079</v>
      </c>
      <c r="H2123" s="6" t="s">
        <v>590</v>
      </c>
      <c r="I2123" s="6" t="s">
        <v>14</v>
      </c>
      <c r="J2123" s="6" t="s">
        <v>1395</v>
      </c>
      <c r="K2123" s="6">
        <v>1041465</v>
      </c>
      <c r="L2123" s="7" t="s">
        <v>1585</v>
      </c>
      <c r="M2123" s="8">
        <v>202765</v>
      </c>
      <c r="N2123" s="8" t="str">
        <f t="shared" si="166"/>
        <v>PEN</v>
      </c>
      <c r="O2123" s="13"/>
      <c r="P2123" s="13">
        <v>120.36</v>
      </c>
      <c r="Q2123" s="3">
        <f t="shared" si="167"/>
        <v>0</v>
      </c>
      <c r="R2123" s="3">
        <f t="shared" si="168"/>
        <v>120.36</v>
      </c>
      <c r="S2123" s="3">
        <f t="shared" si="169"/>
        <v>102145.11000000002</v>
      </c>
      <c r="T2123" s="24" t="s">
        <v>1081</v>
      </c>
      <c r="U2123" s="24" t="s">
        <v>1081</v>
      </c>
      <c r="V2123" s="104" t="s">
        <v>3196</v>
      </c>
      <c r="W2123" s="126">
        <f>IFERROR(VLOOKUP(BCP_Soles[[#This Row],[DESTINATARIO]],CHOOSE({1,2},Clientes_Proveedores[Razon Social],Clientes_Proveedores[Ruc / Dni]),2,0),"")</f>
        <v>20265681299</v>
      </c>
      <c r="X2123" s="26" t="s">
        <v>590</v>
      </c>
      <c r="Y2123" s="26" t="s">
        <v>3197</v>
      </c>
      <c r="Z2123" s="26"/>
      <c r="AA2123" s="100"/>
      <c r="AB2123" s="3" t="str">
        <f>IF(BCP_Soles[[#This Row],[FECHA]]&gt;0,TEXT(BCP_Soles[[#This Row],[FECHA]],"mmmm"),0)</f>
        <v>Junio</v>
      </c>
    </row>
    <row r="2124" spans="2:28" ht="24" x14ac:dyDescent="0.3">
      <c r="B2124" s="2">
        <f>IF(BCP_Soles[[#This Row],[TIPO DE R.]]="R",COUNTIFS($D$4:$D2123,"R")+1,"")</f>
        <v>1635</v>
      </c>
      <c r="C2124" s="19" t="str">
        <f t="shared" si="165"/>
        <v>B-BCP - Soles</v>
      </c>
      <c r="D2124" s="3" t="s">
        <v>1074</v>
      </c>
      <c r="E2124" s="14">
        <v>45827</v>
      </c>
      <c r="F2124" s="5" t="s">
        <v>1075</v>
      </c>
      <c r="G2124" s="5" t="s">
        <v>1079</v>
      </c>
      <c r="H2124" s="6" t="s">
        <v>192</v>
      </c>
      <c r="I2124" s="6"/>
      <c r="J2124" s="6"/>
      <c r="K2124" s="6"/>
      <c r="L2124" s="7" t="s">
        <v>3188</v>
      </c>
      <c r="M2124" s="8">
        <v>1202763</v>
      </c>
      <c r="N2124" s="8" t="str">
        <f t="shared" si="166"/>
        <v>PEN</v>
      </c>
      <c r="O2124" s="13"/>
      <c r="P2124" s="13">
        <v>1500</v>
      </c>
      <c r="Q2124" s="3">
        <f t="shared" si="167"/>
        <v>0</v>
      </c>
      <c r="R2124" s="3">
        <f t="shared" si="168"/>
        <v>1500</v>
      </c>
      <c r="S2124" s="3">
        <f t="shared" si="169"/>
        <v>100645.11000000002</v>
      </c>
      <c r="T2124" s="24"/>
      <c r="U2124" s="24"/>
      <c r="V2124" s="104" t="s">
        <v>3198</v>
      </c>
      <c r="W2124" s="126">
        <f>IFERROR(VLOOKUP(BCP_Soles[[#This Row],[DESTINATARIO]],CHOOSE({1,2},Clientes_Proveedores[Razon Social],Clientes_Proveedores[Ruc / Dni]),2,0),"")</f>
        <v>20302891452</v>
      </c>
      <c r="X2124" s="26" t="s">
        <v>192</v>
      </c>
      <c r="Y2124" s="26"/>
      <c r="Z2124" s="26"/>
      <c r="AA2124" s="100"/>
      <c r="AB2124" s="3" t="str">
        <f>IF(BCP_Soles[[#This Row],[FECHA]]&gt;0,TEXT(BCP_Soles[[#This Row],[FECHA]],"mmmm"),0)</f>
        <v>Junio</v>
      </c>
    </row>
    <row r="2125" spans="2:28" x14ac:dyDescent="0.3">
      <c r="B2125" s="2">
        <f>IF(BCP_Soles[[#This Row],[TIPO DE R.]]="R",COUNTIFS($D$4:$D2124,"R")+1,"")</f>
        <v>1636</v>
      </c>
      <c r="C2125" s="19" t="str">
        <f t="shared" si="165"/>
        <v>B-BCP - Soles</v>
      </c>
      <c r="D2125" s="3" t="s">
        <v>1074</v>
      </c>
      <c r="E2125" s="14">
        <v>45827</v>
      </c>
      <c r="F2125" s="5" t="s">
        <v>1075</v>
      </c>
      <c r="G2125" s="5" t="s">
        <v>1079</v>
      </c>
      <c r="H2125" s="6" t="s">
        <v>139</v>
      </c>
      <c r="I2125" s="6" t="s">
        <v>14</v>
      </c>
      <c r="J2125" s="6" t="s">
        <v>1953</v>
      </c>
      <c r="K2125" s="6">
        <v>6492</v>
      </c>
      <c r="L2125" s="7" t="s">
        <v>1954</v>
      </c>
      <c r="M2125" s="8">
        <v>202764</v>
      </c>
      <c r="N2125" s="8" t="str">
        <f t="shared" si="166"/>
        <v>PEN</v>
      </c>
      <c r="O2125" s="13"/>
      <c r="P2125" s="13">
        <v>162.16</v>
      </c>
      <c r="Q2125" s="3">
        <f t="shared" si="167"/>
        <v>0</v>
      </c>
      <c r="R2125" s="3">
        <f t="shared" si="168"/>
        <v>162.16</v>
      </c>
      <c r="S2125" s="3">
        <f t="shared" si="169"/>
        <v>100482.95000000001</v>
      </c>
      <c r="T2125" s="24" t="s">
        <v>1081</v>
      </c>
      <c r="U2125" s="24" t="s">
        <v>1081</v>
      </c>
      <c r="V2125" s="104" t="s">
        <v>3199</v>
      </c>
      <c r="W2125" s="126">
        <f>IFERROR(VLOOKUP(BCP_Soles[[#This Row],[DESTINATARIO]],CHOOSE({1,2},Clientes_Proveedores[Razon Social],Clientes_Proveedores[Ruc / Dni]),2,0),"")</f>
        <v>20100055237</v>
      </c>
      <c r="X2125" s="26" t="s">
        <v>1955</v>
      </c>
      <c r="Y2125" s="26" t="s">
        <v>3200</v>
      </c>
      <c r="Z2125" s="26"/>
      <c r="AA2125" s="100"/>
      <c r="AB2125" s="3" t="str">
        <f>IF(BCP_Soles[[#This Row],[FECHA]]&gt;0,TEXT(BCP_Soles[[#This Row],[FECHA]],"mmmm"),0)</f>
        <v>Junio</v>
      </c>
    </row>
    <row r="2126" spans="2:28" x14ac:dyDescent="0.3">
      <c r="B2126" s="2">
        <f>IF(BCP_Soles[[#This Row],[TIPO DE R.]]="R",COUNTIFS($D$4:$D2125,"R")+1,"")</f>
        <v>1637</v>
      </c>
      <c r="C2126" s="19" t="str">
        <f t="shared" si="165"/>
        <v>B-BCP - Soles</v>
      </c>
      <c r="D2126" s="3" t="s">
        <v>1074</v>
      </c>
      <c r="E2126" s="14">
        <v>45827</v>
      </c>
      <c r="F2126" s="5" t="s">
        <v>1075</v>
      </c>
      <c r="G2126" s="5" t="s">
        <v>1079</v>
      </c>
      <c r="H2126" s="6" t="s">
        <v>139</v>
      </c>
      <c r="I2126" s="6" t="s">
        <v>14</v>
      </c>
      <c r="J2126" s="6" t="s">
        <v>1953</v>
      </c>
      <c r="K2126" s="6">
        <v>6493</v>
      </c>
      <c r="L2126" s="7" t="s">
        <v>1954</v>
      </c>
      <c r="M2126" s="8">
        <v>201785</v>
      </c>
      <c r="N2126" s="8" t="str">
        <f t="shared" si="166"/>
        <v>PEN</v>
      </c>
      <c r="O2126" s="13"/>
      <c r="P2126" s="13">
        <v>352.18</v>
      </c>
      <c r="Q2126" s="3">
        <f t="shared" si="167"/>
        <v>0</v>
      </c>
      <c r="R2126" s="3">
        <f t="shared" si="168"/>
        <v>352.18</v>
      </c>
      <c r="S2126" s="3">
        <f t="shared" si="169"/>
        <v>100130.77000000002</v>
      </c>
      <c r="T2126" s="24" t="s">
        <v>1081</v>
      </c>
      <c r="U2126" s="24" t="s">
        <v>1081</v>
      </c>
      <c r="V2126" s="104" t="s">
        <v>3201</v>
      </c>
      <c r="W2126" s="126">
        <f>IFERROR(VLOOKUP(BCP_Soles[[#This Row],[DESTINATARIO]],CHOOSE({1,2},Clientes_Proveedores[Razon Social],Clientes_Proveedores[Ruc / Dni]),2,0),"")</f>
        <v>20100055237</v>
      </c>
      <c r="X2126" s="26" t="s">
        <v>1955</v>
      </c>
      <c r="Y2126" s="26" t="s">
        <v>3202</v>
      </c>
      <c r="Z2126" s="26"/>
      <c r="AA2126" s="100"/>
      <c r="AB2126" s="3" t="str">
        <f>IF(BCP_Soles[[#This Row],[FECHA]]&gt;0,TEXT(BCP_Soles[[#This Row],[FECHA]],"mmmm"),0)</f>
        <v>Junio</v>
      </c>
    </row>
    <row r="2127" spans="2:28" x14ac:dyDescent="0.3">
      <c r="B2127" s="2">
        <f>IF(BCP_Soles[[#This Row],[TIPO DE R.]]="R",COUNTIFS($D$4:$D2126,"R")+1,"")</f>
        <v>1638</v>
      </c>
      <c r="C2127" s="19" t="str">
        <f t="shared" si="165"/>
        <v>B-BCP - Soles</v>
      </c>
      <c r="D2127" s="3" t="s">
        <v>1074</v>
      </c>
      <c r="E2127" s="14">
        <v>45827</v>
      </c>
      <c r="F2127" s="5" t="s">
        <v>1075</v>
      </c>
      <c r="G2127" s="5" t="s">
        <v>1079</v>
      </c>
      <c r="H2127" s="6" t="s">
        <v>139</v>
      </c>
      <c r="I2127" s="6" t="s">
        <v>14</v>
      </c>
      <c r="J2127" s="6" t="s">
        <v>1953</v>
      </c>
      <c r="K2127" s="6">
        <v>6494</v>
      </c>
      <c r="L2127" s="7" t="s">
        <v>1954</v>
      </c>
      <c r="M2127" s="8">
        <v>200379</v>
      </c>
      <c r="N2127" s="8" t="str">
        <f t="shared" si="166"/>
        <v>PEN</v>
      </c>
      <c r="O2127" s="13"/>
      <c r="P2127" s="13">
        <v>77.45</v>
      </c>
      <c r="Q2127" s="3">
        <f t="shared" si="167"/>
        <v>0</v>
      </c>
      <c r="R2127" s="3">
        <f t="shared" si="168"/>
        <v>77.45</v>
      </c>
      <c r="S2127" s="3">
        <f t="shared" si="169"/>
        <v>100053.32000000002</v>
      </c>
      <c r="T2127" s="24" t="s">
        <v>1081</v>
      </c>
      <c r="U2127" s="24" t="s">
        <v>1081</v>
      </c>
      <c r="V2127" s="104" t="s">
        <v>3203</v>
      </c>
      <c r="W2127" s="126">
        <f>IFERROR(VLOOKUP(BCP_Soles[[#This Row],[DESTINATARIO]],CHOOSE({1,2},Clientes_Proveedores[Razon Social],Clientes_Proveedores[Ruc / Dni]),2,0),"")</f>
        <v>20100055237</v>
      </c>
      <c r="X2127" s="26" t="s">
        <v>1955</v>
      </c>
      <c r="Y2127" s="26" t="s">
        <v>3204</v>
      </c>
      <c r="Z2127" s="26"/>
      <c r="AA2127" s="100"/>
      <c r="AB2127" s="3" t="str">
        <f>IF(BCP_Soles[[#This Row],[FECHA]]&gt;0,TEXT(BCP_Soles[[#This Row],[FECHA]],"mmmm"),0)</f>
        <v>Junio</v>
      </c>
    </row>
    <row r="2128" spans="2:28" x14ac:dyDescent="0.3">
      <c r="B2128" s="2">
        <f>IF(BCP_Soles[[#This Row],[TIPO DE R.]]="R",COUNTIFS($D$4:$D2127,"R")+1,"")</f>
        <v>1639</v>
      </c>
      <c r="C2128" s="19" t="str">
        <f t="shared" si="165"/>
        <v>B-BCP - Soles</v>
      </c>
      <c r="D2128" s="3" t="s">
        <v>1074</v>
      </c>
      <c r="E2128" s="14">
        <v>45827</v>
      </c>
      <c r="F2128" s="5" t="s">
        <v>1075</v>
      </c>
      <c r="G2128" s="5" t="s">
        <v>1079</v>
      </c>
      <c r="H2128" s="6" t="s">
        <v>139</v>
      </c>
      <c r="I2128" s="6" t="s">
        <v>14</v>
      </c>
      <c r="J2128" s="6" t="s">
        <v>1953</v>
      </c>
      <c r="K2128" s="6">
        <v>6495</v>
      </c>
      <c r="L2128" s="7" t="s">
        <v>1954</v>
      </c>
      <c r="M2128" s="8">
        <v>200378</v>
      </c>
      <c r="N2128" s="8" t="str">
        <f t="shared" si="166"/>
        <v>PEN</v>
      </c>
      <c r="O2128" s="13"/>
      <c r="P2128" s="13">
        <v>302.18</v>
      </c>
      <c r="Q2128" s="3">
        <f t="shared" si="167"/>
        <v>0</v>
      </c>
      <c r="R2128" s="3">
        <f t="shared" si="168"/>
        <v>302.18</v>
      </c>
      <c r="S2128" s="3">
        <f t="shared" si="169"/>
        <v>99751.140000000029</v>
      </c>
      <c r="T2128" s="24" t="s">
        <v>1081</v>
      </c>
      <c r="U2128" s="24" t="s">
        <v>1081</v>
      </c>
      <c r="V2128" s="104" t="s">
        <v>3205</v>
      </c>
      <c r="W2128" s="126">
        <f>IFERROR(VLOOKUP(BCP_Soles[[#This Row],[DESTINATARIO]],CHOOSE({1,2},Clientes_Proveedores[Razon Social],Clientes_Proveedores[Ruc / Dni]),2,0),"")</f>
        <v>20100055237</v>
      </c>
      <c r="X2128" s="26" t="s">
        <v>1955</v>
      </c>
      <c r="Y2128" s="26" t="s">
        <v>3206</v>
      </c>
      <c r="Z2128" s="26"/>
      <c r="AA2128" s="100"/>
      <c r="AB2128" s="3" t="str">
        <f>IF(BCP_Soles[[#This Row],[FECHA]]&gt;0,TEXT(BCP_Soles[[#This Row],[FECHA]],"mmmm"),0)</f>
        <v>Junio</v>
      </c>
    </row>
    <row r="2129" spans="2:28" x14ac:dyDescent="0.3">
      <c r="B2129" s="2">
        <f>IF(BCP_Soles[[#This Row],[TIPO DE R.]]="R",COUNTIFS($D$4:$D2128,"R")+1,"")</f>
        <v>1640</v>
      </c>
      <c r="C2129" s="19" t="str">
        <f t="shared" si="165"/>
        <v>B-BCP - Soles</v>
      </c>
      <c r="D2129" s="3" t="s">
        <v>1074</v>
      </c>
      <c r="E2129" s="14">
        <v>45827</v>
      </c>
      <c r="F2129" s="5" t="s">
        <v>1075</v>
      </c>
      <c r="G2129" s="5" t="s">
        <v>1079</v>
      </c>
      <c r="H2129" s="6" t="s">
        <v>139</v>
      </c>
      <c r="I2129" s="6" t="s">
        <v>14</v>
      </c>
      <c r="J2129" s="6" t="s">
        <v>1953</v>
      </c>
      <c r="K2129" s="6">
        <v>6496</v>
      </c>
      <c r="L2129" s="7" t="s">
        <v>1954</v>
      </c>
      <c r="M2129" s="8">
        <v>203760</v>
      </c>
      <c r="N2129" s="8" t="str">
        <f t="shared" si="166"/>
        <v>PEN</v>
      </c>
      <c r="O2129" s="13"/>
      <c r="P2129" s="13">
        <v>41.97</v>
      </c>
      <c r="Q2129" s="3">
        <f t="shared" si="167"/>
        <v>0</v>
      </c>
      <c r="R2129" s="3">
        <f t="shared" si="168"/>
        <v>41.97</v>
      </c>
      <c r="S2129" s="3">
        <f t="shared" si="169"/>
        <v>99709.170000000027</v>
      </c>
      <c r="T2129" s="24" t="s">
        <v>1081</v>
      </c>
      <c r="U2129" s="24" t="s">
        <v>1081</v>
      </c>
      <c r="V2129" s="104" t="s">
        <v>3207</v>
      </c>
      <c r="W2129" s="126">
        <f>IFERROR(VLOOKUP(BCP_Soles[[#This Row],[DESTINATARIO]],CHOOSE({1,2},Clientes_Proveedores[Razon Social],Clientes_Proveedores[Ruc / Dni]),2,0),"")</f>
        <v>20100055237</v>
      </c>
      <c r="X2129" s="26" t="s">
        <v>1955</v>
      </c>
      <c r="Y2129" s="26" t="s">
        <v>3208</v>
      </c>
      <c r="Z2129" s="26"/>
      <c r="AA2129" s="100"/>
      <c r="AB2129" s="3" t="str">
        <f>IF(BCP_Soles[[#This Row],[FECHA]]&gt;0,TEXT(BCP_Soles[[#This Row],[FECHA]],"mmmm"),0)</f>
        <v>Junio</v>
      </c>
    </row>
    <row r="2130" spans="2:28" x14ac:dyDescent="0.3">
      <c r="B2130" s="2">
        <f>IF(BCP_Soles[[#This Row],[TIPO DE R.]]="R",COUNTIFS($D$4:$D2129,"R")+1,"")</f>
        <v>1641</v>
      </c>
      <c r="C2130" s="19" t="str">
        <f t="shared" si="165"/>
        <v>B-BCP - Soles</v>
      </c>
      <c r="D2130" s="3" t="s">
        <v>1074</v>
      </c>
      <c r="E2130" s="14">
        <v>45827</v>
      </c>
      <c r="F2130" s="5" t="s">
        <v>1075</v>
      </c>
      <c r="G2130" s="5" t="s">
        <v>1079</v>
      </c>
      <c r="H2130" s="6" t="s">
        <v>139</v>
      </c>
      <c r="I2130" s="6" t="s">
        <v>14</v>
      </c>
      <c r="J2130" s="6" t="s">
        <v>1953</v>
      </c>
      <c r="K2130" s="6">
        <v>6497</v>
      </c>
      <c r="L2130" s="7" t="s">
        <v>1954</v>
      </c>
      <c r="M2130" s="8">
        <v>203264</v>
      </c>
      <c r="N2130" s="8" t="str">
        <f t="shared" si="166"/>
        <v>PEN</v>
      </c>
      <c r="O2130" s="13"/>
      <c r="P2130" s="13">
        <v>1291.8399999999999</v>
      </c>
      <c r="Q2130" s="3">
        <f t="shared" si="167"/>
        <v>0</v>
      </c>
      <c r="R2130" s="3">
        <f t="shared" si="168"/>
        <v>1291.8399999999999</v>
      </c>
      <c r="S2130" s="3">
        <f t="shared" si="169"/>
        <v>98417.330000000031</v>
      </c>
      <c r="T2130" s="24" t="s">
        <v>1081</v>
      </c>
      <c r="U2130" s="24" t="s">
        <v>1081</v>
      </c>
      <c r="V2130" s="104" t="s">
        <v>3209</v>
      </c>
      <c r="W2130" s="126">
        <f>IFERROR(VLOOKUP(BCP_Soles[[#This Row],[DESTINATARIO]],CHOOSE({1,2},Clientes_Proveedores[Razon Social],Clientes_Proveedores[Ruc / Dni]),2,0),"")</f>
        <v>20100055237</v>
      </c>
      <c r="X2130" s="26" t="s">
        <v>1955</v>
      </c>
      <c r="Y2130" s="26" t="s">
        <v>3210</v>
      </c>
      <c r="Z2130" s="26"/>
      <c r="AA2130" s="100"/>
      <c r="AB2130" s="3" t="str">
        <f>IF(BCP_Soles[[#This Row],[FECHA]]&gt;0,TEXT(BCP_Soles[[#This Row],[FECHA]],"mmmm"),0)</f>
        <v>Junio</v>
      </c>
    </row>
    <row r="2131" spans="2:28" x14ac:dyDescent="0.3">
      <c r="B2131" s="2">
        <f>IF(BCP_Soles[[#This Row],[TIPO DE R.]]="R",COUNTIFS($D$4:$D2130,"R")+1,"")</f>
        <v>1642</v>
      </c>
      <c r="C2131" s="19" t="str">
        <f t="shared" si="165"/>
        <v>B-BCP - Soles</v>
      </c>
      <c r="D2131" s="3" t="s">
        <v>1074</v>
      </c>
      <c r="E2131" s="14">
        <v>45827</v>
      </c>
      <c r="F2131" s="5" t="s">
        <v>1075</v>
      </c>
      <c r="G2131" s="5" t="s">
        <v>1079</v>
      </c>
      <c r="H2131" s="6" t="s">
        <v>638</v>
      </c>
      <c r="I2131" s="6"/>
      <c r="J2131" s="6"/>
      <c r="K2131" s="6"/>
      <c r="L2131" s="7" t="s">
        <v>3211</v>
      </c>
      <c r="M2131" s="8">
        <v>9399915</v>
      </c>
      <c r="N2131" s="8" t="str">
        <f t="shared" si="166"/>
        <v>PEN</v>
      </c>
      <c r="O2131" s="13"/>
      <c r="P2131" s="13">
        <v>2140.0100000000002</v>
      </c>
      <c r="Q2131" s="3">
        <f t="shared" si="167"/>
        <v>0</v>
      </c>
      <c r="R2131" s="3">
        <f t="shared" si="168"/>
        <v>2140.0100000000002</v>
      </c>
      <c r="S2131" s="3">
        <f t="shared" si="169"/>
        <v>96277.320000000036</v>
      </c>
      <c r="T2131" s="24" t="s">
        <v>1081</v>
      </c>
      <c r="U2131" s="24" t="s">
        <v>1081</v>
      </c>
      <c r="V2131" s="104" t="s">
        <v>3212</v>
      </c>
      <c r="W2131" s="126">
        <f>IFERROR(VLOOKUP(BCP_Soles[[#This Row],[DESTINATARIO]],CHOOSE({1,2},Clientes_Proveedores[Razon Social],Clientes_Proveedores[Ruc / Dni]),2,0),"")</f>
        <v>0</v>
      </c>
      <c r="X2131" s="26" t="s">
        <v>1118</v>
      </c>
      <c r="Y2131" s="26"/>
      <c r="Z2131" s="26"/>
      <c r="AA2131" s="100"/>
      <c r="AB2131" s="3" t="str">
        <f>IF(BCP_Soles[[#This Row],[FECHA]]&gt;0,TEXT(BCP_Soles[[#This Row],[FECHA]],"mmmm"),0)</f>
        <v>Junio</v>
      </c>
    </row>
    <row r="2132" spans="2:28" ht="24" x14ac:dyDescent="0.3">
      <c r="B2132" s="2" t="str">
        <f>IF(BCP_Soles[[#This Row],[TIPO DE R.]]="R",COUNTIFS($D$4:$D2131,"R")+1,"")</f>
        <v/>
      </c>
      <c r="C2132" s="19" t="str">
        <f t="shared" si="165"/>
        <v>B-BCP - Soles</v>
      </c>
      <c r="D2132" s="3" t="s">
        <v>1101</v>
      </c>
      <c r="E2132" s="14">
        <v>45827</v>
      </c>
      <c r="F2132" s="5" t="s">
        <v>1075</v>
      </c>
      <c r="G2132" s="5"/>
      <c r="H2132" s="6" t="s">
        <v>634</v>
      </c>
      <c r="I2132" s="6" t="s">
        <v>14</v>
      </c>
      <c r="J2132" s="6" t="s">
        <v>1121</v>
      </c>
      <c r="K2132" s="6">
        <v>5</v>
      </c>
      <c r="L2132" s="7" t="s">
        <v>3211</v>
      </c>
      <c r="M2132" s="8">
        <v>9399915</v>
      </c>
      <c r="N2132" s="8" t="str">
        <f t="shared" si="166"/>
        <v>PEN</v>
      </c>
      <c r="O2132" s="13">
        <v>384.01</v>
      </c>
      <c r="P2132" s="13"/>
      <c r="Q2132" s="3">
        <f t="shared" si="167"/>
        <v>0</v>
      </c>
      <c r="R2132" s="3">
        <f t="shared" si="168"/>
        <v>0</v>
      </c>
      <c r="S2132" s="3">
        <f t="shared" si="169"/>
        <v>96277.320000000036</v>
      </c>
      <c r="T2132" s="24"/>
      <c r="U2132" s="24" t="s">
        <v>1081</v>
      </c>
      <c r="V2132" s="104"/>
      <c r="W2132" s="126">
        <f>IFERROR(VLOOKUP(BCP_Soles[[#This Row],[DESTINATARIO]],CHOOSE({1,2},Clientes_Proveedores[Razon Social],Clientes_Proveedores[Ruc / Dni]),2,0),"")</f>
        <v>10736055631</v>
      </c>
      <c r="X2132" s="26"/>
      <c r="Y2132" s="26"/>
      <c r="Z2132" s="26"/>
      <c r="AA2132" s="100"/>
      <c r="AB2132" s="3" t="str">
        <f>IF(BCP_Soles[[#This Row],[FECHA]]&gt;0,TEXT(BCP_Soles[[#This Row],[FECHA]],"mmmm"),0)</f>
        <v>Junio</v>
      </c>
    </row>
    <row r="2133" spans="2:28" ht="24" x14ac:dyDescent="0.3">
      <c r="B2133" s="2" t="str">
        <f>IF(BCP_Soles[[#This Row],[TIPO DE R.]]="R",COUNTIFS($D$4:$D2132,"R")+1,"")</f>
        <v/>
      </c>
      <c r="C2133" s="19" t="str">
        <f t="shared" si="165"/>
        <v>B-BCP - Soles</v>
      </c>
      <c r="D2133" s="3" t="s">
        <v>1101</v>
      </c>
      <c r="E2133" s="14">
        <v>45827</v>
      </c>
      <c r="F2133" s="5" t="s">
        <v>1075</v>
      </c>
      <c r="G2133" s="5"/>
      <c r="H2133" s="6" t="s">
        <v>118</v>
      </c>
      <c r="I2133" s="6" t="s">
        <v>14</v>
      </c>
      <c r="J2133" s="6" t="s">
        <v>1121</v>
      </c>
      <c r="K2133" s="6">
        <v>353</v>
      </c>
      <c r="L2133" s="7" t="s">
        <v>3211</v>
      </c>
      <c r="M2133" s="8">
        <v>9399915</v>
      </c>
      <c r="N2133" s="8" t="str">
        <f t="shared" si="166"/>
        <v>PEN</v>
      </c>
      <c r="O2133" s="13">
        <v>510</v>
      </c>
      <c r="P2133" s="13"/>
      <c r="Q2133" s="3">
        <f t="shared" si="167"/>
        <v>0</v>
      </c>
      <c r="R2133" s="3">
        <f t="shared" si="168"/>
        <v>0</v>
      </c>
      <c r="S2133" s="3">
        <f t="shared" si="169"/>
        <v>96277.320000000036</v>
      </c>
      <c r="T2133" s="24"/>
      <c r="U2133" s="24" t="s">
        <v>1081</v>
      </c>
      <c r="V2133" s="104"/>
      <c r="W2133" s="126">
        <f>IFERROR(VLOOKUP(BCP_Soles[[#This Row],[DESTINATARIO]],CHOOSE({1,2},Clientes_Proveedores[Razon Social],Clientes_Proveedores[Ruc / Dni]),2,0),"")</f>
        <v>10470065147</v>
      </c>
      <c r="X2133" s="26"/>
      <c r="Y2133" s="26"/>
      <c r="Z2133" s="26"/>
      <c r="AA2133" s="100"/>
      <c r="AB2133" s="3" t="str">
        <f>IF(BCP_Soles[[#This Row],[FECHA]]&gt;0,TEXT(BCP_Soles[[#This Row],[FECHA]],"mmmm"),0)</f>
        <v>Junio</v>
      </c>
    </row>
    <row r="2134" spans="2:28" ht="24" x14ac:dyDescent="0.3">
      <c r="B2134" s="2" t="str">
        <f>IF(BCP_Soles[[#This Row],[TIPO DE R.]]="R",COUNTIFS($D$4:$D2133,"R")+1,"")</f>
        <v/>
      </c>
      <c r="C2134" s="19" t="str">
        <f t="shared" si="165"/>
        <v>B-BCP - Soles</v>
      </c>
      <c r="D2134" s="3" t="s">
        <v>1101</v>
      </c>
      <c r="E2134" s="14">
        <v>45827</v>
      </c>
      <c r="F2134" s="5" t="s">
        <v>1075</v>
      </c>
      <c r="G2134" s="5"/>
      <c r="H2134" s="6" t="s">
        <v>634</v>
      </c>
      <c r="I2134" s="6" t="s">
        <v>14</v>
      </c>
      <c r="J2134" s="6" t="s">
        <v>1121</v>
      </c>
      <c r="K2134" s="6">
        <v>3</v>
      </c>
      <c r="L2134" s="7" t="s">
        <v>3211</v>
      </c>
      <c r="M2134" s="8">
        <v>9399915</v>
      </c>
      <c r="N2134" s="8" t="str">
        <f t="shared" si="166"/>
        <v>PEN</v>
      </c>
      <c r="O2134" s="13">
        <v>453</v>
      </c>
      <c r="P2134" s="13"/>
      <c r="Q2134" s="3">
        <f t="shared" si="167"/>
        <v>0</v>
      </c>
      <c r="R2134" s="3">
        <f t="shared" si="168"/>
        <v>0</v>
      </c>
      <c r="S2134" s="3">
        <f t="shared" si="169"/>
        <v>96277.320000000036</v>
      </c>
      <c r="T2134" s="24"/>
      <c r="U2134" s="24" t="s">
        <v>1081</v>
      </c>
      <c r="V2134" s="104"/>
      <c r="W2134" s="126">
        <f>IFERROR(VLOOKUP(BCP_Soles[[#This Row],[DESTINATARIO]],CHOOSE({1,2},Clientes_Proveedores[Razon Social],Clientes_Proveedores[Ruc / Dni]),2,0),"")</f>
        <v>10736055631</v>
      </c>
      <c r="X2134" s="26"/>
      <c r="Y2134" s="26"/>
      <c r="Z2134" s="26"/>
      <c r="AA2134" s="100"/>
      <c r="AB2134" s="3" t="str">
        <f>IF(BCP_Soles[[#This Row],[FECHA]]&gt;0,TEXT(BCP_Soles[[#This Row],[FECHA]],"mmmm"),0)</f>
        <v>Junio</v>
      </c>
    </row>
    <row r="2135" spans="2:28" ht="24" x14ac:dyDescent="0.3">
      <c r="B2135" s="2" t="str">
        <f>IF(BCP_Soles[[#This Row],[TIPO DE R.]]="R",COUNTIFS($D$4:$D2134,"R")+1,"")</f>
        <v/>
      </c>
      <c r="C2135" s="19" t="str">
        <f t="shared" si="165"/>
        <v>B-BCP - Soles</v>
      </c>
      <c r="D2135" s="3" t="s">
        <v>1101</v>
      </c>
      <c r="E2135" s="14">
        <v>45827</v>
      </c>
      <c r="F2135" s="5" t="s">
        <v>1075</v>
      </c>
      <c r="G2135" s="5"/>
      <c r="H2135" s="6" t="s">
        <v>634</v>
      </c>
      <c r="I2135" s="6" t="s">
        <v>14</v>
      </c>
      <c r="J2135" s="6" t="s">
        <v>1121</v>
      </c>
      <c r="K2135" s="6">
        <v>4</v>
      </c>
      <c r="L2135" s="7" t="s">
        <v>3211</v>
      </c>
      <c r="M2135" s="8">
        <v>9399915</v>
      </c>
      <c r="N2135" s="8" t="str">
        <f t="shared" si="166"/>
        <v>PEN</v>
      </c>
      <c r="O2135" s="13">
        <v>793</v>
      </c>
      <c r="P2135" s="13"/>
      <c r="Q2135" s="3">
        <f t="shared" si="167"/>
        <v>0</v>
      </c>
      <c r="R2135" s="3">
        <f t="shared" si="168"/>
        <v>0</v>
      </c>
      <c r="S2135" s="3">
        <f t="shared" si="169"/>
        <v>96277.320000000036</v>
      </c>
      <c r="T2135" s="24"/>
      <c r="U2135" s="24" t="s">
        <v>1081</v>
      </c>
      <c r="V2135" s="104"/>
      <c r="W2135" s="126">
        <f>IFERROR(VLOOKUP(BCP_Soles[[#This Row],[DESTINATARIO]],CHOOSE({1,2},Clientes_Proveedores[Razon Social],Clientes_Proveedores[Ruc / Dni]),2,0),"")</f>
        <v>10736055631</v>
      </c>
      <c r="X2135" s="26"/>
      <c r="Y2135" s="26"/>
      <c r="Z2135" s="26"/>
      <c r="AA2135" s="100"/>
      <c r="AB2135" s="3" t="str">
        <f>IF(BCP_Soles[[#This Row],[FECHA]]&gt;0,TEXT(BCP_Soles[[#This Row],[FECHA]],"mmmm"),0)</f>
        <v>Junio</v>
      </c>
    </row>
    <row r="2136" spans="2:28" x14ac:dyDescent="0.3">
      <c r="B2136" s="2">
        <f>IF(BCP_Soles[[#This Row],[TIPO DE R.]]="R",COUNTIFS($D$4:$D2135,"R")+1,"")</f>
        <v>1643</v>
      </c>
      <c r="C2136" s="19" t="str">
        <f t="shared" si="165"/>
        <v>B-BCP - Soles</v>
      </c>
      <c r="D2136" s="3" t="s">
        <v>1074</v>
      </c>
      <c r="E2136" s="14">
        <v>45827</v>
      </c>
      <c r="F2136" s="5" t="s">
        <v>1075</v>
      </c>
      <c r="G2136" s="5" t="s">
        <v>1079</v>
      </c>
      <c r="H2136" s="6"/>
      <c r="I2136" s="6"/>
      <c r="J2136" s="6"/>
      <c r="K2136" s="6"/>
      <c r="L2136" s="7" t="s">
        <v>3213</v>
      </c>
      <c r="M2136" s="8">
        <v>1015696</v>
      </c>
      <c r="N2136" s="8" t="str">
        <f t="shared" si="166"/>
        <v>PEN</v>
      </c>
      <c r="O2136" s="13"/>
      <c r="P2136" s="13">
        <v>4669</v>
      </c>
      <c r="Q2136" s="3">
        <f t="shared" si="167"/>
        <v>0</v>
      </c>
      <c r="R2136" s="3">
        <f t="shared" si="168"/>
        <v>4669</v>
      </c>
      <c r="S2136" s="3">
        <f t="shared" si="169"/>
        <v>91608.320000000036</v>
      </c>
      <c r="T2136" s="24"/>
      <c r="U2136" s="24"/>
      <c r="V2136" s="67"/>
      <c r="W2136" s="25" t="str">
        <f>IFERROR(VLOOKUP(BCP_Soles[[#This Row],[DESTINATARIO]],CHOOSE({1,2},Clientes_Proveedores[Razon Social],Clientes_Proveedores[Ruc / Dni]),2,0),"")</f>
        <v/>
      </c>
      <c r="X2136" s="25"/>
      <c r="Y2136" s="25"/>
      <c r="Z2136" s="25"/>
      <c r="AA2136" s="99"/>
      <c r="AB2136" s="3" t="str">
        <f>IF(BCP_Soles[[#This Row],[FECHA]]&gt;0,TEXT(BCP_Soles[[#This Row],[FECHA]],"mmmm"),0)</f>
        <v>Junio</v>
      </c>
    </row>
    <row r="2137" spans="2:28" x14ac:dyDescent="0.3">
      <c r="B2137" s="2">
        <f>IF(BCP_Soles[[#This Row],[TIPO DE R.]]="R",COUNTIFS($D$4:$D2136,"R")+1,"")</f>
        <v>1644</v>
      </c>
      <c r="C2137" s="19" t="str">
        <f t="shared" si="165"/>
        <v>B-BCP - Soles</v>
      </c>
      <c r="D2137" s="3" t="s">
        <v>1074</v>
      </c>
      <c r="E2137" s="14">
        <v>45827</v>
      </c>
      <c r="F2137" s="5" t="s">
        <v>1075</v>
      </c>
      <c r="G2137" s="5" t="s">
        <v>1079</v>
      </c>
      <c r="H2137" s="6"/>
      <c r="I2137" s="6"/>
      <c r="J2137" s="6"/>
      <c r="K2137" s="6"/>
      <c r="L2137" s="7" t="s">
        <v>3214</v>
      </c>
      <c r="M2137" s="8">
        <v>1226237</v>
      </c>
      <c r="N2137" s="8" t="str">
        <f t="shared" si="166"/>
        <v>PEN</v>
      </c>
      <c r="O2137" s="13"/>
      <c r="P2137" s="13">
        <v>89975</v>
      </c>
      <c r="Q2137" s="3">
        <f t="shared" si="167"/>
        <v>0</v>
      </c>
      <c r="R2137" s="3">
        <f t="shared" si="168"/>
        <v>89975</v>
      </c>
      <c r="S2137" s="3">
        <f t="shared" si="169"/>
        <v>1633.3200000000361</v>
      </c>
      <c r="T2137" s="24"/>
      <c r="U2137" s="24"/>
      <c r="V2137" s="104" t="s">
        <v>3215</v>
      </c>
      <c r="W2137" s="126" t="str">
        <f>IFERROR(VLOOKUP(BCP_Soles[[#This Row],[DESTINATARIO]],CHOOSE({1,2},Clientes_Proveedores[Razon Social],Clientes_Proveedores[Ruc / Dni]),2,0),"")</f>
        <v/>
      </c>
      <c r="X2137" s="26" t="s">
        <v>1090</v>
      </c>
      <c r="Y2137" s="26"/>
      <c r="Z2137" s="26"/>
      <c r="AA2137" s="100"/>
      <c r="AB2137" s="3" t="str">
        <f>IF(BCP_Soles[[#This Row],[FECHA]]&gt;0,TEXT(BCP_Soles[[#This Row],[FECHA]],"mmmm"),0)</f>
        <v>Junio</v>
      </c>
    </row>
    <row r="2138" spans="2:28" x14ac:dyDescent="0.3">
      <c r="B2138" s="2">
        <f>IF(BCP_Soles[[#This Row],[TIPO DE R.]]="R",COUNTIFS($D$4:$D2137,"R")+1,"")</f>
        <v>1645</v>
      </c>
      <c r="C2138" s="19" t="str">
        <f t="shared" si="165"/>
        <v>B-BCP - Soles</v>
      </c>
      <c r="D2138" s="3" t="s">
        <v>1074</v>
      </c>
      <c r="E2138" s="14">
        <v>45827</v>
      </c>
      <c r="F2138" s="5" t="s">
        <v>1075</v>
      </c>
      <c r="G2138" s="5" t="s">
        <v>1079</v>
      </c>
      <c r="H2138" s="6"/>
      <c r="I2138" s="6"/>
      <c r="J2138" s="6"/>
      <c r="K2138" s="6"/>
      <c r="L2138" s="7" t="s">
        <v>3214</v>
      </c>
      <c r="M2138" s="8">
        <v>1227887</v>
      </c>
      <c r="N2138" s="8" t="str">
        <f t="shared" si="166"/>
        <v>PEN</v>
      </c>
      <c r="O2138" s="13"/>
      <c r="P2138" s="13">
        <v>901.75</v>
      </c>
      <c r="Q2138" s="3">
        <f t="shared" si="167"/>
        <v>0</v>
      </c>
      <c r="R2138" s="3">
        <f t="shared" si="168"/>
        <v>901.75</v>
      </c>
      <c r="S2138" s="3">
        <f t="shared" si="169"/>
        <v>731.57000000003609</v>
      </c>
      <c r="T2138" s="24"/>
      <c r="U2138" s="24"/>
      <c r="V2138" s="104" t="s">
        <v>3216</v>
      </c>
      <c r="W2138" s="126" t="str">
        <f>IFERROR(VLOOKUP(BCP_Soles[[#This Row],[DESTINATARIO]],CHOOSE({1,2},Clientes_Proveedores[Razon Social],Clientes_Proveedores[Ruc / Dni]),2,0),"")</f>
        <v/>
      </c>
      <c r="X2138" s="26" t="s">
        <v>1090</v>
      </c>
      <c r="Y2138" s="26"/>
      <c r="Z2138" s="26"/>
      <c r="AA2138" s="100"/>
      <c r="AB2138" s="3" t="str">
        <f>IF(BCP_Soles[[#This Row],[FECHA]]&gt;0,TEXT(BCP_Soles[[#This Row],[FECHA]],"mmmm"),0)</f>
        <v>Junio</v>
      </c>
    </row>
    <row r="2139" spans="2:28" ht="24" x14ac:dyDescent="0.3">
      <c r="B2139" s="2">
        <f>IF(BCP_Soles[[#This Row],[TIPO DE R.]]="R",COUNTIFS($D$4:$D2138,"R")+1,"")</f>
        <v>1646</v>
      </c>
      <c r="C2139" s="19" t="str">
        <f t="shared" si="165"/>
        <v>B-BCP - Soles</v>
      </c>
      <c r="D2139" s="3" t="s">
        <v>1074</v>
      </c>
      <c r="E2139" s="14">
        <v>45827</v>
      </c>
      <c r="F2139" s="5" t="s">
        <v>1078</v>
      </c>
      <c r="G2139" s="5" t="s">
        <v>1079</v>
      </c>
      <c r="H2139" s="6" t="s">
        <v>1001</v>
      </c>
      <c r="I2139" s="6"/>
      <c r="J2139" s="6"/>
      <c r="K2139" s="6"/>
      <c r="L2139" s="7" t="s">
        <v>1141</v>
      </c>
      <c r="M2139" s="8">
        <v>439</v>
      </c>
      <c r="N2139" s="8" t="str">
        <f t="shared" si="166"/>
        <v>PEN</v>
      </c>
      <c r="O2139" s="13"/>
      <c r="P2139" s="13">
        <v>10</v>
      </c>
      <c r="Q2139" s="3">
        <f t="shared" si="167"/>
        <v>0</v>
      </c>
      <c r="R2139" s="3">
        <f t="shared" si="168"/>
        <v>10</v>
      </c>
      <c r="S2139" s="3">
        <f t="shared" si="169"/>
        <v>721.57000000003609</v>
      </c>
      <c r="T2139" s="24"/>
      <c r="U2139" s="24"/>
      <c r="V2139" s="67"/>
      <c r="W2139" s="25">
        <f>IFERROR(VLOOKUP(BCP_Soles[[#This Row],[DESTINATARIO]],CHOOSE({1,2},Clientes_Proveedores[Razon Social],Clientes_Proveedores[Ruc / Dni]),2,0),"")</f>
        <v>20100047218</v>
      </c>
      <c r="X2139" s="25"/>
      <c r="Y2139" s="25"/>
      <c r="Z2139" s="25"/>
      <c r="AA2139" s="99"/>
      <c r="AB2139" s="3" t="str">
        <f>IF(BCP_Soles[[#This Row],[FECHA]]&gt;0,TEXT(BCP_Soles[[#This Row],[FECHA]],"mmmm"),0)</f>
        <v>Junio</v>
      </c>
    </row>
    <row r="2140" spans="2:28" x14ac:dyDescent="0.3">
      <c r="B2140" s="2">
        <f>IF(BCP_Soles[[#This Row],[TIPO DE R.]]="R",COUNTIFS($D$4:$D2139,"R")+1,"")</f>
        <v>1647</v>
      </c>
      <c r="C2140" s="19" t="str">
        <f t="shared" si="165"/>
        <v>B-BCP - Soles</v>
      </c>
      <c r="D2140" s="3" t="s">
        <v>1074</v>
      </c>
      <c r="E2140" s="14">
        <v>45827</v>
      </c>
      <c r="F2140" s="5" t="s">
        <v>1078</v>
      </c>
      <c r="G2140" s="5" t="s">
        <v>1079</v>
      </c>
      <c r="H2140" s="6"/>
      <c r="I2140" s="6"/>
      <c r="J2140" s="6"/>
      <c r="K2140" s="6"/>
      <c r="L2140" s="7" t="s">
        <v>2868</v>
      </c>
      <c r="M2140" s="8"/>
      <c r="N2140" s="8" t="str">
        <f t="shared" si="166"/>
        <v>PEN</v>
      </c>
      <c r="O2140" s="13"/>
      <c r="P2140" s="13">
        <v>0.65</v>
      </c>
      <c r="Q2140" s="3">
        <f t="shared" si="167"/>
        <v>0</v>
      </c>
      <c r="R2140" s="3">
        <f t="shared" si="168"/>
        <v>0.65</v>
      </c>
      <c r="S2140" s="3">
        <f t="shared" si="169"/>
        <v>720.92000000003611</v>
      </c>
      <c r="T2140" s="24"/>
      <c r="U2140" s="24"/>
      <c r="V2140" s="67"/>
      <c r="W2140" s="25" t="str">
        <f>IFERROR(VLOOKUP(BCP_Soles[[#This Row],[DESTINATARIO]],CHOOSE({1,2},Clientes_Proveedores[Razon Social],Clientes_Proveedores[Ruc / Dni]),2,0),"")</f>
        <v/>
      </c>
      <c r="X2140" s="25"/>
      <c r="Y2140" s="25"/>
      <c r="Z2140" s="25"/>
      <c r="AA2140" s="99"/>
      <c r="AB2140" s="3" t="str">
        <f>IF(BCP_Soles[[#This Row],[FECHA]]&gt;0,TEXT(BCP_Soles[[#This Row],[FECHA]],"mmmm"),0)</f>
        <v>Junio</v>
      </c>
    </row>
    <row r="2141" spans="2:28" x14ac:dyDescent="0.3">
      <c r="B2141" s="2">
        <f>IF(BCP_Soles[[#This Row],[TIPO DE R.]]="R",COUNTIFS($D$4:$D2140,"R")+1,"")</f>
        <v>1648</v>
      </c>
      <c r="C2141" s="19" t="str">
        <f t="shared" si="165"/>
        <v>B-BCP - Soles</v>
      </c>
      <c r="D2141" s="3" t="s">
        <v>1074</v>
      </c>
      <c r="E2141" s="14">
        <v>45828</v>
      </c>
      <c r="F2141" s="5" t="s">
        <v>149</v>
      </c>
      <c r="G2141" s="5" t="s">
        <v>1087</v>
      </c>
      <c r="H2141" s="6"/>
      <c r="I2141" s="6" t="s">
        <v>14</v>
      </c>
      <c r="J2141" s="6" t="s">
        <v>1521</v>
      </c>
      <c r="K2141" s="6">
        <v>105</v>
      </c>
      <c r="L2141" s="7" t="s">
        <v>3217</v>
      </c>
      <c r="M2141" s="8">
        <v>9637584</v>
      </c>
      <c r="N2141" s="8" t="str">
        <f t="shared" si="166"/>
        <v>PEN</v>
      </c>
      <c r="O2141" s="13"/>
      <c r="P2141" s="13">
        <v>6908.82</v>
      </c>
      <c r="Q2141" s="3">
        <f t="shared" si="167"/>
        <v>6908.82</v>
      </c>
      <c r="R2141" s="3">
        <f t="shared" si="168"/>
        <v>0</v>
      </c>
      <c r="S2141" s="3">
        <f t="shared" si="169"/>
        <v>7629.7400000000362</v>
      </c>
      <c r="T2141" s="24" t="s">
        <v>1081</v>
      </c>
      <c r="U2141" s="24" t="s">
        <v>1081</v>
      </c>
      <c r="V2141" s="67"/>
      <c r="W2141" s="25" t="str">
        <f>IFERROR(VLOOKUP(BCP_Soles[[#This Row],[DESTINATARIO]],CHOOSE({1,2},Clientes_Proveedores[Razon Social],Clientes_Proveedores[Ruc / Dni]),2,0),"")</f>
        <v/>
      </c>
      <c r="X2141" s="25" t="s">
        <v>1090</v>
      </c>
      <c r="Y2141" s="25" t="s">
        <v>3218</v>
      </c>
      <c r="Z2141" s="25"/>
      <c r="AA2141" s="99"/>
      <c r="AB2141" s="3" t="str">
        <f>IF(BCP_Soles[[#This Row],[FECHA]]&gt;0,TEXT(BCP_Soles[[#This Row],[FECHA]],"mmmm"),0)</f>
        <v>Junio</v>
      </c>
    </row>
    <row r="2142" spans="2:28" x14ac:dyDescent="0.3">
      <c r="B2142" s="2">
        <f>IF(BCP_Soles[[#This Row],[TIPO DE R.]]="R",COUNTIFS($D$4:$D2141,"R")+1,"")</f>
        <v>1649</v>
      </c>
      <c r="C2142" s="19" t="str">
        <f t="shared" si="165"/>
        <v>B-BCP - Soles</v>
      </c>
      <c r="D2142" s="3" t="s">
        <v>1074</v>
      </c>
      <c r="E2142" s="14">
        <v>45828</v>
      </c>
      <c r="F2142" s="5"/>
      <c r="G2142" s="5" t="s">
        <v>1087</v>
      </c>
      <c r="H2142" s="6"/>
      <c r="I2142" s="6"/>
      <c r="J2142" s="6"/>
      <c r="K2142" s="6"/>
      <c r="L2142" s="7" t="s">
        <v>1374</v>
      </c>
      <c r="M2142" s="8">
        <v>2461000</v>
      </c>
      <c r="N2142" s="8" t="str">
        <f t="shared" si="166"/>
        <v>PEN</v>
      </c>
      <c r="O2142" s="13"/>
      <c r="P2142" s="13">
        <v>6000</v>
      </c>
      <c r="Q2142" s="3">
        <f t="shared" si="167"/>
        <v>6000</v>
      </c>
      <c r="R2142" s="3">
        <f t="shared" si="168"/>
        <v>0</v>
      </c>
      <c r="S2142" s="3">
        <f t="shared" si="169"/>
        <v>13629.740000000036</v>
      </c>
      <c r="T2142" s="24"/>
      <c r="U2142" s="24"/>
      <c r="V2142" s="67"/>
      <c r="W2142" s="25" t="str">
        <f>IFERROR(VLOOKUP(BCP_Soles[[#This Row],[DESTINATARIO]],CHOOSE({1,2},Clientes_Proveedores[Razon Social],Clientes_Proveedores[Ruc / Dni]),2,0),"")</f>
        <v/>
      </c>
      <c r="X2142" s="25"/>
      <c r="Y2142" s="25"/>
      <c r="Z2142" s="25"/>
      <c r="AA2142" s="99"/>
      <c r="AB2142" s="3" t="str">
        <f>IF(BCP_Soles[[#This Row],[FECHA]]&gt;0,TEXT(BCP_Soles[[#This Row],[FECHA]],"mmmm"),0)</f>
        <v>Junio</v>
      </c>
    </row>
    <row r="2143" spans="2:28" ht="24" x14ac:dyDescent="0.3">
      <c r="B2143" s="2">
        <f>IF(BCP_Soles[[#This Row],[TIPO DE R.]]="R",COUNTIFS($D$4:$D2142,"R")+1,"")</f>
        <v>1650</v>
      </c>
      <c r="C2143" s="19" t="str">
        <f t="shared" si="165"/>
        <v>B-BCP - Soles</v>
      </c>
      <c r="D2143" s="3" t="s">
        <v>1074</v>
      </c>
      <c r="E2143" s="14">
        <v>45828</v>
      </c>
      <c r="F2143" s="5" t="s">
        <v>1745</v>
      </c>
      <c r="G2143" s="5" t="s">
        <v>1087</v>
      </c>
      <c r="H2143" s="6"/>
      <c r="I2143" s="6" t="s">
        <v>63</v>
      </c>
      <c r="J2143" s="6">
        <v>1</v>
      </c>
      <c r="K2143" s="6">
        <v>4526</v>
      </c>
      <c r="L2143" s="7" t="s">
        <v>1100</v>
      </c>
      <c r="M2143" s="8">
        <v>2005038</v>
      </c>
      <c r="N2143" s="8" t="str">
        <f t="shared" si="166"/>
        <v>PEN</v>
      </c>
      <c r="O2143" s="13"/>
      <c r="P2143" s="13">
        <v>1930</v>
      </c>
      <c r="Q2143" s="3">
        <f t="shared" si="167"/>
        <v>1930</v>
      </c>
      <c r="R2143" s="3">
        <f t="shared" si="168"/>
        <v>0</v>
      </c>
      <c r="S2143" s="3">
        <f t="shared" si="169"/>
        <v>15559.740000000036</v>
      </c>
      <c r="T2143" s="24" t="s">
        <v>1081</v>
      </c>
      <c r="U2143" s="24" t="s">
        <v>1081</v>
      </c>
      <c r="V2143" s="67"/>
      <c r="W2143" s="25" t="str">
        <f>IFERROR(VLOOKUP(BCP_Soles[[#This Row],[DESTINATARIO]],CHOOSE({1,2},Clientes_Proveedores[Razon Social],Clientes_Proveedores[Ruc / Dni]),2,0),"")</f>
        <v/>
      </c>
      <c r="X2143" s="25" t="s">
        <v>1090</v>
      </c>
      <c r="Y2143" s="25" t="s">
        <v>3219</v>
      </c>
      <c r="Z2143" s="25"/>
      <c r="AA2143" s="99"/>
      <c r="AB2143" s="3" t="str">
        <f>IF(BCP_Soles[[#This Row],[FECHA]]&gt;0,TEXT(BCP_Soles[[#This Row],[FECHA]],"mmmm"),0)</f>
        <v>Junio</v>
      </c>
    </row>
    <row r="2144" spans="2:28" ht="36" x14ac:dyDescent="0.3">
      <c r="B2144" s="2">
        <f>IF(BCP_Soles[[#This Row],[TIPO DE R.]]="R",COUNTIFS($D$4:$D2143,"R")+1,"")</f>
        <v>1651</v>
      </c>
      <c r="C2144" s="19" t="str">
        <f t="shared" si="165"/>
        <v>B-BCP - Soles</v>
      </c>
      <c r="D2144" s="3" t="s">
        <v>1074</v>
      </c>
      <c r="E2144" s="14">
        <v>45828</v>
      </c>
      <c r="F2144" s="5" t="s">
        <v>497</v>
      </c>
      <c r="G2144" s="5" t="s">
        <v>1087</v>
      </c>
      <c r="H2144" s="6"/>
      <c r="I2144" s="6" t="s">
        <v>14</v>
      </c>
      <c r="J2144" s="6" t="s">
        <v>3091</v>
      </c>
      <c r="K2144" s="6">
        <v>34</v>
      </c>
      <c r="L2144" s="7" t="s">
        <v>3220</v>
      </c>
      <c r="M2144" s="8">
        <v>9760219</v>
      </c>
      <c r="N2144" s="8" t="str">
        <f t="shared" si="166"/>
        <v>PEN</v>
      </c>
      <c r="O2144" s="13"/>
      <c r="P2144" s="13">
        <v>705.72</v>
      </c>
      <c r="Q2144" s="3">
        <f t="shared" si="167"/>
        <v>705.72</v>
      </c>
      <c r="R2144" s="3">
        <f t="shared" si="168"/>
        <v>0</v>
      </c>
      <c r="S2144" s="3">
        <f t="shared" si="169"/>
        <v>16265.460000000036</v>
      </c>
      <c r="T2144" s="24" t="s">
        <v>1081</v>
      </c>
      <c r="U2144" s="24" t="s">
        <v>1081</v>
      </c>
      <c r="V2144" s="67"/>
      <c r="W2144" s="25" t="str">
        <f>IFERROR(VLOOKUP(BCP_Soles[[#This Row],[DESTINATARIO]],CHOOSE({1,2},Clientes_Proveedores[Razon Social],Clientes_Proveedores[Ruc / Dni]),2,0),"")</f>
        <v/>
      </c>
      <c r="X2144" s="25" t="s">
        <v>1090</v>
      </c>
      <c r="Y2144" s="25" t="s">
        <v>3221</v>
      </c>
      <c r="Z2144" s="25"/>
      <c r="AA2144" s="99"/>
      <c r="AB2144" s="3" t="str">
        <f>IF(BCP_Soles[[#This Row],[FECHA]]&gt;0,TEXT(BCP_Soles[[#This Row],[FECHA]],"mmmm"),0)</f>
        <v>Junio</v>
      </c>
    </row>
    <row r="2145" spans="2:28" ht="24" x14ac:dyDescent="0.3">
      <c r="B2145" s="2">
        <f>IF(BCP_Soles[[#This Row],[TIPO DE R.]]="R",COUNTIFS($D$4:$D2144,"R")+1,"")</f>
        <v>1652</v>
      </c>
      <c r="C2145" s="19" t="str">
        <f t="shared" si="165"/>
        <v>B-BCP - Soles</v>
      </c>
      <c r="D2145" s="3" t="s">
        <v>1074</v>
      </c>
      <c r="E2145" s="14">
        <v>45828</v>
      </c>
      <c r="F2145" s="5" t="s">
        <v>1435</v>
      </c>
      <c r="G2145" s="5" t="s">
        <v>1087</v>
      </c>
      <c r="H2145" s="6"/>
      <c r="I2145" s="6" t="s">
        <v>63</v>
      </c>
      <c r="J2145" s="6">
        <v>1</v>
      </c>
      <c r="K2145" s="6">
        <v>4534</v>
      </c>
      <c r="L2145" s="7" t="s">
        <v>1100</v>
      </c>
      <c r="M2145" s="8">
        <v>1943737</v>
      </c>
      <c r="N2145" s="8" t="str">
        <f t="shared" si="166"/>
        <v>PEN</v>
      </c>
      <c r="O2145" s="13"/>
      <c r="P2145" s="13">
        <v>270</v>
      </c>
      <c r="Q2145" s="3">
        <f t="shared" si="167"/>
        <v>270</v>
      </c>
      <c r="R2145" s="3">
        <f t="shared" si="168"/>
        <v>0</v>
      </c>
      <c r="S2145" s="3">
        <f t="shared" si="169"/>
        <v>16535.460000000036</v>
      </c>
      <c r="T2145" s="24" t="s">
        <v>1081</v>
      </c>
      <c r="U2145" s="24" t="s">
        <v>1081</v>
      </c>
      <c r="V2145" s="67"/>
      <c r="W2145" s="25" t="str">
        <f>IFERROR(VLOOKUP(BCP_Soles[[#This Row],[DESTINATARIO]],CHOOSE({1,2},Clientes_Proveedores[Razon Social],Clientes_Proveedores[Ruc / Dni]),2,0),"")</f>
        <v/>
      </c>
      <c r="X2145" s="25" t="s">
        <v>1090</v>
      </c>
      <c r="Y2145" s="25" t="s">
        <v>3222</v>
      </c>
      <c r="Z2145" s="25"/>
      <c r="AA2145" s="99"/>
      <c r="AB2145" s="3" t="str">
        <f>IF(BCP_Soles[[#This Row],[FECHA]]&gt;0,TEXT(BCP_Soles[[#This Row],[FECHA]],"mmmm"),0)</f>
        <v>Junio</v>
      </c>
    </row>
    <row r="2146" spans="2:28" x14ac:dyDescent="0.3">
      <c r="B2146" s="2">
        <f>IF(BCP_Soles[[#This Row],[TIPO DE R.]]="R",COUNTIFS($D$4:$D2145,"R")+1,"")</f>
        <v>1653</v>
      </c>
      <c r="C2146" s="19" t="str">
        <f t="shared" si="165"/>
        <v>B-BCP - Soles</v>
      </c>
      <c r="D2146" s="3" t="s">
        <v>1074</v>
      </c>
      <c r="E2146" s="14">
        <v>45828</v>
      </c>
      <c r="F2146" s="5" t="s">
        <v>1239</v>
      </c>
      <c r="G2146" s="5" t="s">
        <v>1087</v>
      </c>
      <c r="H2146" s="6"/>
      <c r="I2146" s="6"/>
      <c r="J2146" s="6"/>
      <c r="K2146" s="6"/>
      <c r="L2146" s="7" t="s">
        <v>1100</v>
      </c>
      <c r="M2146" s="8">
        <v>1979368</v>
      </c>
      <c r="N2146" s="8" t="str">
        <f t="shared" si="166"/>
        <v>PEN</v>
      </c>
      <c r="O2146" s="13"/>
      <c r="P2146" s="13">
        <v>70</v>
      </c>
      <c r="Q2146" s="3">
        <f t="shared" si="167"/>
        <v>70</v>
      </c>
      <c r="R2146" s="3">
        <f t="shared" si="168"/>
        <v>0</v>
      </c>
      <c r="S2146" s="3">
        <f t="shared" si="169"/>
        <v>16605.460000000036</v>
      </c>
      <c r="T2146" s="24" t="s">
        <v>1081</v>
      </c>
      <c r="U2146" s="24" t="s">
        <v>1081</v>
      </c>
      <c r="V2146" s="67"/>
      <c r="W2146" s="25" t="str">
        <f>IFERROR(VLOOKUP(BCP_Soles[[#This Row],[DESTINATARIO]],CHOOSE({1,2},Clientes_Proveedores[Razon Social],Clientes_Proveedores[Ruc / Dni]),2,0),"")</f>
        <v/>
      </c>
      <c r="X2146" s="25" t="s">
        <v>1090</v>
      </c>
      <c r="Y2146" s="25" t="s">
        <v>3223</v>
      </c>
      <c r="Z2146" s="25"/>
      <c r="AA2146" s="99"/>
      <c r="AB2146" s="3" t="str">
        <f>IF(BCP_Soles[[#This Row],[FECHA]]&gt;0,TEXT(BCP_Soles[[#This Row],[FECHA]],"mmmm"),0)</f>
        <v>Junio</v>
      </c>
    </row>
    <row r="2147" spans="2:28" ht="24" x14ac:dyDescent="0.3">
      <c r="B2147" s="2">
        <f>IF(BCP_Soles[[#This Row],[TIPO DE R.]]="R",COUNTIFS($D$4:$D2146,"R")+1,"")</f>
        <v>1654</v>
      </c>
      <c r="C2147" s="19" t="str">
        <f t="shared" si="165"/>
        <v>B-BCP - Soles</v>
      </c>
      <c r="D2147" s="3" t="s">
        <v>1074</v>
      </c>
      <c r="E2147" s="14">
        <v>45828</v>
      </c>
      <c r="F2147" s="5" t="s">
        <v>1075</v>
      </c>
      <c r="G2147" s="5" t="s">
        <v>1079</v>
      </c>
      <c r="H2147" s="6" t="s">
        <v>192</v>
      </c>
      <c r="I2147" s="6"/>
      <c r="J2147" s="6"/>
      <c r="K2147" s="6"/>
      <c r="L2147" s="7" t="s">
        <v>3224</v>
      </c>
      <c r="M2147" s="8">
        <v>1243600</v>
      </c>
      <c r="N2147" s="8" t="str">
        <f t="shared" si="166"/>
        <v>PEN</v>
      </c>
      <c r="O2147" s="13"/>
      <c r="P2147" s="13">
        <v>2283.1999999999998</v>
      </c>
      <c r="Q2147" s="3">
        <f t="shared" si="167"/>
        <v>0</v>
      </c>
      <c r="R2147" s="3">
        <f t="shared" si="168"/>
        <v>2283.1999999999998</v>
      </c>
      <c r="S2147" s="3">
        <f t="shared" si="169"/>
        <v>14322.260000000035</v>
      </c>
      <c r="T2147" s="24"/>
      <c r="U2147" s="24"/>
      <c r="V2147" s="104" t="s">
        <v>3225</v>
      </c>
      <c r="W2147" s="126">
        <f>IFERROR(VLOOKUP(BCP_Soles[[#This Row],[DESTINATARIO]],CHOOSE({1,2},Clientes_Proveedores[Razon Social],Clientes_Proveedores[Ruc / Dni]),2,0),"")</f>
        <v>20302891452</v>
      </c>
      <c r="X2147" s="26" t="s">
        <v>192</v>
      </c>
      <c r="Y2147" s="26"/>
      <c r="Z2147" s="26"/>
      <c r="AA2147" s="100"/>
      <c r="AB2147" s="3" t="str">
        <f>IF(BCP_Soles[[#This Row],[FECHA]]&gt;0,TEXT(BCP_Soles[[#This Row],[FECHA]],"mmmm"),0)</f>
        <v>Junio</v>
      </c>
    </row>
    <row r="2148" spans="2:28" ht="36" x14ac:dyDescent="0.3">
      <c r="B2148" s="2">
        <f>IF(BCP_Soles[[#This Row],[TIPO DE R.]]="R",COUNTIFS($D$4:$D2147,"R")+1,"")</f>
        <v>1655</v>
      </c>
      <c r="C2148" s="19" t="str">
        <f t="shared" si="165"/>
        <v>B-BCP - Soles</v>
      </c>
      <c r="D2148" s="3" t="s">
        <v>1074</v>
      </c>
      <c r="E2148" s="14">
        <v>45828</v>
      </c>
      <c r="F2148" s="5" t="s">
        <v>1075</v>
      </c>
      <c r="G2148" s="5" t="s">
        <v>1079</v>
      </c>
      <c r="H2148" s="6" t="s">
        <v>683</v>
      </c>
      <c r="I2148" s="6"/>
      <c r="J2148" s="6"/>
      <c r="K2148" s="6"/>
      <c r="L2148" s="7" t="s">
        <v>3226</v>
      </c>
      <c r="M2148" s="8">
        <v>1243154</v>
      </c>
      <c r="N2148" s="8" t="str">
        <f t="shared" si="166"/>
        <v>PEN</v>
      </c>
      <c r="O2148" s="13"/>
      <c r="P2148" s="13">
        <v>306</v>
      </c>
      <c r="Q2148" s="3">
        <f t="shared" si="167"/>
        <v>0</v>
      </c>
      <c r="R2148" s="3">
        <f t="shared" si="168"/>
        <v>306</v>
      </c>
      <c r="S2148" s="3">
        <f t="shared" si="169"/>
        <v>14016.260000000035</v>
      </c>
      <c r="T2148" s="24" t="s">
        <v>1081</v>
      </c>
      <c r="U2148" s="24" t="s">
        <v>1081</v>
      </c>
      <c r="V2148" s="104" t="s">
        <v>3227</v>
      </c>
      <c r="W2148" s="126">
        <f>IFERROR(VLOOKUP(BCP_Soles[[#This Row],[DESTINATARIO]],CHOOSE({1,2},Clientes_Proveedores[Razon Social],Clientes_Proveedores[Ruc / Dni]),2,0),"")</f>
        <v>20100210909</v>
      </c>
      <c r="X2148" s="26" t="s">
        <v>3228</v>
      </c>
      <c r="Y2148" s="26" t="s">
        <v>3229</v>
      </c>
      <c r="Z2148" s="26"/>
      <c r="AA2148" s="100"/>
      <c r="AB2148" s="3" t="str">
        <f>IF(BCP_Soles[[#This Row],[FECHA]]&gt;0,TEXT(BCP_Soles[[#This Row],[FECHA]],"mmmm"),0)</f>
        <v>Junio</v>
      </c>
    </row>
    <row r="2149" spans="2:28" ht="36" x14ac:dyDescent="0.3">
      <c r="B2149" s="2" t="str">
        <f>IF(BCP_Soles[[#This Row],[TIPO DE R.]]="R",COUNTIFS($D$4:$D2148,"R")+1,"")</f>
        <v/>
      </c>
      <c r="C2149" s="19" t="str">
        <f t="shared" si="165"/>
        <v>B-BCP - Soles</v>
      </c>
      <c r="D2149" s="3" t="s">
        <v>1101</v>
      </c>
      <c r="E2149" s="14">
        <v>45828</v>
      </c>
      <c r="F2149" s="5" t="s">
        <v>1075</v>
      </c>
      <c r="G2149" s="5"/>
      <c r="H2149" s="6" t="s">
        <v>683</v>
      </c>
      <c r="I2149" s="6" t="s">
        <v>14</v>
      </c>
      <c r="J2149" s="6" t="s">
        <v>3230</v>
      </c>
      <c r="K2149" s="6">
        <v>367435</v>
      </c>
      <c r="L2149" s="7" t="s">
        <v>3226</v>
      </c>
      <c r="M2149" s="8">
        <v>1243154</v>
      </c>
      <c r="N2149" s="8" t="str">
        <f t="shared" si="166"/>
        <v>PEN</v>
      </c>
      <c r="O2149" s="13">
        <v>153</v>
      </c>
      <c r="P2149" s="13"/>
      <c r="Q2149" s="3">
        <f t="shared" si="167"/>
        <v>0</v>
      </c>
      <c r="R2149" s="3">
        <f t="shared" si="168"/>
        <v>0</v>
      </c>
      <c r="S2149" s="3">
        <f t="shared" si="169"/>
        <v>14016.260000000035</v>
      </c>
      <c r="T2149" s="24"/>
      <c r="U2149" s="24" t="s">
        <v>1081</v>
      </c>
      <c r="V2149" s="104"/>
      <c r="W2149" s="126">
        <f>IFERROR(VLOOKUP(BCP_Soles[[#This Row],[DESTINATARIO]],CHOOSE({1,2},Clientes_Proveedores[Razon Social],Clientes_Proveedores[Ruc / Dni]),2,0),"")</f>
        <v>20100210909</v>
      </c>
      <c r="X2149" s="26"/>
      <c r="Y2149" s="26"/>
      <c r="Z2149" s="26"/>
      <c r="AA2149" s="100"/>
      <c r="AB2149" s="3" t="str">
        <f>IF(BCP_Soles[[#This Row],[FECHA]]&gt;0,TEXT(BCP_Soles[[#This Row],[FECHA]],"mmmm"),0)</f>
        <v>Junio</v>
      </c>
    </row>
    <row r="2150" spans="2:28" ht="36" x14ac:dyDescent="0.3">
      <c r="B2150" s="2" t="str">
        <f>IF(BCP_Soles[[#This Row],[TIPO DE R.]]="R",COUNTIFS($D$4:$D2149,"R")+1,"")</f>
        <v/>
      </c>
      <c r="C2150" s="19" t="str">
        <f t="shared" si="165"/>
        <v>B-BCP - Soles</v>
      </c>
      <c r="D2150" s="3" t="s">
        <v>1101</v>
      </c>
      <c r="E2150" s="14">
        <v>45828</v>
      </c>
      <c r="F2150" s="5" t="s">
        <v>1075</v>
      </c>
      <c r="G2150" s="5"/>
      <c r="H2150" s="6" t="s">
        <v>683</v>
      </c>
      <c r="I2150" s="6" t="s">
        <v>14</v>
      </c>
      <c r="J2150" s="6" t="s">
        <v>3230</v>
      </c>
      <c r="K2150" s="6">
        <v>367430</v>
      </c>
      <c r="L2150" s="7" t="s">
        <v>3226</v>
      </c>
      <c r="M2150" s="8">
        <v>1243154</v>
      </c>
      <c r="N2150" s="8" t="str">
        <f t="shared" si="166"/>
        <v>PEN</v>
      </c>
      <c r="O2150" s="13">
        <v>153</v>
      </c>
      <c r="P2150" s="13"/>
      <c r="Q2150" s="3">
        <f t="shared" si="167"/>
        <v>0</v>
      </c>
      <c r="R2150" s="3">
        <f t="shared" si="168"/>
        <v>0</v>
      </c>
      <c r="S2150" s="3">
        <f t="shared" si="169"/>
        <v>14016.260000000035</v>
      </c>
      <c r="T2150" s="24"/>
      <c r="U2150" s="24" t="s">
        <v>1081</v>
      </c>
      <c r="V2150" s="104"/>
      <c r="W2150" s="126">
        <f>IFERROR(VLOOKUP(BCP_Soles[[#This Row],[DESTINATARIO]],CHOOSE({1,2},Clientes_Proveedores[Razon Social],Clientes_Proveedores[Ruc / Dni]),2,0),"")</f>
        <v>20100210909</v>
      </c>
      <c r="X2150" s="26"/>
      <c r="Y2150" s="26"/>
      <c r="Z2150" s="26"/>
      <c r="AA2150" s="100"/>
      <c r="AB2150" s="3" t="str">
        <f>IF(BCP_Soles[[#This Row],[FECHA]]&gt;0,TEXT(BCP_Soles[[#This Row],[FECHA]],"mmmm"),0)</f>
        <v>Junio</v>
      </c>
    </row>
    <row r="2151" spans="2:28" x14ac:dyDescent="0.3">
      <c r="B2151" s="2">
        <f>IF(BCP_Soles[[#This Row],[TIPO DE R.]]="R",COUNTIFS($D$4:$D2150,"R")+1,"")</f>
        <v>1656</v>
      </c>
      <c r="C2151" s="19" t="str">
        <f t="shared" si="165"/>
        <v>B-BCP - Soles</v>
      </c>
      <c r="D2151" s="3" t="s">
        <v>1074</v>
      </c>
      <c r="E2151" s="14">
        <v>45828</v>
      </c>
      <c r="F2151" s="5" t="s">
        <v>1075</v>
      </c>
      <c r="G2151" s="5" t="s">
        <v>1079</v>
      </c>
      <c r="H2151" s="6" t="s">
        <v>638</v>
      </c>
      <c r="I2151" s="6"/>
      <c r="J2151" s="6"/>
      <c r="K2151" s="6"/>
      <c r="L2151" s="7" t="s">
        <v>3231</v>
      </c>
      <c r="M2151" s="8">
        <v>9875233</v>
      </c>
      <c r="N2151" s="8" t="str">
        <f t="shared" si="166"/>
        <v>PEN</v>
      </c>
      <c r="O2151" s="13"/>
      <c r="P2151" s="13">
        <v>2138.65</v>
      </c>
      <c r="Q2151" s="3">
        <f t="shared" si="167"/>
        <v>0</v>
      </c>
      <c r="R2151" s="3">
        <f t="shared" si="168"/>
        <v>2138.65</v>
      </c>
      <c r="S2151" s="3">
        <f t="shared" si="169"/>
        <v>11877.610000000035</v>
      </c>
      <c r="T2151" s="24" t="s">
        <v>1081</v>
      </c>
      <c r="U2151" s="24" t="s">
        <v>1081</v>
      </c>
      <c r="V2151" s="104" t="s">
        <v>3232</v>
      </c>
      <c r="W2151" s="126">
        <f>IFERROR(VLOOKUP(BCP_Soles[[#This Row],[DESTINATARIO]],CHOOSE({1,2},Clientes_Proveedores[Razon Social],Clientes_Proveedores[Ruc / Dni]),2,0),"")</f>
        <v>0</v>
      </c>
      <c r="X2151" s="26" t="s">
        <v>1118</v>
      </c>
      <c r="Y2151" s="26"/>
      <c r="Z2151" s="26"/>
      <c r="AA2151" s="100"/>
      <c r="AB2151" s="3" t="str">
        <f>IF(BCP_Soles[[#This Row],[FECHA]]&gt;0,TEXT(BCP_Soles[[#This Row],[FECHA]],"mmmm"),0)</f>
        <v>Junio</v>
      </c>
    </row>
    <row r="2152" spans="2:28" ht="24" x14ac:dyDescent="0.3">
      <c r="B2152" s="2" t="str">
        <f>IF(BCP_Soles[[#This Row],[TIPO DE R.]]="R",COUNTIFS($D$4:$D2151,"R")+1,"")</f>
        <v/>
      </c>
      <c r="C2152" s="19" t="str">
        <f t="shared" si="165"/>
        <v>B-BCP - Soles</v>
      </c>
      <c r="D2152" s="3" t="s">
        <v>1101</v>
      </c>
      <c r="E2152" s="14">
        <v>45828</v>
      </c>
      <c r="F2152" s="5" t="s">
        <v>1075</v>
      </c>
      <c r="G2152" s="5"/>
      <c r="H2152" s="6" t="s">
        <v>522</v>
      </c>
      <c r="I2152" s="6" t="s">
        <v>14</v>
      </c>
      <c r="J2152" s="6" t="s">
        <v>1121</v>
      </c>
      <c r="K2152" s="6">
        <v>2841</v>
      </c>
      <c r="L2152" s="7" t="s">
        <v>3231</v>
      </c>
      <c r="M2152" s="8">
        <v>9875233</v>
      </c>
      <c r="N2152" s="8" t="str">
        <f t="shared" si="166"/>
        <v>PEN</v>
      </c>
      <c r="O2152" s="13">
        <v>300</v>
      </c>
      <c r="P2152" s="13"/>
      <c r="Q2152" s="3">
        <f t="shared" si="167"/>
        <v>0</v>
      </c>
      <c r="R2152" s="3">
        <f t="shared" si="168"/>
        <v>0</v>
      </c>
      <c r="S2152" s="3">
        <f t="shared" si="169"/>
        <v>11877.610000000035</v>
      </c>
      <c r="T2152" s="24"/>
      <c r="U2152" s="24" t="s">
        <v>1081</v>
      </c>
      <c r="V2152" s="104"/>
      <c r="W2152" s="126">
        <f>IFERROR(VLOOKUP(BCP_Soles[[#This Row],[DESTINATARIO]],CHOOSE({1,2},Clientes_Proveedores[Razon Social],Clientes_Proveedores[Ruc / Dni]),2,0),"")</f>
        <v>20609123762</v>
      </c>
      <c r="X2152" s="26"/>
      <c r="Y2152" s="26"/>
      <c r="Z2152" s="26"/>
      <c r="AA2152" s="100"/>
      <c r="AB2152" s="3" t="str">
        <f>IF(BCP_Soles[[#This Row],[FECHA]]&gt;0,TEXT(BCP_Soles[[#This Row],[FECHA]],"mmmm"),0)</f>
        <v>Junio</v>
      </c>
    </row>
    <row r="2153" spans="2:28" x14ac:dyDescent="0.3">
      <c r="B2153" s="2" t="str">
        <f>IF(BCP_Soles[[#This Row],[TIPO DE R.]]="R",COUNTIFS($D$4:$D2152,"R")+1,"")</f>
        <v/>
      </c>
      <c r="C2153" s="19" t="str">
        <f t="shared" si="165"/>
        <v>B-BCP - Soles</v>
      </c>
      <c r="D2153" s="3" t="s">
        <v>1101</v>
      </c>
      <c r="E2153" s="14">
        <v>45828</v>
      </c>
      <c r="F2153" s="5" t="s">
        <v>1075</v>
      </c>
      <c r="G2153" s="5"/>
      <c r="H2153" s="6" t="s">
        <v>465</v>
      </c>
      <c r="I2153" s="6" t="s">
        <v>14</v>
      </c>
      <c r="J2153" s="6" t="s">
        <v>1121</v>
      </c>
      <c r="K2153" s="6">
        <v>3947</v>
      </c>
      <c r="L2153" s="7" t="s">
        <v>3231</v>
      </c>
      <c r="M2153" s="8">
        <v>9875233</v>
      </c>
      <c r="N2153" s="8" t="str">
        <f t="shared" si="166"/>
        <v>PEN</v>
      </c>
      <c r="O2153" s="13">
        <v>632.1</v>
      </c>
      <c r="P2153" s="13"/>
      <c r="Q2153" s="3">
        <f t="shared" si="167"/>
        <v>0</v>
      </c>
      <c r="R2153" s="3">
        <f t="shared" si="168"/>
        <v>0</v>
      </c>
      <c r="S2153" s="3">
        <f t="shared" si="169"/>
        <v>11877.610000000035</v>
      </c>
      <c r="T2153" s="24"/>
      <c r="U2153" s="24" t="s">
        <v>1081</v>
      </c>
      <c r="V2153" s="104"/>
      <c r="W2153" s="126">
        <f>IFERROR(VLOOKUP(BCP_Soles[[#This Row],[DESTINATARIO]],CHOOSE({1,2},Clientes_Proveedores[Razon Social],Clientes_Proveedores[Ruc / Dni]),2,0),"")</f>
        <v>20603974817</v>
      </c>
      <c r="X2153" s="26"/>
      <c r="Y2153" s="26"/>
      <c r="Z2153" s="26"/>
      <c r="AA2153" s="100"/>
      <c r="AB2153" s="3" t="str">
        <f>IF(BCP_Soles[[#This Row],[FECHA]]&gt;0,TEXT(BCP_Soles[[#This Row],[FECHA]],"mmmm"),0)</f>
        <v>Junio</v>
      </c>
    </row>
    <row r="2154" spans="2:28" x14ac:dyDescent="0.3">
      <c r="B2154" s="2" t="str">
        <f>IF(BCP_Soles[[#This Row],[TIPO DE R.]]="R",COUNTIFS($D$4:$D2153,"R")+1,"")</f>
        <v/>
      </c>
      <c r="C2154" s="19" t="str">
        <f t="shared" si="165"/>
        <v>B-BCP - Soles</v>
      </c>
      <c r="D2154" s="3" t="s">
        <v>1101</v>
      </c>
      <c r="E2154" s="14">
        <v>45828</v>
      </c>
      <c r="F2154" s="5" t="s">
        <v>1075</v>
      </c>
      <c r="G2154" s="5"/>
      <c r="H2154" s="6" t="s">
        <v>465</v>
      </c>
      <c r="I2154" s="6" t="s">
        <v>14</v>
      </c>
      <c r="J2154" s="6" t="s">
        <v>1121</v>
      </c>
      <c r="K2154" s="6">
        <v>3935</v>
      </c>
      <c r="L2154" s="7" t="s">
        <v>3231</v>
      </c>
      <c r="M2154" s="8">
        <v>9875233</v>
      </c>
      <c r="N2154" s="8" t="str">
        <f t="shared" si="166"/>
        <v>PEN</v>
      </c>
      <c r="O2154" s="13">
        <v>451.35</v>
      </c>
      <c r="P2154" s="13"/>
      <c r="Q2154" s="3">
        <f t="shared" si="167"/>
        <v>0</v>
      </c>
      <c r="R2154" s="3">
        <f t="shared" si="168"/>
        <v>0</v>
      </c>
      <c r="S2154" s="3">
        <f t="shared" si="169"/>
        <v>11877.610000000035</v>
      </c>
      <c r="T2154" s="24"/>
      <c r="U2154" s="24" t="s">
        <v>1081</v>
      </c>
      <c r="V2154" s="104"/>
      <c r="W2154" s="126">
        <f>IFERROR(VLOOKUP(BCP_Soles[[#This Row],[DESTINATARIO]],CHOOSE({1,2},Clientes_Proveedores[Razon Social],Clientes_Proveedores[Ruc / Dni]),2,0),"")</f>
        <v>20603974817</v>
      </c>
      <c r="X2154" s="26"/>
      <c r="Y2154" s="26"/>
      <c r="Z2154" s="26"/>
      <c r="AA2154" s="100"/>
      <c r="AB2154" s="3" t="str">
        <f>IF(BCP_Soles[[#This Row],[FECHA]]&gt;0,TEXT(BCP_Soles[[#This Row],[FECHA]],"mmmm"),0)</f>
        <v>Junio</v>
      </c>
    </row>
    <row r="2155" spans="2:28" x14ac:dyDescent="0.3">
      <c r="B2155" s="2" t="str">
        <f>IF(BCP_Soles[[#This Row],[TIPO DE R.]]="R",COUNTIFS($D$4:$D2154,"R")+1,"")</f>
        <v/>
      </c>
      <c r="C2155" s="19" t="str">
        <f t="shared" si="165"/>
        <v>B-BCP - Soles</v>
      </c>
      <c r="D2155" s="3" t="s">
        <v>1101</v>
      </c>
      <c r="E2155" s="14">
        <v>45828</v>
      </c>
      <c r="F2155" s="5" t="s">
        <v>1075</v>
      </c>
      <c r="G2155" s="5"/>
      <c r="H2155" s="6" t="s">
        <v>465</v>
      </c>
      <c r="I2155" s="6" t="s">
        <v>14</v>
      </c>
      <c r="J2155" s="6" t="s">
        <v>1121</v>
      </c>
      <c r="K2155" s="6">
        <v>3940</v>
      </c>
      <c r="L2155" s="7" t="s">
        <v>3231</v>
      </c>
      <c r="M2155" s="8">
        <v>9875233</v>
      </c>
      <c r="N2155" s="8" t="str">
        <f t="shared" si="166"/>
        <v>PEN</v>
      </c>
      <c r="O2155" s="13">
        <v>250.75</v>
      </c>
      <c r="P2155" s="13"/>
      <c r="Q2155" s="3">
        <f t="shared" si="167"/>
        <v>0</v>
      </c>
      <c r="R2155" s="3">
        <f t="shared" si="168"/>
        <v>0</v>
      </c>
      <c r="S2155" s="3">
        <f t="shared" si="169"/>
        <v>11877.610000000035</v>
      </c>
      <c r="T2155" s="24"/>
      <c r="U2155" s="24" t="s">
        <v>1081</v>
      </c>
      <c r="V2155" s="104"/>
      <c r="W2155" s="126">
        <f>IFERROR(VLOOKUP(BCP_Soles[[#This Row],[DESTINATARIO]],CHOOSE({1,2},Clientes_Proveedores[Razon Social],Clientes_Proveedores[Ruc / Dni]),2,0),"")</f>
        <v>20603974817</v>
      </c>
      <c r="X2155" s="26"/>
      <c r="Y2155" s="26"/>
      <c r="Z2155" s="26"/>
      <c r="AA2155" s="100"/>
      <c r="AB2155" s="3" t="str">
        <f>IF(BCP_Soles[[#This Row],[FECHA]]&gt;0,TEXT(BCP_Soles[[#This Row],[FECHA]],"mmmm"),0)</f>
        <v>Junio</v>
      </c>
    </row>
    <row r="2156" spans="2:28" x14ac:dyDescent="0.3">
      <c r="B2156" s="2" t="str">
        <f>IF(BCP_Soles[[#This Row],[TIPO DE R.]]="R",COUNTIFS($D$4:$D2155,"R")+1,"")</f>
        <v/>
      </c>
      <c r="C2156" s="19" t="str">
        <f t="shared" si="165"/>
        <v>B-BCP - Soles</v>
      </c>
      <c r="D2156" s="3" t="s">
        <v>1101</v>
      </c>
      <c r="E2156" s="14">
        <v>45828</v>
      </c>
      <c r="F2156" s="5" t="s">
        <v>1075</v>
      </c>
      <c r="G2156" s="5"/>
      <c r="H2156" s="6" t="s">
        <v>281</v>
      </c>
      <c r="I2156" s="6" t="s">
        <v>14</v>
      </c>
      <c r="J2156" s="6" t="s">
        <v>1121</v>
      </c>
      <c r="K2156" s="6">
        <v>479</v>
      </c>
      <c r="L2156" s="7" t="s">
        <v>3231</v>
      </c>
      <c r="M2156" s="8">
        <v>9875233</v>
      </c>
      <c r="N2156" s="8" t="str">
        <f t="shared" si="166"/>
        <v>PEN</v>
      </c>
      <c r="O2156" s="13">
        <v>354</v>
      </c>
      <c r="P2156" s="13"/>
      <c r="Q2156" s="3">
        <f t="shared" si="167"/>
        <v>0</v>
      </c>
      <c r="R2156" s="3">
        <f t="shared" si="168"/>
        <v>0</v>
      </c>
      <c r="S2156" s="3">
        <f t="shared" si="169"/>
        <v>11877.610000000035</v>
      </c>
      <c r="T2156" s="24"/>
      <c r="U2156" s="24" t="s">
        <v>1081</v>
      </c>
      <c r="V2156" s="104"/>
      <c r="W2156" s="126">
        <f>IFERROR(VLOOKUP(BCP_Soles[[#This Row],[DESTINATARIO]],CHOOSE({1,2},Clientes_Proveedores[Razon Social],Clientes_Proveedores[Ruc / Dni]),2,0),"")</f>
        <v>20498380931</v>
      </c>
      <c r="X2156" s="26"/>
      <c r="Y2156" s="26"/>
      <c r="Z2156" s="26"/>
      <c r="AA2156" s="100"/>
      <c r="AB2156" s="3" t="str">
        <f>IF(BCP_Soles[[#This Row],[FECHA]]&gt;0,TEXT(BCP_Soles[[#This Row],[FECHA]],"mmmm"),0)</f>
        <v>Junio</v>
      </c>
    </row>
    <row r="2157" spans="2:28" x14ac:dyDescent="0.3">
      <c r="B2157" s="2" t="str">
        <f>IF(BCP_Soles[[#This Row],[TIPO DE R.]]="R",COUNTIFS($D$4:$D2156,"R")+1,"")</f>
        <v/>
      </c>
      <c r="C2157" s="19" t="str">
        <f t="shared" si="165"/>
        <v>B-BCP - Soles</v>
      </c>
      <c r="D2157" s="3" t="s">
        <v>1101</v>
      </c>
      <c r="E2157" s="14">
        <v>45828</v>
      </c>
      <c r="F2157" s="5" t="s">
        <v>1075</v>
      </c>
      <c r="G2157" s="5"/>
      <c r="H2157" s="6" t="s">
        <v>465</v>
      </c>
      <c r="I2157" s="6" t="s">
        <v>14</v>
      </c>
      <c r="J2157" s="6" t="s">
        <v>1121</v>
      </c>
      <c r="K2157" s="6">
        <v>3941</v>
      </c>
      <c r="L2157" s="7" t="s">
        <v>3231</v>
      </c>
      <c r="M2157" s="8">
        <v>9875233</v>
      </c>
      <c r="N2157" s="8" t="str">
        <f t="shared" si="166"/>
        <v>PEN</v>
      </c>
      <c r="O2157" s="13">
        <v>150.44999999999999</v>
      </c>
      <c r="P2157" s="13"/>
      <c r="Q2157" s="3">
        <f t="shared" si="167"/>
        <v>0</v>
      </c>
      <c r="R2157" s="3">
        <f t="shared" si="168"/>
        <v>0</v>
      </c>
      <c r="S2157" s="3">
        <f t="shared" si="169"/>
        <v>11877.610000000035</v>
      </c>
      <c r="T2157" s="24"/>
      <c r="U2157" s="24" t="s">
        <v>1081</v>
      </c>
      <c r="V2157" s="104"/>
      <c r="W2157" s="126">
        <f>IFERROR(VLOOKUP(BCP_Soles[[#This Row],[DESTINATARIO]],CHOOSE({1,2},Clientes_Proveedores[Razon Social],Clientes_Proveedores[Ruc / Dni]),2,0),"")</f>
        <v>20603974817</v>
      </c>
      <c r="X2157" s="26"/>
      <c r="Y2157" s="26"/>
      <c r="Z2157" s="26"/>
      <c r="AA2157" s="100"/>
      <c r="AB2157" s="3" t="str">
        <f>IF(BCP_Soles[[#This Row],[FECHA]]&gt;0,TEXT(BCP_Soles[[#This Row],[FECHA]],"mmmm"),0)</f>
        <v>Junio</v>
      </c>
    </row>
    <row r="2158" spans="2:28" x14ac:dyDescent="0.3">
      <c r="B2158" s="2">
        <f>IF(BCP_Soles[[#This Row],[TIPO DE R.]]="R",COUNTIFS($D$4:$D2157,"R")+1,"")</f>
        <v>1657</v>
      </c>
      <c r="C2158" s="19" t="str">
        <f t="shared" si="165"/>
        <v>B-BCP - Soles</v>
      </c>
      <c r="D2158" s="3" t="s">
        <v>1074</v>
      </c>
      <c r="E2158" s="14">
        <v>45828</v>
      </c>
      <c r="F2158" s="5" t="s">
        <v>1075</v>
      </c>
      <c r="G2158" s="5" t="s">
        <v>1079</v>
      </c>
      <c r="H2158" s="6"/>
      <c r="I2158" s="6"/>
      <c r="J2158" s="6"/>
      <c r="K2158" s="6"/>
      <c r="L2158" s="7" t="s">
        <v>3233</v>
      </c>
      <c r="M2158" s="8">
        <v>1286076</v>
      </c>
      <c r="N2158" s="8" t="str">
        <f t="shared" si="166"/>
        <v>PEN</v>
      </c>
      <c r="O2158" s="13"/>
      <c r="P2158" s="13">
        <v>1344</v>
      </c>
      <c r="Q2158" s="3">
        <f t="shared" si="167"/>
        <v>0</v>
      </c>
      <c r="R2158" s="3">
        <f t="shared" si="168"/>
        <v>1344</v>
      </c>
      <c r="S2158" s="3">
        <f t="shared" si="169"/>
        <v>10533.610000000035</v>
      </c>
      <c r="T2158" s="24"/>
      <c r="U2158" s="24"/>
      <c r="V2158" s="104" t="s">
        <v>3234</v>
      </c>
      <c r="W2158" s="126" t="str">
        <f>IFERROR(VLOOKUP(BCP_Soles[[#This Row],[DESTINATARIO]],CHOOSE({1,2},Clientes_Proveedores[Razon Social],Clientes_Proveedores[Ruc / Dni]),2,0),"")</f>
        <v/>
      </c>
      <c r="X2158" s="26" t="s">
        <v>2175</v>
      </c>
      <c r="Y2158" s="26"/>
      <c r="Z2158" s="26"/>
      <c r="AA2158" s="100"/>
      <c r="AB2158" s="3" t="str">
        <f>IF(BCP_Soles[[#This Row],[FECHA]]&gt;0,TEXT(BCP_Soles[[#This Row],[FECHA]],"mmmm"),0)</f>
        <v>Junio</v>
      </c>
    </row>
    <row r="2159" spans="2:28" x14ac:dyDescent="0.3">
      <c r="B2159" s="2">
        <f>IF(BCP_Soles[[#This Row],[TIPO DE R.]]="R",COUNTIFS($D$4:$D2158,"R")+1,"")</f>
        <v>1658</v>
      </c>
      <c r="C2159" s="19" t="str">
        <f t="shared" si="165"/>
        <v>B-BCP - Soles</v>
      </c>
      <c r="D2159" s="3" t="s">
        <v>1074</v>
      </c>
      <c r="E2159" s="14">
        <v>45828</v>
      </c>
      <c r="F2159" s="5" t="s">
        <v>1075</v>
      </c>
      <c r="G2159" s="5" t="s">
        <v>1079</v>
      </c>
      <c r="H2159" s="6" t="s">
        <v>750</v>
      </c>
      <c r="I2159" s="6"/>
      <c r="J2159" s="6"/>
      <c r="K2159" s="6"/>
      <c r="L2159" s="7" t="s">
        <v>3235</v>
      </c>
      <c r="M2159" s="8">
        <v>1285108</v>
      </c>
      <c r="N2159" s="8" t="str">
        <f t="shared" si="166"/>
        <v>PEN</v>
      </c>
      <c r="O2159" s="13"/>
      <c r="P2159" s="13">
        <v>3000</v>
      </c>
      <c r="Q2159" s="3">
        <f t="shared" si="167"/>
        <v>0</v>
      </c>
      <c r="R2159" s="3">
        <f t="shared" si="168"/>
        <v>3000</v>
      </c>
      <c r="S2159" s="3">
        <f t="shared" si="169"/>
        <v>7533.6100000000351</v>
      </c>
      <c r="T2159" s="24"/>
      <c r="U2159" s="24"/>
      <c r="V2159" s="104" t="s">
        <v>3236</v>
      </c>
      <c r="W2159" s="126">
        <f>IFERROR(VLOOKUP(BCP_Soles[[#This Row],[DESTINATARIO]],CHOOSE({1,2},Clientes_Proveedores[Razon Social],Clientes_Proveedores[Ruc / Dni]),2,0),"")</f>
        <v>45286301</v>
      </c>
      <c r="X2159" s="26" t="s">
        <v>750</v>
      </c>
      <c r="Y2159" s="26"/>
      <c r="Z2159" s="26"/>
      <c r="AA2159" s="100"/>
      <c r="AB2159" s="3" t="str">
        <f>IF(BCP_Soles[[#This Row],[FECHA]]&gt;0,TEXT(BCP_Soles[[#This Row],[FECHA]],"mmmm"),0)</f>
        <v>Junio</v>
      </c>
    </row>
    <row r="2160" spans="2:28" ht="24" x14ac:dyDescent="0.3">
      <c r="B2160" s="2">
        <f>IF(BCP_Soles[[#This Row],[TIPO DE R.]]="R",COUNTIFS($D$4:$D2159,"R")+1,"")</f>
        <v>1659</v>
      </c>
      <c r="C2160" s="19" t="str">
        <f t="shared" si="165"/>
        <v>B-BCP - Soles</v>
      </c>
      <c r="D2160" s="3" t="s">
        <v>1074</v>
      </c>
      <c r="E2160" s="14">
        <v>45828</v>
      </c>
      <c r="F2160" s="5" t="s">
        <v>1075</v>
      </c>
      <c r="G2160" s="5" t="s">
        <v>1079</v>
      </c>
      <c r="H2160" s="6" t="s">
        <v>842</v>
      </c>
      <c r="I2160" s="6"/>
      <c r="J2160" s="6"/>
      <c r="K2160" s="6"/>
      <c r="L2160" s="7" t="s">
        <v>3237</v>
      </c>
      <c r="M2160" s="8">
        <v>1285595</v>
      </c>
      <c r="N2160" s="8" t="str">
        <f t="shared" si="166"/>
        <v>PEN</v>
      </c>
      <c r="O2160" s="13"/>
      <c r="P2160" s="13">
        <v>3369.15</v>
      </c>
      <c r="Q2160" s="3">
        <f t="shared" si="167"/>
        <v>0</v>
      </c>
      <c r="R2160" s="3">
        <f t="shared" si="168"/>
        <v>3369.15</v>
      </c>
      <c r="S2160" s="3">
        <f t="shared" si="169"/>
        <v>4164.4600000000355</v>
      </c>
      <c r="T2160" s="24"/>
      <c r="U2160" s="24" t="s">
        <v>1081</v>
      </c>
      <c r="V2160" s="104" t="s">
        <v>3238</v>
      </c>
      <c r="W2160" s="126">
        <f>IFERROR(VLOOKUP(BCP_Soles[[#This Row],[DESTINATARIO]],CHOOSE({1,2},Clientes_Proveedores[Razon Social],Clientes_Proveedores[Ruc / Dni]),2,0),"")</f>
        <v>72131384</v>
      </c>
      <c r="X2160" s="26" t="s">
        <v>842</v>
      </c>
      <c r="Y2160" s="26" t="s">
        <v>3239</v>
      </c>
      <c r="Z2160" s="26"/>
      <c r="AA2160" s="100"/>
      <c r="AB2160" s="3" t="str">
        <f>IF(BCP_Soles[[#This Row],[FECHA]]&gt;0,TEXT(BCP_Soles[[#This Row],[FECHA]],"mmmm"),0)</f>
        <v>Junio</v>
      </c>
    </row>
    <row r="2161" spans="2:28" x14ac:dyDescent="0.3">
      <c r="B2161" s="2">
        <f>IF(BCP_Soles[[#This Row],[TIPO DE R.]]="R",COUNTIFS($D$4:$D2160,"R")+1,"")</f>
        <v>1660</v>
      </c>
      <c r="C2161" s="19" t="str">
        <f t="shared" si="165"/>
        <v>B-BCP - Soles</v>
      </c>
      <c r="D2161" s="3" t="s">
        <v>1074</v>
      </c>
      <c r="E2161" s="14">
        <v>45828</v>
      </c>
      <c r="F2161" s="5" t="s">
        <v>1078</v>
      </c>
      <c r="G2161" s="5" t="s">
        <v>1079</v>
      </c>
      <c r="H2161" s="6"/>
      <c r="I2161" s="6"/>
      <c r="J2161" s="6"/>
      <c r="K2161" s="6"/>
      <c r="L2161" s="7" t="s">
        <v>2868</v>
      </c>
      <c r="M2161" s="8"/>
      <c r="N2161" s="8" t="str">
        <f t="shared" si="166"/>
        <v>PEN</v>
      </c>
      <c r="O2161" s="13"/>
      <c r="P2161" s="13">
        <v>0.9</v>
      </c>
      <c r="Q2161" s="3">
        <f t="shared" si="167"/>
        <v>0</v>
      </c>
      <c r="R2161" s="3">
        <f t="shared" si="168"/>
        <v>0.9</v>
      </c>
      <c r="S2161" s="3">
        <f t="shared" si="169"/>
        <v>4163.5600000000359</v>
      </c>
      <c r="T2161" s="24"/>
      <c r="U2161" s="24"/>
      <c r="V2161" s="67"/>
      <c r="W2161" s="25" t="str">
        <f>IFERROR(VLOOKUP(BCP_Soles[[#This Row],[DESTINATARIO]],CHOOSE({1,2},Clientes_Proveedores[Razon Social],Clientes_Proveedores[Ruc / Dni]),2,0),"")</f>
        <v/>
      </c>
      <c r="X2161" s="25"/>
      <c r="Y2161" s="25"/>
      <c r="Z2161" s="25"/>
      <c r="AA2161" s="99"/>
      <c r="AB2161" s="3" t="str">
        <f>IF(BCP_Soles[[#This Row],[FECHA]]&gt;0,TEXT(BCP_Soles[[#This Row],[FECHA]],"mmmm"),0)</f>
        <v>Junio</v>
      </c>
    </row>
    <row r="2162" spans="2:28" x14ac:dyDescent="0.3">
      <c r="B2162" s="2">
        <f>IF(BCP_Soles[[#This Row],[TIPO DE R.]]="R",COUNTIFS($D$4:$D2161,"R")+1,"")</f>
        <v>1661</v>
      </c>
      <c r="C2162" s="19" t="str">
        <f t="shared" si="165"/>
        <v>B-BCP - Soles</v>
      </c>
      <c r="D2162" s="3" t="s">
        <v>1074</v>
      </c>
      <c r="E2162" s="14">
        <v>45829</v>
      </c>
      <c r="F2162" s="5" t="s">
        <v>370</v>
      </c>
      <c r="G2162" s="5" t="s">
        <v>1087</v>
      </c>
      <c r="H2162" s="6"/>
      <c r="I2162" s="6" t="s">
        <v>14</v>
      </c>
      <c r="J2162" s="6" t="s">
        <v>1521</v>
      </c>
      <c r="K2162" s="6">
        <v>92</v>
      </c>
      <c r="L2162" s="7" t="s">
        <v>3240</v>
      </c>
      <c r="M2162" s="8">
        <v>430611</v>
      </c>
      <c r="N2162" s="8" t="str">
        <f t="shared" si="166"/>
        <v>PEN</v>
      </c>
      <c r="O2162" s="13"/>
      <c r="P2162" s="13">
        <v>2512.81</v>
      </c>
      <c r="Q2162" s="3">
        <f t="shared" si="167"/>
        <v>2512.81</v>
      </c>
      <c r="R2162" s="3">
        <f t="shared" si="168"/>
        <v>0</v>
      </c>
      <c r="S2162" s="3">
        <f t="shared" si="169"/>
        <v>6676.3700000000354</v>
      </c>
      <c r="T2162" s="24" t="s">
        <v>1081</v>
      </c>
      <c r="U2162" s="24" t="s">
        <v>1081</v>
      </c>
      <c r="V2162" s="67"/>
      <c r="W2162" s="25" t="str">
        <f>IFERROR(VLOOKUP(BCP_Soles[[#This Row],[DESTINATARIO]],CHOOSE({1,2},Clientes_Proveedores[Razon Social],Clientes_Proveedores[Ruc / Dni]),2,0),"")</f>
        <v/>
      </c>
      <c r="X2162" s="25" t="s">
        <v>1090</v>
      </c>
      <c r="Y2162" s="25" t="s">
        <v>3241</v>
      </c>
      <c r="Z2162" s="25"/>
      <c r="AA2162" s="99"/>
      <c r="AB2162" s="3" t="str">
        <f>IF(BCP_Soles[[#This Row],[FECHA]]&gt;0,TEXT(BCP_Soles[[#This Row],[FECHA]],"mmmm"),0)</f>
        <v>Junio</v>
      </c>
    </row>
    <row r="2163" spans="2:28" x14ac:dyDescent="0.3">
      <c r="B2163" s="2">
        <f>IF(BCP_Soles[[#This Row],[TIPO DE R.]]="R",COUNTIFS($D$4:$D2162,"R")+1,"")</f>
        <v>1662</v>
      </c>
      <c r="C2163" s="19" t="str">
        <f t="shared" si="165"/>
        <v>B-BCP - Soles</v>
      </c>
      <c r="D2163" s="3" t="s">
        <v>1074</v>
      </c>
      <c r="E2163" s="14">
        <v>45830</v>
      </c>
      <c r="F2163" s="5" t="s">
        <v>1078</v>
      </c>
      <c r="G2163" s="5" t="s">
        <v>1079</v>
      </c>
      <c r="H2163" s="6"/>
      <c r="I2163" s="6"/>
      <c r="J2163" s="6"/>
      <c r="K2163" s="6"/>
      <c r="L2163" s="7" t="s">
        <v>2868</v>
      </c>
      <c r="M2163" s="8"/>
      <c r="N2163" s="8" t="str">
        <f t="shared" si="166"/>
        <v>PEN</v>
      </c>
      <c r="O2163" s="13"/>
      <c r="P2163" s="13">
        <v>0.1</v>
      </c>
      <c r="Q2163" s="3">
        <f t="shared" si="167"/>
        <v>0</v>
      </c>
      <c r="R2163" s="3">
        <f t="shared" si="168"/>
        <v>0.1</v>
      </c>
      <c r="S2163" s="3">
        <f t="shared" si="169"/>
        <v>6676.270000000035</v>
      </c>
      <c r="T2163" s="24"/>
      <c r="U2163" s="24"/>
      <c r="V2163" s="67"/>
      <c r="W2163" s="25" t="str">
        <f>IFERROR(VLOOKUP(BCP_Soles[[#This Row],[DESTINATARIO]],CHOOSE({1,2},Clientes_Proveedores[Razon Social],Clientes_Proveedores[Ruc / Dni]),2,0),"")</f>
        <v/>
      </c>
      <c r="X2163" s="25"/>
      <c r="Y2163" s="25"/>
      <c r="Z2163" s="25"/>
      <c r="AA2163" s="99"/>
      <c r="AB2163" s="3" t="str">
        <f>IF(BCP_Soles[[#This Row],[FECHA]]&gt;0,TEXT(BCP_Soles[[#This Row],[FECHA]],"mmmm"),0)</f>
        <v>Junio</v>
      </c>
    </row>
    <row r="2164" spans="2:28" ht="36" x14ac:dyDescent="0.3">
      <c r="B2164" s="2">
        <f>IF(BCP_Soles[[#This Row],[TIPO DE R.]]="R",COUNTIFS($D$4:$D2163,"R")+1,"")</f>
        <v>1663</v>
      </c>
      <c r="C2164" s="19" t="str">
        <f t="shared" si="165"/>
        <v>B-BCP - Soles</v>
      </c>
      <c r="D2164" s="3" t="s">
        <v>1074</v>
      </c>
      <c r="E2164" s="14">
        <v>45831</v>
      </c>
      <c r="F2164" s="5" t="s">
        <v>459</v>
      </c>
      <c r="G2164" s="5" t="s">
        <v>1087</v>
      </c>
      <c r="H2164" s="6"/>
      <c r="I2164" s="6" t="s">
        <v>14</v>
      </c>
      <c r="J2164" s="6" t="s">
        <v>1521</v>
      </c>
      <c r="K2164" s="6">
        <v>110</v>
      </c>
      <c r="L2164" s="7" t="s">
        <v>2852</v>
      </c>
      <c r="M2164" s="8">
        <v>2137143</v>
      </c>
      <c r="N2164" s="8" t="str">
        <f t="shared" si="166"/>
        <v>PEN</v>
      </c>
      <c r="O2164" s="13"/>
      <c r="P2164" s="13">
        <v>4029.81</v>
      </c>
      <c r="Q2164" s="3">
        <f t="shared" si="167"/>
        <v>4029.81</v>
      </c>
      <c r="R2164" s="3">
        <f t="shared" si="168"/>
        <v>0</v>
      </c>
      <c r="S2164" s="3">
        <f t="shared" si="169"/>
        <v>10706.080000000034</v>
      </c>
      <c r="T2164" s="24" t="s">
        <v>1081</v>
      </c>
      <c r="U2164" s="24" t="s">
        <v>1081</v>
      </c>
      <c r="V2164" s="67"/>
      <c r="W2164" s="25" t="str">
        <f>IFERROR(VLOOKUP(BCP_Soles[[#This Row],[DESTINATARIO]],CHOOSE({1,2},Clientes_Proveedores[Razon Social],Clientes_Proveedores[Ruc / Dni]),2,0),"")</f>
        <v/>
      </c>
      <c r="X2164" s="25" t="s">
        <v>1090</v>
      </c>
      <c r="Y2164" s="25" t="s">
        <v>3242</v>
      </c>
      <c r="Z2164" s="25"/>
      <c r="AA2164" s="99"/>
      <c r="AB2164" s="3" t="str">
        <f>IF(BCP_Soles[[#This Row],[FECHA]]&gt;0,TEXT(BCP_Soles[[#This Row],[FECHA]],"mmmm"),0)</f>
        <v>Junio</v>
      </c>
    </row>
    <row r="2165" spans="2:28" ht="48" x14ac:dyDescent="0.3">
      <c r="B2165" s="2">
        <f>IF(BCP_Soles[[#This Row],[TIPO DE R.]]="R",COUNTIFS($D$4:$D2164,"R")+1,"")</f>
        <v>1664</v>
      </c>
      <c r="C2165" s="19" t="str">
        <f t="shared" si="165"/>
        <v>B-BCP - Soles</v>
      </c>
      <c r="D2165" s="3" t="s">
        <v>1074</v>
      </c>
      <c r="E2165" s="14">
        <v>45831</v>
      </c>
      <c r="F2165" s="5" t="s">
        <v>348</v>
      </c>
      <c r="G2165" s="5" t="s">
        <v>1087</v>
      </c>
      <c r="H2165" s="6" t="s">
        <v>368</v>
      </c>
      <c r="I2165" s="6" t="s">
        <v>14</v>
      </c>
      <c r="J2165" s="6" t="s">
        <v>1521</v>
      </c>
      <c r="K2165" s="6">
        <v>174</v>
      </c>
      <c r="L2165" s="7" t="s">
        <v>1100</v>
      </c>
      <c r="M2165" s="8">
        <v>2348792</v>
      </c>
      <c r="N2165" s="8" t="str">
        <f t="shared" si="166"/>
        <v>PEN</v>
      </c>
      <c r="O2165" s="13"/>
      <c r="P2165" s="13">
        <v>1690.86</v>
      </c>
      <c r="Q2165" s="3">
        <f t="shared" si="167"/>
        <v>1690.86</v>
      </c>
      <c r="R2165" s="3">
        <f t="shared" si="168"/>
        <v>0</v>
      </c>
      <c r="S2165" s="3">
        <f t="shared" si="169"/>
        <v>12396.940000000035</v>
      </c>
      <c r="T2165" s="24" t="s">
        <v>1081</v>
      </c>
      <c r="U2165" s="24" t="s">
        <v>1081</v>
      </c>
      <c r="V2165" s="67"/>
      <c r="W2165" s="25">
        <f>IFERROR(VLOOKUP(BCP_Soles[[#This Row],[DESTINATARIO]],CHOOSE({1,2},Clientes_Proveedores[Razon Social],Clientes_Proveedores[Ruc / Dni]),2,0),"")</f>
        <v>20558226979</v>
      </c>
      <c r="X2165" s="25"/>
      <c r="Y2165" s="25"/>
      <c r="Z2165" s="25"/>
      <c r="AA2165" s="99"/>
      <c r="AB2165" s="3" t="str">
        <f>IF(BCP_Soles[[#This Row],[FECHA]]&gt;0,TEXT(BCP_Soles[[#This Row],[FECHA]],"mmmm"),0)</f>
        <v>Junio</v>
      </c>
    </row>
    <row r="2166" spans="2:28" x14ac:dyDescent="0.3">
      <c r="B2166" s="2">
        <f>IF(BCP_Soles[[#This Row],[TIPO DE R.]]="R",COUNTIFS($D$4:$D2165,"R")+1,"")</f>
        <v>1665</v>
      </c>
      <c r="C2166" s="19" t="str">
        <f t="shared" si="165"/>
        <v>B-BCP - Soles</v>
      </c>
      <c r="D2166" s="3" t="s">
        <v>1074</v>
      </c>
      <c r="E2166" s="14">
        <v>45831</v>
      </c>
      <c r="F2166" s="5"/>
      <c r="G2166" s="5" t="s">
        <v>1087</v>
      </c>
      <c r="H2166" s="6"/>
      <c r="I2166" s="6"/>
      <c r="J2166" s="6"/>
      <c r="K2166" s="6"/>
      <c r="L2166" s="7" t="s">
        <v>1100</v>
      </c>
      <c r="M2166" s="8">
        <v>796603</v>
      </c>
      <c r="N2166" s="8" t="str">
        <f t="shared" si="166"/>
        <v>PEN</v>
      </c>
      <c r="O2166" s="13"/>
      <c r="P2166" s="13">
        <v>8758</v>
      </c>
      <c r="Q2166" s="3">
        <f t="shared" si="167"/>
        <v>8758</v>
      </c>
      <c r="R2166" s="3">
        <f t="shared" si="168"/>
        <v>0</v>
      </c>
      <c r="S2166" s="3">
        <f t="shared" si="169"/>
        <v>21154.940000000035</v>
      </c>
      <c r="T2166" s="24" t="s">
        <v>1081</v>
      </c>
      <c r="U2166" s="24" t="s">
        <v>1081</v>
      </c>
      <c r="V2166" s="67"/>
      <c r="W2166" s="25" t="str">
        <f>IFERROR(VLOOKUP(BCP_Soles[[#This Row],[DESTINATARIO]],CHOOSE({1,2},Clientes_Proveedores[Razon Social],Clientes_Proveedores[Ruc / Dni]),2,0),"")</f>
        <v/>
      </c>
      <c r="X2166" s="25" t="s">
        <v>1090</v>
      </c>
      <c r="Y2166" s="25"/>
      <c r="Z2166" s="25"/>
      <c r="AA2166" s="99"/>
      <c r="AB2166" s="3" t="str">
        <f>IF(BCP_Soles[[#This Row],[FECHA]]&gt;0,TEXT(BCP_Soles[[#This Row],[FECHA]],"mmmm"),0)</f>
        <v>Junio</v>
      </c>
    </row>
    <row r="2167" spans="2:28" x14ac:dyDescent="0.3">
      <c r="B2167" s="2" t="str">
        <f>IF(BCP_Soles[[#This Row],[TIPO DE R.]]="R",COUNTIFS($D$4:$D2166,"R")+1,"")</f>
        <v/>
      </c>
      <c r="C2167" s="19" t="str">
        <f t="shared" si="165"/>
        <v>B-BCP - Soles</v>
      </c>
      <c r="D2167" s="3" t="s">
        <v>1101</v>
      </c>
      <c r="E2167" s="14">
        <v>45831</v>
      </c>
      <c r="F2167" s="5" t="s">
        <v>1262</v>
      </c>
      <c r="G2167" s="5"/>
      <c r="H2167" s="6"/>
      <c r="I2167" s="6"/>
      <c r="J2167" s="6"/>
      <c r="K2167" s="6"/>
      <c r="L2167" s="7" t="s">
        <v>1100</v>
      </c>
      <c r="M2167" s="8">
        <v>796603</v>
      </c>
      <c r="N2167" s="8" t="str">
        <f t="shared" si="166"/>
        <v>PEN</v>
      </c>
      <c r="O2167" s="13"/>
      <c r="P2167" s="13">
        <v>2600</v>
      </c>
      <c r="Q2167" s="3">
        <f t="shared" si="167"/>
        <v>0</v>
      </c>
      <c r="R2167" s="3">
        <f t="shared" si="168"/>
        <v>0</v>
      </c>
      <c r="S2167" s="3">
        <f t="shared" si="169"/>
        <v>21154.940000000035</v>
      </c>
      <c r="T2167" s="24" t="s">
        <v>1081</v>
      </c>
      <c r="U2167" s="24" t="s">
        <v>1081</v>
      </c>
      <c r="V2167" s="67"/>
      <c r="W2167" s="25" t="str">
        <f>IFERROR(VLOOKUP(BCP_Soles[[#This Row],[DESTINATARIO]],CHOOSE({1,2},Clientes_Proveedores[Razon Social],Clientes_Proveedores[Ruc / Dni]),2,0),"")</f>
        <v/>
      </c>
      <c r="X2167" s="25" t="s">
        <v>1090</v>
      </c>
      <c r="Y2167" s="25" t="s">
        <v>3243</v>
      </c>
      <c r="Z2167" s="25"/>
      <c r="AA2167" s="99"/>
      <c r="AB2167" s="3" t="str">
        <f>IF(BCP_Soles[[#This Row],[FECHA]]&gt;0,TEXT(BCP_Soles[[#This Row],[FECHA]],"mmmm"),0)</f>
        <v>Junio</v>
      </c>
    </row>
    <row r="2168" spans="2:28" x14ac:dyDescent="0.3">
      <c r="B2168" s="2" t="str">
        <f>IF(BCP_Soles[[#This Row],[TIPO DE R.]]="R",COUNTIFS($D$4:$D2167,"R")+1,"")</f>
        <v/>
      </c>
      <c r="C2168" s="19" t="str">
        <f t="shared" si="165"/>
        <v>B-BCP - Soles</v>
      </c>
      <c r="D2168" s="3" t="s">
        <v>1101</v>
      </c>
      <c r="E2168" s="14">
        <v>45831</v>
      </c>
      <c r="F2168" s="5" t="s">
        <v>1262</v>
      </c>
      <c r="G2168" s="5"/>
      <c r="H2168" s="6"/>
      <c r="I2168" s="6"/>
      <c r="J2168" s="6"/>
      <c r="K2168" s="6"/>
      <c r="L2168" s="7" t="s">
        <v>1100</v>
      </c>
      <c r="M2168" s="8">
        <v>796603</v>
      </c>
      <c r="N2168" s="8" t="str">
        <f t="shared" si="166"/>
        <v>PEN</v>
      </c>
      <c r="O2168" s="13"/>
      <c r="P2168" s="13">
        <v>3237</v>
      </c>
      <c r="Q2168" s="3">
        <f t="shared" si="167"/>
        <v>0</v>
      </c>
      <c r="R2168" s="3">
        <f t="shared" si="168"/>
        <v>0</v>
      </c>
      <c r="S2168" s="3">
        <f t="shared" si="169"/>
        <v>21154.940000000035</v>
      </c>
      <c r="T2168" s="24" t="s">
        <v>1081</v>
      </c>
      <c r="U2168" s="24" t="s">
        <v>1081</v>
      </c>
      <c r="V2168" s="67"/>
      <c r="W2168" s="25" t="str">
        <f>IFERROR(VLOOKUP(BCP_Soles[[#This Row],[DESTINATARIO]],CHOOSE({1,2},Clientes_Proveedores[Razon Social],Clientes_Proveedores[Ruc / Dni]),2,0),"")</f>
        <v/>
      </c>
      <c r="X2168" s="25" t="s">
        <v>1090</v>
      </c>
      <c r="Y2168" s="25" t="s">
        <v>3244</v>
      </c>
      <c r="Z2168" s="25"/>
      <c r="AA2168" s="99"/>
      <c r="AB2168" s="3" t="str">
        <f>IF(BCP_Soles[[#This Row],[FECHA]]&gt;0,TEXT(BCP_Soles[[#This Row],[FECHA]],"mmmm"),0)</f>
        <v>Junio</v>
      </c>
    </row>
    <row r="2169" spans="2:28" ht="24" x14ac:dyDescent="0.3">
      <c r="B2169" s="2" t="str">
        <f>IF(BCP_Soles[[#This Row],[TIPO DE R.]]="R",COUNTIFS($D$4:$D2168,"R")+1,"")</f>
        <v/>
      </c>
      <c r="C2169" s="19" t="str">
        <f t="shared" si="165"/>
        <v>B-BCP - Soles</v>
      </c>
      <c r="D2169" s="3" t="s">
        <v>1101</v>
      </c>
      <c r="E2169" s="14">
        <v>45831</v>
      </c>
      <c r="F2169" s="5" t="s">
        <v>3245</v>
      </c>
      <c r="G2169" s="5"/>
      <c r="H2169" s="6"/>
      <c r="I2169" s="6"/>
      <c r="J2169" s="6"/>
      <c r="K2169" s="6"/>
      <c r="L2169" s="7" t="s">
        <v>1100</v>
      </c>
      <c r="M2169" s="8">
        <v>796603</v>
      </c>
      <c r="N2169" s="8" t="str">
        <f t="shared" si="166"/>
        <v>PEN</v>
      </c>
      <c r="O2169" s="13"/>
      <c r="P2169" s="13">
        <v>2100</v>
      </c>
      <c r="Q2169" s="3">
        <f t="shared" si="167"/>
        <v>0</v>
      </c>
      <c r="R2169" s="3">
        <f t="shared" si="168"/>
        <v>0</v>
      </c>
      <c r="S2169" s="3">
        <f t="shared" si="169"/>
        <v>21154.940000000035</v>
      </c>
      <c r="T2169" s="24" t="s">
        <v>1081</v>
      </c>
      <c r="U2169" s="24" t="s">
        <v>1081</v>
      </c>
      <c r="V2169" s="67"/>
      <c r="W2169" s="25" t="str">
        <f>IFERROR(VLOOKUP(BCP_Soles[[#This Row],[DESTINATARIO]],CHOOSE({1,2},Clientes_Proveedores[Razon Social],Clientes_Proveedores[Ruc / Dni]),2,0),"")</f>
        <v/>
      </c>
      <c r="X2169" s="25" t="s">
        <v>1090</v>
      </c>
      <c r="Y2169" s="25" t="s">
        <v>3246</v>
      </c>
      <c r="Z2169" s="25"/>
      <c r="AA2169" s="99"/>
      <c r="AB2169" s="3" t="str">
        <f>IF(BCP_Soles[[#This Row],[FECHA]]&gt;0,TEXT(BCP_Soles[[#This Row],[FECHA]],"mmmm"),0)</f>
        <v>Junio</v>
      </c>
    </row>
    <row r="2170" spans="2:28" ht="24" x14ac:dyDescent="0.3">
      <c r="B2170" s="2" t="str">
        <f>IF(BCP_Soles[[#This Row],[TIPO DE R.]]="R",COUNTIFS($D$4:$D2169,"R")+1,"")</f>
        <v/>
      </c>
      <c r="C2170" s="19" t="str">
        <f t="shared" si="165"/>
        <v>B-BCP - Soles</v>
      </c>
      <c r="D2170" s="3" t="s">
        <v>1101</v>
      </c>
      <c r="E2170" s="14">
        <v>45831</v>
      </c>
      <c r="F2170" s="5" t="s">
        <v>3245</v>
      </c>
      <c r="G2170" s="5"/>
      <c r="H2170" s="6"/>
      <c r="I2170" s="6"/>
      <c r="J2170" s="6"/>
      <c r="K2170" s="6"/>
      <c r="L2170" s="7" t="s">
        <v>1100</v>
      </c>
      <c r="M2170" s="8">
        <v>796603</v>
      </c>
      <c r="N2170" s="8" t="str">
        <f t="shared" si="166"/>
        <v>PEN</v>
      </c>
      <c r="O2170" s="13"/>
      <c r="P2170" s="13">
        <v>821</v>
      </c>
      <c r="Q2170" s="3">
        <f t="shared" si="167"/>
        <v>0</v>
      </c>
      <c r="R2170" s="3">
        <f t="shared" si="168"/>
        <v>0</v>
      </c>
      <c r="S2170" s="3">
        <f t="shared" si="169"/>
        <v>21154.940000000035</v>
      </c>
      <c r="T2170" s="24" t="s">
        <v>1081</v>
      </c>
      <c r="U2170" s="24" t="s">
        <v>1081</v>
      </c>
      <c r="V2170" s="67"/>
      <c r="W2170" s="25" t="str">
        <f>IFERROR(VLOOKUP(BCP_Soles[[#This Row],[DESTINATARIO]],CHOOSE({1,2},Clientes_Proveedores[Razon Social],Clientes_Proveedores[Ruc / Dni]),2,0),"")</f>
        <v/>
      </c>
      <c r="X2170" s="25" t="s">
        <v>1090</v>
      </c>
      <c r="Y2170" s="25" t="s">
        <v>3247</v>
      </c>
      <c r="Z2170" s="25"/>
      <c r="AA2170" s="99"/>
      <c r="AB2170" s="3" t="str">
        <f>IF(BCP_Soles[[#This Row],[FECHA]]&gt;0,TEXT(BCP_Soles[[#This Row],[FECHA]],"mmmm"),0)</f>
        <v>Junio</v>
      </c>
    </row>
    <row r="2171" spans="2:28" x14ac:dyDescent="0.3">
      <c r="B2171" s="2">
        <f>IF(BCP_Soles[[#This Row],[TIPO DE R.]]="R",COUNTIFS($D$4:$D2170,"R")+1,"")</f>
        <v>1666</v>
      </c>
      <c r="C2171" s="19" t="str">
        <f t="shared" si="165"/>
        <v>B-BCP - Soles</v>
      </c>
      <c r="D2171" s="3" t="s">
        <v>1074</v>
      </c>
      <c r="E2171" s="14">
        <v>45831</v>
      </c>
      <c r="F2171" s="5" t="s">
        <v>1078</v>
      </c>
      <c r="G2171" s="5" t="s">
        <v>1079</v>
      </c>
      <c r="H2171" s="6"/>
      <c r="I2171" s="6"/>
      <c r="J2171" s="6"/>
      <c r="K2171" s="6"/>
      <c r="L2171" s="7" t="s">
        <v>2868</v>
      </c>
      <c r="M2171" s="8"/>
      <c r="N2171" s="8" t="str">
        <f t="shared" si="166"/>
        <v>PEN</v>
      </c>
      <c r="O2171" s="13"/>
      <c r="P2171" s="13">
        <v>0.65</v>
      </c>
      <c r="Q2171" s="3">
        <f t="shared" si="167"/>
        <v>0</v>
      </c>
      <c r="R2171" s="3">
        <f t="shared" si="168"/>
        <v>0.65</v>
      </c>
      <c r="S2171" s="3">
        <f t="shared" si="169"/>
        <v>21154.290000000034</v>
      </c>
      <c r="T2171" s="24"/>
      <c r="U2171" s="24"/>
      <c r="V2171" s="67"/>
      <c r="W2171" s="25" t="str">
        <f>IFERROR(VLOOKUP(BCP_Soles[[#This Row],[DESTINATARIO]],CHOOSE({1,2},Clientes_Proveedores[Razon Social],Clientes_Proveedores[Ruc / Dni]),2,0),"")</f>
        <v/>
      </c>
      <c r="X2171" s="25"/>
      <c r="Y2171" s="25"/>
      <c r="Z2171" s="25"/>
      <c r="AA2171" s="99"/>
      <c r="AB2171" s="3" t="str">
        <f>IF(BCP_Soles[[#This Row],[FECHA]]&gt;0,TEXT(BCP_Soles[[#This Row],[FECHA]],"mmmm"),0)</f>
        <v>Junio</v>
      </c>
    </row>
    <row r="2172" spans="2:28" ht="24" x14ac:dyDescent="0.3">
      <c r="B2172" s="2">
        <f>IF(BCP_Soles[[#This Row],[TIPO DE R.]]="R",COUNTIFS($D$4:$D2171,"R")+1,"")</f>
        <v>1667</v>
      </c>
      <c r="C2172" s="19" t="str">
        <f t="shared" si="165"/>
        <v>B-BCP - Soles</v>
      </c>
      <c r="D2172" s="3" t="s">
        <v>1074</v>
      </c>
      <c r="E2172" s="14">
        <v>45832</v>
      </c>
      <c r="F2172" s="5" t="s">
        <v>376</v>
      </c>
      <c r="G2172" s="5" t="s">
        <v>1087</v>
      </c>
      <c r="H2172" s="6"/>
      <c r="I2172" s="6" t="s">
        <v>14</v>
      </c>
      <c r="J2172" s="6" t="s">
        <v>3010</v>
      </c>
      <c r="K2172" s="6">
        <v>74</v>
      </c>
      <c r="L2172" s="7" t="s">
        <v>1100</v>
      </c>
      <c r="M2172" s="8">
        <v>2396152</v>
      </c>
      <c r="N2172" s="8" t="str">
        <f t="shared" si="166"/>
        <v>PEN</v>
      </c>
      <c r="O2172" s="13"/>
      <c r="P2172" s="13">
        <v>2157.1799999999998</v>
      </c>
      <c r="Q2172" s="3">
        <f t="shared" si="167"/>
        <v>2157.1799999999998</v>
      </c>
      <c r="R2172" s="3">
        <f t="shared" si="168"/>
        <v>0</v>
      </c>
      <c r="S2172" s="3">
        <f t="shared" si="169"/>
        <v>23311.470000000034</v>
      </c>
      <c r="T2172" s="24" t="s">
        <v>1081</v>
      </c>
      <c r="U2172" s="24" t="s">
        <v>1081</v>
      </c>
      <c r="V2172" s="67"/>
      <c r="W2172" s="25" t="str">
        <f>IFERROR(VLOOKUP(BCP_Soles[[#This Row],[DESTINATARIO]],CHOOSE({1,2},Clientes_Proveedores[Razon Social],Clientes_Proveedores[Ruc / Dni]),2,0),"")</f>
        <v/>
      </c>
      <c r="X2172" s="25" t="s">
        <v>1090</v>
      </c>
      <c r="Y2172" s="25" t="s">
        <v>3248</v>
      </c>
      <c r="Z2172" s="25"/>
      <c r="AA2172" s="99"/>
      <c r="AB2172" s="3" t="str">
        <f>IF(BCP_Soles[[#This Row],[FECHA]]&gt;0,TEXT(BCP_Soles[[#This Row],[FECHA]],"mmmm"),0)</f>
        <v>Junio</v>
      </c>
    </row>
    <row r="2173" spans="2:28" ht="24" x14ac:dyDescent="0.3">
      <c r="B2173" s="2">
        <f>IF(BCP_Soles[[#This Row],[TIPO DE R.]]="R",COUNTIFS($D$4:$D2172,"R")+1,"")</f>
        <v>1668</v>
      </c>
      <c r="C2173" s="19" t="str">
        <f t="shared" si="165"/>
        <v>B-BCP - Soles</v>
      </c>
      <c r="D2173" s="3" t="s">
        <v>1074</v>
      </c>
      <c r="E2173" s="14">
        <v>45832</v>
      </c>
      <c r="F2173" s="5" t="s">
        <v>405</v>
      </c>
      <c r="G2173" s="5" t="s">
        <v>1087</v>
      </c>
      <c r="H2173" s="6"/>
      <c r="I2173" s="6" t="s">
        <v>14</v>
      </c>
      <c r="J2173" s="6" t="s">
        <v>3091</v>
      </c>
      <c r="K2173" s="6">
        <v>37</v>
      </c>
      <c r="L2173" s="7" t="s">
        <v>1100</v>
      </c>
      <c r="M2173" s="8">
        <v>1953844</v>
      </c>
      <c r="N2173" s="8" t="str">
        <f t="shared" si="166"/>
        <v>PEN</v>
      </c>
      <c r="O2173" s="13"/>
      <c r="P2173" s="13">
        <v>1893</v>
      </c>
      <c r="Q2173" s="3">
        <f t="shared" si="167"/>
        <v>1893</v>
      </c>
      <c r="R2173" s="3">
        <f t="shared" si="168"/>
        <v>0</v>
      </c>
      <c r="S2173" s="3">
        <f t="shared" si="169"/>
        <v>25204.470000000034</v>
      </c>
      <c r="T2173" s="24" t="s">
        <v>1081</v>
      </c>
      <c r="U2173" s="24" t="s">
        <v>1081</v>
      </c>
      <c r="V2173" s="67"/>
      <c r="W2173" s="25" t="str">
        <f>IFERROR(VLOOKUP(BCP_Soles[[#This Row],[DESTINATARIO]],CHOOSE({1,2},Clientes_Proveedores[Razon Social],Clientes_Proveedores[Ruc / Dni]),2,0),"")</f>
        <v/>
      </c>
      <c r="X2173" s="25" t="s">
        <v>1090</v>
      </c>
      <c r="Y2173" s="25" t="s">
        <v>3249</v>
      </c>
      <c r="Z2173" s="25"/>
      <c r="AA2173" s="99"/>
      <c r="AB2173" s="3" t="str">
        <f>IF(BCP_Soles[[#This Row],[FECHA]]&gt;0,TEXT(BCP_Soles[[#This Row],[FECHA]],"mmmm"),0)</f>
        <v>Junio</v>
      </c>
    </row>
    <row r="2174" spans="2:28" ht="24" x14ac:dyDescent="0.3">
      <c r="B2174" s="2">
        <f>IF(BCP_Soles[[#This Row],[TIPO DE R.]]="R",COUNTIFS($D$4:$D2173,"R")+1,"")</f>
        <v>1669</v>
      </c>
      <c r="C2174" s="19" t="str">
        <f t="shared" si="165"/>
        <v>B-BCP - Soles</v>
      </c>
      <c r="D2174" s="3" t="s">
        <v>1074</v>
      </c>
      <c r="E2174" s="14">
        <v>45832</v>
      </c>
      <c r="F2174" s="5" t="s">
        <v>376</v>
      </c>
      <c r="G2174" s="5" t="s">
        <v>1087</v>
      </c>
      <c r="H2174" s="6"/>
      <c r="I2174" s="6" t="s">
        <v>14</v>
      </c>
      <c r="J2174" s="6" t="s">
        <v>3010</v>
      </c>
      <c r="K2174" s="6">
        <v>72</v>
      </c>
      <c r="L2174" s="7" t="s">
        <v>1100</v>
      </c>
      <c r="M2174" s="8">
        <v>2392182</v>
      </c>
      <c r="N2174" s="8" t="str">
        <f t="shared" si="166"/>
        <v>PEN</v>
      </c>
      <c r="O2174" s="13"/>
      <c r="P2174" s="13">
        <v>692.2</v>
      </c>
      <c r="Q2174" s="3">
        <f t="shared" si="167"/>
        <v>692.2</v>
      </c>
      <c r="R2174" s="3">
        <f t="shared" si="168"/>
        <v>0</v>
      </c>
      <c r="S2174" s="3">
        <f t="shared" si="169"/>
        <v>25896.670000000035</v>
      </c>
      <c r="T2174" s="24" t="s">
        <v>1081</v>
      </c>
      <c r="U2174" s="24" t="s">
        <v>1081</v>
      </c>
      <c r="V2174" s="67"/>
      <c r="W2174" s="25" t="str">
        <f>IFERROR(VLOOKUP(BCP_Soles[[#This Row],[DESTINATARIO]],CHOOSE({1,2},Clientes_Proveedores[Razon Social],Clientes_Proveedores[Ruc / Dni]),2,0),"")</f>
        <v/>
      </c>
      <c r="X2174" s="25" t="s">
        <v>1090</v>
      </c>
      <c r="Y2174" s="25" t="s">
        <v>3250</v>
      </c>
      <c r="Z2174" s="25"/>
      <c r="AA2174" s="99"/>
      <c r="AB2174" s="3" t="str">
        <f>IF(BCP_Soles[[#This Row],[FECHA]]&gt;0,TEXT(BCP_Soles[[#This Row],[FECHA]],"mmmm"),0)</f>
        <v>Junio</v>
      </c>
    </row>
    <row r="2175" spans="2:28" ht="36" x14ac:dyDescent="0.3">
      <c r="B2175" s="2">
        <f>IF(BCP_Soles[[#This Row],[TIPO DE R.]]="R",COUNTIFS($D$4:$D2174,"R")+1,"")</f>
        <v>1670</v>
      </c>
      <c r="C2175" s="19" t="str">
        <f t="shared" si="165"/>
        <v>B-BCP - Soles</v>
      </c>
      <c r="D2175" s="3" t="s">
        <v>1074</v>
      </c>
      <c r="E2175" s="14">
        <v>45832</v>
      </c>
      <c r="F2175" s="5" t="s">
        <v>602</v>
      </c>
      <c r="G2175" s="5" t="s">
        <v>1087</v>
      </c>
      <c r="H2175" s="6"/>
      <c r="I2175" s="6" t="s">
        <v>14</v>
      </c>
      <c r="J2175" s="6" t="s">
        <v>3010</v>
      </c>
      <c r="K2175" s="6">
        <v>61</v>
      </c>
      <c r="L2175" s="7" t="s">
        <v>1100</v>
      </c>
      <c r="M2175" s="8">
        <v>796471</v>
      </c>
      <c r="N2175" s="8" t="str">
        <f t="shared" si="166"/>
        <v>PEN</v>
      </c>
      <c r="O2175" s="13"/>
      <c r="P2175" s="13">
        <v>595.9</v>
      </c>
      <c r="Q2175" s="3">
        <f t="shared" si="167"/>
        <v>595.9</v>
      </c>
      <c r="R2175" s="3">
        <f t="shared" si="168"/>
        <v>0</v>
      </c>
      <c r="S2175" s="3">
        <f t="shared" si="169"/>
        <v>26492.570000000036</v>
      </c>
      <c r="T2175" s="24" t="s">
        <v>1081</v>
      </c>
      <c r="U2175" s="24" t="s">
        <v>1081</v>
      </c>
      <c r="V2175" s="67"/>
      <c r="W2175" s="25" t="str">
        <f>IFERROR(VLOOKUP(BCP_Soles[[#This Row],[DESTINATARIO]],CHOOSE({1,2},Clientes_Proveedores[Razon Social],Clientes_Proveedores[Ruc / Dni]),2,0),"")</f>
        <v/>
      </c>
      <c r="X2175" s="25" t="s">
        <v>1090</v>
      </c>
      <c r="Y2175" s="25" t="s">
        <v>3251</v>
      </c>
      <c r="Z2175" s="25"/>
      <c r="AA2175" s="99"/>
      <c r="AB2175" s="3" t="str">
        <f>IF(BCP_Soles[[#This Row],[FECHA]]&gt;0,TEXT(BCP_Soles[[#This Row],[FECHA]],"mmmm"),0)</f>
        <v>Junio</v>
      </c>
    </row>
    <row r="2176" spans="2:28" ht="24" x14ac:dyDescent="0.3">
      <c r="B2176" s="2">
        <f>IF(BCP_Soles[[#This Row],[TIPO DE R.]]="R",COUNTIFS($D$4:$D2175,"R")+1,"")</f>
        <v>1671</v>
      </c>
      <c r="C2176" s="19" t="str">
        <f t="shared" si="165"/>
        <v>B-BCP - Soles</v>
      </c>
      <c r="D2176" s="3" t="s">
        <v>1074</v>
      </c>
      <c r="E2176" s="14">
        <v>45832</v>
      </c>
      <c r="F2176" s="5" t="s">
        <v>3158</v>
      </c>
      <c r="G2176" s="5" t="s">
        <v>1087</v>
      </c>
      <c r="H2176" s="6"/>
      <c r="I2176" s="6" t="s">
        <v>63</v>
      </c>
      <c r="J2176" s="6">
        <v>1</v>
      </c>
      <c r="K2176" s="6">
        <v>4530</v>
      </c>
      <c r="L2176" s="7" t="s">
        <v>1100</v>
      </c>
      <c r="M2176" s="8">
        <v>437862</v>
      </c>
      <c r="N2176" s="8" t="str">
        <f t="shared" si="166"/>
        <v>PEN</v>
      </c>
      <c r="O2176" s="13"/>
      <c r="P2176" s="13">
        <v>213.5</v>
      </c>
      <c r="Q2176" s="3">
        <f t="shared" si="167"/>
        <v>213.5</v>
      </c>
      <c r="R2176" s="3">
        <f t="shared" si="168"/>
        <v>0</v>
      </c>
      <c r="S2176" s="3">
        <f t="shared" si="169"/>
        <v>26706.070000000036</v>
      </c>
      <c r="T2176" s="24" t="s">
        <v>1081</v>
      </c>
      <c r="U2176" s="24" t="s">
        <v>1081</v>
      </c>
      <c r="V2176" s="67"/>
      <c r="W2176" s="25" t="str">
        <f>IFERROR(VLOOKUP(BCP_Soles[[#This Row],[DESTINATARIO]],CHOOSE({1,2},Clientes_Proveedores[Razon Social],Clientes_Proveedores[Ruc / Dni]),2,0),"")</f>
        <v/>
      </c>
      <c r="X2176" s="25" t="s">
        <v>1090</v>
      </c>
      <c r="Y2176" s="25" t="s">
        <v>3252</v>
      </c>
      <c r="Z2176" s="25"/>
      <c r="AA2176" s="99"/>
      <c r="AB2176" s="3" t="str">
        <f>IF(BCP_Soles[[#This Row],[FECHA]]&gt;0,TEXT(BCP_Soles[[#This Row],[FECHA]],"mmmm"),0)</f>
        <v>Junio</v>
      </c>
    </row>
    <row r="2177" spans="2:28" ht="24" x14ac:dyDescent="0.3">
      <c r="B2177" s="2">
        <f>IF(BCP_Soles[[#This Row],[TIPO DE R.]]="R",COUNTIFS($D$4:$D2176,"R")+1,"")</f>
        <v>1672</v>
      </c>
      <c r="C2177" s="19" t="str">
        <f t="shared" si="165"/>
        <v>B-BCP - Soles</v>
      </c>
      <c r="D2177" s="3" t="s">
        <v>1074</v>
      </c>
      <c r="E2177" s="14">
        <v>45832</v>
      </c>
      <c r="F2177" s="5" t="s">
        <v>367</v>
      </c>
      <c r="G2177" s="5" t="s">
        <v>1087</v>
      </c>
      <c r="H2177" s="6"/>
      <c r="I2177" s="6" t="s">
        <v>14</v>
      </c>
      <c r="J2177" s="6" t="s">
        <v>3010</v>
      </c>
      <c r="K2177" s="6">
        <v>75</v>
      </c>
      <c r="L2177" s="7" t="s">
        <v>1665</v>
      </c>
      <c r="M2177" s="8">
        <v>6052916</v>
      </c>
      <c r="N2177" s="8" t="str">
        <f t="shared" si="166"/>
        <v>PEN</v>
      </c>
      <c r="O2177" s="13"/>
      <c r="P2177" s="13">
        <v>144.91999999999999</v>
      </c>
      <c r="Q2177" s="3">
        <f t="shared" si="167"/>
        <v>144.91999999999999</v>
      </c>
      <c r="R2177" s="3">
        <f t="shared" si="168"/>
        <v>0</v>
      </c>
      <c r="S2177" s="3">
        <f t="shared" si="169"/>
        <v>26850.990000000034</v>
      </c>
      <c r="T2177" s="24" t="s">
        <v>1081</v>
      </c>
      <c r="U2177" s="24" t="s">
        <v>1081</v>
      </c>
      <c r="V2177" s="67"/>
      <c r="W2177" s="25" t="str">
        <f>IFERROR(VLOOKUP(BCP_Soles[[#This Row],[DESTINATARIO]],CHOOSE({1,2},Clientes_Proveedores[Razon Social],Clientes_Proveedores[Ruc / Dni]),2,0),"")</f>
        <v/>
      </c>
      <c r="X2177" s="25" t="s">
        <v>1090</v>
      </c>
      <c r="Y2177" s="25" t="s">
        <v>3253</v>
      </c>
      <c r="Z2177" s="25"/>
      <c r="AA2177" s="99"/>
      <c r="AB2177" s="3" t="str">
        <f>IF(BCP_Soles[[#This Row],[FECHA]]&gt;0,TEXT(BCP_Soles[[#This Row],[FECHA]],"mmmm"),0)</f>
        <v>Junio</v>
      </c>
    </row>
    <row r="2178" spans="2:28" ht="24" x14ac:dyDescent="0.3">
      <c r="B2178" s="2">
        <f>IF(BCP_Soles[[#This Row],[TIPO DE R.]]="R",COUNTIFS($D$4:$D2177,"R")+1,"")</f>
        <v>1673</v>
      </c>
      <c r="C2178" s="19" t="str">
        <f t="shared" si="165"/>
        <v>B-BCP - Soles</v>
      </c>
      <c r="D2178" s="3" t="s">
        <v>1074</v>
      </c>
      <c r="E2178" s="14">
        <v>45832</v>
      </c>
      <c r="F2178" s="5" t="s">
        <v>1075</v>
      </c>
      <c r="G2178" s="5" t="s">
        <v>1079</v>
      </c>
      <c r="H2178" s="6"/>
      <c r="I2178" s="6"/>
      <c r="J2178" s="6"/>
      <c r="K2178" s="6"/>
      <c r="L2178" s="7" t="s">
        <v>3254</v>
      </c>
      <c r="M2178" s="8">
        <v>1057701</v>
      </c>
      <c r="N2178" s="8" t="str">
        <f t="shared" si="166"/>
        <v>PEN</v>
      </c>
      <c r="O2178" s="13"/>
      <c r="P2178" s="13">
        <v>2145.4</v>
      </c>
      <c r="Q2178" s="3">
        <f t="shared" si="167"/>
        <v>0</v>
      </c>
      <c r="R2178" s="3">
        <f t="shared" si="168"/>
        <v>2145.4</v>
      </c>
      <c r="S2178" s="3">
        <f t="shared" si="169"/>
        <v>24705.590000000033</v>
      </c>
      <c r="T2178" s="24"/>
      <c r="U2178" s="24"/>
      <c r="V2178" s="68" t="s">
        <v>3255</v>
      </c>
      <c r="W2178" s="127" t="str">
        <f>IFERROR(VLOOKUP(BCP_Soles[[#This Row],[DESTINATARIO]],CHOOSE({1,2},Clientes_Proveedores[Razon Social],Clientes_Proveedores[Ruc / Dni]),2,0),"")</f>
        <v/>
      </c>
      <c r="X2178" s="27" t="s">
        <v>3256</v>
      </c>
      <c r="Y2178" s="27"/>
      <c r="Z2178" s="27"/>
      <c r="AA2178" s="27"/>
      <c r="AB2178" s="3" t="str">
        <f>IF(BCP_Soles[[#This Row],[FECHA]]&gt;0,TEXT(BCP_Soles[[#This Row],[FECHA]],"mmmm"),0)</f>
        <v>Junio</v>
      </c>
    </row>
    <row r="2179" spans="2:28" ht="24" x14ac:dyDescent="0.3">
      <c r="B2179" s="2">
        <f>IF(BCP_Soles[[#This Row],[TIPO DE R.]]="R",COUNTIFS($D$4:$D2178,"R")+1,"")</f>
        <v>1674</v>
      </c>
      <c r="C2179" s="19" t="str">
        <f t="shared" si="165"/>
        <v>B-BCP - Soles</v>
      </c>
      <c r="D2179" s="3" t="s">
        <v>1074</v>
      </c>
      <c r="E2179" s="14">
        <v>45832</v>
      </c>
      <c r="F2179" s="5" t="s">
        <v>1075</v>
      </c>
      <c r="G2179" s="5" t="s">
        <v>1079</v>
      </c>
      <c r="H2179" s="6" t="s">
        <v>343</v>
      </c>
      <c r="I2179" s="6" t="s">
        <v>14</v>
      </c>
      <c r="J2179" s="6" t="s">
        <v>2058</v>
      </c>
      <c r="K2179" s="6">
        <v>118349</v>
      </c>
      <c r="L2179" s="7" t="s">
        <v>3257</v>
      </c>
      <c r="M2179" s="8">
        <v>1058196</v>
      </c>
      <c r="N2179" s="8" t="str">
        <f t="shared" si="166"/>
        <v>PEN</v>
      </c>
      <c r="O2179" s="13"/>
      <c r="P2179" s="13">
        <v>249</v>
      </c>
      <c r="Q2179" s="3">
        <f t="shared" si="167"/>
        <v>0</v>
      </c>
      <c r="R2179" s="3">
        <f t="shared" si="168"/>
        <v>249</v>
      </c>
      <c r="S2179" s="3">
        <f t="shared" si="169"/>
        <v>24456.590000000033</v>
      </c>
      <c r="T2179" s="24" t="s">
        <v>1081</v>
      </c>
      <c r="U2179" s="24" t="s">
        <v>1081</v>
      </c>
      <c r="V2179" s="68" t="s">
        <v>3258</v>
      </c>
      <c r="W2179" s="127">
        <f>IFERROR(VLOOKUP(BCP_Soles[[#This Row],[DESTINATARIO]],CHOOSE({1,2},Clientes_Proveedores[Razon Social],Clientes_Proveedores[Ruc / Dni]),2,0),"")</f>
        <v>20546153372</v>
      </c>
      <c r="X2179" s="27" t="s">
        <v>1628</v>
      </c>
      <c r="Y2179" s="27" t="s">
        <v>3259</v>
      </c>
      <c r="Z2179" s="27"/>
      <c r="AA2179" s="27"/>
      <c r="AB2179" s="3" t="str">
        <f>IF(BCP_Soles[[#This Row],[FECHA]]&gt;0,TEXT(BCP_Soles[[#This Row],[FECHA]],"mmmm"),0)</f>
        <v>Junio</v>
      </c>
    </row>
    <row r="2180" spans="2:28" ht="48" x14ac:dyDescent="0.3">
      <c r="B2180" s="2">
        <f>IF(BCP_Soles[[#This Row],[TIPO DE R.]]="R",COUNTIFS($D$4:$D2179,"R")+1,"")</f>
        <v>1675</v>
      </c>
      <c r="C2180" s="19" t="str">
        <f t="shared" si="165"/>
        <v>B-BCP - Soles</v>
      </c>
      <c r="D2180" s="3" t="s">
        <v>1074</v>
      </c>
      <c r="E2180" s="14">
        <v>45832</v>
      </c>
      <c r="F2180" s="5" t="s">
        <v>1075</v>
      </c>
      <c r="G2180" s="5" t="s">
        <v>1079</v>
      </c>
      <c r="H2180" s="6" t="s">
        <v>431</v>
      </c>
      <c r="I2180" s="6" t="s">
        <v>14</v>
      </c>
      <c r="J2180" s="6" t="s">
        <v>1119</v>
      </c>
      <c r="K2180" s="6">
        <v>36342</v>
      </c>
      <c r="L2180" s="7" t="s">
        <v>3260</v>
      </c>
      <c r="M2180" s="8">
        <v>1058698</v>
      </c>
      <c r="N2180" s="8" t="str">
        <f t="shared" si="166"/>
        <v>PEN</v>
      </c>
      <c r="O2180" s="13"/>
      <c r="P2180" s="13">
        <v>80</v>
      </c>
      <c r="Q2180" s="3">
        <f t="shared" si="167"/>
        <v>0</v>
      </c>
      <c r="R2180" s="3">
        <f t="shared" si="168"/>
        <v>80</v>
      </c>
      <c r="S2180" s="3">
        <f t="shared" si="169"/>
        <v>24376.590000000033</v>
      </c>
      <c r="T2180" s="24" t="s">
        <v>1081</v>
      </c>
      <c r="U2180" s="24" t="s">
        <v>1081</v>
      </c>
      <c r="V2180" s="68" t="s">
        <v>3261</v>
      </c>
      <c r="W2180" s="127">
        <f>IFERROR(VLOOKUP(BCP_Soles[[#This Row],[DESTINATARIO]],CHOOSE({1,2},Clientes_Proveedores[Razon Social],Clientes_Proveedores[Ruc / Dni]),2,0),"")</f>
        <v>20602484425</v>
      </c>
      <c r="X2180" s="27" t="s">
        <v>2923</v>
      </c>
      <c r="Y2180" s="27" t="s">
        <v>3262</v>
      </c>
      <c r="Z2180" s="27"/>
      <c r="AA2180" s="27"/>
      <c r="AB2180" s="3" t="str">
        <f>IF(BCP_Soles[[#This Row],[FECHA]]&gt;0,TEXT(BCP_Soles[[#This Row],[FECHA]],"mmmm"),0)</f>
        <v>Junio</v>
      </c>
    </row>
    <row r="2181" spans="2:28" ht="24" x14ac:dyDescent="0.3">
      <c r="B2181" s="2">
        <f>IF(BCP_Soles[[#This Row],[TIPO DE R.]]="R",COUNTIFS($D$4:$D2180,"R")+1,"")</f>
        <v>1676</v>
      </c>
      <c r="C2181" s="19" t="str">
        <f t="shared" ref="C2181:C2244" si="170">"B-BCP - Soles"</f>
        <v>B-BCP - Soles</v>
      </c>
      <c r="D2181" s="3" t="s">
        <v>1074</v>
      </c>
      <c r="E2181" s="14">
        <v>45832</v>
      </c>
      <c r="F2181" s="5" t="s">
        <v>1075</v>
      </c>
      <c r="G2181" s="5" t="s">
        <v>1079</v>
      </c>
      <c r="H2181" s="6" t="s">
        <v>836</v>
      </c>
      <c r="I2181" s="6"/>
      <c r="J2181" s="6"/>
      <c r="K2181" s="6"/>
      <c r="L2181" s="7" t="s">
        <v>3263</v>
      </c>
      <c r="M2181" s="8">
        <v>1057220</v>
      </c>
      <c r="N2181" s="8" t="str">
        <f t="shared" ref="N2181:N2244" si="171">"PEN"</f>
        <v>PEN</v>
      </c>
      <c r="O2181" s="13"/>
      <c r="P2181" s="13">
        <v>1816.5</v>
      </c>
      <c r="Q2181" s="3">
        <f t="shared" ref="Q2181:Q2244" si="172">+IF(OR($G2181="SALDO",$G2181="INGRESO"),$P2181,0)</f>
        <v>0</v>
      </c>
      <c r="R2181" s="3">
        <f t="shared" ref="R2181:R2244" si="173">+IF($G2181="EGRESO",$P2181,0)</f>
        <v>1816.5</v>
      </c>
      <c r="S2181" s="3">
        <f t="shared" ref="S2181:S2244" si="174">IFERROR(IF(G2181="SALDO",Q2181,S2180+Q2181-R2181),0)</f>
        <v>22560.090000000033</v>
      </c>
      <c r="T2181" s="24"/>
      <c r="U2181" s="24"/>
      <c r="V2181" s="68" t="s">
        <v>3264</v>
      </c>
      <c r="W2181" s="127">
        <f>IFERROR(VLOOKUP(BCP_Soles[[#This Row],[DESTINATARIO]],CHOOSE({1,2},Clientes_Proveedores[Razon Social],Clientes_Proveedores[Ruc / Dni]),2,0),"")</f>
        <v>72144092</v>
      </c>
      <c r="X2181" s="27" t="s">
        <v>836</v>
      </c>
      <c r="Y2181" s="27"/>
      <c r="Z2181" s="27"/>
      <c r="AA2181" s="27"/>
      <c r="AB2181" s="3" t="str">
        <f>IF(BCP_Soles[[#This Row],[FECHA]]&gt;0,TEXT(BCP_Soles[[#This Row],[FECHA]],"mmmm"),0)</f>
        <v>Junio</v>
      </c>
    </row>
    <row r="2182" spans="2:28" ht="24" x14ac:dyDescent="0.3">
      <c r="B2182" s="2">
        <f>IF(BCP_Soles[[#This Row],[TIPO DE R.]]="R",COUNTIFS($D$4:$D2181,"R")+1,"")</f>
        <v>1677</v>
      </c>
      <c r="C2182" s="19" t="str">
        <f t="shared" si="170"/>
        <v>B-BCP - Soles</v>
      </c>
      <c r="D2182" s="3" t="s">
        <v>1074</v>
      </c>
      <c r="E2182" s="14">
        <v>45832</v>
      </c>
      <c r="F2182" s="5" t="s">
        <v>1075</v>
      </c>
      <c r="G2182" s="5" t="s">
        <v>1079</v>
      </c>
      <c r="H2182" s="6"/>
      <c r="I2182" s="6" t="s">
        <v>52</v>
      </c>
      <c r="J2182" s="6" t="s">
        <v>2212</v>
      </c>
      <c r="K2182" s="6">
        <v>71193322</v>
      </c>
      <c r="L2182" s="7" t="s">
        <v>3265</v>
      </c>
      <c r="M2182" s="8">
        <v>4110691</v>
      </c>
      <c r="N2182" s="8" t="str">
        <f t="shared" si="171"/>
        <v>PEN</v>
      </c>
      <c r="O2182" s="13"/>
      <c r="P2182" s="13">
        <v>142.9</v>
      </c>
      <c r="Q2182" s="3">
        <f t="shared" si="172"/>
        <v>0</v>
      </c>
      <c r="R2182" s="3">
        <f t="shared" si="173"/>
        <v>142.9</v>
      </c>
      <c r="S2182" s="3">
        <f t="shared" si="174"/>
        <v>22417.190000000031</v>
      </c>
      <c r="T2182" s="24" t="s">
        <v>1081</v>
      </c>
      <c r="U2182" s="24" t="s">
        <v>1081</v>
      </c>
      <c r="V2182" s="68" t="s">
        <v>3266</v>
      </c>
      <c r="W2182" s="127" t="str">
        <f>IFERROR(VLOOKUP(BCP_Soles[[#This Row],[DESTINATARIO]],CHOOSE({1,2},Clientes_Proveedores[Razon Social],Clientes_Proveedores[Ruc / Dni]),2,0),"")</f>
        <v/>
      </c>
      <c r="X2182" s="27" t="s">
        <v>1305</v>
      </c>
      <c r="Y2182" s="27" t="s">
        <v>3267</v>
      </c>
      <c r="Z2182" s="27"/>
      <c r="AA2182" s="27"/>
      <c r="AB2182" s="3" t="str">
        <f>IF(BCP_Soles[[#This Row],[FECHA]]&gt;0,TEXT(BCP_Soles[[#This Row],[FECHA]],"mmmm"),0)</f>
        <v>Junio</v>
      </c>
    </row>
    <row r="2183" spans="2:28" x14ac:dyDescent="0.3">
      <c r="B2183" s="2">
        <f>IF(BCP_Soles[[#This Row],[TIPO DE R.]]="R",COUNTIFS($D$4:$D2182,"R")+1,"")</f>
        <v>1678</v>
      </c>
      <c r="C2183" s="19" t="str">
        <f t="shared" si="170"/>
        <v>B-BCP - Soles</v>
      </c>
      <c r="D2183" s="3" t="s">
        <v>1074</v>
      </c>
      <c r="E2183" s="14">
        <v>45832</v>
      </c>
      <c r="F2183" s="5" t="s">
        <v>1075</v>
      </c>
      <c r="G2183" s="5" t="s">
        <v>1079</v>
      </c>
      <c r="H2183" s="6" t="s">
        <v>637</v>
      </c>
      <c r="I2183" s="6" t="s">
        <v>14</v>
      </c>
      <c r="J2183" s="6"/>
      <c r="K2183" s="6"/>
      <c r="L2183" s="7" t="s">
        <v>3268</v>
      </c>
      <c r="M2183" s="8">
        <v>110196</v>
      </c>
      <c r="N2183" s="8" t="str">
        <f t="shared" si="171"/>
        <v>PEN</v>
      </c>
      <c r="O2183" s="13"/>
      <c r="P2183" s="13">
        <v>2172.81</v>
      </c>
      <c r="Q2183" s="3">
        <f t="shared" si="172"/>
        <v>0</v>
      </c>
      <c r="R2183" s="3">
        <f t="shared" si="173"/>
        <v>2172.81</v>
      </c>
      <c r="S2183" s="3">
        <f t="shared" si="174"/>
        <v>20244.38000000003</v>
      </c>
      <c r="T2183" s="24" t="s">
        <v>1081</v>
      </c>
      <c r="U2183" s="24" t="s">
        <v>1081</v>
      </c>
      <c r="V2183" s="68" t="s">
        <v>3269</v>
      </c>
      <c r="W2183" s="127">
        <f>IFERROR(VLOOKUP(BCP_Soles[[#This Row],[DESTINATARIO]],CHOOSE({1,2},Clientes_Proveedores[Razon Social],Clientes_Proveedores[Ruc / Dni]),2,0),"")</f>
        <v>20127765279</v>
      </c>
      <c r="X2183" s="27" t="s">
        <v>1124</v>
      </c>
      <c r="Y2183" s="27" t="s">
        <v>3270</v>
      </c>
      <c r="Z2183" s="27"/>
      <c r="AA2183" s="27"/>
      <c r="AB2183" s="3" t="str">
        <f>IF(BCP_Soles[[#This Row],[FECHA]]&gt;0,TEXT(BCP_Soles[[#This Row],[FECHA]],"mmmm"),0)</f>
        <v>Junio</v>
      </c>
    </row>
    <row r="2184" spans="2:28" ht="24" x14ac:dyDescent="0.3">
      <c r="B2184" s="2">
        <f>IF(BCP_Soles[[#This Row],[TIPO DE R.]]="R",COUNTIFS($D$4:$D2183,"R")+1,"")</f>
        <v>1679</v>
      </c>
      <c r="C2184" s="19" t="str">
        <f t="shared" si="170"/>
        <v>B-BCP - Soles</v>
      </c>
      <c r="D2184" s="3" t="s">
        <v>1074</v>
      </c>
      <c r="E2184" s="14">
        <v>45832</v>
      </c>
      <c r="F2184" s="5" t="s">
        <v>1075</v>
      </c>
      <c r="G2184" s="5" t="s">
        <v>1079</v>
      </c>
      <c r="H2184" s="6" t="s">
        <v>966</v>
      </c>
      <c r="I2184" s="6" t="s">
        <v>14</v>
      </c>
      <c r="J2184" s="6" t="s">
        <v>1121</v>
      </c>
      <c r="K2184" s="6">
        <v>2098</v>
      </c>
      <c r="L2184" s="7" t="s">
        <v>3271</v>
      </c>
      <c r="M2184" s="8">
        <v>1110195</v>
      </c>
      <c r="N2184" s="8" t="str">
        <f t="shared" si="171"/>
        <v>PEN</v>
      </c>
      <c r="O2184" s="13"/>
      <c r="P2184" s="13">
        <v>75</v>
      </c>
      <c r="Q2184" s="3">
        <f t="shared" si="172"/>
        <v>0</v>
      </c>
      <c r="R2184" s="3">
        <f t="shared" si="173"/>
        <v>75</v>
      </c>
      <c r="S2184" s="3">
        <f t="shared" si="174"/>
        <v>20169.38000000003</v>
      </c>
      <c r="T2184" s="24" t="s">
        <v>1081</v>
      </c>
      <c r="U2184" s="24" t="s">
        <v>1081</v>
      </c>
      <c r="V2184" s="68" t="s">
        <v>3272</v>
      </c>
      <c r="W2184" s="127">
        <f>IFERROR(VLOOKUP(BCP_Soles[[#This Row],[DESTINATARIO]],CHOOSE({1,2},Clientes_Proveedores[Razon Social],Clientes_Proveedores[Ruc / Dni]),2,0),"")</f>
        <v>20601369622</v>
      </c>
      <c r="X2184" s="27" t="s">
        <v>966</v>
      </c>
      <c r="Y2184" s="27"/>
      <c r="Z2184" s="27"/>
      <c r="AA2184" s="27"/>
      <c r="AB2184" s="3" t="str">
        <f>IF(BCP_Soles[[#This Row],[FECHA]]&gt;0,TEXT(BCP_Soles[[#This Row],[FECHA]],"mmmm"),0)</f>
        <v>Junio</v>
      </c>
    </row>
    <row r="2185" spans="2:28" ht="24" x14ac:dyDescent="0.3">
      <c r="B2185" s="2">
        <f>IF(BCP_Soles[[#This Row],[TIPO DE R.]]="R",COUNTIFS($D$4:$D2184,"R")+1,"")</f>
        <v>1680</v>
      </c>
      <c r="C2185" s="19" t="str">
        <f t="shared" si="170"/>
        <v>B-BCP - Soles</v>
      </c>
      <c r="D2185" s="3" t="s">
        <v>1074</v>
      </c>
      <c r="E2185" s="14">
        <v>45832</v>
      </c>
      <c r="F2185" s="5" t="s">
        <v>1075</v>
      </c>
      <c r="G2185" s="5" t="s">
        <v>1079</v>
      </c>
      <c r="H2185" s="6" t="s">
        <v>650</v>
      </c>
      <c r="I2185" s="6" t="s">
        <v>14</v>
      </c>
      <c r="J2185" s="6" t="s">
        <v>1395</v>
      </c>
      <c r="K2185" s="6">
        <v>299687</v>
      </c>
      <c r="L2185" s="7" t="s">
        <v>3273</v>
      </c>
      <c r="M2185" s="8">
        <v>108741</v>
      </c>
      <c r="N2185" s="8" t="str">
        <f t="shared" si="171"/>
        <v>PEN</v>
      </c>
      <c r="O2185" s="13"/>
      <c r="P2185" s="13">
        <v>36.58</v>
      </c>
      <c r="Q2185" s="3">
        <f t="shared" si="172"/>
        <v>0</v>
      </c>
      <c r="R2185" s="3">
        <f t="shared" si="173"/>
        <v>36.58</v>
      </c>
      <c r="S2185" s="3">
        <f t="shared" si="174"/>
        <v>20132.800000000028</v>
      </c>
      <c r="T2185" s="24"/>
      <c r="U2185" s="24"/>
      <c r="V2185" s="104" t="s">
        <v>3274</v>
      </c>
      <c r="W2185" s="126">
        <f>IFERROR(VLOOKUP(BCP_Soles[[#This Row],[DESTINATARIO]],CHOOSE({1,2},Clientes_Proveedores[Razon Social],Clientes_Proveedores[Ruc / Dni]),2,0),"")</f>
        <v>20467534026</v>
      </c>
      <c r="X2185" s="26" t="s">
        <v>1397</v>
      </c>
      <c r="Y2185" s="26" t="s">
        <v>3275</v>
      </c>
      <c r="Z2185" s="26"/>
      <c r="AA2185" s="100"/>
      <c r="AB2185" s="3" t="str">
        <f>IF(BCP_Soles[[#This Row],[FECHA]]&gt;0,TEXT(BCP_Soles[[#This Row],[FECHA]],"mmmm"),0)</f>
        <v>Junio</v>
      </c>
    </row>
    <row r="2186" spans="2:28" x14ac:dyDescent="0.3">
      <c r="B2186" s="2">
        <f>IF(BCP_Soles[[#This Row],[TIPO DE R.]]="R",COUNTIFS($D$4:$D2185,"R")+1,"")</f>
        <v>1681</v>
      </c>
      <c r="C2186" s="19" t="str">
        <f t="shared" si="170"/>
        <v>B-BCP - Soles</v>
      </c>
      <c r="D2186" s="3" t="s">
        <v>1074</v>
      </c>
      <c r="E2186" s="14">
        <v>45832</v>
      </c>
      <c r="F2186" s="5" t="s">
        <v>1078</v>
      </c>
      <c r="G2186" s="5" t="s">
        <v>1079</v>
      </c>
      <c r="H2186" s="6"/>
      <c r="I2186" s="6"/>
      <c r="J2186" s="6"/>
      <c r="K2186" s="6"/>
      <c r="L2186" s="7" t="s">
        <v>2868</v>
      </c>
      <c r="M2186" s="8"/>
      <c r="N2186" s="8" t="str">
        <f t="shared" si="171"/>
        <v>PEN</v>
      </c>
      <c r="O2186" s="13"/>
      <c r="P2186" s="13">
        <v>0.4</v>
      </c>
      <c r="Q2186" s="3">
        <f t="shared" si="172"/>
        <v>0</v>
      </c>
      <c r="R2186" s="3">
        <f t="shared" si="173"/>
        <v>0.4</v>
      </c>
      <c r="S2186" s="3">
        <f t="shared" si="174"/>
        <v>20132.400000000027</v>
      </c>
      <c r="T2186" s="24"/>
      <c r="U2186" s="24"/>
      <c r="V2186" s="67"/>
      <c r="W2186" s="25" t="str">
        <f>IFERROR(VLOOKUP(BCP_Soles[[#This Row],[DESTINATARIO]],CHOOSE({1,2},Clientes_Proveedores[Razon Social],Clientes_Proveedores[Ruc / Dni]),2,0),"")</f>
        <v/>
      </c>
      <c r="X2186" s="25"/>
      <c r="Y2186" s="25"/>
      <c r="Z2186" s="25"/>
      <c r="AA2186" s="99"/>
      <c r="AB2186" s="3" t="str">
        <f>IF(BCP_Soles[[#This Row],[FECHA]]&gt;0,TEXT(BCP_Soles[[#This Row],[FECHA]],"mmmm"),0)</f>
        <v>Junio</v>
      </c>
    </row>
    <row r="2187" spans="2:28" x14ac:dyDescent="0.3">
      <c r="B2187" s="2">
        <f>IF(BCP_Soles[[#This Row],[TIPO DE R.]]="R",COUNTIFS($D$4:$D2186,"R")+1,"")</f>
        <v>1682</v>
      </c>
      <c r="C2187" s="19" t="str">
        <f t="shared" si="170"/>
        <v>B-BCP - Soles</v>
      </c>
      <c r="D2187" s="3" t="s">
        <v>1074</v>
      </c>
      <c r="E2187" s="14">
        <v>45833</v>
      </c>
      <c r="F2187" s="5" t="s">
        <v>1075</v>
      </c>
      <c r="G2187" s="5" t="s">
        <v>1079</v>
      </c>
      <c r="H2187" s="6" t="s">
        <v>139</v>
      </c>
      <c r="I2187" s="6" t="s">
        <v>14</v>
      </c>
      <c r="J2187" s="6" t="s">
        <v>1953</v>
      </c>
      <c r="K2187" s="6">
        <v>6491</v>
      </c>
      <c r="L2187" s="7" t="s">
        <v>1954</v>
      </c>
      <c r="M2187" s="8">
        <v>148051</v>
      </c>
      <c r="N2187" s="8" t="str">
        <f t="shared" si="171"/>
        <v>PEN</v>
      </c>
      <c r="O2187" s="13"/>
      <c r="P2187" s="13">
        <v>31.76</v>
      </c>
      <c r="Q2187" s="3">
        <f t="shared" si="172"/>
        <v>0</v>
      </c>
      <c r="R2187" s="3">
        <f t="shared" si="173"/>
        <v>31.76</v>
      </c>
      <c r="S2187" s="3">
        <f t="shared" si="174"/>
        <v>20100.640000000029</v>
      </c>
      <c r="T2187" s="24" t="s">
        <v>1081</v>
      </c>
      <c r="U2187" s="24" t="s">
        <v>1081</v>
      </c>
      <c r="V2187" s="68" t="s">
        <v>3276</v>
      </c>
      <c r="W2187" s="127">
        <f>IFERROR(VLOOKUP(BCP_Soles[[#This Row],[DESTINATARIO]],CHOOSE({1,2},Clientes_Proveedores[Razon Social],Clientes_Proveedores[Ruc / Dni]),2,0),"")</f>
        <v>20100055237</v>
      </c>
      <c r="X2187" s="27" t="s">
        <v>1955</v>
      </c>
      <c r="Y2187" s="27" t="s">
        <v>3277</v>
      </c>
      <c r="Z2187" s="27"/>
      <c r="AA2187" s="27"/>
      <c r="AB2187" s="3" t="str">
        <f>IF(BCP_Soles[[#This Row],[FECHA]]&gt;0,TEXT(BCP_Soles[[#This Row],[FECHA]],"mmmm"),0)</f>
        <v>Junio</v>
      </c>
    </row>
    <row r="2188" spans="2:28" x14ac:dyDescent="0.3">
      <c r="B2188" s="2">
        <f>IF(BCP_Soles[[#This Row],[TIPO DE R.]]="R",COUNTIFS($D$4:$D2187,"R")+1,"")</f>
        <v>1683</v>
      </c>
      <c r="C2188" s="19" t="str">
        <f t="shared" si="170"/>
        <v>B-BCP - Soles</v>
      </c>
      <c r="D2188" s="3" t="s">
        <v>1074</v>
      </c>
      <c r="E2188" s="14">
        <v>45833</v>
      </c>
      <c r="F2188" s="5" t="s">
        <v>1075</v>
      </c>
      <c r="G2188" s="5" t="s">
        <v>1079</v>
      </c>
      <c r="H2188" s="6" t="s">
        <v>139</v>
      </c>
      <c r="I2188" s="6" t="s">
        <v>14</v>
      </c>
      <c r="J2188" s="6" t="s">
        <v>1953</v>
      </c>
      <c r="K2188" s="6">
        <v>6487</v>
      </c>
      <c r="L2188" s="7" t="s">
        <v>1954</v>
      </c>
      <c r="M2188" s="8">
        <v>146808</v>
      </c>
      <c r="N2188" s="8" t="str">
        <f t="shared" si="171"/>
        <v>PEN</v>
      </c>
      <c r="O2188" s="13"/>
      <c r="P2188" s="13">
        <v>297.45999999999998</v>
      </c>
      <c r="Q2188" s="3">
        <f t="shared" si="172"/>
        <v>0</v>
      </c>
      <c r="R2188" s="3">
        <f t="shared" si="173"/>
        <v>297.45999999999998</v>
      </c>
      <c r="S2188" s="3">
        <f t="shared" si="174"/>
        <v>19803.180000000029</v>
      </c>
      <c r="T2188" s="24" t="s">
        <v>1081</v>
      </c>
      <c r="U2188" s="24" t="s">
        <v>1081</v>
      </c>
      <c r="V2188" s="68" t="s">
        <v>3278</v>
      </c>
      <c r="W2188" s="127">
        <f>IFERROR(VLOOKUP(BCP_Soles[[#This Row],[DESTINATARIO]],CHOOSE({1,2},Clientes_Proveedores[Razon Social],Clientes_Proveedores[Ruc / Dni]),2,0),"")</f>
        <v>20100055237</v>
      </c>
      <c r="X2188" s="27" t="s">
        <v>1955</v>
      </c>
      <c r="Y2188" s="27" t="s">
        <v>3279</v>
      </c>
      <c r="Z2188" s="27"/>
      <c r="AA2188" s="27"/>
      <c r="AB2188" s="3" t="str">
        <f>IF(BCP_Soles[[#This Row],[FECHA]]&gt;0,TEXT(BCP_Soles[[#This Row],[FECHA]],"mmmm"),0)</f>
        <v>Junio</v>
      </c>
    </row>
    <row r="2189" spans="2:28" x14ac:dyDescent="0.3">
      <c r="B2189" s="2">
        <f>IF(BCP_Soles[[#This Row],[TIPO DE R.]]="R",COUNTIFS($D$4:$D2188,"R")+1,"")</f>
        <v>1684</v>
      </c>
      <c r="C2189" s="19" t="str">
        <f t="shared" si="170"/>
        <v>B-BCP - Soles</v>
      </c>
      <c r="D2189" s="3" t="s">
        <v>1074</v>
      </c>
      <c r="E2189" s="14">
        <v>45833</v>
      </c>
      <c r="F2189" s="5" t="s">
        <v>1075</v>
      </c>
      <c r="G2189" s="5" t="s">
        <v>1079</v>
      </c>
      <c r="H2189" s="6" t="s">
        <v>139</v>
      </c>
      <c r="I2189" s="6" t="s">
        <v>14</v>
      </c>
      <c r="J2189" s="6" t="s">
        <v>1953</v>
      </c>
      <c r="K2189" s="6">
        <v>6488</v>
      </c>
      <c r="L2189" s="7" t="s">
        <v>1954</v>
      </c>
      <c r="M2189" s="8">
        <v>148050</v>
      </c>
      <c r="N2189" s="8" t="str">
        <f t="shared" si="171"/>
        <v>PEN</v>
      </c>
      <c r="O2189" s="13"/>
      <c r="P2189" s="13">
        <v>121.49</v>
      </c>
      <c r="Q2189" s="3">
        <f t="shared" si="172"/>
        <v>0</v>
      </c>
      <c r="R2189" s="3">
        <f t="shared" si="173"/>
        <v>121.49</v>
      </c>
      <c r="S2189" s="3">
        <f t="shared" si="174"/>
        <v>19681.690000000028</v>
      </c>
      <c r="T2189" s="24" t="s">
        <v>1081</v>
      </c>
      <c r="U2189" s="24" t="s">
        <v>1081</v>
      </c>
      <c r="V2189" s="68" t="s">
        <v>3280</v>
      </c>
      <c r="W2189" s="127">
        <f>IFERROR(VLOOKUP(BCP_Soles[[#This Row],[DESTINATARIO]],CHOOSE({1,2},Clientes_Proveedores[Razon Social],Clientes_Proveedores[Ruc / Dni]),2,0),"")</f>
        <v>20100055237</v>
      </c>
      <c r="X2189" s="27" t="s">
        <v>1955</v>
      </c>
      <c r="Y2189" s="27" t="s">
        <v>3281</v>
      </c>
      <c r="Z2189" s="27"/>
      <c r="AA2189" s="27"/>
      <c r="AB2189" s="3" t="str">
        <f>IF(BCP_Soles[[#This Row],[FECHA]]&gt;0,TEXT(BCP_Soles[[#This Row],[FECHA]],"mmmm"),0)</f>
        <v>Junio</v>
      </c>
    </row>
    <row r="2190" spans="2:28" x14ac:dyDescent="0.3">
      <c r="B2190" s="2">
        <f>IF(BCP_Soles[[#This Row],[TIPO DE R.]]="R",COUNTIFS($D$4:$D2189,"R")+1,"")</f>
        <v>1685</v>
      </c>
      <c r="C2190" s="19" t="str">
        <f t="shared" si="170"/>
        <v>B-BCP - Soles</v>
      </c>
      <c r="D2190" s="3" t="s">
        <v>1074</v>
      </c>
      <c r="E2190" s="14">
        <v>45833</v>
      </c>
      <c r="F2190" s="5" t="s">
        <v>1075</v>
      </c>
      <c r="G2190" s="5" t="s">
        <v>1079</v>
      </c>
      <c r="H2190" s="6" t="s">
        <v>139</v>
      </c>
      <c r="I2190" s="6" t="s">
        <v>14</v>
      </c>
      <c r="J2190" s="6" t="s">
        <v>1953</v>
      </c>
      <c r="K2190" s="6">
        <v>6489</v>
      </c>
      <c r="L2190" s="7" t="s">
        <v>1954</v>
      </c>
      <c r="M2190" s="8">
        <v>144910</v>
      </c>
      <c r="N2190" s="8" t="str">
        <f t="shared" si="171"/>
        <v>PEN</v>
      </c>
      <c r="O2190" s="13"/>
      <c r="P2190" s="13">
        <v>13.93</v>
      </c>
      <c r="Q2190" s="3">
        <f t="shared" si="172"/>
        <v>0</v>
      </c>
      <c r="R2190" s="3">
        <f t="shared" si="173"/>
        <v>13.93</v>
      </c>
      <c r="S2190" s="3">
        <f t="shared" si="174"/>
        <v>19667.760000000028</v>
      </c>
      <c r="T2190" s="24" t="s">
        <v>1081</v>
      </c>
      <c r="U2190" s="24" t="s">
        <v>1081</v>
      </c>
      <c r="V2190" s="68" t="s">
        <v>3282</v>
      </c>
      <c r="W2190" s="127">
        <f>IFERROR(VLOOKUP(BCP_Soles[[#This Row],[DESTINATARIO]],CHOOSE({1,2},Clientes_Proveedores[Razon Social],Clientes_Proveedores[Ruc / Dni]),2,0),"")</f>
        <v>20100055237</v>
      </c>
      <c r="X2190" s="27" t="s">
        <v>1955</v>
      </c>
      <c r="Y2190" s="27" t="s">
        <v>3283</v>
      </c>
      <c r="Z2190" s="27"/>
      <c r="AA2190" s="27"/>
      <c r="AB2190" s="3" t="str">
        <f>IF(BCP_Soles[[#This Row],[FECHA]]&gt;0,TEXT(BCP_Soles[[#This Row],[FECHA]],"mmmm"),0)</f>
        <v>Junio</v>
      </c>
    </row>
    <row r="2191" spans="2:28" x14ac:dyDescent="0.3">
      <c r="B2191" s="2">
        <f>IF(BCP_Soles[[#This Row],[TIPO DE R.]]="R",COUNTIFS($D$4:$D2190,"R")+1,"")</f>
        <v>1686</v>
      </c>
      <c r="C2191" s="19" t="str">
        <f t="shared" si="170"/>
        <v>B-BCP - Soles</v>
      </c>
      <c r="D2191" s="3" t="s">
        <v>1074</v>
      </c>
      <c r="E2191" s="14">
        <v>45833</v>
      </c>
      <c r="F2191" s="5" t="s">
        <v>1075</v>
      </c>
      <c r="G2191" s="5" t="s">
        <v>1079</v>
      </c>
      <c r="H2191" s="6" t="s">
        <v>139</v>
      </c>
      <c r="I2191" s="6" t="s">
        <v>14</v>
      </c>
      <c r="J2191" s="6" t="s">
        <v>1953</v>
      </c>
      <c r="K2191" s="6">
        <v>6486</v>
      </c>
      <c r="L2191" s="7" t="s">
        <v>1954</v>
      </c>
      <c r="M2191" s="8">
        <v>144911</v>
      </c>
      <c r="N2191" s="8" t="str">
        <f t="shared" si="171"/>
        <v>PEN</v>
      </c>
      <c r="O2191" s="13"/>
      <c r="P2191" s="13">
        <v>211.51</v>
      </c>
      <c r="Q2191" s="3">
        <f t="shared" si="172"/>
        <v>0</v>
      </c>
      <c r="R2191" s="3">
        <f t="shared" si="173"/>
        <v>211.51</v>
      </c>
      <c r="S2191" s="3">
        <f t="shared" si="174"/>
        <v>19456.250000000029</v>
      </c>
      <c r="T2191" s="24" t="s">
        <v>1081</v>
      </c>
      <c r="U2191" s="24" t="s">
        <v>1081</v>
      </c>
      <c r="V2191" s="68" t="s">
        <v>3284</v>
      </c>
      <c r="W2191" s="127">
        <f>IFERROR(VLOOKUP(BCP_Soles[[#This Row],[DESTINATARIO]],CHOOSE({1,2},Clientes_Proveedores[Razon Social],Clientes_Proveedores[Ruc / Dni]),2,0),"")</f>
        <v>20100055237</v>
      </c>
      <c r="X2191" s="27" t="s">
        <v>1955</v>
      </c>
      <c r="Y2191" s="27" t="s">
        <v>3285</v>
      </c>
      <c r="Z2191" s="27"/>
      <c r="AA2191" s="27"/>
      <c r="AB2191" s="3" t="str">
        <f>IF(BCP_Soles[[#This Row],[FECHA]]&gt;0,TEXT(BCP_Soles[[#This Row],[FECHA]],"mmmm"),0)</f>
        <v>Junio</v>
      </c>
    </row>
    <row r="2192" spans="2:28" x14ac:dyDescent="0.3">
      <c r="B2192" s="2">
        <f>IF(BCP_Soles[[#This Row],[TIPO DE R.]]="R",COUNTIFS($D$4:$D2191,"R")+1,"")</f>
        <v>1687</v>
      </c>
      <c r="C2192" s="19" t="str">
        <f t="shared" si="170"/>
        <v>B-BCP - Soles</v>
      </c>
      <c r="D2192" s="3" t="s">
        <v>1074</v>
      </c>
      <c r="E2192" s="14">
        <v>45833</v>
      </c>
      <c r="F2192" s="5" t="s">
        <v>1075</v>
      </c>
      <c r="G2192" s="5" t="s">
        <v>1079</v>
      </c>
      <c r="H2192" s="6" t="s">
        <v>139</v>
      </c>
      <c r="I2192" s="6" t="s">
        <v>14</v>
      </c>
      <c r="J2192" s="6" t="s">
        <v>1953</v>
      </c>
      <c r="K2192" s="6">
        <v>6490</v>
      </c>
      <c r="L2192" s="7" t="s">
        <v>1954</v>
      </c>
      <c r="M2192" s="8">
        <v>146324</v>
      </c>
      <c r="N2192" s="8" t="str">
        <f t="shared" si="171"/>
        <v>PEN</v>
      </c>
      <c r="O2192" s="13"/>
      <c r="P2192" s="13">
        <v>258.44</v>
      </c>
      <c r="Q2192" s="3">
        <f t="shared" si="172"/>
        <v>0</v>
      </c>
      <c r="R2192" s="3">
        <f t="shared" si="173"/>
        <v>258.44</v>
      </c>
      <c r="S2192" s="3">
        <f t="shared" si="174"/>
        <v>19197.81000000003</v>
      </c>
      <c r="T2192" s="24" t="s">
        <v>1081</v>
      </c>
      <c r="U2192" s="24" t="s">
        <v>1081</v>
      </c>
      <c r="V2192" s="68" t="s">
        <v>3286</v>
      </c>
      <c r="W2192" s="127">
        <f>IFERROR(VLOOKUP(BCP_Soles[[#This Row],[DESTINATARIO]],CHOOSE({1,2},Clientes_Proveedores[Razon Social],Clientes_Proveedores[Ruc / Dni]),2,0),"")</f>
        <v>20100055237</v>
      </c>
      <c r="X2192" s="27" t="s">
        <v>1955</v>
      </c>
      <c r="Y2192" s="27" t="s">
        <v>3287</v>
      </c>
      <c r="Z2192" s="27"/>
      <c r="AA2192" s="27"/>
      <c r="AB2192" s="3" t="str">
        <f>IF(BCP_Soles[[#This Row],[FECHA]]&gt;0,TEXT(BCP_Soles[[#This Row],[FECHA]],"mmmm"),0)</f>
        <v>Junio</v>
      </c>
    </row>
    <row r="2193" spans="2:28" ht="24" x14ac:dyDescent="0.3">
      <c r="B2193" s="2">
        <f>IF(BCP_Soles[[#This Row],[TIPO DE R.]]="R",COUNTIFS($D$4:$D2192,"R")+1,"")</f>
        <v>1688</v>
      </c>
      <c r="C2193" s="19" t="str">
        <f t="shared" si="170"/>
        <v>B-BCP - Soles</v>
      </c>
      <c r="D2193" s="3" t="s">
        <v>1074</v>
      </c>
      <c r="E2193" s="14">
        <v>45833</v>
      </c>
      <c r="F2193" s="5" t="s">
        <v>1075</v>
      </c>
      <c r="G2193" s="5" t="s">
        <v>1079</v>
      </c>
      <c r="H2193" s="6" t="s">
        <v>650</v>
      </c>
      <c r="I2193" s="6" t="s">
        <v>52</v>
      </c>
      <c r="J2193" s="6" t="s">
        <v>1399</v>
      </c>
      <c r="K2193" s="6">
        <v>546172223</v>
      </c>
      <c r="L2193" s="7" t="s">
        <v>3288</v>
      </c>
      <c r="M2193" s="8">
        <v>148052</v>
      </c>
      <c r="N2193" s="8" t="str">
        <f t="shared" si="171"/>
        <v>PEN</v>
      </c>
      <c r="O2193" s="13"/>
      <c r="P2193" s="13">
        <v>1370.77</v>
      </c>
      <c r="Q2193" s="3">
        <f t="shared" si="172"/>
        <v>0</v>
      </c>
      <c r="R2193" s="3">
        <f t="shared" si="173"/>
        <v>1370.77</v>
      </c>
      <c r="S2193" s="3">
        <f t="shared" si="174"/>
        <v>17827.04000000003</v>
      </c>
      <c r="T2193" s="24"/>
      <c r="U2193" s="24"/>
      <c r="V2193" s="68" t="s">
        <v>3289</v>
      </c>
      <c r="W2193" s="127">
        <f>IFERROR(VLOOKUP(BCP_Soles[[#This Row],[DESTINATARIO]],CHOOSE({1,2},Clientes_Proveedores[Razon Social],Clientes_Proveedores[Ruc / Dni]),2,0),"")</f>
        <v>20467534026</v>
      </c>
      <c r="X2193" s="27" t="s">
        <v>1397</v>
      </c>
      <c r="Y2193" s="27" t="s">
        <v>3290</v>
      </c>
      <c r="Z2193" s="27"/>
      <c r="AA2193" s="27"/>
      <c r="AB2193" s="3" t="str">
        <f>IF(BCP_Soles[[#This Row],[FECHA]]&gt;0,TEXT(BCP_Soles[[#This Row],[FECHA]],"mmmm"),0)</f>
        <v>Junio</v>
      </c>
    </row>
    <row r="2194" spans="2:28" ht="24" x14ac:dyDescent="0.3">
      <c r="B2194" s="2">
        <f>IF(BCP_Soles[[#This Row],[TIPO DE R.]]="R",COUNTIFS($D$4:$D2193,"R")+1,"")</f>
        <v>1689</v>
      </c>
      <c r="C2194" s="19" t="str">
        <f t="shared" si="170"/>
        <v>B-BCP - Soles</v>
      </c>
      <c r="D2194" s="3" t="s">
        <v>1074</v>
      </c>
      <c r="E2194" s="14">
        <v>45833</v>
      </c>
      <c r="F2194" s="5" t="s">
        <v>1075</v>
      </c>
      <c r="G2194" s="5" t="s">
        <v>1079</v>
      </c>
      <c r="H2194" s="6" t="s">
        <v>650</v>
      </c>
      <c r="I2194" s="6" t="s">
        <v>14</v>
      </c>
      <c r="J2194" s="6" t="s">
        <v>1395</v>
      </c>
      <c r="K2194" s="6">
        <v>299687</v>
      </c>
      <c r="L2194" s="7" t="s">
        <v>3273</v>
      </c>
      <c r="M2194" s="8">
        <v>147304</v>
      </c>
      <c r="N2194" s="8" t="str">
        <f t="shared" si="171"/>
        <v>PEN</v>
      </c>
      <c r="O2194" s="13"/>
      <c r="P2194" s="13">
        <v>36.58</v>
      </c>
      <c r="Q2194" s="3">
        <f t="shared" si="172"/>
        <v>0</v>
      </c>
      <c r="R2194" s="3">
        <f t="shared" si="173"/>
        <v>36.58</v>
      </c>
      <c r="S2194" s="3">
        <f t="shared" si="174"/>
        <v>17790.460000000028</v>
      </c>
      <c r="T2194" s="24"/>
      <c r="U2194" s="24"/>
      <c r="V2194" s="68" t="s">
        <v>3291</v>
      </c>
      <c r="W2194" s="127">
        <f>IFERROR(VLOOKUP(BCP_Soles[[#This Row],[DESTINATARIO]],CHOOSE({1,2},Clientes_Proveedores[Razon Social],Clientes_Proveedores[Ruc / Dni]),2,0),"")</f>
        <v>20467534026</v>
      </c>
      <c r="X2194" s="27" t="s">
        <v>1397</v>
      </c>
      <c r="Y2194" s="27" t="s">
        <v>3275</v>
      </c>
      <c r="Z2194" s="27"/>
      <c r="AA2194" s="27"/>
      <c r="AB2194" s="3" t="str">
        <f>IF(BCP_Soles[[#This Row],[FECHA]]&gt;0,TEXT(BCP_Soles[[#This Row],[FECHA]],"mmmm"),0)</f>
        <v>Junio</v>
      </c>
    </row>
    <row r="2195" spans="2:28" x14ac:dyDescent="0.3">
      <c r="B2195" s="2">
        <f>IF(BCP_Soles[[#This Row],[TIPO DE R.]]="R",COUNTIFS($D$4:$D2194,"R")+1,"")</f>
        <v>1690</v>
      </c>
      <c r="C2195" s="19" t="str">
        <f t="shared" si="170"/>
        <v>B-BCP - Soles</v>
      </c>
      <c r="D2195" s="3" t="s">
        <v>1074</v>
      </c>
      <c r="E2195" s="14">
        <v>45833</v>
      </c>
      <c r="F2195" s="5" t="s">
        <v>1075</v>
      </c>
      <c r="G2195" s="5" t="s">
        <v>1079</v>
      </c>
      <c r="H2195" s="6" t="s">
        <v>517</v>
      </c>
      <c r="I2195" s="6"/>
      <c r="J2195" s="6"/>
      <c r="K2195" s="6"/>
      <c r="L2195" s="7" t="s">
        <v>3292</v>
      </c>
      <c r="M2195" s="8">
        <v>4014622</v>
      </c>
      <c r="N2195" s="8" t="str">
        <f t="shared" si="171"/>
        <v>PEN</v>
      </c>
      <c r="O2195" s="13"/>
      <c r="P2195" s="13">
        <v>600.5</v>
      </c>
      <c r="Q2195" s="3">
        <f t="shared" si="172"/>
        <v>0</v>
      </c>
      <c r="R2195" s="3">
        <f t="shared" si="173"/>
        <v>600.5</v>
      </c>
      <c r="S2195" s="3">
        <f t="shared" si="174"/>
        <v>17189.960000000028</v>
      </c>
      <c r="T2195" s="24"/>
      <c r="U2195" s="24"/>
      <c r="V2195" s="68" t="s">
        <v>3293</v>
      </c>
      <c r="W2195" s="127">
        <f>IFERROR(VLOOKUP(BCP_Soles[[#This Row],[DESTINATARIO]],CHOOSE({1,2},Clientes_Proveedores[Razon Social],Clientes_Proveedores[Ruc / Dni]),2,0),"")</f>
        <v>20608970909</v>
      </c>
      <c r="X2195" s="27" t="s">
        <v>517</v>
      </c>
      <c r="Y2195" s="27"/>
      <c r="Z2195" s="27"/>
      <c r="AA2195" s="27"/>
      <c r="AB2195" s="3" t="str">
        <f>IF(BCP_Soles[[#This Row],[FECHA]]&gt;0,TEXT(BCP_Soles[[#This Row],[FECHA]],"mmmm"),0)</f>
        <v>Junio</v>
      </c>
    </row>
    <row r="2196" spans="2:28" x14ac:dyDescent="0.3">
      <c r="B2196" s="2" t="str">
        <f>IF(BCP_Soles[[#This Row],[TIPO DE R.]]="R",COUNTIFS($D$4:$D2195,"R")+1,"")</f>
        <v/>
      </c>
      <c r="C2196" s="19" t="str">
        <f t="shared" si="170"/>
        <v>B-BCP - Soles</v>
      </c>
      <c r="D2196" s="3" t="s">
        <v>1101</v>
      </c>
      <c r="E2196" s="14">
        <v>45833</v>
      </c>
      <c r="F2196" s="5" t="s">
        <v>1075</v>
      </c>
      <c r="G2196" s="5"/>
      <c r="H2196" s="6" t="s">
        <v>517</v>
      </c>
      <c r="I2196" s="6" t="s">
        <v>14</v>
      </c>
      <c r="J2196" s="6" t="s">
        <v>1121</v>
      </c>
      <c r="K2196" s="6">
        <v>1271</v>
      </c>
      <c r="L2196" s="7" t="s">
        <v>3292</v>
      </c>
      <c r="M2196" s="8">
        <v>4014622</v>
      </c>
      <c r="N2196" s="8" t="str">
        <f t="shared" si="171"/>
        <v>PEN</v>
      </c>
      <c r="O2196" s="13">
        <v>590</v>
      </c>
      <c r="P2196" s="13"/>
      <c r="Q2196" s="3">
        <f t="shared" si="172"/>
        <v>0</v>
      </c>
      <c r="R2196" s="3">
        <f t="shared" si="173"/>
        <v>0</v>
      </c>
      <c r="S2196" s="3">
        <f t="shared" si="174"/>
        <v>17189.960000000028</v>
      </c>
      <c r="T2196" s="24"/>
      <c r="U2196" s="24"/>
      <c r="V2196" s="68"/>
      <c r="W2196" s="127">
        <f>IFERROR(VLOOKUP(BCP_Soles[[#This Row],[DESTINATARIO]],CHOOSE({1,2},Clientes_Proveedores[Razon Social],Clientes_Proveedores[Ruc / Dni]),2,0),"")</f>
        <v>20608970909</v>
      </c>
      <c r="X2196" s="27"/>
      <c r="Y2196" s="27"/>
      <c r="Z2196" s="27"/>
      <c r="AA2196" s="27"/>
      <c r="AB2196" s="3" t="str">
        <f>IF(BCP_Soles[[#This Row],[FECHA]]&gt;0,TEXT(BCP_Soles[[#This Row],[FECHA]],"mmmm"),0)</f>
        <v>Junio</v>
      </c>
    </row>
    <row r="2197" spans="2:28" ht="24" x14ac:dyDescent="0.3">
      <c r="B2197" s="2" t="str">
        <f>IF(BCP_Soles[[#This Row],[TIPO DE R.]]="R",COUNTIFS($D$4:$D2196,"R")+1,"")</f>
        <v/>
      </c>
      <c r="C2197" s="19" t="str">
        <f t="shared" si="170"/>
        <v>B-BCP - Soles</v>
      </c>
      <c r="D2197" s="3" t="s">
        <v>1101</v>
      </c>
      <c r="E2197" s="14">
        <v>45833</v>
      </c>
      <c r="F2197" s="5" t="s">
        <v>1075</v>
      </c>
      <c r="G2197" s="5"/>
      <c r="H2197" s="6" t="s">
        <v>1001</v>
      </c>
      <c r="I2197" s="6" t="s">
        <v>14</v>
      </c>
      <c r="J2197" s="6"/>
      <c r="K2197" s="6"/>
      <c r="L2197" s="7" t="s">
        <v>3292</v>
      </c>
      <c r="M2197" s="8">
        <v>4014622</v>
      </c>
      <c r="N2197" s="8" t="str">
        <f t="shared" si="171"/>
        <v>PEN</v>
      </c>
      <c r="O2197" s="13">
        <v>10.5</v>
      </c>
      <c r="P2197" s="13"/>
      <c r="Q2197" s="3">
        <f t="shared" si="172"/>
        <v>0</v>
      </c>
      <c r="R2197" s="3">
        <f t="shared" si="173"/>
        <v>0</v>
      </c>
      <c r="S2197" s="3">
        <f t="shared" si="174"/>
        <v>17189.960000000028</v>
      </c>
      <c r="T2197" s="24"/>
      <c r="U2197" s="24"/>
      <c r="V2197" s="68"/>
      <c r="W2197" s="127">
        <f>IFERROR(VLOOKUP(BCP_Soles[[#This Row],[DESTINATARIO]],CHOOSE({1,2},Clientes_Proveedores[Razon Social],Clientes_Proveedores[Ruc / Dni]),2,0),"")</f>
        <v>20100047218</v>
      </c>
      <c r="X2197" s="27"/>
      <c r="Y2197" s="27"/>
      <c r="Z2197" s="27"/>
      <c r="AA2197" s="27"/>
      <c r="AB2197" s="3" t="str">
        <f>IF(BCP_Soles[[#This Row],[FECHA]]&gt;0,TEXT(BCP_Soles[[#This Row],[FECHA]],"mmmm"),0)</f>
        <v>Junio</v>
      </c>
    </row>
    <row r="2198" spans="2:28" x14ac:dyDescent="0.3">
      <c r="B2198" s="2">
        <f>IF(BCP_Soles[[#This Row],[TIPO DE R.]]="R",COUNTIFS($D$4:$D2197,"R")+1,"")</f>
        <v>1691</v>
      </c>
      <c r="C2198" s="19" t="str">
        <f t="shared" si="170"/>
        <v>B-BCP - Soles</v>
      </c>
      <c r="D2198" s="3" t="s">
        <v>1074</v>
      </c>
      <c r="E2198" s="14">
        <v>45833</v>
      </c>
      <c r="F2198" s="5" t="s">
        <v>1075</v>
      </c>
      <c r="G2198" s="5" t="s">
        <v>1079</v>
      </c>
      <c r="H2198" s="6"/>
      <c r="I2198" s="6"/>
      <c r="J2198" s="6"/>
      <c r="K2198" s="6"/>
      <c r="L2198" s="7" t="s">
        <v>3294</v>
      </c>
      <c r="M2198" s="8">
        <v>1146809</v>
      </c>
      <c r="N2198" s="8" t="str">
        <f t="shared" si="171"/>
        <v>PEN</v>
      </c>
      <c r="O2198" s="13"/>
      <c r="P2198" s="13">
        <v>2689.5</v>
      </c>
      <c r="Q2198" s="3">
        <f t="shared" si="172"/>
        <v>0</v>
      </c>
      <c r="R2198" s="3">
        <f t="shared" si="173"/>
        <v>2689.5</v>
      </c>
      <c r="S2198" s="3">
        <f t="shared" si="174"/>
        <v>14500.460000000028</v>
      </c>
      <c r="T2198" s="24"/>
      <c r="U2198" s="24"/>
      <c r="V2198" s="104" t="s">
        <v>3295</v>
      </c>
      <c r="W2198" s="126" t="str">
        <f>IFERROR(VLOOKUP(BCP_Soles[[#This Row],[DESTINATARIO]],CHOOSE({1,2},Clientes_Proveedores[Razon Social],Clientes_Proveedores[Ruc / Dni]),2,0),"")</f>
        <v/>
      </c>
      <c r="X2198" s="26"/>
      <c r="Y2198" s="26"/>
      <c r="Z2198" s="26"/>
      <c r="AA2198" s="100"/>
      <c r="AB2198" s="3" t="str">
        <f>IF(BCP_Soles[[#This Row],[FECHA]]&gt;0,TEXT(BCP_Soles[[#This Row],[FECHA]],"mmmm"),0)</f>
        <v>Junio</v>
      </c>
    </row>
    <row r="2199" spans="2:28" x14ac:dyDescent="0.3">
      <c r="B2199" s="2">
        <f>IF(BCP_Soles[[#This Row],[TIPO DE R.]]="R",COUNTIFS($D$4:$D2198,"R")+1,"")</f>
        <v>1692</v>
      </c>
      <c r="C2199" s="19" t="str">
        <f t="shared" si="170"/>
        <v>B-BCP - Soles</v>
      </c>
      <c r="D2199" s="3" t="s">
        <v>1074</v>
      </c>
      <c r="E2199" s="14">
        <v>45833</v>
      </c>
      <c r="F2199" s="5" t="s">
        <v>1075</v>
      </c>
      <c r="G2199" s="5" t="s">
        <v>1079</v>
      </c>
      <c r="H2199" s="6" t="s">
        <v>638</v>
      </c>
      <c r="I2199" s="6"/>
      <c r="J2199" s="6"/>
      <c r="K2199" s="6"/>
      <c r="L2199" s="7" t="s">
        <v>3296</v>
      </c>
      <c r="M2199" s="8">
        <v>1483271</v>
      </c>
      <c r="N2199" s="8" t="str">
        <f t="shared" si="171"/>
        <v>PEN</v>
      </c>
      <c r="O2199" s="13"/>
      <c r="P2199" s="13">
        <v>3612.21</v>
      </c>
      <c r="Q2199" s="3">
        <f t="shared" si="172"/>
        <v>0</v>
      </c>
      <c r="R2199" s="3">
        <f t="shared" si="173"/>
        <v>3612.21</v>
      </c>
      <c r="S2199" s="3">
        <f t="shared" si="174"/>
        <v>10888.250000000029</v>
      </c>
      <c r="T2199" s="24" t="s">
        <v>1081</v>
      </c>
      <c r="U2199" s="24" t="s">
        <v>1081</v>
      </c>
      <c r="V2199" s="104" t="s">
        <v>3297</v>
      </c>
      <c r="W2199" s="25">
        <f>IFERROR(VLOOKUP(BCP_Soles[[#This Row],[DESTINATARIO]],CHOOSE({1,2},Clientes_Proveedores[Razon Social],Clientes_Proveedores[Ruc / Dni]),2,0),"")</f>
        <v>0</v>
      </c>
      <c r="X2199" s="25" t="s">
        <v>1118</v>
      </c>
      <c r="Y2199" s="25"/>
      <c r="Z2199" s="25"/>
      <c r="AA2199" s="99"/>
      <c r="AB2199" s="3" t="str">
        <f>IF(BCP_Soles[[#This Row],[FECHA]]&gt;0,TEXT(BCP_Soles[[#This Row],[FECHA]],"mmmm"),0)</f>
        <v>Junio</v>
      </c>
    </row>
    <row r="2200" spans="2:28" x14ac:dyDescent="0.3">
      <c r="B2200" s="2" t="str">
        <f>IF(BCP_Soles[[#This Row],[TIPO DE R.]]="R",COUNTIFS($D$4:$D2199,"R")+1,"")</f>
        <v/>
      </c>
      <c r="C2200" s="19" t="str">
        <f t="shared" si="170"/>
        <v>B-BCP - Soles</v>
      </c>
      <c r="D2200" s="3" t="s">
        <v>1101</v>
      </c>
      <c r="E2200" s="14">
        <v>45833</v>
      </c>
      <c r="F2200" s="5" t="s">
        <v>1075</v>
      </c>
      <c r="G2200" s="5"/>
      <c r="H2200" s="6" t="s">
        <v>229</v>
      </c>
      <c r="I2200" s="6" t="s">
        <v>14</v>
      </c>
      <c r="J2200" s="6" t="s">
        <v>1429</v>
      </c>
      <c r="K2200" s="6">
        <v>1704</v>
      </c>
      <c r="L2200" s="7" t="s">
        <v>3296</v>
      </c>
      <c r="M2200" s="8">
        <v>1483271</v>
      </c>
      <c r="N2200" s="8" t="str">
        <f t="shared" si="171"/>
        <v>PEN</v>
      </c>
      <c r="O2200" s="13">
        <v>110</v>
      </c>
      <c r="P2200" s="13"/>
      <c r="Q2200" s="3">
        <f t="shared" si="172"/>
        <v>0</v>
      </c>
      <c r="R2200" s="3">
        <f t="shared" si="173"/>
        <v>0</v>
      </c>
      <c r="S2200" s="3">
        <f t="shared" si="174"/>
        <v>10888.250000000029</v>
      </c>
      <c r="T2200" s="24"/>
      <c r="U2200" s="24" t="s">
        <v>1081</v>
      </c>
      <c r="V2200" s="67"/>
      <c r="W2200" s="25">
        <f>IFERROR(VLOOKUP(BCP_Soles[[#This Row],[DESTINATARIO]],CHOOSE({1,2},Clientes_Proveedores[Razon Social],Clientes_Proveedores[Ruc / Dni]),2,0),"")</f>
        <v>20454186002</v>
      </c>
      <c r="X2200" s="25"/>
      <c r="Y2200" s="25"/>
      <c r="Z2200" s="25"/>
      <c r="AA2200" s="99"/>
      <c r="AB2200" s="3" t="str">
        <f>IF(BCP_Soles[[#This Row],[FECHA]]&gt;0,TEXT(BCP_Soles[[#This Row],[FECHA]],"mmmm"),0)</f>
        <v>Junio</v>
      </c>
    </row>
    <row r="2201" spans="2:28" x14ac:dyDescent="0.3">
      <c r="B2201" s="2" t="str">
        <f>IF(BCP_Soles[[#This Row],[TIPO DE R.]]="R",COUNTIFS($D$4:$D2200,"R")+1,"")</f>
        <v/>
      </c>
      <c r="C2201" s="19" t="str">
        <f t="shared" si="170"/>
        <v>B-BCP - Soles</v>
      </c>
      <c r="D2201" s="3" t="s">
        <v>1101</v>
      </c>
      <c r="E2201" s="14">
        <v>45833</v>
      </c>
      <c r="F2201" s="5" t="s">
        <v>1075</v>
      </c>
      <c r="G2201" s="5"/>
      <c r="H2201" s="6" t="s">
        <v>229</v>
      </c>
      <c r="I2201" s="6" t="s">
        <v>14</v>
      </c>
      <c r="J2201" s="6" t="s">
        <v>1429</v>
      </c>
      <c r="K2201" s="6">
        <v>1705</v>
      </c>
      <c r="L2201" s="7" t="s">
        <v>3296</v>
      </c>
      <c r="M2201" s="8">
        <v>1483271</v>
      </c>
      <c r="N2201" s="8" t="str">
        <f t="shared" si="171"/>
        <v>PEN</v>
      </c>
      <c r="O2201" s="13">
        <v>666.2</v>
      </c>
      <c r="P2201" s="13"/>
      <c r="Q2201" s="3">
        <f t="shared" si="172"/>
        <v>0</v>
      </c>
      <c r="R2201" s="3">
        <f t="shared" si="173"/>
        <v>0</v>
      </c>
      <c r="S2201" s="3">
        <f t="shared" si="174"/>
        <v>10888.250000000029</v>
      </c>
      <c r="T2201" s="24"/>
      <c r="U2201" s="24" t="s">
        <v>1081</v>
      </c>
      <c r="V2201" s="67"/>
      <c r="W2201" s="25">
        <f>IFERROR(VLOOKUP(BCP_Soles[[#This Row],[DESTINATARIO]],CHOOSE({1,2},Clientes_Proveedores[Razon Social],Clientes_Proveedores[Ruc / Dni]),2,0),"")</f>
        <v>20454186002</v>
      </c>
      <c r="X2201" s="25"/>
      <c r="Y2201" s="25"/>
      <c r="Z2201" s="25"/>
      <c r="AA2201" s="99"/>
      <c r="AB2201" s="3" t="str">
        <f>IF(BCP_Soles[[#This Row],[FECHA]]&gt;0,TEXT(BCP_Soles[[#This Row],[FECHA]],"mmmm"),0)</f>
        <v>Junio</v>
      </c>
    </row>
    <row r="2202" spans="2:28" x14ac:dyDescent="0.3">
      <c r="B2202" s="2" t="str">
        <f>IF(BCP_Soles[[#This Row],[TIPO DE R.]]="R",COUNTIFS($D$4:$D2201,"R")+1,"")</f>
        <v/>
      </c>
      <c r="C2202" s="19" t="str">
        <f t="shared" si="170"/>
        <v>B-BCP - Soles</v>
      </c>
      <c r="D2202" s="3" t="s">
        <v>1101</v>
      </c>
      <c r="E2202" s="14">
        <v>45833</v>
      </c>
      <c r="F2202" s="5" t="s">
        <v>1075</v>
      </c>
      <c r="G2202" s="5"/>
      <c r="H2202" s="6" t="s">
        <v>229</v>
      </c>
      <c r="I2202" s="6" t="s">
        <v>14</v>
      </c>
      <c r="J2202" s="6" t="s">
        <v>1429</v>
      </c>
      <c r="K2202" s="6">
        <v>1706</v>
      </c>
      <c r="L2202" s="7" t="s">
        <v>3296</v>
      </c>
      <c r="M2202" s="8">
        <v>1483271</v>
      </c>
      <c r="N2202" s="8" t="str">
        <f t="shared" si="171"/>
        <v>PEN</v>
      </c>
      <c r="O2202" s="13">
        <v>353.99</v>
      </c>
      <c r="P2202" s="13"/>
      <c r="Q2202" s="3">
        <f t="shared" si="172"/>
        <v>0</v>
      </c>
      <c r="R2202" s="3">
        <f t="shared" si="173"/>
        <v>0</v>
      </c>
      <c r="S2202" s="3">
        <f t="shared" si="174"/>
        <v>10888.250000000029</v>
      </c>
      <c r="T2202" s="24"/>
      <c r="U2202" s="24" t="s">
        <v>1081</v>
      </c>
      <c r="V2202" s="67"/>
      <c r="W2202" s="25">
        <f>IFERROR(VLOOKUP(BCP_Soles[[#This Row],[DESTINATARIO]],CHOOSE({1,2},Clientes_Proveedores[Razon Social],Clientes_Proveedores[Ruc / Dni]),2,0),"")</f>
        <v>20454186002</v>
      </c>
      <c r="X2202" s="25"/>
      <c r="Y2202" s="25"/>
      <c r="Z2202" s="25"/>
      <c r="AA2202" s="99"/>
      <c r="AB2202" s="3" t="str">
        <f>IF(BCP_Soles[[#This Row],[FECHA]]&gt;0,TEXT(BCP_Soles[[#This Row],[FECHA]],"mmmm"),0)</f>
        <v>Junio</v>
      </c>
    </row>
    <row r="2203" spans="2:28" x14ac:dyDescent="0.3">
      <c r="B2203" s="2" t="str">
        <f>IF(BCP_Soles[[#This Row],[TIPO DE R.]]="R",COUNTIFS($D$4:$D2202,"R")+1,"")</f>
        <v/>
      </c>
      <c r="C2203" s="19" t="str">
        <f t="shared" si="170"/>
        <v>B-BCP - Soles</v>
      </c>
      <c r="D2203" s="3" t="s">
        <v>1101</v>
      </c>
      <c r="E2203" s="14">
        <v>45833</v>
      </c>
      <c r="F2203" s="5" t="s">
        <v>1075</v>
      </c>
      <c r="G2203" s="5"/>
      <c r="H2203" s="6" t="s">
        <v>229</v>
      </c>
      <c r="I2203" s="6" t="s">
        <v>14</v>
      </c>
      <c r="J2203" s="6" t="s">
        <v>1148</v>
      </c>
      <c r="K2203" s="6">
        <v>626</v>
      </c>
      <c r="L2203" s="7" t="s">
        <v>3296</v>
      </c>
      <c r="M2203" s="8">
        <v>1483271</v>
      </c>
      <c r="N2203" s="8" t="str">
        <f t="shared" si="171"/>
        <v>PEN</v>
      </c>
      <c r="O2203" s="13">
        <v>969.01</v>
      </c>
      <c r="P2203" s="13"/>
      <c r="Q2203" s="3">
        <f t="shared" si="172"/>
        <v>0</v>
      </c>
      <c r="R2203" s="3">
        <f t="shared" si="173"/>
        <v>0</v>
      </c>
      <c r="S2203" s="3">
        <f t="shared" si="174"/>
        <v>10888.250000000029</v>
      </c>
      <c r="T2203" s="24"/>
      <c r="U2203" s="24" t="s">
        <v>1081</v>
      </c>
      <c r="V2203" s="67"/>
      <c r="W2203" s="25">
        <f>IFERROR(VLOOKUP(BCP_Soles[[#This Row],[DESTINATARIO]],CHOOSE({1,2},Clientes_Proveedores[Razon Social],Clientes_Proveedores[Ruc / Dni]),2,0),"")</f>
        <v>20454186002</v>
      </c>
      <c r="X2203" s="25"/>
      <c r="Y2203" s="25"/>
      <c r="Z2203" s="25"/>
      <c r="AA2203" s="99"/>
      <c r="AB2203" s="3" t="str">
        <f>IF(BCP_Soles[[#This Row],[FECHA]]&gt;0,TEXT(BCP_Soles[[#This Row],[FECHA]],"mmmm"),0)</f>
        <v>Junio</v>
      </c>
    </row>
    <row r="2204" spans="2:28" x14ac:dyDescent="0.3">
      <c r="B2204" s="2" t="str">
        <f>IF(BCP_Soles[[#This Row],[TIPO DE R.]]="R",COUNTIFS($D$4:$D2203,"R")+1,"")</f>
        <v/>
      </c>
      <c r="C2204" s="19" t="str">
        <f t="shared" si="170"/>
        <v>B-BCP - Soles</v>
      </c>
      <c r="D2204" s="3" t="s">
        <v>1101</v>
      </c>
      <c r="E2204" s="14">
        <v>45833</v>
      </c>
      <c r="F2204" s="5" t="s">
        <v>1075</v>
      </c>
      <c r="G2204" s="5"/>
      <c r="H2204" s="6" t="s">
        <v>465</v>
      </c>
      <c r="I2204" s="6" t="s">
        <v>14</v>
      </c>
      <c r="J2204" s="6" t="s">
        <v>1121</v>
      </c>
      <c r="K2204" s="6">
        <v>3965</v>
      </c>
      <c r="L2204" s="7" t="s">
        <v>3296</v>
      </c>
      <c r="M2204" s="8">
        <v>1483271</v>
      </c>
      <c r="N2204" s="8" t="str">
        <f t="shared" si="171"/>
        <v>PEN</v>
      </c>
      <c r="O2204" s="13">
        <v>401.2</v>
      </c>
      <c r="P2204" s="13"/>
      <c r="Q2204" s="3">
        <f t="shared" si="172"/>
        <v>0</v>
      </c>
      <c r="R2204" s="3">
        <f t="shared" si="173"/>
        <v>0</v>
      </c>
      <c r="S2204" s="3">
        <f t="shared" si="174"/>
        <v>10888.250000000029</v>
      </c>
      <c r="T2204" s="24"/>
      <c r="U2204" s="24" t="s">
        <v>1081</v>
      </c>
      <c r="V2204" s="67"/>
      <c r="W2204" s="25">
        <f>IFERROR(VLOOKUP(BCP_Soles[[#This Row],[DESTINATARIO]],CHOOSE({1,2},Clientes_Proveedores[Razon Social],Clientes_Proveedores[Ruc / Dni]),2,0),"")</f>
        <v>20603974817</v>
      </c>
      <c r="X2204" s="25"/>
      <c r="Y2204" s="25"/>
      <c r="Z2204" s="25"/>
      <c r="AA2204" s="99"/>
      <c r="AB2204" s="3" t="str">
        <f>IF(BCP_Soles[[#This Row],[FECHA]]&gt;0,TEXT(BCP_Soles[[#This Row],[FECHA]],"mmmm"),0)</f>
        <v>Junio</v>
      </c>
    </row>
    <row r="2205" spans="2:28" ht="24" x14ac:dyDescent="0.3">
      <c r="B2205" s="2" t="str">
        <f>IF(BCP_Soles[[#This Row],[TIPO DE R.]]="R",COUNTIFS($D$4:$D2204,"R")+1,"")</f>
        <v/>
      </c>
      <c r="C2205" s="19" t="str">
        <f t="shared" si="170"/>
        <v>B-BCP - Soles</v>
      </c>
      <c r="D2205" s="3" t="s">
        <v>1101</v>
      </c>
      <c r="E2205" s="14">
        <v>45833</v>
      </c>
      <c r="F2205" s="5" t="s">
        <v>1075</v>
      </c>
      <c r="G2205" s="5"/>
      <c r="H2205" s="6" t="s">
        <v>536</v>
      </c>
      <c r="I2205" s="6" t="s">
        <v>14</v>
      </c>
      <c r="J2205" s="6" t="s">
        <v>1121</v>
      </c>
      <c r="K2205" s="6">
        <v>2275</v>
      </c>
      <c r="L2205" s="7" t="s">
        <v>3296</v>
      </c>
      <c r="M2205" s="8">
        <v>1483271</v>
      </c>
      <c r="N2205" s="8" t="str">
        <f t="shared" si="171"/>
        <v>PEN</v>
      </c>
      <c r="O2205" s="13">
        <v>70.8</v>
      </c>
      <c r="P2205" s="13"/>
      <c r="Q2205" s="3">
        <f t="shared" si="172"/>
        <v>0</v>
      </c>
      <c r="R2205" s="3">
        <f t="shared" si="173"/>
        <v>0</v>
      </c>
      <c r="S2205" s="3">
        <f t="shared" si="174"/>
        <v>10888.250000000029</v>
      </c>
      <c r="T2205" s="24"/>
      <c r="U2205" s="24" t="s">
        <v>1081</v>
      </c>
      <c r="V2205" s="67"/>
      <c r="W2205" s="25">
        <f>IFERROR(VLOOKUP(BCP_Soles[[#This Row],[DESTINATARIO]],CHOOSE({1,2},Clientes_Proveedores[Razon Social],Clientes_Proveedores[Ruc / Dni]),2,0),"")</f>
        <v>20609764261</v>
      </c>
      <c r="X2205" s="25"/>
      <c r="Y2205" s="25"/>
      <c r="Z2205" s="25"/>
      <c r="AA2205" s="99"/>
      <c r="AB2205" s="3" t="str">
        <f>IF(BCP_Soles[[#This Row],[FECHA]]&gt;0,TEXT(BCP_Soles[[#This Row],[FECHA]],"mmmm"),0)</f>
        <v>Junio</v>
      </c>
    </row>
    <row r="2206" spans="2:28" ht="24" x14ac:dyDescent="0.3">
      <c r="B2206" s="2" t="str">
        <f>IF(BCP_Soles[[#This Row],[TIPO DE R.]]="R",COUNTIFS($D$4:$D2205,"R")+1,"")</f>
        <v/>
      </c>
      <c r="C2206" s="19" t="str">
        <f t="shared" si="170"/>
        <v>B-BCP - Soles</v>
      </c>
      <c r="D2206" s="3" t="s">
        <v>1101</v>
      </c>
      <c r="E2206" s="14">
        <v>45833</v>
      </c>
      <c r="F2206" s="5" t="s">
        <v>1075</v>
      </c>
      <c r="G2206" s="5"/>
      <c r="H2206" s="6" t="s">
        <v>634</v>
      </c>
      <c r="I2206" s="6" t="s">
        <v>14</v>
      </c>
      <c r="J2206" s="6" t="s">
        <v>1121</v>
      </c>
      <c r="K2206" s="6">
        <v>7</v>
      </c>
      <c r="L2206" s="7" t="s">
        <v>3296</v>
      </c>
      <c r="M2206" s="8">
        <v>1483271</v>
      </c>
      <c r="N2206" s="8" t="str">
        <f t="shared" si="171"/>
        <v>PEN</v>
      </c>
      <c r="O2206" s="13">
        <v>864.01</v>
      </c>
      <c r="P2206" s="13"/>
      <c r="Q2206" s="3">
        <f t="shared" si="172"/>
        <v>0</v>
      </c>
      <c r="R2206" s="3">
        <f t="shared" si="173"/>
        <v>0</v>
      </c>
      <c r="S2206" s="3">
        <f t="shared" si="174"/>
        <v>10888.250000000029</v>
      </c>
      <c r="T2206" s="24"/>
      <c r="U2206" s="24" t="s">
        <v>1081</v>
      </c>
      <c r="V2206" s="67"/>
      <c r="W2206" s="25">
        <f>IFERROR(VLOOKUP(BCP_Soles[[#This Row],[DESTINATARIO]],CHOOSE({1,2},Clientes_Proveedores[Razon Social],Clientes_Proveedores[Ruc / Dni]),2,0),"")</f>
        <v>10736055631</v>
      </c>
      <c r="X2206" s="25"/>
      <c r="Y2206" s="25"/>
      <c r="Z2206" s="25"/>
      <c r="AA2206" s="99"/>
      <c r="AB2206" s="3" t="str">
        <f>IF(BCP_Soles[[#This Row],[FECHA]]&gt;0,TEXT(BCP_Soles[[#This Row],[FECHA]],"mmmm"),0)</f>
        <v>Junio</v>
      </c>
    </row>
    <row r="2207" spans="2:28" ht="24" x14ac:dyDescent="0.3">
      <c r="B2207" s="2" t="str">
        <f>IF(BCP_Soles[[#This Row],[TIPO DE R.]]="R",COUNTIFS($D$4:$D2206,"R")+1,"")</f>
        <v/>
      </c>
      <c r="C2207" s="19" t="str">
        <f t="shared" si="170"/>
        <v>B-BCP - Soles</v>
      </c>
      <c r="D2207" s="3" t="s">
        <v>1101</v>
      </c>
      <c r="E2207" s="14">
        <v>45833</v>
      </c>
      <c r="F2207" s="5" t="s">
        <v>1075</v>
      </c>
      <c r="G2207" s="5"/>
      <c r="H2207" s="6" t="s">
        <v>536</v>
      </c>
      <c r="I2207" s="6" t="s">
        <v>14</v>
      </c>
      <c r="J2207" s="6" t="s">
        <v>1121</v>
      </c>
      <c r="K2207" s="6">
        <v>2287</v>
      </c>
      <c r="L2207" s="7" t="s">
        <v>3296</v>
      </c>
      <c r="M2207" s="8">
        <v>1483271</v>
      </c>
      <c r="N2207" s="8" t="str">
        <f t="shared" si="171"/>
        <v>PEN</v>
      </c>
      <c r="O2207" s="13">
        <v>70.8</v>
      </c>
      <c r="P2207" s="13"/>
      <c r="Q2207" s="3">
        <f t="shared" si="172"/>
        <v>0</v>
      </c>
      <c r="R2207" s="3">
        <f t="shared" si="173"/>
        <v>0</v>
      </c>
      <c r="S2207" s="3">
        <f t="shared" si="174"/>
        <v>10888.250000000029</v>
      </c>
      <c r="T2207" s="24"/>
      <c r="U2207" s="24" t="s">
        <v>1081</v>
      </c>
      <c r="V2207" s="67"/>
      <c r="W2207" s="25">
        <f>IFERROR(VLOOKUP(BCP_Soles[[#This Row],[DESTINATARIO]],CHOOSE({1,2},Clientes_Proveedores[Razon Social],Clientes_Proveedores[Ruc / Dni]),2,0),"")</f>
        <v>20609764261</v>
      </c>
      <c r="X2207" s="25"/>
      <c r="Y2207" s="25"/>
      <c r="Z2207" s="25"/>
      <c r="AA2207" s="99"/>
      <c r="AB2207" s="3" t="str">
        <f>IF(BCP_Soles[[#This Row],[FECHA]]&gt;0,TEXT(BCP_Soles[[#This Row],[FECHA]],"mmmm"),0)</f>
        <v>Junio</v>
      </c>
    </row>
    <row r="2208" spans="2:28" ht="24" x14ac:dyDescent="0.3">
      <c r="B2208" s="2" t="str">
        <f>IF(BCP_Soles[[#This Row],[TIPO DE R.]]="R",COUNTIFS($D$4:$D2207,"R")+1,"")</f>
        <v/>
      </c>
      <c r="C2208" s="19" t="str">
        <f t="shared" si="170"/>
        <v>B-BCP - Soles</v>
      </c>
      <c r="D2208" s="3" t="s">
        <v>1101</v>
      </c>
      <c r="E2208" s="14">
        <v>45833</v>
      </c>
      <c r="F2208" s="5" t="s">
        <v>1075</v>
      </c>
      <c r="G2208" s="5"/>
      <c r="H2208" s="6" t="s">
        <v>536</v>
      </c>
      <c r="I2208" s="6" t="s">
        <v>14</v>
      </c>
      <c r="J2208" s="6" t="s">
        <v>1121</v>
      </c>
      <c r="K2208" s="6">
        <v>2282</v>
      </c>
      <c r="L2208" s="7" t="s">
        <v>3296</v>
      </c>
      <c r="M2208" s="8">
        <v>1483271</v>
      </c>
      <c r="N2208" s="8" t="str">
        <f t="shared" si="171"/>
        <v>PEN</v>
      </c>
      <c r="O2208" s="13">
        <v>106.2</v>
      </c>
      <c r="P2208" s="13"/>
      <c r="Q2208" s="3">
        <f t="shared" si="172"/>
        <v>0</v>
      </c>
      <c r="R2208" s="3">
        <f t="shared" si="173"/>
        <v>0</v>
      </c>
      <c r="S2208" s="3">
        <f t="shared" si="174"/>
        <v>10888.250000000029</v>
      </c>
      <c r="T2208" s="24"/>
      <c r="U2208" s="24" t="s">
        <v>1081</v>
      </c>
      <c r="V2208" s="67"/>
      <c r="W2208" s="25">
        <f>IFERROR(VLOOKUP(BCP_Soles[[#This Row],[DESTINATARIO]],CHOOSE({1,2},Clientes_Proveedores[Razon Social],Clientes_Proveedores[Ruc / Dni]),2,0),"")</f>
        <v>20609764261</v>
      </c>
      <c r="X2208" s="25"/>
      <c r="Y2208" s="25"/>
      <c r="Z2208" s="25"/>
      <c r="AA2208" s="99"/>
      <c r="AB2208" s="3" t="str">
        <f>IF(BCP_Soles[[#This Row],[FECHA]]&gt;0,TEXT(BCP_Soles[[#This Row],[FECHA]],"mmmm"),0)</f>
        <v>Junio</v>
      </c>
    </row>
    <row r="2209" spans="2:28" x14ac:dyDescent="0.3">
      <c r="B2209" s="2">
        <f>IF(BCP_Soles[[#This Row],[TIPO DE R.]]="R",COUNTIFS($D$4:$D2208,"R")+1,"")</f>
        <v>1693</v>
      </c>
      <c r="C2209" s="19" t="str">
        <f t="shared" si="170"/>
        <v>B-BCP - Soles</v>
      </c>
      <c r="D2209" s="3" t="s">
        <v>1074</v>
      </c>
      <c r="E2209" s="14">
        <v>45833</v>
      </c>
      <c r="F2209" s="5" t="s">
        <v>1075</v>
      </c>
      <c r="G2209" s="5" t="s">
        <v>1079</v>
      </c>
      <c r="H2209" s="6"/>
      <c r="I2209" s="6"/>
      <c r="J2209" s="6"/>
      <c r="K2209" s="6"/>
      <c r="L2209" s="7" t="s">
        <v>3298</v>
      </c>
      <c r="M2209" s="8">
        <v>1007730</v>
      </c>
      <c r="N2209" s="8" t="str">
        <f t="shared" si="171"/>
        <v>PEN</v>
      </c>
      <c r="O2209" s="13"/>
      <c r="P2209" s="13">
        <v>1231</v>
      </c>
      <c r="Q2209" s="3">
        <f t="shared" si="172"/>
        <v>0</v>
      </c>
      <c r="R2209" s="3">
        <f t="shared" si="173"/>
        <v>1231</v>
      </c>
      <c r="S2209" s="3">
        <f t="shared" si="174"/>
        <v>9657.2500000000291</v>
      </c>
      <c r="T2209" s="24"/>
      <c r="U2209" s="24"/>
      <c r="V2209" s="67"/>
      <c r="W2209" s="25" t="str">
        <f>IFERROR(VLOOKUP(BCP_Soles[[#This Row],[DESTINATARIO]],CHOOSE({1,2},Clientes_Proveedores[Razon Social],Clientes_Proveedores[Ruc / Dni]),2,0),"")</f>
        <v/>
      </c>
      <c r="X2209" s="25"/>
      <c r="Y2209" s="25"/>
      <c r="Z2209" s="25"/>
      <c r="AA2209" s="99"/>
      <c r="AB2209" s="3" t="str">
        <f>IF(BCP_Soles[[#This Row],[FECHA]]&gt;0,TEXT(BCP_Soles[[#This Row],[FECHA]],"mmmm"),0)</f>
        <v>Junio</v>
      </c>
    </row>
    <row r="2210" spans="2:28" ht="24" x14ac:dyDescent="0.3">
      <c r="B2210" s="2">
        <f>IF(BCP_Soles[[#This Row],[TIPO DE R.]]="R",COUNTIFS($D$4:$D2209,"R")+1,"")</f>
        <v>1694</v>
      </c>
      <c r="C2210" s="19" t="str">
        <f t="shared" si="170"/>
        <v>B-BCP - Soles</v>
      </c>
      <c r="D2210" s="3" t="s">
        <v>1074</v>
      </c>
      <c r="E2210" s="14">
        <v>45833</v>
      </c>
      <c r="F2210" s="5" t="s">
        <v>1078</v>
      </c>
      <c r="G2210" s="5" t="s">
        <v>1079</v>
      </c>
      <c r="H2210" s="6" t="s">
        <v>1001</v>
      </c>
      <c r="I2210" s="6"/>
      <c r="J2210" s="6"/>
      <c r="K2210" s="6"/>
      <c r="L2210" s="7" t="s">
        <v>3299</v>
      </c>
      <c r="M2210" s="8">
        <v>1483294</v>
      </c>
      <c r="N2210" s="8" t="str">
        <f t="shared" si="171"/>
        <v>PEN</v>
      </c>
      <c r="O2210" s="13"/>
      <c r="P2210" s="13">
        <v>10</v>
      </c>
      <c r="Q2210" s="3">
        <f t="shared" si="172"/>
        <v>0</v>
      </c>
      <c r="R2210" s="3">
        <f t="shared" si="173"/>
        <v>10</v>
      </c>
      <c r="S2210" s="3">
        <f t="shared" si="174"/>
        <v>9647.2500000000291</v>
      </c>
      <c r="T2210" s="24"/>
      <c r="U2210" s="24"/>
      <c r="V2210" s="67"/>
      <c r="W2210" s="25">
        <f>IFERROR(VLOOKUP(BCP_Soles[[#This Row],[DESTINATARIO]],CHOOSE({1,2},Clientes_Proveedores[Razon Social],Clientes_Proveedores[Ruc / Dni]),2,0),"")</f>
        <v>20100047218</v>
      </c>
      <c r="X2210" s="25"/>
      <c r="Y2210" s="25"/>
      <c r="Z2210" s="25"/>
      <c r="AA2210" s="99"/>
      <c r="AB2210" s="3" t="str">
        <f>IF(BCP_Soles[[#This Row],[FECHA]]&gt;0,TEXT(BCP_Soles[[#This Row],[FECHA]],"mmmm"),0)</f>
        <v>Junio</v>
      </c>
    </row>
    <row r="2211" spans="2:28" ht="24" x14ac:dyDescent="0.3">
      <c r="B2211" s="2">
        <f>IF(BCP_Soles[[#This Row],[TIPO DE R.]]="R",COUNTIFS($D$4:$D2210,"R")+1,"")</f>
        <v>1695</v>
      </c>
      <c r="C2211" s="19" t="str">
        <f t="shared" si="170"/>
        <v>B-BCP - Soles</v>
      </c>
      <c r="D2211" s="3" t="s">
        <v>1074</v>
      </c>
      <c r="E2211" s="14">
        <v>45833</v>
      </c>
      <c r="F2211" s="5" t="s">
        <v>1078</v>
      </c>
      <c r="G2211" s="5" t="s">
        <v>1079</v>
      </c>
      <c r="H2211" s="6" t="s">
        <v>1001</v>
      </c>
      <c r="I2211" s="6"/>
      <c r="J2211" s="6"/>
      <c r="K2211" s="6"/>
      <c r="L2211" s="7" t="s">
        <v>3300</v>
      </c>
      <c r="M2211" s="8">
        <v>457</v>
      </c>
      <c r="N2211" s="8" t="str">
        <f t="shared" si="171"/>
        <v>PEN</v>
      </c>
      <c r="O2211" s="13"/>
      <c r="P2211" s="13">
        <v>10</v>
      </c>
      <c r="Q2211" s="3">
        <f t="shared" si="172"/>
        <v>0</v>
      </c>
      <c r="R2211" s="3">
        <f t="shared" si="173"/>
        <v>10</v>
      </c>
      <c r="S2211" s="3">
        <f t="shared" si="174"/>
        <v>9637.2500000000291</v>
      </c>
      <c r="T2211" s="24"/>
      <c r="U2211" s="24"/>
      <c r="V2211" s="67"/>
      <c r="W2211" s="25">
        <f>IFERROR(VLOOKUP(BCP_Soles[[#This Row],[DESTINATARIO]],CHOOSE({1,2},Clientes_Proveedores[Razon Social],Clientes_Proveedores[Ruc / Dni]),2,0),"")</f>
        <v>20100047218</v>
      </c>
      <c r="X2211" s="25"/>
      <c r="Y2211" s="25"/>
      <c r="Z2211" s="25"/>
      <c r="AA2211" s="99"/>
      <c r="AB2211" s="3" t="str">
        <f>IF(BCP_Soles[[#This Row],[FECHA]]&gt;0,TEXT(BCP_Soles[[#This Row],[FECHA]],"mmmm"),0)</f>
        <v>Junio</v>
      </c>
    </row>
    <row r="2212" spans="2:28" x14ac:dyDescent="0.3">
      <c r="B2212" s="2">
        <f>IF(BCP_Soles[[#This Row],[TIPO DE R.]]="R",COUNTIFS($D$4:$D2211,"R")+1,"")</f>
        <v>1696</v>
      </c>
      <c r="C2212" s="19" t="str">
        <f t="shared" si="170"/>
        <v>B-BCP - Soles</v>
      </c>
      <c r="D2212" s="3" t="s">
        <v>1074</v>
      </c>
      <c r="E2212" s="14">
        <v>45833</v>
      </c>
      <c r="F2212" s="5" t="s">
        <v>1078</v>
      </c>
      <c r="G2212" s="5" t="s">
        <v>1079</v>
      </c>
      <c r="H2212" s="6"/>
      <c r="I2212" s="6"/>
      <c r="J2212" s="6"/>
      <c r="K2212" s="6"/>
      <c r="L2212" s="7" t="s">
        <v>2868</v>
      </c>
      <c r="M2212" s="8"/>
      <c r="N2212" s="8" t="str">
        <f t="shared" si="171"/>
        <v>PEN</v>
      </c>
      <c r="O2212" s="13"/>
      <c r="P2212" s="13">
        <v>0.25</v>
      </c>
      <c r="Q2212" s="3">
        <f t="shared" si="172"/>
        <v>0</v>
      </c>
      <c r="R2212" s="3">
        <f t="shared" si="173"/>
        <v>0.25</v>
      </c>
      <c r="S2212" s="3">
        <f t="shared" si="174"/>
        <v>9637.0000000000291</v>
      </c>
      <c r="T2212" s="24"/>
      <c r="U2212" s="24"/>
      <c r="V2212" s="67"/>
      <c r="W2212" s="25" t="str">
        <f>IFERROR(VLOOKUP(BCP_Soles[[#This Row],[DESTINATARIO]],CHOOSE({1,2},Clientes_Proveedores[Razon Social],Clientes_Proveedores[Ruc / Dni]),2,0),"")</f>
        <v/>
      </c>
      <c r="X2212" s="25"/>
      <c r="Y2212" s="25"/>
      <c r="Z2212" s="25"/>
      <c r="AA2212" s="99"/>
      <c r="AB2212" s="3" t="str">
        <f>IF(BCP_Soles[[#This Row],[FECHA]]&gt;0,TEXT(BCP_Soles[[#This Row],[FECHA]],"mmmm"),0)</f>
        <v>Junio</v>
      </c>
    </row>
    <row r="2213" spans="2:28" ht="36" x14ac:dyDescent="0.3">
      <c r="B2213" s="2">
        <f>IF(BCP_Soles[[#This Row],[TIPO DE R.]]="R",COUNTIFS($D$4:$D2212,"R")+1,"")</f>
        <v>1697</v>
      </c>
      <c r="C2213" s="19" t="str">
        <f t="shared" si="170"/>
        <v>B-BCP - Soles</v>
      </c>
      <c r="D2213" s="3" t="s">
        <v>1074</v>
      </c>
      <c r="E2213" s="14">
        <v>45834</v>
      </c>
      <c r="F2213" s="5" t="s">
        <v>204</v>
      </c>
      <c r="G2213" s="5" t="s">
        <v>1087</v>
      </c>
      <c r="H2213" s="6"/>
      <c r="I2213" s="6" t="s">
        <v>14</v>
      </c>
      <c r="J2213" s="6" t="s">
        <v>3010</v>
      </c>
      <c r="K2213" s="6">
        <v>80</v>
      </c>
      <c r="L2213" s="7" t="s">
        <v>3301</v>
      </c>
      <c r="M2213" s="8">
        <v>1871822</v>
      </c>
      <c r="N2213" s="8" t="str">
        <f t="shared" si="171"/>
        <v>PEN</v>
      </c>
      <c r="O2213" s="13"/>
      <c r="P2213" s="13">
        <v>27573.5</v>
      </c>
      <c r="Q2213" s="3">
        <f t="shared" si="172"/>
        <v>27573.5</v>
      </c>
      <c r="R2213" s="3">
        <f t="shared" si="173"/>
        <v>0</v>
      </c>
      <c r="S2213" s="3">
        <f t="shared" si="174"/>
        <v>37210.500000000029</v>
      </c>
      <c r="T2213" s="24" t="s">
        <v>1081</v>
      </c>
      <c r="U2213" s="24" t="s">
        <v>1081</v>
      </c>
      <c r="V2213" s="67"/>
      <c r="W2213" s="25" t="str">
        <f>IFERROR(VLOOKUP(BCP_Soles[[#This Row],[DESTINATARIO]],CHOOSE({1,2},Clientes_Proveedores[Razon Social],Clientes_Proveedores[Ruc / Dni]),2,0),"")</f>
        <v/>
      </c>
      <c r="X2213" s="25" t="s">
        <v>1090</v>
      </c>
      <c r="Y2213" s="25" t="s">
        <v>3302</v>
      </c>
      <c r="Z2213" s="25"/>
      <c r="AA2213" s="99"/>
      <c r="AB2213" s="3" t="str">
        <f>IF(BCP_Soles[[#This Row],[FECHA]]&gt;0,TEXT(BCP_Soles[[#This Row],[FECHA]],"mmmm"),0)</f>
        <v>Junio</v>
      </c>
    </row>
    <row r="2214" spans="2:28" ht="24" x14ac:dyDescent="0.3">
      <c r="B2214" s="2">
        <f>IF(BCP_Soles[[#This Row],[TIPO DE R.]]="R",COUNTIFS($D$4:$D2213,"R")+1,"")</f>
        <v>1698</v>
      </c>
      <c r="C2214" s="19" t="str">
        <f t="shared" si="170"/>
        <v>B-BCP - Soles</v>
      </c>
      <c r="D2214" s="3" t="s">
        <v>1074</v>
      </c>
      <c r="E2214" s="14">
        <v>45834</v>
      </c>
      <c r="F2214" s="5" t="s">
        <v>1245</v>
      </c>
      <c r="G2214" s="5" t="s">
        <v>1087</v>
      </c>
      <c r="H2214" s="6"/>
      <c r="I2214" s="6" t="s">
        <v>63</v>
      </c>
      <c r="J2214" s="6">
        <v>1</v>
      </c>
      <c r="K2214" s="6">
        <v>4545</v>
      </c>
      <c r="L2214" s="7" t="s">
        <v>1100</v>
      </c>
      <c r="M2214" s="8">
        <v>3484886</v>
      </c>
      <c r="N2214" s="8" t="str">
        <f t="shared" si="171"/>
        <v>PEN</v>
      </c>
      <c r="O2214" s="13"/>
      <c r="P2214" s="13">
        <v>7771.5</v>
      </c>
      <c r="Q2214" s="3">
        <f t="shared" si="172"/>
        <v>7771.5</v>
      </c>
      <c r="R2214" s="3">
        <f t="shared" si="173"/>
        <v>0</v>
      </c>
      <c r="S2214" s="3">
        <f t="shared" si="174"/>
        <v>44982.000000000029</v>
      </c>
      <c r="T2214" s="24" t="s">
        <v>1081</v>
      </c>
      <c r="U2214" s="24" t="s">
        <v>1081</v>
      </c>
      <c r="V2214" s="67"/>
      <c r="W2214" s="25" t="str">
        <f>IFERROR(VLOOKUP(BCP_Soles[[#This Row],[DESTINATARIO]],CHOOSE({1,2},Clientes_Proveedores[Razon Social],Clientes_Proveedores[Ruc / Dni]),2,0),"")</f>
        <v/>
      </c>
      <c r="X2214" s="25" t="s">
        <v>1090</v>
      </c>
      <c r="Y2214" s="25" t="s">
        <v>3303</v>
      </c>
      <c r="Z2214" s="25"/>
      <c r="AA2214" s="99"/>
      <c r="AB2214" s="3" t="str">
        <f>IF(BCP_Soles[[#This Row],[FECHA]]&gt;0,TEXT(BCP_Soles[[#This Row],[FECHA]],"mmmm"),0)</f>
        <v>Junio</v>
      </c>
    </row>
    <row r="2215" spans="2:28" x14ac:dyDescent="0.3">
      <c r="B2215" s="2">
        <f>IF(BCP_Soles[[#This Row],[TIPO DE R.]]="R",COUNTIFS($D$4:$D2214,"R")+1,"")</f>
        <v>1699</v>
      </c>
      <c r="C2215" s="19" t="str">
        <f t="shared" si="170"/>
        <v>B-BCP - Soles</v>
      </c>
      <c r="D2215" s="3" t="s">
        <v>1074</v>
      </c>
      <c r="E2215" s="14">
        <v>45834</v>
      </c>
      <c r="F2215" s="5"/>
      <c r="G2215" s="5" t="s">
        <v>1087</v>
      </c>
      <c r="H2215" s="6"/>
      <c r="I2215" s="6" t="s">
        <v>63</v>
      </c>
      <c r="J2215" s="6"/>
      <c r="K2215" s="6"/>
      <c r="L2215" s="7" t="s">
        <v>3304</v>
      </c>
      <c r="M2215" s="8">
        <v>916444</v>
      </c>
      <c r="N2215" s="8" t="str">
        <f t="shared" si="171"/>
        <v>PEN</v>
      </c>
      <c r="O2215" s="13"/>
      <c r="P2215" s="13">
        <v>2000</v>
      </c>
      <c r="Q2215" s="3">
        <f t="shared" si="172"/>
        <v>2000</v>
      </c>
      <c r="R2215" s="3">
        <f t="shared" si="173"/>
        <v>0</v>
      </c>
      <c r="S2215" s="3">
        <f t="shared" si="174"/>
        <v>46982.000000000029</v>
      </c>
      <c r="T2215" s="24" t="s">
        <v>1081</v>
      </c>
      <c r="U2215" s="24" t="s">
        <v>1081</v>
      </c>
      <c r="V2215" s="67"/>
      <c r="W2215" s="25" t="str">
        <f>IFERROR(VLOOKUP(BCP_Soles[[#This Row],[DESTINATARIO]],CHOOSE({1,2},Clientes_Proveedores[Razon Social],Clientes_Proveedores[Ruc / Dni]),2,0),"")</f>
        <v/>
      </c>
      <c r="X2215" s="25" t="s">
        <v>1090</v>
      </c>
      <c r="Y2215" s="25"/>
      <c r="Z2215" s="25"/>
      <c r="AA2215" s="99"/>
      <c r="AB2215" s="3" t="str">
        <f>IF(BCP_Soles[[#This Row],[FECHA]]&gt;0,TEXT(BCP_Soles[[#This Row],[FECHA]],"mmmm"),0)</f>
        <v>Junio</v>
      </c>
    </row>
    <row r="2216" spans="2:28" ht="24" x14ac:dyDescent="0.3">
      <c r="B2216" s="2" t="str">
        <f>IF(BCP_Soles[[#This Row],[TIPO DE R.]]="R",COUNTIFS($D$4:$D2215,"R")+1,"")</f>
        <v/>
      </c>
      <c r="C2216" s="19" t="str">
        <f t="shared" si="170"/>
        <v>B-BCP - Soles</v>
      </c>
      <c r="D2216" s="3" t="s">
        <v>1101</v>
      </c>
      <c r="E2216" s="14">
        <v>45834</v>
      </c>
      <c r="F2216" s="5" t="s">
        <v>2906</v>
      </c>
      <c r="G2216" s="5"/>
      <c r="H2216" s="6"/>
      <c r="I2216" s="6" t="s">
        <v>63</v>
      </c>
      <c r="J2216" s="6">
        <v>1</v>
      </c>
      <c r="K2216" s="6">
        <v>4451</v>
      </c>
      <c r="L2216" s="7" t="s">
        <v>3304</v>
      </c>
      <c r="M2216" s="8">
        <v>916444</v>
      </c>
      <c r="N2216" s="8" t="str">
        <f t="shared" si="171"/>
        <v>PEN</v>
      </c>
      <c r="O2216" s="13"/>
      <c r="P2216" s="13">
        <v>606</v>
      </c>
      <c r="Q2216" s="3">
        <f t="shared" si="172"/>
        <v>0</v>
      </c>
      <c r="R2216" s="3">
        <f t="shared" si="173"/>
        <v>0</v>
      </c>
      <c r="S2216" s="3">
        <f t="shared" si="174"/>
        <v>46982.000000000029</v>
      </c>
      <c r="T2216" s="24" t="s">
        <v>1081</v>
      </c>
      <c r="U2216" s="24" t="s">
        <v>1081</v>
      </c>
      <c r="V2216" s="67"/>
      <c r="W2216" s="25" t="str">
        <f>IFERROR(VLOOKUP(BCP_Soles[[#This Row],[DESTINATARIO]],CHOOSE({1,2},Clientes_Proveedores[Razon Social],Clientes_Proveedores[Ruc / Dni]),2,0),"")</f>
        <v/>
      </c>
      <c r="X2216" s="25" t="s">
        <v>1090</v>
      </c>
      <c r="Y2216" s="25" t="s">
        <v>3046</v>
      </c>
      <c r="Z2216" s="25"/>
      <c r="AA2216" s="99"/>
      <c r="AB2216" s="3" t="str">
        <f>IF(BCP_Soles[[#This Row],[FECHA]]&gt;0,TEXT(BCP_Soles[[#This Row],[FECHA]],"mmmm"),0)</f>
        <v>Junio</v>
      </c>
    </row>
    <row r="2217" spans="2:28" ht="24" x14ac:dyDescent="0.3">
      <c r="B2217" s="2" t="str">
        <f>IF(BCP_Soles[[#This Row],[TIPO DE R.]]="R",COUNTIFS($D$4:$D2216,"R")+1,"")</f>
        <v/>
      </c>
      <c r="C2217" s="19" t="str">
        <f t="shared" si="170"/>
        <v>B-BCP - Soles</v>
      </c>
      <c r="D2217" s="3" t="s">
        <v>1101</v>
      </c>
      <c r="E2217" s="14">
        <v>45834</v>
      </c>
      <c r="F2217" s="5" t="s">
        <v>2906</v>
      </c>
      <c r="G2217" s="5"/>
      <c r="H2217" s="6"/>
      <c r="I2217" s="6" t="s">
        <v>63</v>
      </c>
      <c r="J2217" s="6">
        <v>1</v>
      </c>
      <c r="K2217" s="6">
        <v>4454</v>
      </c>
      <c r="L2217" s="7" t="s">
        <v>3304</v>
      </c>
      <c r="M2217" s="8">
        <v>916444</v>
      </c>
      <c r="N2217" s="8" t="str">
        <f t="shared" si="171"/>
        <v>PEN</v>
      </c>
      <c r="O2217" s="13"/>
      <c r="P2217" s="13">
        <v>1394</v>
      </c>
      <c r="Q2217" s="3">
        <f t="shared" si="172"/>
        <v>0</v>
      </c>
      <c r="R2217" s="3">
        <f t="shared" si="173"/>
        <v>0</v>
      </c>
      <c r="S2217" s="3">
        <f t="shared" si="174"/>
        <v>46982.000000000029</v>
      </c>
      <c r="T2217" s="24" t="s">
        <v>1081</v>
      </c>
      <c r="U2217" s="24" t="s">
        <v>1081</v>
      </c>
      <c r="V2217" s="67"/>
      <c r="W2217" s="25" t="str">
        <f>IFERROR(VLOOKUP(BCP_Soles[[#This Row],[DESTINATARIO]],CHOOSE({1,2},Clientes_Proveedores[Razon Social],Clientes_Proveedores[Ruc / Dni]),2,0),"")</f>
        <v/>
      </c>
      <c r="X2217" s="25" t="s">
        <v>1090</v>
      </c>
      <c r="Y2217" s="25" t="s">
        <v>3305</v>
      </c>
      <c r="Z2217" s="25"/>
      <c r="AA2217" s="99"/>
      <c r="AB2217" s="3" t="str">
        <f>IF(BCP_Soles[[#This Row],[FECHA]]&gt;0,TEXT(BCP_Soles[[#This Row],[FECHA]],"mmmm"),0)</f>
        <v>Junio</v>
      </c>
    </row>
    <row r="2218" spans="2:28" x14ac:dyDescent="0.3">
      <c r="B2218" s="2">
        <f>IF(BCP_Soles[[#This Row],[TIPO DE R.]]="R",COUNTIFS($D$4:$D2217,"R")+1,"")</f>
        <v>1700</v>
      </c>
      <c r="C2218" s="19" t="str">
        <f t="shared" si="170"/>
        <v>B-BCP - Soles</v>
      </c>
      <c r="D2218" s="3" t="s">
        <v>1074</v>
      </c>
      <c r="E2218" s="14">
        <v>45834</v>
      </c>
      <c r="F2218" s="5"/>
      <c r="G2218" s="5" t="s">
        <v>1087</v>
      </c>
      <c r="H2218" s="6"/>
      <c r="I2218" s="6"/>
      <c r="J2218" s="6"/>
      <c r="K2218" s="6"/>
      <c r="L2218" s="7" t="s">
        <v>1100</v>
      </c>
      <c r="M2218" s="8">
        <v>2613725</v>
      </c>
      <c r="N2218" s="8" t="str">
        <f t="shared" si="171"/>
        <v>PEN</v>
      </c>
      <c r="O2218" s="13"/>
      <c r="P2218" s="13">
        <v>1233.5999999999999</v>
      </c>
      <c r="Q2218" s="3">
        <f t="shared" si="172"/>
        <v>1233.5999999999999</v>
      </c>
      <c r="R2218" s="3">
        <f t="shared" si="173"/>
        <v>0</v>
      </c>
      <c r="S2218" s="3">
        <f t="shared" si="174"/>
        <v>48215.600000000028</v>
      </c>
      <c r="T2218" s="24"/>
      <c r="U2218" s="24"/>
      <c r="V2218" s="67"/>
      <c r="W2218" s="25" t="str">
        <f>IFERROR(VLOOKUP(BCP_Soles[[#This Row],[DESTINATARIO]],CHOOSE({1,2},Clientes_Proveedores[Razon Social],Clientes_Proveedores[Ruc / Dni]),2,0),"")</f>
        <v/>
      </c>
      <c r="X2218" s="25"/>
      <c r="Y2218" s="25"/>
      <c r="Z2218" s="25"/>
      <c r="AA2218" s="99"/>
      <c r="AB2218" s="3" t="str">
        <f>IF(BCP_Soles[[#This Row],[FECHA]]&gt;0,TEXT(BCP_Soles[[#This Row],[FECHA]],"mmmm"),0)</f>
        <v>Junio</v>
      </c>
    </row>
    <row r="2219" spans="2:28" x14ac:dyDescent="0.3">
      <c r="B2219" s="2">
        <f>IF(BCP_Soles[[#This Row],[TIPO DE R.]]="R",COUNTIFS($D$4:$D2218,"R")+1,"")</f>
        <v>1701</v>
      </c>
      <c r="C2219" s="19" t="str">
        <f t="shared" si="170"/>
        <v>B-BCP - Soles</v>
      </c>
      <c r="D2219" s="3" t="s">
        <v>1074</v>
      </c>
      <c r="E2219" s="14">
        <v>45834</v>
      </c>
      <c r="F2219" s="5" t="s">
        <v>167</v>
      </c>
      <c r="G2219" s="5" t="s">
        <v>1087</v>
      </c>
      <c r="H2219" s="6"/>
      <c r="I2219" s="6" t="s">
        <v>14</v>
      </c>
      <c r="J2219" s="6" t="s">
        <v>1521</v>
      </c>
      <c r="K2219" s="6">
        <v>117</v>
      </c>
      <c r="L2219" s="7" t="s">
        <v>1622</v>
      </c>
      <c r="M2219" s="8">
        <v>2199506</v>
      </c>
      <c r="N2219" s="8" t="str">
        <f t="shared" si="171"/>
        <v>PEN</v>
      </c>
      <c r="O2219" s="13"/>
      <c r="P2219" s="13">
        <v>1080.67</v>
      </c>
      <c r="Q2219" s="3">
        <f t="shared" si="172"/>
        <v>1080.67</v>
      </c>
      <c r="R2219" s="3">
        <f t="shared" si="173"/>
        <v>0</v>
      </c>
      <c r="S2219" s="3">
        <f t="shared" si="174"/>
        <v>49296.270000000026</v>
      </c>
      <c r="T2219" s="24" t="s">
        <v>1081</v>
      </c>
      <c r="U2219" s="24" t="s">
        <v>1081</v>
      </c>
      <c r="V2219" s="67"/>
      <c r="W2219" s="25" t="str">
        <f>IFERROR(VLOOKUP(BCP_Soles[[#This Row],[DESTINATARIO]],CHOOSE({1,2},Clientes_Proveedores[Razon Social],Clientes_Proveedores[Ruc / Dni]),2,0),"")</f>
        <v/>
      </c>
      <c r="X2219" s="25" t="s">
        <v>1090</v>
      </c>
      <c r="Y2219" s="25" t="s">
        <v>3306</v>
      </c>
      <c r="Z2219" s="25"/>
      <c r="AA2219" s="99"/>
      <c r="AB2219" s="3" t="str">
        <f>IF(BCP_Soles[[#This Row],[FECHA]]&gt;0,TEXT(BCP_Soles[[#This Row],[FECHA]],"mmmm"),0)</f>
        <v>Junio</v>
      </c>
    </row>
    <row r="2220" spans="2:28" ht="24" x14ac:dyDescent="0.3">
      <c r="B2220" s="2">
        <f>IF(BCP_Soles[[#This Row],[TIPO DE R.]]="R",COUNTIFS($D$4:$D2219,"R")+1,"")</f>
        <v>1702</v>
      </c>
      <c r="C2220" s="19" t="str">
        <f t="shared" si="170"/>
        <v>B-BCP - Soles</v>
      </c>
      <c r="D2220" s="3" t="s">
        <v>1074</v>
      </c>
      <c r="E2220" s="14">
        <v>45834</v>
      </c>
      <c r="F2220" s="5" t="s">
        <v>147</v>
      </c>
      <c r="G2220" s="5" t="s">
        <v>1087</v>
      </c>
      <c r="H2220" s="6"/>
      <c r="I2220" s="6" t="s">
        <v>14</v>
      </c>
      <c r="J2220" s="6" t="s">
        <v>3010</v>
      </c>
      <c r="K2220" s="6">
        <v>51</v>
      </c>
      <c r="L2220" s="7" t="s">
        <v>3307</v>
      </c>
      <c r="M2220" s="8">
        <v>1748227</v>
      </c>
      <c r="N2220" s="8" t="str">
        <f t="shared" si="171"/>
        <v>PEN</v>
      </c>
      <c r="O2220" s="13"/>
      <c r="P2220" s="13">
        <v>766.88</v>
      </c>
      <c r="Q2220" s="3">
        <f t="shared" si="172"/>
        <v>766.88</v>
      </c>
      <c r="R2220" s="3">
        <f t="shared" si="173"/>
        <v>0</v>
      </c>
      <c r="S2220" s="3">
        <f t="shared" si="174"/>
        <v>50063.150000000023</v>
      </c>
      <c r="T2220" s="24" t="s">
        <v>1081</v>
      </c>
      <c r="U2220" s="24" t="s">
        <v>1081</v>
      </c>
      <c r="V2220" s="67"/>
      <c r="W2220" s="25" t="str">
        <f>IFERROR(VLOOKUP(BCP_Soles[[#This Row],[DESTINATARIO]],CHOOSE({1,2},Clientes_Proveedores[Razon Social],Clientes_Proveedores[Ruc / Dni]),2,0),"")</f>
        <v/>
      </c>
      <c r="X2220" s="25" t="s">
        <v>1090</v>
      </c>
      <c r="Y2220" s="25" t="s">
        <v>3308</v>
      </c>
      <c r="Z2220" s="25"/>
      <c r="AA2220" s="99"/>
      <c r="AB2220" s="3" t="str">
        <f>IF(BCP_Soles[[#This Row],[FECHA]]&gt;0,TEXT(BCP_Soles[[#This Row],[FECHA]],"mmmm"),0)</f>
        <v>Junio</v>
      </c>
    </row>
    <row r="2221" spans="2:28" ht="36" x14ac:dyDescent="0.3">
      <c r="B2221" s="2">
        <f>IF(BCP_Soles[[#This Row],[TIPO DE R.]]="R",COUNTIFS($D$4:$D2220,"R")+1,"")</f>
        <v>1703</v>
      </c>
      <c r="C2221" s="19" t="str">
        <f t="shared" si="170"/>
        <v>B-BCP - Soles</v>
      </c>
      <c r="D2221" s="3" t="s">
        <v>1074</v>
      </c>
      <c r="E2221" s="14">
        <v>45834</v>
      </c>
      <c r="F2221" s="5" t="s">
        <v>180</v>
      </c>
      <c r="G2221" s="5" t="s">
        <v>1087</v>
      </c>
      <c r="H2221" s="6"/>
      <c r="I2221" s="6" t="s">
        <v>14</v>
      </c>
      <c r="J2221" s="6" t="s">
        <v>1521</v>
      </c>
      <c r="K2221" s="6">
        <v>124</v>
      </c>
      <c r="L2221" s="7" t="s">
        <v>3309</v>
      </c>
      <c r="M2221" s="8">
        <v>1967226</v>
      </c>
      <c r="N2221" s="8" t="str">
        <f t="shared" si="171"/>
        <v>PEN</v>
      </c>
      <c r="O2221" s="13"/>
      <c r="P2221" s="13">
        <v>1871.36</v>
      </c>
      <c r="Q2221" s="3">
        <f t="shared" si="172"/>
        <v>1871.36</v>
      </c>
      <c r="R2221" s="3">
        <f t="shared" si="173"/>
        <v>0</v>
      </c>
      <c r="S2221" s="3">
        <f t="shared" si="174"/>
        <v>51934.510000000024</v>
      </c>
      <c r="T2221" s="24" t="s">
        <v>1081</v>
      </c>
      <c r="U2221" s="24" t="s">
        <v>1081</v>
      </c>
      <c r="V2221" s="67"/>
      <c r="W2221" s="25" t="str">
        <f>IFERROR(VLOOKUP(BCP_Soles[[#This Row],[DESTINATARIO]],CHOOSE({1,2},Clientes_Proveedores[Razon Social],Clientes_Proveedores[Ruc / Dni]),2,0),"")</f>
        <v/>
      </c>
      <c r="X2221" s="25" t="s">
        <v>1090</v>
      </c>
      <c r="Y2221" s="25" t="s">
        <v>3310</v>
      </c>
      <c r="Z2221" s="25"/>
      <c r="AA2221" s="99"/>
      <c r="AB2221" s="3" t="str">
        <f>IF(BCP_Soles[[#This Row],[FECHA]]&gt;0,TEXT(BCP_Soles[[#This Row],[FECHA]],"mmmm"),0)</f>
        <v>Junio</v>
      </c>
    </row>
    <row r="2222" spans="2:28" ht="24" x14ac:dyDescent="0.3">
      <c r="B2222" s="2">
        <f>IF(BCP_Soles[[#This Row],[TIPO DE R.]]="R",COUNTIFS($D$4:$D2221,"R")+1,"")</f>
        <v>1704</v>
      </c>
      <c r="C2222" s="19" t="str">
        <f t="shared" si="170"/>
        <v>B-BCP - Soles</v>
      </c>
      <c r="D2222" s="3" t="s">
        <v>1074</v>
      </c>
      <c r="E2222" s="14">
        <v>45834</v>
      </c>
      <c r="F2222" s="5" t="s">
        <v>1075</v>
      </c>
      <c r="G2222" s="5" t="s">
        <v>1079</v>
      </c>
      <c r="H2222" s="6" t="s">
        <v>600</v>
      </c>
      <c r="I2222" s="6" t="s">
        <v>14</v>
      </c>
      <c r="J2222" s="6" t="s">
        <v>1121</v>
      </c>
      <c r="K2222" s="6">
        <v>44</v>
      </c>
      <c r="L2222" s="7" t="s">
        <v>3311</v>
      </c>
      <c r="M2222" s="8">
        <v>1226676</v>
      </c>
      <c r="N2222" s="8" t="str">
        <f t="shared" si="171"/>
        <v>PEN</v>
      </c>
      <c r="O2222" s="13"/>
      <c r="P2222" s="13">
        <v>1500</v>
      </c>
      <c r="Q2222" s="3">
        <f t="shared" si="172"/>
        <v>0</v>
      </c>
      <c r="R2222" s="3">
        <f t="shared" si="173"/>
        <v>1500</v>
      </c>
      <c r="S2222" s="3">
        <f t="shared" si="174"/>
        <v>50434.510000000024</v>
      </c>
      <c r="T2222" s="24" t="s">
        <v>1081</v>
      </c>
      <c r="U2222" s="24" t="s">
        <v>1081</v>
      </c>
      <c r="V2222" s="104" t="s">
        <v>3312</v>
      </c>
      <c r="W2222" s="25">
        <f>IFERROR(VLOOKUP(BCP_Soles[[#This Row],[DESTINATARIO]],CHOOSE({1,2},Clientes_Proveedores[Razon Social],Clientes_Proveedores[Ruc / Dni]),2,0),"")</f>
        <v>15609125303</v>
      </c>
      <c r="X2222" s="25" t="s">
        <v>600</v>
      </c>
      <c r="Y2222" s="25" t="s">
        <v>2321</v>
      </c>
      <c r="Z2222" s="25"/>
      <c r="AA2222" s="99"/>
      <c r="AB2222" s="3" t="str">
        <f>IF(BCP_Soles[[#This Row],[FECHA]]&gt;0,TEXT(BCP_Soles[[#This Row],[FECHA]],"mmmm"),0)</f>
        <v>Junio</v>
      </c>
    </row>
    <row r="2223" spans="2:28" ht="36" x14ac:dyDescent="0.3">
      <c r="B2223" s="2">
        <f>IF(BCP_Soles[[#This Row],[TIPO DE R.]]="R",COUNTIFS($D$4:$D2222,"R")+1,"")</f>
        <v>1705</v>
      </c>
      <c r="C2223" s="19" t="str">
        <f t="shared" si="170"/>
        <v>B-BCP - Soles</v>
      </c>
      <c r="D2223" s="3" t="s">
        <v>1074</v>
      </c>
      <c r="E2223" s="14">
        <v>45834</v>
      </c>
      <c r="F2223" s="5" t="s">
        <v>1075</v>
      </c>
      <c r="G2223" s="5" t="s">
        <v>1079</v>
      </c>
      <c r="H2223" s="6" t="s">
        <v>76</v>
      </c>
      <c r="I2223" s="6" t="s">
        <v>14</v>
      </c>
      <c r="J2223" s="6" t="s">
        <v>1121</v>
      </c>
      <c r="K2223" s="6">
        <v>745</v>
      </c>
      <c r="L2223" s="7" t="s">
        <v>3313</v>
      </c>
      <c r="M2223" s="8">
        <v>1226675</v>
      </c>
      <c r="N2223" s="8" t="str">
        <f t="shared" si="171"/>
        <v>PEN</v>
      </c>
      <c r="O2223" s="13"/>
      <c r="P2223" s="13">
        <v>290</v>
      </c>
      <c r="Q2223" s="3">
        <f t="shared" si="172"/>
        <v>0</v>
      </c>
      <c r="R2223" s="3">
        <f t="shared" si="173"/>
        <v>290</v>
      </c>
      <c r="S2223" s="3">
        <f t="shared" si="174"/>
        <v>50144.510000000024</v>
      </c>
      <c r="T2223" s="24" t="s">
        <v>1081</v>
      </c>
      <c r="U2223" s="24" t="s">
        <v>1081</v>
      </c>
      <c r="V2223" s="104" t="s">
        <v>3314</v>
      </c>
      <c r="W2223" s="25">
        <f>IFERROR(VLOOKUP(BCP_Soles[[#This Row],[DESTINATARIO]],CHOOSE({1,2},Clientes_Proveedores[Razon Social],Clientes_Proveedores[Ruc / Dni]),2,0),"")</f>
        <v>10296695781</v>
      </c>
      <c r="X2223" s="25" t="s">
        <v>76</v>
      </c>
      <c r="Y2223" s="25" t="s">
        <v>3315</v>
      </c>
      <c r="Z2223" s="25"/>
      <c r="AA2223" s="99"/>
      <c r="AB2223" s="3" t="str">
        <f>IF(BCP_Soles[[#This Row],[FECHA]]&gt;0,TEXT(BCP_Soles[[#This Row],[FECHA]],"mmmm"),0)</f>
        <v>Junio</v>
      </c>
    </row>
    <row r="2224" spans="2:28" ht="24" x14ac:dyDescent="0.3">
      <c r="B2224" s="2">
        <f>IF(BCP_Soles[[#This Row],[TIPO DE R.]]="R",COUNTIFS($D$4:$D2223,"R")+1,"")</f>
        <v>1706</v>
      </c>
      <c r="C2224" s="19" t="str">
        <f t="shared" si="170"/>
        <v>B-BCP - Soles</v>
      </c>
      <c r="D2224" s="3" t="s">
        <v>1074</v>
      </c>
      <c r="E2224" s="14">
        <v>45834</v>
      </c>
      <c r="F2224" s="5" t="s">
        <v>1075</v>
      </c>
      <c r="G2224" s="5" t="s">
        <v>1079</v>
      </c>
      <c r="H2224" s="6"/>
      <c r="I2224" s="6" t="s">
        <v>14</v>
      </c>
      <c r="J2224" s="6" t="s">
        <v>1121</v>
      </c>
      <c r="K2224" s="6">
        <v>660</v>
      </c>
      <c r="L2224" s="7" t="s">
        <v>3316</v>
      </c>
      <c r="M2224" s="8">
        <v>1224744</v>
      </c>
      <c r="N2224" s="8" t="str">
        <f t="shared" si="171"/>
        <v>PEN</v>
      </c>
      <c r="O2224" s="13"/>
      <c r="P2224" s="13">
        <v>667.7</v>
      </c>
      <c r="Q2224" s="3">
        <f t="shared" si="172"/>
        <v>0</v>
      </c>
      <c r="R2224" s="3">
        <f t="shared" si="173"/>
        <v>667.7</v>
      </c>
      <c r="S2224" s="3">
        <f t="shared" si="174"/>
        <v>49476.810000000027</v>
      </c>
      <c r="T2224" s="24" t="s">
        <v>1081</v>
      </c>
      <c r="U2224" s="24" t="s">
        <v>1081</v>
      </c>
      <c r="V2224" s="104" t="s">
        <v>3317</v>
      </c>
      <c r="W2224" s="25" t="str">
        <f>IFERROR(VLOOKUP(BCP_Soles[[#This Row],[DESTINATARIO]],CHOOSE({1,2},Clientes_Proveedores[Razon Social],Clientes_Proveedores[Ruc / Dni]),2,0),"")</f>
        <v/>
      </c>
      <c r="X2224" s="25" t="s">
        <v>3099</v>
      </c>
      <c r="Y2224" s="25" t="s">
        <v>3318</v>
      </c>
      <c r="Z2224" s="25"/>
      <c r="AA2224" s="99"/>
      <c r="AB2224" s="3" t="str">
        <f>IF(BCP_Soles[[#This Row],[FECHA]]&gt;0,TEXT(BCP_Soles[[#This Row],[FECHA]],"mmmm"),0)</f>
        <v>Junio</v>
      </c>
    </row>
    <row r="2225" spans="2:28" ht="24" x14ac:dyDescent="0.3">
      <c r="B2225" s="2">
        <f>IF(BCP_Soles[[#This Row],[TIPO DE R.]]="R",COUNTIFS($D$4:$D2224,"R")+1,"")</f>
        <v>1707</v>
      </c>
      <c r="C2225" s="19" t="str">
        <f t="shared" si="170"/>
        <v>B-BCP - Soles</v>
      </c>
      <c r="D2225" s="3" t="s">
        <v>1074</v>
      </c>
      <c r="E2225" s="14">
        <v>45834</v>
      </c>
      <c r="F2225" s="5" t="s">
        <v>1075</v>
      </c>
      <c r="G2225" s="5" t="s">
        <v>1079</v>
      </c>
      <c r="H2225" s="6" t="s">
        <v>650</v>
      </c>
      <c r="I2225" s="6" t="s">
        <v>14</v>
      </c>
      <c r="J2225" s="6" t="s">
        <v>1395</v>
      </c>
      <c r="K2225" s="6">
        <v>299686</v>
      </c>
      <c r="L2225" s="7" t="s">
        <v>3273</v>
      </c>
      <c r="M2225" s="8">
        <v>225218</v>
      </c>
      <c r="N2225" s="8" t="str">
        <f t="shared" si="171"/>
        <v>PEN</v>
      </c>
      <c r="O2225" s="13"/>
      <c r="P2225" s="13">
        <v>512.12</v>
      </c>
      <c r="Q2225" s="3">
        <f t="shared" si="172"/>
        <v>0</v>
      </c>
      <c r="R2225" s="3">
        <f t="shared" si="173"/>
        <v>512.12</v>
      </c>
      <c r="S2225" s="3">
        <f t="shared" si="174"/>
        <v>48964.690000000024</v>
      </c>
      <c r="T2225" s="24"/>
      <c r="U2225" s="24"/>
      <c r="V2225" s="104" t="s">
        <v>3319</v>
      </c>
      <c r="W2225" s="25">
        <f>IFERROR(VLOOKUP(BCP_Soles[[#This Row],[DESTINATARIO]],CHOOSE({1,2},Clientes_Proveedores[Razon Social],Clientes_Proveedores[Ruc / Dni]),2,0),"")</f>
        <v>20467534026</v>
      </c>
      <c r="X2225" s="25" t="s">
        <v>1397</v>
      </c>
      <c r="Y2225" s="25" t="s">
        <v>3320</v>
      </c>
      <c r="Z2225" s="25"/>
      <c r="AA2225" s="99"/>
      <c r="AB2225" s="3" t="str">
        <f>IF(BCP_Soles[[#This Row],[FECHA]]&gt;0,TEXT(BCP_Soles[[#This Row],[FECHA]],"mmmm"),0)</f>
        <v>Junio</v>
      </c>
    </row>
    <row r="2226" spans="2:28" x14ac:dyDescent="0.3">
      <c r="B2226" s="2">
        <f>IF(BCP_Soles[[#This Row],[TIPO DE R.]]="R",COUNTIFS($D$4:$D2225,"R")+1,"")</f>
        <v>1708</v>
      </c>
      <c r="C2226" s="19" t="str">
        <f t="shared" si="170"/>
        <v>B-BCP - Soles</v>
      </c>
      <c r="D2226" s="3" t="s">
        <v>1074</v>
      </c>
      <c r="E2226" s="14">
        <v>45834</v>
      </c>
      <c r="F2226" s="5" t="s">
        <v>1075</v>
      </c>
      <c r="G2226" s="5" t="s">
        <v>1079</v>
      </c>
      <c r="H2226" s="6" t="s">
        <v>638</v>
      </c>
      <c r="I2226" s="6"/>
      <c r="J2226" s="6"/>
      <c r="K2226" s="6"/>
      <c r="L2226" s="7" t="s">
        <v>3321</v>
      </c>
      <c r="M2226" s="8">
        <v>1883801</v>
      </c>
      <c r="N2226" s="8" t="str">
        <f t="shared" si="171"/>
        <v>PEN</v>
      </c>
      <c r="O2226" s="13"/>
      <c r="P2226" s="13">
        <v>6899.35</v>
      </c>
      <c r="Q2226" s="3">
        <f t="shared" si="172"/>
        <v>0</v>
      </c>
      <c r="R2226" s="3">
        <f t="shared" si="173"/>
        <v>6899.35</v>
      </c>
      <c r="S2226" s="3">
        <f t="shared" si="174"/>
        <v>42065.340000000026</v>
      </c>
      <c r="T2226" s="24" t="s">
        <v>1081</v>
      </c>
      <c r="U2226" s="24" t="s">
        <v>1081</v>
      </c>
      <c r="V2226" s="104" t="s">
        <v>3322</v>
      </c>
      <c r="W2226" s="25">
        <f>IFERROR(VLOOKUP(BCP_Soles[[#This Row],[DESTINATARIO]],CHOOSE({1,2},Clientes_Proveedores[Razon Social],Clientes_Proveedores[Ruc / Dni]),2,0),"")</f>
        <v>0</v>
      </c>
      <c r="X2226" s="25" t="s">
        <v>1118</v>
      </c>
      <c r="Y2226" s="25"/>
      <c r="Z2226" s="25"/>
      <c r="AA2226" s="99"/>
      <c r="AB2226" s="3" t="str">
        <f>IF(BCP_Soles[[#This Row],[FECHA]]&gt;0,TEXT(BCP_Soles[[#This Row],[FECHA]],"mmmm"),0)</f>
        <v>Junio</v>
      </c>
    </row>
    <row r="2227" spans="2:28" x14ac:dyDescent="0.3">
      <c r="B2227" s="2" t="str">
        <f>IF(BCP_Soles[[#This Row],[TIPO DE R.]]="R",COUNTIFS($D$4:$D2226,"R")+1,"")</f>
        <v/>
      </c>
      <c r="C2227" s="19" t="str">
        <f t="shared" si="170"/>
        <v>B-BCP - Soles</v>
      </c>
      <c r="D2227" s="3" t="s">
        <v>1101</v>
      </c>
      <c r="E2227" s="14">
        <v>45834</v>
      </c>
      <c r="F2227" s="5" t="s">
        <v>1075</v>
      </c>
      <c r="G2227" s="5"/>
      <c r="H2227" s="6" t="s">
        <v>580</v>
      </c>
      <c r="I2227" s="6" t="s">
        <v>14</v>
      </c>
      <c r="J2227" s="6" t="s">
        <v>1119</v>
      </c>
      <c r="K2227" s="6">
        <v>16505</v>
      </c>
      <c r="L2227" s="7" t="s">
        <v>3321</v>
      </c>
      <c r="M2227" s="8">
        <v>1883801</v>
      </c>
      <c r="N2227" s="8" t="str">
        <f t="shared" si="171"/>
        <v>PEN</v>
      </c>
      <c r="O2227" s="13">
        <v>790.36</v>
      </c>
      <c r="P2227" s="13"/>
      <c r="Q2227" s="3">
        <f t="shared" si="172"/>
        <v>0</v>
      </c>
      <c r="R2227" s="3">
        <f t="shared" si="173"/>
        <v>0</v>
      </c>
      <c r="S2227" s="3">
        <f t="shared" si="174"/>
        <v>42065.340000000026</v>
      </c>
      <c r="T2227" s="24" t="s">
        <v>1081</v>
      </c>
      <c r="U2227" s="24" t="s">
        <v>1081</v>
      </c>
      <c r="V2227" s="104" t="s">
        <v>3322</v>
      </c>
      <c r="W2227" s="25">
        <f>IFERROR(VLOOKUP(BCP_Soles[[#This Row],[DESTINATARIO]],CHOOSE({1,2},Clientes_Proveedores[Razon Social],Clientes_Proveedores[Ruc / Dni]),2,0),"")</f>
        <v>20602484344</v>
      </c>
      <c r="X2227" s="25"/>
      <c r="Y2227" s="25"/>
      <c r="Z2227" s="25"/>
      <c r="AA2227" s="99"/>
      <c r="AB2227" s="3" t="str">
        <f>IF(BCP_Soles[[#This Row],[FECHA]]&gt;0,TEXT(BCP_Soles[[#This Row],[FECHA]],"mmmm"),0)</f>
        <v>Junio</v>
      </c>
    </row>
    <row r="2228" spans="2:28" ht="36" x14ac:dyDescent="0.3">
      <c r="B2228" s="2" t="str">
        <f>IF(BCP_Soles[[#This Row],[TIPO DE R.]]="R",COUNTIFS($D$4:$D2227,"R")+1,"")</f>
        <v/>
      </c>
      <c r="C2228" s="19" t="str">
        <f t="shared" si="170"/>
        <v>B-BCP - Soles</v>
      </c>
      <c r="D2228" s="3" t="s">
        <v>1101</v>
      </c>
      <c r="E2228" s="14">
        <v>45834</v>
      </c>
      <c r="F2228" s="5" t="s">
        <v>1075</v>
      </c>
      <c r="G2228" s="5"/>
      <c r="H2228" s="6" t="s">
        <v>220</v>
      </c>
      <c r="I2228" s="6" t="s">
        <v>14</v>
      </c>
      <c r="J2228" s="6" t="s">
        <v>1148</v>
      </c>
      <c r="K2228" s="6">
        <v>1767</v>
      </c>
      <c r="L2228" s="7" t="s">
        <v>3321</v>
      </c>
      <c r="M2228" s="8">
        <v>1883801</v>
      </c>
      <c r="N2228" s="8" t="str">
        <f t="shared" si="171"/>
        <v>PEN</v>
      </c>
      <c r="O2228" s="13">
        <v>1728</v>
      </c>
      <c r="P2228" s="13"/>
      <c r="Q2228" s="3">
        <f t="shared" si="172"/>
        <v>0</v>
      </c>
      <c r="R2228" s="3">
        <f t="shared" si="173"/>
        <v>0</v>
      </c>
      <c r="S2228" s="3">
        <f t="shared" si="174"/>
        <v>42065.340000000026</v>
      </c>
      <c r="T2228" s="24" t="s">
        <v>1081</v>
      </c>
      <c r="U2228" s="24" t="s">
        <v>1081</v>
      </c>
      <c r="V2228" s="104" t="s">
        <v>3322</v>
      </c>
      <c r="W2228" s="25">
        <f>IFERROR(VLOOKUP(BCP_Soles[[#This Row],[DESTINATARIO]],CHOOSE({1,2},Clientes_Proveedores[Razon Social],Clientes_Proveedores[Ruc / Dni]),2,0),"")</f>
        <v>20429640939</v>
      </c>
      <c r="X2228" s="25"/>
      <c r="Y2228" s="25"/>
      <c r="Z2228" s="25"/>
      <c r="AA2228" s="99"/>
      <c r="AB2228" s="3" t="str">
        <f>IF(BCP_Soles[[#This Row],[FECHA]]&gt;0,TEXT(BCP_Soles[[#This Row],[FECHA]],"mmmm"),0)</f>
        <v>Junio</v>
      </c>
    </row>
    <row r="2229" spans="2:28" ht="36" x14ac:dyDescent="0.3">
      <c r="B2229" s="2" t="str">
        <f>IF(BCP_Soles[[#This Row],[TIPO DE R.]]="R",COUNTIFS($D$4:$D2228,"R")+1,"")</f>
        <v/>
      </c>
      <c r="C2229" s="19" t="str">
        <f t="shared" si="170"/>
        <v>B-BCP - Soles</v>
      </c>
      <c r="D2229" s="3" t="s">
        <v>1101</v>
      </c>
      <c r="E2229" s="14">
        <v>45834</v>
      </c>
      <c r="F2229" s="5" t="s">
        <v>1075</v>
      </c>
      <c r="G2229" s="5"/>
      <c r="H2229" s="6" t="s">
        <v>220</v>
      </c>
      <c r="I2229" s="6" t="s">
        <v>14</v>
      </c>
      <c r="J2229" s="6" t="s">
        <v>1148</v>
      </c>
      <c r="K2229" s="6">
        <v>1788</v>
      </c>
      <c r="L2229" s="7" t="s">
        <v>3321</v>
      </c>
      <c r="M2229" s="8">
        <v>1883801</v>
      </c>
      <c r="N2229" s="8" t="str">
        <f t="shared" si="171"/>
        <v>PEN</v>
      </c>
      <c r="O2229" s="13">
        <v>2544</v>
      </c>
      <c r="P2229" s="13"/>
      <c r="Q2229" s="3">
        <f t="shared" si="172"/>
        <v>0</v>
      </c>
      <c r="R2229" s="3">
        <f t="shared" si="173"/>
        <v>0</v>
      </c>
      <c r="S2229" s="3">
        <f t="shared" si="174"/>
        <v>42065.340000000026</v>
      </c>
      <c r="T2229" s="24" t="s">
        <v>1081</v>
      </c>
      <c r="U2229" s="24" t="s">
        <v>1081</v>
      </c>
      <c r="V2229" s="104" t="s">
        <v>3322</v>
      </c>
      <c r="W2229" s="25">
        <f>IFERROR(VLOOKUP(BCP_Soles[[#This Row],[DESTINATARIO]],CHOOSE({1,2},Clientes_Proveedores[Razon Social],Clientes_Proveedores[Ruc / Dni]),2,0),"")</f>
        <v>20429640939</v>
      </c>
      <c r="X2229" s="25"/>
      <c r="Y2229" s="25"/>
      <c r="Z2229" s="25"/>
      <c r="AA2229" s="99"/>
      <c r="AB2229" s="3" t="str">
        <f>IF(BCP_Soles[[#This Row],[FECHA]]&gt;0,TEXT(BCP_Soles[[#This Row],[FECHA]],"mmmm"),0)</f>
        <v>Junio</v>
      </c>
    </row>
    <row r="2230" spans="2:28" ht="36" x14ac:dyDescent="0.3">
      <c r="B2230" s="2" t="str">
        <f>IF(BCP_Soles[[#This Row],[TIPO DE R.]]="R",COUNTIFS($D$4:$D2229,"R")+1,"")</f>
        <v/>
      </c>
      <c r="C2230" s="19" t="str">
        <f t="shared" si="170"/>
        <v>B-BCP - Soles</v>
      </c>
      <c r="D2230" s="3" t="s">
        <v>1101</v>
      </c>
      <c r="E2230" s="14">
        <v>45834</v>
      </c>
      <c r="F2230" s="5" t="s">
        <v>1075</v>
      </c>
      <c r="G2230" s="5"/>
      <c r="H2230" s="6" t="s">
        <v>220</v>
      </c>
      <c r="I2230" s="6" t="s">
        <v>14</v>
      </c>
      <c r="J2230" s="6" t="s">
        <v>1148</v>
      </c>
      <c r="K2230" s="6">
        <v>1787</v>
      </c>
      <c r="L2230" s="7" t="s">
        <v>3321</v>
      </c>
      <c r="M2230" s="8">
        <v>1883801</v>
      </c>
      <c r="N2230" s="8" t="str">
        <f t="shared" si="171"/>
        <v>PEN</v>
      </c>
      <c r="O2230" s="13">
        <v>1728</v>
      </c>
      <c r="P2230" s="13"/>
      <c r="Q2230" s="3">
        <f t="shared" si="172"/>
        <v>0</v>
      </c>
      <c r="R2230" s="3">
        <f t="shared" si="173"/>
        <v>0</v>
      </c>
      <c r="S2230" s="3">
        <f t="shared" si="174"/>
        <v>42065.340000000026</v>
      </c>
      <c r="T2230" s="24" t="s">
        <v>1081</v>
      </c>
      <c r="U2230" s="24" t="s">
        <v>1081</v>
      </c>
      <c r="V2230" s="104" t="s">
        <v>3322</v>
      </c>
      <c r="W2230" s="25">
        <f>IFERROR(VLOOKUP(BCP_Soles[[#This Row],[DESTINATARIO]],CHOOSE({1,2},Clientes_Proveedores[Razon Social],Clientes_Proveedores[Ruc / Dni]),2,0),"")</f>
        <v>20429640939</v>
      </c>
      <c r="X2230" s="25"/>
      <c r="Y2230" s="25"/>
      <c r="Z2230" s="25"/>
      <c r="AA2230" s="99"/>
      <c r="AB2230" s="3" t="str">
        <f>IF(BCP_Soles[[#This Row],[FECHA]]&gt;0,TEXT(BCP_Soles[[#This Row],[FECHA]],"mmmm"),0)</f>
        <v>Junio</v>
      </c>
    </row>
    <row r="2231" spans="2:28" x14ac:dyDescent="0.3">
      <c r="B2231" s="2" t="str">
        <f>IF(BCP_Soles[[#This Row],[TIPO DE R.]]="R",COUNTIFS($D$4:$D2230,"R")+1,"")</f>
        <v/>
      </c>
      <c r="C2231" s="19" t="str">
        <f t="shared" si="170"/>
        <v>B-BCP - Soles</v>
      </c>
      <c r="D2231" s="3" t="s">
        <v>1101</v>
      </c>
      <c r="E2231" s="14">
        <v>45834</v>
      </c>
      <c r="F2231" s="5" t="s">
        <v>1075</v>
      </c>
      <c r="G2231" s="5"/>
      <c r="H2231" s="6" t="s">
        <v>229</v>
      </c>
      <c r="I2231" s="6" t="s">
        <v>14</v>
      </c>
      <c r="J2231" s="6" t="s">
        <v>1148</v>
      </c>
      <c r="K2231" s="6">
        <v>627</v>
      </c>
      <c r="L2231" s="7" t="s">
        <v>3321</v>
      </c>
      <c r="M2231" s="8">
        <v>1883801</v>
      </c>
      <c r="N2231" s="8" t="str">
        <f t="shared" si="171"/>
        <v>PEN</v>
      </c>
      <c r="O2231" s="13">
        <v>108.99</v>
      </c>
      <c r="P2231" s="13"/>
      <c r="Q2231" s="3">
        <f t="shared" si="172"/>
        <v>0</v>
      </c>
      <c r="R2231" s="3">
        <f t="shared" si="173"/>
        <v>0</v>
      </c>
      <c r="S2231" s="3">
        <f t="shared" si="174"/>
        <v>42065.340000000026</v>
      </c>
      <c r="T2231" s="24" t="s">
        <v>1081</v>
      </c>
      <c r="U2231" s="24" t="s">
        <v>1081</v>
      </c>
      <c r="V2231" s="104" t="s">
        <v>3322</v>
      </c>
      <c r="W2231" s="25">
        <f>IFERROR(VLOOKUP(BCP_Soles[[#This Row],[DESTINATARIO]],CHOOSE({1,2},Clientes_Proveedores[Razon Social],Clientes_Proveedores[Ruc / Dni]),2,0),"")</f>
        <v>20454186002</v>
      </c>
      <c r="X2231" s="25"/>
      <c r="Y2231" s="25"/>
      <c r="Z2231" s="25"/>
      <c r="AA2231" s="99"/>
      <c r="AB2231" s="3" t="str">
        <f>IF(BCP_Soles[[#This Row],[FECHA]]&gt;0,TEXT(BCP_Soles[[#This Row],[FECHA]],"mmmm"),0)</f>
        <v>Junio</v>
      </c>
    </row>
    <row r="2232" spans="2:28" ht="24" x14ac:dyDescent="0.3">
      <c r="B2232" s="2">
        <f>IF(BCP_Soles[[#This Row],[TIPO DE R.]]="R",COUNTIFS($D$4:$D2231,"R")+1,"")</f>
        <v>1709</v>
      </c>
      <c r="C2232" s="19" t="str">
        <f t="shared" si="170"/>
        <v>B-BCP - Soles</v>
      </c>
      <c r="D2232" s="3" t="s">
        <v>1074</v>
      </c>
      <c r="E2232" s="14">
        <v>45834</v>
      </c>
      <c r="F2232" s="5" t="s">
        <v>1078</v>
      </c>
      <c r="G2232" s="5" t="s">
        <v>1079</v>
      </c>
      <c r="H2232" s="6" t="s">
        <v>1001</v>
      </c>
      <c r="I2232" s="6"/>
      <c r="J2232" s="6"/>
      <c r="K2232" s="6"/>
      <c r="L2232" s="7" t="s">
        <v>3323</v>
      </c>
      <c r="M2232" s="8">
        <v>1883807</v>
      </c>
      <c r="N2232" s="8" t="str">
        <f t="shared" si="171"/>
        <v>PEN</v>
      </c>
      <c r="O2232" s="13"/>
      <c r="P2232" s="13">
        <v>2.5</v>
      </c>
      <c r="Q2232" s="3">
        <f t="shared" si="172"/>
        <v>0</v>
      </c>
      <c r="R2232" s="3">
        <f t="shared" si="173"/>
        <v>2.5</v>
      </c>
      <c r="S2232" s="3">
        <f t="shared" si="174"/>
        <v>42062.840000000026</v>
      </c>
      <c r="T2232" s="24"/>
      <c r="U2232" s="24"/>
      <c r="V2232" s="67"/>
      <c r="W2232" s="25">
        <f>IFERROR(VLOOKUP(BCP_Soles[[#This Row],[DESTINATARIO]],CHOOSE({1,2},Clientes_Proveedores[Razon Social],Clientes_Proveedores[Ruc / Dni]),2,0),"")</f>
        <v>20100047218</v>
      </c>
      <c r="X2232" s="25"/>
      <c r="Y2232" s="25"/>
      <c r="Z2232" s="25"/>
      <c r="AA2232" s="99"/>
      <c r="AB2232" s="3" t="str">
        <f>IF(BCP_Soles[[#This Row],[FECHA]]&gt;0,TEXT(BCP_Soles[[#This Row],[FECHA]],"mmmm"),0)</f>
        <v>Junio</v>
      </c>
    </row>
    <row r="2233" spans="2:28" x14ac:dyDescent="0.3">
      <c r="B2233" s="2">
        <f>IF(BCP_Soles[[#This Row],[TIPO DE R.]]="R",COUNTIFS($D$4:$D2232,"R")+1,"")</f>
        <v>1710</v>
      </c>
      <c r="C2233" s="19" t="str">
        <f t="shared" si="170"/>
        <v>B-BCP - Soles</v>
      </c>
      <c r="D2233" s="3" t="s">
        <v>1074</v>
      </c>
      <c r="E2233" s="14">
        <v>45834</v>
      </c>
      <c r="F2233" s="5" t="s">
        <v>1078</v>
      </c>
      <c r="G2233" s="5" t="s">
        <v>1079</v>
      </c>
      <c r="H2233" s="6"/>
      <c r="I2233" s="6"/>
      <c r="J2233" s="6"/>
      <c r="K2233" s="6"/>
      <c r="L2233" s="7" t="s">
        <v>2868</v>
      </c>
      <c r="M2233" s="8"/>
      <c r="N2233" s="8" t="str">
        <f t="shared" si="171"/>
        <v>PEN</v>
      </c>
      <c r="O2233" s="13"/>
      <c r="P2233" s="13">
        <v>2.2999999999999998</v>
      </c>
      <c r="Q2233" s="3">
        <f t="shared" si="172"/>
        <v>0</v>
      </c>
      <c r="R2233" s="3">
        <f t="shared" si="173"/>
        <v>2.2999999999999998</v>
      </c>
      <c r="S2233" s="3">
        <f t="shared" si="174"/>
        <v>42060.540000000023</v>
      </c>
      <c r="T2233" s="24"/>
      <c r="U2233" s="24"/>
      <c r="V2233" s="67"/>
      <c r="W2233" s="25" t="str">
        <f>IFERROR(VLOOKUP(BCP_Soles[[#This Row],[DESTINATARIO]],CHOOSE({1,2},Clientes_Proveedores[Razon Social],Clientes_Proveedores[Ruc / Dni]),2,0),"")</f>
        <v/>
      </c>
      <c r="X2233" s="25"/>
      <c r="Y2233" s="25"/>
      <c r="Z2233" s="25"/>
      <c r="AA2233" s="99"/>
      <c r="AB2233" s="3" t="str">
        <f>IF(BCP_Soles[[#This Row],[FECHA]]&gt;0,TEXT(BCP_Soles[[#This Row],[FECHA]],"mmmm"),0)</f>
        <v>Junio</v>
      </c>
    </row>
    <row r="2234" spans="2:28" ht="48" x14ac:dyDescent="0.3">
      <c r="B2234" s="2">
        <f>IF(BCP_Soles[[#This Row],[TIPO DE R.]]="R",COUNTIFS($D$4:$D2233,"R")+1,"")</f>
        <v>1711</v>
      </c>
      <c r="C2234" s="19" t="str">
        <f t="shared" si="170"/>
        <v>B-BCP - Soles</v>
      </c>
      <c r="D2234" s="3" t="s">
        <v>1074</v>
      </c>
      <c r="E2234" s="14">
        <v>45835</v>
      </c>
      <c r="F2234" s="5" t="s">
        <v>448</v>
      </c>
      <c r="G2234" s="5" t="s">
        <v>1087</v>
      </c>
      <c r="H2234" s="6"/>
      <c r="I2234" s="6"/>
      <c r="J2234" s="6"/>
      <c r="K2234" s="6"/>
      <c r="L2234" s="7" t="s">
        <v>3324</v>
      </c>
      <c r="M2234" s="8">
        <v>3861392</v>
      </c>
      <c r="N2234" s="8" t="str">
        <f t="shared" si="171"/>
        <v>PEN</v>
      </c>
      <c r="O2234" s="13"/>
      <c r="P2234" s="13">
        <v>7618.28</v>
      </c>
      <c r="Q2234" s="3">
        <f t="shared" si="172"/>
        <v>7618.28</v>
      </c>
      <c r="R2234" s="3">
        <f t="shared" si="173"/>
        <v>0</v>
      </c>
      <c r="S2234" s="3">
        <f t="shared" si="174"/>
        <v>49678.820000000022</v>
      </c>
      <c r="T2234" s="24" t="s">
        <v>1081</v>
      </c>
      <c r="U2234" s="24" t="s">
        <v>1081</v>
      </c>
      <c r="V2234" s="67"/>
      <c r="W2234" s="25" t="str">
        <f>IFERROR(VLOOKUP(BCP_Soles[[#This Row],[DESTINATARIO]],CHOOSE({1,2},Clientes_Proveedores[Razon Social],Clientes_Proveedores[Ruc / Dni]),2,0),"")</f>
        <v/>
      </c>
      <c r="X2234" s="25" t="s">
        <v>1090</v>
      </c>
      <c r="Y2234" s="25" t="s">
        <v>3325</v>
      </c>
      <c r="Z2234" s="25"/>
      <c r="AA2234" s="99"/>
      <c r="AB2234" s="3" t="str">
        <f>IF(BCP_Soles[[#This Row],[FECHA]]&gt;0,TEXT(BCP_Soles[[#This Row],[FECHA]],"mmmm"),0)</f>
        <v>Junio</v>
      </c>
    </row>
    <row r="2235" spans="2:28" ht="48" x14ac:dyDescent="0.3">
      <c r="B2235" s="2" t="str">
        <f>IF(BCP_Soles[[#This Row],[TIPO DE R.]]="R",COUNTIFS($D$4:$D2234,"R")+1,"")</f>
        <v/>
      </c>
      <c r="C2235" s="19" t="str">
        <f t="shared" si="170"/>
        <v>B-BCP - Soles</v>
      </c>
      <c r="D2235" s="3" t="s">
        <v>1101</v>
      </c>
      <c r="E2235" s="14">
        <v>45835</v>
      </c>
      <c r="F2235" s="5" t="s">
        <v>448</v>
      </c>
      <c r="G2235" s="5"/>
      <c r="H2235" s="6"/>
      <c r="I2235" s="6" t="s">
        <v>14</v>
      </c>
      <c r="J2235" s="6" t="s">
        <v>3091</v>
      </c>
      <c r="K2235" s="6">
        <v>35</v>
      </c>
      <c r="L2235" s="7" t="s">
        <v>3324</v>
      </c>
      <c r="M2235" s="8">
        <v>3861392</v>
      </c>
      <c r="N2235" s="8" t="str">
        <f t="shared" si="171"/>
        <v>PEN</v>
      </c>
      <c r="O2235" s="13">
        <v>2138.94</v>
      </c>
      <c r="P2235" s="13"/>
      <c r="Q2235" s="3">
        <f t="shared" si="172"/>
        <v>0</v>
      </c>
      <c r="R2235" s="3">
        <f t="shared" si="173"/>
        <v>0</v>
      </c>
      <c r="S2235" s="3">
        <f t="shared" si="174"/>
        <v>49678.820000000022</v>
      </c>
      <c r="T2235" s="24"/>
      <c r="U2235" s="24" t="s">
        <v>1081</v>
      </c>
      <c r="V2235" s="67"/>
      <c r="W2235" s="25" t="str">
        <f>IFERROR(VLOOKUP(BCP_Soles[[#This Row],[DESTINATARIO]],CHOOSE({1,2},Clientes_Proveedores[Razon Social],Clientes_Proveedores[Ruc / Dni]),2,0),"")</f>
        <v/>
      </c>
      <c r="X2235" s="25"/>
      <c r="Y2235" s="25"/>
      <c r="Z2235" s="25"/>
      <c r="AA2235" s="99"/>
      <c r="AB2235" s="3" t="str">
        <f>IF(BCP_Soles[[#This Row],[FECHA]]&gt;0,TEXT(BCP_Soles[[#This Row],[FECHA]],"mmmm"),0)</f>
        <v>Junio</v>
      </c>
    </row>
    <row r="2236" spans="2:28" ht="48" x14ac:dyDescent="0.3">
      <c r="B2236" s="2" t="str">
        <f>IF(BCP_Soles[[#This Row],[TIPO DE R.]]="R",COUNTIFS($D$4:$D2235,"R")+1,"")</f>
        <v/>
      </c>
      <c r="C2236" s="19" t="str">
        <f t="shared" si="170"/>
        <v>B-BCP - Soles</v>
      </c>
      <c r="D2236" s="3" t="s">
        <v>1101</v>
      </c>
      <c r="E2236" s="14">
        <v>45835</v>
      </c>
      <c r="F2236" s="5" t="s">
        <v>448</v>
      </c>
      <c r="G2236" s="5"/>
      <c r="H2236" s="6"/>
      <c r="I2236" s="6" t="s">
        <v>14</v>
      </c>
      <c r="J2236" s="6" t="s">
        <v>3091</v>
      </c>
      <c r="K2236" s="6">
        <v>36</v>
      </c>
      <c r="L2236" s="7" t="s">
        <v>3324</v>
      </c>
      <c r="M2236" s="8">
        <v>3861392</v>
      </c>
      <c r="N2236" s="8" t="str">
        <f t="shared" si="171"/>
        <v>PEN</v>
      </c>
      <c r="O2236" s="13">
        <v>1642.84</v>
      </c>
      <c r="P2236" s="13"/>
      <c r="Q2236" s="3">
        <f t="shared" si="172"/>
        <v>0</v>
      </c>
      <c r="R2236" s="3">
        <f t="shared" si="173"/>
        <v>0</v>
      </c>
      <c r="S2236" s="3">
        <f t="shared" si="174"/>
        <v>49678.820000000022</v>
      </c>
      <c r="T2236" s="24"/>
      <c r="U2236" s="24" t="s">
        <v>1081</v>
      </c>
      <c r="V2236" s="67"/>
      <c r="W2236" s="25" t="str">
        <f>IFERROR(VLOOKUP(BCP_Soles[[#This Row],[DESTINATARIO]],CHOOSE({1,2},Clientes_Proveedores[Razon Social],Clientes_Proveedores[Ruc / Dni]),2,0),"")</f>
        <v/>
      </c>
      <c r="X2236" s="25"/>
      <c r="Y2236" s="25"/>
      <c r="Z2236" s="25"/>
      <c r="AA2236" s="99"/>
      <c r="AB2236" s="3" t="str">
        <f>IF(BCP_Soles[[#This Row],[FECHA]]&gt;0,TEXT(BCP_Soles[[#This Row],[FECHA]],"mmmm"),0)</f>
        <v>Junio</v>
      </c>
    </row>
    <row r="2237" spans="2:28" ht="48" x14ac:dyDescent="0.3">
      <c r="B2237" s="2" t="str">
        <f>IF(BCP_Soles[[#This Row],[TIPO DE R.]]="R",COUNTIFS($D$4:$D2236,"R")+1,"")</f>
        <v/>
      </c>
      <c r="C2237" s="19" t="str">
        <f t="shared" si="170"/>
        <v>B-BCP - Soles</v>
      </c>
      <c r="D2237" s="3" t="s">
        <v>1101</v>
      </c>
      <c r="E2237" s="14">
        <v>45835</v>
      </c>
      <c r="F2237" s="5" t="s">
        <v>448</v>
      </c>
      <c r="G2237" s="5"/>
      <c r="H2237" s="6"/>
      <c r="I2237" s="6" t="s">
        <v>14</v>
      </c>
      <c r="J2237" s="6" t="s">
        <v>3091</v>
      </c>
      <c r="K2237" s="6">
        <v>38</v>
      </c>
      <c r="L2237" s="7" t="s">
        <v>3324</v>
      </c>
      <c r="M2237" s="8">
        <v>3861392</v>
      </c>
      <c r="N2237" s="8" t="str">
        <f t="shared" si="171"/>
        <v>PEN</v>
      </c>
      <c r="O2237" s="13">
        <v>2626.42</v>
      </c>
      <c r="P2237" s="13"/>
      <c r="Q2237" s="3">
        <f t="shared" si="172"/>
        <v>0</v>
      </c>
      <c r="R2237" s="3">
        <f t="shared" si="173"/>
        <v>0</v>
      </c>
      <c r="S2237" s="3">
        <f t="shared" si="174"/>
        <v>49678.820000000022</v>
      </c>
      <c r="T2237" s="24"/>
      <c r="U2237" s="24" t="s">
        <v>1081</v>
      </c>
      <c r="V2237" s="67"/>
      <c r="W2237" s="25" t="str">
        <f>IFERROR(VLOOKUP(BCP_Soles[[#This Row],[DESTINATARIO]],CHOOSE({1,2},Clientes_Proveedores[Razon Social],Clientes_Proveedores[Ruc / Dni]),2,0),"")</f>
        <v/>
      </c>
      <c r="X2237" s="25"/>
      <c r="Y2237" s="25"/>
      <c r="Z2237" s="25"/>
      <c r="AA2237" s="99"/>
      <c r="AB2237" s="3" t="str">
        <f>IF(BCP_Soles[[#This Row],[FECHA]]&gt;0,TEXT(BCP_Soles[[#This Row],[FECHA]],"mmmm"),0)</f>
        <v>Junio</v>
      </c>
    </row>
    <row r="2238" spans="2:28" ht="48" x14ac:dyDescent="0.3">
      <c r="B2238" s="2" t="str">
        <f>IF(BCP_Soles[[#This Row],[TIPO DE R.]]="R",COUNTIFS($D$4:$D2237,"R")+1,"")</f>
        <v/>
      </c>
      <c r="C2238" s="19" t="str">
        <f t="shared" si="170"/>
        <v>B-BCP - Soles</v>
      </c>
      <c r="D2238" s="3" t="s">
        <v>1101</v>
      </c>
      <c r="E2238" s="14">
        <v>45835</v>
      </c>
      <c r="F2238" s="5" t="s">
        <v>448</v>
      </c>
      <c r="G2238" s="5"/>
      <c r="H2238" s="6"/>
      <c r="I2238" s="6" t="s">
        <v>14</v>
      </c>
      <c r="J2238" s="6" t="s">
        <v>3091</v>
      </c>
      <c r="K2238" s="6">
        <v>39</v>
      </c>
      <c r="L2238" s="7" t="s">
        <v>3324</v>
      </c>
      <c r="M2238" s="8">
        <v>3861392</v>
      </c>
      <c r="N2238" s="8" t="str">
        <f t="shared" si="171"/>
        <v>PEN</v>
      </c>
      <c r="O2238" s="13">
        <v>1210.08</v>
      </c>
      <c r="P2238" s="13"/>
      <c r="Q2238" s="3">
        <f t="shared" si="172"/>
        <v>0</v>
      </c>
      <c r="R2238" s="3">
        <f t="shared" si="173"/>
        <v>0</v>
      </c>
      <c r="S2238" s="3">
        <f t="shared" si="174"/>
        <v>49678.820000000022</v>
      </c>
      <c r="T2238" s="24"/>
      <c r="U2238" s="24" t="s">
        <v>1081</v>
      </c>
      <c r="V2238" s="67"/>
      <c r="W2238" s="25" t="str">
        <f>IFERROR(VLOOKUP(BCP_Soles[[#This Row],[DESTINATARIO]],CHOOSE({1,2},Clientes_Proveedores[Razon Social],Clientes_Proveedores[Ruc / Dni]),2,0),"")</f>
        <v/>
      </c>
      <c r="X2238" s="25"/>
      <c r="Y2238" s="25"/>
      <c r="Z2238" s="25"/>
      <c r="AA2238" s="99"/>
      <c r="AB2238" s="3" t="str">
        <f>IF(BCP_Soles[[#This Row],[FECHA]]&gt;0,TEXT(BCP_Soles[[#This Row],[FECHA]],"mmmm"),0)</f>
        <v>Junio</v>
      </c>
    </row>
    <row r="2239" spans="2:28" ht="84" x14ac:dyDescent="0.3">
      <c r="B2239" s="2">
        <f>IF(BCP_Soles[[#This Row],[TIPO DE R.]]="R",COUNTIFS($D$4:$D2238,"R")+1,"")</f>
        <v>1712</v>
      </c>
      <c r="C2239" s="19" t="str">
        <f t="shared" si="170"/>
        <v>B-BCP - Soles</v>
      </c>
      <c r="D2239" s="3" t="s">
        <v>1074</v>
      </c>
      <c r="E2239" s="14">
        <v>45835</v>
      </c>
      <c r="F2239" s="5" t="s">
        <v>301</v>
      </c>
      <c r="G2239" s="5" t="s">
        <v>1087</v>
      </c>
      <c r="H2239" s="6"/>
      <c r="I2239" s="6"/>
      <c r="J2239" s="6"/>
      <c r="K2239" s="6"/>
      <c r="L2239" s="7" t="s">
        <v>3326</v>
      </c>
      <c r="M2239" s="8">
        <v>2347693</v>
      </c>
      <c r="N2239" s="8" t="str">
        <f t="shared" si="171"/>
        <v>PEN</v>
      </c>
      <c r="O2239" s="13"/>
      <c r="P2239" s="13">
        <v>3317.68</v>
      </c>
      <c r="Q2239" s="3">
        <f t="shared" si="172"/>
        <v>3317.68</v>
      </c>
      <c r="R2239" s="3">
        <f t="shared" si="173"/>
        <v>0</v>
      </c>
      <c r="S2239" s="3">
        <f t="shared" si="174"/>
        <v>52996.500000000022</v>
      </c>
      <c r="T2239" s="24" t="s">
        <v>1081</v>
      </c>
      <c r="U2239" s="24" t="s">
        <v>1081</v>
      </c>
      <c r="V2239" s="67"/>
      <c r="W2239" s="25" t="str">
        <f>IFERROR(VLOOKUP(BCP_Soles[[#This Row],[DESTINATARIO]],CHOOSE({1,2},Clientes_Proveedores[Razon Social],Clientes_Proveedores[Ruc / Dni]),2,0),"")</f>
        <v/>
      </c>
      <c r="X2239" s="25" t="s">
        <v>1090</v>
      </c>
      <c r="Y2239" s="25" t="s">
        <v>3327</v>
      </c>
      <c r="Z2239" s="25"/>
      <c r="AA2239" s="99"/>
      <c r="AB2239" s="3" t="str">
        <f>IF(BCP_Soles[[#This Row],[FECHA]]&gt;0,TEXT(BCP_Soles[[#This Row],[FECHA]],"mmmm"),0)</f>
        <v>Junio</v>
      </c>
    </row>
    <row r="2240" spans="2:28" ht="96" x14ac:dyDescent="0.3">
      <c r="B2240" s="2" t="str">
        <f>IF(BCP_Soles[[#This Row],[TIPO DE R.]]="R",COUNTIFS($D$4:$D2239,"R")+1,"")</f>
        <v/>
      </c>
      <c r="C2240" s="19" t="str">
        <f t="shared" si="170"/>
        <v>B-BCP - Soles</v>
      </c>
      <c r="D2240" s="3" t="s">
        <v>1101</v>
      </c>
      <c r="E2240" s="14">
        <v>45835</v>
      </c>
      <c r="F2240" s="5" t="s">
        <v>301</v>
      </c>
      <c r="G2240" s="5"/>
      <c r="H2240" s="6"/>
      <c r="I2240" s="6" t="s">
        <v>14</v>
      </c>
      <c r="J2240" s="6" t="s">
        <v>3010</v>
      </c>
      <c r="K2240" s="6">
        <v>55</v>
      </c>
      <c r="L2240" s="7" t="s">
        <v>3326</v>
      </c>
      <c r="M2240" s="8">
        <v>2347693</v>
      </c>
      <c r="N2240" s="8" t="str">
        <f t="shared" si="171"/>
        <v>PEN</v>
      </c>
      <c r="O2240" s="13">
        <v>2546.08</v>
      </c>
      <c r="P2240" s="13"/>
      <c r="Q2240" s="3">
        <f t="shared" si="172"/>
        <v>0</v>
      </c>
      <c r="R2240" s="3">
        <f t="shared" si="173"/>
        <v>0</v>
      </c>
      <c r="S2240" s="3">
        <f t="shared" si="174"/>
        <v>52996.500000000022</v>
      </c>
      <c r="T2240" s="24"/>
      <c r="U2240" s="24" t="s">
        <v>1081</v>
      </c>
      <c r="V2240" s="67"/>
      <c r="W2240" s="25" t="str">
        <f>IFERROR(VLOOKUP(BCP_Soles[[#This Row],[DESTINATARIO]],CHOOSE({1,2},Clientes_Proveedores[Razon Social],Clientes_Proveedores[Ruc / Dni]),2,0),"")</f>
        <v/>
      </c>
      <c r="X2240" s="25"/>
      <c r="Y2240" s="25"/>
      <c r="Z2240" s="25"/>
      <c r="AA2240" s="99"/>
      <c r="AB2240" s="3" t="str">
        <f>IF(BCP_Soles[[#This Row],[FECHA]]&gt;0,TEXT(BCP_Soles[[#This Row],[FECHA]],"mmmm"),0)</f>
        <v>Junio</v>
      </c>
    </row>
    <row r="2241" spans="2:28" ht="96" x14ac:dyDescent="0.3">
      <c r="B2241" s="2" t="str">
        <f>IF(BCP_Soles[[#This Row],[TIPO DE R.]]="R",COUNTIFS($D$4:$D2240,"R")+1,"")</f>
        <v/>
      </c>
      <c r="C2241" s="19" t="str">
        <f t="shared" si="170"/>
        <v>B-BCP - Soles</v>
      </c>
      <c r="D2241" s="3" t="s">
        <v>1101</v>
      </c>
      <c r="E2241" s="14">
        <v>45835</v>
      </c>
      <c r="F2241" s="5" t="s">
        <v>301</v>
      </c>
      <c r="G2241" s="5"/>
      <c r="H2241" s="6"/>
      <c r="I2241" s="6" t="s">
        <v>14</v>
      </c>
      <c r="J2241" s="6" t="s">
        <v>3010</v>
      </c>
      <c r="K2241" s="6">
        <v>56</v>
      </c>
      <c r="L2241" s="7" t="s">
        <v>3326</v>
      </c>
      <c r="M2241" s="8">
        <v>2347693</v>
      </c>
      <c r="N2241" s="8" t="str">
        <f t="shared" si="171"/>
        <v>PEN</v>
      </c>
      <c r="O2241" s="13">
        <v>116.14</v>
      </c>
      <c r="P2241" s="13"/>
      <c r="Q2241" s="3">
        <f t="shared" si="172"/>
        <v>0</v>
      </c>
      <c r="R2241" s="3">
        <f t="shared" si="173"/>
        <v>0</v>
      </c>
      <c r="S2241" s="3">
        <f t="shared" si="174"/>
        <v>52996.500000000022</v>
      </c>
      <c r="T2241" s="24"/>
      <c r="U2241" s="24" t="s">
        <v>1081</v>
      </c>
      <c r="V2241" s="67"/>
      <c r="W2241" s="25" t="str">
        <f>IFERROR(VLOOKUP(BCP_Soles[[#This Row],[DESTINATARIO]],CHOOSE({1,2},Clientes_Proveedores[Razon Social],Clientes_Proveedores[Ruc / Dni]),2,0),"")</f>
        <v/>
      </c>
      <c r="X2241" s="25"/>
      <c r="Y2241" s="25"/>
      <c r="Z2241" s="25"/>
      <c r="AA2241" s="99"/>
      <c r="AB2241" s="3" t="str">
        <f>IF(BCP_Soles[[#This Row],[FECHA]]&gt;0,TEXT(BCP_Soles[[#This Row],[FECHA]],"mmmm"),0)</f>
        <v>Junio</v>
      </c>
    </row>
    <row r="2242" spans="2:28" ht="96" x14ac:dyDescent="0.3">
      <c r="B2242" s="2" t="str">
        <f>IF(BCP_Soles[[#This Row],[TIPO DE R.]]="R",COUNTIFS($D$4:$D2241,"R")+1,"")</f>
        <v/>
      </c>
      <c r="C2242" s="19" t="str">
        <f t="shared" si="170"/>
        <v>B-BCP - Soles</v>
      </c>
      <c r="D2242" s="3" t="s">
        <v>1101</v>
      </c>
      <c r="E2242" s="14">
        <v>45835</v>
      </c>
      <c r="F2242" s="5" t="s">
        <v>301</v>
      </c>
      <c r="G2242" s="5"/>
      <c r="H2242" s="6"/>
      <c r="I2242" s="6" t="s">
        <v>14</v>
      </c>
      <c r="J2242" s="6" t="s">
        <v>3010</v>
      </c>
      <c r="K2242" s="6">
        <v>57</v>
      </c>
      <c r="L2242" s="7" t="s">
        <v>3326</v>
      </c>
      <c r="M2242" s="8">
        <v>2347693</v>
      </c>
      <c r="N2242" s="8" t="str">
        <f t="shared" si="171"/>
        <v>PEN</v>
      </c>
      <c r="O2242" s="13">
        <v>655.46</v>
      </c>
      <c r="P2242" s="13"/>
      <c r="Q2242" s="3">
        <f t="shared" si="172"/>
        <v>0</v>
      </c>
      <c r="R2242" s="3">
        <f t="shared" si="173"/>
        <v>0</v>
      </c>
      <c r="S2242" s="3">
        <f t="shared" si="174"/>
        <v>52996.500000000022</v>
      </c>
      <c r="T2242" s="24"/>
      <c r="U2242" s="24" t="s">
        <v>1081</v>
      </c>
      <c r="V2242" s="67"/>
      <c r="W2242" s="25" t="str">
        <f>IFERROR(VLOOKUP(BCP_Soles[[#This Row],[DESTINATARIO]],CHOOSE({1,2},Clientes_Proveedores[Razon Social],Clientes_Proveedores[Ruc / Dni]),2,0),"")</f>
        <v/>
      </c>
      <c r="X2242" s="25"/>
      <c r="Y2242" s="25"/>
      <c r="Z2242" s="25"/>
      <c r="AA2242" s="99"/>
      <c r="AB2242" s="3" t="str">
        <f>IF(BCP_Soles[[#This Row],[FECHA]]&gt;0,TEXT(BCP_Soles[[#This Row],[FECHA]],"mmmm"),0)</f>
        <v>Junio</v>
      </c>
    </row>
    <row r="2243" spans="2:28" ht="24" x14ac:dyDescent="0.3">
      <c r="B2243" s="2">
        <f>IF(BCP_Soles[[#This Row],[TIPO DE R.]]="R",COUNTIFS($D$4:$D2242,"R")+1,"")</f>
        <v>1713</v>
      </c>
      <c r="C2243" s="19" t="str">
        <f t="shared" si="170"/>
        <v>B-BCP - Soles</v>
      </c>
      <c r="D2243" s="3" t="s">
        <v>1074</v>
      </c>
      <c r="E2243" s="14">
        <v>45835</v>
      </c>
      <c r="F2243" s="5" t="s">
        <v>2226</v>
      </c>
      <c r="G2243" s="5" t="s">
        <v>1087</v>
      </c>
      <c r="H2243" s="6"/>
      <c r="I2243" s="6" t="s">
        <v>63</v>
      </c>
      <c r="J2243" s="6">
        <v>1</v>
      </c>
      <c r="K2243" s="6">
        <v>4553</v>
      </c>
      <c r="L2243" s="7" t="s">
        <v>1100</v>
      </c>
      <c r="M2243" s="8">
        <v>2900831</v>
      </c>
      <c r="N2243" s="8" t="str">
        <f t="shared" si="171"/>
        <v>PEN</v>
      </c>
      <c r="O2243" s="13"/>
      <c r="P2243" s="13">
        <v>1688.4</v>
      </c>
      <c r="Q2243" s="3">
        <f t="shared" si="172"/>
        <v>1688.4</v>
      </c>
      <c r="R2243" s="3">
        <f t="shared" si="173"/>
        <v>0</v>
      </c>
      <c r="S2243" s="3">
        <f t="shared" si="174"/>
        <v>54684.900000000023</v>
      </c>
      <c r="T2243" s="24" t="s">
        <v>1081</v>
      </c>
      <c r="U2243" s="24" t="s">
        <v>1081</v>
      </c>
      <c r="V2243" s="67"/>
      <c r="W2243" s="25" t="str">
        <f>IFERROR(VLOOKUP(BCP_Soles[[#This Row],[DESTINATARIO]],CHOOSE({1,2},Clientes_Proveedores[Razon Social],Clientes_Proveedores[Ruc / Dni]),2,0),"")</f>
        <v/>
      </c>
      <c r="X2243" s="25" t="s">
        <v>1090</v>
      </c>
      <c r="Y2243" s="25" t="s">
        <v>3328</v>
      </c>
      <c r="Z2243" s="25"/>
      <c r="AA2243" s="99"/>
      <c r="AB2243" s="3" t="str">
        <f>IF(BCP_Soles[[#This Row],[FECHA]]&gt;0,TEXT(BCP_Soles[[#This Row],[FECHA]],"mmmm"),0)</f>
        <v>Junio</v>
      </c>
    </row>
    <row r="2244" spans="2:28" ht="24" x14ac:dyDescent="0.3">
      <c r="B2244" s="2">
        <f>IF(BCP_Soles[[#This Row],[TIPO DE R.]]="R",COUNTIFS($D$4:$D2243,"R")+1,"")</f>
        <v>1714</v>
      </c>
      <c r="C2244" s="19" t="str">
        <f t="shared" si="170"/>
        <v>B-BCP - Soles</v>
      </c>
      <c r="D2244" s="3" t="s">
        <v>1074</v>
      </c>
      <c r="E2244" s="14">
        <v>45835</v>
      </c>
      <c r="F2244" s="5" t="s">
        <v>1435</v>
      </c>
      <c r="G2244" s="5" t="s">
        <v>1087</v>
      </c>
      <c r="H2244" s="6"/>
      <c r="I2244" s="6" t="s">
        <v>63</v>
      </c>
      <c r="J2244" s="6">
        <v>1</v>
      </c>
      <c r="K2244" s="6">
        <v>4551</v>
      </c>
      <c r="L2244" s="7" t="s">
        <v>1100</v>
      </c>
      <c r="M2244" s="8">
        <v>2023353</v>
      </c>
      <c r="N2244" s="8" t="str">
        <f t="shared" si="171"/>
        <v>PEN</v>
      </c>
      <c r="O2244" s="13"/>
      <c r="P2244" s="13">
        <v>1000</v>
      </c>
      <c r="Q2244" s="3">
        <f t="shared" si="172"/>
        <v>1000</v>
      </c>
      <c r="R2244" s="3">
        <f t="shared" si="173"/>
        <v>0</v>
      </c>
      <c r="S2244" s="3">
        <f t="shared" si="174"/>
        <v>55684.900000000023</v>
      </c>
      <c r="T2244" s="24" t="s">
        <v>1081</v>
      </c>
      <c r="U2244" s="24" t="s">
        <v>1081</v>
      </c>
      <c r="V2244" s="67"/>
      <c r="W2244" s="25" t="str">
        <f>IFERROR(VLOOKUP(BCP_Soles[[#This Row],[DESTINATARIO]],CHOOSE({1,2},Clientes_Proveedores[Razon Social],Clientes_Proveedores[Ruc / Dni]),2,0),"")</f>
        <v/>
      </c>
      <c r="X2244" s="25" t="s">
        <v>1090</v>
      </c>
      <c r="Y2244" s="25" t="s">
        <v>3329</v>
      </c>
      <c r="Z2244" s="25"/>
      <c r="AA2244" s="99"/>
      <c r="AB2244" s="3" t="str">
        <f>IF(BCP_Soles[[#This Row],[FECHA]]&gt;0,TEXT(BCP_Soles[[#This Row],[FECHA]],"mmmm"),0)</f>
        <v>Junio</v>
      </c>
    </row>
    <row r="2245" spans="2:28" ht="36" x14ac:dyDescent="0.3">
      <c r="B2245" s="2">
        <f>IF(BCP_Soles[[#This Row],[TIPO DE R.]]="R",COUNTIFS($D$4:$D2244,"R")+1,"")</f>
        <v>1715</v>
      </c>
      <c r="C2245" s="19" t="str">
        <f t="shared" ref="C2245:C2308" si="175">"B-BCP - Soles"</f>
        <v>B-BCP - Soles</v>
      </c>
      <c r="D2245" s="3" t="s">
        <v>1074</v>
      </c>
      <c r="E2245" s="14">
        <v>45835</v>
      </c>
      <c r="F2245" s="5" t="s">
        <v>497</v>
      </c>
      <c r="G2245" s="5" t="s">
        <v>1087</v>
      </c>
      <c r="H2245" s="6"/>
      <c r="I2245" s="6" t="s">
        <v>14</v>
      </c>
      <c r="J2245" s="6" t="s">
        <v>3091</v>
      </c>
      <c r="K2245" s="6">
        <v>40</v>
      </c>
      <c r="L2245" s="7" t="s">
        <v>3330</v>
      </c>
      <c r="M2245" s="8">
        <v>2401634</v>
      </c>
      <c r="N2245" s="8" t="str">
        <f t="shared" ref="N2245:N2308" si="176">"PEN"</f>
        <v>PEN</v>
      </c>
      <c r="O2245" s="13"/>
      <c r="P2245" s="13">
        <v>761.8</v>
      </c>
      <c r="Q2245" s="3">
        <f t="shared" ref="Q2245:Q2308" si="177">+IF(OR($G2245="SALDO",$G2245="INGRESO"),$P2245,0)</f>
        <v>761.8</v>
      </c>
      <c r="R2245" s="3">
        <f t="shared" ref="R2245:R2308" si="178">+IF($G2245="EGRESO",$P2245,0)</f>
        <v>0</v>
      </c>
      <c r="S2245" s="3">
        <f t="shared" ref="S2245:S2308" si="179">IFERROR(IF(G2245="SALDO",Q2245,S2244+Q2245-R2245),0)</f>
        <v>56446.700000000026</v>
      </c>
      <c r="T2245" s="24" t="s">
        <v>1081</v>
      </c>
      <c r="U2245" s="24" t="s">
        <v>1081</v>
      </c>
      <c r="V2245" s="67"/>
      <c r="W2245" s="25" t="str">
        <f>IFERROR(VLOOKUP(BCP_Soles[[#This Row],[DESTINATARIO]],CHOOSE({1,2},Clientes_Proveedores[Razon Social],Clientes_Proveedores[Ruc / Dni]),2,0),"")</f>
        <v/>
      </c>
      <c r="X2245" s="25" t="s">
        <v>1090</v>
      </c>
      <c r="Y2245" s="25" t="s">
        <v>3331</v>
      </c>
      <c r="Z2245" s="25"/>
      <c r="AA2245" s="99"/>
      <c r="AB2245" s="3" t="str">
        <f>IF(BCP_Soles[[#This Row],[FECHA]]&gt;0,TEXT(BCP_Soles[[#This Row],[FECHA]],"mmmm"),0)</f>
        <v>Junio</v>
      </c>
    </row>
    <row r="2246" spans="2:28" x14ac:dyDescent="0.3">
      <c r="B2246" s="2">
        <f>IF(BCP_Soles[[#This Row],[TIPO DE R.]]="R",COUNTIFS($D$4:$D2245,"R")+1,"")</f>
        <v>1716</v>
      </c>
      <c r="C2246" s="19" t="str">
        <f t="shared" si="175"/>
        <v>B-BCP - Soles</v>
      </c>
      <c r="D2246" s="3" t="s">
        <v>1074</v>
      </c>
      <c r="E2246" s="14">
        <v>45835</v>
      </c>
      <c r="F2246" s="5"/>
      <c r="G2246" s="5" t="s">
        <v>1087</v>
      </c>
      <c r="H2246" s="6"/>
      <c r="I2246" s="6"/>
      <c r="J2246" s="6"/>
      <c r="K2246" s="6"/>
      <c r="L2246" s="7" t="s">
        <v>1100</v>
      </c>
      <c r="M2246" s="8">
        <v>3360418</v>
      </c>
      <c r="N2246" s="8" t="str">
        <f t="shared" si="176"/>
        <v>PEN</v>
      </c>
      <c r="O2246" s="13"/>
      <c r="P2246" s="13">
        <v>700</v>
      </c>
      <c r="Q2246" s="3">
        <f t="shared" si="177"/>
        <v>700</v>
      </c>
      <c r="R2246" s="3">
        <f t="shared" si="178"/>
        <v>0</v>
      </c>
      <c r="S2246" s="3">
        <f t="shared" si="179"/>
        <v>57146.700000000026</v>
      </c>
      <c r="T2246" s="24"/>
      <c r="U2246" s="24"/>
      <c r="V2246" s="67"/>
      <c r="W2246" s="25" t="str">
        <f>IFERROR(VLOOKUP(BCP_Soles[[#This Row],[DESTINATARIO]],CHOOSE({1,2},Clientes_Proveedores[Razon Social],Clientes_Proveedores[Ruc / Dni]),2,0),"")</f>
        <v/>
      </c>
      <c r="X2246" s="25"/>
      <c r="Y2246" s="25"/>
      <c r="Z2246" s="25"/>
      <c r="AA2246" s="99"/>
      <c r="AB2246" s="3" t="str">
        <f>IF(BCP_Soles[[#This Row],[FECHA]]&gt;0,TEXT(BCP_Soles[[#This Row],[FECHA]],"mmmm"),0)</f>
        <v>Junio</v>
      </c>
    </row>
    <row r="2247" spans="2:28" ht="24" x14ac:dyDescent="0.3">
      <c r="B2247" s="2">
        <f>IF(BCP_Soles[[#This Row],[TIPO DE R.]]="R",COUNTIFS($D$4:$D2246,"R")+1,"")</f>
        <v>1717</v>
      </c>
      <c r="C2247" s="19" t="str">
        <f t="shared" si="175"/>
        <v>B-BCP - Soles</v>
      </c>
      <c r="D2247" s="3" t="s">
        <v>1074</v>
      </c>
      <c r="E2247" s="14">
        <v>45835</v>
      </c>
      <c r="F2247" s="5" t="s">
        <v>1745</v>
      </c>
      <c r="G2247" s="5" t="s">
        <v>1087</v>
      </c>
      <c r="H2247" s="6"/>
      <c r="I2247" s="6" t="s">
        <v>63</v>
      </c>
      <c r="J2247" s="6">
        <v>1</v>
      </c>
      <c r="K2247" s="6">
        <v>4554</v>
      </c>
      <c r="L2247" s="7" t="s">
        <v>1100</v>
      </c>
      <c r="M2247" s="8">
        <v>3336014</v>
      </c>
      <c r="N2247" s="8" t="str">
        <f t="shared" si="176"/>
        <v>PEN</v>
      </c>
      <c r="O2247" s="13"/>
      <c r="P2247" s="13">
        <v>490</v>
      </c>
      <c r="Q2247" s="3">
        <f t="shared" si="177"/>
        <v>490</v>
      </c>
      <c r="R2247" s="3">
        <f t="shared" si="178"/>
        <v>0</v>
      </c>
      <c r="S2247" s="3">
        <f t="shared" si="179"/>
        <v>57636.700000000026</v>
      </c>
      <c r="T2247" s="24" t="s">
        <v>1081</v>
      </c>
      <c r="U2247" s="24" t="s">
        <v>1081</v>
      </c>
      <c r="V2247" s="67"/>
      <c r="W2247" s="25" t="str">
        <f>IFERROR(VLOOKUP(BCP_Soles[[#This Row],[DESTINATARIO]],CHOOSE({1,2},Clientes_Proveedores[Razon Social],Clientes_Proveedores[Ruc / Dni]),2,0),"")</f>
        <v/>
      </c>
      <c r="X2247" s="25" t="s">
        <v>1090</v>
      </c>
      <c r="Y2247" s="25" t="s">
        <v>3332</v>
      </c>
      <c r="Z2247" s="25"/>
      <c r="AA2247" s="99"/>
      <c r="AB2247" s="3" t="str">
        <f>IF(BCP_Soles[[#This Row],[FECHA]]&gt;0,TEXT(BCP_Soles[[#This Row],[FECHA]],"mmmm"),0)</f>
        <v>Junio</v>
      </c>
    </row>
    <row r="2248" spans="2:28" ht="24" x14ac:dyDescent="0.3">
      <c r="B2248" s="2">
        <f>IF(BCP_Soles[[#This Row],[TIPO DE R.]]="R",COUNTIFS($D$4:$D2247,"R")+1,"")</f>
        <v>1718</v>
      </c>
      <c r="C2248" s="19" t="str">
        <f t="shared" si="175"/>
        <v>B-BCP - Soles</v>
      </c>
      <c r="D2248" s="3" t="s">
        <v>1074</v>
      </c>
      <c r="E2248" s="14">
        <v>45835</v>
      </c>
      <c r="F2248" s="5" t="s">
        <v>232</v>
      </c>
      <c r="G2248" s="5" t="s">
        <v>1087</v>
      </c>
      <c r="H2248" s="6"/>
      <c r="I2248" s="6" t="s">
        <v>14</v>
      </c>
      <c r="J2248" s="6" t="s">
        <v>3010</v>
      </c>
      <c r="K2248" s="6">
        <v>81</v>
      </c>
      <c r="L2248" s="7" t="s">
        <v>1100</v>
      </c>
      <c r="M2248" s="8">
        <v>827130</v>
      </c>
      <c r="N2248" s="8" t="str">
        <f t="shared" si="176"/>
        <v>PEN</v>
      </c>
      <c r="O2248" s="13"/>
      <c r="P2248" s="13">
        <v>216</v>
      </c>
      <c r="Q2248" s="3">
        <f t="shared" si="177"/>
        <v>216</v>
      </c>
      <c r="R2248" s="3">
        <f t="shared" si="178"/>
        <v>0</v>
      </c>
      <c r="S2248" s="3">
        <f t="shared" si="179"/>
        <v>57852.700000000026</v>
      </c>
      <c r="T2248" s="24" t="s">
        <v>1081</v>
      </c>
      <c r="U2248" s="24" t="s">
        <v>1081</v>
      </c>
      <c r="V2248" s="67"/>
      <c r="W2248" s="25" t="str">
        <f>IFERROR(VLOOKUP(BCP_Soles[[#This Row],[DESTINATARIO]],CHOOSE({1,2},Clientes_Proveedores[Razon Social],Clientes_Proveedores[Ruc / Dni]),2,0),"")</f>
        <v/>
      </c>
      <c r="X2248" s="25" t="s">
        <v>1090</v>
      </c>
      <c r="Y2248" s="25" t="s">
        <v>3333</v>
      </c>
      <c r="Z2248" s="25"/>
      <c r="AA2248" s="99"/>
      <c r="AB2248" s="3" t="str">
        <f>IF(BCP_Soles[[#This Row],[FECHA]]&gt;0,TEXT(BCP_Soles[[#This Row],[FECHA]],"mmmm"),0)</f>
        <v>Junio</v>
      </c>
    </row>
    <row r="2249" spans="2:28" ht="24" x14ac:dyDescent="0.3">
      <c r="B2249" s="2">
        <f>IF(BCP_Soles[[#This Row],[TIPO DE R.]]="R",COUNTIFS($D$4:$D2248,"R")+1,"")</f>
        <v>1719</v>
      </c>
      <c r="C2249" s="19" t="str">
        <f t="shared" si="175"/>
        <v>B-BCP - Soles</v>
      </c>
      <c r="D2249" s="3" t="s">
        <v>1074</v>
      </c>
      <c r="E2249" s="14">
        <v>45835</v>
      </c>
      <c r="F2249" s="5" t="s">
        <v>1075</v>
      </c>
      <c r="G2249" s="5" t="s">
        <v>1079</v>
      </c>
      <c r="H2249" s="6" t="s">
        <v>192</v>
      </c>
      <c r="I2249" s="6"/>
      <c r="J2249" s="6"/>
      <c r="K2249" s="6"/>
      <c r="L2249" s="7" t="s">
        <v>3334</v>
      </c>
      <c r="M2249" s="8">
        <v>1286773</v>
      </c>
      <c r="N2249" s="8" t="str">
        <f t="shared" si="176"/>
        <v>PEN</v>
      </c>
      <c r="O2249" s="13"/>
      <c r="P2249" s="13">
        <v>1770</v>
      </c>
      <c r="Q2249" s="3">
        <f t="shared" si="177"/>
        <v>0</v>
      </c>
      <c r="R2249" s="3">
        <f t="shared" si="178"/>
        <v>1770</v>
      </c>
      <c r="S2249" s="3">
        <f t="shared" si="179"/>
        <v>56082.700000000026</v>
      </c>
      <c r="T2249" s="24"/>
      <c r="U2249" s="24"/>
      <c r="V2249" s="67"/>
      <c r="W2249" s="25">
        <f>IFERROR(VLOOKUP(BCP_Soles[[#This Row],[DESTINATARIO]],CHOOSE({1,2},Clientes_Proveedores[Razon Social],Clientes_Proveedores[Ruc / Dni]),2,0),"")</f>
        <v>20302891452</v>
      </c>
      <c r="X2249" s="25" t="s">
        <v>192</v>
      </c>
      <c r="Y2249" s="25"/>
      <c r="Z2249" s="25"/>
      <c r="AA2249" s="99"/>
      <c r="AB2249" s="3" t="str">
        <f>IF(BCP_Soles[[#This Row],[FECHA]]&gt;0,TEXT(BCP_Soles[[#This Row],[FECHA]],"mmmm"),0)</f>
        <v>Junio</v>
      </c>
    </row>
    <row r="2250" spans="2:28" ht="24" x14ac:dyDescent="0.3">
      <c r="B2250" s="2">
        <f>IF(BCP_Soles[[#This Row],[TIPO DE R.]]="R",COUNTIFS($D$4:$D2249,"R")+1,"")</f>
        <v>1720</v>
      </c>
      <c r="C2250" s="19" t="str">
        <f t="shared" si="175"/>
        <v>B-BCP - Soles</v>
      </c>
      <c r="D2250" s="3" t="s">
        <v>1074</v>
      </c>
      <c r="E2250" s="14">
        <v>45835</v>
      </c>
      <c r="F2250" s="5" t="s">
        <v>1075</v>
      </c>
      <c r="G2250" s="5" t="s">
        <v>1079</v>
      </c>
      <c r="H2250" s="6" t="s">
        <v>105</v>
      </c>
      <c r="I2250" s="6" t="s">
        <v>14</v>
      </c>
      <c r="J2250" s="6" t="s">
        <v>1121</v>
      </c>
      <c r="K2250" s="6">
        <v>296</v>
      </c>
      <c r="L2250" s="7" t="s">
        <v>3335</v>
      </c>
      <c r="M2250" s="8">
        <v>1284812</v>
      </c>
      <c r="N2250" s="8" t="str">
        <f t="shared" si="176"/>
        <v>PEN</v>
      </c>
      <c r="O2250" s="13"/>
      <c r="P2250" s="13">
        <v>320.5</v>
      </c>
      <c r="Q2250" s="3">
        <f t="shared" si="177"/>
        <v>0</v>
      </c>
      <c r="R2250" s="3">
        <f t="shared" si="178"/>
        <v>320.5</v>
      </c>
      <c r="S2250" s="3">
        <f t="shared" si="179"/>
        <v>55762.200000000026</v>
      </c>
      <c r="T2250" s="24" t="s">
        <v>1081</v>
      </c>
      <c r="U2250" s="24" t="s">
        <v>1081</v>
      </c>
      <c r="V2250" s="67"/>
      <c r="W2250" s="25">
        <f>IFERROR(VLOOKUP(BCP_Soles[[#This Row],[DESTINATARIO]],CHOOSE({1,2},Clientes_Proveedores[Razon Social],Clientes_Proveedores[Ruc / Dni]),2,0),"")</f>
        <v>10416031679</v>
      </c>
      <c r="X2250" s="25" t="s">
        <v>105</v>
      </c>
      <c r="Y2250" s="25"/>
      <c r="Z2250" s="25"/>
      <c r="AA2250" s="99"/>
      <c r="AB2250" s="3" t="str">
        <f>IF(BCP_Soles[[#This Row],[FECHA]]&gt;0,TEXT(BCP_Soles[[#This Row],[FECHA]],"mmmm"),0)</f>
        <v>Junio</v>
      </c>
    </row>
    <row r="2251" spans="2:28" ht="24" x14ac:dyDescent="0.3">
      <c r="B2251" s="2">
        <f>IF(BCP_Soles[[#This Row],[TIPO DE R.]]="R",COUNTIFS($D$4:$D2250,"R")+1,"")</f>
        <v>1721</v>
      </c>
      <c r="C2251" s="19" t="str">
        <f t="shared" si="175"/>
        <v>B-BCP - Soles</v>
      </c>
      <c r="D2251" s="3" t="s">
        <v>1074</v>
      </c>
      <c r="E2251" s="14">
        <v>45835</v>
      </c>
      <c r="F2251" s="5" t="s">
        <v>1075</v>
      </c>
      <c r="G2251" s="5" t="s">
        <v>1079</v>
      </c>
      <c r="H2251" s="6" t="s">
        <v>192</v>
      </c>
      <c r="I2251" s="6"/>
      <c r="J2251" s="6"/>
      <c r="K2251" s="6"/>
      <c r="L2251" s="7" t="s">
        <v>3336</v>
      </c>
      <c r="M2251" s="8">
        <v>1284361</v>
      </c>
      <c r="N2251" s="8" t="str">
        <f t="shared" si="176"/>
        <v>PEN</v>
      </c>
      <c r="O2251" s="13"/>
      <c r="P2251" s="13">
        <v>3000</v>
      </c>
      <c r="Q2251" s="3">
        <f t="shared" si="177"/>
        <v>0</v>
      </c>
      <c r="R2251" s="3">
        <f t="shared" si="178"/>
        <v>3000</v>
      </c>
      <c r="S2251" s="3">
        <f t="shared" si="179"/>
        <v>52762.200000000026</v>
      </c>
      <c r="T2251" s="24"/>
      <c r="U2251" s="24"/>
      <c r="V2251" s="67"/>
      <c r="W2251" s="25">
        <f>IFERROR(VLOOKUP(BCP_Soles[[#This Row],[DESTINATARIO]],CHOOSE({1,2},Clientes_Proveedores[Razon Social],Clientes_Proveedores[Ruc / Dni]),2,0),"")</f>
        <v>20302891452</v>
      </c>
      <c r="X2251" s="25" t="s">
        <v>192</v>
      </c>
      <c r="Y2251" s="25"/>
      <c r="Z2251" s="25"/>
      <c r="AA2251" s="99"/>
      <c r="AB2251" s="3" t="str">
        <f>IF(BCP_Soles[[#This Row],[FECHA]]&gt;0,TEXT(BCP_Soles[[#This Row],[FECHA]],"mmmm"),0)</f>
        <v>Junio</v>
      </c>
    </row>
    <row r="2252" spans="2:28" ht="24" x14ac:dyDescent="0.3">
      <c r="B2252" s="2">
        <f>IF(BCP_Soles[[#This Row],[TIPO DE R.]]="R",COUNTIFS($D$4:$D2251,"R")+1,"")</f>
        <v>1722</v>
      </c>
      <c r="C2252" s="19" t="str">
        <f t="shared" si="175"/>
        <v>B-BCP - Soles</v>
      </c>
      <c r="D2252" s="3" t="s">
        <v>1074</v>
      </c>
      <c r="E2252" s="14">
        <v>45835</v>
      </c>
      <c r="F2252" s="5" t="s">
        <v>1075</v>
      </c>
      <c r="G2252" s="5" t="s">
        <v>1079</v>
      </c>
      <c r="H2252" s="6"/>
      <c r="I2252" s="6" t="s">
        <v>14</v>
      </c>
      <c r="J2252" s="6" t="s">
        <v>1121</v>
      </c>
      <c r="K2252" s="6">
        <v>481</v>
      </c>
      <c r="L2252" s="7" t="s">
        <v>3337</v>
      </c>
      <c r="M2252" s="8">
        <v>1287251</v>
      </c>
      <c r="N2252" s="8" t="str">
        <f t="shared" si="176"/>
        <v>PEN</v>
      </c>
      <c r="O2252" s="13"/>
      <c r="P2252" s="13">
        <v>263</v>
      </c>
      <c r="Q2252" s="3">
        <f t="shared" si="177"/>
        <v>0</v>
      </c>
      <c r="R2252" s="3">
        <f t="shared" si="178"/>
        <v>263</v>
      </c>
      <c r="S2252" s="3">
        <f t="shared" si="179"/>
        <v>52499.200000000026</v>
      </c>
      <c r="T2252" s="24" t="s">
        <v>1081</v>
      </c>
      <c r="U2252" s="24" t="s">
        <v>1081</v>
      </c>
      <c r="V2252" s="67"/>
      <c r="W2252" s="25" t="str">
        <f>IFERROR(VLOOKUP(BCP_Soles[[#This Row],[DESTINATARIO]],CHOOSE({1,2},Clientes_Proveedores[Razon Social],Clientes_Proveedores[Ruc / Dni]),2,0),"")</f>
        <v/>
      </c>
      <c r="X2252" s="25" t="s">
        <v>934</v>
      </c>
      <c r="Y2252" s="25" t="s">
        <v>3338</v>
      </c>
      <c r="Z2252" s="25"/>
      <c r="AA2252" s="99"/>
      <c r="AB2252" s="3" t="str">
        <f>IF(BCP_Soles[[#This Row],[FECHA]]&gt;0,TEXT(BCP_Soles[[#This Row],[FECHA]],"mmmm"),0)</f>
        <v>Junio</v>
      </c>
    </row>
    <row r="2253" spans="2:28" x14ac:dyDescent="0.3">
      <c r="B2253" s="2">
        <f>IF(BCP_Soles[[#This Row],[TIPO DE R.]]="R",COUNTIFS($D$4:$D2252,"R")+1,"")</f>
        <v>1723</v>
      </c>
      <c r="C2253" s="19" t="str">
        <f t="shared" si="175"/>
        <v>B-BCP - Soles</v>
      </c>
      <c r="D2253" s="3" t="s">
        <v>1074</v>
      </c>
      <c r="E2253" s="14">
        <v>45835</v>
      </c>
      <c r="F2253" s="5" t="s">
        <v>1075</v>
      </c>
      <c r="G2253" s="5" t="s">
        <v>1079</v>
      </c>
      <c r="H2253" s="6" t="s">
        <v>638</v>
      </c>
      <c r="I2253" s="6"/>
      <c r="J2253" s="6"/>
      <c r="K2253" s="6"/>
      <c r="L2253" s="7" t="s">
        <v>3339</v>
      </c>
      <c r="M2253" s="8">
        <v>2512155</v>
      </c>
      <c r="N2253" s="8" t="str">
        <f t="shared" si="176"/>
        <v>PEN</v>
      </c>
      <c r="O2253" s="13"/>
      <c r="P2253" s="13">
        <v>4681</v>
      </c>
      <c r="Q2253" s="3">
        <f t="shared" si="177"/>
        <v>0</v>
      </c>
      <c r="R2253" s="3">
        <f t="shared" si="178"/>
        <v>4681</v>
      </c>
      <c r="S2253" s="3">
        <f t="shared" si="179"/>
        <v>47818.200000000026</v>
      </c>
      <c r="T2253" s="24" t="s">
        <v>1081</v>
      </c>
      <c r="U2253" s="24" t="s">
        <v>1081</v>
      </c>
      <c r="V2253" s="67"/>
      <c r="W2253" s="25">
        <f>IFERROR(VLOOKUP(BCP_Soles[[#This Row],[DESTINATARIO]],CHOOSE({1,2},Clientes_Proveedores[Razon Social],Clientes_Proveedores[Ruc / Dni]),2,0),"")</f>
        <v>0</v>
      </c>
      <c r="X2253" s="25" t="s">
        <v>1118</v>
      </c>
      <c r="Y2253" s="25"/>
      <c r="Z2253" s="25"/>
      <c r="AA2253" s="99"/>
      <c r="AB2253" s="3" t="str">
        <f>IF(BCP_Soles[[#This Row],[FECHA]]&gt;0,TEXT(BCP_Soles[[#This Row],[FECHA]],"mmmm"),0)</f>
        <v>Junio</v>
      </c>
    </row>
    <row r="2254" spans="2:28" ht="24" x14ac:dyDescent="0.3">
      <c r="B2254" s="2" t="str">
        <f>IF(BCP_Soles[[#This Row],[TIPO DE R.]]="R",COUNTIFS($D$4:$D2253,"R")+1,"")</f>
        <v/>
      </c>
      <c r="C2254" s="19" t="str">
        <f t="shared" si="175"/>
        <v>B-BCP - Soles</v>
      </c>
      <c r="D2254" s="3" t="s">
        <v>1101</v>
      </c>
      <c r="E2254" s="14">
        <v>45835</v>
      </c>
      <c r="F2254" s="5" t="s">
        <v>1075</v>
      </c>
      <c r="G2254" s="5"/>
      <c r="H2254" s="6" t="s">
        <v>407</v>
      </c>
      <c r="I2254" s="6" t="s">
        <v>14</v>
      </c>
      <c r="J2254" s="6" t="s">
        <v>1121</v>
      </c>
      <c r="K2254" s="6">
        <v>844</v>
      </c>
      <c r="L2254" s="7" t="s">
        <v>3339</v>
      </c>
      <c r="M2254" s="8">
        <v>2512155</v>
      </c>
      <c r="N2254" s="8" t="str">
        <f t="shared" si="176"/>
        <v>PEN</v>
      </c>
      <c r="O2254" s="13">
        <v>1824</v>
      </c>
      <c r="P2254" s="13"/>
      <c r="Q2254" s="3">
        <f t="shared" si="177"/>
        <v>0</v>
      </c>
      <c r="R2254" s="3">
        <f t="shared" si="178"/>
        <v>0</v>
      </c>
      <c r="S2254" s="3">
        <f t="shared" si="179"/>
        <v>47818.200000000026</v>
      </c>
      <c r="T2254" s="24" t="s">
        <v>1081</v>
      </c>
      <c r="U2254" s="24" t="s">
        <v>1081</v>
      </c>
      <c r="V2254" s="67"/>
      <c r="W2254" s="25">
        <f>IFERROR(VLOOKUP(BCP_Soles[[#This Row],[DESTINATARIO]],CHOOSE({1,2},Clientes_Proveedores[Razon Social],Clientes_Proveedores[Ruc / Dni]),2,0),"")</f>
        <v>20601279666</v>
      </c>
      <c r="X2254" s="25"/>
      <c r="Y2254" s="25"/>
      <c r="Z2254" s="25"/>
      <c r="AA2254" s="99"/>
      <c r="AB2254" s="3" t="str">
        <f>IF(BCP_Soles[[#This Row],[FECHA]]&gt;0,TEXT(BCP_Soles[[#This Row],[FECHA]],"mmmm"),0)</f>
        <v>Junio</v>
      </c>
    </row>
    <row r="2255" spans="2:28" x14ac:dyDescent="0.3">
      <c r="B2255" s="2" t="str">
        <f>IF(BCP_Soles[[#This Row],[TIPO DE R.]]="R",COUNTIFS($D$4:$D2254,"R")+1,"")</f>
        <v/>
      </c>
      <c r="C2255" s="19" t="str">
        <f t="shared" si="175"/>
        <v>B-BCP - Soles</v>
      </c>
      <c r="D2255" s="3" t="s">
        <v>1101</v>
      </c>
      <c r="E2255" s="14">
        <v>45835</v>
      </c>
      <c r="F2255" s="5" t="s">
        <v>1075</v>
      </c>
      <c r="G2255" s="5"/>
      <c r="H2255" s="6" t="s">
        <v>465</v>
      </c>
      <c r="I2255" s="6" t="s">
        <v>14</v>
      </c>
      <c r="J2255" s="6" t="s">
        <v>1121</v>
      </c>
      <c r="K2255" s="6">
        <v>3955</v>
      </c>
      <c r="L2255" s="7" t="s">
        <v>3339</v>
      </c>
      <c r="M2255" s="8">
        <v>2512155</v>
      </c>
      <c r="N2255" s="8" t="str">
        <f t="shared" si="176"/>
        <v>PEN</v>
      </c>
      <c r="O2255" s="13">
        <v>200.6</v>
      </c>
      <c r="P2255" s="13"/>
      <c r="Q2255" s="3">
        <f t="shared" si="177"/>
        <v>0</v>
      </c>
      <c r="R2255" s="3">
        <f t="shared" si="178"/>
        <v>0</v>
      </c>
      <c r="S2255" s="3">
        <f t="shared" si="179"/>
        <v>47818.200000000026</v>
      </c>
      <c r="T2255" s="24" t="s">
        <v>1081</v>
      </c>
      <c r="U2255" s="24" t="s">
        <v>1081</v>
      </c>
      <c r="V2255" s="67"/>
      <c r="W2255" s="25">
        <f>IFERROR(VLOOKUP(BCP_Soles[[#This Row],[DESTINATARIO]],CHOOSE({1,2},Clientes_Proveedores[Razon Social],Clientes_Proveedores[Ruc / Dni]),2,0),"")</f>
        <v>20603974817</v>
      </c>
      <c r="X2255" s="25"/>
      <c r="Y2255" s="25"/>
      <c r="Z2255" s="25"/>
      <c r="AA2255" s="99"/>
      <c r="AB2255" s="3" t="str">
        <f>IF(BCP_Soles[[#This Row],[FECHA]]&gt;0,TEXT(BCP_Soles[[#This Row],[FECHA]],"mmmm"),0)</f>
        <v>Junio</v>
      </c>
    </row>
    <row r="2256" spans="2:28" x14ac:dyDescent="0.3">
      <c r="B2256" s="2" t="str">
        <f>IF(BCP_Soles[[#This Row],[TIPO DE R.]]="R",COUNTIFS($D$4:$D2255,"R")+1,"")</f>
        <v/>
      </c>
      <c r="C2256" s="19" t="str">
        <f t="shared" si="175"/>
        <v>B-BCP - Soles</v>
      </c>
      <c r="D2256" s="3" t="s">
        <v>1101</v>
      </c>
      <c r="E2256" s="14">
        <v>45835</v>
      </c>
      <c r="F2256" s="5" t="s">
        <v>1075</v>
      </c>
      <c r="G2256" s="5"/>
      <c r="H2256" s="6" t="s">
        <v>465</v>
      </c>
      <c r="I2256" s="6" t="s">
        <v>14</v>
      </c>
      <c r="J2256" s="6" t="s">
        <v>1121</v>
      </c>
      <c r="K2256" s="6">
        <v>3967</v>
      </c>
      <c r="L2256" s="7" t="s">
        <v>3339</v>
      </c>
      <c r="M2256" s="8">
        <v>2512155</v>
      </c>
      <c r="N2256" s="8" t="str">
        <f t="shared" si="176"/>
        <v>PEN</v>
      </c>
      <c r="O2256" s="13">
        <v>401.2</v>
      </c>
      <c r="P2256" s="13"/>
      <c r="Q2256" s="3">
        <f t="shared" si="177"/>
        <v>0</v>
      </c>
      <c r="R2256" s="3">
        <f t="shared" si="178"/>
        <v>0</v>
      </c>
      <c r="S2256" s="3">
        <f t="shared" si="179"/>
        <v>47818.200000000026</v>
      </c>
      <c r="T2256" s="24" t="s">
        <v>1081</v>
      </c>
      <c r="U2256" s="24" t="s">
        <v>1081</v>
      </c>
      <c r="V2256" s="67"/>
      <c r="W2256" s="25">
        <f>IFERROR(VLOOKUP(BCP_Soles[[#This Row],[DESTINATARIO]],CHOOSE({1,2},Clientes_Proveedores[Razon Social],Clientes_Proveedores[Ruc / Dni]),2,0),"")</f>
        <v>20603974817</v>
      </c>
      <c r="X2256" s="25"/>
      <c r="Y2256" s="25"/>
      <c r="Z2256" s="25"/>
      <c r="AA2256" s="99"/>
      <c r="AB2256" s="3" t="str">
        <f>IF(BCP_Soles[[#This Row],[FECHA]]&gt;0,TEXT(BCP_Soles[[#This Row],[FECHA]],"mmmm"),0)</f>
        <v>Junio</v>
      </c>
    </row>
    <row r="2257" spans="2:28" ht="36" x14ac:dyDescent="0.3">
      <c r="B2257" s="2" t="str">
        <f>IF(BCP_Soles[[#This Row],[TIPO DE R.]]="R",COUNTIFS($D$4:$D2256,"R")+1,"")</f>
        <v/>
      </c>
      <c r="C2257" s="19" t="str">
        <f t="shared" si="175"/>
        <v>B-BCP - Soles</v>
      </c>
      <c r="D2257" s="3" t="s">
        <v>1101</v>
      </c>
      <c r="E2257" s="14">
        <v>45835</v>
      </c>
      <c r="F2257" s="5" t="s">
        <v>1075</v>
      </c>
      <c r="G2257" s="5"/>
      <c r="H2257" s="6" t="s">
        <v>359</v>
      </c>
      <c r="I2257" s="6" t="s">
        <v>14</v>
      </c>
      <c r="J2257" s="6" t="s">
        <v>1121</v>
      </c>
      <c r="K2257" s="6">
        <v>888</v>
      </c>
      <c r="L2257" s="7" t="s">
        <v>3339</v>
      </c>
      <c r="M2257" s="8">
        <v>2512155</v>
      </c>
      <c r="N2257" s="8" t="str">
        <f t="shared" si="176"/>
        <v>PEN</v>
      </c>
      <c r="O2257" s="13">
        <v>1728</v>
      </c>
      <c r="P2257" s="13"/>
      <c r="Q2257" s="3">
        <f t="shared" si="177"/>
        <v>0</v>
      </c>
      <c r="R2257" s="3">
        <f t="shared" si="178"/>
        <v>0</v>
      </c>
      <c r="S2257" s="3">
        <f t="shared" si="179"/>
        <v>47818.200000000026</v>
      </c>
      <c r="T2257" s="24" t="s">
        <v>1081</v>
      </c>
      <c r="U2257" s="24" t="s">
        <v>1081</v>
      </c>
      <c r="V2257" s="67"/>
      <c r="W2257" s="25">
        <f>IFERROR(VLOOKUP(BCP_Soles[[#This Row],[DESTINATARIO]],CHOOSE({1,2},Clientes_Proveedores[Razon Social],Clientes_Proveedores[Ruc / Dni]),2,0),"")</f>
        <v>20554299441</v>
      </c>
      <c r="X2257" s="25"/>
      <c r="Y2257" s="25"/>
      <c r="Z2257" s="25"/>
      <c r="AA2257" s="99"/>
      <c r="AB2257" s="3" t="str">
        <f>IF(BCP_Soles[[#This Row],[FECHA]]&gt;0,TEXT(BCP_Soles[[#This Row],[FECHA]],"mmmm"),0)</f>
        <v>Junio</v>
      </c>
    </row>
    <row r="2258" spans="2:28" x14ac:dyDescent="0.3">
      <c r="B2258" s="2" t="str">
        <f>IF(BCP_Soles[[#This Row],[TIPO DE R.]]="R",COUNTIFS($D$4:$D2257,"R")+1,"")</f>
        <v/>
      </c>
      <c r="C2258" s="19" t="str">
        <f t="shared" si="175"/>
        <v>B-BCP - Soles</v>
      </c>
      <c r="D2258" s="3" t="s">
        <v>1101</v>
      </c>
      <c r="E2258" s="14">
        <v>45835</v>
      </c>
      <c r="F2258" s="5" t="s">
        <v>1075</v>
      </c>
      <c r="G2258" s="5"/>
      <c r="H2258" s="6" t="s">
        <v>229</v>
      </c>
      <c r="I2258" s="6" t="s">
        <v>14</v>
      </c>
      <c r="J2258" s="6" t="s">
        <v>1429</v>
      </c>
      <c r="K2258" s="6">
        <v>1708</v>
      </c>
      <c r="L2258" s="7" t="s">
        <v>3339</v>
      </c>
      <c r="M2258" s="8">
        <v>2512155</v>
      </c>
      <c r="N2258" s="8" t="str">
        <f t="shared" si="176"/>
        <v>PEN</v>
      </c>
      <c r="O2258" s="13">
        <v>82.2</v>
      </c>
      <c r="P2258" s="13"/>
      <c r="Q2258" s="3">
        <f t="shared" si="177"/>
        <v>0</v>
      </c>
      <c r="R2258" s="3">
        <f t="shared" si="178"/>
        <v>0</v>
      </c>
      <c r="S2258" s="3">
        <f t="shared" si="179"/>
        <v>47818.200000000026</v>
      </c>
      <c r="T2258" s="24" t="s">
        <v>1081</v>
      </c>
      <c r="U2258" s="24" t="s">
        <v>1081</v>
      </c>
      <c r="V2258" s="67"/>
      <c r="W2258" s="25">
        <f>IFERROR(VLOOKUP(BCP_Soles[[#This Row],[DESTINATARIO]],CHOOSE({1,2},Clientes_Proveedores[Razon Social],Clientes_Proveedores[Ruc / Dni]),2,0),"")</f>
        <v>20454186002</v>
      </c>
      <c r="X2258" s="25"/>
      <c r="Y2258" s="25"/>
      <c r="Z2258" s="25"/>
      <c r="AA2258" s="99"/>
      <c r="AB2258" s="3" t="str">
        <f>IF(BCP_Soles[[#This Row],[FECHA]]&gt;0,TEXT(BCP_Soles[[#This Row],[FECHA]],"mmmm"),0)</f>
        <v>Junio</v>
      </c>
    </row>
    <row r="2259" spans="2:28" x14ac:dyDescent="0.3">
      <c r="B2259" s="2" t="str">
        <f>IF(BCP_Soles[[#This Row],[TIPO DE R.]]="R",COUNTIFS($D$4:$D2258,"R")+1,"")</f>
        <v/>
      </c>
      <c r="C2259" s="19" t="str">
        <f t="shared" si="175"/>
        <v>B-BCP - Soles</v>
      </c>
      <c r="D2259" s="3" t="s">
        <v>1101</v>
      </c>
      <c r="E2259" s="14">
        <v>45835</v>
      </c>
      <c r="F2259" s="5" t="s">
        <v>1075</v>
      </c>
      <c r="G2259" s="5"/>
      <c r="H2259" s="6" t="s">
        <v>229</v>
      </c>
      <c r="I2259" s="6" t="s">
        <v>14</v>
      </c>
      <c r="J2259" s="6" t="s">
        <v>1429</v>
      </c>
      <c r="K2259" s="6">
        <v>1707</v>
      </c>
      <c r="L2259" s="7" t="s">
        <v>3339</v>
      </c>
      <c r="M2259" s="8">
        <v>2512155</v>
      </c>
      <c r="N2259" s="8" t="str">
        <f t="shared" si="176"/>
        <v>PEN</v>
      </c>
      <c r="O2259" s="13">
        <v>445</v>
      </c>
      <c r="P2259" s="13"/>
      <c r="Q2259" s="3">
        <f t="shared" si="177"/>
        <v>0</v>
      </c>
      <c r="R2259" s="3">
        <f t="shared" si="178"/>
        <v>0</v>
      </c>
      <c r="S2259" s="3">
        <f t="shared" si="179"/>
        <v>47818.200000000026</v>
      </c>
      <c r="T2259" s="24" t="s">
        <v>1081</v>
      </c>
      <c r="U2259" s="24" t="s">
        <v>1081</v>
      </c>
      <c r="V2259" s="67"/>
      <c r="W2259" s="25">
        <f>IFERROR(VLOOKUP(BCP_Soles[[#This Row],[DESTINATARIO]],CHOOSE({1,2},Clientes_Proveedores[Razon Social],Clientes_Proveedores[Ruc / Dni]),2,0),"")</f>
        <v>20454186002</v>
      </c>
      <c r="X2259" s="25"/>
      <c r="Y2259" s="25"/>
      <c r="Z2259" s="25"/>
      <c r="AA2259" s="99"/>
      <c r="AB2259" s="3" t="str">
        <f>IF(BCP_Soles[[#This Row],[FECHA]]&gt;0,TEXT(BCP_Soles[[#This Row],[FECHA]],"mmmm"),0)</f>
        <v>Junio</v>
      </c>
    </row>
    <row r="2260" spans="2:28" ht="24" x14ac:dyDescent="0.3">
      <c r="B2260" s="2">
        <f>IF(BCP_Soles[[#This Row],[TIPO DE R.]]="R",COUNTIFS($D$4:$D2259,"R")+1,"")</f>
        <v>1724</v>
      </c>
      <c r="C2260" s="19" t="str">
        <f t="shared" si="175"/>
        <v>B-BCP - Soles</v>
      </c>
      <c r="D2260" s="3" t="s">
        <v>1074</v>
      </c>
      <c r="E2260" s="14">
        <v>45835</v>
      </c>
      <c r="F2260" s="5" t="s">
        <v>1078</v>
      </c>
      <c r="G2260" s="5" t="s">
        <v>1079</v>
      </c>
      <c r="H2260" s="6" t="s">
        <v>1001</v>
      </c>
      <c r="I2260" s="6" t="s">
        <v>14</v>
      </c>
      <c r="J2260" s="6" t="s">
        <v>3128</v>
      </c>
      <c r="K2260" s="6">
        <v>34173259</v>
      </c>
      <c r="L2260" s="7" t="s">
        <v>3340</v>
      </c>
      <c r="M2260" s="8">
        <v>2512183</v>
      </c>
      <c r="N2260" s="8" t="str">
        <f t="shared" si="176"/>
        <v>PEN</v>
      </c>
      <c r="O2260" s="13"/>
      <c r="P2260" s="13">
        <v>22.5</v>
      </c>
      <c r="Q2260" s="3">
        <f t="shared" si="177"/>
        <v>0</v>
      </c>
      <c r="R2260" s="3">
        <f t="shared" si="178"/>
        <v>22.5</v>
      </c>
      <c r="S2260" s="3">
        <f t="shared" si="179"/>
        <v>47795.700000000026</v>
      </c>
      <c r="T2260" s="24" t="s">
        <v>1081</v>
      </c>
      <c r="U2260" s="24" t="s">
        <v>1081</v>
      </c>
      <c r="V2260" s="67"/>
      <c r="W2260" s="25">
        <f>IFERROR(VLOOKUP(BCP_Soles[[#This Row],[DESTINATARIO]],CHOOSE({1,2},Clientes_Proveedores[Razon Social],Clientes_Proveedores[Ruc / Dni]),2,0),"")</f>
        <v>20100047218</v>
      </c>
      <c r="X2260" s="25" t="s">
        <v>1078</v>
      </c>
      <c r="Y2260" s="25"/>
      <c r="Z2260" s="25"/>
      <c r="AA2260" s="99"/>
      <c r="AB2260" s="3" t="str">
        <f>IF(BCP_Soles[[#This Row],[FECHA]]&gt;0,TEXT(BCP_Soles[[#This Row],[FECHA]],"mmmm"),0)</f>
        <v>Junio</v>
      </c>
    </row>
    <row r="2261" spans="2:28" x14ac:dyDescent="0.3">
      <c r="B2261" s="2">
        <f>IF(BCP_Soles[[#This Row],[TIPO DE R.]]="R",COUNTIFS($D$4:$D2260,"R")+1,"")</f>
        <v>1725</v>
      </c>
      <c r="C2261" s="19" t="str">
        <f t="shared" si="175"/>
        <v>B-BCP - Soles</v>
      </c>
      <c r="D2261" s="3" t="s">
        <v>1074</v>
      </c>
      <c r="E2261" s="14">
        <v>45835</v>
      </c>
      <c r="F2261" s="5" t="s">
        <v>1078</v>
      </c>
      <c r="G2261" s="5" t="s">
        <v>1079</v>
      </c>
      <c r="H2261" s="6"/>
      <c r="I2261" s="6"/>
      <c r="J2261" s="6"/>
      <c r="K2261" s="6"/>
      <c r="L2261" s="7" t="s">
        <v>2868</v>
      </c>
      <c r="M2261" s="8"/>
      <c r="N2261" s="8" t="str">
        <f t="shared" si="176"/>
        <v>PEN</v>
      </c>
      <c r="O2261" s="13"/>
      <c r="P2261" s="13">
        <v>1</v>
      </c>
      <c r="Q2261" s="3">
        <f t="shared" si="177"/>
        <v>0</v>
      </c>
      <c r="R2261" s="3">
        <f t="shared" si="178"/>
        <v>1</v>
      </c>
      <c r="S2261" s="3">
        <f t="shared" si="179"/>
        <v>47794.700000000026</v>
      </c>
      <c r="T2261" s="24"/>
      <c r="U2261" s="24"/>
      <c r="V2261" s="67"/>
      <c r="W2261" s="25" t="str">
        <f>IFERROR(VLOOKUP(BCP_Soles[[#This Row],[DESTINATARIO]],CHOOSE({1,2},Clientes_Proveedores[Razon Social],Clientes_Proveedores[Ruc / Dni]),2,0),"")</f>
        <v/>
      </c>
      <c r="X2261" s="25"/>
      <c r="Y2261" s="25"/>
      <c r="Z2261" s="25"/>
      <c r="AA2261" s="99"/>
      <c r="AB2261" s="3" t="str">
        <f>IF(BCP_Soles[[#This Row],[FECHA]]&gt;0,TEXT(BCP_Soles[[#This Row],[FECHA]],"mmmm"),0)</f>
        <v>Junio</v>
      </c>
    </row>
    <row r="2262" spans="2:28" x14ac:dyDescent="0.3">
      <c r="B2262" s="2">
        <f>IF(BCP_Soles[[#This Row],[TIPO DE R.]]="R",COUNTIFS($D$4:$D2261,"R")+1,"")</f>
        <v>1726</v>
      </c>
      <c r="C2262" s="19" t="str">
        <f t="shared" si="175"/>
        <v>B-BCP - Soles</v>
      </c>
      <c r="D2262" s="3" t="s">
        <v>1074</v>
      </c>
      <c r="E2262" s="14">
        <v>45838</v>
      </c>
      <c r="F2262" s="5"/>
      <c r="G2262" s="5" t="s">
        <v>1087</v>
      </c>
      <c r="H2262" s="6"/>
      <c r="I2262" s="6"/>
      <c r="J2262" s="6"/>
      <c r="K2262" s="6"/>
      <c r="L2262" s="7" t="s">
        <v>1740</v>
      </c>
      <c r="M2262" s="8">
        <v>2196084</v>
      </c>
      <c r="N2262" s="8" t="str">
        <f t="shared" si="176"/>
        <v>PEN</v>
      </c>
      <c r="O2262" s="13"/>
      <c r="P2262" s="13">
        <v>25960</v>
      </c>
      <c r="Q2262" s="3">
        <f t="shared" si="177"/>
        <v>25960</v>
      </c>
      <c r="R2262" s="3">
        <f t="shared" si="178"/>
        <v>0</v>
      </c>
      <c r="S2262" s="3">
        <f t="shared" si="179"/>
        <v>73754.700000000026</v>
      </c>
      <c r="T2262" s="24"/>
      <c r="U2262" s="24"/>
      <c r="V2262" s="67"/>
      <c r="W2262" s="25" t="str">
        <f>IFERROR(VLOOKUP(BCP_Soles[[#This Row],[DESTINATARIO]],CHOOSE({1,2},Clientes_Proveedores[Razon Social],Clientes_Proveedores[Ruc / Dni]),2,0),"")</f>
        <v/>
      </c>
      <c r="X2262" s="25" t="s">
        <v>1090</v>
      </c>
      <c r="Y2262" s="25"/>
      <c r="Z2262" s="25"/>
      <c r="AA2262" s="99"/>
      <c r="AB2262" s="3" t="str">
        <f>IF(BCP_Soles[[#This Row],[FECHA]]&gt;0,TEXT(BCP_Soles[[#This Row],[FECHA]],"mmmm"),0)</f>
        <v>Junio</v>
      </c>
    </row>
    <row r="2263" spans="2:28" ht="24" x14ac:dyDescent="0.3">
      <c r="B2263" s="2" t="str">
        <f>IF(BCP_Soles[[#This Row],[TIPO DE R.]]="R",COUNTIFS($D$4:$D2262,"R")+1,"")</f>
        <v/>
      </c>
      <c r="C2263" s="19" t="str">
        <f t="shared" si="175"/>
        <v>B-BCP - Soles</v>
      </c>
      <c r="D2263" s="3" t="s">
        <v>1101</v>
      </c>
      <c r="E2263" s="14">
        <v>45838</v>
      </c>
      <c r="F2263" s="5" t="s">
        <v>587</v>
      </c>
      <c r="G2263" s="5"/>
      <c r="H2263" s="6"/>
      <c r="I2263" s="6" t="s">
        <v>14</v>
      </c>
      <c r="J2263" s="6" t="s">
        <v>3010</v>
      </c>
      <c r="K2263" s="6">
        <v>84</v>
      </c>
      <c r="L2263" s="7" t="s">
        <v>1740</v>
      </c>
      <c r="M2263" s="8">
        <v>2196084</v>
      </c>
      <c r="N2263" s="8" t="str">
        <f t="shared" si="176"/>
        <v>PEN</v>
      </c>
      <c r="O2263" s="13">
        <v>14840</v>
      </c>
      <c r="P2263" s="13"/>
      <c r="Q2263" s="3">
        <f t="shared" si="177"/>
        <v>0</v>
      </c>
      <c r="R2263" s="3">
        <f t="shared" si="178"/>
        <v>0</v>
      </c>
      <c r="S2263" s="3">
        <f t="shared" si="179"/>
        <v>73754.700000000026</v>
      </c>
      <c r="T2263" s="24"/>
      <c r="U2263" s="24"/>
      <c r="V2263" s="67"/>
      <c r="W2263" s="25" t="str">
        <f>IFERROR(VLOOKUP(BCP_Soles[[#This Row],[DESTINATARIO]],CHOOSE({1,2},Clientes_Proveedores[Razon Social],Clientes_Proveedores[Ruc / Dni]),2,0),"")</f>
        <v/>
      </c>
      <c r="X2263" s="25" t="s">
        <v>1090</v>
      </c>
      <c r="Y2263" s="25" t="s">
        <v>3341</v>
      </c>
      <c r="Z2263" s="25"/>
      <c r="AA2263" s="99"/>
      <c r="AB2263" s="3" t="str">
        <f>IF(BCP_Soles[[#This Row],[FECHA]]&gt;0,TEXT(BCP_Soles[[#This Row],[FECHA]],"mmmm"),0)</f>
        <v>Junio</v>
      </c>
    </row>
    <row r="2264" spans="2:28" ht="24" x14ac:dyDescent="0.3">
      <c r="B2264" s="2" t="str">
        <f>IF(BCP_Soles[[#This Row],[TIPO DE R.]]="R",COUNTIFS($D$4:$D2263,"R")+1,"")</f>
        <v/>
      </c>
      <c r="C2264" s="19" t="str">
        <f t="shared" si="175"/>
        <v>B-BCP - Soles</v>
      </c>
      <c r="D2264" s="3" t="s">
        <v>1101</v>
      </c>
      <c r="E2264" s="14">
        <v>45838</v>
      </c>
      <c r="F2264" s="5" t="s">
        <v>587</v>
      </c>
      <c r="G2264" s="5"/>
      <c r="H2264" s="6"/>
      <c r="I2264" s="6" t="s">
        <v>63</v>
      </c>
      <c r="J2264" s="6">
        <v>1</v>
      </c>
      <c r="K2264" s="6">
        <v>4562</v>
      </c>
      <c r="L2264" s="7" t="s">
        <v>1740</v>
      </c>
      <c r="M2264" s="8">
        <v>2196084</v>
      </c>
      <c r="N2264" s="8" t="str">
        <f t="shared" si="176"/>
        <v>PEN</v>
      </c>
      <c r="O2264" s="13">
        <v>11120</v>
      </c>
      <c r="P2264" s="13"/>
      <c r="Q2264" s="3">
        <f t="shared" si="177"/>
        <v>0</v>
      </c>
      <c r="R2264" s="3">
        <f t="shared" si="178"/>
        <v>0</v>
      </c>
      <c r="S2264" s="3">
        <f t="shared" si="179"/>
        <v>73754.700000000026</v>
      </c>
      <c r="T2264" s="24"/>
      <c r="U2264" s="24"/>
      <c r="V2264" s="67"/>
      <c r="W2264" s="25" t="str">
        <f>IFERROR(VLOOKUP(BCP_Soles[[#This Row],[DESTINATARIO]],CHOOSE({1,2},Clientes_Proveedores[Razon Social],Clientes_Proveedores[Ruc / Dni]),2,0),"")</f>
        <v/>
      </c>
      <c r="X2264" s="25" t="s">
        <v>1090</v>
      </c>
      <c r="Y2264" s="25" t="s">
        <v>3342</v>
      </c>
      <c r="Z2264" s="25"/>
      <c r="AA2264" s="99"/>
      <c r="AB2264" s="3" t="str">
        <f>IF(BCP_Soles[[#This Row],[FECHA]]&gt;0,TEXT(BCP_Soles[[#This Row],[FECHA]],"mmmm"),0)</f>
        <v>Junio</v>
      </c>
    </row>
    <row r="2265" spans="2:28" ht="24" x14ac:dyDescent="0.3">
      <c r="B2265" s="2">
        <f>IF(BCP_Soles[[#This Row],[TIPO DE R.]]="R",COUNTIFS($D$4:$D2264,"R")+1,"")</f>
        <v>1727</v>
      </c>
      <c r="C2265" s="19" t="str">
        <f t="shared" si="175"/>
        <v>B-BCP - Soles</v>
      </c>
      <c r="D2265" s="3" t="s">
        <v>1074</v>
      </c>
      <c r="E2265" s="14">
        <v>45838</v>
      </c>
      <c r="F2265" s="5" t="s">
        <v>3343</v>
      </c>
      <c r="G2265" s="5" t="s">
        <v>1087</v>
      </c>
      <c r="H2265" s="6" t="s">
        <v>368</v>
      </c>
      <c r="I2265" s="6" t="s">
        <v>63</v>
      </c>
      <c r="J2265" s="6">
        <v>1</v>
      </c>
      <c r="K2265" s="6">
        <v>4559</v>
      </c>
      <c r="L2265" s="7" t="s">
        <v>1100</v>
      </c>
      <c r="M2265" s="8">
        <v>3316573</v>
      </c>
      <c r="N2265" s="8" t="str">
        <f t="shared" si="176"/>
        <v>PEN</v>
      </c>
      <c r="O2265" s="13"/>
      <c r="P2265" s="13">
        <v>2100</v>
      </c>
      <c r="Q2265" s="3">
        <f t="shared" si="177"/>
        <v>2100</v>
      </c>
      <c r="R2265" s="3">
        <f t="shared" si="178"/>
        <v>0</v>
      </c>
      <c r="S2265" s="3">
        <f t="shared" si="179"/>
        <v>75854.700000000026</v>
      </c>
      <c r="T2265" s="24" t="s">
        <v>1081</v>
      </c>
      <c r="U2265" s="24"/>
      <c r="V2265" s="67"/>
      <c r="W2265" s="25">
        <f>IFERROR(VLOOKUP(BCP_Soles[[#This Row],[DESTINATARIO]],CHOOSE({1,2},Clientes_Proveedores[Razon Social],Clientes_Proveedores[Ruc / Dni]),2,0),"")</f>
        <v>20558226979</v>
      </c>
      <c r="X2265" s="25"/>
      <c r="Y2265" s="25"/>
      <c r="Z2265" s="25"/>
      <c r="AA2265" s="99"/>
      <c r="AB2265" s="3" t="str">
        <f>IF(BCP_Soles[[#This Row],[FECHA]]&gt;0,TEXT(BCP_Soles[[#This Row],[FECHA]],"mmmm"),0)</f>
        <v>Junio</v>
      </c>
    </row>
    <row r="2266" spans="2:28" x14ac:dyDescent="0.3">
      <c r="B2266" s="2">
        <f>IF(BCP_Soles[[#This Row],[TIPO DE R.]]="R",COUNTIFS($D$4:$D2265,"R")+1,"")</f>
        <v>1728</v>
      </c>
      <c r="C2266" s="19" t="str">
        <f t="shared" si="175"/>
        <v>B-BCP - Soles</v>
      </c>
      <c r="D2266" s="3" t="s">
        <v>1074</v>
      </c>
      <c r="E2266" s="14">
        <v>45838</v>
      </c>
      <c r="F2266" s="5"/>
      <c r="G2266" s="5" t="s">
        <v>1087</v>
      </c>
      <c r="H2266" s="6"/>
      <c r="I2266" s="6"/>
      <c r="J2266" s="6"/>
      <c r="K2266" s="6"/>
      <c r="L2266" s="7" t="s">
        <v>1100</v>
      </c>
      <c r="M2266" s="8">
        <v>4709583</v>
      </c>
      <c r="N2266" s="8" t="str">
        <f t="shared" si="176"/>
        <v>PEN</v>
      </c>
      <c r="O2266" s="13"/>
      <c r="P2266" s="13">
        <v>1637.45</v>
      </c>
      <c r="Q2266" s="3">
        <f t="shared" si="177"/>
        <v>1637.45</v>
      </c>
      <c r="R2266" s="3">
        <f t="shared" si="178"/>
        <v>0</v>
      </c>
      <c r="S2266" s="3">
        <f t="shared" si="179"/>
        <v>77492.150000000023</v>
      </c>
      <c r="T2266" s="24" t="s">
        <v>1081</v>
      </c>
      <c r="U2266" s="24" t="s">
        <v>1081</v>
      </c>
      <c r="V2266" s="67"/>
      <c r="W2266" s="25" t="str">
        <f>IFERROR(VLOOKUP(BCP_Soles[[#This Row],[DESTINATARIO]],CHOOSE({1,2},Clientes_Proveedores[Razon Social],Clientes_Proveedores[Ruc / Dni]),2,0),"")</f>
        <v/>
      </c>
      <c r="X2266" s="25"/>
      <c r="Y2266" s="25"/>
      <c r="Z2266" s="25"/>
      <c r="AA2266" s="99"/>
      <c r="AB2266" s="3" t="str">
        <f>IF(BCP_Soles[[#This Row],[FECHA]]&gt;0,TEXT(BCP_Soles[[#This Row],[FECHA]],"mmmm"),0)</f>
        <v>Junio</v>
      </c>
    </row>
    <row r="2267" spans="2:28" ht="24" x14ac:dyDescent="0.3">
      <c r="B2267" s="2" t="str">
        <f>IF(BCP_Soles[[#This Row],[TIPO DE R.]]="R",COUNTIFS($D$4:$D2266,"R")+1,"")</f>
        <v/>
      </c>
      <c r="C2267" s="19" t="str">
        <f t="shared" si="175"/>
        <v>B-BCP - Soles</v>
      </c>
      <c r="D2267" s="3" t="s">
        <v>1101</v>
      </c>
      <c r="E2267" s="14">
        <v>45838</v>
      </c>
      <c r="F2267" s="5" t="s">
        <v>479</v>
      </c>
      <c r="G2267" s="5"/>
      <c r="H2267" s="6"/>
      <c r="I2267" s="6"/>
      <c r="J2267" s="6"/>
      <c r="K2267" s="6"/>
      <c r="L2267" s="7" t="s">
        <v>1100</v>
      </c>
      <c r="M2267" s="8">
        <v>4709583</v>
      </c>
      <c r="N2267" s="8" t="str">
        <f t="shared" si="176"/>
        <v>PEN</v>
      </c>
      <c r="O2267" s="13">
        <v>0.45</v>
      </c>
      <c r="P2267" s="13"/>
      <c r="Q2267" s="3">
        <f t="shared" si="177"/>
        <v>0</v>
      </c>
      <c r="R2267" s="3">
        <f t="shared" si="178"/>
        <v>0</v>
      </c>
      <c r="S2267" s="3">
        <f t="shared" si="179"/>
        <v>77492.150000000023</v>
      </c>
      <c r="T2267" s="24" t="s">
        <v>1081</v>
      </c>
      <c r="U2267" s="24" t="s">
        <v>1081</v>
      </c>
      <c r="V2267" s="67"/>
      <c r="W2267" s="25" t="str">
        <f>IFERROR(VLOOKUP(BCP_Soles[[#This Row],[DESTINATARIO]],CHOOSE({1,2},Clientes_Proveedores[Razon Social],Clientes_Proveedores[Ruc / Dni]),2,0),"")</f>
        <v/>
      </c>
      <c r="X2267" s="25" t="s">
        <v>1090</v>
      </c>
      <c r="Y2267" s="25" t="s">
        <v>3030</v>
      </c>
      <c r="Z2267" s="25"/>
      <c r="AA2267" s="99"/>
      <c r="AB2267" s="3" t="str">
        <f>IF(BCP_Soles[[#This Row],[FECHA]]&gt;0,TEXT(BCP_Soles[[#This Row],[FECHA]],"mmmm"),0)</f>
        <v>Junio</v>
      </c>
    </row>
    <row r="2268" spans="2:28" ht="24" x14ac:dyDescent="0.3">
      <c r="B2268" s="2" t="str">
        <f>IF(BCP_Soles[[#This Row],[TIPO DE R.]]="R",COUNTIFS($D$4:$D2267,"R")+1,"")</f>
        <v/>
      </c>
      <c r="C2268" s="19" t="str">
        <f t="shared" si="175"/>
        <v>B-BCP - Soles</v>
      </c>
      <c r="D2268" s="3" t="s">
        <v>1101</v>
      </c>
      <c r="E2268" s="14">
        <v>45838</v>
      </c>
      <c r="F2268" s="5" t="s">
        <v>479</v>
      </c>
      <c r="G2268" s="5"/>
      <c r="H2268" s="6"/>
      <c r="I2268" s="6"/>
      <c r="J2268" s="6"/>
      <c r="K2268" s="6"/>
      <c r="L2268" s="7" t="s">
        <v>1100</v>
      </c>
      <c r="M2268" s="8">
        <v>4709583</v>
      </c>
      <c r="N2268" s="8" t="str">
        <f t="shared" si="176"/>
        <v>PEN</v>
      </c>
      <c r="O2268" s="13">
        <v>541</v>
      </c>
      <c r="P2268" s="13"/>
      <c r="Q2268" s="3">
        <f t="shared" si="177"/>
        <v>0</v>
      </c>
      <c r="R2268" s="3">
        <f t="shared" si="178"/>
        <v>0</v>
      </c>
      <c r="S2268" s="3">
        <f t="shared" si="179"/>
        <v>77492.150000000023</v>
      </c>
      <c r="T2268" s="24" t="s">
        <v>1081</v>
      </c>
      <c r="U2268" s="24" t="s">
        <v>1081</v>
      </c>
      <c r="V2268" s="67"/>
      <c r="W2268" s="25" t="str">
        <f>IFERROR(VLOOKUP(BCP_Soles[[#This Row],[DESTINATARIO]],CHOOSE({1,2},Clientes_Proveedores[Razon Social],Clientes_Proveedores[Ruc / Dni]),2,0),"")</f>
        <v/>
      </c>
      <c r="X2268" s="25" t="s">
        <v>1090</v>
      </c>
      <c r="Y2268" s="25" t="s">
        <v>3031</v>
      </c>
      <c r="Z2268" s="25"/>
      <c r="AA2268" s="99"/>
      <c r="AB2268" s="3" t="str">
        <f>IF(BCP_Soles[[#This Row],[FECHA]]&gt;0,TEXT(BCP_Soles[[#This Row],[FECHA]],"mmmm"),0)</f>
        <v>Junio</v>
      </c>
    </row>
    <row r="2269" spans="2:28" ht="24" x14ac:dyDescent="0.3">
      <c r="B2269" s="2" t="str">
        <f>IF(BCP_Soles[[#This Row],[TIPO DE R.]]="R",COUNTIFS($D$4:$D2268,"R")+1,"")</f>
        <v/>
      </c>
      <c r="C2269" s="19" t="str">
        <f t="shared" si="175"/>
        <v>B-BCP - Soles</v>
      </c>
      <c r="D2269" s="3" t="s">
        <v>1101</v>
      </c>
      <c r="E2269" s="14">
        <v>45838</v>
      </c>
      <c r="F2269" s="5" t="s">
        <v>479</v>
      </c>
      <c r="G2269" s="5"/>
      <c r="H2269" s="6"/>
      <c r="I2269" s="6"/>
      <c r="J2269" s="6"/>
      <c r="K2269" s="6"/>
      <c r="L2269" s="7" t="s">
        <v>1100</v>
      </c>
      <c r="M2269" s="8">
        <v>4709583</v>
      </c>
      <c r="N2269" s="8" t="str">
        <f t="shared" si="176"/>
        <v>PEN</v>
      </c>
      <c r="O2269" s="13">
        <v>1096</v>
      </c>
      <c r="P2269" s="13"/>
      <c r="Q2269" s="3">
        <f t="shared" si="177"/>
        <v>0</v>
      </c>
      <c r="R2269" s="3">
        <f t="shared" si="178"/>
        <v>0</v>
      </c>
      <c r="S2269" s="3">
        <f t="shared" si="179"/>
        <v>77492.150000000023</v>
      </c>
      <c r="T2269" s="24" t="s">
        <v>1081</v>
      </c>
      <c r="U2269" s="24" t="s">
        <v>1081</v>
      </c>
      <c r="V2269" s="67"/>
      <c r="W2269" s="25" t="str">
        <f>IFERROR(VLOOKUP(BCP_Soles[[#This Row],[DESTINATARIO]],CHOOSE({1,2},Clientes_Proveedores[Razon Social],Clientes_Proveedores[Ruc / Dni]),2,0),"")</f>
        <v/>
      </c>
      <c r="X2269" s="25" t="s">
        <v>1090</v>
      </c>
      <c r="Y2269" s="25" t="s">
        <v>3344</v>
      </c>
      <c r="Z2269" s="25"/>
      <c r="AA2269" s="99"/>
      <c r="AB2269" s="3" t="str">
        <f>IF(BCP_Soles[[#This Row],[FECHA]]&gt;0,TEXT(BCP_Soles[[#This Row],[FECHA]],"mmmm"),0)</f>
        <v>Junio</v>
      </c>
    </row>
    <row r="2270" spans="2:28" ht="24" x14ac:dyDescent="0.3">
      <c r="B2270" s="2">
        <f>IF(BCP_Soles[[#This Row],[TIPO DE R.]]="R",COUNTIFS($D$4:$D2269,"R")+1,"")</f>
        <v>1729</v>
      </c>
      <c r="C2270" s="19" t="str">
        <f t="shared" si="175"/>
        <v>B-BCP - Soles</v>
      </c>
      <c r="D2270" s="3" t="s">
        <v>1074</v>
      </c>
      <c r="E2270" s="14">
        <v>45838</v>
      </c>
      <c r="F2270" s="5" t="s">
        <v>1435</v>
      </c>
      <c r="G2270" s="5" t="s">
        <v>1087</v>
      </c>
      <c r="H2270" s="6"/>
      <c r="I2270" s="6"/>
      <c r="J2270" s="6"/>
      <c r="K2270" s="6"/>
      <c r="L2270" s="7" t="s">
        <v>1100</v>
      </c>
      <c r="M2270" s="8">
        <v>1690298</v>
      </c>
      <c r="N2270" s="8" t="str">
        <f t="shared" si="176"/>
        <v>PEN</v>
      </c>
      <c r="O2270" s="13"/>
      <c r="P2270" s="13">
        <v>320</v>
      </c>
      <c r="Q2270" s="3">
        <f t="shared" si="177"/>
        <v>320</v>
      </c>
      <c r="R2270" s="3">
        <f t="shared" si="178"/>
        <v>0</v>
      </c>
      <c r="S2270" s="3">
        <f t="shared" si="179"/>
        <v>77812.150000000023</v>
      </c>
      <c r="T2270" s="24" t="s">
        <v>1081</v>
      </c>
      <c r="U2270" s="24" t="s">
        <v>1081</v>
      </c>
      <c r="V2270" s="67"/>
      <c r="W2270" s="25" t="str">
        <f>IFERROR(VLOOKUP(BCP_Soles[[#This Row],[DESTINATARIO]],CHOOSE({1,2},Clientes_Proveedores[Razon Social],Clientes_Proveedores[Ruc / Dni]),2,0),"")</f>
        <v/>
      </c>
      <c r="X2270" s="25"/>
      <c r="Y2270" s="25" t="s">
        <v>3329</v>
      </c>
      <c r="Z2270" s="25"/>
      <c r="AA2270" s="99"/>
      <c r="AB2270" s="3" t="str">
        <f>IF(BCP_Soles[[#This Row],[FECHA]]&gt;0,TEXT(BCP_Soles[[#This Row],[FECHA]],"mmmm"),0)</f>
        <v>Junio</v>
      </c>
    </row>
    <row r="2271" spans="2:28" x14ac:dyDescent="0.3">
      <c r="B2271" s="2">
        <f>IF(BCP_Soles[[#This Row],[TIPO DE R.]]="R",COUNTIFS($D$4:$D2270,"R")+1,"")</f>
        <v>1730</v>
      </c>
      <c r="C2271" s="19" t="str">
        <f t="shared" si="175"/>
        <v>B-BCP - Soles</v>
      </c>
      <c r="D2271" s="3" t="s">
        <v>1074</v>
      </c>
      <c r="E2271" s="14">
        <v>45838</v>
      </c>
      <c r="F2271" s="5"/>
      <c r="G2271" s="5" t="s">
        <v>1087</v>
      </c>
      <c r="H2271" s="6"/>
      <c r="I2271" s="6"/>
      <c r="J2271" s="6"/>
      <c r="K2271" s="6"/>
      <c r="L2271" s="7" t="s">
        <v>3345</v>
      </c>
      <c r="M2271" s="8">
        <v>4193826</v>
      </c>
      <c r="N2271" s="8" t="str">
        <f t="shared" si="176"/>
        <v>PEN</v>
      </c>
      <c r="O2271" s="13"/>
      <c r="P2271" s="13">
        <v>4704.87</v>
      </c>
      <c r="Q2271" s="3">
        <f t="shared" si="177"/>
        <v>4704.87</v>
      </c>
      <c r="R2271" s="3">
        <f t="shared" si="178"/>
        <v>0</v>
      </c>
      <c r="S2271" s="3">
        <f t="shared" si="179"/>
        <v>82517.020000000019</v>
      </c>
      <c r="T2271" s="24"/>
      <c r="U2271" s="24"/>
      <c r="V2271" s="67"/>
      <c r="W2271" s="25" t="str">
        <f>IFERROR(VLOOKUP(BCP_Soles[[#This Row],[DESTINATARIO]],CHOOSE({1,2},Clientes_Proveedores[Razon Social],Clientes_Proveedores[Ruc / Dni]),2,0),"")</f>
        <v/>
      </c>
      <c r="X2271" s="25"/>
      <c r="Y2271" s="25"/>
      <c r="Z2271" s="25"/>
      <c r="AA2271" s="99"/>
      <c r="AB2271" s="3" t="str">
        <f>IF(BCP_Soles[[#This Row],[FECHA]]&gt;0,TEXT(BCP_Soles[[#This Row],[FECHA]],"mmmm"),0)</f>
        <v>Junio</v>
      </c>
    </row>
    <row r="2272" spans="2:28" x14ac:dyDescent="0.3">
      <c r="B2272" s="2">
        <f>IF(BCP_Soles[[#This Row],[TIPO DE R.]]="R",COUNTIFS($D$4:$D2271,"R")+1,"")</f>
        <v>1731</v>
      </c>
      <c r="C2272" s="19" t="str">
        <f t="shared" si="175"/>
        <v>B-BCP - Soles</v>
      </c>
      <c r="D2272" s="3" t="s">
        <v>1074</v>
      </c>
      <c r="E2272" s="14">
        <v>45838</v>
      </c>
      <c r="F2272" s="5" t="s">
        <v>1075</v>
      </c>
      <c r="G2272" s="5" t="s">
        <v>1079</v>
      </c>
      <c r="H2272" s="6"/>
      <c r="I2272" s="6"/>
      <c r="J2272" s="6"/>
      <c r="K2272" s="6"/>
      <c r="L2272" s="7" t="s">
        <v>3346</v>
      </c>
      <c r="M2272" s="8">
        <v>4212332</v>
      </c>
      <c r="N2272" s="8" t="str">
        <f t="shared" si="176"/>
        <v>PEN</v>
      </c>
      <c r="O2272" s="13"/>
      <c r="P2272" s="13">
        <v>4704.87</v>
      </c>
      <c r="Q2272" s="3">
        <f t="shared" si="177"/>
        <v>0</v>
      </c>
      <c r="R2272" s="3">
        <f t="shared" si="178"/>
        <v>4704.87</v>
      </c>
      <c r="S2272" s="3">
        <f t="shared" si="179"/>
        <v>77812.150000000023</v>
      </c>
      <c r="T2272" s="24"/>
      <c r="U2272" s="24"/>
      <c r="V2272" s="67"/>
      <c r="W2272" s="25" t="str">
        <f>IFERROR(VLOOKUP(BCP_Soles[[#This Row],[DESTINATARIO]],CHOOSE({1,2},Clientes_Proveedores[Razon Social],Clientes_Proveedores[Ruc / Dni]),2,0),"")</f>
        <v/>
      </c>
      <c r="X2272" s="25"/>
      <c r="Y2272" s="25"/>
      <c r="Z2272" s="25"/>
      <c r="AA2272" s="99"/>
      <c r="AB2272" s="3" t="str">
        <f>IF(BCP_Soles[[#This Row],[FECHA]]&gt;0,TEXT(BCP_Soles[[#This Row],[FECHA]],"mmmm"),0)</f>
        <v>Junio</v>
      </c>
    </row>
    <row r="2273" spans="2:28" ht="36" x14ac:dyDescent="0.3">
      <c r="B2273" s="2">
        <f>IF(BCP_Soles[[#This Row],[TIPO DE R.]]="R",COUNTIFS($D$4:$D2272,"R")+1,"")</f>
        <v>1732</v>
      </c>
      <c r="C2273" s="19" t="str">
        <f t="shared" si="175"/>
        <v>B-BCP - Soles</v>
      </c>
      <c r="D2273" s="3" t="s">
        <v>1074</v>
      </c>
      <c r="E2273" s="14">
        <v>45838</v>
      </c>
      <c r="F2273" s="5" t="s">
        <v>1075</v>
      </c>
      <c r="G2273" s="5" t="s">
        <v>1079</v>
      </c>
      <c r="H2273" s="6" t="s">
        <v>600</v>
      </c>
      <c r="I2273" s="6" t="s">
        <v>14</v>
      </c>
      <c r="J2273" s="6" t="s">
        <v>1121</v>
      </c>
      <c r="K2273" s="6">
        <v>45</v>
      </c>
      <c r="L2273" s="7" t="s">
        <v>3347</v>
      </c>
      <c r="M2273" s="8">
        <v>1215598</v>
      </c>
      <c r="N2273" s="8" t="str">
        <f t="shared" si="176"/>
        <v>PEN</v>
      </c>
      <c r="O2273" s="13"/>
      <c r="P2273" s="13">
        <v>472</v>
      </c>
      <c r="Q2273" s="3">
        <f t="shared" si="177"/>
        <v>0</v>
      </c>
      <c r="R2273" s="3">
        <f t="shared" si="178"/>
        <v>472</v>
      </c>
      <c r="S2273" s="3">
        <f t="shared" si="179"/>
        <v>77340.150000000023</v>
      </c>
      <c r="T2273" s="24" t="s">
        <v>1081</v>
      </c>
      <c r="U2273" s="24" t="s">
        <v>1081</v>
      </c>
      <c r="V2273" s="67"/>
      <c r="W2273" s="25">
        <f>IFERROR(VLOOKUP(BCP_Soles[[#This Row],[DESTINATARIO]],CHOOSE({1,2},Clientes_Proveedores[Razon Social],Clientes_Proveedores[Ruc / Dni]),2,0),"")</f>
        <v>15609125303</v>
      </c>
      <c r="X2273" s="25" t="s">
        <v>600</v>
      </c>
      <c r="Y2273" s="25" t="s">
        <v>3348</v>
      </c>
      <c r="Z2273" s="25"/>
      <c r="AA2273" s="99"/>
      <c r="AB2273" s="3" t="str">
        <f>IF(BCP_Soles[[#This Row],[FECHA]]&gt;0,TEXT(BCP_Soles[[#This Row],[FECHA]],"mmmm"),0)</f>
        <v>Junio</v>
      </c>
    </row>
    <row r="2274" spans="2:28" ht="24" x14ac:dyDescent="0.3">
      <c r="B2274" s="2">
        <f>IF(BCP_Soles[[#This Row],[TIPO DE R.]]="R",COUNTIFS($D$4:$D2273,"R")+1,"")</f>
        <v>1733</v>
      </c>
      <c r="C2274" s="19" t="str">
        <f t="shared" si="175"/>
        <v>B-BCP - Soles</v>
      </c>
      <c r="D2274" s="3" t="s">
        <v>1074</v>
      </c>
      <c r="E2274" s="14">
        <v>45838</v>
      </c>
      <c r="F2274" s="5" t="s">
        <v>1075</v>
      </c>
      <c r="G2274" s="5" t="s">
        <v>1079</v>
      </c>
      <c r="H2274" s="6" t="s">
        <v>600</v>
      </c>
      <c r="I2274" s="6" t="s">
        <v>14</v>
      </c>
      <c r="J2274" s="6" t="s">
        <v>1121</v>
      </c>
      <c r="K2274" s="6">
        <v>44</v>
      </c>
      <c r="L2274" s="7" t="s">
        <v>3349</v>
      </c>
      <c r="M2274" s="8">
        <v>1212687</v>
      </c>
      <c r="N2274" s="8" t="str">
        <f t="shared" si="176"/>
        <v>PEN</v>
      </c>
      <c r="O2274" s="13"/>
      <c r="P2274" s="13">
        <v>550.01</v>
      </c>
      <c r="Q2274" s="3">
        <f t="shared" si="177"/>
        <v>0</v>
      </c>
      <c r="R2274" s="3">
        <f t="shared" si="178"/>
        <v>550.01</v>
      </c>
      <c r="S2274" s="3">
        <f t="shared" si="179"/>
        <v>76790.140000000029</v>
      </c>
      <c r="T2274" s="24" t="s">
        <v>1081</v>
      </c>
      <c r="U2274" s="24" t="s">
        <v>1081</v>
      </c>
      <c r="V2274" s="67"/>
      <c r="W2274" s="25">
        <f>IFERROR(VLOOKUP(BCP_Soles[[#This Row],[DESTINATARIO]],CHOOSE({1,2},Clientes_Proveedores[Razon Social],Clientes_Proveedores[Ruc / Dni]),2,0),"")</f>
        <v>15609125303</v>
      </c>
      <c r="X2274" s="25" t="s">
        <v>600</v>
      </c>
      <c r="Y2274" s="25" t="s">
        <v>2321</v>
      </c>
      <c r="Z2274" s="25"/>
      <c r="AA2274" s="99"/>
      <c r="AB2274" s="3" t="str">
        <f>IF(BCP_Soles[[#This Row],[FECHA]]&gt;0,TEXT(BCP_Soles[[#This Row],[FECHA]],"mmmm"),0)</f>
        <v>Junio</v>
      </c>
    </row>
    <row r="2275" spans="2:28" ht="24" x14ac:dyDescent="0.3">
      <c r="B2275" s="2">
        <f>IF(BCP_Soles[[#This Row],[TIPO DE R.]]="R",COUNTIFS($D$4:$D2274,"R")+1,"")</f>
        <v>1734</v>
      </c>
      <c r="C2275" s="19" t="str">
        <f t="shared" si="175"/>
        <v>B-BCP - Soles</v>
      </c>
      <c r="D2275" s="3" t="s">
        <v>1074</v>
      </c>
      <c r="E2275" s="14">
        <v>45838</v>
      </c>
      <c r="F2275" s="5" t="s">
        <v>1075</v>
      </c>
      <c r="G2275" s="5" t="s">
        <v>1079</v>
      </c>
      <c r="H2275" s="6" t="s">
        <v>722</v>
      </c>
      <c r="I2275" s="6" t="s">
        <v>14</v>
      </c>
      <c r="J2275" s="6" t="s">
        <v>1119</v>
      </c>
      <c r="K2275" s="6">
        <v>4183</v>
      </c>
      <c r="L2275" s="7" t="s">
        <v>3350</v>
      </c>
      <c r="M2275" s="8">
        <v>1213176</v>
      </c>
      <c r="N2275" s="8" t="str">
        <f t="shared" si="176"/>
        <v>PEN</v>
      </c>
      <c r="O2275" s="13"/>
      <c r="P2275" s="13">
        <v>280</v>
      </c>
      <c r="Q2275" s="3">
        <f t="shared" si="177"/>
        <v>0</v>
      </c>
      <c r="R2275" s="3">
        <f t="shared" si="178"/>
        <v>280</v>
      </c>
      <c r="S2275" s="3">
        <f t="shared" si="179"/>
        <v>76510.140000000029</v>
      </c>
      <c r="T2275" s="24" t="s">
        <v>1081</v>
      </c>
      <c r="U2275" s="24" t="s">
        <v>1081</v>
      </c>
      <c r="V2275" s="67"/>
      <c r="W2275" s="25">
        <f>IFERROR(VLOOKUP(BCP_Soles[[#This Row],[DESTINATARIO]],CHOOSE({1,2},Clientes_Proveedores[Razon Social],Clientes_Proveedores[Ruc / Dni]),2,0),"")</f>
        <v>20327998413</v>
      </c>
      <c r="X2275" s="25" t="s">
        <v>722</v>
      </c>
      <c r="Y2275" s="25"/>
      <c r="Z2275" s="25"/>
      <c r="AA2275" s="99"/>
      <c r="AB2275" s="3" t="str">
        <f>IF(BCP_Soles[[#This Row],[FECHA]]&gt;0,TEXT(BCP_Soles[[#This Row],[FECHA]],"mmmm"),0)</f>
        <v>Junio</v>
      </c>
    </row>
    <row r="2276" spans="2:28" x14ac:dyDescent="0.3">
      <c r="B2276" s="2">
        <f>IF(BCP_Soles[[#This Row],[TIPO DE R.]]="R",COUNTIFS($D$4:$D2275,"R")+1,"")</f>
        <v>1735</v>
      </c>
      <c r="C2276" s="19" t="str">
        <f t="shared" si="175"/>
        <v>B-BCP - Soles</v>
      </c>
      <c r="D2276" s="3" t="s">
        <v>1074</v>
      </c>
      <c r="E2276" s="14">
        <v>45838</v>
      </c>
      <c r="F2276" s="5" t="s">
        <v>1078</v>
      </c>
      <c r="G2276" s="5" t="s">
        <v>1079</v>
      </c>
      <c r="H2276" s="6"/>
      <c r="I2276" s="6"/>
      <c r="J2276" s="6"/>
      <c r="K2276" s="6"/>
      <c r="L2276" s="7" t="s">
        <v>2868</v>
      </c>
      <c r="M2276" s="8"/>
      <c r="N2276" s="8" t="str">
        <f t="shared" si="176"/>
        <v>PEN</v>
      </c>
      <c r="O2276" s="13"/>
      <c r="P2276" s="13">
        <v>1.4</v>
      </c>
      <c r="Q2276" s="3">
        <f t="shared" si="177"/>
        <v>0</v>
      </c>
      <c r="R2276" s="3">
        <f t="shared" si="178"/>
        <v>1.4</v>
      </c>
      <c r="S2276" s="3">
        <f t="shared" si="179"/>
        <v>76508.740000000034</v>
      </c>
      <c r="T2276" s="24" t="s">
        <v>1081</v>
      </c>
      <c r="U2276" s="24"/>
      <c r="V2276" s="69"/>
      <c r="W2276" s="25" t="str">
        <f>IFERROR(VLOOKUP(BCP_Soles[[#This Row],[DESTINATARIO]],CHOOSE({1,2},Clientes_Proveedores[Razon Social],Clientes_Proveedores[Ruc / Dni]),2,0),"")</f>
        <v/>
      </c>
      <c r="X2276" s="25"/>
      <c r="Y2276" s="25"/>
      <c r="Z2276" s="25"/>
      <c r="AA2276" s="99"/>
      <c r="AB2276" s="3" t="str">
        <f>IF(BCP_Soles[[#This Row],[FECHA]]&gt;0,TEXT(BCP_Soles[[#This Row],[FECHA]],"mmmm"),0)</f>
        <v>Junio</v>
      </c>
    </row>
    <row r="2277" spans="2:28" ht="24" x14ac:dyDescent="0.3">
      <c r="B2277" s="2">
        <f>IF(BCP_Soles[[#This Row],[TIPO DE R.]]="R",COUNTIFS($D$4:$D2276,"R")+1,"")</f>
        <v>1736</v>
      </c>
      <c r="C2277" s="19" t="str">
        <f t="shared" si="175"/>
        <v>B-BCP - Soles</v>
      </c>
      <c r="D2277" s="3" t="s">
        <v>1074</v>
      </c>
      <c r="E2277" s="14">
        <v>45838</v>
      </c>
      <c r="F2277" s="5" t="s">
        <v>1078</v>
      </c>
      <c r="G2277" s="5" t="s">
        <v>1079</v>
      </c>
      <c r="H2277" s="6" t="s">
        <v>1001</v>
      </c>
      <c r="I2277" s="6" t="s">
        <v>14</v>
      </c>
      <c r="J2277" s="6" t="s">
        <v>3759</v>
      </c>
      <c r="K2277" s="6">
        <v>15662739</v>
      </c>
      <c r="L2277" s="7" t="s">
        <v>1495</v>
      </c>
      <c r="M2277" s="8">
        <v>974303</v>
      </c>
      <c r="N2277" s="8" t="str">
        <f t="shared" si="176"/>
        <v>PEN</v>
      </c>
      <c r="O2277" s="13"/>
      <c r="P2277" s="13">
        <v>5.5</v>
      </c>
      <c r="Q2277" s="3">
        <f t="shared" si="177"/>
        <v>0</v>
      </c>
      <c r="R2277" s="3">
        <f t="shared" si="178"/>
        <v>5.5</v>
      </c>
      <c r="S2277" s="3">
        <f t="shared" si="179"/>
        <v>76503.240000000034</v>
      </c>
      <c r="T2277" s="24" t="s">
        <v>1081</v>
      </c>
      <c r="U2277" s="24" t="s">
        <v>1081</v>
      </c>
      <c r="V2277" s="69"/>
      <c r="W2277" s="25">
        <f>IFERROR(VLOOKUP(BCP_Soles[[#This Row],[DESTINATARIO]],CHOOSE({1,2},Clientes_Proveedores[Razon Social],Clientes_Proveedores[Ruc / Dni]),2,0),"")</f>
        <v>20100047218</v>
      </c>
      <c r="X2277" s="25"/>
      <c r="Y2277" s="25"/>
      <c r="Z2277" s="25"/>
      <c r="AA2277" s="99"/>
      <c r="AB2277" s="3" t="str">
        <f>IF(BCP_Soles[[#This Row],[FECHA]]&gt;0,TEXT(BCP_Soles[[#This Row],[FECHA]],"mmmm"),0)</f>
        <v>Junio</v>
      </c>
    </row>
    <row r="2278" spans="2:28" ht="24" x14ac:dyDescent="0.3">
      <c r="B2278" s="2">
        <f>IF(BCP_Soles[[#This Row],[TIPO DE R.]]="R",COUNTIFS($D$4:$D2277,"R")+1,"")</f>
        <v>1737</v>
      </c>
      <c r="C2278" s="19" t="str">
        <f t="shared" si="175"/>
        <v>B-BCP - Soles</v>
      </c>
      <c r="D2278" s="3" t="s">
        <v>1074</v>
      </c>
      <c r="E2278" s="14">
        <v>45838</v>
      </c>
      <c r="F2278" s="5" t="s">
        <v>1078</v>
      </c>
      <c r="G2278" s="5" t="s">
        <v>1079</v>
      </c>
      <c r="H2278" s="6" t="s">
        <v>1001</v>
      </c>
      <c r="I2278" s="6" t="s">
        <v>14</v>
      </c>
      <c r="J2278" s="6" t="s">
        <v>3759</v>
      </c>
      <c r="K2278" s="6">
        <v>15662739</v>
      </c>
      <c r="L2278" s="7" t="s">
        <v>1493</v>
      </c>
      <c r="M2278" s="8"/>
      <c r="N2278" s="8" t="str">
        <f t="shared" si="176"/>
        <v>PEN</v>
      </c>
      <c r="O2278" s="13"/>
      <c r="P2278" s="13">
        <v>35</v>
      </c>
      <c r="Q2278" s="3">
        <f t="shared" si="177"/>
        <v>0</v>
      </c>
      <c r="R2278" s="3">
        <f t="shared" si="178"/>
        <v>35</v>
      </c>
      <c r="S2278" s="3">
        <f t="shared" si="179"/>
        <v>76468.240000000034</v>
      </c>
      <c r="T2278" s="24" t="s">
        <v>1081</v>
      </c>
      <c r="U2278" s="24" t="s">
        <v>1081</v>
      </c>
      <c r="V2278" s="69"/>
      <c r="W2278" s="25">
        <f>IFERROR(VLOOKUP(BCP_Soles[[#This Row],[DESTINATARIO]],CHOOSE({1,2},Clientes_Proveedores[Razon Social],Clientes_Proveedores[Ruc / Dni]),2,0),"")</f>
        <v>20100047218</v>
      </c>
      <c r="X2278" s="25"/>
      <c r="Y2278" s="25"/>
      <c r="Z2278" s="25"/>
      <c r="AA2278" s="99"/>
      <c r="AB2278" s="3" t="str">
        <f>IF(BCP_Soles[[#This Row],[FECHA]]&gt;0,TEXT(BCP_Soles[[#This Row],[FECHA]],"mmmm"),0)</f>
        <v>Junio</v>
      </c>
    </row>
    <row r="2279" spans="2:28" ht="15" thickBot="1" x14ac:dyDescent="0.35">
      <c r="B2279" s="106">
        <f>IF(BCP_Soles[[#This Row],[TIPO DE R.]]="R",COUNTIFS($D$4:$D2278,"R")+1,"")</f>
        <v>1738</v>
      </c>
      <c r="C2279" s="107" t="str">
        <f t="shared" si="175"/>
        <v>B-BCP - Soles</v>
      </c>
      <c r="D2279" s="108" t="s">
        <v>1074</v>
      </c>
      <c r="E2279" s="109">
        <v>45838</v>
      </c>
      <c r="F2279" s="110" t="s">
        <v>1075</v>
      </c>
      <c r="G2279" s="110" t="s">
        <v>1079</v>
      </c>
      <c r="H2279" s="111" t="s">
        <v>638</v>
      </c>
      <c r="I2279" s="111"/>
      <c r="J2279" s="111"/>
      <c r="K2279" s="111"/>
      <c r="L2279" s="112" t="s">
        <v>3351</v>
      </c>
      <c r="M2279" s="113">
        <v>4193774</v>
      </c>
      <c r="N2279" s="113" t="str">
        <f t="shared" si="176"/>
        <v>PEN</v>
      </c>
      <c r="O2279" s="114"/>
      <c r="P2279" s="114">
        <v>76041.8</v>
      </c>
      <c r="Q2279" s="108">
        <f t="shared" si="177"/>
        <v>0</v>
      </c>
      <c r="R2279" s="108">
        <f t="shared" si="178"/>
        <v>76041.8</v>
      </c>
      <c r="S2279" s="108">
        <f t="shared" si="179"/>
        <v>426.44000000003143</v>
      </c>
      <c r="T2279" s="115"/>
      <c r="U2279" s="115"/>
      <c r="V2279" s="116"/>
      <c r="W2279" s="117">
        <f>IFERROR(VLOOKUP(BCP_Soles[[#This Row],[DESTINATARIO]],CHOOSE({1,2},Clientes_Proveedores[Razon Social],Clientes_Proveedores[Ruc / Dni]),2,0),"")</f>
        <v>0</v>
      </c>
      <c r="X2279" s="117"/>
      <c r="Y2279" s="117"/>
      <c r="Z2279" s="117"/>
      <c r="AA2279" s="118"/>
      <c r="AB2279" s="108" t="str">
        <f>IF(BCP_Soles[[#This Row],[FECHA]]&gt;0,TEXT(BCP_Soles[[#This Row],[FECHA]],"mmmm"),0)</f>
        <v>Junio</v>
      </c>
    </row>
    <row r="2280" spans="2:28" ht="24" x14ac:dyDescent="0.3">
      <c r="B2280" s="2">
        <f>IF(BCP_Soles[[#This Row],[TIPO DE R.]]="R",COUNTIFS($D$4:$D2279,"R")+1,"")</f>
        <v>1739</v>
      </c>
      <c r="C2280" s="19" t="str">
        <f t="shared" si="175"/>
        <v>B-BCP - Soles</v>
      </c>
      <c r="D2280" s="3" t="s">
        <v>1074</v>
      </c>
      <c r="E2280" s="14">
        <v>45839</v>
      </c>
      <c r="F2280" s="5" t="s">
        <v>2800</v>
      </c>
      <c r="G2280" s="5" t="s">
        <v>1087</v>
      </c>
      <c r="H2280" s="6"/>
      <c r="I2280" s="6"/>
      <c r="J2280" s="6"/>
      <c r="K2280" s="6"/>
      <c r="L2280" s="7" t="s">
        <v>3352</v>
      </c>
      <c r="M2280" s="8">
        <v>690377</v>
      </c>
      <c r="N2280" s="8" t="str">
        <f t="shared" si="176"/>
        <v>PEN</v>
      </c>
      <c r="O2280" s="13"/>
      <c r="P2280" s="13">
        <v>40000</v>
      </c>
      <c r="Q2280" s="3">
        <f t="shared" si="177"/>
        <v>40000</v>
      </c>
      <c r="R2280" s="3">
        <f t="shared" si="178"/>
        <v>0</v>
      </c>
      <c r="S2280" s="3">
        <f t="shared" si="179"/>
        <v>40426.440000000031</v>
      </c>
      <c r="T2280" s="24" t="s">
        <v>1081</v>
      </c>
      <c r="U2280" s="24" t="s">
        <v>1081</v>
      </c>
      <c r="V2280" s="69"/>
      <c r="W2280" s="25" t="str">
        <f>IFERROR(VLOOKUP(BCP_Soles[[#This Row],[DESTINATARIO]],CHOOSE({1,2},Clientes_Proveedores[Razon Social],Clientes_Proveedores[Ruc / Dni]),2,0),"")</f>
        <v/>
      </c>
      <c r="X2280" s="25" t="s">
        <v>1090</v>
      </c>
      <c r="Y2280" s="25"/>
      <c r="Z2280" s="25"/>
      <c r="AA2280" s="99"/>
      <c r="AB2280" s="3" t="str">
        <f>IF(BCP_Soles[[#This Row],[FECHA]]&gt;0,TEXT(BCP_Soles[[#This Row],[FECHA]],"mmmm"),0)</f>
        <v>Julio</v>
      </c>
    </row>
    <row r="2281" spans="2:28" x14ac:dyDescent="0.3">
      <c r="B2281" s="2">
        <f>IF(BCP_Soles[[#This Row],[TIPO DE R.]]="R",COUNTIFS($D$4:$D2280,"R")+1,"")</f>
        <v>1740</v>
      </c>
      <c r="C2281" s="19" t="str">
        <f t="shared" si="175"/>
        <v>B-BCP - Soles</v>
      </c>
      <c r="D2281" s="3" t="s">
        <v>1074</v>
      </c>
      <c r="E2281" s="14">
        <v>45839</v>
      </c>
      <c r="F2281" s="5" t="s">
        <v>3353</v>
      </c>
      <c r="G2281" s="5" t="s">
        <v>1087</v>
      </c>
      <c r="H2281" s="6"/>
      <c r="I2281" s="6"/>
      <c r="J2281" s="6"/>
      <c r="K2281" s="6"/>
      <c r="L2281" s="7" t="s">
        <v>3354</v>
      </c>
      <c r="M2281" s="8">
        <v>3905783</v>
      </c>
      <c r="N2281" s="8" t="str">
        <f t="shared" si="176"/>
        <v>PEN</v>
      </c>
      <c r="O2281" s="13"/>
      <c r="P2281" s="13">
        <v>100</v>
      </c>
      <c r="Q2281" s="3">
        <f t="shared" si="177"/>
        <v>100</v>
      </c>
      <c r="R2281" s="3">
        <f t="shared" si="178"/>
        <v>0</v>
      </c>
      <c r="S2281" s="3">
        <f t="shared" si="179"/>
        <v>40526.440000000031</v>
      </c>
      <c r="T2281" s="24" t="s">
        <v>1081</v>
      </c>
      <c r="U2281" s="24" t="s">
        <v>1081</v>
      </c>
      <c r="V2281" s="69"/>
      <c r="W2281" s="25" t="str">
        <f>IFERROR(VLOOKUP(BCP_Soles[[#This Row],[DESTINATARIO]],CHOOSE({1,2},Clientes_Proveedores[Razon Social],Clientes_Proveedores[Ruc / Dni]),2,0),"")</f>
        <v/>
      </c>
      <c r="X2281" s="25" t="s">
        <v>1090</v>
      </c>
      <c r="Y2281" s="25"/>
      <c r="Z2281" s="25"/>
      <c r="AA2281" s="99"/>
      <c r="AB2281" s="3" t="str">
        <f>IF(BCP_Soles[[#This Row],[FECHA]]&gt;0,TEXT(BCP_Soles[[#This Row],[FECHA]],"mmmm"),0)</f>
        <v>Julio</v>
      </c>
    </row>
    <row r="2282" spans="2:28" ht="24" x14ac:dyDescent="0.3">
      <c r="B2282" s="2">
        <f>IF(BCP_Soles[[#This Row],[TIPO DE R.]]="R",COUNTIFS($D$4:$D2281,"R")+1,"")</f>
        <v>1741</v>
      </c>
      <c r="C2282" s="19" t="str">
        <f t="shared" si="175"/>
        <v>B-BCP - Soles</v>
      </c>
      <c r="D2282" s="3" t="s">
        <v>1074</v>
      </c>
      <c r="E2282" s="14">
        <v>45839</v>
      </c>
      <c r="F2282" s="5" t="s">
        <v>1075</v>
      </c>
      <c r="G2282" s="5" t="s">
        <v>1079</v>
      </c>
      <c r="H2282" s="6" t="s">
        <v>699</v>
      </c>
      <c r="I2282" s="6" t="s">
        <v>18</v>
      </c>
      <c r="J2282" s="6" t="s">
        <v>1121</v>
      </c>
      <c r="K2282" s="6">
        <v>22</v>
      </c>
      <c r="L2282" s="7" t="s">
        <v>3355</v>
      </c>
      <c r="M2282" s="8">
        <v>1220116</v>
      </c>
      <c r="N2282" s="8" t="str">
        <f t="shared" si="176"/>
        <v>PEN</v>
      </c>
      <c r="O2282" s="13"/>
      <c r="P2282" s="13">
        <v>1250</v>
      </c>
      <c r="Q2282" s="3">
        <f t="shared" si="177"/>
        <v>0</v>
      </c>
      <c r="R2282" s="3">
        <f t="shared" si="178"/>
        <v>1250</v>
      </c>
      <c r="S2282" s="3">
        <f t="shared" si="179"/>
        <v>39276.440000000031</v>
      </c>
      <c r="T2282" s="24" t="s">
        <v>1081</v>
      </c>
      <c r="U2282" s="24" t="s">
        <v>1081</v>
      </c>
      <c r="V2282" s="104" t="s">
        <v>3356</v>
      </c>
      <c r="W2282" s="25">
        <f>IFERROR(VLOOKUP(BCP_Soles[[#This Row],[DESTINATARIO]],CHOOSE({1,2},Clientes_Proveedores[Razon Social],Clientes_Proveedores[Ruc / Dni]),2,0),"")</f>
        <v>10108661343</v>
      </c>
      <c r="X2282" s="25" t="s">
        <v>1892</v>
      </c>
      <c r="Y2282" s="25" t="s">
        <v>3357</v>
      </c>
      <c r="Z2282" s="25"/>
      <c r="AA2282" s="99"/>
      <c r="AB2282" s="3" t="str">
        <f>IF(BCP_Soles[[#This Row],[FECHA]]&gt;0,TEXT(BCP_Soles[[#This Row],[FECHA]],"mmmm"),0)</f>
        <v>Julio</v>
      </c>
    </row>
    <row r="2283" spans="2:28" x14ac:dyDescent="0.3">
      <c r="B2283" s="2">
        <f>IF(BCP_Soles[[#This Row],[TIPO DE R.]]="R",COUNTIFS($D$4:$D2282,"R")+1,"")</f>
        <v>1742</v>
      </c>
      <c r="C2283" s="19" t="str">
        <f t="shared" si="175"/>
        <v>B-BCP - Soles</v>
      </c>
      <c r="D2283" s="3" t="s">
        <v>1074</v>
      </c>
      <c r="E2283" s="14">
        <v>45839</v>
      </c>
      <c r="F2283" s="5" t="s">
        <v>1075</v>
      </c>
      <c r="G2283" s="5" t="s">
        <v>1079</v>
      </c>
      <c r="H2283" s="6" t="s">
        <v>139</v>
      </c>
      <c r="I2283" s="6" t="s">
        <v>14</v>
      </c>
      <c r="J2283" s="6" t="s">
        <v>1953</v>
      </c>
      <c r="K2283" s="6">
        <v>6528</v>
      </c>
      <c r="L2283" s="7" t="s">
        <v>1954</v>
      </c>
      <c r="M2283" s="8">
        <v>220605</v>
      </c>
      <c r="N2283" s="8" t="str">
        <f t="shared" si="176"/>
        <v>PEN</v>
      </c>
      <c r="O2283" s="13"/>
      <c r="P2283" s="13">
        <v>100</v>
      </c>
      <c r="Q2283" s="3">
        <f t="shared" si="177"/>
        <v>0</v>
      </c>
      <c r="R2283" s="3">
        <f t="shared" si="178"/>
        <v>100</v>
      </c>
      <c r="S2283" s="3">
        <f t="shared" si="179"/>
        <v>39176.440000000031</v>
      </c>
      <c r="T2283" s="24" t="s">
        <v>1081</v>
      </c>
      <c r="U2283" s="24" t="s">
        <v>1081</v>
      </c>
      <c r="V2283" s="104" t="s">
        <v>3358</v>
      </c>
      <c r="W2283" s="25">
        <f>IFERROR(VLOOKUP(BCP_Soles[[#This Row],[DESTINATARIO]],CHOOSE({1,2},Clientes_Proveedores[Razon Social],Clientes_Proveedores[Ruc / Dni]),2,0),"")</f>
        <v>20100055237</v>
      </c>
      <c r="X2283" s="25" t="s">
        <v>139</v>
      </c>
      <c r="Y2283" s="25" t="s">
        <v>3359</v>
      </c>
      <c r="Z2283" s="25"/>
      <c r="AA2283" s="99"/>
      <c r="AB2283" s="3" t="str">
        <f>IF(BCP_Soles[[#This Row],[FECHA]]&gt;0,TEXT(BCP_Soles[[#This Row],[FECHA]],"mmmm"),0)</f>
        <v>Julio</v>
      </c>
    </row>
    <row r="2284" spans="2:28" x14ac:dyDescent="0.3">
      <c r="B2284" s="2">
        <f>IF(BCP_Soles[[#This Row],[TIPO DE R.]]="R",COUNTIFS($D$4:$D2283,"R")+1,"")</f>
        <v>1743</v>
      </c>
      <c r="C2284" s="19" t="str">
        <f t="shared" si="175"/>
        <v>B-BCP - Soles</v>
      </c>
      <c r="D2284" s="3" t="s">
        <v>1074</v>
      </c>
      <c r="E2284" s="14">
        <v>45839</v>
      </c>
      <c r="F2284" s="5" t="s">
        <v>1075</v>
      </c>
      <c r="G2284" s="5" t="s">
        <v>1079</v>
      </c>
      <c r="H2284" s="6" t="s">
        <v>139</v>
      </c>
      <c r="I2284" s="6" t="s">
        <v>14</v>
      </c>
      <c r="J2284" s="6" t="s">
        <v>1953</v>
      </c>
      <c r="K2284" s="6">
        <v>6529</v>
      </c>
      <c r="L2284" s="7" t="s">
        <v>1954</v>
      </c>
      <c r="M2284" s="8">
        <v>221094</v>
      </c>
      <c r="N2284" s="8" t="str">
        <f t="shared" si="176"/>
        <v>PEN</v>
      </c>
      <c r="O2284" s="13"/>
      <c r="P2284" s="13">
        <v>14.7</v>
      </c>
      <c r="Q2284" s="3">
        <f t="shared" si="177"/>
        <v>0</v>
      </c>
      <c r="R2284" s="3">
        <f t="shared" si="178"/>
        <v>14.7</v>
      </c>
      <c r="S2284" s="3">
        <f t="shared" si="179"/>
        <v>39161.740000000034</v>
      </c>
      <c r="T2284" s="24" t="s">
        <v>1081</v>
      </c>
      <c r="U2284" s="24" t="s">
        <v>1081</v>
      </c>
      <c r="V2284" s="104" t="s">
        <v>3360</v>
      </c>
      <c r="W2284" s="25">
        <f>IFERROR(VLOOKUP(BCP_Soles[[#This Row],[DESTINATARIO]],CHOOSE({1,2},Clientes_Proveedores[Razon Social],Clientes_Proveedores[Ruc / Dni]),2,0),"")</f>
        <v>20100055237</v>
      </c>
      <c r="X2284" s="25" t="s">
        <v>139</v>
      </c>
      <c r="Y2284" s="25" t="s">
        <v>3361</v>
      </c>
      <c r="Z2284" s="25"/>
      <c r="AA2284" s="99"/>
      <c r="AB2284" s="3" t="str">
        <f>IF(BCP_Soles[[#This Row],[FECHA]]&gt;0,TEXT(BCP_Soles[[#This Row],[FECHA]],"mmmm"),0)</f>
        <v>Julio</v>
      </c>
    </row>
    <row r="2285" spans="2:28" x14ac:dyDescent="0.3">
      <c r="B2285" s="2">
        <f>IF(BCP_Soles[[#This Row],[TIPO DE R.]]="R",COUNTIFS($D$4:$D2284,"R")+1,"")</f>
        <v>1744</v>
      </c>
      <c r="C2285" s="19" t="str">
        <f t="shared" si="175"/>
        <v>B-BCP - Soles</v>
      </c>
      <c r="D2285" s="3" t="s">
        <v>1074</v>
      </c>
      <c r="E2285" s="14">
        <v>45839</v>
      </c>
      <c r="F2285" s="5" t="s">
        <v>1075</v>
      </c>
      <c r="G2285" s="5" t="s">
        <v>1079</v>
      </c>
      <c r="H2285" s="6" t="s">
        <v>139</v>
      </c>
      <c r="I2285" s="6" t="s">
        <v>14</v>
      </c>
      <c r="J2285" s="6" t="s">
        <v>1953</v>
      </c>
      <c r="K2285" s="6">
        <v>6526</v>
      </c>
      <c r="L2285" s="7" t="s">
        <v>1954</v>
      </c>
      <c r="M2285" s="8">
        <v>220606</v>
      </c>
      <c r="N2285" s="8" t="str">
        <f t="shared" si="176"/>
        <v>PEN</v>
      </c>
      <c r="O2285" s="13"/>
      <c r="P2285" s="13">
        <v>216.88</v>
      </c>
      <c r="Q2285" s="3">
        <f t="shared" si="177"/>
        <v>0</v>
      </c>
      <c r="R2285" s="3">
        <f t="shared" si="178"/>
        <v>216.88</v>
      </c>
      <c r="S2285" s="3">
        <f t="shared" si="179"/>
        <v>38944.860000000037</v>
      </c>
      <c r="T2285" s="24" t="s">
        <v>1081</v>
      </c>
      <c r="U2285" s="24" t="s">
        <v>1081</v>
      </c>
      <c r="V2285" s="104" t="s">
        <v>3362</v>
      </c>
      <c r="W2285" s="25">
        <f>IFERROR(VLOOKUP(BCP_Soles[[#This Row],[DESTINATARIO]],CHOOSE({1,2},Clientes_Proveedores[Razon Social],Clientes_Proveedores[Ruc / Dni]),2,0),"")</f>
        <v>20100055237</v>
      </c>
      <c r="X2285" s="25" t="s">
        <v>139</v>
      </c>
      <c r="Y2285" s="25" t="s">
        <v>3363</v>
      </c>
      <c r="Z2285" s="25"/>
      <c r="AA2285" s="99"/>
      <c r="AB2285" s="3" t="str">
        <f>IF(BCP_Soles[[#This Row],[FECHA]]&gt;0,TEXT(BCP_Soles[[#This Row],[FECHA]],"mmmm"),0)</f>
        <v>Julio</v>
      </c>
    </row>
    <row r="2286" spans="2:28" x14ac:dyDescent="0.3">
      <c r="B2286" s="2">
        <f>IF(BCP_Soles[[#This Row],[TIPO DE R.]]="R",COUNTIFS($D$4:$D2285,"R")+1,"")</f>
        <v>1745</v>
      </c>
      <c r="C2286" s="19" t="str">
        <f t="shared" si="175"/>
        <v>B-BCP - Soles</v>
      </c>
      <c r="D2286" s="3" t="s">
        <v>1074</v>
      </c>
      <c r="E2286" s="14">
        <v>45839</v>
      </c>
      <c r="F2286" s="5" t="s">
        <v>1075</v>
      </c>
      <c r="G2286" s="5" t="s">
        <v>1079</v>
      </c>
      <c r="H2286" s="6" t="s">
        <v>139</v>
      </c>
      <c r="I2286" s="6" t="s">
        <v>14</v>
      </c>
      <c r="J2286" s="6" t="s">
        <v>1953</v>
      </c>
      <c r="K2286" s="6">
        <v>6521</v>
      </c>
      <c r="L2286" s="7" t="s">
        <v>1954</v>
      </c>
      <c r="M2286" s="8">
        <v>221588</v>
      </c>
      <c r="N2286" s="8" t="str">
        <f t="shared" si="176"/>
        <v>PEN</v>
      </c>
      <c r="O2286" s="13"/>
      <c r="P2286" s="13">
        <v>733.76</v>
      </c>
      <c r="Q2286" s="3">
        <f t="shared" si="177"/>
        <v>0</v>
      </c>
      <c r="R2286" s="3">
        <f t="shared" si="178"/>
        <v>733.76</v>
      </c>
      <c r="S2286" s="3">
        <f t="shared" si="179"/>
        <v>38211.100000000035</v>
      </c>
      <c r="T2286" s="24" t="s">
        <v>1081</v>
      </c>
      <c r="U2286" s="24" t="s">
        <v>1081</v>
      </c>
      <c r="V2286" s="104" t="s">
        <v>3364</v>
      </c>
      <c r="W2286" s="25">
        <f>IFERROR(VLOOKUP(BCP_Soles[[#This Row],[DESTINATARIO]],CHOOSE({1,2},Clientes_Proveedores[Razon Social],Clientes_Proveedores[Ruc / Dni]),2,0),"")</f>
        <v>20100055237</v>
      </c>
      <c r="X2286" s="25" t="s">
        <v>139</v>
      </c>
      <c r="Y2286" s="25" t="s">
        <v>3365</v>
      </c>
      <c r="Z2286" s="25"/>
      <c r="AA2286" s="99"/>
      <c r="AB2286" s="3" t="str">
        <f>IF(BCP_Soles[[#This Row],[FECHA]]&gt;0,TEXT(BCP_Soles[[#This Row],[FECHA]],"mmmm"),0)</f>
        <v>Julio</v>
      </c>
    </row>
    <row r="2287" spans="2:28" x14ac:dyDescent="0.3">
      <c r="B2287" s="2">
        <f>IF(BCP_Soles[[#This Row],[TIPO DE R.]]="R",COUNTIFS($D$4:$D2286,"R")+1,"")</f>
        <v>1746</v>
      </c>
      <c r="C2287" s="19" t="str">
        <f t="shared" si="175"/>
        <v>B-BCP - Soles</v>
      </c>
      <c r="D2287" s="3" t="s">
        <v>1074</v>
      </c>
      <c r="E2287" s="14">
        <v>45839</v>
      </c>
      <c r="F2287" s="5" t="s">
        <v>1075</v>
      </c>
      <c r="G2287" s="5" t="s">
        <v>1079</v>
      </c>
      <c r="H2287" s="6" t="s">
        <v>139</v>
      </c>
      <c r="I2287" s="6" t="s">
        <v>14</v>
      </c>
      <c r="J2287" s="6" t="s">
        <v>1953</v>
      </c>
      <c r="K2287" s="6">
        <v>6527</v>
      </c>
      <c r="L2287" s="7" t="s">
        <v>1954</v>
      </c>
      <c r="M2287" s="8">
        <v>223070</v>
      </c>
      <c r="N2287" s="8" t="str">
        <f t="shared" si="176"/>
        <v>PEN</v>
      </c>
      <c r="O2287" s="13"/>
      <c r="P2287" s="13">
        <v>342.56</v>
      </c>
      <c r="Q2287" s="3">
        <f t="shared" si="177"/>
        <v>0</v>
      </c>
      <c r="R2287" s="3">
        <f t="shared" si="178"/>
        <v>342.56</v>
      </c>
      <c r="S2287" s="3">
        <f t="shared" si="179"/>
        <v>37868.540000000037</v>
      </c>
      <c r="T2287" s="28" t="s">
        <v>1081</v>
      </c>
      <c r="U2287" s="24" t="s">
        <v>1081</v>
      </c>
      <c r="V2287" s="104" t="s">
        <v>3366</v>
      </c>
      <c r="W2287" s="25">
        <f>IFERROR(VLOOKUP(BCP_Soles[[#This Row],[DESTINATARIO]],CHOOSE({1,2},Clientes_Proveedores[Razon Social],Clientes_Proveedores[Ruc / Dni]),2,0),"")</f>
        <v>20100055237</v>
      </c>
      <c r="X2287" s="25" t="s">
        <v>139</v>
      </c>
      <c r="Y2287" s="25" t="s">
        <v>3367</v>
      </c>
      <c r="Z2287" s="25"/>
      <c r="AA2287" s="99"/>
      <c r="AB2287" s="3" t="str">
        <f>IF(BCP_Soles[[#This Row],[FECHA]]&gt;0,TEXT(BCP_Soles[[#This Row],[FECHA]],"mmmm"),0)</f>
        <v>Julio</v>
      </c>
    </row>
    <row r="2288" spans="2:28" x14ac:dyDescent="0.3">
      <c r="B2288" s="2">
        <f>IF(BCP_Soles[[#This Row],[TIPO DE R.]]="R",COUNTIFS($D$4:$D2287,"R")+1,"")</f>
        <v>1747</v>
      </c>
      <c r="C2288" s="19" t="str">
        <f t="shared" si="175"/>
        <v>B-BCP - Soles</v>
      </c>
      <c r="D2288" s="3" t="s">
        <v>1074</v>
      </c>
      <c r="E2288" s="14">
        <v>45839</v>
      </c>
      <c r="F2288" s="5" t="s">
        <v>1075</v>
      </c>
      <c r="G2288" s="5" t="s">
        <v>1079</v>
      </c>
      <c r="H2288" s="6" t="s">
        <v>139</v>
      </c>
      <c r="I2288" s="6" t="s">
        <v>14</v>
      </c>
      <c r="J2288" s="6" t="s">
        <v>1953</v>
      </c>
      <c r="K2288" s="6">
        <v>6524</v>
      </c>
      <c r="L2288" s="7" t="s">
        <v>1954</v>
      </c>
      <c r="M2288" s="8">
        <v>222570</v>
      </c>
      <c r="N2288" s="8" t="str">
        <f t="shared" si="176"/>
        <v>PEN</v>
      </c>
      <c r="O2288" s="13"/>
      <c r="P2288" s="13">
        <v>520.13</v>
      </c>
      <c r="Q2288" s="3">
        <f t="shared" si="177"/>
        <v>0</v>
      </c>
      <c r="R2288" s="3">
        <f t="shared" si="178"/>
        <v>520.13</v>
      </c>
      <c r="S2288" s="3">
        <f t="shared" si="179"/>
        <v>37348.41000000004</v>
      </c>
      <c r="T2288" s="28" t="s">
        <v>1081</v>
      </c>
      <c r="U2288" s="24" t="s">
        <v>1081</v>
      </c>
      <c r="V2288" s="104" t="s">
        <v>3368</v>
      </c>
      <c r="W2288" s="25">
        <f>IFERROR(VLOOKUP(BCP_Soles[[#This Row],[DESTINATARIO]],CHOOSE({1,2},Clientes_Proveedores[Razon Social],Clientes_Proveedores[Ruc / Dni]),2,0),"")</f>
        <v>20100055237</v>
      </c>
      <c r="X2288" s="25" t="s">
        <v>139</v>
      </c>
      <c r="Y2288" s="25" t="s">
        <v>3369</v>
      </c>
      <c r="Z2288" s="25"/>
      <c r="AA2288" s="99"/>
      <c r="AB2288" s="3" t="str">
        <f>IF(BCP_Soles[[#This Row],[FECHA]]&gt;0,TEXT(BCP_Soles[[#This Row],[FECHA]],"mmmm"),0)</f>
        <v>Julio</v>
      </c>
    </row>
    <row r="2289" spans="2:28" x14ac:dyDescent="0.3">
      <c r="B2289" s="2">
        <f>IF(BCP_Soles[[#This Row],[TIPO DE R.]]="R",COUNTIFS($D$4:$D2288,"R")+1,"")</f>
        <v>1748</v>
      </c>
      <c r="C2289" s="19" t="str">
        <f t="shared" si="175"/>
        <v>B-BCP - Soles</v>
      </c>
      <c r="D2289" s="3" t="s">
        <v>1074</v>
      </c>
      <c r="E2289" s="14">
        <v>45839</v>
      </c>
      <c r="F2289" s="5" t="s">
        <v>1075</v>
      </c>
      <c r="G2289" s="5" t="s">
        <v>1079</v>
      </c>
      <c r="H2289" s="6" t="s">
        <v>139</v>
      </c>
      <c r="I2289" s="6" t="s">
        <v>14</v>
      </c>
      <c r="J2289" s="6" t="s">
        <v>1953</v>
      </c>
      <c r="K2289" s="6">
        <v>6522</v>
      </c>
      <c r="L2289" s="7" t="s">
        <v>1954</v>
      </c>
      <c r="M2289" s="8">
        <v>220604</v>
      </c>
      <c r="N2289" s="8" t="str">
        <f t="shared" si="176"/>
        <v>PEN</v>
      </c>
      <c r="O2289" s="13"/>
      <c r="P2289" s="13">
        <v>149.22999999999999</v>
      </c>
      <c r="Q2289" s="3">
        <f t="shared" si="177"/>
        <v>0</v>
      </c>
      <c r="R2289" s="3">
        <f t="shared" si="178"/>
        <v>149.22999999999999</v>
      </c>
      <c r="S2289" s="3">
        <f t="shared" si="179"/>
        <v>37199.180000000037</v>
      </c>
      <c r="T2289" s="28" t="s">
        <v>1081</v>
      </c>
      <c r="U2289" s="24" t="s">
        <v>1081</v>
      </c>
      <c r="V2289" s="104" t="s">
        <v>3370</v>
      </c>
      <c r="W2289" s="25">
        <f>IFERROR(VLOOKUP(BCP_Soles[[#This Row],[DESTINATARIO]],CHOOSE({1,2},Clientes_Proveedores[Razon Social],Clientes_Proveedores[Ruc / Dni]),2,0),"")</f>
        <v>20100055237</v>
      </c>
      <c r="X2289" s="25" t="s">
        <v>139</v>
      </c>
      <c r="Y2289" s="25" t="s">
        <v>3371</v>
      </c>
      <c r="Z2289" s="25"/>
      <c r="AA2289" s="99"/>
      <c r="AB2289" s="3" t="str">
        <f>IF(BCP_Soles[[#This Row],[FECHA]]&gt;0,TEXT(BCP_Soles[[#This Row],[FECHA]],"mmmm"),0)</f>
        <v>Julio</v>
      </c>
    </row>
    <row r="2290" spans="2:28" x14ac:dyDescent="0.3">
      <c r="B2290" s="2">
        <f>IF(BCP_Soles[[#This Row],[TIPO DE R.]]="R",COUNTIFS($D$4:$D2289,"R")+1,"")</f>
        <v>1749</v>
      </c>
      <c r="C2290" s="19" t="str">
        <f t="shared" si="175"/>
        <v>B-BCP - Soles</v>
      </c>
      <c r="D2290" s="3" t="s">
        <v>1074</v>
      </c>
      <c r="E2290" s="14">
        <v>45839</v>
      </c>
      <c r="F2290" s="5" t="s">
        <v>1075</v>
      </c>
      <c r="G2290" s="5" t="s">
        <v>1079</v>
      </c>
      <c r="H2290" s="6" t="s">
        <v>139</v>
      </c>
      <c r="I2290" s="6" t="s">
        <v>14</v>
      </c>
      <c r="J2290" s="6" t="s">
        <v>1953</v>
      </c>
      <c r="K2290" s="6">
        <v>6523</v>
      </c>
      <c r="L2290" s="7" t="s">
        <v>1954</v>
      </c>
      <c r="M2290" s="8">
        <v>221093</v>
      </c>
      <c r="N2290" s="8" t="str">
        <f t="shared" si="176"/>
        <v>PEN</v>
      </c>
      <c r="O2290" s="13"/>
      <c r="P2290" s="13">
        <v>53.72</v>
      </c>
      <c r="Q2290" s="3">
        <f t="shared" si="177"/>
        <v>0</v>
      </c>
      <c r="R2290" s="3">
        <f t="shared" si="178"/>
        <v>53.72</v>
      </c>
      <c r="S2290" s="3">
        <f t="shared" si="179"/>
        <v>37145.460000000036</v>
      </c>
      <c r="T2290" s="28" t="s">
        <v>1081</v>
      </c>
      <c r="U2290" s="24" t="s">
        <v>1081</v>
      </c>
      <c r="V2290" s="104" t="s">
        <v>3372</v>
      </c>
      <c r="W2290" s="25">
        <f>IFERROR(VLOOKUP(BCP_Soles[[#This Row],[DESTINATARIO]],CHOOSE({1,2},Clientes_Proveedores[Razon Social],Clientes_Proveedores[Ruc / Dni]),2,0),"")</f>
        <v>20100055237</v>
      </c>
      <c r="X2290" s="25" t="s">
        <v>139</v>
      </c>
      <c r="Y2290" s="25" t="s">
        <v>3373</v>
      </c>
      <c r="Z2290" s="25"/>
      <c r="AA2290" s="99"/>
      <c r="AB2290" s="3" t="str">
        <f>IF(BCP_Soles[[#This Row],[FECHA]]&gt;0,TEXT(BCP_Soles[[#This Row],[FECHA]],"mmmm"),0)</f>
        <v>Julio</v>
      </c>
    </row>
    <row r="2291" spans="2:28" x14ac:dyDescent="0.3">
      <c r="B2291" s="2">
        <f>IF(BCP_Soles[[#This Row],[TIPO DE R.]]="R",COUNTIFS($D$4:$D2290,"R")+1,"")</f>
        <v>1750</v>
      </c>
      <c r="C2291" s="19" t="str">
        <f t="shared" si="175"/>
        <v>B-BCP - Soles</v>
      </c>
      <c r="D2291" s="3" t="s">
        <v>1074</v>
      </c>
      <c r="E2291" s="14">
        <v>45839</v>
      </c>
      <c r="F2291" s="5" t="s">
        <v>1075</v>
      </c>
      <c r="G2291" s="5" t="s">
        <v>1079</v>
      </c>
      <c r="H2291" s="6" t="s">
        <v>139</v>
      </c>
      <c r="I2291" s="6" t="s">
        <v>14</v>
      </c>
      <c r="J2291" s="6" t="s">
        <v>1953</v>
      </c>
      <c r="K2291" s="6">
        <v>6532</v>
      </c>
      <c r="L2291" s="7" t="s">
        <v>1954</v>
      </c>
      <c r="M2291" s="8">
        <v>223505</v>
      </c>
      <c r="N2291" s="8" t="str">
        <f t="shared" si="176"/>
        <v>PEN</v>
      </c>
      <c r="O2291" s="13"/>
      <c r="P2291" s="13">
        <v>866.52</v>
      </c>
      <c r="Q2291" s="3">
        <f t="shared" si="177"/>
        <v>0</v>
      </c>
      <c r="R2291" s="3">
        <f t="shared" si="178"/>
        <v>866.52</v>
      </c>
      <c r="S2291" s="3">
        <f t="shared" si="179"/>
        <v>36278.940000000039</v>
      </c>
      <c r="T2291" s="28" t="s">
        <v>1081</v>
      </c>
      <c r="U2291" s="24" t="s">
        <v>1081</v>
      </c>
      <c r="V2291" s="104" t="s">
        <v>3374</v>
      </c>
      <c r="W2291" s="25">
        <f>IFERROR(VLOOKUP(BCP_Soles[[#This Row],[DESTINATARIO]],CHOOSE({1,2},Clientes_Proveedores[Razon Social],Clientes_Proveedores[Ruc / Dni]),2,0),"")</f>
        <v>20100055237</v>
      </c>
      <c r="X2291" s="25" t="s">
        <v>139</v>
      </c>
      <c r="Y2291" s="25" t="s">
        <v>3375</v>
      </c>
      <c r="Z2291" s="25"/>
      <c r="AA2291" s="99"/>
      <c r="AB2291" s="3" t="str">
        <f>IF(BCP_Soles[[#This Row],[FECHA]]&gt;0,TEXT(BCP_Soles[[#This Row],[FECHA]],"mmmm"),0)</f>
        <v>Julio</v>
      </c>
    </row>
    <row r="2292" spans="2:28" x14ac:dyDescent="0.3">
      <c r="B2292" s="2">
        <f>IF(BCP_Soles[[#This Row],[TIPO DE R.]]="R",COUNTIFS($D$4:$D2291,"R")+1,"")</f>
        <v>1751</v>
      </c>
      <c r="C2292" s="19" t="str">
        <f t="shared" si="175"/>
        <v>B-BCP - Soles</v>
      </c>
      <c r="D2292" s="3" t="s">
        <v>1074</v>
      </c>
      <c r="E2292" s="14">
        <v>45839</v>
      </c>
      <c r="F2292" s="5" t="s">
        <v>1075</v>
      </c>
      <c r="G2292" s="5" t="s">
        <v>1079</v>
      </c>
      <c r="H2292" s="6" t="s">
        <v>139</v>
      </c>
      <c r="I2292" s="6" t="s">
        <v>14</v>
      </c>
      <c r="J2292" s="6" t="s">
        <v>1953</v>
      </c>
      <c r="K2292" s="6">
        <v>6530</v>
      </c>
      <c r="L2292" s="7" t="s">
        <v>1954</v>
      </c>
      <c r="M2292" s="8">
        <v>222089</v>
      </c>
      <c r="N2292" s="8" t="str">
        <f t="shared" si="176"/>
        <v>PEN</v>
      </c>
      <c r="O2292" s="13"/>
      <c r="P2292" s="13">
        <v>474.14</v>
      </c>
      <c r="Q2292" s="3">
        <f t="shared" si="177"/>
        <v>0</v>
      </c>
      <c r="R2292" s="3">
        <f t="shared" si="178"/>
        <v>474.14</v>
      </c>
      <c r="S2292" s="3">
        <f t="shared" si="179"/>
        <v>35804.800000000039</v>
      </c>
      <c r="T2292" s="28" t="s">
        <v>1081</v>
      </c>
      <c r="U2292" s="24" t="s">
        <v>1081</v>
      </c>
      <c r="V2292" s="104" t="s">
        <v>3376</v>
      </c>
      <c r="W2292" s="25">
        <f>IFERROR(VLOOKUP(BCP_Soles[[#This Row],[DESTINATARIO]],CHOOSE({1,2},Clientes_Proveedores[Razon Social],Clientes_Proveedores[Ruc / Dni]),2,0),"")</f>
        <v>20100055237</v>
      </c>
      <c r="X2292" s="25" t="s">
        <v>139</v>
      </c>
      <c r="Y2292" s="25" t="s">
        <v>3377</v>
      </c>
      <c r="Z2292" s="25"/>
      <c r="AA2292" s="99"/>
      <c r="AB2292" s="3" t="str">
        <f>IF(BCP_Soles[[#This Row],[FECHA]]&gt;0,TEXT(BCP_Soles[[#This Row],[FECHA]],"mmmm"),0)</f>
        <v>Julio</v>
      </c>
    </row>
    <row r="2293" spans="2:28" x14ac:dyDescent="0.3">
      <c r="B2293" s="2">
        <f>IF(BCP_Soles[[#This Row],[TIPO DE R.]]="R",COUNTIFS($D$4:$D2292,"R")+1,"")</f>
        <v>1752</v>
      </c>
      <c r="C2293" s="19" t="str">
        <f t="shared" si="175"/>
        <v>B-BCP - Soles</v>
      </c>
      <c r="D2293" s="3" t="s">
        <v>1074</v>
      </c>
      <c r="E2293" s="14">
        <v>45839</v>
      </c>
      <c r="F2293" s="5" t="s">
        <v>1075</v>
      </c>
      <c r="G2293" s="5" t="s">
        <v>1079</v>
      </c>
      <c r="H2293" s="6" t="s">
        <v>139</v>
      </c>
      <c r="I2293" s="6" t="s">
        <v>14</v>
      </c>
      <c r="J2293" s="6" t="s">
        <v>1953</v>
      </c>
      <c r="K2293" s="6">
        <v>6531</v>
      </c>
      <c r="L2293" s="7" t="s">
        <v>1954</v>
      </c>
      <c r="M2293" s="8">
        <v>221095</v>
      </c>
      <c r="N2293" s="8" t="str">
        <f t="shared" si="176"/>
        <v>PEN</v>
      </c>
      <c r="O2293" s="13"/>
      <c r="P2293" s="13">
        <v>78.040000000000006</v>
      </c>
      <c r="Q2293" s="3">
        <f t="shared" si="177"/>
        <v>0</v>
      </c>
      <c r="R2293" s="3">
        <f t="shared" si="178"/>
        <v>78.040000000000006</v>
      </c>
      <c r="S2293" s="3">
        <f t="shared" si="179"/>
        <v>35726.760000000038</v>
      </c>
      <c r="T2293" s="28" t="s">
        <v>1081</v>
      </c>
      <c r="U2293" s="24" t="s">
        <v>1081</v>
      </c>
      <c r="V2293" s="104" t="s">
        <v>3378</v>
      </c>
      <c r="W2293" s="25">
        <f>IFERROR(VLOOKUP(BCP_Soles[[#This Row],[DESTINATARIO]],CHOOSE({1,2},Clientes_Proveedores[Razon Social],Clientes_Proveedores[Ruc / Dni]),2,0),"")</f>
        <v>20100055237</v>
      </c>
      <c r="X2293" s="25" t="s">
        <v>139</v>
      </c>
      <c r="Y2293" s="25" t="s">
        <v>3379</v>
      </c>
      <c r="Z2293" s="25"/>
      <c r="AA2293" s="99"/>
      <c r="AB2293" s="3" t="str">
        <f>IF(BCP_Soles[[#This Row],[FECHA]]&gt;0,TEXT(BCP_Soles[[#This Row],[FECHA]],"mmmm"),0)</f>
        <v>Julio</v>
      </c>
    </row>
    <row r="2294" spans="2:28" x14ac:dyDescent="0.3">
      <c r="B2294" s="2">
        <f>IF(BCP_Soles[[#This Row],[TIPO DE R.]]="R",COUNTIFS($D$4:$D2293,"R")+1,"")</f>
        <v>1753</v>
      </c>
      <c r="C2294" s="19" t="str">
        <f t="shared" si="175"/>
        <v>B-BCP - Soles</v>
      </c>
      <c r="D2294" s="3" t="s">
        <v>1074</v>
      </c>
      <c r="E2294" s="14">
        <v>45839</v>
      </c>
      <c r="F2294" s="5" t="s">
        <v>1075</v>
      </c>
      <c r="G2294" s="5" t="s">
        <v>1079</v>
      </c>
      <c r="H2294" s="6" t="s">
        <v>517</v>
      </c>
      <c r="I2294" s="6"/>
      <c r="J2294" s="6"/>
      <c r="K2294" s="6"/>
      <c r="L2294" s="7" t="s">
        <v>3292</v>
      </c>
      <c r="M2294" s="8">
        <v>4018383</v>
      </c>
      <c r="N2294" s="8" t="str">
        <f t="shared" si="176"/>
        <v>PEN</v>
      </c>
      <c r="O2294" s="13"/>
      <c r="P2294" s="13">
        <v>600.5</v>
      </c>
      <c r="Q2294" s="3">
        <f t="shared" si="177"/>
        <v>0</v>
      </c>
      <c r="R2294" s="3">
        <f t="shared" si="178"/>
        <v>600.5</v>
      </c>
      <c r="S2294" s="3">
        <f t="shared" si="179"/>
        <v>35126.260000000038</v>
      </c>
      <c r="T2294" s="24"/>
      <c r="U2294" s="24"/>
      <c r="V2294" s="104" t="s">
        <v>3380</v>
      </c>
      <c r="W2294" s="25">
        <f>IFERROR(VLOOKUP(BCP_Soles[[#This Row],[DESTINATARIO]],CHOOSE({1,2},Clientes_Proveedores[Razon Social],Clientes_Proveedores[Ruc / Dni]),2,0),"")</f>
        <v>20608970909</v>
      </c>
      <c r="X2294" s="25" t="s">
        <v>517</v>
      </c>
      <c r="Y2294" s="25"/>
      <c r="Z2294" s="25"/>
      <c r="AA2294" s="99"/>
      <c r="AB2294" s="3" t="str">
        <f>IF(BCP_Soles[[#This Row],[FECHA]]&gt;0,TEXT(BCP_Soles[[#This Row],[FECHA]],"mmmm"),0)</f>
        <v>Julio</v>
      </c>
    </row>
    <row r="2295" spans="2:28" x14ac:dyDescent="0.3">
      <c r="B2295" s="2" t="str">
        <f>IF(BCP_Soles[[#This Row],[TIPO DE R.]]="R",COUNTIFS($D$4:$D2294,"R")+1,"")</f>
        <v/>
      </c>
      <c r="C2295" s="19" t="str">
        <f t="shared" si="175"/>
        <v>B-BCP - Soles</v>
      </c>
      <c r="D2295" s="3" t="s">
        <v>1101</v>
      </c>
      <c r="E2295" s="14">
        <v>45839</v>
      </c>
      <c r="F2295" s="5" t="s">
        <v>1075</v>
      </c>
      <c r="G2295" s="5"/>
      <c r="H2295" s="6" t="s">
        <v>517</v>
      </c>
      <c r="I2295" s="6" t="s">
        <v>14</v>
      </c>
      <c r="J2295" s="6" t="s">
        <v>1121</v>
      </c>
      <c r="K2295" s="6">
        <v>1272</v>
      </c>
      <c r="L2295" s="7" t="s">
        <v>3292</v>
      </c>
      <c r="M2295" s="8">
        <v>4018383</v>
      </c>
      <c r="N2295" s="8" t="str">
        <f t="shared" si="176"/>
        <v>PEN</v>
      </c>
      <c r="O2295" s="13">
        <v>590</v>
      </c>
      <c r="P2295" s="13"/>
      <c r="Q2295" s="3">
        <f t="shared" si="177"/>
        <v>0</v>
      </c>
      <c r="R2295" s="3">
        <f t="shared" si="178"/>
        <v>0</v>
      </c>
      <c r="S2295" s="3">
        <f t="shared" si="179"/>
        <v>35126.260000000038</v>
      </c>
      <c r="T2295" s="24"/>
      <c r="U2295" s="24"/>
      <c r="V2295" s="104"/>
      <c r="W2295" s="25">
        <f>IFERROR(VLOOKUP(BCP_Soles[[#This Row],[DESTINATARIO]],CHOOSE({1,2},Clientes_Proveedores[Razon Social],Clientes_Proveedores[Ruc / Dni]),2,0),"")</f>
        <v>20608970909</v>
      </c>
      <c r="X2295" s="25"/>
      <c r="Y2295" s="25"/>
      <c r="Z2295" s="25"/>
      <c r="AA2295" s="99"/>
      <c r="AB2295" s="3" t="str">
        <f>IF(BCP_Soles[[#This Row],[FECHA]]&gt;0,TEXT(BCP_Soles[[#This Row],[FECHA]],"mmmm"),0)</f>
        <v>Julio</v>
      </c>
    </row>
    <row r="2296" spans="2:28" ht="24" x14ac:dyDescent="0.3">
      <c r="B2296" s="2" t="str">
        <f>IF(BCP_Soles[[#This Row],[TIPO DE R.]]="R",COUNTIFS($D$4:$D2295,"R")+1,"")</f>
        <v/>
      </c>
      <c r="C2296" s="19" t="str">
        <f t="shared" si="175"/>
        <v>B-BCP - Soles</v>
      </c>
      <c r="D2296" s="3" t="s">
        <v>1101</v>
      </c>
      <c r="E2296" s="14">
        <v>45839</v>
      </c>
      <c r="F2296" s="5" t="s">
        <v>1075</v>
      </c>
      <c r="G2296" s="5"/>
      <c r="H2296" s="6" t="s">
        <v>1001</v>
      </c>
      <c r="I2296" s="6" t="s">
        <v>14</v>
      </c>
      <c r="J2296" s="6" t="s">
        <v>3128</v>
      </c>
      <c r="K2296" s="6">
        <v>34293636</v>
      </c>
      <c r="L2296" s="7" t="s">
        <v>3381</v>
      </c>
      <c r="M2296" s="8">
        <v>4018383</v>
      </c>
      <c r="N2296" s="8" t="str">
        <f t="shared" si="176"/>
        <v>PEN</v>
      </c>
      <c r="O2296" s="13">
        <v>10.5</v>
      </c>
      <c r="P2296" s="13"/>
      <c r="Q2296" s="3">
        <f t="shared" si="177"/>
        <v>0</v>
      </c>
      <c r="R2296" s="3">
        <f t="shared" si="178"/>
        <v>0</v>
      </c>
      <c r="S2296" s="3">
        <f t="shared" si="179"/>
        <v>35126.260000000038</v>
      </c>
      <c r="T2296" s="24" t="s">
        <v>1081</v>
      </c>
      <c r="U2296" s="24"/>
      <c r="V2296" s="104"/>
      <c r="W2296" s="25">
        <f>IFERROR(VLOOKUP(BCP_Soles[[#This Row],[DESTINATARIO]],CHOOSE({1,2},Clientes_Proveedores[Razon Social],Clientes_Proveedores[Ruc / Dni]),2,0),"")</f>
        <v>20100047218</v>
      </c>
      <c r="X2296" s="25"/>
      <c r="Y2296" s="25"/>
      <c r="Z2296" s="25"/>
      <c r="AA2296" s="99"/>
      <c r="AB2296" s="3" t="str">
        <f>IF(BCP_Soles[[#This Row],[FECHA]]&gt;0,TEXT(BCP_Soles[[#This Row],[FECHA]],"mmmm"),0)</f>
        <v>Julio</v>
      </c>
    </row>
    <row r="2297" spans="2:28" x14ac:dyDescent="0.3">
      <c r="B2297" s="2">
        <f>IF(BCP_Soles[[#This Row],[TIPO DE R.]]="R",COUNTIFS($D$4:$D2296,"R")+1,"")</f>
        <v>1754</v>
      </c>
      <c r="C2297" s="19" t="str">
        <f t="shared" si="175"/>
        <v>B-BCP - Soles</v>
      </c>
      <c r="D2297" s="3" t="s">
        <v>1074</v>
      </c>
      <c r="E2297" s="14">
        <v>45839</v>
      </c>
      <c r="F2297" s="5" t="s">
        <v>1075</v>
      </c>
      <c r="G2297" s="5" t="s">
        <v>1079</v>
      </c>
      <c r="H2297" s="6" t="s">
        <v>638</v>
      </c>
      <c r="I2297" s="6"/>
      <c r="J2297" s="6"/>
      <c r="K2297" s="6"/>
      <c r="L2297" s="7" t="s">
        <v>3382</v>
      </c>
      <c r="M2297" s="8">
        <v>4530999</v>
      </c>
      <c r="N2297" s="8" t="str">
        <f t="shared" si="176"/>
        <v>PEN</v>
      </c>
      <c r="O2297" s="13"/>
      <c r="P2297" s="13">
        <v>20589.5</v>
      </c>
      <c r="Q2297" s="3">
        <f t="shared" si="177"/>
        <v>0</v>
      </c>
      <c r="R2297" s="3">
        <f t="shared" si="178"/>
        <v>20589.5</v>
      </c>
      <c r="S2297" s="3">
        <f t="shared" si="179"/>
        <v>14536.760000000038</v>
      </c>
      <c r="T2297" s="24" t="s">
        <v>1081</v>
      </c>
      <c r="U2297" s="24" t="s">
        <v>1081</v>
      </c>
      <c r="V2297" s="104" t="s">
        <v>3383</v>
      </c>
      <c r="W2297" s="25">
        <f>IFERROR(VLOOKUP(BCP_Soles[[#This Row],[DESTINATARIO]],CHOOSE({1,2},Clientes_Proveedores[Razon Social],Clientes_Proveedores[Ruc / Dni]),2,0),"")</f>
        <v>0</v>
      </c>
      <c r="X2297" s="25" t="s">
        <v>1118</v>
      </c>
      <c r="Y2297" s="25"/>
      <c r="Z2297" s="25"/>
      <c r="AA2297" s="99"/>
      <c r="AB2297" s="3" t="str">
        <f>IF(BCP_Soles[[#This Row],[FECHA]]&gt;0,TEXT(BCP_Soles[[#This Row],[FECHA]],"mmmm"),0)</f>
        <v>Julio</v>
      </c>
    </row>
    <row r="2298" spans="2:28" x14ac:dyDescent="0.3">
      <c r="B2298" s="2" t="str">
        <f>IF(BCP_Soles[[#This Row],[TIPO DE R.]]="R",COUNTIFS($D$4:$D2297,"R")+1,"")</f>
        <v/>
      </c>
      <c r="C2298" s="19" t="str">
        <f t="shared" si="175"/>
        <v>B-BCP - Soles</v>
      </c>
      <c r="D2298" s="3" t="s">
        <v>1101</v>
      </c>
      <c r="E2298" s="14">
        <v>45839</v>
      </c>
      <c r="F2298" s="5" t="s">
        <v>1075</v>
      </c>
      <c r="G2298" s="5"/>
      <c r="H2298" s="6" t="s">
        <v>357</v>
      </c>
      <c r="I2298" s="6" t="s">
        <v>14</v>
      </c>
      <c r="J2298" s="6" t="s">
        <v>1119</v>
      </c>
      <c r="K2298" s="6">
        <v>14497</v>
      </c>
      <c r="L2298" s="7" t="s">
        <v>3382</v>
      </c>
      <c r="M2298" s="8">
        <v>4530999</v>
      </c>
      <c r="N2298" s="8" t="str">
        <f t="shared" si="176"/>
        <v>PEN</v>
      </c>
      <c r="O2298" s="13">
        <v>8167</v>
      </c>
      <c r="P2298" s="13"/>
      <c r="Q2298" s="3">
        <f t="shared" si="177"/>
        <v>0</v>
      </c>
      <c r="R2298" s="3">
        <f t="shared" si="178"/>
        <v>0</v>
      </c>
      <c r="S2298" s="3">
        <f t="shared" si="179"/>
        <v>14536.760000000038</v>
      </c>
      <c r="T2298" s="24" t="s">
        <v>1081</v>
      </c>
      <c r="U2298" s="24" t="s">
        <v>1081</v>
      </c>
      <c r="V2298" s="69"/>
      <c r="W2298" s="25">
        <f>IFERROR(VLOOKUP(BCP_Soles[[#This Row],[DESTINATARIO]],CHOOSE({1,2},Clientes_Proveedores[Razon Social],Clientes_Proveedores[Ruc / Dni]),2,0),"")</f>
        <v>20553255709</v>
      </c>
      <c r="X2298" s="25"/>
      <c r="Y2298" s="25"/>
      <c r="Z2298" s="25"/>
      <c r="AA2298" s="99"/>
      <c r="AB2298" s="3" t="str">
        <f>IF(BCP_Soles[[#This Row],[FECHA]]&gt;0,TEXT(BCP_Soles[[#This Row],[FECHA]],"mmmm"),0)</f>
        <v>Julio</v>
      </c>
    </row>
    <row r="2299" spans="2:28" ht="24" x14ac:dyDescent="0.3">
      <c r="B2299" s="2" t="str">
        <f>IF(BCP_Soles[[#This Row],[TIPO DE R.]]="R",COUNTIFS($D$4:$D2298,"R")+1,"")</f>
        <v/>
      </c>
      <c r="C2299" s="19" t="str">
        <f t="shared" si="175"/>
        <v>B-BCP - Soles</v>
      </c>
      <c r="D2299" s="3" t="s">
        <v>1101</v>
      </c>
      <c r="E2299" s="14">
        <v>45839</v>
      </c>
      <c r="F2299" s="5" t="s">
        <v>1075</v>
      </c>
      <c r="G2299" s="5"/>
      <c r="H2299" s="6" t="s">
        <v>130</v>
      </c>
      <c r="I2299" s="6" t="s">
        <v>14</v>
      </c>
      <c r="J2299" s="6" t="s">
        <v>1121</v>
      </c>
      <c r="K2299" s="6">
        <v>473</v>
      </c>
      <c r="L2299" s="7" t="s">
        <v>3382</v>
      </c>
      <c r="M2299" s="8">
        <v>4530999</v>
      </c>
      <c r="N2299" s="8" t="str">
        <f t="shared" si="176"/>
        <v>PEN</v>
      </c>
      <c r="O2299" s="13">
        <v>190</v>
      </c>
      <c r="P2299" s="13"/>
      <c r="Q2299" s="3">
        <f t="shared" si="177"/>
        <v>0</v>
      </c>
      <c r="R2299" s="3">
        <f t="shared" si="178"/>
        <v>0</v>
      </c>
      <c r="S2299" s="3">
        <f t="shared" si="179"/>
        <v>14536.760000000038</v>
      </c>
      <c r="T2299" s="24" t="s">
        <v>1081</v>
      </c>
      <c r="U2299" s="24" t="s">
        <v>1081</v>
      </c>
      <c r="V2299" s="69"/>
      <c r="W2299" s="25">
        <f>IFERROR(VLOOKUP(BCP_Soles[[#This Row],[DESTINATARIO]],CHOOSE({1,2},Clientes_Proveedores[Razon Social],Clientes_Proveedores[Ruc / Dni]),2,0),"")</f>
        <v>10706063426</v>
      </c>
      <c r="X2299" s="25"/>
      <c r="Y2299" s="25"/>
      <c r="Z2299" s="25"/>
      <c r="AA2299" s="99"/>
      <c r="AB2299" s="3" t="str">
        <f>IF(BCP_Soles[[#This Row],[FECHA]]&gt;0,TEXT(BCP_Soles[[#This Row],[FECHA]],"mmmm"),0)</f>
        <v>Julio</v>
      </c>
    </row>
    <row r="2300" spans="2:28" ht="36" x14ac:dyDescent="0.3">
      <c r="B2300" s="2" t="str">
        <f>IF(BCP_Soles[[#This Row],[TIPO DE R.]]="R",COUNTIFS($D$4:$D2299,"R")+1,"")</f>
        <v/>
      </c>
      <c r="C2300" s="19" t="str">
        <f t="shared" si="175"/>
        <v>B-BCP - Soles</v>
      </c>
      <c r="D2300" s="3" t="s">
        <v>1101</v>
      </c>
      <c r="E2300" s="14">
        <v>45839</v>
      </c>
      <c r="F2300" s="5" t="s">
        <v>1075</v>
      </c>
      <c r="G2300" s="5"/>
      <c r="H2300" s="6" t="s">
        <v>565</v>
      </c>
      <c r="I2300" s="6" t="s">
        <v>14</v>
      </c>
      <c r="J2300" s="6" t="s">
        <v>1119</v>
      </c>
      <c r="K2300" s="6">
        <v>7911</v>
      </c>
      <c r="L2300" s="7" t="s">
        <v>3382</v>
      </c>
      <c r="M2300" s="8">
        <v>4530999</v>
      </c>
      <c r="N2300" s="8" t="str">
        <f t="shared" si="176"/>
        <v>PEN</v>
      </c>
      <c r="O2300" s="13">
        <v>1012.5</v>
      </c>
      <c r="P2300" s="13"/>
      <c r="Q2300" s="3">
        <f t="shared" si="177"/>
        <v>0</v>
      </c>
      <c r="R2300" s="3">
        <f t="shared" si="178"/>
        <v>0</v>
      </c>
      <c r="S2300" s="3">
        <f t="shared" si="179"/>
        <v>14536.760000000038</v>
      </c>
      <c r="T2300" s="24" t="s">
        <v>1081</v>
      </c>
      <c r="U2300" s="24" t="s">
        <v>1081</v>
      </c>
      <c r="V2300" s="69"/>
      <c r="W2300" s="25">
        <f>IFERROR(VLOOKUP(BCP_Soles[[#This Row],[DESTINATARIO]],CHOOSE({1,2},Clientes_Proveedores[Razon Social],Clientes_Proveedores[Ruc / Dni]),2,0),"")</f>
        <v>20454819137</v>
      </c>
      <c r="X2300" s="25"/>
      <c r="Y2300" s="25"/>
      <c r="Z2300" s="25"/>
      <c r="AA2300" s="99"/>
      <c r="AB2300" s="3" t="str">
        <f>IF(BCP_Soles[[#This Row],[FECHA]]&gt;0,TEXT(BCP_Soles[[#This Row],[FECHA]],"mmmm"),0)</f>
        <v>Julio</v>
      </c>
    </row>
    <row r="2301" spans="2:28" x14ac:dyDescent="0.3">
      <c r="B2301" s="2" t="str">
        <f>IF(BCP_Soles[[#This Row],[TIPO DE R.]]="R",COUNTIFS($D$4:$D2300,"R")+1,"")</f>
        <v/>
      </c>
      <c r="C2301" s="19" t="str">
        <f t="shared" si="175"/>
        <v>B-BCP - Soles</v>
      </c>
      <c r="D2301" s="3" t="s">
        <v>1101</v>
      </c>
      <c r="E2301" s="14">
        <v>45839</v>
      </c>
      <c r="F2301" s="5" t="s">
        <v>1075</v>
      </c>
      <c r="G2301" s="5"/>
      <c r="H2301" s="6" t="s">
        <v>323</v>
      </c>
      <c r="I2301" s="6" t="s">
        <v>14</v>
      </c>
      <c r="J2301" s="6" t="s">
        <v>1148</v>
      </c>
      <c r="K2301" s="6">
        <v>21589</v>
      </c>
      <c r="L2301" s="7" t="s">
        <v>3382</v>
      </c>
      <c r="M2301" s="8">
        <v>4530999</v>
      </c>
      <c r="N2301" s="8" t="str">
        <f t="shared" si="176"/>
        <v>PEN</v>
      </c>
      <c r="O2301" s="13">
        <v>11220</v>
      </c>
      <c r="P2301" s="13"/>
      <c r="Q2301" s="3">
        <f t="shared" si="177"/>
        <v>0</v>
      </c>
      <c r="R2301" s="3">
        <f t="shared" si="178"/>
        <v>0</v>
      </c>
      <c r="S2301" s="3">
        <f t="shared" si="179"/>
        <v>14536.760000000038</v>
      </c>
      <c r="T2301" s="24" t="s">
        <v>1081</v>
      </c>
      <c r="U2301" s="24" t="s">
        <v>1081</v>
      </c>
      <c r="V2301" s="69"/>
      <c r="W2301" s="25">
        <f>IFERROR(VLOOKUP(BCP_Soles[[#This Row],[DESTINATARIO]],CHOOSE({1,2},Clientes_Proveedores[Razon Social],Clientes_Proveedores[Ruc / Dni]),2,0),"")</f>
        <v>20537921464</v>
      </c>
      <c r="X2301" s="25"/>
      <c r="Y2301" s="25"/>
      <c r="Z2301" s="25"/>
      <c r="AA2301" s="99"/>
      <c r="AB2301" s="3" t="str">
        <f>IF(BCP_Soles[[#This Row],[FECHA]]&gt;0,TEXT(BCP_Soles[[#This Row],[FECHA]],"mmmm"),0)</f>
        <v>Julio</v>
      </c>
    </row>
    <row r="2302" spans="2:28" x14ac:dyDescent="0.3">
      <c r="B2302" s="2">
        <f>IF(BCP_Soles[[#This Row],[TIPO DE R.]]="R",COUNTIFS($D$4:$D2301,"R")+1,"")</f>
        <v>1755</v>
      </c>
      <c r="C2302" s="19" t="str">
        <f t="shared" si="175"/>
        <v>B-BCP - Soles</v>
      </c>
      <c r="D2302" s="3" t="s">
        <v>1074</v>
      </c>
      <c r="E2302" s="14">
        <v>45839</v>
      </c>
      <c r="F2302" s="5" t="s">
        <v>2898</v>
      </c>
      <c r="G2302" s="5" t="s">
        <v>1079</v>
      </c>
      <c r="H2302" s="6" t="s">
        <v>638</v>
      </c>
      <c r="I2302" s="6"/>
      <c r="J2302" s="6"/>
      <c r="K2302" s="6"/>
      <c r="L2302" s="7" t="s">
        <v>3384</v>
      </c>
      <c r="M2302" s="8">
        <v>1009891</v>
      </c>
      <c r="N2302" s="8" t="str">
        <f t="shared" si="176"/>
        <v>PEN</v>
      </c>
      <c r="O2302" s="13"/>
      <c r="P2302" s="13">
        <v>5046</v>
      </c>
      <c r="Q2302" s="3">
        <f t="shared" si="177"/>
        <v>0</v>
      </c>
      <c r="R2302" s="3">
        <f t="shared" si="178"/>
        <v>5046</v>
      </c>
      <c r="S2302" s="3">
        <f t="shared" si="179"/>
        <v>9490.7600000000384</v>
      </c>
      <c r="T2302" s="24" t="s">
        <v>1081</v>
      </c>
      <c r="U2302" s="24" t="s">
        <v>1081</v>
      </c>
      <c r="V2302" s="69"/>
      <c r="W2302" s="25">
        <f>IFERROR(VLOOKUP(BCP_Soles[[#This Row],[DESTINATARIO]],CHOOSE({1,2},Clientes_Proveedores[Razon Social],Clientes_Proveedores[Ruc / Dni]),2,0),"")</f>
        <v>0</v>
      </c>
      <c r="X2302" s="25" t="s">
        <v>1118</v>
      </c>
      <c r="Y2302" s="25"/>
      <c r="Z2302" s="25"/>
      <c r="AA2302" s="99"/>
      <c r="AB2302" s="3" t="str">
        <f>IF(BCP_Soles[[#This Row],[FECHA]]&gt;0,TEXT(BCP_Soles[[#This Row],[FECHA]],"mmmm"),0)</f>
        <v>Julio</v>
      </c>
    </row>
    <row r="2303" spans="2:28" x14ac:dyDescent="0.3">
      <c r="B2303" s="2" t="str">
        <f>IF(BCP_Soles[[#This Row],[TIPO DE R.]]="R",COUNTIFS($D$4:$D2302,"R")+1,"")</f>
        <v/>
      </c>
      <c r="C2303" s="19" t="str">
        <f t="shared" si="175"/>
        <v>B-BCP - Soles</v>
      </c>
      <c r="D2303" s="3" t="s">
        <v>1101</v>
      </c>
      <c r="E2303" s="14">
        <v>45839</v>
      </c>
      <c r="F2303" s="5" t="s">
        <v>2898</v>
      </c>
      <c r="G2303" s="5"/>
      <c r="H2303" s="6" t="s">
        <v>323</v>
      </c>
      <c r="I2303" s="6" t="s">
        <v>14</v>
      </c>
      <c r="J2303" s="6" t="s">
        <v>1148</v>
      </c>
      <c r="K2303" s="6">
        <v>21589</v>
      </c>
      <c r="L2303" s="7" t="s">
        <v>3384</v>
      </c>
      <c r="M2303" s="8">
        <v>1009891</v>
      </c>
      <c r="N2303" s="8" t="str">
        <f t="shared" si="176"/>
        <v>PEN</v>
      </c>
      <c r="O2303" s="13">
        <v>1980</v>
      </c>
      <c r="P2303" s="13"/>
      <c r="Q2303" s="3">
        <f t="shared" si="177"/>
        <v>0</v>
      </c>
      <c r="R2303" s="3">
        <f t="shared" si="178"/>
        <v>0</v>
      </c>
      <c r="S2303" s="3">
        <f t="shared" si="179"/>
        <v>9490.7600000000384</v>
      </c>
      <c r="T2303" s="24" t="s">
        <v>1081</v>
      </c>
      <c r="U2303" s="24" t="s">
        <v>1081</v>
      </c>
      <c r="V2303" s="69"/>
      <c r="W2303" s="25">
        <f>IFERROR(VLOOKUP(BCP_Soles[[#This Row],[DESTINATARIO]],CHOOSE({1,2},Clientes_Proveedores[Razon Social],Clientes_Proveedores[Ruc / Dni]),2,0),"")</f>
        <v>20537921464</v>
      </c>
      <c r="X2303" s="25"/>
      <c r="Y2303" s="25"/>
      <c r="Z2303" s="25"/>
      <c r="AA2303" s="99" t="s">
        <v>3385</v>
      </c>
      <c r="AB2303" s="3" t="str">
        <f>IF(BCP_Soles[[#This Row],[FECHA]]&gt;0,TEXT(BCP_Soles[[#This Row],[FECHA]],"mmmm"),0)</f>
        <v>Julio</v>
      </c>
    </row>
    <row r="2304" spans="2:28" x14ac:dyDescent="0.3">
      <c r="B2304" s="2" t="str">
        <f>IF(BCP_Soles[[#This Row],[TIPO DE R.]]="R",COUNTIFS($D$4:$D2303,"R")+1,"")</f>
        <v/>
      </c>
      <c r="C2304" s="19" t="str">
        <f t="shared" si="175"/>
        <v>B-BCP - Soles</v>
      </c>
      <c r="D2304" s="3" t="s">
        <v>1101</v>
      </c>
      <c r="E2304" s="14">
        <v>45839</v>
      </c>
      <c r="F2304" s="5" t="s">
        <v>2898</v>
      </c>
      <c r="G2304" s="5"/>
      <c r="H2304" s="6" t="s">
        <v>323</v>
      </c>
      <c r="I2304" s="6" t="s">
        <v>14</v>
      </c>
      <c r="J2304" s="6" t="s">
        <v>1148</v>
      </c>
      <c r="K2304" s="6">
        <v>21588</v>
      </c>
      <c r="L2304" s="7" t="s">
        <v>3384</v>
      </c>
      <c r="M2304" s="8">
        <v>1009891</v>
      </c>
      <c r="N2304" s="8" t="str">
        <f t="shared" si="176"/>
        <v>PEN</v>
      </c>
      <c r="O2304" s="13">
        <v>1101</v>
      </c>
      <c r="P2304" s="13"/>
      <c r="Q2304" s="3">
        <f t="shared" si="177"/>
        <v>0</v>
      </c>
      <c r="R2304" s="3">
        <f t="shared" si="178"/>
        <v>0</v>
      </c>
      <c r="S2304" s="3">
        <f t="shared" si="179"/>
        <v>9490.7600000000384</v>
      </c>
      <c r="T2304" s="24" t="s">
        <v>1081</v>
      </c>
      <c r="U2304" s="24" t="s">
        <v>1081</v>
      </c>
      <c r="V2304" s="69"/>
      <c r="W2304" s="25">
        <f>IFERROR(VLOOKUP(BCP_Soles[[#This Row],[DESTINATARIO]],CHOOSE({1,2},Clientes_Proveedores[Razon Social],Clientes_Proveedores[Ruc / Dni]),2,0),"")</f>
        <v>20537921464</v>
      </c>
      <c r="X2304" s="25"/>
      <c r="Y2304" s="25"/>
      <c r="Z2304" s="25"/>
      <c r="AA2304" s="99" t="s">
        <v>3385</v>
      </c>
      <c r="AB2304" s="3" t="str">
        <f>IF(BCP_Soles[[#This Row],[FECHA]]&gt;0,TEXT(BCP_Soles[[#This Row],[FECHA]],"mmmm"),0)</f>
        <v>Julio</v>
      </c>
    </row>
    <row r="2305" spans="2:28" ht="36" x14ac:dyDescent="0.3">
      <c r="B2305" s="2" t="str">
        <f>IF(BCP_Soles[[#This Row],[TIPO DE R.]]="R",COUNTIFS($D$4:$D2304,"R")+1,"")</f>
        <v/>
      </c>
      <c r="C2305" s="19" t="str">
        <f t="shared" si="175"/>
        <v>B-BCP - Soles</v>
      </c>
      <c r="D2305" s="3" t="s">
        <v>1101</v>
      </c>
      <c r="E2305" s="14">
        <v>45839</v>
      </c>
      <c r="F2305" s="5" t="s">
        <v>2898</v>
      </c>
      <c r="G2305" s="5"/>
      <c r="H2305" s="6" t="s">
        <v>220</v>
      </c>
      <c r="I2305" s="6" t="s">
        <v>14</v>
      </c>
      <c r="J2305" s="6" t="s">
        <v>1148</v>
      </c>
      <c r="K2305" s="6">
        <v>1767</v>
      </c>
      <c r="L2305" s="7" t="s">
        <v>3384</v>
      </c>
      <c r="M2305" s="8">
        <v>1009891</v>
      </c>
      <c r="N2305" s="8" t="str">
        <f t="shared" si="176"/>
        <v>PEN</v>
      </c>
      <c r="O2305" s="13">
        <v>72</v>
      </c>
      <c r="P2305" s="13"/>
      <c r="Q2305" s="3">
        <f t="shared" si="177"/>
        <v>0</v>
      </c>
      <c r="R2305" s="3">
        <f t="shared" si="178"/>
        <v>0</v>
      </c>
      <c r="S2305" s="3">
        <f t="shared" si="179"/>
        <v>9490.7600000000384</v>
      </c>
      <c r="T2305" s="24" t="s">
        <v>1081</v>
      </c>
      <c r="U2305" s="24" t="s">
        <v>1081</v>
      </c>
      <c r="V2305" s="69"/>
      <c r="W2305" s="25">
        <f>IFERROR(VLOOKUP(BCP_Soles[[#This Row],[DESTINATARIO]],CHOOSE({1,2},Clientes_Proveedores[Razon Social],Clientes_Proveedores[Ruc / Dni]),2,0),"")</f>
        <v>20429640939</v>
      </c>
      <c r="X2305" s="25"/>
      <c r="Y2305" s="25"/>
      <c r="Z2305" s="25"/>
      <c r="AA2305" s="99" t="s">
        <v>3385</v>
      </c>
      <c r="AB2305" s="3" t="str">
        <f>IF(BCP_Soles[[#This Row],[FECHA]]&gt;0,TEXT(BCP_Soles[[#This Row],[FECHA]],"mmmm"),0)</f>
        <v>Julio</v>
      </c>
    </row>
    <row r="2306" spans="2:28" ht="36" x14ac:dyDescent="0.3">
      <c r="B2306" s="2" t="str">
        <f>IF(BCP_Soles[[#This Row],[TIPO DE R.]]="R",COUNTIFS($D$4:$D2305,"R")+1,"")</f>
        <v/>
      </c>
      <c r="C2306" s="19" t="str">
        <f t="shared" si="175"/>
        <v>B-BCP - Soles</v>
      </c>
      <c r="D2306" s="3" t="s">
        <v>1101</v>
      </c>
      <c r="E2306" s="14">
        <v>45839</v>
      </c>
      <c r="F2306" s="5" t="s">
        <v>2898</v>
      </c>
      <c r="G2306" s="5"/>
      <c r="H2306" s="6" t="s">
        <v>220</v>
      </c>
      <c r="I2306" s="6" t="s">
        <v>14</v>
      </c>
      <c r="J2306" s="6" t="s">
        <v>1148</v>
      </c>
      <c r="K2306" s="6">
        <v>1788</v>
      </c>
      <c r="L2306" s="7" t="s">
        <v>3384</v>
      </c>
      <c r="M2306" s="8">
        <v>1009891</v>
      </c>
      <c r="N2306" s="8" t="str">
        <f t="shared" si="176"/>
        <v>PEN</v>
      </c>
      <c r="O2306" s="13">
        <v>106</v>
      </c>
      <c r="P2306" s="13"/>
      <c r="Q2306" s="3">
        <f t="shared" si="177"/>
        <v>0</v>
      </c>
      <c r="R2306" s="3">
        <f t="shared" si="178"/>
        <v>0</v>
      </c>
      <c r="S2306" s="3">
        <f t="shared" si="179"/>
        <v>9490.7600000000384</v>
      </c>
      <c r="T2306" s="24" t="s">
        <v>1081</v>
      </c>
      <c r="U2306" s="24" t="s">
        <v>1081</v>
      </c>
      <c r="V2306" s="69"/>
      <c r="W2306" s="25">
        <f>IFERROR(VLOOKUP(BCP_Soles[[#This Row],[DESTINATARIO]],CHOOSE({1,2},Clientes_Proveedores[Razon Social],Clientes_Proveedores[Ruc / Dni]),2,0),"")</f>
        <v>20429640939</v>
      </c>
      <c r="X2306" s="25"/>
      <c r="Y2306" s="25"/>
      <c r="Z2306" s="25"/>
      <c r="AA2306" s="99" t="s">
        <v>3385</v>
      </c>
      <c r="AB2306" s="3" t="str">
        <f>IF(BCP_Soles[[#This Row],[FECHA]]&gt;0,TEXT(BCP_Soles[[#This Row],[FECHA]],"mmmm"),0)</f>
        <v>Julio</v>
      </c>
    </row>
    <row r="2307" spans="2:28" ht="36" x14ac:dyDescent="0.3">
      <c r="B2307" s="2" t="str">
        <f>IF(BCP_Soles[[#This Row],[TIPO DE R.]]="R",COUNTIFS($D$4:$D2306,"R")+1,"")</f>
        <v/>
      </c>
      <c r="C2307" s="19" t="str">
        <f t="shared" si="175"/>
        <v>B-BCP - Soles</v>
      </c>
      <c r="D2307" s="3" t="s">
        <v>1101</v>
      </c>
      <c r="E2307" s="14">
        <v>45839</v>
      </c>
      <c r="F2307" s="5" t="s">
        <v>2898</v>
      </c>
      <c r="G2307" s="5"/>
      <c r="H2307" s="6" t="s">
        <v>220</v>
      </c>
      <c r="I2307" s="6" t="s">
        <v>14</v>
      </c>
      <c r="J2307" s="6" t="s">
        <v>1148</v>
      </c>
      <c r="K2307" s="6">
        <v>1787</v>
      </c>
      <c r="L2307" s="7" t="s">
        <v>3384</v>
      </c>
      <c r="M2307" s="8">
        <v>1009891</v>
      </c>
      <c r="N2307" s="8" t="str">
        <f t="shared" si="176"/>
        <v>PEN</v>
      </c>
      <c r="O2307" s="13">
        <v>72</v>
      </c>
      <c r="P2307" s="13"/>
      <c r="Q2307" s="3">
        <f t="shared" si="177"/>
        <v>0</v>
      </c>
      <c r="R2307" s="3">
        <f t="shared" si="178"/>
        <v>0</v>
      </c>
      <c r="S2307" s="3">
        <f t="shared" si="179"/>
        <v>9490.7600000000384</v>
      </c>
      <c r="T2307" s="24" t="s">
        <v>1081</v>
      </c>
      <c r="U2307" s="24" t="s">
        <v>1081</v>
      </c>
      <c r="V2307" s="69"/>
      <c r="W2307" s="25">
        <f>IFERROR(VLOOKUP(BCP_Soles[[#This Row],[DESTINATARIO]],CHOOSE({1,2},Clientes_Proveedores[Razon Social],Clientes_Proveedores[Ruc / Dni]),2,0),"")</f>
        <v>20429640939</v>
      </c>
      <c r="X2307" s="25"/>
      <c r="Y2307" s="25"/>
      <c r="Z2307" s="25"/>
      <c r="AA2307" s="99" t="s">
        <v>3385</v>
      </c>
      <c r="AB2307" s="3" t="str">
        <f>IF(BCP_Soles[[#This Row],[FECHA]]&gt;0,TEXT(BCP_Soles[[#This Row],[FECHA]],"mmmm"),0)</f>
        <v>Julio</v>
      </c>
    </row>
    <row r="2308" spans="2:28" x14ac:dyDescent="0.3">
      <c r="B2308" s="2" t="str">
        <f>IF(BCP_Soles[[#This Row],[TIPO DE R.]]="R",COUNTIFS($D$4:$D2307,"R")+1,"")</f>
        <v/>
      </c>
      <c r="C2308" s="19" t="str">
        <f t="shared" si="175"/>
        <v>B-BCP - Soles</v>
      </c>
      <c r="D2308" s="3" t="s">
        <v>1101</v>
      </c>
      <c r="E2308" s="14">
        <v>45839</v>
      </c>
      <c r="F2308" s="5" t="s">
        <v>2898</v>
      </c>
      <c r="G2308" s="5"/>
      <c r="H2308" s="6" t="s">
        <v>229</v>
      </c>
      <c r="I2308" s="6" t="s">
        <v>14</v>
      </c>
      <c r="J2308" s="6" t="s">
        <v>1148</v>
      </c>
      <c r="K2308" s="6">
        <v>627</v>
      </c>
      <c r="L2308" s="7" t="s">
        <v>3384</v>
      </c>
      <c r="M2308" s="8">
        <v>1009891</v>
      </c>
      <c r="N2308" s="8" t="str">
        <f t="shared" si="176"/>
        <v>PEN</v>
      </c>
      <c r="O2308" s="13">
        <v>19</v>
      </c>
      <c r="P2308" s="13"/>
      <c r="Q2308" s="3">
        <f t="shared" si="177"/>
        <v>0</v>
      </c>
      <c r="R2308" s="3">
        <f t="shared" si="178"/>
        <v>0</v>
      </c>
      <c r="S2308" s="3">
        <f t="shared" si="179"/>
        <v>9490.7600000000384</v>
      </c>
      <c r="T2308" s="24" t="s">
        <v>1081</v>
      </c>
      <c r="U2308" s="24" t="s">
        <v>1081</v>
      </c>
      <c r="V2308" s="69"/>
      <c r="W2308" s="25">
        <f>IFERROR(VLOOKUP(BCP_Soles[[#This Row],[DESTINATARIO]],CHOOSE({1,2},Clientes_Proveedores[Razon Social],Clientes_Proveedores[Ruc / Dni]),2,0),"")</f>
        <v>20454186002</v>
      </c>
      <c r="X2308" s="25"/>
      <c r="Y2308" s="25"/>
      <c r="Z2308" s="25"/>
      <c r="AA2308" s="99" t="s">
        <v>3385</v>
      </c>
      <c r="AB2308" s="3" t="str">
        <f>IF(BCP_Soles[[#This Row],[FECHA]]&gt;0,TEXT(BCP_Soles[[#This Row],[FECHA]],"mmmm"),0)</f>
        <v>Julio</v>
      </c>
    </row>
    <row r="2309" spans="2:28" x14ac:dyDescent="0.3">
      <c r="B2309" s="2" t="str">
        <f>IF(BCP_Soles[[#This Row],[TIPO DE R.]]="R",COUNTIFS($D$4:$D2308,"R")+1,"")</f>
        <v/>
      </c>
      <c r="C2309" s="19" t="str">
        <f t="shared" ref="C2309:C2372" si="180">"B-BCP - Soles"</f>
        <v>B-BCP - Soles</v>
      </c>
      <c r="D2309" s="3" t="s">
        <v>1101</v>
      </c>
      <c r="E2309" s="14">
        <v>45839</v>
      </c>
      <c r="F2309" s="5" t="s">
        <v>2898</v>
      </c>
      <c r="G2309" s="5"/>
      <c r="H2309" s="6" t="s">
        <v>139</v>
      </c>
      <c r="I2309" s="6" t="s">
        <v>14</v>
      </c>
      <c r="J2309" s="6" t="s">
        <v>1953</v>
      </c>
      <c r="K2309" s="6">
        <v>6528</v>
      </c>
      <c r="L2309" s="7" t="s">
        <v>3384</v>
      </c>
      <c r="M2309" s="8">
        <v>1009891</v>
      </c>
      <c r="N2309" s="8" t="str">
        <f t="shared" ref="N2309:N2372" si="181">"PEN"</f>
        <v>PEN</v>
      </c>
      <c r="O2309" s="13">
        <v>18</v>
      </c>
      <c r="P2309" s="13"/>
      <c r="Q2309" s="3">
        <f t="shared" ref="Q2309:Q2372" si="182">+IF(OR($G2309="SALDO",$G2309="INGRESO"),$P2309,0)</f>
        <v>0</v>
      </c>
      <c r="R2309" s="3">
        <f t="shared" ref="R2309:R2372" si="183">+IF($G2309="EGRESO",$P2309,0)</f>
        <v>0</v>
      </c>
      <c r="S2309" s="3">
        <f t="shared" ref="S2309:S2372" si="184">IFERROR(IF(G2309="SALDO",Q2309,S2308+Q2309-R2309),0)</f>
        <v>9490.7600000000384</v>
      </c>
      <c r="T2309" s="24" t="s">
        <v>1081</v>
      </c>
      <c r="U2309" s="24" t="s">
        <v>1081</v>
      </c>
      <c r="V2309" s="69"/>
      <c r="W2309" s="25">
        <f>IFERROR(VLOOKUP(BCP_Soles[[#This Row],[DESTINATARIO]],CHOOSE({1,2},Clientes_Proveedores[Razon Social],Clientes_Proveedores[Ruc / Dni]),2,0),"")</f>
        <v>20100055237</v>
      </c>
      <c r="X2309" s="25"/>
      <c r="Y2309" s="25"/>
      <c r="Z2309" s="25"/>
      <c r="AA2309" s="99" t="s">
        <v>3385</v>
      </c>
      <c r="AB2309" s="3" t="str">
        <f>IF(BCP_Soles[[#This Row],[FECHA]]&gt;0,TEXT(BCP_Soles[[#This Row],[FECHA]],"mmmm"),0)</f>
        <v>Julio</v>
      </c>
    </row>
    <row r="2310" spans="2:28" x14ac:dyDescent="0.3">
      <c r="B2310" s="2" t="str">
        <f>IF(BCP_Soles[[#This Row],[TIPO DE R.]]="R",COUNTIFS($D$4:$D2309,"R")+1,"")</f>
        <v/>
      </c>
      <c r="C2310" s="19" t="str">
        <f t="shared" si="180"/>
        <v>B-BCP - Soles</v>
      </c>
      <c r="D2310" s="3" t="s">
        <v>1101</v>
      </c>
      <c r="E2310" s="14">
        <v>45839</v>
      </c>
      <c r="F2310" s="5" t="s">
        <v>2898</v>
      </c>
      <c r="G2310" s="5"/>
      <c r="H2310" s="6" t="s">
        <v>139</v>
      </c>
      <c r="I2310" s="6" t="s">
        <v>14</v>
      </c>
      <c r="J2310" s="6" t="s">
        <v>1953</v>
      </c>
      <c r="K2310" s="6">
        <v>6529</v>
      </c>
      <c r="L2310" s="7" t="s">
        <v>3384</v>
      </c>
      <c r="M2310" s="8">
        <v>1009891</v>
      </c>
      <c r="N2310" s="8" t="str">
        <f t="shared" si="181"/>
        <v>PEN</v>
      </c>
      <c r="O2310" s="13">
        <v>3</v>
      </c>
      <c r="P2310" s="13"/>
      <c r="Q2310" s="3">
        <f t="shared" si="182"/>
        <v>0</v>
      </c>
      <c r="R2310" s="3">
        <f t="shared" si="183"/>
        <v>0</v>
      </c>
      <c r="S2310" s="3">
        <f t="shared" si="184"/>
        <v>9490.7600000000384</v>
      </c>
      <c r="T2310" s="24" t="s">
        <v>1081</v>
      </c>
      <c r="U2310" s="24" t="s">
        <v>1081</v>
      </c>
      <c r="V2310" s="69"/>
      <c r="W2310" s="25">
        <f>IFERROR(VLOOKUP(BCP_Soles[[#This Row],[DESTINATARIO]],CHOOSE({1,2},Clientes_Proveedores[Razon Social],Clientes_Proveedores[Ruc / Dni]),2,0),"")</f>
        <v>20100055237</v>
      </c>
      <c r="X2310" s="25"/>
      <c r="Y2310" s="25"/>
      <c r="Z2310" s="25"/>
      <c r="AA2310" s="99" t="s">
        <v>3385</v>
      </c>
      <c r="AB2310" s="3" t="str">
        <f>IF(BCP_Soles[[#This Row],[FECHA]]&gt;0,TEXT(BCP_Soles[[#This Row],[FECHA]],"mmmm"),0)</f>
        <v>Julio</v>
      </c>
    </row>
    <row r="2311" spans="2:28" x14ac:dyDescent="0.3">
      <c r="B2311" s="2" t="str">
        <f>IF(BCP_Soles[[#This Row],[TIPO DE R.]]="R",COUNTIFS($D$4:$D2310,"R")+1,"")</f>
        <v/>
      </c>
      <c r="C2311" s="19" t="str">
        <f t="shared" si="180"/>
        <v>B-BCP - Soles</v>
      </c>
      <c r="D2311" s="3" t="s">
        <v>1101</v>
      </c>
      <c r="E2311" s="14">
        <v>45839</v>
      </c>
      <c r="F2311" s="5" t="s">
        <v>2898</v>
      </c>
      <c r="G2311" s="5"/>
      <c r="H2311" s="6" t="s">
        <v>139</v>
      </c>
      <c r="I2311" s="6" t="s">
        <v>14</v>
      </c>
      <c r="J2311" s="6" t="s">
        <v>1953</v>
      </c>
      <c r="K2311" s="6">
        <v>6526</v>
      </c>
      <c r="L2311" s="7" t="s">
        <v>3384</v>
      </c>
      <c r="M2311" s="8">
        <v>1009891</v>
      </c>
      <c r="N2311" s="8" t="str">
        <f t="shared" si="181"/>
        <v>PEN</v>
      </c>
      <c r="O2311" s="13">
        <v>38</v>
      </c>
      <c r="P2311" s="13"/>
      <c r="Q2311" s="3">
        <f t="shared" si="182"/>
        <v>0</v>
      </c>
      <c r="R2311" s="3">
        <f t="shared" si="183"/>
        <v>0</v>
      </c>
      <c r="S2311" s="3">
        <f t="shared" si="184"/>
        <v>9490.7600000000384</v>
      </c>
      <c r="T2311" s="24" t="s">
        <v>1081</v>
      </c>
      <c r="U2311" s="24" t="s">
        <v>1081</v>
      </c>
      <c r="V2311" s="69"/>
      <c r="W2311" s="25">
        <f>IFERROR(VLOOKUP(BCP_Soles[[#This Row],[DESTINATARIO]],CHOOSE({1,2},Clientes_Proveedores[Razon Social],Clientes_Proveedores[Ruc / Dni]),2,0),"")</f>
        <v>20100055237</v>
      </c>
      <c r="X2311" s="25"/>
      <c r="Y2311" s="25"/>
      <c r="Z2311" s="25"/>
      <c r="AA2311" s="99" t="s">
        <v>3385</v>
      </c>
      <c r="AB2311" s="3" t="str">
        <f>IF(BCP_Soles[[#This Row],[FECHA]]&gt;0,TEXT(BCP_Soles[[#This Row],[FECHA]],"mmmm"),0)</f>
        <v>Julio</v>
      </c>
    </row>
    <row r="2312" spans="2:28" x14ac:dyDescent="0.3">
      <c r="B2312" s="2" t="str">
        <f>IF(BCP_Soles[[#This Row],[TIPO DE R.]]="R",COUNTIFS($D$4:$D2311,"R")+1,"")</f>
        <v/>
      </c>
      <c r="C2312" s="19" t="str">
        <f t="shared" si="180"/>
        <v>B-BCP - Soles</v>
      </c>
      <c r="D2312" s="3" t="s">
        <v>1101</v>
      </c>
      <c r="E2312" s="14">
        <v>45839</v>
      </c>
      <c r="F2312" s="5" t="s">
        <v>2898</v>
      </c>
      <c r="G2312" s="5"/>
      <c r="H2312" s="6" t="s">
        <v>139</v>
      </c>
      <c r="I2312" s="6" t="s">
        <v>14</v>
      </c>
      <c r="J2312" s="6" t="s">
        <v>1953</v>
      </c>
      <c r="K2312" s="6">
        <v>6521</v>
      </c>
      <c r="L2312" s="7" t="s">
        <v>3384</v>
      </c>
      <c r="M2312" s="8">
        <v>1009891</v>
      </c>
      <c r="N2312" s="8" t="str">
        <f t="shared" si="181"/>
        <v>PEN</v>
      </c>
      <c r="O2312" s="13">
        <v>130</v>
      </c>
      <c r="P2312" s="13"/>
      <c r="Q2312" s="3">
        <f t="shared" si="182"/>
        <v>0</v>
      </c>
      <c r="R2312" s="3">
        <f t="shared" si="183"/>
        <v>0</v>
      </c>
      <c r="S2312" s="3">
        <f t="shared" si="184"/>
        <v>9490.7600000000384</v>
      </c>
      <c r="T2312" s="24" t="s">
        <v>1081</v>
      </c>
      <c r="U2312" s="24" t="s">
        <v>1081</v>
      </c>
      <c r="V2312" s="69"/>
      <c r="W2312" s="25">
        <f>IFERROR(VLOOKUP(BCP_Soles[[#This Row],[DESTINATARIO]],CHOOSE({1,2},Clientes_Proveedores[Razon Social],Clientes_Proveedores[Ruc / Dni]),2,0),"")</f>
        <v>20100055237</v>
      </c>
      <c r="X2312" s="25"/>
      <c r="Y2312" s="25"/>
      <c r="Z2312" s="25"/>
      <c r="AA2312" s="99" t="s">
        <v>3385</v>
      </c>
      <c r="AB2312" s="3" t="str">
        <f>IF(BCP_Soles[[#This Row],[FECHA]]&gt;0,TEXT(BCP_Soles[[#This Row],[FECHA]],"mmmm"),0)</f>
        <v>Julio</v>
      </c>
    </row>
    <row r="2313" spans="2:28" x14ac:dyDescent="0.3">
      <c r="B2313" s="2" t="str">
        <f>IF(BCP_Soles[[#This Row],[TIPO DE R.]]="R",COUNTIFS($D$4:$D2312,"R")+1,"")</f>
        <v/>
      </c>
      <c r="C2313" s="19" t="str">
        <f t="shared" si="180"/>
        <v>B-BCP - Soles</v>
      </c>
      <c r="D2313" s="3" t="s">
        <v>1101</v>
      </c>
      <c r="E2313" s="14">
        <v>45839</v>
      </c>
      <c r="F2313" s="5" t="s">
        <v>2898</v>
      </c>
      <c r="G2313" s="5"/>
      <c r="H2313" s="6" t="s">
        <v>139</v>
      </c>
      <c r="I2313" s="6" t="s">
        <v>14</v>
      </c>
      <c r="J2313" s="6" t="s">
        <v>1953</v>
      </c>
      <c r="K2313" s="6">
        <v>6527</v>
      </c>
      <c r="L2313" s="7" t="s">
        <v>3384</v>
      </c>
      <c r="M2313" s="8">
        <v>1009891</v>
      </c>
      <c r="N2313" s="8" t="str">
        <f t="shared" si="181"/>
        <v>PEN</v>
      </c>
      <c r="O2313" s="13">
        <v>61</v>
      </c>
      <c r="P2313" s="13"/>
      <c r="Q2313" s="3">
        <f t="shared" si="182"/>
        <v>0</v>
      </c>
      <c r="R2313" s="3">
        <f t="shared" si="183"/>
        <v>0</v>
      </c>
      <c r="S2313" s="3">
        <f t="shared" si="184"/>
        <v>9490.7600000000384</v>
      </c>
      <c r="T2313" s="24" t="s">
        <v>1081</v>
      </c>
      <c r="U2313" s="24" t="s">
        <v>1081</v>
      </c>
      <c r="V2313" s="69"/>
      <c r="W2313" s="25">
        <f>IFERROR(VLOOKUP(BCP_Soles[[#This Row],[DESTINATARIO]],CHOOSE({1,2},Clientes_Proveedores[Razon Social],Clientes_Proveedores[Ruc / Dni]),2,0),"")</f>
        <v>20100055237</v>
      </c>
      <c r="X2313" s="25"/>
      <c r="Y2313" s="25"/>
      <c r="Z2313" s="25"/>
      <c r="AA2313" s="99" t="s">
        <v>3385</v>
      </c>
      <c r="AB2313" s="3" t="str">
        <f>IF(BCP_Soles[[#This Row],[FECHA]]&gt;0,TEXT(BCP_Soles[[#This Row],[FECHA]],"mmmm"),0)</f>
        <v>Julio</v>
      </c>
    </row>
    <row r="2314" spans="2:28" x14ac:dyDescent="0.3">
      <c r="B2314" s="2" t="str">
        <f>IF(BCP_Soles[[#This Row],[TIPO DE R.]]="R",COUNTIFS($D$4:$D2313,"R")+1,"")</f>
        <v/>
      </c>
      <c r="C2314" s="19" t="str">
        <f t="shared" si="180"/>
        <v>B-BCP - Soles</v>
      </c>
      <c r="D2314" s="3" t="s">
        <v>1101</v>
      </c>
      <c r="E2314" s="14">
        <v>45839</v>
      </c>
      <c r="F2314" s="5" t="s">
        <v>2898</v>
      </c>
      <c r="G2314" s="5"/>
      <c r="H2314" s="6" t="s">
        <v>139</v>
      </c>
      <c r="I2314" s="6" t="s">
        <v>14</v>
      </c>
      <c r="J2314" s="6" t="s">
        <v>1953</v>
      </c>
      <c r="K2314" s="6">
        <v>6524</v>
      </c>
      <c r="L2314" s="7" t="s">
        <v>3384</v>
      </c>
      <c r="M2314" s="8">
        <v>1009891</v>
      </c>
      <c r="N2314" s="8" t="str">
        <f t="shared" si="181"/>
        <v>PEN</v>
      </c>
      <c r="O2314" s="13">
        <v>92</v>
      </c>
      <c r="P2314" s="13"/>
      <c r="Q2314" s="3">
        <f t="shared" si="182"/>
        <v>0</v>
      </c>
      <c r="R2314" s="3">
        <f t="shared" si="183"/>
        <v>0</v>
      </c>
      <c r="S2314" s="3">
        <f t="shared" si="184"/>
        <v>9490.7600000000384</v>
      </c>
      <c r="T2314" s="24" t="s">
        <v>1081</v>
      </c>
      <c r="U2314" s="24" t="s">
        <v>1081</v>
      </c>
      <c r="V2314" s="69"/>
      <c r="W2314" s="25">
        <f>IFERROR(VLOOKUP(BCP_Soles[[#This Row],[DESTINATARIO]],CHOOSE({1,2},Clientes_Proveedores[Razon Social],Clientes_Proveedores[Ruc / Dni]),2,0),"")</f>
        <v>20100055237</v>
      </c>
      <c r="X2314" s="25"/>
      <c r="Y2314" s="25"/>
      <c r="Z2314" s="25"/>
      <c r="AA2314" s="99" t="s">
        <v>3385</v>
      </c>
      <c r="AB2314" s="3" t="str">
        <f>IF(BCP_Soles[[#This Row],[FECHA]]&gt;0,TEXT(BCP_Soles[[#This Row],[FECHA]],"mmmm"),0)</f>
        <v>Julio</v>
      </c>
    </row>
    <row r="2315" spans="2:28" x14ac:dyDescent="0.3">
      <c r="B2315" s="2" t="str">
        <f>IF(BCP_Soles[[#This Row],[TIPO DE R.]]="R",COUNTIFS($D$4:$D2314,"R")+1,"")</f>
        <v/>
      </c>
      <c r="C2315" s="19" t="str">
        <f t="shared" si="180"/>
        <v>B-BCP - Soles</v>
      </c>
      <c r="D2315" s="3" t="s">
        <v>1101</v>
      </c>
      <c r="E2315" s="14">
        <v>45839</v>
      </c>
      <c r="F2315" s="5" t="s">
        <v>2898</v>
      </c>
      <c r="G2315" s="5"/>
      <c r="H2315" s="6" t="s">
        <v>139</v>
      </c>
      <c r="I2315" s="6" t="s">
        <v>14</v>
      </c>
      <c r="J2315" s="6" t="s">
        <v>1953</v>
      </c>
      <c r="K2315" s="6">
        <v>6525</v>
      </c>
      <c r="L2315" s="7" t="s">
        <v>3384</v>
      </c>
      <c r="M2315" s="8">
        <v>1009891</v>
      </c>
      <c r="N2315" s="8" t="str">
        <f t="shared" si="181"/>
        <v>PEN</v>
      </c>
      <c r="O2315" s="13">
        <v>2</v>
      </c>
      <c r="P2315" s="13"/>
      <c r="Q2315" s="3">
        <f t="shared" si="182"/>
        <v>0</v>
      </c>
      <c r="R2315" s="3">
        <f t="shared" si="183"/>
        <v>0</v>
      </c>
      <c r="S2315" s="3">
        <f t="shared" si="184"/>
        <v>9490.7600000000384</v>
      </c>
      <c r="T2315" s="24" t="s">
        <v>1081</v>
      </c>
      <c r="U2315" s="24" t="s">
        <v>1081</v>
      </c>
      <c r="V2315" s="69"/>
      <c r="W2315" s="25">
        <f>IFERROR(VLOOKUP(BCP_Soles[[#This Row],[DESTINATARIO]],CHOOSE({1,2},Clientes_Proveedores[Razon Social],Clientes_Proveedores[Ruc / Dni]),2,0),"")</f>
        <v>20100055237</v>
      </c>
      <c r="X2315" s="25"/>
      <c r="Y2315" s="25"/>
      <c r="Z2315" s="25"/>
      <c r="AA2315" s="99" t="s">
        <v>3385</v>
      </c>
      <c r="AB2315" s="3" t="str">
        <f>IF(BCP_Soles[[#This Row],[FECHA]]&gt;0,TEXT(BCP_Soles[[#This Row],[FECHA]],"mmmm"),0)</f>
        <v>Julio</v>
      </c>
    </row>
    <row r="2316" spans="2:28" x14ac:dyDescent="0.3">
      <c r="B2316" s="2" t="str">
        <f>IF(BCP_Soles[[#This Row],[TIPO DE R.]]="R",COUNTIFS($D$4:$D2315,"R")+1,"")</f>
        <v/>
      </c>
      <c r="C2316" s="19" t="str">
        <f t="shared" si="180"/>
        <v>B-BCP - Soles</v>
      </c>
      <c r="D2316" s="3" t="s">
        <v>1101</v>
      </c>
      <c r="E2316" s="14">
        <v>45839</v>
      </c>
      <c r="F2316" s="5" t="s">
        <v>2898</v>
      </c>
      <c r="G2316" s="5"/>
      <c r="H2316" s="6" t="s">
        <v>139</v>
      </c>
      <c r="I2316" s="6" t="s">
        <v>14</v>
      </c>
      <c r="J2316" s="6" t="s">
        <v>1953</v>
      </c>
      <c r="K2316" s="6">
        <v>6522</v>
      </c>
      <c r="L2316" s="7" t="s">
        <v>3384</v>
      </c>
      <c r="M2316" s="8">
        <v>1009891</v>
      </c>
      <c r="N2316" s="8" t="str">
        <f t="shared" si="181"/>
        <v>PEN</v>
      </c>
      <c r="O2316" s="13">
        <v>26</v>
      </c>
      <c r="P2316" s="13"/>
      <c r="Q2316" s="3">
        <f t="shared" si="182"/>
        <v>0</v>
      </c>
      <c r="R2316" s="3">
        <f t="shared" si="183"/>
        <v>0</v>
      </c>
      <c r="S2316" s="3">
        <f t="shared" si="184"/>
        <v>9490.7600000000384</v>
      </c>
      <c r="T2316" s="24" t="s">
        <v>1081</v>
      </c>
      <c r="U2316" s="24" t="s">
        <v>1081</v>
      </c>
      <c r="V2316" s="69"/>
      <c r="W2316" s="25">
        <f>IFERROR(VLOOKUP(BCP_Soles[[#This Row],[DESTINATARIO]],CHOOSE({1,2},Clientes_Proveedores[Razon Social],Clientes_Proveedores[Ruc / Dni]),2,0),"")</f>
        <v>20100055237</v>
      </c>
      <c r="X2316" s="25"/>
      <c r="Y2316" s="25"/>
      <c r="Z2316" s="25"/>
      <c r="AA2316" s="99" t="s">
        <v>3385</v>
      </c>
      <c r="AB2316" s="3" t="str">
        <f>IF(BCP_Soles[[#This Row],[FECHA]]&gt;0,TEXT(BCP_Soles[[#This Row],[FECHA]],"mmmm"),0)</f>
        <v>Julio</v>
      </c>
    </row>
    <row r="2317" spans="2:28" x14ac:dyDescent="0.3">
      <c r="B2317" s="2" t="str">
        <f>IF(BCP_Soles[[#This Row],[TIPO DE R.]]="R",COUNTIFS($D$4:$D2316,"R")+1,"")</f>
        <v/>
      </c>
      <c r="C2317" s="19" t="str">
        <f t="shared" si="180"/>
        <v>B-BCP - Soles</v>
      </c>
      <c r="D2317" s="3" t="s">
        <v>1101</v>
      </c>
      <c r="E2317" s="14">
        <v>45839</v>
      </c>
      <c r="F2317" s="5" t="s">
        <v>2898</v>
      </c>
      <c r="G2317" s="5"/>
      <c r="H2317" s="6" t="s">
        <v>139</v>
      </c>
      <c r="I2317" s="6" t="s">
        <v>14</v>
      </c>
      <c r="J2317" s="6" t="s">
        <v>1953</v>
      </c>
      <c r="K2317" s="6">
        <v>6523</v>
      </c>
      <c r="L2317" s="7" t="s">
        <v>3384</v>
      </c>
      <c r="M2317" s="8">
        <v>1009891</v>
      </c>
      <c r="N2317" s="8" t="str">
        <f t="shared" si="181"/>
        <v>PEN</v>
      </c>
      <c r="O2317" s="13">
        <v>10</v>
      </c>
      <c r="P2317" s="13"/>
      <c r="Q2317" s="3">
        <f t="shared" si="182"/>
        <v>0</v>
      </c>
      <c r="R2317" s="3">
        <f t="shared" si="183"/>
        <v>0</v>
      </c>
      <c r="S2317" s="3">
        <f t="shared" si="184"/>
        <v>9490.7600000000384</v>
      </c>
      <c r="T2317" s="24" t="s">
        <v>1081</v>
      </c>
      <c r="U2317" s="24" t="s">
        <v>1081</v>
      </c>
      <c r="V2317" s="69"/>
      <c r="W2317" s="25">
        <f>IFERROR(VLOOKUP(BCP_Soles[[#This Row],[DESTINATARIO]],CHOOSE({1,2},Clientes_Proveedores[Razon Social],Clientes_Proveedores[Ruc / Dni]),2,0),"")</f>
        <v>20100055237</v>
      </c>
      <c r="X2317" s="25"/>
      <c r="Y2317" s="25"/>
      <c r="Z2317" s="25"/>
      <c r="AA2317" s="99" t="s">
        <v>3385</v>
      </c>
      <c r="AB2317" s="3" t="str">
        <f>IF(BCP_Soles[[#This Row],[FECHA]]&gt;0,TEXT(BCP_Soles[[#This Row],[FECHA]],"mmmm"),0)</f>
        <v>Julio</v>
      </c>
    </row>
    <row r="2318" spans="2:28" x14ac:dyDescent="0.3">
      <c r="B2318" s="2" t="str">
        <f>IF(BCP_Soles[[#This Row],[TIPO DE R.]]="R",COUNTIFS($D$4:$D2317,"R")+1,"")</f>
        <v/>
      </c>
      <c r="C2318" s="19" t="str">
        <f t="shared" si="180"/>
        <v>B-BCP - Soles</v>
      </c>
      <c r="D2318" s="3" t="s">
        <v>1101</v>
      </c>
      <c r="E2318" s="14">
        <v>45839</v>
      </c>
      <c r="F2318" s="5" t="s">
        <v>2898</v>
      </c>
      <c r="G2318" s="5"/>
      <c r="H2318" s="6" t="s">
        <v>139</v>
      </c>
      <c r="I2318" s="6" t="s">
        <v>14</v>
      </c>
      <c r="J2318" s="6" t="s">
        <v>1953</v>
      </c>
      <c r="K2318" s="6">
        <v>6532</v>
      </c>
      <c r="L2318" s="7" t="s">
        <v>3384</v>
      </c>
      <c r="M2318" s="8">
        <v>1009891</v>
      </c>
      <c r="N2318" s="8" t="str">
        <f t="shared" si="181"/>
        <v>PEN</v>
      </c>
      <c r="O2318" s="13">
        <v>153</v>
      </c>
      <c r="P2318" s="13"/>
      <c r="Q2318" s="3">
        <f t="shared" si="182"/>
        <v>0</v>
      </c>
      <c r="R2318" s="3">
        <f t="shared" si="183"/>
        <v>0</v>
      </c>
      <c r="S2318" s="3">
        <f t="shared" si="184"/>
        <v>9490.7600000000384</v>
      </c>
      <c r="T2318" s="24" t="s">
        <v>1081</v>
      </c>
      <c r="U2318" s="24" t="s">
        <v>1081</v>
      </c>
      <c r="V2318" s="69"/>
      <c r="W2318" s="25">
        <f>IFERROR(VLOOKUP(BCP_Soles[[#This Row],[DESTINATARIO]],CHOOSE({1,2},Clientes_Proveedores[Razon Social],Clientes_Proveedores[Ruc / Dni]),2,0),"")</f>
        <v>20100055237</v>
      </c>
      <c r="X2318" s="25"/>
      <c r="Y2318" s="25"/>
      <c r="Z2318" s="25"/>
      <c r="AA2318" s="99" t="s">
        <v>3385</v>
      </c>
      <c r="AB2318" s="3" t="str">
        <f>IF(BCP_Soles[[#This Row],[FECHA]]&gt;0,TEXT(BCP_Soles[[#This Row],[FECHA]],"mmmm"),0)</f>
        <v>Julio</v>
      </c>
    </row>
    <row r="2319" spans="2:28" x14ac:dyDescent="0.3">
      <c r="B2319" s="2" t="str">
        <f>IF(BCP_Soles[[#This Row],[TIPO DE R.]]="R",COUNTIFS($D$4:$D2318,"R")+1,"")</f>
        <v/>
      </c>
      <c r="C2319" s="19" t="str">
        <f t="shared" si="180"/>
        <v>B-BCP - Soles</v>
      </c>
      <c r="D2319" s="3" t="s">
        <v>1101</v>
      </c>
      <c r="E2319" s="14">
        <v>45839</v>
      </c>
      <c r="F2319" s="5" t="s">
        <v>2898</v>
      </c>
      <c r="G2319" s="5"/>
      <c r="H2319" s="6" t="s">
        <v>139</v>
      </c>
      <c r="I2319" s="6" t="s">
        <v>14</v>
      </c>
      <c r="J2319" s="6" t="s">
        <v>1953</v>
      </c>
      <c r="K2319" s="6">
        <v>6530</v>
      </c>
      <c r="L2319" s="7" t="s">
        <v>3384</v>
      </c>
      <c r="M2319" s="8">
        <v>1009891</v>
      </c>
      <c r="N2319" s="8" t="str">
        <f t="shared" si="181"/>
        <v>PEN</v>
      </c>
      <c r="O2319" s="13">
        <v>84</v>
      </c>
      <c r="P2319" s="13"/>
      <c r="Q2319" s="3">
        <f t="shared" si="182"/>
        <v>0</v>
      </c>
      <c r="R2319" s="3">
        <f t="shared" si="183"/>
        <v>0</v>
      </c>
      <c r="S2319" s="3">
        <f t="shared" si="184"/>
        <v>9490.7600000000384</v>
      </c>
      <c r="T2319" s="24" t="s">
        <v>1081</v>
      </c>
      <c r="U2319" s="24" t="s">
        <v>1081</v>
      </c>
      <c r="V2319" s="69"/>
      <c r="W2319" s="25">
        <f>IFERROR(VLOOKUP(BCP_Soles[[#This Row],[DESTINATARIO]],CHOOSE({1,2},Clientes_Proveedores[Razon Social],Clientes_Proveedores[Ruc / Dni]),2,0),"")</f>
        <v>20100055237</v>
      </c>
      <c r="X2319" s="25"/>
      <c r="Y2319" s="25"/>
      <c r="Z2319" s="25"/>
      <c r="AA2319" s="99" t="s">
        <v>3385</v>
      </c>
      <c r="AB2319" s="3" t="str">
        <f>IF(BCP_Soles[[#This Row],[FECHA]]&gt;0,TEXT(BCP_Soles[[#This Row],[FECHA]],"mmmm"),0)</f>
        <v>Julio</v>
      </c>
    </row>
    <row r="2320" spans="2:28" x14ac:dyDescent="0.3">
      <c r="B2320" s="2" t="str">
        <f>IF(BCP_Soles[[#This Row],[TIPO DE R.]]="R",COUNTIFS($D$4:$D2319,"R")+1,"")</f>
        <v/>
      </c>
      <c r="C2320" s="19" t="str">
        <f t="shared" si="180"/>
        <v>B-BCP - Soles</v>
      </c>
      <c r="D2320" s="3" t="s">
        <v>1101</v>
      </c>
      <c r="E2320" s="14">
        <v>45839</v>
      </c>
      <c r="F2320" s="5" t="s">
        <v>2898</v>
      </c>
      <c r="G2320" s="5"/>
      <c r="H2320" s="6" t="s">
        <v>139</v>
      </c>
      <c r="I2320" s="6" t="s">
        <v>14</v>
      </c>
      <c r="J2320" s="6" t="s">
        <v>1953</v>
      </c>
      <c r="K2320" s="6">
        <v>6531</v>
      </c>
      <c r="L2320" s="7" t="s">
        <v>3384</v>
      </c>
      <c r="M2320" s="8">
        <v>1009891</v>
      </c>
      <c r="N2320" s="8" t="str">
        <f t="shared" si="181"/>
        <v>PEN</v>
      </c>
      <c r="O2320" s="13">
        <v>14</v>
      </c>
      <c r="P2320" s="13"/>
      <c r="Q2320" s="3">
        <f t="shared" si="182"/>
        <v>0</v>
      </c>
      <c r="R2320" s="3">
        <f t="shared" si="183"/>
        <v>0</v>
      </c>
      <c r="S2320" s="3">
        <f t="shared" si="184"/>
        <v>9490.7600000000384</v>
      </c>
      <c r="T2320" s="24" t="s">
        <v>1081</v>
      </c>
      <c r="U2320" s="24" t="s">
        <v>1081</v>
      </c>
      <c r="V2320" s="69"/>
      <c r="W2320" s="25">
        <f>IFERROR(VLOOKUP(BCP_Soles[[#This Row],[DESTINATARIO]],CHOOSE({1,2},Clientes_Proveedores[Razon Social],Clientes_Proveedores[Ruc / Dni]),2,0),"")</f>
        <v>20100055237</v>
      </c>
      <c r="X2320" s="25"/>
      <c r="Y2320" s="25"/>
      <c r="Z2320" s="25"/>
      <c r="AA2320" s="99" t="s">
        <v>3385</v>
      </c>
      <c r="AB2320" s="3" t="str">
        <f>IF(BCP_Soles[[#This Row],[FECHA]]&gt;0,TEXT(BCP_Soles[[#This Row],[FECHA]],"mmmm"),0)</f>
        <v>Julio</v>
      </c>
    </row>
    <row r="2321" spans="2:28" ht="24" x14ac:dyDescent="0.3">
      <c r="B2321" s="2" t="str">
        <f>IF(BCP_Soles[[#This Row],[TIPO DE R.]]="R",COUNTIFS($D$4:$D2320,"R")+1,"")</f>
        <v/>
      </c>
      <c r="C2321" s="19" t="str">
        <f t="shared" si="180"/>
        <v>B-BCP - Soles</v>
      </c>
      <c r="D2321" s="3" t="s">
        <v>1101</v>
      </c>
      <c r="E2321" s="14">
        <v>45839</v>
      </c>
      <c r="F2321" s="5" t="s">
        <v>2898</v>
      </c>
      <c r="G2321" s="5"/>
      <c r="H2321" s="6" t="s">
        <v>147</v>
      </c>
      <c r="I2321" s="6" t="s">
        <v>14</v>
      </c>
      <c r="J2321" s="6" t="s">
        <v>1148</v>
      </c>
      <c r="K2321" s="6">
        <v>16320</v>
      </c>
      <c r="L2321" s="7" t="s">
        <v>3384</v>
      </c>
      <c r="M2321" s="8">
        <v>1009891</v>
      </c>
      <c r="N2321" s="8" t="str">
        <f t="shared" si="181"/>
        <v>PEN</v>
      </c>
      <c r="O2321" s="13">
        <v>55</v>
      </c>
      <c r="P2321" s="13"/>
      <c r="Q2321" s="3">
        <f t="shared" si="182"/>
        <v>0</v>
      </c>
      <c r="R2321" s="3">
        <f t="shared" si="183"/>
        <v>0</v>
      </c>
      <c r="S2321" s="3">
        <f t="shared" si="184"/>
        <v>9490.7600000000384</v>
      </c>
      <c r="T2321" s="24" t="s">
        <v>1081</v>
      </c>
      <c r="U2321" s="24" t="s">
        <v>1081</v>
      </c>
      <c r="V2321" s="69"/>
      <c r="W2321" s="25">
        <f>IFERROR(VLOOKUP(BCP_Soles[[#This Row],[DESTINATARIO]],CHOOSE({1,2},Clientes_Proveedores[Razon Social],Clientes_Proveedores[Ruc / Dni]),2,0),"")</f>
        <v>20100192064</v>
      </c>
      <c r="X2321" s="25"/>
      <c r="Y2321" s="25"/>
      <c r="Z2321" s="25"/>
      <c r="AA2321" s="99" t="s">
        <v>3385</v>
      </c>
      <c r="AB2321" s="3" t="str">
        <f>IF(BCP_Soles[[#This Row],[FECHA]]&gt;0,TEXT(BCP_Soles[[#This Row],[FECHA]],"mmmm"),0)</f>
        <v>Julio</v>
      </c>
    </row>
    <row r="2322" spans="2:28" ht="24" x14ac:dyDescent="0.3">
      <c r="B2322" s="2" t="str">
        <f>IF(BCP_Soles[[#This Row],[TIPO DE R.]]="R",COUNTIFS($D$4:$D2321,"R")+1,"")</f>
        <v/>
      </c>
      <c r="C2322" s="19" t="str">
        <f t="shared" si="180"/>
        <v>B-BCP - Soles</v>
      </c>
      <c r="D2322" s="3" t="s">
        <v>1101</v>
      </c>
      <c r="E2322" s="14">
        <v>45839</v>
      </c>
      <c r="F2322" s="5" t="s">
        <v>2898</v>
      </c>
      <c r="G2322" s="5"/>
      <c r="H2322" s="6" t="s">
        <v>147</v>
      </c>
      <c r="I2322" s="6" t="s">
        <v>14</v>
      </c>
      <c r="J2322" s="6" t="s">
        <v>1148</v>
      </c>
      <c r="K2322" s="6">
        <v>16313</v>
      </c>
      <c r="L2322" s="7" t="s">
        <v>3384</v>
      </c>
      <c r="M2322" s="8">
        <v>1009891</v>
      </c>
      <c r="N2322" s="8" t="str">
        <f t="shared" si="181"/>
        <v>PEN</v>
      </c>
      <c r="O2322" s="13">
        <v>22</v>
      </c>
      <c r="P2322" s="13"/>
      <c r="Q2322" s="3">
        <f t="shared" si="182"/>
        <v>0</v>
      </c>
      <c r="R2322" s="3">
        <f t="shared" si="183"/>
        <v>0</v>
      </c>
      <c r="S2322" s="3">
        <f t="shared" si="184"/>
        <v>9490.7600000000384</v>
      </c>
      <c r="T2322" s="24" t="s">
        <v>1081</v>
      </c>
      <c r="U2322" s="24" t="s">
        <v>1081</v>
      </c>
      <c r="V2322" s="69"/>
      <c r="W2322" s="25">
        <f>IFERROR(VLOOKUP(BCP_Soles[[#This Row],[DESTINATARIO]],CHOOSE({1,2},Clientes_Proveedores[Razon Social],Clientes_Proveedores[Ruc / Dni]),2,0),"")</f>
        <v>20100192064</v>
      </c>
      <c r="X2322" s="25"/>
      <c r="Y2322" s="25"/>
      <c r="Z2322" s="25"/>
      <c r="AA2322" s="99" t="s">
        <v>3385</v>
      </c>
      <c r="AB2322" s="3" t="str">
        <f>IF(BCP_Soles[[#This Row],[FECHA]]&gt;0,TEXT(BCP_Soles[[#This Row],[FECHA]],"mmmm"),0)</f>
        <v>Julio</v>
      </c>
    </row>
    <row r="2323" spans="2:28" ht="24" x14ac:dyDescent="0.3">
      <c r="B2323" s="2" t="str">
        <f>IF(BCP_Soles[[#This Row],[TIPO DE R.]]="R",COUNTIFS($D$4:$D2322,"R")+1,"")</f>
        <v/>
      </c>
      <c r="C2323" s="19" t="str">
        <f t="shared" si="180"/>
        <v>B-BCP - Soles</v>
      </c>
      <c r="D2323" s="3" t="s">
        <v>1101</v>
      </c>
      <c r="E2323" s="14">
        <v>45839</v>
      </c>
      <c r="F2323" s="5" t="s">
        <v>2898</v>
      </c>
      <c r="G2323" s="5"/>
      <c r="H2323" s="6" t="s">
        <v>407</v>
      </c>
      <c r="I2323" s="6" t="s">
        <v>14</v>
      </c>
      <c r="J2323" s="6" t="s">
        <v>1121</v>
      </c>
      <c r="K2323" s="6">
        <v>844</v>
      </c>
      <c r="L2323" s="7" t="s">
        <v>3384</v>
      </c>
      <c r="M2323" s="8">
        <v>1009891</v>
      </c>
      <c r="N2323" s="8" t="str">
        <f t="shared" si="181"/>
        <v>PEN</v>
      </c>
      <c r="O2323" s="13">
        <v>76</v>
      </c>
      <c r="P2323" s="13"/>
      <c r="Q2323" s="3">
        <f t="shared" si="182"/>
        <v>0</v>
      </c>
      <c r="R2323" s="3">
        <f t="shared" si="183"/>
        <v>0</v>
      </c>
      <c r="S2323" s="3">
        <f t="shared" si="184"/>
        <v>9490.7600000000384</v>
      </c>
      <c r="T2323" s="24" t="s">
        <v>1081</v>
      </c>
      <c r="U2323" s="24" t="s">
        <v>1081</v>
      </c>
      <c r="V2323" s="69"/>
      <c r="W2323" s="25">
        <f>IFERROR(VLOOKUP(BCP_Soles[[#This Row],[DESTINATARIO]],CHOOSE({1,2},Clientes_Proveedores[Razon Social],Clientes_Proveedores[Ruc / Dni]),2,0),"")</f>
        <v>20601279666</v>
      </c>
      <c r="X2323" s="25"/>
      <c r="Y2323" s="25"/>
      <c r="Z2323" s="25"/>
      <c r="AA2323" s="99" t="s">
        <v>3385</v>
      </c>
      <c r="AB2323" s="3" t="str">
        <f>IF(BCP_Soles[[#This Row],[FECHA]]&gt;0,TEXT(BCP_Soles[[#This Row],[FECHA]],"mmmm"),0)</f>
        <v>Julio</v>
      </c>
    </row>
    <row r="2324" spans="2:28" ht="36" x14ac:dyDescent="0.3">
      <c r="B2324" s="2" t="str">
        <f>IF(BCP_Soles[[#This Row],[TIPO DE R.]]="R",COUNTIFS($D$4:$D2323,"R")+1,"")</f>
        <v/>
      </c>
      <c r="C2324" s="19" t="str">
        <f t="shared" si="180"/>
        <v>B-BCP - Soles</v>
      </c>
      <c r="D2324" s="3" t="s">
        <v>1101</v>
      </c>
      <c r="E2324" s="14">
        <v>45839</v>
      </c>
      <c r="F2324" s="5" t="s">
        <v>2898</v>
      </c>
      <c r="G2324" s="5"/>
      <c r="H2324" s="6" t="s">
        <v>359</v>
      </c>
      <c r="I2324" s="6" t="s">
        <v>14</v>
      </c>
      <c r="J2324" s="6" t="s">
        <v>1121</v>
      </c>
      <c r="K2324" s="6">
        <v>888</v>
      </c>
      <c r="L2324" s="7" t="s">
        <v>3384</v>
      </c>
      <c r="M2324" s="8">
        <v>1009891</v>
      </c>
      <c r="N2324" s="8" t="str">
        <f t="shared" si="181"/>
        <v>PEN</v>
      </c>
      <c r="O2324" s="13">
        <v>72</v>
      </c>
      <c r="P2324" s="13"/>
      <c r="Q2324" s="3">
        <f t="shared" si="182"/>
        <v>0</v>
      </c>
      <c r="R2324" s="3">
        <f t="shared" si="183"/>
        <v>0</v>
      </c>
      <c r="S2324" s="3">
        <f t="shared" si="184"/>
        <v>9490.7600000000384</v>
      </c>
      <c r="T2324" s="24" t="s">
        <v>1081</v>
      </c>
      <c r="U2324" s="24" t="s">
        <v>1081</v>
      </c>
      <c r="V2324" s="69"/>
      <c r="W2324" s="25">
        <f>IFERROR(VLOOKUP(BCP_Soles[[#This Row],[DESTINATARIO]],CHOOSE({1,2},Clientes_Proveedores[Razon Social],Clientes_Proveedores[Ruc / Dni]),2,0),"")</f>
        <v>20554299441</v>
      </c>
      <c r="X2324" s="25"/>
      <c r="Y2324" s="25"/>
      <c r="Z2324" s="25"/>
      <c r="AA2324" s="99" t="s">
        <v>3385</v>
      </c>
      <c r="AB2324" s="3" t="str">
        <f>IF(BCP_Soles[[#This Row],[FECHA]]&gt;0,TEXT(BCP_Soles[[#This Row],[FECHA]],"mmmm"),0)</f>
        <v>Julio</v>
      </c>
    </row>
    <row r="2325" spans="2:28" x14ac:dyDescent="0.3">
      <c r="B2325" s="2" t="str">
        <f>IF(BCP_Soles[[#This Row],[TIPO DE R.]]="R",COUNTIFS($D$4:$D2324,"R")+1,"")</f>
        <v/>
      </c>
      <c r="C2325" s="19" t="str">
        <f t="shared" si="180"/>
        <v>B-BCP - Soles</v>
      </c>
      <c r="D2325" s="3" t="s">
        <v>1101</v>
      </c>
      <c r="E2325" s="14">
        <v>45839</v>
      </c>
      <c r="F2325" s="5" t="s">
        <v>2898</v>
      </c>
      <c r="G2325" s="5"/>
      <c r="H2325" s="6" t="s">
        <v>229</v>
      </c>
      <c r="I2325" s="6" t="s">
        <v>14</v>
      </c>
      <c r="J2325" s="6" t="s">
        <v>1429</v>
      </c>
      <c r="K2325" s="6">
        <v>1708</v>
      </c>
      <c r="L2325" s="7" t="s">
        <v>3384</v>
      </c>
      <c r="M2325" s="8">
        <v>1009891</v>
      </c>
      <c r="N2325" s="8" t="str">
        <f t="shared" si="181"/>
        <v>PEN</v>
      </c>
      <c r="O2325" s="13">
        <v>15</v>
      </c>
      <c r="P2325" s="13"/>
      <c r="Q2325" s="3">
        <f t="shared" si="182"/>
        <v>0</v>
      </c>
      <c r="R2325" s="3">
        <f t="shared" si="183"/>
        <v>0</v>
      </c>
      <c r="S2325" s="3">
        <f t="shared" si="184"/>
        <v>9490.7600000000384</v>
      </c>
      <c r="T2325" s="24" t="s">
        <v>1081</v>
      </c>
      <c r="U2325" s="24" t="s">
        <v>1081</v>
      </c>
      <c r="V2325" s="69"/>
      <c r="W2325" s="25">
        <f>IFERROR(VLOOKUP(BCP_Soles[[#This Row],[DESTINATARIO]],CHOOSE({1,2},Clientes_Proveedores[Razon Social],Clientes_Proveedores[Ruc / Dni]),2,0),"")</f>
        <v>20454186002</v>
      </c>
      <c r="X2325" s="25"/>
      <c r="Y2325" s="25"/>
      <c r="Z2325" s="25"/>
      <c r="AA2325" s="99" t="s">
        <v>3385</v>
      </c>
      <c r="AB2325" s="3" t="str">
        <f>IF(BCP_Soles[[#This Row],[FECHA]]&gt;0,TEXT(BCP_Soles[[#This Row],[FECHA]],"mmmm"),0)</f>
        <v>Julio</v>
      </c>
    </row>
    <row r="2326" spans="2:28" x14ac:dyDescent="0.3">
      <c r="B2326" s="2" t="str">
        <f>IF(BCP_Soles[[#This Row],[TIPO DE R.]]="R",COUNTIFS($D$4:$D2325,"R")+1,"")</f>
        <v/>
      </c>
      <c r="C2326" s="19" t="str">
        <f t="shared" si="180"/>
        <v>B-BCP - Soles</v>
      </c>
      <c r="D2326" s="3" t="s">
        <v>1101</v>
      </c>
      <c r="E2326" s="14">
        <v>45839</v>
      </c>
      <c r="F2326" s="5" t="s">
        <v>2898</v>
      </c>
      <c r="G2326" s="5"/>
      <c r="H2326" s="6" t="s">
        <v>229</v>
      </c>
      <c r="I2326" s="6" t="s">
        <v>14</v>
      </c>
      <c r="J2326" s="6" t="s">
        <v>1429</v>
      </c>
      <c r="K2326" s="6">
        <v>1707</v>
      </c>
      <c r="L2326" s="7" t="s">
        <v>3384</v>
      </c>
      <c r="M2326" s="8">
        <v>1009891</v>
      </c>
      <c r="N2326" s="8" t="str">
        <f t="shared" si="181"/>
        <v>PEN</v>
      </c>
      <c r="O2326" s="13">
        <v>78</v>
      </c>
      <c r="P2326" s="13"/>
      <c r="Q2326" s="3">
        <f t="shared" si="182"/>
        <v>0</v>
      </c>
      <c r="R2326" s="3">
        <f t="shared" si="183"/>
        <v>0</v>
      </c>
      <c r="S2326" s="3">
        <f t="shared" si="184"/>
        <v>9490.7600000000384</v>
      </c>
      <c r="T2326" s="24" t="s">
        <v>1081</v>
      </c>
      <c r="U2326" s="24" t="s">
        <v>1081</v>
      </c>
      <c r="V2326" s="69"/>
      <c r="W2326" s="25">
        <f>IFERROR(VLOOKUP(BCP_Soles[[#This Row],[DESTINATARIO]],CHOOSE({1,2},Clientes_Proveedores[Razon Social],Clientes_Proveedores[Ruc / Dni]),2,0),"")</f>
        <v>20454186002</v>
      </c>
      <c r="X2326" s="25"/>
      <c r="Y2326" s="25"/>
      <c r="Z2326" s="25"/>
      <c r="AA2326" s="99" t="s">
        <v>3385</v>
      </c>
      <c r="AB2326" s="3" t="str">
        <f>IF(BCP_Soles[[#This Row],[FECHA]]&gt;0,TEXT(BCP_Soles[[#This Row],[FECHA]],"mmmm"),0)</f>
        <v>Julio</v>
      </c>
    </row>
    <row r="2327" spans="2:28" ht="24" x14ac:dyDescent="0.3">
      <c r="B2327" s="2" t="str">
        <f>IF(BCP_Soles[[#This Row],[TIPO DE R.]]="R",COUNTIFS($D$4:$D2326,"R")+1,"")</f>
        <v/>
      </c>
      <c r="C2327" s="19" t="str">
        <f t="shared" si="180"/>
        <v>B-BCP - Soles</v>
      </c>
      <c r="D2327" s="3" t="s">
        <v>1101</v>
      </c>
      <c r="E2327" s="14">
        <v>45839</v>
      </c>
      <c r="F2327" s="5" t="s">
        <v>2898</v>
      </c>
      <c r="G2327" s="5"/>
      <c r="H2327" s="6" t="s">
        <v>147</v>
      </c>
      <c r="I2327" s="6" t="s">
        <v>14</v>
      </c>
      <c r="J2327" s="6" t="s">
        <v>1148</v>
      </c>
      <c r="K2327" s="6">
        <v>16328</v>
      </c>
      <c r="L2327" s="7" t="s">
        <v>3384</v>
      </c>
      <c r="M2327" s="8">
        <v>1009891</v>
      </c>
      <c r="N2327" s="8" t="str">
        <f t="shared" si="181"/>
        <v>PEN</v>
      </c>
      <c r="O2327" s="13">
        <v>36</v>
      </c>
      <c r="P2327" s="13"/>
      <c r="Q2327" s="3">
        <f t="shared" si="182"/>
        <v>0</v>
      </c>
      <c r="R2327" s="3">
        <f t="shared" si="183"/>
        <v>0</v>
      </c>
      <c r="S2327" s="3">
        <f t="shared" si="184"/>
        <v>9490.7600000000384</v>
      </c>
      <c r="T2327" s="24" t="s">
        <v>1081</v>
      </c>
      <c r="U2327" s="24" t="s">
        <v>1081</v>
      </c>
      <c r="V2327" s="69"/>
      <c r="W2327" s="25">
        <f>IFERROR(VLOOKUP(BCP_Soles[[#This Row],[DESTINATARIO]],CHOOSE({1,2},Clientes_Proveedores[Razon Social],Clientes_Proveedores[Ruc / Dni]),2,0),"")</f>
        <v>20100192064</v>
      </c>
      <c r="X2327" s="25"/>
      <c r="Y2327" s="25"/>
      <c r="Z2327" s="25"/>
      <c r="AA2327" s="99" t="s">
        <v>3385</v>
      </c>
      <c r="AB2327" s="3" t="str">
        <f>IF(BCP_Soles[[#This Row],[FECHA]]&gt;0,TEXT(BCP_Soles[[#This Row],[FECHA]],"mmmm"),0)</f>
        <v>Julio</v>
      </c>
    </row>
    <row r="2328" spans="2:28" ht="24" x14ac:dyDescent="0.3">
      <c r="B2328" s="2" t="str">
        <f>IF(BCP_Soles[[#This Row],[TIPO DE R.]]="R",COUNTIFS($D$4:$D2327,"R")+1,"")</f>
        <v/>
      </c>
      <c r="C2328" s="19" t="str">
        <f t="shared" si="180"/>
        <v>B-BCP - Soles</v>
      </c>
      <c r="D2328" s="3" t="s">
        <v>1101</v>
      </c>
      <c r="E2328" s="14">
        <v>45839</v>
      </c>
      <c r="F2328" s="5" t="s">
        <v>2898</v>
      </c>
      <c r="G2328" s="5"/>
      <c r="H2328" s="6" t="s">
        <v>632</v>
      </c>
      <c r="I2328" s="6" t="s">
        <v>14</v>
      </c>
      <c r="J2328" s="6" t="s">
        <v>3386</v>
      </c>
      <c r="K2328" s="6">
        <v>12</v>
      </c>
      <c r="L2328" s="7" t="s">
        <v>3384</v>
      </c>
      <c r="M2328" s="8">
        <v>1009891</v>
      </c>
      <c r="N2328" s="8" t="str">
        <f t="shared" si="181"/>
        <v>PEN</v>
      </c>
      <c r="O2328" s="13">
        <v>644</v>
      </c>
      <c r="P2328" s="13"/>
      <c r="Q2328" s="3">
        <f t="shared" si="182"/>
        <v>0</v>
      </c>
      <c r="R2328" s="3">
        <f t="shared" si="183"/>
        <v>0</v>
      </c>
      <c r="S2328" s="3">
        <f t="shared" si="184"/>
        <v>9490.7600000000384</v>
      </c>
      <c r="T2328" s="24" t="s">
        <v>1081</v>
      </c>
      <c r="U2328" s="24" t="s">
        <v>1081</v>
      </c>
      <c r="V2328" s="69"/>
      <c r="W2328" s="25">
        <f>IFERROR(VLOOKUP(BCP_Soles[[#This Row],[DESTINATARIO]],CHOOSE({1,2},Clientes_Proveedores[Razon Social],Clientes_Proveedores[Ruc / Dni]),2,0),"")</f>
        <v>20611523450</v>
      </c>
      <c r="X2328" s="25"/>
      <c r="Y2328" s="25"/>
      <c r="Z2328" s="25"/>
      <c r="AA2328" s="99" t="s">
        <v>3385</v>
      </c>
      <c r="AB2328" s="3" t="str">
        <f>IF(BCP_Soles[[#This Row],[FECHA]]&gt;0,TEXT(BCP_Soles[[#This Row],[FECHA]],"mmmm"),0)</f>
        <v>Julio</v>
      </c>
    </row>
    <row r="2329" spans="2:28" ht="24" x14ac:dyDescent="0.3">
      <c r="B2329" s="2" t="str">
        <f>IF(BCP_Soles[[#This Row],[TIPO DE R.]]="R",COUNTIFS($D$4:$D2328,"R")+1,"")</f>
        <v/>
      </c>
      <c r="C2329" s="19" t="str">
        <f t="shared" si="180"/>
        <v>B-BCP - Soles</v>
      </c>
      <c r="D2329" s="3" t="s">
        <v>1101</v>
      </c>
      <c r="E2329" s="14">
        <v>45839</v>
      </c>
      <c r="F2329" s="5" t="s">
        <v>2898</v>
      </c>
      <c r="G2329" s="5"/>
      <c r="H2329" s="6" t="s">
        <v>147</v>
      </c>
      <c r="I2329" s="6" t="s">
        <v>14</v>
      </c>
      <c r="J2329" s="6" t="s">
        <v>1148</v>
      </c>
      <c r="K2329" s="6">
        <v>16295</v>
      </c>
      <c r="L2329" s="7" t="s">
        <v>3384</v>
      </c>
      <c r="M2329" s="8">
        <v>1009891</v>
      </c>
      <c r="N2329" s="8" t="str">
        <f t="shared" si="181"/>
        <v>PEN</v>
      </c>
      <c r="O2329" s="13">
        <v>34</v>
      </c>
      <c r="P2329" s="13"/>
      <c r="Q2329" s="3">
        <f t="shared" si="182"/>
        <v>0</v>
      </c>
      <c r="R2329" s="3">
        <f t="shared" si="183"/>
        <v>0</v>
      </c>
      <c r="S2329" s="3">
        <f t="shared" si="184"/>
        <v>9490.7600000000384</v>
      </c>
      <c r="T2329" s="24" t="s">
        <v>1081</v>
      </c>
      <c r="U2329" s="24" t="s">
        <v>1081</v>
      </c>
      <c r="V2329" s="69"/>
      <c r="W2329" s="25">
        <f>IFERROR(VLOOKUP(BCP_Soles[[#This Row],[DESTINATARIO]],CHOOSE({1,2},Clientes_Proveedores[Razon Social],Clientes_Proveedores[Ruc / Dni]),2,0),"")</f>
        <v>20100192064</v>
      </c>
      <c r="X2329" s="25"/>
      <c r="Y2329" s="25"/>
      <c r="Z2329" s="25"/>
      <c r="AA2329" s="99" t="s">
        <v>3385</v>
      </c>
      <c r="AB2329" s="3" t="str">
        <f>IF(BCP_Soles[[#This Row],[FECHA]]&gt;0,TEXT(BCP_Soles[[#This Row],[FECHA]],"mmmm"),0)</f>
        <v>Julio</v>
      </c>
    </row>
    <row r="2330" spans="2:28" ht="24" x14ac:dyDescent="0.3">
      <c r="B2330" s="2" t="str">
        <f>IF(BCP_Soles[[#This Row],[TIPO DE R.]]="R",COUNTIFS($D$4:$D2329,"R")+1,"")</f>
        <v/>
      </c>
      <c r="C2330" s="19" t="str">
        <f t="shared" si="180"/>
        <v>B-BCP - Soles</v>
      </c>
      <c r="D2330" s="3" t="s">
        <v>1101</v>
      </c>
      <c r="E2330" s="14">
        <v>45839</v>
      </c>
      <c r="F2330" s="5" t="s">
        <v>2898</v>
      </c>
      <c r="G2330" s="5"/>
      <c r="H2330" s="6" t="s">
        <v>147</v>
      </c>
      <c r="I2330" s="6" t="s">
        <v>14</v>
      </c>
      <c r="J2330" s="6" t="s">
        <v>1148</v>
      </c>
      <c r="K2330" s="6">
        <v>16270</v>
      </c>
      <c r="L2330" s="7" t="s">
        <v>3384</v>
      </c>
      <c r="M2330" s="8">
        <v>1009891</v>
      </c>
      <c r="N2330" s="8" t="str">
        <f t="shared" si="181"/>
        <v>PEN</v>
      </c>
      <c r="O2330" s="13">
        <v>33</v>
      </c>
      <c r="P2330" s="13"/>
      <c r="Q2330" s="3">
        <f t="shared" si="182"/>
        <v>0</v>
      </c>
      <c r="R2330" s="3">
        <f t="shared" si="183"/>
        <v>0</v>
      </c>
      <c r="S2330" s="3">
        <f t="shared" si="184"/>
        <v>9490.7600000000384</v>
      </c>
      <c r="T2330" s="24" t="s">
        <v>1081</v>
      </c>
      <c r="U2330" s="24" t="s">
        <v>1081</v>
      </c>
      <c r="V2330" s="69"/>
      <c r="W2330" s="25">
        <f>IFERROR(VLOOKUP(BCP_Soles[[#This Row],[DESTINATARIO]],CHOOSE({1,2},Clientes_Proveedores[Razon Social],Clientes_Proveedores[Ruc / Dni]),2,0),"")</f>
        <v>20100192064</v>
      </c>
      <c r="X2330" s="25"/>
      <c r="Y2330" s="25"/>
      <c r="Z2330" s="25"/>
      <c r="AA2330" s="99" t="s">
        <v>3385</v>
      </c>
      <c r="AB2330" s="3" t="str">
        <f>IF(BCP_Soles[[#This Row],[FECHA]]&gt;0,TEXT(BCP_Soles[[#This Row],[FECHA]],"mmmm"),0)</f>
        <v>Julio</v>
      </c>
    </row>
    <row r="2331" spans="2:28" ht="48" x14ac:dyDescent="0.3">
      <c r="B2331" s="2">
        <f>IF(BCP_Soles[[#This Row],[TIPO DE R.]]="R",COUNTIFS($D$4:$D2330,"R")+1,"")</f>
        <v>1756</v>
      </c>
      <c r="C2331" s="19" t="str">
        <f t="shared" si="180"/>
        <v>B-BCP - Soles</v>
      </c>
      <c r="D2331" s="3" t="s">
        <v>1074</v>
      </c>
      <c r="E2331" s="14">
        <v>45839</v>
      </c>
      <c r="F2331" s="5" t="s">
        <v>1996</v>
      </c>
      <c r="G2331" s="5" t="s">
        <v>1079</v>
      </c>
      <c r="H2331" s="6" t="s">
        <v>444</v>
      </c>
      <c r="I2331" s="6" t="s">
        <v>14</v>
      </c>
      <c r="J2331" s="6" t="s">
        <v>1390</v>
      </c>
      <c r="K2331" s="6">
        <v>8176</v>
      </c>
      <c r="L2331" s="7" t="s">
        <v>3387</v>
      </c>
      <c r="M2331" s="8">
        <v>1174299</v>
      </c>
      <c r="N2331" s="8" t="str">
        <f t="shared" si="181"/>
        <v>PEN</v>
      </c>
      <c r="O2331" s="13"/>
      <c r="P2331" s="13">
        <v>211</v>
      </c>
      <c r="Q2331" s="3">
        <f t="shared" si="182"/>
        <v>0</v>
      </c>
      <c r="R2331" s="3">
        <f t="shared" si="183"/>
        <v>211</v>
      </c>
      <c r="S2331" s="3">
        <f t="shared" si="184"/>
        <v>9279.7600000000384</v>
      </c>
      <c r="T2331" s="24" t="s">
        <v>1081</v>
      </c>
      <c r="U2331" s="24" t="s">
        <v>1081</v>
      </c>
      <c r="V2331" s="104" t="s">
        <v>3388</v>
      </c>
      <c r="W2331" s="25">
        <f>IFERROR(VLOOKUP(BCP_Soles[[#This Row],[DESTINATARIO]],CHOOSE({1,2},Clientes_Proveedores[Razon Social],Clientes_Proveedores[Ruc / Dni]),2,0),"")</f>
        <v>20602978274</v>
      </c>
      <c r="X2331" s="25" t="s">
        <v>1268</v>
      </c>
      <c r="Y2331" s="25"/>
      <c r="Z2331" s="25"/>
      <c r="AA2331" s="99"/>
      <c r="AB2331" s="3" t="str">
        <f>IF(BCP_Soles[[#This Row],[FECHA]]&gt;0,TEXT(BCP_Soles[[#This Row],[FECHA]],"mmmm"),0)</f>
        <v>Julio</v>
      </c>
    </row>
    <row r="2332" spans="2:28" ht="48" x14ac:dyDescent="0.3">
      <c r="B2332" s="2">
        <f>IF(BCP_Soles[[#This Row],[TIPO DE R.]]="R",COUNTIFS($D$4:$D2331,"R")+1,"")</f>
        <v>1757</v>
      </c>
      <c r="C2332" s="19" t="str">
        <f t="shared" si="180"/>
        <v>B-BCP - Soles</v>
      </c>
      <c r="D2332" s="3" t="s">
        <v>1074</v>
      </c>
      <c r="E2332" s="14">
        <v>45839</v>
      </c>
      <c r="F2332" s="5" t="s">
        <v>1996</v>
      </c>
      <c r="G2332" s="5" t="s">
        <v>1079</v>
      </c>
      <c r="H2332" s="6" t="s">
        <v>444</v>
      </c>
      <c r="I2332" s="6" t="s">
        <v>14</v>
      </c>
      <c r="J2332" s="6" t="s">
        <v>1266</v>
      </c>
      <c r="K2332" s="6">
        <v>10726</v>
      </c>
      <c r="L2332" s="7" t="s">
        <v>3389</v>
      </c>
      <c r="M2332" s="8">
        <v>1174794</v>
      </c>
      <c r="N2332" s="8" t="str">
        <f t="shared" si="181"/>
        <v>PEN</v>
      </c>
      <c r="O2332" s="13"/>
      <c r="P2332" s="13">
        <v>277.01</v>
      </c>
      <c r="Q2332" s="3">
        <f t="shared" si="182"/>
        <v>0</v>
      </c>
      <c r="R2332" s="3">
        <f t="shared" si="183"/>
        <v>277.01</v>
      </c>
      <c r="S2332" s="3">
        <f t="shared" si="184"/>
        <v>9002.7500000000382</v>
      </c>
      <c r="T2332" s="24" t="s">
        <v>1081</v>
      </c>
      <c r="U2332" s="24" t="s">
        <v>1081</v>
      </c>
      <c r="V2332" s="104" t="s">
        <v>3390</v>
      </c>
      <c r="W2332" s="25">
        <f>IFERROR(VLOOKUP(BCP_Soles[[#This Row],[DESTINATARIO]],CHOOSE({1,2},Clientes_Proveedores[Razon Social],Clientes_Proveedores[Ruc / Dni]),2,0),"")</f>
        <v>20602978274</v>
      </c>
      <c r="X2332" s="25" t="s">
        <v>1268</v>
      </c>
      <c r="Y2332" s="25"/>
      <c r="Z2332" s="25"/>
      <c r="AA2332" s="99"/>
      <c r="AB2332" s="3" t="str">
        <f>IF(BCP_Soles[[#This Row],[FECHA]]&gt;0,TEXT(BCP_Soles[[#This Row],[FECHA]],"mmmm"),0)</f>
        <v>Julio</v>
      </c>
    </row>
    <row r="2333" spans="2:28" x14ac:dyDescent="0.3">
      <c r="B2333" s="2">
        <f>IF(BCP_Soles[[#This Row],[TIPO DE R.]]="R",COUNTIFS($D$4:$D2332,"R")+1,"")</f>
        <v>1758</v>
      </c>
      <c r="C2333" s="19" t="str">
        <f t="shared" si="180"/>
        <v>B-BCP - Soles</v>
      </c>
      <c r="D2333" s="3" t="s">
        <v>1074</v>
      </c>
      <c r="E2333" s="14">
        <v>45839</v>
      </c>
      <c r="F2333" s="5" t="s">
        <v>1075</v>
      </c>
      <c r="G2333" s="5" t="s">
        <v>1079</v>
      </c>
      <c r="H2333" s="6" t="s">
        <v>638</v>
      </c>
      <c r="I2333" s="6"/>
      <c r="J2333" s="6"/>
      <c r="K2333" s="6"/>
      <c r="L2333" s="7" t="s">
        <v>3391</v>
      </c>
      <c r="M2333" s="8">
        <v>4531004</v>
      </c>
      <c r="N2333" s="8" t="str">
        <f t="shared" si="181"/>
        <v>PEN</v>
      </c>
      <c r="O2333" s="13"/>
      <c r="P2333" s="13">
        <v>5853.91</v>
      </c>
      <c r="Q2333" s="3">
        <f t="shared" si="182"/>
        <v>0</v>
      </c>
      <c r="R2333" s="3">
        <f t="shared" si="183"/>
        <v>5853.91</v>
      </c>
      <c r="S2333" s="3">
        <f t="shared" si="184"/>
        <v>3148.8400000000383</v>
      </c>
      <c r="T2333" s="24"/>
      <c r="U2333" s="24" t="s">
        <v>1081</v>
      </c>
      <c r="V2333" s="69"/>
      <c r="W2333" s="25">
        <f>IFERROR(VLOOKUP(BCP_Soles[[#This Row],[DESTINATARIO]],CHOOSE({1,2},Clientes_Proveedores[Razon Social],Clientes_Proveedores[Ruc / Dni]),2,0),"")</f>
        <v>0</v>
      </c>
      <c r="X2333" s="25" t="s">
        <v>1118</v>
      </c>
      <c r="Y2333" s="25"/>
      <c r="Z2333" s="25"/>
      <c r="AA2333" s="99"/>
      <c r="AB2333" s="3" t="str">
        <f>IF(BCP_Soles[[#This Row],[FECHA]]&gt;0,TEXT(BCP_Soles[[#This Row],[FECHA]],"mmmm"),0)</f>
        <v>Julio</v>
      </c>
    </row>
    <row r="2334" spans="2:28" x14ac:dyDescent="0.3">
      <c r="B2334" s="2" t="str">
        <f>IF(BCP_Soles[[#This Row],[TIPO DE R.]]="R",COUNTIFS($D$4:$D2333,"R")+1,"")</f>
        <v/>
      </c>
      <c r="C2334" s="19" t="str">
        <f t="shared" si="180"/>
        <v>B-BCP - Soles</v>
      </c>
      <c r="D2334" s="3" t="s">
        <v>1101</v>
      </c>
      <c r="E2334" s="14">
        <v>45839</v>
      </c>
      <c r="F2334" s="5" t="s">
        <v>1075</v>
      </c>
      <c r="G2334" s="5"/>
      <c r="H2334" s="6" t="s">
        <v>750</v>
      </c>
      <c r="I2334" s="6"/>
      <c r="J2334" s="6"/>
      <c r="K2334" s="6"/>
      <c r="L2334" s="7" t="s">
        <v>3391</v>
      </c>
      <c r="M2334" s="8">
        <v>4531004</v>
      </c>
      <c r="N2334" s="8" t="str">
        <f t="shared" si="181"/>
        <v>PEN</v>
      </c>
      <c r="O2334" s="13">
        <v>3530.11</v>
      </c>
      <c r="P2334" s="13"/>
      <c r="Q2334" s="3">
        <f t="shared" si="182"/>
        <v>0</v>
      </c>
      <c r="R2334" s="3">
        <f t="shared" si="183"/>
        <v>0</v>
      </c>
      <c r="S2334" s="3">
        <f t="shared" si="184"/>
        <v>3148.8400000000383</v>
      </c>
      <c r="T2334" s="24"/>
      <c r="U2334" s="24" t="s">
        <v>1081</v>
      </c>
      <c r="V2334" s="69"/>
      <c r="W2334" s="25">
        <f>IFERROR(VLOOKUP(BCP_Soles[[#This Row],[DESTINATARIO]],CHOOSE({1,2},Clientes_Proveedores[Razon Social],Clientes_Proveedores[Ruc / Dni]),2,0),"")</f>
        <v>45286301</v>
      </c>
      <c r="X2334" s="25"/>
      <c r="Y2334" s="25"/>
      <c r="Z2334" s="25"/>
      <c r="AA2334" s="99"/>
      <c r="AB2334" s="3" t="str">
        <f>IF(BCP_Soles[[#This Row],[FECHA]]&gt;0,TEXT(BCP_Soles[[#This Row],[FECHA]],"mmmm"),0)</f>
        <v>Julio</v>
      </c>
    </row>
    <row r="2335" spans="2:28" ht="24" x14ac:dyDescent="0.3">
      <c r="B2335" s="2" t="str">
        <f>IF(BCP_Soles[[#This Row],[TIPO DE R.]]="R",COUNTIFS($D$4:$D2334,"R")+1,"")</f>
        <v/>
      </c>
      <c r="C2335" s="19" t="str">
        <f t="shared" si="180"/>
        <v>B-BCP - Soles</v>
      </c>
      <c r="D2335" s="3" t="s">
        <v>1101</v>
      </c>
      <c r="E2335" s="14">
        <v>45839</v>
      </c>
      <c r="F2335" s="5" t="s">
        <v>1075</v>
      </c>
      <c r="G2335" s="5"/>
      <c r="H2335" s="6" t="s">
        <v>850</v>
      </c>
      <c r="I2335" s="6"/>
      <c r="J2335" s="6"/>
      <c r="K2335" s="6"/>
      <c r="L2335" s="7" t="s">
        <v>3391</v>
      </c>
      <c r="M2335" s="8">
        <v>4531004</v>
      </c>
      <c r="N2335" s="8" t="str">
        <f t="shared" si="181"/>
        <v>PEN</v>
      </c>
      <c r="O2335" s="13">
        <v>2323.8000000000002</v>
      </c>
      <c r="P2335" s="13"/>
      <c r="Q2335" s="3">
        <f t="shared" si="182"/>
        <v>0</v>
      </c>
      <c r="R2335" s="3">
        <f t="shared" si="183"/>
        <v>0</v>
      </c>
      <c r="S2335" s="3">
        <f t="shared" si="184"/>
        <v>3148.8400000000383</v>
      </c>
      <c r="T2335" s="24"/>
      <c r="U2335" s="24" t="s">
        <v>1081</v>
      </c>
      <c r="V2335" s="69"/>
      <c r="W2335" s="25">
        <f>IFERROR(VLOOKUP(BCP_Soles[[#This Row],[DESTINATARIO]],CHOOSE({1,2},Clientes_Proveedores[Razon Social],Clientes_Proveedores[Ruc / Dni]),2,0),"")</f>
        <v>44314304</v>
      </c>
      <c r="X2335" s="25"/>
      <c r="Y2335" s="25"/>
      <c r="Z2335" s="25"/>
      <c r="AA2335" s="99"/>
      <c r="AB2335" s="3" t="str">
        <f>IF(BCP_Soles[[#This Row],[FECHA]]&gt;0,TEXT(BCP_Soles[[#This Row],[FECHA]],"mmmm"),0)</f>
        <v>Julio</v>
      </c>
    </row>
    <row r="2336" spans="2:28" ht="24" x14ac:dyDescent="0.3">
      <c r="B2336" s="2">
        <f>IF(BCP_Soles[[#This Row],[TIPO DE R.]]="R",COUNTIFS($D$4:$D2335,"R")+1,"")</f>
        <v>1759</v>
      </c>
      <c r="C2336" s="19" t="str">
        <f t="shared" si="180"/>
        <v>B-BCP - Soles</v>
      </c>
      <c r="D2336" s="3" t="s">
        <v>1074</v>
      </c>
      <c r="E2336" s="14">
        <v>45839</v>
      </c>
      <c r="F2336" s="5" t="s">
        <v>1078</v>
      </c>
      <c r="G2336" s="5" t="s">
        <v>1079</v>
      </c>
      <c r="H2336" s="6" t="s">
        <v>1001</v>
      </c>
      <c r="I2336" s="6" t="s">
        <v>14</v>
      </c>
      <c r="J2336" s="6" t="s">
        <v>3128</v>
      </c>
      <c r="K2336" s="6">
        <v>34261919</v>
      </c>
      <c r="L2336" s="7" t="s">
        <v>1141</v>
      </c>
      <c r="M2336" s="8">
        <v>573</v>
      </c>
      <c r="N2336" s="8" t="str">
        <f t="shared" si="181"/>
        <v>PEN</v>
      </c>
      <c r="O2336" s="13"/>
      <c r="P2336" s="13">
        <v>10</v>
      </c>
      <c r="Q2336" s="3">
        <f t="shared" si="182"/>
        <v>0</v>
      </c>
      <c r="R2336" s="3">
        <f t="shared" si="183"/>
        <v>10</v>
      </c>
      <c r="S2336" s="3">
        <f t="shared" si="184"/>
        <v>3138.8400000000383</v>
      </c>
      <c r="T2336" s="24" t="s">
        <v>1081</v>
      </c>
      <c r="U2336" s="24" t="s">
        <v>1081</v>
      </c>
      <c r="V2336" s="69"/>
      <c r="W2336" s="25">
        <f>IFERROR(VLOOKUP(BCP_Soles[[#This Row],[DESTINATARIO]],CHOOSE({1,2},Clientes_Proveedores[Razon Social],Clientes_Proveedores[Ruc / Dni]),2,0),"")</f>
        <v>20100047218</v>
      </c>
      <c r="X2336" s="25"/>
      <c r="Y2336" s="25"/>
      <c r="Z2336" s="25"/>
      <c r="AA2336" s="99"/>
      <c r="AB2336" s="3" t="str">
        <f>IF(BCP_Soles[[#This Row],[FECHA]]&gt;0,TEXT(BCP_Soles[[#This Row],[FECHA]],"mmmm"),0)</f>
        <v>Julio</v>
      </c>
    </row>
    <row r="2337" spans="2:28" x14ac:dyDescent="0.3">
      <c r="B2337" s="2">
        <f>IF(BCP_Soles[[#This Row],[TIPO DE R.]]="R",COUNTIFS($D$4:$D2336,"R")+1,"")</f>
        <v>1760</v>
      </c>
      <c r="C2337" s="19" t="str">
        <f t="shared" si="180"/>
        <v>B-BCP - Soles</v>
      </c>
      <c r="D2337" s="3" t="s">
        <v>1074</v>
      </c>
      <c r="E2337" s="14">
        <v>45839</v>
      </c>
      <c r="F2337" s="5" t="s">
        <v>1078</v>
      </c>
      <c r="G2337" s="5" t="s">
        <v>1079</v>
      </c>
      <c r="H2337" s="6" t="s">
        <v>950</v>
      </c>
      <c r="I2337" s="6" t="s">
        <v>10</v>
      </c>
      <c r="J2337" s="6" t="s">
        <v>3392</v>
      </c>
      <c r="K2337" s="6">
        <v>1760</v>
      </c>
      <c r="L2337" s="7" t="s">
        <v>2868</v>
      </c>
      <c r="M2337" s="8"/>
      <c r="N2337" s="8" t="str">
        <f t="shared" si="181"/>
        <v>PEN</v>
      </c>
      <c r="O2337" s="13"/>
      <c r="P2337" s="13">
        <v>7.55</v>
      </c>
      <c r="Q2337" s="3">
        <f t="shared" si="182"/>
        <v>0</v>
      </c>
      <c r="R2337" s="3">
        <f t="shared" si="183"/>
        <v>7.55</v>
      </c>
      <c r="S2337" s="3">
        <f t="shared" si="184"/>
        <v>3131.2900000000382</v>
      </c>
      <c r="T2337" s="24" t="s">
        <v>1081</v>
      </c>
      <c r="U2337" s="24"/>
      <c r="V2337" s="69"/>
      <c r="W2337" s="25">
        <f>IFERROR(VLOOKUP(BCP_Soles[[#This Row],[DESTINATARIO]],CHOOSE({1,2},Clientes_Proveedores[Razon Social],Clientes_Proveedores[Ruc / Dni]),2,0),"")</f>
        <v>11111111</v>
      </c>
      <c r="X2337" s="25"/>
      <c r="Y2337" s="25"/>
      <c r="Z2337" s="25"/>
      <c r="AA2337" s="99"/>
      <c r="AB2337" s="3" t="str">
        <f>IF(BCP_Soles[[#This Row],[FECHA]]&gt;0,TEXT(BCP_Soles[[#This Row],[FECHA]],"mmmm"),0)</f>
        <v>Julio</v>
      </c>
    </row>
    <row r="2338" spans="2:28" x14ac:dyDescent="0.3">
      <c r="B2338" s="2">
        <f>IF(BCP_Soles[[#This Row],[TIPO DE R.]]="R",COUNTIFS($D$4:$D2337,"R")+1,"")</f>
        <v>1761</v>
      </c>
      <c r="C2338" s="19" t="str">
        <f t="shared" si="180"/>
        <v>B-BCP - Soles</v>
      </c>
      <c r="D2338" s="3" t="s">
        <v>1074</v>
      </c>
      <c r="E2338" s="14">
        <v>45840</v>
      </c>
      <c r="F2338" s="5" t="s">
        <v>1078</v>
      </c>
      <c r="G2338" s="5" t="s">
        <v>1087</v>
      </c>
      <c r="H2338" s="6" t="s">
        <v>950</v>
      </c>
      <c r="I2338" s="6" t="s">
        <v>10</v>
      </c>
      <c r="J2338" s="6" t="s">
        <v>3392</v>
      </c>
      <c r="K2338" s="6">
        <v>1761</v>
      </c>
      <c r="L2338" s="7" t="s">
        <v>3393</v>
      </c>
      <c r="M2338" s="8"/>
      <c r="N2338" s="8" t="str">
        <f t="shared" si="181"/>
        <v>PEN</v>
      </c>
      <c r="O2338" s="13"/>
      <c r="P2338" s="13">
        <v>0.2</v>
      </c>
      <c r="Q2338" s="3">
        <f t="shared" si="182"/>
        <v>0.2</v>
      </c>
      <c r="R2338" s="3">
        <f t="shared" si="183"/>
        <v>0</v>
      </c>
      <c r="S2338" s="3">
        <f t="shared" si="184"/>
        <v>3131.490000000038</v>
      </c>
      <c r="T2338" s="24"/>
      <c r="U2338" s="24"/>
      <c r="V2338" s="69"/>
      <c r="W2338" s="25">
        <f>IFERROR(VLOOKUP(BCP_Soles[[#This Row],[DESTINATARIO]],CHOOSE({1,2},Clientes_Proveedores[Razon Social],Clientes_Proveedores[Ruc / Dni]),2,0),"")</f>
        <v>11111111</v>
      </c>
      <c r="X2338" s="25"/>
      <c r="Y2338" s="25"/>
      <c r="Z2338" s="25"/>
      <c r="AA2338" s="99"/>
      <c r="AB2338" s="3" t="str">
        <f>IF(BCP_Soles[[#This Row],[FECHA]]&gt;0,TEXT(BCP_Soles[[#This Row],[FECHA]],"mmmm"),0)</f>
        <v>Julio</v>
      </c>
    </row>
    <row r="2339" spans="2:28" x14ac:dyDescent="0.3">
      <c r="B2339" s="2">
        <f>IF(BCP_Soles[[#This Row],[TIPO DE R.]]="R",COUNTIFS($D$4:$D2338,"R")+1,"")</f>
        <v>1762</v>
      </c>
      <c r="C2339" s="19" t="str">
        <f t="shared" si="180"/>
        <v>B-BCP - Soles</v>
      </c>
      <c r="D2339" s="3" t="s">
        <v>1074</v>
      </c>
      <c r="E2339" s="14">
        <v>45840</v>
      </c>
      <c r="F2339" s="5" t="s">
        <v>1090</v>
      </c>
      <c r="G2339" s="5" t="s">
        <v>1087</v>
      </c>
      <c r="H2339" s="6" t="s">
        <v>368</v>
      </c>
      <c r="I2339" s="6"/>
      <c r="J2339" s="6"/>
      <c r="K2339" s="6"/>
      <c r="L2339" s="7" t="s">
        <v>3394</v>
      </c>
      <c r="M2339" s="8">
        <v>2752967</v>
      </c>
      <c r="N2339" s="8" t="str">
        <f t="shared" si="181"/>
        <v>PEN</v>
      </c>
      <c r="O2339" s="13"/>
      <c r="P2339" s="13">
        <v>3000</v>
      </c>
      <c r="Q2339" s="3">
        <f t="shared" si="182"/>
        <v>3000</v>
      </c>
      <c r="R2339" s="3">
        <f t="shared" si="183"/>
        <v>0</v>
      </c>
      <c r="S2339" s="3">
        <f t="shared" si="184"/>
        <v>6131.490000000038</v>
      </c>
      <c r="T2339" s="24"/>
      <c r="U2339" s="24"/>
      <c r="V2339" s="69"/>
      <c r="W2339" s="25">
        <f>IFERROR(VLOOKUP(BCP_Soles[[#This Row],[DESTINATARIO]],CHOOSE({1,2},Clientes_Proveedores[Razon Social],Clientes_Proveedores[Ruc / Dni]),2,0),"")</f>
        <v>20558226979</v>
      </c>
      <c r="X2339" s="25"/>
      <c r="Y2339" s="25"/>
      <c r="Z2339" s="25"/>
      <c r="AA2339" s="99"/>
      <c r="AB2339" s="3" t="str">
        <f>IF(BCP_Soles[[#This Row],[FECHA]]&gt;0,TEXT(BCP_Soles[[#This Row],[FECHA]],"mmmm"),0)</f>
        <v>Julio</v>
      </c>
    </row>
    <row r="2340" spans="2:28" x14ac:dyDescent="0.3">
      <c r="B2340" s="2">
        <f>IF(BCP_Soles[[#This Row],[TIPO DE R.]]="R",COUNTIFS($D$4:$D2339,"R")+1,"")</f>
        <v>1763</v>
      </c>
      <c r="C2340" s="19" t="str">
        <f t="shared" si="180"/>
        <v>B-BCP - Soles</v>
      </c>
      <c r="D2340" s="3" t="s">
        <v>1074</v>
      </c>
      <c r="E2340" s="14">
        <v>45840</v>
      </c>
      <c r="F2340" s="5"/>
      <c r="G2340" s="5" t="s">
        <v>1087</v>
      </c>
      <c r="H2340" s="6" t="s">
        <v>368</v>
      </c>
      <c r="I2340" s="6"/>
      <c r="J2340" s="6"/>
      <c r="K2340" s="6"/>
      <c r="L2340" s="7" t="s">
        <v>1100</v>
      </c>
      <c r="M2340" s="8">
        <v>474146</v>
      </c>
      <c r="N2340" s="8" t="str">
        <f t="shared" si="181"/>
        <v>PEN</v>
      </c>
      <c r="O2340" s="13"/>
      <c r="P2340" s="13">
        <v>2342.6999999999998</v>
      </c>
      <c r="Q2340" s="3">
        <f t="shared" si="182"/>
        <v>2342.6999999999998</v>
      </c>
      <c r="R2340" s="3">
        <f t="shared" si="183"/>
        <v>0</v>
      </c>
      <c r="S2340" s="3">
        <f t="shared" si="184"/>
        <v>8474.1900000000387</v>
      </c>
      <c r="T2340" s="24"/>
      <c r="U2340" s="24"/>
      <c r="V2340" s="69"/>
      <c r="W2340" s="25">
        <f>IFERROR(VLOOKUP(BCP_Soles[[#This Row],[DESTINATARIO]],CHOOSE({1,2},Clientes_Proveedores[Razon Social],Clientes_Proveedores[Ruc / Dni]),2,0),"")</f>
        <v>20558226979</v>
      </c>
      <c r="X2340" s="25"/>
      <c r="Y2340" s="25"/>
      <c r="Z2340" s="25"/>
      <c r="AA2340" s="99"/>
      <c r="AB2340" s="3" t="str">
        <f>IF(BCP_Soles[[#This Row],[FECHA]]&gt;0,TEXT(BCP_Soles[[#This Row],[FECHA]],"mmmm"),0)</f>
        <v>Julio</v>
      </c>
    </row>
    <row r="2341" spans="2:28" x14ac:dyDescent="0.3">
      <c r="B2341" s="2">
        <f>IF(BCP_Soles[[#This Row],[TIPO DE R.]]="R",COUNTIFS($D$4:$D2340,"R")+1,"")</f>
        <v>1764</v>
      </c>
      <c r="C2341" s="19" t="str">
        <f t="shared" si="180"/>
        <v>B-BCP - Soles</v>
      </c>
      <c r="D2341" s="3" t="s">
        <v>1074</v>
      </c>
      <c r="E2341" s="14">
        <v>45840</v>
      </c>
      <c r="F2341" s="5"/>
      <c r="G2341" s="5" t="s">
        <v>1087</v>
      </c>
      <c r="H2341" s="6" t="s">
        <v>368</v>
      </c>
      <c r="I2341" s="6"/>
      <c r="J2341" s="6"/>
      <c r="K2341" s="6"/>
      <c r="L2341" s="7" t="s">
        <v>3395</v>
      </c>
      <c r="M2341" s="8">
        <v>986788</v>
      </c>
      <c r="N2341" s="8" t="str">
        <f t="shared" si="181"/>
        <v>PEN</v>
      </c>
      <c r="O2341" s="13"/>
      <c r="P2341" s="13">
        <v>1138.3</v>
      </c>
      <c r="Q2341" s="3">
        <f t="shared" si="182"/>
        <v>1138.3</v>
      </c>
      <c r="R2341" s="3">
        <f t="shared" si="183"/>
        <v>0</v>
      </c>
      <c r="S2341" s="3">
        <f t="shared" si="184"/>
        <v>9612.490000000038</v>
      </c>
      <c r="T2341" s="24" t="s">
        <v>1081</v>
      </c>
      <c r="U2341" s="24"/>
      <c r="V2341" s="69"/>
      <c r="W2341" s="25">
        <f>IFERROR(VLOOKUP(BCP_Soles[[#This Row],[DESTINATARIO]],CHOOSE({1,2},Clientes_Proveedores[Razon Social],Clientes_Proveedores[Ruc / Dni]),2,0),"")</f>
        <v>20558226979</v>
      </c>
      <c r="X2341" s="25"/>
      <c r="Y2341" s="25"/>
      <c r="Z2341" s="25"/>
      <c r="AA2341" s="99"/>
      <c r="AB2341" s="3" t="str">
        <f>IF(BCP_Soles[[#This Row],[FECHA]]&gt;0,TEXT(BCP_Soles[[#This Row],[FECHA]],"mmmm"),0)</f>
        <v>Julio</v>
      </c>
    </row>
    <row r="2342" spans="2:28" ht="24" x14ac:dyDescent="0.3">
      <c r="B2342" s="2" t="str">
        <f>IF(BCP_Soles[[#This Row],[TIPO DE R.]]="R",COUNTIFS($D$4:$D2341,"R")+1,"")</f>
        <v/>
      </c>
      <c r="C2342" s="19" t="str">
        <f t="shared" si="180"/>
        <v>B-BCP - Soles</v>
      </c>
      <c r="D2342" s="3" t="s">
        <v>1101</v>
      </c>
      <c r="E2342" s="14">
        <v>45840</v>
      </c>
      <c r="F2342" s="5" t="s">
        <v>3396</v>
      </c>
      <c r="G2342" s="5"/>
      <c r="H2342" s="6"/>
      <c r="I2342" s="6" t="s">
        <v>63</v>
      </c>
      <c r="J2342" s="6">
        <v>3</v>
      </c>
      <c r="K2342" s="6">
        <v>605</v>
      </c>
      <c r="L2342" s="7" t="s">
        <v>3395</v>
      </c>
      <c r="M2342" s="8">
        <v>986788</v>
      </c>
      <c r="N2342" s="8" t="str">
        <f t="shared" si="181"/>
        <v>PEN</v>
      </c>
      <c r="O2342" s="13">
        <v>17.8</v>
      </c>
      <c r="P2342" s="13"/>
      <c r="Q2342" s="3">
        <f t="shared" si="182"/>
        <v>0</v>
      </c>
      <c r="R2342" s="3">
        <f t="shared" si="183"/>
        <v>0</v>
      </c>
      <c r="S2342" s="3">
        <f t="shared" si="184"/>
        <v>9612.490000000038</v>
      </c>
      <c r="T2342" s="24" t="s">
        <v>1081</v>
      </c>
      <c r="U2342" s="24"/>
      <c r="V2342" s="69"/>
      <c r="W2342" s="25" t="str">
        <f>IFERROR(VLOOKUP(BCP_Soles[[#This Row],[DESTINATARIO]],CHOOSE({1,2},Clientes_Proveedores[Razon Social],Clientes_Proveedores[Ruc / Dni]),2,0),"")</f>
        <v/>
      </c>
      <c r="X2342" s="25"/>
      <c r="Y2342" s="25"/>
      <c r="Z2342" s="25"/>
      <c r="AA2342" s="99"/>
      <c r="AB2342" s="3" t="str">
        <f>IF(BCP_Soles[[#This Row],[FECHA]]&gt;0,TEXT(BCP_Soles[[#This Row],[FECHA]],"mmmm"),0)</f>
        <v>Julio</v>
      </c>
    </row>
    <row r="2343" spans="2:28" ht="24" x14ac:dyDescent="0.3">
      <c r="B2343" s="2" t="str">
        <f>IF(BCP_Soles[[#This Row],[TIPO DE R.]]="R",COUNTIFS($D$4:$D2342,"R")+1,"")</f>
        <v/>
      </c>
      <c r="C2343" s="19" t="str">
        <f t="shared" si="180"/>
        <v>B-BCP - Soles</v>
      </c>
      <c r="D2343" s="3" t="s">
        <v>1101</v>
      </c>
      <c r="E2343" s="14">
        <v>45840</v>
      </c>
      <c r="F2343" s="5" t="s">
        <v>3397</v>
      </c>
      <c r="G2343" s="5"/>
      <c r="H2343" s="6"/>
      <c r="I2343" s="6" t="s">
        <v>63</v>
      </c>
      <c r="J2343" s="6">
        <v>3</v>
      </c>
      <c r="K2343" s="6">
        <v>606</v>
      </c>
      <c r="L2343" s="7" t="s">
        <v>3395</v>
      </c>
      <c r="M2343" s="8">
        <v>986788</v>
      </c>
      <c r="N2343" s="8" t="str">
        <f t="shared" si="181"/>
        <v>PEN</v>
      </c>
      <c r="O2343" s="13">
        <v>233.3</v>
      </c>
      <c r="P2343" s="13"/>
      <c r="Q2343" s="3">
        <f t="shared" si="182"/>
        <v>0</v>
      </c>
      <c r="R2343" s="3">
        <f t="shared" si="183"/>
        <v>0</v>
      </c>
      <c r="S2343" s="3">
        <f t="shared" si="184"/>
        <v>9612.490000000038</v>
      </c>
      <c r="T2343" s="24" t="s">
        <v>1081</v>
      </c>
      <c r="U2343" s="24"/>
      <c r="V2343" s="69"/>
      <c r="W2343" s="25" t="str">
        <f>IFERROR(VLOOKUP(BCP_Soles[[#This Row],[DESTINATARIO]],CHOOSE({1,2},Clientes_Proveedores[Razon Social],Clientes_Proveedores[Ruc / Dni]),2,0),"")</f>
        <v/>
      </c>
      <c r="X2343" s="25"/>
      <c r="Y2343" s="25"/>
      <c r="Z2343" s="25"/>
      <c r="AA2343" s="99"/>
      <c r="AB2343" s="3" t="str">
        <f>IF(BCP_Soles[[#This Row],[FECHA]]&gt;0,TEXT(BCP_Soles[[#This Row],[FECHA]],"mmmm"),0)</f>
        <v>Julio</v>
      </c>
    </row>
    <row r="2344" spans="2:28" ht="24" x14ac:dyDescent="0.3">
      <c r="B2344" s="2" t="str">
        <f>IF(BCP_Soles[[#This Row],[TIPO DE R.]]="R",COUNTIFS($D$4:$D2343,"R")+1,"")</f>
        <v/>
      </c>
      <c r="C2344" s="19" t="str">
        <f t="shared" si="180"/>
        <v>B-BCP - Soles</v>
      </c>
      <c r="D2344" s="3" t="s">
        <v>1101</v>
      </c>
      <c r="E2344" s="14">
        <v>45840</v>
      </c>
      <c r="F2344" s="5" t="s">
        <v>3397</v>
      </c>
      <c r="G2344" s="5"/>
      <c r="H2344" s="6"/>
      <c r="I2344" s="6" t="s">
        <v>63</v>
      </c>
      <c r="J2344" s="6">
        <v>3</v>
      </c>
      <c r="K2344" s="6">
        <v>607</v>
      </c>
      <c r="L2344" s="7" t="s">
        <v>3395</v>
      </c>
      <c r="M2344" s="8">
        <v>986788</v>
      </c>
      <c r="N2344" s="8" t="str">
        <f t="shared" si="181"/>
        <v>PEN</v>
      </c>
      <c r="O2344" s="13">
        <v>195</v>
      </c>
      <c r="P2344" s="13"/>
      <c r="Q2344" s="3">
        <f t="shared" si="182"/>
        <v>0</v>
      </c>
      <c r="R2344" s="3">
        <f t="shared" si="183"/>
        <v>0</v>
      </c>
      <c r="S2344" s="3">
        <f t="shared" si="184"/>
        <v>9612.490000000038</v>
      </c>
      <c r="T2344" s="24" t="s">
        <v>1081</v>
      </c>
      <c r="U2344" s="24"/>
      <c r="V2344" s="69"/>
      <c r="W2344" s="25" t="str">
        <f>IFERROR(VLOOKUP(BCP_Soles[[#This Row],[DESTINATARIO]],CHOOSE({1,2},Clientes_Proveedores[Razon Social],Clientes_Proveedores[Ruc / Dni]),2,0),"")</f>
        <v/>
      </c>
      <c r="X2344" s="25"/>
      <c r="Y2344" s="25"/>
      <c r="Z2344" s="25"/>
      <c r="AA2344" s="99"/>
      <c r="AB2344" s="3" t="str">
        <f>IF(BCP_Soles[[#This Row],[FECHA]]&gt;0,TEXT(BCP_Soles[[#This Row],[FECHA]],"mmmm"),0)</f>
        <v>Julio</v>
      </c>
    </row>
    <row r="2345" spans="2:28" ht="24" x14ac:dyDescent="0.3">
      <c r="B2345" s="2" t="str">
        <f>IF(BCP_Soles[[#This Row],[TIPO DE R.]]="R",COUNTIFS($D$4:$D2344,"R")+1,"")</f>
        <v/>
      </c>
      <c r="C2345" s="19" t="str">
        <f t="shared" si="180"/>
        <v>B-BCP - Soles</v>
      </c>
      <c r="D2345" s="3" t="s">
        <v>1101</v>
      </c>
      <c r="E2345" s="14">
        <v>45840</v>
      </c>
      <c r="F2345" s="5" t="s">
        <v>3398</v>
      </c>
      <c r="G2345" s="5"/>
      <c r="H2345" s="6"/>
      <c r="I2345" s="6" t="s">
        <v>63</v>
      </c>
      <c r="J2345" s="6">
        <v>3</v>
      </c>
      <c r="K2345" s="6">
        <v>608</v>
      </c>
      <c r="L2345" s="7" t="s">
        <v>3395</v>
      </c>
      <c r="M2345" s="8">
        <v>986788</v>
      </c>
      <c r="N2345" s="8" t="str">
        <f t="shared" si="181"/>
        <v>PEN</v>
      </c>
      <c r="O2345" s="13">
        <v>10.5</v>
      </c>
      <c r="P2345" s="13"/>
      <c r="Q2345" s="3">
        <f t="shared" si="182"/>
        <v>0</v>
      </c>
      <c r="R2345" s="3">
        <f t="shared" si="183"/>
        <v>0</v>
      </c>
      <c r="S2345" s="3">
        <f t="shared" si="184"/>
        <v>9612.490000000038</v>
      </c>
      <c r="T2345" s="24" t="s">
        <v>1081</v>
      </c>
      <c r="U2345" s="24"/>
      <c r="V2345" s="69"/>
      <c r="W2345" s="25" t="str">
        <f>IFERROR(VLOOKUP(BCP_Soles[[#This Row],[DESTINATARIO]],CHOOSE({1,2},Clientes_Proveedores[Razon Social],Clientes_Proveedores[Ruc / Dni]),2,0),"")</f>
        <v/>
      </c>
      <c r="X2345" s="25"/>
      <c r="Y2345" s="25"/>
      <c r="Z2345" s="25"/>
      <c r="AA2345" s="99"/>
      <c r="AB2345" s="3" t="str">
        <f>IF(BCP_Soles[[#This Row],[FECHA]]&gt;0,TEXT(BCP_Soles[[#This Row],[FECHA]],"mmmm"),0)</f>
        <v>Julio</v>
      </c>
    </row>
    <row r="2346" spans="2:28" ht="24" x14ac:dyDescent="0.3">
      <c r="B2346" s="2" t="str">
        <f>IF(BCP_Soles[[#This Row],[TIPO DE R.]]="R",COUNTIFS($D$4:$D2345,"R")+1,"")</f>
        <v/>
      </c>
      <c r="C2346" s="19" t="str">
        <f t="shared" si="180"/>
        <v>B-BCP - Soles</v>
      </c>
      <c r="D2346" s="3" t="s">
        <v>1101</v>
      </c>
      <c r="E2346" s="14">
        <v>45840</v>
      </c>
      <c r="F2346" s="5" t="s">
        <v>3399</v>
      </c>
      <c r="G2346" s="5"/>
      <c r="H2346" s="6"/>
      <c r="I2346" s="6" t="s">
        <v>63</v>
      </c>
      <c r="J2346" s="6">
        <v>3</v>
      </c>
      <c r="K2346" s="6">
        <v>609</v>
      </c>
      <c r="L2346" s="7" t="s">
        <v>3395</v>
      </c>
      <c r="M2346" s="8">
        <v>986788</v>
      </c>
      <c r="N2346" s="8" t="str">
        <f t="shared" si="181"/>
        <v>PEN</v>
      </c>
      <c r="O2346" s="13">
        <v>354</v>
      </c>
      <c r="P2346" s="13"/>
      <c r="Q2346" s="3">
        <f t="shared" si="182"/>
        <v>0</v>
      </c>
      <c r="R2346" s="3">
        <f t="shared" si="183"/>
        <v>0</v>
      </c>
      <c r="S2346" s="3">
        <f t="shared" si="184"/>
        <v>9612.490000000038</v>
      </c>
      <c r="T2346" s="24" t="s">
        <v>1081</v>
      </c>
      <c r="U2346" s="24"/>
      <c r="V2346" s="69"/>
      <c r="W2346" s="25" t="str">
        <f>IFERROR(VLOOKUP(BCP_Soles[[#This Row],[DESTINATARIO]],CHOOSE({1,2},Clientes_Proveedores[Razon Social],Clientes_Proveedores[Ruc / Dni]),2,0),"")</f>
        <v/>
      </c>
      <c r="X2346" s="25"/>
      <c r="Y2346" s="25"/>
      <c r="Z2346" s="25"/>
      <c r="AA2346" s="99"/>
      <c r="AB2346" s="3" t="str">
        <f>IF(BCP_Soles[[#This Row],[FECHA]]&gt;0,TEXT(BCP_Soles[[#This Row],[FECHA]],"mmmm"),0)</f>
        <v>Julio</v>
      </c>
    </row>
    <row r="2347" spans="2:28" ht="24" x14ac:dyDescent="0.3">
      <c r="B2347" s="2" t="str">
        <f>IF(BCP_Soles[[#This Row],[TIPO DE R.]]="R",COUNTIFS($D$4:$D2346,"R")+1,"")</f>
        <v/>
      </c>
      <c r="C2347" s="19" t="str">
        <f t="shared" si="180"/>
        <v>B-BCP - Soles</v>
      </c>
      <c r="D2347" s="3" t="s">
        <v>1101</v>
      </c>
      <c r="E2347" s="14">
        <v>45840</v>
      </c>
      <c r="F2347" s="5" t="s">
        <v>3400</v>
      </c>
      <c r="G2347" s="5"/>
      <c r="H2347" s="6"/>
      <c r="I2347" s="6" t="s">
        <v>63</v>
      </c>
      <c r="J2347" s="6">
        <v>3</v>
      </c>
      <c r="K2347" s="6">
        <v>610</v>
      </c>
      <c r="L2347" s="7" t="s">
        <v>3395</v>
      </c>
      <c r="M2347" s="8">
        <v>986788</v>
      </c>
      <c r="N2347" s="8" t="str">
        <f t="shared" si="181"/>
        <v>PEN</v>
      </c>
      <c r="O2347" s="13">
        <v>280.2</v>
      </c>
      <c r="P2347" s="13"/>
      <c r="Q2347" s="3">
        <f t="shared" si="182"/>
        <v>0</v>
      </c>
      <c r="R2347" s="3">
        <f t="shared" si="183"/>
        <v>0</v>
      </c>
      <c r="S2347" s="3">
        <f t="shared" si="184"/>
        <v>9612.490000000038</v>
      </c>
      <c r="T2347" s="24" t="s">
        <v>1081</v>
      </c>
      <c r="U2347" s="24"/>
      <c r="V2347" s="69"/>
      <c r="W2347" s="25" t="str">
        <f>IFERROR(VLOOKUP(BCP_Soles[[#This Row],[DESTINATARIO]],CHOOSE({1,2},Clientes_Proveedores[Razon Social],Clientes_Proveedores[Ruc / Dni]),2,0),"")</f>
        <v/>
      </c>
      <c r="X2347" s="25"/>
      <c r="Y2347" s="25"/>
      <c r="Z2347" s="25"/>
      <c r="AA2347" s="99"/>
      <c r="AB2347" s="3" t="str">
        <f>IF(BCP_Soles[[#This Row],[FECHA]]&gt;0,TEXT(BCP_Soles[[#This Row],[FECHA]],"mmmm"),0)</f>
        <v>Julio</v>
      </c>
    </row>
    <row r="2348" spans="2:28" ht="24" x14ac:dyDescent="0.3">
      <c r="B2348" s="2" t="str">
        <f>IF(BCP_Soles[[#This Row],[TIPO DE R.]]="R",COUNTIFS($D$4:$D2347,"R")+1,"")</f>
        <v/>
      </c>
      <c r="C2348" s="19" t="str">
        <f t="shared" si="180"/>
        <v>B-BCP - Soles</v>
      </c>
      <c r="D2348" s="3" t="s">
        <v>1101</v>
      </c>
      <c r="E2348" s="14">
        <v>45840</v>
      </c>
      <c r="F2348" s="5" t="s">
        <v>3401</v>
      </c>
      <c r="G2348" s="5"/>
      <c r="H2348" s="6"/>
      <c r="I2348" s="6" t="s">
        <v>63</v>
      </c>
      <c r="J2348" s="6">
        <v>3</v>
      </c>
      <c r="K2348" s="6">
        <v>611</v>
      </c>
      <c r="L2348" s="7" t="s">
        <v>3395</v>
      </c>
      <c r="M2348" s="8">
        <v>986788</v>
      </c>
      <c r="N2348" s="8" t="str">
        <f t="shared" si="181"/>
        <v>PEN</v>
      </c>
      <c r="O2348" s="13">
        <v>20.7</v>
      </c>
      <c r="P2348" s="13"/>
      <c r="Q2348" s="3">
        <f t="shared" si="182"/>
        <v>0</v>
      </c>
      <c r="R2348" s="3">
        <f t="shared" si="183"/>
        <v>0</v>
      </c>
      <c r="S2348" s="3">
        <f t="shared" si="184"/>
        <v>9612.490000000038</v>
      </c>
      <c r="T2348" s="24" t="s">
        <v>1081</v>
      </c>
      <c r="U2348" s="24"/>
      <c r="V2348" s="69"/>
      <c r="W2348" s="25" t="str">
        <f>IFERROR(VLOOKUP(BCP_Soles[[#This Row],[DESTINATARIO]],CHOOSE({1,2},Clientes_Proveedores[Razon Social],Clientes_Proveedores[Ruc / Dni]),2,0),"")</f>
        <v/>
      </c>
      <c r="X2348" s="25"/>
      <c r="Y2348" s="25"/>
      <c r="Z2348" s="25"/>
      <c r="AA2348" s="99"/>
      <c r="AB2348" s="3" t="str">
        <f>IF(BCP_Soles[[#This Row],[FECHA]]&gt;0,TEXT(BCP_Soles[[#This Row],[FECHA]],"mmmm"),0)</f>
        <v>Julio</v>
      </c>
    </row>
    <row r="2349" spans="2:28" x14ac:dyDescent="0.3">
      <c r="B2349" s="2" t="str">
        <f>IF(BCP_Soles[[#This Row],[TIPO DE R.]]="R",COUNTIFS($D$4:$D2348,"R")+1,"")</f>
        <v/>
      </c>
      <c r="C2349" s="19" t="str">
        <f t="shared" si="180"/>
        <v>B-BCP - Soles</v>
      </c>
      <c r="D2349" s="3" t="s">
        <v>1101</v>
      </c>
      <c r="E2349" s="14">
        <v>45840</v>
      </c>
      <c r="F2349" s="5" t="s">
        <v>3402</v>
      </c>
      <c r="G2349" s="5"/>
      <c r="H2349" s="6"/>
      <c r="I2349" s="6" t="s">
        <v>63</v>
      </c>
      <c r="J2349" s="6">
        <v>3</v>
      </c>
      <c r="K2349" s="6">
        <v>612</v>
      </c>
      <c r="L2349" s="7" t="s">
        <v>3395</v>
      </c>
      <c r="M2349" s="8">
        <v>986788</v>
      </c>
      <c r="N2349" s="8" t="str">
        <f t="shared" si="181"/>
        <v>PEN</v>
      </c>
      <c r="O2349" s="13">
        <v>7.3</v>
      </c>
      <c r="P2349" s="13"/>
      <c r="Q2349" s="3">
        <f t="shared" si="182"/>
        <v>0</v>
      </c>
      <c r="R2349" s="3">
        <f t="shared" si="183"/>
        <v>0</v>
      </c>
      <c r="S2349" s="3">
        <f t="shared" si="184"/>
        <v>9612.490000000038</v>
      </c>
      <c r="T2349" s="24" t="s">
        <v>1081</v>
      </c>
      <c r="U2349" s="24"/>
      <c r="V2349" s="69"/>
      <c r="W2349" s="25" t="str">
        <f>IFERROR(VLOOKUP(BCP_Soles[[#This Row],[DESTINATARIO]],CHOOSE({1,2},Clientes_Proveedores[Razon Social],Clientes_Proveedores[Ruc / Dni]),2,0),"")</f>
        <v/>
      </c>
      <c r="X2349" s="25"/>
      <c r="Y2349" s="25"/>
      <c r="Z2349" s="25"/>
      <c r="AA2349" s="99"/>
      <c r="AB2349" s="3" t="str">
        <f>IF(BCP_Soles[[#This Row],[FECHA]]&gt;0,TEXT(BCP_Soles[[#This Row],[FECHA]],"mmmm"),0)</f>
        <v>Julio</v>
      </c>
    </row>
    <row r="2350" spans="2:28" x14ac:dyDescent="0.3">
      <c r="B2350" s="2" t="str">
        <f>IF(BCP_Soles[[#This Row],[TIPO DE R.]]="R",COUNTIFS($D$4:$D2349,"R")+1,"")</f>
        <v/>
      </c>
      <c r="C2350" s="19" t="str">
        <f t="shared" si="180"/>
        <v>B-BCP - Soles</v>
      </c>
      <c r="D2350" s="3" t="s">
        <v>1101</v>
      </c>
      <c r="E2350" s="14">
        <v>45840</v>
      </c>
      <c r="F2350" s="5" t="s">
        <v>3402</v>
      </c>
      <c r="G2350" s="5"/>
      <c r="H2350" s="6"/>
      <c r="I2350" s="6" t="s">
        <v>63</v>
      </c>
      <c r="J2350" s="6">
        <v>3</v>
      </c>
      <c r="K2350" s="6">
        <v>613</v>
      </c>
      <c r="L2350" s="7" t="s">
        <v>3395</v>
      </c>
      <c r="M2350" s="8">
        <v>986788</v>
      </c>
      <c r="N2350" s="8" t="str">
        <f t="shared" si="181"/>
        <v>PEN</v>
      </c>
      <c r="O2350" s="13">
        <v>13.5</v>
      </c>
      <c r="P2350" s="13"/>
      <c r="Q2350" s="3">
        <f t="shared" si="182"/>
        <v>0</v>
      </c>
      <c r="R2350" s="3">
        <f t="shared" si="183"/>
        <v>0</v>
      </c>
      <c r="S2350" s="3">
        <f t="shared" si="184"/>
        <v>9612.490000000038</v>
      </c>
      <c r="T2350" s="24" t="s">
        <v>1081</v>
      </c>
      <c r="U2350" s="24"/>
      <c r="V2350" s="69"/>
      <c r="W2350" s="25" t="str">
        <f>IFERROR(VLOOKUP(BCP_Soles[[#This Row],[DESTINATARIO]],CHOOSE({1,2},Clientes_Proveedores[Razon Social],Clientes_Proveedores[Ruc / Dni]),2,0),"")</f>
        <v/>
      </c>
      <c r="X2350" s="25"/>
      <c r="Y2350" s="25"/>
      <c r="Z2350" s="25"/>
      <c r="AA2350" s="99"/>
      <c r="AB2350" s="3" t="str">
        <f>IF(BCP_Soles[[#This Row],[FECHA]]&gt;0,TEXT(BCP_Soles[[#This Row],[FECHA]],"mmmm"),0)</f>
        <v>Julio</v>
      </c>
    </row>
    <row r="2351" spans="2:28" ht="24" x14ac:dyDescent="0.3">
      <c r="B2351" s="2" t="str">
        <f>IF(BCP_Soles[[#This Row],[TIPO DE R.]]="R",COUNTIFS($D$4:$D2350,"R")+1,"")</f>
        <v/>
      </c>
      <c r="C2351" s="19" t="str">
        <f t="shared" si="180"/>
        <v>B-BCP - Soles</v>
      </c>
      <c r="D2351" s="3" t="s">
        <v>1101</v>
      </c>
      <c r="E2351" s="14">
        <v>45840</v>
      </c>
      <c r="F2351" s="5" t="s">
        <v>3403</v>
      </c>
      <c r="G2351" s="5"/>
      <c r="H2351" s="6"/>
      <c r="I2351" s="6" t="s">
        <v>63</v>
      </c>
      <c r="J2351" s="6">
        <v>3</v>
      </c>
      <c r="K2351" s="6">
        <v>615</v>
      </c>
      <c r="L2351" s="7" t="s">
        <v>3395</v>
      </c>
      <c r="M2351" s="8">
        <v>986788</v>
      </c>
      <c r="N2351" s="8" t="str">
        <f t="shared" si="181"/>
        <v>PEN</v>
      </c>
      <c r="O2351" s="13">
        <v>6</v>
      </c>
      <c r="P2351" s="13"/>
      <c r="Q2351" s="3">
        <f t="shared" si="182"/>
        <v>0</v>
      </c>
      <c r="R2351" s="3">
        <f t="shared" si="183"/>
        <v>0</v>
      </c>
      <c r="S2351" s="3">
        <f t="shared" si="184"/>
        <v>9612.490000000038</v>
      </c>
      <c r="T2351" s="24" t="s">
        <v>1081</v>
      </c>
      <c r="U2351" s="24"/>
      <c r="V2351" s="69"/>
      <c r="W2351" s="25" t="str">
        <f>IFERROR(VLOOKUP(BCP_Soles[[#This Row],[DESTINATARIO]],CHOOSE({1,2},Clientes_Proveedores[Razon Social],Clientes_Proveedores[Ruc / Dni]),2,0),"")</f>
        <v/>
      </c>
      <c r="X2351" s="25"/>
      <c r="Y2351" s="25"/>
      <c r="Z2351" s="25"/>
      <c r="AA2351" s="99"/>
      <c r="AB2351" s="3" t="str">
        <f>IF(BCP_Soles[[#This Row],[FECHA]]&gt;0,TEXT(BCP_Soles[[#This Row],[FECHA]],"mmmm"),0)</f>
        <v>Julio</v>
      </c>
    </row>
    <row r="2352" spans="2:28" x14ac:dyDescent="0.3">
      <c r="B2352" s="2">
        <f>IF(BCP_Soles[[#This Row],[TIPO DE R.]]="R",COUNTIFS($D$4:$D2351,"R")+1,"")</f>
        <v>1765</v>
      </c>
      <c r="C2352" s="19" t="str">
        <f t="shared" si="180"/>
        <v>B-BCP - Soles</v>
      </c>
      <c r="D2352" s="3" t="s">
        <v>1074</v>
      </c>
      <c r="E2352" s="14">
        <v>45840</v>
      </c>
      <c r="F2352" s="5" t="s">
        <v>1075</v>
      </c>
      <c r="G2352" s="5" t="s">
        <v>1087</v>
      </c>
      <c r="H2352" s="6" t="s">
        <v>368</v>
      </c>
      <c r="I2352" s="6"/>
      <c r="J2352" s="6"/>
      <c r="K2352" s="6"/>
      <c r="L2352" s="7" t="s">
        <v>3404</v>
      </c>
      <c r="M2352" s="8">
        <v>4395563</v>
      </c>
      <c r="N2352" s="8" t="str">
        <f t="shared" si="181"/>
        <v>PEN</v>
      </c>
      <c r="O2352" s="13"/>
      <c r="P2352" s="13">
        <v>900</v>
      </c>
      <c r="Q2352" s="3">
        <f t="shared" si="182"/>
        <v>900</v>
      </c>
      <c r="R2352" s="3">
        <f t="shared" si="183"/>
        <v>0</v>
      </c>
      <c r="S2352" s="3">
        <f t="shared" si="184"/>
        <v>10512.490000000038</v>
      </c>
      <c r="T2352" s="24"/>
      <c r="U2352" s="24"/>
      <c r="V2352" s="69"/>
      <c r="W2352" s="25">
        <f>IFERROR(VLOOKUP(BCP_Soles[[#This Row],[DESTINATARIO]],CHOOSE({1,2},Clientes_Proveedores[Razon Social],Clientes_Proveedores[Ruc / Dni]),2,0),"")</f>
        <v>20558226979</v>
      </c>
      <c r="X2352" s="25"/>
      <c r="Y2352" s="25"/>
      <c r="Z2352" s="25"/>
      <c r="AA2352" s="99"/>
      <c r="AB2352" s="3" t="str">
        <f>IF(BCP_Soles[[#This Row],[FECHA]]&gt;0,TEXT(BCP_Soles[[#This Row],[FECHA]],"mmmm"),0)</f>
        <v>Julio</v>
      </c>
    </row>
    <row r="2353" spans="2:28" x14ac:dyDescent="0.3">
      <c r="B2353" s="2">
        <f>IF(BCP_Soles[[#This Row],[TIPO DE R.]]="R",COUNTIFS($D$4:$D2352,"R")+1,"")</f>
        <v>1766</v>
      </c>
      <c r="C2353" s="19" t="str">
        <f t="shared" si="180"/>
        <v>B-BCP - Soles</v>
      </c>
      <c r="D2353" s="3" t="s">
        <v>1074</v>
      </c>
      <c r="E2353" s="14">
        <v>45840</v>
      </c>
      <c r="F2353" s="5" t="s">
        <v>1075</v>
      </c>
      <c r="G2353" s="5" t="s">
        <v>1079</v>
      </c>
      <c r="H2353" s="6" t="s">
        <v>139</v>
      </c>
      <c r="I2353" s="6" t="s">
        <v>14</v>
      </c>
      <c r="J2353" s="6" t="s">
        <v>1953</v>
      </c>
      <c r="K2353" s="6">
        <v>6525</v>
      </c>
      <c r="L2353" s="7" t="s">
        <v>1954</v>
      </c>
      <c r="M2353" s="8">
        <v>7239</v>
      </c>
      <c r="N2353" s="8" t="str">
        <f t="shared" si="181"/>
        <v>PEN</v>
      </c>
      <c r="O2353" s="13"/>
      <c r="P2353" s="13">
        <v>11.57</v>
      </c>
      <c r="Q2353" s="3">
        <f t="shared" si="182"/>
        <v>0</v>
      </c>
      <c r="R2353" s="3">
        <f t="shared" si="183"/>
        <v>11.57</v>
      </c>
      <c r="S2353" s="3">
        <f t="shared" si="184"/>
        <v>10500.920000000038</v>
      </c>
      <c r="T2353" s="24" t="s">
        <v>1081</v>
      </c>
      <c r="U2353" s="24" t="s">
        <v>1081</v>
      </c>
      <c r="V2353" s="104" t="s">
        <v>3405</v>
      </c>
      <c r="W2353" s="25">
        <f>IFERROR(VLOOKUP(BCP_Soles[[#This Row],[DESTINATARIO]],CHOOSE({1,2},Clientes_Proveedores[Razon Social],Clientes_Proveedores[Ruc / Dni]),2,0),"")</f>
        <v>20100055237</v>
      </c>
      <c r="X2353" s="25" t="s">
        <v>139</v>
      </c>
      <c r="Y2353" s="25" t="s">
        <v>3406</v>
      </c>
      <c r="Z2353" s="25"/>
      <c r="AA2353" s="99"/>
      <c r="AB2353" s="3" t="str">
        <f>IF(BCP_Soles[[#This Row],[FECHA]]&gt;0,TEXT(BCP_Soles[[#This Row],[FECHA]],"mmmm"),0)</f>
        <v>Julio</v>
      </c>
    </row>
    <row r="2354" spans="2:28" ht="24" x14ac:dyDescent="0.3">
      <c r="B2354" s="2">
        <f>IF(BCP_Soles[[#This Row],[TIPO DE R.]]="R",COUNTIFS($D$4:$D2353,"R")+1,"")</f>
        <v>1767</v>
      </c>
      <c r="C2354" s="19" t="str">
        <f t="shared" si="180"/>
        <v>B-BCP - Soles</v>
      </c>
      <c r="D2354" s="3" t="s">
        <v>1074</v>
      </c>
      <c r="E2354" s="14">
        <v>45840</v>
      </c>
      <c r="F2354" s="5" t="s">
        <v>1075</v>
      </c>
      <c r="G2354" s="5" t="s">
        <v>1079</v>
      </c>
      <c r="H2354" s="6" t="s">
        <v>425</v>
      </c>
      <c r="I2354" s="6" t="s">
        <v>14</v>
      </c>
      <c r="J2354" s="6" t="s">
        <v>1119</v>
      </c>
      <c r="K2354" s="6">
        <v>492</v>
      </c>
      <c r="L2354" s="7" t="s">
        <v>3407</v>
      </c>
      <c r="M2354" s="8">
        <v>1203622</v>
      </c>
      <c r="N2354" s="8" t="str">
        <f t="shared" si="181"/>
        <v>PEN</v>
      </c>
      <c r="O2354" s="13"/>
      <c r="P2354" s="13">
        <v>389.4</v>
      </c>
      <c r="Q2354" s="3">
        <f t="shared" si="182"/>
        <v>0</v>
      </c>
      <c r="R2354" s="3">
        <f t="shared" si="183"/>
        <v>389.4</v>
      </c>
      <c r="S2354" s="3">
        <f t="shared" si="184"/>
        <v>10111.520000000039</v>
      </c>
      <c r="T2354" s="24" t="s">
        <v>1081</v>
      </c>
      <c r="U2354" s="24" t="s">
        <v>1081</v>
      </c>
      <c r="V2354" s="104" t="s">
        <v>3408</v>
      </c>
      <c r="W2354" s="25">
        <f>IFERROR(VLOOKUP(BCP_Soles[[#This Row],[DESTINATARIO]],CHOOSE({1,2},Clientes_Proveedores[Razon Social],Clientes_Proveedores[Ruc / Dni]),2,0),"")</f>
        <v>20602441165</v>
      </c>
      <c r="X2354" s="25" t="s">
        <v>425</v>
      </c>
      <c r="Y2354" s="25" t="s">
        <v>3409</v>
      </c>
      <c r="Z2354" s="25"/>
      <c r="AA2354" s="99"/>
      <c r="AB2354" s="3" t="str">
        <f>IF(BCP_Soles[[#This Row],[FECHA]]&gt;0,TEXT(BCP_Soles[[#This Row],[FECHA]],"mmmm"),0)</f>
        <v>Julio</v>
      </c>
    </row>
    <row r="2355" spans="2:28" ht="24" x14ac:dyDescent="0.3">
      <c r="B2355" s="2">
        <f>IF(BCP_Soles[[#This Row],[TIPO DE R.]]="R",COUNTIFS($D$4:$D2354,"R")+1,"")</f>
        <v>1768</v>
      </c>
      <c r="C2355" s="19" t="str">
        <f t="shared" si="180"/>
        <v>B-BCP - Soles</v>
      </c>
      <c r="D2355" s="3" t="s">
        <v>1074</v>
      </c>
      <c r="E2355" s="14">
        <v>45840</v>
      </c>
      <c r="F2355" s="5" t="s">
        <v>1075</v>
      </c>
      <c r="G2355" s="5" t="s">
        <v>1079</v>
      </c>
      <c r="H2355" s="6" t="s">
        <v>425</v>
      </c>
      <c r="I2355" s="6" t="s">
        <v>14</v>
      </c>
      <c r="J2355" s="6" t="s">
        <v>1119</v>
      </c>
      <c r="K2355" s="6">
        <v>493</v>
      </c>
      <c r="L2355" s="7" t="s">
        <v>3410</v>
      </c>
      <c r="M2355" s="8">
        <v>1201188</v>
      </c>
      <c r="N2355" s="8" t="str">
        <f t="shared" si="181"/>
        <v>PEN</v>
      </c>
      <c r="O2355" s="13"/>
      <c r="P2355" s="13">
        <v>698</v>
      </c>
      <c r="Q2355" s="3">
        <f t="shared" si="182"/>
        <v>0</v>
      </c>
      <c r="R2355" s="3">
        <f t="shared" si="183"/>
        <v>698</v>
      </c>
      <c r="S2355" s="3">
        <f t="shared" si="184"/>
        <v>9413.5200000000386</v>
      </c>
      <c r="T2355" s="24" t="s">
        <v>1081</v>
      </c>
      <c r="U2355" s="24" t="s">
        <v>1081</v>
      </c>
      <c r="V2355" s="104" t="s">
        <v>3411</v>
      </c>
      <c r="W2355" s="25">
        <f>IFERROR(VLOOKUP(BCP_Soles[[#This Row],[DESTINATARIO]],CHOOSE({1,2},Clientes_Proveedores[Razon Social],Clientes_Proveedores[Ruc / Dni]),2,0),"")</f>
        <v>20602441165</v>
      </c>
      <c r="X2355" s="25" t="s">
        <v>425</v>
      </c>
      <c r="Y2355" s="25" t="s">
        <v>3412</v>
      </c>
      <c r="Z2355" s="25"/>
      <c r="AA2355" s="99"/>
      <c r="AB2355" s="3" t="str">
        <f>IF(BCP_Soles[[#This Row],[FECHA]]&gt;0,TEXT(BCP_Soles[[#This Row],[FECHA]],"mmmm"),0)</f>
        <v>Julio</v>
      </c>
    </row>
    <row r="2356" spans="2:28" ht="24" x14ac:dyDescent="0.3">
      <c r="B2356" s="2">
        <f>IF(BCP_Soles[[#This Row],[TIPO DE R.]]="R",COUNTIFS($D$4:$D2355,"R")+1,"")</f>
        <v>1769</v>
      </c>
      <c r="C2356" s="19" t="str">
        <f t="shared" si="180"/>
        <v>B-BCP - Soles</v>
      </c>
      <c r="D2356" s="3" t="s">
        <v>1074</v>
      </c>
      <c r="E2356" s="14">
        <v>45840</v>
      </c>
      <c r="F2356" s="5" t="s">
        <v>1075</v>
      </c>
      <c r="G2356" s="5" t="s">
        <v>1079</v>
      </c>
      <c r="H2356" s="6" t="s">
        <v>192</v>
      </c>
      <c r="I2356" s="6"/>
      <c r="J2356" s="6"/>
      <c r="K2356" s="6"/>
      <c r="L2356" s="7" t="s">
        <v>3413</v>
      </c>
      <c r="M2356" s="8">
        <v>1203122</v>
      </c>
      <c r="N2356" s="8" t="str">
        <f t="shared" si="181"/>
        <v>PEN</v>
      </c>
      <c r="O2356" s="13"/>
      <c r="P2356" s="13">
        <v>3000</v>
      </c>
      <c r="Q2356" s="3">
        <f t="shared" si="182"/>
        <v>0</v>
      </c>
      <c r="R2356" s="3">
        <f t="shared" si="183"/>
        <v>3000</v>
      </c>
      <c r="S2356" s="3">
        <f t="shared" si="184"/>
        <v>6413.5200000000386</v>
      </c>
      <c r="T2356" s="24"/>
      <c r="U2356" s="24"/>
      <c r="V2356" s="104" t="s">
        <v>3414</v>
      </c>
      <c r="W2356" s="25">
        <f>IFERROR(VLOOKUP(BCP_Soles[[#This Row],[DESTINATARIO]],CHOOSE({1,2},Clientes_Proveedores[Razon Social],Clientes_Proveedores[Ruc / Dni]),2,0),"")</f>
        <v>20302891452</v>
      </c>
      <c r="X2356" s="25" t="s">
        <v>192</v>
      </c>
      <c r="Y2356" s="25"/>
      <c r="Z2356" s="25"/>
      <c r="AA2356" s="99"/>
      <c r="AB2356" s="3" t="str">
        <f>IF(BCP_Soles[[#This Row],[FECHA]]&gt;0,TEXT(BCP_Soles[[#This Row],[FECHA]],"mmmm"),0)</f>
        <v>Julio</v>
      </c>
    </row>
    <row r="2357" spans="2:28" ht="36" x14ac:dyDescent="0.3">
      <c r="B2357" s="2">
        <f>IF(BCP_Soles[[#This Row],[TIPO DE R.]]="R",COUNTIFS($D$4:$D2356,"R")+1,"")</f>
        <v>1770</v>
      </c>
      <c r="C2357" s="19" t="str">
        <f t="shared" si="180"/>
        <v>B-BCP - Soles</v>
      </c>
      <c r="D2357" s="3" t="s">
        <v>1074</v>
      </c>
      <c r="E2357" s="14">
        <v>45840</v>
      </c>
      <c r="F2357" s="5" t="s">
        <v>1075</v>
      </c>
      <c r="G2357" s="5" t="s">
        <v>1079</v>
      </c>
      <c r="H2357" s="6" t="s">
        <v>925</v>
      </c>
      <c r="I2357" s="6" t="s">
        <v>14</v>
      </c>
      <c r="J2357" s="6" t="s">
        <v>1626</v>
      </c>
      <c r="K2357" s="6">
        <v>16778</v>
      </c>
      <c r="L2357" s="7" t="s">
        <v>3415</v>
      </c>
      <c r="M2357" s="8">
        <v>1231148</v>
      </c>
      <c r="N2357" s="8" t="str">
        <f t="shared" si="181"/>
        <v>PEN</v>
      </c>
      <c r="O2357" s="13"/>
      <c r="P2357" s="13">
        <v>875.92</v>
      </c>
      <c r="Q2357" s="3">
        <f t="shared" si="182"/>
        <v>0</v>
      </c>
      <c r="R2357" s="3">
        <f t="shared" si="183"/>
        <v>875.92</v>
      </c>
      <c r="S2357" s="3">
        <f t="shared" si="184"/>
        <v>5537.6000000000386</v>
      </c>
      <c r="T2357" s="24" t="s">
        <v>1081</v>
      </c>
      <c r="U2357" s="24" t="s">
        <v>1081</v>
      </c>
      <c r="V2357" s="104" t="s">
        <v>3416</v>
      </c>
      <c r="W2357" s="25">
        <f>IFERROR(VLOOKUP(BCP_Soles[[#This Row],[DESTINATARIO]],CHOOSE({1,2},Clientes_Proveedores[Razon Social],Clientes_Proveedores[Ruc / Dni]),2,0),"")</f>
        <v>20455823880</v>
      </c>
      <c r="X2357" s="25" t="s">
        <v>3417</v>
      </c>
      <c r="Y2357" s="25"/>
      <c r="Z2357" s="25"/>
      <c r="AA2357" s="99"/>
      <c r="AB2357" s="3" t="str">
        <f>IF(BCP_Soles[[#This Row],[FECHA]]&gt;0,TEXT(BCP_Soles[[#This Row],[FECHA]],"mmmm"),0)</f>
        <v>Julio</v>
      </c>
    </row>
    <row r="2358" spans="2:28" x14ac:dyDescent="0.3">
      <c r="B2358" s="2">
        <f>IF(BCP_Soles[[#This Row],[TIPO DE R.]]="R",COUNTIFS($D$4:$D2357,"R")+1,"")</f>
        <v>1771</v>
      </c>
      <c r="C2358" s="19" t="str">
        <f t="shared" si="180"/>
        <v>B-BCP - Soles</v>
      </c>
      <c r="D2358" s="3" t="s">
        <v>1074</v>
      </c>
      <c r="E2358" s="14">
        <v>45840</v>
      </c>
      <c r="F2358" s="5" t="s">
        <v>1075</v>
      </c>
      <c r="G2358" s="5" t="s">
        <v>1079</v>
      </c>
      <c r="H2358" s="6" t="s">
        <v>638</v>
      </c>
      <c r="I2358" s="6"/>
      <c r="J2358" s="6"/>
      <c r="K2358" s="6"/>
      <c r="L2358" s="7" t="s">
        <v>3418</v>
      </c>
      <c r="M2358" s="8">
        <v>5051135</v>
      </c>
      <c r="N2358" s="8" t="str">
        <f t="shared" si="181"/>
        <v>PEN</v>
      </c>
      <c r="O2358" s="13"/>
      <c r="P2358" s="13">
        <v>5410</v>
      </c>
      <c r="Q2358" s="3">
        <f t="shared" si="182"/>
        <v>0</v>
      </c>
      <c r="R2358" s="3">
        <f t="shared" si="183"/>
        <v>5410</v>
      </c>
      <c r="S2358" s="3">
        <f t="shared" si="184"/>
        <v>127.60000000003856</v>
      </c>
      <c r="T2358" s="24" t="s">
        <v>1081</v>
      </c>
      <c r="U2358" s="24" t="s">
        <v>1081</v>
      </c>
      <c r="V2358" s="104" t="s">
        <v>3419</v>
      </c>
      <c r="W2358" s="25">
        <f>IFERROR(VLOOKUP(BCP_Soles[[#This Row],[DESTINATARIO]],CHOOSE({1,2},Clientes_Proveedores[Razon Social],Clientes_Proveedores[Ruc / Dni]),2,0),"")</f>
        <v>0</v>
      </c>
      <c r="X2358" s="25" t="s">
        <v>1118</v>
      </c>
      <c r="Y2358" s="25"/>
      <c r="Z2358" s="25"/>
      <c r="AA2358" s="99"/>
      <c r="AB2358" s="3" t="str">
        <f>IF(BCP_Soles[[#This Row],[FECHA]]&gt;0,TEXT(BCP_Soles[[#This Row],[FECHA]],"mmmm"),0)</f>
        <v>Julio</v>
      </c>
    </row>
    <row r="2359" spans="2:28" ht="36" x14ac:dyDescent="0.3">
      <c r="B2359" s="2" t="str">
        <f>IF(BCP_Soles[[#This Row],[TIPO DE R.]]="R",COUNTIFS($D$4:$D2358,"R")+1,"")</f>
        <v/>
      </c>
      <c r="C2359" s="19" t="str">
        <f t="shared" si="180"/>
        <v>B-BCP - Soles</v>
      </c>
      <c r="D2359" s="3" t="s">
        <v>1101</v>
      </c>
      <c r="E2359" s="14">
        <v>45840</v>
      </c>
      <c r="F2359" s="5" t="s">
        <v>1075</v>
      </c>
      <c r="G2359" s="5"/>
      <c r="H2359" s="6" t="s">
        <v>568</v>
      </c>
      <c r="I2359" s="6" t="s">
        <v>14</v>
      </c>
      <c r="J2359" s="6" t="s">
        <v>1121</v>
      </c>
      <c r="K2359" s="6">
        <v>220</v>
      </c>
      <c r="L2359" s="7" t="s">
        <v>3418</v>
      </c>
      <c r="M2359" s="8">
        <v>5051135</v>
      </c>
      <c r="N2359" s="8" t="str">
        <f t="shared" si="181"/>
        <v>PEN</v>
      </c>
      <c r="O2359" s="13">
        <v>2400</v>
      </c>
      <c r="P2359" s="13"/>
      <c r="Q2359" s="3">
        <f t="shared" si="182"/>
        <v>0</v>
      </c>
      <c r="R2359" s="3">
        <f t="shared" si="183"/>
        <v>0</v>
      </c>
      <c r="S2359" s="3">
        <f t="shared" si="184"/>
        <v>127.60000000003856</v>
      </c>
      <c r="T2359" s="24" t="s">
        <v>1081</v>
      </c>
      <c r="U2359" s="24" t="s">
        <v>1081</v>
      </c>
      <c r="V2359" s="104" t="s">
        <v>3419</v>
      </c>
      <c r="W2359" s="25">
        <f>IFERROR(VLOOKUP(BCP_Soles[[#This Row],[DESTINATARIO]],CHOOSE({1,2},Clientes_Proveedores[Razon Social],Clientes_Proveedores[Ruc / Dni]),2,0),"")</f>
        <v>20549334874</v>
      </c>
      <c r="X2359" s="25"/>
      <c r="Y2359" s="25"/>
      <c r="Z2359" s="25"/>
      <c r="AA2359" s="99"/>
      <c r="AB2359" s="3" t="str">
        <f>IF(BCP_Soles[[#This Row],[FECHA]]&gt;0,TEXT(BCP_Soles[[#This Row],[FECHA]],"mmmm"),0)</f>
        <v>Julio</v>
      </c>
    </row>
    <row r="2360" spans="2:28" ht="24" x14ac:dyDescent="0.3">
      <c r="B2360" s="2" t="str">
        <f>IF(BCP_Soles[[#This Row],[TIPO DE R.]]="R",COUNTIFS($D$4:$D2359,"R")+1,"")</f>
        <v/>
      </c>
      <c r="C2360" s="19" t="str">
        <f t="shared" si="180"/>
        <v>B-BCP - Soles</v>
      </c>
      <c r="D2360" s="3" t="s">
        <v>1101</v>
      </c>
      <c r="E2360" s="14">
        <v>45840</v>
      </c>
      <c r="F2360" s="5" t="s">
        <v>1075</v>
      </c>
      <c r="G2360" s="5"/>
      <c r="H2360" s="6" t="s">
        <v>128</v>
      </c>
      <c r="I2360" s="6" t="s">
        <v>14</v>
      </c>
      <c r="J2360" s="6" t="s">
        <v>1121</v>
      </c>
      <c r="K2360" s="6">
        <v>138</v>
      </c>
      <c r="L2360" s="7" t="s">
        <v>3418</v>
      </c>
      <c r="M2360" s="8">
        <v>5051135</v>
      </c>
      <c r="N2360" s="8" t="str">
        <f t="shared" si="181"/>
        <v>PEN</v>
      </c>
      <c r="O2360" s="13">
        <v>1555</v>
      </c>
      <c r="P2360" s="13"/>
      <c r="Q2360" s="3">
        <f t="shared" si="182"/>
        <v>0</v>
      </c>
      <c r="R2360" s="3">
        <f t="shared" si="183"/>
        <v>0</v>
      </c>
      <c r="S2360" s="3">
        <f t="shared" si="184"/>
        <v>127.60000000003856</v>
      </c>
      <c r="T2360" s="24" t="s">
        <v>1081</v>
      </c>
      <c r="U2360" s="24" t="s">
        <v>1081</v>
      </c>
      <c r="V2360" s="104" t="s">
        <v>3419</v>
      </c>
      <c r="W2360" s="25">
        <f>IFERROR(VLOOKUP(BCP_Soles[[#This Row],[DESTINATARIO]],CHOOSE({1,2},Clientes_Proveedores[Razon Social],Clientes_Proveedores[Ruc / Dni]),2,0),"")</f>
        <v>10489531963</v>
      </c>
      <c r="X2360" s="25"/>
      <c r="Y2360" s="25"/>
      <c r="Z2360" s="25"/>
      <c r="AA2360" s="99"/>
      <c r="AB2360" s="3" t="str">
        <f>IF(BCP_Soles[[#This Row],[FECHA]]&gt;0,TEXT(BCP_Soles[[#This Row],[FECHA]],"mmmm"),0)</f>
        <v>Julio</v>
      </c>
    </row>
    <row r="2361" spans="2:28" x14ac:dyDescent="0.3">
      <c r="B2361" s="2" t="str">
        <f>IF(BCP_Soles[[#This Row],[TIPO DE R.]]="R",COUNTIFS($D$4:$D2360,"R")+1,"")</f>
        <v/>
      </c>
      <c r="C2361" s="19" t="str">
        <f t="shared" si="180"/>
        <v>B-BCP - Soles</v>
      </c>
      <c r="D2361" s="3" t="s">
        <v>1101</v>
      </c>
      <c r="E2361" s="14">
        <v>45840</v>
      </c>
      <c r="F2361" s="5" t="s">
        <v>1075</v>
      </c>
      <c r="G2361" s="5"/>
      <c r="H2361" s="6" t="s">
        <v>229</v>
      </c>
      <c r="I2361" s="6" t="s">
        <v>14</v>
      </c>
      <c r="J2361" s="6" t="s">
        <v>1148</v>
      </c>
      <c r="K2361" s="6">
        <v>628</v>
      </c>
      <c r="L2361" s="7" t="s">
        <v>3418</v>
      </c>
      <c r="M2361" s="8">
        <v>5051135</v>
      </c>
      <c r="N2361" s="8" t="str">
        <f t="shared" si="181"/>
        <v>PEN</v>
      </c>
      <c r="O2361" s="13">
        <v>1455</v>
      </c>
      <c r="P2361" s="13"/>
      <c r="Q2361" s="3">
        <f t="shared" si="182"/>
        <v>0</v>
      </c>
      <c r="R2361" s="3">
        <f t="shared" si="183"/>
        <v>0</v>
      </c>
      <c r="S2361" s="3">
        <f t="shared" si="184"/>
        <v>127.60000000003856</v>
      </c>
      <c r="T2361" s="24" t="s">
        <v>1081</v>
      </c>
      <c r="U2361" s="24" t="s">
        <v>1081</v>
      </c>
      <c r="V2361" s="104" t="s">
        <v>3419</v>
      </c>
      <c r="W2361" s="25">
        <f>IFERROR(VLOOKUP(BCP_Soles[[#This Row],[DESTINATARIO]],CHOOSE({1,2},Clientes_Proveedores[Razon Social],Clientes_Proveedores[Ruc / Dni]),2,0),"")</f>
        <v>20454186002</v>
      </c>
      <c r="X2361" s="25"/>
      <c r="Y2361" s="25"/>
      <c r="Z2361" s="25"/>
      <c r="AA2361" s="99"/>
      <c r="AB2361" s="3" t="str">
        <f>IF(BCP_Soles[[#This Row],[FECHA]]&gt;0,TEXT(BCP_Soles[[#This Row],[FECHA]],"mmmm"),0)</f>
        <v>Julio</v>
      </c>
    </row>
    <row r="2362" spans="2:28" ht="24" x14ac:dyDescent="0.3">
      <c r="B2362" s="2">
        <f>IF(BCP_Soles[[#This Row],[TIPO DE R.]]="R",COUNTIFS($D$4:$D2361,"R")+1,"")</f>
        <v>1772</v>
      </c>
      <c r="C2362" s="19" t="str">
        <f t="shared" si="180"/>
        <v>B-BCP - Soles</v>
      </c>
      <c r="D2362" s="3" t="s">
        <v>1074</v>
      </c>
      <c r="E2362" s="14">
        <v>45840</v>
      </c>
      <c r="F2362" s="5" t="s">
        <v>1078</v>
      </c>
      <c r="G2362" s="5" t="s">
        <v>1079</v>
      </c>
      <c r="H2362" s="6" t="s">
        <v>1001</v>
      </c>
      <c r="I2362" s="6" t="s">
        <v>14</v>
      </c>
      <c r="J2362" s="6" t="s">
        <v>3128</v>
      </c>
      <c r="K2362" s="6">
        <v>34312245</v>
      </c>
      <c r="L2362" s="7" t="s">
        <v>3420</v>
      </c>
      <c r="M2362" s="8">
        <v>5051144</v>
      </c>
      <c r="N2362" s="8" t="str">
        <f t="shared" si="181"/>
        <v>PEN</v>
      </c>
      <c r="O2362" s="13"/>
      <c r="P2362" s="13">
        <v>2.5</v>
      </c>
      <c r="Q2362" s="3">
        <f t="shared" si="182"/>
        <v>0</v>
      </c>
      <c r="R2362" s="3">
        <f t="shared" si="183"/>
        <v>2.5</v>
      </c>
      <c r="S2362" s="3">
        <f t="shared" si="184"/>
        <v>125.10000000003856</v>
      </c>
      <c r="T2362" s="24" t="s">
        <v>1081</v>
      </c>
      <c r="U2362" s="24" t="s">
        <v>1081</v>
      </c>
      <c r="V2362" s="69"/>
      <c r="W2362" s="25">
        <f>IFERROR(VLOOKUP(BCP_Soles[[#This Row],[DESTINATARIO]],CHOOSE({1,2},Clientes_Proveedores[Razon Social],Clientes_Proveedores[Ruc / Dni]),2,0),"")</f>
        <v>20100047218</v>
      </c>
      <c r="X2362" s="25"/>
      <c r="Y2362" s="25"/>
      <c r="Z2362" s="25"/>
      <c r="AA2362" s="99"/>
      <c r="AB2362" s="3" t="str">
        <f>IF(BCP_Soles[[#This Row],[FECHA]]&gt;0,TEXT(BCP_Soles[[#This Row],[FECHA]],"mmmm"),0)</f>
        <v>Julio</v>
      </c>
    </row>
    <row r="2363" spans="2:28" x14ac:dyDescent="0.3">
      <c r="B2363" s="2">
        <f>IF(BCP_Soles[[#This Row],[TIPO DE R.]]="R",COUNTIFS($D$4:$D2362,"R")+1,"")</f>
        <v>1773</v>
      </c>
      <c r="C2363" s="19" t="str">
        <f t="shared" si="180"/>
        <v>B-BCP - Soles</v>
      </c>
      <c r="D2363" s="3" t="s">
        <v>1074</v>
      </c>
      <c r="E2363" s="14">
        <v>45840</v>
      </c>
      <c r="F2363" s="5" t="s">
        <v>1078</v>
      </c>
      <c r="G2363" s="5" t="s">
        <v>1079</v>
      </c>
      <c r="H2363" s="6" t="s">
        <v>950</v>
      </c>
      <c r="I2363" s="6" t="s">
        <v>10</v>
      </c>
      <c r="J2363" s="6" t="s">
        <v>3392</v>
      </c>
      <c r="K2363" s="6">
        <v>1773</v>
      </c>
      <c r="L2363" s="7" t="s">
        <v>2868</v>
      </c>
      <c r="M2363" s="8"/>
      <c r="N2363" s="8" t="str">
        <f t="shared" si="181"/>
        <v>PEN</v>
      </c>
      <c r="O2363" s="13"/>
      <c r="P2363" s="13">
        <v>0.55000000000000004</v>
      </c>
      <c r="Q2363" s="3">
        <f t="shared" si="182"/>
        <v>0</v>
      </c>
      <c r="R2363" s="3">
        <f t="shared" si="183"/>
        <v>0.55000000000000004</v>
      </c>
      <c r="S2363" s="3">
        <f t="shared" si="184"/>
        <v>124.55000000003857</v>
      </c>
      <c r="T2363" s="24" t="s">
        <v>1081</v>
      </c>
      <c r="U2363" s="24"/>
      <c r="V2363" s="69"/>
      <c r="W2363" s="25">
        <f>IFERROR(VLOOKUP(BCP_Soles[[#This Row],[DESTINATARIO]],CHOOSE({1,2},Clientes_Proveedores[Razon Social],Clientes_Proveedores[Ruc / Dni]),2,0),"")</f>
        <v>11111111</v>
      </c>
      <c r="X2363" s="25"/>
      <c r="Y2363" s="25"/>
      <c r="Z2363" s="25"/>
      <c r="AA2363" s="99"/>
      <c r="AB2363" s="3" t="str">
        <f>IF(BCP_Soles[[#This Row],[FECHA]]&gt;0,TEXT(BCP_Soles[[#This Row],[FECHA]],"mmmm"),0)</f>
        <v>Julio</v>
      </c>
    </row>
    <row r="2364" spans="2:28" ht="36" x14ac:dyDescent="0.3">
      <c r="B2364" s="2">
        <f>IF(BCP_Soles[[#This Row],[TIPO DE R.]]="R",COUNTIFS($D$4:$D2363,"R")+1,"")</f>
        <v>1774</v>
      </c>
      <c r="C2364" s="19" t="str">
        <f t="shared" si="180"/>
        <v>B-BCP - Soles</v>
      </c>
      <c r="D2364" s="3" t="s">
        <v>1074</v>
      </c>
      <c r="E2364" s="14">
        <v>45841</v>
      </c>
      <c r="F2364" s="5" t="s">
        <v>602</v>
      </c>
      <c r="G2364" s="5" t="s">
        <v>1087</v>
      </c>
      <c r="H2364" s="6" t="s">
        <v>368</v>
      </c>
      <c r="I2364" s="6" t="s">
        <v>14</v>
      </c>
      <c r="J2364" s="6" t="s">
        <v>3010</v>
      </c>
      <c r="K2364" s="6">
        <v>85</v>
      </c>
      <c r="L2364" s="7" t="s">
        <v>3324</v>
      </c>
      <c r="M2364" s="8">
        <v>1594105</v>
      </c>
      <c r="N2364" s="8" t="str">
        <f t="shared" si="181"/>
        <v>PEN</v>
      </c>
      <c r="O2364" s="13"/>
      <c r="P2364" s="13">
        <v>595.9</v>
      </c>
      <c r="Q2364" s="3">
        <f t="shared" si="182"/>
        <v>595.9</v>
      </c>
      <c r="R2364" s="3">
        <f t="shared" si="183"/>
        <v>0</v>
      </c>
      <c r="S2364" s="3">
        <f t="shared" si="184"/>
        <v>720.45000000003859</v>
      </c>
      <c r="T2364" s="24" t="s">
        <v>1081</v>
      </c>
      <c r="U2364" s="24" t="s">
        <v>1081</v>
      </c>
      <c r="V2364" s="69"/>
      <c r="W2364" s="25">
        <f>IFERROR(VLOOKUP(BCP_Soles[[#This Row],[DESTINATARIO]],CHOOSE({1,2},Clientes_Proveedores[Razon Social],Clientes_Proveedores[Ruc / Dni]),2,0),"")</f>
        <v>20558226979</v>
      </c>
      <c r="X2364" s="25"/>
      <c r="Y2364" s="25" t="s">
        <v>3421</v>
      </c>
      <c r="Z2364" s="25"/>
      <c r="AA2364" s="99"/>
      <c r="AB2364" s="3" t="str">
        <f>IF(BCP_Soles[[#This Row],[FECHA]]&gt;0,TEXT(BCP_Soles[[#This Row],[FECHA]],"mmmm"),0)</f>
        <v>Julio</v>
      </c>
    </row>
    <row r="2365" spans="2:28" ht="24" x14ac:dyDescent="0.3">
      <c r="B2365" s="2">
        <f>IF(BCP_Soles[[#This Row],[TIPO DE R.]]="R",COUNTIFS($D$4:$D2364,"R")+1,"")</f>
        <v>1775</v>
      </c>
      <c r="C2365" s="19" t="str">
        <f t="shared" si="180"/>
        <v>B-BCP - Soles</v>
      </c>
      <c r="D2365" s="3" t="s">
        <v>1074</v>
      </c>
      <c r="E2365" s="14">
        <v>45841</v>
      </c>
      <c r="F2365" s="5" t="s">
        <v>147</v>
      </c>
      <c r="G2365" s="5" t="s">
        <v>1087</v>
      </c>
      <c r="H2365" s="6" t="s">
        <v>368</v>
      </c>
      <c r="I2365" s="6" t="s">
        <v>14</v>
      </c>
      <c r="J2365" s="6" t="s">
        <v>3010</v>
      </c>
      <c r="K2365" s="6">
        <v>52</v>
      </c>
      <c r="L2365" s="7" t="s">
        <v>3422</v>
      </c>
      <c r="M2365" s="8">
        <v>5339409</v>
      </c>
      <c r="N2365" s="8" t="str">
        <f t="shared" si="181"/>
        <v>PEN</v>
      </c>
      <c r="O2365" s="13"/>
      <c r="P2365" s="13">
        <v>766.88</v>
      </c>
      <c r="Q2365" s="3">
        <f t="shared" si="182"/>
        <v>766.88</v>
      </c>
      <c r="R2365" s="3">
        <f t="shared" si="183"/>
        <v>0</v>
      </c>
      <c r="S2365" s="3">
        <f t="shared" si="184"/>
        <v>1487.3300000000386</v>
      </c>
      <c r="T2365" s="24" t="s">
        <v>1081</v>
      </c>
      <c r="U2365" s="24" t="s">
        <v>1081</v>
      </c>
      <c r="V2365" s="69"/>
      <c r="W2365" s="25">
        <f>IFERROR(VLOOKUP(BCP_Soles[[#This Row],[DESTINATARIO]],CHOOSE({1,2},Clientes_Proveedores[Razon Social],Clientes_Proveedores[Ruc / Dni]),2,0),"")</f>
        <v>20558226979</v>
      </c>
      <c r="X2365" s="25"/>
      <c r="Y2365" s="25" t="s">
        <v>3423</v>
      </c>
      <c r="Z2365" s="25"/>
      <c r="AA2365" s="99"/>
      <c r="AB2365" s="3" t="str">
        <f>IF(BCP_Soles[[#This Row],[FECHA]]&gt;0,TEXT(BCP_Soles[[#This Row],[FECHA]],"mmmm"),0)</f>
        <v>Julio</v>
      </c>
    </row>
    <row r="2366" spans="2:28" ht="48" x14ac:dyDescent="0.3">
      <c r="B2366" s="2">
        <f>IF(BCP_Soles[[#This Row],[TIPO DE R.]]="R",COUNTIFS($D$4:$D2365,"R")+1,"")</f>
        <v>1776</v>
      </c>
      <c r="C2366" s="19" t="str">
        <f t="shared" si="180"/>
        <v>B-BCP - Soles</v>
      </c>
      <c r="D2366" s="3" t="s">
        <v>1074</v>
      </c>
      <c r="E2366" s="14">
        <v>45841</v>
      </c>
      <c r="F2366" s="5" t="s">
        <v>448</v>
      </c>
      <c r="G2366" s="5" t="s">
        <v>1087</v>
      </c>
      <c r="H2366" s="6" t="s">
        <v>368</v>
      </c>
      <c r="I2366" s="6" t="s">
        <v>14</v>
      </c>
      <c r="J2366" s="6" t="s">
        <v>3091</v>
      </c>
      <c r="K2366" s="6">
        <v>41</v>
      </c>
      <c r="L2366" s="7" t="s">
        <v>1374</v>
      </c>
      <c r="M2366" s="8">
        <v>2077545</v>
      </c>
      <c r="N2366" s="8" t="str">
        <f t="shared" si="181"/>
        <v>PEN</v>
      </c>
      <c r="O2366" s="13"/>
      <c r="P2366" s="13">
        <v>6107.61</v>
      </c>
      <c r="Q2366" s="3">
        <f t="shared" si="182"/>
        <v>6107.61</v>
      </c>
      <c r="R2366" s="3">
        <f t="shared" si="183"/>
        <v>0</v>
      </c>
      <c r="S2366" s="3">
        <f t="shared" si="184"/>
        <v>7594.9400000000387</v>
      </c>
      <c r="T2366" s="24" t="s">
        <v>1081</v>
      </c>
      <c r="U2366" s="24" t="s">
        <v>1081</v>
      </c>
      <c r="V2366" s="69"/>
      <c r="W2366" s="25">
        <f>IFERROR(VLOOKUP(BCP_Soles[[#This Row],[DESTINATARIO]],CHOOSE({1,2},Clientes_Proveedores[Razon Social],Clientes_Proveedores[Ruc / Dni]),2,0),"")</f>
        <v>20558226979</v>
      </c>
      <c r="X2366" s="25"/>
      <c r="Y2366" s="25"/>
      <c r="Z2366" s="25"/>
      <c r="AA2366" s="99"/>
      <c r="AB2366" s="3" t="str">
        <f>IF(BCP_Soles[[#This Row],[FECHA]]&gt;0,TEXT(BCP_Soles[[#This Row],[FECHA]],"mmmm"),0)</f>
        <v>Julio</v>
      </c>
    </row>
    <row r="2367" spans="2:28" ht="60" x14ac:dyDescent="0.3">
      <c r="B2367" s="2">
        <f>IF(BCP_Soles[[#This Row],[TIPO DE R.]]="R",COUNTIFS($D$4:$D2366,"R")+1,"")</f>
        <v>1777</v>
      </c>
      <c r="C2367" s="19" t="str">
        <f t="shared" si="180"/>
        <v>B-BCP - Soles</v>
      </c>
      <c r="D2367" s="3" t="s">
        <v>1074</v>
      </c>
      <c r="E2367" s="14">
        <v>45841</v>
      </c>
      <c r="F2367" s="5" t="s">
        <v>238</v>
      </c>
      <c r="G2367" s="5" t="s">
        <v>1087</v>
      </c>
      <c r="H2367" s="6" t="s">
        <v>368</v>
      </c>
      <c r="I2367" s="6" t="s">
        <v>14</v>
      </c>
      <c r="J2367" s="6" t="s">
        <v>3010</v>
      </c>
      <c r="K2367" s="6">
        <v>77</v>
      </c>
      <c r="L2367" s="7" t="s">
        <v>1170</v>
      </c>
      <c r="M2367" s="8">
        <v>2199307</v>
      </c>
      <c r="N2367" s="8" t="str">
        <f t="shared" si="181"/>
        <v>PEN</v>
      </c>
      <c r="O2367" s="13"/>
      <c r="P2367" s="13">
        <v>893.38</v>
      </c>
      <c r="Q2367" s="3">
        <f t="shared" si="182"/>
        <v>893.38</v>
      </c>
      <c r="R2367" s="3">
        <f t="shared" si="183"/>
        <v>0</v>
      </c>
      <c r="S2367" s="3">
        <f t="shared" si="184"/>
        <v>8488.3200000000379</v>
      </c>
      <c r="T2367" s="24" t="s">
        <v>1081</v>
      </c>
      <c r="U2367" s="24" t="s">
        <v>1081</v>
      </c>
      <c r="V2367" s="69"/>
      <c r="W2367" s="25">
        <f>IFERROR(VLOOKUP(BCP_Soles[[#This Row],[DESTINATARIO]],CHOOSE({1,2},Clientes_Proveedores[Razon Social],Clientes_Proveedores[Ruc / Dni]),2,0),"")</f>
        <v>20558226979</v>
      </c>
      <c r="X2367" s="25"/>
      <c r="Y2367" s="25" t="s">
        <v>3424</v>
      </c>
      <c r="Z2367" s="25"/>
      <c r="AA2367" s="99"/>
      <c r="AB2367" s="3" t="str">
        <f>IF(BCP_Soles[[#This Row],[FECHA]]&gt;0,TEXT(BCP_Soles[[#This Row],[FECHA]],"mmmm"),0)</f>
        <v>Julio</v>
      </c>
    </row>
    <row r="2368" spans="2:28" ht="60" x14ac:dyDescent="0.3">
      <c r="B2368" s="2">
        <f>IF(BCP_Soles[[#This Row],[TIPO DE R.]]="R",COUNTIFS($D$4:$D2367,"R")+1,"")</f>
        <v>1778</v>
      </c>
      <c r="C2368" s="19" t="str">
        <f t="shared" si="180"/>
        <v>B-BCP - Soles</v>
      </c>
      <c r="D2368" s="3" t="s">
        <v>1074</v>
      </c>
      <c r="E2368" s="14">
        <v>45841</v>
      </c>
      <c r="F2368" s="5" t="s">
        <v>238</v>
      </c>
      <c r="G2368" s="5" t="s">
        <v>1087</v>
      </c>
      <c r="H2368" s="6" t="s">
        <v>368</v>
      </c>
      <c r="I2368" s="6" t="s">
        <v>14</v>
      </c>
      <c r="J2368" s="6" t="s">
        <v>3010</v>
      </c>
      <c r="K2368" s="6">
        <v>79</v>
      </c>
      <c r="L2368" s="7" t="s">
        <v>1170</v>
      </c>
      <c r="M2368" s="8">
        <v>2202035</v>
      </c>
      <c r="N2368" s="8" t="str">
        <f t="shared" si="181"/>
        <v>PEN</v>
      </c>
      <c r="O2368" s="13"/>
      <c r="P2368" s="13">
        <v>877.5</v>
      </c>
      <c r="Q2368" s="3">
        <f t="shared" si="182"/>
        <v>877.5</v>
      </c>
      <c r="R2368" s="3">
        <f t="shared" si="183"/>
        <v>0</v>
      </c>
      <c r="S2368" s="3">
        <f t="shared" si="184"/>
        <v>9365.8200000000379</v>
      </c>
      <c r="T2368" s="24" t="s">
        <v>1081</v>
      </c>
      <c r="U2368" s="24" t="s">
        <v>1081</v>
      </c>
      <c r="V2368" s="69"/>
      <c r="W2368" s="25">
        <f>IFERROR(VLOOKUP(BCP_Soles[[#This Row],[DESTINATARIO]],CHOOSE({1,2},Clientes_Proveedores[Razon Social],Clientes_Proveedores[Ruc / Dni]),2,0),"")</f>
        <v>20558226979</v>
      </c>
      <c r="X2368" s="25"/>
      <c r="Y2368" s="25" t="s">
        <v>3425</v>
      </c>
      <c r="Z2368" s="25"/>
      <c r="AA2368" s="99"/>
      <c r="AB2368" s="3" t="str">
        <f>IF(BCP_Soles[[#This Row],[FECHA]]&gt;0,TEXT(BCP_Soles[[#This Row],[FECHA]],"mmmm"),0)</f>
        <v>Julio</v>
      </c>
    </row>
    <row r="2369" spans="2:28" ht="24" x14ac:dyDescent="0.3">
      <c r="B2369" s="2">
        <f>IF(BCP_Soles[[#This Row],[TIPO DE R.]]="R",COUNTIFS($D$4:$D2368,"R")+1,"")</f>
        <v>1779</v>
      </c>
      <c r="C2369" s="19" t="str">
        <f t="shared" si="180"/>
        <v>B-BCP - Soles</v>
      </c>
      <c r="D2369" s="3" t="s">
        <v>1074</v>
      </c>
      <c r="E2369" s="14">
        <v>45841</v>
      </c>
      <c r="F2369" s="5" t="s">
        <v>2226</v>
      </c>
      <c r="G2369" s="5" t="s">
        <v>1087</v>
      </c>
      <c r="H2369" s="6" t="s">
        <v>368</v>
      </c>
      <c r="I2369" s="6" t="s">
        <v>63</v>
      </c>
      <c r="J2369" s="6">
        <v>1</v>
      </c>
      <c r="K2369" s="6">
        <v>4571</v>
      </c>
      <c r="L2369" s="7" t="s">
        <v>1100</v>
      </c>
      <c r="M2369" s="8">
        <v>3539210</v>
      </c>
      <c r="N2369" s="8" t="str">
        <f t="shared" si="181"/>
        <v>PEN</v>
      </c>
      <c r="O2369" s="13"/>
      <c r="P2369" s="13">
        <v>506</v>
      </c>
      <c r="Q2369" s="3">
        <f t="shared" si="182"/>
        <v>506</v>
      </c>
      <c r="R2369" s="3">
        <f t="shared" si="183"/>
        <v>0</v>
      </c>
      <c r="S2369" s="3">
        <f t="shared" si="184"/>
        <v>9871.8200000000379</v>
      </c>
      <c r="T2369" s="24" t="s">
        <v>1081</v>
      </c>
      <c r="U2369" s="24" t="s">
        <v>1081</v>
      </c>
      <c r="V2369" s="69"/>
      <c r="W2369" s="25">
        <f>IFERROR(VLOOKUP(BCP_Soles[[#This Row],[DESTINATARIO]],CHOOSE({1,2},Clientes_Proveedores[Razon Social],Clientes_Proveedores[Ruc / Dni]),2,0),"")</f>
        <v>20558226979</v>
      </c>
      <c r="X2369" s="25"/>
      <c r="Y2369" s="25" t="s">
        <v>3426</v>
      </c>
      <c r="Z2369" s="25"/>
      <c r="AA2369" s="99"/>
      <c r="AB2369" s="3" t="str">
        <f>IF(BCP_Soles[[#This Row],[FECHA]]&gt;0,TEXT(BCP_Soles[[#This Row],[FECHA]],"mmmm"),0)</f>
        <v>Julio</v>
      </c>
    </row>
    <row r="2370" spans="2:28" ht="60" x14ac:dyDescent="0.3">
      <c r="B2370" s="2">
        <f>IF(BCP_Soles[[#This Row],[TIPO DE R.]]="R",COUNTIFS($D$4:$D2369,"R")+1,"")</f>
        <v>1780</v>
      </c>
      <c r="C2370" s="19" t="str">
        <f t="shared" si="180"/>
        <v>B-BCP - Soles</v>
      </c>
      <c r="D2370" s="3" t="s">
        <v>1074</v>
      </c>
      <c r="E2370" s="14">
        <v>45841</v>
      </c>
      <c r="F2370" s="5" t="s">
        <v>238</v>
      </c>
      <c r="G2370" s="5" t="s">
        <v>1087</v>
      </c>
      <c r="H2370" s="6" t="s">
        <v>368</v>
      </c>
      <c r="I2370" s="6" t="s">
        <v>14</v>
      </c>
      <c r="J2370" s="6" t="s">
        <v>3010</v>
      </c>
      <c r="K2370" s="6">
        <v>82</v>
      </c>
      <c r="L2370" s="7" t="s">
        <v>1170</v>
      </c>
      <c r="M2370" s="8">
        <v>2204296</v>
      </c>
      <c r="N2370" s="8" t="str">
        <f t="shared" si="181"/>
        <v>PEN</v>
      </c>
      <c r="O2370" s="13"/>
      <c r="P2370" s="13">
        <v>460.62</v>
      </c>
      <c r="Q2370" s="3">
        <f t="shared" si="182"/>
        <v>460.62</v>
      </c>
      <c r="R2370" s="3">
        <f t="shared" si="183"/>
        <v>0</v>
      </c>
      <c r="S2370" s="3">
        <f t="shared" si="184"/>
        <v>10332.440000000039</v>
      </c>
      <c r="T2370" s="24" t="s">
        <v>1081</v>
      </c>
      <c r="U2370" s="24" t="s">
        <v>1081</v>
      </c>
      <c r="V2370" s="69"/>
      <c r="W2370" s="25">
        <f>IFERROR(VLOOKUP(BCP_Soles[[#This Row],[DESTINATARIO]],CHOOSE({1,2},Clientes_Proveedores[Razon Social],Clientes_Proveedores[Ruc / Dni]),2,0),"")</f>
        <v>20558226979</v>
      </c>
      <c r="X2370" s="25"/>
      <c r="Y2370" s="25" t="s">
        <v>3427</v>
      </c>
      <c r="Z2370" s="25"/>
      <c r="AA2370" s="99"/>
      <c r="AB2370" s="3" t="str">
        <f>IF(BCP_Soles[[#This Row],[FECHA]]&gt;0,TEXT(BCP_Soles[[#This Row],[FECHA]],"mmmm"),0)</f>
        <v>Julio</v>
      </c>
    </row>
    <row r="2371" spans="2:28" ht="24" x14ac:dyDescent="0.3">
      <c r="B2371" s="2">
        <f>IF(BCP_Soles[[#This Row],[TIPO DE R.]]="R",COUNTIFS($D$4:$D2370,"R")+1,"")</f>
        <v>1781</v>
      </c>
      <c r="C2371" s="19" t="str">
        <f t="shared" si="180"/>
        <v>B-BCP - Soles</v>
      </c>
      <c r="D2371" s="3" t="s">
        <v>1074</v>
      </c>
      <c r="E2371" s="14">
        <v>45841</v>
      </c>
      <c r="F2371" s="5" t="s">
        <v>3428</v>
      </c>
      <c r="G2371" s="5" t="s">
        <v>1087</v>
      </c>
      <c r="H2371" s="6" t="s">
        <v>368</v>
      </c>
      <c r="I2371" s="6" t="s">
        <v>63</v>
      </c>
      <c r="J2371" s="6">
        <v>1</v>
      </c>
      <c r="K2371" s="6">
        <v>4570</v>
      </c>
      <c r="L2371" s="7" t="s">
        <v>1100</v>
      </c>
      <c r="M2371" s="8">
        <v>3518668</v>
      </c>
      <c r="N2371" s="8" t="str">
        <f t="shared" si="181"/>
        <v>PEN</v>
      </c>
      <c r="O2371" s="13"/>
      <c r="P2371" s="13">
        <v>180</v>
      </c>
      <c r="Q2371" s="3">
        <f t="shared" si="182"/>
        <v>180</v>
      </c>
      <c r="R2371" s="3">
        <f t="shared" si="183"/>
        <v>0</v>
      </c>
      <c r="S2371" s="3">
        <f t="shared" si="184"/>
        <v>10512.440000000039</v>
      </c>
      <c r="T2371" s="24" t="s">
        <v>1081</v>
      </c>
      <c r="U2371" s="24" t="s">
        <v>1081</v>
      </c>
      <c r="V2371" s="69"/>
      <c r="W2371" s="25">
        <f>IFERROR(VLOOKUP(BCP_Soles[[#This Row],[DESTINATARIO]],CHOOSE({1,2},Clientes_Proveedores[Razon Social],Clientes_Proveedores[Ruc / Dni]),2,0),"")</f>
        <v>20558226979</v>
      </c>
      <c r="X2371" s="25"/>
      <c r="Y2371" s="25" t="s">
        <v>3429</v>
      </c>
      <c r="Z2371" s="25"/>
      <c r="AA2371" s="99"/>
      <c r="AB2371" s="3" t="str">
        <f>IF(BCP_Soles[[#This Row],[FECHA]]&gt;0,TEXT(BCP_Soles[[#This Row],[FECHA]],"mmmm"),0)</f>
        <v>Julio</v>
      </c>
    </row>
    <row r="2372" spans="2:28" ht="60" x14ac:dyDescent="0.3">
      <c r="B2372" s="2">
        <f>IF(BCP_Soles[[#This Row],[TIPO DE R.]]="R",COUNTIFS($D$4:$D2371,"R")+1,"")</f>
        <v>1782</v>
      </c>
      <c r="C2372" s="19" t="str">
        <f t="shared" si="180"/>
        <v>B-BCP - Soles</v>
      </c>
      <c r="D2372" s="3" t="s">
        <v>1074</v>
      </c>
      <c r="E2372" s="14">
        <v>45841</v>
      </c>
      <c r="F2372" s="5" t="s">
        <v>238</v>
      </c>
      <c r="G2372" s="5" t="s">
        <v>1087</v>
      </c>
      <c r="H2372" s="6" t="s">
        <v>368</v>
      </c>
      <c r="I2372" s="6" t="s">
        <v>14</v>
      </c>
      <c r="J2372" s="6" t="s">
        <v>3010</v>
      </c>
      <c r="K2372" s="6">
        <v>78</v>
      </c>
      <c r="L2372" s="7" t="s">
        <v>1170</v>
      </c>
      <c r="M2372" s="8">
        <v>2198432</v>
      </c>
      <c r="N2372" s="8" t="str">
        <f t="shared" si="181"/>
        <v>PEN</v>
      </c>
      <c r="O2372" s="13"/>
      <c r="P2372" s="13">
        <v>104.9</v>
      </c>
      <c r="Q2372" s="3">
        <f t="shared" si="182"/>
        <v>104.9</v>
      </c>
      <c r="R2372" s="3">
        <f t="shared" si="183"/>
        <v>0</v>
      </c>
      <c r="S2372" s="3">
        <f t="shared" si="184"/>
        <v>10617.340000000038</v>
      </c>
      <c r="T2372" s="24" t="s">
        <v>1081</v>
      </c>
      <c r="U2372" s="24" t="s">
        <v>1081</v>
      </c>
      <c r="V2372" s="69"/>
      <c r="W2372" s="25">
        <f>IFERROR(VLOOKUP(BCP_Soles[[#This Row],[DESTINATARIO]],CHOOSE({1,2},Clientes_Proveedores[Razon Social],Clientes_Proveedores[Ruc / Dni]),2,0),"")</f>
        <v>20558226979</v>
      </c>
      <c r="X2372" s="25"/>
      <c r="Y2372" s="25"/>
      <c r="Z2372" s="25"/>
      <c r="AA2372" s="99"/>
      <c r="AB2372" s="3" t="str">
        <f>IF(BCP_Soles[[#This Row],[FECHA]]&gt;0,TEXT(BCP_Soles[[#This Row],[FECHA]],"mmmm"),0)</f>
        <v>Julio</v>
      </c>
    </row>
    <row r="2373" spans="2:28" ht="24" x14ac:dyDescent="0.3">
      <c r="B2373" s="2">
        <f>IF(BCP_Soles[[#This Row],[TIPO DE R.]]="R",COUNTIFS($D$4:$D2372,"R")+1,"")</f>
        <v>1783</v>
      </c>
      <c r="C2373" s="19" t="str">
        <f t="shared" ref="C2373:C2436" si="185">"B-BCP - Soles"</f>
        <v>B-BCP - Soles</v>
      </c>
      <c r="D2373" s="3" t="s">
        <v>1074</v>
      </c>
      <c r="E2373" s="14">
        <v>45841</v>
      </c>
      <c r="F2373" s="5" t="s">
        <v>3430</v>
      </c>
      <c r="G2373" s="5" t="s">
        <v>1087</v>
      </c>
      <c r="H2373" s="6" t="s">
        <v>368</v>
      </c>
      <c r="I2373" s="6" t="s">
        <v>63</v>
      </c>
      <c r="J2373" s="6">
        <v>1</v>
      </c>
      <c r="K2373" s="6">
        <v>4575</v>
      </c>
      <c r="L2373" s="7" t="s">
        <v>1100</v>
      </c>
      <c r="M2373" s="8">
        <v>3489968</v>
      </c>
      <c r="N2373" s="8" t="str">
        <f t="shared" ref="N2373:N2436" si="186">"PEN"</f>
        <v>PEN</v>
      </c>
      <c r="O2373" s="13"/>
      <c r="P2373" s="13">
        <v>40</v>
      </c>
      <c r="Q2373" s="3">
        <f t="shared" ref="Q2373:Q2436" si="187">+IF(OR($G2373="SALDO",$G2373="INGRESO"),$P2373,0)</f>
        <v>40</v>
      </c>
      <c r="R2373" s="3">
        <f t="shared" ref="R2373:R2436" si="188">+IF($G2373="EGRESO",$P2373,0)</f>
        <v>0</v>
      </c>
      <c r="S2373" s="3">
        <f t="shared" ref="S2373:S2436" si="189">IFERROR(IF(G2373="SALDO",Q2373,S2372+Q2373-R2373),0)</f>
        <v>10657.340000000038</v>
      </c>
      <c r="T2373" s="24" t="s">
        <v>1081</v>
      </c>
      <c r="U2373" s="24" t="s">
        <v>1081</v>
      </c>
      <c r="V2373" s="69"/>
      <c r="W2373" s="25">
        <f>IFERROR(VLOOKUP(BCP_Soles[[#This Row],[DESTINATARIO]],CHOOSE({1,2},Clientes_Proveedores[Razon Social],Clientes_Proveedores[Ruc / Dni]),2,0),"")</f>
        <v>20558226979</v>
      </c>
      <c r="X2373" s="25"/>
      <c r="Y2373" s="25" t="s">
        <v>3431</v>
      </c>
      <c r="Z2373" s="25"/>
      <c r="AA2373" s="99"/>
      <c r="AB2373" s="3" t="str">
        <f>IF(BCP_Soles[[#This Row],[FECHA]]&gt;0,TEXT(BCP_Soles[[#This Row],[FECHA]],"mmmm"),0)</f>
        <v>Julio</v>
      </c>
    </row>
    <row r="2374" spans="2:28" x14ac:dyDescent="0.3">
      <c r="B2374" s="2">
        <f>IF(BCP_Soles[[#This Row],[TIPO DE R.]]="R",COUNTIFS($D$4:$D2373,"R")+1,"")</f>
        <v>1784</v>
      </c>
      <c r="C2374" s="19" t="str">
        <f t="shared" si="185"/>
        <v>B-BCP - Soles</v>
      </c>
      <c r="D2374" s="3" t="s">
        <v>1074</v>
      </c>
      <c r="E2374" s="14">
        <v>45841</v>
      </c>
      <c r="F2374" s="5" t="s">
        <v>1075</v>
      </c>
      <c r="G2374" s="5" t="s">
        <v>1079</v>
      </c>
      <c r="H2374" s="6" t="s">
        <v>350</v>
      </c>
      <c r="I2374" s="6" t="s">
        <v>14</v>
      </c>
      <c r="J2374" s="6" t="s">
        <v>3432</v>
      </c>
      <c r="K2374" s="6">
        <v>23159</v>
      </c>
      <c r="L2374" s="7" t="s">
        <v>3433</v>
      </c>
      <c r="M2374" s="8">
        <v>226851</v>
      </c>
      <c r="N2374" s="8" t="str">
        <f t="shared" si="186"/>
        <v>PEN</v>
      </c>
      <c r="O2374" s="13"/>
      <c r="P2374" s="13">
        <v>196.52</v>
      </c>
      <c r="Q2374" s="3">
        <f t="shared" si="187"/>
        <v>0</v>
      </c>
      <c r="R2374" s="3">
        <f t="shared" si="188"/>
        <v>196.52</v>
      </c>
      <c r="S2374" s="3">
        <f t="shared" si="189"/>
        <v>10460.820000000038</v>
      </c>
      <c r="T2374" s="24" t="s">
        <v>1081</v>
      </c>
      <c r="U2374" s="24" t="s">
        <v>1081</v>
      </c>
      <c r="V2374" s="104" t="s">
        <v>3434</v>
      </c>
      <c r="W2374" s="25">
        <f>IFERROR(VLOOKUP(BCP_Soles[[#This Row],[DESTINATARIO]],CHOOSE({1,2},Clientes_Proveedores[Razon Social],Clientes_Proveedores[Ruc / Dni]),2,0),"")</f>
        <v>20549068201</v>
      </c>
      <c r="X2374" s="25" t="s">
        <v>1223</v>
      </c>
      <c r="Y2374" s="25" t="s">
        <v>3435</v>
      </c>
      <c r="Z2374" s="25"/>
      <c r="AA2374" s="99"/>
      <c r="AB2374" s="3" t="str">
        <f>IF(BCP_Soles[[#This Row],[FECHA]]&gt;0,TEXT(BCP_Soles[[#This Row],[FECHA]],"mmmm"),0)</f>
        <v>Julio</v>
      </c>
    </row>
    <row r="2375" spans="2:28" ht="36" x14ac:dyDescent="0.3">
      <c r="B2375" s="2">
        <f>IF(BCP_Soles[[#This Row],[TIPO DE R.]]="R",COUNTIFS($D$4:$D2374,"R")+1,"")</f>
        <v>1785</v>
      </c>
      <c r="C2375" s="19" t="str">
        <f t="shared" si="185"/>
        <v>B-BCP - Soles</v>
      </c>
      <c r="D2375" s="3" t="s">
        <v>1074</v>
      </c>
      <c r="E2375" s="14">
        <v>45841</v>
      </c>
      <c r="F2375" s="5" t="s">
        <v>1075</v>
      </c>
      <c r="G2375" s="5" t="s">
        <v>1079</v>
      </c>
      <c r="H2375" s="6" t="s">
        <v>637</v>
      </c>
      <c r="I2375" s="6"/>
      <c r="J2375" s="6"/>
      <c r="K2375" s="6"/>
      <c r="L2375" s="7" t="s">
        <v>3268</v>
      </c>
      <c r="M2375" s="8">
        <v>226852</v>
      </c>
      <c r="N2375" s="8" t="str">
        <f t="shared" si="186"/>
        <v>PEN</v>
      </c>
      <c r="O2375" s="13"/>
      <c r="P2375" s="13">
        <v>3147.66</v>
      </c>
      <c r="Q2375" s="3">
        <f t="shared" si="187"/>
        <v>0</v>
      </c>
      <c r="R2375" s="3">
        <f t="shared" si="188"/>
        <v>3147.66</v>
      </c>
      <c r="S2375" s="3">
        <f t="shared" si="189"/>
        <v>7313.1600000000381</v>
      </c>
      <c r="T2375" s="24" t="s">
        <v>1081</v>
      </c>
      <c r="U2375" s="24" t="s">
        <v>1081</v>
      </c>
      <c r="V2375" s="104" t="s">
        <v>3436</v>
      </c>
      <c r="W2375" s="25">
        <f>IFERROR(VLOOKUP(BCP_Soles[[#This Row],[DESTINATARIO]],CHOOSE({1,2},Clientes_Proveedores[Razon Social],Clientes_Proveedores[Ruc / Dni]),2,0),"")</f>
        <v>20127765279</v>
      </c>
      <c r="X2375" s="25" t="s">
        <v>1124</v>
      </c>
      <c r="Y2375" s="25" t="s">
        <v>3437</v>
      </c>
      <c r="Z2375" s="25"/>
      <c r="AA2375" s="99"/>
      <c r="AB2375" s="3" t="str">
        <f>IF(BCP_Soles[[#This Row],[FECHA]]&gt;0,TEXT(BCP_Soles[[#This Row],[FECHA]],"mmmm"),0)</f>
        <v>Julio</v>
      </c>
    </row>
    <row r="2376" spans="2:28" x14ac:dyDescent="0.3">
      <c r="B2376" s="2" t="str">
        <f>IF(BCP_Soles[[#This Row],[TIPO DE R.]]="R",COUNTIFS($D$4:$D2375,"R")+1,"")</f>
        <v/>
      </c>
      <c r="C2376" s="19" t="str">
        <f t="shared" si="185"/>
        <v>B-BCP - Soles</v>
      </c>
      <c r="D2376" s="3" t="s">
        <v>1101</v>
      </c>
      <c r="E2376" s="14">
        <v>45841</v>
      </c>
      <c r="F2376" s="5" t="s">
        <v>1075</v>
      </c>
      <c r="G2376" s="5"/>
      <c r="H2376" s="6" t="s">
        <v>637</v>
      </c>
      <c r="I2376" s="6" t="s">
        <v>14</v>
      </c>
      <c r="J2376" s="6" t="s">
        <v>1122</v>
      </c>
      <c r="K2376" s="6">
        <v>171296</v>
      </c>
      <c r="L2376" s="7" t="s">
        <v>3268</v>
      </c>
      <c r="M2376" s="8">
        <v>226852</v>
      </c>
      <c r="N2376" s="8" t="str">
        <f t="shared" si="186"/>
        <v>PEN</v>
      </c>
      <c r="O2376" s="13">
        <v>208.42</v>
      </c>
      <c r="P2376" s="13"/>
      <c r="Q2376" s="3">
        <f t="shared" si="187"/>
        <v>0</v>
      </c>
      <c r="R2376" s="3">
        <f t="shared" si="188"/>
        <v>0</v>
      </c>
      <c r="S2376" s="3">
        <f t="shared" si="189"/>
        <v>7313.1600000000381</v>
      </c>
      <c r="T2376" s="24" t="s">
        <v>1081</v>
      </c>
      <c r="U2376" s="24" t="s">
        <v>1081</v>
      </c>
      <c r="V2376" s="104" t="s">
        <v>3436</v>
      </c>
      <c r="W2376" s="25">
        <f>IFERROR(VLOOKUP(BCP_Soles[[#This Row],[DESTINATARIO]],CHOOSE({1,2},Clientes_Proveedores[Razon Social],Clientes_Proveedores[Ruc / Dni]),2,0),"")</f>
        <v>20127765279</v>
      </c>
      <c r="X2376" s="25"/>
      <c r="Y2376" s="25"/>
      <c r="Z2376" s="25"/>
      <c r="AA2376" s="99"/>
      <c r="AB2376" s="3" t="str">
        <f>IF(BCP_Soles[[#This Row],[FECHA]]&gt;0,TEXT(BCP_Soles[[#This Row],[FECHA]],"mmmm"),0)</f>
        <v>Julio</v>
      </c>
    </row>
    <row r="2377" spans="2:28" x14ac:dyDescent="0.3">
      <c r="B2377" s="2" t="str">
        <f>IF(BCP_Soles[[#This Row],[TIPO DE R.]]="R",COUNTIFS($D$4:$D2376,"R")+1,"")</f>
        <v/>
      </c>
      <c r="C2377" s="19" t="str">
        <f t="shared" si="185"/>
        <v>B-BCP - Soles</v>
      </c>
      <c r="D2377" s="3" t="s">
        <v>1101</v>
      </c>
      <c r="E2377" s="14">
        <v>45841</v>
      </c>
      <c r="F2377" s="5" t="s">
        <v>1075</v>
      </c>
      <c r="G2377" s="5"/>
      <c r="H2377" s="6" t="s">
        <v>637</v>
      </c>
      <c r="I2377" s="6" t="s">
        <v>14</v>
      </c>
      <c r="J2377" s="6" t="s">
        <v>1122</v>
      </c>
      <c r="K2377" s="6">
        <v>170648</v>
      </c>
      <c r="L2377" s="7" t="s">
        <v>3268</v>
      </c>
      <c r="M2377" s="8">
        <v>226852</v>
      </c>
      <c r="N2377" s="8" t="str">
        <f t="shared" si="186"/>
        <v>PEN</v>
      </c>
      <c r="O2377" s="13">
        <v>1010.53</v>
      </c>
      <c r="P2377" s="13"/>
      <c r="Q2377" s="3">
        <f t="shared" si="187"/>
        <v>0</v>
      </c>
      <c r="R2377" s="3">
        <f t="shared" si="188"/>
        <v>0</v>
      </c>
      <c r="S2377" s="3">
        <f t="shared" si="189"/>
        <v>7313.1600000000381</v>
      </c>
      <c r="T2377" s="24" t="s">
        <v>1081</v>
      </c>
      <c r="U2377" s="24" t="s">
        <v>1081</v>
      </c>
      <c r="V2377" s="104" t="s">
        <v>3436</v>
      </c>
      <c r="W2377" s="25">
        <f>IFERROR(VLOOKUP(BCP_Soles[[#This Row],[DESTINATARIO]],CHOOSE({1,2},Clientes_Proveedores[Razon Social],Clientes_Proveedores[Ruc / Dni]),2,0),"")</f>
        <v>20127765279</v>
      </c>
      <c r="X2377" s="25"/>
      <c r="Y2377" s="25"/>
      <c r="Z2377" s="25"/>
      <c r="AA2377" s="99"/>
      <c r="AB2377" s="3" t="str">
        <f>IF(BCP_Soles[[#This Row],[FECHA]]&gt;0,TEXT(BCP_Soles[[#This Row],[FECHA]],"mmmm"),0)</f>
        <v>Julio</v>
      </c>
    </row>
    <row r="2378" spans="2:28" x14ac:dyDescent="0.3">
      <c r="B2378" s="2" t="str">
        <f>IF(BCP_Soles[[#This Row],[TIPO DE R.]]="R",COUNTIFS($D$4:$D2377,"R")+1,"")</f>
        <v/>
      </c>
      <c r="C2378" s="19" t="str">
        <f t="shared" si="185"/>
        <v>B-BCP - Soles</v>
      </c>
      <c r="D2378" s="3" t="s">
        <v>1101</v>
      </c>
      <c r="E2378" s="14">
        <v>45841</v>
      </c>
      <c r="F2378" s="5" t="s">
        <v>1075</v>
      </c>
      <c r="G2378" s="5"/>
      <c r="H2378" s="6" t="s">
        <v>637</v>
      </c>
      <c r="I2378" s="6" t="s">
        <v>14</v>
      </c>
      <c r="J2378" s="6" t="s">
        <v>1122</v>
      </c>
      <c r="K2378" s="6">
        <v>170630</v>
      </c>
      <c r="L2378" s="7" t="s">
        <v>3268</v>
      </c>
      <c r="M2378" s="8">
        <v>226852</v>
      </c>
      <c r="N2378" s="8" t="str">
        <f t="shared" si="186"/>
        <v>PEN</v>
      </c>
      <c r="O2378" s="13">
        <v>1928.71</v>
      </c>
      <c r="P2378" s="13"/>
      <c r="Q2378" s="3">
        <f t="shared" si="187"/>
        <v>0</v>
      </c>
      <c r="R2378" s="3">
        <f t="shared" si="188"/>
        <v>0</v>
      </c>
      <c r="S2378" s="3">
        <f t="shared" si="189"/>
        <v>7313.1600000000381</v>
      </c>
      <c r="T2378" s="24" t="s">
        <v>1081</v>
      </c>
      <c r="U2378" s="24" t="s">
        <v>1081</v>
      </c>
      <c r="V2378" s="104" t="s">
        <v>3436</v>
      </c>
      <c r="W2378" s="25">
        <f>IFERROR(VLOOKUP(BCP_Soles[[#This Row],[DESTINATARIO]],CHOOSE({1,2},Clientes_Proveedores[Razon Social],Clientes_Proveedores[Ruc / Dni]),2,0),"")</f>
        <v>20127765279</v>
      </c>
      <c r="X2378" s="25"/>
      <c r="Y2378" s="25"/>
      <c r="Z2378" s="25"/>
      <c r="AA2378" s="99"/>
      <c r="AB2378" s="3" t="str">
        <f>IF(BCP_Soles[[#This Row],[FECHA]]&gt;0,TEXT(BCP_Soles[[#This Row],[FECHA]],"mmmm"),0)</f>
        <v>Julio</v>
      </c>
    </row>
    <row r="2379" spans="2:28" x14ac:dyDescent="0.3">
      <c r="B2379" s="2">
        <f>IF(BCP_Soles[[#This Row],[TIPO DE R.]]="R",COUNTIFS($D$4:$D2378,"R")+1,"")</f>
        <v>1786</v>
      </c>
      <c r="C2379" s="19" t="str">
        <f t="shared" si="185"/>
        <v>B-BCP - Soles</v>
      </c>
      <c r="D2379" s="3" t="s">
        <v>1074</v>
      </c>
      <c r="E2379" s="14">
        <v>45841</v>
      </c>
      <c r="F2379" s="5" t="s">
        <v>1075</v>
      </c>
      <c r="G2379" s="5" t="s">
        <v>1079</v>
      </c>
      <c r="H2379" s="6" t="s">
        <v>638</v>
      </c>
      <c r="I2379" s="6"/>
      <c r="J2379" s="6"/>
      <c r="K2379" s="6"/>
      <c r="L2379" s="7" t="s">
        <v>3438</v>
      </c>
      <c r="M2379" s="8">
        <v>5424982</v>
      </c>
      <c r="N2379" s="8" t="str">
        <f t="shared" si="186"/>
        <v>PEN</v>
      </c>
      <c r="O2379" s="13"/>
      <c r="P2379" s="13">
        <v>5109.3599999999997</v>
      </c>
      <c r="Q2379" s="3">
        <f t="shared" si="187"/>
        <v>0</v>
      </c>
      <c r="R2379" s="3">
        <f t="shared" si="188"/>
        <v>5109.3599999999997</v>
      </c>
      <c r="S2379" s="3">
        <f t="shared" si="189"/>
        <v>2203.8000000000384</v>
      </c>
      <c r="T2379" s="24" t="s">
        <v>1081</v>
      </c>
      <c r="U2379" s="24" t="s">
        <v>1081</v>
      </c>
      <c r="V2379" s="104" t="s">
        <v>3439</v>
      </c>
      <c r="W2379" s="25">
        <f>IFERROR(VLOOKUP(BCP_Soles[[#This Row],[DESTINATARIO]],CHOOSE({1,2},Clientes_Proveedores[Razon Social],Clientes_Proveedores[Ruc / Dni]),2,0),"")</f>
        <v>0</v>
      </c>
      <c r="X2379" s="25" t="s">
        <v>638</v>
      </c>
      <c r="Y2379" s="25"/>
      <c r="Z2379" s="25"/>
      <c r="AA2379" s="99"/>
      <c r="AB2379" s="3" t="str">
        <f>IF(BCP_Soles[[#This Row],[FECHA]]&gt;0,TEXT(BCP_Soles[[#This Row],[FECHA]],"mmmm"),0)</f>
        <v>Julio</v>
      </c>
    </row>
    <row r="2380" spans="2:28" x14ac:dyDescent="0.3">
      <c r="B2380" s="2" t="str">
        <f>IF(BCP_Soles[[#This Row],[TIPO DE R.]]="R",COUNTIFS($D$4:$D2379,"R")+1,"")</f>
        <v/>
      </c>
      <c r="C2380" s="19" t="str">
        <f t="shared" si="185"/>
        <v>B-BCP - Soles</v>
      </c>
      <c r="D2380" s="3" t="s">
        <v>1101</v>
      </c>
      <c r="E2380" s="14">
        <v>45841</v>
      </c>
      <c r="F2380" s="5" t="s">
        <v>1075</v>
      </c>
      <c r="G2380" s="5"/>
      <c r="H2380" s="6" t="s">
        <v>465</v>
      </c>
      <c r="I2380" s="6" t="s">
        <v>14</v>
      </c>
      <c r="J2380" s="6" t="s">
        <v>1121</v>
      </c>
      <c r="K2380" s="6">
        <v>3968</v>
      </c>
      <c r="L2380" s="7" t="s">
        <v>3438</v>
      </c>
      <c r="M2380" s="8">
        <v>5424982</v>
      </c>
      <c r="N2380" s="8" t="str">
        <f t="shared" si="186"/>
        <v>PEN</v>
      </c>
      <c r="O2380" s="13">
        <v>200.6</v>
      </c>
      <c r="P2380" s="13"/>
      <c r="Q2380" s="3">
        <f t="shared" si="187"/>
        <v>0</v>
      </c>
      <c r="R2380" s="3">
        <f t="shared" si="188"/>
        <v>0</v>
      </c>
      <c r="S2380" s="3">
        <f t="shared" si="189"/>
        <v>2203.8000000000384</v>
      </c>
      <c r="T2380" s="24" t="s">
        <v>1081</v>
      </c>
      <c r="U2380" s="24" t="s">
        <v>1081</v>
      </c>
      <c r="V2380" s="104" t="s">
        <v>3439</v>
      </c>
      <c r="W2380" s="25">
        <f>IFERROR(VLOOKUP(BCP_Soles[[#This Row],[DESTINATARIO]],CHOOSE({1,2},Clientes_Proveedores[Razon Social],Clientes_Proveedores[Ruc / Dni]),2,0),"")</f>
        <v>20603974817</v>
      </c>
      <c r="X2380" s="25"/>
      <c r="Y2380" s="25"/>
      <c r="Z2380" s="25"/>
      <c r="AA2380" s="99"/>
      <c r="AB2380" s="3" t="str">
        <f>IF(BCP_Soles[[#This Row],[FECHA]]&gt;0,TEXT(BCP_Soles[[#This Row],[FECHA]],"mmmm"),0)</f>
        <v>Julio</v>
      </c>
    </row>
    <row r="2381" spans="2:28" x14ac:dyDescent="0.3">
      <c r="B2381" s="2" t="str">
        <f>IF(BCP_Soles[[#This Row],[TIPO DE R.]]="R",COUNTIFS($D$4:$D2380,"R")+1,"")</f>
        <v/>
      </c>
      <c r="C2381" s="19" t="str">
        <f t="shared" si="185"/>
        <v>B-BCP - Soles</v>
      </c>
      <c r="D2381" s="3" t="s">
        <v>1101</v>
      </c>
      <c r="E2381" s="14">
        <v>45841</v>
      </c>
      <c r="F2381" s="5" t="s">
        <v>1075</v>
      </c>
      <c r="G2381" s="5"/>
      <c r="H2381" s="6" t="s">
        <v>465</v>
      </c>
      <c r="I2381" s="6" t="s">
        <v>14</v>
      </c>
      <c r="J2381" s="6" t="s">
        <v>1121</v>
      </c>
      <c r="K2381" s="6">
        <v>3991</v>
      </c>
      <c r="L2381" s="7" t="s">
        <v>3438</v>
      </c>
      <c r="M2381" s="8">
        <v>5424982</v>
      </c>
      <c r="N2381" s="8" t="str">
        <f t="shared" si="186"/>
        <v>PEN</v>
      </c>
      <c r="O2381" s="13">
        <v>632.1</v>
      </c>
      <c r="P2381" s="13"/>
      <c r="Q2381" s="3">
        <f t="shared" si="187"/>
        <v>0</v>
      </c>
      <c r="R2381" s="3">
        <f t="shared" si="188"/>
        <v>0</v>
      </c>
      <c r="S2381" s="3">
        <f t="shared" si="189"/>
        <v>2203.8000000000384</v>
      </c>
      <c r="T2381" s="24" t="s">
        <v>1081</v>
      </c>
      <c r="U2381" s="24" t="s">
        <v>1081</v>
      </c>
      <c r="V2381" s="104" t="s">
        <v>3439</v>
      </c>
      <c r="W2381" s="25">
        <f>IFERROR(VLOOKUP(BCP_Soles[[#This Row],[DESTINATARIO]],CHOOSE({1,2},Clientes_Proveedores[Razon Social],Clientes_Proveedores[Ruc / Dni]),2,0),"")</f>
        <v>20603974817</v>
      </c>
      <c r="X2381" s="25"/>
      <c r="Y2381" s="25"/>
      <c r="Z2381" s="25"/>
      <c r="AA2381" s="99"/>
      <c r="AB2381" s="3" t="str">
        <f>IF(BCP_Soles[[#This Row],[FECHA]]&gt;0,TEXT(BCP_Soles[[#This Row],[FECHA]],"mmmm"),0)</f>
        <v>Julio</v>
      </c>
    </row>
    <row r="2382" spans="2:28" x14ac:dyDescent="0.3">
      <c r="B2382" s="2" t="str">
        <f>IF(BCP_Soles[[#This Row],[TIPO DE R.]]="R",COUNTIFS($D$4:$D2381,"R")+1,"")</f>
        <v/>
      </c>
      <c r="C2382" s="19" t="str">
        <f t="shared" si="185"/>
        <v>B-BCP - Soles</v>
      </c>
      <c r="D2382" s="3" t="s">
        <v>1101</v>
      </c>
      <c r="E2382" s="14">
        <v>45841</v>
      </c>
      <c r="F2382" s="5" t="s">
        <v>1075</v>
      </c>
      <c r="G2382" s="5"/>
      <c r="H2382" s="6" t="s">
        <v>465</v>
      </c>
      <c r="I2382" s="6" t="s">
        <v>14</v>
      </c>
      <c r="J2382" s="6" t="s">
        <v>1121</v>
      </c>
      <c r="K2382" s="6">
        <v>3972</v>
      </c>
      <c r="L2382" s="7" t="s">
        <v>3438</v>
      </c>
      <c r="M2382" s="8">
        <v>5424982</v>
      </c>
      <c r="N2382" s="8" t="str">
        <f t="shared" si="186"/>
        <v>PEN</v>
      </c>
      <c r="O2382" s="13">
        <v>300.89999999999998</v>
      </c>
      <c r="P2382" s="13"/>
      <c r="Q2382" s="3">
        <f t="shared" si="187"/>
        <v>0</v>
      </c>
      <c r="R2382" s="3">
        <f t="shared" si="188"/>
        <v>0</v>
      </c>
      <c r="S2382" s="3">
        <f t="shared" si="189"/>
        <v>2203.8000000000384</v>
      </c>
      <c r="T2382" s="24" t="s">
        <v>1081</v>
      </c>
      <c r="U2382" s="24" t="s">
        <v>1081</v>
      </c>
      <c r="V2382" s="104" t="s">
        <v>3439</v>
      </c>
      <c r="W2382" s="25">
        <f>IFERROR(VLOOKUP(BCP_Soles[[#This Row],[DESTINATARIO]],CHOOSE({1,2},Clientes_Proveedores[Razon Social],Clientes_Proveedores[Ruc / Dni]),2,0),"")</f>
        <v>20603974817</v>
      </c>
      <c r="X2382" s="25"/>
      <c r="Y2382" s="25"/>
      <c r="Z2382" s="25"/>
      <c r="AA2382" s="99"/>
      <c r="AB2382" s="3" t="str">
        <f>IF(BCP_Soles[[#This Row],[FECHA]]&gt;0,TEXT(BCP_Soles[[#This Row],[FECHA]],"mmmm"),0)</f>
        <v>Julio</v>
      </c>
    </row>
    <row r="2383" spans="2:28" x14ac:dyDescent="0.3">
      <c r="B2383" s="2" t="str">
        <f>IF(BCP_Soles[[#This Row],[TIPO DE R.]]="R",COUNTIFS($D$4:$D2382,"R")+1,"")</f>
        <v/>
      </c>
      <c r="C2383" s="19" t="str">
        <f t="shared" si="185"/>
        <v>B-BCP - Soles</v>
      </c>
      <c r="D2383" s="3" t="s">
        <v>1101</v>
      </c>
      <c r="E2383" s="14">
        <v>45841</v>
      </c>
      <c r="F2383" s="5" t="s">
        <v>1075</v>
      </c>
      <c r="G2383" s="5"/>
      <c r="H2383" s="6" t="s">
        <v>465</v>
      </c>
      <c r="I2383" s="6" t="s">
        <v>14</v>
      </c>
      <c r="J2383" s="6" t="s">
        <v>1121</v>
      </c>
      <c r="K2383" s="6">
        <v>3970</v>
      </c>
      <c r="L2383" s="7" t="s">
        <v>3438</v>
      </c>
      <c r="M2383" s="8">
        <v>5424982</v>
      </c>
      <c r="N2383" s="8" t="str">
        <f t="shared" si="186"/>
        <v>PEN</v>
      </c>
      <c r="O2383" s="13">
        <v>200.6</v>
      </c>
      <c r="P2383" s="13"/>
      <c r="Q2383" s="3">
        <f t="shared" si="187"/>
        <v>0</v>
      </c>
      <c r="R2383" s="3">
        <f t="shared" si="188"/>
        <v>0</v>
      </c>
      <c r="S2383" s="3">
        <f t="shared" si="189"/>
        <v>2203.8000000000384</v>
      </c>
      <c r="T2383" s="24" t="s">
        <v>1081</v>
      </c>
      <c r="U2383" s="24" t="s">
        <v>1081</v>
      </c>
      <c r="V2383" s="104" t="s">
        <v>3439</v>
      </c>
      <c r="W2383" s="25">
        <f>IFERROR(VLOOKUP(BCP_Soles[[#This Row],[DESTINATARIO]],CHOOSE({1,2},Clientes_Proveedores[Razon Social],Clientes_Proveedores[Ruc / Dni]),2,0),"")</f>
        <v>20603974817</v>
      </c>
      <c r="X2383" s="25"/>
      <c r="Y2383" s="25"/>
      <c r="Z2383" s="25"/>
      <c r="AA2383" s="99"/>
      <c r="AB2383" s="3" t="str">
        <f>IF(BCP_Soles[[#This Row],[FECHA]]&gt;0,TEXT(BCP_Soles[[#This Row],[FECHA]],"mmmm"),0)</f>
        <v>Julio</v>
      </c>
    </row>
    <row r="2384" spans="2:28" x14ac:dyDescent="0.3">
      <c r="B2384" s="2" t="str">
        <f>IF(BCP_Soles[[#This Row],[TIPO DE R.]]="R",COUNTIFS($D$4:$D2383,"R")+1,"")</f>
        <v/>
      </c>
      <c r="C2384" s="19" t="str">
        <f t="shared" si="185"/>
        <v>B-BCP - Soles</v>
      </c>
      <c r="D2384" s="3" t="s">
        <v>1101</v>
      </c>
      <c r="E2384" s="14">
        <v>45841</v>
      </c>
      <c r="F2384" s="5" t="s">
        <v>1075</v>
      </c>
      <c r="G2384" s="5"/>
      <c r="H2384" s="6" t="s">
        <v>465</v>
      </c>
      <c r="I2384" s="6" t="s">
        <v>14</v>
      </c>
      <c r="J2384" s="6" t="s">
        <v>1121</v>
      </c>
      <c r="K2384" s="6">
        <v>3987</v>
      </c>
      <c r="L2384" s="7" t="s">
        <v>3438</v>
      </c>
      <c r="M2384" s="8">
        <v>5424982</v>
      </c>
      <c r="N2384" s="8" t="str">
        <f t="shared" si="186"/>
        <v>PEN</v>
      </c>
      <c r="O2384" s="13">
        <v>200.6</v>
      </c>
      <c r="P2384" s="13"/>
      <c r="Q2384" s="3">
        <f t="shared" si="187"/>
        <v>0</v>
      </c>
      <c r="R2384" s="3">
        <f t="shared" si="188"/>
        <v>0</v>
      </c>
      <c r="S2384" s="3">
        <f t="shared" si="189"/>
        <v>2203.8000000000384</v>
      </c>
      <c r="T2384" s="24" t="s">
        <v>1081</v>
      </c>
      <c r="U2384" s="24" t="s">
        <v>1081</v>
      </c>
      <c r="V2384" s="104" t="s">
        <v>3439</v>
      </c>
      <c r="W2384" s="25">
        <f>IFERROR(VLOOKUP(BCP_Soles[[#This Row],[DESTINATARIO]],CHOOSE({1,2},Clientes_Proveedores[Razon Social],Clientes_Proveedores[Ruc / Dni]),2,0),"")</f>
        <v>20603974817</v>
      </c>
      <c r="X2384" s="25"/>
      <c r="Y2384" s="25"/>
      <c r="Z2384" s="25"/>
      <c r="AA2384" s="99"/>
      <c r="AB2384" s="3" t="str">
        <f>IF(BCP_Soles[[#This Row],[FECHA]]&gt;0,TEXT(BCP_Soles[[#This Row],[FECHA]],"mmmm"),0)</f>
        <v>Julio</v>
      </c>
    </row>
    <row r="2385" spans="2:28" x14ac:dyDescent="0.3">
      <c r="B2385" s="2" t="str">
        <f>IF(BCP_Soles[[#This Row],[TIPO DE R.]]="R",COUNTIFS($D$4:$D2384,"R")+1,"")</f>
        <v/>
      </c>
      <c r="C2385" s="19" t="str">
        <f t="shared" si="185"/>
        <v>B-BCP - Soles</v>
      </c>
      <c r="D2385" s="3" t="s">
        <v>1101</v>
      </c>
      <c r="E2385" s="14">
        <v>45841</v>
      </c>
      <c r="F2385" s="5" t="s">
        <v>1075</v>
      </c>
      <c r="G2385" s="5"/>
      <c r="H2385" s="6" t="s">
        <v>465</v>
      </c>
      <c r="I2385" s="6" t="s">
        <v>14</v>
      </c>
      <c r="J2385" s="6" t="s">
        <v>1121</v>
      </c>
      <c r="K2385" s="6">
        <v>3985</v>
      </c>
      <c r="L2385" s="7" t="s">
        <v>3438</v>
      </c>
      <c r="M2385" s="8">
        <v>5424982</v>
      </c>
      <c r="N2385" s="8" t="str">
        <f t="shared" si="186"/>
        <v>PEN</v>
      </c>
      <c r="O2385" s="13">
        <v>677.25</v>
      </c>
      <c r="P2385" s="13"/>
      <c r="Q2385" s="3">
        <f t="shared" si="187"/>
        <v>0</v>
      </c>
      <c r="R2385" s="3">
        <f t="shared" si="188"/>
        <v>0</v>
      </c>
      <c r="S2385" s="3">
        <f t="shared" si="189"/>
        <v>2203.8000000000384</v>
      </c>
      <c r="T2385" s="24" t="s">
        <v>1081</v>
      </c>
      <c r="U2385" s="24" t="s">
        <v>1081</v>
      </c>
      <c r="V2385" s="104" t="s">
        <v>3439</v>
      </c>
      <c r="W2385" s="25">
        <f>IFERROR(VLOOKUP(BCP_Soles[[#This Row],[DESTINATARIO]],CHOOSE({1,2},Clientes_Proveedores[Razon Social],Clientes_Proveedores[Ruc / Dni]),2,0),"")</f>
        <v>20603974817</v>
      </c>
      <c r="X2385" s="25"/>
      <c r="Y2385" s="25"/>
      <c r="Z2385" s="25"/>
      <c r="AA2385" s="99"/>
      <c r="AB2385" s="3" t="str">
        <f>IF(BCP_Soles[[#This Row],[FECHA]]&gt;0,TEXT(BCP_Soles[[#This Row],[FECHA]],"mmmm"),0)</f>
        <v>Julio</v>
      </c>
    </row>
    <row r="2386" spans="2:28" x14ac:dyDescent="0.3">
      <c r="B2386" s="2" t="str">
        <f>IF(BCP_Soles[[#This Row],[TIPO DE R.]]="R",COUNTIFS($D$4:$D2385,"R")+1,"")</f>
        <v/>
      </c>
      <c r="C2386" s="19" t="str">
        <f t="shared" si="185"/>
        <v>B-BCP - Soles</v>
      </c>
      <c r="D2386" s="3" t="s">
        <v>1101</v>
      </c>
      <c r="E2386" s="14">
        <v>45841</v>
      </c>
      <c r="F2386" s="5" t="s">
        <v>1075</v>
      </c>
      <c r="G2386" s="5"/>
      <c r="H2386" s="6" t="s">
        <v>465</v>
      </c>
      <c r="I2386" s="6" t="s">
        <v>14</v>
      </c>
      <c r="J2386" s="6" t="s">
        <v>1121</v>
      </c>
      <c r="K2386" s="6">
        <v>3998</v>
      </c>
      <c r="L2386" s="7" t="s">
        <v>3438</v>
      </c>
      <c r="M2386" s="8">
        <v>5424982</v>
      </c>
      <c r="N2386" s="8" t="str">
        <f t="shared" si="186"/>
        <v>PEN</v>
      </c>
      <c r="O2386" s="13">
        <v>250.75</v>
      </c>
      <c r="P2386" s="13"/>
      <c r="Q2386" s="3">
        <f t="shared" si="187"/>
        <v>0</v>
      </c>
      <c r="R2386" s="3">
        <f t="shared" si="188"/>
        <v>0</v>
      </c>
      <c r="S2386" s="3">
        <f t="shared" si="189"/>
        <v>2203.8000000000384</v>
      </c>
      <c r="T2386" s="24" t="s">
        <v>1081</v>
      </c>
      <c r="U2386" s="24" t="s">
        <v>1081</v>
      </c>
      <c r="V2386" s="104" t="s">
        <v>3439</v>
      </c>
      <c r="W2386" s="25">
        <f>IFERROR(VLOOKUP(BCP_Soles[[#This Row],[DESTINATARIO]],CHOOSE({1,2},Clientes_Proveedores[Razon Social],Clientes_Proveedores[Ruc / Dni]),2,0),"")</f>
        <v>20603974817</v>
      </c>
      <c r="X2386" s="25"/>
      <c r="Y2386" s="25"/>
      <c r="Z2386" s="25"/>
      <c r="AA2386" s="99"/>
      <c r="AB2386" s="3" t="str">
        <f>IF(BCP_Soles[[#This Row],[FECHA]]&gt;0,TEXT(BCP_Soles[[#This Row],[FECHA]],"mmmm"),0)</f>
        <v>Julio</v>
      </c>
    </row>
    <row r="2387" spans="2:28" ht="24" x14ac:dyDescent="0.3">
      <c r="B2387" s="2" t="str">
        <f>IF(BCP_Soles[[#This Row],[TIPO DE R.]]="R",COUNTIFS($D$4:$D2386,"R")+1,"")</f>
        <v/>
      </c>
      <c r="C2387" s="19" t="str">
        <f t="shared" si="185"/>
        <v>B-BCP - Soles</v>
      </c>
      <c r="D2387" s="3" t="s">
        <v>1101</v>
      </c>
      <c r="E2387" s="14">
        <v>45841</v>
      </c>
      <c r="F2387" s="5" t="s">
        <v>1075</v>
      </c>
      <c r="G2387" s="5"/>
      <c r="H2387" s="6" t="s">
        <v>634</v>
      </c>
      <c r="I2387" s="6" t="s">
        <v>14</v>
      </c>
      <c r="J2387" s="6" t="s">
        <v>1121</v>
      </c>
      <c r="K2387" s="6">
        <v>9</v>
      </c>
      <c r="L2387" s="7" t="s">
        <v>3438</v>
      </c>
      <c r="M2387" s="8">
        <v>5424982</v>
      </c>
      <c r="N2387" s="8" t="str">
        <f t="shared" si="186"/>
        <v>PEN</v>
      </c>
      <c r="O2387" s="13">
        <v>864.01</v>
      </c>
      <c r="P2387" s="13"/>
      <c r="Q2387" s="3">
        <f t="shared" si="187"/>
        <v>0</v>
      </c>
      <c r="R2387" s="3">
        <f t="shared" si="188"/>
        <v>0</v>
      </c>
      <c r="S2387" s="3">
        <f t="shared" si="189"/>
        <v>2203.8000000000384</v>
      </c>
      <c r="T2387" s="24" t="s">
        <v>1081</v>
      </c>
      <c r="U2387" s="24" t="s">
        <v>1081</v>
      </c>
      <c r="V2387" s="104" t="s">
        <v>3439</v>
      </c>
      <c r="W2387" s="25">
        <f>IFERROR(VLOOKUP(BCP_Soles[[#This Row],[DESTINATARIO]],CHOOSE({1,2},Clientes_Proveedores[Razon Social],Clientes_Proveedores[Ruc / Dni]),2,0),"")</f>
        <v>10736055631</v>
      </c>
      <c r="X2387" s="25"/>
      <c r="Y2387" s="25"/>
      <c r="Z2387" s="25"/>
      <c r="AA2387" s="99"/>
      <c r="AB2387" s="3" t="str">
        <f>IF(BCP_Soles[[#This Row],[FECHA]]&gt;0,TEXT(BCP_Soles[[#This Row],[FECHA]],"mmmm"),0)</f>
        <v>Julio</v>
      </c>
    </row>
    <row r="2388" spans="2:28" ht="24" x14ac:dyDescent="0.3">
      <c r="B2388" s="2" t="str">
        <f>IF(BCP_Soles[[#This Row],[TIPO DE R.]]="R",COUNTIFS($D$4:$D2387,"R")+1,"")</f>
        <v/>
      </c>
      <c r="C2388" s="19" t="str">
        <f t="shared" si="185"/>
        <v>B-BCP - Soles</v>
      </c>
      <c r="D2388" s="3" t="s">
        <v>1101</v>
      </c>
      <c r="E2388" s="14">
        <v>45841</v>
      </c>
      <c r="F2388" s="5" t="s">
        <v>1075</v>
      </c>
      <c r="G2388" s="5"/>
      <c r="H2388" s="6" t="s">
        <v>536</v>
      </c>
      <c r="I2388" s="6" t="s">
        <v>14</v>
      </c>
      <c r="J2388" s="6" t="s">
        <v>1121</v>
      </c>
      <c r="K2388" s="6">
        <v>2307</v>
      </c>
      <c r="L2388" s="7" t="s">
        <v>3438</v>
      </c>
      <c r="M2388" s="8">
        <v>5424982</v>
      </c>
      <c r="N2388" s="8" t="str">
        <f t="shared" si="186"/>
        <v>PEN</v>
      </c>
      <c r="O2388" s="13">
        <v>118</v>
      </c>
      <c r="P2388" s="13"/>
      <c r="Q2388" s="3">
        <f t="shared" si="187"/>
        <v>0</v>
      </c>
      <c r="R2388" s="3">
        <f t="shared" si="188"/>
        <v>0</v>
      </c>
      <c r="S2388" s="3">
        <f t="shared" si="189"/>
        <v>2203.8000000000384</v>
      </c>
      <c r="T2388" s="24" t="s">
        <v>1081</v>
      </c>
      <c r="U2388" s="24" t="s">
        <v>1081</v>
      </c>
      <c r="V2388" s="104" t="s">
        <v>3439</v>
      </c>
      <c r="W2388" s="25">
        <f>IFERROR(VLOOKUP(BCP_Soles[[#This Row],[DESTINATARIO]],CHOOSE({1,2},Clientes_Proveedores[Razon Social],Clientes_Proveedores[Ruc / Dni]),2,0),"")</f>
        <v>20609764261</v>
      </c>
      <c r="X2388" s="25"/>
      <c r="Y2388" s="25"/>
      <c r="Z2388" s="25"/>
      <c r="AA2388" s="99"/>
      <c r="AB2388" s="3" t="str">
        <f>IF(BCP_Soles[[#This Row],[FECHA]]&gt;0,TEXT(BCP_Soles[[#This Row],[FECHA]],"mmmm"),0)</f>
        <v>Julio</v>
      </c>
    </row>
    <row r="2389" spans="2:28" ht="24" x14ac:dyDescent="0.3">
      <c r="B2389" s="2" t="str">
        <f>IF(BCP_Soles[[#This Row],[TIPO DE R.]]="R",COUNTIFS($D$4:$D2388,"R")+1,"")</f>
        <v/>
      </c>
      <c r="C2389" s="19" t="str">
        <f t="shared" si="185"/>
        <v>B-BCP - Soles</v>
      </c>
      <c r="D2389" s="3" t="s">
        <v>1101</v>
      </c>
      <c r="E2389" s="14">
        <v>45841</v>
      </c>
      <c r="F2389" s="5" t="s">
        <v>1075</v>
      </c>
      <c r="G2389" s="5"/>
      <c r="H2389" s="6" t="s">
        <v>634</v>
      </c>
      <c r="I2389" s="6" t="s">
        <v>14</v>
      </c>
      <c r="J2389" s="6" t="s">
        <v>1121</v>
      </c>
      <c r="K2389" s="6">
        <v>11</v>
      </c>
      <c r="L2389" s="7" t="s">
        <v>3438</v>
      </c>
      <c r="M2389" s="8">
        <v>5424982</v>
      </c>
      <c r="N2389" s="8" t="str">
        <f t="shared" si="186"/>
        <v>PEN</v>
      </c>
      <c r="O2389" s="13">
        <v>300</v>
      </c>
      <c r="P2389" s="13"/>
      <c r="Q2389" s="3">
        <f t="shared" si="187"/>
        <v>0</v>
      </c>
      <c r="R2389" s="3">
        <f t="shared" si="188"/>
        <v>0</v>
      </c>
      <c r="S2389" s="3">
        <f t="shared" si="189"/>
        <v>2203.8000000000384</v>
      </c>
      <c r="T2389" s="24" t="s">
        <v>1081</v>
      </c>
      <c r="U2389" s="24" t="s">
        <v>1081</v>
      </c>
      <c r="V2389" s="104" t="s">
        <v>3439</v>
      </c>
      <c r="W2389" s="25">
        <f>IFERROR(VLOOKUP(BCP_Soles[[#This Row],[DESTINATARIO]],CHOOSE({1,2},Clientes_Proveedores[Razon Social],Clientes_Proveedores[Ruc / Dni]),2,0),"")</f>
        <v>10736055631</v>
      </c>
      <c r="X2389" s="25"/>
      <c r="Y2389" s="25"/>
      <c r="Z2389" s="25"/>
      <c r="AA2389" s="99"/>
      <c r="AB2389" s="3" t="str">
        <f>IF(BCP_Soles[[#This Row],[FECHA]]&gt;0,TEXT(BCP_Soles[[#This Row],[FECHA]],"mmmm"),0)</f>
        <v>Julio</v>
      </c>
    </row>
    <row r="2390" spans="2:28" ht="24" x14ac:dyDescent="0.3">
      <c r="B2390" s="2" t="str">
        <f>IF(BCP_Soles[[#This Row],[TIPO DE R.]]="R",COUNTIFS($D$4:$D2389,"R")+1,"")</f>
        <v/>
      </c>
      <c r="C2390" s="19" t="str">
        <f t="shared" si="185"/>
        <v>B-BCP - Soles</v>
      </c>
      <c r="D2390" s="3" t="s">
        <v>1101</v>
      </c>
      <c r="E2390" s="14">
        <v>45841</v>
      </c>
      <c r="F2390" s="5" t="s">
        <v>1075</v>
      </c>
      <c r="G2390" s="5"/>
      <c r="H2390" s="6" t="s">
        <v>634</v>
      </c>
      <c r="I2390" s="6" t="s">
        <v>14</v>
      </c>
      <c r="J2390" s="6" t="s">
        <v>1121</v>
      </c>
      <c r="K2390" s="6">
        <v>8</v>
      </c>
      <c r="L2390" s="7" t="s">
        <v>3438</v>
      </c>
      <c r="M2390" s="8">
        <v>5424982</v>
      </c>
      <c r="N2390" s="8" t="str">
        <f t="shared" si="186"/>
        <v>PEN</v>
      </c>
      <c r="O2390" s="13">
        <v>793</v>
      </c>
      <c r="P2390" s="13"/>
      <c r="Q2390" s="3">
        <f t="shared" si="187"/>
        <v>0</v>
      </c>
      <c r="R2390" s="3">
        <f t="shared" si="188"/>
        <v>0</v>
      </c>
      <c r="S2390" s="3">
        <f t="shared" si="189"/>
        <v>2203.8000000000384</v>
      </c>
      <c r="T2390" s="24" t="s">
        <v>1081</v>
      </c>
      <c r="U2390" s="24" t="s">
        <v>1081</v>
      </c>
      <c r="V2390" s="104" t="s">
        <v>3439</v>
      </c>
      <c r="W2390" s="25">
        <f>IFERROR(VLOOKUP(BCP_Soles[[#This Row],[DESTINATARIO]],CHOOSE({1,2},Clientes_Proveedores[Razon Social],Clientes_Proveedores[Ruc / Dni]),2,0),"")</f>
        <v>10736055631</v>
      </c>
      <c r="X2390" s="25"/>
      <c r="Y2390" s="25"/>
      <c r="Z2390" s="25"/>
      <c r="AA2390" s="99"/>
      <c r="AB2390" s="3" t="str">
        <f>IF(BCP_Soles[[#This Row],[FECHA]]&gt;0,TEXT(BCP_Soles[[#This Row],[FECHA]],"mmmm"),0)</f>
        <v>Julio</v>
      </c>
    </row>
    <row r="2391" spans="2:28" ht="24" x14ac:dyDescent="0.3">
      <c r="B2391" s="2" t="str">
        <f>IF(BCP_Soles[[#This Row],[TIPO DE R.]]="R",COUNTIFS($D$4:$D2390,"R")+1,"")</f>
        <v/>
      </c>
      <c r="C2391" s="19" t="str">
        <f t="shared" si="185"/>
        <v>B-BCP - Soles</v>
      </c>
      <c r="D2391" s="3" t="s">
        <v>1101</v>
      </c>
      <c r="E2391" s="14">
        <v>45841</v>
      </c>
      <c r="F2391" s="5" t="s">
        <v>1075</v>
      </c>
      <c r="G2391" s="5"/>
      <c r="H2391" s="6" t="s">
        <v>433</v>
      </c>
      <c r="I2391" s="6" t="s">
        <v>14</v>
      </c>
      <c r="J2391" s="6" t="s">
        <v>1121</v>
      </c>
      <c r="K2391" s="6">
        <v>414</v>
      </c>
      <c r="L2391" s="7" t="s">
        <v>3438</v>
      </c>
      <c r="M2391" s="8">
        <v>5424982</v>
      </c>
      <c r="N2391" s="8" t="str">
        <f t="shared" si="186"/>
        <v>PEN</v>
      </c>
      <c r="O2391" s="13">
        <v>150</v>
      </c>
      <c r="P2391" s="13"/>
      <c r="Q2391" s="3">
        <f t="shared" si="187"/>
        <v>0</v>
      </c>
      <c r="R2391" s="3">
        <f t="shared" si="188"/>
        <v>0</v>
      </c>
      <c r="S2391" s="3">
        <f t="shared" si="189"/>
        <v>2203.8000000000384</v>
      </c>
      <c r="T2391" s="24" t="s">
        <v>1081</v>
      </c>
      <c r="U2391" s="24" t="s">
        <v>1081</v>
      </c>
      <c r="V2391" s="104" t="s">
        <v>3439</v>
      </c>
      <c r="W2391" s="25">
        <f>IFERROR(VLOOKUP(BCP_Soles[[#This Row],[DESTINATARIO]],CHOOSE({1,2},Clientes_Proveedores[Razon Social],Clientes_Proveedores[Ruc / Dni]),2,0),"")</f>
        <v>20602499481</v>
      </c>
      <c r="X2391" s="25"/>
      <c r="Y2391" s="25"/>
      <c r="Z2391" s="25"/>
      <c r="AA2391" s="99"/>
      <c r="AB2391" s="3" t="str">
        <f>IF(BCP_Soles[[#This Row],[FECHA]]&gt;0,TEXT(BCP_Soles[[#This Row],[FECHA]],"mmmm"),0)</f>
        <v>Julio</v>
      </c>
    </row>
    <row r="2392" spans="2:28" ht="36" x14ac:dyDescent="0.3">
      <c r="B2392" s="2" t="str">
        <f>IF(BCP_Soles[[#This Row],[TIPO DE R.]]="R",COUNTIFS($D$4:$D2391,"R")+1,"")</f>
        <v/>
      </c>
      <c r="C2392" s="19" t="str">
        <f t="shared" si="185"/>
        <v>B-BCP - Soles</v>
      </c>
      <c r="D2392" s="3" t="s">
        <v>1101</v>
      </c>
      <c r="E2392" s="14">
        <v>45841</v>
      </c>
      <c r="F2392" s="5" t="s">
        <v>1075</v>
      </c>
      <c r="G2392" s="5"/>
      <c r="H2392" s="6" t="s">
        <v>442</v>
      </c>
      <c r="I2392" s="6" t="s">
        <v>14</v>
      </c>
      <c r="J2392" s="6" t="s">
        <v>1121</v>
      </c>
      <c r="K2392" s="6">
        <v>253</v>
      </c>
      <c r="L2392" s="7" t="s">
        <v>3438</v>
      </c>
      <c r="M2392" s="8">
        <v>5424982</v>
      </c>
      <c r="N2392" s="8" t="str">
        <f t="shared" si="186"/>
        <v>PEN</v>
      </c>
      <c r="O2392" s="13">
        <v>421.55</v>
      </c>
      <c r="P2392" s="13"/>
      <c r="Q2392" s="3">
        <f t="shared" si="187"/>
        <v>0</v>
      </c>
      <c r="R2392" s="3">
        <f t="shared" si="188"/>
        <v>0</v>
      </c>
      <c r="S2392" s="3">
        <f t="shared" si="189"/>
        <v>2203.8000000000384</v>
      </c>
      <c r="T2392" s="24" t="s">
        <v>1081</v>
      </c>
      <c r="U2392" s="24" t="s">
        <v>1081</v>
      </c>
      <c r="V2392" s="104" t="s">
        <v>3439</v>
      </c>
      <c r="W2392" s="25">
        <f>IFERROR(VLOOKUP(BCP_Soles[[#This Row],[DESTINATARIO]],CHOOSE({1,2},Clientes_Proveedores[Razon Social],Clientes_Proveedores[Ruc / Dni]),2,0),"")</f>
        <v>20602818161</v>
      </c>
      <c r="X2392" s="25"/>
      <c r="Y2392" s="25"/>
      <c r="Z2392" s="25"/>
      <c r="AA2392" s="99"/>
      <c r="AB2392" s="3" t="str">
        <f>IF(BCP_Soles[[#This Row],[FECHA]]&gt;0,TEXT(BCP_Soles[[#This Row],[FECHA]],"mmmm"),0)</f>
        <v>Julio</v>
      </c>
    </row>
    <row r="2393" spans="2:28" ht="24" x14ac:dyDescent="0.3">
      <c r="B2393" s="2">
        <f>IF(BCP_Soles[[#This Row],[TIPO DE R.]]="R",COUNTIFS($D$4:$D2392,"R")+1,"")</f>
        <v>1787</v>
      </c>
      <c r="C2393" s="19" t="str">
        <f t="shared" si="185"/>
        <v>B-BCP - Soles</v>
      </c>
      <c r="D2393" s="3" t="s">
        <v>1074</v>
      </c>
      <c r="E2393" s="14">
        <v>45841</v>
      </c>
      <c r="F2393" s="5" t="s">
        <v>1075</v>
      </c>
      <c r="G2393" s="5" t="s">
        <v>1079</v>
      </c>
      <c r="H2393" s="6" t="s">
        <v>836</v>
      </c>
      <c r="I2393" s="6"/>
      <c r="J2393" s="6"/>
      <c r="K2393" s="6"/>
      <c r="L2393" s="7" t="s">
        <v>3440</v>
      </c>
      <c r="M2393" s="8">
        <v>1225849</v>
      </c>
      <c r="N2393" s="8" t="str">
        <f t="shared" si="186"/>
        <v>PEN</v>
      </c>
      <c r="O2393" s="13"/>
      <c r="P2393" s="13">
        <v>100</v>
      </c>
      <c r="Q2393" s="3">
        <f t="shared" si="187"/>
        <v>0</v>
      </c>
      <c r="R2393" s="3">
        <f t="shared" si="188"/>
        <v>100</v>
      </c>
      <c r="S2393" s="3">
        <f t="shared" si="189"/>
        <v>2103.8000000000384</v>
      </c>
      <c r="T2393" s="24"/>
      <c r="U2393" s="24"/>
      <c r="V2393" s="69"/>
      <c r="W2393" s="25">
        <f>IFERROR(VLOOKUP(BCP_Soles[[#This Row],[DESTINATARIO]],CHOOSE({1,2},Clientes_Proveedores[Razon Social],Clientes_Proveedores[Ruc / Dni]),2,0),"")</f>
        <v>72144092</v>
      </c>
      <c r="X2393" s="25"/>
      <c r="Y2393" s="25"/>
      <c r="Z2393" s="25"/>
      <c r="AA2393" s="99"/>
      <c r="AB2393" s="3" t="str">
        <f>IF(BCP_Soles[[#This Row],[FECHA]]&gt;0,TEXT(BCP_Soles[[#This Row],[FECHA]],"mmmm"),0)</f>
        <v>Julio</v>
      </c>
    </row>
    <row r="2394" spans="2:28" ht="24" x14ac:dyDescent="0.3">
      <c r="B2394" s="2">
        <f>IF(BCP_Soles[[#This Row],[TIPO DE R.]]="R",COUNTIFS($D$4:$D2393,"R")+1,"")</f>
        <v>1788</v>
      </c>
      <c r="C2394" s="19" t="str">
        <f t="shared" si="185"/>
        <v>B-BCP - Soles</v>
      </c>
      <c r="D2394" s="3" t="s">
        <v>1074</v>
      </c>
      <c r="E2394" s="14">
        <v>45841</v>
      </c>
      <c r="F2394" s="5" t="s">
        <v>1075</v>
      </c>
      <c r="G2394" s="5" t="s">
        <v>1079</v>
      </c>
      <c r="H2394" s="6" t="s">
        <v>836</v>
      </c>
      <c r="I2394" s="6"/>
      <c r="J2394" s="6"/>
      <c r="K2394" s="6"/>
      <c r="L2394" s="7" t="s">
        <v>3441</v>
      </c>
      <c r="M2394" s="8">
        <v>1226850</v>
      </c>
      <c r="N2394" s="8" t="str">
        <f t="shared" si="186"/>
        <v>PEN</v>
      </c>
      <c r="O2394" s="13"/>
      <c r="P2394" s="13">
        <v>900</v>
      </c>
      <c r="Q2394" s="3">
        <f t="shared" si="187"/>
        <v>0</v>
      </c>
      <c r="R2394" s="3">
        <f t="shared" si="188"/>
        <v>900</v>
      </c>
      <c r="S2394" s="3">
        <f t="shared" si="189"/>
        <v>1203.8000000000384</v>
      </c>
      <c r="T2394" s="24"/>
      <c r="U2394" s="24"/>
      <c r="V2394" s="69"/>
      <c r="W2394" s="25">
        <f>IFERROR(VLOOKUP(BCP_Soles[[#This Row],[DESTINATARIO]],CHOOSE({1,2},Clientes_Proveedores[Razon Social],Clientes_Proveedores[Ruc / Dni]),2,0),"")</f>
        <v>72144092</v>
      </c>
      <c r="X2394" s="25"/>
      <c r="Y2394" s="25"/>
      <c r="Z2394" s="25"/>
      <c r="AA2394" s="99"/>
      <c r="AB2394" s="3" t="str">
        <f>IF(BCP_Soles[[#This Row],[FECHA]]&gt;0,TEXT(BCP_Soles[[#This Row],[FECHA]],"mmmm"),0)</f>
        <v>Julio</v>
      </c>
    </row>
    <row r="2395" spans="2:28" ht="24" x14ac:dyDescent="0.3">
      <c r="B2395" s="2">
        <f>IF(BCP_Soles[[#This Row],[TIPO DE R.]]="R",COUNTIFS($D$4:$D2394,"R")+1,"")</f>
        <v>1789</v>
      </c>
      <c r="C2395" s="19" t="str">
        <f t="shared" si="185"/>
        <v>B-BCP - Soles</v>
      </c>
      <c r="D2395" s="3" t="s">
        <v>1074</v>
      </c>
      <c r="E2395" s="14">
        <v>45841</v>
      </c>
      <c r="F2395" s="5" t="s">
        <v>1078</v>
      </c>
      <c r="G2395" s="5" t="s">
        <v>1079</v>
      </c>
      <c r="H2395" s="6" t="s">
        <v>1001</v>
      </c>
      <c r="I2395" s="6" t="s">
        <v>14</v>
      </c>
      <c r="J2395" s="6" t="s">
        <v>3128</v>
      </c>
      <c r="K2395" s="6">
        <v>34348661</v>
      </c>
      <c r="L2395" s="7" t="s">
        <v>3442</v>
      </c>
      <c r="M2395" s="8">
        <v>5424999</v>
      </c>
      <c r="N2395" s="8" t="str">
        <f t="shared" si="186"/>
        <v>PEN</v>
      </c>
      <c r="O2395" s="13"/>
      <c r="P2395" s="13">
        <v>5</v>
      </c>
      <c r="Q2395" s="3">
        <f t="shared" si="187"/>
        <v>0</v>
      </c>
      <c r="R2395" s="3">
        <f t="shared" si="188"/>
        <v>5</v>
      </c>
      <c r="S2395" s="3">
        <f t="shared" si="189"/>
        <v>1198.8000000000384</v>
      </c>
      <c r="T2395" s="24" t="s">
        <v>1081</v>
      </c>
      <c r="U2395" s="24" t="s">
        <v>1081</v>
      </c>
      <c r="V2395" s="69"/>
      <c r="W2395" s="25">
        <f>IFERROR(VLOOKUP(BCP_Soles[[#This Row],[DESTINATARIO]],CHOOSE({1,2},Clientes_Proveedores[Razon Social],Clientes_Proveedores[Ruc / Dni]),2,0),"")</f>
        <v>20100047218</v>
      </c>
      <c r="X2395" s="25"/>
      <c r="Y2395" s="25"/>
      <c r="Z2395" s="25"/>
      <c r="AA2395" s="99"/>
      <c r="AB2395" s="3" t="str">
        <f>IF(BCP_Soles[[#This Row],[FECHA]]&gt;0,TEXT(BCP_Soles[[#This Row],[FECHA]],"mmmm"),0)</f>
        <v>Julio</v>
      </c>
    </row>
    <row r="2396" spans="2:28" x14ac:dyDescent="0.3">
      <c r="B2396" s="2">
        <f>IF(BCP_Soles[[#This Row],[TIPO DE R.]]="R",COUNTIFS($D$4:$D2395,"R")+1,"")</f>
        <v>1790</v>
      </c>
      <c r="C2396" s="19" t="str">
        <f t="shared" si="185"/>
        <v>B-BCP - Soles</v>
      </c>
      <c r="D2396" s="3" t="s">
        <v>1074</v>
      </c>
      <c r="E2396" s="14">
        <v>45841</v>
      </c>
      <c r="F2396" s="5" t="s">
        <v>1078</v>
      </c>
      <c r="G2396" s="5" t="s">
        <v>1079</v>
      </c>
      <c r="H2396" s="6" t="s">
        <v>950</v>
      </c>
      <c r="I2396" s="6" t="s">
        <v>10</v>
      </c>
      <c r="J2396" s="6" t="s">
        <v>3392</v>
      </c>
      <c r="K2396" s="6">
        <v>1790</v>
      </c>
      <c r="L2396" s="7" t="s">
        <v>2868</v>
      </c>
      <c r="M2396" s="8"/>
      <c r="N2396" s="8" t="str">
        <f t="shared" si="186"/>
        <v>PEN</v>
      </c>
      <c r="O2396" s="13"/>
      <c r="P2396" s="13">
        <v>0.7</v>
      </c>
      <c r="Q2396" s="3">
        <f t="shared" si="187"/>
        <v>0</v>
      </c>
      <c r="R2396" s="3">
        <f t="shared" si="188"/>
        <v>0.7</v>
      </c>
      <c r="S2396" s="3">
        <f t="shared" si="189"/>
        <v>1198.1000000000383</v>
      </c>
      <c r="T2396" s="24" t="s">
        <v>1081</v>
      </c>
      <c r="U2396" s="24"/>
      <c r="V2396" s="69"/>
      <c r="W2396" s="25">
        <f>IFERROR(VLOOKUP(BCP_Soles[[#This Row],[DESTINATARIO]],CHOOSE({1,2},Clientes_Proveedores[Razon Social],Clientes_Proveedores[Ruc / Dni]),2,0),"")</f>
        <v>11111111</v>
      </c>
      <c r="X2396" s="25"/>
      <c r="Y2396" s="25"/>
      <c r="Z2396" s="25"/>
      <c r="AA2396" s="99"/>
      <c r="AB2396" s="3" t="str">
        <f>IF(BCP_Soles[[#This Row],[FECHA]]&gt;0,TEXT(BCP_Soles[[#This Row],[FECHA]],"mmmm"),0)</f>
        <v>Julio</v>
      </c>
    </row>
    <row r="2397" spans="2:28" ht="24" x14ac:dyDescent="0.3">
      <c r="B2397" s="2">
        <f>IF(BCP_Soles[[#This Row],[TIPO DE R.]]="R",COUNTIFS($D$4:$D2396,"R")+1,"")</f>
        <v>1791</v>
      </c>
      <c r="C2397" s="19" t="str">
        <f t="shared" si="185"/>
        <v>B-BCP - Soles</v>
      </c>
      <c r="D2397" s="3" t="s">
        <v>1074</v>
      </c>
      <c r="E2397" s="14">
        <v>45842</v>
      </c>
      <c r="F2397" s="5" t="s">
        <v>229</v>
      </c>
      <c r="G2397" s="5" t="s">
        <v>1087</v>
      </c>
      <c r="H2397" s="6" t="s">
        <v>368</v>
      </c>
      <c r="I2397" s="6"/>
      <c r="J2397" s="6"/>
      <c r="K2397" s="6"/>
      <c r="L2397" s="7" t="s">
        <v>1127</v>
      </c>
      <c r="M2397" s="8">
        <v>2003</v>
      </c>
      <c r="N2397" s="8" t="str">
        <f t="shared" si="186"/>
        <v>PEN</v>
      </c>
      <c r="O2397" s="13"/>
      <c r="P2397" s="13">
        <v>4071.35</v>
      </c>
      <c r="Q2397" s="3">
        <f t="shared" si="187"/>
        <v>4071.35</v>
      </c>
      <c r="R2397" s="3">
        <f t="shared" si="188"/>
        <v>0</v>
      </c>
      <c r="S2397" s="3">
        <f t="shared" si="189"/>
        <v>5269.450000000038</v>
      </c>
      <c r="T2397" s="24" t="s">
        <v>1081</v>
      </c>
      <c r="U2397" s="24" t="s">
        <v>1081</v>
      </c>
      <c r="V2397" s="69"/>
      <c r="W2397" s="25">
        <f>IFERROR(VLOOKUP(BCP_Soles[[#This Row],[DESTINATARIO]],CHOOSE({1,2},Clientes_Proveedores[Razon Social],Clientes_Proveedores[Ruc / Dni]),2,0),"")</f>
        <v>20558226979</v>
      </c>
      <c r="X2397" s="25" t="s">
        <v>1090</v>
      </c>
      <c r="Y2397" s="25" t="s">
        <v>3443</v>
      </c>
      <c r="Z2397" s="25"/>
      <c r="AA2397" s="99"/>
      <c r="AB2397" s="3" t="str">
        <f>IF(BCP_Soles[[#This Row],[FECHA]]&gt;0,TEXT(BCP_Soles[[#This Row],[FECHA]],"mmmm"),0)</f>
        <v>Julio</v>
      </c>
    </row>
    <row r="2398" spans="2:28" x14ac:dyDescent="0.3">
      <c r="B2398" s="2" t="str">
        <f>IF(BCP_Soles[[#This Row],[TIPO DE R.]]="R",COUNTIFS($D$4:$D2397,"R")+1,"")</f>
        <v/>
      </c>
      <c r="C2398" s="19" t="str">
        <f t="shared" si="185"/>
        <v>B-BCP - Soles</v>
      </c>
      <c r="D2398" s="3" t="s">
        <v>1101</v>
      </c>
      <c r="E2398" s="14">
        <v>45842</v>
      </c>
      <c r="F2398" s="5" t="s">
        <v>229</v>
      </c>
      <c r="G2398" s="5"/>
      <c r="H2398" s="6" t="s">
        <v>368</v>
      </c>
      <c r="I2398" s="6" t="s">
        <v>14</v>
      </c>
      <c r="J2398" s="6" t="s">
        <v>1521</v>
      </c>
      <c r="K2398" s="6">
        <v>118</v>
      </c>
      <c r="L2398" s="7" t="s">
        <v>1127</v>
      </c>
      <c r="M2398" s="8">
        <v>2003</v>
      </c>
      <c r="N2398" s="8" t="str">
        <f t="shared" si="186"/>
        <v>PEN</v>
      </c>
      <c r="O2398" s="13">
        <v>1994.92</v>
      </c>
      <c r="P2398" s="13"/>
      <c r="Q2398" s="3">
        <f t="shared" si="187"/>
        <v>0</v>
      </c>
      <c r="R2398" s="3">
        <f t="shared" si="188"/>
        <v>0</v>
      </c>
      <c r="S2398" s="3">
        <f t="shared" si="189"/>
        <v>5269.450000000038</v>
      </c>
      <c r="T2398" s="24" t="s">
        <v>1081</v>
      </c>
      <c r="U2398" s="24" t="s">
        <v>1081</v>
      </c>
      <c r="V2398" s="69"/>
      <c r="W2398" s="25">
        <f>IFERROR(VLOOKUP(BCP_Soles[[#This Row],[DESTINATARIO]],CHOOSE({1,2},Clientes_Proveedores[Razon Social],Clientes_Proveedores[Ruc / Dni]),2,0),"")</f>
        <v>20558226979</v>
      </c>
      <c r="X2398" s="25"/>
      <c r="Y2398" s="25"/>
      <c r="Z2398" s="25"/>
      <c r="AA2398" s="99"/>
      <c r="AB2398" s="3" t="str">
        <f>IF(BCP_Soles[[#This Row],[FECHA]]&gt;0,TEXT(BCP_Soles[[#This Row],[FECHA]],"mmmm"),0)</f>
        <v>Julio</v>
      </c>
    </row>
    <row r="2399" spans="2:28" x14ac:dyDescent="0.3">
      <c r="B2399" s="2" t="str">
        <f>IF(BCP_Soles[[#This Row],[TIPO DE R.]]="R",COUNTIFS($D$4:$D2398,"R")+1,"")</f>
        <v/>
      </c>
      <c r="C2399" s="19" t="str">
        <f t="shared" si="185"/>
        <v>B-BCP - Soles</v>
      </c>
      <c r="D2399" s="3" t="s">
        <v>1101</v>
      </c>
      <c r="E2399" s="14">
        <v>45842</v>
      </c>
      <c r="F2399" s="5" t="s">
        <v>229</v>
      </c>
      <c r="G2399" s="5"/>
      <c r="H2399" s="6" t="s">
        <v>368</v>
      </c>
      <c r="I2399" s="6" t="s">
        <v>14</v>
      </c>
      <c r="J2399" s="6" t="s">
        <v>1521</v>
      </c>
      <c r="K2399" s="6">
        <v>132</v>
      </c>
      <c r="L2399" s="7" t="s">
        <v>1127</v>
      </c>
      <c r="M2399" s="8">
        <v>2003</v>
      </c>
      <c r="N2399" s="8" t="str">
        <f t="shared" si="186"/>
        <v>PEN</v>
      </c>
      <c r="O2399" s="13">
        <v>2076.4299999999998</v>
      </c>
      <c r="P2399" s="13"/>
      <c r="Q2399" s="3">
        <f t="shared" si="187"/>
        <v>0</v>
      </c>
      <c r="R2399" s="3">
        <f t="shared" si="188"/>
        <v>0</v>
      </c>
      <c r="S2399" s="3">
        <f t="shared" si="189"/>
        <v>5269.450000000038</v>
      </c>
      <c r="T2399" s="24" t="s">
        <v>1081</v>
      </c>
      <c r="U2399" s="24" t="s">
        <v>1081</v>
      </c>
      <c r="V2399" s="69"/>
      <c r="W2399" s="25">
        <f>IFERROR(VLOOKUP(BCP_Soles[[#This Row],[DESTINATARIO]],CHOOSE({1,2},Clientes_Proveedores[Razon Social],Clientes_Proveedores[Ruc / Dni]),2,0),"")</f>
        <v>20558226979</v>
      </c>
      <c r="X2399" s="25"/>
      <c r="Y2399" s="25"/>
      <c r="Z2399" s="25"/>
      <c r="AA2399" s="99"/>
      <c r="AB2399" s="3" t="str">
        <f>IF(BCP_Soles[[#This Row],[FECHA]]&gt;0,TEXT(BCP_Soles[[#This Row],[FECHA]],"mmmm"),0)</f>
        <v>Julio</v>
      </c>
    </row>
    <row r="2400" spans="2:28" ht="24" x14ac:dyDescent="0.3">
      <c r="B2400" s="2">
        <f>IF(BCP_Soles[[#This Row],[TIPO DE R.]]="R",COUNTIFS($D$4:$D2399,"R")+1,"")</f>
        <v>1792</v>
      </c>
      <c r="C2400" s="19" t="str">
        <f t="shared" si="185"/>
        <v>B-BCP - Soles</v>
      </c>
      <c r="D2400" s="3" t="s">
        <v>1074</v>
      </c>
      <c r="E2400" s="14">
        <v>45842</v>
      </c>
      <c r="F2400" s="5" t="s">
        <v>405</v>
      </c>
      <c r="G2400" s="5" t="s">
        <v>1087</v>
      </c>
      <c r="H2400" s="6" t="s">
        <v>368</v>
      </c>
      <c r="I2400" s="6" t="s">
        <v>14</v>
      </c>
      <c r="J2400" s="6" t="s">
        <v>3091</v>
      </c>
      <c r="K2400" s="6">
        <v>43</v>
      </c>
      <c r="L2400" s="7" t="s">
        <v>1100</v>
      </c>
      <c r="M2400" s="8">
        <v>1732565</v>
      </c>
      <c r="N2400" s="8" t="str">
        <f t="shared" si="186"/>
        <v>PEN</v>
      </c>
      <c r="O2400" s="13"/>
      <c r="P2400" s="13">
        <v>455.5</v>
      </c>
      <c r="Q2400" s="3">
        <f t="shared" si="187"/>
        <v>455.5</v>
      </c>
      <c r="R2400" s="3">
        <f t="shared" si="188"/>
        <v>0</v>
      </c>
      <c r="S2400" s="3">
        <f t="shared" si="189"/>
        <v>5724.950000000038</v>
      </c>
      <c r="T2400" s="24" t="s">
        <v>1081</v>
      </c>
      <c r="U2400" s="24" t="s">
        <v>1081</v>
      </c>
      <c r="V2400" s="69"/>
      <c r="W2400" s="25">
        <f>IFERROR(VLOOKUP(BCP_Soles[[#This Row],[DESTINATARIO]],CHOOSE({1,2},Clientes_Proveedores[Razon Social],Clientes_Proveedores[Ruc / Dni]),2,0),"")</f>
        <v>20558226979</v>
      </c>
      <c r="X2400" s="25" t="s">
        <v>1090</v>
      </c>
      <c r="Y2400" s="25" t="s">
        <v>3444</v>
      </c>
      <c r="Z2400" s="25"/>
      <c r="AA2400" s="99"/>
      <c r="AB2400" s="3" t="str">
        <f>IF(BCP_Soles[[#This Row],[FECHA]]&gt;0,TEXT(BCP_Soles[[#This Row],[FECHA]],"mmmm"),0)</f>
        <v>Julio</v>
      </c>
    </row>
    <row r="2401" spans="2:28" ht="60" x14ac:dyDescent="0.3">
      <c r="B2401" s="2">
        <f>IF(BCP_Soles[[#This Row],[TIPO DE R.]]="R",COUNTIFS($D$4:$D2400,"R")+1,"")</f>
        <v>1793</v>
      </c>
      <c r="C2401" s="19" t="str">
        <f t="shared" si="185"/>
        <v>B-BCP - Soles</v>
      </c>
      <c r="D2401" s="3" t="s">
        <v>1074</v>
      </c>
      <c r="E2401" s="14">
        <v>45842</v>
      </c>
      <c r="F2401" s="5" t="s">
        <v>238</v>
      </c>
      <c r="G2401" s="5" t="s">
        <v>1087</v>
      </c>
      <c r="H2401" s="6" t="s">
        <v>368</v>
      </c>
      <c r="I2401" s="6" t="s">
        <v>14</v>
      </c>
      <c r="J2401" s="6" t="s">
        <v>3010</v>
      </c>
      <c r="K2401" s="6">
        <v>69</v>
      </c>
      <c r="L2401" s="7" t="s">
        <v>1170</v>
      </c>
      <c r="M2401" s="8">
        <v>2259044</v>
      </c>
      <c r="N2401" s="8" t="str">
        <f t="shared" si="186"/>
        <v>PEN</v>
      </c>
      <c r="O2401" s="13"/>
      <c r="P2401" s="13">
        <v>442.38</v>
      </c>
      <c r="Q2401" s="3">
        <f t="shared" si="187"/>
        <v>442.38</v>
      </c>
      <c r="R2401" s="3">
        <f t="shared" si="188"/>
        <v>0</v>
      </c>
      <c r="S2401" s="3">
        <f t="shared" si="189"/>
        <v>6167.3300000000381</v>
      </c>
      <c r="T2401" s="24" t="s">
        <v>1081</v>
      </c>
      <c r="U2401" s="24" t="s">
        <v>1081</v>
      </c>
      <c r="V2401" s="69"/>
      <c r="W2401" s="25">
        <f>IFERROR(VLOOKUP(BCP_Soles[[#This Row],[DESTINATARIO]],CHOOSE({1,2},Clientes_Proveedores[Razon Social],Clientes_Proveedores[Ruc / Dni]),2,0),"")</f>
        <v>20558226979</v>
      </c>
      <c r="X2401" s="25" t="s">
        <v>1090</v>
      </c>
      <c r="Y2401" s="25" t="s">
        <v>3445</v>
      </c>
      <c r="Z2401" s="25"/>
      <c r="AA2401" s="99"/>
      <c r="AB2401" s="3" t="str">
        <f>IF(BCP_Soles[[#This Row],[FECHA]]&gt;0,TEXT(BCP_Soles[[#This Row],[FECHA]],"mmmm"),0)</f>
        <v>Julio</v>
      </c>
    </row>
    <row r="2402" spans="2:28" ht="60" x14ac:dyDescent="0.3">
      <c r="B2402" s="2">
        <f>IF(BCP_Soles[[#This Row],[TIPO DE R.]]="R",COUNTIFS($D$4:$D2401,"R")+1,"")</f>
        <v>1794</v>
      </c>
      <c r="C2402" s="19" t="str">
        <f t="shared" si="185"/>
        <v>B-BCP - Soles</v>
      </c>
      <c r="D2402" s="3" t="s">
        <v>1074</v>
      </c>
      <c r="E2402" s="14">
        <v>45842</v>
      </c>
      <c r="F2402" s="5" t="s">
        <v>238</v>
      </c>
      <c r="G2402" s="5" t="s">
        <v>1087</v>
      </c>
      <c r="H2402" s="6" t="s">
        <v>368</v>
      </c>
      <c r="I2402" s="6" t="s">
        <v>14</v>
      </c>
      <c r="J2402" s="6" t="s">
        <v>3010</v>
      </c>
      <c r="K2402" s="6">
        <v>64</v>
      </c>
      <c r="L2402" s="7" t="s">
        <v>1170</v>
      </c>
      <c r="M2402" s="8">
        <v>2237796</v>
      </c>
      <c r="N2402" s="8" t="str">
        <f t="shared" si="186"/>
        <v>PEN</v>
      </c>
      <c r="O2402" s="13"/>
      <c r="P2402" s="13">
        <v>424.14</v>
      </c>
      <c r="Q2402" s="3">
        <f t="shared" si="187"/>
        <v>424.14</v>
      </c>
      <c r="R2402" s="3">
        <f t="shared" si="188"/>
        <v>0</v>
      </c>
      <c r="S2402" s="3">
        <f t="shared" si="189"/>
        <v>6591.4700000000385</v>
      </c>
      <c r="T2402" s="24" t="s">
        <v>1081</v>
      </c>
      <c r="U2402" s="24" t="s">
        <v>1081</v>
      </c>
      <c r="V2402" s="69"/>
      <c r="W2402" s="25">
        <f>IFERROR(VLOOKUP(BCP_Soles[[#This Row],[DESTINATARIO]],CHOOSE({1,2},Clientes_Proveedores[Razon Social],Clientes_Proveedores[Ruc / Dni]),2,0),"")</f>
        <v>20558226979</v>
      </c>
      <c r="X2402" s="25" t="s">
        <v>1090</v>
      </c>
      <c r="Y2402" s="25" t="s">
        <v>3446</v>
      </c>
      <c r="Z2402" s="25"/>
      <c r="AA2402" s="99"/>
      <c r="AB2402" s="3" t="str">
        <f>IF(BCP_Soles[[#This Row],[FECHA]]&gt;0,TEXT(BCP_Soles[[#This Row],[FECHA]],"mmmm"),0)</f>
        <v>Julio</v>
      </c>
    </row>
    <row r="2403" spans="2:28" ht="60" x14ac:dyDescent="0.3">
      <c r="B2403" s="2">
        <f>IF(BCP_Soles[[#This Row],[TIPO DE R.]]="R",COUNTIFS($D$4:$D2402,"R")+1,"")</f>
        <v>1795</v>
      </c>
      <c r="C2403" s="19" t="str">
        <f t="shared" si="185"/>
        <v>B-BCP - Soles</v>
      </c>
      <c r="D2403" s="3" t="s">
        <v>1074</v>
      </c>
      <c r="E2403" s="14">
        <v>45842</v>
      </c>
      <c r="F2403" s="5" t="s">
        <v>238</v>
      </c>
      <c r="G2403" s="5" t="s">
        <v>1087</v>
      </c>
      <c r="H2403" s="6" t="s">
        <v>368</v>
      </c>
      <c r="I2403" s="6" t="s">
        <v>14</v>
      </c>
      <c r="J2403" s="6" t="s">
        <v>3010</v>
      </c>
      <c r="K2403" s="6">
        <v>66</v>
      </c>
      <c r="L2403" s="7" t="s">
        <v>1170</v>
      </c>
      <c r="M2403" s="8">
        <v>2241670</v>
      </c>
      <c r="N2403" s="8" t="str">
        <f t="shared" si="186"/>
        <v>PEN</v>
      </c>
      <c r="O2403" s="13"/>
      <c r="P2403" s="13">
        <v>409.44</v>
      </c>
      <c r="Q2403" s="3">
        <f t="shared" si="187"/>
        <v>409.44</v>
      </c>
      <c r="R2403" s="3">
        <f t="shared" si="188"/>
        <v>0</v>
      </c>
      <c r="S2403" s="3">
        <f t="shared" si="189"/>
        <v>7000.9100000000381</v>
      </c>
      <c r="T2403" s="24" t="s">
        <v>1081</v>
      </c>
      <c r="U2403" s="24" t="s">
        <v>1081</v>
      </c>
      <c r="V2403" s="69"/>
      <c r="W2403" s="25">
        <f>IFERROR(VLOOKUP(BCP_Soles[[#This Row],[DESTINATARIO]],CHOOSE({1,2},Clientes_Proveedores[Razon Social],Clientes_Proveedores[Ruc / Dni]),2,0),"")</f>
        <v>20558226979</v>
      </c>
      <c r="X2403" s="25" t="s">
        <v>1090</v>
      </c>
      <c r="Y2403" s="25" t="s">
        <v>3447</v>
      </c>
      <c r="Z2403" s="25"/>
      <c r="AA2403" s="99"/>
      <c r="AB2403" s="3" t="str">
        <f>IF(BCP_Soles[[#This Row],[FECHA]]&gt;0,TEXT(BCP_Soles[[#This Row],[FECHA]],"mmmm"),0)</f>
        <v>Julio</v>
      </c>
    </row>
    <row r="2404" spans="2:28" ht="60" x14ac:dyDescent="0.3">
      <c r="B2404" s="2">
        <f>IF(BCP_Soles[[#This Row],[TIPO DE R.]]="R",COUNTIFS($D$4:$D2403,"R")+1,"")</f>
        <v>1796</v>
      </c>
      <c r="C2404" s="19" t="str">
        <f t="shared" si="185"/>
        <v>B-BCP - Soles</v>
      </c>
      <c r="D2404" s="3" t="s">
        <v>1074</v>
      </c>
      <c r="E2404" s="14">
        <v>45842</v>
      </c>
      <c r="F2404" s="5" t="s">
        <v>238</v>
      </c>
      <c r="G2404" s="5" t="s">
        <v>1087</v>
      </c>
      <c r="H2404" s="6" t="s">
        <v>368</v>
      </c>
      <c r="I2404" s="6" t="s">
        <v>14</v>
      </c>
      <c r="J2404" s="6" t="s">
        <v>3010</v>
      </c>
      <c r="K2404" s="6">
        <v>65</v>
      </c>
      <c r="L2404" s="7" t="s">
        <v>1170</v>
      </c>
      <c r="M2404" s="8">
        <v>2240589</v>
      </c>
      <c r="N2404" s="8" t="str">
        <f t="shared" si="186"/>
        <v>PEN</v>
      </c>
      <c r="O2404" s="13"/>
      <c r="P2404" s="13">
        <v>370.42</v>
      </c>
      <c r="Q2404" s="3">
        <f t="shared" si="187"/>
        <v>370.42</v>
      </c>
      <c r="R2404" s="3">
        <f t="shared" si="188"/>
        <v>0</v>
      </c>
      <c r="S2404" s="3">
        <f t="shared" si="189"/>
        <v>7371.3300000000381</v>
      </c>
      <c r="T2404" s="24" t="s">
        <v>1081</v>
      </c>
      <c r="U2404" s="24" t="s">
        <v>1081</v>
      </c>
      <c r="V2404" s="69"/>
      <c r="W2404" s="25">
        <f>IFERROR(VLOOKUP(BCP_Soles[[#This Row],[DESTINATARIO]],CHOOSE({1,2},Clientes_Proveedores[Razon Social],Clientes_Proveedores[Ruc / Dni]),2,0),"")</f>
        <v>20558226979</v>
      </c>
      <c r="X2404" s="25" t="s">
        <v>1090</v>
      </c>
      <c r="Y2404" s="25" t="s">
        <v>3448</v>
      </c>
      <c r="Z2404" s="25"/>
      <c r="AA2404" s="99"/>
      <c r="AB2404" s="3" t="str">
        <f>IF(BCP_Soles[[#This Row],[FECHA]]&gt;0,TEXT(BCP_Soles[[#This Row],[FECHA]],"mmmm"),0)</f>
        <v>Julio</v>
      </c>
    </row>
    <row r="2405" spans="2:28" ht="60" x14ac:dyDescent="0.3">
      <c r="B2405" s="2">
        <f>IF(BCP_Soles[[#This Row],[TIPO DE R.]]="R",COUNTIFS($D$4:$D2404,"R")+1,"")</f>
        <v>1797</v>
      </c>
      <c r="C2405" s="19" t="str">
        <f t="shared" si="185"/>
        <v>B-BCP - Soles</v>
      </c>
      <c r="D2405" s="3" t="s">
        <v>1074</v>
      </c>
      <c r="E2405" s="14">
        <v>45842</v>
      </c>
      <c r="F2405" s="5" t="s">
        <v>238</v>
      </c>
      <c r="G2405" s="5" t="s">
        <v>1087</v>
      </c>
      <c r="H2405" s="6" t="s">
        <v>368</v>
      </c>
      <c r="I2405" s="6" t="s">
        <v>14</v>
      </c>
      <c r="J2405" s="6" t="s">
        <v>3010</v>
      </c>
      <c r="K2405" s="6">
        <v>70</v>
      </c>
      <c r="L2405" s="7" t="s">
        <v>1170</v>
      </c>
      <c r="M2405" s="8">
        <v>2261205</v>
      </c>
      <c r="N2405" s="8" t="str">
        <f t="shared" si="186"/>
        <v>PEN</v>
      </c>
      <c r="O2405" s="13"/>
      <c r="P2405" s="13">
        <v>288.83999999999997</v>
      </c>
      <c r="Q2405" s="3">
        <f t="shared" si="187"/>
        <v>288.83999999999997</v>
      </c>
      <c r="R2405" s="3">
        <f t="shared" si="188"/>
        <v>0</v>
      </c>
      <c r="S2405" s="3">
        <f t="shared" si="189"/>
        <v>7660.1700000000383</v>
      </c>
      <c r="T2405" s="24" t="s">
        <v>1081</v>
      </c>
      <c r="U2405" s="24" t="s">
        <v>1081</v>
      </c>
      <c r="V2405" s="69"/>
      <c r="W2405" s="25">
        <f>IFERROR(VLOOKUP(BCP_Soles[[#This Row],[DESTINATARIO]],CHOOSE({1,2},Clientes_Proveedores[Razon Social],Clientes_Proveedores[Ruc / Dni]),2,0),"")</f>
        <v>20558226979</v>
      </c>
      <c r="X2405" s="25" t="s">
        <v>1090</v>
      </c>
      <c r="Y2405" s="25" t="s">
        <v>3449</v>
      </c>
      <c r="Z2405" s="25"/>
      <c r="AA2405" s="99"/>
      <c r="AB2405" s="3" t="str">
        <f>IF(BCP_Soles[[#This Row],[FECHA]]&gt;0,TEXT(BCP_Soles[[#This Row],[FECHA]],"mmmm"),0)</f>
        <v>Julio</v>
      </c>
    </row>
    <row r="2406" spans="2:28" ht="60" x14ac:dyDescent="0.3">
      <c r="B2406" s="2">
        <f>IF(BCP_Soles[[#This Row],[TIPO DE R.]]="R",COUNTIFS($D$4:$D2405,"R")+1,"")</f>
        <v>1798</v>
      </c>
      <c r="C2406" s="19" t="str">
        <f t="shared" si="185"/>
        <v>B-BCP - Soles</v>
      </c>
      <c r="D2406" s="3" t="s">
        <v>1074</v>
      </c>
      <c r="E2406" s="14">
        <v>45842</v>
      </c>
      <c r="F2406" s="5" t="s">
        <v>238</v>
      </c>
      <c r="G2406" s="5" t="s">
        <v>1087</v>
      </c>
      <c r="H2406" s="6" t="s">
        <v>368</v>
      </c>
      <c r="I2406" s="6" t="s">
        <v>14</v>
      </c>
      <c r="J2406" s="6" t="s">
        <v>3010</v>
      </c>
      <c r="K2406" s="6">
        <v>67</v>
      </c>
      <c r="L2406" s="7" t="s">
        <v>1170</v>
      </c>
      <c r="M2406" s="8">
        <v>2255781</v>
      </c>
      <c r="N2406" s="8" t="str">
        <f t="shared" si="186"/>
        <v>PEN</v>
      </c>
      <c r="O2406" s="13"/>
      <c r="P2406" s="13">
        <v>243.74</v>
      </c>
      <c r="Q2406" s="3">
        <f t="shared" si="187"/>
        <v>243.74</v>
      </c>
      <c r="R2406" s="3">
        <f t="shared" si="188"/>
        <v>0</v>
      </c>
      <c r="S2406" s="3">
        <f t="shared" si="189"/>
        <v>7903.9100000000381</v>
      </c>
      <c r="T2406" s="24" t="s">
        <v>1081</v>
      </c>
      <c r="U2406" s="24" t="s">
        <v>1081</v>
      </c>
      <c r="V2406" s="69"/>
      <c r="W2406" s="25">
        <f>IFERROR(VLOOKUP(BCP_Soles[[#This Row],[DESTINATARIO]],CHOOSE({1,2},Clientes_Proveedores[Razon Social],Clientes_Proveedores[Ruc / Dni]),2,0),"")</f>
        <v>20558226979</v>
      </c>
      <c r="X2406" s="25" t="s">
        <v>1090</v>
      </c>
      <c r="Y2406" s="25" t="s">
        <v>3450</v>
      </c>
      <c r="Z2406" s="25"/>
      <c r="AA2406" s="99"/>
      <c r="AB2406" s="3" t="str">
        <f>IF(BCP_Soles[[#This Row],[FECHA]]&gt;0,TEXT(BCP_Soles[[#This Row],[FECHA]],"mmmm"),0)</f>
        <v>Julio</v>
      </c>
    </row>
    <row r="2407" spans="2:28" ht="60" x14ac:dyDescent="0.3">
      <c r="B2407" s="2">
        <f>IF(BCP_Soles[[#This Row],[TIPO DE R.]]="R",COUNTIFS($D$4:$D2406,"R")+1,"")</f>
        <v>1799</v>
      </c>
      <c r="C2407" s="19" t="str">
        <f t="shared" si="185"/>
        <v>B-BCP - Soles</v>
      </c>
      <c r="D2407" s="3" t="s">
        <v>1074</v>
      </c>
      <c r="E2407" s="14">
        <v>45842</v>
      </c>
      <c r="F2407" s="5" t="s">
        <v>238</v>
      </c>
      <c r="G2407" s="5" t="s">
        <v>1087</v>
      </c>
      <c r="H2407" s="6" t="s">
        <v>368</v>
      </c>
      <c r="I2407" s="6" t="s">
        <v>14</v>
      </c>
      <c r="J2407" s="6" t="s">
        <v>3010</v>
      </c>
      <c r="K2407" s="6">
        <v>68</v>
      </c>
      <c r="L2407" s="7" t="s">
        <v>1170</v>
      </c>
      <c r="M2407" s="8">
        <v>2259337</v>
      </c>
      <c r="N2407" s="8" t="str">
        <f t="shared" si="186"/>
        <v>PEN</v>
      </c>
      <c r="O2407" s="13"/>
      <c r="P2407" s="13">
        <v>212.57</v>
      </c>
      <c r="Q2407" s="3">
        <f t="shared" si="187"/>
        <v>212.57</v>
      </c>
      <c r="R2407" s="3">
        <f t="shared" si="188"/>
        <v>0</v>
      </c>
      <c r="S2407" s="3">
        <f t="shared" si="189"/>
        <v>8116.4800000000378</v>
      </c>
      <c r="T2407" s="24" t="s">
        <v>1081</v>
      </c>
      <c r="U2407" s="24" t="s">
        <v>1081</v>
      </c>
      <c r="V2407" s="69"/>
      <c r="W2407" s="25">
        <f>IFERROR(VLOOKUP(BCP_Soles[[#This Row],[DESTINATARIO]],CHOOSE({1,2},Clientes_Proveedores[Razon Social],Clientes_Proveedores[Ruc / Dni]),2,0),"")</f>
        <v>20558226979</v>
      </c>
      <c r="X2407" s="25" t="s">
        <v>1090</v>
      </c>
      <c r="Y2407" s="25" t="s">
        <v>3451</v>
      </c>
      <c r="Z2407" s="25"/>
      <c r="AA2407" s="99"/>
      <c r="AB2407" s="3" t="str">
        <f>IF(BCP_Soles[[#This Row],[FECHA]]&gt;0,TEXT(BCP_Soles[[#This Row],[FECHA]],"mmmm"),0)</f>
        <v>Julio</v>
      </c>
    </row>
    <row r="2408" spans="2:28" ht="36" x14ac:dyDescent="0.3">
      <c r="B2408" s="2">
        <f>IF(BCP_Soles[[#This Row],[TIPO DE R.]]="R",COUNTIFS($D$4:$D2407,"R")+1,"")</f>
        <v>1800</v>
      </c>
      <c r="C2408" s="19" t="str">
        <f t="shared" si="185"/>
        <v>B-BCP - Soles</v>
      </c>
      <c r="D2408" s="3" t="s">
        <v>1074</v>
      </c>
      <c r="E2408" s="14">
        <v>45842</v>
      </c>
      <c r="F2408" s="5" t="s">
        <v>187</v>
      </c>
      <c r="G2408" s="5" t="s">
        <v>1087</v>
      </c>
      <c r="H2408" s="6" t="s">
        <v>368</v>
      </c>
      <c r="I2408" s="6" t="s">
        <v>14</v>
      </c>
      <c r="J2408" s="6" t="s">
        <v>1521</v>
      </c>
      <c r="K2408" s="6">
        <v>103</v>
      </c>
      <c r="L2408" s="7" t="s">
        <v>3452</v>
      </c>
      <c r="M2408" s="8">
        <v>5935376</v>
      </c>
      <c r="N2408" s="8" t="str">
        <f t="shared" si="186"/>
        <v>PEN</v>
      </c>
      <c r="O2408" s="13"/>
      <c r="P2408" s="13">
        <v>1262.55</v>
      </c>
      <c r="Q2408" s="3">
        <f t="shared" si="187"/>
        <v>1262.55</v>
      </c>
      <c r="R2408" s="3">
        <f t="shared" si="188"/>
        <v>0</v>
      </c>
      <c r="S2408" s="3">
        <f t="shared" si="189"/>
        <v>9379.030000000037</v>
      </c>
      <c r="T2408" s="24" t="s">
        <v>1081</v>
      </c>
      <c r="U2408" s="24" t="s">
        <v>1081</v>
      </c>
      <c r="V2408" s="69"/>
      <c r="W2408" s="25">
        <f>IFERROR(VLOOKUP(BCP_Soles[[#This Row],[DESTINATARIO]],CHOOSE({1,2},Clientes_Proveedores[Razon Social],Clientes_Proveedores[Ruc / Dni]),2,0),"")</f>
        <v>20558226979</v>
      </c>
      <c r="X2408" s="25" t="s">
        <v>1090</v>
      </c>
      <c r="Y2408" s="25" t="s">
        <v>3453</v>
      </c>
      <c r="Z2408" s="25"/>
      <c r="AA2408" s="99"/>
      <c r="AB2408" s="3" t="str">
        <f>IF(BCP_Soles[[#This Row],[FECHA]]&gt;0,TEXT(BCP_Soles[[#This Row],[FECHA]],"mmmm"),0)</f>
        <v>Julio</v>
      </c>
    </row>
    <row r="2409" spans="2:28" ht="24" x14ac:dyDescent="0.3">
      <c r="B2409" s="2">
        <f>IF(BCP_Soles[[#This Row],[TIPO DE R.]]="R",COUNTIFS($D$4:$D2408,"R")+1,"")</f>
        <v>1801</v>
      </c>
      <c r="C2409" s="19" t="str">
        <f t="shared" si="185"/>
        <v>B-BCP - Soles</v>
      </c>
      <c r="D2409" s="3" t="s">
        <v>1074</v>
      </c>
      <c r="E2409" s="14">
        <v>45842</v>
      </c>
      <c r="F2409" s="5" t="s">
        <v>1075</v>
      </c>
      <c r="G2409" s="5" t="s">
        <v>1079</v>
      </c>
      <c r="H2409" s="6" t="s">
        <v>829</v>
      </c>
      <c r="I2409" s="6" t="s">
        <v>91</v>
      </c>
      <c r="J2409" s="6">
        <v>14</v>
      </c>
      <c r="K2409" s="6">
        <v>33</v>
      </c>
      <c r="L2409" s="7" t="s">
        <v>3454</v>
      </c>
      <c r="M2409" s="8">
        <v>1261235</v>
      </c>
      <c r="N2409" s="8" t="str">
        <f t="shared" si="186"/>
        <v>PEN</v>
      </c>
      <c r="O2409" s="13"/>
      <c r="P2409" s="13">
        <v>1957.54</v>
      </c>
      <c r="Q2409" s="3">
        <f t="shared" si="187"/>
        <v>0</v>
      </c>
      <c r="R2409" s="3">
        <f t="shared" si="188"/>
        <v>1957.54</v>
      </c>
      <c r="S2409" s="3">
        <f t="shared" si="189"/>
        <v>7421.4900000000371</v>
      </c>
      <c r="T2409" s="24" t="s">
        <v>1081</v>
      </c>
      <c r="U2409" s="24"/>
      <c r="V2409" s="69"/>
      <c r="W2409" s="25">
        <f>IFERROR(VLOOKUP(BCP_Soles[[#This Row],[DESTINATARIO]],CHOOSE({1,2},Clientes_Proveedores[Razon Social],Clientes_Proveedores[Ruc / Dni]),2,0),"")</f>
        <v>47461440</v>
      </c>
      <c r="X2409" s="25"/>
      <c r="Y2409" s="25"/>
      <c r="Z2409" s="25"/>
      <c r="AA2409" s="99"/>
      <c r="AB2409" s="3" t="str">
        <f>IF(BCP_Soles[[#This Row],[FECHA]]&gt;0,TEXT(BCP_Soles[[#This Row],[FECHA]],"mmmm"),0)</f>
        <v>Julio</v>
      </c>
    </row>
    <row r="2410" spans="2:28" ht="24" x14ac:dyDescent="0.3">
      <c r="B2410" s="2">
        <f>IF(BCP_Soles[[#This Row],[TIPO DE R.]]="R",COUNTIFS($D$4:$D2409,"R")+1,"")</f>
        <v>1802</v>
      </c>
      <c r="C2410" s="19" t="str">
        <f t="shared" si="185"/>
        <v>B-BCP - Soles</v>
      </c>
      <c r="D2410" s="3" t="s">
        <v>1074</v>
      </c>
      <c r="E2410" s="14">
        <v>45842</v>
      </c>
      <c r="F2410" s="5" t="s">
        <v>1075</v>
      </c>
      <c r="G2410" s="5" t="s">
        <v>1079</v>
      </c>
      <c r="H2410" s="6" t="s">
        <v>798</v>
      </c>
      <c r="I2410" s="6" t="s">
        <v>87</v>
      </c>
      <c r="J2410" s="6">
        <v>1</v>
      </c>
      <c r="K2410" s="6">
        <v>462025</v>
      </c>
      <c r="L2410" s="7" t="s">
        <v>3455</v>
      </c>
      <c r="M2410" s="8">
        <v>1261234</v>
      </c>
      <c r="N2410" s="8" t="str">
        <f t="shared" si="186"/>
        <v>PEN</v>
      </c>
      <c r="O2410" s="13"/>
      <c r="P2410" s="13">
        <v>150</v>
      </c>
      <c r="Q2410" s="3">
        <f t="shared" si="187"/>
        <v>0</v>
      </c>
      <c r="R2410" s="3">
        <f t="shared" si="188"/>
        <v>150</v>
      </c>
      <c r="S2410" s="3">
        <f t="shared" si="189"/>
        <v>7271.4900000000371</v>
      </c>
      <c r="T2410" s="24" t="s">
        <v>1081</v>
      </c>
      <c r="U2410" s="24" t="s">
        <v>1081</v>
      </c>
      <c r="V2410" s="69"/>
      <c r="W2410" s="25">
        <f>IFERROR(VLOOKUP(BCP_Soles[[#This Row],[DESTINATARIO]],CHOOSE({1,2},Clientes_Proveedores[Razon Social],Clientes_Proveedores[Ruc / Dni]),2,0),"")</f>
        <v>70666331</v>
      </c>
      <c r="X2410" s="25" t="s">
        <v>798</v>
      </c>
      <c r="Y2410" s="25"/>
      <c r="Z2410" s="25"/>
      <c r="AA2410" s="99"/>
      <c r="AB2410" s="3" t="str">
        <f>IF(BCP_Soles[[#This Row],[FECHA]]&gt;0,TEXT(BCP_Soles[[#This Row],[FECHA]],"mmmm"),0)</f>
        <v>Julio</v>
      </c>
    </row>
    <row r="2411" spans="2:28" ht="24" x14ac:dyDescent="0.3">
      <c r="B2411" s="2">
        <f>IF(BCP_Soles[[#This Row],[TIPO DE R.]]="R",COUNTIFS($D$4:$D2410,"R")+1,"")</f>
        <v>1803</v>
      </c>
      <c r="C2411" s="19" t="str">
        <f t="shared" si="185"/>
        <v>B-BCP - Soles</v>
      </c>
      <c r="D2411" s="3" t="s">
        <v>1074</v>
      </c>
      <c r="E2411" s="14">
        <v>45842</v>
      </c>
      <c r="F2411" s="5" t="s">
        <v>1075</v>
      </c>
      <c r="G2411" s="5" t="s">
        <v>1079</v>
      </c>
      <c r="H2411" s="6" t="s">
        <v>753</v>
      </c>
      <c r="I2411" s="6"/>
      <c r="J2411" s="6"/>
      <c r="K2411" s="6"/>
      <c r="L2411" s="7" t="s">
        <v>3456</v>
      </c>
      <c r="M2411" s="8">
        <v>1261731</v>
      </c>
      <c r="N2411" s="8" t="str">
        <f t="shared" si="186"/>
        <v>PEN</v>
      </c>
      <c r="O2411" s="13"/>
      <c r="P2411" s="13">
        <v>500</v>
      </c>
      <c r="Q2411" s="3">
        <f t="shared" si="187"/>
        <v>0</v>
      </c>
      <c r="R2411" s="3">
        <f t="shared" si="188"/>
        <v>500</v>
      </c>
      <c r="S2411" s="3">
        <f t="shared" si="189"/>
        <v>6771.4900000000371</v>
      </c>
      <c r="T2411" s="24"/>
      <c r="U2411" s="24" t="s">
        <v>1081</v>
      </c>
      <c r="V2411" s="69"/>
      <c r="W2411" s="25">
        <f>IFERROR(VLOOKUP(BCP_Soles[[#This Row],[DESTINATARIO]],CHOOSE({1,2},Clientes_Proveedores[Razon Social],Clientes_Proveedores[Ruc / Dni]),2,0),"")</f>
        <v>73444362</v>
      </c>
      <c r="X2411" s="25" t="s">
        <v>898</v>
      </c>
      <c r="Y2411" s="25"/>
      <c r="Z2411" s="25"/>
      <c r="AA2411" s="99"/>
      <c r="AB2411" s="3" t="str">
        <f>IF(BCP_Soles[[#This Row],[FECHA]]&gt;0,TEXT(BCP_Soles[[#This Row],[FECHA]],"mmmm"),0)</f>
        <v>Julio</v>
      </c>
    </row>
    <row r="2412" spans="2:28" x14ac:dyDescent="0.3">
      <c r="B2412" s="2">
        <f>IF(BCP_Soles[[#This Row],[TIPO DE R.]]="R",COUNTIFS($D$4:$D2411,"R")+1,"")</f>
        <v>1804</v>
      </c>
      <c r="C2412" s="19" t="str">
        <f t="shared" si="185"/>
        <v>B-BCP - Soles</v>
      </c>
      <c r="D2412" s="3" t="s">
        <v>1074</v>
      </c>
      <c r="E2412" s="14">
        <v>45842</v>
      </c>
      <c r="F2412" s="5" t="s">
        <v>1075</v>
      </c>
      <c r="G2412" s="5" t="s">
        <v>1079</v>
      </c>
      <c r="H2412" s="125"/>
      <c r="I2412" s="6"/>
      <c r="J2412" s="6"/>
      <c r="K2412" s="6"/>
      <c r="L2412" s="7" t="s">
        <v>3457</v>
      </c>
      <c r="M2412" s="8">
        <v>1011022</v>
      </c>
      <c r="N2412" s="8" t="str">
        <f t="shared" si="186"/>
        <v>PEN</v>
      </c>
      <c r="O2412" s="13"/>
      <c r="P2412" s="13">
        <v>13</v>
      </c>
      <c r="Q2412" s="3">
        <f t="shared" si="187"/>
        <v>0</v>
      </c>
      <c r="R2412" s="3">
        <f t="shared" si="188"/>
        <v>13</v>
      </c>
      <c r="S2412" s="3">
        <f t="shared" si="189"/>
        <v>6758.4900000000371</v>
      </c>
      <c r="T2412" s="24"/>
      <c r="U2412" s="24"/>
      <c r="V2412" s="69"/>
      <c r="W2412" s="25" t="str">
        <f>IFERROR(VLOOKUP(BCP_Soles[[#This Row],[DESTINATARIO]],CHOOSE({1,2},Clientes_Proveedores[Razon Social],Clientes_Proveedores[Ruc / Dni]),2,0),"")</f>
        <v/>
      </c>
      <c r="X2412" s="25"/>
      <c r="Y2412" s="25"/>
      <c r="Z2412" s="25"/>
      <c r="AA2412" s="99"/>
      <c r="AB2412" s="3" t="str">
        <f>IF(BCP_Soles[[#This Row],[FECHA]]&gt;0,TEXT(BCP_Soles[[#This Row],[FECHA]],"mmmm"),0)</f>
        <v>Julio</v>
      </c>
    </row>
    <row r="2413" spans="2:28" x14ac:dyDescent="0.3">
      <c r="B2413" s="2">
        <f>IF(BCP_Soles[[#This Row],[TIPO DE R.]]="R",COUNTIFS($D$4:$D2412,"R")+1,"")</f>
        <v>1805</v>
      </c>
      <c r="C2413" s="19" t="str">
        <f t="shared" si="185"/>
        <v>B-BCP - Soles</v>
      </c>
      <c r="D2413" s="3" t="s">
        <v>1074</v>
      </c>
      <c r="E2413" s="14">
        <v>45842</v>
      </c>
      <c r="F2413" s="5" t="s">
        <v>1078</v>
      </c>
      <c r="G2413" s="5" t="s">
        <v>1079</v>
      </c>
      <c r="H2413" s="6" t="s">
        <v>950</v>
      </c>
      <c r="I2413" s="6" t="s">
        <v>10</v>
      </c>
      <c r="J2413" s="6" t="s">
        <v>3392</v>
      </c>
      <c r="K2413" s="6">
        <v>1805</v>
      </c>
      <c r="L2413" s="7" t="s">
        <v>2868</v>
      </c>
      <c r="M2413" s="8"/>
      <c r="N2413" s="8" t="str">
        <f t="shared" si="186"/>
        <v>PEN</v>
      </c>
      <c r="O2413" s="13"/>
      <c r="P2413" s="13">
        <v>0.3</v>
      </c>
      <c r="Q2413" s="3">
        <f t="shared" si="187"/>
        <v>0</v>
      </c>
      <c r="R2413" s="3">
        <f t="shared" si="188"/>
        <v>0.3</v>
      </c>
      <c r="S2413" s="3">
        <f t="shared" si="189"/>
        <v>6758.1900000000369</v>
      </c>
      <c r="T2413" s="24" t="s">
        <v>1081</v>
      </c>
      <c r="U2413" s="24"/>
      <c r="V2413" s="69"/>
      <c r="W2413" s="25">
        <f>IFERROR(VLOOKUP(BCP_Soles[[#This Row],[DESTINATARIO]],CHOOSE({1,2},Clientes_Proveedores[Razon Social],Clientes_Proveedores[Ruc / Dni]),2,0),"")</f>
        <v>11111111</v>
      </c>
      <c r="X2413" s="25"/>
      <c r="Y2413" s="25"/>
      <c r="Z2413" s="25"/>
      <c r="AA2413" s="99"/>
      <c r="AB2413" s="3" t="str">
        <f>IF(BCP_Soles[[#This Row],[FECHA]]&gt;0,TEXT(BCP_Soles[[#This Row],[FECHA]],"mmmm"),0)</f>
        <v>Julio</v>
      </c>
    </row>
    <row r="2414" spans="2:28" ht="24" x14ac:dyDescent="0.3">
      <c r="B2414" s="2">
        <f>IF(BCP_Soles[[#This Row],[TIPO DE R.]]="R",COUNTIFS($D$4:$D2413,"R")+1,"")</f>
        <v>1806</v>
      </c>
      <c r="C2414" s="19" t="str">
        <f t="shared" si="185"/>
        <v>B-BCP - Soles</v>
      </c>
      <c r="D2414" s="3" t="s">
        <v>1074</v>
      </c>
      <c r="E2414" s="14">
        <v>45842</v>
      </c>
      <c r="F2414" s="5" t="s">
        <v>1078</v>
      </c>
      <c r="G2414" s="5" t="s">
        <v>1079</v>
      </c>
      <c r="H2414" s="6" t="s">
        <v>1001</v>
      </c>
      <c r="I2414" s="6" t="s">
        <v>14</v>
      </c>
      <c r="J2414" s="6" t="s">
        <v>3128</v>
      </c>
      <c r="K2414" s="6">
        <v>34364851</v>
      </c>
      <c r="L2414" s="7" t="s">
        <v>1141</v>
      </c>
      <c r="M2414" s="8">
        <v>907</v>
      </c>
      <c r="N2414" s="8" t="str">
        <f t="shared" si="186"/>
        <v>PEN</v>
      </c>
      <c r="O2414" s="13"/>
      <c r="P2414" s="13">
        <v>3.5</v>
      </c>
      <c r="Q2414" s="3">
        <f t="shared" si="187"/>
        <v>0</v>
      </c>
      <c r="R2414" s="3">
        <f t="shared" si="188"/>
        <v>3.5</v>
      </c>
      <c r="S2414" s="3">
        <f t="shared" si="189"/>
        <v>6754.6900000000369</v>
      </c>
      <c r="T2414" s="24" t="s">
        <v>1081</v>
      </c>
      <c r="U2414" s="24" t="s">
        <v>1081</v>
      </c>
      <c r="V2414" s="69"/>
      <c r="W2414" s="25">
        <f>IFERROR(VLOOKUP(BCP_Soles[[#This Row],[DESTINATARIO]],CHOOSE({1,2},Clientes_Proveedores[Razon Social],Clientes_Proveedores[Ruc / Dni]),2,0),"")</f>
        <v>20100047218</v>
      </c>
      <c r="X2414" s="25"/>
      <c r="Y2414" s="25"/>
      <c r="Z2414" s="25"/>
      <c r="AA2414" s="99"/>
      <c r="AB2414" s="3" t="str">
        <f>IF(BCP_Soles[[#This Row],[FECHA]]&gt;0,TEXT(BCP_Soles[[#This Row],[FECHA]],"mmmm"),0)</f>
        <v>Julio</v>
      </c>
    </row>
    <row r="2415" spans="2:28" x14ac:dyDescent="0.3">
      <c r="B2415" s="2">
        <f>IF(BCP_Soles[[#This Row],[TIPO DE R.]]="R",COUNTIFS($D$4:$D2414,"R")+1,"")</f>
        <v>1807</v>
      </c>
      <c r="C2415" s="19" t="str">
        <f t="shared" si="185"/>
        <v>B-BCP - Soles</v>
      </c>
      <c r="D2415" s="3" t="s">
        <v>1074</v>
      </c>
      <c r="E2415" s="14">
        <v>45845</v>
      </c>
      <c r="F2415" s="5" t="s">
        <v>494</v>
      </c>
      <c r="G2415" s="5" t="s">
        <v>1087</v>
      </c>
      <c r="H2415" s="6" t="s">
        <v>368</v>
      </c>
      <c r="I2415" s="6" t="s">
        <v>14</v>
      </c>
      <c r="J2415" s="6" t="s">
        <v>3458</v>
      </c>
      <c r="K2415" s="6"/>
      <c r="L2415" s="7" t="s">
        <v>1100</v>
      </c>
      <c r="M2415" s="8">
        <v>2391753</v>
      </c>
      <c r="N2415" s="8" t="str">
        <f t="shared" si="186"/>
        <v>PEN</v>
      </c>
      <c r="O2415" s="13"/>
      <c r="P2415" s="13">
        <v>9440</v>
      </c>
      <c r="Q2415" s="3">
        <f t="shared" si="187"/>
        <v>9440</v>
      </c>
      <c r="R2415" s="3">
        <f t="shared" si="188"/>
        <v>0</v>
      </c>
      <c r="S2415" s="3">
        <f t="shared" si="189"/>
        <v>16194.690000000037</v>
      </c>
      <c r="T2415" s="24" t="s">
        <v>1081</v>
      </c>
      <c r="U2415" s="24" t="s">
        <v>1081</v>
      </c>
      <c r="V2415" s="69"/>
      <c r="W2415" s="25">
        <f>IFERROR(VLOOKUP(BCP_Soles[[#This Row],[DESTINATARIO]],CHOOSE({1,2},Clientes_Proveedores[Razon Social],Clientes_Proveedores[Ruc / Dni]),2,0),"")</f>
        <v>20558226979</v>
      </c>
      <c r="X2415" s="25"/>
      <c r="Y2415" s="25"/>
      <c r="Z2415" s="25"/>
      <c r="AA2415" s="99"/>
      <c r="AB2415" s="3" t="str">
        <f>IF(BCP_Soles[[#This Row],[FECHA]]&gt;0,TEXT(BCP_Soles[[#This Row],[FECHA]],"mmmm"),0)</f>
        <v>Julio</v>
      </c>
    </row>
    <row r="2416" spans="2:28" x14ac:dyDescent="0.3">
      <c r="B2416" s="2">
        <f>IF(BCP_Soles[[#This Row],[TIPO DE R.]]="R",COUNTIFS($D$4:$D2415,"R")+1,"")</f>
        <v>1808</v>
      </c>
      <c r="C2416" s="19" t="str">
        <f t="shared" si="185"/>
        <v>B-BCP - Soles</v>
      </c>
      <c r="D2416" s="3" t="s">
        <v>1074</v>
      </c>
      <c r="E2416" s="14">
        <v>45845</v>
      </c>
      <c r="F2416" s="5" t="s">
        <v>1090</v>
      </c>
      <c r="G2416" s="5" t="s">
        <v>1087</v>
      </c>
      <c r="H2416" s="6" t="s">
        <v>368</v>
      </c>
      <c r="I2416" s="6"/>
      <c r="J2416" s="6"/>
      <c r="K2416" s="6"/>
      <c r="L2416" s="7" t="s">
        <v>3459</v>
      </c>
      <c r="M2416" s="8">
        <v>2263918</v>
      </c>
      <c r="N2416" s="8" t="str">
        <f t="shared" si="186"/>
        <v>PEN</v>
      </c>
      <c r="O2416" s="13"/>
      <c r="P2416" s="13">
        <v>8890</v>
      </c>
      <c r="Q2416" s="3">
        <f t="shared" si="187"/>
        <v>8890</v>
      </c>
      <c r="R2416" s="3">
        <f t="shared" si="188"/>
        <v>0</v>
      </c>
      <c r="S2416" s="3">
        <f t="shared" si="189"/>
        <v>25084.690000000039</v>
      </c>
      <c r="T2416" s="24"/>
      <c r="U2416" s="24"/>
      <c r="V2416" s="69"/>
      <c r="W2416" s="25">
        <f>IFERROR(VLOOKUP(BCP_Soles[[#This Row],[DESTINATARIO]],CHOOSE({1,2},Clientes_Proveedores[Razon Social],Clientes_Proveedores[Ruc / Dni]),2,0),"")</f>
        <v>20558226979</v>
      </c>
      <c r="X2416" s="25"/>
      <c r="Y2416" s="25"/>
      <c r="Z2416" s="25"/>
      <c r="AA2416" s="99"/>
      <c r="AB2416" s="3" t="str">
        <f>IF(BCP_Soles[[#This Row],[FECHA]]&gt;0,TEXT(BCP_Soles[[#This Row],[FECHA]],"mmmm"),0)</f>
        <v>Julio</v>
      </c>
    </row>
    <row r="2417" spans="2:28" ht="36" x14ac:dyDescent="0.3">
      <c r="B2417" s="2">
        <f>IF(BCP_Soles[[#This Row],[TIPO DE R.]]="R",COUNTIFS($D$4:$D2416,"R")+1,"")</f>
        <v>1809</v>
      </c>
      <c r="C2417" s="19" t="str">
        <f t="shared" si="185"/>
        <v>B-BCP - Soles</v>
      </c>
      <c r="D2417" s="3" t="s">
        <v>1074</v>
      </c>
      <c r="E2417" s="14">
        <v>45845</v>
      </c>
      <c r="F2417" s="5" t="s">
        <v>497</v>
      </c>
      <c r="G2417" s="5" t="s">
        <v>1087</v>
      </c>
      <c r="H2417" s="6" t="s">
        <v>368</v>
      </c>
      <c r="I2417" s="6"/>
      <c r="J2417" s="6"/>
      <c r="K2417" s="6"/>
      <c r="L2417" s="7" t="s">
        <v>3089</v>
      </c>
      <c r="M2417" s="8">
        <v>6572652</v>
      </c>
      <c r="N2417" s="8" t="str">
        <f t="shared" si="186"/>
        <v>PEN</v>
      </c>
      <c r="O2417" s="13"/>
      <c r="P2417" s="13">
        <v>4345.9399999999996</v>
      </c>
      <c r="Q2417" s="3">
        <f t="shared" si="187"/>
        <v>4345.9399999999996</v>
      </c>
      <c r="R2417" s="3">
        <f t="shared" si="188"/>
        <v>0</v>
      </c>
      <c r="S2417" s="3">
        <f t="shared" si="189"/>
        <v>29430.630000000037</v>
      </c>
      <c r="T2417" s="24" t="s">
        <v>1081</v>
      </c>
      <c r="U2417" s="24" t="s">
        <v>1081</v>
      </c>
      <c r="V2417" s="69"/>
      <c r="W2417" s="25">
        <f>IFERROR(VLOOKUP(BCP_Soles[[#This Row],[DESTINATARIO]],CHOOSE({1,2},Clientes_Proveedores[Razon Social],Clientes_Proveedores[Ruc / Dni]),2,0),"")</f>
        <v>20558226979</v>
      </c>
      <c r="X2417" s="25"/>
      <c r="Y2417" s="25"/>
      <c r="Z2417" s="25"/>
      <c r="AA2417" s="99"/>
      <c r="AB2417" s="3" t="str">
        <f>IF(BCP_Soles[[#This Row],[FECHA]]&gt;0,TEXT(BCP_Soles[[#This Row],[FECHA]],"mmmm"),0)</f>
        <v>Julio</v>
      </c>
    </row>
    <row r="2418" spans="2:28" ht="36" x14ac:dyDescent="0.3">
      <c r="B2418" s="2" t="str">
        <f>IF(BCP_Soles[[#This Row],[TIPO DE R.]]="R",COUNTIFS($D$4:$D2417,"R")+1,"")</f>
        <v/>
      </c>
      <c r="C2418" s="19" t="str">
        <f t="shared" si="185"/>
        <v>B-BCP - Soles</v>
      </c>
      <c r="D2418" s="3" t="s">
        <v>1101</v>
      </c>
      <c r="E2418" s="14">
        <v>45845</v>
      </c>
      <c r="F2418" s="5" t="s">
        <v>497</v>
      </c>
      <c r="G2418" s="5"/>
      <c r="H2418" s="6" t="s">
        <v>368</v>
      </c>
      <c r="I2418" s="6" t="s">
        <v>14</v>
      </c>
      <c r="J2418" s="6" t="s">
        <v>3091</v>
      </c>
      <c r="K2418" s="6">
        <v>29</v>
      </c>
      <c r="L2418" s="7" t="s">
        <v>3089</v>
      </c>
      <c r="M2418" s="8">
        <v>6572652</v>
      </c>
      <c r="N2418" s="8" t="str">
        <f t="shared" si="186"/>
        <v>PEN</v>
      </c>
      <c r="O2418" s="13">
        <v>1332.04</v>
      </c>
      <c r="P2418" s="13"/>
      <c r="Q2418" s="3">
        <f t="shared" si="187"/>
        <v>0</v>
      </c>
      <c r="R2418" s="3">
        <f t="shared" si="188"/>
        <v>0</v>
      </c>
      <c r="S2418" s="3">
        <f t="shared" si="189"/>
        <v>29430.630000000037</v>
      </c>
      <c r="T2418" s="24" t="s">
        <v>1081</v>
      </c>
      <c r="U2418" s="24" t="s">
        <v>1081</v>
      </c>
      <c r="V2418" s="69"/>
      <c r="W2418" s="25">
        <f>IFERROR(VLOOKUP(BCP_Soles[[#This Row],[DESTINATARIO]],CHOOSE({1,2},Clientes_Proveedores[Razon Social],Clientes_Proveedores[Ruc / Dni]),2,0),"")</f>
        <v>20558226979</v>
      </c>
      <c r="X2418" s="25"/>
      <c r="Y2418" s="25"/>
      <c r="Z2418" s="25"/>
      <c r="AA2418" s="99"/>
      <c r="AB2418" s="3" t="str">
        <f>IF(BCP_Soles[[#This Row],[FECHA]]&gt;0,TEXT(BCP_Soles[[#This Row],[FECHA]],"mmmm"),0)</f>
        <v>Julio</v>
      </c>
    </row>
    <row r="2419" spans="2:28" ht="36" x14ac:dyDescent="0.3">
      <c r="B2419" s="2" t="str">
        <f>IF(BCP_Soles[[#This Row],[TIPO DE R.]]="R",COUNTIFS($D$4:$D2418,"R")+1,"")</f>
        <v/>
      </c>
      <c r="C2419" s="19" t="str">
        <f t="shared" si="185"/>
        <v>B-BCP - Soles</v>
      </c>
      <c r="D2419" s="3" t="s">
        <v>1101</v>
      </c>
      <c r="E2419" s="14">
        <v>45845</v>
      </c>
      <c r="F2419" s="5" t="s">
        <v>497</v>
      </c>
      <c r="G2419" s="5"/>
      <c r="H2419" s="6" t="s">
        <v>368</v>
      </c>
      <c r="I2419" s="6" t="s">
        <v>14</v>
      </c>
      <c r="J2419" s="6" t="s">
        <v>3091</v>
      </c>
      <c r="K2419" s="6">
        <v>32</v>
      </c>
      <c r="L2419" s="7" t="s">
        <v>3089</v>
      </c>
      <c r="M2419" s="8">
        <v>6572652</v>
      </c>
      <c r="N2419" s="8" t="str">
        <f t="shared" si="186"/>
        <v>PEN</v>
      </c>
      <c r="O2419" s="13">
        <v>682.4</v>
      </c>
      <c r="P2419" s="13"/>
      <c r="Q2419" s="3">
        <f t="shared" si="187"/>
        <v>0</v>
      </c>
      <c r="R2419" s="3">
        <f t="shared" si="188"/>
        <v>0</v>
      </c>
      <c r="S2419" s="3">
        <f t="shared" si="189"/>
        <v>29430.630000000037</v>
      </c>
      <c r="T2419" s="24" t="s">
        <v>1081</v>
      </c>
      <c r="U2419" s="24" t="s">
        <v>1081</v>
      </c>
      <c r="V2419" s="69"/>
      <c r="W2419" s="25">
        <f>IFERROR(VLOOKUP(BCP_Soles[[#This Row],[DESTINATARIO]],CHOOSE({1,2},Clientes_Proveedores[Razon Social],Clientes_Proveedores[Ruc / Dni]),2,0),"")</f>
        <v>20558226979</v>
      </c>
      <c r="X2419" s="25"/>
      <c r="Y2419" s="25"/>
      <c r="Z2419" s="25"/>
      <c r="AA2419" s="99"/>
      <c r="AB2419" s="3" t="str">
        <f>IF(BCP_Soles[[#This Row],[FECHA]]&gt;0,TEXT(BCP_Soles[[#This Row],[FECHA]],"mmmm"),0)</f>
        <v>Julio</v>
      </c>
    </row>
    <row r="2420" spans="2:28" ht="36" x14ac:dyDescent="0.3">
      <c r="B2420" s="2" t="str">
        <f>IF(BCP_Soles[[#This Row],[TIPO DE R.]]="R",COUNTIFS($D$4:$D2419,"R")+1,"")</f>
        <v/>
      </c>
      <c r="C2420" s="19" t="str">
        <f t="shared" si="185"/>
        <v>B-BCP - Soles</v>
      </c>
      <c r="D2420" s="3" t="s">
        <v>1101</v>
      </c>
      <c r="E2420" s="14">
        <v>45845</v>
      </c>
      <c r="F2420" s="5" t="s">
        <v>497</v>
      </c>
      <c r="G2420" s="5"/>
      <c r="H2420" s="6" t="s">
        <v>368</v>
      </c>
      <c r="I2420" s="6" t="s">
        <v>14</v>
      </c>
      <c r="J2420" s="6" t="s">
        <v>3091</v>
      </c>
      <c r="K2420" s="6">
        <v>42</v>
      </c>
      <c r="L2420" s="7" t="s">
        <v>3089</v>
      </c>
      <c r="M2420" s="8">
        <v>6572652</v>
      </c>
      <c r="N2420" s="8" t="str">
        <f t="shared" si="186"/>
        <v>PEN</v>
      </c>
      <c r="O2420" s="13">
        <v>2331.5</v>
      </c>
      <c r="P2420" s="13"/>
      <c r="Q2420" s="3">
        <f t="shared" si="187"/>
        <v>0</v>
      </c>
      <c r="R2420" s="3">
        <f t="shared" si="188"/>
        <v>0</v>
      </c>
      <c r="S2420" s="3">
        <f t="shared" si="189"/>
        <v>29430.630000000037</v>
      </c>
      <c r="T2420" s="24" t="s">
        <v>1081</v>
      </c>
      <c r="U2420" s="24" t="s">
        <v>1081</v>
      </c>
      <c r="V2420" s="69"/>
      <c r="W2420" s="25">
        <f>IFERROR(VLOOKUP(BCP_Soles[[#This Row],[DESTINATARIO]],CHOOSE({1,2},Clientes_Proveedores[Razon Social],Clientes_Proveedores[Ruc / Dni]),2,0),"")</f>
        <v>20558226979</v>
      </c>
      <c r="X2420" s="25"/>
      <c r="Y2420" s="25"/>
      <c r="Z2420" s="25"/>
      <c r="AA2420" s="99"/>
      <c r="AB2420" s="3" t="str">
        <f>IF(BCP_Soles[[#This Row],[FECHA]]&gt;0,TEXT(BCP_Soles[[#This Row],[FECHA]],"mmmm"),0)</f>
        <v>Julio</v>
      </c>
    </row>
    <row r="2421" spans="2:28" x14ac:dyDescent="0.3">
      <c r="B2421" s="2">
        <f>IF(BCP_Soles[[#This Row],[TIPO DE R.]]="R",COUNTIFS($D$4:$D2420,"R")+1,"")</f>
        <v>1810</v>
      </c>
      <c r="C2421" s="19" t="str">
        <f t="shared" si="185"/>
        <v>B-BCP - Soles</v>
      </c>
      <c r="D2421" s="3" t="s">
        <v>1074</v>
      </c>
      <c r="E2421" s="14">
        <v>45845</v>
      </c>
      <c r="F2421" s="5" t="s">
        <v>494</v>
      </c>
      <c r="G2421" s="5" t="s">
        <v>1087</v>
      </c>
      <c r="H2421" s="6" t="s">
        <v>368</v>
      </c>
      <c r="I2421" s="6" t="s">
        <v>14</v>
      </c>
      <c r="J2421" s="6" t="s">
        <v>3458</v>
      </c>
      <c r="K2421" s="6">
        <v>8</v>
      </c>
      <c r="L2421" s="7" t="s">
        <v>1100</v>
      </c>
      <c r="M2421" s="8">
        <v>2436353</v>
      </c>
      <c r="N2421" s="8" t="str">
        <f t="shared" si="186"/>
        <v>PEN</v>
      </c>
      <c r="O2421" s="13"/>
      <c r="P2421" s="13">
        <v>3540</v>
      </c>
      <c r="Q2421" s="3">
        <f t="shared" si="187"/>
        <v>3540</v>
      </c>
      <c r="R2421" s="3">
        <f t="shared" si="188"/>
        <v>0</v>
      </c>
      <c r="S2421" s="3">
        <f t="shared" si="189"/>
        <v>32970.630000000034</v>
      </c>
      <c r="T2421" s="24" t="s">
        <v>1081</v>
      </c>
      <c r="U2421" s="24" t="s">
        <v>1081</v>
      </c>
      <c r="V2421" s="69"/>
      <c r="W2421" s="25">
        <f>IFERROR(VLOOKUP(BCP_Soles[[#This Row],[DESTINATARIO]],CHOOSE({1,2},Clientes_Proveedores[Razon Social],Clientes_Proveedores[Ruc / Dni]),2,0),"")</f>
        <v>20558226979</v>
      </c>
      <c r="X2421" s="25"/>
      <c r="Y2421" s="25"/>
      <c r="Z2421" s="25"/>
      <c r="AA2421" s="99"/>
      <c r="AB2421" s="3" t="str">
        <f>IF(BCP_Soles[[#This Row],[FECHA]]&gt;0,TEXT(BCP_Soles[[#This Row],[FECHA]],"mmmm"),0)</f>
        <v>Julio</v>
      </c>
    </row>
    <row r="2422" spans="2:28" x14ac:dyDescent="0.3">
      <c r="B2422" s="2">
        <f>IF(BCP_Soles[[#This Row],[TIPO DE R.]]="R",COUNTIFS($D$4:$D2421,"R")+1,"")</f>
        <v>1811</v>
      </c>
      <c r="C2422" s="19" t="str">
        <f t="shared" si="185"/>
        <v>B-BCP - Soles</v>
      </c>
      <c r="D2422" s="3" t="s">
        <v>1074</v>
      </c>
      <c r="E2422" s="14">
        <v>45845</v>
      </c>
      <c r="F2422" s="5" t="s">
        <v>494</v>
      </c>
      <c r="G2422" s="5" t="s">
        <v>1087</v>
      </c>
      <c r="H2422" s="6" t="s">
        <v>368</v>
      </c>
      <c r="I2422" s="6" t="s">
        <v>14</v>
      </c>
      <c r="J2422" s="6" t="s">
        <v>3458</v>
      </c>
      <c r="K2422" s="6">
        <v>7</v>
      </c>
      <c r="L2422" s="7" t="s">
        <v>1100</v>
      </c>
      <c r="M2422" s="8">
        <v>2398660</v>
      </c>
      <c r="N2422" s="8" t="str">
        <f t="shared" si="186"/>
        <v>PEN</v>
      </c>
      <c r="O2422" s="13"/>
      <c r="P2422" s="13">
        <v>1770</v>
      </c>
      <c r="Q2422" s="3">
        <f t="shared" si="187"/>
        <v>1770</v>
      </c>
      <c r="R2422" s="3">
        <f t="shared" si="188"/>
        <v>0</v>
      </c>
      <c r="S2422" s="3">
        <f t="shared" si="189"/>
        <v>34740.630000000034</v>
      </c>
      <c r="T2422" s="24" t="s">
        <v>1081</v>
      </c>
      <c r="U2422" s="24" t="s">
        <v>1081</v>
      </c>
      <c r="V2422" s="69"/>
      <c r="W2422" s="25">
        <f>IFERROR(VLOOKUP(BCP_Soles[[#This Row],[DESTINATARIO]],CHOOSE({1,2},Clientes_Proveedores[Razon Social],Clientes_Proveedores[Ruc / Dni]),2,0),"")</f>
        <v>20558226979</v>
      </c>
      <c r="X2422" s="25"/>
      <c r="Y2422" s="25"/>
      <c r="Z2422" s="25"/>
      <c r="AA2422" s="99"/>
      <c r="AB2422" s="3" t="str">
        <f>IF(BCP_Soles[[#This Row],[FECHA]]&gt;0,TEXT(BCP_Soles[[#This Row],[FECHA]],"mmmm"),0)</f>
        <v>Julio</v>
      </c>
    </row>
    <row r="2423" spans="2:28" ht="60" x14ac:dyDescent="0.3">
      <c r="B2423" s="2">
        <f>IF(BCP_Soles[[#This Row],[TIPO DE R.]]="R",COUNTIFS($D$4:$D2422,"R")+1,"")</f>
        <v>1812</v>
      </c>
      <c r="C2423" s="19" t="str">
        <f t="shared" si="185"/>
        <v>B-BCP - Soles</v>
      </c>
      <c r="D2423" s="3" t="s">
        <v>1074</v>
      </c>
      <c r="E2423" s="14">
        <v>45845</v>
      </c>
      <c r="F2423" s="5" t="s">
        <v>238</v>
      </c>
      <c r="G2423" s="5" t="s">
        <v>1087</v>
      </c>
      <c r="H2423" s="6" t="s">
        <v>368</v>
      </c>
      <c r="I2423" s="6" t="s">
        <v>14</v>
      </c>
      <c r="J2423" s="6" t="s">
        <v>3010</v>
      </c>
      <c r="K2423" s="6">
        <v>71</v>
      </c>
      <c r="L2423" s="7" t="s">
        <v>1170</v>
      </c>
      <c r="M2423" s="8">
        <v>2148254</v>
      </c>
      <c r="N2423" s="8" t="str">
        <f t="shared" si="186"/>
        <v>PEN</v>
      </c>
      <c r="O2423" s="13"/>
      <c r="P2423" s="13">
        <v>534.35</v>
      </c>
      <c r="Q2423" s="3">
        <f t="shared" si="187"/>
        <v>534.35</v>
      </c>
      <c r="R2423" s="3">
        <f t="shared" si="188"/>
        <v>0</v>
      </c>
      <c r="S2423" s="3">
        <f t="shared" si="189"/>
        <v>35274.980000000032</v>
      </c>
      <c r="T2423" s="24" t="s">
        <v>1081</v>
      </c>
      <c r="U2423" s="24" t="s">
        <v>1081</v>
      </c>
      <c r="V2423" s="69"/>
      <c r="W2423" s="25">
        <f>IFERROR(VLOOKUP(BCP_Soles[[#This Row],[DESTINATARIO]],CHOOSE({1,2},Clientes_Proveedores[Razon Social],Clientes_Proveedores[Ruc / Dni]),2,0),"")</f>
        <v>20558226979</v>
      </c>
      <c r="X2423" s="25"/>
      <c r="Y2423" s="25"/>
      <c r="Z2423" s="25"/>
      <c r="AA2423" s="99"/>
      <c r="AB2423" s="3" t="str">
        <f>IF(BCP_Soles[[#This Row],[FECHA]]&gt;0,TEXT(BCP_Soles[[#This Row],[FECHA]],"mmmm"),0)</f>
        <v>Julio</v>
      </c>
    </row>
    <row r="2424" spans="2:28" x14ac:dyDescent="0.3">
      <c r="B2424" s="2">
        <f>IF(BCP_Soles[[#This Row],[TIPO DE R.]]="R",COUNTIFS($D$4:$D2423,"R")+1,"")</f>
        <v>1813</v>
      </c>
      <c r="C2424" s="19" t="str">
        <f t="shared" si="185"/>
        <v>B-BCP - Soles</v>
      </c>
      <c r="D2424" s="3" t="s">
        <v>1074</v>
      </c>
      <c r="E2424" s="14">
        <v>45845</v>
      </c>
      <c r="F2424" s="5" t="s">
        <v>1075</v>
      </c>
      <c r="G2424" s="5" t="s">
        <v>1079</v>
      </c>
      <c r="H2424" s="6" t="s">
        <v>139</v>
      </c>
      <c r="I2424" s="6" t="s">
        <v>14</v>
      </c>
      <c r="J2424" s="6" t="s">
        <v>1953</v>
      </c>
      <c r="K2424" s="6">
        <v>6553</v>
      </c>
      <c r="L2424" s="7" t="s">
        <v>1954</v>
      </c>
      <c r="M2424" s="8">
        <v>262946</v>
      </c>
      <c r="N2424" s="8" t="str">
        <f t="shared" si="186"/>
        <v>PEN</v>
      </c>
      <c r="O2424" s="13"/>
      <c r="P2424" s="13">
        <v>103.07</v>
      </c>
      <c r="Q2424" s="3">
        <f t="shared" si="187"/>
        <v>0</v>
      </c>
      <c r="R2424" s="3">
        <f t="shared" si="188"/>
        <v>103.07</v>
      </c>
      <c r="S2424" s="3">
        <f t="shared" si="189"/>
        <v>35171.910000000033</v>
      </c>
      <c r="T2424" s="24" t="s">
        <v>1081</v>
      </c>
      <c r="U2424" s="24" t="s">
        <v>1081</v>
      </c>
      <c r="V2424" s="104" t="s">
        <v>3460</v>
      </c>
      <c r="W2424" s="25">
        <f>IFERROR(VLOOKUP(BCP_Soles[[#This Row],[DESTINATARIO]],CHOOSE({1,2},Clientes_Proveedores[Razon Social],Clientes_Proveedores[Ruc / Dni]),2,0),"")</f>
        <v>20100055237</v>
      </c>
      <c r="X2424" s="25"/>
      <c r="Y2424" s="25"/>
      <c r="Z2424" s="25"/>
      <c r="AA2424" s="99"/>
      <c r="AB2424" s="3" t="str">
        <f>IF(BCP_Soles[[#This Row],[FECHA]]&gt;0,TEXT(BCP_Soles[[#This Row],[FECHA]],"mmmm"),0)</f>
        <v>Julio</v>
      </c>
    </row>
    <row r="2425" spans="2:28" x14ac:dyDescent="0.3">
      <c r="B2425" s="2">
        <f>IF(BCP_Soles[[#This Row],[TIPO DE R.]]="R",COUNTIFS($D$4:$D2424,"R")+1,"")</f>
        <v>1814</v>
      </c>
      <c r="C2425" s="19" t="str">
        <f t="shared" si="185"/>
        <v>B-BCP - Soles</v>
      </c>
      <c r="D2425" s="3" t="s">
        <v>1074</v>
      </c>
      <c r="E2425" s="14">
        <v>45845</v>
      </c>
      <c r="F2425" s="5" t="s">
        <v>1075</v>
      </c>
      <c r="G2425" s="5" t="s">
        <v>1079</v>
      </c>
      <c r="H2425" s="6" t="s">
        <v>139</v>
      </c>
      <c r="I2425" s="6" t="s">
        <v>14</v>
      </c>
      <c r="J2425" s="6" t="s">
        <v>1953</v>
      </c>
      <c r="K2425" s="6">
        <v>6555</v>
      </c>
      <c r="L2425" s="7" t="s">
        <v>1954</v>
      </c>
      <c r="M2425" s="8">
        <v>263912</v>
      </c>
      <c r="N2425" s="8" t="str">
        <f t="shared" si="186"/>
        <v>PEN</v>
      </c>
      <c r="O2425" s="13"/>
      <c r="P2425" s="13">
        <v>57.85</v>
      </c>
      <c r="Q2425" s="3">
        <f t="shared" si="187"/>
        <v>0</v>
      </c>
      <c r="R2425" s="3">
        <f t="shared" si="188"/>
        <v>57.85</v>
      </c>
      <c r="S2425" s="3">
        <f t="shared" si="189"/>
        <v>35114.060000000034</v>
      </c>
      <c r="T2425" s="24" t="s">
        <v>1081</v>
      </c>
      <c r="U2425" s="24" t="s">
        <v>1081</v>
      </c>
      <c r="V2425" s="104" t="s">
        <v>3461</v>
      </c>
      <c r="W2425" s="25">
        <f>IFERROR(VLOOKUP(BCP_Soles[[#This Row],[DESTINATARIO]],CHOOSE({1,2},Clientes_Proveedores[Razon Social],Clientes_Proveedores[Ruc / Dni]),2,0),"")</f>
        <v>20100055237</v>
      </c>
      <c r="X2425" s="25"/>
      <c r="Y2425" s="25"/>
      <c r="Z2425" s="25"/>
      <c r="AA2425" s="99"/>
      <c r="AB2425" s="3" t="str">
        <f>IF(BCP_Soles[[#This Row],[FECHA]]&gt;0,TEXT(BCP_Soles[[#This Row],[FECHA]],"mmmm"),0)</f>
        <v>Julio</v>
      </c>
    </row>
    <row r="2426" spans="2:28" x14ac:dyDescent="0.3">
      <c r="B2426" s="2">
        <f>IF(BCP_Soles[[#This Row],[TIPO DE R.]]="R",COUNTIFS($D$4:$D2425,"R")+1,"")</f>
        <v>1815</v>
      </c>
      <c r="C2426" s="19" t="str">
        <f t="shared" si="185"/>
        <v>B-BCP - Soles</v>
      </c>
      <c r="D2426" s="3" t="s">
        <v>1074</v>
      </c>
      <c r="E2426" s="14">
        <v>45845</v>
      </c>
      <c r="F2426" s="5" t="s">
        <v>1075</v>
      </c>
      <c r="G2426" s="5" t="s">
        <v>1079</v>
      </c>
      <c r="H2426" s="6" t="s">
        <v>139</v>
      </c>
      <c r="I2426" s="6" t="s">
        <v>14</v>
      </c>
      <c r="J2426" s="6" t="s">
        <v>1953</v>
      </c>
      <c r="K2426" s="6">
        <v>6554</v>
      </c>
      <c r="L2426" s="7" t="s">
        <v>1954</v>
      </c>
      <c r="M2426" s="8">
        <v>261000</v>
      </c>
      <c r="N2426" s="8" t="str">
        <f t="shared" si="186"/>
        <v>PEN</v>
      </c>
      <c r="O2426" s="13"/>
      <c r="P2426" s="13">
        <v>487.48</v>
      </c>
      <c r="Q2426" s="3">
        <f t="shared" si="187"/>
        <v>0</v>
      </c>
      <c r="R2426" s="3">
        <f t="shared" si="188"/>
        <v>487.48</v>
      </c>
      <c r="S2426" s="3">
        <f t="shared" si="189"/>
        <v>34626.580000000031</v>
      </c>
      <c r="T2426" s="24" t="s">
        <v>1081</v>
      </c>
      <c r="U2426" s="24" t="s">
        <v>1081</v>
      </c>
      <c r="V2426" s="104" t="s">
        <v>3462</v>
      </c>
      <c r="W2426" s="25">
        <f>IFERROR(VLOOKUP(BCP_Soles[[#This Row],[DESTINATARIO]],CHOOSE({1,2},Clientes_Proveedores[Razon Social],Clientes_Proveedores[Ruc / Dni]),2,0),"")</f>
        <v>20100055237</v>
      </c>
      <c r="X2426" s="25"/>
      <c r="Y2426" s="25"/>
      <c r="Z2426" s="25"/>
      <c r="AA2426" s="99"/>
      <c r="AB2426" s="3" t="str">
        <f>IF(BCP_Soles[[#This Row],[FECHA]]&gt;0,TEXT(BCP_Soles[[#This Row],[FECHA]],"mmmm"),0)</f>
        <v>Julio</v>
      </c>
    </row>
    <row r="2427" spans="2:28" x14ac:dyDescent="0.3">
      <c r="B2427" s="2">
        <f>IF(BCP_Soles[[#This Row],[TIPO DE R.]]="R",COUNTIFS($D$4:$D2426,"R")+1,"")</f>
        <v>1816</v>
      </c>
      <c r="C2427" s="19" t="str">
        <f t="shared" si="185"/>
        <v>B-BCP - Soles</v>
      </c>
      <c r="D2427" s="3" t="s">
        <v>1074</v>
      </c>
      <c r="E2427" s="14">
        <v>45845</v>
      </c>
      <c r="F2427" s="5" t="s">
        <v>1075</v>
      </c>
      <c r="G2427" s="5" t="s">
        <v>1079</v>
      </c>
      <c r="H2427" s="6" t="s">
        <v>139</v>
      </c>
      <c r="I2427" s="6" t="s">
        <v>14</v>
      </c>
      <c r="J2427" s="6" t="s">
        <v>1953</v>
      </c>
      <c r="K2427" s="6">
        <v>6557</v>
      </c>
      <c r="L2427" s="7" t="s">
        <v>1954</v>
      </c>
      <c r="M2427" s="8">
        <v>260999</v>
      </c>
      <c r="N2427" s="8" t="str">
        <f t="shared" si="186"/>
        <v>PEN</v>
      </c>
      <c r="O2427" s="13"/>
      <c r="P2427" s="13">
        <v>129.22</v>
      </c>
      <c r="Q2427" s="3">
        <f t="shared" si="187"/>
        <v>0</v>
      </c>
      <c r="R2427" s="3">
        <f t="shared" si="188"/>
        <v>129.22</v>
      </c>
      <c r="S2427" s="3">
        <f t="shared" si="189"/>
        <v>34497.36000000003</v>
      </c>
      <c r="T2427" s="24" t="s">
        <v>1081</v>
      </c>
      <c r="U2427" s="24" t="s">
        <v>1081</v>
      </c>
      <c r="V2427" s="104" t="s">
        <v>3463</v>
      </c>
      <c r="W2427" s="25">
        <f>IFERROR(VLOOKUP(BCP_Soles[[#This Row],[DESTINATARIO]],CHOOSE({1,2},Clientes_Proveedores[Razon Social],Clientes_Proveedores[Ruc / Dni]),2,0),"")</f>
        <v>20100055237</v>
      </c>
      <c r="X2427" s="25"/>
      <c r="Y2427" s="25"/>
      <c r="Z2427" s="25"/>
      <c r="AA2427" s="99"/>
      <c r="AB2427" s="3" t="str">
        <f>IF(BCP_Soles[[#This Row],[FECHA]]&gt;0,TEXT(BCP_Soles[[#This Row],[FECHA]],"mmmm"),0)</f>
        <v>Julio</v>
      </c>
    </row>
    <row r="2428" spans="2:28" x14ac:dyDescent="0.3">
      <c r="B2428" s="2">
        <f>IF(BCP_Soles[[#This Row],[TIPO DE R.]]="R",COUNTIFS($D$4:$D2427,"R")+1,"")</f>
        <v>1817</v>
      </c>
      <c r="C2428" s="19" t="str">
        <f t="shared" si="185"/>
        <v>B-BCP - Soles</v>
      </c>
      <c r="D2428" s="3" t="s">
        <v>1074</v>
      </c>
      <c r="E2428" s="14">
        <v>45845</v>
      </c>
      <c r="F2428" s="5" t="s">
        <v>1075</v>
      </c>
      <c r="G2428" s="5" t="s">
        <v>1079</v>
      </c>
      <c r="H2428" s="6" t="s">
        <v>139</v>
      </c>
      <c r="I2428" s="6" t="s">
        <v>14</v>
      </c>
      <c r="J2428" s="6" t="s">
        <v>1953</v>
      </c>
      <c r="K2428" s="6">
        <v>6556</v>
      </c>
      <c r="L2428" s="7" t="s">
        <v>1954</v>
      </c>
      <c r="M2428" s="8">
        <v>262437</v>
      </c>
      <c r="N2428" s="8" t="str">
        <f t="shared" si="186"/>
        <v>PEN</v>
      </c>
      <c r="O2428" s="13"/>
      <c r="P2428" s="13">
        <v>5.37</v>
      </c>
      <c r="Q2428" s="3">
        <f t="shared" si="187"/>
        <v>0</v>
      </c>
      <c r="R2428" s="3">
        <f t="shared" si="188"/>
        <v>5.37</v>
      </c>
      <c r="S2428" s="3">
        <f t="shared" si="189"/>
        <v>34491.990000000027</v>
      </c>
      <c r="T2428" s="24" t="s">
        <v>1081</v>
      </c>
      <c r="U2428" s="24" t="s">
        <v>1081</v>
      </c>
      <c r="V2428" s="104" t="s">
        <v>3464</v>
      </c>
      <c r="W2428" s="25">
        <f>IFERROR(VLOOKUP(BCP_Soles[[#This Row],[DESTINATARIO]],CHOOSE({1,2},Clientes_Proveedores[Razon Social],Clientes_Proveedores[Ruc / Dni]),2,0),"")</f>
        <v>20100055237</v>
      </c>
      <c r="X2428" s="25"/>
      <c r="Y2428" s="25"/>
      <c r="Z2428" s="25"/>
      <c r="AA2428" s="99"/>
      <c r="AB2428" s="3" t="str">
        <f>IF(BCP_Soles[[#This Row],[FECHA]]&gt;0,TEXT(BCP_Soles[[#This Row],[FECHA]],"mmmm"),0)</f>
        <v>Julio</v>
      </c>
    </row>
    <row r="2429" spans="2:28" x14ac:dyDescent="0.3">
      <c r="B2429" s="2">
        <f>IF(BCP_Soles[[#This Row],[TIPO DE R.]]="R",COUNTIFS($D$4:$D2428,"R")+1,"")</f>
        <v>1818</v>
      </c>
      <c r="C2429" s="19" t="str">
        <f t="shared" si="185"/>
        <v>B-BCP - Soles</v>
      </c>
      <c r="D2429" s="3" t="s">
        <v>1074</v>
      </c>
      <c r="E2429" s="14">
        <v>45845</v>
      </c>
      <c r="F2429" s="5" t="s">
        <v>1075</v>
      </c>
      <c r="G2429" s="5" t="s">
        <v>1079</v>
      </c>
      <c r="H2429" s="6" t="s">
        <v>139</v>
      </c>
      <c r="I2429" s="6" t="s">
        <v>14</v>
      </c>
      <c r="J2429" s="6" t="s">
        <v>1953</v>
      </c>
      <c r="K2429" s="6">
        <v>6558</v>
      </c>
      <c r="L2429" s="7" t="s">
        <v>1954</v>
      </c>
      <c r="M2429" s="8">
        <v>263435</v>
      </c>
      <c r="N2429" s="8" t="str">
        <f t="shared" si="186"/>
        <v>PEN</v>
      </c>
      <c r="O2429" s="13"/>
      <c r="P2429" s="13">
        <v>385.12</v>
      </c>
      <c r="Q2429" s="3">
        <f t="shared" si="187"/>
        <v>0</v>
      </c>
      <c r="R2429" s="3">
        <f t="shared" si="188"/>
        <v>385.12</v>
      </c>
      <c r="S2429" s="3">
        <f t="shared" si="189"/>
        <v>34106.870000000024</v>
      </c>
      <c r="T2429" s="24" t="s">
        <v>1081</v>
      </c>
      <c r="U2429" s="24" t="s">
        <v>1081</v>
      </c>
      <c r="V2429" s="104" t="s">
        <v>3465</v>
      </c>
      <c r="W2429" s="25">
        <f>IFERROR(VLOOKUP(BCP_Soles[[#This Row],[DESTINATARIO]],CHOOSE({1,2},Clientes_Proveedores[Razon Social],Clientes_Proveedores[Ruc / Dni]),2,0),"")</f>
        <v>20100055237</v>
      </c>
      <c r="X2429" s="25"/>
      <c r="Y2429" s="25"/>
      <c r="Z2429" s="25"/>
      <c r="AA2429" s="99"/>
      <c r="AB2429" s="3" t="str">
        <f>IF(BCP_Soles[[#This Row],[FECHA]]&gt;0,TEXT(BCP_Soles[[#This Row],[FECHA]],"mmmm"),0)</f>
        <v>Julio</v>
      </c>
    </row>
    <row r="2430" spans="2:28" ht="36" x14ac:dyDescent="0.3">
      <c r="B2430" s="2">
        <f>IF(BCP_Soles[[#This Row],[TIPO DE R.]]="R",COUNTIFS($D$4:$D2429,"R")+1,"")</f>
        <v>1819</v>
      </c>
      <c r="C2430" s="19" t="str">
        <f t="shared" si="185"/>
        <v>B-BCP - Soles</v>
      </c>
      <c r="D2430" s="3" t="s">
        <v>1074</v>
      </c>
      <c r="E2430" s="14">
        <v>45845</v>
      </c>
      <c r="F2430" s="5" t="s">
        <v>1075</v>
      </c>
      <c r="G2430" s="5" t="s">
        <v>1079</v>
      </c>
      <c r="H2430" s="6" t="s">
        <v>530</v>
      </c>
      <c r="I2430" s="6" t="s">
        <v>14</v>
      </c>
      <c r="J2430" s="6" t="s">
        <v>1121</v>
      </c>
      <c r="K2430" s="6">
        <v>454</v>
      </c>
      <c r="L2430" s="7" t="s">
        <v>3466</v>
      </c>
      <c r="M2430" s="8">
        <v>1263433</v>
      </c>
      <c r="N2430" s="8" t="str">
        <f t="shared" si="186"/>
        <v>PEN</v>
      </c>
      <c r="O2430" s="13"/>
      <c r="P2430" s="13">
        <v>94.28</v>
      </c>
      <c r="Q2430" s="3">
        <f t="shared" si="187"/>
        <v>0</v>
      </c>
      <c r="R2430" s="3">
        <f t="shared" si="188"/>
        <v>94.28</v>
      </c>
      <c r="S2430" s="3">
        <f t="shared" si="189"/>
        <v>34012.590000000026</v>
      </c>
      <c r="T2430" s="24" t="s">
        <v>1081</v>
      </c>
      <c r="U2430" s="24" t="s">
        <v>1081</v>
      </c>
      <c r="V2430" s="104" t="s">
        <v>3467</v>
      </c>
      <c r="W2430" s="25">
        <f>IFERROR(VLOOKUP(BCP_Soles[[#This Row],[DESTINATARIO]],CHOOSE({1,2},Clientes_Proveedores[Razon Social],Clientes_Proveedores[Ruc / Dni]),2,0),"")</f>
        <v>20609368773</v>
      </c>
      <c r="X2430" s="25"/>
      <c r="Y2430" s="25"/>
      <c r="Z2430" s="25"/>
      <c r="AA2430" s="99"/>
      <c r="AB2430" s="3" t="str">
        <f>IF(BCP_Soles[[#This Row],[FECHA]]&gt;0,TEXT(BCP_Soles[[#This Row],[FECHA]],"mmmm"),0)</f>
        <v>Julio</v>
      </c>
    </row>
    <row r="2431" spans="2:28" ht="24" x14ac:dyDescent="0.3">
      <c r="B2431" s="2">
        <f>IF(BCP_Soles[[#This Row],[TIPO DE R.]]="R",COUNTIFS($D$4:$D2430,"R")+1,"")</f>
        <v>1820</v>
      </c>
      <c r="C2431" s="19" t="str">
        <f t="shared" si="185"/>
        <v>B-BCP - Soles</v>
      </c>
      <c r="D2431" s="3" t="s">
        <v>1074</v>
      </c>
      <c r="E2431" s="14">
        <v>45845</v>
      </c>
      <c r="F2431" s="5" t="s">
        <v>1075</v>
      </c>
      <c r="G2431" s="5" t="s">
        <v>1079</v>
      </c>
      <c r="H2431" s="6" t="s">
        <v>786</v>
      </c>
      <c r="I2431" s="6"/>
      <c r="J2431" s="6"/>
      <c r="K2431" s="6"/>
      <c r="L2431" s="7" t="s">
        <v>3468</v>
      </c>
      <c r="M2431" s="8">
        <v>1262482</v>
      </c>
      <c r="N2431" s="8" t="str">
        <f t="shared" si="186"/>
        <v>PEN</v>
      </c>
      <c r="O2431" s="13"/>
      <c r="P2431" s="13">
        <v>20.91</v>
      </c>
      <c r="Q2431" s="3">
        <f t="shared" si="187"/>
        <v>0</v>
      </c>
      <c r="R2431" s="3">
        <f t="shared" si="188"/>
        <v>20.91</v>
      </c>
      <c r="S2431" s="3">
        <f t="shared" si="189"/>
        <v>33991.680000000022</v>
      </c>
      <c r="T2431" s="24"/>
      <c r="U2431" s="24"/>
      <c r="V2431" s="69"/>
      <c r="W2431" s="25">
        <f>IFERROR(VLOOKUP(BCP_Soles[[#This Row],[DESTINATARIO]],CHOOSE({1,2},Clientes_Proveedores[Razon Social],Clientes_Proveedores[Ruc / Dni]),2,0),"")</f>
        <v>3314131</v>
      </c>
      <c r="X2431" s="25" t="s">
        <v>786</v>
      </c>
      <c r="Y2431" s="25"/>
      <c r="Z2431" s="25"/>
      <c r="AA2431" s="99"/>
      <c r="AB2431" s="3" t="str">
        <f>IF(BCP_Soles[[#This Row],[FECHA]]&gt;0,TEXT(BCP_Soles[[#This Row],[FECHA]],"mmmm"),0)</f>
        <v>Julio</v>
      </c>
    </row>
    <row r="2432" spans="2:28" ht="24" x14ac:dyDescent="0.3">
      <c r="B2432" s="2">
        <f>IF(BCP_Soles[[#This Row],[TIPO DE R.]]="R",COUNTIFS($D$4:$D2431,"R")+1,"")</f>
        <v>1821</v>
      </c>
      <c r="C2432" s="19" t="str">
        <f t="shared" si="185"/>
        <v>B-BCP - Soles</v>
      </c>
      <c r="D2432" s="3" t="s">
        <v>1074</v>
      </c>
      <c r="E2432" s="14">
        <v>45845</v>
      </c>
      <c r="F2432" s="5" t="s">
        <v>1075</v>
      </c>
      <c r="G2432" s="5" t="s">
        <v>1079</v>
      </c>
      <c r="H2432" s="6" t="s">
        <v>768</v>
      </c>
      <c r="I2432" s="6"/>
      <c r="J2432" s="6"/>
      <c r="K2432" s="6"/>
      <c r="L2432" s="7" t="s">
        <v>3469</v>
      </c>
      <c r="M2432" s="8">
        <v>1264551</v>
      </c>
      <c r="N2432" s="8" t="str">
        <f t="shared" si="186"/>
        <v>PEN</v>
      </c>
      <c r="O2432" s="13"/>
      <c r="P2432" s="13">
        <v>22.44</v>
      </c>
      <c r="Q2432" s="3">
        <f t="shared" si="187"/>
        <v>0</v>
      </c>
      <c r="R2432" s="3">
        <f t="shared" si="188"/>
        <v>22.44</v>
      </c>
      <c r="S2432" s="3">
        <f t="shared" si="189"/>
        <v>33969.24000000002</v>
      </c>
      <c r="T2432" s="24"/>
      <c r="U2432" s="24"/>
      <c r="V2432" s="69"/>
      <c r="W2432" s="25">
        <f>IFERROR(VLOOKUP(BCP_Soles[[#This Row],[DESTINATARIO]],CHOOSE({1,2},Clientes_Proveedores[Razon Social],Clientes_Proveedores[Ruc / Dni]),2,0),"")</f>
        <v>74600892</v>
      </c>
      <c r="X2432" s="25" t="s">
        <v>768</v>
      </c>
      <c r="Y2432" s="25"/>
      <c r="Z2432" s="25"/>
      <c r="AA2432" s="99"/>
      <c r="AB2432" s="3" t="str">
        <f>IF(BCP_Soles[[#This Row],[FECHA]]&gt;0,TEXT(BCP_Soles[[#This Row],[FECHA]],"mmmm"),0)</f>
        <v>Julio</v>
      </c>
    </row>
    <row r="2433" spans="2:28" ht="24" x14ac:dyDescent="0.3">
      <c r="B2433" s="2">
        <f>IF(BCP_Soles[[#This Row],[TIPO DE R.]]="R",COUNTIFS($D$4:$D2432,"R")+1,"")</f>
        <v>1822</v>
      </c>
      <c r="C2433" s="19" t="str">
        <f t="shared" si="185"/>
        <v>B-BCP - Soles</v>
      </c>
      <c r="D2433" s="3" t="s">
        <v>1074</v>
      </c>
      <c r="E2433" s="14">
        <v>45845</v>
      </c>
      <c r="F2433" s="5" t="s">
        <v>1075</v>
      </c>
      <c r="G2433" s="5" t="s">
        <v>1079</v>
      </c>
      <c r="H2433" s="6" t="s">
        <v>852</v>
      </c>
      <c r="I2433" s="6"/>
      <c r="J2433" s="6"/>
      <c r="K2433" s="6"/>
      <c r="L2433" s="7" t="s">
        <v>3470</v>
      </c>
      <c r="M2433" s="8">
        <v>1263429</v>
      </c>
      <c r="N2433" s="8" t="str">
        <f t="shared" si="186"/>
        <v>PEN</v>
      </c>
      <c r="O2433" s="13"/>
      <c r="P2433" s="13">
        <v>25.53</v>
      </c>
      <c r="Q2433" s="3">
        <f t="shared" si="187"/>
        <v>0</v>
      </c>
      <c r="R2433" s="3">
        <f t="shared" si="188"/>
        <v>25.53</v>
      </c>
      <c r="S2433" s="3">
        <f t="shared" si="189"/>
        <v>33943.710000000021</v>
      </c>
      <c r="T2433" s="24"/>
      <c r="U2433" s="24"/>
      <c r="V2433" s="69"/>
      <c r="W2433" s="25">
        <f>IFERROR(VLOOKUP(BCP_Soles[[#This Row],[DESTINATARIO]],CHOOSE({1,2},Clientes_Proveedores[Razon Social],Clientes_Proveedores[Ruc / Dni]),2,0),"")</f>
        <v>72700001</v>
      </c>
      <c r="X2433" s="25" t="s">
        <v>852</v>
      </c>
      <c r="Y2433" s="25"/>
      <c r="Z2433" s="25"/>
      <c r="AA2433" s="99"/>
      <c r="AB2433" s="3" t="str">
        <f>IF(BCP_Soles[[#This Row],[FECHA]]&gt;0,TEXT(BCP_Soles[[#This Row],[FECHA]],"mmmm"),0)</f>
        <v>Julio</v>
      </c>
    </row>
    <row r="2434" spans="2:28" ht="24" x14ac:dyDescent="0.3">
      <c r="B2434" s="2">
        <f>IF(BCP_Soles[[#This Row],[TIPO DE R.]]="R",COUNTIFS($D$4:$D2433,"R")+1,"")</f>
        <v>1823</v>
      </c>
      <c r="C2434" s="19" t="str">
        <f t="shared" si="185"/>
        <v>B-BCP - Soles</v>
      </c>
      <c r="D2434" s="3" t="s">
        <v>1074</v>
      </c>
      <c r="E2434" s="14">
        <v>45845</v>
      </c>
      <c r="F2434" s="5" t="s">
        <v>1075</v>
      </c>
      <c r="G2434" s="5" t="s">
        <v>1079</v>
      </c>
      <c r="H2434" s="6" t="s">
        <v>784</v>
      </c>
      <c r="I2434" s="6"/>
      <c r="J2434" s="6"/>
      <c r="K2434" s="6"/>
      <c r="L2434" s="7" t="s">
        <v>3471</v>
      </c>
      <c r="M2434" s="8">
        <v>1265514</v>
      </c>
      <c r="N2434" s="8" t="str">
        <f t="shared" si="186"/>
        <v>PEN</v>
      </c>
      <c r="O2434" s="13"/>
      <c r="P2434" s="13">
        <v>35.15</v>
      </c>
      <c r="Q2434" s="3">
        <f t="shared" si="187"/>
        <v>0</v>
      </c>
      <c r="R2434" s="3">
        <f t="shared" si="188"/>
        <v>35.15</v>
      </c>
      <c r="S2434" s="3">
        <f t="shared" si="189"/>
        <v>33908.560000000019</v>
      </c>
      <c r="T2434" s="24"/>
      <c r="U2434" s="24"/>
      <c r="V2434" s="69"/>
      <c r="W2434" s="25">
        <f>IFERROR(VLOOKUP(BCP_Soles[[#This Row],[DESTINATARIO]],CHOOSE({1,2},Clientes_Proveedores[Razon Social],Clientes_Proveedores[Ruc / Dni]),2,0),"")</f>
        <v>75419679</v>
      </c>
      <c r="X2434" s="25" t="s">
        <v>784</v>
      </c>
      <c r="Y2434" s="25"/>
      <c r="Z2434" s="25"/>
      <c r="AA2434" s="99"/>
      <c r="AB2434" s="3" t="str">
        <f>IF(BCP_Soles[[#This Row],[FECHA]]&gt;0,TEXT(BCP_Soles[[#This Row],[FECHA]],"mmmm"),0)</f>
        <v>Julio</v>
      </c>
    </row>
    <row r="2435" spans="2:28" ht="24" x14ac:dyDescent="0.3">
      <c r="B2435" s="2">
        <f>IF(BCP_Soles[[#This Row],[TIPO DE R.]]="R",COUNTIFS($D$4:$D2434,"R")+1,"")</f>
        <v>1824</v>
      </c>
      <c r="C2435" s="19" t="str">
        <f t="shared" si="185"/>
        <v>B-BCP - Soles</v>
      </c>
      <c r="D2435" s="3" t="s">
        <v>1074</v>
      </c>
      <c r="E2435" s="14">
        <v>45845</v>
      </c>
      <c r="F2435" s="5" t="s">
        <v>1075</v>
      </c>
      <c r="G2435" s="5" t="s">
        <v>1079</v>
      </c>
      <c r="H2435" s="6" t="s">
        <v>729</v>
      </c>
      <c r="I2435" s="6"/>
      <c r="J2435" s="6"/>
      <c r="K2435" s="6"/>
      <c r="L2435" s="7" t="s">
        <v>3472</v>
      </c>
      <c r="M2435" s="8">
        <v>1262436</v>
      </c>
      <c r="N2435" s="8" t="str">
        <f t="shared" si="186"/>
        <v>PEN</v>
      </c>
      <c r="O2435" s="13"/>
      <c r="P2435" s="13">
        <v>60.01</v>
      </c>
      <c r="Q2435" s="3">
        <f t="shared" si="187"/>
        <v>0</v>
      </c>
      <c r="R2435" s="3">
        <f t="shared" si="188"/>
        <v>60.01</v>
      </c>
      <c r="S2435" s="3">
        <f t="shared" si="189"/>
        <v>33848.550000000017</v>
      </c>
      <c r="T2435" s="24"/>
      <c r="U2435" s="24"/>
      <c r="V2435" s="69"/>
      <c r="W2435" s="25">
        <f>IFERROR(VLOOKUP(BCP_Soles[[#This Row],[DESTINATARIO]],CHOOSE({1,2},Clientes_Proveedores[Razon Social],Clientes_Proveedores[Ruc / Dni]),2,0),"")</f>
        <v>73238347</v>
      </c>
      <c r="X2435" s="25" t="s">
        <v>729</v>
      </c>
      <c r="Y2435" s="25"/>
      <c r="Z2435" s="25"/>
      <c r="AA2435" s="99"/>
      <c r="AB2435" s="3" t="str">
        <f>IF(BCP_Soles[[#This Row],[FECHA]]&gt;0,TEXT(BCP_Soles[[#This Row],[FECHA]],"mmmm"),0)</f>
        <v>Julio</v>
      </c>
    </row>
    <row r="2436" spans="2:28" ht="24" x14ac:dyDescent="0.3">
      <c r="B2436" s="2">
        <f>IF(BCP_Soles[[#This Row],[TIPO DE R.]]="R",COUNTIFS($D$4:$D2435,"R")+1,"")</f>
        <v>1825</v>
      </c>
      <c r="C2436" s="19" t="str">
        <f t="shared" si="185"/>
        <v>B-BCP - Soles</v>
      </c>
      <c r="D2436" s="3" t="s">
        <v>1074</v>
      </c>
      <c r="E2436" s="14">
        <v>45845</v>
      </c>
      <c r="F2436" s="5" t="s">
        <v>1075</v>
      </c>
      <c r="G2436" s="5" t="s">
        <v>1079</v>
      </c>
      <c r="H2436" s="6" t="s">
        <v>763</v>
      </c>
      <c r="I2436" s="6"/>
      <c r="J2436" s="6"/>
      <c r="K2436" s="6"/>
      <c r="L2436" s="7" t="s">
        <v>3473</v>
      </c>
      <c r="M2436" s="8">
        <v>1265515</v>
      </c>
      <c r="N2436" s="8" t="str">
        <f t="shared" si="186"/>
        <v>PEN</v>
      </c>
      <c r="O2436" s="13"/>
      <c r="P2436" s="13">
        <v>63.39</v>
      </c>
      <c r="Q2436" s="3">
        <f t="shared" si="187"/>
        <v>0</v>
      </c>
      <c r="R2436" s="3">
        <f t="shared" si="188"/>
        <v>63.39</v>
      </c>
      <c r="S2436" s="3">
        <f t="shared" si="189"/>
        <v>33785.160000000018</v>
      </c>
      <c r="T2436" s="24"/>
      <c r="U2436" s="24"/>
      <c r="V2436" s="69"/>
      <c r="W2436" s="25">
        <f>IFERROR(VLOOKUP(BCP_Soles[[#This Row],[DESTINATARIO]],CHOOSE({1,2},Clientes_Proveedores[Razon Social],Clientes_Proveedores[Ruc / Dni]),2,0),"")</f>
        <v>73880313</v>
      </c>
      <c r="X2436" s="25" t="s">
        <v>763</v>
      </c>
      <c r="Y2436" s="25"/>
      <c r="Z2436" s="25"/>
      <c r="AA2436" s="99"/>
      <c r="AB2436" s="3" t="str">
        <f>IF(BCP_Soles[[#This Row],[FECHA]]&gt;0,TEXT(BCP_Soles[[#This Row],[FECHA]],"mmmm"),0)</f>
        <v>Julio</v>
      </c>
    </row>
    <row r="2437" spans="2:28" ht="24" x14ac:dyDescent="0.3">
      <c r="B2437" s="2">
        <f>IF(BCP_Soles[[#This Row],[TIPO DE R.]]="R",COUNTIFS($D$4:$D2436,"R")+1,"")</f>
        <v>1826</v>
      </c>
      <c r="C2437" s="19" t="str">
        <f t="shared" ref="C2437:C2500" si="190">"B-BCP - Soles"</f>
        <v>B-BCP - Soles</v>
      </c>
      <c r="D2437" s="3" t="s">
        <v>1074</v>
      </c>
      <c r="E2437" s="14">
        <v>45845</v>
      </c>
      <c r="F2437" s="5" t="s">
        <v>1075</v>
      </c>
      <c r="G2437" s="5" t="s">
        <v>1079</v>
      </c>
      <c r="H2437" s="6" t="s">
        <v>798</v>
      </c>
      <c r="I2437" s="6"/>
      <c r="J2437" s="6"/>
      <c r="K2437" s="6"/>
      <c r="L2437" s="7" t="s">
        <v>3474</v>
      </c>
      <c r="M2437" s="8">
        <v>1263486</v>
      </c>
      <c r="N2437" s="8" t="str">
        <f t="shared" ref="N2437:N2500" si="191">"PEN"</f>
        <v>PEN</v>
      </c>
      <c r="O2437" s="13"/>
      <c r="P2437" s="13">
        <v>77.88</v>
      </c>
      <c r="Q2437" s="3">
        <f t="shared" ref="Q2437:Q2500" si="192">+IF(OR($G2437="SALDO",$G2437="INGRESO"),$P2437,0)</f>
        <v>0</v>
      </c>
      <c r="R2437" s="3">
        <f t="shared" ref="R2437:R2500" si="193">+IF($G2437="EGRESO",$P2437,0)</f>
        <v>77.88</v>
      </c>
      <c r="S2437" s="3">
        <f t="shared" ref="S2437:S2500" si="194">IFERROR(IF(G2437="SALDO",Q2437,S2436+Q2437-R2437),0)</f>
        <v>33707.280000000021</v>
      </c>
      <c r="T2437" s="24"/>
      <c r="U2437" s="24"/>
      <c r="V2437" s="69"/>
      <c r="W2437" s="25">
        <f>IFERROR(VLOOKUP(BCP_Soles[[#This Row],[DESTINATARIO]],CHOOSE({1,2},Clientes_Proveedores[Razon Social],Clientes_Proveedores[Ruc / Dni]),2,0),"")</f>
        <v>70666331</v>
      </c>
      <c r="X2437" s="25" t="s">
        <v>798</v>
      </c>
      <c r="Y2437" s="25"/>
      <c r="Z2437" s="25"/>
      <c r="AA2437" s="99"/>
      <c r="AB2437" s="3" t="str">
        <f>IF(BCP_Soles[[#This Row],[FECHA]]&gt;0,TEXT(BCP_Soles[[#This Row],[FECHA]],"mmmm"),0)</f>
        <v>Julio</v>
      </c>
    </row>
    <row r="2438" spans="2:28" ht="24" x14ac:dyDescent="0.3">
      <c r="B2438" s="2">
        <f>IF(BCP_Soles[[#This Row],[TIPO DE R.]]="R",COUNTIFS($D$4:$D2437,"R")+1,"")</f>
        <v>1827</v>
      </c>
      <c r="C2438" s="19" t="str">
        <f t="shared" si="190"/>
        <v>B-BCP - Soles</v>
      </c>
      <c r="D2438" s="3" t="s">
        <v>1074</v>
      </c>
      <c r="E2438" s="14">
        <v>45845</v>
      </c>
      <c r="F2438" s="5" t="s">
        <v>1075</v>
      </c>
      <c r="G2438" s="5" t="s">
        <v>1079</v>
      </c>
      <c r="H2438" s="6" t="s">
        <v>817</v>
      </c>
      <c r="I2438" s="6"/>
      <c r="J2438" s="6"/>
      <c r="K2438" s="6"/>
      <c r="L2438" s="7" t="s">
        <v>3475</v>
      </c>
      <c r="M2438" s="8">
        <v>1264082</v>
      </c>
      <c r="N2438" s="8" t="str">
        <f t="shared" si="191"/>
        <v>PEN</v>
      </c>
      <c r="O2438" s="13"/>
      <c r="P2438" s="13">
        <v>80.41</v>
      </c>
      <c r="Q2438" s="3">
        <f t="shared" si="192"/>
        <v>0</v>
      </c>
      <c r="R2438" s="3">
        <f t="shared" si="193"/>
        <v>80.41</v>
      </c>
      <c r="S2438" s="3">
        <f t="shared" si="194"/>
        <v>33626.870000000017</v>
      </c>
      <c r="T2438" s="24"/>
      <c r="U2438" s="24"/>
      <c r="V2438" s="69"/>
      <c r="W2438" s="25">
        <f>IFERROR(VLOOKUP(BCP_Soles[[#This Row],[DESTINATARIO]],CHOOSE({1,2},Clientes_Proveedores[Razon Social],Clientes_Proveedores[Ruc / Dni]),2,0),"")</f>
        <v>1829028</v>
      </c>
      <c r="X2438" s="25" t="s">
        <v>1334</v>
      </c>
      <c r="Y2438" s="25"/>
      <c r="Z2438" s="25"/>
      <c r="AA2438" s="99"/>
      <c r="AB2438" s="3" t="str">
        <f>IF(BCP_Soles[[#This Row],[FECHA]]&gt;0,TEXT(BCP_Soles[[#This Row],[FECHA]],"mmmm"),0)</f>
        <v>Julio</v>
      </c>
    </row>
    <row r="2439" spans="2:28" ht="36" x14ac:dyDescent="0.3">
      <c r="B2439" s="2">
        <f>IF(BCP_Soles[[#This Row],[TIPO DE R.]]="R",COUNTIFS($D$4:$D2438,"R")+1,"")</f>
        <v>1828</v>
      </c>
      <c r="C2439" s="19" t="str">
        <f t="shared" si="190"/>
        <v>B-BCP - Soles</v>
      </c>
      <c r="D2439" s="3" t="s">
        <v>1074</v>
      </c>
      <c r="E2439" s="14">
        <v>45845</v>
      </c>
      <c r="F2439" s="5" t="s">
        <v>1075</v>
      </c>
      <c r="G2439" s="5" t="s">
        <v>1079</v>
      </c>
      <c r="H2439" s="6" t="s">
        <v>889</v>
      </c>
      <c r="I2439" s="6"/>
      <c r="J2439" s="6"/>
      <c r="K2439" s="6"/>
      <c r="L2439" s="7" t="s">
        <v>3476</v>
      </c>
      <c r="M2439" s="8">
        <v>1261946</v>
      </c>
      <c r="N2439" s="8" t="str">
        <f t="shared" si="191"/>
        <v>PEN</v>
      </c>
      <c r="O2439" s="13"/>
      <c r="P2439" s="13">
        <v>87.87</v>
      </c>
      <c r="Q2439" s="3">
        <f t="shared" si="192"/>
        <v>0</v>
      </c>
      <c r="R2439" s="3">
        <f t="shared" si="193"/>
        <v>87.87</v>
      </c>
      <c r="S2439" s="3">
        <f t="shared" si="194"/>
        <v>33539.000000000015</v>
      </c>
      <c r="T2439" s="24"/>
      <c r="U2439" s="24"/>
      <c r="V2439" s="69"/>
      <c r="W2439" s="25">
        <f>IFERROR(VLOOKUP(BCP_Soles[[#This Row],[DESTINATARIO]],CHOOSE({1,2},Clientes_Proveedores[Razon Social],Clientes_Proveedores[Ruc / Dni]),2,0),"")</f>
        <v>71311214</v>
      </c>
      <c r="X2439" s="25" t="s">
        <v>889</v>
      </c>
      <c r="Y2439" s="25"/>
      <c r="Z2439" s="25"/>
      <c r="AA2439" s="99"/>
      <c r="AB2439" s="3" t="str">
        <f>IF(BCP_Soles[[#This Row],[FECHA]]&gt;0,TEXT(BCP_Soles[[#This Row],[FECHA]],"mmmm"),0)</f>
        <v>Julio</v>
      </c>
    </row>
    <row r="2440" spans="2:28" ht="36" x14ac:dyDescent="0.3">
      <c r="B2440" s="2">
        <f>IF(BCP_Soles[[#This Row],[TIPO DE R.]]="R",COUNTIFS($D$4:$D2439,"R")+1,"")</f>
        <v>1829</v>
      </c>
      <c r="C2440" s="19" t="str">
        <f t="shared" si="190"/>
        <v>B-BCP - Soles</v>
      </c>
      <c r="D2440" s="3" t="s">
        <v>1074</v>
      </c>
      <c r="E2440" s="14">
        <v>45845</v>
      </c>
      <c r="F2440" s="5" t="s">
        <v>1075</v>
      </c>
      <c r="G2440" s="5" t="s">
        <v>1079</v>
      </c>
      <c r="H2440" s="6" t="s">
        <v>880</v>
      </c>
      <c r="I2440" s="6"/>
      <c r="J2440" s="6"/>
      <c r="K2440" s="6"/>
      <c r="L2440" s="7" t="s">
        <v>3477</v>
      </c>
      <c r="M2440" s="8">
        <v>1260984</v>
      </c>
      <c r="N2440" s="8" t="str">
        <f t="shared" si="191"/>
        <v>PEN</v>
      </c>
      <c r="O2440" s="13"/>
      <c r="P2440" s="13">
        <v>88.17</v>
      </c>
      <c r="Q2440" s="3">
        <f t="shared" si="192"/>
        <v>0</v>
      </c>
      <c r="R2440" s="3">
        <f t="shared" si="193"/>
        <v>88.17</v>
      </c>
      <c r="S2440" s="3">
        <f t="shared" si="194"/>
        <v>33450.830000000016</v>
      </c>
      <c r="T2440" s="24"/>
      <c r="U2440" s="24"/>
      <c r="V2440" s="69"/>
      <c r="W2440" s="25">
        <f>IFERROR(VLOOKUP(BCP_Soles[[#This Row],[DESTINATARIO]],CHOOSE({1,2},Clientes_Proveedores[Razon Social],Clientes_Proveedores[Ruc / Dni]),2,0),"")</f>
        <v>72531546</v>
      </c>
      <c r="X2440" s="25" t="s">
        <v>880</v>
      </c>
      <c r="Y2440" s="25"/>
      <c r="Z2440" s="25"/>
      <c r="AA2440" s="99"/>
      <c r="AB2440" s="3" t="str">
        <f>IF(BCP_Soles[[#This Row],[FECHA]]&gt;0,TEXT(BCP_Soles[[#This Row],[FECHA]],"mmmm"),0)</f>
        <v>Julio</v>
      </c>
    </row>
    <row r="2441" spans="2:28" ht="24" x14ac:dyDescent="0.3">
      <c r="B2441" s="2">
        <f>IF(BCP_Soles[[#This Row],[TIPO DE R.]]="R",COUNTIFS($D$4:$D2440,"R")+1,"")</f>
        <v>1830</v>
      </c>
      <c r="C2441" s="19" t="str">
        <f t="shared" si="190"/>
        <v>B-BCP - Soles</v>
      </c>
      <c r="D2441" s="3" t="s">
        <v>1074</v>
      </c>
      <c r="E2441" s="14">
        <v>45845</v>
      </c>
      <c r="F2441" s="5" t="s">
        <v>1075</v>
      </c>
      <c r="G2441" s="5" t="s">
        <v>1079</v>
      </c>
      <c r="H2441" s="6" t="s">
        <v>807</v>
      </c>
      <c r="I2441" s="6"/>
      <c r="J2441" s="6"/>
      <c r="K2441" s="6"/>
      <c r="L2441" s="7" t="s">
        <v>3478</v>
      </c>
      <c r="M2441" s="8">
        <v>1264548</v>
      </c>
      <c r="N2441" s="8" t="str">
        <f t="shared" si="191"/>
        <v>PEN</v>
      </c>
      <c r="O2441" s="13"/>
      <c r="P2441" s="13">
        <v>90.7</v>
      </c>
      <c r="Q2441" s="3">
        <f t="shared" si="192"/>
        <v>0</v>
      </c>
      <c r="R2441" s="3">
        <f t="shared" si="193"/>
        <v>90.7</v>
      </c>
      <c r="S2441" s="3">
        <f t="shared" si="194"/>
        <v>33360.130000000019</v>
      </c>
      <c r="T2441" s="24"/>
      <c r="U2441" s="24"/>
      <c r="V2441" s="69"/>
      <c r="W2441" s="25">
        <f>IFERROR(VLOOKUP(BCP_Soles[[#This Row],[DESTINATARIO]],CHOOSE({1,2},Clientes_Proveedores[Razon Social],Clientes_Proveedores[Ruc / Dni]),2,0),"")</f>
        <v>45921913</v>
      </c>
      <c r="X2441" s="25" t="s">
        <v>807</v>
      </c>
      <c r="Y2441" s="25"/>
      <c r="Z2441" s="25"/>
      <c r="AA2441" s="99"/>
      <c r="AB2441" s="3" t="str">
        <f>IF(BCP_Soles[[#This Row],[FECHA]]&gt;0,TEXT(BCP_Soles[[#This Row],[FECHA]],"mmmm"),0)</f>
        <v>Julio</v>
      </c>
    </row>
    <row r="2442" spans="2:28" ht="24" x14ac:dyDescent="0.3">
      <c r="B2442" s="2">
        <f>IF(BCP_Soles[[#This Row],[TIPO DE R.]]="R",COUNTIFS($D$4:$D2441,"R")+1,"")</f>
        <v>1831</v>
      </c>
      <c r="C2442" s="19" t="str">
        <f t="shared" si="190"/>
        <v>B-BCP - Soles</v>
      </c>
      <c r="D2442" s="3" t="s">
        <v>1074</v>
      </c>
      <c r="E2442" s="14">
        <v>45845</v>
      </c>
      <c r="F2442" s="5" t="s">
        <v>1075</v>
      </c>
      <c r="G2442" s="5" t="s">
        <v>1079</v>
      </c>
      <c r="H2442" s="6" t="s">
        <v>905</v>
      </c>
      <c r="I2442" s="6"/>
      <c r="J2442" s="6"/>
      <c r="K2442" s="6"/>
      <c r="L2442" s="7" t="s">
        <v>3479</v>
      </c>
      <c r="M2442" s="8">
        <v>1261452</v>
      </c>
      <c r="N2442" s="8" t="str">
        <f t="shared" si="191"/>
        <v>PEN</v>
      </c>
      <c r="O2442" s="13"/>
      <c r="P2442" s="13">
        <v>92.23</v>
      </c>
      <c r="Q2442" s="3">
        <f t="shared" si="192"/>
        <v>0</v>
      </c>
      <c r="R2442" s="3">
        <f t="shared" si="193"/>
        <v>92.23</v>
      </c>
      <c r="S2442" s="3">
        <f t="shared" si="194"/>
        <v>33267.900000000016</v>
      </c>
      <c r="T2442" s="24"/>
      <c r="U2442" s="24"/>
      <c r="V2442" s="69"/>
      <c r="W2442" s="25">
        <f>IFERROR(VLOOKUP(BCP_Soles[[#This Row],[DESTINATARIO]],CHOOSE({1,2},Clientes_Proveedores[Razon Social],Clientes_Proveedores[Ruc / Dni]),2,0),"")</f>
        <v>72813674</v>
      </c>
      <c r="X2442" s="25" t="s">
        <v>905</v>
      </c>
      <c r="Y2442" s="25"/>
      <c r="Z2442" s="25"/>
      <c r="AA2442" s="99"/>
      <c r="AB2442" s="3" t="str">
        <f>IF(BCP_Soles[[#This Row],[FECHA]]&gt;0,TEXT(BCP_Soles[[#This Row],[FECHA]],"mmmm"),0)</f>
        <v>Julio</v>
      </c>
    </row>
    <row r="2443" spans="2:28" ht="24" x14ac:dyDescent="0.3">
      <c r="B2443" s="2">
        <f>IF(BCP_Soles[[#This Row],[TIPO DE R.]]="R",COUNTIFS($D$4:$D2442,"R")+1,"")</f>
        <v>1832</v>
      </c>
      <c r="C2443" s="19" t="str">
        <f t="shared" si="190"/>
        <v>B-BCP - Soles</v>
      </c>
      <c r="D2443" s="3" t="s">
        <v>1074</v>
      </c>
      <c r="E2443" s="14">
        <v>45845</v>
      </c>
      <c r="F2443" s="5" t="s">
        <v>1075</v>
      </c>
      <c r="G2443" s="5" t="s">
        <v>1079</v>
      </c>
      <c r="H2443" s="6" t="s">
        <v>840</v>
      </c>
      <c r="I2443" s="6"/>
      <c r="J2443" s="6"/>
      <c r="K2443" s="6"/>
      <c r="L2443" s="7" t="s">
        <v>3480</v>
      </c>
      <c r="M2443" s="8">
        <v>1261960</v>
      </c>
      <c r="N2443" s="8" t="str">
        <f t="shared" si="191"/>
        <v>PEN</v>
      </c>
      <c r="O2443" s="13"/>
      <c r="P2443" s="13">
        <v>93.48</v>
      </c>
      <c r="Q2443" s="3">
        <f t="shared" si="192"/>
        <v>0</v>
      </c>
      <c r="R2443" s="3">
        <f t="shared" si="193"/>
        <v>93.48</v>
      </c>
      <c r="S2443" s="3">
        <f t="shared" si="194"/>
        <v>33174.420000000013</v>
      </c>
      <c r="T2443" s="24"/>
      <c r="U2443" s="24"/>
      <c r="V2443" s="69"/>
      <c r="W2443" s="25">
        <f>IFERROR(VLOOKUP(BCP_Soles[[#This Row],[DESTINATARIO]],CHOOSE({1,2},Clientes_Proveedores[Razon Social],Clientes_Proveedores[Ruc / Dni]),2,0),"")</f>
        <v>71496013</v>
      </c>
      <c r="X2443" s="25" t="s">
        <v>840</v>
      </c>
      <c r="Y2443" s="25"/>
      <c r="Z2443" s="25"/>
      <c r="AA2443" s="99"/>
      <c r="AB2443" s="3" t="str">
        <f>IF(BCP_Soles[[#This Row],[FECHA]]&gt;0,TEXT(BCP_Soles[[#This Row],[FECHA]],"mmmm"),0)</f>
        <v>Julio</v>
      </c>
    </row>
    <row r="2444" spans="2:28" ht="24" x14ac:dyDescent="0.3">
      <c r="B2444" s="2">
        <f>IF(BCP_Soles[[#This Row],[TIPO DE R.]]="R",COUNTIFS($D$4:$D2443,"R")+1,"")</f>
        <v>1833</v>
      </c>
      <c r="C2444" s="19" t="str">
        <f t="shared" si="190"/>
        <v>B-BCP - Soles</v>
      </c>
      <c r="D2444" s="3" t="s">
        <v>1074</v>
      </c>
      <c r="E2444" s="14">
        <v>45845</v>
      </c>
      <c r="F2444" s="5" t="s">
        <v>1075</v>
      </c>
      <c r="G2444" s="5" t="s">
        <v>1079</v>
      </c>
      <c r="H2444" s="6" t="s">
        <v>876</v>
      </c>
      <c r="I2444" s="6"/>
      <c r="J2444" s="6"/>
      <c r="K2444" s="6"/>
      <c r="L2444" s="7" t="s">
        <v>3481</v>
      </c>
      <c r="M2444" s="8">
        <v>1262419</v>
      </c>
      <c r="N2444" s="8" t="str">
        <f t="shared" si="191"/>
        <v>PEN</v>
      </c>
      <c r="O2444" s="13"/>
      <c r="P2444" s="13">
        <v>93.56</v>
      </c>
      <c r="Q2444" s="3">
        <f t="shared" si="192"/>
        <v>0</v>
      </c>
      <c r="R2444" s="3">
        <f t="shared" si="193"/>
        <v>93.56</v>
      </c>
      <c r="S2444" s="3">
        <f t="shared" si="194"/>
        <v>33080.860000000015</v>
      </c>
      <c r="T2444" s="24"/>
      <c r="U2444" s="24"/>
      <c r="V2444" s="69"/>
      <c r="W2444" s="25">
        <f>IFERROR(VLOOKUP(BCP_Soles[[#This Row],[DESTINATARIO]],CHOOSE({1,2},Clientes_Proveedores[Razon Social],Clientes_Proveedores[Ruc / Dni]),2,0),"")</f>
        <v>47557239</v>
      </c>
      <c r="X2444" s="25" t="s">
        <v>876</v>
      </c>
      <c r="Y2444" s="25"/>
      <c r="Z2444" s="25"/>
      <c r="AA2444" s="99"/>
      <c r="AB2444" s="3" t="str">
        <f>IF(BCP_Soles[[#This Row],[FECHA]]&gt;0,TEXT(BCP_Soles[[#This Row],[FECHA]],"mmmm"),0)</f>
        <v>Julio</v>
      </c>
    </row>
    <row r="2445" spans="2:28" ht="36" x14ac:dyDescent="0.3">
      <c r="B2445" s="2">
        <f>IF(BCP_Soles[[#This Row],[TIPO DE R.]]="R",COUNTIFS($D$4:$D2444,"R")+1,"")</f>
        <v>1834</v>
      </c>
      <c r="C2445" s="19" t="str">
        <f t="shared" si="190"/>
        <v>B-BCP - Soles</v>
      </c>
      <c r="D2445" s="3" t="s">
        <v>1074</v>
      </c>
      <c r="E2445" s="14">
        <v>45845</v>
      </c>
      <c r="F2445" s="5" t="s">
        <v>1075</v>
      </c>
      <c r="G2445" s="5" t="s">
        <v>1079</v>
      </c>
      <c r="H2445" s="6" t="s">
        <v>759</v>
      </c>
      <c r="I2445" s="6"/>
      <c r="J2445" s="6"/>
      <c r="K2445" s="6"/>
      <c r="L2445" s="7" t="s">
        <v>3482</v>
      </c>
      <c r="M2445" s="8">
        <v>1264092</v>
      </c>
      <c r="N2445" s="8" t="str">
        <f t="shared" si="191"/>
        <v>PEN</v>
      </c>
      <c r="O2445" s="13"/>
      <c r="P2445" s="13">
        <v>97.02</v>
      </c>
      <c r="Q2445" s="3">
        <f t="shared" si="192"/>
        <v>0</v>
      </c>
      <c r="R2445" s="3">
        <f t="shared" si="193"/>
        <v>97.02</v>
      </c>
      <c r="S2445" s="3">
        <f t="shared" si="194"/>
        <v>32983.840000000018</v>
      </c>
      <c r="T2445" s="24"/>
      <c r="U2445" s="24"/>
      <c r="V2445" s="69"/>
      <c r="W2445" s="25">
        <f>IFERROR(VLOOKUP(BCP_Soles[[#This Row],[DESTINATARIO]],CHOOSE({1,2},Clientes_Proveedores[Razon Social],Clientes_Proveedores[Ruc / Dni]),2,0),"")</f>
        <v>71787683</v>
      </c>
      <c r="X2445" s="25" t="s">
        <v>759</v>
      </c>
      <c r="Y2445" s="25"/>
      <c r="Z2445" s="25"/>
      <c r="AA2445" s="99"/>
      <c r="AB2445" s="3" t="str">
        <f>IF(BCP_Soles[[#This Row],[FECHA]]&gt;0,TEXT(BCP_Soles[[#This Row],[FECHA]],"mmmm"),0)</f>
        <v>Julio</v>
      </c>
    </row>
    <row r="2446" spans="2:28" ht="24" x14ac:dyDescent="0.3">
      <c r="B2446" s="2">
        <f>IF(BCP_Soles[[#This Row],[TIPO DE R.]]="R",COUNTIFS($D$4:$D2445,"R")+1,"")</f>
        <v>1835</v>
      </c>
      <c r="C2446" s="19" t="str">
        <f t="shared" si="190"/>
        <v>B-BCP - Soles</v>
      </c>
      <c r="D2446" s="3" t="s">
        <v>1074</v>
      </c>
      <c r="E2446" s="14">
        <v>45845</v>
      </c>
      <c r="F2446" s="5" t="s">
        <v>1075</v>
      </c>
      <c r="G2446" s="5" t="s">
        <v>1079</v>
      </c>
      <c r="H2446" s="6" t="s">
        <v>743</v>
      </c>
      <c r="I2446" s="6"/>
      <c r="J2446" s="6"/>
      <c r="K2446" s="6"/>
      <c r="L2446" s="7" t="s">
        <v>3483</v>
      </c>
      <c r="M2446" s="8">
        <v>1264559</v>
      </c>
      <c r="N2446" s="8" t="str">
        <f t="shared" si="191"/>
        <v>PEN</v>
      </c>
      <c r="O2446" s="13"/>
      <c r="P2446" s="13">
        <v>110</v>
      </c>
      <c r="Q2446" s="3">
        <f t="shared" si="192"/>
        <v>0</v>
      </c>
      <c r="R2446" s="3">
        <f t="shared" si="193"/>
        <v>110</v>
      </c>
      <c r="S2446" s="3">
        <f t="shared" si="194"/>
        <v>32873.840000000018</v>
      </c>
      <c r="T2446" s="24"/>
      <c r="U2446" s="24"/>
      <c r="V2446" s="69"/>
      <c r="W2446" s="25">
        <f>IFERROR(VLOOKUP(BCP_Soles[[#This Row],[DESTINATARIO]],CHOOSE({1,2},Clientes_Proveedores[Razon Social],Clientes_Proveedores[Ruc / Dni]),2,0),"")</f>
        <v>44211654</v>
      </c>
      <c r="X2446" s="25" t="s">
        <v>3484</v>
      </c>
      <c r="Y2446" s="25"/>
      <c r="Z2446" s="25"/>
      <c r="AA2446" s="99"/>
      <c r="AB2446" s="3" t="str">
        <f>IF(BCP_Soles[[#This Row],[FECHA]]&gt;0,TEXT(BCP_Soles[[#This Row],[FECHA]],"mmmm"),0)</f>
        <v>Julio</v>
      </c>
    </row>
    <row r="2447" spans="2:28" ht="24" x14ac:dyDescent="0.3">
      <c r="B2447" s="2">
        <f>IF(BCP_Soles[[#This Row],[TIPO DE R.]]="R",COUNTIFS($D$4:$D2446,"R")+1,"")</f>
        <v>1836</v>
      </c>
      <c r="C2447" s="19" t="str">
        <f t="shared" si="190"/>
        <v>B-BCP - Soles</v>
      </c>
      <c r="D2447" s="3" t="s">
        <v>1074</v>
      </c>
      <c r="E2447" s="14">
        <v>45845</v>
      </c>
      <c r="F2447" s="5" t="s">
        <v>1075</v>
      </c>
      <c r="G2447" s="5" t="s">
        <v>1079</v>
      </c>
      <c r="H2447" s="6" t="s">
        <v>739</v>
      </c>
      <c r="I2447" s="6"/>
      <c r="J2447" s="6"/>
      <c r="K2447" s="6"/>
      <c r="L2447" s="7" t="s">
        <v>3485</v>
      </c>
      <c r="M2447" s="8">
        <v>1262999</v>
      </c>
      <c r="N2447" s="8" t="str">
        <f t="shared" si="191"/>
        <v>PEN</v>
      </c>
      <c r="O2447" s="13"/>
      <c r="P2447" s="13">
        <v>128.71</v>
      </c>
      <c r="Q2447" s="3">
        <f t="shared" si="192"/>
        <v>0</v>
      </c>
      <c r="R2447" s="3">
        <f t="shared" si="193"/>
        <v>128.71</v>
      </c>
      <c r="S2447" s="3">
        <f t="shared" si="194"/>
        <v>32745.130000000019</v>
      </c>
      <c r="T2447" s="24"/>
      <c r="U2447" s="24"/>
      <c r="V2447" s="69"/>
      <c r="W2447" s="25">
        <f>IFERROR(VLOOKUP(BCP_Soles[[#This Row],[DESTINATARIO]],CHOOSE({1,2},Clientes_Proveedores[Razon Social],Clientes_Proveedores[Ruc / Dni]),2,0),"")</f>
        <v>40192097</v>
      </c>
      <c r="X2447" s="25" t="s">
        <v>739</v>
      </c>
      <c r="Y2447" s="25"/>
      <c r="Z2447" s="25"/>
      <c r="AA2447" s="99"/>
      <c r="AB2447" s="3" t="str">
        <f>IF(BCP_Soles[[#This Row],[FECHA]]&gt;0,TEXT(BCP_Soles[[#This Row],[FECHA]],"mmmm"),0)</f>
        <v>Julio</v>
      </c>
    </row>
    <row r="2448" spans="2:28" ht="24" x14ac:dyDescent="0.3">
      <c r="B2448" s="2">
        <f>IF(BCP_Soles[[#This Row],[TIPO DE R.]]="R",COUNTIFS($D$4:$D2447,"R")+1,"")</f>
        <v>1837</v>
      </c>
      <c r="C2448" s="19" t="str">
        <f t="shared" si="190"/>
        <v>B-BCP - Soles</v>
      </c>
      <c r="D2448" s="3" t="s">
        <v>1074</v>
      </c>
      <c r="E2448" s="14">
        <v>45845</v>
      </c>
      <c r="F2448" s="5" t="s">
        <v>1075</v>
      </c>
      <c r="G2448" s="5" t="s">
        <v>1079</v>
      </c>
      <c r="H2448" s="6" t="s">
        <v>872</v>
      </c>
      <c r="I2448" s="6"/>
      <c r="J2448" s="6"/>
      <c r="K2448" s="6"/>
      <c r="L2448" s="7" t="s">
        <v>3486</v>
      </c>
      <c r="M2448" s="8">
        <v>1262935</v>
      </c>
      <c r="N2448" s="8" t="str">
        <f t="shared" si="191"/>
        <v>PEN</v>
      </c>
      <c r="O2448" s="13"/>
      <c r="P2448" s="13">
        <v>131.72</v>
      </c>
      <c r="Q2448" s="3">
        <f t="shared" si="192"/>
        <v>0</v>
      </c>
      <c r="R2448" s="3">
        <f t="shared" si="193"/>
        <v>131.72</v>
      </c>
      <c r="S2448" s="3">
        <f t="shared" si="194"/>
        <v>32613.410000000018</v>
      </c>
      <c r="T2448" s="24"/>
      <c r="U2448" s="24"/>
      <c r="V2448" s="69"/>
      <c r="W2448" s="25">
        <f>IFERROR(VLOOKUP(BCP_Soles[[#This Row],[DESTINATARIO]],CHOOSE({1,2},Clientes_Proveedores[Razon Social],Clientes_Proveedores[Ruc / Dni]),2,0),"")</f>
        <v>72725225</v>
      </c>
      <c r="X2448" s="25" t="s">
        <v>872</v>
      </c>
      <c r="Y2448" s="25"/>
      <c r="Z2448" s="25"/>
      <c r="AA2448" s="99"/>
      <c r="AB2448" s="3" t="str">
        <f>IF(BCP_Soles[[#This Row],[FECHA]]&gt;0,TEXT(BCP_Soles[[#This Row],[FECHA]],"mmmm"),0)</f>
        <v>Julio</v>
      </c>
    </row>
    <row r="2449" spans="2:28" ht="36" x14ac:dyDescent="0.3">
      <c r="B2449" s="2">
        <f>IF(BCP_Soles[[#This Row],[TIPO DE R.]]="R",COUNTIFS($D$4:$D2448,"R")+1,"")</f>
        <v>1838</v>
      </c>
      <c r="C2449" s="19" t="str">
        <f t="shared" si="190"/>
        <v>B-BCP - Soles</v>
      </c>
      <c r="D2449" s="3" t="s">
        <v>1074</v>
      </c>
      <c r="E2449" s="14">
        <v>45845</v>
      </c>
      <c r="F2449" s="5" t="s">
        <v>1075</v>
      </c>
      <c r="G2449" s="5" t="s">
        <v>1079</v>
      </c>
      <c r="H2449" s="6" t="s">
        <v>902</v>
      </c>
      <c r="I2449" s="6"/>
      <c r="J2449" s="6"/>
      <c r="K2449" s="6"/>
      <c r="L2449" s="7" t="s">
        <v>3487</v>
      </c>
      <c r="M2449" s="8">
        <v>1264018</v>
      </c>
      <c r="N2449" s="8" t="str">
        <f t="shared" si="191"/>
        <v>PEN</v>
      </c>
      <c r="O2449" s="13"/>
      <c r="P2449" s="13">
        <v>140.26</v>
      </c>
      <c r="Q2449" s="3">
        <f t="shared" si="192"/>
        <v>0</v>
      </c>
      <c r="R2449" s="3">
        <f t="shared" si="193"/>
        <v>140.26</v>
      </c>
      <c r="S2449" s="3">
        <f t="shared" si="194"/>
        <v>32473.15000000002</v>
      </c>
      <c r="T2449" s="24"/>
      <c r="U2449" s="24"/>
      <c r="V2449" s="69"/>
      <c r="W2449" s="25">
        <f>IFERROR(VLOOKUP(BCP_Soles[[#This Row],[DESTINATARIO]],CHOOSE({1,2},Clientes_Proveedores[Razon Social],Clientes_Proveedores[Ruc / Dni]),2,0),"")</f>
        <v>71786852</v>
      </c>
      <c r="X2449" s="25" t="s">
        <v>902</v>
      </c>
      <c r="Y2449" s="25"/>
      <c r="Z2449" s="25"/>
      <c r="AA2449" s="99"/>
      <c r="AB2449" s="3" t="str">
        <f>IF(BCP_Soles[[#This Row],[FECHA]]&gt;0,TEXT(BCP_Soles[[#This Row],[FECHA]],"mmmm"),0)</f>
        <v>Julio</v>
      </c>
    </row>
    <row r="2450" spans="2:28" ht="24" x14ac:dyDescent="0.3">
      <c r="B2450" s="2">
        <f>IF(BCP_Soles[[#This Row],[TIPO DE R.]]="R",COUNTIFS($D$4:$D2449,"R")+1,"")</f>
        <v>1839</v>
      </c>
      <c r="C2450" s="19" t="str">
        <f t="shared" si="190"/>
        <v>B-BCP - Soles</v>
      </c>
      <c r="D2450" s="3" t="s">
        <v>1074</v>
      </c>
      <c r="E2450" s="14">
        <v>45845</v>
      </c>
      <c r="F2450" s="5" t="s">
        <v>1075</v>
      </c>
      <c r="G2450" s="5" t="s">
        <v>1079</v>
      </c>
      <c r="H2450" s="6" t="s">
        <v>745</v>
      </c>
      <c r="I2450" s="6"/>
      <c r="J2450" s="6"/>
      <c r="K2450" s="6"/>
      <c r="L2450" s="7" t="s">
        <v>3488</v>
      </c>
      <c r="M2450" s="8">
        <v>1265036</v>
      </c>
      <c r="N2450" s="8" t="str">
        <f t="shared" si="191"/>
        <v>PEN</v>
      </c>
      <c r="O2450" s="13"/>
      <c r="P2450" s="13">
        <v>147.03</v>
      </c>
      <c r="Q2450" s="3">
        <f t="shared" si="192"/>
        <v>0</v>
      </c>
      <c r="R2450" s="3">
        <f t="shared" si="193"/>
        <v>147.03</v>
      </c>
      <c r="S2450" s="3">
        <f t="shared" si="194"/>
        <v>32326.120000000021</v>
      </c>
      <c r="T2450" s="24"/>
      <c r="U2450" s="24"/>
      <c r="V2450" s="69"/>
      <c r="W2450" s="25">
        <f>IFERROR(VLOOKUP(BCP_Soles[[#This Row],[DESTINATARIO]],CHOOSE({1,2},Clientes_Proveedores[Razon Social],Clientes_Proveedores[Ruc / Dni]),2,0),"")</f>
        <v>74078793</v>
      </c>
      <c r="X2450" s="25" t="s">
        <v>745</v>
      </c>
      <c r="Y2450" s="25"/>
      <c r="Z2450" s="25"/>
      <c r="AA2450" s="99"/>
      <c r="AB2450" s="3" t="str">
        <f>IF(BCP_Soles[[#This Row],[FECHA]]&gt;0,TEXT(BCP_Soles[[#This Row],[FECHA]],"mmmm"),0)</f>
        <v>Julio</v>
      </c>
    </row>
    <row r="2451" spans="2:28" ht="24" x14ac:dyDescent="0.3">
      <c r="B2451" s="2">
        <f>IF(BCP_Soles[[#This Row],[TIPO DE R.]]="R",COUNTIFS($D$4:$D2450,"R")+1,"")</f>
        <v>1840</v>
      </c>
      <c r="C2451" s="19" t="str">
        <f t="shared" si="190"/>
        <v>B-BCP - Soles</v>
      </c>
      <c r="D2451" s="3" t="s">
        <v>1074</v>
      </c>
      <c r="E2451" s="14">
        <v>45845</v>
      </c>
      <c r="F2451" s="5" t="s">
        <v>1075</v>
      </c>
      <c r="G2451" s="5" t="s">
        <v>1079</v>
      </c>
      <c r="H2451" s="6" t="s">
        <v>802</v>
      </c>
      <c r="I2451" s="6"/>
      <c r="J2451" s="6"/>
      <c r="K2451" s="6"/>
      <c r="L2451" s="7" t="s">
        <v>3489</v>
      </c>
      <c r="M2451" s="8">
        <v>1265031</v>
      </c>
      <c r="N2451" s="8" t="str">
        <f t="shared" si="191"/>
        <v>PEN</v>
      </c>
      <c r="O2451" s="13"/>
      <c r="P2451" s="13">
        <v>149.88</v>
      </c>
      <c r="Q2451" s="3">
        <f t="shared" si="192"/>
        <v>0</v>
      </c>
      <c r="R2451" s="3">
        <f t="shared" si="193"/>
        <v>149.88</v>
      </c>
      <c r="S2451" s="3">
        <f t="shared" si="194"/>
        <v>32176.24000000002</v>
      </c>
      <c r="T2451" s="24"/>
      <c r="U2451" s="24"/>
      <c r="V2451" s="69"/>
      <c r="W2451" s="25">
        <f>IFERROR(VLOOKUP(BCP_Soles[[#This Row],[DESTINATARIO]],CHOOSE({1,2},Clientes_Proveedores[Razon Social],Clientes_Proveedores[Ruc / Dni]),2,0),"")</f>
        <v>42857058</v>
      </c>
      <c r="X2451" s="25" t="s">
        <v>802</v>
      </c>
      <c r="Y2451" s="25"/>
      <c r="Z2451" s="25"/>
      <c r="AA2451" s="99"/>
      <c r="AB2451" s="3" t="str">
        <f>IF(BCP_Soles[[#This Row],[FECHA]]&gt;0,TEXT(BCP_Soles[[#This Row],[FECHA]],"mmmm"),0)</f>
        <v>Julio</v>
      </c>
    </row>
    <row r="2452" spans="2:28" ht="36" x14ac:dyDescent="0.3">
      <c r="B2452" s="2">
        <f>IF(BCP_Soles[[#This Row],[TIPO DE R.]]="R",COUNTIFS($D$4:$D2451,"R")+1,"")</f>
        <v>1841</v>
      </c>
      <c r="C2452" s="19" t="str">
        <f t="shared" si="190"/>
        <v>B-BCP - Soles</v>
      </c>
      <c r="D2452" s="3" t="s">
        <v>1074</v>
      </c>
      <c r="E2452" s="14">
        <v>45845</v>
      </c>
      <c r="F2452" s="5" t="s">
        <v>1075</v>
      </c>
      <c r="G2452" s="5" t="s">
        <v>1079</v>
      </c>
      <c r="H2452" s="6" t="s">
        <v>731</v>
      </c>
      <c r="I2452" s="6"/>
      <c r="J2452" s="6"/>
      <c r="K2452" s="6"/>
      <c r="L2452" s="7" t="s">
        <v>3490</v>
      </c>
      <c r="M2452" s="8">
        <v>1264093</v>
      </c>
      <c r="N2452" s="8" t="str">
        <f t="shared" si="191"/>
        <v>PEN</v>
      </c>
      <c r="O2452" s="13"/>
      <c r="P2452" s="13">
        <v>185.83</v>
      </c>
      <c r="Q2452" s="3">
        <f t="shared" si="192"/>
        <v>0</v>
      </c>
      <c r="R2452" s="3">
        <f t="shared" si="193"/>
        <v>185.83</v>
      </c>
      <c r="S2452" s="3">
        <f t="shared" si="194"/>
        <v>31990.410000000018</v>
      </c>
      <c r="T2452" s="24"/>
      <c r="U2452" s="24"/>
      <c r="V2452" s="69"/>
      <c r="W2452" s="25">
        <f>IFERROR(VLOOKUP(BCP_Soles[[#This Row],[DESTINATARIO]],CHOOSE({1,2},Clientes_Proveedores[Razon Social],Clientes_Proveedores[Ruc / Dni]),2,0),"")</f>
        <v>72169020</v>
      </c>
      <c r="X2452" s="25" t="s">
        <v>1694</v>
      </c>
      <c r="Y2452" s="25"/>
      <c r="Z2452" s="25"/>
      <c r="AA2452" s="99"/>
      <c r="AB2452" s="3" t="str">
        <f>IF(BCP_Soles[[#This Row],[FECHA]]&gt;0,TEXT(BCP_Soles[[#This Row],[FECHA]],"mmmm"),0)</f>
        <v>Julio</v>
      </c>
    </row>
    <row r="2453" spans="2:28" ht="24" x14ac:dyDescent="0.3">
      <c r="B2453" s="2">
        <f>IF(BCP_Soles[[#This Row],[TIPO DE R.]]="R",COUNTIFS($D$4:$D2452,"R")+1,"")</f>
        <v>1842</v>
      </c>
      <c r="C2453" s="19" t="str">
        <f t="shared" si="190"/>
        <v>B-BCP - Soles</v>
      </c>
      <c r="D2453" s="3" t="s">
        <v>1074</v>
      </c>
      <c r="E2453" s="14">
        <v>45845</v>
      </c>
      <c r="F2453" s="5" t="s">
        <v>1075</v>
      </c>
      <c r="G2453" s="5" t="s">
        <v>1079</v>
      </c>
      <c r="H2453" s="6" t="s">
        <v>863</v>
      </c>
      <c r="I2453" s="6"/>
      <c r="J2453" s="6"/>
      <c r="K2453" s="6"/>
      <c r="L2453" s="7" t="s">
        <v>3491</v>
      </c>
      <c r="M2453" s="8">
        <v>1264026</v>
      </c>
      <c r="N2453" s="8" t="str">
        <f t="shared" si="191"/>
        <v>PEN</v>
      </c>
      <c r="O2453" s="13"/>
      <c r="P2453" s="13">
        <v>194.71</v>
      </c>
      <c r="Q2453" s="3">
        <f t="shared" si="192"/>
        <v>0</v>
      </c>
      <c r="R2453" s="3">
        <f t="shared" si="193"/>
        <v>194.71</v>
      </c>
      <c r="S2453" s="3">
        <f t="shared" si="194"/>
        <v>31795.700000000019</v>
      </c>
      <c r="T2453" s="24"/>
      <c r="U2453" s="24"/>
      <c r="V2453" s="69"/>
      <c r="W2453" s="25">
        <f>IFERROR(VLOOKUP(BCP_Soles[[#This Row],[DESTINATARIO]],CHOOSE({1,2},Clientes_Proveedores[Razon Social],Clientes_Proveedores[Ruc / Dni]),2,0),"")</f>
        <v>72537561</v>
      </c>
      <c r="X2453" s="25" t="s">
        <v>863</v>
      </c>
      <c r="Y2453" s="25"/>
      <c r="Z2453" s="25"/>
      <c r="AA2453" s="99"/>
      <c r="AB2453" s="3" t="str">
        <f>IF(BCP_Soles[[#This Row],[FECHA]]&gt;0,TEXT(BCP_Soles[[#This Row],[FECHA]],"mmmm"),0)</f>
        <v>Julio</v>
      </c>
    </row>
    <row r="2454" spans="2:28" ht="24" x14ac:dyDescent="0.3">
      <c r="B2454" s="2">
        <f>IF(BCP_Soles[[#This Row],[TIPO DE R.]]="R",COUNTIFS($D$4:$D2453,"R")+1,"")</f>
        <v>1843</v>
      </c>
      <c r="C2454" s="19" t="str">
        <f t="shared" si="190"/>
        <v>B-BCP - Soles</v>
      </c>
      <c r="D2454" s="3" t="s">
        <v>1074</v>
      </c>
      <c r="E2454" s="14">
        <v>45845</v>
      </c>
      <c r="F2454" s="5" t="s">
        <v>1075</v>
      </c>
      <c r="G2454" s="5" t="s">
        <v>1079</v>
      </c>
      <c r="H2454" s="6" t="s">
        <v>812</v>
      </c>
      <c r="I2454" s="6"/>
      <c r="J2454" s="6"/>
      <c r="K2454" s="6"/>
      <c r="L2454" s="7" t="s">
        <v>3492</v>
      </c>
      <c r="M2454" s="8">
        <v>1264080</v>
      </c>
      <c r="N2454" s="8" t="str">
        <f t="shared" si="191"/>
        <v>PEN</v>
      </c>
      <c r="O2454" s="13"/>
      <c r="P2454" s="13">
        <v>203.41</v>
      </c>
      <c r="Q2454" s="3">
        <f t="shared" si="192"/>
        <v>0</v>
      </c>
      <c r="R2454" s="3">
        <f t="shared" si="193"/>
        <v>203.41</v>
      </c>
      <c r="S2454" s="3">
        <f t="shared" si="194"/>
        <v>31592.290000000019</v>
      </c>
      <c r="T2454" s="24"/>
      <c r="U2454" s="24"/>
      <c r="V2454" s="69"/>
      <c r="W2454" s="25">
        <f>IFERROR(VLOOKUP(BCP_Soles[[#This Row],[DESTINATARIO]],CHOOSE({1,2},Clientes_Proveedores[Razon Social],Clientes_Proveedores[Ruc / Dni]),2,0),"")</f>
        <v>72302392</v>
      </c>
      <c r="X2454" s="25" t="s">
        <v>812</v>
      </c>
      <c r="Y2454" s="25"/>
      <c r="Z2454" s="25"/>
      <c r="AA2454" s="99"/>
      <c r="AB2454" s="3" t="str">
        <f>IF(BCP_Soles[[#This Row],[FECHA]]&gt;0,TEXT(BCP_Soles[[#This Row],[FECHA]],"mmmm"),0)</f>
        <v>Julio</v>
      </c>
    </row>
    <row r="2455" spans="2:28" ht="24" x14ac:dyDescent="0.3">
      <c r="B2455" s="2">
        <f>IF(BCP_Soles[[#This Row],[TIPO DE R.]]="R",COUNTIFS($D$4:$D2454,"R")+1,"")</f>
        <v>1844</v>
      </c>
      <c r="C2455" s="19" t="str">
        <f t="shared" si="190"/>
        <v>B-BCP - Soles</v>
      </c>
      <c r="D2455" s="3" t="s">
        <v>1074</v>
      </c>
      <c r="E2455" s="14">
        <v>45845</v>
      </c>
      <c r="F2455" s="5" t="s">
        <v>1075</v>
      </c>
      <c r="G2455" s="5" t="s">
        <v>1079</v>
      </c>
      <c r="H2455" s="6" t="s">
        <v>800</v>
      </c>
      <c r="I2455" s="6"/>
      <c r="J2455" s="6"/>
      <c r="K2455" s="6"/>
      <c r="L2455" s="7" t="s">
        <v>3493</v>
      </c>
      <c r="M2455" s="8">
        <v>1265030</v>
      </c>
      <c r="N2455" s="8" t="str">
        <f t="shared" si="191"/>
        <v>PEN</v>
      </c>
      <c r="O2455" s="13"/>
      <c r="P2455" s="13">
        <v>209.42</v>
      </c>
      <c r="Q2455" s="3">
        <f t="shared" si="192"/>
        <v>0</v>
      </c>
      <c r="R2455" s="3">
        <f t="shared" si="193"/>
        <v>209.42</v>
      </c>
      <c r="S2455" s="3">
        <f t="shared" si="194"/>
        <v>31382.870000000021</v>
      </c>
      <c r="T2455" s="24"/>
      <c r="U2455" s="24"/>
      <c r="V2455" s="69"/>
      <c r="W2455" s="25">
        <f>IFERROR(VLOOKUP(BCP_Soles[[#This Row],[DESTINATARIO]],CHOOSE({1,2},Clientes_Proveedores[Razon Social],Clientes_Proveedores[Ruc / Dni]),2,0),"")</f>
        <v>43814375</v>
      </c>
      <c r="X2455" s="25" t="s">
        <v>800</v>
      </c>
      <c r="Y2455" s="25"/>
      <c r="Z2455" s="25"/>
      <c r="AA2455" s="99"/>
      <c r="AB2455" s="3" t="str">
        <f>IF(BCP_Soles[[#This Row],[FECHA]]&gt;0,TEXT(BCP_Soles[[#This Row],[FECHA]],"mmmm"),0)</f>
        <v>Julio</v>
      </c>
    </row>
    <row r="2456" spans="2:28" ht="24" x14ac:dyDescent="0.3">
      <c r="B2456" s="2">
        <f>IF(BCP_Soles[[#This Row],[TIPO DE R.]]="R",COUNTIFS($D$4:$D2455,"R")+1,"")</f>
        <v>1845</v>
      </c>
      <c r="C2456" s="19" t="str">
        <f t="shared" si="190"/>
        <v>B-BCP - Soles</v>
      </c>
      <c r="D2456" s="3" t="s">
        <v>1074</v>
      </c>
      <c r="E2456" s="14">
        <v>45845</v>
      </c>
      <c r="F2456" s="5" t="s">
        <v>1075</v>
      </c>
      <c r="G2456" s="5" t="s">
        <v>1079</v>
      </c>
      <c r="H2456" s="6" t="s">
        <v>887</v>
      </c>
      <c r="I2456" s="6"/>
      <c r="J2456" s="6"/>
      <c r="K2456" s="6"/>
      <c r="L2456" s="7" t="s">
        <v>3494</v>
      </c>
      <c r="M2456" s="8">
        <v>1263895</v>
      </c>
      <c r="N2456" s="8" t="str">
        <f t="shared" si="191"/>
        <v>PEN</v>
      </c>
      <c r="O2456" s="13"/>
      <c r="P2456" s="13">
        <v>210.75</v>
      </c>
      <c r="Q2456" s="3">
        <f t="shared" si="192"/>
        <v>0</v>
      </c>
      <c r="R2456" s="3">
        <f t="shared" si="193"/>
        <v>210.75</v>
      </c>
      <c r="S2456" s="3">
        <f t="shared" si="194"/>
        <v>31172.120000000021</v>
      </c>
      <c r="T2456" s="24"/>
      <c r="U2456" s="24"/>
      <c r="V2456" s="69"/>
      <c r="W2456" s="25">
        <f>IFERROR(VLOOKUP(BCP_Soles[[#This Row],[DESTINATARIO]],CHOOSE({1,2},Clientes_Proveedores[Razon Social],Clientes_Proveedores[Ruc / Dni]),2,0),"")</f>
        <v>74392568</v>
      </c>
      <c r="X2456" s="25" t="s">
        <v>1215</v>
      </c>
      <c r="Y2456" s="25"/>
      <c r="Z2456" s="25"/>
      <c r="AA2456" s="99"/>
      <c r="AB2456" s="3" t="str">
        <f>IF(BCP_Soles[[#This Row],[FECHA]]&gt;0,TEXT(BCP_Soles[[#This Row],[FECHA]],"mmmm"),0)</f>
        <v>Julio</v>
      </c>
    </row>
    <row r="2457" spans="2:28" ht="24" x14ac:dyDescent="0.3">
      <c r="B2457" s="2">
        <f>IF(BCP_Soles[[#This Row],[TIPO DE R.]]="R",COUNTIFS($D$4:$D2456,"R")+1,"")</f>
        <v>1846</v>
      </c>
      <c r="C2457" s="19" t="str">
        <f t="shared" si="190"/>
        <v>B-BCP - Soles</v>
      </c>
      <c r="D2457" s="3" t="s">
        <v>1074</v>
      </c>
      <c r="E2457" s="14">
        <v>45845</v>
      </c>
      <c r="F2457" s="5" t="s">
        <v>1075</v>
      </c>
      <c r="G2457" s="5" t="s">
        <v>1079</v>
      </c>
      <c r="H2457" s="6" t="s">
        <v>814</v>
      </c>
      <c r="I2457" s="6"/>
      <c r="J2457" s="6"/>
      <c r="K2457" s="6"/>
      <c r="L2457" s="7" t="s">
        <v>3495</v>
      </c>
      <c r="M2457" s="8">
        <v>1262989</v>
      </c>
      <c r="N2457" s="8" t="str">
        <f t="shared" si="191"/>
        <v>PEN</v>
      </c>
      <c r="O2457" s="13"/>
      <c r="P2457" s="13">
        <v>211.08</v>
      </c>
      <c r="Q2457" s="3">
        <f t="shared" si="192"/>
        <v>0</v>
      </c>
      <c r="R2457" s="3">
        <f t="shared" si="193"/>
        <v>211.08</v>
      </c>
      <c r="S2457" s="3">
        <f t="shared" si="194"/>
        <v>30961.040000000019</v>
      </c>
      <c r="T2457" s="24"/>
      <c r="U2457" s="24"/>
      <c r="V2457" s="69"/>
      <c r="W2457" s="25">
        <f>IFERROR(VLOOKUP(BCP_Soles[[#This Row],[DESTINATARIO]],CHOOSE({1,2},Clientes_Proveedores[Razon Social],Clientes_Proveedores[Ruc / Dni]),2,0),"")</f>
        <v>80355193</v>
      </c>
      <c r="X2457" s="25" t="s">
        <v>1338</v>
      </c>
      <c r="Y2457" s="25"/>
      <c r="Z2457" s="25"/>
      <c r="AA2457" s="99"/>
      <c r="AB2457" s="3" t="str">
        <f>IF(BCP_Soles[[#This Row],[FECHA]]&gt;0,TEXT(BCP_Soles[[#This Row],[FECHA]],"mmmm"),0)</f>
        <v>Julio</v>
      </c>
    </row>
    <row r="2458" spans="2:28" ht="24" x14ac:dyDescent="0.3">
      <c r="B2458" s="2">
        <f>IF(BCP_Soles[[#This Row],[TIPO DE R.]]="R",COUNTIFS($D$4:$D2457,"R")+1,"")</f>
        <v>1847</v>
      </c>
      <c r="C2458" s="19" t="str">
        <f t="shared" si="190"/>
        <v>B-BCP - Soles</v>
      </c>
      <c r="D2458" s="3" t="s">
        <v>1074</v>
      </c>
      <c r="E2458" s="14">
        <v>45845</v>
      </c>
      <c r="F2458" s="5" t="s">
        <v>1075</v>
      </c>
      <c r="G2458" s="5" t="s">
        <v>1079</v>
      </c>
      <c r="H2458" s="6" t="s">
        <v>866</v>
      </c>
      <c r="I2458" s="6"/>
      <c r="J2458" s="6"/>
      <c r="K2458" s="6"/>
      <c r="L2458" s="7" t="s">
        <v>3496</v>
      </c>
      <c r="M2458" s="8">
        <v>1263428</v>
      </c>
      <c r="N2458" s="8" t="str">
        <f t="shared" si="191"/>
        <v>PEN</v>
      </c>
      <c r="O2458" s="13"/>
      <c r="P2458" s="13">
        <v>212.09</v>
      </c>
      <c r="Q2458" s="3">
        <f t="shared" si="192"/>
        <v>0</v>
      </c>
      <c r="R2458" s="3">
        <f t="shared" si="193"/>
        <v>212.09</v>
      </c>
      <c r="S2458" s="3">
        <f t="shared" si="194"/>
        <v>30748.950000000019</v>
      </c>
      <c r="T2458" s="24"/>
      <c r="U2458" s="24"/>
      <c r="V2458" s="69"/>
      <c r="W2458" s="25">
        <f>IFERROR(VLOOKUP(BCP_Soles[[#This Row],[DESTINATARIO]],CHOOSE({1,2},Clientes_Proveedores[Razon Social],Clientes_Proveedores[Ruc / Dni]),2,0),"")</f>
        <v>73530159</v>
      </c>
      <c r="X2458" s="25" t="s">
        <v>3497</v>
      </c>
      <c r="Y2458" s="25"/>
      <c r="Z2458" s="25"/>
      <c r="AA2458" s="99"/>
      <c r="AB2458" s="3" t="str">
        <f>IF(BCP_Soles[[#This Row],[FECHA]]&gt;0,TEXT(BCP_Soles[[#This Row],[FECHA]],"mmmm"),0)</f>
        <v>Julio</v>
      </c>
    </row>
    <row r="2459" spans="2:28" ht="24" x14ac:dyDescent="0.3">
      <c r="B2459" s="2">
        <f>IF(BCP_Soles[[#This Row],[TIPO DE R.]]="R",COUNTIFS($D$4:$D2458,"R")+1,"")</f>
        <v>1848</v>
      </c>
      <c r="C2459" s="19" t="str">
        <f t="shared" si="190"/>
        <v>B-BCP - Soles</v>
      </c>
      <c r="D2459" s="3" t="s">
        <v>1074</v>
      </c>
      <c r="E2459" s="14">
        <v>45845</v>
      </c>
      <c r="F2459" s="5" t="s">
        <v>1075</v>
      </c>
      <c r="G2459" s="5" t="s">
        <v>1079</v>
      </c>
      <c r="H2459" s="6" t="s">
        <v>885</v>
      </c>
      <c r="I2459" s="6"/>
      <c r="J2459" s="6"/>
      <c r="K2459" s="6"/>
      <c r="L2459" s="7" t="s">
        <v>3498</v>
      </c>
      <c r="M2459" s="8">
        <v>1263421</v>
      </c>
      <c r="N2459" s="8" t="str">
        <f t="shared" si="191"/>
        <v>PEN</v>
      </c>
      <c r="O2459" s="13"/>
      <c r="P2459" s="13">
        <v>212.14</v>
      </c>
      <c r="Q2459" s="3">
        <f t="shared" si="192"/>
        <v>0</v>
      </c>
      <c r="R2459" s="3">
        <f t="shared" si="193"/>
        <v>212.14</v>
      </c>
      <c r="S2459" s="3">
        <f t="shared" si="194"/>
        <v>30536.810000000019</v>
      </c>
      <c r="T2459" s="24"/>
      <c r="U2459" s="24"/>
      <c r="V2459" s="69"/>
      <c r="W2459" s="25">
        <f>IFERROR(VLOOKUP(BCP_Soles[[#This Row],[DESTINATARIO]],CHOOSE({1,2},Clientes_Proveedores[Razon Social],Clientes_Proveedores[Ruc / Dni]),2,0),"")</f>
        <v>76393011</v>
      </c>
      <c r="X2459" s="25" t="s">
        <v>885</v>
      </c>
      <c r="Y2459" s="25"/>
      <c r="Z2459" s="25"/>
      <c r="AA2459" s="99"/>
      <c r="AB2459" s="3" t="str">
        <f>IF(BCP_Soles[[#This Row],[FECHA]]&gt;0,TEXT(BCP_Soles[[#This Row],[FECHA]],"mmmm"),0)</f>
        <v>Julio</v>
      </c>
    </row>
    <row r="2460" spans="2:28" ht="24" x14ac:dyDescent="0.3">
      <c r="B2460" s="2">
        <f>IF(BCP_Soles[[#This Row],[TIPO DE R.]]="R",COUNTIFS($D$4:$D2459,"R")+1,"")</f>
        <v>1849</v>
      </c>
      <c r="C2460" s="19" t="str">
        <f t="shared" si="190"/>
        <v>B-BCP - Soles</v>
      </c>
      <c r="D2460" s="3" t="s">
        <v>1074</v>
      </c>
      <c r="E2460" s="14">
        <v>45845</v>
      </c>
      <c r="F2460" s="5" t="s">
        <v>1075</v>
      </c>
      <c r="G2460" s="5" t="s">
        <v>1079</v>
      </c>
      <c r="H2460" s="6" t="s">
        <v>757</v>
      </c>
      <c r="I2460" s="6"/>
      <c r="J2460" s="6"/>
      <c r="K2460" s="6"/>
      <c r="L2460" s="7" t="s">
        <v>3499</v>
      </c>
      <c r="M2460" s="8">
        <v>1265522</v>
      </c>
      <c r="N2460" s="8" t="str">
        <f t="shared" si="191"/>
        <v>PEN</v>
      </c>
      <c r="O2460" s="13"/>
      <c r="P2460" s="13">
        <v>214.77</v>
      </c>
      <c r="Q2460" s="3">
        <f t="shared" si="192"/>
        <v>0</v>
      </c>
      <c r="R2460" s="3">
        <f t="shared" si="193"/>
        <v>214.77</v>
      </c>
      <c r="S2460" s="3">
        <f t="shared" si="194"/>
        <v>30322.040000000019</v>
      </c>
      <c r="T2460" s="24"/>
      <c r="U2460" s="24"/>
      <c r="V2460" s="69"/>
      <c r="W2460" s="25">
        <f>IFERROR(VLOOKUP(BCP_Soles[[#This Row],[DESTINATARIO]],CHOOSE({1,2},Clientes_Proveedores[Razon Social],Clientes_Proveedores[Ruc / Dni]),2,0),"")</f>
        <v>3080300</v>
      </c>
      <c r="X2460" s="25" t="s">
        <v>1135</v>
      </c>
      <c r="Y2460" s="25"/>
      <c r="Z2460" s="25"/>
      <c r="AA2460" s="99"/>
      <c r="AB2460" s="3" t="str">
        <f>IF(BCP_Soles[[#This Row],[FECHA]]&gt;0,TEXT(BCP_Soles[[#This Row],[FECHA]],"mmmm"),0)</f>
        <v>Julio</v>
      </c>
    </row>
    <row r="2461" spans="2:28" ht="36" x14ac:dyDescent="0.3">
      <c r="B2461" s="2">
        <f>IF(BCP_Soles[[#This Row],[TIPO DE R.]]="R",COUNTIFS($D$4:$D2460,"R")+1,"")</f>
        <v>1850</v>
      </c>
      <c r="C2461" s="19" t="str">
        <f t="shared" si="190"/>
        <v>B-BCP - Soles</v>
      </c>
      <c r="D2461" s="3" t="s">
        <v>1074</v>
      </c>
      <c r="E2461" s="14">
        <v>45845</v>
      </c>
      <c r="F2461" s="5" t="s">
        <v>1075</v>
      </c>
      <c r="G2461" s="5" t="s">
        <v>1079</v>
      </c>
      <c r="H2461" s="6" t="s">
        <v>878</v>
      </c>
      <c r="I2461" s="6"/>
      <c r="J2461" s="6"/>
      <c r="K2461" s="6"/>
      <c r="L2461" s="7" t="s">
        <v>3500</v>
      </c>
      <c r="M2461" s="8">
        <v>1263420</v>
      </c>
      <c r="N2461" s="8" t="str">
        <f t="shared" si="191"/>
        <v>PEN</v>
      </c>
      <c r="O2461" s="13"/>
      <c r="P2461" s="13">
        <v>215.72</v>
      </c>
      <c r="Q2461" s="3">
        <f t="shared" si="192"/>
        <v>0</v>
      </c>
      <c r="R2461" s="3">
        <f t="shared" si="193"/>
        <v>215.72</v>
      </c>
      <c r="S2461" s="3">
        <f t="shared" si="194"/>
        <v>30106.320000000018</v>
      </c>
      <c r="T2461" s="24"/>
      <c r="U2461" s="24"/>
      <c r="V2461" s="69"/>
      <c r="W2461" s="25">
        <f>IFERROR(VLOOKUP(BCP_Soles[[#This Row],[DESTINATARIO]],CHOOSE({1,2},Clientes_Proveedores[Razon Social],Clientes_Proveedores[Ruc / Dni]),2,0),"")</f>
        <v>72728100</v>
      </c>
      <c r="X2461" s="25" t="s">
        <v>878</v>
      </c>
      <c r="Y2461" s="25"/>
      <c r="Z2461" s="25"/>
      <c r="AA2461" s="99"/>
      <c r="AB2461" s="3" t="str">
        <f>IF(BCP_Soles[[#This Row],[FECHA]]&gt;0,TEXT(BCP_Soles[[#This Row],[FECHA]],"mmmm"),0)</f>
        <v>Julio</v>
      </c>
    </row>
    <row r="2462" spans="2:28" ht="24" x14ac:dyDescent="0.3">
      <c r="B2462" s="2">
        <f>IF(BCP_Soles[[#This Row],[TIPO DE R.]]="R",COUNTIFS($D$4:$D2461,"R")+1,"")</f>
        <v>1851</v>
      </c>
      <c r="C2462" s="19" t="str">
        <f t="shared" si="190"/>
        <v>B-BCP - Soles</v>
      </c>
      <c r="D2462" s="3" t="s">
        <v>1074</v>
      </c>
      <c r="E2462" s="14">
        <v>45845</v>
      </c>
      <c r="F2462" s="5" t="s">
        <v>1075</v>
      </c>
      <c r="G2462" s="5" t="s">
        <v>1079</v>
      </c>
      <c r="H2462" s="6" t="s">
        <v>869</v>
      </c>
      <c r="I2462" s="6"/>
      <c r="J2462" s="6"/>
      <c r="K2462" s="6"/>
      <c r="L2462" s="7" t="s">
        <v>3501</v>
      </c>
      <c r="M2462" s="8">
        <v>1261474</v>
      </c>
      <c r="N2462" s="8" t="str">
        <f t="shared" si="191"/>
        <v>PEN</v>
      </c>
      <c r="O2462" s="13"/>
      <c r="P2462" s="13">
        <v>216.3</v>
      </c>
      <c r="Q2462" s="3">
        <f t="shared" si="192"/>
        <v>0</v>
      </c>
      <c r="R2462" s="3">
        <f t="shared" si="193"/>
        <v>216.3</v>
      </c>
      <c r="S2462" s="3">
        <f t="shared" si="194"/>
        <v>29890.020000000019</v>
      </c>
      <c r="T2462" s="24"/>
      <c r="U2462" s="24"/>
      <c r="V2462" s="69"/>
      <c r="W2462" s="25">
        <f>IFERROR(VLOOKUP(BCP_Soles[[#This Row],[DESTINATARIO]],CHOOSE({1,2},Clientes_Proveedores[Razon Social],Clientes_Proveedores[Ruc / Dni]),2,0),"")</f>
        <v>46126507</v>
      </c>
      <c r="X2462" s="25" t="s">
        <v>1614</v>
      </c>
      <c r="Y2462" s="25"/>
      <c r="Z2462" s="25"/>
      <c r="AA2462" s="99"/>
      <c r="AB2462" s="3" t="str">
        <f>IF(BCP_Soles[[#This Row],[FECHA]]&gt;0,TEXT(BCP_Soles[[#This Row],[FECHA]],"mmmm"),0)</f>
        <v>Julio</v>
      </c>
    </row>
    <row r="2463" spans="2:28" ht="24" x14ac:dyDescent="0.3">
      <c r="B2463" s="2">
        <f>IF(BCP_Soles[[#This Row],[TIPO DE R.]]="R",COUNTIFS($D$4:$D2462,"R")+1,"")</f>
        <v>1852</v>
      </c>
      <c r="C2463" s="19" t="str">
        <f t="shared" si="190"/>
        <v>B-BCP - Soles</v>
      </c>
      <c r="D2463" s="3" t="s">
        <v>1074</v>
      </c>
      <c r="E2463" s="14">
        <v>45845</v>
      </c>
      <c r="F2463" s="5" t="s">
        <v>1075</v>
      </c>
      <c r="G2463" s="5" t="s">
        <v>1079</v>
      </c>
      <c r="H2463" s="6" t="s">
        <v>894</v>
      </c>
      <c r="I2463" s="6"/>
      <c r="J2463" s="6"/>
      <c r="K2463" s="6"/>
      <c r="L2463" s="7" t="s">
        <v>3502</v>
      </c>
      <c r="M2463" s="8">
        <v>1262420</v>
      </c>
      <c r="N2463" s="8" t="str">
        <f t="shared" si="191"/>
        <v>PEN</v>
      </c>
      <c r="O2463" s="13"/>
      <c r="P2463" s="13">
        <v>216.67</v>
      </c>
      <c r="Q2463" s="3">
        <f t="shared" si="192"/>
        <v>0</v>
      </c>
      <c r="R2463" s="3">
        <f t="shared" si="193"/>
        <v>216.67</v>
      </c>
      <c r="S2463" s="3">
        <f t="shared" si="194"/>
        <v>29673.35000000002</v>
      </c>
      <c r="T2463" s="24"/>
      <c r="U2463" s="24"/>
      <c r="V2463" s="69"/>
      <c r="W2463" s="25">
        <f>IFERROR(VLOOKUP(BCP_Soles[[#This Row],[DESTINATARIO]],CHOOSE({1,2},Clientes_Proveedores[Razon Social],Clientes_Proveedores[Ruc / Dni]),2,0),"")</f>
        <v>72682665</v>
      </c>
      <c r="X2463" s="25" t="s">
        <v>894</v>
      </c>
      <c r="Y2463" s="25"/>
      <c r="Z2463" s="25"/>
      <c r="AA2463" s="99"/>
      <c r="AB2463" s="3" t="str">
        <f>IF(BCP_Soles[[#This Row],[FECHA]]&gt;0,TEXT(BCP_Soles[[#This Row],[FECHA]],"mmmm"),0)</f>
        <v>Julio</v>
      </c>
    </row>
    <row r="2464" spans="2:28" ht="24" x14ac:dyDescent="0.3">
      <c r="B2464" s="2">
        <f>IF(BCP_Soles[[#This Row],[TIPO DE R.]]="R",COUNTIFS($D$4:$D2463,"R")+1,"")</f>
        <v>1853</v>
      </c>
      <c r="C2464" s="19" t="str">
        <f t="shared" si="190"/>
        <v>B-BCP - Soles</v>
      </c>
      <c r="D2464" s="3" t="s">
        <v>1074</v>
      </c>
      <c r="E2464" s="14">
        <v>45845</v>
      </c>
      <c r="F2464" s="5" t="s">
        <v>1075</v>
      </c>
      <c r="G2464" s="5" t="s">
        <v>1079</v>
      </c>
      <c r="H2464" s="6" t="s">
        <v>777</v>
      </c>
      <c r="I2464" s="6"/>
      <c r="J2464" s="6"/>
      <c r="K2464" s="6"/>
      <c r="L2464" s="7" t="s">
        <v>3503</v>
      </c>
      <c r="M2464" s="8">
        <v>1265516</v>
      </c>
      <c r="N2464" s="8" t="str">
        <f t="shared" si="191"/>
        <v>PEN</v>
      </c>
      <c r="O2464" s="13"/>
      <c r="P2464" s="13">
        <v>218.15</v>
      </c>
      <c r="Q2464" s="3">
        <f t="shared" si="192"/>
        <v>0</v>
      </c>
      <c r="R2464" s="3">
        <f t="shared" si="193"/>
        <v>218.15</v>
      </c>
      <c r="S2464" s="3">
        <f t="shared" si="194"/>
        <v>29455.200000000019</v>
      </c>
      <c r="T2464" s="24"/>
      <c r="U2464" s="24"/>
      <c r="V2464" s="69"/>
      <c r="W2464" s="25">
        <f>IFERROR(VLOOKUP(BCP_Soles[[#This Row],[DESTINATARIO]],CHOOSE({1,2},Clientes_Proveedores[Razon Social],Clientes_Proveedores[Ruc / Dni]),2,0),"")</f>
        <v>44468346</v>
      </c>
      <c r="X2464" s="25" t="s">
        <v>777</v>
      </c>
      <c r="Y2464" s="25"/>
      <c r="Z2464" s="25"/>
      <c r="AA2464" s="99"/>
      <c r="AB2464" s="3" t="str">
        <f>IF(BCP_Soles[[#This Row],[FECHA]]&gt;0,TEXT(BCP_Soles[[#This Row],[FECHA]],"mmmm"),0)</f>
        <v>Julio</v>
      </c>
    </row>
    <row r="2465" spans="2:28" ht="24" x14ac:dyDescent="0.3">
      <c r="B2465" s="2">
        <f>IF(BCP_Soles[[#This Row],[TIPO DE R.]]="R",COUNTIFS($D$4:$D2464,"R")+1,"")</f>
        <v>1854</v>
      </c>
      <c r="C2465" s="19" t="str">
        <f t="shared" si="190"/>
        <v>B-BCP - Soles</v>
      </c>
      <c r="D2465" s="3" t="s">
        <v>1074</v>
      </c>
      <c r="E2465" s="14">
        <v>45845</v>
      </c>
      <c r="F2465" s="5" t="s">
        <v>1075</v>
      </c>
      <c r="G2465" s="5" t="s">
        <v>1079</v>
      </c>
      <c r="H2465" s="6" t="s">
        <v>825</v>
      </c>
      <c r="I2465" s="6"/>
      <c r="J2465" s="6"/>
      <c r="K2465" s="6"/>
      <c r="L2465" s="7" t="s">
        <v>3504</v>
      </c>
      <c r="M2465" s="8">
        <v>1264081</v>
      </c>
      <c r="N2465" s="8" t="str">
        <f t="shared" si="191"/>
        <v>PEN</v>
      </c>
      <c r="O2465" s="13"/>
      <c r="P2465" s="13">
        <v>218.63</v>
      </c>
      <c r="Q2465" s="3">
        <f t="shared" si="192"/>
        <v>0</v>
      </c>
      <c r="R2465" s="3">
        <f t="shared" si="193"/>
        <v>218.63</v>
      </c>
      <c r="S2465" s="3">
        <f t="shared" si="194"/>
        <v>29236.570000000018</v>
      </c>
      <c r="T2465" s="24"/>
      <c r="U2465" s="24"/>
      <c r="V2465" s="69"/>
      <c r="W2465" s="25">
        <f>IFERROR(VLOOKUP(BCP_Soles[[#This Row],[DESTINATARIO]],CHOOSE({1,2},Clientes_Proveedores[Razon Social],Clientes_Proveedores[Ruc / Dni]),2,0),"")</f>
        <v>71979355</v>
      </c>
      <c r="X2465" s="25" t="s">
        <v>825</v>
      </c>
      <c r="Y2465" s="25"/>
      <c r="Z2465" s="25"/>
      <c r="AA2465" s="99"/>
      <c r="AB2465" s="3" t="str">
        <f>IF(BCP_Soles[[#This Row],[FECHA]]&gt;0,TEXT(BCP_Soles[[#This Row],[FECHA]],"mmmm"),0)</f>
        <v>Julio</v>
      </c>
    </row>
    <row r="2466" spans="2:28" ht="24" x14ac:dyDescent="0.3">
      <c r="B2466" s="2">
        <f>IF(BCP_Soles[[#This Row],[TIPO DE R.]]="R",COUNTIFS($D$4:$D2465,"R")+1,"")</f>
        <v>1855</v>
      </c>
      <c r="C2466" s="19" t="str">
        <f t="shared" si="190"/>
        <v>B-BCP - Soles</v>
      </c>
      <c r="D2466" s="3" t="s">
        <v>1074</v>
      </c>
      <c r="E2466" s="14">
        <v>45845</v>
      </c>
      <c r="F2466" s="5" t="s">
        <v>1075</v>
      </c>
      <c r="G2466" s="5" t="s">
        <v>1079</v>
      </c>
      <c r="H2466" s="6" t="s">
        <v>857</v>
      </c>
      <c r="I2466" s="6"/>
      <c r="J2466" s="6"/>
      <c r="K2466" s="6"/>
      <c r="L2466" s="7" t="s">
        <v>3505</v>
      </c>
      <c r="M2466" s="8">
        <v>1261955</v>
      </c>
      <c r="N2466" s="8" t="str">
        <f t="shared" si="191"/>
        <v>PEN</v>
      </c>
      <c r="O2466" s="13"/>
      <c r="P2466" s="13">
        <v>219.66</v>
      </c>
      <c r="Q2466" s="3">
        <f t="shared" si="192"/>
        <v>0</v>
      </c>
      <c r="R2466" s="3">
        <f t="shared" si="193"/>
        <v>219.66</v>
      </c>
      <c r="S2466" s="3">
        <f t="shared" si="194"/>
        <v>29016.910000000018</v>
      </c>
      <c r="T2466" s="24"/>
      <c r="U2466" s="24"/>
      <c r="V2466" s="69"/>
      <c r="W2466" s="25">
        <f>IFERROR(VLOOKUP(BCP_Soles[[#This Row],[DESTINATARIO]],CHOOSE({1,2},Clientes_Proveedores[Razon Social],Clientes_Proveedores[Ruc / Dni]),2,0),"")</f>
        <v>24800480</v>
      </c>
      <c r="X2466" s="25" t="s">
        <v>857</v>
      </c>
      <c r="Y2466" s="25"/>
      <c r="Z2466" s="25"/>
      <c r="AA2466" s="99"/>
      <c r="AB2466" s="3" t="str">
        <f>IF(BCP_Soles[[#This Row],[FECHA]]&gt;0,TEXT(BCP_Soles[[#This Row],[FECHA]],"mmmm"),0)</f>
        <v>Julio</v>
      </c>
    </row>
    <row r="2467" spans="2:28" ht="24" x14ac:dyDescent="0.3">
      <c r="B2467" s="2">
        <f>IF(BCP_Soles[[#This Row],[TIPO DE R.]]="R",COUNTIFS($D$4:$D2466,"R")+1,"")</f>
        <v>1856</v>
      </c>
      <c r="C2467" s="19" t="str">
        <f t="shared" si="190"/>
        <v>B-BCP - Soles</v>
      </c>
      <c r="D2467" s="3" t="s">
        <v>1074</v>
      </c>
      <c r="E2467" s="14">
        <v>45845</v>
      </c>
      <c r="F2467" s="5" t="s">
        <v>1075</v>
      </c>
      <c r="G2467" s="5" t="s">
        <v>1079</v>
      </c>
      <c r="H2467" s="6" t="s">
        <v>874</v>
      </c>
      <c r="I2467" s="6"/>
      <c r="J2467" s="6"/>
      <c r="K2467" s="6"/>
      <c r="L2467" s="7" t="s">
        <v>3506</v>
      </c>
      <c r="M2467" s="8">
        <v>1262934</v>
      </c>
      <c r="N2467" s="8" t="str">
        <f t="shared" si="191"/>
        <v>PEN</v>
      </c>
      <c r="O2467" s="13"/>
      <c r="P2467" s="13">
        <v>224.42</v>
      </c>
      <c r="Q2467" s="3">
        <f t="shared" si="192"/>
        <v>0</v>
      </c>
      <c r="R2467" s="3">
        <f t="shared" si="193"/>
        <v>224.42</v>
      </c>
      <c r="S2467" s="3">
        <f t="shared" si="194"/>
        <v>28792.49000000002</v>
      </c>
      <c r="T2467" s="24"/>
      <c r="U2467" s="24"/>
      <c r="V2467" s="69"/>
      <c r="W2467" s="25">
        <f>IFERROR(VLOOKUP(BCP_Soles[[#This Row],[DESTINATARIO]],CHOOSE({1,2},Clientes_Proveedores[Razon Social],Clientes_Proveedores[Ruc / Dni]),2,0),"")</f>
        <v>73195103</v>
      </c>
      <c r="X2467" s="25" t="s">
        <v>3507</v>
      </c>
      <c r="Y2467" s="25"/>
      <c r="Z2467" s="25"/>
      <c r="AA2467" s="99"/>
      <c r="AB2467" s="3" t="str">
        <f>IF(BCP_Soles[[#This Row],[FECHA]]&gt;0,TEXT(BCP_Soles[[#This Row],[FECHA]],"mmmm"),0)</f>
        <v>Julio</v>
      </c>
    </row>
    <row r="2468" spans="2:28" ht="24" x14ac:dyDescent="0.3">
      <c r="B2468" s="2">
        <f>IF(BCP_Soles[[#This Row],[TIPO DE R.]]="R",COUNTIFS($D$4:$D2467,"R")+1,"")</f>
        <v>1857</v>
      </c>
      <c r="C2468" s="19" t="str">
        <f t="shared" si="190"/>
        <v>B-BCP - Soles</v>
      </c>
      <c r="D2468" s="3" t="s">
        <v>1074</v>
      </c>
      <c r="E2468" s="14">
        <v>45845</v>
      </c>
      <c r="F2468" s="5" t="s">
        <v>1075</v>
      </c>
      <c r="G2468" s="5" t="s">
        <v>1079</v>
      </c>
      <c r="H2468" s="6" t="s">
        <v>761</v>
      </c>
      <c r="I2468" s="6"/>
      <c r="J2468" s="6"/>
      <c r="K2468" s="6"/>
      <c r="L2468" s="7" t="s">
        <v>3508</v>
      </c>
      <c r="M2468" s="8">
        <v>1262489</v>
      </c>
      <c r="N2468" s="8" t="str">
        <f t="shared" si="191"/>
        <v>PEN</v>
      </c>
      <c r="O2468" s="13"/>
      <c r="P2468" s="13">
        <v>227.56</v>
      </c>
      <c r="Q2468" s="3">
        <f t="shared" si="192"/>
        <v>0</v>
      </c>
      <c r="R2468" s="3">
        <f t="shared" si="193"/>
        <v>227.56</v>
      </c>
      <c r="S2468" s="3">
        <f t="shared" si="194"/>
        <v>28564.930000000018</v>
      </c>
      <c r="T2468" s="24"/>
      <c r="U2468" s="24"/>
      <c r="V2468" s="69"/>
      <c r="W2468" s="25">
        <f>IFERROR(VLOOKUP(BCP_Soles[[#This Row],[DESTINATARIO]],CHOOSE({1,2},Clientes_Proveedores[Razon Social],Clientes_Proveedores[Ruc / Dni]),2,0),"")</f>
        <v>75424672</v>
      </c>
      <c r="X2468" s="25" t="s">
        <v>3509</v>
      </c>
      <c r="Y2468" s="25"/>
      <c r="Z2468" s="25"/>
      <c r="AA2468" s="99"/>
      <c r="AB2468" s="3" t="str">
        <f>IF(BCP_Soles[[#This Row],[FECHA]]&gt;0,TEXT(BCP_Soles[[#This Row],[FECHA]],"mmmm"),0)</f>
        <v>Julio</v>
      </c>
    </row>
    <row r="2469" spans="2:28" ht="24" x14ac:dyDescent="0.3">
      <c r="B2469" s="2">
        <f>IF(BCP_Soles[[#This Row],[TIPO DE R.]]="R",COUNTIFS($D$4:$D2468,"R")+1,"")</f>
        <v>1858</v>
      </c>
      <c r="C2469" s="19" t="str">
        <f t="shared" si="190"/>
        <v>B-BCP - Soles</v>
      </c>
      <c r="D2469" s="3" t="s">
        <v>1074</v>
      </c>
      <c r="E2469" s="14">
        <v>45845</v>
      </c>
      <c r="F2469" s="5" t="s">
        <v>1075</v>
      </c>
      <c r="G2469" s="5" t="s">
        <v>1079</v>
      </c>
      <c r="H2469" s="6" t="s">
        <v>793</v>
      </c>
      <c r="I2469" s="6"/>
      <c r="J2469" s="6"/>
      <c r="K2469" s="6"/>
      <c r="L2469" s="7" t="s">
        <v>3510</v>
      </c>
      <c r="M2469" s="8">
        <v>1263964</v>
      </c>
      <c r="N2469" s="8" t="str">
        <f t="shared" si="191"/>
        <v>PEN</v>
      </c>
      <c r="O2469" s="13"/>
      <c r="P2469" s="13">
        <v>232.99</v>
      </c>
      <c r="Q2469" s="3">
        <f t="shared" si="192"/>
        <v>0</v>
      </c>
      <c r="R2469" s="3">
        <f t="shared" si="193"/>
        <v>232.99</v>
      </c>
      <c r="S2469" s="3">
        <f t="shared" si="194"/>
        <v>28331.940000000017</v>
      </c>
      <c r="T2469" s="24"/>
      <c r="U2469" s="24"/>
      <c r="V2469" s="69"/>
      <c r="W2469" s="25">
        <f>IFERROR(VLOOKUP(BCP_Soles[[#This Row],[DESTINATARIO]],CHOOSE({1,2},Clientes_Proveedores[Razon Social],Clientes_Proveedores[Ruc / Dni]),2,0),"")</f>
        <v>70211580</v>
      </c>
      <c r="X2469" s="25" t="s">
        <v>793</v>
      </c>
      <c r="Y2469" s="25"/>
      <c r="Z2469" s="25"/>
      <c r="AA2469" s="99"/>
      <c r="AB2469" s="3" t="str">
        <f>IF(BCP_Soles[[#This Row],[FECHA]]&gt;0,TEXT(BCP_Soles[[#This Row],[FECHA]],"mmmm"),0)</f>
        <v>Julio</v>
      </c>
    </row>
    <row r="2470" spans="2:28" ht="36" x14ac:dyDescent="0.3">
      <c r="B2470" s="2">
        <f>IF(BCP_Soles[[#This Row],[TIPO DE R.]]="R",COUNTIFS($D$4:$D2469,"R")+1,"")</f>
        <v>1859</v>
      </c>
      <c r="C2470" s="19" t="str">
        <f t="shared" si="190"/>
        <v>B-BCP - Soles</v>
      </c>
      <c r="D2470" s="3" t="s">
        <v>1074</v>
      </c>
      <c r="E2470" s="14">
        <v>45845</v>
      </c>
      <c r="F2470" s="5" t="s">
        <v>1075</v>
      </c>
      <c r="G2470" s="5" t="s">
        <v>1079</v>
      </c>
      <c r="H2470" s="6" t="s">
        <v>736</v>
      </c>
      <c r="I2470" s="6"/>
      <c r="J2470" s="6"/>
      <c r="K2470" s="6"/>
      <c r="L2470" s="7" t="s">
        <v>3511</v>
      </c>
      <c r="M2470" s="8">
        <v>1264091</v>
      </c>
      <c r="N2470" s="8" t="str">
        <f t="shared" si="191"/>
        <v>PEN</v>
      </c>
      <c r="O2470" s="13"/>
      <c r="P2470" s="13">
        <v>233.44</v>
      </c>
      <c r="Q2470" s="3">
        <f t="shared" si="192"/>
        <v>0</v>
      </c>
      <c r="R2470" s="3">
        <f t="shared" si="193"/>
        <v>233.44</v>
      </c>
      <c r="S2470" s="3">
        <f t="shared" si="194"/>
        <v>28098.500000000018</v>
      </c>
      <c r="T2470" s="24"/>
      <c r="U2470" s="24"/>
      <c r="V2470" s="69"/>
      <c r="W2470" s="25">
        <f>IFERROR(VLOOKUP(BCP_Soles[[#This Row],[DESTINATARIO]],CHOOSE({1,2},Clientes_Proveedores[Razon Social],Clientes_Proveedores[Ruc / Dni]),2,0),"")</f>
        <v>48164743</v>
      </c>
      <c r="X2470" s="25" t="s">
        <v>736</v>
      </c>
      <c r="Y2470" s="25"/>
      <c r="Z2470" s="25"/>
      <c r="AA2470" s="99"/>
      <c r="AB2470" s="3" t="str">
        <f>IF(BCP_Soles[[#This Row],[FECHA]]&gt;0,TEXT(BCP_Soles[[#This Row],[FECHA]],"mmmm"),0)</f>
        <v>Julio</v>
      </c>
    </row>
    <row r="2471" spans="2:28" ht="24" x14ac:dyDescent="0.3">
      <c r="B2471" s="2">
        <f>IF(BCP_Soles[[#This Row],[TIPO DE R.]]="R",COUNTIFS($D$4:$D2470,"R")+1,"")</f>
        <v>1860</v>
      </c>
      <c r="C2471" s="19" t="str">
        <f t="shared" si="190"/>
        <v>B-BCP - Soles</v>
      </c>
      <c r="D2471" s="3" t="s">
        <v>1074</v>
      </c>
      <c r="E2471" s="14">
        <v>45845</v>
      </c>
      <c r="F2471" s="5" t="s">
        <v>1075</v>
      </c>
      <c r="G2471" s="5" t="s">
        <v>1079</v>
      </c>
      <c r="H2471" s="6" t="s">
        <v>634</v>
      </c>
      <c r="I2471" s="6"/>
      <c r="J2471" s="6"/>
      <c r="K2471" s="6"/>
      <c r="L2471" s="7" t="s">
        <v>3512</v>
      </c>
      <c r="M2471" s="8">
        <v>1262988</v>
      </c>
      <c r="N2471" s="8" t="str">
        <f t="shared" si="191"/>
        <v>PEN</v>
      </c>
      <c r="O2471" s="13"/>
      <c r="P2471" s="13">
        <v>243.22</v>
      </c>
      <c r="Q2471" s="3">
        <f t="shared" si="192"/>
        <v>0</v>
      </c>
      <c r="R2471" s="3">
        <f t="shared" si="193"/>
        <v>243.22</v>
      </c>
      <c r="S2471" s="3">
        <f t="shared" si="194"/>
        <v>27855.280000000017</v>
      </c>
      <c r="T2471" s="24"/>
      <c r="U2471" s="24"/>
      <c r="V2471" s="69"/>
      <c r="W2471" s="25">
        <f>IFERROR(VLOOKUP(BCP_Soles[[#This Row],[DESTINATARIO]],CHOOSE({1,2},Clientes_Proveedores[Razon Social],Clientes_Proveedores[Ruc / Dni]),2,0),"")</f>
        <v>10736055631</v>
      </c>
      <c r="X2471" s="25" t="s">
        <v>634</v>
      </c>
      <c r="Y2471" s="25"/>
      <c r="Z2471" s="25"/>
      <c r="AA2471" s="99"/>
      <c r="AB2471" s="3" t="str">
        <f>IF(BCP_Soles[[#This Row],[FECHA]]&gt;0,TEXT(BCP_Soles[[#This Row],[FECHA]],"mmmm"),0)</f>
        <v>Julio</v>
      </c>
    </row>
    <row r="2472" spans="2:28" ht="36" x14ac:dyDescent="0.3">
      <c r="B2472" s="2">
        <f>IF(BCP_Soles[[#This Row],[TIPO DE R.]]="R",COUNTIFS($D$4:$D2471,"R")+1,"")</f>
        <v>1861</v>
      </c>
      <c r="C2472" s="19" t="str">
        <f t="shared" si="190"/>
        <v>B-BCP - Soles</v>
      </c>
      <c r="D2472" s="3" t="s">
        <v>1074</v>
      </c>
      <c r="E2472" s="14">
        <v>45845</v>
      </c>
      <c r="F2472" s="5" t="s">
        <v>1075</v>
      </c>
      <c r="G2472" s="5" t="s">
        <v>1079</v>
      </c>
      <c r="H2472" s="6" t="s">
        <v>770</v>
      </c>
      <c r="I2472" s="6"/>
      <c r="J2472" s="6"/>
      <c r="K2472" s="6"/>
      <c r="L2472" s="7" t="s">
        <v>3513</v>
      </c>
      <c r="M2472" s="8">
        <v>1264552</v>
      </c>
      <c r="N2472" s="8" t="str">
        <f t="shared" si="191"/>
        <v>PEN</v>
      </c>
      <c r="O2472" s="13"/>
      <c r="P2472" s="13">
        <v>250.4</v>
      </c>
      <c r="Q2472" s="3">
        <f t="shared" si="192"/>
        <v>0</v>
      </c>
      <c r="R2472" s="3">
        <f t="shared" si="193"/>
        <v>250.4</v>
      </c>
      <c r="S2472" s="3">
        <f t="shared" si="194"/>
        <v>27604.880000000016</v>
      </c>
      <c r="T2472" s="24"/>
      <c r="U2472" s="24"/>
      <c r="V2472" s="69"/>
      <c r="W2472" s="25">
        <f>IFERROR(VLOOKUP(BCP_Soles[[#This Row],[DESTINATARIO]],CHOOSE({1,2},Clientes_Proveedores[Razon Social],Clientes_Proveedores[Ruc / Dni]),2,0),"")</f>
        <v>70198916</v>
      </c>
      <c r="X2472" s="25" t="s">
        <v>3514</v>
      </c>
      <c r="Y2472" s="25"/>
      <c r="Z2472" s="25"/>
      <c r="AA2472" s="99"/>
      <c r="AB2472" s="3" t="str">
        <f>IF(BCP_Soles[[#This Row],[FECHA]]&gt;0,TEXT(BCP_Soles[[#This Row],[FECHA]],"mmmm"),0)</f>
        <v>Julio</v>
      </c>
    </row>
    <row r="2473" spans="2:28" ht="24" x14ac:dyDescent="0.3">
      <c r="B2473" s="2">
        <f>IF(BCP_Soles[[#This Row],[TIPO DE R.]]="R",COUNTIFS($D$4:$D2472,"R")+1,"")</f>
        <v>1862</v>
      </c>
      <c r="C2473" s="19" t="str">
        <f t="shared" si="190"/>
        <v>B-BCP - Soles</v>
      </c>
      <c r="D2473" s="3" t="s">
        <v>1074</v>
      </c>
      <c r="E2473" s="14">
        <v>45845</v>
      </c>
      <c r="F2473" s="5" t="s">
        <v>1075</v>
      </c>
      <c r="G2473" s="5" t="s">
        <v>1079</v>
      </c>
      <c r="H2473" s="6" t="s">
        <v>861</v>
      </c>
      <c r="I2473" s="6"/>
      <c r="J2473" s="6"/>
      <c r="K2473" s="6"/>
      <c r="L2473" s="7" t="s">
        <v>3515</v>
      </c>
      <c r="M2473" s="8">
        <v>1261956</v>
      </c>
      <c r="N2473" s="8" t="str">
        <f t="shared" si="191"/>
        <v>PEN</v>
      </c>
      <c r="O2473" s="13"/>
      <c r="P2473" s="13">
        <v>251.02</v>
      </c>
      <c r="Q2473" s="3">
        <f t="shared" si="192"/>
        <v>0</v>
      </c>
      <c r="R2473" s="3">
        <f t="shared" si="193"/>
        <v>251.02</v>
      </c>
      <c r="S2473" s="3">
        <f t="shared" si="194"/>
        <v>27353.860000000015</v>
      </c>
      <c r="T2473" s="24"/>
      <c r="U2473" s="24"/>
      <c r="V2473" s="69"/>
      <c r="W2473" s="25">
        <f>IFERROR(VLOOKUP(BCP_Soles[[#This Row],[DESTINATARIO]],CHOOSE({1,2},Clientes_Proveedores[Razon Social],Clientes_Proveedores[Ruc / Dni]),2,0),"")</f>
        <v>46809818</v>
      </c>
      <c r="X2473" s="25" t="s">
        <v>861</v>
      </c>
      <c r="Y2473" s="25"/>
      <c r="Z2473" s="25"/>
      <c r="AA2473" s="99"/>
      <c r="AB2473" s="3" t="str">
        <f>IF(BCP_Soles[[#This Row],[FECHA]]&gt;0,TEXT(BCP_Soles[[#This Row],[FECHA]],"mmmm"),0)</f>
        <v>Julio</v>
      </c>
    </row>
    <row r="2474" spans="2:28" ht="24" x14ac:dyDescent="0.3">
      <c r="B2474" s="2">
        <f>IF(BCP_Soles[[#This Row],[TIPO DE R.]]="R",COUNTIFS($D$4:$D2473,"R")+1,"")</f>
        <v>1863</v>
      </c>
      <c r="C2474" s="19" t="str">
        <f t="shared" si="190"/>
        <v>B-BCP - Soles</v>
      </c>
      <c r="D2474" s="3" t="s">
        <v>1074</v>
      </c>
      <c r="E2474" s="14">
        <v>45845</v>
      </c>
      <c r="F2474" s="5" t="s">
        <v>1075</v>
      </c>
      <c r="G2474" s="5" t="s">
        <v>1079</v>
      </c>
      <c r="H2474" s="6" t="s">
        <v>898</v>
      </c>
      <c r="I2474" s="6"/>
      <c r="J2474" s="6"/>
      <c r="K2474" s="6"/>
      <c r="L2474" s="7" t="s">
        <v>3516</v>
      </c>
      <c r="M2474" s="8">
        <v>1261465</v>
      </c>
      <c r="N2474" s="8" t="str">
        <f t="shared" si="191"/>
        <v>PEN</v>
      </c>
      <c r="O2474" s="13"/>
      <c r="P2474" s="13">
        <v>251.06</v>
      </c>
      <c r="Q2474" s="3">
        <f t="shared" si="192"/>
        <v>0</v>
      </c>
      <c r="R2474" s="3">
        <f t="shared" si="193"/>
        <v>251.06</v>
      </c>
      <c r="S2474" s="3">
        <f t="shared" si="194"/>
        <v>27102.800000000014</v>
      </c>
      <c r="T2474" s="24"/>
      <c r="U2474" s="24"/>
      <c r="V2474" s="69"/>
      <c r="W2474" s="25">
        <f>IFERROR(VLOOKUP(BCP_Soles[[#This Row],[DESTINATARIO]],CHOOSE({1,2},Clientes_Proveedores[Razon Social],Clientes_Proveedores[Ruc / Dni]),2,0),"")</f>
        <v>80454870</v>
      </c>
      <c r="X2474" s="25" t="s">
        <v>898</v>
      </c>
      <c r="Y2474" s="25"/>
      <c r="Z2474" s="25"/>
      <c r="AA2474" s="99"/>
      <c r="AB2474" s="3" t="str">
        <f>IF(BCP_Soles[[#This Row],[FECHA]]&gt;0,TEXT(BCP_Soles[[#This Row],[FECHA]],"mmmm"),0)</f>
        <v>Julio</v>
      </c>
    </row>
    <row r="2475" spans="2:28" ht="24" x14ac:dyDescent="0.3">
      <c r="B2475" s="2">
        <f>IF(BCP_Soles[[#This Row],[TIPO DE R.]]="R",COUNTIFS($D$4:$D2474,"R")+1,"")</f>
        <v>1864</v>
      </c>
      <c r="C2475" s="19" t="str">
        <f t="shared" si="190"/>
        <v>B-BCP - Soles</v>
      </c>
      <c r="D2475" s="3" t="s">
        <v>1074</v>
      </c>
      <c r="E2475" s="14">
        <v>45845</v>
      </c>
      <c r="F2475" s="5" t="s">
        <v>1075</v>
      </c>
      <c r="G2475" s="5" t="s">
        <v>1079</v>
      </c>
      <c r="H2475" s="6" t="s">
        <v>836</v>
      </c>
      <c r="I2475" s="6"/>
      <c r="J2475" s="6"/>
      <c r="K2475" s="6"/>
      <c r="L2475" s="7" t="s">
        <v>3517</v>
      </c>
      <c r="M2475" s="8">
        <v>1262990</v>
      </c>
      <c r="N2475" s="8" t="str">
        <f t="shared" si="191"/>
        <v>PEN</v>
      </c>
      <c r="O2475" s="13"/>
      <c r="P2475" s="13">
        <v>255.74</v>
      </c>
      <c r="Q2475" s="3">
        <f t="shared" si="192"/>
        <v>0</v>
      </c>
      <c r="R2475" s="3">
        <f t="shared" si="193"/>
        <v>255.74</v>
      </c>
      <c r="S2475" s="3">
        <f t="shared" si="194"/>
        <v>26847.060000000012</v>
      </c>
      <c r="T2475" s="24"/>
      <c r="U2475" s="24"/>
      <c r="V2475" s="69"/>
      <c r="W2475" s="25">
        <f>IFERROR(VLOOKUP(BCP_Soles[[#This Row],[DESTINATARIO]],CHOOSE({1,2},Clientes_Proveedores[Razon Social],Clientes_Proveedores[Ruc / Dni]),2,0),"")</f>
        <v>72144092</v>
      </c>
      <c r="X2475" s="25" t="s">
        <v>836</v>
      </c>
      <c r="Y2475" s="25"/>
      <c r="Z2475" s="25"/>
      <c r="AA2475" s="99"/>
      <c r="AB2475" s="3" t="str">
        <f>IF(BCP_Soles[[#This Row],[FECHA]]&gt;0,TEXT(BCP_Soles[[#This Row],[FECHA]],"mmmm"),0)</f>
        <v>Julio</v>
      </c>
    </row>
    <row r="2476" spans="2:28" ht="24" x14ac:dyDescent="0.3">
      <c r="B2476" s="2">
        <f>IF(BCP_Soles[[#This Row],[TIPO DE R.]]="R",COUNTIFS($D$4:$D2475,"R")+1,"")</f>
        <v>1865</v>
      </c>
      <c r="C2476" s="19" t="str">
        <f t="shared" si="190"/>
        <v>B-BCP - Soles</v>
      </c>
      <c r="D2476" s="3" t="s">
        <v>1074</v>
      </c>
      <c r="E2476" s="14">
        <v>45845</v>
      </c>
      <c r="F2476" s="5" t="s">
        <v>1075</v>
      </c>
      <c r="G2476" s="5" t="s">
        <v>1079</v>
      </c>
      <c r="H2476" s="6" t="s">
        <v>753</v>
      </c>
      <c r="I2476" s="6"/>
      <c r="J2476" s="6"/>
      <c r="K2476" s="6"/>
      <c r="L2476" s="7" t="s">
        <v>3518</v>
      </c>
      <c r="M2476" s="8">
        <v>1263491</v>
      </c>
      <c r="N2476" s="8" t="str">
        <f t="shared" si="191"/>
        <v>PEN</v>
      </c>
      <c r="O2476" s="13"/>
      <c r="P2476" s="13">
        <v>260.36</v>
      </c>
      <c r="Q2476" s="3">
        <f t="shared" si="192"/>
        <v>0</v>
      </c>
      <c r="R2476" s="3">
        <f t="shared" si="193"/>
        <v>260.36</v>
      </c>
      <c r="S2476" s="3">
        <f t="shared" si="194"/>
        <v>26586.700000000012</v>
      </c>
      <c r="T2476" s="24"/>
      <c r="U2476" s="24"/>
      <c r="V2476" s="69"/>
      <c r="W2476" s="25">
        <f>IFERROR(VLOOKUP(BCP_Soles[[#This Row],[DESTINATARIO]],CHOOSE({1,2},Clientes_Proveedores[Razon Social],Clientes_Proveedores[Ruc / Dni]),2,0),"")</f>
        <v>73444362</v>
      </c>
      <c r="X2476" s="25" t="s">
        <v>753</v>
      </c>
      <c r="Y2476" s="25"/>
      <c r="Z2476" s="25"/>
      <c r="AA2476" s="99"/>
      <c r="AB2476" s="3" t="str">
        <f>IF(BCP_Soles[[#This Row],[FECHA]]&gt;0,TEXT(BCP_Soles[[#This Row],[FECHA]],"mmmm"),0)</f>
        <v>Julio</v>
      </c>
    </row>
    <row r="2477" spans="2:28" ht="24" x14ac:dyDescent="0.3">
      <c r="B2477" s="2">
        <f>IF(BCP_Soles[[#This Row],[TIPO DE R.]]="R",COUNTIFS($D$4:$D2476,"R")+1,"")</f>
        <v>1866</v>
      </c>
      <c r="C2477" s="19" t="str">
        <f t="shared" si="190"/>
        <v>B-BCP - Soles</v>
      </c>
      <c r="D2477" s="3" t="s">
        <v>1074</v>
      </c>
      <c r="E2477" s="14">
        <v>45845</v>
      </c>
      <c r="F2477" s="5" t="s">
        <v>1075</v>
      </c>
      <c r="G2477" s="5" t="s">
        <v>1079</v>
      </c>
      <c r="H2477" s="6" t="s">
        <v>859</v>
      </c>
      <c r="I2477" s="6"/>
      <c r="J2477" s="6"/>
      <c r="K2477" s="6"/>
      <c r="L2477" s="7" t="s">
        <v>3519</v>
      </c>
      <c r="M2477" s="8">
        <v>1261475</v>
      </c>
      <c r="N2477" s="8" t="str">
        <f t="shared" si="191"/>
        <v>PEN</v>
      </c>
      <c r="O2477" s="13"/>
      <c r="P2477" s="13">
        <v>263.94</v>
      </c>
      <c r="Q2477" s="3">
        <f t="shared" si="192"/>
        <v>0</v>
      </c>
      <c r="R2477" s="3">
        <f t="shared" si="193"/>
        <v>263.94</v>
      </c>
      <c r="S2477" s="3">
        <f t="shared" si="194"/>
        <v>26322.760000000013</v>
      </c>
      <c r="T2477" s="24"/>
      <c r="U2477" s="24"/>
      <c r="V2477" s="69"/>
      <c r="W2477" s="25">
        <f>IFERROR(VLOOKUP(BCP_Soles[[#This Row],[DESTINATARIO]],CHOOSE({1,2},Clientes_Proveedores[Razon Social],Clientes_Proveedores[Ruc / Dni]),2,0),"")</f>
        <v>48536654</v>
      </c>
      <c r="X2477" s="25" t="s">
        <v>859</v>
      </c>
      <c r="Y2477" s="25"/>
      <c r="Z2477" s="25"/>
      <c r="AA2477" s="99"/>
      <c r="AB2477" s="3" t="str">
        <f>IF(BCP_Soles[[#This Row],[FECHA]]&gt;0,TEXT(BCP_Soles[[#This Row],[FECHA]],"mmmm"),0)</f>
        <v>Julio</v>
      </c>
    </row>
    <row r="2478" spans="2:28" ht="24" x14ac:dyDescent="0.3">
      <c r="B2478" s="2">
        <f>IF(BCP_Soles[[#This Row],[TIPO DE R.]]="R",COUNTIFS($D$4:$D2477,"R")+1,"")</f>
        <v>1867</v>
      </c>
      <c r="C2478" s="19" t="str">
        <f t="shared" si="190"/>
        <v>B-BCP - Soles</v>
      </c>
      <c r="D2478" s="3" t="s">
        <v>1074</v>
      </c>
      <c r="E2478" s="14">
        <v>45845</v>
      </c>
      <c r="F2478" s="5" t="s">
        <v>1075</v>
      </c>
      <c r="G2478" s="5" t="s">
        <v>1079</v>
      </c>
      <c r="H2478" s="6" t="s">
        <v>831</v>
      </c>
      <c r="I2478" s="6"/>
      <c r="J2478" s="6"/>
      <c r="K2478" s="6"/>
      <c r="L2478" s="7" t="s">
        <v>3520</v>
      </c>
      <c r="M2478" s="8">
        <v>1263960</v>
      </c>
      <c r="N2478" s="8" t="str">
        <f t="shared" si="191"/>
        <v>PEN</v>
      </c>
      <c r="O2478" s="13"/>
      <c r="P2478" s="13">
        <v>266.76</v>
      </c>
      <c r="Q2478" s="3">
        <f t="shared" si="192"/>
        <v>0</v>
      </c>
      <c r="R2478" s="3">
        <f t="shared" si="193"/>
        <v>266.76</v>
      </c>
      <c r="S2478" s="3">
        <f t="shared" si="194"/>
        <v>26056.000000000015</v>
      </c>
      <c r="T2478" s="24"/>
      <c r="U2478" s="24"/>
      <c r="V2478" s="69"/>
      <c r="W2478" s="25">
        <f>IFERROR(VLOOKUP(BCP_Soles[[#This Row],[DESTINATARIO]],CHOOSE({1,2},Clientes_Proveedores[Razon Social],Clientes_Proveedores[Ruc / Dni]),2,0),"")</f>
        <v>78803424</v>
      </c>
      <c r="X2478" s="25" t="s">
        <v>831</v>
      </c>
      <c r="Y2478" s="25"/>
      <c r="Z2478" s="25"/>
      <c r="AA2478" s="99"/>
      <c r="AB2478" s="3" t="str">
        <f>IF(BCP_Soles[[#This Row],[FECHA]]&gt;0,TEXT(BCP_Soles[[#This Row],[FECHA]],"mmmm"),0)</f>
        <v>Julio</v>
      </c>
    </row>
    <row r="2479" spans="2:28" x14ac:dyDescent="0.3">
      <c r="B2479" s="2">
        <f>IF(BCP_Soles[[#This Row],[TIPO DE R.]]="R",COUNTIFS($D$4:$D2478,"R")+1,"")</f>
        <v>1868</v>
      </c>
      <c r="C2479" s="19" t="str">
        <f t="shared" si="190"/>
        <v>B-BCP - Soles</v>
      </c>
      <c r="D2479" s="3" t="s">
        <v>1074</v>
      </c>
      <c r="E2479" s="14">
        <v>45845</v>
      </c>
      <c r="F2479" s="5" t="s">
        <v>1075</v>
      </c>
      <c r="G2479" s="5" t="s">
        <v>1079</v>
      </c>
      <c r="H2479" s="6" t="s">
        <v>854</v>
      </c>
      <c r="I2479" s="6"/>
      <c r="J2479" s="6"/>
      <c r="K2479" s="6"/>
      <c r="L2479" s="7" t="s">
        <v>3521</v>
      </c>
      <c r="M2479" s="8">
        <v>1262430</v>
      </c>
      <c r="N2479" s="8" t="str">
        <f t="shared" si="191"/>
        <v>PEN</v>
      </c>
      <c r="O2479" s="13"/>
      <c r="P2479" s="13">
        <v>277.31</v>
      </c>
      <c r="Q2479" s="3">
        <f t="shared" si="192"/>
        <v>0</v>
      </c>
      <c r="R2479" s="3">
        <f t="shared" si="193"/>
        <v>277.31</v>
      </c>
      <c r="S2479" s="3">
        <f t="shared" si="194"/>
        <v>25778.690000000013</v>
      </c>
      <c r="T2479" s="24"/>
      <c r="U2479" s="24"/>
      <c r="V2479" s="69"/>
      <c r="W2479" s="25">
        <f>IFERROR(VLOOKUP(BCP_Soles[[#This Row],[DESTINATARIO]],CHOOSE({1,2},Clientes_Proveedores[Razon Social],Clientes_Proveedores[Ruc / Dni]),2,0),"")</f>
        <v>47760988</v>
      </c>
      <c r="X2479" s="25" t="s">
        <v>854</v>
      </c>
      <c r="Y2479" s="25"/>
      <c r="Z2479" s="25"/>
      <c r="AA2479" s="99"/>
      <c r="AB2479" s="3" t="str">
        <f>IF(BCP_Soles[[#This Row],[FECHA]]&gt;0,TEXT(BCP_Soles[[#This Row],[FECHA]],"mmmm"),0)</f>
        <v>Julio</v>
      </c>
    </row>
    <row r="2480" spans="2:28" ht="24" x14ac:dyDescent="0.3">
      <c r="B2480" s="2">
        <f>IF(BCP_Soles[[#This Row],[TIPO DE R.]]="R",COUNTIFS($D$4:$D2479,"R")+1,"")</f>
        <v>1869</v>
      </c>
      <c r="C2480" s="19" t="str">
        <f t="shared" si="190"/>
        <v>B-BCP - Soles</v>
      </c>
      <c r="D2480" s="3" t="s">
        <v>1074</v>
      </c>
      <c r="E2480" s="14">
        <v>45845</v>
      </c>
      <c r="F2480" s="5" t="s">
        <v>1075</v>
      </c>
      <c r="G2480" s="5" t="s">
        <v>1079</v>
      </c>
      <c r="H2480" s="6" t="s">
        <v>823</v>
      </c>
      <c r="I2480" s="6"/>
      <c r="J2480" s="6"/>
      <c r="K2480" s="6"/>
      <c r="L2480" s="7" t="s">
        <v>3522</v>
      </c>
      <c r="M2480" s="8">
        <v>1265027</v>
      </c>
      <c r="N2480" s="8" t="str">
        <f t="shared" si="191"/>
        <v>PEN</v>
      </c>
      <c r="O2480" s="13"/>
      <c r="P2480" s="13">
        <v>285.8</v>
      </c>
      <c r="Q2480" s="3">
        <f t="shared" si="192"/>
        <v>0</v>
      </c>
      <c r="R2480" s="3">
        <f t="shared" si="193"/>
        <v>285.8</v>
      </c>
      <c r="S2480" s="3">
        <f t="shared" si="194"/>
        <v>25492.890000000014</v>
      </c>
      <c r="T2480" s="24"/>
      <c r="U2480" s="24"/>
      <c r="V2480" s="69"/>
      <c r="W2480" s="25">
        <f>IFERROR(VLOOKUP(BCP_Soles[[#This Row],[DESTINATARIO]],CHOOSE({1,2},Clientes_Proveedores[Razon Social],Clientes_Proveedores[Ruc / Dni]),2,0),"")</f>
        <v>72450429</v>
      </c>
      <c r="X2480" s="25" t="s">
        <v>823</v>
      </c>
      <c r="Y2480" s="25"/>
      <c r="Z2480" s="25"/>
      <c r="AA2480" s="99"/>
      <c r="AB2480" s="3" t="str">
        <f>IF(BCP_Soles[[#This Row],[FECHA]]&gt;0,TEXT(BCP_Soles[[#This Row],[FECHA]],"mmmm"),0)</f>
        <v>Julio</v>
      </c>
    </row>
    <row r="2481" spans="2:28" ht="24" x14ac:dyDescent="0.3">
      <c r="B2481" s="2">
        <f>IF(BCP_Soles[[#This Row],[TIPO DE R.]]="R",COUNTIFS($D$4:$D2480,"R")+1,"")</f>
        <v>1870</v>
      </c>
      <c r="C2481" s="19" t="str">
        <f t="shared" si="190"/>
        <v>B-BCP - Soles</v>
      </c>
      <c r="D2481" s="3" t="s">
        <v>1074</v>
      </c>
      <c r="E2481" s="14">
        <v>45845</v>
      </c>
      <c r="F2481" s="5" t="s">
        <v>1075</v>
      </c>
      <c r="G2481" s="5" t="s">
        <v>1079</v>
      </c>
      <c r="H2481" s="6" t="s">
        <v>829</v>
      </c>
      <c r="I2481" s="6"/>
      <c r="J2481" s="6"/>
      <c r="K2481" s="6"/>
      <c r="L2481" s="7" t="s">
        <v>3523</v>
      </c>
      <c r="M2481" s="8">
        <v>1263482</v>
      </c>
      <c r="N2481" s="8" t="str">
        <f t="shared" si="191"/>
        <v>PEN</v>
      </c>
      <c r="O2481" s="13"/>
      <c r="P2481" s="13">
        <v>287.60000000000002</v>
      </c>
      <c r="Q2481" s="3">
        <f t="shared" si="192"/>
        <v>0</v>
      </c>
      <c r="R2481" s="3">
        <f t="shared" si="193"/>
        <v>287.60000000000002</v>
      </c>
      <c r="S2481" s="3">
        <f t="shared" si="194"/>
        <v>25205.290000000015</v>
      </c>
      <c r="T2481" s="24"/>
      <c r="U2481" s="24"/>
      <c r="V2481" s="69"/>
      <c r="W2481" s="25">
        <f>IFERROR(VLOOKUP(BCP_Soles[[#This Row],[DESTINATARIO]],CHOOSE({1,2},Clientes_Proveedores[Razon Social],Clientes_Proveedores[Ruc / Dni]),2,0),"")</f>
        <v>47461440</v>
      </c>
      <c r="X2481" s="25"/>
      <c r="Y2481" s="25"/>
      <c r="Z2481" s="25"/>
      <c r="AA2481" s="99"/>
      <c r="AB2481" s="3" t="str">
        <f>IF(BCP_Soles[[#This Row],[FECHA]]&gt;0,TEXT(BCP_Soles[[#This Row],[FECHA]],"mmmm"),0)</f>
        <v>Julio</v>
      </c>
    </row>
    <row r="2482" spans="2:28" ht="24" x14ac:dyDescent="0.3">
      <c r="B2482" s="2">
        <f>IF(BCP_Soles[[#This Row],[TIPO DE R.]]="R",COUNTIFS($D$4:$D2481,"R")+1,"")</f>
        <v>1871</v>
      </c>
      <c r="C2482" s="19" t="str">
        <f t="shared" si="190"/>
        <v>B-BCP - Soles</v>
      </c>
      <c r="D2482" s="3" t="s">
        <v>1074</v>
      </c>
      <c r="E2482" s="14">
        <v>45845</v>
      </c>
      <c r="F2482" s="5" t="s">
        <v>1075</v>
      </c>
      <c r="G2482" s="5" t="s">
        <v>1079</v>
      </c>
      <c r="H2482" s="6" t="s">
        <v>842</v>
      </c>
      <c r="I2482" s="6"/>
      <c r="J2482" s="6"/>
      <c r="K2482" s="6"/>
      <c r="L2482" s="7" t="s">
        <v>3524</v>
      </c>
      <c r="M2482" s="8">
        <v>1261479</v>
      </c>
      <c r="N2482" s="8" t="str">
        <f t="shared" si="191"/>
        <v>PEN</v>
      </c>
      <c r="O2482" s="13"/>
      <c r="P2482" s="13">
        <v>310.08999999999997</v>
      </c>
      <c r="Q2482" s="3">
        <f t="shared" si="192"/>
        <v>0</v>
      </c>
      <c r="R2482" s="3">
        <f t="shared" si="193"/>
        <v>310.08999999999997</v>
      </c>
      <c r="S2482" s="3">
        <f t="shared" si="194"/>
        <v>24895.200000000015</v>
      </c>
      <c r="T2482" s="24"/>
      <c r="U2482" s="24"/>
      <c r="V2482" s="69"/>
      <c r="W2482" s="25">
        <f>IFERROR(VLOOKUP(BCP_Soles[[#This Row],[DESTINATARIO]],CHOOSE({1,2},Clientes_Proveedores[Razon Social],Clientes_Proveedores[Ruc / Dni]),2,0),"")</f>
        <v>72131384</v>
      </c>
      <c r="X2482" s="25" t="s">
        <v>842</v>
      </c>
      <c r="Y2482" s="25"/>
      <c r="Z2482" s="25"/>
      <c r="AA2482" s="99"/>
      <c r="AB2482" s="3" t="str">
        <f>IF(BCP_Soles[[#This Row],[FECHA]]&gt;0,TEXT(BCP_Soles[[#This Row],[FECHA]],"mmmm"),0)</f>
        <v>Julio</v>
      </c>
    </row>
    <row r="2483" spans="2:28" ht="24" x14ac:dyDescent="0.3">
      <c r="B2483" s="2">
        <f>IF(BCP_Soles[[#This Row],[TIPO DE R.]]="R",COUNTIFS($D$4:$D2482,"R")+1,"")</f>
        <v>1872</v>
      </c>
      <c r="C2483" s="19" t="str">
        <f t="shared" si="190"/>
        <v>B-BCP - Soles</v>
      </c>
      <c r="D2483" s="3" t="s">
        <v>1074</v>
      </c>
      <c r="E2483" s="14">
        <v>45845</v>
      </c>
      <c r="F2483" s="5" t="s">
        <v>1075</v>
      </c>
      <c r="G2483" s="5" t="s">
        <v>1079</v>
      </c>
      <c r="H2483" s="6" t="s">
        <v>850</v>
      </c>
      <c r="I2483" s="6"/>
      <c r="J2483" s="6"/>
      <c r="K2483" s="6"/>
      <c r="L2483" s="7" t="s">
        <v>3525</v>
      </c>
      <c r="M2483" s="8">
        <v>1263434</v>
      </c>
      <c r="N2483" s="8" t="str">
        <f t="shared" si="191"/>
        <v>PEN</v>
      </c>
      <c r="O2483" s="13"/>
      <c r="P2483" s="13">
        <v>344.54</v>
      </c>
      <c r="Q2483" s="3">
        <f t="shared" si="192"/>
        <v>0</v>
      </c>
      <c r="R2483" s="3">
        <f t="shared" si="193"/>
        <v>344.54</v>
      </c>
      <c r="S2483" s="3">
        <f t="shared" si="194"/>
        <v>24550.660000000014</v>
      </c>
      <c r="T2483" s="24"/>
      <c r="U2483" s="24"/>
      <c r="V2483" s="69"/>
      <c r="W2483" s="25">
        <f>IFERROR(VLOOKUP(BCP_Soles[[#This Row],[DESTINATARIO]],CHOOSE({1,2},Clientes_Proveedores[Razon Social],Clientes_Proveedores[Ruc / Dni]),2,0),"")</f>
        <v>44314304</v>
      </c>
      <c r="X2483" s="25" t="s">
        <v>850</v>
      </c>
      <c r="Y2483" s="25"/>
      <c r="Z2483" s="25"/>
      <c r="AA2483" s="99"/>
      <c r="AB2483" s="3" t="str">
        <f>IF(BCP_Soles[[#This Row],[FECHA]]&gt;0,TEXT(BCP_Soles[[#This Row],[FECHA]],"mmmm"),0)</f>
        <v>Julio</v>
      </c>
    </row>
    <row r="2484" spans="2:28" ht="24" x14ac:dyDescent="0.3">
      <c r="B2484" s="2">
        <f>IF(BCP_Soles[[#This Row],[TIPO DE R.]]="R",COUNTIFS($D$4:$D2483,"R")+1,"")</f>
        <v>1873</v>
      </c>
      <c r="C2484" s="19" t="str">
        <f t="shared" si="190"/>
        <v>B-BCP - Soles</v>
      </c>
      <c r="D2484" s="3" t="s">
        <v>1074</v>
      </c>
      <c r="E2484" s="14">
        <v>45845</v>
      </c>
      <c r="F2484" s="5" t="s">
        <v>1075</v>
      </c>
      <c r="G2484" s="5" t="s">
        <v>1079</v>
      </c>
      <c r="H2484" s="6" t="s">
        <v>896</v>
      </c>
      <c r="I2484" s="6"/>
      <c r="J2484" s="6"/>
      <c r="K2484" s="6"/>
      <c r="L2484" s="7" t="s">
        <v>3526</v>
      </c>
      <c r="M2484" s="8">
        <v>1261947</v>
      </c>
      <c r="N2484" s="8" t="str">
        <f t="shared" si="191"/>
        <v>PEN</v>
      </c>
      <c r="O2484" s="13"/>
      <c r="P2484" s="13">
        <v>4.6900000000000004</v>
      </c>
      <c r="Q2484" s="3">
        <f t="shared" si="192"/>
        <v>0</v>
      </c>
      <c r="R2484" s="3">
        <f t="shared" si="193"/>
        <v>4.6900000000000004</v>
      </c>
      <c r="S2484" s="3">
        <f t="shared" si="194"/>
        <v>24545.970000000016</v>
      </c>
      <c r="T2484" s="24"/>
      <c r="U2484" s="24"/>
      <c r="V2484" s="69"/>
      <c r="W2484" s="25">
        <f>IFERROR(VLOOKUP(BCP_Soles[[#This Row],[DESTINATARIO]],CHOOSE({1,2},Clientes_Proveedores[Razon Social],Clientes_Proveedores[Ruc / Dni]),2,0),"")</f>
        <v>48362717</v>
      </c>
      <c r="X2484" s="25" t="s">
        <v>896</v>
      </c>
      <c r="Y2484" s="25"/>
      <c r="Z2484" s="25"/>
      <c r="AA2484" s="99"/>
      <c r="AB2484" s="3" t="str">
        <f>IF(BCP_Soles[[#This Row],[FECHA]]&gt;0,TEXT(BCP_Soles[[#This Row],[FECHA]],"mmmm"),0)</f>
        <v>Julio</v>
      </c>
    </row>
    <row r="2485" spans="2:28" ht="24" x14ac:dyDescent="0.3">
      <c r="B2485" s="2">
        <f>IF(BCP_Soles[[#This Row],[TIPO DE R.]]="R",COUNTIFS($D$4:$D2484,"R")+1,"")</f>
        <v>1874</v>
      </c>
      <c r="C2485" s="19" t="str">
        <f t="shared" si="190"/>
        <v>B-BCP - Soles</v>
      </c>
      <c r="D2485" s="3" t="s">
        <v>1074</v>
      </c>
      <c r="E2485" s="14">
        <v>45845</v>
      </c>
      <c r="F2485" s="5" t="s">
        <v>1075</v>
      </c>
      <c r="G2485" s="5" t="s">
        <v>1079</v>
      </c>
      <c r="H2485" s="6" t="s">
        <v>872</v>
      </c>
      <c r="I2485" s="6"/>
      <c r="J2485" s="6"/>
      <c r="K2485" s="6"/>
      <c r="L2485" s="7" t="s">
        <v>3527</v>
      </c>
      <c r="M2485" s="8">
        <v>1263926</v>
      </c>
      <c r="N2485" s="8" t="str">
        <f t="shared" si="191"/>
        <v>PEN</v>
      </c>
      <c r="O2485" s="13"/>
      <c r="P2485" s="13">
        <v>3776.35</v>
      </c>
      <c r="Q2485" s="3">
        <f t="shared" si="192"/>
        <v>0</v>
      </c>
      <c r="R2485" s="3">
        <f t="shared" si="193"/>
        <v>3776.35</v>
      </c>
      <c r="S2485" s="3">
        <f t="shared" si="194"/>
        <v>20769.620000000017</v>
      </c>
      <c r="T2485" s="24"/>
      <c r="U2485" s="24"/>
      <c r="V2485" s="69"/>
      <c r="W2485" s="25">
        <f>IFERROR(VLOOKUP(BCP_Soles[[#This Row],[DESTINATARIO]],CHOOSE({1,2},Clientes_Proveedores[Razon Social],Clientes_Proveedores[Ruc / Dni]),2,0),"")</f>
        <v>72725225</v>
      </c>
      <c r="X2485" s="25"/>
      <c r="Y2485" s="25"/>
      <c r="Z2485" s="25"/>
      <c r="AA2485" s="99"/>
      <c r="AB2485" s="3" t="str">
        <f>IF(BCP_Soles[[#This Row],[FECHA]]&gt;0,TEXT(BCP_Soles[[#This Row],[FECHA]],"mmmm"),0)</f>
        <v>Julio</v>
      </c>
    </row>
    <row r="2486" spans="2:28" x14ac:dyDescent="0.3">
      <c r="B2486" s="2">
        <f>IF(BCP_Soles[[#This Row],[TIPO DE R.]]="R",COUNTIFS($D$4:$D2485,"R")+1,"")</f>
        <v>1875</v>
      </c>
      <c r="C2486" s="19" t="str">
        <f t="shared" si="190"/>
        <v>B-BCP - Soles</v>
      </c>
      <c r="D2486" s="3" t="s">
        <v>1074</v>
      </c>
      <c r="E2486" s="14">
        <v>45845</v>
      </c>
      <c r="F2486" s="5" t="s">
        <v>1075</v>
      </c>
      <c r="G2486" s="5" t="s">
        <v>1079</v>
      </c>
      <c r="H2486" s="6" t="s">
        <v>638</v>
      </c>
      <c r="I2486" s="6"/>
      <c r="J2486" s="6"/>
      <c r="K2486" s="6"/>
      <c r="L2486" s="7" t="s">
        <v>3528</v>
      </c>
      <c r="M2486" s="8">
        <v>6735722</v>
      </c>
      <c r="N2486" s="8" t="str">
        <f t="shared" si="191"/>
        <v>PEN</v>
      </c>
      <c r="O2486" s="13"/>
      <c r="P2486" s="13">
        <v>17194.93</v>
      </c>
      <c r="Q2486" s="3">
        <f t="shared" si="192"/>
        <v>0</v>
      </c>
      <c r="R2486" s="3">
        <f t="shared" si="193"/>
        <v>17194.93</v>
      </c>
      <c r="S2486" s="3">
        <f t="shared" si="194"/>
        <v>3574.6900000000169</v>
      </c>
      <c r="T2486" s="24" t="s">
        <v>1081</v>
      </c>
      <c r="U2486" s="24" t="s">
        <v>1081</v>
      </c>
      <c r="V2486" s="104" t="s">
        <v>3529</v>
      </c>
      <c r="W2486" s="25">
        <f>IFERROR(VLOOKUP(BCP_Soles[[#This Row],[DESTINATARIO]],CHOOSE({1,2},Clientes_Proveedores[Razon Social],Clientes_Proveedores[Ruc / Dni]),2,0),"")</f>
        <v>0</v>
      </c>
      <c r="X2486" s="25"/>
      <c r="Y2486" s="25"/>
      <c r="Z2486" s="25"/>
      <c r="AA2486" s="99"/>
      <c r="AB2486" s="3" t="str">
        <f>IF(BCP_Soles[[#This Row],[FECHA]]&gt;0,TEXT(BCP_Soles[[#This Row],[FECHA]],"mmmm"),0)</f>
        <v>Julio</v>
      </c>
    </row>
    <row r="2487" spans="2:28" x14ac:dyDescent="0.3">
      <c r="B2487" s="2" t="str">
        <f>IF(BCP_Soles[[#This Row],[TIPO DE R.]]="R",COUNTIFS($D$4:$D2486,"R")+1,"")</f>
        <v/>
      </c>
      <c r="C2487" s="19" t="str">
        <f t="shared" si="190"/>
        <v>B-BCP - Soles</v>
      </c>
      <c r="D2487" s="3" t="s">
        <v>1101</v>
      </c>
      <c r="E2487" s="14">
        <v>45845</v>
      </c>
      <c r="F2487" s="5" t="s">
        <v>1075</v>
      </c>
      <c r="G2487" s="5"/>
      <c r="H2487" s="6" t="s">
        <v>323</v>
      </c>
      <c r="I2487" s="6" t="s">
        <v>14</v>
      </c>
      <c r="J2487" s="6" t="s">
        <v>1148</v>
      </c>
      <c r="K2487" s="6">
        <v>21588</v>
      </c>
      <c r="L2487" s="7" t="s">
        <v>3528</v>
      </c>
      <c r="M2487" s="8">
        <v>6735722</v>
      </c>
      <c r="N2487" s="8" t="str">
        <f t="shared" si="191"/>
        <v>PEN</v>
      </c>
      <c r="O2487" s="13">
        <v>6239</v>
      </c>
      <c r="P2487" s="13"/>
      <c r="Q2487" s="3">
        <f t="shared" si="192"/>
        <v>0</v>
      </c>
      <c r="R2487" s="3">
        <f t="shared" si="193"/>
        <v>0</v>
      </c>
      <c r="S2487" s="3">
        <f t="shared" si="194"/>
        <v>3574.6900000000169</v>
      </c>
      <c r="T2487" s="24" t="s">
        <v>1081</v>
      </c>
      <c r="U2487" s="24" t="s">
        <v>1081</v>
      </c>
      <c r="V2487" s="104" t="s">
        <v>3529</v>
      </c>
      <c r="W2487" s="25">
        <f>IFERROR(VLOOKUP(BCP_Soles[[#This Row],[DESTINATARIO]],CHOOSE({1,2},Clientes_Proveedores[Razon Social],Clientes_Proveedores[Ruc / Dni]),2,0),"")</f>
        <v>20537921464</v>
      </c>
      <c r="X2487" s="25"/>
      <c r="Y2487" s="25"/>
      <c r="Z2487" s="25"/>
      <c r="AA2487" s="99"/>
      <c r="AB2487" s="3" t="str">
        <f>IF(BCP_Soles[[#This Row],[FECHA]]&gt;0,TEXT(BCP_Soles[[#This Row],[FECHA]],"mmmm"),0)</f>
        <v>Julio</v>
      </c>
    </row>
    <row r="2488" spans="2:28" ht="36" x14ac:dyDescent="0.3">
      <c r="B2488" s="2" t="str">
        <f>IF(BCP_Soles[[#This Row],[TIPO DE R.]]="R",COUNTIFS($D$4:$D2487,"R")+1,"")</f>
        <v/>
      </c>
      <c r="C2488" s="19" t="str">
        <f t="shared" si="190"/>
        <v>B-BCP - Soles</v>
      </c>
      <c r="D2488" s="3" t="s">
        <v>1101</v>
      </c>
      <c r="E2488" s="14">
        <v>45845</v>
      </c>
      <c r="F2488" s="5" t="s">
        <v>1075</v>
      </c>
      <c r="G2488" s="5"/>
      <c r="H2488" s="6" t="s">
        <v>723</v>
      </c>
      <c r="I2488" s="6" t="s">
        <v>14</v>
      </c>
      <c r="J2488" s="6" t="s">
        <v>1121</v>
      </c>
      <c r="K2488" s="6">
        <v>10</v>
      </c>
      <c r="L2488" s="7" t="s">
        <v>3528</v>
      </c>
      <c r="M2488" s="8">
        <v>6735722</v>
      </c>
      <c r="N2488" s="8" t="str">
        <f t="shared" si="191"/>
        <v>PEN</v>
      </c>
      <c r="O2488" s="13">
        <v>10428</v>
      </c>
      <c r="P2488" s="13"/>
      <c r="Q2488" s="3">
        <f t="shared" si="192"/>
        <v>0</v>
      </c>
      <c r="R2488" s="3">
        <f t="shared" si="193"/>
        <v>0</v>
      </c>
      <c r="S2488" s="3">
        <f t="shared" si="194"/>
        <v>3574.6900000000169</v>
      </c>
      <c r="T2488" s="24" t="s">
        <v>1081</v>
      </c>
      <c r="U2488" s="24" t="s">
        <v>1081</v>
      </c>
      <c r="V2488" s="104" t="s">
        <v>3529</v>
      </c>
      <c r="W2488" s="25">
        <f>IFERROR(VLOOKUP(BCP_Soles[[#This Row],[DESTINATARIO]],CHOOSE({1,2},Clientes_Proveedores[Razon Social],Clientes_Proveedores[Ruc / Dni]),2,0),"")</f>
        <v>20612108651</v>
      </c>
      <c r="X2488" s="25"/>
      <c r="Y2488" s="25"/>
      <c r="Z2488" s="25"/>
      <c r="AA2488" s="99"/>
      <c r="AB2488" s="3" t="str">
        <f>IF(BCP_Soles[[#This Row],[FECHA]]&gt;0,TEXT(BCP_Soles[[#This Row],[FECHA]],"mmmm"),0)</f>
        <v>Julio</v>
      </c>
    </row>
    <row r="2489" spans="2:28" ht="24" x14ac:dyDescent="0.3">
      <c r="B2489" s="2" t="str">
        <f>IF(BCP_Soles[[#This Row],[TIPO DE R.]]="R",COUNTIFS($D$4:$D2488,"R")+1,"")</f>
        <v/>
      </c>
      <c r="C2489" s="19" t="str">
        <f t="shared" si="190"/>
        <v>B-BCP - Soles</v>
      </c>
      <c r="D2489" s="3" t="s">
        <v>1101</v>
      </c>
      <c r="E2489" s="14">
        <v>45845</v>
      </c>
      <c r="F2489" s="5" t="s">
        <v>1075</v>
      </c>
      <c r="G2489" s="5"/>
      <c r="H2489" s="6" t="s">
        <v>725</v>
      </c>
      <c r="I2489" s="6" t="s">
        <v>14</v>
      </c>
      <c r="J2489" s="6" t="s">
        <v>2058</v>
      </c>
      <c r="K2489" s="6">
        <v>52</v>
      </c>
      <c r="L2489" s="7" t="s">
        <v>3528</v>
      </c>
      <c r="M2489" s="8">
        <v>6735722</v>
      </c>
      <c r="N2489" s="8" t="str">
        <f t="shared" si="191"/>
        <v>PEN</v>
      </c>
      <c r="O2489" s="13">
        <v>527.92999999999995</v>
      </c>
      <c r="P2489" s="13"/>
      <c r="Q2489" s="3">
        <f t="shared" si="192"/>
        <v>0</v>
      </c>
      <c r="R2489" s="3">
        <f t="shared" si="193"/>
        <v>0</v>
      </c>
      <c r="S2489" s="3">
        <f t="shared" si="194"/>
        <v>3574.6900000000169</v>
      </c>
      <c r="T2489" s="24" t="s">
        <v>1081</v>
      </c>
      <c r="U2489" s="24" t="s">
        <v>1081</v>
      </c>
      <c r="V2489" s="104" t="s">
        <v>3529</v>
      </c>
      <c r="W2489" s="25">
        <f>IFERROR(VLOOKUP(BCP_Soles[[#This Row],[DESTINATARIO]],CHOOSE({1,2},Clientes_Proveedores[Razon Social],Clientes_Proveedores[Ruc / Dni]),2,0),"")</f>
        <v>20611593920</v>
      </c>
      <c r="X2489" s="25"/>
      <c r="Y2489" s="25"/>
      <c r="Z2489" s="25"/>
      <c r="AA2489" s="99"/>
      <c r="AB2489" s="3" t="str">
        <f>IF(BCP_Soles[[#This Row],[FECHA]]&gt;0,TEXT(BCP_Soles[[#This Row],[FECHA]],"mmmm"),0)</f>
        <v>Julio</v>
      </c>
    </row>
    <row r="2490" spans="2:28" ht="24" x14ac:dyDescent="0.3">
      <c r="B2490" s="2">
        <f>IF(BCP_Soles[[#This Row],[TIPO DE R.]]="R",COUNTIFS($D$4:$D2489,"R")+1,"")</f>
        <v>1876</v>
      </c>
      <c r="C2490" s="19" t="str">
        <f t="shared" si="190"/>
        <v>B-BCP - Soles</v>
      </c>
      <c r="D2490" s="3" t="s">
        <v>1074</v>
      </c>
      <c r="E2490" s="14">
        <v>45845</v>
      </c>
      <c r="F2490" s="5" t="s">
        <v>1078</v>
      </c>
      <c r="G2490" s="5" t="s">
        <v>1079</v>
      </c>
      <c r="H2490" s="6" t="s">
        <v>1001</v>
      </c>
      <c r="I2490" s="6" t="s">
        <v>14</v>
      </c>
      <c r="J2490" s="6" t="s">
        <v>3128</v>
      </c>
      <c r="K2490" s="6">
        <v>34412505</v>
      </c>
      <c r="L2490" s="7" t="s">
        <v>3530</v>
      </c>
      <c r="M2490" s="8">
        <v>6735726</v>
      </c>
      <c r="N2490" s="8" t="str">
        <f t="shared" si="191"/>
        <v>PEN</v>
      </c>
      <c r="O2490" s="13"/>
      <c r="P2490" s="13">
        <v>62.56</v>
      </c>
      <c r="Q2490" s="3">
        <f t="shared" si="192"/>
        <v>0</v>
      </c>
      <c r="R2490" s="3">
        <f t="shared" si="193"/>
        <v>62.56</v>
      </c>
      <c r="S2490" s="3">
        <f t="shared" si="194"/>
        <v>3512.1300000000169</v>
      </c>
      <c r="T2490" s="24" t="s">
        <v>1081</v>
      </c>
      <c r="U2490" s="24" t="s">
        <v>1081</v>
      </c>
      <c r="V2490" s="69"/>
      <c r="W2490" s="25">
        <f>IFERROR(VLOOKUP(BCP_Soles[[#This Row],[DESTINATARIO]],CHOOSE({1,2},Clientes_Proveedores[Razon Social],Clientes_Proveedores[Ruc / Dni]),2,0),"")</f>
        <v>20100047218</v>
      </c>
      <c r="X2490" s="25"/>
      <c r="Y2490" s="25"/>
      <c r="Z2490" s="25"/>
      <c r="AA2490" s="99"/>
      <c r="AB2490" s="3" t="str">
        <f>IF(BCP_Soles[[#This Row],[FECHA]]&gt;0,TEXT(BCP_Soles[[#This Row],[FECHA]],"mmmm"),0)</f>
        <v>Julio</v>
      </c>
    </row>
    <row r="2491" spans="2:28" x14ac:dyDescent="0.3">
      <c r="B2491" s="2">
        <f>IF(BCP_Soles[[#This Row],[TIPO DE R.]]="R",COUNTIFS($D$4:$D2490,"R")+1,"")</f>
        <v>1877</v>
      </c>
      <c r="C2491" s="19" t="str">
        <f t="shared" si="190"/>
        <v>B-BCP - Soles</v>
      </c>
      <c r="D2491" s="3" t="s">
        <v>1074</v>
      </c>
      <c r="E2491" s="14">
        <v>45845</v>
      </c>
      <c r="F2491" s="5" t="s">
        <v>1078</v>
      </c>
      <c r="G2491" s="5" t="s">
        <v>1079</v>
      </c>
      <c r="H2491" s="6" t="s">
        <v>950</v>
      </c>
      <c r="I2491" s="6" t="s">
        <v>10</v>
      </c>
      <c r="J2491" s="6" t="s">
        <v>3392</v>
      </c>
      <c r="K2491" s="6">
        <v>1877</v>
      </c>
      <c r="L2491" s="7" t="s">
        <v>2868</v>
      </c>
      <c r="M2491" s="8"/>
      <c r="N2491" s="8" t="str">
        <f t="shared" si="191"/>
        <v>PEN</v>
      </c>
      <c r="O2491" s="13"/>
      <c r="P2491" s="13">
        <v>1.85</v>
      </c>
      <c r="Q2491" s="3">
        <f t="shared" si="192"/>
        <v>0</v>
      </c>
      <c r="R2491" s="3">
        <f t="shared" si="193"/>
        <v>1.85</v>
      </c>
      <c r="S2491" s="3">
        <f t="shared" si="194"/>
        <v>3510.280000000017</v>
      </c>
      <c r="T2491" s="24" t="s">
        <v>1081</v>
      </c>
      <c r="U2491" s="24"/>
      <c r="V2491" s="69"/>
      <c r="W2491" s="25">
        <f>IFERROR(VLOOKUP(BCP_Soles[[#This Row],[DESTINATARIO]],CHOOSE({1,2},Clientes_Proveedores[Razon Social],Clientes_Proveedores[Ruc / Dni]),2,0),"")</f>
        <v>11111111</v>
      </c>
      <c r="X2491" s="25"/>
      <c r="Y2491" s="25"/>
      <c r="Z2491" s="25"/>
      <c r="AA2491" s="99"/>
      <c r="AB2491" s="3" t="str">
        <f>IF(BCP_Soles[[#This Row],[FECHA]]&gt;0,TEXT(BCP_Soles[[#This Row],[FECHA]],"mmmm"),0)</f>
        <v>Julio</v>
      </c>
    </row>
    <row r="2492" spans="2:28" ht="24" x14ac:dyDescent="0.3">
      <c r="B2492" s="2">
        <f>IF(BCP_Soles[[#This Row],[TIPO DE R.]]="R",COUNTIFS($D$4:$D2491,"R")+1,"")</f>
        <v>1878</v>
      </c>
      <c r="C2492" s="19" t="str">
        <f t="shared" si="190"/>
        <v>B-BCP - Soles</v>
      </c>
      <c r="D2492" s="3" t="s">
        <v>1074</v>
      </c>
      <c r="E2492" s="14">
        <v>45846</v>
      </c>
      <c r="F2492" s="5" t="s">
        <v>1681</v>
      </c>
      <c r="G2492" s="5" t="s">
        <v>1087</v>
      </c>
      <c r="H2492" s="6" t="s">
        <v>368</v>
      </c>
      <c r="I2492" s="6" t="s">
        <v>63</v>
      </c>
      <c r="J2492" s="6">
        <v>2</v>
      </c>
      <c r="K2492" s="6">
        <v>806</v>
      </c>
      <c r="L2492" s="7" t="s">
        <v>1100</v>
      </c>
      <c r="M2492" s="8">
        <v>918739</v>
      </c>
      <c r="N2492" s="8" t="str">
        <f t="shared" si="191"/>
        <v>PEN</v>
      </c>
      <c r="O2492" s="13"/>
      <c r="P2492" s="13">
        <v>3620</v>
      </c>
      <c r="Q2492" s="3">
        <f t="shared" si="192"/>
        <v>3620</v>
      </c>
      <c r="R2492" s="3">
        <f t="shared" si="193"/>
        <v>0</v>
      </c>
      <c r="S2492" s="3">
        <f t="shared" si="194"/>
        <v>7130.280000000017</v>
      </c>
      <c r="T2492" s="24" t="s">
        <v>1081</v>
      </c>
      <c r="U2492" s="24" t="s">
        <v>1081</v>
      </c>
      <c r="V2492" s="69"/>
      <c r="W2492" s="25">
        <f>IFERROR(VLOOKUP(BCP_Soles[[#This Row],[DESTINATARIO]],CHOOSE({1,2},Clientes_Proveedores[Razon Social],Clientes_Proveedores[Ruc / Dni]),2,0),"")</f>
        <v>20558226979</v>
      </c>
      <c r="X2492" s="25"/>
      <c r="Y2492" s="25"/>
      <c r="Z2492" s="25"/>
      <c r="AA2492" s="99"/>
      <c r="AB2492" s="3" t="str">
        <f>IF(BCP_Soles[[#This Row],[FECHA]]&gt;0,TEXT(BCP_Soles[[#This Row],[FECHA]],"mmmm"),0)</f>
        <v>Julio</v>
      </c>
    </row>
    <row r="2493" spans="2:28" ht="24" x14ac:dyDescent="0.3">
      <c r="B2493" s="2">
        <f>IF(BCP_Soles[[#This Row],[TIPO DE R.]]="R",COUNTIFS($D$4:$D2492,"R")+1,"")</f>
        <v>1879</v>
      </c>
      <c r="C2493" s="19" t="str">
        <f t="shared" si="190"/>
        <v>B-BCP - Soles</v>
      </c>
      <c r="D2493" s="3" t="s">
        <v>1074</v>
      </c>
      <c r="E2493" s="14">
        <v>45846</v>
      </c>
      <c r="F2493" s="5" t="s">
        <v>1435</v>
      </c>
      <c r="G2493" s="5" t="s">
        <v>1087</v>
      </c>
      <c r="H2493" s="6" t="s">
        <v>368</v>
      </c>
      <c r="I2493" s="6" t="s">
        <v>63</v>
      </c>
      <c r="J2493" s="6">
        <v>1</v>
      </c>
      <c r="K2493" s="6">
        <v>4581</v>
      </c>
      <c r="L2493" s="7" t="s">
        <v>1100</v>
      </c>
      <c r="M2493" s="8">
        <v>2815126</v>
      </c>
      <c r="N2493" s="8" t="str">
        <f t="shared" si="191"/>
        <v>PEN</v>
      </c>
      <c r="O2493" s="13"/>
      <c r="P2493" s="13">
        <v>2000</v>
      </c>
      <c r="Q2493" s="3">
        <f t="shared" si="192"/>
        <v>2000</v>
      </c>
      <c r="R2493" s="3">
        <f t="shared" si="193"/>
        <v>0</v>
      </c>
      <c r="S2493" s="3">
        <f t="shared" si="194"/>
        <v>9130.280000000017</v>
      </c>
      <c r="T2493" s="24" t="s">
        <v>1081</v>
      </c>
      <c r="U2493" s="24" t="s">
        <v>1081</v>
      </c>
      <c r="V2493" s="69"/>
      <c r="W2493" s="25">
        <f>IFERROR(VLOOKUP(BCP_Soles[[#This Row],[DESTINATARIO]],CHOOSE({1,2},Clientes_Proveedores[Razon Social],Clientes_Proveedores[Ruc / Dni]),2,0),"")</f>
        <v>20558226979</v>
      </c>
      <c r="X2493" s="25"/>
      <c r="Y2493" s="25"/>
      <c r="Z2493" s="25"/>
      <c r="AA2493" s="99"/>
      <c r="AB2493" s="3" t="str">
        <f>IF(BCP_Soles[[#This Row],[FECHA]]&gt;0,TEXT(BCP_Soles[[#This Row],[FECHA]],"mmmm"),0)</f>
        <v>Julio</v>
      </c>
    </row>
    <row r="2494" spans="2:28" ht="36" x14ac:dyDescent="0.3">
      <c r="B2494" s="2">
        <f>IF(BCP_Soles[[#This Row],[TIPO DE R.]]="R",COUNTIFS($D$4:$D2493,"R")+1,"")</f>
        <v>1880</v>
      </c>
      <c r="C2494" s="19" t="str">
        <f t="shared" si="190"/>
        <v>B-BCP - Soles</v>
      </c>
      <c r="D2494" s="3" t="s">
        <v>1074</v>
      </c>
      <c r="E2494" s="14">
        <v>45846</v>
      </c>
      <c r="F2494" s="5" t="s">
        <v>204</v>
      </c>
      <c r="G2494" s="5" t="s">
        <v>1087</v>
      </c>
      <c r="H2494" s="6" t="s">
        <v>368</v>
      </c>
      <c r="I2494" s="6" t="s">
        <v>14</v>
      </c>
      <c r="J2494" s="6" t="s">
        <v>3010</v>
      </c>
      <c r="K2494" s="6">
        <v>86</v>
      </c>
      <c r="L2494" s="7" t="s">
        <v>3531</v>
      </c>
      <c r="M2494" s="8">
        <v>7044054</v>
      </c>
      <c r="N2494" s="8" t="str">
        <f t="shared" si="191"/>
        <v>PEN</v>
      </c>
      <c r="O2494" s="13"/>
      <c r="P2494" s="13">
        <v>1934.93</v>
      </c>
      <c r="Q2494" s="3">
        <f t="shared" si="192"/>
        <v>1934.93</v>
      </c>
      <c r="R2494" s="3">
        <f t="shared" si="193"/>
        <v>0</v>
      </c>
      <c r="S2494" s="3">
        <f t="shared" si="194"/>
        <v>11065.210000000017</v>
      </c>
      <c r="T2494" s="24" t="s">
        <v>1081</v>
      </c>
      <c r="U2494" s="24" t="s">
        <v>1081</v>
      </c>
      <c r="V2494" s="69"/>
      <c r="W2494" s="25">
        <f>IFERROR(VLOOKUP(BCP_Soles[[#This Row],[DESTINATARIO]],CHOOSE({1,2},Clientes_Proveedores[Razon Social],Clientes_Proveedores[Ruc / Dni]),2,0),"")</f>
        <v>20558226979</v>
      </c>
      <c r="X2494" s="25"/>
      <c r="Y2494" s="25"/>
      <c r="Z2494" s="25"/>
      <c r="AA2494" s="99"/>
      <c r="AB2494" s="3" t="str">
        <f>IF(BCP_Soles[[#This Row],[FECHA]]&gt;0,TEXT(BCP_Soles[[#This Row],[FECHA]],"mmmm"),0)</f>
        <v>Julio</v>
      </c>
    </row>
    <row r="2495" spans="2:28" x14ac:dyDescent="0.3">
      <c r="B2495" s="2">
        <f>IF(BCP_Soles[[#This Row],[TIPO DE R.]]="R",COUNTIFS($D$4:$D2494,"R")+1,"")</f>
        <v>1881</v>
      </c>
      <c r="C2495" s="19" t="str">
        <f t="shared" si="190"/>
        <v>B-BCP - Soles</v>
      </c>
      <c r="D2495" s="3" t="s">
        <v>1074</v>
      </c>
      <c r="E2495" s="14">
        <v>45846</v>
      </c>
      <c r="F2495" s="5" t="s">
        <v>3532</v>
      </c>
      <c r="G2495" s="5" t="s">
        <v>1087</v>
      </c>
      <c r="H2495" s="6" t="s">
        <v>368</v>
      </c>
      <c r="I2495" s="6"/>
      <c r="J2495" s="6">
        <v>1</v>
      </c>
      <c r="K2495" s="6">
        <v>442025</v>
      </c>
      <c r="L2495" s="7" t="s">
        <v>3533</v>
      </c>
      <c r="M2495" s="8">
        <v>3657110</v>
      </c>
      <c r="N2495" s="8" t="str">
        <f t="shared" si="191"/>
        <v>PEN</v>
      </c>
      <c r="O2495" s="13"/>
      <c r="P2495" s="13">
        <v>245.7</v>
      </c>
      <c r="Q2495" s="3">
        <f t="shared" si="192"/>
        <v>245.7</v>
      </c>
      <c r="R2495" s="3">
        <f t="shared" si="193"/>
        <v>0</v>
      </c>
      <c r="S2495" s="3">
        <f t="shared" si="194"/>
        <v>11310.910000000018</v>
      </c>
      <c r="T2495" s="24" t="s">
        <v>1081</v>
      </c>
      <c r="U2495" s="24"/>
      <c r="V2495" s="69"/>
      <c r="W2495" s="25">
        <f>IFERROR(VLOOKUP(BCP_Soles[[#This Row],[DESTINATARIO]],CHOOSE({1,2},Clientes_Proveedores[Razon Social],Clientes_Proveedores[Ruc / Dni]),2,0),"")</f>
        <v>20558226979</v>
      </c>
      <c r="X2495" s="25"/>
      <c r="Y2495" s="25"/>
      <c r="Z2495" s="25"/>
      <c r="AA2495" s="99"/>
      <c r="AB2495" s="3" t="str">
        <f>IF(BCP_Soles[[#This Row],[FECHA]]&gt;0,TEXT(BCP_Soles[[#This Row],[FECHA]],"mmmm"),0)</f>
        <v>Julio</v>
      </c>
    </row>
    <row r="2496" spans="2:28" ht="36" x14ac:dyDescent="0.3">
      <c r="B2496" s="2">
        <f>IF(BCP_Soles[[#This Row],[TIPO DE R.]]="R",COUNTIFS($D$4:$D2495,"R")+1,"")</f>
        <v>1882</v>
      </c>
      <c r="C2496" s="19" t="str">
        <f t="shared" si="190"/>
        <v>B-BCP - Soles</v>
      </c>
      <c r="D2496" s="3" t="s">
        <v>1074</v>
      </c>
      <c r="E2496" s="14">
        <v>45846</v>
      </c>
      <c r="F2496" s="5" t="s">
        <v>1368</v>
      </c>
      <c r="G2496" s="5" t="s">
        <v>1087</v>
      </c>
      <c r="H2496" s="6" t="s">
        <v>368</v>
      </c>
      <c r="I2496" s="6" t="s">
        <v>63</v>
      </c>
      <c r="J2496" s="6">
        <v>2</v>
      </c>
      <c r="K2496" s="6">
        <v>802</v>
      </c>
      <c r="L2496" s="7" t="s">
        <v>1100</v>
      </c>
      <c r="M2496" s="8">
        <v>973464</v>
      </c>
      <c r="N2496" s="8" t="str">
        <f t="shared" si="191"/>
        <v>PEN</v>
      </c>
      <c r="O2496" s="13"/>
      <c r="P2496" s="13">
        <v>185</v>
      </c>
      <c r="Q2496" s="3">
        <f t="shared" si="192"/>
        <v>185</v>
      </c>
      <c r="R2496" s="3">
        <f t="shared" si="193"/>
        <v>0</v>
      </c>
      <c r="S2496" s="3">
        <f t="shared" si="194"/>
        <v>11495.910000000018</v>
      </c>
      <c r="T2496" s="24" t="s">
        <v>1081</v>
      </c>
      <c r="U2496" s="24" t="s">
        <v>1081</v>
      </c>
      <c r="V2496" s="69"/>
      <c r="W2496" s="25">
        <f>IFERROR(VLOOKUP(BCP_Soles[[#This Row],[DESTINATARIO]],CHOOSE({1,2},Clientes_Proveedores[Razon Social],Clientes_Proveedores[Ruc / Dni]),2,0),"")</f>
        <v>20558226979</v>
      </c>
      <c r="X2496" s="25"/>
      <c r="Y2496" s="25"/>
      <c r="Z2496" s="25"/>
      <c r="AA2496" s="99"/>
      <c r="AB2496" s="3" t="str">
        <f>IF(BCP_Soles[[#This Row],[FECHA]]&gt;0,TEXT(BCP_Soles[[#This Row],[FECHA]],"mmmm"),0)</f>
        <v>Julio</v>
      </c>
    </row>
    <row r="2497" spans="2:28" x14ac:dyDescent="0.3">
      <c r="B2497" s="2">
        <f>IF(BCP_Soles[[#This Row],[TIPO DE R.]]="R",COUNTIFS($D$4:$D2496,"R")+1,"")</f>
        <v>1883</v>
      </c>
      <c r="C2497" s="19" t="str">
        <f t="shared" si="190"/>
        <v>B-BCP - Soles</v>
      </c>
      <c r="D2497" s="3" t="s">
        <v>1074</v>
      </c>
      <c r="E2497" s="14">
        <v>45846</v>
      </c>
      <c r="F2497" s="5" t="s">
        <v>3532</v>
      </c>
      <c r="G2497" s="5" t="s">
        <v>1087</v>
      </c>
      <c r="H2497" s="6" t="s">
        <v>368</v>
      </c>
      <c r="I2497" s="6"/>
      <c r="J2497" s="6">
        <v>1</v>
      </c>
      <c r="K2497" s="6">
        <v>412025</v>
      </c>
      <c r="L2497" s="7" t="s">
        <v>3534</v>
      </c>
      <c r="M2497" s="8">
        <v>3645862</v>
      </c>
      <c r="N2497" s="8" t="str">
        <f t="shared" si="191"/>
        <v>PEN</v>
      </c>
      <c r="O2497" s="13"/>
      <c r="P2497" s="13">
        <v>21.08</v>
      </c>
      <c r="Q2497" s="3">
        <f t="shared" si="192"/>
        <v>21.08</v>
      </c>
      <c r="R2497" s="3">
        <f t="shared" si="193"/>
        <v>0</v>
      </c>
      <c r="S2497" s="3">
        <f t="shared" si="194"/>
        <v>11516.990000000018</v>
      </c>
      <c r="T2497" s="24" t="s">
        <v>1081</v>
      </c>
      <c r="U2497" s="24"/>
      <c r="V2497" s="69"/>
      <c r="W2497" s="25">
        <f>IFERROR(VLOOKUP(BCP_Soles[[#This Row],[DESTINATARIO]],CHOOSE({1,2},Clientes_Proveedores[Razon Social],Clientes_Proveedores[Ruc / Dni]),2,0),"")</f>
        <v>20558226979</v>
      </c>
      <c r="X2497" s="25"/>
      <c r="Y2497" s="25"/>
      <c r="Z2497" s="25"/>
      <c r="AA2497" s="99"/>
      <c r="AB2497" s="3" t="str">
        <f>IF(BCP_Soles[[#This Row],[FECHA]]&gt;0,TEXT(BCP_Soles[[#This Row],[FECHA]],"mmmm"),0)</f>
        <v>Julio</v>
      </c>
    </row>
    <row r="2498" spans="2:28" x14ac:dyDescent="0.3">
      <c r="B2498" s="2">
        <f>IF(BCP_Soles[[#This Row],[TIPO DE R.]]="R",COUNTIFS($D$4:$D2497,"R")+1,"")</f>
        <v>1884</v>
      </c>
      <c r="C2498" s="19" t="str">
        <f t="shared" si="190"/>
        <v>B-BCP - Soles</v>
      </c>
      <c r="D2498" s="3" t="s">
        <v>1074</v>
      </c>
      <c r="E2498" s="14">
        <v>45846</v>
      </c>
      <c r="F2498" s="5" t="s">
        <v>1078</v>
      </c>
      <c r="G2498" s="5" t="s">
        <v>1079</v>
      </c>
      <c r="H2498" s="6" t="s">
        <v>950</v>
      </c>
      <c r="I2498" s="6" t="s">
        <v>10</v>
      </c>
      <c r="J2498" s="6" t="s">
        <v>3392</v>
      </c>
      <c r="K2498" s="6">
        <v>1884</v>
      </c>
      <c r="L2498" s="7" t="s">
        <v>2868</v>
      </c>
      <c r="M2498" s="8"/>
      <c r="N2498" s="8" t="str">
        <f t="shared" si="191"/>
        <v>PEN</v>
      </c>
      <c r="O2498" s="13"/>
      <c r="P2498" s="13">
        <v>0.3</v>
      </c>
      <c r="Q2498" s="3">
        <f t="shared" si="192"/>
        <v>0</v>
      </c>
      <c r="R2498" s="3">
        <f t="shared" si="193"/>
        <v>0.3</v>
      </c>
      <c r="S2498" s="3">
        <f t="shared" si="194"/>
        <v>11516.690000000019</v>
      </c>
      <c r="T2498" s="24" t="s">
        <v>1081</v>
      </c>
      <c r="U2498" s="24"/>
      <c r="V2498" s="69"/>
      <c r="W2498" s="25">
        <f>IFERROR(VLOOKUP(BCP_Soles[[#This Row],[DESTINATARIO]],CHOOSE({1,2},Clientes_Proveedores[Razon Social],Clientes_Proveedores[Ruc / Dni]),2,0),"")</f>
        <v>11111111</v>
      </c>
      <c r="X2498" s="25"/>
      <c r="Y2498" s="25"/>
      <c r="Z2498" s="25"/>
      <c r="AA2498" s="99"/>
      <c r="AB2498" s="3" t="str">
        <f>IF(BCP_Soles[[#This Row],[FECHA]]&gt;0,TEXT(BCP_Soles[[#This Row],[FECHA]],"mmmm"),0)</f>
        <v>Julio</v>
      </c>
    </row>
    <row r="2499" spans="2:28" ht="24" x14ac:dyDescent="0.3">
      <c r="B2499" s="2">
        <f>IF(BCP_Soles[[#This Row],[TIPO DE R.]]="R",COUNTIFS($D$4:$D2498,"R")+1,"")</f>
        <v>1885</v>
      </c>
      <c r="C2499" s="19" t="str">
        <f t="shared" si="190"/>
        <v>B-BCP - Soles</v>
      </c>
      <c r="D2499" s="3" t="s">
        <v>1074</v>
      </c>
      <c r="E2499" s="14">
        <v>45847</v>
      </c>
      <c r="F2499" s="5" t="s">
        <v>1435</v>
      </c>
      <c r="G2499" s="5" t="s">
        <v>1087</v>
      </c>
      <c r="H2499" s="6" t="s">
        <v>368</v>
      </c>
      <c r="I2499" s="6" t="s">
        <v>63</v>
      </c>
      <c r="J2499" s="6">
        <v>1</v>
      </c>
      <c r="K2499" s="6">
        <v>4581</v>
      </c>
      <c r="L2499" s="7" t="s">
        <v>1100</v>
      </c>
      <c r="M2499" s="8">
        <v>1426079</v>
      </c>
      <c r="N2499" s="8" t="str">
        <f t="shared" si="191"/>
        <v>PEN</v>
      </c>
      <c r="O2499" s="13"/>
      <c r="P2499" s="13">
        <v>2000</v>
      </c>
      <c r="Q2499" s="3">
        <f t="shared" si="192"/>
        <v>2000</v>
      </c>
      <c r="R2499" s="3">
        <f t="shared" si="193"/>
        <v>0</v>
      </c>
      <c r="S2499" s="3">
        <f t="shared" si="194"/>
        <v>13516.690000000019</v>
      </c>
      <c r="T2499" s="24" t="s">
        <v>1081</v>
      </c>
      <c r="U2499" s="24" t="s">
        <v>1081</v>
      </c>
      <c r="V2499" s="69"/>
      <c r="W2499" s="25">
        <f>IFERROR(VLOOKUP(BCP_Soles[[#This Row],[DESTINATARIO]],CHOOSE({1,2},Clientes_Proveedores[Razon Social],Clientes_Proveedores[Ruc / Dni]),2,0),"")</f>
        <v>20558226979</v>
      </c>
      <c r="X2499" s="25"/>
      <c r="Y2499" s="25"/>
      <c r="Z2499" s="25"/>
      <c r="AA2499" s="99"/>
      <c r="AB2499" s="3" t="str">
        <f>IF(BCP_Soles[[#This Row],[FECHA]]&gt;0,TEXT(BCP_Soles[[#This Row],[FECHA]],"mmmm"),0)</f>
        <v>Julio</v>
      </c>
    </row>
    <row r="2500" spans="2:28" ht="24" x14ac:dyDescent="0.3">
      <c r="B2500" s="2">
        <f>IF(BCP_Soles[[#This Row],[TIPO DE R.]]="R",COUNTIFS($D$4:$D2499,"R")+1,"")</f>
        <v>1886</v>
      </c>
      <c r="C2500" s="19" t="str">
        <f t="shared" si="190"/>
        <v>B-BCP - Soles</v>
      </c>
      <c r="D2500" s="3" t="s">
        <v>1074</v>
      </c>
      <c r="E2500" s="14">
        <v>45847</v>
      </c>
      <c r="F2500" s="5" t="s">
        <v>639</v>
      </c>
      <c r="G2500" s="5" t="s">
        <v>1087</v>
      </c>
      <c r="H2500" s="6" t="s">
        <v>368</v>
      </c>
      <c r="I2500" s="6" t="s">
        <v>14</v>
      </c>
      <c r="J2500" s="6" t="s">
        <v>3010</v>
      </c>
      <c r="K2500" s="6">
        <v>87</v>
      </c>
      <c r="L2500" s="7" t="s">
        <v>1665</v>
      </c>
      <c r="M2500" s="8">
        <v>6041164</v>
      </c>
      <c r="N2500" s="8" t="str">
        <f t="shared" si="191"/>
        <v>PEN</v>
      </c>
      <c r="O2500" s="13"/>
      <c r="P2500" s="13">
        <v>382</v>
      </c>
      <c r="Q2500" s="3">
        <f t="shared" si="192"/>
        <v>382</v>
      </c>
      <c r="R2500" s="3">
        <f t="shared" si="193"/>
        <v>0</v>
      </c>
      <c r="S2500" s="3">
        <f t="shared" si="194"/>
        <v>13898.690000000019</v>
      </c>
      <c r="T2500" s="24" t="s">
        <v>1081</v>
      </c>
      <c r="U2500" s="24" t="s">
        <v>1081</v>
      </c>
      <c r="V2500" s="69"/>
      <c r="W2500" s="25">
        <f>IFERROR(VLOOKUP(BCP_Soles[[#This Row],[DESTINATARIO]],CHOOSE({1,2},Clientes_Proveedores[Razon Social],Clientes_Proveedores[Ruc / Dni]),2,0),"")</f>
        <v>20558226979</v>
      </c>
      <c r="X2500" s="25"/>
      <c r="Y2500" s="25"/>
      <c r="Z2500" s="25"/>
      <c r="AA2500" s="99"/>
      <c r="AB2500" s="3" t="str">
        <f>IF(BCP_Soles[[#This Row],[FECHA]]&gt;0,TEXT(BCP_Soles[[#This Row],[FECHA]],"mmmm"),0)</f>
        <v>Julio</v>
      </c>
    </row>
    <row r="2501" spans="2:28" x14ac:dyDescent="0.3">
      <c r="B2501" s="2">
        <f>IF(BCP_Soles[[#This Row],[TIPO DE R.]]="R",COUNTIFS($D$4:$D2500,"R")+1,"")</f>
        <v>1887</v>
      </c>
      <c r="C2501" s="19" t="str">
        <f t="shared" ref="C2501:C2564" si="195">"B-BCP - Soles"</f>
        <v>B-BCP - Soles</v>
      </c>
      <c r="D2501" s="3" t="s">
        <v>1074</v>
      </c>
      <c r="E2501" s="14">
        <v>45847</v>
      </c>
      <c r="F2501" s="5"/>
      <c r="G2501" s="5" t="s">
        <v>1087</v>
      </c>
      <c r="H2501" s="6" t="s">
        <v>368</v>
      </c>
      <c r="I2501" s="6"/>
      <c r="J2501" s="6"/>
      <c r="K2501" s="6"/>
      <c r="L2501" s="7" t="s">
        <v>1194</v>
      </c>
      <c r="M2501" s="8">
        <v>7460041</v>
      </c>
      <c r="N2501" s="8" t="str">
        <f t="shared" ref="N2501:N2564" si="196">"PEN"</f>
        <v>PEN</v>
      </c>
      <c r="O2501" s="13"/>
      <c r="P2501" s="13">
        <v>11662.09</v>
      </c>
      <c r="Q2501" s="3">
        <f t="shared" ref="Q2501:Q2564" si="197">+IF(OR($G2501="SALDO",$G2501="INGRESO"),$P2501,0)</f>
        <v>11662.09</v>
      </c>
      <c r="R2501" s="3">
        <f t="shared" ref="R2501:R2564" si="198">+IF($G2501="EGRESO",$P2501,0)</f>
        <v>0</v>
      </c>
      <c r="S2501" s="3">
        <f t="shared" ref="S2501:S2564" si="199">IFERROR(IF(G2501="SALDO",Q2501,S2500+Q2501-R2501),0)</f>
        <v>25560.780000000021</v>
      </c>
      <c r="T2501" s="24" t="s">
        <v>1081</v>
      </c>
      <c r="U2501" s="24" t="s">
        <v>1081</v>
      </c>
      <c r="V2501" s="69"/>
      <c r="W2501" s="25">
        <f>IFERROR(VLOOKUP(BCP_Soles[[#This Row],[DESTINATARIO]],CHOOSE({1,2},Clientes_Proveedores[Razon Social],Clientes_Proveedores[Ruc / Dni]),2,0),"")</f>
        <v>20558226979</v>
      </c>
      <c r="X2501" s="25"/>
      <c r="Y2501" s="25"/>
      <c r="Z2501" s="25"/>
      <c r="AA2501" s="99"/>
      <c r="AB2501" s="3" t="str">
        <f>IF(BCP_Soles[[#This Row],[FECHA]]&gt;0,TEXT(BCP_Soles[[#This Row],[FECHA]],"mmmm"),0)</f>
        <v>Julio</v>
      </c>
    </row>
    <row r="2502" spans="2:28" x14ac:dyDescent="0.3">
      <c r="B2502" s="2" t="str">
        <f>IF(BCP_Soles[[#This Row],[TIPO DE R.]]="R",COUNTIFS($D$4:$D2501,"R")+1,"")</f>
        <v/>
      </c>
      <c r="C2502" s="19" t="str">
        <f t="shared" si="195"/>
        <v>B-BCP - Soles</v>
      </c>
      <c r="D2502" s="3" t="s">
        <v>1101</v>
      </c>
      <c r="E2502" s="14">
        <v>45847</v>
      </c>
      <c r="F2502" s="5" t="s">
        <v>289</v>
      </c>
      <c r="G2502" s="5"/>
      <c r="H2502" s="6" t="s">
        <v>368</v>
      </c>
      <c r="I2502" s="6" t="s">
        <v>14</v>
      </c>
      <c r="J2502" s="6" t="s">
        <v>1521</v>
      </c>
      <c r="K2502" s="6">
        <v>111</v>
      </c>
      <c r="L2502" s="7" t="s">
        <v>1194</v>
      </c>
      <c r="M2502" s="8">
        <v>7460041</v>
      </c>
      <c r="N2502" s="8" t="str">
        <f t="shared" si="196"/>
        <v>PEN</v>
      </c>
      <c r="O2502" s="13">
        <v>2175.16</v>
      </c>
      <c r="P2502" s="13"/>
      <c r="Q2502" s="3">
        <f t="shared" si="197"/>
        <v>0</v>
      </c>
      <c r="R2502" s="3">
        <f t="shared" si="198"/>
        <v>0</v>
      </c>
      <c r="S2502" s="3">
        <f t="shared" si="199"/>
        <v>25560.780000000021</v>
      </c>
      <c r="T2502" s="24" t="s">
        <v>1081</v>
      </c>
      <c r="U2502" s="24" t="s">
        <v>1081</v>
      </c>
      <c r="V2502" s="69"/>
      <c r="W2502" s="25">
        <f>IFERROR(VLOOKUP(BCP_Soles[[#This Row],[DESTINATARIO]],CHOOSE({1,2},Clientes_Proveedores[Razon Social],Clientes_Proveedores[Ruc / Dni]),2,0),"")</f>
        <v>20558226979</v>
      </c>
      <c r="X2502" s="25"/>
      <c r="Y2502" s="25"/>
      <c r="Z2502" s="25"/>
      <c r="AA2502" s="99"/>
      <c r="AB2502" s="3" t="str">
        <f>IF(BCP_Soles[[#This Row],[FECHA]]&gt;0,TEXT(BCP_Soles[[#This Row],[FECHA]],"mmmm"),0)</f>
        <v>Julio</v>
      </c>
    </row>
    <row r="2503" spans="2:28" x14ac:dyDescent="0.3">
      <c r="B2503" s="2" t="str">
        <f>IF(BCP_Soles[[#This Row],[TIPO DE R.]]="R",COUNTIFS($D$4:$D2502,"R")+1,"")</f>
        <v/>
      </c>
      <c r="C2503" s="19" t="str">
        <f t="shared" si="195"/>
        <v>B-BCP - Soles</v>
      </c>
      <c r="D2503" s="3" t="s">
        <v>1101</v>
      </c>
      <c r="E2503" s="14">
        <v>45847</v>
      </c>
      <c r="F2503" s="5" t="s">
        <v>289</v>
      </c>
      <c r="G2503" s="5"/>
      <c r="H2503" s="6" t="s">
        <v>368</v>
      </c>
      <c r="I2503" s="6" t="s">
        <v>14</v>
      </c>
      <c r="J2503" s="6" t="s">
        <v>1521</v>
      </c>
      <c r="K2503" s="6">
        <v>112</v>
      </c>
      <c r="L2503" s="7" t="s">
        <v>1194</v>
      </c>
      <c r="M2503" s="8">
        <v>7460041</v>
      </c>
      <c r="N2503" s="8" t="str">
        <f t="shared" si="196"/>
        <v>PEN</v>
      </c>
      <c r="O2503" s="13">
        <v>6589.73</v>
      </c>
      <c r="P2503" s="13"/>
      <c r="Q2503" s="3">
        <f t="shared" si="197"/>
        <v>0</v>
      </c>
      <c r="R2503" s="3">
        <f t="shared" si="198"/>
        <v>0</v>
      </c>
      <c r="S2503" s="3">
        <f t="shared" si="199"/>
        <v>25560.780000000021</v>
      </c>
      <c r="T2503" s="24" t="s">
        <v>1081</v>
      </c>
      <c r="U2503" s="24" t="s">
        <v>1081</v>
      </c>
      <c r="V2503" s="69"/>
      <c r="W2503" s="25">
        <f>IFERROR(VLOOKUP(BCP_Soles[[#This Row],[DESTINATARIO]],CHOOSE({1,2},Clientes_Proveedores[Razon Social],Clientes_Proveedores[Ruc / Dni]),2,0),"")</f>
        <v>20558226979</v>
      </c>
      <c r="X2503" s="25"/>
      <c r="Y2503" s="25"/>
      <c r="Z2503" s="25"/>
      <c r="AA2503" s="99"/>
      <c r="AB2503" s="3" t="str">
        <f>IF(BCP_Soles[[#This Row],[FECHA]]&gt;0,TEXT(BCP_Soles[[#This Row],[FECHA]],"mmmm"),0)</f>
        <v>Julio</v>
      </c>
    </row>
    <row r="2504" spans="2:28" x14ac:dyDescent="0.3">
      <c r="B2504" s="2" t="str">
        <f>IF(BCP_Soles[[#This Row],[TIPO DE R.]]="R",COUNTIFS($D$4:$D2503,"R")+1,"")</f>
        <v/>
      </c>
      <c r="C2504" s="19" t="str">
        <f t="shared" si="195"/>
        <v>B-BCP - Soles</v>
      </c>
      <c r="D2504" s="3" t="s">
        <v>1101</v>
      </c>
      <c r="E2504" s="14">
        <v>45847</v>
      </c>
      <c r="F2504" s="5" t="s">
        <v>289</v>
      </c>
      <c r="G2504" s="5"/>
      <c r="H2504" s="6" t="s">
        <v>368</v>
      </c>
      <c r="I2504" s="6" t="s">
        <v>14</v>
      </c>
      <c r="J2504" s="6" t="s">
        <v>1521</v>
      </c>
      <c r="K2504" s="6">
        <v>113</v>
      </c>
      <c r="L2504" s="7" t="s">
        <v>1194</v>
      </c>
      <c r="M2504" s="8">
        <v>7460041</v>
      </c>
      <c r="N2504" s="8" t="str">
        <f t="shared" si="196"/>
        <v>PEN</v>
      </c>
      <c r="O2504" s="13">
        <v>2897.2</v>
      </c>
      <c r="P2504" s="13"/>
      <c r="Q2504" s="3">
        <f t="shared" si="197"/>
        <v>0</v>
      </c>
      <c r="R2504" s="3">
        <f t="shared" si="198"/>
        <v>0</v>
      </c>
      <c r="S2504" s="3">
        <f t="shared" si="199"/>
        <v>25560.780000000021</v>
      </c>
      <c r="T2504" s="24" t="s">
        <v>1081</v>
      </c>
      <c r="U2504" s="24" t="s">
        <v>1081</v>
      </c>
      <c r="V2504" s="69"/>
      <c r="W2504" s="25">
        <f>IFERROR(VLOOKUP(BCP_Soles[[#This Row],[DESTINATARIO]],CHOOSE({1,2},Clientes_Proveedores[Razon Social],Clientes_Proveedores[Ruc / Dni]),2,0),"")</f>
        <v>20558226979</v>
      </c>
      <c r="X2504" s="25"/>
      <c r="Y2504" s="25"/>
      <c r="Z2504" s="25"/>
      <c r="AA2504" s="99"/>
      <c r="AB2504" s="3" t="str">
        <f>IF(BCP_Soles[[#This Row],[FECHA]]&gt;0,TEXT(BCP_Soles[[#This Row],[FECHA]],"mmmm"),0)</f>
        <v>Julio</v>
      </c>
    </row>
    <row r="2505" spans="2:28" ht="24" x14ac:dyDescent="0.3">
      <c r="B2505" s="2">
        <f>IF(BCP_Soles[[#This Row],[TIPO DE R.]]="R",COUNTIFS($D$4:$D2504,"R")+1,"")</f>
        <v>1888</v>
      </c>
      <c r="C2505" s="19" t="str">
        <f t="shared" si="195"/>
        <v>B-BCP - Soles</v>
      </c>
      <c r="D2505" s="3" t="s">
        <v>1074</v>
      </c>
      <c r="E2505" s="14">
        <v>45847</v>
      </c>
      <c r="F2505" s="5" t="s">
        <v>184</v>
      </c>
      <c r="G2505" s="5" t="s">
        <v>1087</v>
      </c>
      <c r="H2505" s="6" t="s">
        <v>368</v>
      </c>
      <c r="I2505" s="6" t="s">
        <v>14</v>
      </c>
      <c r="J2505" s="6" t="s">
        <v>1521</v>
      </c>
      <c r="K2505" s="6">
        <v>106</v>
      </c>
      <c r="L2505" s="7" t="s">
        <v>3535</v>
      </c>
      <c r="M2505" s="8">
        <v>7511990</v>
      </c>
      <c r="N2505" s="8" t="str">
        <f t="shared" si="196"/>
        <v>PEN</v>
      </c>
      <c r="O2505" s="13"/>
      <c r="P2505" s="13">
        <v>10073.65</v>
      </c>
      <c r="Q2505" s="3">
        <f t="shared" si="197"/>
        <v>10073.65</v>
      </c>
      <c r="R2505" s="3">
        <f t="shared" si="198"/>
        <v>0</v>
      </c>
      <c r="S2505" s="3">
        <f t="shared" si="199"/>
        <v>35634.430000000022</v>
      </c>
      <c r="T2505" s="24" t="s">
        <v>1081</v>
      </c>
      <c r="U2505" s="24" t="s">
        <v>1081</v>
      </c>
      <c r="V2505" s="69"/>
      <c r="W2505" s="25">
        <f>IFERROR(VLOOKUP(BCP_Soles[[#This Row],[DESTINATARIO]],CHOOSE({1,2},Clientes_Proveedores[Razon Social],Clientes_Proveedores[Ruc / Dni]),2,0),"")</f>
        <v>20558226979</v>
      </c>
      <c r="X2505" s="25"/>
      <c r="Y2505" s="25"/>
      <c r="Z2505" s="25"/>
      <c r="AA2505" s="99"/>
      <c r="AB2505" s="3" t="str">
        <f>IF(BCP_Soles[[#This Row],[FECHA]]&gt;0,TEXT(BCP_Soles[[#This Row],[FECHA]],"mmmm"),0)</f>
        <v>Julio</v>
      </c>
    </row>
    <row r="2506" spans="2:28" x14ac:dyDescent="0.3">
      <c r="B2506" s="2">
        <f>IF(BCP_Soles[[#This Row],[TIPO DE R.]]="R",COUNTIFS($D$4:$D2505,"R")+1,"")</f>
        <v>1889</v>
      </c>
      <c r="C2506" s="19" t="str">
        <f t="shared" si="195"/>
        <v>B-BCP - Soles</v>
      </c>
      <c r="D2506" s="3" t="s">
        <v>1074</v>
      </c>
      <c r="E2506" s="14">
        <v>45847</v>
      </c>
      <c r="F2506" s="5"/>
      <c r="G2506" s="5" t="s">
        <v>1087</v>
      </c>
      <c r="H2506" s="6" t="s">
        <v>368</v>
      </c>
      <c r="I2506" s="6"/>
      <c r="J2506" s="6"/>
      <c r="K2506" s="6"/>
      <c r="L2506" s="7" t="s">
        <v>3536</v>
      </c>
      <c r="M2506" s="8">
        <v>2188999</v>
      </c>
      <c r="N2506" s="8" t="str">
        <f t="shared" si="196"/>
        <v>PEN</v>
      </c>
      <c r="O2506" s="13"/>
      <c r="P2506" s="13">
        <v>1768.5</v>
      </c>
      <c r="Q2506" s="3">
        <f t="shared" si="197"/>
        <v>1768.5</v>
      </c>
      <c r="R2506" s="3">
        <f t="shared" si="198"/>
        <v>0</v>
      </c>
      <c r="S2506" s="3">
        <f t="shared" si="199"/>
        <v>37402.930000000022</v>
      </c>
      <c r="T2506" s="24"/>
      <c r="U2506" s="24"/>
      <c r="V2506" s="69"/>
      <c r="W2506" s="25">
        <f>IFERROR(VLOOKUP(BCP_Soles[[#This Row],[DESTINATARIO]],CHOOSE({1,2},Clientes_Proveedores[Razon Social],Clientes_Proveedores[Ruc / Dni]),2,0),"")</f>
        <v>20558226979</v>
      </c>
      <c r="X2506" s="25"/>
      <c r="Y2506" s="25"/>
      <c r="Z2506" s="25"/>
      <c r="AA2506" s="99"/>
      <c r="AB2506" s="3" t="str">
        <f>IF(BCP_Soles[[#This Row],[FECHA]]&gt;0,TEXT(BCP_Soles[[#This Row],[FECHA]],"mmmm"),0)</f>
        <v>Julio</v>
      </c>
    </row>
    <row r="2507" spans="2:28" x14ac:dyDescent="0.3">
      <c r="B2507" s="2">
        <f>IF(BCP_Soles[[#This Row],[TIPO DE R.]]="R",COUNTIFS($D$4:$D2506,"R")+1,"")</f>
        <v>1890</v>
      </c>
      <c r="C2507" s="19" t="str">
        <f t="shared" si="195"/>
        <v>B-BCP - Soles</v>
      </c>
      <c r="D2507" s="3" t="s">
        <v>1074</v>
      </c>
      <c r="E2507" s="14">
        <v>45847</v>
      </c>
      <c r="F2507" s="5"/>
      <c r="G2507" s="5" t="s">
        <v>1087</v>
      </c>
      <c r="H2507" s="6" t="s">
        <v>368</v>
      </c>
      <c r="I2507" s="6"/>
      <c r="J2507" s="6"/>
      <c r="K2507" s="6"/>
      <c r="L2507" s="7" t="s">
        <v>1100</v>
      </c>
      <c r="M2507" s="8">
        <v>3606106</v>
      </c>
      <c r="N2507" s="8" t="str">
        <f t="shared" si="196"/>
        <v>PEN</v>
      </c>
      <c r="O2507" s="13"/>
      <c r="P2507" s="13">
        <v>100</v>
      </c>
      <c r="Q2507" s="3">
        <f t="shared" si="197"/>
        <v>100</v>
      </c>
      <c r="R2507" s="3">
        <f t="shared" si="198"/>
        <v>0</v>
      </c>
      <c r="S2507" s="3">
        <f t="shared" si="199"/>
        <v>37502.930000000022</v>
      </c>
      <c r="T2507" s="24"/>
      <c r="U2507" s="24"/>
      <c r="V2507" s="69"/>
      <c r="W2507" s="25">
        <f>IFERROR(VLOOKUP(BCP_Soles[[#This Row],[DESTINATARIO]],CHOOSE({1,2},Clientes_Proveedores[Razon Social],Clientes_Proveedores[Ruc / Dni]),2,0),"")</f>
        <v>20558226979</v>
      </c>
      <c r="X2507" s="25"/>
      <c r="Y2507" s="25"/>
      <c r="Z2507" s="25"/>
      <c r="AA2507" s="99"/>
      <c r="AB2507" s="3" t="str">
        <f>IF(BCP_Soles[[#This Row],[FECHA]]&gt;0,TEXT(BCP_Soles[[#This Row],[FECHA]],"mmmm"),0)</f>
        <v>Julio</v>
      </c>
    </row>
    <row r="2508" spans="2:28" ht="24" x14ac:dyDescent="0.3">
      <c r="B2508" s="2">
        <f>IF(BCP_Soles[[#This Row],[TIPO DE R.]]="R",COUNTIFS($D$4:$D2507,"R")+1,"")</f>
        <v>1891</v>
      </c>
      <c r="C2508" s="19" t="str">
        <f t="shared" si="195"/>
        <v>B-BCP - Soles</v>
      </c>
      <c r="D2508" s="3" t="s">
        <v>1074</v>
      </c>
      <c r="E2508" s="14">
        <v>45847</v>
      </c>
      <c r="F2508" s="5" t="s">
        <v>1075</v>
      </c>
      <c r="G2508" s="5" t="s">
        <v>1079</v>
      </c>
      <c r="H2508" s="6" t="s">
        <v>192</v>
      </c>
      <c r="I2508" s="6"/>
      <c r="J2508" s="6"/>
      <c r="K2508" s="6"/>
      <c r="L2508" s="7" t="s">
        <v>3537</v>
      </c>
      <c r="M2508" s="8">
        <v>1019221</v>
      </c>
      <c r="N2508" s="8" t="str">
        <f t="shared" si="196"/>
        <v>PEN</v>
      </c>
      <c r="O2508" s="13"/>
      <c r="P2508" s="13">
        <v>3000</v>
      </c>
      <c r="Q2508" s="3">
        <f t="shared" si="197"/>
        <v>0</v>
      </c>
      <c r="R2508" s="3">
        <f t="shared" si="198"/>
        <v>3000</v>
      </c>
      <c r="S2508" s="3">
        <f t="shared" si="199"/>
        <v>34502.930000000022</v>
      </c>
      <c r="T2508" s="24"/>
      <c r="U2508" s="24"/>
      <c r="V2508" s="69"/>
      <c r="W2508" s="25">
        <f>IFERROR(VLOOKUP(BCP_Soles[[#This Row],[DESTINATARIO]],CHOOSE({1,2},Clientes_Proveedores[Razon Social],Clientes_Proveedores[Ruc / Dni]),2,0),"")</f>
        <v>20302891452</v>
      </c>
      <c r="X2508" s="25"/>
      <c r="Y2508" s="25"/>
      <c r="Z2508" s="25"/>
      <c r="AA2508" s="99"/>
      <c r="AB2508" s="3" t="str">
        <f>IF(BCP_Soles[[#This Row],[FECHA]]&gt;0,TEXT(BCP_Soles[[#This Row],[FECHA]],"mmmm"),0)</f>
        <v>Julio</v>
      </c>
    </row>
    <row r="2509" spans="2:28" ht="24" x14ac:dyDescent="0.3">
      <c r="B2509" s="2">
        <f>IF(BCP_Soles[[#This Row],[TIPO DE R.]]="R",COUNTIFS($D$4:$D2508,"R")+1,"")</f>
        <v>1892</v>
      </c>
      <c r="C2509" s="19" t="str">
        <f t="shared" si="195"/>
        <v>B-BCP - Soles</v>
      </c>
      <c r="D2509" s="3" t="s">
        <v>1074</v>
      </c>
      <c r="E2509" s="14">
        <v>45847</v>
      </c>
      <c r="F2509" s="5" t="s">
        <v>1075</v>
      </c>
      <c r="G2509" s="5" t="s">
        <v>1079</v>
      </c>
      <c r="H2509" s="6" t="s">
        <v>640</v>
      </c>
      <c r="I2509" s="6"/>
      <c r="J2509" s="6"/>
      <c r="K2509" s="6"/>
      <c r="L2509" s="7" t="s">
        <v>3538</v>
      </c>
      <c r="M2509" s="8">
        <v>4001186</v>
      </c>
      <c r="N2509" s="8" t="str">
        <f t="shared" si="196"/>
        <v>PEN</v>
      </c>
      <c r="O2509" s="13"/>
      <c r="P2509" s="13">
        <v>3219.5</v>
      </c>
      <c r="Q2509" s="3">
        <f t="shared" si="197"/>
        <v>0</v>
      </c>
      <c r="R2509" s="3">
        <f t="shared" si="198"/>
        <v>3219.5</v>
      </c>
      <c r="S2509" s="3">
        <f t="shared" si="199"/>
        <v>31283.430000000022</v>
      </c>
      <c r="T2509" s="24"/>
      <c r="U2509" s="24"/>
      <c r="V2509" s="104"/>
      <c r="W2509" s="25">
        <f>IFERROR(VLOOKUP(BCP_Soles[[#This Row],[DESTINATARIO]],CHOOSE({1,2},Clientes_Proveedores[Razon Social],Clientes_Proveedores[Ruc / Dni]),2,0),"")</f>
        <v>10296347634</v>
      </c>
      <c r="X2509" s="25"/>
      <c r="Y2509" s="25"/>
      <c r="Z2509" s="25"/>
      <c r="AA2509" s="99"/>
      <c r="AB2509" s="3" t="str">
        <f>IF(BCP_Soles[[#This Row],[FECHA]]&gt;0,TEXT(BCP_Soles[[#This Row],[FECHA]],"mmmm"),0)</f>
        <v>Julio</v>
      </c>
    </row>
    <row r="2510" spans="2:28" ht="24" x14ac:dyDescent="0.3">
      <c r="B2510" s="2" t="str">
        <f>IF(BCP_Soles[[#This Row],[TIPO DE R.]]="R",COUNTIFS($D$4:$D2509,"R")+1,"")</f>
        <v/>
      </c>
      <c r="C2510" s="19" t="str">
        <f t="shared" si="195"/>
        <v>B-BCP - Soles</v>
      </c>
      <c r="D2510" s="3" t="s">
        <v>1101</v>
      </c>
      <c r="E2510" s="14">
        <v>45847</v>
      </c>
      <c r="F2510" s="5"/>
      <c r="G2510" s="5"/>
      <c r="H2510" s="6" t="s">
        <v>640</v>
      </c>
      <c r="I2510" s="6"/>
      <c r="J2510" s="6"/>
      <c r="K2510" s="6"/>
      <c r="L2510" s="7" t="s">
        <v>3538</v>
      </c>
      <c r="M2510" s="8">
        <v>4001186</v>
      </c>
      <c r="N2510" s="8" t="str">
        <f t="shared" si="196"/>
        <v>PEN</v>
      </c>
      <c r="O2510" s="13">
        <v>3200</v>
      </c>
      <c r="P2510" s="13"/>
      <c r="Q2510" s="3">
        <f t="shared" si="197"/>
        <v>0</v>
      </c>
      <c r="R2510" s="3">
        <f t="shared" si="198"/>
        <v>0</v>
      </c>
      <c r="S2510" s="3">
        <f t="shared" si="199"/>
        <v>31283.430000000022</v>
      </c>
      <c r="T2510" s="24"/>
      <c r="U2510" s="24"/>
      <c r="V2510" s="104"/>
      <c r="W2510" s="25">
        <f>IFERROR(VLOOKUP(BCP_Soles[[#This Row],[DESTINATARIO]],CHOOSE({1,2},Clientes_Proveedores[Razon Social],Clientes_Proveedores[Ruc / Dni]),2,0),"")</f>
        <v>10296347634</v>
      </c>
      <c r="X2510" s="25"/>
      <c r="Y2510" s="25"/>
      <c r="Z2510" s="25"/>
      <c r="AA2510" s="99"/>
      <c r="AB2510" s="3" t="str">
        <f>IF(BCP_Soles[[#This Row],[FECHA]]&gt;0,TEXT(BCP_Soles[[#This Row],[FECHA]],"mmmm"),0)</f>
        <v>Julio</v>
      </c>
    </row>
    <row r="2511" spans="2:28" ht="24" x14ac:dyDescent="0.3">
      <c r="B2511" s="2" t="str">
        <f>IF(BCP_Soles[[#This Row],[TIPO DE R.]]="R",COUNTIFS($D$4:$D2510,"R")+1,"")</f>
        <v/>
      </c>
      <c r="C2511" s="19" t="str">
        <f t="shared" si="195"/>
        <v>B-BCP - Soles</v>
      </c>
      <c r="D2511" s="3" t="s">
        <v>1101</v>
      </c>
      <c r="E2511" s="14">
        <v>45847</v>
      </c>
      <c r="F2511" s="5"/>
      <c r="G2511" s="5"/>
      <c r="H2511" s="6" t="s">
        <v>1001</v>
      </c>
      <c r="I2511" s="6" t="s">
        <v>14</v>
      </c>
      <c r="J2511" s="6" t="s">
        <v>3128</v>
      </c>
      <c r="K2511" s="6">
        <v>34498361</v>
      </c>
      <c r="L2511" s="7" t="s">
        <v>3538</v>
      </c>
      <c r="M2511" s="8">
        <v>4001186</v>
      </c>
      <c r="N2511" s="8" t="str">
        <f t="shared" si="196"/>
        <v>PEN</v>
      </c>
      <c r="O2511" s="13">
        <v>19.5</v>
      </c>
      <c r="P2511" s="13"/>
      <c r="Q2511" s="3">
        <f t="shared" si="197"/>
        <v>0</v>
      </c>
      <c r="R2511" s="3">
        <f t="shared" si="198"/>
        <v>0</v>
      </c>
      <c r="S2511" s="3">
        <f t="shared" si="199"/>
        <v>31283.430000000022</v>
      </c>
      <c r="T2511" s="24" t="s">
        <v>1081</v>
      </c>
      <c r="U2511" s="24"/>
      <c r="V2511" s="104"/>
      <c r="W2511" s="25">
        <f>IFERROR(VLOOKUP(BCP_Soles[[#This Row],[DESTINATARIO]],CHOOSE({1,2},Clientes_Proveedores[Razon Social],Clientes_Proveedores[Ruc / Dni]),2,0),"")</f>
        <v>20100047218</v>
      </c>
      <c r="X2511" s="25"/>
      <c r="Y2511" s="25"/>
      <c r="Z2511" s="25"/>
      <c r="AA2511" s="99"/>
      <c r="AB2511" s="3" t="str">
        <f>IF(BCP_Soles[[#This Row],[FECHA]]&gt;0,TEXT(BCP_Soles[[#This Row],[FECHA]],"mmmm"),0)</f>
        <v>Julio</v>
      </c>
    </row>
    <row r="2512" spans="2:28" ht="24" x14ac:dyDescent="0.3">
      <c r="B2512" s="2">
        <f>IF(BCP_Soles[[#This Row],[TIPO DE R.]]="R",COUNTIFS($D$4:$D2511,"R")+1,"")</f>
        <v>1893</v>
      </c>
      <c r="C2512" s="19" t="str">
        <f t="shared" si="195"/>
        <v>B-BCP - Soles</v>
      </c>
      <c r="D2512" s="3" t="s">
        <v>1074</v>
      </c>
      <c r="E2512" s="14">
        <v>45847</v>
      </c>
      <c r="F2512" s="5" t="s">
        <v>1075</v>
      </c>
      <c r="G2512" s="5" t="s">
        <v>1079</v>
      </c>
      <c r="H2512" s="6" t="s">
        <v>766</v>
      </c>
      <c r="I2512" s="6"/>
      <c r="J2512" s="6"/>
      <c r="K2512" s="6"/>
      <c r="L2512" s="7" t="s">
        <v>3539</v>
      </c>
      <c r="M2512" s="8">
        <v>1016235</v>
      </c>
      <c r="N2512" s="8" t="str">
        <f t="shared" si="196"/>
        <v>PEN</v>
      </c>
      <c r="O2512" s="13"/>
      <c r="P2512" s="13">
        <v>126.56</v>
      </c>
      <c r="Q2512" s="3">
        <f t="shared" si="197"/>
        <v>0</v>
      </c>
      <c r="R2512" s="3">
        <f t="shared" si="198"/>
        <v>126.56</v>
      </c>
      <c r="S2512" s="3">
        <f t="shared" si="199"/>
        <v>31156.870000000021</v>
      </c>
      <c r="T2512" s="24"/>
      <c r="U2512" s="24"/>
      <c r="V2512" s="104"/>
      <c r="W2512" s="25">
        <f>IFERROR(VLOOKUP(BCP_Soles[[#This Row],[DESTINATARIO]],CHOOSE({1,2},Clientes_Proveedores[Razon Social],Clientes_Proveedores[Ruc / Dni]),2,0),"")</f>
        <v>46799833</v>
      </c>
      <c r="X2512" s="25"/>
      <c r="Y2512" s="25"/>
      <c r="Z2512" s="25"/>
      <c r="AA2512" s="99"/>
      <c r="AB2512" s="3" t="str">
        <f>IF(BCP_Soles[[#This Row],[FECHA]]&gt;0,TEXT(BCP_Soles[[#This Row],[FECHA]],"mmmm"),0)</f>
        <v>Julio</v>
      </c>
    </row>
    <row r="2513" spans="2:28" ht="24" x14ac:dyDescent="0.3">
      <c r="B2513" s="2">
        <f>IF(BCP_Soles[[#This Row],[TIPO DE R.]]="R",COUNTIFS($D$4:$D2512,"R")+1,"")</f>
        <v>1894</v>
      </c>
      <c r="C2513" s="19" t="str">
        <f t="shared" si="195"/>
        <v>B-BCP - Soles</v>
      </c>
      <c r="D2513" s="3" t="s">
        <v>1074</v>
      </c>
      <c r="E2513" s="14">
        <v>45847</v>
      </c>
      <c r="F2513" s="5" t="s">
        <v>1996</v>
      </c>
      <c r="G2513" s="5" t="s">
        <v>1079</v>
      </c>
      <c r="H2513" s="6" t="s">
        <v>425</v>
      </c>
      <c r="I2513" s="6" t="s">
        <v>14</v>
      </c>
      <c r="J2513" s="6" t="s">
        <v>1119</v>
      </c>
      <c r="K2513" s="6">
        <v>494</v>
      </c>
      <c r="L2513" s="7" t="s">
        <v>3540</v>
      </c>
      <c r="M2513" s="8">
        <v>1073052</v>
      </c>
      <c r="N2513" s="8" t="str">
        <f t="shared" si="196"/>
        <v>PEN</v>
      </c>
      <c r="O2513" s="13"/>
      <c r="P2513" s="13">
        <v>389.4</v>
      </c>
      <c r="Q2513" s="3">
        <f t="shared" si="197"/>
        <v>0</v>
      </c>
      <c r="R2513" s="3">
        <f t="shared" si="198"/>
        <v>389.4</v>
      </c>
      <c r="S2513" s="3">
        <f t="shared" si="199"/>
        <v>30767.470000000019</v>
      </c>
      <c r="T2513" s="24" t="s">
        <v>1081</v>
      </c>
      <c r="U2513" s="24" t="s">
        <v>1081</v>
      </c>
      <c r="V2513" s="104" t="s">
        <v>3541</v>
      </c>
      <c r="W2513" s="25">
        <f>IFERROR(VLOOKUP(BCP_Soles[[#This Row],[DESTINATARIO]],CHOOSE({1,2},Clientes_Proveedores[Razon Social],Clientes_Proveedores[Ruc / Dni]),2,0),"")</f>
        <v>20602441165</v>
      </c>
      <c r="X2513" s="25"/>
      <c r="Y2513" s="25"/>
      <c r="Z2513" s="25"/>
      <c r="AA2513" s="99"/>
      <c r="AB2513" s="3" t="str">
        <f>IF(BCP_Soles[[#This Row],[FECHA]]&gt;0,TEXT(BCP_Soles[[#This Row],[FECHA]],"mmmm"),0)</f>
        <v>Julio</v>
      </c>
    </row>
    <row r="2514" spans="2:28" ht="24" x14ac:dyDescent="0.3">
      <c r="B2514" s="2">
        <f>IF(BCP_Soles[[#This Row],[TIPO DE R.]]="R",COUNTIFS($D$4:$D2513,"R")+1,"")</f>
        <v>1895</v>
      </c>
      <c r="C2514" s="19" t="str">
        <f t="shared" si="195"/>
        <v>B-BCP - Soles</v>
      </c>
      <c r="D2514" s="3" t="s">
        <v>1074</v>
      </c>
      <c r="E2514" s="14">
        <v>45847</v>
      </c>
      <c r="F2514" s="5" t="s">
        <v>1996</v>
      </c>
      <c r="G2514" s="5" t="s">
        <v>1079</v>
      </c>
      <c r="H2514" s="6" t="s">
        <v>425</v>
      </c>
      <c r="I2514" s="6" t="s">
        <v>14</v>
      </c>
      <c r="J2514" s="6" t="s">
        <v>1119</v>
      </c>
      <c r="K2514" s="6">
        <v>495</v>
      </c>
      <c r="L2514" s="7" t="s">
        <v>3542</v>
      </c>
      <c r="M2514" s="8">
        <v>1072086</v>
      </c>
      <c r="N2514" s="8" t="str">
        <f t="shared" si="196"/>
        <v>PEN</v>
      </c>
      <c r="O2514" s="13"/>
      <c r="P2514" s="13">
        <v>112</v>
      </c>
      <c r="Q2514" s="3">
        <f t="shared" si="197"/>
        <v>0</v>
      </c>
      <c r="R2514" s="3">
        <f t="shared" si="198"/>
        <v>112</v>
      </c>
      <c r="S2514" s="3">
        <f t="shared" si="199"/>
        <v>30655.470000000019</v>
      </c>
      <c r="T2514" s="24" t="s">
        <v>1081</v>
      </c>
      <c r="U2514" s="24" t="s">
        <v>1081</v>
      </c>
      <c r="V2514" s="104" t="s">
        <v>3543</v>
      </c>
      <c r="W2514" s="25">
        <f>IFERROR(VLOOKUP(BCP_Soles[[#This Row],[DESTINATARIO]],CHOOSE({1,2},Clientes_Proveedores[Razon Social],Clientes_Proveedores[Ruc / Dni]),2,0),"")</f>
        <v>20602441165</v>
      </c>
      <c r="X2514" s="25"/>
      <c r="Y2514" s="25"/>
      <c r="Z2514" s="25"/>
      <c r="AA2514" s="99"/>
      <c r="AB2514" s="3" t="str">
        <f>IF(BCP_Soles[[#This Row],[FECHA]]&gt;0,TEXT(BCP_Soles[[#This Row],[FECHA]],"mmmm"),0)</f>
        <v>Julio</v>
      </c>
    </row>
    <row r="2515" spans="2:28" ht="24" x14ac:dyDescent="0.3">
      <c r="B2515" s="2">
        <f>IF(BCP_Soles[[#This Row],[TIPO DE R.]]="R",COUNTIFS($D$4:$D2514,"R")+1,"")</f>
        <v>1896</v>
      </c>
      <c r="C2515" s="19" t="str">
        <f t="shared" si="195"/>
        <v>B-BCP - Soles</v>
      </c>
      <c r="D2515" s="3" t="s">
        <v>1074</v>
      </c>
      <c r="E2515" s="14">
        <v>45847</v>
      </c>
      <c r="F2515" s="5" t="s">
        <v>1075</v>
      </c>
      <c r="G2515" s="5" t="s">
        <v>1079</v>
      </c>
      <c r="H2515" s="6" t="s">
        <v>652</v>
      </c>
      <c r="I2515" s="6" t="s">
        <v>52</v>
      </c>
      <c r="J2515" s="6">
        <v>1</v>
      </c>
      <c r="K2515" s="6">
        <v>59630261</v>
      </c>
      <c r="L2515" s="7" t="s">
        <v>3166</v>
      </c>
      <c r="M2515" s="8">
        <v>75518</v>
      </c>
      <c r="N2515" s="8" t="str">
        <f t="shared" si="196"/>
        <v>PEN</v>
      </c>
      <c r="O2515" s="13"/>
      <c r="P2515" s="13">
        <v>471.5</v>
      </c>
      <c r="Q2515" s="3">
        <f t="shared" si="197"/>
        <v>0</v>
      </c>
      <c r="R2515" s="3">
        <f t="shared" si="198"/>
        <v>471.5</v>
      </c>
      <c r="S2515" s="3">
        <f t="shared" si="199"/>
        <v>30183.970000000019</v>
      </c>
      <c r="T2515" s="24" t="s">
        <v>1081</v>
      </c>
      <c r="U2515" s="24" t="s">
        <v>1081</v>
      </c>
      <c r="V2515" s="104" t="s">
        <v>3544</v>
      </c>
      <c r="W2515" s="25">
        <f>IFERROR(VLOOKUP(BCP_Soles[[#This Row],[DESTINATARIO]],CHOOSE({1,2},Clientes_Proveedores[Razon Social],Clientes_Proveedores[Ruc / Dni]),2,0),"")</f>
        <v>20100211034</v>
      </c>
      <c r="X2515" s="25"/>
      <c r="Y2515" s="25"/>
      <c r="Z2515" s="25"/>
      <c r="AA2515" s="99"/>
      <c r="AB2515" s="3" t="str">
        <f>IF(BCP_Soles[[#This Row],[FECHA]]&gt;0,TEXT(BCP_Soles[[#This Row],[FECHA]],"mmmm"),0)</f>
        <v>Julio</v>
      </c>
    </row>
    <row r="2516" spans="2:28" x14ac:dyDescent="0.3">
      <c r="B2516" s="2">
        <f>IF(BCP_Soles[[#This Row],[TIPO DE R.]]="R",COUNTIFS($D$4:$D2515,"R")+1,"")</f>
        <v>1897</v>
      </c>
      <c r="C2516" s="19" t="str">
        <f t="shared" si="195"/>
        <v>B-BCP - Soles</v>
      </c>
      <c r="D2516" s="3" t="s">
        <v>1074</v>
      </c>
      <c r="E2516" s="14">
        <v>45847</v>
      </c>
      <c r="F2516" s="5" t="s">
        <v>1996</v>
      </c>
      <c r="G2516" s="5" t="s">
        <v>1079</v>
      </c>
      <c r="H2516" s="6" t="s">
        <v>638</v>
      </c>
      <c r="I2516" s="6"/>
      <c r="J2516" s="6"/>
      <c r="K2516" s="6"/>
      <c r="L2516" s="7" t="s">
        <v>3545</v>
      </c>
      <c r="M2516" s="8">
        <v>7294908</v>
      </c>
      <c r="N2516" s="8" t="str">
        <f t="shared" si="196"/>
        <v>PEN</v>
      </c>
      <c r="O2516" s="13"/>
      <c r="P2516" s="13">
        <v>3437.97</v>
      </c>
      <c r="Q2516" s="3">
        <f t="shared" si="197"/>
        <v>0</v>
      </c>
      <c r="R2516" s="3">
        <f t="shared" si="198"/>
        <v>3437.97</v>
      </c>
      <c r="S2516" s="3">
        <f t="shared" si="199"/>
        <v>26746.000000000018</v>
      </c>
      <c r="T2516" s="24" t="s">
        <v>1081</v>
      </c>
      <c r="U2516" s="24" t="s">
        <v>1081</v>
      </c>
      <c r="V2516" s="103" t="s">
        <v>3546</v>
      </c>
      <c r="W2516" s="25">
        <f>IFERROR(VLOOKUP(BCP_Soles[[#This Row],[DESTINATARIO]],CHOOSE({1,2},Clientes_Proveedores[Razon Social],Clientes_Proveedores[Ruc / Dni]),2,0),"")</f>
        <v>0</v>
      </c>
      <c r="X2516" s="25"/>
      <c r="Y2516" s="25"/>
      <c r="Z2516" s="25"/>
      <c r="AA2516" s="99"/>
      <c r="AB2516" s="3" t="str">
        <f>IF(BCP_Soles[[#This Row],[FECHA]]&gt;0,TEXT(BCP_Soles[[#This Row],[FECHA]],"mmmm"),0)</f>
        <v>Julio</v>
      </c>
    </row>
    <row r="2517" spans="2:28" ht="24" x14ac:dyDescent="0.3">
      <c r="B2517" s="2" t="str">
        <f>IF(BCP_Soles[[#This Row],[TIPO DE R.]]="R",COUNTIFS($D$4:$D2516,"R")+1,"")</f>
        <v/>
      </c>
      <c r="C2517" s="19" t="str">
        <f t="shared" si="195"/>
        <v>B-BCP - Soles</v>
      </c>
      <c r="D2517" s="3" t="s">
        <v>1101</v>
      </c>
      <c r="E2517" s="14">
        <v>45847</v>
      </c>
      <c r="F2517" s="5" t="s">
        <v>1996</v>
      </c>
      <c r="G2517" s="5"/>
      <c r="H2517" s="6" t="s">
        <v>446</v>
      </c>
      <c r="I2517" s="6" t="s">
        <v>14</v>
      </c>
      <c r="J2517" s="6" t="s">
        <v>1121</v>
      </c>
      <c r="K2517" s="6">
        <v>721</v>
      </c>
      <c r="L2517" s="7" t="s">
        <v>3545</v>
      </c>
      <c r="M2517" s="8">
        <v>7294908</v>
      </c>
      <c r="N2517" s="8" t="str">
        <f t="shared" si="196"/>
        <v>PEN</v>
      </c>
      <c r="O2517" s="13">
        <v>50</v>
      </c>
      <c r="P2517" s="13"/>
      <c r="Q2517" s="3">
        <f t="shared" si="197"/>
        <v>0</v>
      </c>
      <c r="R2517" s="3">
        <f t="shared" si="198"/>
        <v>0</v>
      </c>
      <c r="S2517" s="3">
        <f t="shared" si="199"/>
        <v>26746.000000000018</v>
      </c>
      <c r="T2517" s="24" t="s">
        <v>1081</v>
      </c>
      <c r="U2517" s="24" t="s">
        <v>1081</v>
      </c>
      <c r="V2517" s="103" t="s">
        <v>3546</v>
      </c>
      <c r="W2517" s="25">
        <f>IFERROR(VLOOKUP(BCP_Soles[[#This Row],[DESTINATARIO]],CHOOSE({1,2},Clientes_Proveedores[Razon Social],Clientes_Proveedores[Ruc / Dni]),2,0),"")</f>
        <v>20603001461</v>
      </c>
      <c r="X2517" s="25"/>
      <c r="Y2517" s="25"/>
      <c r="Z2517" s="25"/>
      <c r="AA2517" s="99"/>
      <c r="AB2517" s="3" t="str">
        <f>IF(BCP_Soles[[#This Row],[FECHA]]&gt;0,TEXT(BCP_Soles[[#This Row],[FECHA]],"mmmm"),0)</f>
        <v>Julio</v>
      </c>
    </row>
    <row r="2518" spans="2:28" ht="36" x14ac:dyDescent="0.3">
      <c r="B2518" s="2" t="str">
        <f>IF(BCP_Soles[[#This Row],[TIPO DE R.]]="R",COUNTIFS($D$4:$D2517,"R")+1,"")</f>
        <v/>
      </c>
      <c r="C2518" s="19" t="str">
        <f t="shared" si="195"/>
        <v>B-BCP - Soles</v>
      </c>
      <c r="D2518" s="3" t="s">
        <v>1101</v>
      </c>
      <c r="E2518" s="14">
        <v>45847</v>
      </c>
      <c r="F2518" s="5" t="s">
        <v>1996</v>
      </c>
      <c r="G2518" s="5"/>
      <c r="H2518" s="6" t="s">
        <v>617</v>
      </c>
      <c r="I2518" s="6" t="s">
        <v>14</v>
      </c>
      <c r="J2518" s="6" t="s">
        <v>2629</v>
      </c>
      <c r="K2518" s="6">
        <v>1403</v>
      </c>
      <c r="L2518" s="7" t="s">
        <v>3545</v>
      </c>
      <c r="M2518" s="8">
        <v>7294908</v>
      </c>
      <c r="N2518" s="8" t="str">
        <f t="shared" si="196"/>
        <v>PEN</v>
      </c>
      <c r="O2518" s="13">
        <v>684.99</v>
      </c>
      <c r="P2518" s="13"/>
      <c r="Q2518" s="3">
        <f t="shared" si="197"/>
        <v>0</v>
      </c>
      <c r="R2518" s="3">
        <f t="shared" si="198"/>
        <v>0</v>
      </c>
      <c r="S2518" s="3">
        <f t="shared" si="199"/>
        <v>26746.000000000018</v>
      </c>
      <c r="T2518" s="24" t="s">
        <v>1081</v>
      </c>
      <c r="U2518" s="24" t="s">
        <v>1081</v>
      </c>
      <c r="V2518" s="103" t="s">
        <v>3546</v>
      </c>
      <c r="W2518" s="25">
        <f>IFERROR(VLOOKUP(BCP_Soles[[#This Row],[DESTINATARIO]],CHOOSE({1,2},Clientes_Proveedores[Razon Social],Clientes_Proveedores[Ruc / Dni]),2,0),"")</f>
        <v>20455911401</v>
      </c>
      <c r="X2518" s="25"/>
      <c r="Y2518" s="25"/>
      <c r="Z2518" s="25"/>
      <c r="AA2518" s="99"/>
      <c r="AB2518" s="3" t="str">
        <f>IF(BCP_Soles[[#This Row],[FECHA]]&gt;0,TEXT(BCP_Soles[[#This Row],[FECHA]],"mmmm"),0)</f>
        <v>Julio</v>
      </c>
    </row>
    <row r="2519" spans="2:28" ht="36" x14ac:dyDescent="0.3">
      <c r="B2519" s="2" t="str">
        <f>IF(BCP_Soles[[#This Row],[TIPO DE R.]]="R",COUNTIFS($D$4:$D2518,"R")+1,"")</f>
        <v/>
      </c>
      <c r="C2519" s="19" t="str">
        <f t="shared" si="195"/>
        <v>B-BCP - Soles</v>
      </c>
      <c r="D2519" s="3" t="s">
        <v>1101</v>
      </c>
      <c r="E2519" s="14">
        <v>45847</v>
      </c>
      <c r="F2519" s="5" t="s">
        <v>1996</v>
      </c>
      <c r="G2519" s="5"/>
      <c r="H2519" s="6" t="s">
        <v>617</v>
      </c>
      <c r="I2519" s="6" t="s">
        <v>14</v>
      </c>
      <c r="J2519" s="6" t="s">
        <v>2629</v>
      </c>
      <c r="K2519" s="6">
        <v>1588</v>
      </c>
      <c r="L2519" s="7" t="s">
        <v>3545</v>
      </c>
      <c r="M2519" s="8">
        <v>7294908</v>
      </c>
      <c r="N2519" s="8" t="str">
        <f t="shared" si="196"/>
        <v>PEN</v>
      </c>
      <c r="O2519" s="13">
        <v>532.77</v>
      </c>
      <c r="P2519" s="13"/>
      <c r="Q2519" s="3">
        <f t="shared" si="197"/>
        <v>0</v>
      </c>
      <c r="R2519" s="3">
        <f t="shared" si="198"/>
        <v>0</v>
      </c>
      <c r="S2519" s="3">
        <f t="shared" si="199"/>
        <v>26746.000000000018</v>
      </c>
      <c r="T2519" s="24" t="s">
        <v>1081</v>
      </c>
      <c r="U2519" s="24" t="s">
        <v>1081</v>
      </c>
      <c r="V2519" s="103" t="s">
        <v>3546</v>
      </c>
      <c r="W2519" s="25">
        <f>IFERROR(VLOOKUP(BCP_Soles[[#This Row],[DESTINATARIO]],CHOOSE({1,2},Clientes_Proveedores[Razon Social],Clientes_Proveedores[Ruc / Dni]),2,0),"")</f>
        <v>20455911401</v>
      </c>
      <c r="X2519" s="25"/>
      <c r="Y2519" s="25"/>
      <c r="Z2519" s="25"/>
      <c r="AA2519" s="99"/>
      <c r="AB2519" s="3" t="str">
        <f>IF(BCP_Soles[[#This Row],[FECHA]]&gt;0,TEXT(BCP_Soles[[#This Row],[FECHA]],"mmmm"),0)</f>
        <v>Julio</v>
      </c>
    </row>
    <row r="2520" spans="2:28" ht="24" x14ac:dyDescent="0.3">
      <c r="B2520" s="2" t="str">
        <f>IF(BCP_Soles[[#This Row],[TIPO DE R.]]="R",COUNTIFS($D$4:$D2519,"R")+1,"")</f>
        <v/>
      </c>
      <c r="C2520" s="19" t="str">
        <f t="shared" si="195"/>
        <v>B-BCP - Soles</v>
      </c>
      <c r="D2520" s="3" t="s">
        <v>1101</v>
      </c>
      <c r="E2520" s="14">
        <v>45847</v>
      </c>
      <c r="F2520" s="5" t="s">
        <v>1996</v>
      </c>
      <c r="G2520" s="5"/>
      <c r="H2520" s="6" t="s">
        <v>214</v>
      </c>
      <c r="I2520" s="6" t="s">
        <v>14</v>
      </c>
      <c r="J2520" s="6" t="s">
        <v>1120</v>
      </c>
      <c r="K2520" s="6">
        <v>6924</v>
      </c>
      <c r="L2520" s="7" t="s">
        <v>3545</v>
      </c>
      <c r="M2520" s="8">
        <v>7294908</v>
      </c>
      <c r="N2520" s="8" t="str">
        <f t="shared" si="196"/>
        <v>PEN</v>
      </c>
      <c r="O2520" s="13">
        <v>595.45000000000005</v>
      </c>
      <c r="P2520" s="13"/>
      <c r="Q2520" s="3">
        <f t="shared" si="197"/>
        <v>0</v>
      </c>
      <c r="R2520" s="3">
        <f t="shared" si="198"/>
        <v>0</v>
      </c>
      <c r="S2520" s="3">
        <f t="shared" si="199"/>
        <v>26746.000000000018</v>
      </c>
      <c r="T2520" s="24" t="s">
        <v>1081</v>
      </c>
      <c r="U2520" s="24" t="s">
        <v>1081</v>
      </c>
      <c r="V2520" s="103" t="s">
        <v>3546</v>
      </c>
      <c r="W2520" s="25">
        <f>IFERROR(VLOOKUP(BCP_Soles[[#This Row],[DESTINATARIO]],CHOOSE({1,2},Clientes_Proveedores[Razon Social],Clientes_Proveedores[Ruc / Dni]),2,0),"")</f>
        <v>20419158462</v>
      </c>
      <c r="X2520" s="25"/>
      <c r="Y2520" s="25"/>
      <c r="Z2520" s="25"/>
      <c r="AA2520" s="99"/>
      <c r="AB2520" s="3" t="str">
        <f>IF(BCP_Soles[[#This Row],[FECHA]]&gt;0,TEXT(BCP_Soles[[#This Row],[FECHA]],"mmmm"),0)</f>
        <v>Julio</v>
      </c>
    </row>
    <row r="2521" spans="2:28" ht="24" x14ac:dyDescent="0.3">
      <c r="B2521" s="2" t="str">
        <f>IF(BCP_Soles[[#This Row],[TIPO DE R.]]="R",COUNTIFS($D$4:$D2520,"R")+1,"")</f>
        <v/>
      </c>
      <c r="C2521" s="19" t="str">
        <f t="shared" si="195"/>
        <v>B-BCP - Soles</v>
      </c>
      <c r="D2521" s="3" t="s">
        <v>1101</v>
      </c>
      <c r="E2521" s="14">
        <v>45847</v>
      </c>
      <c r="F2521" s="5" t="s">
        <v>1996</v>
      </c>
      <c r="G2521" s="5"/>
      <c r="H2521" s="6" t="s">
        <v>130</v>
      </c>
      <c r="I2521" s="6" t="s">
        <v>14</v>
      </c>
      <c r="J2521" s="6" t="s">
        <v>1121</v>
      </c>
      <c r="K2521" s="6">
        <v>492</v>
      </c>
      <c r="L2521" s="7" t="s">
        <v>3545</v>
      </c>
      <c r="M2521" s="8">
        <v>7294908</v>
      </c>
      <c r="N2521" s="8" t="str">
        <f t="shared" si="196"/>
        <v>PEN</v>
      </c>
      <c r="O2521" s="13">
        <v>130</v>
      </c>
      <c r="P2521" s="13"/>
      <c r="Q2521" s="3">
        <f t="shared" si="197"/>
        <v>0</v>
      </c>
      <c r="R2521" s="3">
        <f t="shared" si="198"/>
        <v>0</v>
      </c>
      <c r="S2521" s="3">
        <f t="shared" si="199"/>
        <v>26746.000000000018</v>
      </c>
      <c r="T2521" s="24" t="s">
        <v>1081</v>
      </c>
      <c r="U2521" s="24" t="s">
        <v>1081</v>
      </c>
      <c r="V2521" s="103" t="s">
        <v>3546</v>
      </c>
      <c r="W2521" s="25">
        <f>IFERROR(VLOOKUP(BCP_Soles[[#This Row],[DESTINATARIO]],CHOOSE({1,2},Clientes_Proveedores[Razon Social],Clientes_Proveedores[Ruc / Dni]),2,0),"")</f>
        <v>10706063426</v>
      </c>
      <c r="X2521" s="25"/>
      <c r="Y2521" s="25"/>
      <c r="Z2521" s="25"/>
      <c r="AA2521" s="99"/>
      <c r="AB2521" s="3" t="str">
        <f>IF(BCP_Soles[[#This Row],[FECHA]]&gt;0,TEXT(BCP_Soles[[#This Row],[FECHA]],"mmmm"),0)</f>
        <v>Julio</v>
      </c>
    </row>
    <row r="2522" spans="2:28" ht="24" x14ac:dyDescent="0.3">
      <c r="B2522" s="2" t="str">
        <f>IF(BCP_Soles[[#This Row],[TIPO DE R.]]="R",COUNTIFS($D$4:$D2521,"R")+1,"")</f>
        <v/>
      </c>
      <c r="C2522" s="19" t="str">
        <f t="shared" si="195"/>
        <v>B-BCP - Soles</v>
      </c>
      <c r="D2522" s="3" t="s">
        <v>1101</v>
      </c>
      <c r="E2522" s="14">
        <v>45847</v>
      </c>
      <c r="F2522" s="5" t="s">
        <v>1996</v>
      </c>
      <c r="G2522" s="5"/>
      <c r="H2522" s="6" t="s">
        <v>634</v>
      </c>
      <c r="I2522" s="6" t="s">
        <v>14</v>
      </c>
      <c r="J2522" s="6" t="s">
        <v>1121</v>
      </c>
      <c r="K2522" s="6">
        <v>10</v>
      </c>
      <c r="L2522" s="7" t="s">
        <v>3545</v>
      </c>
      <c r="M2522" s="8">
        <v>7294908</v>
      </c>
      <c r="N2522" s="8" t="str">
        <f t="shared" si="196"/>
        <v>PEN</v>
      </c>
      <c r="O2522" s="13">
        <v>453</v>
      </c>
      <c r="P2522" s="13"/>
      <c r="Q2522" s="3">
        <f t="shared" si="197"/>
        <v>0</v>
      </c>
      <c r="R2522" s="3">
        <f t="shared" si="198"/>
        <v>0</v>
      </c>
      <c r="S2522" s="3">
        <f t="shared" si="199"/>
        <v>26746.000000000018</v>
      </c>
      <c r="T2522" s="24" t="s">
        <v>1081</v>
      </c>
      <c r="U2522" s="24" t="s">
        <v>1081</v>
      </c>
      <c r="V2522" s="103" t="s">
        <v>3546</v>
      </c>
      <c r="W2522" s="25">
        <f>IFERROR(VLOOKUP(BCP_Soles[[#This Row],[DESTINATARIO]],CHOOSE({1,2},Clientes_Proveedores[Razon Social],Clientes_Proveedores[Ruc / Dni]),2,0),"")</f>
        <v>10736055631</v>
      </c>
      <c r="X2522" s="25"/>
      <c r="Y2522" s="25"/>
      <c r="Z2522" s="25"/>
      <c r="AA2522" s="99"/>
      <c r="AB2522" s="3" t="str">
        <f>IF(BCP_Soles[[#This Row],[FECHA]]&gt;0,TEXT(BCP_Soles[[#This Row],[FECHA]],"mmmm"),0)</f>
        <v>Julio</v>
      </c>
    </row>
    <row r="2523" spans="2:28" ht="24" x14ac:dyDescent="0.3">
      <c r="B2523" s="2" t="str">
        <f>IF(BCP_Soles[[#This Row],[TIPO DE R.]]="R",COUNTIFS($D$4:$D2522,"R")+1,"")</f>
        <v/>
      </c>
      <c r="C2523" s="19" t="str">
        <f t="shared" si="195"/>
        <v>B-BCP - Soles</v>
      </c>
      <c r="D2523" s="3" t="s">
        <v>1101</v>
      </c>
      <c r="E2523" s="14">
        <v>45847</v>
      </c>
      <c r="F2523" s="5" t="s">
        <v>1996</v>
      </c>
      <c r="G2523" s="5"/>
      <c r="H2523" s="6" t="s">
        <v>130</v>
      </c>
      <c r="I2523" s="6" t="s">
        <v>14</v>
      </c>
      <c r="J2523" s="6" t="s">
        <v>1121</v>
      </c>
      <c r="K2523" s="6">
        <v>458</v>
      </c>
      <c r="L2523" s="7" t="s">
        <v>3545</v>
      </c>
      <c r="M2523" s="8">
        <v>7294908</v>
      </c>
      <c r="N2523" s="8" t="str">
        <f t="shared" si="196"/>
        <v>PEN</v>
      </c>
      <c r="O2523" s="13">
        <v>100</v>
      </c>
      <c r="P2523" s="13"/>
      <c r="Q2523" s="3">
        <f t="shared" si="197"/>
        <v>0</v>
      </c>
      <c r="R2523" s="3">
        <f t="shared" si="198"/>
        <v>0</v>
      </c>
      <c r="S2523" s="3">
        <f t="shared" si="199"/>
        <v>26746.000000000018</v>
      </c>
      <c r="T2523" s="24" t="s">
        <v>1081</v>
      </c>
      <c r="U2523" s="24" t="s">
        <v>1081</v>
      </c>
      <c r="V2523" s="103" t="s">
        <v>3546</v>
      </c>
      <c r="W2523" s="25">
        <f>IFERROR(VLOOKUP(BCP_Soles[[#This Row],[DESTINATARIO]],CHOOSE({1,2},Clientes_Proveedores[Razon Social],Clientes_Proveedores[Ruc / Dni]),2,0),"")</f>
        <v>10706063426</v>
      </c>
      <c r="X2523" s="25"/>
      <c r="Y2523" s="25"/>
      <c r="Z2523" s="25"/>
      <c r="AA2523" s="99"/>
      <c r="AB2523" s="3" t="str">
        <f>IF(BCP_Soles[[#This Row],[FECHA]]&gt;0,TEXT(BCP_Soles[[#This Row],[FECHA]],"mmmm"),0)</f>
        <v>Julio</v>
      </c>
    </row>
    <row r="2524" spans="2:28" ht="36" x14ac:dyDescent="0.3">
      <c r="B2524" s="2" t="str">
        <f>IF(BCP_Soles[[#This Row],[TIPO DE R.]]="R",COUNTIFS($D$4:$D2523,"R")+1,"")</f>
        <v/>
      </c>
      <c r="C2524" s="19" t="str">
        <f t="shared" si="195"/>
        <v>B-BCP - Soles</v>
      </c>
      <c r="D2524" s="3" t="s">
        <v>1101</v>
      </c>
      <c r="E2524" s="14">
        <v>45847</v>
      </c>
      <c r="F2524" s="5" t="s">
        <v>1996</v>
      </c>
      <c r="G2524" s="5"/>
      <c r="H2524" s="6" t="s">
        <v>617</v>
      </c>
      <c r="I2524" s="6" t="s">
        <v>14</v>
      </c>
      <c r="J2524" s="6" t="s">
        <v>2629</v>
      </c>
      <c r="K2524" s="6">
        <v>1426</v>
      </c>
      <c r="L2524" s="7" t="s">
        <v>3545</v>
      </c>
      <c r="M2524" s="8">
        <v>7294908</v>
      </c>
      <c r="N2524" s="8" t="str">
        <f t="shared" si="196"/>
        <v>PEN</v>
      </c>
      <c r="O2524" s="13">
        <v>266.16000000000003</v>
      </c>
      <c r="P2524" s="13"/>
      <c r="Q2524" s="3">
        <f t="shared" si="197"/>
        <v>0</v>
      </c>
      <c r="R2524" s="3">
        <f t="shared" si="198"/>
        <v>0</v>
      </c>
      <c r="S2524" s="3">
        <f t="shared" si="199"/>
        <v>26746.000000000018</v>
      </c>
      <c r="T2524" s="24" t="s">
        <v>1081</v>
      </c>
      <c r="U2524" s="24" t="s">
        <v>1081</v>
      </c>
      <c r="V2524" s="103" t="s">
        <v>3546</v>
      </c>
      <c r="W2524" s="25">
        <f>IFERROR(VLOOKUP(BCP_Soles[[#This Row],[DESTINATARIO]],CHOOSE({1,2},Clientes_Proveedores[Razon Social],Clientes_Proveedores[Ruc / Dni]),2,0),"")</f>
        <v>20455911401</v>
      </c>
      <c r="X2524" s="25"/>
      <c r="Y2524" s="25"/>
      <c r="Z2524" s="25"/>
      <c r="AA2524" s="99"/>
      <c r="AB2524" s="3" t="str">
        <f>IF(BCP_Soles[[#This Row],[FECHA]]&gt;0,TEXT(BCP_Soles[[#This Row],[FECHA]],"mmmm"),0)</f>
        <v>Julio</v>
      </c>
    </row>
    <row r="2525" spans="2:28" ht="36" x14ac:dyDescent="0.3">
      <c r="B2525" s="2" t="str">
        <f>IF(BCP_Soles[[#This Row],[TIPO DE R.]]="R",COUNTIFS($D$4:$D2524,"R")+1,"")</f>
        <v/>
      </c>
      <c r="C2525" s="19" t="str">
        <f t="shared" si="195"/>
        <v>B-BCP - Soles</v>
      </c>
      <c r="D2525" s="3" t="s">
        <v>1101</v>
      </c>
      <c r="E2525" s="14">
        <v>45847</v>
      </c>
      <c r="F2525" s="5" t="s">
        <v>1996</v>
      </c>
      <c r="G2525" s="5"/>
      <c r="H2525" s="6" t="s">
        <v>617</v>
      </c>
      <c r="I2525" s="6" t="s">
        <v>14</v>
      </c>
      <c r="J2525" s="6" t="s">
        <v>2629</v>
      </c>
      <c r="K2525" s="6">
        <v>1322</v>
      </c>
      <c r="L2525" s="7" t="s">
        <v>3545</v>
      </c>
      <c r="M2525" s="8">
        <v>7294908</v>
      </c>
      <c r="N2525" s="8" t="str">
        <f t="shared" si="196"/>
        <v>PEN</v>
      </c>
      <c r="O2525" s="13">
        <v>625.6</v>
      </c>
      <c r="P2525" s="13"/>
      <c r="Q2525" s="3">
        <f t="shared" si="197"/>
        <v>0</v>
      </c>
      <c r="R2525" s="3">
        <f t="shared" si="198"/>
        <v>0</v>
      </c>
      <c r="S2525" s="3">
        <f t="shared" si="199"/>
        <v>26746.000000000018</v>
      </c>
      <c r="T2525" s="24" t="s">
        <v>1081</v>
      </c>
      <c r="U2525" s="24" t="s">
        <v>1081</v>
      </c>
      <c r="V2525" s="103" t="s">
        <v>3546</v>
      </c>
      <c r="W2525" s="25">
        <f>IFERROR(VLOOKUP(BCP_Soles[[#This Row],[DESTINATARIO]],CHOOSE({1,2},Clientes_Proveedores[Razon Social],Clientes_Proveedores[Ruc / Dni]),2,0),"")</f>
        <v>20455911401</v>
      </c>
      <c r="X2525" s="25"/>
      <c r="Y2525" s="25"/>
      <c r="Z2525" s="25"/>
      <c r="AA2525" s="99"/>
      <c r="AB2525" s="3" t="str">
        <f>IF(BCP_Soles[[#This Row],[FECHA]]&gt;0,TEXT(BCP_Soles[[#This Row],[FECHA]],"mmmm"),0)</f>
        <v>Julio</v>
      </c>
    </row>
    <row r="2526" spans="2:28" ht="24" x14ac:dyDescent="0.3">
      <c r="B2526" s="2">
        <f>IF(BCP_Soles[[#This Row],[TIPO DE R.]]="R",COUNTIFS($D$4:$D2525,"R")+1,"")</f>
        <v>1898</v>
      </c>
      <c r="C2526" s="19" t="str">
        <f t="shared" si="195"/>
        <v>B-BCP - Soles</v>
      </c>
      <c r="D2526" s="3" t="s">
        <v>1074</v>
      </c>
      <c r="E2526" s="14">
        <v>45847</v>
      </c>
      <c r="F2526" s="5" t="s">
        <v>1996</v>
      </c>
      <c r="G2526" s="5" t="s">
        <v>1079</v>
      </c>
      <c r="H2526" s="6" t="s">
        <v>533</v>
      </c>
      <c r="I2526" s="6" t="s">
        <v>14</v>
      </c>
      <c r="J2526" s="6" t="s">
        <v>1121</v>
      </c>
      <c r="K2526" s="6">
        <v>416</v>
      </c>
      <c r="L2526" s="7" t="s">
        <v>3547</v>
      </c>
      <c r="M2526" s="8">
        <v>1193547</v>
      </c>
      <c r="N2526" s="8" t="str">
        <f t="shared" si="196"/>
        <v>PEN</v>
      </c>
      <c r="O2526" s="13"/>
      <c r="P2526" s="13">
        <v>600</v>
      </c>
      <c r="Q2526" s="3">
        <f t="shared" si="197"/>
        <v>0</v>
      </c>
      <c r="R2526" s="3">
        <f t="shared" si="198"/>
        <v>600</v>
      </c>
      <c r="S2526" s="3">
        <f t="shared" si="199"/>
        <v>26146.000000000018</v>
      </c>
      <c r="T2526" s="24" t="s">
        <v>1081</v>
      </c>
      <c r="U2526" s="24" t="s">
        <v>1081</v>
      </c>
      <c r="V2526" s="104" t="s">
        <v>3548</v>
      </c>
      <c r="W2526" s="25">
        <f>IFERROR(VLOOKUP(BCP_Soles[[#This Row],[DESTINATARIO]],CHOOSE({1,2},Clientes_Proveedores[Razon Social],Clientes_Proveedores[Ruc / Dni]),2,0),"")</f>
        <v>20609580292</v>
      </c>
      <c r="X2526" s="25" t="s">
        <v>533</v>
      </c>
      <c r="Y2526" s="25"/>
      <c r="Z2526" s="25"/>
      <c r="AA2526" s="99"/>
      <c r="AB2526" s="3" t="str">
        <f>IF(BCP_Soles[[#This Row],[FECHA]]&gt;0,TEXT(BCP_Soles[[#This Row],[FECHA]],"mmmm"),0)</f>
        <v>Julio</v>
      </c>
    </row>
    <row r="2527" spans="2:28" ht="24" x14ac:dyDescent="0.3">
      <c r="B2527" s="2">
        <f>IF(BCP_Soles[[#This Row],[TIPO DE R.]]="R",COUNTIFS($D$4:$D2526,"R")+1,"")</f>
        <v>1899</v>
      </c>
      <c r="C2527" s="19" t="str">
        <f t="shared" si="195"/>
        <v>B-BCP - Soles</v>
      </c>
      <c r="D2527" s="3" t="s">
        <v>1074</v>
      </c>
      <c r="E2527" s="14">
        <v>45847</v>
      </c>
      <c r="F2527" s="5" t="s">
        <v>1996</v>
      </c>
      <c r="G2527" s="5" t="s">
        <v>1079</v>
      </c>
      <c r="H2527" s="6" t="s">
        <v>924</v>
      </c>
      <c r="I2527" s="6" t="s">
        <v>14</v>
      </c>
      <c r="J2527" s="6" t="s">
        <v>1121</v>
      </c>
      <c r="K2527" s="6">
        <v>1</v>
      </c>
      <c r="L2527" s="7" t="s">
        <v>3549</v>
      </c>
      <c r="M2527" s="8">
        <v>1192558</v>
      </c>
      <c r="N2527" s="8" t="str">
        <f t="shared" si="196"/>
        <v>PEN</v>
      </c>
      <c r="O2527" s="13"/>
      <c r="P2527" s="13">
        <v>531</v>
      </c>
      <c r="Q2527" s="3">
        <f t="shared" si="197"/>
        <v>0</v>
      </c>
      <c r="R2527" s="3">
        <f t="shared" si="198"/>
        <v>531</v>
      </c>
      <c r="S2527" s="3">
        <f t="shared" si="199"/>
        <v>25615.000000000018</v>
      </c>
      <c r="T2527" s="24" t="s">
        <v>1081</v>
      </c>
      <c r="U2527" s="24" t="s">
        <v>1081</v>
      </c>
      <c r="V2527" s="104" t="s">
        <v>3550</v>
      </c>
      <c r="W2527" s="25">
        <f>IFERROR(VLOOKUP(BCP_Soles[[#This Row],[DESTINATARIO]],CHOOSE({1,2},Clientes_Proveedores[Razon Social],Clientes_Proveedores[Ruc / Dni]),2,0),"")</f>
        <v>20613747096</v>
      </c>
      <c r="X2527" s="25" t="s">
        <v>3551</v>
      </c>
      <c r="Y2527" s="25"/>
      <c r="Z2527" s="25"/>
      <c r="AA2527" s="99"/>
      <c r="AB2527" s="3" t="str">
        <f>IF(BCP_Soles[[#This Row],[FECHA]]&gt;0,TEXT(BCP_Soles[[#This Row],[FECHA]],"mmmm"),0)</f>
        <v>Julio</v>
      </c>
    </row>
    <row r="2528" spans="2:28" ht="24" x14ac:dyDescent="0.3">
      <c r="B2528" s="2">
        <f>IF(BCP_Soles[[#This Row],[TIPO DE R.]]="R",COUNTIFS($D$4:$D2527,"R")+1,"")</f>
        <v>1900</v>
      </c>
      <c r="C2528" s="19" t="str">
        <f t="shared" si="195"/>
        <v>B-BCP - Soles</v>
      </c>
      <c r="D2528" s="3" t="s">
        <v>1074</v>
      </c>
      <c r="E2528" s="14">
        <v>45847</v>
      </c>
      <c r="F2528" s="5" t="s">
        <v>1996</v>
      </c>
      <c r="G2528" s="5" t="s">
        <v>1079</v>
      </c>
      <c r="H2528" s="6" t="s">
        <v>768</v>
      </c>
      <c r="I2528" s="6" t="s">
        <v>87</v>
      </c>
      <c r="J2528" s="6">
        <v>1</v>
      </c>
      <c r="K2528" s="6">
        <v>472025</v>
      </c>
      <c r="L2528" s="7" t="s">
        <v>3552</v>
      </c>
      <c r="M2528" s="8">
        <v>1191497</v>
      </c>
      <c r="N2528" s="8" t="str">
        <f t="shared" si="196"/>
        <v>PEN</v>
      </c>
      <c r="O2528" s="13"/>
      <c r="P2528" s="13">
        <v>293</v>
      </c>
      <c r="Q2528" s="3">
        <f t="shared" si="197"/>
        <v>0</v>
      </c>
      <c r="R2528" s="3">
        <f t="shared" si="198"/>
        <v>293</v>
      </c>
      <c r="S2528" s="3">
        <f t="shared" si="199"/>
        <v>25322.000000000018</v>
      </c>
      <c r="T2528" s="24" t="s">
        <v>1081</v>
      </c>
      <c r="U2528" s="24" t="s">
        <v>1081</v>
      </c>
      <c r="V2528" s="104" t="s">
        <v>3553</v>
      </c>
      <c r="W2528" s="25">
        <f>IFERROR(VLOOKUP(BCP_Soles[[#This Row],[DESTINATARIO]],CHOOSE({1,2},Clientes_Proveedores[Razon Social],Clientes_Proveedores[Ruc / Dni]),2,0),"")</f>
        <v>74600892</v>
      </c>
      <c r="X2528" s="25"/>
      <c r="Y2528" s="25"/>
      <c r="Z2528" s="25"/>
      <c r="AA2528" s="99"/>
      <c r="AB2528" s="3" t="str">
        <f>IF(BCP_Soles[[#This Row],[FECHA]]&gt;0,TEXT(BCP_Soles[[#This Row],[FECHA]],"mmmm"),0)</f>
        <v>Julio</v>
      </c>
    </row>
    <row r="2529" spans="2:28" ht="24" x14ac:dyDescent="0.3">
      <c r="B2529" s="2">
        <f>IF(BCP_Soles[[#This Row],[TIPO DE R.]]="R",COUNTIFS($D$4:$D2528,"R")+1,"")</f>
        <v>1901</v>
      </c>
      <c r="C2529" s="19" t="str">
        <f t="shared" si="195"/>
        <v>B-BCP - Soles</v>
      </c>
      <c r="D2529" s="3" t="s">
        <v>1074</v>
      </c>
      <c r="E2529" s="14">
        <v>45847</v>
      </c>
      <c r="F2529" s="5" t="s">
        <v>1996</v>
      </c>
      <c r="G2529" s="5" t="s">
        <v>1079</v>
      </c>
      <c r="H2529" s="6" t="s">
        <v>525</v>
      </c>
      <c r="I2529" s="6" t="s">
        <v>14</v>
      </c>
      <c r="J2529" s="6" t="s">
        <v>1121</v>
      </c>
      <c r="K2529" s="6">
        <v>823</v>
      </c>
      <c r="L2529" s="7" t="s">
        <v>3554</v>
      </c>
      <c r="M2529" s="8">
        <v>1193055</v>
      </c>
      <c r="N2529" s="8" t="str">
        <f t="shared" si="196"/>
        <v>PEN</v>
      </c>
      <c r="O2529" s="13"/>
      <c r="P2529" s="13">
        <v>3285</v>
      </c>
      <c r="Q2529" s="3">
        <f t="shared" si="197"/>
        <v>0</v>
      </c>
      <c r="R2529" s="3">
        <f t="shared" si="198"/>
        <v>3285</v>
      </c>
      <c r="S2529" s="3">
        <f t="shared" si="199"/>
        <v>22037.000000000018</v>
      </c>
      <c r="T2529" s="24" t="s">
        <v>1081</v>
      </c>
      <c r="U2529" s="24" t="s">
        <v>1081</v>
      </c>
      <c r="V2529" s="103" t="s">
        <v>3555</v>
      </c>
      <c r="W2529" s="25">
        <f>IFERROR(VLOOKUP(BCP_Soles[[#This Row],[DESTINATARIO]],CHOOSE({1,2},Clientes_Proveedores[Razon Social],Clientes_Proveedores[Ruc / Dni]),2,0),"")</f>
        <v>20609155303</v>
      </c>
      <c r="X2529" s="25"/>
      <c r="Y2529" s="25"/>
      <c r="Z2529" s="25"/>
      <c r="AA2529" s="99"/>
      <c r="AB2529" s="3" t="str">
        <f>IF(BCP_Soles[[#This Row],[FECHA]]&gt;0,TEXT(BCP_Soles[[#This Row],[FECHA]],"mmmm"),0)</f>
        <v>Julio</v>
      </c>
    </row>
    <row r="2530" spans="2:28" x14ac:dyDescent="0.3">
      <c r="B2530" s="2">
        <f>IF(BCP_Soles[[#This Row],[TIPO DE R.]]="R",COUNTIFS($D$4:$D2529,"R")+1,"")</f>
        <v>1902</v>
      </c>
      <c r="C2530" s="19" t="str">
        <f t="shared" si="195"/>
        <v>B-BCP - Soles</v>
      </c>
      <c r="D2530" s="3" t="s">
        <v>1074</v>
      </c>
      <c r="E2530" s="14">
        <v>45847</v>
      </c>
      <c r="F2530" s="5" t="s">
        <v>1078</v>
      </c>
      <c r="G2530" s="5" t="s">
        <v>1079</v>
      </c>
      <c r="H2530" s="6" t="s">
        <v>950</v>
      </c>
      <c r="I2530" s="6" t="s">
        <v>10</v>
      </c>
      <c r="J2530" s="6" t="s">
        <v>3392</v>
      </c>
      <c r="K2530" s="6">
        <v>1902</v>
      </c>
      <c r="L2530" s="7" t="s">
        <v>2868</v>
      </c>
      <c r="M2530" s="8"/>
      <c r="N2530" s="8" t="str">
        <f t="shared" si="196"/>
        <v>PEN</v>
      </c>
      <c r="O2530" s="3"/>
      <c r="P2530" s="3">
        <v>1.75</v>
      </c>
      <c r="Q2530" s="3">
        <f t="shared" si="197"/>
        <v>0</v>
      </c>
      <c r="R2530" s="3">
        <f t="shared" si="198"/>
        <v>1.75</v>
      </c>
      <c r="S2530" s="3">
        <f t="shared" si="199"/>
        <v>22035.250000000018</v>
      </c>
      <c r="T2530" s="24" t="s">
        <v>1081</v>
      </c>
      <c r="U2530" s="24"/>
      <c r="V2530" s="69"/>
      <c r="W2530" s="25">
        <f>IFERROR(VLOOKUP(BCP_Soles[[#This Row],[DESTINATARIO]],CHOOSE({1,2},Clientes_Proveedores[Razon Social],Clientes_Proveedores[Ruc / Dni]),2,0),"")</f>
        <v>11111111</v>
      </c>
      <c r="X2530" s="25"/>
      <c r="Y2530" s="25"/>
      <c r="Z2530" s="25"/>
      <c r="AA2530" s="99"/>
      <c r="AB2530" s="3" t="str">
        <f>IF(BCP_Soles[[#This Row],[FECHA]]&gt;0,TEXT(BCP_Soles[[#This Row],[FECHA]],"mmmm"),0)</f>
        <v>Julio</v>
      </c>
    </row>
    <row r="2531" spans="2:28" ht="24" x14ac:dyDescent="0.3">
      <c r="B2531" s="2">
        <f>IF(BCP_Soles[[#This Row],[TIPO DE R.]]="R",COUNTIFS($D$4:$D2530,"R")+1,"")</f>
        <v>1903</v>
      </c>
      <c r="C2531" s="19" t="str">
        <f t="shared" si="195"/>
        <v>B-BCP - Soles</v>
      </c>
      <c r="D2531" s="3" t="s">
        <v>1074</v>
      </c>
      <c r="E2531" s="14">
        <v>45847</v>
      </c>
      <c r="F2531" s="5" t="s">
        <v>1078</v>
      </c>
      <c r="G2531" s="5" t="s">
        <v>1079</v>
      </c>
      <c r="H2531" s="6" t="s">
        <v>1001</v>
      </c>
      <c r="I2531" s="6" t="s">
        <v>14</v>
      </c>
      <c r="J2531" s="6" t="s">
        <v>3128</v>
      </c>
      <c r="K2531" s="6">
        <v>34491741</v>
      </c>
      <c r="L2531" s="7" t="s">
        <v>1141</v>
      </c>
      <c r="M2531" s="8">
        <v>431</v>
      </c>
      <c r="N2531" s="8" t="str">
        <f t="shared" si="196"/>
        <v>PEN</v>
      </c>
      <c r="O2531" s="13"/>
      <c r="P2531" s="13">
        <v>10</v>
      </c>
      <c r="Q2531" s="3">
        <f t="shared" si="197"/>
        <v>0</v>
      </c>
      <c r="R2531" s="3">
        <f t="shared" si="198"/>
        <v>10</v>
      </c>
      <c r="S2531" s="3">
        <f t="shared" si="199"/>
        <v>22025.250000000018</v>
      </c>
      <c r="T2531" s="24" t="s">
        <v>1081</v>
      </c>
      <c r="U2531" s="24" t="s">
        <v>1081</v>
      </c>
      <c r="V2531" s="69"/>
      <c r="W2531" s="25">
        <f>IFERROR(VLOOKUP(BCP_Soles[[#This Row],[DESTINATARIO]],CHOOSE({1,2},Clientes_Proveedores[Razon Social],Clientes_Proveedores[Ruc / Dni]),2,0),"")</f>
        <v>20100047218</v>
      </c>
      <c r="X2531" s="25"/>
      <c r="Y2531" s="25"/>
      <c r="Z2531" s="25"/>
      <c r="AA2531" s="99"/>
      <c r="AB2531" s="3" t="str">
        <f>IF(BCP_Soles[[#This Row],[FECHA]]&gt;0,TEXT(BCP_Soles[[#This Row],[FECHA]],"mmmm"),0)</f>
        <v>Julio</v>
      </c>
    </row>
    <row r="2532" spans="2:28" x14ac:dyDescent="0.3">
      <c r="B2532" s="2">
        <f>IF(BCP_Soles[[#This Row],[TIPO DE R.]]="R",COUNTIFS($D$4:$D2531,"R")+1,"")</f>
        <v>1904</v>
      </c>
      <c r="C2532" s="19" t="str">
        <f t="shared" si="195"/>
        <v>B-BCP - Soles</v>
      </c>
      <c r="D2532" s="3" t="s">
        <v>1074</v>
      </c>
      <c r="E2532" s="14">
        <v>45847</v>
      </c>
      <c r="F2532" s="5" t="s">
        <v>3556</v>
      </c>
      <c r="G2532" s="5" t="s">
        <v>1079</v>
      </c>
      <c r="H2532" s="6"/>
      <c r="I2532" s="6"/>
      <c r="J2532" s="6"/>
      <c r="K2532" s="6"/>
      <c r="L2532" s="7" t="s">
        <v>3557</v>
      </c>
      <c r="M2532" s="8">
        <v>1012259</v>
      </c>
      <c r="N2532" s="8" t="str">
        <f t="shared" si="196"/>
        <v>PEN</v>
      </c>
      <c r="O2532" s="13"/>
      <c r="P2532" s="13">
        <v>206</v>
      </c>
      <c r="Q2532" s="3">
        <f t="shared" si="197"/>
        <v>0</v>
      </c>
      <c r="R2532" s="3">
        <f t="shared" si="198"/>
        <v>206</v>
      </c>
      <c r="S2532" s="3">
        <f t="shared" si="199"/>
        <v>21819.250000000018</v>
      </c>
      <c r="T2532" s="24" t="s">
        <v>1081</v>
      </c>
      <c r="U2532" s="24" t="s">
        <v>1081</v>
      </c>
      <c r="V2532" s="69"/>
      <c r="W2532" s="25" t="str">
        <f>IFERROR(VLOOKUP(BCP_Soles[[#This Row],[DESTINATARIO]],CHOOSE({1,2},Clientes_Proveedores[Razon Social],Clientes_Proveedores[Ruc / Dni]),2,0),"")</f>
        <v/>
      </c>
      <c r="X2532" s="25"/>
      <c r="Y2532" s="25"/>
      <c r="Z2532" s="25"/>
      <c r="AA2532" s="99"/>
      <c r="AB2532" s="3" t="str">
        <f>IF(BCP_Soles[[#This Row],[FECHA]]&gt;0,TEXT(BCP_Soles[[#This Row],[FECHA]],"mmmm"),0)</f>
        <v>Julio</v>
      </c>
    </row>
    <row r="2533" spans="2:28" x14ac:dyDescent="0.3">
      <c r="B2533" s="2" t="str">
        <f>IF(BCP_Soles[[#This Row],[TIPO DE R.]]="R",COUNTIFS($D$4:$D2532,"R")+1,"")</f>
        <v/>
      </c>
      <c r="C2533" s="19" t="str">
        <f t="shared" si="195"/>
        <v>B-BCP - Soles</v>
      </c>
      <c r="D2533" s="3" t="s">
        <v>1101</v>
      </c>
      <c r="E2533" s="14">
        <v>45847</v>
      </c>
      <c r="F2533" s="5" t="s">
        <v>3556</v>
      </c>
      <c r="G2533" s="5"/>
      <c r="H2533" s="6" t="s">
        <v>139</v>
      </c>
      <c r="I2533" s="6" t="s">
        <v>14</v>
      </c>
      <c r="J2533" s="6" t="s">
        <v>1953</v>
      </c>
      <c r="K2533" s="6">
        <v>6553</v>
      </c>
      <c r="L2533" s="7" t="s">
        <v>3557</v>
      </c>
      <c r="M2533" s="8">
        <v>1012259</v>
      </c>
      <c r="N2533" s="8" t="str">
        <f t="shared" si="196"/>
        <v>PEN</v>
      </c>
      <c r="O2533" s="13">
        <v>18</v>
      </c>
      <c r="P2533" s="13"/>
      <c r="Q2533" s="3">
        <f t="shared" si="197"/>
        <v>0</v>
      </c>
      <c r="R2533" s="3">
        <f t="shared" si="198"/>
        <v>0</v>
      </c>
      <c r="S2533" s="3">
        <f t="shared" si="199"/>
        <v>21819.250000000018</v>
      </c>
      <c r="T2533" s="24" t="s">
        <v>1081</v>
      </c>
      <c r="U2533" s="24" t="s">
        <v>1081</v>
      </c>
      <c r="V2533" s="69"/>
      <c r="W2533" s="25">
        <f>IFERROR(VLOOKUP(BCP_Soles[[#This Row],[DESTINATARIO]],CHOOSE({1,2},Clientes_Proveedores[Razon Social],Clientes_Proveedores[Ruc / Dni]),2,0),"")</f>
        <v>20100055237</v>
      </c>
      <c r="X2533" s="25"/>
      <c r="Y2533" s="25"/>
      <c r="Z2533" s="25"/>
      <c r="AA2533" s="99" t="s">
        <v>3385</v>
      </c>
      <c r="AB2533" s="3" t="str">
        <f>IF(BCP_Soles[[#This Row],[FECHA]]&gt;0,TEXT(BCP_Soles[[#This Row],[FECHA]],"mmmm"),0)</f>
        <v>Julio</v>
      </c>
    </row>
    <row r="2534" spans="2:28" x14ac:dyDescent="0.3">
      <c r="B2534" s="2" t="str">
        <f>IF(BCP_Soles[[#This Row],[TIPO DE R.]]="R",COUNTIFS($D$4:$D2533,"R")+1,"")</f>
        <v/>
      </c>
      <c r="C2534" s="19" t="str">
        <f t="shared" si="195"/>
        <v>B-BCP - Soles</v>
      </c>
      <c r="D2534" s="3" t="s">
        <v>1101</v>
      </c>
      <c r="E2534" s="14">
        <v>45847</v>
      </c>
      <c r="F2534" s="5" t="s">
        <v>3556</v>
      </c>
      <c r="G2534" s="5"/>
      <c r="H2534" s="6" t="s">
        <v>139</v>
      </c>
      <c r="I2534" s="6" t="s">
        <v>14</v>
      </c>
      <c r="J2534" s="6" t="s">
        <v>1953</v>
      </c>
      <c r="K2534" s="6">
        <v>6555</v>
      </c>
      <c r="L2534" s="7" t="s">
        <v>3557</v>
      </c>
      <c r="M2534" s="8">
        <v>1012259</v>
      </c>
      <c r="N2534" s="8" t="str">
        <f t="shared" si="196"/>
        <v>PEN</v>
      </c>
      <c r="O2534" s="13">
        <v>10</v>
      </c>
      <c r="P2534" s="13"/>
      <c r="Q2534" s="3">
        <f t="shared" si="197"/>
        <v>0</v>
      </c>
      <c r="R2534" s="3">
        <f t="shared" si="198"/>
        <v>0</v>
      </c>
      <c r="S2534" s="3">
        <f t="shared" si="199"/>
        <v>21819.250000000018</v>
      </c>
      <c r="T2534" s="24" t="s">
        <v>1081</v>
      </c>
      <c r="U2534" s="24" t="s">
        <v>1081</v>
      </c>
      <c r="V2534" s="69"/>
      <c r="W2534" s="25">
        <f>IFERROR(VLOOKUP(BCP_Soles[[#This Row],[DESTINATARIO]],CHOOSE({1,2},Clientes_Proveedores[Razon Social],Clientes_Proveedores[Ruc / Dni]),2,0),"")</f>
        <v>20100055237</v>
      </c>
      <c r="X2534" s="25"/>
      <c r="Y2534" s="25"/>
      <c r="Z2534" s="25"/>
      <c r="AA2534" s="99" t="s">
        <v>3385</v>
      </c>
      <c r="AB2534" s="3" t="str">
        <f>IF(BCP_Soles[[#This Row],[FECHA]]&gt;0,TEXT(BCP_Soles[[#This Row],[FECHA]],"mmmm"),0)</f>
        <v>Julio</v>
      </c>
    </row>
    <row r="2535" spans="2:28" x14ac:dyDescent="0.3">
      <c r="B2535" s="2" t="str">
        <f>IF(BCP_Soles[[#This Row],[TIPO DE R.]]="R",COUNTIFS($D$4:$D2534,"R")+1,"")</f>
        <v/>
      </c>
      <c r="C2535" s="19" t="str">
        <f t="shared" si="195"/>
        <v>B-BCP - Soles</v>
      </c>
      <c r="D2535" s="3" t="s">
        <v>1101</v>
      </c>
      <c r="E2535" s="14">
        <v>45847</v>
      </c>
      <c r="F2535" s="5" t="s">
        <v>3556</v>
      </c>
      <c r="G2535" s="5"/>
      <c r="H2535" s="6" t="s">
        <v>139</v>
      </c>
      <c r="I2535" s="6" t="s">
        <v>14</v>
      </c>
      <c r="J2535" s="6" t="s">
        <v>1953</v>
      </c>
      <c r="K2535" s="6">
        <v>6554</v>
      </c>
      <c r="L2535" s="7" t="s">
        <v>3557</v>
      </c>
      <c r="M2535" s="8">
        <v>1012259</v>
      </c>
      <c r="N2535" s="8" t="str">
        <f t="shared" si="196"/>
        <v>PEN</v>
      </c>
      <c r="O2535" s="13">
        <v>86</v>
      </c>
      <c r="P2535" s="13"/>
      <c r="Q2535" s="3">
        <f t="shared" si="197"/>
        <v>0</v>
      </c>
      <c r="R2535" s="3">
        <f t="shared" si="198"/>
        <v>0</v>
      </c>
      <c r="S2535" s="3">
        <f t="shared" si="199"/>
        <v>21819.250000000018</v>
      </c>
      <c r="T2535" s="24" t="s">
        <v>1081</v>
      </c>
      <c r="U2535" s="24" t="s">
        <v>1081</v>
      </c>
      <c r="V2535" s="69"/>
      <c r="W2535" s="25">
        <f>IFERROR(VLOOKUP(BCP_Soles[[#This Row],[DESTINATARIO]],CHOOSE({1,2},Clientes_Proveedores[Razon Social],Clientes_Proveedores[Ruc / Dni]),2,0),"")</f>
        <v>20100055237</v>
      </c>
      <c r="X2535" s="25"/>
      <c r="Y2535" s="25"/>
      <c r="Z2535" s="25"/>
      <c r="AA2535" s="99" t="s">
        <v>3385</v>
      </c>
      <c r="AB2535" s="3" t="str">
        <f>IF(BCP_Soles[[#This Row],[FECHA]]&gt;0,TEXT(BCP_Soles[[#This Row],[FECHA]],"mmmm"),0)</f>
        <v>Julio</v>
      </c>
    </row>
    <row r="2536" spans="2:28" x14ac:dyDescent="0.3">
      <c r="B2536" s="2" t="str">
        <f>IF(BCP_Soles[[#This Row],[TIPO DE R.]]="R",COUNTIFS($D$4:$D2535,"R")+1,"")</f>
        <v/>
      </c>
      <c r="C2536" s="19" t="str">
        <f t="shared" si="195"/>
        <v>B-BCP - Soles</v>
      </c>
      <c r="D2536" s="3" t="s">
        <v>1101</v>
      </c>
      <c r="E2536" s="14">
        <v>45847</v>
      </c>
      <c r="F2536" s="5" t="s">
        <v>3556</v>
      </c>
      <c r="G2536" s="5"/>
      <c r="H2536" s="6" t="s">
        <v>139</v>
      </c>
      <c r="I2536" s="6" t="s">
        <v>14</v>
      </c>
      <c r="J2536" s="6" t="s">
        <v>1953</v>
      </c>
      <c r="K2536" s="6">
        <v>6557</v>
      </c>
      <c r="L2536" s="7" t="s">
        <v>3557</v>
      </c>
      <c r="M2536" s="8">
        <v>1012259</v>
      </c>
      <c r="N2536" s="8" t="str">
        <f t="shared" si="196"/>
        <v>PEN</v>
      </c>
      <c r="O2536" s="13">
        <v>23</v>
      </c>
      <c r="P2536" s="13"/>
      <c r="Q2536" s="3">
        <f t="shared" si="197"/>
        <v>0</v>
      </c>
      <c r="R2536" s="3">
        <f t="shared" si="198"/>
        <v>0</v>
      </c>
      <c r="S2536" s="3">
        <f t="shared" si="199"/>
        <v>21819.250000000018</v>
      </c>
      <c r="T2536" s="24" t="s">
        <v>1081</v>
      </c>
      <c r="U2536" s="24" t="s">
        <v>1081</v>
      </c>
      <c r="V2536" s="69"/>
      <c r="W2536" s="25">
        <f>IFERROR(VLOOKUP(BCP_Soles[[#This Row],[DESTINATARIO]],CHOOSE({1,2},Clientes_Proveedores[Razon Social],Clientes_Proveedores[Ruc / Dni]),2,0),"")</f>
        <v>20100055237</v>
      </c>
      <c r="X2536" s="25"/>
      <c r="Y2536" s="25"/>
      <c r="Z2536" s="25"/>
      <c r="AA2536" s="99" t="s">
        <v>3385</v>
      </c>
      <c r="AB2536" s="3" t="str">
        <f>IF(BCP_Soles[[#This Row],[FECHA]]&gt;0,TEXT(BCP_Soles[[#This Row],[FECHA]],"mmmm"),0)</f>
        <v>Julio</v>
      </c>
    </row>
    <row r="2537" spans="2:28" x14ac:dyDescent="0.3">
      <c r="B2537" s="2" t="str">
        <f>IF(BCP_Soles[[#This Row],[TIPO DE R.]]="R",COUNTIFS($D$4:$D2536,"R")+1,"")</f>
        <v/>
      </c>
      <c r="C2537" s="19" t="str">
        <f t="shared" si="195"/>
        <v>B-BCP - Soles</v>
      </c>
      <c r="D2537" s="3" t="s">
        <v>1101</v>
      </c>
      <c r="E2537" s="14">
        <v>45847</v>
      </c>
      <c r="F2537" s="5" t="s">
        <v>3556</v>
      </c>
      <c r="G2537" s="5"/>
      <c r="H2537" s="6" t="s">
        <v>139</v>
      </c>
      <c r="I2537" s="6" t="s">
        <v>14</v>
      </c>
      <c r="J2537" s="6" t="s">
        <v>1953</v>
      </c>
      <c r="K2537" s="6">
        <v>6556</v>
      </c>
      <c r="L2537" s="7" t="s">
        <v>3557</v>
      </c>
      <c r="M2537" s="8">
        <v>1012259</v>
      </c>
      <c r="N2537" s="8" t="str">
        <f t="shared" si="196"/>
        <v>PEN</v>
      </c>
      <c r="O2537" s="13">
        <v>1</v>
      </c>
      <c r="P2537" s="13"/>
      <c r="Q2537" s="3">
        <f t="shared" si="197"/>
        <v>0</v>
      </c>
      <c r="R2537" s="3">
        <f t="shared" si="198"/>
        <v>0</v>
      </c>
      <c r="S2537" s="3">
        <f t="shared" si="199"/>
        <v>21819.250000000018</v>
      </c>
      <c r="T2537" s="24" t="s">
        <v>1081</v>
      </c>
      <c r="U2537" s="24" t="s">
        <v>1081</v>
      </c>
      <c r="V2537" s="69"/>
      <c r="W2537" s="25">
        <f>IFERROR(VLOOKUP(BCP_Soles[[#This Row],[DESTINATARIO]],CHOOSE({1,2},Clientes_Proveedores[Razon Social],Clientes_Proveedores[Ruc / Dni]),2,0),"")</f>
        <v>20100055237</v>
      </c>
      <c r="X2537" s="25"/>
      <c r="Y2537" s="25"/>
      <c r="Z2537" s="25"/>
      <c r="AA2537" s="99" t="s">
        <v>3385</v>
      </c>
      <c r="AB2537" s="3" t="str">
        <f>IF(BCP_Soles[[#This Row],[FECHA]]&gt;0,TEXT(BCP_Soles[[#This Row],[FECHA]],"mmmm"),0)</f>
        <v>Julio</v>
      </c>
    </row>
    <row r="2538" spans="2:28" x14ac:dyDescent="0.3">
      <c r="B2538" s="2" t="str">
        <f>IF(BCP_Soles[[#This Row],[TIPO DE R.]]="R",COUNTIFS($D$4:$D2537,"R")+1,"")</f>
        <v/>
      </c>
      <c r="C2538" s="19" t="str">
        <f t="shared" si="195"/>
        <v>B-BCP - Soles</v>
      </c>
      <c r="D2538" s="3" t="s">
        <v>1101</v>
      </c>
      <c r="E2538" s="14">
        <v>45847</v>
      </c>
      <c r="F2538" s="5" t="s">
        <v>3556</v>
      </c>
      <c r="G2538" s="5"/>
      <c r="H2538" s="6" t="s">
        <v>139</v>
      </c>
      <c r="I2538" s="6" t="s">
        <v>14</v>
      </c>
      <c r="J2538" s="6" t="s">
        <v>1953</v>
      </c>
      <c r="K2538" s="6">
        <v>6558</v>
      </c>
      <c r="L2538" s="7" t="s">
        <v>3557</v>
      </c>
      <c r="M2538" s="8">
        <v>1012259</v>
      </c>
      <c r="N2538" s="8" t="str">
        <f t="shared" si="196"/>
        <v>PEN</v>
      </c>
      <c r="O2538" s="13">
        <v>68</v>
      </c>
      <c r="P2538" s="13"/>
      <c r="Q2538" s="3">
        <f t="shared" si="197"/>
        <v>0</v>
      </c>
      <c r="R2538" s="3">
        <f t="shared" si="198"/>
        <v>0</v>
      </c>
      <c r="S2538" s="3">
        <f t="shared" si="199"/>
        <v>21819.250000000018</v>
      </c>
      <c r="T2538" s="24" t="s">
        <v>1081</v>
      </c>
      <c r="U2538" s="24" t="s">
        <v>1081</v>
      </c>
      <c r="V2538" s="69"/>
      <c r="W2538" s="25">
        <f>IFERROR(VLOOKUP(BCP_Soles[[#This Row],[DESTINATARIO]],CHOOSE({1,2},Clientes_Proveedores[Razon Social],Clientes_Proveedores[Ruc / Dni]),2,0),"")</f>
        <v>20100055237</v>
      </c>
      <c r="X2538" s="25"/>
      <c r="Y2538" s="25"/>
      <c r="Z2538" s="25"/>
      <c r="AA2538" s="99" t="s">
        <v>3385</v>
      </c>
      <c r="AB2538" s="3" t="str">
        <f>IF(BCP_Soles[[#This Row],[FECHA]]&gt;0,TEXT(BCP_Soles[[#This Row],[FECHA]],"mmmm"),0)</f>
        <v>Julio</v>
      </c>
    </row>
    <row r="2539" spans="2:28" ht="24" x14ac:dyDescent="0.3">
      <c r="B2539" s="2">
        <f>IF(BCP_Soles[[#This Row],[TIPO DE R.]]="R",COUNTIFS($D$4:$D2538,"R")+1,"")</f>
        <v>1905</v>
      </c>
      <c r="C2539" s="19" t="str">
        <f t="shared" si="195"/>
        <v>B-BCP - Soles</v>
      </c>
      <c r="D2539" s="3" t="s">
        <v>1074</v>
      </c>
      <c r="E2539" s="14">
        <v>45848</v>
      </c>
      <c r="F2539" s="5" t="s">
        <v>479</v>
      </c>
      <c r="G2539" s="5" t="s">
        <v>1087</v>
      </c>
      <c r="H2539" s="6" t="s">
        <v>368</v>
      </c>
      <c r="I2539" s="6" t="s">
        <v>63</v>
      </c>
      <c r="J2539" s="6">
        <v>1</v>
      </c>
      <c r="K2539" s="6">
        <v>4572</v>
      </c>
      <c r="L2539" s="7" t="s">
        <v>1100</v>
      </c>
      <c r="M2539" s="8">
        <v>209574</v>
      </c>
      <c r="N2539" s="8" t="str">
        <f t="shared" si="196"/>
        <v>PEN</v>
      </c>
      <c r="O2539" s="13"/>
      <c r="P2539" s="13">
        <v>4000</v>
      </c>
      <c r="Q2539" s="3">
        <f t="shared" si="197"/>
        <v>4000</v>
      </c>
      <c r="R2539" s="3">
        <f t="shared" si="198"/>
        <v>0</v>
      </c>
      <c r="S2539" s="3">
        <f t="shared" si="199"/>
        <v>25819.250000000018</v>
      </c>
      <c r="T2539" s="24" t="s">
        <v>1081</v>
      </c>
      <c r="U2539" s="24" t="s">
        <v>1081</v>
      </c>
      <c r="V2539" s="69"/>
      <c r="W2539" s="25">
        <f>IFERROR(VLOOKUP(BCP_Soles[[#This Row],[DESTINATARIO]],CHOOSE({1,2},Clientes_Proveedores[Razon Social],Clientes_Proveedores[Ruc / Dni]),2,0),"")</f>
        <v>20558226979</v>
      </c>
      <c r="X2539" s="25"/>
      <c r="Y2539" s="25"/>
      <c r="Z2539" s="25"/>
      <c r="AA2539" s="99"/>
      <c r="AB2539" s="3" t="str">
        <f>IF(BCP_Soles[[#This Row],[FECHA]]&gt;0,TEXT(BCP_Soles[[#This Row],[FECHA]],"mmmm"),0)</f>
        <v>Julio</v>
      </c>
    </row>
    <row r="2540" spans="2:28" ht="24" x14ac:dyDescent="0.3">
      <c r="B2540" s="2">
        <f>IF(BCP_Soles[[#This Row],[TIPO DE R.]]="R",COUNTIFS($D$4:$D2539,"R")+1,"")</f>
        <v>1906</v>
      </c>
      <c r="C2540" s="19" t="str">
        <f t="shared" si="195"/>
        <v>B-BCP - Soles</v>
      </c>
      <c r="D2540" s="3" t="s">
        <v>1074</v>
      </c>
      <c r="E2540" s="14">
        <v>45848</v>
      </c>
      <c r="F2540" s="5" t="s">
        <v>147</v>
      </c>
      <c r="G2540" s="5" t="s">
        <v>1087</v>
      </c>
      <c r="H2540" s="6" t="s">
        <v>368</v>
      </c>
      <c r="I2540" s="6"/>
      <c r="J2540" s="6"/>
      <c r="K2540" s="6"/>
      <c r="L2540" s="7" t="s">
        <v>1095</v>
      </c>
      <c r="M2540" s="8">
        <v>7839503</v>
      </c>
      <c r="N2540" s="8" t="str">
        <f t="shared" si="196"/>
        <v>PEN</v>
      </c>
      <c r="O2540" s="13"/>
      <c r="P2540" s="13">
        <v>28201.7</v>
      </c>
      <c r="Q2540" s="3">
        <f t="shared" si="197"/>
        <v>28201.7</v>
      </c>
      <c r="R2540" s="3">
        <f t="shared" si="198"/>
        <v>0</v>
      </c>
      <c r="S2540" s="3">
        <f t="shared" si="199"/>
        <v>54020.950000000019</v>
      </c>
      <c r="T2540" s="24" t="s">
        <v>1081</v>
      </c>
      <c r="U2540" s="24" t="s">
        <v>1081</v>
      </c>
      <c r="V2540" s="69"/>
      <c r="W2540" s="25">
        <f>IFERROR(VLOOKUP(BCP_Soles[[#This Row],[DESTINATARIO]],CHOOSE({1,2},Clientes_Proveedores[Razon Social],Clientes_Proveedores[Ruc / Dni]),2,0),"")</f>
        <v>20558226979</v>
      </c>
      <c r="X2540" s="25"/>
      <c r="Y2540" s="25"/>
      <c r="Z2540" s="25"/>
      <c r="AA2540" s="99"/>
      <c r="AB2540" s="3" t="str">
        <f>IF(BCP_Soles[[#This Row],[FECHA]]&gt;0,TEXT(BCP_Soles[[#This Row],[FECHA]],"mmmm"),0)</f>
        <v>Julio</v>
      </c>
    </row>
    <row r="2541" spans="2:28" ht="24" x14ac:dyDescent="0.3">
      <c r="B2541" s="2" t="str">
        <f>IF(BCP_Soles[[#This Row],[TIPO DE R.]]="R",COUNTIFS($D$4:$D2540,"R")+1,"")</f>
        <v/>
      </c>
      <c r="C2541" s="19" t="str">
        <f t="shared" si="195"/>
        <v>B-BCP - Soles</v>
      </c>
      <c r="D2541" s="3" t="s">
        <v>1101</v>
      </c>
      <c r="E2541" s="14">
        <v>45848</v>
      </c>
      <c r="F2541" s="5" t="s">
        <v>147</v>
      </c>
      <c r="G2541" s="5"/>
      <c r="H2541" s="6" t="s">
        <v>368</v>
      </c>
      <c r="I2541" s="6" t="s">
        <v>14</v>
      </c>
      <c r="J2541" s="6" t="s">
        <v>1521</v>
      </c>
      <c r="K2541" s="6">
        <v>121</v>
      </c>
      <c r="L2541" s="7" t="s">
        <v>1095</v>
      </c>
      <c r="M2541" s="8">
        <v>7839503</v>
      </c>
      <c r="N2541" s="8" t="str">
        <f t="shared" si="196"/>
        <v>PEN</v>
      </c>
      <c r="O2541" s="13">
        <v>9517.7199999999993</v>
      </c>
      <c r="P2541" s="13"/>
      <c r="Q2541" s="3">
        <f t="shared" si="197"/>
        <v>0</v>
      </c>
      <c r="R2541" s="3">
        <f t="shared" si="198"/>
        <v>0</v>
      </c>
      <c r="S2541" s="3">
        <f t="shared" si="199"/>
        <v>54020.950000000019</v>
      </c>
      <c r="T2541" s="24" t="s">
        <v>1081</v>
      </c>
      <c r="U2541" s="24" t="s">
        <v>1081</v>
      </c>
      <c r="V2541" s="69"/>
      <c r="W2541" s="25">
        <f>IFERROR(VLOOKUP(BCP_Soles[[#This Row],[DESTINATARIO]],CHOOSE({1,2},Clientes_Proveedores[Razon Social],Clientes_Proveedores[Ruc / Dni]),2,0),"")</f>
        <v>20558226979</v>
      </c>
      <c r="X2541" s="25"/>
      <c r="Y2541" s="25"/>
      <c r="Z2541" s="25"/>
      <c r="AA2541" s="99"/>
      <c r="AB2541" s="3" t="str">
        <f>IF(BCP_Soles[[#This Row],[FECHA]]&gt;0,TEXT(BCP_Soles[[#This Row],[FECHA]],"mmmm"),0)</f>
        <v>Julio</v>
      </c>
    </row>
    <row r="2542" spans="2:28" ht="24" x14ac:dyDescent="0.3">
      <c r="B2542" s="2" t="str">
        <f>IF(BCP_Soles[[#This Row],[TIPO DE R.]]="R",COUNTIFS($D$4:$D2541,"R")+1,"")</f>
        <v/>
      </c>
      <c r="C2542" s="19" t="str">
        <f t="shared" si="195"/>
        <v>B-BCP - Soles</v>
      </c>
      <c r="D2542" s="3" t="s">
        <v>1101</v>
      </c>
      <c r="E2542" s="14">
        <v>45848</v>
      </c>
      <c r="F2542" s="5" t="s">
        <v>147</v>
      </c>
      <c r="G2542" s="5"/>
      <c r="H2542" s="6" t="s">
        <v>368</v>
      </c>
      <c r="I2542" s="6" t="s">
        <v>14</v>
      </c>
      <c r="J2542" s="6" t="s">
        <v>1119</v>
      </c>
      <c r="K2542" s="6">
        <v>123</v>
      </c>
      <c r="L2542" s="7" t="s">
        <v>1095</v>
      </c>
      <c r="M2542" s="8">
        <v>7839503</v>
      </c>
      <c r="N2542" s="8" t="str">
        <f t="shared" si="196"/>
        <v>PEN</v>
      </c>
      <c r="O2542" s="13">
        <v>18683.98</v>
      </c>
      <c r="P2542" s="13"/>
      <c r="Q2542" s="3">
        <f t="shared" si="197"/>
        <v>0</v>
      </c>
      <c r="R2542" s="3">
        <f t="shared" si="198"/>
        <v>0</v>
      </c>
      <c r="S2542" s="3">
        <f t="shared" si="199"/>
        <v>54020.950000000019</v>
      </c>
      <c r="T2542" s="24" t="s">
        <v>1081</v>
      </c>
      <c r="U2542" s="24" t="s">
        <v>1081</v>
      </c>
      <c r="V2542" s="69"/>
      <c r="W2542" s="25">
        <f>IFERROR(VLOOKUP(BCP_Soles[[#This Row],[DESTINATARIO]],CHOOSE({1,2},Clientes_Proveedores[Razon Social],Clientes_Proveedores[Ruc / Dni]),2,0),"")</f>
        <v>20558226979</v>
      </c>
      <c r="X2542" s="25"/>
      <c r="Y2542" s="25"/>
      <c r="Z2542" s="25"/>
      <c r="AA2542" s="99"/>
      <c r="AB2542" s="3" t="str">
        <f>IF(BCP_Soles[[#This Row],[FECHA]]&gt;0,TEXT(BCP_Soles[[#This Row],[FECHA]],"mmmm"),0)</f>
        <v>Julio</v>
      </c>
    </row>
    <row r="2543" spans="2:28" ht="24" x14ac:dyDescent="0.3">
      <c r="B2543" s="2">
        <f>IF(BCP_Soles[[#This Row],[TIPO DE R.]]="R",COUNTIFS($D$4:$D2542,"R")+1,"")</f>
        <v>1907</v>
      </c>
      <c r="C2543" s="19" t="str">
        <f t="shared" si="195"/>
        <v>B-BCP - Soles</v>
      </c>
      <c r="D2543" s="3" t="s">
        <v>1074</v>
      </c>
      <c r="E2543" s="14">
        <v>45848</v>
      </c>
      <c r="F2543" s="5" t="s">
        <v>601</v>
      </c>
      <c r="G2543" s="5" t="s">
        <v>1087</v>
      </c>
      <c r="H2543" s="6" t="s">
        <v>368</v>
      </c>
      <c r="I2543" s="6" t="s">
        <v>14</v>
      </c>
      <c r="J2543" s="6" t="s">
        <v>1521</v>
      </c>
      <c r="K2543" s="6">
        <v>131</v>
      </c>
      <c r="L2543" s="7" t="s">
        <v>3558</v>
      </c>
      <c r="M2543" s="8">
        <v>7763339</v>
      </c>
      <c r="N2543" s="8" t="str">
        <f t="shared" si="196"/>
        <v>PEN</v>
      </c>
      <c r="O2543" s="13"/>
      <c r="P2543" s="13">
        <v>4054.1</v>
      </c>
      <c r="Q2543" s="3">
        <f t="shared" si="197"/>
        <v>4054.1</v>
      </c>
      <c r="R2543" s="3">
        <f t="shared" si="198"/>
        <v>0</v>
      </c>
      <c r="S2543" s="3">
        <f t="shared" si="199"/>
        <v>58075.050000000017</v>
      </c>
      <c r="T2543" s="24" t="s">
        <v>1081</v>
      </c>
      <c r="U2543" s="24" t="s">
        <v>1081</v>
      </c>
      <c r="V2543" s="69"/>
      <c r="W2543" s="25">
        <f>IFERROR(VLOOKUP(BCP_Soles[[#This Row],[DESTINATARIO]],CHOOSE({1,2},Clientes_Proveedores[Razon Social],Clientes_Proveedores[Ruc / Dni]),2,0),"")</f>
        <v>20558226979</v>
      </c>
      <c r="X2543" s="25"/>
      <c r="Y2543" s="25"/>
      <c r="Z2543" s="25"/>
      <c r="AA2543" s="99"/>
      <c r="AB2543" s="3" t="str">
        <f>IF(BCP_Soles[[#This Row],[FECHA]]&gt;0,TEXT(BCP_Soles[[#This Row],[FECHA]],"mmmm"),0)</f>
        <v>Julio</v>
      </c>
    </row>
    <row r="2544" spans="2:28" ht="24" x14ac:dyDescent="0.3">
      <c r="B2544" s="2">
        <f>IF(BCP_Soles[[#This Row],[TIPO DE R.]]="R",COUNTIFS($D$4:$D2543,"R")+1,"")</f>
        <v>1908</v>
      </c>
      <c r="C2544" s="19" t="str">
        <f t="shared" si="195"/>
        <v>B-BCP - Soles</v>
      </c>
      <c r="D2544" s="3" t="s">
        <v>1074</v>
      </c>
      <c r="E2544" s="14">
        <v>45848</v>
      </c>
      <c r="F2544" s="5" t="s">
        <v>2226</v>
      </c>
      <c r="G2544" s="5" t="s">
        <v>1087</v>
      </c>
      <c r="H2544" s="6" t="s">
        <v>368</v>
      </c>
      <c r="I2544" s="6" t="s">
        <v>63</v>
      </c>
      <c r="J2544" s="6">
        <v>1</v>
      </c>
      <c r="K2544" s="6">
        <v>4592</v>
      </c>
      <c r="L2544" s="7" t="s">
        <v>1100</v>
      </c>
      <c r="M2544" s="8">
        <v>1516572</v>
      </c>
      <c r="N2544" s="8" t="str">
        <f t="shared" si="196"/>
        <v>PEN</v>
      </c>
      <c r="O2544" s="13"/>
      <c r="P2544" s="13">
        <v>552.20000000000005</v>
      </c>
      <c r="Q2544" s="3">
        <f t="shared" si="197"/>
        <v>552.20000000000005</v>
      </c>
      <c r="R2544" s="3">
        <f t="shared" si="198"/>
        <v>0</v>
      </c>
      <c r="S2544" s="3">
        <f t="shared" si="199"/>
        <v>58627.250000000015</v>
      </c>
      <c r="T2544" s="24" t="s">
        <v>1081</v>
      </c>
      <c r="U2544" s="24" t="s">
        <v>1081</v>
      </c>
      <c r="V2544" s="69"/>
      <c r="W2544" s="25">
        <f>IFERROR(VLOOKUP(BCP_Soles[[#This Row],[DESTINATARIO]],CHOOSE({1,2},Clientes_Proveedores[Razon Social],Clientes_Proveedores[Ruc / Dni]),2,0),"")</f>
        <v>20558226979</v>
      </c>
      <c r="X2544" s="25"/>
      <c r="Y2544" s="25"/>
      <c r="Z2544" s="25"/>
      <c r="AA2544" s="99"/>
      <c r="AB2544" s="3" t="str">
        <f>IF(BCP_Soles[[#This Row],[FECHA]]&gt;0,TEXT(BCP_Soles[[#This Row],[FECHA]],"mmmm"),0)</f>
        <v>Julio</v>
      </c>
    </row>
    <row r="2545" spans="2:28" ht="24" x14ac:dyDescent="0.3">
      <c r="B2545" s="2">
        <f>IF(BCP_Soles[[#This Row],[TIPO DE R.]]="R",COUNTIFS($D$4:$D2544,"R")+1,"")</f>
        <v>1909</v>
      </c>
      <c r="C2545" s="19" t="str">
        <f t="shared" si="195"/>
        <v>B-BCP - Soles</v>
      </c>
      <c r="D2545" s="3" t="s">
        <v>1074</v>
      </c>
      <c r="E2545" s="14">
        <v>45848</v>
      </c>
      <c r="F2545" s="5" t="s">
        <v>3559</v>
      </c>
      <c r="G2545" s="5" t="s">
        <v>1087</v>
      </c>
      <c r="H2545" s="6" t="s">
        <v>368</v>
      </c>
      <c r="I2545" s="6" t="s">
        <v>63</v>
      </c>
      <c r="J2545" s="6">
        <v>1</v>
      </c>
      <c r="K2545" s="6">
        <v>4588</v>
      </c>
      <c r="L2545" s="7" t="s">
        <v>3560</v>
      </c>
      <c r="M2545" s="8">
        <v>402335</v>
      </c>
      <c r="N2545" s="8" t="str">
        <f t="shared" si="196"/>
        <v>PEN</v>
      </c>
      <c r="O2545" s="13"/>
      <c r="P2545" s="13">
        <v>468</v>
      </c>
      <c r="Q2545" s="3">
        <f t="shared" si="197"/>
        <v>468</v>
      </c>
      <c r="R2545" s="3">
        <f t="shared" si="198"/>
        <v>0</v>
      </c>
      <c r="S2545" s="3">
        <f t="shared" si="199"/>
        <v>59095.250000000015</v>
      </c>
      <c r="T2545" s="24" t="s">
        <v>1081</v>
      </c>
      <c r="U2545" s="24" t="s">
        <v>1081</v>
      </c>
      <c r="V2545" s="69"/>
      <c r="W2545" s="25">
        <f>IFERROR(VLOOKUP(BCP_Soles[[#This Row],[DESTINATARIO]],CHOOSE({1,2},Clientes_Proveedores[Razon Social],Clientes_Proveedores[Ruc / Dni]),2,0),"")</f>
        <v>20558226979</v>
      </c>
      <c r="X2545" s="25"/>
      <c r="Y2545" s="25"/>
      <c r="Z2545" s="25"/>
      <c r="AA2545" s="99"/>
      <c r="AB2545" s="3" t="str">
        <f>IF(BCP_Soles[[#This Row],[FECHA]]&gt;0,TEXT(BCP_Soles[[#This Row],[FECHA]],"mmmm"),0)</f>
        <v>Julio</v>
      </c>
    </row>
    <row r="2546" spans="2:28" ht="24" x14ac:dyDescent="0.3">
      <c r="B2546" s="2">
        <f>IF(BCP_Soles[[#This Row],[TIPO DE R.]]="R",COUNTIFS($D$4:$D2545,"R")+1,"")</f>
        <v>1910</v>
      </c>
      <c r="C2546" s="19" t="str">
        <f t="shared" si="195"/>
        <v>B-BCP - Soles</v>
      </c>
      <c r="D2546" s="3" t="s">
        <v>1074</v>
      </c>
      <c r="E2546" s="14">
        <v>45848</v>
      </c>
      <c r="F2546" s="5" t="s">
        <v>1435</v>
      </c>
      <c r="G2546" s="5" t="s">
        <v>1087</v>
      </c>
      <c r="H2546" s="6" t="s">
        <v>368</v>
      </c>
      <c r="I2546" s="6" t="s">
        <v>63</v>
      </c>
      <c r="J2546" s="6">
        <v>1</v>
      </c>
      <c r="K2546" s="6">
        <v>4581</v>
      </c>
      <c r="L2546" s="7" t="s">
        <v>1100</v>
      </c>
      <c r="M2546" s="8">
        <v>1183209</v>
      </c>
      <c r="N2546" s="8" t="str">
        <f t="shared" si="196"/>
        <v>PEN</v>
      </c>
      <c r="O2546" s="13"/>
      <c r="P2546" s="13">
        <v>109</v>
      </c>
      <c r="Q2546" s="3">
        <f t="shared" si="197"/>
        <v>109</v>
      </c>
      <c r="R2546" s="3">
        <f t="shared" si="198"/>
        <v>0</v>
      </c>
      <c r="S2546" s="3">
        <f t="shared" si="199"/>
        <v>59204.250000000015</v>
      </c>
      <c r="T2546" s="24" t="s">
        <v>1081</v>
      </c>
      <c r="U2546" s="24" t="s">
        <v>1081</v>
      </c>
      <c r="V2546" s="69"/>
      <c r="W2546" s="25">
        <f>IFERROR(VLOOKUP(BCP_Soles[[#This Row],[DESTINATARIO]],CHOOSE({1,2},Clientes_Proveedores[Razon Social],Clientes_Proveedores[Ruc / Dni]),2,0),"")</f>
        <v>20558226979</v>
      </c>
      <c r="X2546" s="25"/>
      <c r="Y2546" s="25"/>
      <c r="Z2546" s="25"/>
      <c r="AA2546" s="99"/>
      <c r="AB2546" s="3" t="str">
        <f>IF(BCP_Soles[[#This Row],[FECHA]]&gt;0,TEXT(BCP_Soles[[#This Row],[FECHA]],"mmmm"),0)</f>
        <v>Julio</v>
      </c>
    </row>
    <row r="2547" spans="2:28" x14ac:dyDescent="0.3">
      <c r="B2547" s="2">
        <f>IF(BCP_Soles[[#This Row],[TIPO DE R.]]="R",COUNTIFS($D$4:$D2546,"R")+1,"")</f>
        <v>1911</v>
      </c>
      <c r="C2547" s="19" t="str">
        <f t="shared" si="195"/>
        <v>B-BCP - Soles</v>
      </c>
      <c r="D2547" s="3" t="s">
        <v>1074</v>
      </c>
      <c r="E2547" s="14">
        <v>45848</v>
      </c>
      <c r="F2547" s="5" t="s">
        <v>139</v>
      </c>
      <c r="G2547" s="5" t="s">
        <v>1087</v>
      </c>
      <c r="H2547" s="6" t="s">
        <v>368</v>
      </c>
      <c r="I2547" s="6" t="s">
        <v>14</v>
      </c>
      <c r="J2547" s="6" t="s">
        <v>1521</v>
      </c>
      <c r="K2547" s="6">
        <v>104</v>
      </c>
      <c r="L2547" s="7" t="s">
        <v>3561</v>
      </c>
      <c r="M2547" s="8">
        <v>2518</v>
      </c>
      <c r="N2547" s="8" t="str">
        <f t="shared" si="196"/>
        <v>PEN</v>
      </c>
      <c r="O2547" s="13"/>
      <c r="P2547" s="13">
        <v>2699.84</v>
      </c>
      <c r="Q2547" s="3">
        <f t="shared" si="197"/>
        <v>2699.84</v>
      </c>
      <c r="R2547" s="3">
        <f t="shared" si="198"/>
        <v>0</v>
      </c>
      <c r="S2547" s="3">
        <f t="shared" si="199"/>
        <v>61904.090000000011</v>
      </c>
      <c r="T2547" s="24" t="s">
        <v>1081</v>
      </c>
      <c r="U2547" s="24" t="s">
        <v>1081</v>
      </c>
      <c r="V2547" s="69"/>
      <c r="W2547" s="25">
        <f>IFERROR(VLOOKUP(BCP_Soles[[#This Row],[DESTINATARIO]],CHOOSE({1,2},Clientes_Proveedores[Razon Social],Clientes_Proveedores[Ruc / Dni]),2,0),"")</f>
        <v>20558226979</v>
      </c>
      <c r="X2547" s="25"/>
      <c r="Y2547" s="25"/>
      <c r="Z2547" s="25"/>
      <c r="AA2547" s="99"/>
      <c r="AB2547" s="3" t="str">
        <f>IF(BCP_Soles[[#This Row],[FECHA]]&gt;0,TEXT(BCP_Soles[[#This Row],[FECHA]],"mmmm"),0)</f>
        <v>Julio</v>
      </c>
    </row>
    <row r="2548" spans="2:28" x14ac:dyDescent="0.3">
      <c r="B2548" s="2">
        <f>IF(BCP_Soles[[#This Row],[TIPO DE R.]]="R",COUNTIFS($D$4:$D2547,"R")+1,"")</f>
        <v>1912</v>
      </c>
      <c r="C2548" s="19" t="str">
        <f t="shared" si="195"/>
        <v>B-BCP - Soles</v>
      </c>
      <c r="D2548" s="3" t="s">
        <v>1074</v>
      </c>
      <c r="E2548" s="14">
        <v>45848</v>
      </c>
      <c r="F2548" s="5" t="s">
        <v>3562</v>
      </c>
      <c r="G2548" s="5" t="s">
        <v>1087</v>
      </c>
      <c r="H2548" s="6" t="s">
        <v>368</v>
      </c>
      <c r="I2548" s="6"/>
      <c r="J2548" s="6">
        <v>1</v>
      </c>
      <c r="K2548" s="6">
        <v>392025</v>
      </c>
      <c r="L2548" s="7" t="s">
        <v>3563</v>
      </c>
      <c r="M2548" s="8">
        <v>3842241</v>
      </c>
      <c r="N2548" s="8" t="str">
        <f t="shared" si="196"/>
        <v>PEN</v>
      </c>
      <c r="O2548" s="13"/>
      <c r="P2548" s="13">
        <v>100.5</v>
      </c>
      <c r="Q2548" s="3">
        <f t="shared" si="197"/>
        <v>100.5</v>
      </c>
      <c r="R2548" s="3">
        <f t="shared" si="198"/>
        <v>0</v>
      </c>
      <c r="S2548" s="3">
        <f t="shared" si="199"/>
        <v>62004.590000000011</v>
      </c>
      <c r="T2548" s="24" t="s">
        <v>1081</v>
      </c>
      <c r="U2548" s="24"/>
      <c r="V2548" s="69"/>
      <c r="W2548" s="25">
        <f>IFERROR(VLOOKUP(BCP_Soles[[#This Row],[DESTINATARIO]],CHOOSE({1,2},Clientes_Proveedores[Razon Social],Clientes_Proveedores[Ruc / Dni]),2,0),"")</f>
        <v>20558226979</v>
      </c>
      <c r="X2548" s="25"/>
      <c r="Y2548" s="25"/>
      <c r="Z2548" s="25"/>
      <c r="AA2548" s="99"/>
      <c r="AB2548" s="3" t="str">
        <f>IF(BCP_Soles[[#This Row],[FECHA]]&gt;0,TEXT(BCP_Soles[[#This Row],[FECHA]],"mmmm"),0)</f>
        <v>Julio</v>
      </c>
    </row>
    <row r="2549" spans="2:28" x14ac:dyDescent="0.3">
      <c r="B2549" s="2">
        <f>IF(BCP_Soles[[#This Row],[TIPO DE R.]]="R",COUNTIFS($D$4:$D2548,"R")+1,"")</f>
        <v>1913</v>
      </c>
      <c r="C2549" s="19" t="str">
        <f t="shared" si="195"/>
        <v>B-BCP - Soles</v>
      </c>
      <c r="D2549" s="3" t="s">
        <v>1074</v>
      </c>
      <c r="E2549" s="14">
        <v>45848</v>
      </c>
      <c r="F2549" s="5" t="s">
        <v>3562</v>
      </c>
      <c r="G2549" s="5" t="s">
        <v>1087</v>
      </c>
      <c r="H2549" s="6" t="s">
        <v>368</v>
      </c>
      <c r="I2549" s="6"/>
      <c r="J2549" s="6">
        <v>1</v>
      </c>
      <c r="K2549" s="6">
        <v>432025</v>
      </c>
      <c r="L2549" s="7" t="s">
        <v>3564</v>
      </c>
      <c r="M2549" s="8">
        <v>3827605</v>
      </c>
      <c r="N2549" s="8" t="str">
        <f t="shared" si="196"/>
        <v>PEN</v>
      </c>
      <c r="O2549" s="13"/>
      <c r="P2549" s="13">
        <v>60</v>
      </c>
      <c r="Q2549" s="3">
        <f t="shared" si="197"/>
        <v>60</v>
      </c>
      <c r="R2549" s="3">
        <f t="shared" si="198"/>
        <v>0</v>
      </c>
      <c r="S2549" s="3">
        <f t="shared" si="199"/>
        <v>62064.590000000011</v>
      </c>
      <c r="T2549" s="24" t="s">
        <v>1081</v>
      </c>
      <c r="U2549" s="24"/>
      <c r="V2549" s="69"/>
      <c r="W2549" s="25">
        <f>IFERROR(VLOOKUP(BCP_Soles[[#This Row],[DESTINATARIO]],CHOOSE({1,2},Clientes_Proveedores[Razon Social],Clientes_Proveedores[Ruc / Dni]),2,0),"")</f>
        <v>20558226979</v>
      </c>
      <c r="X2549" s="25"/>
      <c r="Y2549" s="25"/>
      <c r="Z2549" s="25"/>
      <c r="AA2549" s="99"/>
      <c r="AB2549" s="3" t="str">
        <f>IF(BCP_Soles[[#This Row],[FECHA]]&gt;0,TEXT(BCP_Soles[[#This Row],[FECHA]],"mmmm"),0)</f>
        <v>Julio</v>
      </c>
    </row>
    <row r="2550" spans="2:28" ht="24" x14ac:dyDescent="0.3">
      <c r="B2550" s="2">
        <f>IF(BCP_Soles[[#This Row],[TIPO DE R.]]="R",COUNTIFS($D$4:$D2549,"R")+1,"")</f>
        <v>1914</v>
      </c>
      <c r="C2550" s="19" t="str">
        <f t="shared" si="195"/>
        <v>B-BCP - Soles</v>
      </c>
      <c r="D2550" s="3" t="s">
        <v>1074</v>
      </c>
      <c r="E2550" s="14">
        <v>45848</v>
      </c>
      <c r="F2550" s="5" t="s">
        <v>1996</v>
      </c>
      <c r="G2550" s="5" t="s">
        <v>1079</v>
      </c>
      <c r="H2550" s="6" t="s">
        <v>1011</v>
      </c>
      <c r="I2550" s="6"/>
      <c r="J2550" s="6"/>
      <c r="K2550" s="6"/>
      <c r="L2550" s="7" t="s">
        <v>3565</v>
      </c>
      <c r="M2550" s="8">
        <v>1019049</v>
      </c>
      <c r="N2550" s="8" t="str">
        <f t="shared" si="196"/>
        <v>PEN</v>
      </c>
      <c r="O2550" s="13"/>
      <c r="P2550" s="13">
        <v>2175.77</v>
      </c>
      <c r="Q2550" s="3">
        <f t="shared" si="197"/>
        <v>0</v>
      </c>
      <c r="R2550" s="3">
        <f t="shared" si="198"/>
        <v>2175.77</v>
      </c>
      <c r="S2550" s="3">
        <f t="shared" si="199"/>
        <v>59888.820000000014</v>
      </c>
      <c r="T2550" s="24"/>
      <c r="U2550" s="24"/>
      <c r="V2550" s="103" t="s">
        <v>3566</v>
      </c>
      <c r="W2550" s="25">
        <f>IFERROR(VLOOKUP(BCP_Soles[[#This Row],[DESTINATARIO]],CHOOSE({1,2},Clientes_Proveedores[Razon Social],Clientes_Proveedores[Ruc / Dni]),2,0),"")</f>
        <v>46930934</v>
      </c>
      <c r="X2550" s="25"/>
      <c r="Y2550" s="25"/>
      <c r="Z2550" s="25"/>
      <c r="AA2550" s="99"/>
      <c r="AB2550" s="3" t="str">
        <f>IF(BCP_Soles[[#This Row],[FECHA]]&gt;0,TEXT(BCP_Soles[[#This Row],[FECHA]],"mmmm"),0)</f>
        <v>Julio</v>
      </c>
    </row>
    <row r="2551" spans="2:28" x14ac:dyDescent="0.3">
      <c r="B2551" s="2">
        <f>IF(BCP_Soles[[#This Row],[TIPO DE R.]]="R",COUNTIFS($D$4:$D2550,"R")+1,"")</f>
        <v>1915</v>
      </c>
      <c r="C2551" s="19" t="str">
        <f t="shared" si="195"/>
        <v>B-BCP - Soles</v>
      </c>
      <c r="D2551" s="3" t="s">
        <v>1074</v>
      </c>
      <c r="E2551" s="14">
        <v>45848</v>
      </c>
      <c r="F2551" s="5" t="s">
        <v>1996</v>
      </c>
      <c r="G2551" s="5" t="s">
        <v>1079</v>
      </c>
      <c r="H2551" s="6" t="s">
        <v>729</v>
      </c>
      <c r="I2551" s="6"/>
      <c r="J2551" s="6"/>
      <c r="K2551" s="6"/>
      <c r="L2551" s="7" t="s">
        <v>3567</v>
      </c>
      <c r="M2551" s="8">
        <v>1018058</v>
      </c>
      <c r="N2551" s="8" t="str">
        <f t="shared" si="196"/>
        <v>PEN</v>
      </c>
      <c r="O2551" s="13"/>
      <c r="P2551" s="13">
        <v>2537.14</v>
      </c>
      <c r="Q2551" s="3">
        <f t="shared" si="197"/>
        <v>0</v>
      </c>
      <c r="R2551" s="3">
        <f t="shared" si="198"/>
        <v>2537.14</v>
      </c>
      <c r="S2551" s="3">
        <f t="shared" si="199"/>
        <v>57351.680000000015</v>
      </c>
      <c r="T2551" s="24"/>
      <c r="U2551" s="24"/>
      <c r="V2551" s="103" t="s">
        <v>3568</v>
      </c>
      <c r="W2551" s="25">
        <f>IFERROR(VLOOKUP(BCP_Soles[[#This Row],[DESTINATARIO]],CHOOSE({1,2},Clientes_Proveedores[Razon Social],Clientes_Proveedores[Ruc / Dni]),2,0),"")</f>
        <v>73238347</v>
      </c>
      <c r="X2551" s="25"/>
      <c r="Y2551" s="25"/>
      <c r="Z2551" s="25"/>
      <c r="AA2551" s="99"/>
      <c r="AB2551" s="3" t="str">
        <f>IF(BCP_Soles[[#This Row],[FECHA]]&gt;0,TEXT(BCP_Soles[[#This Row],[FECHA]],"mmmm"),0)</f>
        <v>Julio</v>
      </c>
    </row>
    <row r="2552" spans="2:28" ht="24" x14ac:dyDescent="0.3">
      <c r="B2552" s="2">
        <f>IF(BCP_Soles[[#This Row],[TIPO DE R.]]="R",COUNTIFS($D$4:$D2551,"R")+1,"")</f>
        <v>1916</v>
      </c>
      <c r="C2552" s="19" t="str">
        <f t="shared" si="195"/>
        <v>B-BCP - Soles</v>
      </c>
      <c r="D2552" s="3" t="s">
        <v>1074</v>
      </c>
      <c r="E2552" s="14">
        <v>45848</v>
      </c>
      <c r="F2552" s="5" t="s">
        <v>1996</v>
      </c>
      <c r="G2552" s="5" t="s">
        <v>1079</v>
      </c>
      <c r="H2552" s="6" t="s">
        <v>935</v>
      </c>
      <c r="I2552" s="6" t="s">
        <v>14</v>
      </c>
      <c r="J2552" s="6" t="s">
        <v>1121</v>
      </c>
      <c r="K2552" s="6">
        <v>542</v>
      </c>
      <c r="L2552" s="7" t="s">
        <v>3569</v>
      </c>
      <c r="M2552" s="8">
        <v>1017063</v>
      </c>
      <c r="N2552" s="8" t="str">
        <f t="shared" si="196"/>
        <v>PEN</v>
      </c>
      <c r="O2552" s="13"/>
      <c r="P2552" s="13">
        <v>920</v>
      </c>
      <c r="Q2552" s="3">
        <f t="shared" si="197"/>
        <v>0</v>
      </c>
      <c r="R2552" s="3">
        <f t="shared" si="198"/>
        <v>920</v>
      </c>
      <c r="S2552" s="3">
        <f t="shared" si="199"/>
        <v>56431.680000000015</v>
      </c>
      <c r="T2552" s="24" t="s">
        <v>1081</v>
      </c>
      <c r="U2552" s="24" t="s">
        <v>1081</v>
      </c>
      <c r="V2552" s="104" t="s">
        <v>3570</v>
      </c>
      <c r="W2552" s="25">
        <f>IFERROR(VLOOKUP(BCP_Soles[[#This Row],[DESTINATARIO]],CHOOSE({1,2},Clientes_Proveedores[Razon Social],Clientes_Proveedores[Ruc / Dni]),2,0),"")</f>
        <v>20611396121</v>
      </c>
      <c r="X2552" s="25"/>
      <c r="Y2552" s="25"/>
      <c r="Z2552" s="25"/>
      <c r="AA2552" s="99"/>
      <c r="AB2552" s="3" t="str">
        <f>IF(BCP_Soles[[#This Row],[FECHA]]&gt;0,TEXT(BCP_Soles[[#This Row],[FECHA]],"mmmm"),0)</f>
        <v>Julio</v>
      </c>
    </row>
    <row r="2553" spans="2:28" ht="24" x14ac:dyDescent="0.3">
      <c r="B2553" s="2">
        <f>IF(BCP_Soles[[#This Row],[TIPO DE R.]]="R",COUNTIFS($D$4:$D2552,"R")+1,"")</f>
        <v>1917</v>
      </c>
      <c r="C2553" s="19" t="str">
        <f t="shared" si="195"/>
        <v>B-BCP - Soles</v>
      </c>
      <c r="D2553" s="3" t="s">
        <v>1074</v>
      </c>
      <c r="E2553" s="14">
        <v>45848</v>
      </c>
      <c r="F2553" s="5" t="s">
        <v>1996</v>
      </c>
      <c r="G2553" s="5" t="s">
        <v>1079</v>
      </c>
      <c r="H2553" s="6" t="s">
        <v>105</v>
      </c>
      <c r="I2553" s="6" t="s">
        <v>14</v>
      </c>
      <c r="J2553" s="6" t="s">
        <v>1121</v>
      </c>
      <c r="K2553" s="6">
        <v>302</v>
      </c>
      <c r="L2553" s="7" t="s">
        <v>3571</v>
      </c>
      <c r="M2553" s="8">
        <v>1055752</v>
      </c>
      <c r="N2553" s="8" t="str">
        <f t="shared" si="196"/>
        <v>PEN</v>
      </c>
      <c r="O2553" s="13"/>
      <c r="P2553" s="13">
        <v>332</v>
      </c>
      <c r="Q2553" s="3">
        <f t="shared" si="197"/>
        <v>0</v>
      </c>
      <c r="R2553" s="3">
        <f t="shared" si="198"/>
        <v>332</v>
      </c>
      <c r="S2553" s="3">
        <f t="shared" si="199"/>
        <v>56099.680000000015</v>
      </c>
      <c r="T2553" s="24" t="s">
        <v>1081</v>
      </c>
      <c r="U2553" s="24" t="s">
        <v>1081</v>
      </c>
      <c r="V2553" s="104" t="s">
        <v>3572</v>
      </c>
      <c r="W2553" s="25">
        <f>IFERROR(VLOOKUP(BCP_Soles[[#This Row],[DESTINATARIO]],CHOOSE({1,2},Clientes_Proveedores[Razon Social],Clientes_Proveedores[Ruc / Dni]),2,0),"")</f>
        <v>10416031679</v>
      </c>
      <c r="X2553" s="25"/>
      <c r="Y2553" s="25"/>
      <c r="Z2553" s="25"/>
      <c r="AA2553" s="99"/>
      <c r="AB2553" s="3" t="str">
        <f>IF(BCP_Soles[[#This Row],[FECHA]]&gt;0,TEXT(BCP_Soles[[#This Row],[FECHA]],"mmmm"),0)</f>
        <v>Julio</v>
      </c>
    </row>
    <row r="2554" spans="2:28" ht="24" x14ac:dyDescent="0.3">
      <c r="B2554" s="2">
        <f>IF(BCP_Soles[[#This Row],[TIPO DE R.]]="R",COUNTIFS($D$4:$D2553,"R")+1,"")</f>
        <v>1918</v>
      </c>
      <c r="C2554" s="19" t="str">
        <f t="shared" si="195"/>
        <v>B-BCP - Soles</v>
      </c>
      <c r="D2554" s="3" t="s">
        <v>1074</v>
      </c>
      <c r="E2554" s="14">
        <v>45848</v>
      </c>
      <c r="F2554" s="5" t="s">
        <v>1996</v>
      </c>
      <c r="G2554" s="5" t="s">
        <v>1079</v>
      </c>
      <c r="H2554" s="6" t="s">
        <v>908</v>
      </c>
      <c r="I2554" s="6" t="s">
        <v>87</v>
      </c>
      <c r="J2554" s="6">
        <v>1</v>
      </c>
      <c r="K2554" s="6">
        <v>482025</v>
      </c>
      <c r="L2554" s="7" t="s">
        <v>3573</v>
      </c>
      <c r="M2554" s="8">
        <v>1052315</v>
      </c>
      <c r="N2554" s="8" t="str">
        <f t="shared" si="196"/>
        <v>PEN</v>
      </c>
      <c r="O2554" s="13"/>
      <c r="P2554" s="13">
        <v>500</v>
      </c>
      <c r="Q2554" s="3">
        <f t="shared" si="197"/>
        <v>0</v>
      </c>
      <c r="R2554" s="3">
        <f t="shared" si="198"/>
        <v>500</v>
      </c>
      <c r="S2554" s="3">
        <f t="shared" si="199"/>
        <v>55599.680000000015</v>
      </c>
      <c r="T2554" s="24" t="s">
        <v>1081</v>
      </c>
      <c r="U2554" s="24" t="s">
        <v>1081</v>
      </c>
      <c r="V2554" s="104" t="s">
        <v>3574</v>
      </c>
      <c r="W2554" s="25">
        <f>IFERROR(VLOOKUP(BCP_Soles[[#This Row],[DESTINATARIO]],CHOOSE({1,2},Clientes_Proveedores[Razon Social],Clientes_Proveedores[Ruc / Dni]),2,0),"")</f>
        <v>70517150</v>
      </c>
      <c r="X2554" s="25"/>
      <c r="Y2554" s="25"/>
      <c r="Z2554" s="25"/>
      <c r="AA2554" s="99"/>
      <c r="AB2554" s="3" t="str">
        <f>IF(BCP_Soles[[#This Row],[FECHA]]&gt;0,TEXT(BCP_Soles[[#This Row],[FECHA]],"mmmm"),0)</f>
        <v>Julio</v>
      </c>
    </row>
    <row r="2555" spans="2:28" ht="36" x14ac:dyDescent="0.3">
      <c r="B2555" s="2">
        <f>IF(BCP_Soles[[#This Row],[TIPO DE R.]]="R",COUNTIFS($D$4:$D2554,"R")+1,"")</f>
        <v>1919</v>
      </c>
      <c r="C2555" s="19" t="str">
        <f t="shared" si="195"/>
        <v>B-BCP - Soles</v>
      </c>
      <c r="D2555" s="3" t="s">
        <v>1074</v>
      </c>
      <c r="E2555" s="14">
        <v>45848</v>
      </c>
      <c r="F2555" s="5" t="s">
        <v>1996</v>
      </c>
      <c r="G2555" s="5" t="s">
        <v>1079</v>
      </c>
      <c r="H2555" s="6" t="s">
        <v>923</v>
      </c>
      <c r="I2555" s="6" t="s">
        <v>14</v>
      </c>
      <c r="J2555" s="6" t="s">
        <v>1121</v>
      </c>
      <c r="K2555" s="6">
        <v>60</v>
      </c>
      <c r="L2555" s="7" t="s">
        <v>3575</v>
      </c>
      <c r="M2555" s="8">
        <v>1227821</v>
      </c>
      <c r="N2555" s="8" t="str">
        <f t="shared" si="196"/>
        <v>PEN</v>
      </c>
      <c r="O2555" s="13"/>
      <c r="P2555" s="13">
        <v>120</v>
      </c>
      <c r="Q2555" s="3">
        <f t="shared" si="197"/>
        <v>0</v>
      </c>
      <c r="R2555" s="3">
        <f t="shared" si="198"/>
        <v>120</v>
      </c>
      <c r="S2555" s="3">
        <f t="shared" si="199"/>
        <v>55479.680000000015</v>
      </c>
      <c r="T2555" s="24" t="s">
        <v>1081</v>
      </c>
      <c r="U2555" s="24" t="s">
        <v>1081</v>
      </c>
      <c r="V2555" s="104" t="s">
        <v>3576</v>
      </c>
      <c r="W2555" s="25">
        <f>IFERROR(VLOOKUP(BCP_Soles[[#This Row],[DESTINATARIO]],CHOOSE({1,2},Clientes_Proveedores[Razon Social],Clientes_Proveedores[Ruc / Dni]),2,0),"")</f>
        <v>20606109963</v>
      </c>
      <c r="X2555" s="25"/>
      <c r="Y2555" s="25"/>
      <c r="Z2555" s="25"/>
      <c r="AA2555" s="99"/>
      <c r="AB2555" s="3" t="str">
        <f>IF(BCP_Soles[[#This Row],[FECHA]]&gt;0,TEXT(BCP_Soles[[#This Row],[FECHA]],"mmmm"),0)</f>
        <v>Julio</v>
      </c>
    </row>
    <row r="2556" spans="2:28" x14ac:dyDescent="0.3">
      <c r="B2556" s="2">
        <f>IF(BCP_Soles[[#This Row],[TIPO DE R.]]="R",COUNTIFS($D$4:$D2555,"R")+1,"")</f>
        <v>1920</v>
      </c>
      <c r="C2556" s="19" t="str">
        <f t="shared" si="195"/>
        <v>B-BCP - Soles</v>
      </c>
      <c r="D2556" s="3" t="s">
        <v>1074</v>
      </c>
      <c r="E2556" s="14">
        <v>45848</v>
      </c>
      <c r="F2556" s="5" t="s">
        <v>1996</v>
      </c>
      <c r="G2556" s="5" t="s">
        <v>1079</v>
      </c>
      <c r="H2556" s="6" t="s">
        <v>817</v>
      </c>
      <c r="I2556" s="6"/>
      <c r="J2556" s="6"/>
      <c r="K2556" s="6"/>
      <c r="L2556" s="7" t="s">
        <v>3577</v>
      </c>
      <c r="M2556" s="8">
        <v>1224977</v>
      </c>
      <c r="N2556" s="8" t="str">
        <f t="shared" si="196"/>
        <v>PEN</v>
      </c>
      <c r="O2556" s="13"/>
      <c r="P2556" s="13">
        <v>300</v>
      </c>
      <c r="Q2556" s="3">
        <f t="shared" si="197"/>
        <v>0</v>
      </c>
      <c r="R2556" s="3">
        <f t="shared" si="198"/>
        <v>300</v>
      </c>
      <c r="S2556" s="3">
        <f t="shared" si="199"/>
        <v>55179.680000000015</v>
      </c>
      <c r="T2556" s="24"/>
      <c r="U2556" s="24"/>
      <c r="V2556" s="104" t="s">
        <v>3578</v>
      </c>
      <c r="W2556" s="25">
        <f>IFERROR(VLOOKUP(BCP_Soles[[#This Row],[DESTINATARIO]],CHOOSE({1,2},Clientes_Proveedores[Razon Social],Clientes_Proveedores[Ruc / Dni]),2,0),"")</f>
        <v>1829028</v>
      </c>
      <c r="X2556" s="25"/>
      <c r="Y2556" s="25"/>
      <c r="Z2556" s="25"/>
      <c r="AA2556" s="99"/>
      <c r="AB2556" s="3" t="str">
        <f>IF(BCP_Soles[[#This Row],[FECHA]]&gt;0,TEXT(BCP_Soles[[#This Row],[FECHA]],"mmmm"),0)</f>
        <v>Julio</v>
      </c>
    </row>
    <row r="2557" spans="2:28" ht="24" x14ac:dyDescent="0.3">
      <c r="B2557" s="2">
        <f>IF(BCP_Soles[[#This Row],[TIPO DE R.]]="R",COUNTIFS($D$4:$D2556,"R")+1,"")</f>
        <v>1921</v>
      </c>
      <c r="C2557" s="19" t="str">
        <f t="shared" si="195"/>
        <v>B-BCP - Soles</v>
      </c>
      <c r="D2557" s="3" t="s">
        <v>1074</v>
      </c>
      <c r="E2557" s="14">
        <v>45848</v>
      </c>
      <c r="F2557" s="5" t="s">
        <v>1996</v>
      </c>
      <c r="G2557" s="5" t="s">
        <v>1079</v>
      </c>
      <c r="H2557" s="6" t="s">
        <v>697</v>
      </c>
      <c r="I2557" s="6" t="s">
        <v>18</v>
      </c>
      <c r="J2557" s="6" t="s">
        <v>1121</v>
      </c>
      <c r="K2557" s="6">
        <v>1303</v>
      </c>
      <c r="L2557" s="7" t="s">
        <v>3579</v>
      </c>
      <c r="M2557" s="8">
        <v>1227820</v>
      </c>
      <c r="N2557" s="8" t="str">
        <f t="shared" si="196"/>
        <v>PEN</v>
      </c>
      <c r="O2557" s="13"/>
      <c r="P2557" s="13">
        <v>210</v>
      </c>
      <c r="Q2557" s="3">
        <f t="shared" si="197"/>
        <v>0</v>
      </c>
      <c r="R2557" s="3">
        <f t="shared" si="198"/>
        <v>210</v>
      </c>
      <c r="S2557" s="3">
        <f t="shared" si="199"/>
        <v>54969.680000000015</v>
      </c>
      <c r="T2557" s="24" t="s">
        <v>1081</v>
      </c>
      <c r="U2557" s="24" t="s">
        <v>1081</v>
      </c>
      <c r="V2557" s="104" t="s">
        <v>3580</v>
      </c>
      <c r="W2557" s="25">
        <f>IFERROR(VLOOKUP(BCP_Soles[[#This Row],[DESTINATARIO]],CHOOSE({1,2},Clientes_Proveedores[Razon Social],Clientes_Proveedores[Ruc / Dni]),2,0),"")</f>
        <v>10450776578</v>
      </c>
      <c r="X2557" s="25"/>
      <c r="Y2557" s="25"/>
      <c r="Z2557" s="25"/>
      <c r="AA2557" s="99"/>
      <c r="AB2557" s="3" t="str">
        <f>IF(BCP_Soles[[#This Row],[FECHA]]&gt;0,TEXT(BCP_Soles[[#This Row],[FECHA]],"mmmm"),0)</f>
        <v>Julio</v>
      </c>
    </row>
    <row r="2558" spans="2:28" x14ac:dyDescent="0.3">
      <c r="B2558" s="2">
        <f>IF(BCP_Soles[[#This Row],[TIPO DE R.]]="R",COUNTIFS($D$4:$D2557,"R")+1,"")</f>
        <v>1922</v>
      </c>
      <c r="C2558" s="19" t="str">
        <f t="shared" si="195"/>
        <v>B-BCP - Soles</v>
      </c>
      <c r="D2558" s="3" t="s">
        <v>1074</v>
      </c>
      <c r="E2558" s="14">
        <v>45848</v>
      </c>
      <c r="F2558" s="5" t="s">
        <v>1075</v>
      </c>
      <c r="G2558" s="5" t="s">
        <v>1079</v>
      </c>
      <c r="H2558" s="6"/>
      <c r="I2558" s="6"/>
      <c r="J2558" s="6"/>
      <c r="K2558" s="6"/>
      <c r="L2558" s="7" t="s">
        <v>1271</v>
      </c>
      <c r="M2558" s="8">
        <v>2571</v>
      </c>
      <c r="N2558" s="8" t="str">
        <f t="shared" si="196"/>
        <v>PEN</v>
      </c>
      <c r="O2558" s="13"/>
      <c r="P2558" s="13">
        <v>6045.99</v>
      </c>
      <c r="Q2558" s="3">
        <f t="shared" si="197"/>
        <v>0</v>
      </c>
      <c r="R2558" s="3">
        <f t="shared" si="198"/>
        <v>6045.99</v>
      </c>
      <c r="S2558" s="3">
        <f t="shared" si="199"/>
        <v>48923.690000000017</v>
      </c>
      <c r="T2558" s="24"/>
      <c r="U2558" s="24"/>
      <c r="V2558" s="69"/>
      <c r="W2558" s="25" t="str">
        <f>IFERROR(VLOOKUP(BCP_Soles[[#This Row],[DESTINATARIO]],CHOOSE({1,2},Clientes_Proveedores[Razon Social],Clientes_Proveedores[Ruc / Dni]),2,0),"")</f>
        <v/>
      </c>
      <c r="X2558" s="25"/>
      <c r="Y2558" s="25"/>
      <c r="Z2558" s="25"/>
      <c r="AA2558" s="99"/>
      <c r="AB2558" s="3" t="str">
        <f>IF(BCP_Soles[[#This Row],[FECHA]]&gt;0,TEXT(BCP_Soles[[#This Row],[FECHA]],"mmmm"),0)</f>
        <v>Julio</v>
      </c>
    </row>
    <row r="2559" spans="2:28" x14ac:dyDescent="0.3">
      <c r="B2559" s="2">
        <f>IF(BCP_Soles[[#This Row],[TIPO DE R.]]="R",COUNTIFS($D$4:$D2558,"R")+1,"")</f>
        <v>1923</v>
      </c>
      <c r="C2559" s="19" t="str">
        <f t="shared" si="195"/>
        <v>B-BCP - Soles</v>
      </c>
      <c r="D2559" s="3" t="s">
        <v>1074</v>
      </c>
      <c r="E2559" s="14">
        <v>45848</v>
      </c>
      <c r="F2559" s="5" t="s">
        <v>3556</v>
      </c>
      <c r="G2559" s="5" t="s">
        <v>1079</v>
      </c>
      <c r="H2559" s="6"/>
      <c r="I2559" s="6"/>
      <c r="J2559" s="6"/>
      <c r="K2559" s="6"/>
      <c r="L2559" s="7" t="s">
        <v>3581</v>
      </c>
      <c r="M2559" s="8">
        <v>1008570</v>
      </c>
      <c r="N2559" s="8" t="str">
        <f t="shared" si="196"/>
        <v>PEN</v>
      </c>
      <c r="O2559" s="13"/>
      <c r="P2559" s="13">
        <v>2218</v>
      </c>
      <c r="Q2559" s="3">
        <f t="shared" si="197"/>
        <v>0</v>
      </c>
      <c r="R2559" s="3">
        <f t="shared" si="198"/>
        <v>2218</v>
      </c>
      <c r="S2559" s="3">
        <f t="shared" si="199"/>
        <v>46705.690000000017</v>
      </c>
      <c r="T2559" s="24" t="s">
        <v>1081</v>
      </c>
      <c r="U2559" s="24" t="s">
        <v>1081</v>
      </c>
      <c r="V2559" s="69"/>
      <c r="W2559" s="25" t="str">
        <f>IFERROR(VLOOKUP(BCP_Soles[[#This Row],[DESTINATARIO]],CHOOSE({1,2},Clientes_Proveedores[Razon Social],Clientes_Proveedores[Ruc / Dni]),2,0),"")</f>
        <v/>
      </c>
      <c r="X2559" s="25"/>
      <c r="Y2559" s="25"/>
      <c r="Z2559" s="25"/>
      <c r="AA2559" s="99"/>
      <c r="AB2559" s="3" t="str">
        <f>IF(BCP_Soles[[#This Row],[FECHA]]&gt;0,TEXT(BCP_Soles[[#This Row],[FECHA]],"mmmm"),0)</f>
        <v>Julio</v>
      </c>
    </row>
    <row r="2560" spans="2:28" x14ac:dyDescent="0.3">
      <c r="B2560" s="2" t="str">
        <f>IF(BCP_Soles[[#This Row],[TIPO DE R.]]="R",COUNTIFS($D$4:$D2559,"R")+1,"")</f>
        <v/>
      </c>
      <c r="C2560" s="19" t="str">
        <f t="shared" si="195"/>
        <v>B-BCP - Soles</v>
      </c>
      <c r="D2560" s="3" t="s">
        <v>1101</v>
      </c>
      <c r="E2560" s="14">
        <v>45848</v>
      </c>
      <c r="F2560" s="5" t="s">
        <v>3556</v>
      </c>
      <c r="G2560" s="5"/>
      <c r="H2560" s="6" t="s">
        <v>671</v>
      </c>
      <c r="I2560" s="6" t="s">
        <v>14</v>
      </c>
      <c r="J2560" s="6" t="s">
        <v>1119</v>
      </c>
      <c r="K2560" s="6">
        <v>20</v>
      </c>
      <c r="L2560" s="7" t="s">
        <v>3581</v>
      </c>
      <c r="M2560" s="8">
        <v>1008570</v>
      </c>
      <c r="N2560" s="8" t="str">
        <f t="shared" si="196"/>
        <v>PEN</v>
      </c>
      <c r="O2560" s="13">
        <v>141</v>
      </c>
      <c r="P2560" s="13"/>
      <c r="Q2560" s="3">
        <f t="shared" si="197"/>
        <v>0</v>
      </c>
      <c r="R2560" s="3">
        <f t="shared" si="198"/>
        <v>0</v>
      </c>
      <c r="S2560" s="3">
        <f t="shared" si="199"/>
        <v>46705.690000000017</v>
      </c>
      <c r="T2560" s="24" t="s">
        <v>1081</v>
      </c>
      <c r="U2560" s="24" t="s">
        <v>1081</v>
      </c>
      <c r="V2560" s="69"/>
      <c r="W2560" s="25">
        <f>IFERROR(VLOOKUP(BCP_Soles[[#This Row],[DESTINATARIO]],CHOOSE({1,2},Clientes_Proveedores[Razon Social],Clientes_Proveedores[Ruc / Dni]),2,0),"")</f>
        <v>20612973530</v>
      </c>
      <c r="X2560" s="25"/>
      <c r="Y2560" s="25"/>
      <c r="Z2560" s="25"/>
      <c r="AA2560" s="99" t="s">
        <v>3385</v>
      </c>
      <c r="AB2560" s="3" t="str">
        <f>IF(BCP_Soles[[#This Row],[FECHA]]&gt;0,TEXT(BCP_Soles[[#This Row],[FECHA]],"mmmm"),0)</f>
        <v>Julio</v>
      </c>
    </row>
    <row r="2561" spans="2:28" ht="24" x14ac:dyDescent="0.3">
      <c r="B2561" s="2" t="str">
        <f>IF(BCP_Soles[[#This Row],[TIPO DE R.]]="R",COUNTIFS($D$4:$D2560,"R")+1,"")</f>
        <v/>
      </c>
      <c r="C2561" s="19" t="str">
        <f t="shared" si="195"/>
        <v>B-BCP - Soles</v>
      </c>
      <c r="D2561" s="3" t="s">
        <v>1101</v>
      </c>
      <c r="E2561" s="14">
        <v>45848</v>
      </c>
      <c r="F2561" s="5" t="s">
        <v>3556</v>
      </c>
      <c r="G2561" s="5"/>
      <c r="H2561" s="6" t="s">
        <v>128</v>
      </c>
      <c r="I2561" s="6" t="s">
        <v>14</v>
      </c>
      <c r="J2561" s="6" t="s">
        <v>1121</v>
      </c>
      <c r="K2561" s="6">
        <v>138</v>
      </c>
      <c r="L2561" s="7" t="s">
        <v>3581</v>
      </c>
      <c r="M2561" s="8">
        <v>1008570</v>
      </c>
      <c r="N2561" s="8" t="str">
        <f t="shared" si="196"/>
        <v>PEN</v>
      </c>
      <c r="O2561" s="13">
        <v>65</v>
      </c>
      <c r="P2561" s="13"/>
      <c r="Q2561" s="3">
        <f t="shared" si="197"/>
        <v>0</v>
      </c>
      <c r="R2561" s="3">
        <f t="shared" si="198"/>
        <v>0</v>
      </c>
      <c r="S2561" s="3">
        <f t="shared" si="199"/>
        <v>46705.690000000017</v>
      </c>
      <c r="T2561" s="24" t="s">
        <v>1081</v>
      </c>
      <c r="U2561" s="24" t="s">
        <v>1081</v>
      </c>
      <c r="V2561" s="69"/>
      <c r="W2561" s="25">
        <f>IFERROR(VLOOKUP(BCP_Soles[[#This Row],[DESTINATARIO]],CHOOSE({1,2},Clientes_Proveedores[Razon Social],Clientes_Proveedores[Ruc / Dni]),2,0),"")</f>
        <v>10489531963</v>
      </c>
      <c r="X2561" s="25"/>
      <c r="Y2561" s="25"/>
      <c r="Z2561" s="25"/>
      <c r="AA2561" s="99" t="s">
        <v>3385</v>
      </c>
      <c r="AB2561" s="3" t="str">
        <f>IF(BCP_Soles[[#This Row],[FECHA]]&gt;0,TEXT(BCP_Soles[[#This Row],[FECHA]],"mmmm"),0)</f>
        <v>Julio</v>
      </c>
    </row>
    <row r="2562" spans="2:28" ht="36" x14ac:dyDescent="0.3">
      <c r="B2562" s="2" t="str">
        <f>IF(BCP_Soles[[#This Row],[TIPO DE R.]]="R",COUNTIFS($D$4:$D2561,"R")+1,"")</f>
        <v/>
      </c>
      <c r="C2562" s="19" t="str">
        <f t="shared" si="195"/>
        <v>B-BCP - Soles</v>
      </c>
      <c r="D2562" s="3" t="s">
        <v>1101</v>
      </c>
      <c r="E2562" s="14">
        <v>45848</v>
      </c>
      <c r="F2562" s="5" t="s">
        <v>3556</v>
      </c>
      <c r="G2562" s="5"/>
      <c r="H2562" s="6" t="s">
        <v>568</v>
      </c>
      <c r="I2562" s="6" t="s">
        <v>14</v>
      </c>
      <c r="J2562" s="6" t="s">
        <v>1121</v>
      </c>
      <c r="K2562" s="6">
        <v>220</v>
      </c>
      <c r="L2562" s="7" t="s">
        <v>3581</v>
      </c>
      <c r="M2562" s="8">
        <v>1008570</v>
      </c>
      <c r="N2562" s="8" t="str">
        <f t="shared" si="196"/>
        <v>PEN</v>
      </c>
      <c r="O2562" s="13">
        <v>100</v>
      </c>
      <c r="P2562" s="13"/>
      <c r="Q2562" s="3">
        <f t="shared" si="197"/>
        <v>0</v>
      </c>
      <c r="R2562" s="3">
        <f t="shared" si="198"/>
        <v>0</v>
      </c>
      <c r="S2562" s="3">
        <f t="shared" si="199"/>
        <v>46705.690000000017</v>
      </c>
      <c r="T2562" s="24" t="s">
        <v>1081</v>
      </c>
      <c r="U2562" s="24" t="s">
        <v>1081</v>
      </c>
      <c r="V2562" s="69"/>
      <c r="W2562" s="25">
        <f>IFERROR(VLOOKUP(BCP_Soles[[#This Row],[DESTINATARIO]],CHOOSE({1,2},Clientes_Proveedores[Razon Social],Clientes_Proveedores[Ruc / Dni]),2,0),"")</f>
        <v>20549334874</v>
      </c>
      <c r="X2562" s="25"/>
      <c r="Y2562" s="25"/>
      <c r="Z2562" s="25"/>
      <c r="AA2562" s="99" t="s">
        <v>3385</v>
      </c>
      <c r="AB2562" s="3" t="str">
        <f>IF(BCP_Soles[[#This Row],[FECHA]]&gt;0,TEXT(BCP_Soles[[#This Row],[FECHA]],"mmmm"),0)</f>
        <v>Julio</v>
      </c>
    </row>
    <row r="2563" spans="2:28" x14ac:dyDescent="0.3">
      <c r="B2563" s="2" t="str">
        <f>IF(BCP_Soles[[#This Row],[TIPO DE R.]]="R",COUNTIFS($D$4:$D2562,"R")+1,"")</f>
        <v/>
      </c>
      <c r="C2563" s="19" t="str">
        <f t="shared" si="195"/>
        <v>B-BCP - Soles</v>
      </c>
      <c r="D2563" s="3" t="s">
        <v>1101</v>
      </c>
      <c r="E2563" s="14">
        <v>45848</v>
      </c>
      <c r="F2563" s="5" t="s">
        <v>3556</v>
      </c>
      <c r="G2563" s="5"/>
      <c r="H2563" s="6" t="s">
        <v>229</v>
      </c>
      <c r="I2563" s="6" t="s">
        <v>14</v>
      </c>
      <c r="J2563" s="6" t="s">
        <v>1148</v>
      </c>
      <c r="K2563" s="6">
        <v>628</v>
      </c>
      <c r="L2563" s="7" t="s">
        <v>3581</v>
      </c>
      <c r="M2563" s="8">
        <v>1008570</v>
      </c>
      <c r="N2563" s="8" t="str">
        <f t="shared" si="196"/>
        <v>PEN</v>
      </c>
      <c r="O2563" s="13">
        <v>257</v>
      </c>
      <c r="P2563" s="13"/>
      <c r="Q2563" s="3">
        <f t="shared" si="197"/>
        <v>0</v>
      </c>
      <c r="R2563" s="3">
        <f t="shared" si="198"/>
        <v>0</v>
      </c>
      <c r="S2563" s="3">
        <f t="shared" si="199"/>
        <v>46705.690000000017</v>
      </c>
      <c r="T2563" s="24" t="s">
        <v>1081</v>
      </c>
      <c r="U2563" s="24" t="s">
        <v>1081</v>
      </c>
      <c r="V2563" s="69"/>
      <c r="W2563" s="25">
        <f>IFERROR(VLOOKUP(BCP_Soles[[#This Row],[DESTINATARIO]],CHOOSE({1,2},Clientes_Proveedores[Razon Social],Clientes_Proveedores[Ruc / Dni]),2,0),"")</f>
        <v>20454186002</v>
      </c>
      <c r="X2563" s="25"/>
      <c r="Y2563" s="25"/>
      <c r="Z2563" s="25"/>
      <c r="AA2563" s="99" t="s">
        <v>3385</v>
      </c>
      <c r="AB2563" s="3" t="str">
        <f>IF(BCP_Soles[[#This Row],[FECHA]]&gt;0,TEXT(BCP_Soles[[#This Row],[FECHA]],"mmmm"),0)</f>
        <v>Julio</v>
      </c>
    </row>
    <row r="2564" spans="2:28" ht="24" x14ac:dyDescent="0.3">
      <c r="B2564" s="2" t="str">
        <f>IF(BCP_Soles[[#This Row],[TIPO DE R.]]="R",COUNTIFS($D$4:$D2563,"R")+1,"")</f>
        <v/>
      </c>
      <c r="C2564" s="19" t="str">
        <f t="shared" si="195"/>
        <v>B-BCP - Soles</v>
      </c>
      <c r="D2564" s="3" t="s">
        <v>1101</v>
      </c>
      <c r="E2564" s="14">
        <v>45848</v>
      </c>
      <c r="F2564" s="5" t="s">
        <v>3556</v>
      </c>
      <c r="G2564" s="5"/>
      <c r="H2564" s="6" t="s">
        <v>634</v>
      </c>
      <c r="I2564" s="6" t="s">
        <v>14</v>
      </c>
      <c r="J2564" s="6" t="s">
        <v>1121</v>
      </c>
      <c r="K2564" s="6">
        <v>8</v>
      </c>
      <c r="L2564" s="7" t="s">
        <v>3581</v>
      </c>
      <c r="M2564" s="8">
        <v>1008570</v>
      </c>
      <c r="N2564" s="8" t="str">
        <f t="shared" si="196"/>
        <v>PEN</v>
      </c>
      <c r="O2564" s="13">
        <v>33</v>
      </c>
      <c r="P2564" s="13"/>
      <c r="Q2564" s="3">
        <f t="shared" si="197"/>
        <v>0</v>
      </c>
      <c r="R2564" s="3">
        <f t="shared" si="198"/>
        <v>0</v>
      </c>
      <c r="S2564" s="3">
        <f t="shared" si="199"/>
        <v>46705.690000000017</v>
      </c>
      <c r="T2564" s="24" t="s">
        <v>1081</v>
      </c>
      <c r="U2564" s="24" t="s">
        <v>1081</v>
      </c>
      <c r="V2564" s="69"/>
      <c r="W2564" s="25">
        <f>IFERROR(VLOOKUP(BCP_Soles[[#This Row],[DESTINATARIO]],CHOOSE({1,2},Clientes_Proveedores[Razon Social],Clientes_Proveedores[Ruc / Dni]),2,0),"")</f>
        <v>10736055631</v>
      </c>
      <c r="X2564" s="25"/>
      <c r="Y2564" s="25"/>
      <c r="Z2564" s="25"/>
      <c r="AA2564" s="99" t="s">
        <v>3385</v>
      </c>
      <c r="AB2564" s="3" t="str">
        <f>IF(BCP_Soles[[#This Row],[FECHA]]&gt;0,TEXT(BCP_Soles[[#This Row],[FECHA]],"mmmm"),0)</f>
        <v>Julio</v>
      </c>
    </row>
    <row r="2565" spans="2:28" ht="24" x14ac:dyDescent="0.3">
      <c r="B2565" s="2" t="str">
        <f>IF(BCP_Soles[[#This Row],[TIPO DE R.]]="R",COUNTIFS($D$4:$D2564,"R")+1,"")</f>
        <v/>
      </c>
      <c r="C2565" s="19" t="str">
        <f t="shared" ref="C2565:C2628" si="200">"B-BCP - Soles"</f>
        <v>B-BCP - Soles</v>
      </c>
      <c r="D2565" s="3" t="s">
        <v>1101</v>
      </c>
      <c r="E2565" s="14">
        <v>45848</v>
      </c>
      <c r="F2565" s="5" t="s">
        <v>3556</v>
      </c>
      <c r="G2565" s="5"/>
      <c r="H2565" s="6" t="s">
        <v>634</v>
      </c>
      <c r="I2565" s="6" t="s">
        <v>14</v>
      </c>
      <c r="J2565" s="6" t="s">
        <v>1121</v>
      </c>
      <c r="K2565" s="6">
        <v>9</v>
      </c>
      <c r="L2565" s="7" t="s">
        <v>3581</v>
      </c>
      <c r="M2565" s="8">
        <v>1008570</v>
      </c>
      <c r="N2565" s="8" t="str">
        <f t="shared" ref="N2565:N2628" si="201">"PEN"</f>
        <v>PEN</v>
      </c>
      <c r="O2565" s="13">
        <v>36</v>
      </c>
      <c r="P2565" s="13"/>
      <c r="Q2565" s="3">
        <f t="shared" ref="Q2565:Q2628" si="202">+IF(OR($G2565="SALDO",$G2565="INGRESO"),$P2565,0)</f>
        <v>0</v>
      </c>
      <c r="R2565" s="3">
        <f t="shared" ref="R2565:R2628" si="203">+IF($G2565="EGRESO",$P2565,0)</f>
        <v>0</v>
      </c>
      <c r="S2565" s="3">
        <f t="shared" ref="S2565:S2628" si="204">IFERROR(IF(G2565="SALDO",Q2565,S2564+Q2565-R2565),0)</f>
        <v>46705.690000000017</v>
      </c>
      <c r="T2565" s="24" t="s">
        <v>1081</v>
      </c>
      <c r="U2565" s="24" t="s">
        <v>1081</v>
      </c>
      <c r="V2565" s="69"/>
      <c r="W2565" s="25">
        <f>IFERROR(VLOOKUP(BCP_Soles[[#This Row],[DESTINATARIO]],CHOOSE({1,2},Clientes_Proveedores[Razon Social],Clientes_Proveedores[Ruc / Dni]),2,0),"")</f>
        <v>10736055631</v>
      </c>
      <c r="X2565" s="25"/>
      <c r="Y2565" s="25"/>
      <c r="Z2565" s="25"/>
      <c r="AA2565" s="99" t="s">
        <v>3385</v>
      </c>
      <c r="AB2565" s="3" t="str">
        <f>IF(BCP_Soles[[#This Row],[FECHA]]&gt;0,TEXT(BCP_Soles[[#This Row],[FECHA]],"mmmm"),0)</f>
        <v>Julio</v>
      </c>
    </row>
    <row r="2566" spans="2:28" x14ac:dyDescent="0.3">
      <c r="B2566" s="2" t="str">
        <f>IF(BCP_Soles[[#This Row],[TIPO DE R.]]="R",COUNTIFS($D$4:$D2565,"R")+1,"")</f>
        <v/>
      </c>
      <c r="C2566" s="19" t="str">
        <f t="shared" si="200"/>
        <v>B-BCP - Soles</v>
      </c>
      <c r="D2566" s="3" t="s">
        <v>1101</v>
      </c>
      <c r="E2566" s="14">
        <v>45848</v>
      </c>
      <c r="F2566" s="5" t="s">
        <v>3556</v>
      </c>
      <c r="G2566" s="5"/>
      <c r="H2566" s="6" t="s">
        <v>465</v>
      </c>
      <c r="I2566" s="6" t="s">
        <v>14</v>
      </c>
      <c r="J2566" s="6" t="s">
        <v>1121</v>
      </c>
      <c r="K2566" s="6">
        <v>3991</v>
      </c>
      <c r="L2566" s="7" t="s">
        <v>3581</v>
      </c>
      <c r="M2566" s="8">
        <v>1008570</v>
      </c>
      <c r="N2566" s="8" t="str">
        <f t="shared" si="201"/>
        <v>PEN</v>
      </c>
      <c r="O2566" s="13">
        <v>70</v>
      </c>
      <c r="P2566" s="13"/>
      <c r="Q2566" s="3">
        <f t="shared" si="202"/>
        <v>0</v>
      </c>
      <c r="R2566" s="3">
        <f t="shared" si="203"/>
        <v>0</v>
      </c>
      <c r="S2566" s="3">
        <f t="shared" si="204"/>
        <v>46705.690000000017</v>
      </c>
      <c r="T2566" s="24" t="s">
        <v>1081</v>
      </c>
      <c r="U2566" s="24" t="s">
        <v>1081</v>
      </c>
      <c r="V2566" s="69"/>
      <c r="W2566" s="25">
        <f>IFERROR(VLOOKUP(BCP_Soles[[#This Row],[DESTINATARIO]],CHOOSE({1,2},Clientes_Proveedores[Razon Social],Clientes_Proveedores[Ruc / Dni]),2,0),"")</f>
        <v>20603974817</v>
      </c>
      <c r="X2566" s="25"/>
      <c r="Y2566" s="25"/>
      <c r="Z2566" s="25"/>
      <c r="AA2566" s="99" t="s">
        <v>3385</v>
      </c>
      <c r="AB2566" s="3" t="str">
        <f>IF(BCP_Soles[[#This Row],[FECHA]]&gt;0,TEXT(BCP_Soles[[#This Row],[FECHA]],"mmmm"),0)</f>
        <v>Julio</v>
      </c>
    </row>
    <row r="2567" spans="2:28" x14ac:dyDescent="0.3">
      <c r="B2567" s="2" t="str">
        <f>IF(BCP_Soles[[#This Row],[TIPO DE R.]]="R",COUNTIFS($D$4:$D2566,"R")+1,"")</f>
        <v/>
      </c>
      <c r="C2567" s="19" t="str">
        <f t="shared" si="200"/>
        <v>B-BCP - Soles</v>
      </c>
      <c r="D2567" s="3" t="s">
        <v>1101</v>
      </c>
      <c r="E2567" s="14">
        <v>45848</v>
      </c>
      <c r="F2567" s="5" t="s">
        <v>3556</v>
      </c>
      <c r="G2567" s="5"/>
      <c r="H2567" s="6" t="s">
        <v>465</v>
      </c>
      <c r="I2567" s="6" t="s">
        <v>14</v>
      </c>
      <c r="J2567" s="6" t="s">
        <v>1121</v>
      </c>
      <c r="K2567" s="6">
        <v>3985</v>
      </c>
      <c r="L2567" s="7" t="s">
        <v>3581</v>
      </c>
      <c r="M2567" s="8">
        <v>1008570</v>
      </c>
      <c r="N2567" s="8" t="str">
        <f t="shared" si="201"/>
        <v>PEN</v>
      </c>
      <c r="O2567" s="13">
        <v>75</v>
      </c>
      <c r="P2567" s="13"/>
      <c r="Q2567" s="3">
        <f t="shared" si="202"/>
        <v>0</v>
      </c>
      <c r="R2567" s="3">
        <f t="shared" si="203"/>
        <v>0</v>
      </c>
      <c r="S2567" s="3">
        <f t="shared" si="204"/>
        <v>46705.690000000017</v>
      </c>
      <c r="T2567" s="24" t="s">
        <v>1081</v>
      </c>
      <c r="U2567" s="24" t="s">
        <v>1081</v>
      </c>
      <c r="V2567" s="69"/>
      <c r="W2567" s="25">
        <f>IFERROR(VLOOKUP(BCP_Soles[[#This Row],[DESTINATARIO]],CHOOSE({1,2},Clientes_Proveedores[Razon Social],Clientes_Proveedores[Ruc / Dni]),2,0),"")</f>
        <v>20603974817</v>
      </c>
      <c r="X2567" s="25"/>
      <c r="Y2567" s="25"/>
      <c r="Z2567" s="25"/>
      <c r="AA2567" s="99" t="s">
        <v>3385</v>
      </c>
      <c r="AB2567" s="3" t="str">
        <f>IF(BCP_Soles[[#This Row],[FECHA]]&gt;0,TEXT(BCP_Soles[[#This Row],[FECHA]],"mmmm"),0)</f>
        <v>Julio</v>
      </c>
    </row>
    <row r="2568" spans="2:28" ht="36" x14ac:dyDescent="0.3">
      <c r="B2568" s="2" t="str">
        <f>IF(BCP_Soles[[#This Row],[TIPO DE R.]]="R",COUNTIFS($D$4:$D2567,"R")+1,"")</f>
        <v/>
      </c>
      <c r="C2568" s="19" t="str">
        <f t="shared" si="200"/>
        <v>B-BCP - Soles</v>
      </c>
      <c r="D2568" s="3" t="s">
        <v>1101</v>
      </c>
      <c r="E2568" s="14">
        <v>45848</v>
      </c>
      <c r="F2568" s="5" t="s">
        <v>3556</v>
      </c>
      <c r="G2568" s="5"/>
      <c r="H2568" s="6" t="s">
        <v>723</v>
      </c>
      <c r="I2568" s="6" t="s">
        <v>14</v>
      </c>
      <c r="J2568" s="6" t="s">
        <v>1121</v>
      </c>
      <c r="K2568" s="6">
        <v>10</v>
      </c>
      <c r="L2568" s="7" t="s">
        <v>3581</v>
      </c>
      <c r="M2568" s="8">
        <v>1008570</v>
      </c>
      <c r="N2568" s="8" t="str">
        <f t="shared" si="201"/>
        <v>PEN</v>
      </c>
      <c r="O2568" s="13">
        <v>1422</v>
      </c>
      <c r="P2568" s="13"/>
      <c r="Q2568" s="3">
        <f t="shared" si="202"/>
        <v>0</v>
      </c>
      <c r="R2568" s="3">
        <f t="shared" si="203"/>
        <v>0</v>
      </c>
      <c r="S2568" s="3">
        <f t="shared" si="204"/>
        <v>46705.690000000017</v>
      </c>
      <c r="T2568" s="24" t="s">
        <v>1081</v>
      </c>
      <c r="U2568" s="24" t="s">
        <v>1081</v>
      </c>
      <c r="V2568" s="69"/>
      <c r="W2568" s="25">
        <f>IFERROR(VLOOKUP(BCP_Soles[[#This Row],[DESTINATARIO]],CHOOSE({1,2},Clientes_Proveedores[Razon Social],Clientes_Proveedores[Ruc / Dni]),2,0),"")</f>
        <v>20612108651</v>
      </c>
      <c r="X2568" s="25"/>
      <c r="Y2568" s="25"/>
      <c r="Z2568" s="25"/>
      <c r="AA2568" s="99" t="s">
        <v>3385</v>
      </c>
      <c r="AB2568" s="3" t="str">
        <f>IF(BCP_Soles[[#This Row],[FECHA]]&gt;0,TEXT(BCP_Soles[[#This Row],[FECHA]],"mmmm"),0)</f>
        <v>Julio</v>
      </c>
    </row>
    <row r="2569" spans="2:28" ht="24" x14ac:dyDescent="0.3">
      <c r="B2569" s="2" t="str">
        <f>IF(BCP_Soles[[#This Row],[TIPO DE R.]]="R",COUNTIFS($D$4:$D2568,"R")+1,"")</f>
        <v/>
      </c>
      <c r="C2569" s="19" t="str">
        <f t="shared" si="200"/>
        <v>B-BCP - Soles</v>
      </c>
      <c r="D2569" s="3" t="s">
        <v>1101</v>
      </c>
      <c r="E2569" s="14">
        <v>45848</v>
      </c>
      <c r="F2569" s="5" t="s">
        <v>3556</v>
      </c>
      <c r="G2569" s="5"/>
      <c r="H2569" s="6" t="s">
        <v>634</v>
      </c>
      <c r="I2569" s="6" t="s">
        <v>14</v>
      </c>
      <c r="J2569" s="6" t="s">
        <v>1121</v>
      </c>
      <c r="K2569" s="6">
        <v>10</v>
      </c>
      <c r="L2569" s="7" t="s">
        <v>3581</v>
      </c>
      <c r="M2569" s="8">
        <v>1008570</v>
      </c>
      <c r="N2569" s="8" t="str">
        <f t="shared" si="201"/>
        <v>PEN</v>
      </c>
      <c r="O2569" s="13">
        <v>19</v>
      </c>
      <c r="P2569" s="13"/>
      <c r="Q2569" s="3">
        <f t="shared" si="202"/>
        <v>0</v>
      </c>
      <c r="R2569" s="3">
        <f t="shared" si="203"/>
        <v>0</v>
      </c>
      <c r="S2569" s="3">
        <f t="shared" si="204"/>
        <v>46705.690000000017</v>
      </c>
      <c r="T2569" s="24" t="s">
        <v>1081</v>
      </c>
      <c r="U2569" s="24" t="s">
        <v>1081</v>
      </c>
      <c r="V2569" s="69"/>
      <c r="W2569" s="25">
        <f>IFERROR(VLOOKUP(BCP_Soles[[#This Row],[DESTINATARIO]],CHOOSE({1,2},Clientes_Proveedores[Razon Social],Clientes_Proveedores[Ruc / Dni]),2,0),"")</f>
        <v>10736055631</v>
      </c>
      <c r="X2569" s="25"/>
      <c r="Y2569" s="25"/>
      <c r="Z2569" s="25"/>
      <c r="AA2569" s="99" t="s">
        <v>3385</v>
      </c>
      <c r="AB2569" s="3" t="str">
        <f>IF(BCP_Soles[[#This Row],[FECHA]]&gt;0,TEXT(BCP_Soles[[#This Row],[FECHA]],"mmmm"),0)</f>
        <v>Julio</v>
      </c>
    </row>
    <row r="2570" spans="2:28" x14ac:dyDescent="0.3">
      <c r="B2570" s="2">
        <f>IF(BCP_Soles[[#This Row],[TIPO DE R.]]="R",COUNTIFS($D$4:$D2569,"R")+1,"")</f>
        <v>1924</v>
      </c>
      <c r="C2570" s="19" t="str">
        <f t="shared" si="200"/>
        <v>B-BCP - Soles</v>
      </c>
      <c r="D2570" s="3" t="s">
        <v>1074</v>
      </c>
      <c r="E2570" s="14">
        <v>45848</v>
      </c>
      <c r="F2570" s="5" t="s">
        <v>1075</v>
      </c>
      <c r="G2570" s="5" t="s">
        <v>1079</v>
      </c>
      <c r="H2570" s="6"/>
      <c r="I2570" s="6"/>
      <c r="J2570" s="6"/>
      <c r="K2570" s="6"/>
      <c r="L2570" s="7" t="s">
        <v>1274</v>
      </c>
      <c r="M2570" s="8">
        <v>2572</v>
      </c>
      <c r="N2570" s="8" t="str">
        <f t="shared" si="201"/>
        <v>PEN</v>
      </c>
      <c r="O2570" s="13"/>
      <c r="P2570" s="13">
        <v>1806.12</v>
      </c>
      <c r="Q2570" s="3">
        <f t="shared" si="202"/>
        <v>0</v>
      </c>
      <c r="R2570" s="3">
        <f t="shared" si="203"/>
        <v>1806.12</v>
      </c>
      <c r="S2570" s="3">
        <f t="shared" si="204"/>
        <v>44899.570000000014</v>
      </c>
      <c r="T2570" s="24"/>
      <c r="U2570" s="24"/>
      <c r="V2570" s="69"/>
      <c r="W2570" s="25" t="str">
        <f>IFERROR(VLOOKUP(BCP_Soles[[#This Row],[DESTINATARIO]],CHOOSE({1,2},Clientes_Proveedores[Razon Social],Clientes_Proveedores[Ruc / Dni]),2,0),"")</f>
        <v/>
      </c>
      <c r="X2570" s="25"/>
      <c r="Y2570" s="25"/>
      <c r="Z2570" s="25"/>
      <c r="AA2570" s="99"/>
      <c r="AB2570" s="3" t="str">
        <f>IF(BCP_Soles[[#This Row],[FECHA]]&gt;0,TEXT(BCP_Soles[[#This Row],[FECHA]],"mmmm"),0)</f>
        <v>Julio</v>
      </c>
    </row>
    <row r="2571" spans="2:28" x14ac:dyDescent="0.3">
      <c r="B2571" s="2">
        <f>IF(BCP_Soles[[#This Row],[TIPO DE R.]]="R",COUNTIFS($D$4:$D2570,"R")+1,"")</f>
        <v>1925</v>
      </c>
      <c r="C2571" s="19" t="str">
        <f t="shared" si="200"/>
        <v>B-BCP - Soles</v>
      </c>
      <c r="D2571" s="3" t="s">
        <v>1074</v>
      </c>
      <c r="E2571" s="14">
        <v>45848</v>
      </c>
      <c r="F2571" s="5" t="s">
        <v>1075</v>
      </c>
      <c r="G2571" s="5" t="s">
        <v>1079</v>
      </c>
      <c r="H2571" s="6"/>
      <c r="I2571" s="6"/>
      <c r="J2571" s="6"/>
      <c r="K2571" s="6"/>
      <c r="L2571" s="7" t="s">
        <v>1277</v>
      </c>
      <c r="M2571" s="8">
        <v>2570</v>
      </c>
      <c r="N2571" s="8" t="str">
        <f t="shared" si="201"/>
        <v>PEN</v>
      </c>
      <c r="O2571" s="13"/>
      <c r="P2571" s="13">
        <v>824.7</v>
      </c>
      <c r="Q2571" s="3">
        <f t="shared" si="202"/>
        <v>0</v>
      </c>
      <c r="R2571" s="3">
        <f t="shared" si="203"/>
        <v>824.7</v>
      </c>
      <c r="S2571" s="3">
        <f t="shared" si="204"/>
        <v>44074.870000000017</v>
      </c>
      <c r="T2571" s="24"/>
      <c r="U2571" s="24"/>
      <c r="V2571" s="69"/>
      <c r="W2571" s="25" t="str">
        <f>IFERROR(VLOOKUP(BCP_Soles[[#This Row],[DESTINATARIO]],CHOOSE({1,2},Clientes_Proveedores[Razon Social],Clientes_Proveedores[Ruc / Dni]),2,0),"")</f>
        <v/>
      </c>
      <c r="X2571" s="25"/>
      <c r="Y2571" s="25"/>
      <c r="Z2571" s="25"/>
      <c r="AA2571" s="99"/>
      <c r="AB2571" s="3" t="str">
        <f>IF(BCP_Soles[[#This Row],[FECHA]]&gt;0,TEXT(BCP_Soles[[#This Row],[FECHA]],"mmmm"),0)</f>
        <v>Julio</v>
      </c>
    </row>
    <row r="2572" spans="2:28" x14ac:dyDescent="0.3">
      <c r="B2572" s="2">
        <f>IF(BCP_Soles[[#This Row],[TIPO DE R.]]="R",COUNTIFS($D$4:$D2571,"R")+1,"")</f>
        <v>1926</v>
      </c>
      <c r="C2572" s="19" t="str">
        <f t="shared" si="200"/>
        <v>B-BCP - Soles</v>
      </c>
      <c r="D2572" s="3" t="s">
        <v>1074</v>
      </c>
      <c r="E2572" s="14">
        <v>45848</v>
      </c>
      <c r="F2572" s="5" t="s">
        <v>1075</v>
      </c>
      <c r="G2572" s="5" t="s">
        <v>1079</v>
      </c>
      <c r="H2572" s="6"/>
      <c r="I2572" s="6"/>
      <c r="J2572" s="6"/>
      <c r="K2572" s="6"/>
      <c r="L2572" s="7" t="s">
        <v>1279</v>
      </c>
      <c r="M2572" s="8">
        <v>2573</v>
      </c>
      <c r="N2572" s="8" t="str">
        <f t="shared" si="201"/>
        <v>PEN</v>
      </c>
      <c r="O2572" s="13"/>
      <c r="P2572" s="13">
        <v>274.07</v>
      </c>
      <c r="Q2572" s="3">
        <f t="shared" si="202"/>
        <v>0</v>
      </c>
      <c r="R2572" s="3">
        <f t="shared" si="203"/>
        <v>274.07</v>
      </c>
      <c r="S2572" s="3">
        <f t="shared" si="204"/>
        <v>43800.800000000017</v>
      </c>
      <c r="T2572" s="24"/>
      <c r="U2572" s="24"/>
      <c r="V2572" s="69"/>
      <c r="W2572" s="25" t="str">
        <f>IFERROR(VLOOKUP(BCP_Soles[[#This Row],[DESTINATARIO]],CHOOSE({1,2},Clientes_Proveedores[Razon Social],Clientes_Proveedores[Ruc / Dni]),2,0),"")</f>
        <v/>
      </c>
      <c r="X2572" s="25"/>
      <c r="Y2572" s="25"/>
      <c r="Z2572" s="25"/>
      <c r="AA2572" s="99"/>
      <c r="AB2572" s="3" t="str">
        <f>IF(BCP_Soles[[#This Row],[FECHA]]&gt;0,TEXT(BCP_Soles[[#This Row],[FECHA]],"mmmm"),0)</f>
        <v>Julio</v>
      </c>
    </row>
    <row r="2573" spans="2:28" ht="24" x14ac:dyDescent="0.3">
      <c r="B2573" s="2">
        <f>IF(BCP_Soles[[#This Row],[TIPO DE R.]]="R",COUNTIFS($D$4:$D2572,"R")+1,"")</f>
        <v>1927</v>
      </c>
      <c r="C2573" s="19" t="str">
        <f t="shared" si="200"/>
        <v>B-BCP - Soles</v>
      </c>
      <c r="D2573" s="3" t="s">
        <v>1074</v>
      </c>
      <c r="E2573" s="14">
        <v>45848</v>
      </c>
      <c r="F2573" s="5" t="s">
        <v>1078</v>
      </c>
      <c r="G2573" s="5" t="s">
        <v>1079</v>
      </c>
      <c r="H2573" s="6" t="s">
        <v>1001</v>
      </c>
      <c r="I2573" s="6" t="s">
        <v>14</v>
      </c>
      <c r="J2573" s="6" t="s">
        <v>3128</v>
      </c>
      <c r="K2573" s="6">
        <v>34518438</v>
      </c>
      <c r="L2573" s="7" t="s">
        <v>1141</v>
      </c>
      <c r="M2573" s="8">
        <v>392</v>
      </c>
      <c r="N2573" s="8" t="str">
        <f t="shared" si="201"/>
        <v>PEN</v>
      </c>
      <c r="O2573" s="13"/>
      <c r="P2573" s="13">
        <v>10</v>
      </c>
      <c r="Q2573" s="3">
        <f t="shared" si="202"/>
        <v>0</v>
      </c>
      <c r="R2573" s="3">
        <f t="shared" si="203"/>
        <v>10</v>
      </c>
      <c r="S2573" s="3">
        <f t="shared" si="204"/>
        <v>43790.800000000017</v>
      </c>
      <c r="T2573" s="24" t="s">
        <v>1081</v>
      </c>
      <c r="U2573" s="24" t="s">
        <v>1081</v>
      </c>
      <c r="V2573" s="69"/>
      <c r="W2573" s="25">
        <f>IFERROR(VLOOKUP(BCP_Soles[[#This Row],[DESTINATARIO]],CHOOSE({1,2},Clientes_Proveedores[Razon Social],Clientes_Proveedores[Ruc / Dni]),2,0),"")</f>
        <v>20100047218</v>
      </c>
      <c r="X2573" s="25"/>
      <c r="Y2573" s="25"/>
      <c r="Z2573" s="25"/>
      <c r="AA2573" s="99"/>
      <c r="AB2573" s="3" t="str">
        <f>IF(BCP_Soles[[#This Row],[FECHA]]&gt;0,TEXT(BCP_Soles[[#This Row],[FECHA]],"mmmm"),0)</f>
        <v>Julio</v>
      </c>
    </row>
    <row r="2574" spans="2:28" x14ac:dyDescent="0.3">
      <c r="B2574" s="2">
        <f>IF(BCP_Soles[[#This Row],[TIPO DE R.]]="R",COUNTIFS($D$4:$D2573,"R")+1,"")</f>
        <v>1928</v>
      </c>
      <c r="C2574" s="19" t="str">
        <f t="shared" si="200"/>
        <v>B-BCP - Soles</v>
      </c>
      <c r="D2574" s="3" t="s">
        <v>1074</v>
      </c>
      <c r="E2574" s="14">
        <v>45848</v>
      </c>
      <c r="F2574" s="5" t="s">
        <v>1078</v>
      </c>
      <c r="G2574" s="5" t="s">
        <v>1079</v>
      </c>
      <c r="H2574" s="6" t="s">
        <v>950</v>
      </c>
      <c r="I2574" s="6" t="s">
        <v>10</v>
      </c>
      <c r="J2574" s="6" t="s">
        <v>3392</v>
      </c>
      <c r="K2574" s="6">
        <v>1928</v>
      </c>
      <c r="L2574" s="7" t="s">
        <v>2868</v>
      </c>
      <c r="M2574" s="8"/>
      <c r="N2574" s="8" t="str">
        <f t="shared" si="201"/>
        <v>PEN</v>
      </c>
      <c r="O2574" s="13"/>
      <c r="P2574" s="13">
        <v>2.5499999999999998</v>
      </c>
      <c r="Q2574" s="3">
        <f t="shared" si="202"/>
        <v>0</v>
      </c>
      <c r="R2574" s="3">
        <f t="shared" si="203"/>
        <v>2.5499999999999998</v>
      </c>
      <c r="S2574" s="3">
        <f t="shared" si="204"/>
        <v>43788.250000000015</v>
      </c>
      <c r="T2574" s="24" t="s">
        <v>1081</v>
      </c>
      <c r="U2574" s="24"/>
      <c r="V2574" s="69"/>
      <c r="W2574" s="25">
        <f>IFERROR(VLOOKUP(BCP_Soles[[#This Row],[DESTINATARIO]],CHOOSE({1,2},Clientes_Proveedores[Razon Social],Clientes_Proveedores[Ruc / Dni]),2,0),"")</f>
        <v>11111111</v>
      </c>
      <c r="X2574" s="25"/>
      <c r="Y2574" s="25"/>
      <c r="Z2574" s="25"/>
      <c r="AA2574" s="99"/>
      <c r="AB2574" s="3" t="str">
        <f>IF(BCP_Soles[[#This Row],[FECHA]]&gt;0,TEXT(BCP_Soles[[#This Row],[FECHA]],"mmmm"),0)</f>
        <v>Julio</v>
      </c>
    </row>
    <row r="2575" spans="2:28" x14ac:dyDescent="0.3">
      <c r="B2575" s="2">
        <f>IF(BCP_Soles[[#This Row],[TIPO DE R.]]="R",COUNTIFS($D$4:$D2574,"R")+1,"")</f>
        <v>1929</v>
      </c>
      <c r="C2575" s="19" t="str">
        <f t="shared" si="200"/>
        <v>B-BCP - Soles</v>
      </c>
      <c r="D2575" s="3" t="s">
        <v>1074</v>
      </c>
      <c r="E2575" s="14">
        <v>45849</v>
      </c>
      <c r="F2575" s="5" t="s">
        <v>494</v>
      </c>
      <c r="G2575" s="5" t="s">
        <v>1087</v>
      </c>
      <c r="H2575" s="6" t="s">
        <v>368</v>
      </c>
      <c r="I2575" s="6" t="s">
        <v>14</v>
      </c>
      <c r="J2575" s="6" t="s">
        <v>3458</v>
      </c>
      <c r="K2575" s="6">
        <v>9</v>
      </c>
      <c r="L2575" s="7" t="s">
        <v>1100</v>
      </c>
      <c r="M2575" s="8">
        <v>5175055</v>
      </c>
      <c r="N2575" s="8" t="str">
        <f t="shared" si="201"/>
        <v>PEN</v>
      </c>
      <c r="O2575" s="13"/>
      <c r="P2575" s="13">
        <v>3540</v>
      </c>
      <c r="Q2575" s="3">
        <f t="shared" si="202"/>
        <v>3540</v>
      </c>
      <c r="R2575" s="3">
        <f t="shared" si="203"/>
        <v>0</v>
      </c>
      <c r="S2575" s="3">
        <f t="shared" si="204"/>
        <v>47328.250000000015</v>
      </c>
      <c r="T2575" s="24" t="s">
        <v>1081</v>
      </c>
      <c r="U2575" s="24" t="s">
        <v>1081</v>
      </c>
      <c r="V2575" s="69"/>
      <c r="W2575" s="25">
        <f>IFERROR(VLOOKUP(BCP_Soles[[#This Row],[DESTINATARIO]],CHOOSE({1,2},Clientes_Proveedores[Razon Social],Clientes_Proveedores[Ruc / Dni]),2,0),"")</f>
        <v>20558226979</v>
      </c>
      <c r="X2575" s="25"/>
      <c r="Y2575" s="25"/>
      <c r="Z2575" s="25"/>
      <c r="AA2575" s="99"/>
      <c r="AB2575" s="3" t="str">
        <f>IF(BCP_Soles[[#This Row],[FECHA]]&gt;0,TEXT(BCP_Soles[[#This Row],[FECHA]],"mmmm"),0)</f>
        <v>Julio</v>
      </c>
    </row>
    <row r="2576" spans="2:28" ht="24" x14ac:dyDescent="0.3">
      <c r="B2576" s="2">
        <f>IF(BCP_Soles[[#This Row],[TIPO DE R.]]="R",COUNTIFS($D$4:$D2575,"R")+1,"")</f>
        <v>1930</v>
      </c>
      <c r="C2576" s="19" t="str">
        <f t="shared" si="200"/>
        <v>B-BCP - Soles</v>
      </c>
      <c r="D2576" s="3" t="s">
        <v>1074</v>
      </c>
      <c r="E2576" s="14">
        <v>45849</v>
      </c>
      <c r="F2576" s="5" t="s">
        <v>405</v>
      </c>
      <c r="G2576" s="5" t="s">
        <v>1087</v>
      </c>
      <c r="H2576" s="6" t="s">
        <v>368</v>
      </c>
      <c r="I2576" s="6" t="s">
        <v>14</v>
      </c>
      <c r="J2576" s="6" t="s">
        <v>3091</v>
      </c>
      <c r="K2576" s="6">
        <v>45</v>
      </c>
      <c r="L2576" s="7" t="s">
        <v>1100</v>
      </c>
      <c r="M2576" s="8">
        <v>2797307</v>
      </c>
      <c r="N2576" s="8" t="str">
        <f t="shared" si="201"/>
        <v>PEN</v>
      </c>
      <c r="O2576" s="13"/>
      <c r="P2576" s="13">
        <v>1039.99</v>
      </c>
      <c r="Q2576" s="3">
        <f t="shared" si="202"/>
        <v>1039.99</v>
      </c>
      <c r="R2576" s="3">
        <f t="shared" si="203"/>
        <v>0</v>
      </c>
      <c r="S2576" s="3">
        <f t="shared" si="204"/>
        <v>48368.240000000013</v>
      </c>
      <c r="T2576" s="24" t="s">
        <v>1081</v>
      </c>
      <c r="U2576" s="24" t="s">
        <v>1081</v>
      </c>
      <c r="V2576" s="69"/>
      <c r="W2576" s="25">
        <f>IFERROR(VLOOKUP(BCP_Soles[[#This Row],[DESTINATARIO]],CHOOSE({1,2},Clientes_Proveedores[Razon Social],Clientes_Proveedores[Ruc / Dni]),2,0),"")</f>
        <v>20558226979</v>
      </c>
      <c r="X2576" s="25"/>
      <c r="Y2576" s="25"/>
      <c r="Z2576" s="25"/>
      <c r="AA2576" s="99"/>
      <c r="AB2576" s="3" t="str">
        <f>IF(BCP_Soles[[#This Row],[FECHA]]&gt;0,TEXT(BCP_Soles[[#This Row],[FECHA]],"mmmm"),0)</f>
        <v>Julio</v>
      </c>
    </row>
    <row r="2577" spans="2:28" ht="24" x14ac:dyDescent="0.3">
      <c r="B2577" s="2">
        <f>IF(BCP_Soles[[#This Row],[TIPO DE R.]]="R",COUNTIFS($D$4:$D2576,"R")+1,"")</f>
        <v>1931</v>
      </c>
      <c r="C2577" s="19" t="str">
        <f t="shared" si="200"/>
        <v>B-BCP - Soles</v>
      </c>
      <c r="D2577" s="3" t="s">
        <v>1074</v>
      </c>
      <c r="E2577" s="14">
        <v>45849</v>
      </c>
      <c r="F2577" s="5" t="s">
        <v>936</v>
      </c>
      <c r="G2577" s="5" t="s">
        <v>1087</v>
      </c>
      <c r="H2577" s="6" t="s">
        <v>368</v>
      </c>
      <c r="I2577" s="6" t="s">
        <v>14</v>
      </c>
      <c r="J2577" s="6" t="s">
        <v>1521</v>
      </c>
      <c r="K2577" s="6">
        <v>171</v>
      </c>
      <c r="L2577" s="7" t="s">
        <v>1100</v>
      </c>
      <c r="M2577" s="8">
        <v>662933</v>
      </c>
      <c r="N2577" s="8" t="str">
        <f t="shared" si="201"/>
        <v>PEN</v>
      </c>
      <c r="O2577" s="13"/>
      <c r="P2577" s="13">
        <v>118</v>
      </c>
      <c r="Q2577" s="3">
        <f t="shared" si="202"/>
        <v>118</v>
      </c>
      <c r="R2577" s="3">
        <f t="shared" si="203"/>
        <v>0</v>
      </c>
      <c r="S2577" s="3">
        <f t="shared" si="204"/>
        <v>48486.240000000013</v>
      </c>
      <c r="T2577" s="24" t="s">
        <v>1081</v>
      </c>
      <c r="U2577" s="24" t="s">
        <v>1081</v>
      </c>
      <c r="V2577" s="69"/>
      <c r="W2577" s="25">
        <f>IFERROR(VLOOKUP(BCP_Soles[[#This Row],[DESTINATARIO]],CHOOSE({1,2},Clientes_Proveedores[Razon Social],Clientes_Proveedores[Ruc / Dni]),2,0),"")</f>
        <v>20558226979</v>
      </c>
      <c r="X2577" s="25"/>
      <c r="Y2577" s="25"/>
      <c r="Z2577" s="25"/>
      <c r="AA2577" s="99"/>
      <c r="AB2577" s="3" t="str">
        <f>IF(BCP_Soles[[#This Row],[FECHA]]&gt;0,TEXT(BCP_Soles[[#This Row],[FECHA]],"mmmm"),0)</f>
        <v>Julio</v>
      </c>
    </row>
    <row r="2578" spans="2:28" x14ac:dyDescent="0.3">
      <c r="B2578" s="2">
        <f>IF(BCP_Soles[[#This Row],[TIPO DE R.]]="R",COUNTIFS($D$4:$D2577,"R")+1,"")</f>
        <v>1932</v>
      </c>
      <c r="C2578" s="19" t="str">
        <f t="shared" si="200"/>
        <v>B-BCP - Soles</v>
      </c>
      <c r="D2578" s="3" t="s">
        <v>1074</v>
      </c>
      <c r="E2578" s="14">
        <v>45849</v>
      </c>
      <c r="F2578" s="5" t="s">
        <v>1075</v>
      </c>
      <c r="G2578" s="5" t="s">
        <v>1079</v>
      </c>
      <c r="H2578" s="6" t="s">
        <v>638</v>
      </c>
      <c r="I2578" s="6"/>
      <c r="J2578" s="6"/>
      <c r="K2578" s="6"/>
      <c r="L2578" s="7" t="s">
        <v>3582</v>
      </c>
      <c r="M2578" s="8">
        <v>8597073</v>
      </c>
      <c r="N2578" s="8" t="str">
        <f t="shared" si="201"/>
        <v>PEN</v>
      </c>
      <c r="O2578" s="13"/>
      <c r="P2578" s="13">
        <v>3486.05</v>
      </c>
      <c r="Q2578" s="3">
        <f t="shared" si="202"/>
        <v>0</v>
      </c>
      <c r="R2578" s="3">
        <f t="shared" si="203"/>
        <v>3486.05</v>
      </c>
      <c r="S2578" s="3">
        <f t="shared" si="204"/>
        <v>45000.19000000001</v>
      </c>
      <c r="T2578" s="24" t="s">
        <v>1081</v>
      </c>
      <c r="U2578" s="24" t="s">
        <v>1081</v>
      </c>
      <c r="V2578" s="104" t="s">
        <v>3583</v>
      </c>
      <c r="W2578" s="25">
        <f>IFERROR(VLOOKUP(BCP_Soles[[#This Row],[DESTINATARIO]],CHOOSE({1,2},Clientes_Proveedores[Razon Social],Clientes_Proveedores[Ruc / Dni]),2,0),"")</f>
        <v>0</v>
      </c>
      <c r="X2578" s="25"/>
      <c r="Y2578" s="25"/>
      <c r="Z2578" s="25"/>
      <c r="AA2578" s="99"/>
      <c r="AB2578" s="3" t="str">
        <f>IF(BCP_Soles[[#This Row],[FECHA]]&gt;0,TEXT(BCP_Soles[[#This Row],[FECHA]],"mmmm"),0)</f>
        <v>Julio</v>
      </c>
    </row>
    <row r="2579" spans="2:28" ht="24" x14ac:dyDescent="0.3">
      <c r="B2579" s="2" t="str">
        <f>IF(BCP_Soles[[#This Row],[TIPO DE R.]]="R",COUNTIFS($D$4:$D2578,"R")+1,"")</f>
        <v/>
      </c>
      <c r="C2579" s="19" t="str">
        <f t="shared" si="200"/>
        <v>B-BCP - Soles</v>
      </c>
      <c r="D2579" s="3" t="s">
        <v>1101</v>
      </c>
      <c r="E2579" s="14">
        <v>45849</v>
      </c>
      <c r="F2579" s="5" t="s">
        <v>1075</v>
      </c>
      <c r="G2579" s="5"/>
      <c r="H2579" s="6" t="s">
        <v>214</v>
      </c>
      <c r="I2579" s="6" t="s">
        <v>14</v>
      </c>
      <c r="J2579" s="6" t="s">
        <v>1120</v>
      </c>
      <c r="K2579" s="6">
        <v>6923</v>
      </c>
      <c r="L2579" s="7" t="s">
        <v>3582</v>
      </c>
      <c r="M2579" s="8">
        <v>8597073</v>
      </c>
      <c r="N2579" s="8" t="str">
        <f t="shared" si="201"/>
        <v>PEN</v>
      </c>
      <c r="O2579" s="13">
        <v>2897.05</v>
      </c>
      <c r="P2579" s="13"/>
      <c r="Q2579" s="3">
        <f t="shared" si="202"/>
        <v>0</v>
      </c>
      <c r="R2579" s="3">
        <f t="shared" si="203"/>
        <v>0</v>
      </c>
      <c r="S2579" s="3">
        <f t="shared" si="204"/>
        <v>45000.19000000001</v>
      </c>
      <c r="T2579" s="24" t="s">
        <v>1081</v>
      </c>
      <c r="U2579" s="24" t="s">
        <v>1081</v>
      </c>
      <c r="V2579" s="104" t="s">
        <v>3583</v>
      </c>
      <c r="W2579" s="25">
        <f>IFERROR(VLOOKUP(BCP_Soles[[#This Row],[DESTINATARIO]],CHOOSE({1,2},Clientes_Proveedores[Razon Social],Clientes_Proveedores[Ruc / Dni]),2,0),"")</f>
        <v>20419158462</v>
      </c>
      <c r="X2579" s="25"/>
      <c r="Y2579" s="25"/>
      <c r="Z2579" s="25"/>
      <c r="AA2579" s="99"/>
      <c r="AB2579" s="3" t="str">
        <f>IF(BCP_Soles[[#This Row],[FECHA]]&gt;0,TEXT(BCP_Soles[[#This Row],[FECHA]],"mmmm"),0)</f>
        <v>Julio</v>
      </c>
    </row>
    <row r="2580" spans="2:28" ht="24" x14ac:dyDescent="0.3">
      <c r="B2580" s="2" t="str">
        <f>IF(BCP_Soles[[#This Row],[TIPO DE R.]]="R",COUNTIFS($D$4:$D2579,"R")+1,"")</f>
        <v/>
      </c>
      <c r="C2580" s="19" t="str">
        <f t="shared" si="200"/>
        <v>B-BCP - Soles</v>
      </c>
      <c r="D2580" s="3" t="s">
        <v>1101</v>
      </c>
      <c r="E2580" s="14">
        <v>45849</v>
      </c>
      <c r="F2580" s="5" t="s">
        <v>1075</v>
      </c>
      <c r="G2580" s="5"/>
      <c r="H2580" s="6" t="s">
        <v>214</v>
      </c>
      <c r="I2580" s="6" t="s">
        <v>14</v>
      </c>
      <c r="J2580" s="6" t="s">
        <v>1120</v>
      </c>
      <c r="K2580" s="6">
        <v>6922</v>
      </c>
      <c r="L2580" s="7" t="s">
        <v>3582</v>
      </c>
      <c r="M2580" s="8">
        <v>8597073</v>
      </c>
      <c r="N2580" s="8" t="str">
        <f t="shared" si="201"/>
        <v>PEN</v>
      </c>
      <c r="O2580" s="13">
        <v>589</v>
      </c>
      <c r="P2580" s="13"/>
      <c r="Q2580" s="3">
        <f t="shared" si="202"/>
        <v>0</v>
      </c>
      <c r="R2580" s="3">
        <f t="shared" si="203"/>
        <v>0</v>
      </c>
      <c r="S2580" s="3">
        <f t="shared" si="204"/>
        <v>45000.19000000001</v>
      </c>
      <c r="T2580" s="24" t="s">
        <v>1081</v>
      </c>
      <c r="U2580" s="24" t="s">
        <v>1081</v>
      </c>
      <c r="V2580" s="104" t="s">
        <v>3583</v>
      </c>
      <c r="W2580" s="25">
        <f>IFERROR(VLOOKUP(BCP_Soles[[#This Row],[DESTINATARIO]],CHOOSE({1,2},Clientes_Proveedores[Razon Social],Clientes_Proveedores[Ruc / Dni]),2,0),"")</f>
        <v>20419158462</v>
      </c>
      <c r="X2580" s="25"/>
      <c r="Y2580" s="25"/>
      <c r="Z2580" s="25"/>
      <c r="AA2580" s="99"/>
      <c r="AB2580" s="3" t="str">
        <f>IF(BCP_Soles[[#This Row],[FECHA]]&gt;0,TEXT(BCP_Soles[[#This Row],[FECHA]],"mmmm"),0)</f>
        <v>Julio</v>
      </c>
    </row>
    <row r="2581" spans="2:28" ht="24" x14ac:dyDescent="0.3">
      <c r="B2581" s="2">
        <f>IF(BCP_Soles[[#This Row],[TIPO DE R.]]="R",COUNTIFS($D$4:$D2580,"R")+1,"")</f>
        <v>1933</v>
      </c>
      <c r="C2581" s="19" t="str">
        <f t="shared" si="200"/>
        <v>B-BCP - Soles</v>
      </c>
      <c r="D2581" s="3" t="s">
        <v>1074</v>
      </c>
      <c r="E2581" s="14">
        <v>45849</v>
      </c>
      <c r="F2581" s="5" t="s">
        <v>1996</v>
      </c>
      <c r="G2581" s="5" t="s">
        <v>1079</v>
      </c>
      <c r="H2581" s="6" t="s">
        <v>192</v>
      </c>
      <c r="I2581" s="6"/>
      <c r="J2581" s="6"/>
      <c r="K2581" s="6"/>
      <c r="L2581" s="7" t="s">
        <v>3584</v>
      </c>
      <c r="M2581" s="8">
        <v>1258434</v>
      </c>
      <c r="N2581" s="8" t="str">
        <f t="shared" si="201"/>
        <v>PEN</v>
      </c>
      <c r="O2581" s="13"/>
      <c r="P2581" s="13">
        <v>3000</v>
      </c>
      <c r="Q2581" s="3">
        <f t="shared" si="202"/>
        <v>0</v>
      </c>
      <c r="R2581" s="3">
        <f t="shared" si="203"/>
        <v>3000</v>
      </c>
      <c r="S2581" s="3">
        <f t="shared" si="204"/>
        <v>42000.19000000001</v>
      </c>
      <c r="T2581" s="24"/>
      <c r="U2581" s="24"/>
      <c r="V2581" s="104" t="s">
        <v>3585</v>
      </c>
      <c r="W2581" s="25">
        <f>IFERROR(VLOOKUP(BCP_Soles[[#This Row],[DESTINATARIO]],CHOOSE({1,2},Clientes_Proveedores[Razon Social],Clientes_Proveedores[Ruc / Dni]),2,0),"")</f>
        <v>20302891452</v>
      </c>
      <c r="X2581" s="25"/>
      <c r="Y2581" s="25"/>
      <c r="Z2581" s="25"/>
      <c r="AA2581" s="99"/>
      <c r="AB2581" s="3" t="str">
        <f>IF(BCP_Soles[[#This Row],[FECHA]]&gt;0,TEXT(BCP_Soles[[#This Row],[FECHA]],"mmmm"),0)</f>
        <v>Julio</v>
      </c>
    </row>
    <row r="2582" spans="2:28" ht="24" x14ac:dyDescent="0.3">
      <c r="B2582" s="2">
        <f>IF(BCP_Soles[[#This Row],[TIPO DE R.]]="R",COUNTIFS($D$4:$D2581,"R")+1,"")</f>
        <v>1934</v>
      </c>
      <c r="C2582" s="19" t="str">
        <f t="shared" si="200"/>
        <v>B-BCP - Soles</v>
      </c>
      <c r="D2582" s="3" t="s">
        <v>1074</v>
      </c>
      <c r="E2582" s="14">
        <v>45849</v>
      </c>
      <c r="F2582" s="5" t="s">
        <v>1996</v>
      </c>
      <c r="G2582" s="5" t="s">
        <v>1079</v>
      </c>
      <c r="H2582" s="6" t="s">
        <v>683</v>
      </c>
      <c r="I2582" s="6" t="s">
        <v>14</v>
      </c>
      <c r="J2582" s="6" t="s">
        <v>3230</v>
      </c>
      <c r="K2582" s="6">
        <v>378395</v>
      </c>
      <c r="L2582" s="7" t="s">
        <v>3586</v>
      </c>
      <c r="M2582" s="8">
        <v>1257946</v>
      </c>
      <c r="N2582" s="8" t="str">
        <f t="shared" si="201"/>
        <v>PEN</v>
      </c>
      <c r="O2582" s="13"/>
      <c r="P2582" s="13">
        <v>153</v>
      </c>
      <c r="Q2582" s="3">
        <f t="shared" si="202"/>
        <v>0</v>
      </c>
      <c r="R2582" s="3">
        <f t="shared" si="203"/>
        <v>153</v>
      </c>
      <c r="S2582" s="3">
        <f t="shared" si="204"/>
        <v>41847.19000000001</v>
      </c>
      <c r="T2582" s="24" t="s">
        <v>1081</v>
      </c>
      <c r="U2582" s="24" t="s">
        <v>1081</v>
      </c>
      <c r="V2582" s="104" t="s">
        <v>3587</v>
      </c>
      <c r="W2582" s="25">
        <f>IFERROR(VLOOKUP(BCP_Soles[[#This Row],[DESTINATARIO]],CHOOSE({1,2},Clientes_Proveedores[Razon Social],Clientes_Proveedores[Ruc / Dni]),2,0),"")</f>
        <v>20100210909</v>
      </c>
      <c r="X2582" s="25"/>
      <c r="Y2582" s="25"/>
      <c r="Z2582" s="25"/>
      <c r="AA2582" s="99"/>
      <c r="AB2582" s="3" t="str">
        <f>IF(BCP_Soles[[#This Row],[FECHA]]&gt;0,TEXT(BCP_Soles[[#This Row],[FECHA]],"mmmm"),0)</f>
        <v>Julio</v>
      </c>
    </row>
    <row r="2583" spans="2:28" ht="24" x14ac:dyDescent="0.3">
      <c r="B2583" s="2">
        <f>IF(BCP_Soles[[#This Row],[TIPO DE R.]]="R",COUNTIFS($D$4:$D2582,"R")+1,"")</f>
        <v>1935</v>
      </c>
      <c r="C2583" s="19" t="str">
        <f t="shared" si="200"/>
        <v>B-BCP - Soles</v>
      </c>
      <c r="D2583" s="3" t="s">
        <v>1074</v>
      </c>
      <c r="E2583" s="14">
        <v>45849</v>
      </c>
      <c r="F2583" s="5" t="s">
        <v>1996</v>
      </c>
      <c r="G2583" s="5" t="s">
        <v>1079</v>
      </c>
      <c r="H2583" s="6" t="s">
        <v>425</v>
      </c>
      <c r="I2583" s="6" t="s">
        <v>14</v>
      </c>
      <c r="J2583" s="6" t="s">
        <v>1119</v>
      </c>
      <c r="K2583" s="6">
        <v>500</v>
      </c>
      <c r="L2583" s="7" t="s">
        <v>3588</v>
      </c>
      <c r="M2583" s="8">
        <v>1260350</v>
      </c>
      <c r="N2583" s="8" t="str">
        <f t="shared" si="201"/>
        <v>PEN</v>
      </c>
      <c r="O2583" s="13"/>
      <c r="P2583" s="13">
        <v>462</v>
      </c>
      <c r="Q2583" s="3">
        <f t="shared" si="202"/>
        <v>0</v>
      </c>
      <c r="R2583" s="3">
        <f t="shared" si="203"/>
        <v>462</v>
      </c>
      <c r="S2583" s="3">
        <f t="shared" si="204"/>
        <v>41385.19000000001</v>
      </c>
      <c r="T2583" s="24" t="s">
        <v>1081</v>
      </c>
      <c r="U2583" s="24" t="s">
        <v>1081</v>
      </c>
      <c r="V2583" s="104" t="s">
        <v>3589</v>
      </c>
      <c r="W2583" s="25">
        <f>IFERROR(VLOOKUP(BCP_Soles[[#This Row],[DESTINATARIO]],CHOOSE({1,2},Clientes_Proveedores[Razon Social],Clientes_Proveedores[Ruc / Dni]),2,0),"")</f>
        <v>20602441165</v>
      </c>
      <c r="X2583" s="25"/>
      <c r="Y2583" s="25"/>
      <c r="Z2583" s="25"/>
      <c r="AA2583" s="99"/>
      <c r="AB2583" s="3" t="str">
        <f>IF(BCP_Soles[[#This Row],[FECHA]]&gt;0,TEXT(BCP_Soles[[#This Row],[FECHA]],"mmmm"),0)</f>
        <v>Julio</v>
      </c>
    </row>
    <row r="2584" spans="2:28" ht="24" x14ac:dyDescent="0.3">
      <c r="B2584" s="2">
        <f>IF(BCP_Soles[[#This Row],[TIPO DE R.]]="R",COUNTIFS($D$4:$D2583,"R")+1,"")</f>
        <v>1936</v>
      </c>
      <c r="C2584" s="19" t="str">
        <f t="shared" si="200"/>
        <v>B-BCP - Soles</v>
      </c>
      <c r="D2584" s="3" t="s">
        <v>1074</v>
      </c>
      <c r="E2584" s="14">
        <v>45849</v>
      </c>
      <c r="F2584" s="5" t="s">
        <v>1996</v>
      </c>
      <c r="G2584" s="5" t="s">
        <v>1079</v>
      </c>
      <c r="H2584" s="6" t="s">
        <v>425</v>
      </c>
      <c r="I2584" s="6" t="s">
        <v>14</v>
      </c>
      <c r="J2584" s="6" t="s">
        <v>1119</v>
      </c>
      <c r="K2584" s="6">
        <v>499</v>
      </c>
      <c r="L2584" s="7" t="s">
        <v>3590</v>
      </c>
      <c r="M2584" s="8">
        <v>1257945</v>
      </c>
      <c r="N2584" s="8" t="str">
        <f t="shared" si="201"/>
        <v>PEN</v>
      </c>
      <c r="O2584" s="13"/>
      <c r="P2584" s="13">
        <v>295</v>
      </c>
      <c r="Q2584" s="3">
        <f t="shared" si="202"/>
        <v>0</v>
      </c>
      <c r="R2584" s="3">
        <f t="shared" si="203"/>
        <v>295</v>
      </c>
      <c r="S2584" s="3">
        <f t="shared" si="204"/>
        <v>41090.19000000001</v>
      </c>
      <c r="T2584" s="24" t="s">
        <v>1081</v>
      </c>
      <c r="U2584" s="24" t="s">
        <v>1081</v>
      </c>
      <c r="V2584" s="104" t="s">
        <v>3591</v>
      </c>
      <c r="W2584" s="25">
        <f>IFERROR(VLOOKUP(BCP_Soles[[#This Row],[DESTINATARIO]],CHOOSE({1,2},Clientes_Proveedores[Razon Social],Clientes_Proveedores[Ruc / Dni]),2,0),"")</f>
        <v>20602441165</v>
      </c>
      <c r="X2584" s="25"/>
      <c r="Y2584" s="25"/>
      <c r="Z2584" s="25"/>
      <c r="AA2584" s="99"/>
      <c r="AB2584" s="3" t="str">
        <f>IF(BCP_Soles[[#This Row],[FECHA]]&gt;0,TEXT(BCP_Soles[[#This Row],[FECHA]],"mmmm"),0)</f>
        <v>Julio</v>
      </c>
    </row>
    <row r="2585" spans="2:28" x14ac:dyDescent="0.3">
      <c r="B2585" s="2">
        <f>IF(BCP_Soles[[#This Row],[TIPO DE R.]]="R",COUNTIFS($D$4:$D2584,"R")+1,"")</f>
        <v>1937</v>
      </c>
      <c r="C2585" s="19" t="str">
        <f t="shared" si="200"/>
        <v>B-BCP - Soles</v>
      </c>
      <c r="D2585" s="3" t="s">
        <v>1074</v>
      </c>
      <c r="E2585" s="14">
        <v>45849</v>
      </c>
      <c r="F2585" s="5" t="s">
        <v>1075</v>
      </c>
      <c r="G2585" s="5" t="s">
        <v>1079</v>
      </c>
      <c r="H2585" s="6" t="s">
        <v>139</v>
      </c>
      <c r="I2585" s="6" t="s">
        <v>14</v>
      </c>
      <c r="J2585" s="6" t="s">
        <v>1953</v>
      </c>
      <c r="K2585" s="6">
        <v>6615</v>
      </c>
      <c r="L2585" s="7" t="s">
        <v>1954</v>
      </c>
      <c r="M2585" s="8">
        <v>260829</v>
      </c>
      <c r="N2585" s="8" t="str">
        <f t="shared" si="201"/>
        <v>PEN</v>
      </c>
      <c r="O2585" s="13"/>
      <c r="P2585" s="13">
        <v>573.96</v>
      </c>
      <c r="Q2585" s="3">
        <f t="shared" si="202"/>
        <v>0</v>
      </c>
      <c r="R2585" s="3">
        <f t="shared" si="203"/>
        <v>573.96</v>
      </c>
      <c r="S2585" s="3">
        <f t="shared" si="204"/>
        <v>40516.23000000001</v>
      </c>
      <c r="T2585" s="24" t="s">
        <v>1081</v>
      </c>
      <c r="U2585" s="24" t="s">
        <v>1081</v>
      </c>
      <c r="V2585" s="104" t="s">
        <v>3592</v>
      </c>
      <c r="W2585" s="25">
        <f>IFERROR(VLOOKUP(BCP_Soles[[#This Row],[DESTINATARIO]],CHOOSE({1,2},Clientes_Proveedores[Razon Social],Clientes_Proveedores[Ruc / Dni]),2,0),"")</f>
        <v>20100055237</v>
      </c>
      <c r="X2585" s="25"/>
      <c r="Y2585" s="25"/>
      <c r="Z2585" s="25"/>
      <c r="AA2585" s="99"/>
      <c r="AB2585" s="3" t="str">
        <f>IF(BCP_Soles[[#This Row],[FECHA]]&gt;0,TEXT(BCP_Soles[[#This Row],[FECHA]],"mmmm"),0)</f>
        <v>Julio</v>
      </c>
    </row>
    <row r="2586" spans="2:28" x14ac:dyDescent="0.3">
      <c r="B2586" s="2">
        <f>IF(BCP_Soles[[#This Row],[TIPO DE R.]]="R",COUNTIFS($D$4:$D2585,"R")+1,"")</f>
        <v>1938</v>
      </c>
      <c r="C2586" s="19" t="str">
        <f t="shared" si="200"/>
        <v>B-BCP - Soles</v>
      </c>
      <c r="D2586" s="3" t="s">
        <v>1074</v>
      </c>
      <c r="E2586" s="14">
        <v>45849</v>
      </c>
      <c r="F2586" s="5" t="s">
        <v>1075</v>
      </c>
      <c r="G2586" s="5" t="s">
        <v>1079</v>
      </c>
      <c r="H2586" s="6" t="s">
        <v>139</v>
      </c>
      <c r="I2586" s="6" t="s">
        <v>14</v>
      </c>
      <c r="J2586" s="6" t="s">
        <v>1953</v>
      </c>
      <c r="K2586" s="6">
        <v>6616</v>
      </c>
      <c r="L2586" s="7" t="s">
        <v>1954</v>
      </c>
      <c r="M2586" s="8">
        <v>259904</v>
      </c>
      <c r="N2586" s="8" t="str">
        <f t="shared" si="201"/>
        <v>PEN</v>
      </c>
      <c r="O2586" s="13"/>
      <c r="P2586" s="13">
        <v>167.53</v>
      </c>
      <c r="Q2586" s="3">
        <f t="shared" si="202"/>
        <v>0</v>
      </c>
      <c r="R2586" s="3">
        <f t="shared" si="203"/>
        <v>167.53</v>
      </c>
      <c r="S2586" s="3">
        <f t="shared" si="204"/>
        <v>40348.700000000012</v>
      </c>
      <c r="T2586" s="24" t="s">
        <v>1081</v>
      </c>
      <c r="U2586" s="24" t="s">
        <v>1081</v>
      </c>
      <c r="V2586" s="104" t="s">
        <v>3593</v>
      </c>
      <c r="W2586" s="25">
        <f>IFERROR(VLOOKUP(BCP_Soles[[#This Row],[DESTINATARIO]],CHOOSE({1,2},Clientes_Proveedores[Razon Social],Clientes_Proveedores[Ruc / Dni]),2,0),"")</f>
        <v>20100055237</v>
      </c>
      <c r="X2586" s="25"/>
      <c r="Y2586" s="25"/>
      <c r="Z2586" s="25"/>
      <c r="AA2586" s="99"/>
      <c r="AB2586" s="3" t="str">
        <f>IF(BCP_Soles[[#This Row],[FECHA]]&gt;0,TEXT(BCP_Soles[[#This Row],[FECHA]],"mmmm"),0)</f>
        <v>Julio</v>
      </c>
    </row>
    <row r="2587" spans="2:28" x14ac:dyDescent="0.3">
      <c r="B2587" s="2">
        <f>IF(BCP_Soles[[#This Row],[TIPO DE R.]]="R",COUNTIFS($D$4:$D2586,"R")+1,"")</f>
        <v>1939</v>
      </c>
      <c r="C2587" s="19" t="str">
        <f t="shared" si="200"/>
        <v>B-BCP - Soles</v>
      </c>
      <c r="D2587" s="3" t="s">
        <v>1074</v>
      </c>
      <c r="E2587" s="14">
        <v>45849</v>
      </c>
      <c r="F2587" s="5" t="s">
        <v>1075</v>
      </c>
      <c r="G2587" s="5" t="s">
        <v>1079</v>
      </c>
      <c r="H2587" s="6" t="s">
        <v>139</v>
      </c>
      <c r="I2587" s="6" t="s">
        <v>14</v>
      </c>
      <c r="J2587" s="6" t="s">
        <v>1953</v>
      </c>
      <c r="K2587" s="6">
        <v>6617</v>
      </c>
      <c r="L2587" s="7" t="s">
        <v>1954</v>
      </c>
      <c r="M2587" s="8">
        <v>259410</v>
      </c>
      <c r="N2587" s="8" t="str">
        <f t="shared" si="201"/>
        <v>PEN</v>
      </c>
      <c r="O2587" s="13"/>
      <c r="P2587" s="13">
        <v>333.94</v>
      </c>
      <c r="Q2587" s="3">
        <f t="shared" si="202"/>
        <v>0</v>
      </c>
      <c r="R2587" s="3">
        <f t="shared" si="203"/>
        <v>333.94</v>
      </c>
      <c r="S2587" s="3">
        <f t="shared" si="204"/>
        <v>40014.760000000009</v>
      </c>
      <c r="T2587" s="24" t="s">
        <v>1081</v>
      </c>
      <c r="U2587" s="24" t="s">
        <v>1081</v>
      </c>
      <c r="V2587" s="104" t="s">
        <v>3594</v>
      </c>
      <c r="W2587" s="25">
        <f>IFERROR(VLOOKUP(BCP_Soles[[#This Row],[DESTINATARIO]],CHOOSE({1,2},Clientes_Proveedores[Razon Social],Clientes_Proveedores[Ruc / Dni]),2,0),"")</f>
        <v>20100055237</v>
      </c>
      <c r="X2587" s="25"/>
      <c r="Y2587" s="25"/>
      <c r="Z2587" s="25"/>
      <c r="AA2587" s="99"/>
      <c r="AB2587" s="3" t="str">
        <f>IF(BCP_Soles[[#This Row],[FECHA]]&gt;0,TEXT(BCP_Soles[[#This Row],[FECHA]],"mmmm"),0)</f>
        <v>Julio</v>
      </c>
    </row>
    <row r="2588" spans="2:28" x14ac:dyDescent="0.3">
      <c r="B2588" s="2">
        <f>IF(BCP_Soles[[#This Row],[TIPO DE R.]]="R",COUNTIFS($D$4:$D2587,"R")+1,"")</f>
        <v>1940</v>
      </c>
      <c r="C2588" s="19" t="str">
        <f t="shared" si="200"/>
        <v>B-BCP - Soles</v>
      </c>
      <c r="D2588" s="3" t="s">
        <v>1074</v>
      </c>
      <c r="E2588" s="14">
        <v>45849</v>
      </c>
      <c r="F2588" s="5" t="s">
        <v>1075</v>
      </c>
      <c r="G2588" s="5" t="s">
        <v>1079</v>
      </c>
      <c r="H2588" s="6" t="s">
        <v>139</v>
      </c>
      <c r="I2588" s="6" t="s">
        <v>14</v>
      </c>
      <c r="J2588" s="6" t="s">
        <v>1953</v>
      </c>
      <c r="K2588" s="6">
        <v>6619</v>
      </c>
      <c r="L2588" s="7" t="s">
        <v>1954</v>
      </c>
      <c r="M2588" s="8">
        <v>260830</v>
      </c>
      <c r="N2588" s="8" t="str">
        <f t="shared" si="201"/>
        <v>PEN</v>
      </c>
      <c r="O2588" s="13"/>
      <c r="P2588" s="13">
        <v>9.33</v>
      </c>
      <c r="Q2588" s="3">
        <f t="shared" si="202"/>
        <v>0</v>
      </c>
      <c r="R2588" s="3">
        <f t="shared" si="203"/>
        <v>9.33</v>
      </c>
      <c r="S2588" s="3">
        <f t="shared" si="204"/>
        <v>40005.430000000008</v>
      </c>
      <c r="T2588" s="24" t="s">
        <v>1081</v>
      </c>
      <c r="U2588" s="24" t="s">
        <v>1081</v>
      </c>
      <c r="V2588" s="104" t="s">
        <v>3595</v>
      </c>
      <c r="W2588" s="25">
        <f>IFERROR(VLOOKUP(BCP_Soles[[#This Row],[DESTINATARIO]],CHOOSE({1,2},Clientes_Proveedores[Razon Social],Clientes_Proveedores[Ruc / Dni]),2,0),"")</f>
        <v>20100055237</v>
      </c>
      <c r="X2588" s="25"/>
      <c r="Y2588" s="25"/>
      <c r="Z2588" s="25"/>
      <c r="AA2588" s="99"/>
      <c r="AB2588" s="3" t="str">
        <f>IF(BCP_Soles[[#This Row],[FECHA]]&gt;0,TEXT(BCP_Soles[[#This Row],[FECHA]],"mmmm"),0)</f>
        <v>Julio</v>
      </c>
    </row>
    <row r="2589" spans="2:28" x14ac:dyDescent="0.3">
      <c r="B2589" s="2">
        <f>IF(BCP_Soles[[#This Row],[TIPO DE R.]]="R",COUNTIFS($D$4:$D2588,"R")+1,"")</f>
        <v>1941</v>
      </c>
      <c r="C2589" s="19" t="str">
        <f t="shared" si="200"/>
        <v>B-BCP - Soles</v>
      </c>
      <c r="D2589" s="3" t="s">
        <v>1074</v>
      </c>
      <c r="E2589" s="14">
        <v>45849</v>
      </c>
      <c r="F2589" s="5" t="s">
        <v>1075</v>
      </c>
      <c r="G2589" s="5" t="s">
        <v>1079</v>
      </c>
      <c r="H2589" s="6" t="s">
        <v>139</v>
      </c>
      <c r="I2589" s="6" t="s">
        <v>14</v>
      </c>
      <c r="J2589" s="6" t="s">
        <v>1953</v>
      </c>
      <c r="K2589" s="6">
        <v>6620</v>
      </c>
      <c r="L2589" s="7" t="s">
        <v>1954</v>
      </c>
      <c r="M2589" s="8">
        <v>260351</v>
      </c>
      <c r="N2589" s="8" t="str">
        <f t="shared" si="201"/>
        <v>PEN</v>
      </c>
      <c r="O2589" s="13"/>
      <c r="P2589" s="13">
        <v>431.4</v>
      </c>
      <c r="Q2589" s="3">
        <f t="shared" si="202"/>
        <v>0</v>
      </c>
      <c r="R2589" s="3">
        <f t="shared" si="203"/>
        <v>431.4</v>
      </c>
      <c r="S2589" s="3">
        <f t="shared" si="204"/>
        <v>39574.030000000006</v>
      </c>
      <c r="T2589" s="24" t="s">
        <v>1081</v>
      </c>
      <c r="U2589" s="24" t="s">
        <v>1081</v>
      </c>
      <c r="V2589" s="104" t="s">
        <v>3596</v>
      </c>
      <c r="W2589" s="25">
        <f>IFERROR(VLOOKUP(BCP_Soles[[#This Row],[DESTINATARIO]],CHOOSE({1,2},Clientes_Proveedores[Razon Social],Clientes_Proveedores[Ruc / Dni]),2,0),"")</f>
        <v>20100055237</v>
      </c>
      <c r="X2589" s="25"/>
      <c r="Y2589" s="25"/>
      <c r="Z2589" s="25"/>
      <c r="AA2589" s="99"/>
      <c r="AB2589" s="3" t="str">
        <f>IF(BCP_Soles[[#This Row],[FECHA]]&gt;0,TEXT(BCP_Soles[[#This Row],[FECHA]],"mmmm"),0)</f>
        <v>Julio</v>
      </c>
    </row>
    <row r="2590" spans="2:28" x14ac:dyDescent="0.3">
      <c r="B2590" s="2">
        <f>IF(BCP_Soles[[#This Row],[TIPO DE R.]]="R",COUNTIFS($D$4:$D2589,"R")+1,"")</f>
        <v>1942</v>
      </c>
      <c r="C2590" s="19" t="str">
        <f t="shared" si="200"/>
        <v>B-BCP - Soles</v>
      </c>
      <c r="D2590" s="3" t="s">
        <v>1074</v>
      </c>
      <c r="E2590" s="14">
        <v>45849</v>
      </c>
      <c r="F2590" s="5" t="s">
        <v>1075</v>
      </c>
      <c r="G2590" s="5" t="s">
        <v>1079</v>
      </c>
      <c r="H2590" s="6" t="s">
        <v>139</v>
      </c>
      <c r="I2590" s="6" t="s">
        <v>14</v>
      </c>
      <c r="J2590" s="6" t="s">
        <v>1953</v>
      </c>
      <c r="K2590" s="6">
        <v>6621</v>
      </c>
      <c r="L2590" s="7" t="s">
        <v>1954</v>
      </c>
      <c r="M2590" s="8">
        <v>258433</v>
      </c>
      <c r="N2590" s="8" t="str">
        <f t="shared" si="201"/>
        <v>PEN</v>
      </c>
      <c r="O2590" s="13"/>
      <c r="P2590" s="13">
        <v>31.17</v>
      </c>
      <c r="Q2590" s="3">
        <f t="shared" si="202"/>
        <v>0</v>
      </c>
      <c r="R2590" s="3">
        <f t="shared" si="203"/>
        <v>31.17</v>
      </c>
      <c r="S2590" s="3">
        <f t="shared" si="204"/>
        <v>39542.860000000008</v>
      </c>
      <c r="T2590" s="24" t="s">
        <v>1081</v>
      </c>
      <c r="U2590" s="24" t="s">
        <v>1081</v>
      </c>
      <c r="V2590" s="104" t="s">
        <v>3597</v>
      </c>
      <c r="W2590" s="25">
        <f>IFERROR(VLOOKUP(BCP_Soles[[#This Row],[DESTINATARIO]],CHOOSE({1,2},Clientes_Proveedores[Razon Social],Clientes_Proveedores[Ruc / Dni]),2,0),"")</f>
        <v>20100055237</v>
      </c>
      <c r="X2590" s="25"/>
      <c r="Y2590" s="25"/>
      <c r="Z2590" s="25"/>
      <c r="AA2590" s="99"/>
      <c r="AB2590" s="3" t="str">
        <f>IF(BCP_Soles[[#This Row],[FECHA]]&gt;0,TEXT(BCP_Soles[[#This Row],[FECHA]],"mmmm"),0)</f>
        <v>Julio</v>
      </c>
    </row>
    <row r="2591" spans="2:28" x14ac:dyDescent="0.3">
      <c r="B2591" s="2">
        <f>IF(BCP_Soles[[#This Row],[TIPO DE R.]]="R",COUNTIFS($D$4:$D2590,"R")+1,"")</f>
        <v>1943</v>
      </c>
      <c r="C2591" s="19" t="str">
        <f t="shared" si="200"/>
        <v>B-BCP - Soles</v>
      </c>
      <c r="D2591" s="3" t="s">
        <v>1074</v>
      </c>
      <c r="E2591" s="14">
        <v>45849</v>
      </c>
      <c r="F2591" s="5" t="s">
        <v>1075</v>
      </c>
      <c r="G2591" s="5" t="s">
        <v>1079</v>
      </c>
      <c r="H2591" s="6" t="s">
        <v>139</v>
      </c>
      <c r="I2591" s="6" t="s">
        <v>14</v>
      </c>
      <c r="J2591" s="6" t="s">
        <v>1953</v>
      </c>
      <c r="K2591" s="6">
        <v>6618</v>
      </c>
      <c r="L2591" s="7" t="s">
        <v>1954</v>
      </c>
      <c r="M2591" s="8">
        <v>259411</v>
      </c>
      <c r="N2591" s="8" t="str">
        <f t="shared" si="201"/>
        <v>PEN</v>
      </c>
      <c r="O2591" s="13"/>
      <c r="P2591" s="13">
        <v>64.7</v>
      </c>
      <c r="Q2591" s="3">
        <f t="shared" si="202"/>
        <v>0</v>
      </c>
      <c r="R2591" s="3">
        <f t="shared" si="203"/>
        <v>64.7</v>
      </c>
      <c r="S2591" s="3">
        <f t="shared" si="204"/>
        <v>39478.160000000011</v>
      </c>
      <c r="T2591" s="24" t="s">
        <v>1081</v>
      </c>
      <c r="U2591" s="24" t="s">
        <v>1081</v>
      </c>
      <c r="V2591" s="104" t="s">
        <v>3598</v>
      </c>
      <c r="W2591" s="25">
        <f>IFERROR(VLOOKUP(BCP_Soles[[#This Row],[DESTINATARIO]],CHOOSE({1,2},Clientes_Proveedores[Razon Social],Clientes_Proveedores[Ruc / Dni]),2,0),"")</f>
        <v>20100055237</v>
      </c>
      <c r="X2591" s="25"/>
      <c r="Y2591" s="25"/>
      <c r="Z2591" s="25"/>
      <c r="AA2591" s="99"/>
      <c r="AB2591" s="3" t="str">
        <f>IF(BCP_Soles[[#This Row],[FECHA]]&gt;0,TEXT(BCP_Soles[[#This Row],[FECHA]],"mmmm"),0)</f>
        <v>Julio</v>
      </c>
    </row>
    <row r="2592" spans="2:28" x14ac:dyDescent="0.3">
      <c r="B2592" s="2">
        <f>IF(BCP_Soles[[#This Row],[TIPO DE R.]]="R",COUNTIFS($D$4:$D2591,"R")+1,"")</f>
        <v>1944</v>
      </c>
      <c r="C2592" s="19" t="str">
        <f t="shared" si="200"/>
        <v>B-BCP - Soles</v>
      </c>
      <c r="D2592" s="3" t="s">
        <v>1074</v>
      </c>
      <c r="E2592" s="14">
        <v>45849</v>
      </c>
      <c r="F2592" s="5" t="s">
        <v>1075</v>
      </c>
      <c r="G2592" s="5" t="s">
        <v>1079</v>
      </c>
      <c r="H2592" s="6" t="s">
        <v>638</v>
      </c>
      <c r="I2592" s="6"/>
      <c r="J2592" s="6"/>
      <c r="K2592" s="6"/>
      <c r="L2592" s="7" t="s">
        <v>3599</v>
      </c>
      <c r="M2592" s="8">
        <v>8597122</v>
      </c>
      <c r="N2592" s="8" t="str">
        <f t="shared" si="201"/>
        <v>PEN</v>
      </c>
      <c r="O2592" s="13"/>
      <c r="P2592" s="13">
        <v>1996.57</v>
      </c>
      <c r="Q2592" s="3">
        <f t="shared" si="202"/>
        <v>0</v>
      </c>
      <c r="R2592" s="3">
        <f t="shared" si="203"/>
        <v>1996.57</v>
      </c>
      <c r="S2592" s="3">
        <f t="shared" si="204"/>
        <v>37481.590000000011</v>
      </c>
      <c r="T2592" s="24" t="s">
        <v>1081</v>
      </c>
      <c r="U2592" s="24" t="s">
        <v>1081</v>
      </c>
      <c r="V2592" s="104" t="s">
        <v>3600</v>
      </c>
      <c r="W2592" s="25">
        <f>IFERROR(VLOOKUP(BCP_Soles[[#This Row],[DESTINATARIO]],CHOOSE({1,2},Clientes_Proveedores[Razon Social],Clientes_Proveedores[Ruc / Dni]),2,0),"")</f>
        <v>0</v>
      </c>
      <c r="X2592" s="25"/>
      <c r="Y2592" s="25"/>
      <c r="Z2592" s="25"/>
      <c r="AA2592" s="99"/>
      <c r="AB2592" s="3" t="str">
        <f>IF(BCP_Soles[[#This Row],[FECHA]]&gt;0,TEXT(BCP_Soles[[#This Row],[FECHA]],"mmmm"),0)</f>
        <v>Julio</v>
      </c>
    </row>
    <row r="2593" spans="2:28" ht="24" x14ac:dyDescent="0.3">
      <c r="B2593" s="2" t="str">
        <f>IF(BCP_Soles[[#This Row],[TIPO DE R.]]="R",COUNTIFS($D$4:$D2592,"R")+1,"")</f>
        <v/>
      </c>
      <c r="C2593" s="19" t="str">
        <f t="shared" si="200"/>
        <v>B-BCP - Soles</v>
      </c>
      <c r="D2593" s="3" t="s">
        <v>1101</v>
      </c>
      <c r="E2593" s="14">
        <v>45849</v>
      </c>
      <c r="F2593" s="5" t="s">
        <v>1075</v>
      </c>
      <c r="G2593" s="5"/>
      <c r="H2593" s="6" t="s">
        <v>214</v>
      </c>
      <c r="I2593" s="6" t="s">
        <v>14</v>
      </c>
      <c r="J2593" s="6" t="s">
        <v>1120</v>
      </c>
      <c r="K2593" s="6">
        <v>6940</v>
      </c>
      <c r="L2593" s="7" t="s">
        <v>3599</v>
      </c>
      <c r="M2593" s="8">
        <v>8597122</v>
      </c>
      <c r="N2593" s="8" t="str">
        <f t="shared" si="201"/>
        <v>PEN</v>
      </c>
      <c r="O2593" s="13">
        <v>426</v>
      </c>
      <c r="P2593" s="13"/>
      <c r="Q2593" s="3">
        <f t="shared" si="202"/>
        <v>0</v>
      </c>
      <c r="R2593" s="3">
        <f t="shared" si="203"/>
        <v>0</v>
      </c>
      <c r="S2593" s="3">
        <f t="shared" si="204"/>
        <v>37481.590000000011</v>
      </c>
      <c r="T2593" s="24" t="s">
        <v>1081</v>
      </c>
      <c r="U2593" s="24" t="s">
        <v>1081</v>
      </c>
      <c r="V2593" s="104" t="s">
        <v>3600</v>
      </c>
      <c r="W2593" s="25">
        <f>IFERROR(VLOOKUP(BCP_Soles[[#This Row],[DESTINATARIO]],CHOOSE({1,2},Clientes_Proveedores[Razon Social],Clientes_Proveedores[Ruc / Dni]),2,0),"")</f>
        <v>20419158462</v>
      </c>
      <c r="X2593" s="25"/>
      <c r="Y2593" s="25"/>
      <c r="Z2593" s="25"/>
      <c r="AA2593" s="99"/>
      <c r="AB2593" s="3" t="str">
        <f>IF(BCP_Soles[[#This Row],[FECHA]]&gt;0,TEXT(BCP_Soles[[#This Row],[FECHA]],"mmmm"),0)</f>
        <v>Julio</v>
      </c>
    </row>
    <row r="2594" spans="2:28" ht="24" x14ac:dyDescent="0.3">
      <c r="B2594" s="2" t="str">
        <f>IF(BCP_Soles[[#This Row],[TIPO DE R.]]="R",COUNTIFS($D$4:$D2593,"R")+1,"")</f>
        <v/>
      </c>
      <c r="C2594" s="19" t="str">
        <f t="shared" si="200"/>
        <v>B-BCP - Soles</v>
      </c>
      <c r="D2594" s="3" t="s">
        <v>1101</v>
      </c>
      <c r="E2594" s="14">
        <v>45849</v>
      </c>
      <c r="F2594" s="5" t="s">
        <v>1075</v>
      </c>
      <c r="G2594" s="5"/>
      <c r="H2594" s="6" t="s">
        <v>214</v>
      </c>
      <c r="I2594" s="6" t="s">
        <v>14</v>
      </c>
      <c r="J2594" s="6" t="s">
        <v>1120</v>
      </c>
      <c r="K2594" s="6">
        <v>6945</v>
      </c>
      <c r="L2594" s="7" t="s">
        <v>3599</v>
      </c>
      <c r="M2594" s="8">
        <v>8597122</v>
      </c>
      <c r="N2594" s="8" t="str">
        <f t="shared" si="201"/>
        <v>PEN</v>
      </c>
      <c r="O2594" s="13">
        <v>388.45</v>
      </c>
      <c r="P2594" s="13"/>
      <c r="Q2594" s="3">
        <f t="shared" si="202"/>
        <v>0</v>
      </c>
      <c r="R2594" s="3">
        <f t="shared" si="203"/>
        <v>0</v>
      </c>
      <c r="S2594" s="3">
        <f t="shared" si="204"/>
        <v>37481.590000000011</v>
      </c>
      <c r="T2594" s="24" t="s">
        <v>1081</v>
      </c>
      <c r="U2594" s="24" t="s">
        <v>1081</v>
      </c>
      <c r="V2594" s="104" t="s">
        <v>3600</v>
      </c>
      <c r="W2594" s="25">
        <f>IFERROR(VLOOKUP(BCP_Soles[[#This Row],[DESTINATARIO]],CHOOSE({1,2},Clientes_Proveedores[Razon Social],Clientes_Proveedores[Ruc / Dni]),2,0),"")</f>
        <v>20419158462</v>
      </c>
      <c r="X2594" s="25"/>
      <c r="Y2594" s="25"/>
      <c r="Z2594" s="25"/>
      <c r="AA2594" s="99"/>
      <c r="AB2594" s="3" t="str">
        <f>IF(BCP_Soles[[#This Row],[FECHA]]&gt;0,TEXT(BCP_Soles[[#This Row],[FECHA]],"mmmm"),0)</f>
        <v>Julio</v>
      </c>
    </row>
    <row r="2595" spans="2:28" ht="24" x14ac:dyDescent="0.3">
      <c r="B2595" s="2" t="str">
        <f>IF(BCP_Soles[[#This Row],[TIPO DE R.]]="R",COUNTIFS($D$4:$D2594,"R")+1,"")</f>
        <v/>
      </c>
      <c r="C2595" s="19" t="str">
        <f t="shared" si="200"/>
        <v>B-BCP - Soles</v>
      </c>
      <c r="D2595" s="3" t="s">
        <v>1101</v>
      </c>
      <c r="E2595" s="14">
        <v>45849</v>
      </c>
      <c r="F2595" s="5" t="s">
        <v>1075</v>
      </c>
      <c r="G2595" s="5"/>
      <c r="H2595" s="6" t="s">
        <v>214</v>
      </c>
      <c r="I2595" s="6" t="s">
        <v>14</v>
      </c>
      <c r="J2595" s="6" t="s">
        <v>1120</v>
      </c>
      <c r="K2595" s="6">
        <v>6944</v>
      </c>
      <c r="L2595" s="7" t="s">
        <v>3599</v>
      </c>
      <c r="M2595" s="8">
        <v>8597122</v>
      </c>
      <c r="N2595" s="8" t="str">
        <f t="shared" si="201"/>
        <v>PEN</v>
      </c>
      <c r="O2595" s="13">
        <v>295.85000000000002</v>
      </c>
      <c r="P2595" s="13"/>
      <c r="Q2595" s="3">
        <f t="shared" si="202"/>
        <v>0</v>
      </c>
      <c r="R2595" s="3">
        <f t="shared" si="203"/>
        <v>0</v>
      </c>
      <c r="S2595" s="3">
        <f t="shared" si="204"/>
        <v>37481.590000000011</v>
      </c>
      <c r="T2595" s="24" t="s">
        <v>1081</v>
      </c>
      <c r="U2595" s="24" t="s">
        <v>1081</v>
      </c>
      <c r="V2595" s="104" t="s">
        <v>3600</v>
      </c>
      <c r="W2595" s="25">
        <f>IFERROR(VLOOKUP(BCP_Soles[[#This Row],[DESTINATARIO]],CHOOSE({1,2},Clientes_Proveedores[Razon Social],Clientes_Proveedores[Ruc / Dni]),2,0),"")</f>
        <v>20419158462</v>
      </c>
      <c r="X2595" s="25"/>
      <c r="Y2595" s="25"/>
      <c r="Z2595" s="25"/>
      <c r="AA2595" s="99"/>
      <c r="AB2595" s="3" t="str">
        <f>IF(BCP_Soles[[#This Row],[FECHA]]&gt;0,TEXT(BCP_Soles[[#This Row],[FECHA]],"mmmm"),0)</f>
        <v>Julio</v>
      </c>
    </row>
    <row r="2596" spans="2:28" ht="24" x14ac:dyDescent="0.3">
      <c r="B2596" s="2" t="str">
        <f>IF(BCP_Soles[[#This Row],[TIPO DE R.]]="R",COUNTIFS($D$4:$D2595,"R")+1,"")</f>
        <v/>
      </c>
      <c r="C2596" s="19" t="str">
        <f t="shared" si="200"/>
        <v>B-BCP - Soles</v>
      </c>
      <c r="D2596" s="3" t="s">
        <v>1101</v>
      </c>
      <c r="E2596" s="14">
        <v>45849</v>
      </c>
      <c r="F2596" s="5" t="s">
        <v>1075</v>
      </c>
      <c r="G2596" s="5"/>
      <c r="H2596" s="6" t="s">
        <v>214</v>
      </c>
      <c r="I2596" s="6" t="s">
        <v>14</v>
      </c>
      <c r="J2596" s="6" t="s">
        <v>1120</v>
      </c>
      <c r="K2596" s="6">
        <v>6943</v>
      </c>
      <c r="L2596" s="7" t="s">
        <v>3599</v>
      </c>
      <c r="M2596" s="8">
        <v>8597122</v>
      </c>
      <c r="N2596" s="8" t="str">
        <f t="shared" si="201"/>
        <v>PEN</v>
      </c>
      <c r="O2596" s="13">
        <v>248.81</v>
      </c>
      <c r="P2596" s="13"/>
      <c r="Q2596" s="3">
        <f t="shared" si="202"/>
        <v>0</v>
      </c>
      <c r="R2596" s="3">
        <f t="shared" si="203"/>
        <v>0</v>
      </c>
      <c r="S2596" s="3">
        <f t="shared" si="204"/>
        <v>37481.590000000011</v>
      </c>
      <c r="T2596" s="24" t="s">
        <v>1081</v>
      </c>
      <c r="U2596" s="24" t="s">
        <v>1081</v>
      </c>
      <c r="V2596" s="104" t="s">
        <v>3600</v>
      </c>
      <c r="W2596" s="25">
        <f>IFERROR(VLOOKUP(BCP_Soles[[#This Row],[DESTINATARIO]],CHOOSE({1,2},Clientes_Proveedores[Razon Social],Clientes_Proveedores[Ruc / Dni]),2,0),"")</f>
        <v>20419158462</v>
      </c>
      <c r="X2596" s="25"/>
      <c r="Y2596" s="25"/>
      <c r="Z2596" s="25"/>
      <c r="AA2596" s="99"/>
      <c r="AB2596" s="3" t="str">
        <f>IF(BCP_Soles[[#This Row],[FECHA]]&gt;0,TEXT(BCP_Soles[[#This Row],[FECHA]],"mmmm"),0)</f>
        <v>Julio</v>
      </c>
    </row>
    <row r="2597" spans="2:28" ht="24" x14ac:dyDescent="0.3">
      <c r="B2597" s="2" t="str">
        <f>IF(BCP_Soles[[#This Row],[TIPO DE R.]]="R",COUNTIFS($D$4:$D2596,"R")+1,"")</f>
        <v/>
      </c>
      <c r="C2597" s="19" t="str">
        <f t="shared" si="200"/>
        <v>B-BCP - Soles</v>
      </c>
      <c r="D2597" s="3" t="s">
        <v>1101</v>
      </c>
      <c r="E2597" s="14">
        <v>45849</v>
      </c>
      <c r="F2597" s="5" t="s">
        <v>1075</v>
      </c>
      <c r="G2597" s="5"/>
      <c r="H2597" s="6" t="s">
        <v>214</v>
      </c>
      <c r="I2597" s="6" t="s">
        <v>14</v>
      </c>
      <c r="J2597" s="6" t="s">
        <v>1120</v>
      </c>
      <c r="K2597" s="6">
        <v>6946</v>
      </c>
      <c r="L2597" s="7" t="s">
        <v>3599</v>
      </c>
      <c r="M2597" s="8">
        <v>8597122</v>
      </c>
      <c r="N2597" s="8" t="str">
        <f t="shared" si="201"/>
        <v>PEN</v>
      </c>
      <c r="O2597" s="13">
        <v>595.45000000000005</v>
      </c>
      <c r="P2597" s="13"/>
      <c r="Q2597" s="3">
        <f t="shared" si="202"/>
        <v>0</v>
      </c>
      <c r="R2597" s="3">
        <f t="shared" si="203"/>
        <v>0</v>
      </c>
      <c r="S2597" s="3">
        <f t="shared" si="204"/>
        <v>37481.590000000011</v>
      </c>
      <c r="T2597" s="24" t="s">
        <v>1081</v>
      </c>
      <c r="U2597" s="24" t="s">
        <v>1081</v>
      </c>
      <c r="V2597" s="104" t="s">
        <v>3600</v>
      </c>
      <c r="W2597" s="25">
        <f>IFERROR(VLOOKUP(BCP_Soles[[#This Row],[DESTINATARIO]],CHOOSE({1,2},Clientes_Proveedores[Razon Social],Clientes_Proveedores[Ruc / Dni]),2,0),"")</f>
        <v>20419158462</v>
      </c>
      <c r="X2597" s="25"/>
      <c r="Y2597" s="25"/>
      <c r="Z2597" s="25"/>
      <c r="AA2597" s="99"/>
      <c r="AB2597" s="3" t="str">
        <f>IF(BCP_Soles[[#This Row],[FECHA]]&gt;0,TEXT(BCP_Soles[[#This Row],[FECHA]],"mmmm"),0)</f>
        <v>Julio</v>
      </c>
    </row>
    <row r="2598" spans="2:28" ht="24" x14ac:dyDescent="0.3">
      <c r="B2598" s="2" t="str">
        <f>IF(BCP_Soles[[#This Row],[TIPO DE R.]]="R",COUNTIFS($D$4:$D2597,"R")+1,"")</f>
        <v/>
      </c>
      <c r="C2598" s="19" t="str">
        <f t="shared" si="200"/>
        <v>B-BCP - Soles</v>
      </c>
      <c r="D2598" s="3" t="s">
        <v>1101</v>
      </c>
      <c r="E2598" s="14">
        <v>45849</v>
      </c>
      <c r="F2598" s="5" t="s">
        <v>1075</v>
      </c>
      <c r="G2598" s="5"/>
      <c r="H2598" s="6" t="s">
        <v>214</v>
      </c>
      <c r="I2598" s="6" t="s">
        <v>14</v>
      </c>
      <c r="J2598" s="6" t="s">
        <v>1120</v>
      </c>
      <c r="K2598" s="6">
        <v>6941</v>
      </c>
      <c r="L2598" s="7" t="s">
        <v>3599</v>
      </c>
      <c r="M2598" s="8">
        <v>8597122</v>
      </c>
      <c r="N2598" s="8" t="str">
        <f t="shared" si="201"/>
        <v>PEN</v>
      </c>
      <c r="O2598" s="13">
        <v>42.01</v>
      </c>
      <c r="P2598" s="13"/>
      <c r="Q2598" s="3">
        <f t="shared" si="202"/>
        <v>0</v>
      </c>
      <c r="R2598" s="3">
        <f t="shared" si="203"/>
        <v>0</v>
      </c>
      <c r="S2598" s="3">
        <f t="shared" si="204"/>
        <v>37481.590000000011</v>
      </c>
      <c r="T2598" s="24" t="s">
        <v>1081</v>
      </c>
      <c r="U2598" s="24" t="s">
        <v>1081</v>
      </c>
      <c r="V2598" s="104" t="s">
        <v>3600</v>
      </c>
      <c r="W2598" s="25">
        <f>IFERROR(VLOOKUP(BCP_Soles[[#This Row],[DESTINATARIO]],CHOOSE({1,2},Clientes_Proveedores[Razon Social],Clientes_Proveedores[Ruc / Dni]),2,0),"")</f>
        <v>20419158462</v>
      </c>
      <c r="X2598" s="25"/>
      <c r="Y2598" s="25"/>
      <c r="Z2598" s="25"/>
      <c r="AA2598" s="99"/>
      <c r="AB2598" s="3" t="str">
        <f>IF(BCP_Soles[[#This Row],[FECHA]]&gt;0,TEXT(BCP_Soles[[#This Row],[FECHA]],"mmmm"),0)</f>
        <v>Julio</v>
      </c>
    </row>
    <row r="2599" spans="2:28" ht="24" x14ac:dyDescent="0.3">
      <c r="B2599" s="2">
        <f>IF(BCP_Soles[[#This Row],[TIPO DE R.]]="R",COUNTIFS($D$4:$D2598,"R")+1,"")</f>
        <v>1945</v>
      </c>
      <c r="C2599" s="19" t="str">
        <f t="shared" si="200"/>
        <v>B-BCP - Soles</v>
      </c>
      <c r="D2599" s="3" t="s">
        <v>1074</v>
      </c>
      <c r="E2599" s="14">
        <v>45849</v>
      </c>
      <c r="F2599" s="5" t="s">
        <v>1075</v>
      </c>
      <c r="G2599" s="5" t="s">
        <v>1079</v>
      </c>
      <c r="H2599" s="6" t="s">
        <v>817</v>
      </c>
      <c r="I2599" s="6"/>
      <c r="J2599" s="6"/>
      <c r="K2599" s="6"/>
      <c r="L2599" s="7" t="s">
        <v>3601</v>
      </c>
      <c r="M2599" s="8">
        <v>1258432</v>
      </c>
      <c r="N2599" s="8" t="str">
        <f t="shared" si="201"/>
        <v>PEN</v>
      </c>
      <c r="O2599" s="13"/>
      <c r="P2599" s="13">
        <v>100</v>
      </c>
      <c r="Q2599" s="3">
        <f t="shared" si="202"/>
        <v>0</v>
      </c>
      <c r="R2599" s="3">
        <f t="shared" si="203"/>
        <v>100</v>
      </c>
      <c r="S2599" s="3">
        <f t="shared" si="204"/>
        <v>37381.590000000011</v>
      </c>
      <c r="T2599" s="24"/>
      <c r="U2599" s="24" t="s">
        <v>1081</v>
      </c>
      <c r="V2599" s="104" t="s">
        <v>3602</v>
      </c>
      <c r="W2599" s="25">
        <f>IFERROR(VLOOKUP(BCP_Soles[[#This Row],[DESTINATARIO]],CHOOSE({1,2},Clientes_Proveedores[Razon Social],Clientes_Proveedores[Ruc / Dni]),2,0),"")</f>
        <v>1829028</v>
      </c>
      <c r="X2599" s="25"/>
      <c r="Y2599" s="25"/>
      <c r="Z2599" s="25"/>
      <c r="AA2599" s="99"/>
      <c r="AB2599" s="3" t="str">
        <f>IF(BCP_Soles[[#This Row],[FECHA]]&gt;0,TEXT(BCP_Soles[[#This Row],[FECHA]],"mmmm"),0)</f>
        <v>Julio</v>
      </c>
    </row>
    <row r="2600" spans="2:28" x14ac:dyDescent="0.3">
      <c r="B2600" s="2">
        <f>IF(BCP_Soles[[#This Row],[TIPO DE R.]]="R",COUNTIFS($D$4:$D2599,"R")+1,"")</f>
        <v>1946</v>
      </c>
      <c r="C2600" s="19" t="str">
        <f t="shared" si="200"/>
        <v>B-BCP - Soles</v>
      </c>
      <c r="D2600" s="3" t="s">
        <v>1074</v>
      </c>
      <c r="E2600" s="14">
        <v>45849</v>
      </c>
      <c r="F2600" s="5" t="s">
        <v>1078</v>
      </c>
      <c r="G2600" s="5" t="s">
        <v>1079</v>
      </c>
      <c r="H2600" s="6" t="s">
        <v>950</v>
      </c>
      <c r="I2600" s="6" t="s">
        <v>10</v>
      </c>
      <c r="J2600" s="6" t="s">
        <v>3392</v>
      </c>
      <c r="K2600" s="6">
        <v>1946</v>
      </c>
      <c r="L2600" s="7" t="s">
        <v>2868</v>
      </c>
      <c r="M2600" s="8"/>
      <c r="N2600" s="8" t="str">
        <f t="shared" si="201"/>
        <v>PEN</v>
      </c>
      <c r="O2600" s="13"/>
      <c r="P2600" s="13">
        <v>0.6</v>
      </c>
      <c r="Q2600" s="3">
        <f t="shared" si="202"/>
        <v>0</v>
      </c>
      <c r="R2600" s="3">
        <f t="shared" si="203"/>
        <v>0.6</v>
      </c>
      <c r="S2600" s="3">
        <f t="shared" si="204"/>
        <v>37380.990000000013</v>
      </c>
      <c r="T2600" s="24" t="s">
        <v>1081</v>
      </c>
      <c r="U2600" s="24"/>
      <c r="V2600" s="69"/>
      <c r="W2600" s="25">
        <f>IFERROR(VLOOKUP(BCP_Soles[[#This Row],[DESTINATARIO]],CHOOSE({1,2},Clientes_Proveedores[Razon Social],Clientes_Proveedores[Ruc / Dni]),2,0),"")</f>
        <v>11111111</v>
      </c>
      <c r="X2600" s="25"/>
      <c r="Y2600" s="25"/>
      <c r="Z2600" s="25"/>
      <c r="AA2600" s="99"/>
      <c r="AB2600" s="3" t="str">
        <f>IF(BCP_Soles[[#This Row],[FECHA]]&gt;0,TEXT(BCP_Soles[[#This Row],[FECHA]],"mmmm"),0)</f>
        <v>Julio</v>
      </c>
    </row>
    <row r="2601" spans="2:28" ht="24" x14ac:dyDescent="0.3">
      <c r="B2601" s="2">
        <f>IF(BCP_Soles[[#This Row],[TIPO DE R.]]="R",COUNTIFS($D$4:$D2600,"R")+1,"")</f>
        <v>1947</v>
      </c>
      <c r="C2601" s="19" t="str">
        <f t="shared" si="200"/>
        <v>B-BCP - Soles</v>
      </c>
      <c r="D2601" s="3" t="s">
        <v>1074</v>
      </c>
      <c r="E2601" s="14">
        <v>45849</v>
      </c>
      <c r="F2601" s="5" t="s">
        <v>1078</v>
      </c>
      <c r="G2601" s="5" t="s">
        <v>1079</v>
      </c>
      <c r="H2601" s="6" t="s">
        <v>1001</v>
      </c>
      <c r="I2601" s="6" t="s">
        <v>14</v>
      </c>
      <c r="J2601" s="6" t="s">
        <v>3128</v>
      </c>
      <c r="K2601" s="6">
        <v>34545339</v>
      </c>
      <c r="L2601" s="7" t="s">
        <v>1141</v>
      </c>
      <c r="M2601" s="8">
        <v>434</v>
      </c>
      <c r="N2601" s="8" t="str">
        <f t="shared" si="201"/>
        <v>PEN</v>
      </c>
      <c r="O2601" s="13"/>
      <c r="P2601" s="13">
        <v>10</v>
      </c>
      <c r="Q2601" s="3">
        <f t="shared" si="202"/>
        <v>0</v>
      </c>
      <c r="R2601" s="3">
        <f t="shared" si="203"/>
        <v>10</v>
      </c>
      <c r="S2601" s="3">
        <f t="shared" si="204"/>
        <v>37370.990000000013</v>
      </c>
      <c r="T2601" s="24" t="s">
        <v>1081</v>
      </c>
      <c r="U2601" s="24" t="s">
        <v>1081</v>
      </c>
      <c r="V2601" s="69"/>
      <c r="W2601" s="25">
        <f>IFERROR(VLOOKUP(BCP_Soles[[#This Row],[DESTINATARIO]],CHOOSE({1,2},Clientes_Proveedores[Razon Social],Clientes_Proveedores[Ruc / Dni]),2,0),"")</f>
        <v>20100047218</v>
      </c>
      <c r="X2601" s="25"/>
      <c r="Y2601" s="25"/>
      <c r="Z2601" s="25"/>
      <c r="AA2601" s="99"/>
      <c r="AB2601" s="3" t="str">
        <f>IF(BCP_Soles[[#This Row],[FECHA]]&gt;0,TEXT(BCP_Soles[[#This Row],[FECHA]],"mmmm"),0)</f>
        <v>Julio</v>
      </c>
    </row>
    <row r="2602" spans="2:28" x14ac:dyDescent="0.3">
      <c r="B2602" s="2">
        <f>IF(BCP_Soles[[#This Row],[TIPO DE R.]]="R",COUNTIFS($D$4:$D2601,"R")+1,"")</f>
        <v>1948</v>
      </c>
      <c r="C2602" s="19" t="str">
        <f t="shared" si="200"/>
        <v>B-BCP - Soles</v>
      </c>
      <c r="D2602" s="3" t="s">
        <v>1074</v>
      </c>
      <c r="E2602" s="14">
        <v>45849</v>
      </c>
      <c r="F2602" s="5" t="s">
        <v>2898</v>
      </c>
      <c r="G2602" s="5" t="s">
        <v>1079</v>
      </c>
      <c r="H2602" s="6"/>
      <c r="I2602" s="6"/>
      <c r="J2602" s="6"/>
      <c r="K2602" s="6"/>
      <c r="L2602" s="7" t="s">
        <v>3603</v>
      </c>
      <c r="M2602" s="8">
        <v>1010950</v>
      </c>
      <c r="N2602" s="8" t="str">
        <f t="shared" si="201"/>
        <v>PEN</v>
      </c>
      <c r="O2602" s="13"/>
      <c r="P2602" s="13">
        <v>1252</v>
      </c>
      <c r="Q2602" s="3">
        <f t="shared" si="202"/>
        <v>0</v>
      </c>
      <c r="R2602" s="3">
        <f t="shared" si="203"/>
        <v>1252</v>
      </c>
      <c r="S2602" s="3">
        <f t="shared" si="204"/>
        <v>36118.990000000013</v>
      </c>
      <c r="T2602" s="24" t="s">
        <v>1081</v>
      </c>
      <c r="U2602" s="24" t="s">
        <v>1081</v>
      </c>
      <c r="V2602" s="69"/>
      <c r="W2602" s="25" t="str">
        <f>IFERROR(VLOOKUP(BCP_Soles[[#This Row],[DESTINATARIO]],CHOOSE({1,2},Clientes_Proveedores[Razon Social],Clientes_Proveedores[Ruc / Dni]),2,0),"")</f>
        <v/>
      </c>
      <c r="X2602" s="25"/>
      <c r="Y2602" s="25"/>
      <c r="Z2602" s="25"/>
      <c r="AA2602" s="99"/>
      <c r="AB2602" s="3" t="str">
        <f>IF(BCP_Soles[[#This Row],[FECHA]]&gt;0,TEXT(BCP_Soles[[#This Row],[FECHA]],"mmmm"),0)</f>
        <v>Julio</v>
      </c>
    </row>
    <row r="2603" spans="2:28" ht="24" x14ac:dyDescent="0.3">
      <c r="B2603" s="2" t="str">
        <f>IF(BCP_Soles[[#This Row],[TIPO DE R.]]="R",COUNTIFS($D$4:$D2602,"R")+1,"")</f>
        <v/>
      </c>
      <c r="C2603" s="19" t="str">
        <f t="shared" si="200"/>
        <v>B-BCP - Soles</v>
      </c>
      <c r="D2603" s="3" t="s">
        <v>1101</v>
      </c>
      <c r="E2603" s="14">
        <v>45849</v>
      </c>
      <c r="F2603" s="5" t="s">
        <v>2898</v>
      </c>
      <c r="G2603" s="5"/>
      <c r="H2603" s="6" t="s">
        <v>214</v>
      </c>
      <c r="I2603" s="6" t="s">
        <v>14</v>
      </c>
      <c r="J2603" s="6" t="s">
        <v>1120</v>
      </c>
      <c r="K2603" s="6">
        <v>6945</v>
      </c>
      <c r="L2603" s="7" t="s">
        <v>3603</v>
      </c>
      <c r="M2603" s="8">
        <v>1010950</v>
      </c>
      <c r="N2603" s="8" t="str">
        <f t="shared" si="201"/>
        <v>PEN</v>
      </c>
      <c r="O2603" s="13">
        <v>68</v>
      </c>
      <c r="P2603" s="13"/>
      <c r="Q2603" s="3">
        <f t="shared" si="202"/>
        <v>0</v>
      </c>
      <c r="R2603" s="3">
        <f t="shared" si="203"/>
        <v>0</v>
      </c>
      <c r="S2603" s="3">
        <f t="shared" si="204"/>
        <v>36118.990000000013</v>
      </c>
      <c r="T2603" s="24" t="s">
        <v>1081</v>
      </c>
      <c r="U2603" s="24" t="s">
        <v>1081</v>
      </c>
      <c r="V2603" s="69"/>
      <c r="W2603" s="25">
        <f>IFERROR(VLOOKUP(BCP_Soles[[#This Row],[DESTINATARIO]],CHOOSE({1,2},Clientes_Proveedores[Razon Social],Clientes_Proveedores[Ruc / Dni]),2,0),"")</f>
        <v>20419158462</v>
      </c>
      <c r="X2603" s="25"/>
      <c r="Y2603" s="25"/>
      <c r="Z2603" s="25"/>
      <c r="AA2603" s="99" t="s">
        <v>3385</v>
      </c>
      <c r="AB2603" s="3" t="str">
        <f>IF(BCP_Soles[[#This Row],[FECHA]]&gt;0,TEXT(BCP_Soles[[#This Row],[FECHA]],"mmmm"),0)</f>
        <v>Julio</v>
      </c>
    </row>
    <row r="2604" spans="2:28" ht="24" x14ac:dyDescent="0.3">
      <c r="B2604" s="2" t="str">
        <f>IF(BCP_Soles[[#This Row],[TIPO DE R.]]="R",COUNTIFS($D$4:$D2603,"R")+1,"")</f>
        <v/>
      </c>
      <c r="C2604" s="19" t="str">
        <f t="shared" si="200"/>
        <v>B-BCP - Soles</v>
      </c>
      <c r="D2604" s="3" t="s">
        <v>1101</v>
      </c>
      <c r="E2604" s="14">
        <v>45849</v>
      </c>
      <c r="F2604" s="5" t="s">
        <v>2898</v>
      </c>
      <c r="G2604" s="5"/>
      <c r="H2604" s="6" t="s">
        <v>214</v>
      </c>
      <c r="I2604" s="6" t="s">
        <v>14</v>
      </c>
      <c r="J2604" s="6" t="s">
        <v>1120</v>
      </c>
      <c r="K2604" s="6">
        <v>6944</v>
      </c>
      <c r="L2604" s="7" t="s">
        <v>3603</v>
      </c>
      <c r="M2604" s="8">
        <v>1010950</v>
      </c>
      <c r="N2604" s="8" t="str">
        <f t="shared" si="201"/>
        <v>PEN</v>
      </c>
      <c r="O2604" s="13">
        <v>52</v>
      </c>
      <c r="P2604" s="13"/>
      <c r="Q2604" s="3">
        <f t="shared" si="202"/>
        <v>0</v>
      </c>
      <c r="R2604" s="3">
        <f t="shared" si="203"/>
        <v>0</v>
      </c>
      <c r="S2604" s="3">
        <f t="shared" si="204"/>
        <v>36118.990000000013</v>
      </c>
      <c r="T2604" s="24" t="s">
        <v>1081</v>
      </c>
      <c r="U2604" s="24" t="s">
        <v>1081</v>
      </c>
      <c r="V2604" s="69"/>
      <c r="W2604" s="25">
        <f>IFERROR(VLOOKUP(BCP_Soles[[#This Row],[DESTINATARIO]],CHOOSE({1,2},Clientes_Proveedores[Razon Social],Clientes_Proveedores[Ruc / Dni]),2,0),"")</f>
        <v>20419158462</v>
      </c>
      <c r="X2604" s="25"/>
      <c r="Y2604" s="25"/>
      <c r="Z2604" s="25"/>
      <c r="AA2604" s="99" t="s">
        <v>3385</v>
      </c>
      <c r="AB2604" s="3" t="str">
        <f>IF(BCP_Soles[[#This Row],[FECHA]]&gt;0,TEXT(BCP_Soles[[#This Row],[FECHA]],"mmmm"),0)</f>
        <v>Julio</v>
      </c>
    </row>
    <row r="2605" spans="2:28" ht="24" x14ac:dyDescent="0.3">
      <c r="B2605" s="2" t="str">
        <f>IF(BCP_Soles[[#This Row],[TIPO DE R.]]="R",COUNTIFS($D$4:$D2604,"R")+1,"")</f>
        <v/>
      </c>
      <c r="C2605" s="19" t="str">
        <f t="shared" si="200"/>
        <v>B-BCP - Soles</v>
      </c>
      <c r="D2605" s="3" t="s">
        <v>1101</v>
      </c>
      <c r="E2605" s="14">
        <v>45849</v>
      </c>
      <c r="F2605" s="5" t="s">
        <v>2898</v>
      </c>
      <c r="G2605" s="5"/>
      <c r="H2605" s="6" t="s">
        <v>214</v>
      </c>
      <c r="I2605" s="6" t="s">
        <v>14</v>
      </c>
      <c r="J2605" s="6" t="s">
        <v>1120</v>
      </c>
      <c r="K2605" s="6">
        <v>6940</v>
      </c>
      <c r="L2605" s="7" t="s">
        <v>3603</v>
      </c>
      <c r="M2605" s="8">
        <v>1010950</v>
      </c>
      <c r="N2605" s="8" t="str">
        <f t="shared" si="201"/>
        <v>PEN</v>
      </c>
      <c r="O2605" s="13">
        <v>75</v>
      </c>
      <c r="P2605" s="13"/>
      <c r="Q2605" s="3">
        <f t="shared" si="202"/>
        <v>0</v>
      </c>
      <c r="R2605" s="3">
        <f t="shared" si="203"/>
        <v>0</v>
      </c>
      <c r="S2605" s="3">
        <f t="shared" si="204"/>
        <v>36118.990000000013</v>
      </c>
      <c r="T2605" s="24" t="s">
        <v>1081</v>
      </c>
      <c r="U2605" s="24" t="s">
        <v>1081</v>
      </c>
      <c r="V2605" s="69"/>
      <c r="W2605" s="25">
        <f>IFERROR(VLOOKUP(BCP_Soles[[#This Row],[DESTINATARIO]],CHOOSE({1,2},Clientes_Proveedores[Razon Social],Clientes_Proveedores[Ruc / Dni]),2,0),"")</f>
        <v>20419158462</v>
      </c>
      <c r="X2605" s="25"/>
      <c r="Y2605" s="25"/>
      <c r="Z2605" s="25"/>
      <c r="AA2605" s="99" t="s">
        <v>3385</v>
      </c>
      <c r="AB2605" s="3" t="str">
        <f>IF(BCP_Soles[[#This Row],[FECHA]]&gt;0,TEXT(BCP_Soles[[#This Row],[FECHA]],"mmmm"),0)</f>
        <v>Julio</v>
      </c>
    </row>
    <row r="2606" spans="2:28" ht="24" x14ac:dyDescent="0.3">
      <c r="B2606" s="2" t="str">
        <f>IF(BCP_Soles[[#This Row],[TIPO DE R.]]="R",COUNTIFS($D$4:$D2605,"R")+1,"")</f>
        <v/>
      </c>
      <c r="C2606" s="19" t="str">
        <f t="shared" si="200"/>
        <v>B-BCP - Soles</v>
      </c>
      <c r="D2606" s="3" t="s">
        <v>1101</v>
      </c>
      <c r="E2606" s="14">
        <v>45849</v>
      </c>
      <c r="F2606" s="5" t="s">
        <v>2898</v>
      </c>
      <c r="G2606" s="5"/>
      <c r="H2606" s="6" t="s">
        <v>214</v>
      </c>
      <c r="I2606" s="6" t="s">
        <v>14</v>
      </c>
      <c r="J2606" s="6" t="s">
        <v>1120</v>
      </c>
      <c r="K2606" s="6">
        <v>6946</v>
      </c>
      <c r="L2606" s="7" t="s">
        <v>3603</v>
      </c>
      <c r="M2606" s="8">
        <v>1010950</v>
      </c>
      <c r="N2606" s="8" t="str">
        <f t="shared" si="201"/>
        <v>PEN</v>
      </c>
      <c r="O2606" s="13">
        <v>105</v>
      </c>
      <c r="P2606" s="13"/>
      <c r="Q2606" s="3">
        <f t="shared" si="202"/>
        <v>0</v>
      </c>
      <c r="R2606" s="3">
        <f t="shared" si="203"/>
        <v>0</v>
      </c>
      <c r="S2606" s="3">
        <f t="shared" si="204"/>
        <v>36118.990000000013</v>
      </c>
      <c r="T2606" s="24" t="s">
        <v>1081</v>
      </c>
      <c r="U2606" s="24" t="s">
        <v>1081</v>
      </c>
      <c r="V2606" s="69"/>
      <c r="W2606" s="25">
        <f>IFERROR(VLOOKUP(BCP_Soles[[#This Row],[DESTINATARIO]],CHOOSE({1,2},Clientes_Proveedores[Razon Social],Clientes_Proveedores[Ruc / Dni]),2,0),"")</f>
        <v>20419158462</v>
      </c>
      <c r="X2606" s="25"/>
      <c r="Y2606" s="25"/>
      <c r="Z2606" s="25"/>
      <c r="AA2606" s="99" t="s">
        <v>3385</v>
      </c>
      <c r="AB2606" s="3" t="str">
        <f>IF(BCP_Soles[[#This Row],[FECHA]]&gt;0,TEXT(BCP_Soles[[#This Row],[FECHA]],"mmmm"),0)</f>
        <v>Julio</v>
      </c>
    </row>
    <row r="2607" spans="2:28" ht="24" x14ac:dyDescent="0.3">
      <c r="B2607" s="2" t="str">
        <f>IF(BCP_Soles[[#This Row],[TIPO DE R.]]="R",COUNTIFS($D$4:$D2606,"R")+1,"")</f>
        <v/>
      </c>
      <c r="C2607" s="19" t="str">
        <f t="shared" si="200"/>
        <v>B-BCP - Soles</v>
      </c>
      <c r="D2607" s="3" t="s">
        <v>1101</v>
      </c>
      <c r="E2607" s="14">
        <v>45849</v>
      </c>
      <c r="F2607" s="5" t="s">
        <v>2898</v>
      </c>
      <c r="G2607" s="5"/>
      <c r="H2607" s="6" t="s">
        <v>214</v>
      </c>
      <c r="I2607" s="6" t="s">
        <v>14</v>
      </c>
      <c r="J2607" s="6" t="s">
        <v>1120</v>
      </c>
      <c r="K2607" s="6">
        <v>6941</v>
      </c>
      <c r="L2607" s="7" t="s">
        <v>3603</v>
      </c>
      <c r="M2607" s="8">
        <v>1010950</v>
      </c>
      <c r="N2607" s="8" t="str">
        <f t="shared" si="201"/>
        <v>PEN</v>
      </c>
      <c r="O2607" s="13">
        <v>7</v>
      </c>
      <c r="P2607" s="13"/>
      <c r="Q2607" s="3">
        <f t="shared" si="202"/>
        <v>0</v>
      </c>
      <c r="R2607" s="3">
        <f t="shared" si="203"/>
        <v>0</v>
      </c>
      <c r="S2607" s="3">
        <f t="shared" si="204"/>
        <v>36118.990000000013</v>
      </c>
      <c r="T2607" s="24" t="s">
        <v>1081</v>
      </c>
      <c r="U2607" s="24" t="s">
        <v>1081</v>
      </c>
      <c r="V2607" s="69"/>
      <c r="W2607" s="25">
        <f>IFERROR(VLOOKUP(BCP_Soles[[#This Row],[DESTINATARIO]],CHOOSE({1,2},Clientes_Proveedores[Razon Social],Clientes_Proveedores[Ruc / Dni]),2,0),"")</f>
        <v>20419158462</v>
      </c>
      <c r="X2607" s="25"/>
      <c r="Y2607" s="25"/>
      <c r="Z2607" s="25"/>
      <c r="AA2607" s="99" t="s">
        <v>3385</v>
      </c>
      <c r="AB2607" s="3" t="str">
        <f>IF(BCP_Soles[[#This Row],[FECHA]]&gt;0,TEXT(BCP_Soles[[#This Row],[FECHA]],"mmmm"),0)</f>
        <v>Julio</v>
      </c>
    </row>
    <row r="2608" spans="2:28" ht="24" x14ac:dyDescent="0.3">
      <c r="B2608" s="2" t="str">
        <f>IF(BCP_Soles[[#This Row],[TIPO DE R.]]="R",COUNTIFS($D$4:$D2607,"R")+1,"")</f>
        <v/>
      </c>
      <c r="C2608" s="19" t="str">
        <f t="shared" si="200"/>
        <v>B-BCP - Soles</v>
      </c>
      <c r="D2608" s="3" t="s">
        <v>1101</v>
      </c>
      <c r="E2608" s="14">
        <v>45849</v>
      </c>
      <c r="F2608" s="5" t="s">
        <v>2898</v>
      </c>
      <c r="G2608" s="5"/>
      <c r="H2608" s="6" t="s">
        <v>214</v>
      </c>
      <c r="I2608" s="6" t="s">
        <v>14</v>
      </c>
      <c r="J2608" s="6" t="s">
        <v>1120</v>
      </c>
      <c r="K2608" s="6">
        <v>6943</v>
      </c>
      <c r="L2608" s="7" t="s">
        <v>3603</v>
      </c>
      <c r="M2608" s="8">
        <v>1010950</v>
      </c>
      <c r="N2608" s="8" t="str">
        <f t="shared" si="201"/>
        <v>PEN</v>
      </c>
      <c r="O2608" s="13">
        <v>44</v>
      </c>
      <c r="P2608" s="13"/>
      <c r="Q2608" s="3">
        <f t="shared" si="202"/>
        <v>0</v>
      </c>
      <c r="R2608" s="3">
        <f t="shared" si="203"/>
        <v>0</v>
      </c>
      <c r="S2608" s="3">
        <f t="shared" si="204"/>
        <v>36118.990000000013</v>
      </c>
      <c r="T2608" s="24" t="s">
        <v>1081</v>
      </c>
      <c r="U2608" s="24" t="s">
        <v>1081</v>
      </c>
      <c r="V2608" s="69"/>
      <c r="W2608" s="25">
        <f>IFERROR(VLOOKUP(BCP_Soles[[#This Row],[DESTINATARIO]],CHOOSE({1,2},Clientes_Proveedores[Razon Social],Clientes_Proveedores[Ruc / Dni]),2,0),"")</f>
        <v>20419158462</v>
      </c>
      <c r="X2608" s="25"/>
      <c r="Y2608" s="25"/>
      <c r="Z2608" s="25"/>
      <c r="AA2608" s="99" t="s">
        <v>3385</v>
      </c>
      <c r="AB2608" s="3" t="str">
        <f>IF(BCP_Soles[[#This Row],[FECHA]]&gt;0,TEXT(BCP_Soles[[#This Row],[FECHA]],"mmmm"),0)</f>
        <v>Julio</v>
      </c>
    </row>
    <row r="2609" spans="2:28" x14ac:dyDescent="0.3">
      <c r="B2609" s="2" t="str">
        <f>IF(BCP_Soles[[#This Row],[TIPO DE R.]]="R",COUNTIFS($D$4:$D2608,"R")+1,"")</f>
        <v/>
      </c>
      <c r="C2609" s="19" t="str">
        <f t="shared" si="200"/>
        <v>B-BCP - Soles</v>
      </c>
      <c r="D2609" s="3" t="s">
        <v>1101</v>
      </c>
      <c r="E2609" s="14">
        <v>45849</v>
      </c>
      <c r="F2609" s="5" t="s">
        <v>2898</v>
      </c>
      <c r="G2609" s="5"/>
      <c r="H2609" s="6" t="s">
        <v>139</v>
      </c>
      <c r="I2609" s="6" t="s">
        <v>14</v>
      </c>
      <c r="J2609" s="6" t="s">
        <v>1953</v>
      </c>
      <c r="K2609" s="6">
        <v>6615</v>
      </c>
      <c r="L2609" s="7" t="s">
        <v>3603</v>
      </c>
      <c r="M2609" s="8">
        <v>1010950</v>
      </c>
      <c r="N2609" s="8" t="str">
        <f t="shared" si="201"/>
        <v>PEN</v>
      </c>
      <c r="O2609" s="13">
        <v>101</v>
      </c>
      <c r="P2609" s="13"/>
      <c r="Q2609" s="3">
        <f t="shared" si="202"/>
        <v>0</v>
      </c>
      <c r="R2609" s="3">
        <f t="shared" si="203"/>
        <v>0</v>
      </c>
      <c r="S2609" s="3">
        <f t="shared" si="204"/>
        <v>36118.990000000013</v>
      </c>
      <c r="T2609" s="24" t="s">
        <v>1081</v>
      </c>
      <c r="U2609" s="24" t="s">
        <v>1081</v>
      </c>
      <c r="V2609" s="69"/>
      <c r="W2609" s="25">
        <f>IFERROR(VLOOKUP(BCP_Soles[[#This Row],[DESTINATARIO]],CHOOSE({1,2},Clientes_Proveedores[Razon Social],Clientes_Proveedores[Ruc / Dni]),2,0),"")</f>
        <v>20100055237</v>
      </c>
      <c r="X2609" s="25"/>
      <c r="Y2609" s="25"/>
      <c r="Z2609" s="25"/>
      <c r="AA2609" s="99" t="s">
        <v>3385</v>
      </c>
      <c r="AB2609" s="3" t="str">
        <f>IF(BCP_Soles[[#This Row],[FECHA]]&gt;0,TEXT(BCP_Soles[[#This Row],[FECHA]],"mmmm"),0)</f>
        <v>Julio</v>
      </c>
    </row>
    <row r="2610" spans="2:28" x14ac:dyDescent="0.3">
      <c r="B2610" s="2" t="str">
        <f>IF(BCP_Soles[[#This Row],[TIPO DE R.]]="R",COUNTIFS($D$4:$D2609,"R")+1,"")</f>
        <v/>
      </c>
      <c r="C2610" s="19" t="str">
        <f t="shared" si="200"/>
        <v>B-BCP - Soles</v>
      </c>
      <c r="D2610" s="3" t="s">
        <v>1101</v>
      </c>
      <c r="E2610" s="14">
        <v>45849</v>
      </c>
      <c r="F2610" s="5" t="s">
        <v>2898</v>
      </c>
      <c r="G2610" s="5"/>
      <c r="H2610" s="6" t="s">
        <v>139</v>
      </c>
      <c r="I2610" s="6" t="s">
        <v>14</v>
      </c>
      <c r="J2610" s="6" t="s">
        <v>1953</v>
      </c>
      <c r="K2610" s="6">
        <v>6616</v>
      </c>
      <c r="L2610" s="7" t="s">
        <v>3603</v>
      </c>
      <c r="M2610" s="8">
        <v>1010950</v>
      </c>
      <c r="N2610" s="8" t="str">
        <f t="shared" si="201"/>
        <v>PEN</v>
      </c>
      <c r="O2610" s="13">
        <v>30</v>
      </c>
      <c r="P2610" s="13"/>
      <c r="Q2610" s="3">
        <f t="shared" si="202"/>
        <v>0</v>
      </c>
      <c r="R2610" s="3">
        <f t="shared" si="203"/>
        <v>0</v>
      </c>
      <c r="S2610" s="3">
        <f t="shared" si="204"/>
        <v>36118.990000000013</v>
      </c>
      <c r="T2610" s="24" t="s">
        <v>1081</v>
      </c>
      <c r="U2610" s="24" t="s">
        <v>1081</v>
      </c>
      <c r="V2610" s="69"/>
      <c r="W2610" s="25">
        <f>IFERROR(VLOOKUP(BCP_Soles[[#This Row],[DESTINATARIO]],CHOOSE({1,2},Clientes_Proveedores[Razon Social],Clientes_Proveedores[Ruc / Dni]),2,0),"")</f>
        <v>20100055237</v>
      </c>
      <c r="X2610" s="25"/>
      <c r="Y2610" s="25"/>
      <c r="Z2610" s="25"/>
      <c r="AA2610" s="99" t="s">
        <v>3385</v>
      </c>
      <c r="AB2610" s="3" t="str">
        <f>IF(BCP_Soles[[#This Row],[FECHA]]&gt;0,TEXT(BCP_Soles[[#This Row],[FECHA]],"mmmm"),0)</f>
        <v>Julio</v>
      </c>
    </row>
    <row r="2611" spans="2:28" x14ac:dyDescent="0.3">
      <c r="B2611" s="2" t="str">
        <f>IF(BCP_Soles[[#This Row],[TIPO DE R.]]="R",COUNTIFS($D$4:$D2610,"R")+1,"")</f>
        <v/>
      </c>
      <c r="C2611" s="19" t="str">
        <f t="shared" si="200"/>
        <v>B-BCP - Soles</v>
      </c>
      <c r="D2611" s="3" t="s">
        <v>1101</v>
      </c>
      <c r="E2611" s="14">
        <v>45849</v>
      </c>
      <c r="F2611" s="5" t="s">
        <v>2898</v>
      </c>
      <c r="G2611" s="5"/>
      <c r="H2611" s="6" t="s">
        <v>139</v>
      </c>
      <c r="I2611" s="6" t="s">
        <v>14</v>
      </c>
      <c r="J2611" s="6" t="s">
        <v>1953</v>
      </c>
      <c r="K2611" s="6">
        <v>6617</v>
      </c>
      <c r="L2611" s="7" t="s">
        <v>3603</v>
      </c>
      <c r="M2611" s="8">
        <v>1010950</v>
      </c>
      <c r="N2611" s="8" t="str">
        <f t="shared" si="201"/>
        <v>PEN</v>
      </c>
      <c r="O2611" s="13">
        <v>59</v>
      </c>
      <c r="P2611" s="13"/>
      <c r="Q2611" s="3">
        <f t="shared" si="202"/>
        <v>0</v>
      </c>
      <c r="R2611" s="3">
        <f t="shared" si="203"/>
        <v>0</v>
      </c>
      <c r="S2611" s="3">
        <f t="shared" si="204"/>
        <v>36118.990000000013</v>
      </c>
      <c r="T2611" s="24" t="s">
        <v>1081</v>
      </c>
      <c r="U2611" s="24" t="s">
        <v>1081</v>
      </c>
      <c r="V2611" s="69"/>
      <c r="W2611" s="25">
        <f>IFERROR(VLOOKUP(BCP_Soles[[#This Row],[DESTINATARIO]],CHOOSE({1,2},Clientes_Proveedores[Razon Social],Clientes_Proveedores[Ruc / Dni]),2,0),"")</f>
        <v>20100055237</v>
      </c>
      <c r="X2611" s="25"/>
      <c r="Y2611" s="25"/>
      <c r="Z2611" s="25"/>
      <c r="AA2611" s="99" t="s">
        <v>3385</v>
      </c>
      <c r="AB2611" s="3" t="str">
        <f>IF(BCP_Soles[[#This Row],[FECHA]]&gt;0,TEXT(BCP_Soles[[#This Row],[FECHA]],"mmmm"),0)</f>
        <v>Julio</v>
      </c>
    </row>
    <row r="2612" spans="2:28" x14ac:dyDescent="0.3">
      <c r="B2612" s="2" t="str">
        <f>IF(BCP_Soles[[#This Row],[TIPO DE R.]]="R",COUNTIFS($D$4:$D2611,"R")+1,"")</f>
        <v/>
      </c>
      <c r="C2612" s="19" t="str">
        <f t="shared" si="200"/>
        <v>B-BCP - Soles</v>
      </c>
      <c r="D2612" s="3" t="s">
        <v>1101</v>
      </c>
      <c r="E2612" s="14">
        <v>45849</v>
      </c>
      <c r="F2612" s="5" t="s">
        <v>2898</v>
      </c>
      <c r="G2612" s="5"/>
      <c r="H2612" s="6" t="s">
        <v>139</v>
      </c>
      <c r="I2612" s="6" t="s">
        <v>14</v>
      </c>
      <c r="J2612" s="6" t="s">
        <v>1953</v>
      </c>
      <c r="K2612" s="6">
        <v>6619</v>
      </c>
      <c r="L2612" s="7" t="s">
        <v>3603</v>
      </c>
      <c r="M2612" s="8">
        <v>1010950</v>
      </c>
      <c r="N2612" s="8" t="str">
        <f t="shared" si="201"/>
        <v>PEN</v>
      </c>
      <c r="O2612" s="13">
        <v>2</v>
      </c>
      <c r="P2612" s="13"/>
      <c r="Q2612" s="3">
        <f t="shared" si="202"/>
        <v>0</v>
      </c>
      <c r="R2612" s="3">
        <f t="shared" si="203"/>
        <v>0</v>
      </c>
      <c r="S2612" s="3">
        <f t="shared" si="204"/>
        <v>36118.990000000013</v>
      </c>
      <c r="T2612" s="24" t="s">
        <v>1081</v>
      </c>
      <c r="U2612" s="24" t="s">
        <v>1081</v>
      </c>
      <c r="V2612" s="69"/>
      <c r="W2612" s="25">
        <f>IFERROR(VLOOKUP(BCP_Soles[[#This Row],[DESTINATARIO]],CHOOSE({1,2},Clientes_Proveedores[Razon Social],Clientes_Proveedores[Ruc / Dni]),2,0),"")</f>
        <v>20100055237</v>
      </c>
      <c r="X2612" s="25"/>
      <c r="Y2612" s="25"/>
      <c r="Z2612" s="25"/>
      <c r="AA2612" s="99" t="s">
        <v>3385</v>
      </c>
      <c r="AB2612" s="3" t="str">
        <f>IF(BCP_Soles[[#This Row],[FECHA]]&gt;0,TEXT(BCP_Soles[[#This Row],[FECHA]],"mmmm"),0)</f>
        <v>Julio</v>
      </c>
    </row>
    <row r="2613" spans="2:28" x14ac:dyDescent="0.3">
      <c r="B2613" s="2" t="str">
        <f>IF(BCP_Soles[[#This Row],[TIPO DE R.]]="R",COUNTIFS($D$4:$D2612,"R")+1,"")</f>
        <v/>
      </c>
      <c r="C2613" s="19" t="str">
        <f t="shared" si="200"/>
        <v>B-BCP - Soles</v>
      </c>
      <c r="D2613" s="3" t="s">
        <v>1101</v>
      </c>
      <c r="E2613" s="14">
        <v>45849</v>
      </c>
      <c r="F2613" s="5" t="s">
        <v>2898</v>
      </c>
      <c r="G2613" s="5"/>
      <c r="H2613" s="6" t="s">
        <v>139</v>
      </c>
      <c r="I2613" s="6" t="s">
        <v>14</v>
      </c>
      <c r="J2613" s="6" t="s">
        <v>1953</v>
      </c>
      <c r="K2613" s="6">
        <v>6620</v>
      </c>
      <c r="L2613" s="7" t="s">
        <v>3603</v>
      </c>
      <c r="M2613" s="8">
        <v>1010950</v>
      </c>
      <c r="N2613" s="8" t="str">
        <f t="shared" si="201"/>
        <v>PEN</v>
      </c>
      <c r="O2613" s="13">
        <v>76</v>
      </c>
      <c r="P2613" s="13"/>
      <c r="Q2613" s="3">
        <f t="shared" si="202"/>
        <v>0</v>
      </c>
      <c r="R2613" s="3">
        <f t="shared" si="203"/>
        <v>0</v>
      </c>
      <c r="S2613" s="3">
        <f t="shared" si="204"/>
        <v>36118.990000000013</v>
      </c>
      <c r="T2613" s="24" t="s">
        <v>1081</v>
      </c>
      <c r="U2613" s="24" t="s">
        <v>1081</v>
      </c>
      <c r="V2613" s="69"/>
      <c r="W2613" s="25">
        <f>IFERROR(VLOOKUP(BCP_Soles[[#This Row],[DESTINATARIO]],CHOOSE({1,2},Clientes_Proveedores[Razon Social],Clientes_Proveedores[Ruc / Dni]),2,0),"")</f>
        <v>20100055237</v>
      </c>
      <c r="X2613" s="25"/>
      <c r="Y2613" s="25"/>
      <c r="Z2613" s="25"/>
      <c r="AA2613" s="99" t="s">
        <v>3385</v>
      </c>
      <c r="AB2613" s="3" t="str">
        <f>IF(BCP_Soles[[#This Row],[FECHA]]&gt;0,TEXT(BCP_Soles[[#This Row],[FECHA]],"mmmm"),0)</f>
        <v>Julio</v>
      </c>
    </row>
    <row r="2614" spans="2:28" x14ac:dyDescent="0.3">
      <c r="B2614" s="2" t="str">
        <f>IF(BCP_Soles[[#This Row],[TIPO DE R.]]="R",COUNTIFS($D$4:$D2613,"R")+1,"")</f>
        <v/>
      </c>
      <c r="C2614" s="19" t="str">
        <f t="shared" si="200"/>
        <v>B-BCP - Soles</v>
      </c>
      <c r="D2614" s="3" t="s">
        <v>1101</v>
      </c>
      <c r="E2614" s="14">
        <v>45849</v>
      </c>
      <c r="F2614" s="5" t="s">
        <v>2898</v>
      </c>
      <c r="G2614" s="5"/>
      <c r="H2614" s="6" t="s">
        <v>139</v>
      </c>
      <c r="I2614" s="6" t="s">
        <v>14</v>
      </c>
      <c r="J2614" s="6" t="s">
        <v>1953</v>
      </c>
      <c r="K2614" s="6">
        <v>6621</v>
      </c>
      <c r="L2614" s="7" t="s">
        <v>3603</v>
      </c>
      <c r="M2614" s="8">
        <v>1010950</v>
      </c>
      <c r="N2614" s="8" t="str">
        <f t="shared" si="201"/>
        <v>PEN</v>
      </c>
      <c r="O2614" s="13">
        <v>6</v>
      </c>
      <c r="P2614" s="13"/>
      <c r="Q2614" s="3">
        <f t="shared" si="202"/>
        <v>0</v>
      </c>
      <c r="R2614" s="3">
        <f t="shared" si="203"/>
        <v>0</v>
      </c>
      <c r="S2614" s="3">
        <f t="shared" si="204"/>
        <v>36118.990000000013</v>
      </c>
      <c r="T2614" s="24" t="s">
        <v>1081</v>
      </c>
      <c r="U2614" s="24" t="s">
        <v>1081</v>
      </c>
      <c r="V2614" s="69"/>
      <c r="W2614" s="25">
        <f>IFERROR(VLOOKUP(BCP_Soles[[#This Row],[DESTINATARIO]],CHOOSE({1,2},Clientes_Proveedores[Razon Social],Clientes_Proveedores[Ruc / Dni]),2,0),"")</f>
        <v>20100055237</v>
      </c>
      <c r="X2614" s="25"/>
      <c r="Y2614" s="25"/>
      <c r="Z2614" s="25"/>
      <c r="AA2614" s="99" t="s">
        <v>3385</v>
      </c>
      <c r="AB2614" s="3" t="str">
        <f>IF(BCP_Soles[[#This Row],[FECHA]]&gt;0,TEXT(BCP_Soles[[#This Row],[FECHA]],"mmmm"),0)</f>
        <v>Julio</v>
      </c>
    </row>
    <row r="2615" spans="2:28" x14ac:dyDescent="0.3">
      <c r="B2615" s="2" t="str">
        <f>IF(BCP_Soles[[#This Row],[TIPO DE R.]]="R",COUNTIFS($D$4:$D2614,"R")+1,"")</f>
        <v/>
      </c>
      <c r="C2615" s="19" t="str">
        <f t="shared" si="200"/>
        <v>B-BCP - Soles</v>
      </c>
      <c r="D2615" s="3" t="s">
        <v>1101</v>
      </c>
      <c r="E2615" s="14">
        <v>45849</v>
      </c>
      <c r="F2615" s="5" t="s">
        <v>2898</v>
      </c>
      <c r="G2615" s="5"/>
      <c r="H2615" s="6" t="s">
        <v>139</v>
      </c>
      <c r="I2615" s="6" t="s">
        <v>14</v>
      </c>
      <c r="J2615" s="6" t="s">
        <v>1953</v>
      </c>
      <c r="K2615" s="6">
        <v>6618</v>
      </c>
      <c r="L2615" s="7" t="s">
        <v>3603</v>
      </c>
      <c r="M2615" s="8">
        <v>1010950</v>
      </c>
      <c r="N2615" s="8" t="str">
        <f t="shared" si="201"/>
        <v>PEN</v>
      </c>
      <c r="O2615" s="13">
        <v>12</v>
      </c>
      <c r="P2615" s="13"/>
      <c r="Q2615" s="3">
        <f t="shared" si="202"/>
        <v>0</v>
      </c>
      <c r="R2615" s="3">
        <f t="shared" si="203"/>
        <v>0</v>
      </c>
      <c r="S2615" s="3">
        <f t="shared" si="204"/>
        <v>36118.990000000013</v>
      </c>
      <c r="T2615" s="24" t="s">
        <v>1081</v>
      </c>
      <c r="U2615" s="24" t="s">
        <v>1081</v>
      </c>
      <c r="V2615" s="69"/>
      <c r="W2615" s="25">
        <f>IFERROR(VLOOKUP(BCP_Soles[[#This Row],[DESTINATARIO]],CHOOSE({1,2},Clientes_Proveedores[Razon Social],Clientes_Proveedores[Ruc / Dni]),2,0),"")</f>
        <v>20100055237</v>
      </c>
      <c r="X2615" s="25"/>
      <c r="Y2615" s="25"/>
      <c r="Z2615" s="25"/>
      <c r="AA2615" s="99" t="s">
        <v>3385</v>
      </c>
      <c r="AB2615" s="3" t="str">
        <f>IF(BCP_Soles[[#This Row],[FECHA]]&gt;0,TEXT(BCP_Soles[[#This Row],[FECHA]],"mmmm"),0)</f>
        <v>Julio</v>
      </c>
    </row>
    <row r="2616" spans="2:28" ht="24" x14ac:dyDescent="0.3">
      <c r="B2616" s="2" t="str">
        <f>IF(BCP_Soles[[#This Row],[TIPO DE R.]]="R",COUNTIFS($D$4:$D2615,"R")+1,"")</f>
        <v/>
      </c>
      <c r="C2616" s="19" t="str">
        <f t="shared" si="200"/>
        <v>B-BCP - Soles</v>
      </c>
      <c r="D2616" s="3" t="s">
        <v>1101</v>
      </c>
      <c r="E2616" s="14">
        <v>45849</v>
      </c>
      <c r="F2616" s="5" t="s">
        <v>2898</v>
      </c>
      <c r="G2616" s="5"/>
      <c r="H2616" s="6" t="s">
        <v>214</v>
      </c>
      <c r="I2616" s="6" t="s">
        <v>14</v>
      </c>
      <c r="J2616" s="6" t="s">
        <v>1120</v>
      </c>
      <c r="K2616" s="6">
        <v>6922</v>
      </c>
      <c r="L2616" s="7" t="s">
        <v>3603</v>
      </c>
      <c r="M2616" s="8">
        <v>1010950</v>
      </c>
      <c r="N2616" s="8" t="str">
        <f t="shared" si="201"/>
        <v>PEN</v>
      </c>
      <c r="O2616" s="13">
        <v>104</v>
      </c>
      <c r="P2616" s="13"/>
      <c r="Q2616" s="3">
        <f t="shared" si="202"/>
        <v>0</v>
      </c>
      <c r="R2616" s="3">
        <f t="shared" si="203"/>
        <v>0</v>
      </c>
      <c r="S2616" s="3">
        <f t="shared" si="204"/>
        <v>36118.990000000013</v>
      </c>
      <c r="T2616" s="24" t="s">
        <v>1081</v>
      </c>
      <c r="U2616" s="24" t="s">
        <v>1081</v>
      </c>
      <c r="V2616" s="69"/>
      <c r="W2616" s="25">
        <f>IFERROR(VLOOKUP(BCP_Soles[[#This Row],[DESTINATARIO]],CHOOSE({1,2},Clientes_Proveedores[Razon Social],Clientes_Proveedores[Ruc / Dni]),2,0),"")</f>
        <v>20419158462</v>
      </c>
      <c r="X2616" s="25"/>
      <c r="Y2616" s="25"/>
      <c r="Z2616" s="25"/>
      <c r="AA2616" s="99" t="s">
        <v>3385</v>
      </c>
      <c r="AB2616" s="3" t="str">
        <f>IF(BCP_Soles[[#This Row],[FECHA]]&gt;0,TEXT(BCP_Soles[[#This Row],[FECHA]],"mmmm"),0)</f>
        <v>Julio</v>
      </c>
    </row>
    <row r="2617" spans="2:28" ht="24" x14ac:dyDescent="0.3">
      <c r="B2617" s="2" t="str">
        <f>IF(BCP_Soles[[#This Row],[TIPO DE R.]]="R",COUNTIFS($D$4:$D2616,"R")+1,"")</f>
        <v/>
      </c>
      <c r="C2617" s="19" t="str">
        <f t="shared" si="200"/>
        <v>B-BCP - Soles</v>
      </c>
      <c r="D2617" s="3" t="s">
        <v>1101</v>
      </c>
      <c r="E2617" s="14">
        <v>45849</v>
      </c>
      <c r="F2617" s="5" t="s">
        <v>2898</v>
      </c>
      <c r="G2617" s="5"/>
      <c r="H2617" s="6" t="s">
        <v>214</v>
      </c>
      <c r="I2617" s="6" t="s">
        <v>14</v>
      </c>
      <c r="J2617" s="6" t="s">
        <v>1120</v>
      </c>
      <c r="K2617" s="6">
        <v>6923</v>
      </c>
      <c r="L2617" s="7" t="s">
        <v>3603</v>
      </c>
      <c r="M2617" s="8">
        <v>1010950</v>
      </c>
      <c r="N2617" s="8" t="str">
        <f t="shared" si="201"/>
        <v>PEN</v>
      </c>
      <c r="O2617" s="13">
        <v>511</v>
      </c>
      <c r="P2617" s="13"/>
      <c r="Q2617" s="3">
        <f t="shared" si="202"/>
        <v>0</v>
      </c>
      <c r="R2617" s="3">
        <f t="shared" si="203"/>
        <v>0</v>
      </c>
      <c r="S2617" s="3">
        <f t="shared" si="204"/>
        <v>36118.990000000013</v>
      </c>
      <c r="T2617" s="24" t="s">
        <v>1081</v>
      </c>
      <c r="U2617" s="24" t="s">
        <v>1081</v>
      </c>
      <c r="V2617" s="69"/>
      <c r="W2617" s="25">
        <f>IFERROR(VLOOKUP(BCP_Soles[[#This Row],[DESTINATARIO]],CHOOSE({1,2},Clientes_Proveedores[Razon Social],Clientes_Proveedores[Ruc / Dni]),2,0),"")</f>
        <v>20419158462</v>
      </c>
      <c r="X2617" s="25"/>
      <c r="Y2617" s="25"/>
      <c r="Z2617" s="25"/>
      <c r="AA2617" s="99" t="s">
        <v>3385</v>
      </c>
      <c r="AB2617" s="3" t="str">
        <f>IF(BCP_Soles[[#This Row],[FECHA]]&gt;0,TEXT(BCP_Soles[[#This Row],[FECHA]],"mmmm"),0)</f>
        <v>Julio</v>
      </c>
    </row>
    <row r="2618" spans="2:28" ht="48" x14ac:dyDescent="0.3">
      <c r="B2618" s="2">
        <f>IF(BCP_Soles[[#This Row],[TIPO DE R.]]="R",COUNTIFS($D$4:$D2617,"R")+1,"")</f>
        <v>1949</v>
      </c>
      <c r="C2618" s="19" t="str">
        <f t="shared" si="200"/>
        <v>B-BCP - Soles</v>
      </c>
      <c r="D2618" s="3" t="s">
        <v>1074</v>
      </c>
      <c r="E2618" s="14">
        <v>45852</v>
      </c>
      <c r="F2618" s="5" t="s">
        <v>448</v>
      </c>
      <c r="G2618" s="5" t="s">
        <v>1087</v>
      </c>
      <c r="H2618" s="6" t="s">
        <v>368</v>
      </c>
      <c r="I2618" s="6" t="s">
        <v>14</v>
      </c>
      <c r="J2618" s="6" t="s">
        <v>3091</v>
      </c>
      <c r="K2618" s="6">
        <v>44</v>
      </c>
      <c r="L2618" s="7" t="s">
        <v>1665</v>
      </c>
      <c r="M2618" s="8">
        <v>6096647</v>
      </c>
      <c r="N2618" s="8" t="str">
        <f t="shared" si="201"/>
        <v>PEN</v>
      </c>
      <c r="O2618" s="13"/>
      <c r="P2618" s="13">
        <v>2035.81</v>
      </c>
      <c r="Q2618" s="3">
        <f t="shared" si="202"/>
        <v>2035.81</v>
      </c>
      <c r="R2618" s="3">
        <f t="shared" si="203"/>
        <v>0</v>
      </c>
      <c r="S2618" s="3">
        <f t="shared" si="204"/>
        <v>38154.80000000001</v>
      </c>
      <c r="T2618" s="24" t="s">
        <v>1081</v>
      </c>
      <c r="U2618" s="24" t="s">
        <v>1081</v>
      </c>
      <c r="V2618" s="69"/>
      <c r="W2618" s="25">
        <f>IFERROR(VLOOKUP(BCP_Soles[[#This Row],[DESTINATARIO]],CHOOSE({1,2},Clientes_Proveedores[Razon Social],Clientes_Proveedores[Ruc / Dni]),2,0),"")</f>
        <v>20558226979</v>
      </c>
      <c r="X2618" s="25"/>
      <c r="Y2618" s="25"/>
      <c r="Z2618" s="25"/>
      <c r="AA2618" s="99"/>
      <c r="AB2618" s="3" t="str">
        <f>IF(BCP_Soles[[#This Row],[FECHA]]&gt;0,TEXT(BCP_Soles[[#This Row],[FECHA]],"mmmm"),0)</f>
        <v>Julio</v>
      </c>
    </row>
    <row r="2619" spans="2:28" x14ac:dyDescent="0.3">
      <c r="B2619" s="2">
        <f>IF(BCP_Soles[[#This Row],[TIPO DE R.]]="R",COUNTIFS($D$4:$D2618,"R")+1,"")</f>
        <v>1950</v>
      </c>
      <c r="C2619" s="19" t="str">
        <f t="shared" si="200"/>
        <v>B-BCP - Soles</v>
      </c>
      <c r="D2619" s="3" t="s">
        <v>1074</v>
      </c>
      <c r="E2619" s="14">
        <v>45852</v>
      </c>
      <c r="F2619" s="5"/>
      <c r="G2619" s="5" t="s">
        <v>1087</v>
      </c>
      <c r="H2619" s="6" t="s">
        <v>368</v>
      </c>
      <c r="I2619" s="6"/>
      <c r="J2619" s="6"/>
      <c r="K2619" s="6"/>
      <c r="L2619" s="7" t="s">
        <v>1100</v>
      </c>
      <c r="M2619" s="8">
        <v>1006822</v>
      </c>
      <c r="N2619" s="8" t="str">
        <f t="shared" si="201"/>
        <v>PEN</v>
      </c>
      <c r="O2619" s="13"/>
      <c r="P2619" s="13">
        <v>225</v>
      </c>
      <c r="Q2619" s="3">
        <f t="shared" si="202"/>
        <v>225</v>
      </c>
      <c r="R2619" s="3">
        <f t="shared" si="203"/>
        <v>0</v>
      </c>
      <c r="S2619" s="3">
        <f t="shared" si="204"/>
        <v>38379.80000000001</v>
      </c>
      <c r="T2619" s="24"/>
      <c r="U2619" s="24"/>
      <c r="V2619" s="69"/>
      <c r="W2619" s="25">
        <f>IFERROR(VLOOKUP(BCP_Soles[[#This Row],[DESTINATARIO]],CHOOSE({1,2},Clientes_Proveedores[Razon Social],Clientes_Proveedores[Ruc / Dni]),2,0),"")</f>
        <v>20558226979</v>
      </c>
      <c r="X2619" s="25"/>
      <c r="Y2619" s="25"/>
      <c r="Z2619" s="25"/>
      <c r="AA2619" s="99"/>
      <c r="AB2619" s="3" t="str">
        <f>IF(BCP_Soles[[#This Row],[FECHA]]&gt;0,TEXT(BCP_Soles[[#This Row],[FECHA]],"mmmm"),0)</f>
        <v>Julio</v>
      </c>
    </row>
    <row r="2620" spans="2:28" ht="24" x14ac:dyDescent="0.3">
      <c r="B2620" s="2">
        <f>IF(BCP_Soles[[#This Row],[TIPO DE R.]]="R",COUNTIFS($D$4:$D2619,"R")+1,"")</f>
        <v>1951</v>
      </c>
      <c r="C2620" s="19" t="str">
        <f t="shared" si="200"/>
        <v>B-BCP - Soles</v>
      </c>
      <c r="D2620" s="3" t="s">
        <v>1074</v>
      </c>
      <c r="E2620" s="14">
        <v>45852</v>
      </c>
      <c r="F2620" s="5" t="s">
        <v>1075</v>
      </c>
      <c r="G2620" s="5" t="s">
        <v>1079</v>
      </c>
      <c r="H2620" s="6" t="s">
        <v>938</v>
      </c>
      <c r="I2620" s="6" t="s">
        <v>87</v>
      </c>
      <c r="J2620" s="6">
        <v>1</v>
      </c>
      <c r="K2620" s="6">
        <v>492025</v>
      </c>
      <c r="L2620" s="7" t="s">
        <v>3604</v>
      </c>
      <c r="M2620" s="8">
        <v>1230628</v>
      </c>
      <c r="N2620" s="8" t="str">
        <f t="shared" si="201"/>
        <v>PEN</v>
      </c>
      <c r="O2620" s="13"/>
      <c r="P2620" s="13">
        <v>520</v>
      </c>
      <c r="Q2620" s="3">
        <f t="shared" si="202"/>
        <v>0</v>
      </c>
      <c r="R2620" s="3">
        <f t="shared" si="203"/>
        <v>520</v>
      </c>
      <c r="S2620" s="3">
        <f t="shared" si="204"/>
        <v>37859.80000000001</v>
      </c>
      <c r="T2620" s="24"/>
      <c r="U2620" s="24"/>
      <c r="V2620" s="103" t="s">
        <v>3605</v>
      </c>
      <c r="W2620" s="25">
        <f>IFERROR(VLOOKUP(BCP_Soles[[#This Row],[DESTINATARIO]],CHOOSE({1,2},Clientes_Proveedores[Razon Social],Clientes_Proveedores[Ruc / Dni]),2,0),"")</f>
        <v>71334789</v>
      </c>
      <c r="X2620" s="25"/>
      <c r="Y2620" s="25"/>
      <c r="Z2620" s="25"/>
      <c r="AA2620" s="99"/>
      <c r="AB2620" s="3" t="str">
        <f>IF(BCP_Soles[[#This Row],[FECHA]]&gt;0,TEXT(BCP_Soles[[#This Row],[FECHA]],"mmmm"),0)</f>
        <v>Julio</v>
      </c>
    </row>
    <row r="2621" spans="2:28" ht="24" x14ac:dyDescent="0.3">
      <c r="B2621" s="16">
        <f>IF(BCP_Soles[[#This Row],[TIPO DE R.]]="R",COUNTIFS($D$4:$D2620,"R")+1,"")</f>
        <v>1952</v>
      </c>
      <c r="C2621" s="19" t="str">
        <f t="shared" si="200"/>
        <v>B-BCP - Soles</v>
      </c>
      <c r="D2621" s="3" t="s">
        <v>1074</v>
      </c>
      <c r="E2621" s="14">
        <v>45852</v>
      </c>
      <c r="F2621" s="5" t="s">
        <v>1996</v>
      </c>
      <c r="G2621" s="5" t="s">
        <v>1079</v>
      </c>
      <c r="H2621" s="6" t="s">
        <v>697</v>
      </c>
      <c r="I2621" s="6" t="s">
        <v>14</v>
      </c>
      <c r="J2621" s="6" t="s">
        <v>1121</v>
      </c>
      <c r="K2621" s="6">
        <v>1458</v>
      </c>
      <c r="L2621" s="7" t="s">
        <v>3606</v>
      </c>
      <c r="M2621" s="8">
        <v>1228675</v>
      </c>
      <c r="N2621" s="8" t="str">
        <f t="shared" si="201"/>
        <v>PEN</v>
      </c>
      <c r="O2621" s="13"/>
      <c r="P2621" s="13">
        <v>675</v>
      </c>
      <c r="Q2621" s="3">
        <f t="shared" si="202"/>
        <v>0</v>
      </c>
      <c r="R2621" s="3">
        <f t="shared" si="203"/>
        <v>675</v>
      </c>
      <c r="S2621" s="3">
        <f t="shared" si="204"/>
        <v>37184.80000000001</v>
      </c>
      <c r="T2621" s="24" t="s">
        <v>1081</v>
      </c>
      <c r="U2621" s="24" t="s">
        <v>1081</v>
      </c>
      <c r="V2621" s="104" t="s">
        <v>3607</v>
      </c>
      <c r="W2621" s="25">
        <f>IFERROR(VLOOKUP(BCP_Soles[[#This Row],[DESTINATARIO]],CHOOSE({1,2},Clientes_Proveedores[Razon Social],Clientes_Proveedores[Ruc / Dni]),2,0),"")</f>
        <v>10450776578</v>
      </c>
      <c r="X2621" s="25"/>
      <c r="Y2621" s="25"/>
      <c r="Z2621" s="25"/>
      <c r="AA2621" s="99"/>
      <c r="AB2621" s="3" t="str">
        <f>IF(BCP_Soles[[#This Row],[FECHA]]&gt;0,TEXT(BCP_Soles[[#This Row],[FECHA]],"mmmm"),0)</f>
        <v>Julio</v>
      </c>
    </row>
    <row r="2622" spans="2:28" x14ac:dyDescent="0.3">
      <c r="B2622" s="16">
        <f>IF(BCP_Soles[[#This Row],[TIPO DE R.]]="R",COUNTIFS($D$4:$D2621,"R")+1,"")</f>
        <v>1953</v>
      </c>
      <c r="C2622" s="19" t="str">
        <f t="shared" si="200"/>
        <v>B-BCP - Soles</v>
      </c>
      <c r="D2622" s="3" t="s">
        <v>1074</v>
      </c>
      <c r="E2622" s="14">
        <v>45852</v>
      </c>
      <c r="F2622" s="5" t="s">
        <v>1078</v>
      </c>
      <c r="G2622" s="5" t="s">
        <v>1079</v>
      </c>
      <c r="H2622" s="6" t="s">
        <v>950</v>
      </c>
      <c r="I2622" s="6" t="s">
        <v>10</v>
      </c>
      <c r="J2622" s="6" t="s">
        <v>3392</v>
      </c>
      <c r="K2622" s="6">
        <v>1953</v>
      </c>
      <c r="L2622" s="7" t="s">
        <v>2868</v>
      </c>
      <c r="M2622" s="8"/>
      <c r="N2622" s="8" t="str">
        <f t="shared" si="201"/>
        <v>PEN</v>
      </c>
      <c r="O2622" s="13"/>
      <c r="P2622" s="13">
        <v>0.1</v>
      </c>
      <c r="Q2622" s="3">
        <f t="shared" si="202"/>
        <v>0</v>
      </c>
      <c r="R2622" s="3">
        <f t="shared" si="203"/>
        <v>0.1</v>
      </c>
      <c r="S2622" s="3">
        <f t="shared" si="204"/>
        <v>37184.700000000012</v>
      </c>
      <c r="T2622" s="24" t="s">
        <v>1081</v>
      </c>
      <c r="U2622" s="24"/>
      <c r="V2622" s="69"/>
      <c r="W2622" s="25">
        <f>IFERROR(VLOOKUP(BCP_Soles[[#This Row],[DESTINATARIO]],CHOOSE({1,2},Clientes_Proveedores[Razon Social],Clientes_Proveedores[Ruc / Dni]),2,0),"")</f>
        <v>11111111</v>
      </c>
      <c r="X2622" s="25"/>
      <c r="Y2622" s="25"/>
      <c r="Z2622" s="25"/>
      <c r="AA2622" s="99"/>
      <c r="AB2622" s="3" t="str">
        <f>IF(BCP_Soles[[#This Row],[FECHA]]&gt;0,TEXT(BCP_Soles[[#This Row],[FECHA]],"mmmm"),0)</f>
        <v>Julio</v>
      </c>
    </row>
    <row r="2623" spans="2:28" x14ac:dyDescent="0.3">
      <c r="B2623" s="16">
        <f>IF(BCP_Soles[[#This Row],[TIPO DE R.]]="R",COUNTIFS($D$4:$D2622,"R")+1,"")</f>
        <v>1954</v>
      </c>
      <c r="C2623" s="19" t="str">
        <f t="shared" si="200"/>
        <v>B-BCP - Soles</v>
      </c>
      <c r="D2623" s="3" t="s">
        <v>1074</v>
      </c>
      <c r="E2623" s="14">
        <v>45853</v>
      </c>
      <c r="F2623" s="5"/>
      <c r="G2623" s="5" t="s">
        <v>1087</v>
      </c>
      <c r="H2623" s="6" t="s">
        <v>368</v>
      </c>
      <c r="I2623" s="6"/>
      <c r="J2623" s="6"/>
      <c r="K2623" s="6"/>
      <c r="L2623" s="7" t="s">
        <v>1100</v>
      </c>
      <c r="M2623" s="8">
        <v>3675018</v>
      </c>
      <c r="N2623" s="8" t="str">
        <f t="shared" si="201"/>
        <v>PEN</v>
      </c>
      <c r="O2623" s="13"/>
      <c r="P2623" s="13">
        <v>7839</v>
      </c>
      <c r="Q2623" s="3">
        <f t="shared" si="202"/>
        <v>7839</v>
      </c>
      <c r="R2623" s="3">
        <f t="shared" si="203"/>
        <v>0</v>
      </c>
      <c r="S2623" s="3">
        <f t="shared" si="204"/>
        <v>45023.700000000012</v>
      </c>
      <c r="T2623" s="24" t="s">
        <v>1081</v>
      </c>
      <c r="U2623" s="24" t="s">
        <v>1081</v>
      </c>
      <c r="V2623" s="69"/>
      <c r="W2623" s="25">
        <f>IFERROR(VLOOKUP(BCP_Soles[[#This Row],[DESTINATARIO]],CHOOSE({1,2},Clientes_Proveedores[Razon Social],Clientes_Proveedores[Ruc / Dni]),2,0),"")</f>
        <v>20558226979</v>
      </c>
      <c r="X2623" s="25"/>
      <c r="Y2623" s="25"/>
      <c r="Z2623" s="25"/>
      <c r="AA2623" s="99"/>
      <c r="AB2623" s="3" t="str">
        <f>IF(BCP_Soles[[#This Row],[FECHA]]&gt;0,TEXT(BCP_Soles[[#This Row],[FECHA]],"mmmm"),0)</f>
        <v>Julio</v>
      </c>
    </row>
    <row r="2624" spans="2:28" x14ac:dyDescent="0.3">
      <c r="B2624" s="16" t="str">
        <f>IF(BCP_Soles[[#This Row],[TIPO DE R.]]="R",COUNTIFS($D$4:$D2623,"R")+1,"")</f>
        <v/>
      </c>
      <c r="C2624" s="19" t="str">
        <f t="shared" si="200"/>
        <v>B-BCP - Soles</v>
      </c>
      <c r="D2624" s="3" t="s">
        <v>1101</v>
      </c>
      <c r="E2624" s="14">
        <v>45853</v>
      </c>
      <c r="F2624" s="5" t="s">
        <v>1262</v>
      </c>
      <c r="G2624" s="5"/>
      <c r="H2624" s="6"/>
      <c r="I2624" s="6" t="s">
        <v>63</v>
      </c>
      <c r="J2624" s="6">
        <v>1</v>
      </c>
      <c r="K2624" s="6">
        <v>4568</v>
      </c>
      <c r="L2624" s="7" t="s">
        <v>1100</v>
      </c>
      <c r="M2624" s="8">
        <v>3675018</v>
      </c>
      <c r="N2624" s="8" t="str">
        <f t="shared" si="201"/>
        <v>PEN</v>
      </c>
      <c r="O2624" s="13">
        <v>2795</v>
      </c>
      <c r="P2624" s="13"/>
      <c r="Q2624" s="3">
        <f t="shared" si="202"/>
        <v>0</v>
      </c>
      <c r="R2624" s="3">
        <f t="shared" si="203"/>
        <v>0</v>
      </c>
      <c r="S2624" s="3">
        <f t="shared" si="204"/>
        <v>45023.700000000012</v>
      </c>
      <c r="T2624" s="24" t="s">
        <v>1081</v>
      </c>
      <c r="U2624" s="24" t="s">
        <v>1081</v>
      </c>
      <c r="V2624" s="69"/>
      <c r="W2624" s="25" t="str">
        <f>IFERROR(VLOOKUP(BCP_Soles[[#This Row],[DESTINATARIO]],CHOOSE({1,2},Clientes_Proveedores[Razon Social],Clientes_Proveedores[Ruc / Dni]),2,0),"")</f>
        <v/>
      </c>
      <c r="X2624" s="25"/>
      <c r="Y2624" s="25"/>
      <c r="Z2624" s="25"/>
      <c r="AA2624" s="99"/>
      <c r="AB2624" s="3" t="str">
        <f>IF(BCP_Soles[[#This Row],[FECHA]]&gt;0,TEXT(BCP_Soles[[#This Row],[FECHA]],"mmmm"),0)</f>
        <v>Julio</v>
      </c>
    </row>
    <row r="2625" spans="2:28" x14ac:dyDescent="0.3">
      <c r="B2625" s="16" t="str">
        <f>IF(BCP_Soles[[#This Row],[TIPO DE R.]]="R",COUNTIFS($D$4:$D2624,"R")+1,"")</f>
        <v/>
      </c>
      <c r="C2625" s="19" t="str">
        <f t="shared" si="200"/>
        <v>B-BCP - Soles</v>
      </c>
      <c r="D2625" s="3" t="s">
        <v>1101</v>
      </c>
      <c r="E2625" s="14">
        <v>45853</v>
      </c>
      <c r="F2625" s="5" t="s">
        <v>1262</v>
      </c>
      <c r="G2625" s="5"/>
      <c r="H2625" s="6"/>
      <c r="I2625" s="6" t="s">
        <v>63</v>
      </c>
      <c r="J2625" s="6">
        <v>1</v>
      </c>
      <c r="K2625" s="6">
        <v>4573</v>
      </c>
      <c r="L2625" s="7" t="s">
        <v>1100</v>
      </c>
      <c r="M2625" s="8">
        <v>3675018</v>
      </c>
      <c r="N2625" s="8" t="str">
        <f t="shared" si="201"/>
        <v>PEN</v>
      </c>
      <c r="O2625" s="13">
        <v>3302</v>
      </c>
      <c r="P2625" s="13"/>
      <c r="Q2625" s="3">
        <f t="shared" si="202"/>
        <v>0</v>
      </c>
      <c r="R2625" s="3">
        <f t="shared" si="203"/>
        <v>0</v>
      </c>
      <c r="S2625" s="3">
        <f t="shared" si="204"/>
        <v>45023.700000000012</v>
      </c>
      <c r="T2625" s="24" t="s">
        <v>1081</v>
      </c>
      <c r="U2625" s="24" t="s">
        <v>1081</v>
      </c>
      <c r="V2625" s="69"/>
      <c r="W2625" s="25" t="str">
        <f>IFERROR(VLOOKUP(BCP_Soles[[#This Row],[DESTINATARIO]],CHOOSE({1,2},Clientes_Proveedores[Razon Social],Clientes_Proveedores[Ruc / Dni]),2,0),"")</f>
        <v/>
      </c>
      <c r="X2625" s="25"/>
      <c r="Y2625" s="25"/>
      <c r="Z2625" s="25"/>
      <c r="AA2625" s="99"/>
      <c r="AB2625" s="3" t="str">
        <f>IF(BCP_Soles[[#This Row],[FECHA]]&gt;0,TEXT(BCP_Soles[[#This Row],[FECHA]],"mmmm"),0)</f>
        <v>Julio</v>
      </c>
    </row>
    <row r="2626" spans="2:28" x14ac:dyDescent="0.3">
      <c r="B2626" s="16" t="str">
        <f>IF(BCP_Soles[[#This Row],[TIPO DE R.]]="R",COUNTIFS($D$4:$D2625,"R")+1,"")</f>
        <v/>
      </c>
      <c r="C2626" s="19" t="str">
        <f t="shared" si="200"/>
        <v>B-BCP - Soles</v>
      </c>
      <c r="D2626" s="3" t="s">
        <v>1101</v>
      </c>
      <c r="E2626" s="14">
        <v>45853</v>
      </c>
      <c r="F2626" s="5" t="s">
        <v>1262</v>
      </c>
      <c r="G2626" s="5"/>
      <c r="H2626" s="6"/>
      <c r="I2626" s="6" t="s">
        <v>63</v>
      </c>
      <c r="J2626" s="6">
        <v>1</v>
      </c>
      <c r="K2626" s="6">
        <v>4582</v>
      </c>
      <c r="L2626" s="7" t="s">
        <v>1100</v>
      </c>
      <c r="M2626" s="8">
        <v>3675018</v>
      </c>
      <c r="N2626" s="8" t="str">
        <f t="shared" si="201"/>
        <v>PEN</v>
      </c>
      <c r="O2626" s="13">
        <v>1742</v>
      </c>
      <c r="P2626" s="13"/>
      <c r="Q2626" s="3">
        <f t="shared" si="202"/>
        <v>0</v>
      </c>
      <c r="R2626" s="3">
        <f t="shared" si="203"/>
        <v>0</v>
      </c>
      <c r="S2626" s="3">
        <f t="shared" si="204"/>
        <v>45023.700000000012</v>
      </c>
      <c r="T2626" s="24" t="s">
        <v>1081</v>
      </c>
      <c r="U2626" s="24" t="s">
        <v>1081</v>
      </c>
      <c r="V2626" s="69"/>
      <c r="W2626" s="25" t="str">
        <f>IFERROR(VLOOKUP(BCP_Soles[[#This Row],[DESTINATARIO]],CHOOSE({1,2},Clientes_Proveedores[Razon Social],Clientes_Proveedores[Ruc / Dni]),2,0),"")</f>
        <v/>
      </c>
      <c r="X2626" s="25"/>
      <c r="Y2626" s="25"/>
      <c r="Z2626" s="25"/>
      <c r="AA2626" s="99"/>
      <c r="AB2626" s="3" t="str">
        <f>IF(BCP_Soles[[#This Row],[FECHA]]&gt;0,TEXT(BCP_Soles[[#This Row],[FECHA]],"mmmm"),0)</f>
        <v>Julio</v>
      </c>
    </row>
    <row r="2627" spans="2:28" x14ac:dyDescent="0.3">
      <c r="B2627" s="16">
        <f>IF(BCP_Soles[[#This Row],[TIPO DE R.]]="R",COUNTIFS($D$4:$D2626,"R")+1,"")</f>
        <v>1955</v>
      </c>
      <c r="C2627" s="19" t="str">
        <f t="shared" si="200"/>
        <v>B-BCP - Soles</v>
      </c>
      <c r="D2627" s="3" t="s">
        <v>1074</v>
      </c>
      <c r="E2627" s="14">
        <v>45853</v>
      </c>
      <c r="F2627" s="5"/>
      <c r="G2627" s="5" t="s">
        <v>1087</v>
      </c>
      <c r="H2627" s="6" t="s">
        <v>368</v>
      </c>
      <c r="I2627" s="6"/>
      <c r="J2627" s="6"/>
      <c r="K2627" s="6"/>
      <c r="L2627" s="7" t="s">
        <v>1100</v>
      </c>
      <c r="M2627" s="8">
        <v>1781974</v>
      </c>
      <c r="N2627" s="8" t="str">
        <f t="shared" si="201"/>
        <v>PEN</v>
      </c>
      <c r="O2627" s="13"/>
      <c r="P2627" s="13">
        <v>420</v>
      </c>
      <c r="Q2627" s="3">
        <f t="shared" si="202"/>
        <v>420</v>
      </c>
      <c r="R2627" s="3">
        <f t="shared" si="203"/>
        <v>0</v>
      </c>
      <c r="S2627" s="3">
        <f t="shared" si="204"/>
        <v>45443.700000000012</v>
      </c>
      <c r="T2627" s="24"/>
      <c r="U2627" s="24"/>
      <c r="V2627" s="69"/>
      <c r="W2627" s="25">
        <f>IFERROR(VLOOKUP(BCP_Soles[[#This Row],[DESTINATARIO]],CHOOSE({1,2},Clientes_Proveedores[Razon Social],Clientes_Proveedores[Ruc / Dni]),2,0),"")</f>
        <v>20558226979</v>
      </c>
      <c r="X2627" s="25"/>
      <c r="Y2627" s="25"/>
      <c r="Z2627" s="25"/>
      <c r="AA2627" s="99"/>
      <c r="AB2627" s="3" t="str">
        <f>IF(BCP_Soles[[#This Row],[FECHA]]&gt;0,TEXT(BCP_Soles[[#This Row],[FECHA]],"mmmm"),0)</f>
        <v>Julio</v>
      </c>
    </row>
    <row r="2628" spans="2:28" x14ac:dyDescent="0.3">
      <c r="B2628" s="16">
        <f>IF(BCP_Soles[[#This Row],[TIPO DE R.]]="R",COUNTIFS($D$4:$D2627,"R")+1,"")</f>
        <v>1956</v>
      </c>
      <c r="C2628" s="19" t="str">
        <f t="shared" si="200"/>
        <v>B-BCP - Soles</v>
      </c>
      <c r="D2628" s="3" t="s">
        <v>1074</v>
      </c>
      <c r="E2628" s="14">
        <v>45853</v>
      </c>
      <c r="F2628" s="5"/>
      <c r="G2628" s="5" t="s">
        <v>1087</v>
      </c>
      <c r="H2628" s="6"/>
      <c r="I2628" s="6"/>
      <c r="J2628" s="6"/>
      <c r="K2628" s="6"/>
      <c r="L2628" s="7" t="s">
        <v>3536</v>
      </c>
      <c r="M2628" s="8">
        <v>2360480</v>
      </c>
      <c r="N2628" s="8" t="str">
        <f t="shared" si="201"/>
        <v>PEN</v>
      </c>
      <c r="O2628" s="13"/>
      <c r="P2628" s="13">
        <v>34464.1</v>
      </c>
      <c r="Q2628" s="3">
        <f t="shared" si="202"/>
        <v>34464.1</v>
      </c>
      <c r="R2628" s="3">
        <f t="shared" si="203"/>
        <v>0</v>
      </c>
      <c r="S2628" s="3">
        <f t="shared" si="204"/>
        <v>79907.800000000017</v>
      </c>
      <c r="T2628" s="24"/>
      <c r="U2628" s="24"/>
      <c r="V2628" s="69"/>
      <c r="W2628" s="25" t="str">
        <f>IFERROR(VLOOKUP(BCP_Soles[[#This Row],[DESTINATARIO]],CHOOSE({1,2},Clientes_Proveedores[Razon Social],Clientes_Proveedores[Ruc / Dni]),2,0),"")</f>
        <v/>
      </c>
      <c r="X2628" s="25"/>
      <c r="Y2628" s="25"/>
      <c r="Z2628" s="25"/>
      <c r="AA2628" s="99"/>
      <c r="AB2628" s="3" t="str">
        <f>IF(BCP_Soles[[#This Row],[FECHA]]&gt;0,TEXT(BCP_Soles[[#This Row],[FECHA]],"mmmm"),0)</f>
        <v>Julio</v>
      </c>
    </row>
    <row r="2629" spans="2:28" ht="36" x14ac:dyDescent="0.3">
      <c r="B2629" s="16">
        <f>IF(BCP_Soles[[#This Row],[TIPO DE R.]]="R",COUNTIFS($D$4:$D2628,"R")+1,"")</f>
        <v>1957</v>
      </c>
      <c r="C2629" s="19" t="str">
        <f t="shared" ref="C2629:C2692" si="205">"B-BCP - Soles"</f>
        <v>B-BCP - Soles</v>
      </c>
      <c r="D2629" s="3" t="s">
        <v>1074</v>
      </c>
      <c r="E2629" s="14">
        <v>45853</v>
      </c>
      <c r="F2629" s="5" t="s">
        <v>204</v>
      </c>
      <c r="G2629" s="5" t="s">
        <v>1087</v>
      </c>
      <c r="H2629" s="6" t="s">
        <v>368</v>
      </c>
      <c r="I2629" s="6" t="s">
        <v>14</v>
      </c>
      <c r="J2629" s="6" t="s">
        <v>3010</v>
      </c>
      <c r="K2629" s="6">
        <v>93</v>
      </c>
      <c r="L2629" s="7" t="s">
        <v>3608</v>
      </c>
      <c r="M2629" s="8">
        <v>843736</v>
      </c>
      <c r="N2629" s="8" t="str">
        <f t="shared" ref="N2629:N2692" si="206">"PEN"</f>
        <v>PEN</v>
      </c>
      <c r="O2629" s="13"/>
      <c r="P2629" s="13">
        <v>21187.32</v>
      </c>
      <c r="Q2629" s="3">
        <f t="shared" ref="Q2629:Q2692" si="207">+IF(OR($G2629="SALDO",$G2629="INGRESO"),$P2629,0)</f>
        <v>21187.32</v>
      </c>
      <c r="R2629" s="3">
        <f t="shared" ref="R2629:R2692" si="208">+IF($G2629="EGRESO",$P2629,0)</f>
        <v>0</v>
      </c>
      <c r="S2629" s="3">
        <f t="shared" ref="S2629:S2692" si="209">IFERROR(IF(G2629="SALDO",Q2629,S2628+Q2629-R2629),0)</f>
        <v>101095.12000000002</v>
      </c>
      <c r="T2629" s="24" t="s">
        <v>1081</v>
      </c>
      <c r="U2629" s="24" t="s">
        <v>1081</v>
      </c>
      <c r="V2629" s="69"/>
      <c r="W2629" s="25">
        <f>IFERROR(VLOOKUP(BCP_Soles[[#This Row],[DESTINATARIO]],CHOOSE({1,2},Clientes_Proveedores[Razon Social],Clientes_Proveedores[Ruc / Dni]),2,0),"")</f>
        <v>20558226979</v>
      </c>
      <c r="X2629" s="25"/>
      <c r="Y2629" s="25"/>
      <c r="Z2629" s="25"/>
      <c r="AA2629" s="99"/>
      <c r="AB2629" s="3" t="str">
        <f>IF(BCP_Soles[[#This Row],[FECHA]]&gt;0,TEXT(BCP_Soles[[#This Row],[FECHA]],"mmmm"),0)</f>
        <v>Julio</v>
      </c>
    </row>
    <row r="2630" spans="2:28" ht="36" x14ac:dyDescent="0.3">
      <c r="B2630" s="16">
        <f>IF(BCP_Soles[[#This Row],[TIPO DE R.]]="R",COUNTIFS($D$4:$D2629,"R")+1,"")</f>
        <v>1958</v>
      </c>
      <c r="C2630" s="19" t="str">
        <f t="shared" si="205"/>
        <v>B-BCP - Soles</v>
      </c>
      <c r="D2630" s="3" t="s">
        <v>1074</v>
      </c>
      <c r="E2630" s="14">
        <v>45853</v>
      </c>
      <c r="F2630" s="5" t="s">
        <v>1996</v>
      </c>
      <c r="G2630" s="5" t="s">
        <v>1079</v>
      </c>
      <c r="H2630" s="6" t="s">
        <v>332</v>
      </c>
      <c r="I2630" s="6" t="s">
        <v>14</v>
      </c>
      <c r="J2630" s="6" t="s">
        <v>1119</v>
      </c>
      <c r="K2630" s="6">
        <v>1671</v>
      </c>
      <c r="L2630" s="7" t="s">
        <v>3609</v>
      </c>
      <c r="M2630" s="8">
        <v>1153978</v>
      </c>
      <c r="N2630" s="8" t="str">
        <f t="shared" si="206"/>
        <v>PEN</v>
      </c>
      <c r="O2630" s="13"/>
      <c r="P2630" s="13">
        <v>54.2</v>
      </c>
      <c r="Q2630" s="3">
        <f t="shared" si="207"/>
        <v>0</v>
      </c>
      <c r="R2630" s="3">
        <f t="shared" si="208"/>
        <v>54.2</v>
      </c>
      <c r="S2630" s="3">
        <f t="shared" si="209"/>
        <v>101040.92000000003</v>
      </c>
      <c r="T2630" s="24" t="s">
        <v>1081</v>
      </c>
      <c r="U2630" s="24" t="s">
        <v>1081</v>
      </c>
      <c r="V2630" s="103" t="s">
        <v>3610</v>
      </c>
      <c r="W2630" s="25">
        <f>IFERROR(VLOOKUP(BCP_Soles[[#This Row],[DESTINATARIO]],CHOOSE({1,2},Clientes_Proveedores[Razon Social],Clientes_Proveedores[Ruc / Dni]),2,0),"")</f>
        <v>20539627938</v>
      </c>
      <c r="X2630" s="25"/>
      <c r="Y2630" s="25"/>
      <c r="Z2630" s="25"/>
      <c r="AA2630" s="99"/>
      <c r="AB2630" s="3" t="str">
        <f>IF(BCP_Soles[[#This Row],[FECHA]]&gt;0,TEXT(BCP_Soles[[#This Row],[FECHA]],"mmmm"),0)</f>
        <v>Julio</v>
      </c>
    </row>
    <row r="2631" spans="2:28" ht="24" x14ac:dyDescent="0.3">
      <c r="B2631" s="16">
        <f>IF(BCP_Soles[[#This Row],[TIPO DE R.]]="R",COUNTIFS($D$4:$D2630,"R")+1,"")</f>
        <v>1959</v>
      </c>
      <c r="C2631" s="19" t="str">
        <f t="shared" si="205"/>
        <v>B-BCP - Soles</v>
      </c>
      <c r="D2631" s="3" t="s">
        <v>1074</v>
      </c>
      <c r="E2631" s="14">
        <v>45853</v>
      </c>
      <c r="F2631" s="5" t="s">
        <v>1996</v>
      </c>
      <c r="G2631" s="5" t="s">
        <v>1079</v>
      </c>
      <c r="H2631" s="6" t="s">
        <v>964</v>
      </c>
      <c r="I2631" s="6" t="s">
        <v>14</v>
      </c>
      <c r="J2631" s="6" t="s">
        <v>1121</v>
      </c>
      <c r="K2631" s="6">
        <v>33</v>
      </c>
      <c r="L2631" s="7" t="s">
        <v>3611</v>
      </c>
      <c r="M2631" s="8">
        <v>1363647</v>
      </c>
      <c r="N2631" s="8" t="str">
        <f t="shared" si="206"/>
        <v>PEN</v>
      </c>
      <c r="O2631" s="13"/>
      <c r="P2631" s="13">
        <v>864</v>
      </c>
      <c r="Q2631" s="3">
        <f t="shared" si="207"/>
        <v>0</v>
      </c>
      <c r="R2631" s="3">
        <f t="shared" si="208"/>
        <v>864</v>
      </c>
      <c r="S2631" s="3">
        <f t="shared" si="209"/>
        <v>100176.92000000003</v>
      </c>
      <c r="T2631" s="24" t="s">
        <v>1081</v>
      </c>
      <c r="U2631" s="24" t="s">
        <v>1081</v>
      </c>
      <c r="V2631" s="103" t="s">
        <v>3612</v>
      </c>
      <c r="W2631" s="25">
        <f>IFERROR(VLOOKUP(BCP_Soles[[#This Row],[DESTINATARIO]],CHOOSE({1,2},Clientes_Proveedores[Razon Social],Clientes_Proveedores[Ruc / Dni]),2,0),"")</f>
        <v>10410162551</v>
      </c>
      <c r="X2631" s="25"/>
      <c r="Y2631" s="25"/>
      <c r="Z2631" s="25"/>
      <c r="AA2631" s="99"/>
      <c r="AB2631" s="3" t="str">
        <f>IF(BCP_Soles[[#This Row],[FECHA]]&gt;0,TEXT(BCP_Soles[[#This Row],[FECHA]],"mmmm"),0)</f>
        <v>Julio</v>
      </c>
    </row>
    <row r="2632" spans="2:28" x14ac:dyDescent="0.3">
      <c r="B2632" s="2">
        <f>IF(BCP_Soles[[#This Row],[TIPO DE R.]]="R",COUNTIFS($D$4:$D2631,"R")+1,"")</f>
        <v>1960</v>
      </c>
      <c r="C2632" s="19" t="str">
        <f t="shared" si="205"/>
        <v>B-BCP - Soles</v>
      </c>
      <c r="D2632" s="3" t="s">
        <v>1074</v>
      </c>
      <c r="E2632" s="14">
        <v>45853</v>
      </c>
      <c r="F2632" s="5" t="s">
        <v>1996</v>
      </c>
      <c r="G2632" s="5" t="s">
        <v>1079</v>
      </c>
      <c r="H2632" s="6" t="s">
        <v>637</v>
      </c>
      <c r="I2632" s="6"/>
      <c r="J2632" s="6"/>
      <c r="K2632" s="6"/>
      <c r="L2632" s="7" t="s">
        <v>3268</v>
      </c>
      <c r="M2632" s="8">
        <v>360694</v>
      </c>
      <c r="N2632" s="8" t="str">
        <f t="shared" si="206"/>
        <v>PEN</v>
      </c>
      <c r="O2632" s="13"/>
      <c r="P2632" s="13">
        <v>2356.77</v>
      </c>
      <c r="Q2632" s="3">
        <f t="shared" si="207"/>
        <v>0</v>
      </c>
      <c r="R2632" s="3">
        <f t="shared" si="208"/>
        <v>2356.77</v>
      </c>
      <c r="S2632" s="3">
        <f t="shared" si="209"/>
        <v>97820.150000000023</v>
      </c>
      <c r="T2632" s="24" t="s">
        <v>1081</v>
      </c>
      <c r="U2632" s="24" t="s">
        <v>1081</v>
      </c>
      <c r="V2632" s="103" t="s">
        <v>3613</v>
      </c>
      <c r="W2632" s="25">
        <f>IFERROR(VLOOKUP(BCP_Soles[[#This Row],[DESTINATARIO]],CHOOSE({1,2},Clientes_Proveedores[Razon Social],Clientes_Proveedores[Ruc / Dni]),2,0),"")</f>
        <v>20127765279</v>
      </c>
      <c r="X2632" s="25"/>
      <c r="Y2632" s="25"/>
      <c r="Z2632" s="25"/>
      <c r="AA2632" s="99"/>
      <c r="AB2632" s="3" t="str">
        <f>IF(BCP_Soles[[#This Row],[FECHA]]&gt;0,TEXT(BCP_Soles[[#This Row],[FECHA]],"mmmm"),0)</f>
        <v>Julio</v>
      </c>
    </row>
    <row r="2633" spans="2:28" x14ac:dyDescent="0.3">
      <c r="B2633" s="2" t="str">
        <f>IF(BCP_Soles[[#This Row],[TIPO DE R.]]="R",COUNTIFS($D$4:$D2632,"R")+1,"")</f>
        <v/>
      </c>
      <c r="C2633" s="19" t="str">
        <f t="shared" si="205"/>
        <v>B-BCP - Soles</v>
      </c>
      <c r="D2633" s="3" t="s">
        <v>1101</v>
      </c>
      <c r="E2633" s="14">
        <v>45853</v>
      </c>
      <c r="F2633" s="5" t="s">
        <v>1996</v>
      </c>
      <c r="G2633" s="5"/>
      <c r="H2633" s="6" t="s">
        <v>637</v>
      </c>
      <c r="I2633" s="6" t="s">
        <v>14</v>
      </c>
      <c r="J2633" s="6" t="s">
        <v>1253</v>
      </c>
      <c r="K2633" s="6">
        <v>171093</v>
      </c>
      <c r="L2633" s="7" t="s">
        <v>3268</v>
      </c>
      <c r="M2633" s="8">
        <v>360694</v>
      </c>
      <c r="N2633" s="8" t="str">
        <f t="shared" si="206"/>
        <v>PEN</v>
      </c>
      <c r="O2633" s="13">
        <v>1214.82</v>
      </c>
      <c r="P2633" s="13"/>
      <c r="Q2633" s="3">
        <f t="shared" si="207"/>
        <v>0</v>
      </c>
      <c r="R2633" s="3">
        <f t="shared" si="208"/>
        <v>0</v>
      </c>
      <c r="S2633" s="3">
        <f t="shared" si="209"/>
        <v>97820.150000000023</v>
      </c>
      <c r="T2633" s="24" t="s">
        <v>1081</v>
      </c>
      <c r="U2633" s="24" t="s">
        <v>1081</v>
      </c>
      <c r="V2633" s="103"/>
      <c r="W2633" s="25">
        <f>IFERROR(VLOOKUP(BCP_Soles[[#This Row],[DESTINATARIO]],CHOOSE({1,2},Clientes_Proveedores[Razon Social],Clientes_Proveedores[Ruc / Dni]),2,0),"")</f>
        <v>20127765279</v>
      </c>
      <c r="X2633" s="25"/>
      <c r="Y2633" s="25"/>
      <c r="Z2633" s="25"/>
      <c r="AA2633" s="99"/>
      <c r="AB2633" s="3" t="str">
        <f>IF(BCP_Soles[[#This Row],[FECHA]]&gt;0,TEXT(BCP_Soles[[#This Row],[FECHA]],"mmmm"),0)</f>
        <v>Julio</v>
      </c>
    </row>
    <row r="2634" spans="2:28" x14ac:dyDescent="0.3">
      <c r="B2634" s="2" t="str">
        <f>IF(BCP_Soles[[#This Row],[TIPO DE R.]]="R",COUNTIFS($D$4:$D2633,"R")+1,"")</f>
        <v/>
      </c>
      <c r="C2634" s="19" t="str">
        <f t="shared" si="205"/>
        <v>B-BCP - Soles</v>
      </c>
      <c r="D2634" s="3" t="s">
        <v>1101</v>
      </c>
      <c r="E2634" s="14">
        <v>45853</v>
      </c>
      <c r="F2634" s="5" t="s">
        <v>1996</v>
      </c>
      <c r="G2634" s="5"/>
      <c r="H2634" s="6" t="s">
        <v>637</v>
      </c>
      <c r="I2634" s="6" t="s">
        <v>14</v>
      </c>
      <c r="J2634" s="6" t="s">
        <v>1253</v>
      </c>
      <c r="K2634" s="6">
        <v>171111</v>
      </c>
      <c r="L2634" s="7" t="s">
        <v>3268</v>
      </c>
      <c r="M2634" s="8">
        <v>360694</v>
      </c>
      <c r="N2634" s="8" t="str">
        <f t="shared" si="206"/>
        <v>PEN</v>
      </c>
      <c r="O2634" s="13">
        <v>1141.95</v>
      </c>
      <c r="P2634" s="13"/>
      <c r="Q2634" s="3">
        <f t="shared" si="207"/>
        <v>0</v>
      </c>
      <c r="R2634" s="3">
        <f t="shared" si="208"/>
        <v>0</v>
      </c>
      <c r="S2634" s="3">
        <f t="shared" si="209"/>
        <v>97820.150000000023</v>
      </c>
      <c r="T2634" s="24" t="s">
        <v>1081</v>
      </c>
      <c r="U2634" s="24" t="s">
        <v>1081</v>
      </c>
      <c r="V2634" s="103"/>
      <c r="W2634" s="25">
        <f>IFERROR(VLOOKUP(BCP_Soles[[#This Row],[DESTINATARIO]],CHOOSE({1,2},Clientes_Proveedores[Razon Social],Clientes_Proveedores[Ruc / Dni]),2,0),"")</f>
        <v>20127765279</v>
      </c>
      <c r="X2634" s="25"/>
      <c r="Y2634" s="25"/>
      <c r="Z2634" s="25"/>
      <c r="AA2634" s="99"/>
      <c r="AB2634" s="3" t="str">
        <f>IF(BCP_Soles[[#This Row],[FECHA]]&gt;0,TEXT(BCP_Soles[[#This Row],[FECHA]],"mmmm"),0)</f>
        <v>Julio</v>
      </c>
    </row>
    <row r="2635" spans="2:28" ht="24" x14ac:dyDescent="0.3">
      <c r="B2635" s="2">
        <f>IF(BCP_Soles[[#This Row],[TIPO DE R.]]="R",COUNTIFS($D$4:$D2634,"R")+1,"")</f>
        <v>1961</v>
      </c>
      <c r="C2635" s="19" t="str">
        <f t="shared" si="205"/>
        <v>B-BCP - Soles</v>
      </c>
      <c r="D2635" s="3" t="s">
        <v>1074</v>
      </c>
      <c r="E2635" s="14">
        <v>45853</v>
      </c>
      <c r="F2635" s="5" t="s">
        <v>1996</v>
      </c>
      <c r="G2635" s="5" t="s">
        <v>1079</v>
      </c>
      <c r="H2635" s="6" t="s">
        <v>276</v>
      </c>
      <c r="I2635" s="6" t="s">
        <v>14</v>
      </c>
      <c r="J2635" s="6" t="s">
        <v>1121</v>
      </c>
      <c r="K2635" s="6">
        <v>739</v>
      </c>
      <c r="L2635" s="7" t="s">
        <v>3614</v>
      </c>
      <c r="M2635" s="8">
        <v>1361650</v>
      </c>
      <c r="N2635" s="8" t="str">
        <f t="shared" si="206"/>
        <v>PEN</v>
      </c>
      <c r="O2635" s="13"/>
      <c r="P2635" s="13">
        <v>2124</v>
      </c>
      <c r="Q2635" s="3">
        <f t="shared" si="207"/>
        <v>0</v>
      </c>
      <c r="R2635" s="3">
        <f t="shared" si="208"/>
        <v>2124</v>
      </c>
      <c r="S2635" s="3">
        <f t="shared" si="209"/>
        <v>95696.150000000023</v>
      </c>
      <c r="T2635" s="24" t="s">
        <v>1081</v>
      </c>
      <c r="U2635" s="24" t="s">
        <v>1081</v>
      </c>
      <c r="V2635" s="103" t="s">
        <v>3615</v>
      </c>
      <c r="W2635" s="25">
        <f>IFERROR(VLOOKUP(BCP_Soles[[#This Row],[DESTINATARIO]],CHOOSE({1,2},Clientes_Proveedores[Razon Social],Clientes_Proveedores[Ruc / Dni]),2,0),"")</f>
        <v>20498218831</v>
      </c>
      <c r="X2635" s="25"/>
      <c r="Y2635" s="25"/>
      <c r="Z2635" s="25"/>
      <c r="AA2635" s="99"/>
      <c r="AB2635" s="3" t="str">
        <f>IF(BCP_Soles[[#This Row],[FECHA]]&gt;0,TEXT(BCP_Soles[[#This Row],[FECHA]],"mmmm"),0)</f>
        <v>Julio</v>
      </c>
    </row>
    <row r="2636" spans="2:28" x14ac:dyDescent="0.3">
      <c r="B2636" s="2">
        <f>IF(BCP_Soles[[#This Row],[TIPO DE R.]]="R",COUNTIFS($D$4:$D2635,"R")+1,"")</f>
        <v>1962</v>
      </c>
      <c r="C2636" s="19" t="str">
        <f t="shared" si="205"/>
        <v>B-BCP - Soles</v>
      </c>
      <c r="D2636" s="3" t="s">
        <v>1074</v>
      </c>
      <c r="E2636" s="14">
        <v>45853</v>
      </c>
      <c r="F2636" s="5" t="s">
        <v>1075</v>
      </c>
      <c r="G2636" s="5" t="s">
        <v>1079</v>
      </c>
      <c r="H2636" s="6" t="s">
        <v>638</v>
      </c>
      <c r="I2636" s="6"/>
      <c r="J2636" s="6"/>
      <c r="K2636" s="6"/>
      <c r="L2636" s="7" t="s">
        <v>3616</v>
      </c>
      <c r="M2636" s="8">
        <v>990263</v>
      </c>
      <c r="N2636" s="8" t="str">
        <f t="shared" si="206"/>
        <v>PEN</v>
      </c>
      <c r="O2636" s="13"/>
      <c r="P2636" s="13">
        <v>90297</v>
      </c>
      <c r="Q2636" s="3">
        <f t="shared" si="207"/>
        <v>0</v>
      </c>
      <c r="R2636" s="3">
        <f t="shared" si="208"/>
        <v>90297</v>
      </c>
      <c r="S2636" s="3">
        <f t="shared" si="209"/>
        <v>5399.1500000000233</v>
      </c>
      <c r="T2636" s="24"/>
      <c r="U2636" s="24"/>
      <c r="V2636" s="69"/>
      <c r="W2636" s="25">
        <f>IFERROR(VLOOKUP(BCP_Soles[[#This Row],[DESTINATARIO]],CHOOSE({1,2},Clientes_Proveedores[Razon Social],Clientes_Proveedores[Ruc / Dni]),2,0),"")</f>
        <v>0</v>
      </c>
      <c r="X2636" s="25"/>
      <c r="Y2636" s="25"/>
      <c r="Z2636" s="25"/>
      <c r="AA2636" s="99"/>
      <c r="AB2636" s="3" t="str">
        <f>IF(BCP_Soles[[#This Row],[FECHA]]&gt;0,TEXT(BCP_Soles[[#This Row],[FECHA]],"mmmm"),0)</f>
        <v>Julio</v>
      </c>
    </row>
    <row r="2637" spans="2:28" ht="24" x14ac:dyDescent="0.3">
      <c r="B2637" s="2" t="str">
        <f>IF(BCP_Soles[[#This Row],[TIPO DE R.]]="R",COUNTIFS($D$4:$D2636,"R")+1,"")</f>
        <v/>
      </c>
      <c r="C2637" s="19" t="str">
        <f t="shared" si="205"/>
        <v>B-BCP - Soles</v>
      </c>
      <c r="D2637" s="3" t="s">
        <v>1101</v>
      </c>
      <c r="E2637" s="14">
        <v>45853</v>
      </c>
      <c r="F2637" s="5" t="s">
        <v>1075</v>
      </c>
      <c r="G2637" s="5"/>
      <c r="H2637" s="6" t="s">
        <v>954</v>
      </c>
      <c r="I2637" s="6" t="s">
        <v>7882</v>
      </c>
      <c r="J2637" s="6" t="s">
        <v>7884</v>
      </c>
      <c r="K2637" s="6">
        <v>1</v>
      </c>
      <c r="L2637" s="7" t="s">
        <v>3616</v>
      </c>
      <c r="M2637" s="8">
        <v>990263</v>
      </c>
      <c r="N2637" s="8" t="str">
        <f t="shared" si="206"/>
        <v>PEN</v>
      </c>
      <c r="O2637" s="13">
        <v>891.34</v>
      </c>
      <c r="P2637" s="13"/>
      <c r="Q2637" s="3">
        <f t="shared" si="207"/>
        <v>0</v>
      </c>
      <c r="R2637" s="3">
        <f t="shared" si="208"/>
        <v>0</v>
      </c>
      <c r="S2637" s="3">
        <f t="shared" si="209"/>
        <v>5399.1500000000233</v>
      </c>
      <c r="T2637" s="24"/>
      <c r="U2637" s="24"/>
      <c r="V2637" s="69"/>
      <c r="W2637" s="25">
        <f>IFERROR(VLOOKUP(BCP_Soles[[#This Row],[DESTINATARIO]],CHOOSE({1,2},Clientes_Proveedores[Razon Social],Clientes_Proveedores[Ruc / Dni]),2,0),"")</f>
        <v>60945818</v>
      </c>
      <c r="X2637" s="25"/>
      <c r="Y2637" s="25"/>
      <c r="Z2637" s="25"/>
      <c r="AA2637" s="101"/>
      <c r="AB2637" s="3" t="str">
        <f>IF(BCP_Soles[[#This Row],[FECHA]]&gt;0,TEXT(BCP_Soles[[#This Row],[FECHA]],"mmmm"),0)</f>
        <v>Julio</v>
      </c>
    </row>
    <row r="2638" spans="2:28" ht="24" x14ac:dyDescent="0.3">
      <c r="B2638" s="2" t="str">
        <f>IF(BCP_Soles[[#This Row],[TIPO DE R.]]="R",COUNTIFS($D$4:$D2637,"R")+1,"")</f>
        <v/>
      </c>
      <c r="C2638" s="19" t="str">
        <f t="shared" si="205"/>
        <v>B-BCP - Soles</v>
      </c>
      <c r="D2638" s="3" t="s">
        <v>1101</v>
      </c>
      <c r="E2638" s="14">
        <v>45853</v>
      </c>
      <c r="F2638" s="5" t="s">
        <v>1075</v>
      </c>
      <c r="G2638" s="5"/>
      <c r="H2638" s="6" t="s">
        <v>955</v>
      </c>
      <c r="I2638" s="6" t="s">
        <v>7882</v>
      </c>
      <c r="J2638" s="6" t="s">
        <v>7884</v>
      </c>
      <c r="K2638" s="6">
        <v>2</v>
      </c>
      <c r="L2638" s="7" t="s">
        <v>3616</v>
      </c>
      <c r="M2638" s="8">
        <v>990263</v>
      </c>
      <c r="N2638" s="8" t="str">
        <f t="shared" si="206"/>
        <v>PEN</v>
      </c>
      <c r="O2638" s="13">
        <v>1867.17</v>
      </c>
      <c r="P2638" s="13"/>
      <c r="Q2638" s="3">
        <f t="shared" si="207"/>
        <v>0</v>
      </c>
      <c r="R2638" s="3">
        <f t="shared" si="208"/>
        <v>0</v>
      </c>
      <c r="S2638" s="3">
        <f t="shared" si="209"/>
        <v>5399.1500000000233</v>
      </c>
      <c r="T2638" s="24"/>
      <c r="U2638" s="24"/>
      <c r="V2638" s="69"/>
      <c r="W2638" s="25">
        <f>IFERROR(VLOOKUP(BCP_Soles[[#This Row],[DESTINATARIO]],CHOOSE({1,2},Clientes_Proveedores[Razon Social],Clientes_Proveedores[Ruc / Dni]),2,0),"")</f>
        <v>75560789</v>
      </c>
      <c r="X2638" s="25"/>
      <c r="Y2638" s="25"/>
      <c r="Z2638" s="25"/>
      <c r="AA2638" s="101"/>
      <c r="AB2638" s="3" t="str">
        <f>IF(BCP_Soles[[#This Row],[FECHA]]&gt;0,TEXT(BCP_Soles[[#This Row],[FECHA]],"mmmm"),0)</f>
        <v>Julio</v>
      </c>
    </row>
    <row r="2639" spans="2:28" ht="24" x14ac:dyDescent="0.3">
      <c r="B2639" s="2" t="str">
        <f>IF(BCP_Soles[[#This Row],[TIPO DE R.]]="R",COUNTIFS($D$4:$D2638,"R")+1,"")</f>
        <v/>
      </c>
      <c r="C2639" s="19" t="str">
        <f t="shared" si="205"/>
        <v>B-BCP - Soles</v>
      </c>
      <c r="D2639" s="3" t="s">
        <v>1101</v>
      </c>
      <c r="E2639" s="14">
        <v>45853</v>
      </c>
      <c r="F2639" s="5" t="s">
        <v>1075</v>
      </c>
      <c r="G2639" s="5"/>
      <c r="H2639" s="6" t="s">
        <v>731</v>
      </c>
      <c r="I2639" s="6" t="s">
        <v>7882</v>
      </c>
      <c r="J2639" s="6" t="s">
        <v>7884</v>
      </c>
      <c r="K2639" s="6">
        <v>3</v>
      </c>
      <c r="L2639" s="7" t="s">
        <v>3616</v>
      </c>
      <c r="M2639" s="8">
        <v>990263</v>
      </c>
      <c r="N2639" s="8" t="str">
        <f t="shared" si="206"/>
        <v>PEN</v>
      </c>
      <c r="O2639" s="13">
        <v>2049.1999999999998</v>
      </c>
      <c r="P2639" s="13"/>
      <c r="Q2639" s="3">
        <f t="shared" si="207"/>
        <v>0</v>
      </c>
      <c r="R2639" s="3">
        <f t="shared" si="208"/>
        <v>0</v>
      </c>
      <c r="S2639" s="3">
        <f t="shared" si="209"/>
        <v>5399.1500000000233</v>
      </c>
      <c r="T2639" s="24"/>
      <c r="U2639" s="24"/>
      <c r="V2639" s="69"/>
      <c r="W2639" s="25">
        <f>IFERROR(VLOOKUP(BCP_Soles[[#This Row],[DESTINATARIO]],CHOOSE({1,2},Clientes_Proveedores[Razon Social],Clientes_Proveedores[Ruc / Dni]),2,0),"")</f>
        <v>72169020</v>
      </c>
      <c r="X2639" s="25"/>
      <c r="Y2639" s="25"/>
      <c r="Z2639" s="25"/>
      <c r="AA2639" s="101"/>
      <c r="AB2639" s="3" t="str">
        <f>IF(BCP_Soles[[#This Row],[FECHA]]&gt;0,TEXT(BCP_Soles[[#This Row],[FECHA]],"mmmm"),0)</f>
        <v>Julio</v>
      </c>
    </row>
    <row r="2640" spans="2:28" ht="24" x14ac:dyDescent="0.3">
      <c r="B2640" s="2" t="str">
        <f>IF(BCP_Soles[[#This Row],[TIPO DE R.]]="R",COUNTIFS($D$4:$D2639,"R")+1,"")</f>
        <v/>
      </c>
      <c r="C2640" s="19" t="str">
        <f t="shared" si="205"/>
        <v>B-BCP - Soles</v>
      </c>
      <c r="D2640" s="3" t="s">
        <v>1101</v>
      </c>
      <c r="E2640" s="14">
        <v>45853</v>
      </c>
      <c r="F2640" s="5" t="s">
        <v>1075</v>
      </c>
      <c r="G2640" s="5"/>
      <c r="H2640" s="6" t="s">
        <v>956</v>
      </c>
      <c r="I2640" s="6" t="s">
        <v>7882</v>
      </c>
      <c r="J2640" s="6" t="s">
        <v>7884</v>
      </c>
      <c r="K2640" s="6">
        <v>4</v>
      </c>
      <c r="L2640" s="7" t="s">
        <v>3616</v>
      </c>
      <c r="M2640" s="8">
        <v>990263</v>
      </c>
      <c r="N2640" s="8" t="str">
        <f t="shared" si="206"/>
        <v>PEN</v>
      </c>
      <c r="O2640" s="13">
        <v>1035.8499999999999</v>
      </c>
      <c r="P2640" s="13"/>
      <c r="Q2640" s="3">
        <f t="shared" si="207"/>
        <v>0</v>
      </c>
      <c r="R2640" s="3">
        <f t="shared" si="208"/>
        <v>0</v>
      </c>
      <c r="S2640" s="3">
        <f t="shared" si="209"/>
        <v>5399.1500000000233</v>
      </c>
      <c r="T2640" s="24"/>
      <c r="U2640" s="24"/>
      <c r="V2640" s="69"/>
      <c r="W2640" s="25">
        <f>IFERROR(VLOOKUP(BCP_Soles[[#This Row],[DESTINATARIO]],CHOOSE({1,2},Clientes_Proveedores[Razon Social],Clientes_Proveedores[Ruc / Dni]),2,0),"")</f>
        <v>48298276</v>
      </c>
      <c r="X2640" s="25"/>
      <c r="Y2640" s="25"/>
      <c r="Z2640" s="25"/>
      <c r="AA2640" s="101"/>
      <c r="AB2640" s="3" t="str">
        <f>IF(BCP_Soles[[#This Row],[FECHA]]&gt;0,TEXT(BCP_Soles[[#This Row],[FECHA]],"mmmm"),0)</f>
        <v>Julio</v>
      </c>
    </row>
    <row r="2641" spans="2:28" ht="36" x14ac:dyDescent="0.3">
      <c r="B2641" s="2" t="str">
        <f>IF(BCP_Soles[[#This Row],[TIPO DE R.]]="R",COUNTIFS($D$4:$D2640,"R")+1,"")</f>
        <v/>
      </c>
      <c r="C2641" s="19" t="str">
        <f t="shared" si="205"/>
        <v>B-BCP - Soles</v>
      </c>
      <c r="D2641" s="3" t="s">
        <v>1101</v>
      </c>
      <c r="E2641" s="14">
        <v>45853</v>
      </c>
      <c r="F2641" s="5" t="s">
        <v>1075</v>
      </c>
      <c r="G2641" s="5"/>
      <c r="H2641" s="6" t="s">
        <v>736</v>
      </c>
      <c r="I2641" s="6" t="s">
        <v>7882</v>
      </c>
      <c r="J2641" s="6" t="s">
        <v>7884</v>
      </c>
      <c r="K2641" s="6">
        <v>5</v>
      </c>
      <c r="L2641" s="7" t="s">
        <v>3616</v>
      </c>
      <c r="M2641" s="8">
        <v>990263</v>
      </c>
      <c r="N2641" s="8" t="str">
        <f t="shared" si="206"/>
        <v>PEN</v>
      </c>
      <c r="O2641" s="13">
        <v>1649.17</v>
      </c>
      <c r="P2641" s="13"/>
      <c r="Q2641" s="3">
        <f t="shared" si="207"/>
        <v>0</v>
      </c>
      <c r="R2641" s="3">
        <f t="shared" si="208"/>
        <v>0</v>
      </c>
      <c r="S2641" s="3">
        <f t="shared" si="209"/>
        <v>5399.1500000000233</v>
      </c>
      <c r="T2641" s="24"/>
      <c r="U2641" s="24"/>
      <c r="V2641" s="69"/>
      <c r="W2641" s="25">
        <f>IFERROR(VLOOKUP(BCP_Soles[[#This Row],[DESTINATARIO]],CHOOSE({1,2},Clientes_Proveedores[Razon Social],Clientes_Proveedores[Ruc / Dni]),2,0),"")</f>
        <v>48164743</v>
      </c>
      <c r="X2641" s="25"/>
      <c r="Y2641" s="25"/>
      <c r="Z2641" s="25"/>
      <c r="AA2641" s="101"/>
      <c r="AB2641" s="3" t="str">
        <f>IF(BCP_Soles[[#This Row],[FECHA]]&gt;0,TEXT(BCP_Soles[[#This Row],[FECHA]],"mmmm"),0)</f>
        <v>Julio</v>
      </c>
    </row>
    <row r="2642" spans="2:28" ht="24" x14ac:dyDescent="0.3">
      <c r="B2642" s="2" t="str">
        <f>IF(BCP_Soles[[#This Row],[TIPO DE R.]]="R",COUNTIFS($D$4:$D2641,"R")+1,"")</f>
        <v/>
      </c>
      <c r="C2642" s="19" t="str">
        <f t="shared" si="205"/>
        <v>B-BCP - Soles</v>
      </c>
      <c r="D2642" s="3" t="s">
        <v>1101</v>
      </c>
      <c r="E2642" s="14">
        <v>45853</v>
      </c>
      <c r="F2642" s="5" t="s">
        <v>1075</v>
      </c>
      <c r="G2642" s="5"/>
      <c r="H2642" s="6" t="s">
        <v>957</v>
      </c>
      <c r="I2642" s="6" t="s">
        <v>7882</v>
      </c>
      <c r="J2642" s="6" t="s">
        <v>7884</v>
      </c>
      <c r="K2642" s="6">
        <v>6</v>
      </c>
      <c r="L2642" s="7" t="s">
        <v>3616</v>
      </c>
      <c r="M2642" s="8">
        <v>990263</v>
      </c>
      <c r="N2642" s="8" t="str">
        <f t="shared" si="206"/>
        <v>PEN</v>
      </c>
      <c r="O2642" s="13">
        <v>440.84</v>
      </c>
      <c r="P2642" s="13"/>
      <c r="Q2642" s="3">
        <f t="shared" si="207"/>
        <v>0</v>
      </c>
      <c r="R2642" s="3">
        <f t="shared" si="208"/>
        <v>0</v>
      </c>
      <c r="S2642" s="3">
        <f t="shared" si="209"/>
        <v>5399.1500000000233</v>
      </c>
      <c r="T2642" s="24"/>
      <c r="U2642" s="24"/>
      <c r="V2642" s="69"/>
      <c r="W2642" s="25">
        <f>IFERROR(VLOOKUP(BCP_Soles[[#This Row],[DESTINATARIO]],CHOOSE({1,2},Clientes_Proveedores[Razon Social],Clientes_Proveedores[Ruc / Dni]),2,0),"")</f>
        <v>76140901</v>
      </c>
      <c r="X2642" s="25"/>
      <c r="Y2642" s="25"/>
      <c r="Z2642" s="25"/>
      <c r="AA2642" s="101"/>
      <c r="AB2642" s="3" t="str">
        <f>IF(BCP_Soles[[#This Row],[FECHA]]&gt;0,TEXT(BCP_Soles[[#This Row],[FECHA]],"mmmm"),0)</f>
        <v>Julio</v>
      </c>
    </row>
    <row r="2643" spans="2:28" ht="24" x14ac:dyDescent="0.3">
      <c r="B2643" s="2" t="str">
        <f>IF(BCP_Soles[[#This Row],[TIPO DE R.]]="R",COUNTIFS($D$4:$D2642,"R")+1,"")</f>
        <v/>
      </c>
      <c r="C2643" s="19" t="str">
        <f t="shared" si="205"/>
        <v>B-BCP - Soles</v>
      </c>
      <c r="D2643" s="3" t="s">
        <v>1101</v>
      </c>
      <c r="E2643" s="14">
        <v>45853</v>
      </c>
      <c r="F2643" s="5" t="s">
        <v>1075</v>
      </c>
      <c r="G2643" s="5"/>
      <c r="H2643" s="6" t="s">
        <v>747</v>
      </c>
      <c r="I2643" s="6" t="s">
        <v>7882</v>
      </c>
      <c r="J2643" s="6" t="s">
        <v>7884</v>
      </c>
      <c r="K2643" s="6">
        <v>7</v>
      </c>
      <c r="L2643" s="7" t="s">
        <v>3616</v>
      </c>
      <c r="M2643" s="8">
        <v>990263</v>
      </c>
      <c r="N2643" s="8" t="str">
        <f t="shared" si="206"/>
        <v>PEN</v>
      </c>
      <c r="O2643" s="13">
        <v>1921.67</v>
      </c>
      <c r="P2643" s="13"/>
      <c r="Q2643" s="3">
        <f t="shared" si="207"/>
        <v>0</v>
      </c>
      <c r="R2643" s="3">
        <f t="shared" si="208"/>
        <v>0</v>
      </c>
      <c r="S2643" s="3">
        <f t="shared" si="209"/>
        <v>5399.1500000000233</v>
      </c>
      <c r="T2643" s="24"/>
      <c r="U2643" s="24"/>
      <c r="V2643" s="69"/>
      <c r="W2643" s="25">
        <f>IFERROR(VLOOKUP(BCP_Soles[[#This Row],[DESTINATARIO]],CHOOSE({1,2},Clientes_Proveedores[Razon Social],Clientes_Proveedores[Ruc / Dni]),2,0),"")</f>
        <v>44162989</v>
      </c>
      <c r="X2643" s="25"/>
      <c r="Y2643" s="25"/>
      <c r="Z2643" s="25"/>
      <c r="AA2643" s="101"/>
      <c r="AB2643" s="3" t="str">
        <f>IF(BCP_Soles[[#This Row],[FECHA]]&gt;0,TEXT(BCP_Soles[[#This Row],[FECHA]],"mmmm"),0)</f>
        <v>Julio</v>
      </c>
    </row>
    <row r="2644" spans="2:28" x14ac:dyDescent="0.3">
      <c r="B2644" s="2" t="str">
        <f>IF(BCP_Soles[[#This Row],[TIPO DE R.]]="R",COUNTIFS($D$4:$D2643,"R")+1,"")</f>
        <v/>
      </c>
      <c r="C2644" s="19" t="str">
        <f t="shared" si="205"/>
        <v>B-BCP - Soles</v>
      </c>
      <c r="D2644" s="3" t="s">
        <v>1101</v>
      </c>
      <c r="E2644" s="14">
        <v>45853</v>
      </c>
      <c r="F2644" s="5" t="s">
        <v>1075</v>
      </c>
      <c r="G2644" s="5"/>
      <c r="H2644" s="6" t="s">
        <v>750</v>
      </c>
      <c r="I2644" s="6" t="s">
        <v>7882</v>
      </c>
      <c r="J2644" s="6" t="s">
        <v>7884</v>
      </c>
      <c r="K2644" s="6">
        <v>8</v>
      </c>
      <c r="L2644" s="7" t="s">
        <v>3616</v>
      </c>
      <c r="M2644" s="8">
        <v>990263</v>
      </c>
      <c r="N2644" s="8" t="str">
        <f t="shared" si="206"/>
        <v>PEN</v>
      </c>
      <c r="O2644" s="13">
        <v>4557.29</v>
      </c>
      <c r="P2644" s="13"/>
      <c r="Q2644" s="3">
        <f t="shared" si="207"/>
        <v>0</v>
      </c>
      <c r="R2644" s="3">
        <f t="shared" si="208"/>
        <v>0</v>
      </c>
      <c r="S2644" s="3">
        <f t="shared" si="209"/>
        <v>5399.1500000000233</v>
      </c>
      <c r="T2644" s="24"/>
      <c r="U2644" s="24"/>
      <c r="V2644" s="69"/>
      <c r="W2644" s="25">
        <f>IFERROR(VLOOKUP(BCP_Soles[[#This Row],[DESTINATARIO]],CHOOSE({1,2},Clientes_Proveedores[Razon Social],Clientes_Proveedores[Ruc / Dni]),2,0),"")</f>
        <v>45286301</v>
      </c>
      <c r="X2644" s="25"/>
      <c r="Y2644" s="25"/>
      <c r="Z2644" s="25"/>
      <c r="AA2644" s="101"/>
      <c r="AB2644" s="3" t="str">
        <f>IF(BCP_Soles[[#This Row],[FECHA]]&gt;0,TEXT(BCP_Soles[[#This Row],[FECHA]],"mmmm"),0)</f>
        <v>Julio</v>
      </c>
    </row>
    <row r="2645" spans="2:28" ht="24" x14ac:dyDescent="0.3">
      <c r="B2645" s="2" t="str">
        <f>IF(BCP_Soles[[#This Row],[TIPO DE R.]]="R",COUNTIFS($D$4:$D2644,"R")+1,"")</f>
        <v/>
      </c>
      <c r="C2645" s="19" t="str">
        <f t="shared" si="205"/>
        <v>B-BCP - Soles</v>
      </c>
      <c r="D2645" s="3" t="s">
        <v>1101</v>
      </c>
      <c r="E2645" s="14">
        <v>45853</v>
      </c>
      <c r="F2645" s="5" t="s">
        <v>1075</v>
      </c>
      <c r="G2645" s="5"/>
      <c r="H2645" s="6" t="s">
        <v>753</v>
      </c>
      <c r="I2645" s="6" t="s">
        <v>7882</v>
      </c>
      <c r="J2645" s="6" t="s">
        <v>7884</v>
      </c>
      <c r="K2645" s="6">
        <v>9</v>
      </c>
      <c r="L2645" s="7" t="s">
        <v>3616</v>
      </c>
      <c r="M2645" s="8">
        <v>990263</v>
      </c>
      <c r="N2645" s="8" t="str">
        <f t="shared" si="206"/>
        <v>PEN</v>
      </c>
      <c r="O2645" s="13">
        <v>2404.58</v>
      </c>
      <c r="P2645" s="13"/>
      <c r="Q2645" s="3">
        <f t="shared" si="207"/>
        <v>0</v>
      </c>
      <c r="R2645" s="3">
        <f t="shared" si="208"/>
        <v>0</v>
      </c>
      <c r="S2645" s="3">
        <f t="shared" si="209"/>
        <v>5399.1500000000233</v>
      </c>
      <c r="T2645" s="24"/>
      <c r="U2645" s="24"/>
      <c r="V2645" s="69"/>
      <c r="W2645" s="25">
        <f>IFERROR(VLOOKUP(BCP_Soles[[#This Row],[DESTINATARIO]],CHOOSE({1,2},Clientes_Proveedores[Razon Social],Clientes_Proveedores[Ruc / Dni]),2,0),"")</f>
        <v>73444362</v>
      </c>
      <c r="X2645" s="25"/>
      <c r="Y2645" s="25"/>
      <c r="Z2645" s="25"/>
      <c r="AA2645" s="101"/>
      <c r="AB2645" s="3" t="str">
        <f>IF(BCP_Soles[[#This Row],[FECHA]]&gt;0,TEXT(BCP_Soles[[#This Row],[FECHA]],"mmmm"),0)</f>
        <v>Julio</v>
      </c>
    </row>
    <row r="2646" spans="2:28" ht="24" x14ac:dyDescent="0.3">
      <c r="B2646" s="2" t="str">
        <f>IF(BCP_Soles[[#This Row],[TIPO DE R.]]="R",COUNTIFS($D$4:$D2645,"R")+1,"")</f>
        <v/>
      </c>
      <c r="C2646" s="19" t="str">
        <f t="shared" si="205"/>
        <v>B-BCP - Soles</v>
      </c>
      <c r="D2646" s="3" t="s">
        <v>1101</v>
      </c>
      <c r="E2646" s="14">
        <v>45853</v>
      </c>
      <c r="F2646" s="5" t="s">
        <v>1075</v>
      </c>
      <c r="G2646" s="5"/>
      <c r="H2646" s="6" t="s">
        <v>958</v>
      </c>
      <c r="I2646" s="6" t="s">
        <v>7882</v>
      </c>
      <c r="J2646" s="6" t="s">
        <v>7884</v>
      </c>
      <c r="K2646" s="6">
        <v>10</v>
      </c>
      <c r="L2646" s="7" t="s">
        <v>3616</v>
      </c>
      <c r="M2646" s="8">
        <v>990263</v>
      </c>
      <c r="N2646" s="8" t="str">
        <f t="shared" si="206"/>
        <v>PEN</v>
      </c>
      <c r="O2646" s="13">
        <v>1659.53</v>
      </c>
      <c r="P2646" s="13"/>
      <c r="Q2646" s="3">
        <f t="shared" si="207"/>
        <v>0</v>
      </c>
      <c r="R2646" s="3">
        <f t="shared" si="208"/>
        <v>0</v>
      </c>
      <c r="S2646" s="3">
        <f t="shared" si="209"/>
        <v>5399.1500000000233</v>
      </c>
      <c r="T2646" s="24"/>
      <c r="U2646" s="24"/>
      <c r="V2646" s="69"/>
      <c r="W2646" s="25">
        <f>IFERROR(VLOOKUP(BCP_Soles[[#This Row],[DESTINATARIO]],CHOOSE({1,2},Clientes_Proveedores[Razon Social],Clientes_Proveedores[Ruc / Dni]),2,0),"")</f>
        <v>72458502</v>
      </c>
      <c r="X2646" s="25"/>
      <c r="Y2646" s="25"/>
      <c r="Z2646" s="25"/>
      <c r="AA2646" s="101"/>
      <c r="AB2646" s="3" t="str">
        <f>IF(BCP_Soles[[#This Row],[FECHA]]&gt;0,TEXT(BCP_Soles[[#This Row],[FECHA]],"mmmm"),0)</f>
        <v>Julio</v>
      </c>
    </row>
    <row r="2647" spans="2:28" ht="24" x14ac:dyDescent="0.3">
      <c r="B2647" s="2" t="str">
        <f>IF(BCP_Soles[[#This Row],[TIPO DE R.]]="R",COUNTIFS($D$4:$D2646,"R")+1,"")</f>
        <v/>
      </c>
      <c r="C2647" s="19" t="str">
        <f t="shared" si="205"/>
        <v>B-BCP - Soles</v>
      </c>
      <c r="D2647" s="3" t="s">
        <v>1101</v>
      </c>
      <c r="E2647" s="14">
        <v>45853</v>
      </c>
      <c r="F2647" s="5" t="s">
        <v>1075</v>
      </c>
      <c r="G2647" s="5"/>
      <c r="H2647" s="6" t="s">
        <v>761</v>
      </c>
      <c r="I2647" s="6" t="s">
        <v>7882</v>
      </c>
      <c r="J2647" s="6" t="s">
        <v>7884</v>
      </c>
      <c r="K2647" s="6">
        <v>11</v>
      </c>
      <c r="L2647" s="7" t="s">
        <v>3616</v>
      </c>
      <c r="M2647" s="8">
        <v>990263</v>
      </c>
      <c r="N2647" s="8" t="str">
        <f t="shared" si="206"/>
        <v>PEN</v>
      </c>
      <c r="O2647" s="13">
        <v>1635</v>
      </c>
      <c r="P2647" s="13"/>
      <c r="Q2647" s="3">
        <f t="shared" si="207"/>
        <v>0</v>
      </c>
      <c r="R2647" s="3">
        <f t="shared" si="208"/>
        <v>0</v>
      </c>
      <c r="S2647" s="3">
        <f t="shared" si="209"/>
        <v>5399.1500000000233</v>
      </c>
      <c r="T2647" s="24"/>
      <c r="U2647" s="24"/>
      <c r="V2647" s="69"/>
      <c r="W2647" s="25">
        <f>IFERROR(VLOOKUP(BCP_Soles[[#This Row],[DESTINATARIO]],CHOOSE({1,2},Clientes_Proveedores[Razon Social],Clientes_Proveedores[Ruc / Dni]),2,0),"")</f>
        <v>75424672</v>
      </c>
      <c r="X2647" s="25"/>
      <c r="Y2647" s="25"/>
      <c r="Z2647" s="25"/>
      <c r="AA2647" s="101"/>
      <c r="AB2647" s="3" t="str">
        <f>IF(BCP_Soles[[#This Row],[FECHA]]&gt;0,TEXT(BCP_Soles[[#This Row],[FECHA]],"mmmm"),0)</f>
        <v>Julio</v>
      </c>
    </row>
    <row r="2648" spans="2:28" ht="24" x14ac:dyDescent="0.3">
      <c r="B2648" s="2" t="str">
        <f>IF(BCP_Soles[[#This Row],[TIPO DE R.]]="R",COUNTIFS($D$4:$D2647,"R")+1,"")</f>
        <v/>
      </c>
      <c r="C2648" s="19" t="str">
        <f t="shared" si="205"/>
        <v>B-BCP - Soles</v>
      </c>
      <c r="D2648" s="3" t="s">
        <v>1101</v>
      </c>
      <c r="E2648" s="14">
        <v>45853</v>
      </c>
      <c r="F2648" s="5" t="s">
        <v>1075</v>
      </c>
      <c r="G2648" s="5"/>
      <c r="H2648" s="6" t="s">
        <v>770</v>
      </c>
      <c r="I2648" s="6" t="s">
        <v>7882</v>
      </c>
      <c r="J2648" s="6" t="s">
        <v>7884</v>
      </c>
      <c r="K2648" s="6">
        <v>12</v>
      </c>
      <c r="L2648" s="7" t="s">
        <v>3616</v>
      </c>
      <c r="M2648" s="8">
        <v>990263</v>
      </c>
      <c r="N2648" s="8" t="str">
        <f t="shared" si="206"/>
        <v>PEN</v>
      </c>
      <c r="O2648" s="13">
        <v>2255.36</v>
      </c>
      <c r="P2648" s="13"/>
      <c r="Q2648" s="3">
        <f t="shared" si="207"/>
        <v>0</v>
      </c>
      <c r="R2648" s="3">
        <f t="shared" si="208"/>
        <v>0</v>
      </c>
      <c r="S2648" s="3">
        <f t="shared" si="209"/>
        <v>5399.1500000000233</v>
      </c>
      <c r="T2648" s="24"/>
      <c r="U2648" s="24"/>
      <c r="V2648" s="69"/>
      <c r="W2648" s="25">
        <f>IFERROR(VLOOKUP(BCP_Soles[[#This Row],[DESTINATARIO]],CHOOSE({1,2},Clientes_Proveedores[Razon Social],Clientes_Proveedores[Ruc / Dni]),2,0),"")</f>
        <v>70198916</v>
      </c>
      <c r="X2648" s="25"/>
      <c r="Y2648" s="25"/>
      <c r="Z2648" s="25"/>
      <c r="AA2648" s="101"/>
      <c r="AB2648" s="3" t="str">
        <f>IF(BCP_Soles[[#This Row],[FECHA]]&gt;0,TEXT(BCP_Soles[[#This Row],[FECHA]],"mmmm"),0)</f>
        <v>Julio</v>
      </c>
    </row>
    <row r="2649" spans="2:28" ht="24" x14ac:dyDescent="0.3">
      <c r="B2649" s="2" t="str">
        <f>IF(BCP_Soles[[#This Row],[TIPO DE R.]]="R",COUNTIFS($D$4:$D2648,"R")+1,"")</f>
        <v/>
      </c>
      <c r="C2649" s="19" t="str">
        <f t="shared" si="205"/>
        <v>B-BCP - Soles</v>
      </c>
      <c r="D2649" s="3" t="s">
        <v>1101</v>
      </c>
      <c r="E2649" s="14">
        <v>45853</v>
      </c>
      <c r="F2649" s="5" t="s">
        <v>1075</v>
      </c>
      <c r="G2649" s="5"/>
      <c r="H2649" s="6" t="s">
        <v>768</v>
      </c>
      <c r="I2649" s="6" t="s">
        <v>7882</v>
      </c>
      <c r="J2649" s="6" t="s">
        <v>7884</v>
      </c>
      <c r="K2649" s="6">
        <v>13</v>
      </c>
      <c r="L2649" s="7" t="s">
        <v>3616</v>
      </c>
      <c r="M2649" s="8">
        <v>990263</v>
      </c>
      <c r="N2649" s="8" t="str">
        <f t="shared" si="206"/>
        <v>PEN</v>
      </c>
      <c r="O2649" s="13">
        <v>1812.99</v>
      </c>
      <c r="P2649" s="13"/>
      <c r="Q2649" s="3">
        <f t="shared" si="207"/>
        <v>0</v>
      </c>
      <c r="R2649" s="3">
        <f t="shared" si="208"/>
        <v>0</v>
      </c>
      <c r="S2649" s="3">
        <f t="shared" si="209"/>
        <v>5399.1500000000233</v>
      </c>
      <c r="T2649" s="24"/>
      <c r="U2649" s="24"/>
      <c r="V2649" s="69"/>
      <c r="W2649" s="25">
        <f>IFERROR(VLOOKUP(BCP_Soles[[#This Row],[DESTINATARIO]],CHOOSE({1,2},Clientes_Proveedores[Razon Social],Clientes_Proveedores[Ruc / Dni]),2,0),"")</f>
        <v>74600892</v>
      </c>
      <c r="X2649" s="25"/>
      <c r="Y2649" s="25"/>
      <c r="Z2649" s="25"/>
      <c r="AA2649" s="101"/>
      <c r="AB2649" s="3" t="str">
        <f>IF(BCP_Soles[[#This Row],[FECHA]]&gt;0,TEXT(BCP_Soles[[#This Row],[FECHA]],"mmmm"),0)</f>
        <v>Julio</v>
      </c>
    </row>
    <row r="2650" spans="2:28" ht="24" x14ac:dyDescent="0.3">
      <c r="B2650" s="2" t="str">
        <f>IF(BCP_Soles[[#This Row],[TIPO DE R.]]="R",COUNTIFS($D$4:$D2649,"R")+1,"")</f>
        <v/>
      </c>
      <c r="C2650" s="19" t="str">
        <f t="shared" si="205"/>
        <v>B-BCP - Soles</v>
      </c>
      <c r="D2650" s="3" t="s">
        <v>1101</v>
      </c>
      <c r="E2650" s="14">
        <v>45853</v>
      </c>
      <c r="F2650" s="5" t="s">
        <v>1075</v>
      </c>
      <c r="G2650" s="5"/>
      <c r="H2650" s="6" t="s">
        <v>777</v>
      </c>
      <c r="I2650" s="6" t="s">
        <v>7882</v>
      </c>
      <c r="J2650" s="6" t="s">
        <v>7884</v>
      </c>
      <c r="K2650" s="6">
        <v>14</v>
      </c>
      <c r="L2650" s="7" t="s">
        <v>3616</v>
      </c>
      <c r="M2650" s="8">
        <v>990263</v>
      </c>
      <c r="N2650" s="8" t="str">
        <f t="shared" si="206"/>
        <v>PEN</v>
      </c>
      <c r="O2650" s="13">
        <v>2060.1</v>
      </c>
      <c r="P2650" s="13"/>
      <c r="Q2650" s="3">
        <f t="shared" si="207"/>
        <v>0</v>
      </c>
      <c r="R2650" s="3">
        <f t="shared" si="208"/>
        <v>0</v>
      </c>
      <c r="S2650" s="3">
        <f t="shared" si="209"/>
        <v>5399.1500000000233</v>
      </c>
      <c r="T2650" s="24"/>
      <c r="U2650" s="24"/>
      <c r="V2650" s="69"/>
      <c r="W2650" s="25">
        <f>IFERROR(VLOOKUP(BCP_Soles[[#This Row],[DESTINATARIO]],CHOOSE({1,2},Clientes_Proveedores[Razon Social],Clientes_Proveedores[Ruc / Dni]),2,0),"")</f>
        <v>44468346</v>
      </c>
      <c r="X2650" s="25"/>
      <c r="Y2650" s="25"/>
      <c r="Z2650" s="25"/>
      <c r="AA2650" s="101"/>
      <c r="AB2650" s="3" t="str">
        <f>IF(BCP_Soles[[#This Row],[FECHA]]&gt;0,TEXT(BCP_Soles[[#This Row],[FECHA]],"mmmm"),0)</f>
        <v>Julio</v>
      </c>
    </row>
    <row r="2651" spans="2:28" ht="24" x14ac:dyDescent="0.3">
      <c r="B2651" s="2" t="str">
        <f>IF(BCP_Soles[[#This Row],[TIPO DE R.]]="R",COUNTIFS($D$4:$D2650,"R")+1,"")</f>
        <v/>
      </c>
      <c r="C2651" s="19" t="str">
        <f t="shared" si="205"/>
        <v>B-BCP - Soles</v>
      </c>
      <c r="D2651" s="3" t="s">
        <v>1101</v>
      </c>
      <c r="E2651" s="14">
        <v>45853</v>
      </c>
      <c r="F2651" s="5" t="s">
        <v>1075</v>
      </c>
      <c r="G2651" s="5"/>
      <c r="H2651" s="6" t="s">
        <v>938</v>
      </c>
      <c r="I2651" s="6" t="s">
        <v>7882</v>
      </c>
      <c r="J2651" s="6" t="s">
        <v>7884</v>
      </c>
      <c r="K2651" s="6">
        <v>15</v>
      </c>
      <c r="L2651" s="7" t="s">
        <v>3616</v>
      </c>
      <c r="M2651" s="8">
        <v>990263</v>
      </c>
      <c r="N2651" s="8" t="str">
        <f t="shared" si="206"/>
        <v>PEN</v>
      </c>
      <c r="O2651" s="13">
        <v>526.83000000000004</v>
      </c>
      <c r="P2651" s="13"/>
      <c r="Q2651" s="3">
        <f t="shared" si="207"/>
        <v>0</v>
      </c>
      <c r="R2651" s="3">
        <f t="shared" si="208"/>
        <v>0</v>
      </c>
      <c r="S2651" s="3">
        <f t="shared" si="209"/>
        <v>5399.1500000000233</v>
      </c>
      <c r="T2651" s="24"/>
      <c r="U2651" s="24"/>
      <c r="V2651" s="69"/>
      <c r="W2651" s="25">
        <f>IFERROR(VLOOKUP(BCP_Soles[[#This Row],[DESTINATARIO]],CHOOSE({1,2},Clientes_Proveedores[Razon Social],Clientes_Proveedores[Ruc / Dni]),2,0),"")</f>
        <v>71334789</v>
      </c>
      <c r="X2651" s="25"/>
      <c r="Y2651" s="25"/>
      <c r="Z2651" s="25"/>
      <c r="AA2651" s="101"/>
      <c r="AB2651" s="3" t="str">
        <f>IF(BCP_Soles[[#This Row],[FECHA]]&gt;0,TEXT(BCP_Soles[[#This Row],[FECHA]],"mmmm"),0)</f>
        <v>Julio</v>
      </c>
    </row>
    <row r="2652" spans="2:28" ht="24" x14ac:dyDescent="0.3">
      <c r="B2652" s="2" t="str">
        <f>IF(BCP_Soles[[#This Row],[TIPO DE R.]]="R",COUNTIFS($D$4:$D2651,"R")+1,"")</f>
        <v/>
      </c>
      <c r="C2652" s="19" t="str">
        <f t="shared" si="205"/>
        <v>B-BCP - Soles</v>
      </c>
      <c r="D2652" s="3" t="s">
        <v>1101</v>
      </c>
      <c r="E2652" s="14">
        <v>45853</v>
      </c>
      <c r="F2652" s="5" t="s">
        <v>1075</v>
      </c>
      <c r="G2652" s="5"/>
      <c r="H2652" s="6" t="s">
        <v>798</v>
      </c>
      <c r="I2652" s="6" t="s">
        <v>7882</v>
      </c>
      <c r="J2652" s="6" t="s">
        <v>7884</v>
      </c>
      <c r="K2652" s="6">
        <v>16</v>
      </c>
      <c r="L2652" s="7" t="s">
        <v>3616</v>
      </c>
      <c r="M2652" s="8">
        <v>990263</v>
      </c>
      <c r="N2652" s="8" t="str">
        <f t="shared" si="206"/>
        <v>PEN</v>
      </c>
      <c r="O2652" s="13">
        <v>2072.61</v>
      </c>
      <c r="P2652" s="13"/>
      <c r="Q2652" s="3">
        <f t="shared" si="207"/>
        <v>0</v>
      </c>
      <c r="R2652" s="3">
        <f t="shared" si="208"/>
        <v>0</v>
      </c>
      <c r="S2652" s="3">
        <f t="shared" si="209"/>
        <v>5399.1500000000233</v>
      </c>
      <c r="T2652" s="24"/>
      <c r="U2652" s="24"/>
      <c r="V2652" s="69"/>
      <c r="W2652" s="25">
        <f>IFERROR(VLOOKUP(BCP_Soles[[#This Row],[DESTINATARIO]],CHOOSE({1,2},Clientes_Proveedores[Razon Social],Clientes_Proveedores[Ruc / Dni]),2,0),"")</f>
        <v>70666331</v>
      </c>
      <c r="X2652" s="25"/>
      <c r="Y2652" s="25"/>
      <c r="Z2652" s="25"/>
      <c r="AA2652" s="101"/>
      <c r="AB2652" s="3" t="str">
        <f>IF(BCP_Soles[[#This Row],[FECHA]]&gt;0,TEXT(BCP_Soles[[#This Row],[FECHA]],"mmmm"),0)</f>
        <v>Julio</v>
      </c>
    </row>
    <row r="2653" spans="2:28" ht="24" x14ac:dyDescent="0.3">
      <c r="B2653" s="2" t="str">
        <f>IF(BCP_Soles[[#This Row],[TIPO DE R.]]="R",COUNTIFS($D$4:$D2652,"R")+1,"")</f>
        <v/>
      </c>
      <c r="C2653" s="19" t="str">
        <f t="shared" si="205"/>
        <v>B-BCP - Soles</v>
      </c>
      <c r="D2653" s="3" t="s">
        <v>1101</v>
      </c>
      <c r="E2653" s="14">
        <v>45853</v>
      </c>
      <c r="F2653" s="5" t="s">
        <v>1075</v>
      </c>
      <c r="G2653" s="5"/>
      <c r="H2653" s="6" t="s">
        <v>800</v>
      </c>
      <c r="I2653" s="6" t="s">
        <v>7882</v>
      </c>
      <c r="J2653" s="6" t="s">
        <v>7884</v>
      </c>
      <c r="K2653" s="6">
        <v>17</v>
      </c>
      <c r="L2653" s="7" t="s">
        <v>3616</v>
      </c>
      <c r="M2653" s="8">
        <v>990263</v>
      </c>
      <c r="N2653" s="8" t="str">
        <f t="shared" si="206"/>
        <v>PEN</v>
      </c>
      <c r="O2653" s="13">
        <v>1435.98</v>
      </c>
      <c r="P2653" s="13"/>
      <c r="Q2653" s="3">
        <f t="shared" si="207"/>
        <v>0</v>
      </c>
      <c r="R2653" s="3">
        <f t="shared" si="208"/>
        <v>0</v>
      </c>
      <c r="S2653" s="3">
        <f t="shared" si="209"/>
        <v>5399.1500000000233</v>
      </c>
      <c r="T2653" s="24"/>
      <c r="U2653" s="24"/>
      <c r="V2653" s="69"/>
      <c r="W2653" s="25">
        <f>IFERROR(VLOOKUP(BCP_Soles[[#This Row],[DESTINATARIO]],CHOOSE({1,2},Clientes_Proveedores[Razon Social],Clientes_Proveedores[Ruc / Dni]),2,0),"")</f>
        <v>43814375</v>
      </c>
      <c r="X2653" s="25"/>
      <c r="Y2653" s="25"/>
      <c r="Z2653" s="25"/>
      <c r="AA2653" s="101"/>
      <c r="AB2653" s="3" t="str">
        <f>IF(BCP_Soles[[#This Row],[FECHA]]&gt;0,TEXT(BCP_Soles[[#This Row],[FECHA]],"mmmm"),0)</f>
        <v>Julio</v>
      </c>
    </row>
    <row r="2654" spans="2:28" ht="24" x14ac:dyDescent="0.3">
      <c r="B2654" s="2" t="str">
        <f>IF(BCP_Soles[[#This Row],[TIPO DE R.]]="R",COUNTIFS($D$4:$D2653,"R")+1,"")</f>
        <v/>
      </c>
      <c r="C2654" s="19" t="str">
        <f t="shared" si="205"/>
        <v>B-BCP - Soles</v>
      </c>
      <c r="D2654" s="3" t="s">
        <v>1101</v>
      </c>
      <c r="E2654" s="14">
        <v>45853</v>
      </c>
      <c r="F2654" s="5" t="s">
        <v>1075</v>
      </c>
      <c r="G2654" s="5"/>
      <c r="H2654" s="6" t="s">
        <v>634</v>
      </c>
      <c r="I2654" s="6" t="s">
        <v>7882</v>
      </c>
      <c r="J2654" s="6" t="s">
        <v>7884</v>
      </c>
      <c r="K2654" s="6">
        <v>18</v>
      </c>
      <c r="L2654" s="7" t="s">
        <v>3616</v>
      </c>
      <c r="M2654" s="8">
        <v>990263</v>
      </c>
      <c r="N2654" s="8" t="str">
        <f t="shared" si="206"/>
        <v>PEN</v>
      </c>
      <c r="O2654" s="13">
        <v>2155.0500000000002</v>
      </c>
      <c r="P2654" s="13"/>
      <c r="Q2654" s="3">
        <f t="shared" si="207"/>
        <v>0</v>
      </c>
      <c r="R2654" s="3">
        <f t="shared" si="208"/>
        <v>0</v>
      </c>
      <c r="S2654" s="3">
        <f t="shared" si="209"/>
        <v>5399.1500000000233</v>
      </c>
      <c r="T2654" s="24"/>
      <c r="U2654" s="24"/>
      <c r="V2654" s="69"/>
      <c r="W2654" s="25">
        <f>IFERROR(VLOOKUP(BCP_Soles[[#This Row],[DESTINATARIO]],CHOOSE({1,2},Clientes_Proveedores[Razon Social],Clientes_Proveedores[Ruc / Dni]),2,0),"")</f>
        <v>10736055631</v>
      </c>
      <c r="X2654" s="25"/>
      <c r="Y2654" s="25"/>
      <c r="Z2654" s="25"/>
      <c r="AA2654" s="101"/>
      <c r="AB2654" s="3" t="str">
        <f>IF(BCP_Soles[[#This Row],[FECHA]]&gt;0,TEXT(BCP_Soles[[#This Row],[FECHA]],"mmmm"),0)</f>
        <v>Julio</v>
      </c>
    </row>
    <row r="2655" spans="2:28" ht="24" x14ac:dyDescent="0.3">
      <c r="B2655" s="2" t="str">
        <f>IF(BCP_Soles[[#This Row],[TIPO DE R.]]="R",COUNTIFS($D$4:$D2654,"R")+1,"")</f>
        <v/>
      </c>
      <c r="C2655" s="19" t="str">
        <f t="shared" si="205"/>
        <v>B-BCP - Soles</v>
      </c>
      <c r="D2655" s="3" t="s">
        <v>1101</v>
      </c>
      <c r="E2655" s="14">
        <v>45853</v>
      </c>
      <c r="F2655" s="5" t="s">
        <v>1075</v>
      </c>
      <c r="G2655" s="5"/>
      <c r="H2655" s="6" t="s">
        <v>807</v>
      </c>
      <c r="I2655" s="6" t="s">
        <v>7882</v>
      </c>
      <c r="J2655" s="6" t="s">
        <v>7884</v>
      </c>
      <c r="K2655" s="6">
        <v>19</v>
      </c>
      <c r="L2655" s="7" t="s">
        <v>3616</v>
      </c>
      <c r="M2655" s="8">
        <v>990263</v>
      </c>
      <c r="N2655" s="8" t="str">
        <f t="shared" si="206"/>
        <v>PEN</v>
      </c>
      <c r="O2655" s="13">
        <v>1695.37</v>
      </c>
      <c r="P2655" s="13"/>
      <c r="Q2655" s="3">
        <f t="shared" si="207"/>
        <v>0</v>
      </c>
      <c r="R2655" s="3">
        <f t="shared" si="208"/>
        <v>0</v>
      </c>
      <c r="S2655" s="3">
        <f t="shared" si="209"/>
        <v>5399.1500000000233</v>
      </c>
      <c r="T2655" s="24"/>
      <c r="U2655" s="24"/>
      <c r="V2655" s="69"/>
      <c r="W2655" s="25">
        <f>IFERROR(VLOOKUP(BCP_Soles[[#This Row],[DESTINATARIO]],CHOOSE({1,2},Clientes_Proveedores[Razon Social],Clientes_Proveedores[Ruc / Dni]),2,0),"")</f>
        <v>45921913</v>
      </c>
      <c r="X2655" s="25"/>
      <c r="Y2655" s="25"/>
      <c r="Z2655" s="25"/>
      <c r="AA2655" s="101"/>
      <c r="AB2655" s="3" t="str">
        <f>IF(BCP_Soles[[#This Row],[FECHA]]&gt;0,TEXT(BCP_Soles[[#This Row],[FECHA]],"mmmm"),0)</f>
        <v>Julio</v>
      </c>
    </row>
    <row r="2656" spans="2:28" ht="24" x14ac:dyDescent="0.3">
      <c r="B2656" s="2" t="str">
        <f>IF(BCP_Soles[[#This Row],[TIPO DE R.]]="R",COUNTIFS($D$4:$D2655,"R")+1,"")</f>
        <v/>
      </c>
      <c r="C2656" s="19" t="str">
        <f t="shared" si="205"/>
        <v>B-BCP - Soles</v>
      </c>
      <c r="D2656" s="3" t="s">
        <v>1101</v>
      </c>
      <c r="E2656" s="14">
        <v>45853</v>
      </c>
      <c r="F2656" s="5" t="s">
        <v>1075</v>
      </c>
      <c r="G2656" s="5"/>
      <c r="H2656" s="6" t="s">
        <v>812</v>
      </c>
      <c r="I2656" s="6" t="s">
        <v>7882</v>
      </c>
      <c r="J2656" s="6" t="s">
        <v>7884</v>
      </c>
      <c r="K2656" s="6">
        <v>20</v>
      </c>
      <c r="L2656" s="7" t="s">
        <v>3616</v>
      </c>
      <c r="M2656" s="8">
        <v>990263</v>
      </c>
      <c r="N2656" s="8" t="str">
        <f t="shared" si="206"/>
        <v>PEN</v>
      </c>
      <c r="O2656" s="13">
        <v>1918.4</v>
      </c>
      <c r="P2656" s="13"/>
      <c r="Q2656" s="3">
        <f t="shared" si="207"/>
        <v>0</v>
      </c>
      <c r="R2656" s="3">
        <f t="shared" si="208"/>
        <v>0</v>
      </c>
      <c r="S2656" s="3">
        <f t="shared" si="209"/>
        <v>5399.1500000000233</v>
      </c>
      <c r="T2656" s="24"/>
      <c r="U2656" s="24"/>
      <c r="V2656" s="69"/>
      <c r="W2656" s="25">
        <f>IFERROR(VLOOKUP(BCP_Soles[[#This Row],[DESTINATARIO]],CHOOSE({1,2},Clientes_Proveedores[Razon Social],Clientes_Proveedores[Ruc / Dni]),2,0),"")</f>
        <v>72302392</v>
      </c>
      <c r="X2656" s="25"/>
      <c r="Y2656" s="25"/>
      <c r="Z2656" s="25"/>
      <c r="AA2656" s="101"/>
      <c r="AB2656" s="3" t="str">
        <f>IF(BCP_Soles[[#This Row],[FECHA]]&gt;0,TEXT(BCP_Soles[[#This Row],[FECHA]],"mmmm"),0)</f>
        <v>Julio</v>
      </c>
    </row>
    <row r="2657" spans="2:28" ht="24" x14ac:dyDescent="0.3">
      <c r="B2657" s="2" t="str">
        <f>IF(BCP_Soles[[#This Row],[TIPO DE R.]]="R",COUNTIFS($D$4:$D2656,"R")+1,"")</f>
        <v/>
      </c>
      <c r="C2657" s="19" t="str">
        <f t="shared" si="205"/>
        <v>B-BCP - Soles</v>
      </c>
      <c r="D2657" s="3" t="s">
        <v>1101</v>
      </c>
      <c r="E2657" s="14">
        <v>45853</v>
      </c>
      <c r="F2657" s="5" t="s">
        <v>1075</v>
      </c>
      <c r="G2657" s="5"/>
      <c r="H2657" s="6" t="s">
        <v>814</v>
      </c>
      <c r="I2657" s="6" t="s">
        <v>7882</v>
      </c>
      <c r="J2657" s="6" t="s">
        <v>7884</v>
      </c>
      <c r="K2657" s="6">
        <v>21</v>
      </c>
      <c r="L2657" s="7" t="s">
        <v>3616</v>
      </c>
      <c r="M2657" s="8">
        <v>990263</v>
      </c>
      <c r="N2657" s="8" t="str">
        <f t="shared" si="206"/>
        <v>PEN</v>
      </c>
      <c r="O2657" s="13">
        <v>1431.17</v>
      </c>
      <c r="P2657" s="13"/>
      <c r="Q2657" s="3">
        <f t="shared" si="207"/>
        <v>0</v>
      </c>
      <c r="R2657" s="3">
        <f t="shared" si="208"/>
        <v>0</v>
      </c>
      <c r="S2657" s="3">
        <f t="shared" si="209"/>
        <v>5399.1500000000233</v>
      </c>
      <c r="T2657" s="24"/>
      <c r="U2657" s="24"/>
      <c r="V2657" s="69"/>
      <c r="W2657" s="25">
        <f>IFERROR(VLOOKUP(BCP_Soles[[#This Row],[DESTINATARIO]],CHOOSE({1,2},Clientes_Proveedores[Razon Social],Clientes_Proveedores[Ruc / Dni]),2,0),"")</f>
        <v>80355193</v>
      </c>
      <c r="X2657" s="25"/>
      <c r="Y2657" s="25"/>
      <c r="Z2657" s="25"/>
      <c r="AA2657" s="101"/>
      <c r="AB2657" s="3" t="str">
        <f>IF(BCP_Soles[[#This Row],[FECHA]]&gt;0,TEXT(BCP_Soles[[#This Row],[FECHA]],"mmmm"),0)</f>
        <v>Julio</v>
      </c>
    </row>
    <row r="2658" spans="2:28" x14ac:dyDescent="0.3">
      <c r="B2658" s="2" t="str">
        <f>IF(BCP_Soles[[#This Row],[TIPO DE R.]]="R",COUNTIFS($D$4:$D2657,"R")+1,"")</f>
        <v/>
      </c>
      <c r="C2658" s="19" t="str">
        <f t="shared" si="205"/>
        <v>B-BCP - Soles</v>
      </c>
      <c r="D2658" s="3" t="s">
        <v>1101</v>
      </c>
      <c r="E2658" s="14">
        <v>45853</v>
      </c>
      <c r="F2658" s="5" t="s">
        <v>1075</v>
      </c>
      <c r="G2658" s="5"/>
      <c r="H2658" s="6" t="s">
        <v>817</v>
      </c>
      <c r="I2658" s="6" t="s">
        <v>7882</v>
      </c>
      <c r="J2658" s="6" t="s">
        <v>7884</v>
      </c>
      <c r="K2658" s="6">
        <v>22</v>
      </c>
      <c r="L2658" s="7" t="s">
        <v>3616</v>
      </c>
      <c r="M2658" s="8">
        <v>990263</v>
      </c>
      <c r="N2658" s="8" t="str">
        <f t="shared" si="206"/>
        <v>PEN</v>
      </c>
      <c r="O2658" s="13">
        <v>2103.6799999999998</v>
      </c>
      <c r="P2658" s="13"/>
      <c r="Q2658" s="3">
        <f t="shared" si="207"/>
        <v>0</v>
      </c>
      <c r="R2658" s="3">
        <f t="shared" si="208"/>
        <v>0</v>
      </c>
      <c r="S2658" s="3">
        <f t="shared" si="209"/>
        <v>5399.1500000000233</v>
      </c>
      <c r="T2658" s="24"/>
      <c r="U2658" s="24"/>
      <c r="V2658" s="69"/>
      <c r="W2658" s="25">
        <f>IFERROR(VLOOKUP(BCP_Soles[[#This Row],[DESTINATARIO]],CHOOSE({1,2},Clientes_Proveedores[Razon Social],Clientes_Proveedores[Ruc / Dni]),2,0),"")</f>
        <v>1829028</v>
      </c>
      <c r="X2658" s="25"/>
      <c r="Y2658" s="25"/>
      <c r="Z2658" s="25"/>
      <c r="AA2658" s="101"/>
      <c r="AB2658" s="3" t="str">
        <f>IF(BCP_Soles[[#This Row],[FECHA]]&gt;0,TEXT(BCP_Soles[[#This Row],[FECHA]],"mmmm"),0)</f>
        <v>Julio</v>
      </c>
    </row>
    <row r="2659" spans="2:28" ht="24" x14ac:dyDescent="0.3">
      <c r="B2659" s="2" t="str">
        <f>IF(BCP_Soles[[#This Row],[TIPO DE R.]]="R",COUNTIFS($D$4:$D2658,"R")+1,"")</f>
        <v/>
      </c>
      <c r="C2659" s="19" t="str">
        <f t="shared" si="205"/>
        <v>B-BCP - Soles</v>
      </c>
      <c r="D2659" s="3" t="s">
        <v>1101</v>
      </c>
      <c r="E2659" s="14">
        <v>45853</v>
      </c>
      <c r="F2659" s="5" t="s">
        <v>1075</v>
      </c>
      <c r="G2659" s="5"/>
      <c r="H2659" s="6" t="s">
        <v>823</v>
      </c>
      <c r="I2659" s="6" t="s">
        <v>7882</v>
      </c>
      <c r="J2659" s="6" t="s">
        <v>7884</v>
      </c>
      <c r="K2659" s="6">
        <v>23</v>
      </c>
      <c r="L2659" s="7" t="s">
        <v>3616</v>
      </c>
      <c r="M2659" s="8">
        <v>990263</v>
      </c>
      <c r="N2659" s="8" t="str">
        <f t="shared" si="206"/>
        <v>PEN</v>
      </c>
      <c r="O2659" s="13">
        <v>3022.06</v>
      </c>
      <c r="P2659" s="13"/>
      <c r="Q2659" s="3">
        <f t="shared" si="207"/>
        <v>0</v>
      </c>
      <c r="R2659" s="3">
        <f t="shared" si="208"/>
        <v>0</v>
      </c>
      <c r="S2659" s="3">
        <f t="shared" si="209"/>
        <v>5399.1500000000233</v>
      </c>
      <c r="T2659" s="24"/>
      <c r="U2659" s="24"/>
      <c r="V2659" s="69"/>
      <c r="W2659" s="25">
        <f>IFERROR(VLOOKUP(BCP_Soles[[#This Row],[DESTINATARIO]],CHOOSE({1,2},Clientes_Proveedores[Razon Social],Clientes_Proveedores[Ruc / Dni]),2,0),"")</f>
        <v>72450429</v>
      </c>
      <c r="X2659" s="25"/>
      <c r="Y2659" s="25"/>
      <c r="Z2659" s="25"/>
      <c r="AA2659" s="101"/>
      <c r="AB2659" s="3" t="str">
        <f>IF(BCP_Soles[[#This Row],[FECHA]]&gt;0,TEXT(BCP_Soles[[#This Row],[FECHA]],"mmmm"),0)</f>
        <v>Julio</v>
      </c>
    </row>
    <row r="2660" spans="2:28" ht="24" x14ac:dyDescent="0.3">
      <c r="B2660" s="2" t="str">
        <f>IF(BCP_Soles[[#This Row],[TIPO DE R.]]="R",COUNTIFS($D$4:$D2659,"R")+1,"")</f>
        <v/>
      </c>
      <c r="C2660" s="19" t="str">
        <f t="shared" si="205"/>
        <v>B-BCP - Soles</v>
      </c>
      <c r="D2660" s="3" t="s">
        <v>1101</v>
      </c>
      <c r="E2660" s="14">
        <v>45853</v>
      </c>
      <c r="F2660" s="5" t="s">
        <v>1075</v>
      </c>
      <c r="G2660" s="5"/>
      <c r="H2660" s="6" t="s">
        <v>951</v>
      </c>
      <c r="I2660" s="6" t="s">
        <v>7882</v>
      </c>
      <c r="J2660" s="6" t="s">
        <v>7884</v>
      </c>
      <c r="K2660" s="6">
        <v>24</v>
      </c>
      <c r="L2660" s="7" t="s">
        <v>3616</v>
      </c>
      <c r="M2660" s="8">
        <v>990263</v>
      </c>
      <c r="N2660" s="8" t="str">
        <f t="shared" si="206"/>
        <v>PEN</v>
      </c>
      <c r="O2660" s="13">
        <v>566.19000000000005</v>
      </c>
      <c r="P2660" s="13"/>
      <c r="Q2660" s="3">
        <f t="shared" si="207"/>
        <v>0</v>
      </c>
      <c r="R2660" s="3">
        <f t="shared" si="208"/>
        <v>0</v>
      </c>
      <c r="S2660" s="3">
        <f t="shared" si="209"/>
        <v>5399.1500000000233</v>
      </c>
      <c r="T2660" s="24"/>
      <c r="U2660" s="24"/>
      <c r="V2660" s="69"/>
      <c r="W2660" s="25">
        <f>IFERROR(VLOOKUP(BCP_Soles[[#This Row],[DESTINATARIO]],CHOOSE({1,2},Clientes_Proveedores[Razon Social],Clientes_Proveedores[Ruc / Dni]),2,0),"")</f>
        <v>48197510</v>
      </c>
      <c r="X2660" s="25"/>
      <c r="Y2660" s="25"/>
      <c r="Z2660" s="25"/>
      <c r="AA2660" s="101"/>
      <c r="AB2660" s="3" t="str">
        <f>IF(BCP_Soles[[#This Row],[FECHA]]&gt;0,TEXT(BCP_Soles[[#This Row],[FECHA]],"mmmm"),0)</f>
        <v>Julio</v>
      </c>
    </row>
    <row r="2661" spans="2:28" ht="24" x14ac:dyDescent="0.3">
      <c r="B2661" s="2" t="str">
        <f>IF(BCP_Soles[[#This Row],[TIPO DE R.]]="R",COUNTIFS($D$4:$D2660,"R")+1,"")</f>
        <v/>
      </c>
      <c r="C2661" s="19" t="str">
        <f t="shared" si="205"/>
        <v>B-BCP - Soles</v>
      </c>
      <c r="D2661" s="3" t="s">
        <v>1101</v>
      </c>
      <c r="E2661" s="14">
        <v>45853</v>
      </c>
      <c r="F2661" s="5" t="s">
        <v>1075</v>
      </c>
      <c r="G2661" s="5"/>
      <c r="H2661" s="6" t="s">
        <v>829</v>
      </c>
      <c r="I2661" s="6" t="s">
        <v>7882</v>
      </c>
      <c r="J2661" s="6" t="s">
        <v>7884</v>
      </c>
      <c r="K2661" s="6">
        <v>25</v>
      </c>
      <c r="L2661" s="7" t="s">
        <v>3616</v>
      </c>
      <c r="M2661" s="8">
        <v>990263</v>
      </c>
      <c r="N2661" s="8" t="str">
        <f t="shared" si="206"/>
        <v>PEN</v>
      </c>
      <c r="O2661" s="13">
        <v>2901.04</v>
      </c>
      <c r="P2661" s="13"/>
      <c r="Q2661" s="3">
        <f t="shared" si="207"/>
        <v>0</v>
      </c>
      <c r="R2661" s="3">
        <f t="shared" si="208"/>
        <v>0</v>
      </c>
      <c r="S2661" s="3">
        <f t="shared" si="209"/>
        <v>5399.1500000000233</v>
      </c>
      <c r="T2661" s="24"/>
      <c r="U2661" s="24"/>
      <c r="V2661" s="69"/>
      <c r="W2661" s="25">
        <f>IFERROR(VLOOKUP(BCP_Soles[[#This Row],[DESTINATARIO]],CHOOSE({1,2},Clientes_Proveedores[Razon Social],Clientes_Proveedores[Ruc / Dni]),2,0),"")</f>
        <v>47461440</v>
      </c>
      <c r="X2661" s="25"/>
      <c r="Y2661" s="25"/>
      <c r="Z2661" s="25"/>
      <c r="AA2661" s="101"/>
      <c r="AB2661" s="3" t="str">
        <f>IF(BCP_Soles[[#This Row],[FECHA]]&gt;0,TEXT(BCP_Soles[[#This Row],[FECHA]],"mmmm"),0)</f>
        <v>Julio</v>
      </c>
    </row>
    <row r="2662" spans="2:28" ht="24" x14ac:dyDescent="0.3">
      <c r="B2662" s="2" t="str">
        <f>IF(BCP_Soles[[#This Row],[TIPO DE R.]]="R",COUNTIFS($D$4:$D2661,"R")+1,"")</f>
        <v/>
      </c>
      <c r="C2662" s="19" t="str">
        <f t="shared" si="205"/>
        <v>B-BCP - Soles</v>
      </c>
      <c r="D2662" s="3" t="s">
        <v>1101</v>
      </c>
      <c r="E2662" s="14">
        <v>45853</v>
      </c>
      <c r="F2662" s="5" t="s">
        <v>1075</v>
      </c>
      <c r="G2662" s="5"/>
      <c r="H2662" s="6" t="s">
        <v>831</v>
      </c>
      <c r="I2662" s="6" t="s">
        <v>7882</v>
      </c>
      <c r="J2662" s="6" t="s">
        <v>7884</v>
      </c>
      <c r="K2662" s="6">
        <v>26</v>
      </c>
      <c r="L2662" s="7" t="s">
        <v>3616</v>
      </c>
      <c r="M2662" s="8">
        <v>990263</v>
      </c>
      <c r="N2662" s="8" t="str">
        <f t="shared" si="206"/>
        <v>PEN</v>
      </c>
      <c r="O2662" s="13">
        <v>2550.4</v>
      </c>
      <c r="P2662" s="13"/>
      <c r="Q2662" s="3">
        <f t="shared" si="207"/>
        <v>0</v>
      </c>
      <c r="R2662" s="3">
        <f t="shared" si="208"/>
        <v>0</v>
      </c>
      <c r="S2662" s="3">
        <f t="shared" si="209"/>
        <v>5399.1500000000233</v>
      </c>
      <c r="T2662" s="24"/>
      <c r="U2662" s="24"/>
      <c r="V2662" s="69"/>
      <c r="W2662" s="25">
        <f>IFERROR(VLOOKUP(BCP_Soles[[#This Row],[DESTINATARIO]],CHOOSE({1,2},Clientes_Proveedores[Razon Social],Clientes_Proveedores[Ruc / Dni]),2,0),"")</f>
        <v>78803424</v>
      </c>
      <c r="X2662" s="25"/>
      <c r="Y2662" s="25"/>
      <c r="Z2662" s="25"/>
      <c r="AA2662" s="101"/>
      <c r="AB2662" s="3" t="str">
        <f>IF(BCP_Soles[[#This Row],[FECHA]]&gt;0,TEXT(BCP_Soles[[#This Row],[FECHA]],"mmmm"),0)</f>
        <v>Julio</v>
      </c>
    </row>
    <row r="2663" spans="2:28" ht="24" x14ac:dyDescent="0.3">
      <c r="B2663" s="2" t="str">
        <f>IF(BCP_Soles[[#This Row],[TIPO DE R.]]="R",COUNTIFS($D$4:$D2662,"R")+1,"")</f>
        <v/>
      </c>
      <c r="C2663" s="19" t="str">
        <f t="shared" si="205"/>
        <v>B-BCP - Soles</v>
      </c>
      <c r="D2663" s="3" t="s">
        <v>1101</v>
      </c>
      <c r="E2663" s="14">
        <v>45853</v>
      </c>
      <c r="F2663" s="5" t="s">
        <v>1075</v>
      </c>
      <c r="G2663" s="5"/>
      <c r="H2663" s="6" t="s">
        <v>836</v>
      </c>
      <c r="I2663" s="6" t="s">
        <v>7882</v>
      </c>
      <c r="J2663" s="6" t="s">
        <v>7884</v>
      </c>
      <c r="K2663" s="6">
        <v>27</v>
      </c>
      <c r="L2663" s="7" t="s">
        <v>3616</v>
      </c>
      <c r="M2663" s="8">
        <v>990263</v>
      </c>
      <c r="N2663" s="8" t="str">
        <f t="shared" si="206"/>
        <v>PEN</v>
      </c>
      <c r="O2663" s="13">
        <v>2376.1999999999998</v>
      </c>
      <c r="P2663" s="13"/>
      <c r="Q2663" s="3">
        <f t="shared" si="207"/>
        <v>0</v>
      </c>
      <c r="R2663" s="3">
        <f t="shared" si="208"/>
        <v>0</v>
      </c>
      <c r="S2663" s="3">
        <f t="shared" si="209"/>
        <v>5399.1500000000233</v>
      </c>
      <c r="T2663" s="24"/>
      <c r="U2663" s="24"/>
      <c r="V2663" s="69"/>
      <c r="W2663" s="25">
        <f>IFERROR(VLOOKUP(BCP_Soles[[#This Row],[DESTINATARIO]],CHOOSE({1,2},Clientes_Proveedores[Razon Social],Clientes_Proveedores[Ruc / Dni]),2,0),"")</f>
        <v>72144092</v>
      </c>
      <c r="X2663" s="25"/>
      <c r="Y2663" s="25"/>
      <c r="Z2663" s="25"/>
      <c r="AA2663" s="101"/>
      <c r="AB2663" s="3" t="str">
        <f>IF(BCP_Soles[[#This Row],[FECHA]]&gt;0,TEXT(BCP_Soles[[#This Row],[FECHA]],"mmmm"),0)</f>
        <v>Julio</v>
      </c>
    </row>
    <row r="2664" spans="2:28" ht="24" x14ac:dyDescent="0.3">
      <c r="B2664" s="2" t="str">
        <f>IF(BCP_Soles[[#This Row],[TIPO DE R.]]="R",COUNTIFS($D$4:$D2663,"R")+1,"")</f>
        <v/>
      </c>
      <c r="C2664" s="19" t="str">
        <f t="shared" si="205"/>
        <v>B-BCP - Soles</v>
      </c>
      <c r="D2664" s="3" t="s">
        <v>1101</v>
      </c>
      <c r="E2664" s="14">
        <v>45853</v>
      </c>
      <c r="F2664" s="5" t="s">
        <v>1075</v>
      </c>
      <c r="G2664" s="5"/>
      <c r="H2664" s="6" t="s">
        <v>842</v>
      </c>
      <c r="I2664" s="6" t="s">
        <v>7882</v>
      </c>
      <c r="J2664" s="6" t="s">
        <v>7884</v>
      </c>
      <c r="K2664" s="6">
        <v>28</v>
      </c>
      <c r="L2664" s="7" t="s">
        <v>3616</v>
      </c>
      <c r="M2664" s="8">
        <v>990263</v>
      </c>
      <c r="N2664" s="8" t="str">
        <f t="shared" si="206"/>
        <v>PEN</v>
      </c>
      <c r="O2664" s="13">
        <v>2853.84</v>
      </c>
      <c r="P2664" s="13"/>
      <c r="Q2664" s="3">
        <f t="shared" si="207"/>
        <v>0</v>
      </c>
      <c r="R2664" s="3">
        <f t="shared" si="208"/>
        <v>0</v>
      </c>
      <c r="S2664" s="3">
        <f t="shared" si="209"/>
        <v>5399.1500000000233</v>
      </c>
      <c r="T2664" s="24"/>
      <c r="U2664" s="24"/>
      <c r="V2664" s="69"/>
      <c r="W2664" s="25">
        <f>IFERROR(VLOOKUP(BCP_Soles[[#This Row],[DESTINATARIO]],CHOOSE({1,2},Clientes_Proveedores[Razon Social],Clientes_Proveedores[Ruc / Dni]),2,0),"")</f>
        <v>72131384</v>
      </c>
      <c r="X2664" s="25"/>
      <c r="Y2664" s="25"/>
      <c r="Z2664" s="25"/>
      <c r="AA2664" s="101"/>
      <c r="AB2664" s="3" t="str">
        <f>IF(BCP_Soles[[#This Row],[FECHA]]&gt;0,TEXT(BCP_Soles[[#This Row],[FECHA]],"mmmm"),0)</f>
        <v>Julio</v>
      </c>
    </row>
    <row r="2665" spans="2:28" ht="24" x14ac:dyDescent="0.3">
      <c r="B2665" s="2" t="str">
        <f>IF(BCP_Soles[[#This Row],[TIPO DE R.]]="R",COUNTIFS($D$4:$D2664,"R")+1,"")</f>
        <v/>
      </c>
      <c r="C2665" s="19" t="str">
        <f t="shared" si="205"/>
        <v>B-BCP - Soles</v>
      </c>
      <c r="D2665" s="3" t="s">
        <v>1101</v>
      </c>
      <c r="E2665" s="14">
        <v>45853</v>
      </c>
      <c r="F2665" s="5" t="s">
        <v>1075</v>
      </c>
      <c r="G2665" s="5"/>
      <c r="H2665" s="6" t="s">
        <v>934</v>
      </c>
      <c r="I2665" s="6" t="s">
        <v>7882</v>
      </c>
      <c r="J2665" s="6" t="s">
        <v>7884</v>
      </c>
      <c r="K2665" s="6">
        <v>29</v>
      </c>
      <c r="L2665" s="7" t="s">
        <v>3616</v>
      </c>
      <c r="M2665" s="8">
        <v>990263</v>
      </c>
      <c r="N2665" s="8" t="str">
        <f t="shared" si="206"/>
        <v>PEN</v>
      </c>
      <c r="O2665" s="13">
        <v>1462.42</v>
      </c>
      <c r="P2665" s="13"/>
      <c r="Q2665" s="3">
        <f t="shared" si="207"/>
        <v>0</v>
      </c>
      <c r="R2665" s="3">
        <f t="shared" si="208"/>
        <v>0</v>
      </c>
      <c r="S2665" s="3">
        <f t="shared" si="209"/>
        <v>5399.1500000000233</v>
      </c>
      <c r="T2665" s="24"/>
      <c r="U2665" s="24"/>
      <c r="V2665" s="69"/>
      <c r="W2665" s="25">
        <f>IFERROR(VLOOKUP(BCP_Soles[[#This Row],[DESTINATARIO]],CHOOSE({1,2},Clientes_Proveedores[Razon Social],Clientes_Proveedores[Ruc / Dni]),2,0),"")</f>
        <v>76390500</v>
      </c>
      <c r="X2665" s="25"/>
      <c r="Y2665" s="25"/>
      <c r="Z2665" s="25"/>
      <c r="AA2665" s="101"/>
      <c r="AB2665" s="3" t="str">
        <f>IF(BCP_Soles[[#This Row],[FECHA]]&gt;0,TEXT(BCP_Soles[[#This Row],[FECHA]],"mmmm"),0)</f>
        <v>Julio</v>
      </c>
    </row>
    <row r="2666" spans="2:28" ht="24" x14ac:dyDescent="0.3">
      <c r="B2666" s="2" t="str">
        <f>IF(BCP_Soles[[#This Row],[TIPO DE R.]]="R",COUNTIFS($D$4:$D2665,"R")+1,"")</f>
        <v/>
      </c>
      <c r="C2666" s="19" t="str">
        <f t="shared" si="205"/>
        <v>B-BCP - Soles</v>
      </c>
      <c r="D2666" s="3" t="s">
        <v>1101</v>
      </c>
      <c r="E2666" s="14">
        <v>45853</v>
      </c>
      <c r="F2666" s="5" t="s">
        <v>1075</v>
      </c>
      <c r="G2666" s="5"/>
      <c r="H2666" s="6" t="s">
        <v>850</v>
      </c>
      <c r="I2666" s="6" t="s">
        <v>7882</v>
      </c>
      <c r="J2666" s="6" t="s">
        <v>7884</v>
      </c>
      <c r="K2666" s="6">
        <v>30</v>
      </c>
      <c r="L2666" s="7" t="s">
        <v>3616</v>
      </c>
      <c r="M2666" s="8">
        <v>990263</v>
      </c>
      <c r="N2666" s="8" t="str">
        <f t="shared" si="206"/>
        <v>PEN</v>
      </c>
      <c r="O2666" s="13">
        <v>3727.07</v>
      </c>
      <c r="P2666" s="13"/>
      <c r="Q2666" s="3">
        <f t="shared" si="207"/>
        <v>0</v>
      </c>
      <c r="R2666" s="3">
        <f t="shared" si="208"/>
        <v>0</v>
      </c>
      <c r="S2666" s="3">
        <f t="shared" si="209"/>
        <v>5399.1500000000233</v>
      </c>
      <c r="T2666" s="24"/>
      <c r="U2666" s="24"/>
      <c r="V2666" s="69"/>
      <c r="W2666" s="25">
        <f>IFERROR(VLOOKUP(BCP_Soles[[#This Row],[DESTINATARIO]],CHOOSE({1,2},Clientes_Proveedores[Razon Social],Clientes_Proveedores[Ruc / Dni]),2,0),"")</f>
        <v>44314304</v>
      </c>
      <c r="X2666" s="25"/>
      <c r="Y2666" s="25"/>
      <c r="Z2666" s="25"/>
      <c r="AA2666" s="101"/>
      <c r="AB2666" s="3" t="str">
        <f>IF(BCP_Soles[[#This Row],[FECHA]]&gt;0,TEXT(BCP_Soles[[#This Row],[FECHA]],"mmmm"),0)</f>
        <v>Julio</v>
      </c>
    </row>
    <row r="2667" spans="2:28" x14ac:dyDescent="0.3">
      <c r="B2667" s="2" t="str">
        <f>IF(BCP_Soles[[#This Row],[TIPO DE R.]]="R",COUNTIFS($D$4:$D2666,"R")+1,"")</f>
        <v/>
      </c>
      <c r="C2667" s="19" t="str">
        <f t="shared" si="205"/>
        <v>B-BCP - Soles</v>
      </c>
      <c r="D2667" s="3" t="s">
        <v>1101</v>
      </c>
      <c r="E2667" s="14">
        <v>45853</v>
      </c>
      <c r="F2667" s="5" t="s">
        <v>1075</v>
      </c>
      <c r="G2667" s="5"/>
      <c r="H2667" s="6" t="s">
        <v>854</v>
      </c>
      <c r="I2667" s="6" t="s">
        <v>7882</v>
      </c>
      <c r="J2667" s="6" t="s">
        <v>7884</v>
      </c>
      <c r="K2667" s="6">
        <v>31</v>
      </c>
      <c r="L2667" s="7" t="s">
        <v>3616</v>
      </c>
      <c r="M2667" s="8">
        <v>990263</v>
      </c>
      <c r="N2667" s="8" t="str">
        <f t="shared" si="206"/>
        <v>PEN</v>
      </c>
      <c r="O2667" s="13">
        <v>2584.61</v>
      </c>
      <c r="P2667" s="13"/>
      <c r="Q2667" s="3">
        <f t="shared" si="207"/>
        <v>0</v>
      </c>
      <c r="R2667" s="3">
        <f t="shared" si="208"/>
        <v>0</v>
      </c>
      <c r="S2667" s="3">
        <f t="shared" si="209"/>
        <v>5399.1500000000233</v>
      </c>
      <c r="T2667" s="24"/>
      <c r="U2667" s="24"/>
      <c r="V2667" s="69"/>
      <c r="W2667" s="25">
        <f>IFERROR(VLOOKUP(BCP_Soles[[#This Row],[DESTINATARIO]],CHOOSE({1,2},Clientes_Proveedores[Razon Social],Clientes_Proveedores[Ruc / Dni]),2,0),"")</f>
        <v>47760988</v>
      </c>
      <c r="X2667" s="25"/>
      <c r="Y2667" s="25"/>
      <c r="Z2667" s="25"/>
      <c r="AA2667" s="101"/>
      <c r="AB2667" s="3" t="str">
        <f>IF(BCP_Soles[[#This Row],[FECHA]]&gt;0,TEXT(BCP_Soles[[#This Row],[FECHA]],"mmmm"),0)</f>
        <v>Julio</v>
      </c>
    </row>
    <row r="2668" spans="2:28" ht="24" x14ac:dyDescent="0.3">
      <c r="B2668" s="2" t="str">
        <f>IF(BCP_Soles[[#This Row],[TIPO DE R.]]="R",COUNTIFS($D$4:$D2667,"R")+1,"")</f>
        <v/>
      </c>
      <c r="C2668" s="19" t="str">
        <f t="shared" si="205"/>
        <v>B-BCP - Soles</v>
      </c>
      <c r="D2668" s="3" t="s">
        <v>1101</v>
      </c>
      <c r="E2668" s="14">
        <v>45853</v>
      </c>
      <c r="F2668" s="5" t="s">
        <v>1075</v>
      </c>
      <c r="G2668" s="5"/>
      <c r="H2668" s="6" t="s">
        <v>857</v>
      </c>
      <c r="I2668" s="6" t="s">
        <v>7882</v>
      </c>
      <c r="J2668" s="6" t="s">
        <v>7884</v>
      </c>
      <c r="K2668" s="6">
        <v>32</v>
      </c>
      <c r="L2668" s="7" t="s">
        <v>3616</v>
      </c>
      <c r="M2668" s="8">
        <v>990263</v>
      </c>
      <c r="N2668" s="8" t="str">
        <f t="shared" si="206"/>
        <v>PEN</v>
      </c>
      <c r="O2668" s="13">
        <v>1736.38</v>
      </c>
      <c r="P2668" s="13"/>
      <c r="Q2668" s="3">
        <f t="shared" si="207"/>
        <v>0</v>
      </c>
      <c r="R2668" s="3">
        <f t="shared" si="208"/>
        <v>0</v>
      </c>
      <c r="S2668" s="3">
        <f t="shared" si="209"/>
        <v>5399.1500000000233</v>
      </c>
      <c r="T2668" s="24"/>
      <c r="U2668" s="24"/>
      <c r="V2668" s="69"/>
      <c r="W2668" s="25">
        <f>IFERROR(VLOOKUP(BCP_Soles[[#This Row],[DESTINATARIO]],CHOOSE({1,2},Clientes_Proveedores[Razon Social],Clientes_Proveedores[Ruc / Dni]),2,0),"")</f>
        <v>24800480</v>
      </c>
      <c r="X2668" s="25"/>
      <c r="Y2668" s="25"/>
      <c r="Z2668" s="25"/>
      <c r="AA2668" s="101"/>
      <c r="AB2668" s="3" t="str">
        <f>IF(BCP_Soles[[#This Row],[FECHA]]&gt;0,TEXT(BCP_Soles[[#This Row],[FECHA]],"mmmm"),0)</f>
        <v>Julio</v>
      </c>
    </row>
    <row r="2669" spans="2:28" ht="24" x14ac:dyDescent="0.3">
      <c r="B2669" s="2" t="str">
        <f>IF(BCP_Soles[[#This Row],[TIPO DE R.]]="R",COUNTIFS($D$4:$D2668,"R")+1,"")</f>
        <v/>
      </c>
      <c r="C2669" s="19" t="str">
        <f t="shared" si="205"/>
        <v>B-BCP - Soles</v>
      </c>
      <c r="D2669" s="3" t="s">
        <v>1101</v>
      </c>
      <c r="E2669" s="14">
        <v>45853</v>
      </c>
      <c r="F2669" s="5" t="s">
        <v>1075</v>
      </c>
      <c r="G2669" s="5"/>
      <c r="H2669" s="6" t="s">
        <v>859</v>
      </c>
      <c r="I2669" s="6" t="s">
        <v>7882</v>
      </c>
      <c r="J2669" s="6" t="s">
        <v>7884</v>
      </c>
      <c r="K2669" s="6">
        <v>33</v>
      </c>
      <c r="L2669" s="7" t="s">
        <v>3616</v>
      </c>
      <c r="M2669" s="8">
        <v>990263</v>
      </c>
      <c r="N2669" s="8" t="str">
        <f t="shared" si="206"/>
        <v>PEN</v>
      </c>
      <c r="O2669" s="13">
        <v>2416.88</v>
      </c>
      <c r="P2669" s="13"/>
      <c r="Q2669" s="3">
        <f t="shared" si="207"/>
        <v>0</v>
      </c>
      <c r="R2669" s="3">
        <f t="shared" si="208"/>
        <v>0</v>
      </c>
      <c r="S2669" s="3">
        <f t="shared" si="209"/>
        <v>5399.1500000000233</v>
      </c>
      <c r="T2669" s="24"/>
      <c r="U2669" s="24"/>
      <c r="V2669" s="69"/>
      <c r="W2669" s="25">
        <f>IFERROR(VLOOKUP(BCP_Soles[[#This Row],[DESTINATARIO]],CHOOSE({1,2},Clientes_Proveedores[Razon Social],Clientes_Proveedores[Ruc / Dni]),2,0),"")</f>
        <v>48536654</v>
      </c>
      <c r="X2669" s="25"/>
      <c r="Y2669" s="25"/>
      <c r="Z2669" s="25"/>
      <c r="AA2669" s="101"/>
      <c r="AB2669" s="3" t="str">
        <f>IF(BCP_Soles[[#This Row],[FECHA]]&gt;0,TEXT(BCP_Soles[[#This Row],[FECHA]],"mmmm"),0)</f>
        <v>Julio</v>
      </c>
    </row>
    <row r="2670" spans="2:28" ht="24" x14ac:dyDescent="0.3">
      <c r="B2670" s="2" t="str">
        <f>IF(BCP_Soles[[#This Row],[TIPO DE R.]]="R",COUNTIFS($D$4:$D2669,"R")+1,"")</f>
        <v/>
      </c>
      <c r="C2670" s="19" t="str">
        <f t="shared" si="205"/>
        <v>B-BCP - Soles</v>
      </c>
      <c r="D2670" s="3" t="s">
        <v>1101</v>
      </c>
      <c r="E2670" s="14">
        <v>45853</v>
      </c>
      <c r="F2670" s="5" t="s">
        <v>1075</v>
      </c>
      <c r="G2670" s="5"/>
      <c r="H2670" s="6" t="s">
        <v>863</v>
      </c>
      <c r="I2670" s="6" t="s">
        <v>7882</v>
      </c>
      <c r="J2670" s="6" t="s">
        <v>7884</v>
      </c>
      <c r="K2670" s="6">
        <v>34</v>
      </c>
      <c r="L2670" s="7" t="s">
        <v>3616</v>
      </c>
      <c r="M2670" s="8">
        <v>990263</v>
      </c>
      <c r="N2670" s="8" t="str">
        <f t="shared" si="206"/>
        <v>PEN</v>
      </c>
      <c r="O2670" s="13">
        <v>2253.36</v>
      </c>
      <c r="P2670" s="13"/>
      <c r="Q2670" s="3">
        <f t="shared" si="207"/>
        <v>0</v>
      </c>
      <c r="R2670" s="3">
        <f t="shared" si="208"/>
        <v>0</v>
      </c>
      <c r="S2670" s="3">
        <f t="shared" si="209"/>
        <v>5399.1500000000233</v>
      </c>
      <c r="T2670" s="24"/>
      <c r="U2670" s="24"/>
      <c r="V2670" s="69"/>
      <c r="W2670" s="25">
        <f>IFERROR(VLOOKUP(BCP_Soles[[#This Row],[DESTINATARIO]],CHOOSE({1,2},Clientes_Proveedores[Razon Social],Clientes_Proveedores[Ruc / Dni]),2,0),"")</f>
        <v>72537561</v>
      </c>
      <c r="X2670" s="25"/>
      <c r="Y2670" s="25"/>
      <c r="Z2670" s="25"/>
      <c r="AA2670" s="101"/>
      <c r="AB2670" s="3" t="str">
        <f>IF(BCP_Soles[[#This Row],[FECHA]]&gt;0,TEXT(BCP_Soles[[#This Row],[FECHA]],"mmmm"),0)</f>
        <v>Julio</v>
      </c>
    </row>
    <row r="2671" spans="2:28" ht="24" x14ac:dyDescent="0.3">
      <c r="B2671" s="2" t="str">
        <f>IF(BCP_Soles[[#This Row],[TIPO DE R.]]="R",COUNTIFS($D$4:$D2670,"R")+1,"")</f>
        <v/>
      </c>
      <c r="C2671" s="19" t="str">
        <f t="shared" si="205"/>
        <v>B-BCP - Soles</v>
      </c>
      <c r="D2671" s="3" t="s">
        <v>1101</v>
      </c>
      <c r="E2671" s="14">
        <v>45853</v>
      </c>
      <c r="F2671" s="5" t="s">
        <v>1075</v>
      </c>
      <c r="G2671" s="5"/>
      <c r="H2671" s="6" t="s">
        <v>959</v>
      </c>
      <c r="I2671" s="6" t="s">
        <v>7882</v>
      </c>
      <c r="J2671" s="6" t="s">
        <v>7884</v>
      </c>
      <c r="K2671" s="6">
        <v>35</v>
      </c>
      <c r="L2671" s="7" t="s">
        <v>3616</v>
      </c>
      <c r="M2671" s="8">
        <v>990263</v>
      </c>
      <c r="N2671" s="8" t="str">
        <f t="shared" si="206"/>
        <v>PEN</v>
      </c>
      <c r="O2671" s="13">
        <v>637.65</v>
      </c>
      <c r="P2671" s="13"/>
      <c r="Q2671" s="3">
        <f t="shared" si="207"/>
        <v>0</v>
      </c>
      <c r="R2671" s="3">
        <f t="shared" si="208"/>
        <v>0</v>
      </c>
      <c r="S2671" s="3">
        <f t="shared" si="209"/>
        <v>5399.1500000000233</v>
      </c>
      <c r="T2671" s="24"/>
      <c r="U2671" s="24"/>
      <c r="V2671" s="69"/>
      <c r="W2671" s="25">
        <f>IFERROR(VLOOKUP(BCP_Soles[[#This Row],[DESTINATARIO]],CHOOSE({1,2},Clientes_Proveedores[Razon Social],Clientes_Proveedores[Ruc / Dni]),2,0),"")</f>
        <v>75276411</v>
      </c>
      <c r="X2671" s="25"/>
      <c r="Y2671" s="25"/>
      <c r="Z2671" s="25"/>
      <c r="AA2671" s="101"/>
      <c r="AB2671" s="3" t="str">
        <f>IF(BCP_Soles[[#This Row],[FECHA]]&gt;0,TEXT(BCP_Soles[[#This Row],[FECHA]],"mmmm"),0)</f>
        <v>Julio</v>
      </c>
    </row>
    <row r="2672" spans="2:28" x14ac:dyDescent="0.3">
      <c r="B2672" s="2" t="str">
        <f>IF(BCP_Soles[[#This Row],[TIPO DE R.]]="R",COUNTIFS($D$4:$D2671,"R")+1,"")</f>
        <v/>
      </c>
      <c r="C2672" s="19" t="str">
        <f t="shared" si="205"/>
        <v>B-BCP - Soles</v>
      </c>
      <c r="D2672" s="3" t="s">
        <v>1101</v>
      </c>
      <c r="E2672" s="14">
        <v>45853</v>
      </c>
      <c r="F2672" s="5" t="s">
        <v>1075</v>
      </c>
      <c r="G2672" s="5"/>
      <c r="H2672" s="6" t="s">
        <v>866</v>
      </c>
      <c r="I2672" s="6" t="s">
        <v>7882</v>
      </c>
      <c r="J2672" s="6" t="s">
        <v>7884</v>
      </c>
      <c r="K2672" s="6">
        <v>36</v>
      </c>
      <c r="L2672" s="7" t="s">
        <v>3616</v>
      </c>
      <c r="M2672" s="8">
        <v>990263</v>
      </c>
      <c r="N2672" s="8" t="str">
        <f t="shared" si="206"/>
        <v>PEN</v>
      </c>
      <c r="O2672" s="13">
        <v>1832.13</v>
      </c>
      <c r="P2672" s="13"/>
      <c r="Q2672" s="3">
        <f t="shared" si="207"/>
        <v>0</v>
      </c>
      <c r="R2672" s="3">
        <f t="shared" si="208"/>
        <v>0</v>
      </c>
      <c r="S2672" s="3">
        <f t="shared" si="209"/>
        <v>5399.1500000000233</v>
      </c>
      <c r="T2672" s="24"/>
      <c r="U2672" s="24"/>
      <c r="V2672" s="69"/>
      <c r="W2672" s="25">
        <f>IFERROR(VLOOKUP(BCP_Soles[[#This Row],[DESTINATARIO]],CHOOSE({1,2},Clientes_Proveedores[Razon Social],Clientes_Proveedores[Ruc / Dni]),2,0),"")</f>
        <v>73530159</v>
      </c>
      <c r="X2672" s="25"/>
      <c r="Y2672" s="25"/>
      <c r="Z2672" s="25"/>
      <c r="AA2672" s="101"/>
      <c r="AB2672" s="3" t="str">
        <f>IF(BCP_Soles[[#This Row],[FECHA]]&gt;0,TEXT(BCP_Soles[[#This Row],[FECHA]],"mmmm"),0)</f>
        <v>Julio</v>
      </c>
    </row>
    <row r="2673" spans="2:28" ht="24" x14ac:dyDescent="0.3">
      <c r="B2673" s="2" t="str">
        <f>IF(BCP_Soles[[#This Row],[TIPO DE R.]]="R",COUNTIFS($D$4:$D2672,"R")+1,"")</f>
        <v/>
      </c>
      <c r="C2673" s="19" t="str">
        <f t="shared" si="205"/>
        <v>B-BCP - Soles</v>
      </c>
      <c r="D2673" s="3" t="s">
        <v>1101</v>
      </c>
      <c r="E2673" s="14">
        <v>45853</v>
      </c>
      <c r="F2673" s="5" t="s">
        <v>1075</v>
      </c>
      <c r="G2673" s="5"/>
      <c r="H2673" s="6" t="s">
        <v>869</v>
      </c>
      <c r="I2673" s="6" t="s">
        <v>7882</v>
      </c>
      <c r="J2673" s="6" t="s">
        <v>7884</v>
      </c>
      <c r="K2673" s="6">
        <v>37</v>
      </c>
      <c r="L2673" s="7" t="s">
        <v>3616</v>
      </c>
      <c r="M2673" s="8">
        <v>990263</v>
      </c>
      <c r="N2673" s="8" t="str">
        <f t="shared" si="206"/>
        <v>PEN</v>
      </c>
      <c r="O2673" s="13">
        <v>1870.38</v>
      </c>
      <c r="P2673" s="13"/>
      <c r="Q2673" s="3">
        <f t="shared" si="207"/>
        <v>0</v>
      </c>
      <c r="R2673" s="3">
        <f t="shared" si="208"/>
        <v>0</v>
      </c>
      <c r="S2673" s="3">
        <f t="shared" si="209"/>
        <v>5399.1500000000233</v>
      </c>
      <c r="T2673" s="24"/>
      <c r="U2673" s="24"/>
      <c r="V2673" s="69"/>
      <c r="W2673" s="25">
        <f>IFERROR(VLOOKUP(BCP_Soles[[#This Row],[DESTINATARIO]],CHOOSE({1,2},Clientes_Proveedores[Razon Social],Clientes_Proveedores[Ruc / Dni]),2,0),"")</f>
        <v>46126507</v>
      </c>
      <c r="X2673" s="25"/>
      <c r="Y2673" s="25"/>
      <c r="Z2673" s="25"/>
      <c r="AA2673" s="101"/>
      <c r="AB2673" s="3" t="str">
        <f>IF(BCP_Soles[[#This Row],[FECHA]]&gt;0,TEXT(BCP_Soles[[#This Row],[FECHA]],"mmmm"),0)</f>
        <v>Julio</v>
      </c>
    </row>
    <row r="2674" spans="2:28" ht="24" x14ac:dyDescent="0.3">
      <c r="B2674" s="2" t="str">
        <f>IF(BCP_Soles[[#This Row],[TIPO DE R.]]="R",COUNTIFS($D$4:$D2673,"R")+1,"")</f>
        <v/>
      </c>
      <c r="C2674" s="19" t="str">
        <f t="shared" si="205"/>
        <v>B-BCP - Soles</v>
      </c>
      <c r="D2674" s="3" t="s">
        <v>1101</v>
      </c>
      <c r="E2674" s="14">
        <v>45853</v>
      </c>
      <c r="F2674" s="5" t="s">
        <v>1075</v>
      </c>
      <c r="G2674" s="5"/>
      <c r="H2674" s="6" t="s">
        <v>874</v>
      </c>
      <c r="I2674" s="6" t="s">
        <v>7882</v>
      </c>
      <c r="J2674" s="6" t="s">
        <v>7884</v>
      </c>
      <c r="K2674" s="6">
        <v>38</v>
      </c>
      <c r="L2674" s="7" t="s">
        <v>3616</v>
      </c>
      <c r="M2674" s="8">
        <v>990263</v>
      </c>
      <c r="N2674" s="8" t="str">
        <f t="shared" si="206"/>
        <v>PEN</v>
      </c>
      <c r="O2674" s="13">
        <v>1733.1</v>
      </c>
      <c r="P2674" s="13"/>
      <c r="Q2674" s="3">
        <f t="shared" si="207"/>
        <v>0</v>
      </c>
      <c r="R2674" s="3">
        <f t="shared" si="208"/>
        <v>0</v>
      </c>
      <c r="S2674" s="3">
        <f t="shared" si="209"/>
        <v>5399.1500000000233</v>
      </c>
      <c r="T2674" s="24"/>
      <c r="U2674" s="24"/>
      <c r="V2674" s="69"/>
      <c r="W2674" s="25">
        <f>IFERROR(VLOOKUP(BCP_Soles[[#This Row],[DESTINATARIO]],CHOOSE({1,2},Clientes_Proveedores[Razon Social],Clientes_Proveedores[Ruc / Dni]),2,0),"")</f>
        <v>73195103</v>
      </c>
      <c r="X2674" s="25"/>
      <c r="Y2674" s="25"/>
      <c r="Z2674" s="25"/>
      <c r="AA2674" s="101"/>
      <c r="AB2674" s="3" t="str">
        <f>IF(BCP_Soles[[#This Row],[FECHA]]&gt;0,TEXT(BCP_Soles[[#This Row],[FECHA]],"mmmm"),0)</f>
        <v>Julio</v>
      </c>
    </row>
    <row r="2675" spans="2:28" ht="24" x14ac:dyDescent="0.3">
      <c r="B2675" s="2" t="str">
        <f>IF(BCP_Soles[[#This Row],[TIPO DE R.]]="R",COUNTIFS($D$4:$D2674,"R")+1,"")</f>
        <v/>
      </c>
      <c r="C2675" s="19" t="str">
        <f t="shared" si="205"/>
        <v>B-BCP - Soles</v>
      </c>
      <c r="D2675" s="3" t="s">
        <v>1101</v>
      </c>
      <c r="E2675" s="14">
        <v>45853</v>
      </c>
      <c r="F2675" s="5" t="s">
        <v>1075</v>
      </c>
      <c r="G2675" s="5"/>
      <c r="H2675" s="6" t="s">
        <v>876</v>
      </c>
      <c r="I2675" s="6" t="s">
        <v>7882</v>
      </c>
      <c r="J2675" s="6" t="s">
        <v>7884</v>
      </c>
      <c r="K2675" s="6">
        <v>39</v>
      </c>
      <c r="L2675" s="7" t="s">
        <v>3616</v>
      </c>
      <c r="M2675" s="8">
        <v>990263</v>
      </c>
      <c r="N2675" s="8" t="str">
        <f t="shared" si="206"/>
        <v>PEN</v>
      </c>
      <c r="O2675" s="13">
        <v>1580.5</v>
      </c>
      <c r="P2675" s="13"/>
      <c r="Q2675" s="3">
        <f t="shared" si="207"/>
        <v>0</v>
      </c>
      <c r="R2675" s="3">
        <f t="shared" si="208"/>
        <v>0</v>
      </c>
      <c r="S2675" s="3">
        <f t="shared" si="209"/>
        <v>5399.1500000000233</v>
      </c>
      <c r="T2675" s="24"/>
      <c r="U2675" s="24"/>
      <c r="V2675" s="69"/>
      <c r="W2675" s="25">
        <f>IFERROR(VLOOKUP(BCP_Soles[[#This Row],[DESTINATARIO]],CHOOSE({1,2},Clientes_Proveedores[Razon Social],Clientes_Proveedores[Ruc / Dni]),2,0),"")</f>
        <v>47557239</v>
      </c>
      <c r="X2675" s="25"/>
      <c r="Y2675" s="25"/>
      <c r="Z2675" s="25"/>
      <c r="AA2675" s="101"/>
      <c r="AB2675" s="3" t="str">
        <f>IF(BCP_Soles[[#This Row],[FECHA]]&gt;0,TEXT(BCP_Soles[[#This Row],[FECHA]],"mmmm"),0)</f>
        <v>Julio</v>
      </c>
    </row>
    <row r="2676" spans="2:28" ht="36" x14ac:dyDescent="0.3">
      <c r="B2676" s="2" t="str">
        <f>IF(BCP_Soles[[#This Row],[TIPO DE R.]]="R",COUNTIFS($D$4:$D2675,"R")+1,"")</f>
        <v/>
      </c>
      <c r="C2676" s="19" t="str">
        <f t="shared" si="205"/>
        <v>B-BCP - Soles</v>
      </c>
      <c r="D2676" s="3" t="s">
        <v>1101</v>
      </c>
      <c r="E2676" s="14">
        <v>45853</v>
      </c>
      <c r="F2676" s="5" t="s">
        <v>1075</v>
      </c>
      <c r="G2676" s="5"/>
      <c r="H2676" s="6" t="s">
        <v>878</v>
      </c>
      <c r="I2676" s="6" t="s">
        <v>7882</v>
      </c>
      <c r="J2676" s="6" t="s">
        <v>7884</v>
      </c>
      <c r="K2676" s="6">
        <v>40</v>
      </c>
      <c r="L2676" s="7" t="s">
        <v>3616</v>
      </c>
      <c r="M2676" s="8">
        <v>990263</v>
      </c>
      <c r="N2676" s="8" t="str">
        <f t="shared" si="206"/>
        <v>PEN</v>
      </c>
      <c r="O2676" s="13">
        <v>1853</v>
      </c>
      <c r="P2676" s="13"/>
      <c r="Q2676" s="3">
        <f t="shared" si="207"/>
        <v>0</v>
      </c>
      <c r="R2676" s="3">
        <f t="shared" si="208"/>
        <v>0</v>
      </c>
      <c r="S2676" s="3">
        <f t="shared" si="209"/>
        <v>5399.1500000000233</v>
      </c>
      <c r="T2676" s="24"/>
      <c r="U2676" s="24"/>
      <c r="V2676" s="69"/>
      <c r="W2676" s="25">
        <f>IFERROR(VLOOKUP(BCP_Soles[[#This Row],[DESTINATARIO]],CHOOSE({1,2},Clientes_Proveedores[Razon Social],Clientes_Proveedores[Ruc / Dni]),2,0),"")</f>
        <v>72728100</v>
      </c>
      <c r="X2676" s="25"/>
      <c r="Y2676" s="25"/>
      <c r="Z2676" s="25"/>
      <c r="AA2676" s="101"/>
      <c r="AB2676" s="3" t="str">
        <f>IF(BCP_Soles[[#This Row],[FECHA]]&gt;0,TEXT(BCP_Soles[[#This Row],[FECHA]],"mmmm"),0)</f>
        <v>Julio</v>
      </c>
    </row>
    <row r="2677" spans="2:28" ht="36" x14ac:dyDescent="0.3">
      <c r="B2677" s="2" t="str">
        <f>IF(BCP_Soles[[#This Row],[TIPO DE R.]]="R",COUNTIFS($D$4:$D2676,"R")+1,"")</f>
        <v/>
      </c>
      <c r="C2677" s="19" t="str">
        <f t="shared" si="205"/>
        <v>B-BCP - Soles</v>
      </c>
      <c r="D2677" s="3" t="s">
        <v>1101</v>
      </c>
      <c r="E2677" s="14">
        <v>45853</v>
      </c>
      <c r="F2677" s="5" t="s">
        <v>1075</v>
      </c>
      <c r="G2677" s="5"/>
      <c r="H2677" s="6" t="s">
        <v>889</v>
      </c>
      <c r="I2677" s="6" t="s">
        <v>7882</v>
      </c>
      <c r="J2677" s="6" t="s">
        <v>7884</v>
      </c>
      <c r="K2677" s="6">
        <v>41</v>
      </c>
      <c r="L2677" s="7" t="s">
        <v>3616</v>
      </c>
      <c r="M2677" s="8">
        <v>990263</v>
      </c>
      <c r="N2677" s="8" t="str">
        <f t="shared" si="206"/>
        <v>PEN</v>
      </c>
      <c r="O2677" s="13">
        <v>1678.6</v>
      </c>
      <c r="P2677" s="13"/>
      <c r="Q2677" s="3">
        <f t="shared" si="207"/>
        <v>0</v>
      </c>
      <c r="R2677" s="3">
        <f t="shared" si="208"/>
        <v>0</v>
      </c>
      <c r="S2677" s="3">
        <f t="shared" si="209"/>
        <v>5399.1500000000233</v>
      </c>
      <c r="T2677" s="24"/>
      <c r="U2677" s="24"/>
      <c r="V2677" s="69"/>
      <c r="W2677" s="25">
        <f>IFERROR(VLOOKUP(BCP_Soles[[#This Row],[DESTINATARIO]],CHOOSE({1,2},Clientes_Proveedores[Razon Social],Clientes_Proveedores[Ruc / Dni]),2,0),"")</f>
        <v>71311214</v>
      </c>
      <c r="X2677" s="25"/>
      <c r="Y2677" s="25"/>
      <c r="Z2677" s="25"/>
      <c r="AA2677" s="101"/>
      <c r="AB2677" s="3" t="str">
        <f>IF(BCP_Soles[[#This Row],[FECHA]]&gt;0,TEXT(BCP_Soles[[#This Row],[FECHA]],"mmmm"),0)</f>
        <v>Julio</v>
      </c>
    </row>
    <row r="2678" spans="2:28" ht="24" x14ac:dyDescent="0.3">
      <c r="B2678" s="2" t="str">
        <f>IF(BCP_Soles[[#This Row],[TIPO DE R.]]="R",COUNTIFS($D$4:$D2677,"R")+1,"")</f>
        <v/>
      </c>
      <c r="C2678" s="19" t="str">
        <f t="shared" si="205"/>
        <v>B-BCP - Soles</v>
      </c>
      <c r="D2678" s="3" t="s">
        <v>1101</v>
      </c>
      <c r="E2678" s="14">
        <v>45853</v>
      </c>
      <c r="F2678" s="5" t="s">
        <v>1075</v>
      </c>
      <c r="G2678" s="5"/>
      <c r="H2678" s="6" t="s">
        <v>960</v>
      </c>
      <c r="I2678" s="6" t="s">
        <v>7882</v>
      </c>
      <c r="J2678" s="6" t="s">
        <v>7884</v>
      </c>
      <c r="K2678" s="6">
        <v>42</v>
      </c>
      <c r="L2678" s="7" t="s">
        <v>3616</v>
      </c>
      <c r="M2678" s="8">
        <v>990263</v>
      </c>
      <c r="N2678" s="8" t="str">
        <f t="shared" si="206"/>
        <v>PEN</v>
      </c>
      <c r="O2678" s="13">
        <v>2055.9499999999998</v>
      </c>
      <c r="P2678" s="13"/>
      <c r="Q2678" s="3">
        <f t="shared" si="207"/>
        <v>0</v>
      </c>
      <c r="R2678" s="3">
        <f t="shared" si="208"/>
        <v>0</v>
      </c>
      <c r="S2678" s="3">
        <f t="shared" si="209"/>
        <v>5399.1500000000233</v>
      </c>
      <c r="T2678" s="24"/>
      <c r="U2678" s="24"/>
      <c r="V2678" s="69"/>
      <c r="W2678" s="25">
        <f>IFERROR(VLOOKUP(BCP_Soles[[#This Row],[DESTINATARIO]],CHOOSE({1,2},Clientes_Proveedores[Razon Social],Clientes_Proveedores[Ruc / Dni]),2,0),"")</f>
        <v>71654750</v>
      </c>
      <c r="X2678" s="25"/>
      <c r="Y2678" s="25"/>
      <c r="Z2678" s="25"/>
      <c r="AA2678" s="101"/>
      <c r="AB2678" s="3" t="str">
        <f>IF(BCP_Soles[[#This Row],[FECHA]]&gt;0,TEXT(BCP_Soles[[#This Row],[FECHA]],"mmmm"),0)</f>
        <v>Julio</v>
      </c>
    </row>
    <row r="2679" spans="2:28" ht="24" x14ac:dyDescent="0.3">
      <c r="B2679" s="2" t="str">
        <f>IF(BCP_Soles[[#This Row],[TIPO DE R.]]="R",COUNTIFS($D$4:$D2678,"R")+1,"")</f>
        <v/>
      </c>
      <c r="C2679" s="19" t="str">
        <f t="shared" si="205"/>
        <v>B-BCP - Soles</v>
      </c>
      <c r="D2679" s="3" t="s">
        <v>1101</v>
      </c>
      <c r="E2679" s="14">
        <v>45853</v>
      </c>
      <c r="F2679" s="5" t="s">
        <v>1075</v>
      </c>
      <c r="G2679" s="5"/>
      <c r="H2679" s="6" t="s">
        <v>894</v>
      </c>
      <c r="I2679" s="6" t="s">
        <v>7882</v>
      </c>
      <c r="J2679" s="6" t="s">
        <v>7884</v>
      </c>
      <c r="K2679" s="6">
        <v>43</v>
      </c>
      <c r="L2679" s="7" t="s">
        <v>3616</v>
      </c>
      <c r="M2679" s="8">
        <v>990263</v>
      </c>
      <c r="N2679" s="8" t="str">
        <f t="shared" si="206"/>
        <v>PEN</v>
      </c>
      <c r="O2679" s="13">
        <v>1667.7</v>
      </c>
      <c r="P2679" s="13"/>
      <c r="Q2679" s="3">
        <f t="shared" si="207"/>
        <v>0</v>
      </c>
      <c r="R2679" s="3">
        <f t="shared" si="208"/>
        <v>0</v>
      </c>
      <c r="S2679" s="3">
        <f t="shared" si="209"/>
        <v>5399.1500000000233</v>
      </c>
      <c r="T2679" s="24"/>
      <c r="U2679" s="24"/>
      <c r="V2679" s="69"/>
      <c r="W2679" s="25">
        <f>IFERROR(VLOOKUP(BCP_Soles[[#This Row],[DESTINATARIO]],CHOOSE({1,2},Clientes_Proveedores[Razon Social],Clientes_Proveedores[Ruc / Dni]),2,0),"")</f>
        <v>72682665</v>
      </c>
      <c r="X2679" s="25"/>
      <c r="Y2679" s="25"/>
      <c r="Z2679" s="25"/>
      <c r="AA2679" s="101"/>
      <c r="AB2679" s="3" t="str">
        <f>IF(BCP_Soles[[#This Row],[FECHA]]&gt;0,TEXT(BCP_Soles[[#This Row],[FECHA]],"mmmm"),0)</f>
        <v>Julio</v>
      </c>
    </row>
    <row r="2680" spans="2:28" ht="24" x14ac:dyDescent="0.3">
      <c r="B2680" s="2" t="str">
        <f>IF(BCP_Soles[[#This Row],[TIPO DE R.]]="R",COUNTIFS($D$4:$D2679,"R")+1,"")</f>
        <v/>
      </c>
      <c r="C2680" s="19" t="str">
        <f t="shared" si="205"/>
        <v>B-BCP - Soles</v>
      </c>
      <c r="D2680" s="3" t="s">
        <v>1101</v>
      </c>
      <c r="E2680" s="14">
        <v>45853</v>
      </c>
      <c r="F2680" s="5" t="s">
        <v>1075</v>
      </c>
      <c r="G2680" s="5"/>
      <c r="H2680" s="6" t="s">
        <v>896</v>
      </c>
      <c r="I2680" s="6" t="s">
        <v>7882</v>
      </c>
      <c r="J2680" s="6" t="s">
        <v>7884</v>
      </c>
      <c r="K2680" s="6">
        <v>44</v>
      </c>
      <c r="L2680" s="7" t="s">
        <v>3616</v>
      </c>
      <c r="M2680" s="8">
        <v>990263</v>
      </c>
      <c r="N2680" s="8" t="str">
        <f t="shared" si="206"/>
        <v>PEN</v>
      </c>
      <c r="O2680" s="13">
        <v>1461.22</v>
      </c>
      <c r="P2680" s="13"/>
      <c r="Q2680" s="3">
        <f t="shared" si="207"/>
        <v>0</v>
      </c>
      <c r="R2680" s="3">
        <f t="shared" si="208"/>
        <v>0</v>
      </c>
      <c r="S2680" s="3">
        <f t="shared" si="209"/>
        <v>5399.1500000000233</v>
      </c>
      <c r="T2680" s="24"/>
      <c r="U2680" s="24"/>
      <c r="V2680" s="69"/>
      <c r="W2680" s="25">
        <f>IFERROR(VLOOKUP(BCP_Soles[[#This Row],[DESTINATARIO]],CHOOSE({1,2},Clientes_Proveedores[Razon Social],Clientes_Proveedores[Ruc / Dni]),2,0),"")</f>
        <v>48362717</v>
      </c>
      <c r="X2680" s="25"/>
      <c r="Y2680" s="25"/>
      <c r="Z2680" s="25"/>
      <c r="AA2680" s="101"/>
      <c r="AB2680" s="3" t="str">
        <f>IF(BCP_Soles[[#This Row],[FECHA]]&gt;0,TEXT(BCP_Soles[[#This Row],[FECHA]],"mmmm"),0)</f>
        <v>Julio</v>
      </c>
    </row>
    <row r="2681" spans="2:28" ht="24" x14ac:dyDescent="0.3">
      <c r="B2681" s="2" t="str">
        <f>IF(BCP_Soles[[#This Row],[TIPO DE R.]]="R",COUNTIFS($D$4:$D2680,"R")+1,"")</f>
        <v/>
      </c>
      <c r="C2681" s="19" t="str">
        <f t="shared" si="205"/>
        <v>B-BCP - Soles</v>
      </c>
      <c r="D2681" s="3" t="s">
        <v>1101</v>
      </c>
      <c r="E2681" s="14">
        <v>45853</v>
      </c>
      <c r="F2681" s="5" t="s">
        <v>1075</v>
      </c>
      <c r="G2681" s="5"/>
      <c r="H2681" s="6" t="s">
        <v>898</v>
      </c>
      <c r="I2681" s="6" t="s">
        <v>7882</v>
      </c>
      <c r="J2681" s="6" t="s">
        <v>7884</v>
      </c>
      <c r="K2681" s="6">
        <v>45</v>
      </c>
      <c r="L2681" s="7" t="s">
        <v>3616</v>
      </c>
      <c r="M2681" s="8">
        <v>990263</v>
      </c>
      <c r="N2681" s="8" t="str">
        <f t="shared" si="206"/>
        <v>PEN</v>
      </c>
      <c r="O2681" s="13">
        <v>2480.56</v>
      </c>
      <c r="P2681" s="13"/>
      <c r="Q2681" s="3">
        <f t="shared" si="207"/>
        <v>0</v>
      </c>
      <c r="R2681" s="3">
        <f t="shared" si="208"/>
        <v>0</v>
      </c>
      <c r="S2681" s="3">
        <f t="shared" si="209"/>
        <v>5399.1500000000233</v>
      </c>
      <c r="T2681" s="24"/>
      <c r="U2681" s="24"/>
      <c r="V2681" s="69"/>
      <c r="W2681" s="25">
        <f>IFERROR(VLOOKUP(BCP_Soles[[#This Row],[DESTINATARIO]],CHOOSE({1,2},Clientes_Proveedores[Razon Social],Clientes_Proveedores[Ruc / Dni]),2,0),"")</f>
        <v>80454870</v>
      </c>
      <c r="X2681" s="25"/>
      <c r="Y2681" s="25"/>
      <c r="Z2681" s="25"/>
      <c r="AA2681" s="101"/>
      <c r="AB2681" s="3" t="str">
        <f>IF(BCP_Soles[[#This Row],[FECHA]]&gt;0,TEXT(BCP_Soles[[#This Row],[FECHA]],"mmmm"),0)</f>
        <v>Julio</v>
      </c>
    </row>
    <row r="2682" spans="2:28" ht="24" x14ac:dyDescent="0.3">
      <c r="B2682" s="2" t="str">
        <f>IF(BCP_Soles[[#This Row],[TIPO DE R.]]="R",COUNTIFS($D$4:$D2681,"R")+1,"")</f>
        <v/>
      </c>
      <c r="C2682" s="19" t="str">
        <f t="shared" si="205"/>
        <v>B-BCP - Soles</v>
      </c>
      <c r="D2682" s="3" t="s">
        <v>1101</v>
      </c>
      <c r="E2682" s="14">
        <v>45853</v>
      </c>
      <c r="F2682" s="5" t="s">
        <v>1075</v>
      </c>
      <c r="G2682" s="5"/>
      <c r="H2682" s="6" t="s">
        <v>961</v>
      </c>
      <c r="I2682" s="6" t="s">
        <v>7882</v>
      </c>
      <c r="J2682" s="6" t="s">
        <v>7884</v>
      </c>
      <c r="K2682" s="6">
        <v>46</v>
      </c>
      <c r="L2682" s="7" t="s">
        <v>3616</v>
      </c>
      <c r="M2682" s="8">
        <v>990263</v>
      </c>
      <c r="N2682" s="8" t="str">
        <f t="shared" si="206"/>
        <v>PEN</v>
      </c>
      <c r="O2682" s="13">
        <v>958.77</v>
      </c>
      <c r="P2682" s="13"/>
      <c r="Q2682" s="3">
        <f t="shared" si="207"/>
        <v>0</v>
      </c>
      <c r="R2682" s="3">
        <f t="shared" si="208"/>
        <v>0</v>
      </c>
      <c r="S2682" s="3">
        <f t="shared" si="209"/>
        <v>5399.1500000000233</v>
      </c>
      <c r="T2682" s="24"/>
      <c r="U2682" s="24"/>
      <c r="V2682" s="69"/>
      <c r="W2682" s="25">
        <f>IFERROR(VLOOKUP(BCP_Soles[[#This Row],[DESTINATARIO]],CHOOSE({1,2},Clientes_Proveedores[Razon Social],Clientes_Proveedores[Ruc / Dni]),2,0),"")</f>
        <v>60248415</v>
      </c>
      <c r="X2682" s="25"/>
      <c r="Y2682" s="25"/>
      <c r="Z2682" s="25"/>
      <c r="AA2682" s="101"/>
      <c r="AB2682" s="3" t="str">
        <f>IF(BCP_Soles[[#This Row],[FECHA]]&gt;0,TEXT(BCP_Soles[[#This Row],[FECHA]],"mmmm"),0)</f>
        <v>Julio</v>
      </c>
    </row>
    <row r="2683" spans="2:28" ht="24" x14ac:dyDescent="0.3">
      <c r="B2683" s="2" t="str">
        <f>IF(BCP_Soles[[#This Row],[TIPO DE R.]]="R",COUNTIFS($D$4:$D2682,"R")+1,"")</f>
        <v/>
      </c>
      <c r="C2683" s="19" t="str">
        <f t="shared" si="205"/>
        <v>B-BCP - Soles</v>
      </c>
      <c r="D2683" s="3" t="s">
        <v>1101</v>
      </c>
      <c r="E2683" s="14">
        <v>45853</v>
      </c>
      <c r="F2683" s="5" t="s">
        <v>1075</v>
      </c>
      <c r="G2683" s="5"/>
      <c r="H2683" s="6" t="s">
        <v>962</v>
      </c>
      <c r="I2683" s="6" t="s">
        <v>7882</v>
      </c>
      <c r="J2683" s="6" t="s">
        <v>7884</v>
      </c>
      <c r="K2683" s="6">
        <v>47</v>
      </c>
      <c r="L2683" s="7" t="s">
        <v>3616</v>
      </c>
      <c r="M2683" s="8">
        <v>990263</v>
      </c>
      <c r="N2683" s="8" t="str">
        <f t="shared" si="206"/>
        <v>PEN</v>
      </c>
      <c r="O2683" s="13">
        <v>1440.6</v>
      </c>
      <c r="P2683" s="13"/>
      <c r="Q2683" s="3">
        <f t="shared" si="207"/>
        <v>0</v>
      </c>
      <c r="R2683" s="3">
        <f t="shared" si="208"/>
        <v>0</v>
      </c>
      <c r="S2683" s="3">
        <f t="shared" si="209"/>
        <v>5399.1500000000233</v>
      </c>
      <c r="T2683" s="24"/>
      <c r="U2683" s="24"/>
      <c r="V2683" s="69"/>
      <c r="W2683" s="25">
        <f>IFERROR(VLOOKUP(BCP_Soles[[#This Row],[DESTINATARIO]],CHOOSE({1,2},Clientes_Proveedores[Razon Social],Clientes_Proveedores[Ruc / Dni]),2,0),"")</f>
        <v>77089939</v>
      </c>
      <c r="X2683" s="25"/>
      <c r="Y2683" s="25"/>
      <c r="Z2683" s="25"/>
      <c r="AA2683" s="101"/>
      <c r="AB2683" s="3" t="str">
        <f>IF(BCP_Soles[[#This Row],[FECHA]]&gt;0,TEXT(BCP_Soles[[#This Row],[FECHA]],"mmmm"),0)</f>
        <v>Julio</v>
      </c>
    </row>
    <row r="2684" spans="2:28" ht="24" x14ac:dyDescent="0.3">
      <c r="B2684" s="2" t="str">
        <f>IF(BCP_Soles[[#This Row],[TIPO DE R.]]="R",COUNTIFS($D$4:$D2683,"R")+1,"")</f>
        <v/>
      </c>
      <c r="C2684" s="19" t="str">
        <f t="shared" si="205"/>
        <v>B-BCP - Soles</v>
      </c>
      <c r="D2684" s="3" t="s">
        <v>1101</v>
      </c>
      <c r="E2684" s="14">
        <v>45853</v>
      </c>
      <c r="F2684" s="5" t="s">
        <v>1075</v>
      </c>
      <c r="G2684" s="5"/>
      <c r="H2684" s="6" t="s">
        <v>963</v>
      </c>
      <c r="I2684" s="6" t="s">
        <v>7882</v>
      </c>
      <c r="J2684" s="6" t="s">
        <v>7884</v>
      </c>
      <c r="K2684" s="6">
        <v>48</v>
      </c>
      <c r="L2684" s="7" t="s">
        <v>3616</v>
      </c>
      <c r="M2684" s="8">
        <v>990263</v>
      </c>
      <c r="N2684" s="8" t="str">
        <f t="shared" si="206"/>
        <v>PEN</v>
      </c>
      <c r="O2684" s="13">
        <v>1017.21</v>
      </c>
      <c r="P2684" s="13"/>
      <c r="Q2684" s="3">
        <f t="shared" si="207"/>
        <v>0</v>
      </c>
      <c r="R2684" s="3">
        <f t="shared" si="208"/>
        <v>0</v>
      </c>
      <c r="S2684" s="3">
        <f t="shared" si="209"/>
        <v>5399.1500000000233</v>
      </c>
      <c r="T2684" s="24"/>
      <c r="U2684" s="24"/>
      <c r="V2684" s="69"/>
      <c r="W2684" s="25">
        <f>IFERROR(VLOOKUP(BCP_Soles[[#This Row],[DESTINATARIO]],CHOOSE({1,2},Clientes_Proveedores[Razon Social],Clientes_Proveedores[Ruc / Dni]),2,0),"")</f>
        <v>73376012</v>
      </c>
      <c r="X2684" s="25"/>
      <c r="Y2684" s="25"/>
      <c r="Z2684" s="25"/>
      <c r="AA2684" s="101"/>
      <c r="AB2684" s="3" t="str">
        <f>IF(BCP_Soles[[#This Row],[FECHA]]&gt;0,TEXT(BCP_Soles[[#This Row],[FECHA]],"mmmm"),0)</f>
        <v>Julio</v>
      </c>
    </row>
    <row r="2685" spans="2:28" x14ac:dyDescent="0.3">
      <c r="B2685" s="2">
        <f>IF(BCP_Soles[[#This Row],[TIPO DE R.]]="R",COUNTIFS($D$4:$D2684,"R")+1,"")</f>
        <v>1963</v>
      </c>
      <c r="C2685" s="19" t="str">
        <f t="shared" si="205"/>
        <v>B-BCP - Soles</v>
      </c>
      <c r="D2685" s="3" t="s">
        <v>1074</v>
      </c>
      <c r="E2685" s="14">
        <v>45853</v>
      </c>
      <c r="F2685" s="5" t="s">
        <v>1996</v>
      </c>
      <c r="G2685" s="5" t="s">
        <v>1079</v>
      </c>
      <c r="H2685" s="6" t="s">
        <v>638</v>
      </c>
      <c r="I2685" s="6"/>
      <c r="J2685" s="6"/>
      <c r="K2685" s="6"/>
      <c r="L2685" s="7" t="s">
        <v>3617</v>
      </c>
      <c r="M2685" s="8">
        <v>990865</v>
      </c>
      <c r="N2685" s="8" t="str">
        <f t="shared" si="206"/>
        <v>PEN</v>
      </c>
      <c r="O2685" s="13"/>
      <c r="P2685" s="13">
        <v>824.9</v>
      </c>
      <c r="Q2685" s="3">
        <f t="shared" si="207"/>
        <v>0</v>
      </c>
      <c r="R2685" s="3">
        <f t="shared" si="208"/>
        <v>824.9</v>
      </c>
      <c r="S2685" s="3">
        <f t="shared" si="209"/>
        <v>4574.2500000000236</v>
      </c>
      <c r="T2685" s="24" t="s">
        <v>1081</v>
      </c>
      <c r="U2685" s="24" t="s">
        <v>1081</v>
      </c>
      <c r="V2685" s="103" t="s">
        <v>3618</v>
      </c>
      <c r="W2685" s="25">
        <f>IFERROR(VLOOKUP(BCP_Soles[[#This Row],[DESTINATARIO]],CHOOSE({1,2},Clientes_Proveedores[Razon Social],Clientes_Proveedores[Ruc / Dni]),2,0),"")</f>
        <v>0</v>
      </c>
      <c r="X2685" s="25"/>
      <c r="Y2685" s="25"/>
      <c r="Z2685" s="25"/>
      <c r="AA2685" s="99"/>
      <c r="AB2685" s="3" t="str">
        <f>IF(BCP_Soles[[#This Row],[FECHA]]&gt;0,TEXT(BCP_Soles[[#This Row],[FECHA]],"mmmm"),0)</f>
        <v>Julio</v>
      </c>
    </row>
    <row r="2686" spans="2:28" x14ac:dyDescent="0.3">
      <c r="B2686" s="2" t="str">
        <f>IF(BCP_Soles[[#This Row],[TIPO DE R.]]="R",COUNTIFS($D$4:$D2685,"R")+1,"")</f>
        <v/>
      </c>
      <c r="C2686" s="19" t="str">
        <f t="shared" si="205"/>
        <v>B-BCP - Soles</v>
      </c>
      <c r="D2686" s="3" t="s">
        <v>1101</v>
      </c>
      <c r="E2686" s="14">
        <v>45853</v>
      </c>
      <c r="F2686" s="5" t="s">
        <v>1996</v>
      </c>
      <c r="G2686" s="5"/>
      <c r="H2686" s="6" t="s">
        <v>229</v>
      </c>
      <c r="I2686" s="6" t="s">
        <v>14</v>
      </c>
      <c r="J2686" s="6" t="s">
        <v>1429</v>
      </c>
      <c r="K2686" s="6">
        <v>1709</v>
      </c>
      <c r="L2686" s="7" t="s">
        <v>3617</v>
      </c>
      <c r="M2686" s="8">
        <v>990865</v>
      </c>
      <c r="N2686" s="8" t="str">
        <f t="shared" si="206"/>
        <v>PEN</v>
      </c>
      <c r="O2686" s="13">
        <v>257.39999999999998</v>
      </c>
      <c r="P2686" s="13"/>
      <c r="Q2686" s="3">
        <f t="shared" si="207"/>
        <v>0</v>
      </c>
      <c r="R2686" s="3">
        <f t="shared" si="208"/>
        <v>0</v>
      </c>
      <c r="S2686" s="3">
        <f t="shared" si="209"/>
        <v>4574.2500000000236</v>
      </c>
      <c r="T2686" s="24" t="s">
        <v>1081</v>
      </c>
      <c r="U2686" s="24" t="s">
        <v>1081</v>
      </c>
      <c r="V2686" s="103" t="s">
        <v>3618</v>
      </c>
      <c r="W2686" s="25">
        <f>IFERROR(VLOOKUP(BCP_Soles[[#This Row],[DESTINATARIO]],CHOOSE({1,2},Clientes_Proveedores[Razon Social],Clientes_Proveedores[Ruc / Dni]),2,0),"")</f>
        <v>20454186002</v>
      </c>
      <c r="X2686" s="25"/>
      <c r="Y2686" s="25"/>
      <c r="Z2686" s="25"/>
      <c r="AA2686" s="99"/>
      <c r="AB2686" s="3" t="str">
        <f>IF(BCP_Soles[[#This Row],[FECHA]]&gt;0,TEXT(BCP_Soles[[#This Row],[FECHA]],"mmmm"),0)</f>
        <v>Julio</v>
      </c>
    </row>
    <row r="2687" spans="2:28" x14ac:dyDescent="0.3">
      <c r="B2687" s="2" t="str">
        <f>IF(BCP_Soles[[#This Row],[TIPO DE R.]]="R",COUNTIFS($D$4:$D2686,"R")+1,"")</f>
        <v/>
      </c>
      <c r="C2687" s="19" t="str">
        <f t="shared" si="205"/>
        <v>B-BCP - Soles</v>
      </c>
      <c r="D2687" s="3" t="s">
        <v>1101</v>
      </c>
      <c r="E2687" s="14">
        <v>45853</v>
      </c>
      <c r="F2687" s="5" t="s">
        <v>1996</v>
      </c>
      <c r="G2687" s="5"/>
      <c r="H2687" s="6" t="s">
        <v>229</v>
      </c>
      <c r="I2687" s="6" t="s">
        <v>14</v>
      </c>
      <c r="J2687" s="6" t="s">
        <v>1429</v>
      </c>
      <c r="K2687" s="6">
        <v>1710</v>
      </c>
      <c r="L2687" s="7" t="s">
        <v>3617</v>
      </c>
      <c r="M2687" s="8">
        <v>990865</v>
      </c>
      <c r="N2687" s="8" t="str">
        <f t="shared" si="206"/>
        <v>PEN</v>
      </c>
      <c r="O2687" s="13">
        <v>567.5</v>
      </c>
      <c r="P2687" s="13"/>
      <c r="Q2687" s="3">
        <f t="shared" si="207"/>
        <v>0</v>
      </c>
      <c r="R2687" s="3">
        <f t="shared" si="208"/>
        <v>0</v>
      </c>
      <c r="S2687" s="3">
        <f t="shared" si="209"/>
        <v>4574.2500000000236</v>
      </c>
      <c r="T2687" s="24" t="s">
        <v>1081</v>
      </c>
      <c r="U2687" s="24" t="s">
        <v>1081</v>
      </c>
      <c r="V2687" s="103" t="s">
        <v>3618</v>
      </c>
      <c r="W2687" s="25">
        <f>IFERROR(VLOOKUP(BCP_Soles[[#This Row],[DESTINATARIO]],CHOOSE({1,2},Clientes_Proveedores[Razon Social],Clientes_Proveedores[Ruc / Dni]),2,0),"")</f>
        <v>20454186002</v>
      </c>
      <c r="X2687" s="25"/>
      <c r="Y2687" s="25"/>
      <c r="Z2687" s="25"/>
      <c r="AA2687" s="99"/>
      <c r="AB2687" s="3" t="str">
        <f>IF(BCP_Soles[[#This Row],[FECHA]]&gt;0,TEXT(BCP_Soles[[#This Row],[FECHA]],"mmmm"),0)</f>
        <v>Julio</v>
      </c>
    </row>
    <row r="2688" spans="2:28" ht="24" x14ac:dyDescent="0.3">
      <c r="B2688" s="2">
        <f>IF(BCP_Soles[[#This Row],[TIPO DE R.]]="R",COUNTIFS($D$4:$D2687,"R")+1,"")</f>
        <v>1964</v>
      </c>
      <c r="C2688" s="19" t="str">
        <f t="shared" si="205"/>
        <v>B-BCP - Soles</v>
      </c>
      <c r="D2688" s="3" t="s">
        <v>1074</v>
      </c>
      <c r="E2688" s="14">
        <v>45853</v>
      </c>
      <c r="F2688" s="5" t="s">
        <v>1996</v>
      </c>
      <c r="G2688" s="5" t="s">
        <v>1079</v>
      </c>
      <c r="H2688" s="6" t="s">
        <v>836</v>
      </c>
      <c r="I2688" s="6"/>
      <c r="J2688" s="6"/>
      <c r="K2688" s="6"/>
      <c r="L2688" s="7" t="s">
        <v>2794</v>
      </c>
      <c r="M2688" s="8">
        <v>1361192</v>
      </c>
      <c r="N2688" s="8" t="str">
        <f t="shared" si="206"/>
        <v>PEN</v>
      </c>
      <c r="O2688" s="13"/>
      <c r="P2688" s="13">
        <v>1931.2</v>
      </c>
      <c r="Q2688" s="3">
        <f t="shared" si="207"/>
        <v>0</v>
      </c>
      <c r="R2688" s="3">
        <f t="shared" si="208"/>
        <v>1931.2</v>
      </c>
      <c r="S2688" s="3">
        <f t="shared" si="209"/>
        <v>2643.0500000000238</v>
      </c>
      <c r="T2688" s="24"/>
      <c r="U2688" s="24"/>
      <c r="V2688" s="103" t="s">
        <v>3619</v>
      </c>
      <c r="W2688" s="25">
        <f>IFERROR(VLOOKUP(BCP_Soles[[#This Row],[DESTINATARIO]],CHOOSE({1,2},Clientes_Proveedores[Razon Social],Clientes_Proveedores[Ruc / Dni]),2,0),"")</f>
        <v>72144092</v>
      </c>
      <c r="X2688" s="25"/>
      <c r="Y2688" s="25"/>
      <c r="Z2688" s="25"/>
      <c r="AA2688" s="99"/>
      <c r="AB2688" s="3" t="str">
        <f>IF(BCP_Soles[[#This Row],[FECHA]]&gt;0,TEXT(BCP_Soles[[#This Row],[FECHA]],"mmmm"),0)</f>
        <v>Julio</v>
      </c>
    </row>
    <row r="2689" spans="2:28" x14ac:dyDescent="0.3">
      <c r="B2689" s="2">
        <f>IF(BCP_Soles[[#This Row],[TIPO DE R.]]="R",COUNTIFS($D$4:$D2688,"R")+1,"")</f>
        <v>1965</v>
      </c>
      <c r="C2689" s="19" t="str">
        <f t="shared" si="205"/>
        <v>B-BCP - Soles</v>
      </c>
      <c r="D2689" s="3" t="s">
        <v>1074</v>
      </c>
      <c r="E2689" s="14">
        <v>45853</v>
      </c>
      <c r="F2689" s="5" t="s">
        <v>1996</v>
      </c>
      <c r="G2689" s="5" t="s">
        <v>1079</v>
      </c>
      <c r="H2689" s="6" t="s">
        <v>507</v>
      </c>
      <c r="I2689" s="6" t="s">
        <v>14</v>
      </c>
      <c r="J2689" s="6" t="s">
        <v>1174</v>
      </c>
      <c r="K2689" s="6">
        <v>230</v>
      </c>
      <c r="L2689" s="7" t="s">
        <v>3620</v>
      </c>
      <c r="M2689" s="8">
        <v>1362642</v>
      </c>
      <c r="N2689" s="8" t="str">
        <f t="shared" si="206"/>
        <v>PEN</v>
      </c>
      <c r="O2689" s="13"/>
      <c r="P2689" s="13">
        <v>180</v>
      </c>
      <c r="Q2689" s="3">
        <f t="shared" si="207"/>
        <v>0</v>
      </c>
      <c r="R2689" s="3">
        <f t="shared" si="208"/>
        <v>180</v>
      </c>
      <c r="S2689" s="3">
        <f t="shared" si="209"/>
        <v>2463.0500000000238</v>
      </c>
      <c r="T2689" s="24" t="s">
        <v>1081</v>
      </c>
      <c r="U2689" s="24" t="s">
        <v>1081</v>
      </c>
      <c r="V2689" s="103" t="s">
        <v>3621</v>
      </c>
      <c r="W2689" s="25">
        <f>IFERROR(VLOOKUP(BCP_Soles[[#This Row],[DESTINATARIO]],CHOOSE({1,2},Clientes_Proveedores[Razon Social],Clientes_Proveedores[Ruc / Dni]),2,0),"")</f>
        <v>20608587803</v>
      </c>
      <c r="X2689" s="25"/>
      <c r="Y2689" s="25"/>
      <c r="Z2689" s="25"/>
      <c r="AA2689" s="99"/>
      <c r="AB2689" s="3" t="str">
        <f>IF(BCP_Soles[[#This Row],[FECHA]]&gt;0,TEXT(BCP_Soles[[#This Row],[FECHA]],"mmmm"),0)</f>
        <v>Julio</v>
      </c>
    </row>
    <row r="2690" spans="2:28" ht="24" x14ac:dyDescent="0.3">
      <c r="B2690" s="2">
        <f>IF(BCP_Soles[[#This Row],[TIPO DE R.]]="R",COUNTIFS($D$4:$D2689,"R")+1,"")</f>
        <v>1966</v>
      </c>
      <c r="C2690" s="19" t="str">
        <f t="shared" si="205"/>
        <v>B-BCP - Soles</v>
      </c>
      <c r="D2690" s="3" t="s">
        <v>1074</v>
      </c>
      <c r="E2690" s="14">
        <v>45853</v>
      </c>
      <c r="F2690" s="5" t="s">
        <v>1078</v>
      </c>
      <c r="G2690" s="5" t="s">
        <v>1079</v>
      </c>
      <c r="H2690" s="6" t="s">
        <v>1001</v>
      </c>
      <c r="I2690" s="6" t="s">
        <v>14</v>
      </c>
      <c r="J2690" s="6" t="s">
        <v>3128</v>
      </c>
      <c r="K2690" s="6">
        <v>34672092</v>
      </c>
      <c r="L2690" s="7" t="s">
        <v>1292</v>
      </c>
      <c r="M2690" s="8">
        <v>964700</v>
      </c>
      <c r="N2690" s="8" t="str">
        <f t="shared" si="206"/>
        <v>PEN</v>
      </c>
      <c r="O2690" s="13"/>
      <c r="P2690" s="13">
        <v>10</v>
      </c>
      <c r="Q2690" s="3">
        <f t="shared" si="207"/>
        <v>0</v>
      </c>
      <c r="R2690" s="3">
        <f t="shared" si="208"/>
        <v>10</v>
      </c>
      <c r="S2690" s="3">
        <f t="shared" si="209"/>
        <v>2453.0500000000238</v>
      </c>
      <c r="T2690" s="24" t="s">
        <v>1081</v>
      </c>
      <c r="U2690" s="24" t="s">
        <v>1081</v>
      </c>
      <c r="V2690" s="69"/>
      <c r="W2690" s="25">
        <f>IFERROR(VLOOKUP(BCP_Soles[[#This Row],[DESTINATARIO]],CHOOSE({1,2},Clientes_Proveedores[Razon Social],Clientes_Proveedores[Ruc / Dni]),2,0),"")</f>
        <v>20100047218</v>
      </c>
      <c r="X2690" s="25"/>
      <c r="Y2690" s="25"/>
      <c r="Z2690" s="25"/>
      <c r="AA2690" s="99"/>
      <c r="AB2690" s="3" t="str">
        <f>IF(BCP_Soles[[#This Row],[FECHA]]&gt;0,TEXT(BCP_Soles[[#This Row],[FECHA]],"mmmm"),0)</f>
        <v>Julio</v>
      </c>
    </row>
    <row r="2691" spans="2:28" x14ac:dyDescent="0.3">
      <c r="B2691" s="2">
        <f>IF(BCP_Soles[[#This Row],[TIPO DE R.]]="R",COUNTIFS($D$4:$D2690,"R")+1,"")</f>
        <v>1967</v>
      </c>
      <c r="C2691" s="19" t="str">
        <f t="shared" si="205"/>
        <v>B-BCP - Soles</v>
      </c>
      <c r="D2691" s="3" t="s">
        <v>1074</v>
      </c>
      <c r="E2691" s="14">
        <v>45853</v>
      </c>
      <c r="F2691" s="5" t="s">
        <v>1078</v>
      </c>
      <c r="G2691" s="5" t="s">
        <v>1079</v>
      </c>
      <c r="H2691" s="6" t="s">
        <v>950</v>
      </c>
      <c r="I2691" s="6" t="s">
        <v>10</v>
      </c>
      <c r="J2691" s="6" t="s">
        <v>3392</v>
      </c>
      <c r="K2691" s="6">
        <v>1967</v>
      </c>
      <c r="L2691" s="7" t="s">
        <v>2868</v>
      </c>
      <c r="M2691" s="8"/>
      <c r="N2691" s="8" t="str">
        <f t="shared" si="206"/>
        <v>PEN</v>
      </c>
      <c r="O2691" s="13"/>
      <c r="P2691" s="13">
        <v>6.15</v>
      </c>
      <c r="Q2691" s="3">
        <f t="shared" si="207"/>
        <v>0</v>
      </c>
      <c r="R2691" s="3">
        <f t="shared" si="208"/>
        <v>6.15</v>
      </c>
      <c r="S2691" s="3">
        <f t="shared" si="209"/>
        <v>2446.9000000000237</v>
      </c>
      <c r="T2691" s="24" t="s">
        <v>1081</v>
      </c>
      <c r="U2691" s="24"/>
      <c r="V2691" s="69"/>
      <c r="W2691" s="25">
        <f>IFERROR(VLOOKUP(BCP_Soles[[#This Row],[DESTINATARIO]],CHOOSE({1,2},Clientes_Proveedores[Razon Social],Clientes_Proveedores[Ruc / Dni]),2,0),"")</f>
        <v>11111111</v>
      </c>
      <c r="X2691" s="25"/>
      <c r="Y2691" s="25"/>
      <c r="Z2691" s="25"/>
      <c r="AA2691" s="99"/>
      <c r="AB2691" s="3" t="str">
        <f>IF(BCP_Soles[[#This Row],[FECHA]]&gt;0,TEXT(BCP_Soles[[#This Row],[FECHA]],"mmmm"),0)</f>
        <v>Julio</v>
      </c>
    </row>
    <row r="2692" spans="2:28" ht="24" x14ac:dyDescent="0.3">
      <c r="B2692" s="2">
        <f>IF(BCP_Soles[[#This Row],[TIPO DE R.]]="R",COUNTIFS($D$4:$D2691,"R")+1,"")</f>
        <v>1968</v>
      </c>
      <c r="C2692" s="19" t="str">
        <f t="shared" si="205"/>
        <v>B-BCP - Soles</v>
      </c>
      <c r="D2692" s="3" t="s">
        <v>1074</v>
      </c>
      <c r="E2692" s="14">
        <v>45853</v>
      </c>
      <c r="F2692" s="5" t="s">
        <v>1078</v>
      </c>
      <c r="G2692" s="5" t="s">
        <v>1079</v>
      </c>
      <c r="H2692" s="6" t="s">
        <v>1001</v>
      </c>
      <c r="I2692" s="6" t="s">
        <v>14</v>
      </c>
      <c r="J2692" s="6" t="s">
        <v>3128</v>
      </c>
      <c r="K2692" s="6">
        <v>34975615</v>
      </c>
      <c r="L2692" s="7" t="s">
        <v>3622</v>
      </c>
      <c r="M2692" s="8">
        <v>990873</v>
      </c>
      <c r="N2692" s="8" t="str">
        <f t="shared" si="206"/>
        <v>PEN</v>
      </c>
      <c r="O2692" s="13"/>
      <c r="P2692" s="13">
        <v>5</v>
      </c>
      <c r="Q2692" s="3">
        <f t="shared" si="207"/>
        <v>0</v>
      </c>
      <c r="R2692" s="3">
        <f t="shared" si="208"/>
        <v>5</v>
      </c>
      <c r="S2692" s="3">
        <f t="shared" si="209"/>
        <v>2441.9000000000237</v>
      </c>
      <c r="T2692" s="24" t="s">
        <v>1081</v>
      </c>
      <c r="U2692" s="24" t="s">
        <v>1081</v>
      </c>
      <c r="V2692" s="69"/>
      <c r="W2692" s="25">
        <f>IFERROR(VLOOKUP(BCP_Soles[[#This Row],[DESTINATARIO]],CHOOSE({1,2},Clientes_Proveedores[Razon Social],Clientes_Proveedores[Ruc / Dni]),2,0),"")</f>
        <v>20100047218</v>
      </c>
      <c r="X2692" s="25"/>
      <c r="Y2692" s="25"/>
      <c r="Z2692" s="25"/>
      <c r="AA2692" s="99"/>
      <c r="AB2692" s="3" t="str">
        <f>IF(BCP_Soles[[#This Row],[FECHA]]&gt;0,TEXT(BCP_Soles[[#This Row],[FECHA]],"mmmm"),0)</f>
        <v>Julio</v>
      </c>
    </row>
    <row r="2693" spans="2:28" x14ac:dyDescent="0.3">
      <c r="B2693" s="2">
        <f>IF(BCP_Soles[[#This Row],[TIPO DE R.]]="R",COUNTIFS($D$4:$D2692,"R")+1,"")</f>
        <v>1969</v>
      </c>
      <c r="C2693" s="19" t="str">
        <f t="shared" ref="C2693:C2756" si="210">"B-BCP - Soles"</f>
        <v>B-BCP - Soles</v>
      </c>
      <c r="D2693" s="3" t="s">
        <v>1074</v>
      </c>
      <c r="E2693" s="14">
        <v>45854</v>
      </c>
      <c r="F2693" s="5"/>
      <c r="G2693" s="5" t="s">
        <v>1087</v>
      </c>
      <c r="H2693" s="6" t="s">
        <v>368</v>
      </c>
      <c r="I2693" s="6"/>
      <c r="J2693" s="6"/>
      <c r="K2693" s="6"/>
      <c r="L2693" s="7" t="s">
        <v>1100</v>
      </c>
      <c r="M2693" s="8">
        <v>2381684</v>
      </c>
      <c r="N2693" s="8" t="str">
        <f t="shared" ref="N2693:N2756" si="211">"PEN"</f>
        <v>PEN</v>
      </c>
      <c r="O2693" s="13"/>
      <c r="P2693" s="13">
        <v>6509</v>
      </c>
      <c r="Q2693" s="3">
        <f t="shared" ref="Q2693:Q2756" si="212">+IF(OR($G2693="SALDO",$G2693="INGRESO"),$P2693,0)</f>
        <v>6509</v>
      </c>
      <c r="R2693" s="3">
        <f t="shared" ref="R2693:R2756" si="213">+IF($G2693="EGRESO",$P2693,0)</f>
        <v>0</v>
      </c>
      <c r="S2693" s="3">
        <f t="shared" ref="S2693:S2756" si="214">IFERROR(IF(G2693="SALDO",Q2693,S2692+Q2693-R2693),0)</f>
        <v>8950.9000000000233</v>
      </c>
      <c r="T2693" s="24" t="s">
        <v>1081</v>
      </c>
      <c r="U2693" s="24" t="s">
        <v>1081</v>
      </c>
      <c r="V2693" s="69"/>
      <c r="W2693" s="25">
        <f>IFERROR(VLOOKUP(BCP_Soles[[#This Row],[DESTINATARIO]],CHOOSE({1,2},Clientes_Proveedores[Razon Social],Clientes_Proveedores[Ruc / Dni]),2,0),"")</f>
        <v>20558226979</v>
      </c>
      <c r="X2693" s="25"/>
      <c r="Y2693" s="25"/>
      <c r="Z2693" s="25"/>
      <c r="AA2693" s="99"/>
      <c r="AB2693" s="3" t="str">
        <f>IF(BCP_Soles[[#This Row],[FECHA]]&gt;0,TEXT(BCP_Soles[[#This Row],[FECHA]],"mmmm"),0)</f>
        <v>Julio</v>
      </c>
    </row>
    <row r="2694" spans="2:28" ht="24" x14ac:dyDescent="0.3">
      <c r="B2694" s="2" t="str">
        <f>IF(BCP_Soles[[#This Row],[TIPO DE R.]]="R",COUNTIFS($D$4:$D2693,"R")+1,"")</f>
        <v/>
      </c>
      <c r="C2694" s="19" t="str">
        <f t="shared" si="210"/>
        <v>B-BCP - Soles</v>
      </c>
      <c r="D2694" s="3" t="s">
        <v>1101</v>
      </c>
      <c r="E2694" s="14">
        <v>45854</v>
      </c>
      <c r="F2694" s="5" t="s">
        <v>479</v>
      </c>
      <c r="G2694" s="5"/>
      <c r="H2694" s="6" t="s">
        <v>368</v>
      </c>
      <c r="I2694" s="6" t="s">
        <v>63</v>
      </c>
      <c r="J2694" s="6">
        <v>1</v>
      </c>
      <c r="K2694" s="6">
        <v>4572</v>
      </c>
      <c r="L2694" s="7" t="s">
        <v>1100</v>
      </c>
      <c r="M2694" s="8">
        <v>2381684</v>
      </c>
      <c r="N2694" s="8" t="str">
        <f t="shared" si="211"/>
        <v>PEN</v>
      </c>
      <c r="O2694" s="13">
        <v>4146</v>
      </c>
      <c r="P2694" s="13"/>
      <c r="Q2694" s="3">
        <f t="shared" si="212"/>
        <v>0</v>
      </c>
      <c r="R2694" s="3">
        <f t="shared" si="213"/>
        <v>0</v>
      </c>
      <c r="S2694" s="3">
        <f t="shared" si="214"/>
        <v>8950.9000000000233</v>
      </c>
      <c r="T2694" s="24" t="s">
        <v>1081</v>
      </c>
      <c r="U2694" s="24" t="s">
        <v>1081</v>
      </c>
      <c r="V2694" s="69"/>
      <c r="W2694" s="25">
        <f>IFERROR(VLOOKUP(BCP_Soles[[#This Row],[DESTINATARIO]],CHOOSE({1,2},Clientes_Proveedores[Razon Social],Clientes_Proveedores[Ruc / Dni]),2,0),"")</f>
        <v>20558226979</v>
      </c>
      <c r="X2694" s="25"/>
      <c r="Y2694" s="25"/>
      <c r="Z2694" s="25"/>
      <c r="AA2694" s="99"/>
      <c r="AB2694" s="3" t="str">
        <f>IF(BCP_Soles[[#This Row],[FECHA]]&gt;0,TEXT(BCP_Soles[[#This Row],[FECHA]],"mmmm"),0)</f>
        <v>Julio</v>
      </c>
    </row>
    <row r="2695" spans="2:28" ht="24" x14ac:dyDescent="0.3">
      <c r="B2695" s="2" t="str">
        <f>IF(BCP_Soles[[#This Row],[TIPO DE R.]]="R",COUNTIFS($D$4:$D2694,"R")+1,"")</f>
        <v/>
      </c>
      <c r="C2695" s="19" t="str">
        <f t="shared" si="210"/>
        <v>B-BCP - Soles</v>
      </c>
      <c r="D2695" s="3" t="s">
        <v>1101</v>
      </c>
      <c r="E2695" s="14">
        <v>45854</v>
      </c>
      <c r="F2695" s="5" t="s">
        <v>479</v>
      </c>
      <c r="G2695" s="5"/>
      <c r="H2695" s="6" t="s">
        <v>368</v>
      </c>
      <c r="I2695" s="6" t="s">
        <v>63</v>
      </c>
      <c r="J2695" s="6">
        <v>1</v>
      </c>
      <c r="K2695" s="6">
        <v>4580</v>
      </c>
      <c r="L2695" s="7" t="s">
        <v>1100</v>
      </c>
      <c r="M2695" s="8">
        <v>2381684</v>
      </c>
      <c r="N2695" s="8" t="str">
        <f t="shared" si="211"/>
        <v>PEN</v>
      </c>
      <c r="O2695" s="13">
        <v>2363</v>
      </c>
      <c r="P2695" s="13"/>
      <c r="Q2695" s="3">
        <f t="shared" si="212"/>
        <v>0</v>
      </c>
      <c r="R2695" s="3">
        <f t="shared" si="213"/>
        <v>0</v>
      </c>
      <c r="S2695" s="3">
        <f t="shared" si="214"/>
        <v>8950.9000000000233</v>
      </c>
      <c r="T2695" s="24" t="s">
        <v>1081</v>
      </c>
      <c r="U2695" s="24" t="s">
        <v>1081</v>
      </c>
      <c r="V2695" s="69"/>
      <c r="W2695" s="25">
        <f>IFERROR(VLOOKUP(BCP_Soles[[#This Row],[DESTINATARIO]],CHOOSE({1,2},Clientes_Proveedores[Razon Social],Clientes_Proveedores[Ruc / Dni]),2,0),"")</f>
        <v>20558226979</v>
      </c>
      <c r="X2695" s="25"/>
      <c r="Y2695" s="25"/>
      <c r="Z2695" s="25"/>
      <c r="AA2695" s="99"/>
      <c r="AB2695" s="3" t="str">
        <f>IF(BCP_Soles[[#This Row],[FECHA]]&gt;0,TEXT(BCP_Soles[[#This Row],[FECHA]],"mmmm"),0)</f>
        <v>Julio</v>
      </c>
    </row>
    <row r="2696" spans="2:28" ht="24" x14ac:dyDescent="0.3">
      <c r="B2696" s="2">
        <f>IF(BCP_Soles[[#This Row],[TIPO DE R.]]="R",COUNTIFS($D$4:$D2695,"R")+1,"")</f>
        <v>1970</v>
      </c>
      <c r="C2696" s="19" t="str">
        <f t="shared" si="210"/>
        <v>B-BCP - Soles</v>
      </c>
      <c r="D2696" s="3" t="s">
        <v>1074</v>
      </c>
      <c r="E2696" s="14">
        <v>45854</v>
      </c>
      <c r="F2696" s="5" t="s">
        <v>1082</v>
      </c>
      <c r="G2696" s="5" t="s">
        <v>1079</v>
      </c>
      <c r="H2696" s="6" t="s">
        <v>645</v>
      </c>
      <c r="I2696" s="6" t="s">
        <v>52</v>
      </c>
      <c r="J2696" s="6" t="s">
        <v>1225</v>
      </c>
      <c r="K2696" s="6">
        <v>31243883</v>
      </c>
      <c r="L2696" s="7" t="s">
        <v>3623</v>
      </c>
      <c r="M2696" s="8">
        <v>102154</v>
      </c>
      <c r="N2696" s="8" t="str">
        <f t="shared" si="211"/>
        <v>PEN</v>
      </c>
      <c r="O2696" s="13"/>
      <c r="P2696" s="13">
        <v>124.4</v>
      </c>
      <c r="Q2696" s="3">
        <f t="shared" si="212"/>
        <v>0</v>
      </c>
      <c r="R2696" s="3">
        <f t="shared" si="213"/>
        <v>124.4</v>
      </c>
      <c r="S2696" s="3">
        <f t="shared" si="214"/>
        <v>8826.5000000000236</v>
      </c>
      <c r="T2696" s="24" t="s">
        <v>1081</v>
      </c>
      <c r="U2696" s="24" t="s">
        <v>1081</v>
      </c>
      <c r="V2696" s="103" t="s">
        <v>3624</v>
      </c>
      <c r="W2696" s="25">
        <f>IFERROR(VLOOKUP(BCP_Soles[[#This Row],[DESTINATARIO]],CHOOSE({1,2},Clientes_Proveedores[Razon Social],Clientes_Proveedores[Ruc / Dni]),2,0),"")</f>
        <v>20100188628</v>
      </c>
      <c r="X2696" s="25"/>
      <c r="Y2696" s="25"/>
      <c r="Z2696" s="25"/>
      <c r="AA2696" s="99"/>
      <c r="AB2696" s="3" t="str">
        <f>IF(BCP_Soles[[#This Row],[FECHA]]&gt;0,TEXT(BCP_Soles[[#This Row],[FECHA]],"mmmm"),0)</f>
        <v>Julio</v>
      </c>
    </row>
    <row r="2697" spans="2:28" ht="24" x14ac:dyDescent="0.3">
      <c r="B2697" s="2">
        <f>IF(BCP_Soles[[#This Row],[TIPO DE R.]]="R",COUNTIFS($D$4:$D2696,"R")+1,"")</f>
        <v>1971</v>
      </c>
      <c r="C2697" s="19" t="str">
        <f t="shared" si="210"/>
        <v>B-BCP - Soles</v>
      </c>
      <c r="D2697" s="3" t="s">
        <v>1074</v>
      </c>
      <c r="E2697" s="14">
        <v>45854</v>
      </c>
      <c r="F2697" s="5" t="s">
        <v>1082</v>
      </c>
      <c r="G2697" s="5" t="s">
        <v>1079</v>
      </c>
      <c r="H2697" s="6" t="s">
        <v>645</v>
      </c>
      <c r="I2697" s="6" t="s">
        <v>52</v>
      </c>
      <c r="J2697" s="6" t="s">
        <v>1225</v>
      </c>
      <c r="K2697" s="6">
        <v>31243943</v>
      </c>
      <c r="L2697" s="7" t="s">
        <v>3625</v>
      </c>
      <c r="M2697" s="8">
        <v>101658</v>
      </c>
      <c r="N2697" s="8" t="str">
        <f t="shared" si="211"/>
        <v>PEN</v>
      </c>
      <c r="O2697" s="13"/>
      <c r="P2697" s="13">
        <v>445.3</v>
      </c>
      <c r="Q2697" s="3">
        <f t="shared" si="212"/>
        <v>0</v>
      </c>
      <c r="R2697" s="3">
        <f t="shared" si="213"/>
        <v>445.3</v>
      </c>
      <c r="S2697" s="3">
        <f t="shared" si="214"/>
        <v>8381.2000000000244</v>
      </c>
      <c r="T2697" s="24" t="s">
        <v>1081</v>
      </c>
      <c r="U2697" s="24" t="s">
        <v>1081</v>
      </c>
      <c r="V2697" s="103" t="s">
        <v>3626</v>
      </c>
      <c r="W2697" s="25">
        <f>IFERROR(VLOOKUP(BCP_Soles[[#This Row],[DESTINATARIO]],CHOOSE({1,2},Clientes_Proveedores[Razon Social],Clientes_Proveedores[Ruc / Dni]),2,0),"")</f>
        <v>20100188628</v>
      </c>
      <c r="X2697" s="25"/>
      <c r="Y2697" s="25"/>
      <c r="Z2697" s="25"/>
      <c r="AA2697" s="99"/>
      <c r="AB2697" s="3" t="str">
        <f>IF(BCP_Soles[[#This Row],[FECHA]]&gt;0,TEXT(BCP_Soles[[#This Row],[FECHA]],"mmmm"),0)</f>
        <v>Julio</v>
      </c>
    </row>
    <row r="2698" spans="2:28" ht="24" x14ac:dyDescent="0.3">
      <c r="B2698" s="2">
        <f>IF(BCP_Soles[[#This Row],[TIPO DE R.]]="R",COUNTIFS($D$4:$D2697,"R")+1,"")</f>
        <v>1972</v>
      </c>
      <c r="C2698" s="19" t="str">
        <f t="shared" si="210"/>
        <v>B-BCP - Soles</v>
      </c>
      <c r="D2698" s="3" t="s">
        <v>1074</v>
      </c>
      <c r="E2698" s="14">
        <v>45854</v>
      </c>
      <c r="F2698" s="5" t="s">
        <v>1082</v>
      </c>
      <c r="G2698" s="5" t="s">
        <v>1079</v>
      </c>
      <c r="H2698" s="6" t="s">
        <v>648</v>
      </c>
      <c r="I2698" s="6" t="s">
        <v>52</v>
      </c>
      <c r="J2698" s="6" t="s">
        <v>1230</v>
      </c>
      <c r="K2698" s="6">
        <v>257602</v>
      </c>
      <c r="L2698" s="7" t="s">
        <v>3627</v>
      </c>
      <c r="M2698" s="8">
        <v>4103129</v>
      </c>
      <c r="N2698" s="8" t="str">
        <f t="shared" si="211"/>
        <v>PEN</v>
      </c>
      <c r="O2698" s="13"/>
      <c r="P2698" s="13">
        <v>19</v>
      </c>
      <c r="Q2698" s="3">
        <f t="shared" si="212"/>
        <v>0</v>
      </c>
      <c r="R2698" s="3">
        <f t="shared" si="213"/>
        <v>19</v>
      </c>
      <c r="S2698" s="3">
        <f t="shared" si="214"/>
        <v>8362.2000000000244</v>
      </c>
      <c r="T2698" s="24" t="s">
        <v>1081</v>
      </c>
      <c r="U2698" s="24" t="s">
        <v>1081</v>
      </c>
      <c r="V2698" s="103" t="s">
        <v>3628</v>
      </c>
      <c r="W2698" s="25">
        <f>IFERROR(VLOOKUP(BCP_Soles[[#This Row],[DESTINATARIO]],CHOOSE({1,2},Clientes_Proveedores[Razon Social],Clientes_Proveedores[Ruc / Dni]),2,0),"")</f>
        <v>20331898008</v>
      </c>
      <c r="X2698" s="25"/>
      <c r="Y2698" s="25"/>
      <c r="Z2698" s="25"/>
      <c r="AA2698" s="99"/>
      <c r="AB2698" s="3" t="str">
        <f>IF(BCP_Soles[[#This Row],[FECHA]]&gt;0,TEXT(BCP_Soles[[#This Row],[FECHA]],"mmmm"),0)</f>
        <v>Julio</v>
      </c>
    </row>
    <row r="2699" spans="2:28" ht="24" x14ac:dyDescent="0.3">
      <c r="B2699" s="2">
        <f>IF(BCP_Soles[[#This Row],[TIPO DE R.]]="R",COUNTIFS($D$4:$D2698,"R")+1,"")</f>
        <v>1973</v>
      </c>
      <c r="C2699" s="19" t="str">
        <f t="shared" si="210"/>
        <v>B-BCP - Soles</v>
      </c>
      <c r="D2699" s="3" t="s">
        <v>1074</v>
      </c>
      <c r="E2699" s="14">
        <v>45854</v>
      </c>
      <c r="F2699" s="5" t="s">
        <v>1082</v>
      </c>
      <c r="G2699" s="5" t="s">
        <v>1079</v>
      </c>
      <c r="H2699" s="6" t="s">
        <v>836</v>
      </c>
      <c r="I2699" s="6"/>
      <c r="J2699" s="6"/>
      <c r="K2699" s="6"/>
      <c r="L2699" s="7" t="s">
        <v>3629</v>
      </c>
      <c r="M2699" s="8">
        <v>1100178</v>
      </c>
      <c r="N2699" s="8" t="str">
        <f t="shared" si="211"/>
        <v>PEN</v>
      </c>
      <c r="O2699" s="13"/>
      <c r="P2699" s="13">
        <v>900</v>
      </c>
      <c r="Q2699" s="3">
        <f t="shared" si="212"/>
        <v>0</v>
      </c>
      <c r="R2699" s="3">
        <f t="shared" si="213"/>
        <v>900</v>
      </c>
      <c r="S2699" s="3">
        <f t="shared" si="214"/>
        <v>7462.2000000000244</v>
      </c>
      <c r="T2699" s="24"/>
      <c r="U2699" s="24" t="s">
        <v>1081</v>
      </c>
      <c r="V2699" s="103" t="s">
        <v>3630</v>
      </c>
      <c r="W2699" s="25">
        <f>IFERROR(VLOOKUP(BCP_Soles[[#This Row],[DESTINATARIO]],CHOOSE({1,2},Clientes_Proveedores[Razon Social],Clientes_Proveedores[Ruc / Dni]),2,0),"")</f>
        <v>72144092</v>
      </c>
      <c r="X2699" s="25"/>
      <c r="Y2699" s="25"/>
      <c r="Z2699" s="25"/>
      <c r="AA2699" s="99"/>
      <c r="AB2699" s="3" t="str">
        <f>IF(BCP_Soles[[#This Row],[FECHA]]&gt;0,TEXT(BCP_Soles[[#This Row],[FECHA]],"mmmm"),0)</f>
        <v>Julio</v>
      </c>
    </row>
    <row r="2700" spans="2:28" ht="24" x14ac:dyDescent="0.3">
      <c r="B2700" s="2">
        <f>IF(BCP_Soles[[#This Row],[TIPO DE R.]]="R",COUNTIFS($D$4:$D2699,"R")+1,"")</f>
        <v>1974</v>
      </c>
      <c r="C2700" s="19" t="str">
        <f t="shared" si="210"/>
        <v>B-BCP - Soles</v>
      </c>
      <c r="D2700" s="3" t="s">
        <v>1074</v>
      </c>
      <c r="E2700" s="14">
        <v>45854</v>
      </c>
      <c r="F2700" s="5" t="s">
        <v>1082</v>
      </c>
      <c r="G2700" s="5" t="s">
        <v>1079</v>
      </c>
      <c r="H2700" s="6" t="s">
        <v>440</v>
      </c>
      <c r="I2700" s="6" t="s">
        <v>14</v>
      </c>
      <c r="J2700" s="6" t="s">
        <v>1148</v>
      </c>
      <c r="K2700" s="6">
        <v>20256</v>
      </c>
      <c r="L2700" s="7" t="s">
        <v>3631</v>
      </c>
      <c r="M2700" s="8">
        <v>1111014</v>
      </c>
      <c r="N2700" s="8" t="str">
        <f t="shared" si="211"/>
        <v>PEN</v>
      </c>
      <c r="O2700" s="13"/>
      <c r="P2700" s="13">
        <v>405</v>
      </c>
      <c r="Q2700" s="3">
        <f t="shared" si="212"/>
        <v>0</v>
      </c>
      <c r="R2700" s="3">
        <f t="shared" si="213"/>
        <v>405</v>
      </c>
      <c r="S2700" s="3">
        <f t="shared" si="214"/>
        <v>7057.2000000000244</v>
      </c>
      <c r="T2700" s="24" t="s">
        <v>1081</v>
      </c>
      <c r="U2700" s="24" t="s">
        <v>1081</v>
      </c>
      <c r="V2700" s="103" t="s">
        <v>3632</v>
      </c>
      <c r="W2700" s="25">
        <f>IFERROR(VLOOKUP(BCP_Soles[[#This Row],[DESTINATARIO]],CHOOSE({1,2},Clientes_Proveedores[Razon Social],Clientes_Proveedores[Ruc / Dni]),2,0),"")</f>
        <v>20602810497</v>
      </c>
      <c r="X2700" s="25"/>
      <c r="Y2700" s="25"/>
      <c r="Z2700" s="25"/>
      <c r="AA2700" s="101"/>
      <c r="AB2700" s="3" t="str">
        <f>IF(BCP_Soles[[#This Row],[FECHA]]&gt;0,TEXT(BCP_Soles[[#This Row],[FECHA]],"mmmm"),0)</f>
        <v>Julio</v>
      </c>
    </row>
    <row r="2701" spans="2:28" ht="48" x14ac:dyDescent="0.3">
      <c r="B2701" s="2">
        <f>IF(BCP_Soles[[#This Row],[TIPO DE R.]]="R",COUNTIFS($D$4:$D2700,"R")+1,"")</f>
        <v>1975</v>
      </c>
      <c r="C2701" s="19" t="str">
        <f t="shared" si="210"/>
        <v>B-BCP - Soles</v>
      </c>
      <c r="D2701" s="3" t="s">
        <v>1074</v>
      </c>
      <c r="E2701" s="14">
        <v>45854</v>
      </c>
      <c r="F2701" s="5" t="s">
        <v>1082</v>
      </c>
      <c r="G2701" s="5" t="s">
        <v>1079</v>
      </c>
      <c r="H2701" s="6" t="s">
        <v>444</v>
      </c>
      <c r="I2701" s="6" t="s">
        <v>14</v>
      </c>
      <c r="J2701" s="6" t="s">
        <v>1266</v>
      </c>
      <c r="K2701" s="6">
        <v>10996</v>
      </c>
      <c r="L2701" s="7" t="s">
        <v>3633</v>
      </c>
      <c r="M2701" s="8">
        <v>1110528</v>
      </c>
      <c r="N2701" s="8" t="str">
        <f t="shared" si="211"/>
        <v>PEN</v>
      </c>
      <c r="O2701" s="13"/>
      <c r="P2701" s="13">
        <v>266</v>
      </c>
      <c r="Q2701" s="3">
        <f t="shared" si="212"/>
        <v>0</v>
      </c>
      <c r="R2701" s="3">
        <f t="shared" si="213"/>
        <v>266</v>
      </c>
      <c r="S2701" s="3">
        <f t="shared" si="214"/>
        <v>6791.2000000000244</v>
      </c>
      <c r="T2701" s="24" t="s">
        <v>1081</v>
      </c>
      <c r="U2701" s="24" t="s">
        <v>1081</v>
      </c>
      <c r="V2701" s="103" t="s">
        <v>3634</v>
      </c>
      <c r="W2701" s="25">
        <f>IFERROR(VLOOKUP(BCP_Soles[[#This Row],[DESTINATARIO]],CHOOSE({1,2},Clientes_Proveedores[Razon Social],Clientes_Proveedores[Ruc / Dni]),2,0),"")</f>
        <v>20602978274</v>
      </c>
      <c r="X2701" s="25"/>
      <c r="Y2701" s="25"/>
      <c r="Z2701" s="25"/>
      <c r="AA2701" s="101"/>
      <c r="AB2701" s="3" t="str">
        <f>IF(BCP_Soles[[#This Row],[FECHA]]&gt;0,TEXT(BCP_Soles[[#This Row],[FECHA]],"mmmm"),0)</f>
        <v>Julio</v>
      </c>
    </row>
    <row r="2702" spans="2:28" ht="48" x14ac:dyDescent="0.3">
      <c r="B2702" s="2">
        <f>IF(BCP_Soles[[#This Row],[TIPO DE R.]]="R",COUNTIFS($D$4:$D2701,"R")+1,"")</f>
        <v>1976</v>
      </c>
      <c r="C2702" s="19" t="str">
        <f t="shared" si="210"/>
        <v>B-BCP - Soles</v>
      </c>
      <c r="D2702" s="3" t="s">
        <v>1074</v>
      </c>
      <c r="E2702" s="14">
        <v>45854</v>
      </c>
      <c r="F2702" s="5" t="s">
        <v>1082</v>
      </c>
      <c r="G2702" s="5" t="s">
        <v>1079</v>
      </c>
      <c r="H2702" s="6" t="s">
        <v>444</v>
      </c>
      <c r="I2702" s="6" t="s">
        <v>14</v>
      </c>
      <c r="J2702" s="6" t="s">
        <v>1390</v>
      </c>
      <c r="K2702" s="6">
        <v>8336</v>
      </c>
      <c r="L2702" s="7" t="s">
        <v>3635</v>
      </c>
      <c r="M2702" s="8">
        <v>1108069</v>
      </c>
      <c r="N2702" s="8" t="str">
        <f t="shared" si="211"/>
        <v>PEN</v>
      </c>
      <c r="O2702" s="13"/>
      <c r="P2702" s="13">
        <v>216</v>
      </c>
      <c r="Q2702" s="3">
        <f t="shared" si="212"/>
        <v>0</v>
      </c>
      <c r="R2702" s="3">
        <f t="shared" si="213"/>
        <v>216</v>
      </c>
      <c r="S2702" s="3">
        <f t="shared" si="214"/>
        <v>6575.2000000000244</v>
      </c>
      <c r="T2702" s="24" t="s">
        <v>1081</v>
      </c>
      <c r="U2702" s="24" t="s">
        <v>1081</v>
      </c>
      <c r="V2702" s="103" t="s">
        <v>3636</v>
      </c>
      <c r="W2702" s="25">
        <f>IFERROR(VLOOKUP(BCP_Soles[[#This Row],[DESTINATARIO]],CHOOSE({1,2},Clientes_Proveedores[Razon Social],Clientes_Proveedores[Ruc / Dni]),2,0),"")</f>
        <v>20602978274</v>
      </c>
      <c r="X2702" s="25"/>
      <c r="Y2702" s="25"/>
      <c r="Z2702" s="25"/>
      <c r="AA2702" s="101"/>
      <c r="AB2702" s="3" t="str">
        <f>IF(BCP_Soles[[#This Row],[FECHA]]&gt;0,TEXT(BCP_Soles[[#This Row],[FECHA]],"mmmm"),0)</f>
        <v>Julio</v>
      </c>
    </row>
    <row r="2703" spans="2:28" x14ac:dyDescent="0.3">
      <c r="B2703" s="2">
        <f>IF(BCP_Soles[[#This Row],[TIPO DE R.]]="R",COUNTIFS($D$4:$D2702,"R")+1,"")</f>
        <v>1977</v>
      </c>
      <c r="C2703" s="19" t="str">
        <f t="shared" si="210"/>
        <v>B-BCP - Soles</v>
      </c>
      <c r="D2703" s="3" t="s">
        <v>1074</v>
      </c>
      <c r="E2703" s="14">
        <v>45854</v>
      </c>
      <c r="F2703" s="5" t="s">
        <v>1082</v>
      </c>
      <c r="G2703" s="5" t="s">
        <v>1079</v>
      </c>
      <c r="H2703" s="6" t="s">
        <v>638</v>
      </c>
      <c r="I2703" s="6"/>
      <c r="J2703" s="6"/>
      <c r="K2703" s="6"/>
      <c r="L2703" s="7" t="s">
        <v>3637</v>
      </c>
      <c r="M2703" s="8">
        <v>1314761</v>
      </c>
      <c r="N2703" s="8" t="str">
        <f t="shared" si="211"/>
        <v>PEN</v>
      </c>
      <c r="O2703" s="13"/>
      <c r="P2703" s="13">
        <v>1336.75</v>
      </c>
      <c r="Q2703" s="3">
        <f t="shared" si="212"/>
        <v>0</v>
      </c>
      <c r="R2703" s="3">
        <f t="shared" si="213"/>
        <v>1336.75</v>
      </c>
      <c r="S2703" s="3">
        <f t="shared" si="214"/>
        <v>5238.4500000000244</v>
      </c>
      <c r="T2703" s="24" t="s">
        <v>1081</v>
      </c>
      <c r="U2703" s="24" t="s">
        <v>1081</v>
      </c>
      <c r="V2703" s="103" t="s">
        <v>3638</v>
      </c>
      <c r="W2703" s="25">
        <f>IFERROR(VLOOKUP(BCP_Soles[[#This Row],[DESTINATARIO]],CHOOSE({1,2},Clientes_Proveedores[Razon Social],Clientes_Proveedores[Ruc / Dni]),2,0),"")</f>
        <v>0</v>
      </c>
      <c r="X2703" s="25"/>
      <c r="Y2703" s="25"/>
      <c r="Z2703" s="25"/>
      <c r="AA2703" s="101"/>
      <c r="AB2703" s="3" t="str">
        <f>IF(BCP_Soles[[#This Row],[FECHA]]&gt;0,TEXT(BCP_Soles[[#This Row],[FECHA]],"mmmm"),0)</f>
        <v>Julio</v>
      </c>
    </row>
    <row r="2704" spans="2:28" x14ac:dyDescent="0.3">
      <c r="B2704" s="2" t="str">
        <f>IF(BCP_Soles[[#This Row],[TIPO DE R.]]="R",COUNTIFS($D$4:$D2703,"R")+1,"")</f>
        <v/>
      </c>
      <c r="C2704" s="19" t="str">
        <f t="shared" si="210"/>
        <v>B-BCP - Soles</v>
      </c>
      <c r="D2704" s="3" t="s">
        <v>1101</v>
      </c>
      <c r="E2704" s="14">
        <v>45854</v>
      </c>
      <c r="F2704" s="5" t="s">
        <v>1082</v>
      </c>
      <c r="G2704" s="5"/>
      <c r="H2704" s="6" t="s">
        <v>580</v>
      </c>
      <c r="I2704" s="6" t="s">
        <v>14</v>
      </c>
      <c r="J2704" s="6" t="s">
        <v>1119</v>
      </c>
      <c r="K2704" s="6">
        <v>16822</v>
      </c>
      <c r="L2704" s="7" t="s">
        <v>3637</v>
      </c>
      <c r="M2704" s="8">
        <v>1314761</v>
      </c>
      <c r="N2704" s="8" t="str">
        <f t="shared" si="211"/>
        <v>PEN</v>
      </c>
      <c r="O2704" s="13">
        <v>1124.54</v>
      </c>
      <c r="P2704" s="13"/>
      <c r="Q2704" s="3">
        <f t="shared" si="212"/>
        <v>0</v>
      </c>
      <c r="R2704" s="3">
        <f t="shared" si="213"/>
        <v>0</v>
      </c>
      <c r="S2704" s="3">
        <f t="shared" si="214"/>
        <v>5238.4500000000244</v>
      </c>
      <c r="T2704" s="24" t="s">
        <v>1081</v>
      </c>
      <c r="U2704" s="24" t="s">
        <v>1081</v>
      </c>
      <c r="V2704" s="103"/>
      <c r="W2704" s="25">
        <f>IFERROR(VLOOKUP(BCP_Soles[[#This Row],[DESTINATARIO]],CHOOSE({1,2},Clientes_Proveedores[Razon Social],Clientes_Proveedores[Ruc / Dni]),2,0),"")</f>
        <v>20602484344</v>
      </c>
      <c r="X2704" s="25"/>
      <c r="Y2704" s="25"/>
      <c r="Z2704" s="25"/>
      <c r="AA2704" s="101"/>
      <c r="AB2704" s="3" t="str">
        <f>IF(BCP_Soles[[#This Row],[FECHA]]&gt;0,TEXT(BCP_Soles[[#This Row],[FECHA]],"mmmm"),0)</f>
        <v>Julio</v>
      </c>
    </row>
    <row r="2705" spans="2:28" x14ac:dyDescent="0.3">
      <c r="B2705" s="2" t="str">
        <f>IF(BCP_Soles[[#This Row],[TIPO DE R.]]="R",COUNTIFS($D$4:$D2704,"R")+1,"")</f>
        <v/>
      </c>
      <c r="C2705" s="19" t="str">
        <f t="shared" si="210"/>
        <v>B-BCP - Soles</v>
      </c>
      <c r="D2705" s="3" t="s">
        <v>1101</v>
      </c>
      <c r="E2705" s="14">
        <v>45854</v>
      </c>
      <c r="F2705" s="5" t="s">
        <v>1082</v>
      </c>
      <c r="G2705" s="5"/>
      <c r="H2705" s="6" t="s">
        <v>580</v>
      </c>
      <c r="I2705" s="6" t="s">
        <v>14</v>
      </c>
      <c r="J2705" s="6" t="s">
        <v>1119</v>
      </c>
      <c r="K2705" s="6">
        <v>16824</v>
      </c>
      <c r="L2705" s="7" t="s">
        <v>3637</v>
      </c>
      <c r="M2705" s="8">
        <v>1314761</v>
      </c>
      <c r="N2705" s="8" t="str">
        <f t="shared" si="211"/>
        <v>PEN</v>
      </c>
      <c r="O2705" s="13">
        <v>212.21</v>
      </c>
      <c r="P2705" s="13"/>
      <c r="Q2705" s="3">
        <f t="shared" si="212"/>
        <v>0</v>
      </c>
      <c r="R2705" s="3">
        <f t="shared" si="213"/>
        <v>0</v>
      </c>
      <c r="S2705" s="3">
        <f t="shared" si="214"/>
        <v>5238.4500000000244</v>
      </c>
      <c r="T2705" s="24" t="s">
        <v>1081</v>
      </c>
      <c r="U2705" s="24" t="s">
        <v>1081</v>
      </c>
      <c r="V2705" s="103"/>
      <c r="W2705" s="25">
        <f>IFERROR(VLOOKUP(BCP_Soles[[#This Row],[DESTINATARIO]],CHOOSE({1,2},Clientes_Proveedores[Razon Social],Clientes_Proveedores[Ruc / Dni]),2,0),"")</f>
        <v>20602484344</v>
      </c>
      <c r="X2705" s="25"/>
      <c r="Y2705" s="25"/>
      <c r="Z2705" s="25"/>
      <c r="AA2705" s="101"/>
      <c r="AB2705" s="3" t="str">
        <f>IF(BCP_Soles[[#This Row],[FECHA]]&gt;0,TEXT(BCP_Soles[[#This Row],[FECHA]],"mmmm"),0)</f>
        <v>Julio</v>
      </c>
    </row>
    <row r="2706" spans="2:28" ht="24" x14ac:dyDescent="0.3">
      <c r="B2706" s="2">
        <f>IF(BCP_Soles[[#This Row],[TIPO DE R.]]="R",COUNTIFS($D$4:$D2705,"R")+1,"")</f>
        <v>1978</v>
      </c>
      <c r="C2706" s="19" t="str">
        <f t="shared" si="210"/>
        <v>B-BCP - Soles</v>
      </c>
      <c r="D2706" s="3" t="s">
        <v>1074</v>
      </c>
      <c r="E2706" s="14">
        <v>45854</v>
      </c>
      <c r="F2706" s="5" t="s">
        <v>1082</v>
      </c>
      <c r="G2706" s="5" t="s">
        <v>1079</v>
      </c>
      <c r="H2706" s="6" t="s">
        <v>829</v>
      </c>
      <c r="I2706" s="6" t="s">
        <v>91</v>
      </c>
      <c r="J2706" s="6">
        <v>13</v>
      </c>
      <c r="K2706" s="6">
        <v>33</v>
      </c>
      <c r="L2706" s="7" t="s">
        <v>3639</v>
      </c>
      <c r="M2706" s="8">
        <v>1225509</v>
      </c>
      <c r="N2706" s="8" t="str">
        <f t="shared" si="211"/>
        <v>PEN</v>
      </c>
      <c r="O2706" s="13"/>
      <c r="P2706" s="13">
        <v>1165</v>
      </c>
      <c r="Q2706" s="3">
        <f t="shared" si="212"/>
        <v>0</v>
      </c>
      <c r="R2706" s="3">
        <f t="shared" si="213"/>
        <v>1165</v>
      </c>
      <c r="S2706" s="3">
        <f t="shared" si="214"/>
        <v>4073.4500000000244</v>
      </c>
      <c r="T2706" s="24" t="s">
        <v>1081</v>
      </c>
      <c r="U2706" s="24"/>
      <c r="V2706" s="103" t="s">
        <v>3640</v>
      </c>
      <c r="W2706" s="25">
        <f>IFERROR(VLOOKUP(BCP_Soles[[#This Row],[DESTINATARIO]],CHOOSE({1,2},Clientes_Proveedores[Razon Social],Clientes_Proveedores[Ruc / Dni]),2,0),"")</f>
        <v>47461440</v>
      </c>
      <c r="X2706" s="25"/>
      <c r="Y2706" s="25"/>
      <c r="Z2706" s="25"/>
      <c r="AA2706" s="101"/>
      <c r="AB2706" s="3" t="str">
        <f>IF(BCP_Soles[[#This Row],[FECHA]]&gt;0,TEXT(BCP_Soles[[#This Row],[FECHA]],"mmmm"),0)</f>
        <v>Julio</v>
      </c>
    </row>
    <row r="2707" spans="2:28" ht="24" x14ac:dyDescent="0.3">
      <c r="B2707" s="2">
        <f>IF(BCP_Soles[[#This Row],[TIPO DE R.]]="R",COUNTIFS($D$4:$D2706,"R")+1,"")</f>
        <v>1979</v>
      </c>
      <c r="C2707" s="19" t="str">
        <f t="shared" si="210"/>
        <v>B-BCP - Soles</v>
      </c>
      <c r="D2707" s="3" t="s">
        <v>1074</v>
      </c>
      <c r="E2707" s="14">
        <v>45854</v>
      </c>
      <c r="F2707" s="5" t="s">
        <v>1082</v>
      </c>
      <c r="G2707" s="5" t="s">
        <v>1079</v>
      </c>
      <c r="H2707" s="6" t="s">
        <v>255</v>
      </c>
      <c r="I2707" s="6" t="s">
        <v>14</v>
      </c>
      <c r="J2707" s="6" t="s">
        <v>1121</v>
      </c>
      <c r="K2707" s="6">
        <v>3617</v>
      </c>
      <c r="L2707" s="7" t="s">
        <v>3641</v>
      </c>
      <c r="M2707" s="8">
        <v>1224544</v>
      </c>
      <c r="N2707" s="8" t="str">
        <f t="shared" si="211"/>
        <v>PEN</v>
      </c>
      <c r="O2707" s="13"/>
      <c r="P2707" s="13">
        <v>935</v>
      </c>
      <c r="Q2707" s="3">
        <f t="shared" si="212"/>
        <v>0</v>
      </c>
      <c r="R2707" s="3">
        <f t="shared" si="213"/>
        <v>935</v>
      </c>
      <c r="S2707" s="3">
        <f t="shared" si="214"/>
        <v>3138.4500000000244</v>
      </c>
      <c r="T2707" s="24" t="s">
        <v>1081</v>
      </c>
      <c r="U2707" s="24" t="s">
        <v>1081</v>
      </c>
      <c r="V2707" s="103" t="s">
        <v>3642</v>
      </c>
      <c r="W2707" s="25">
        <f>IFERROR(VLOOKUP(BCP_Soles[[#This Row],[DESTINATARIO]],CHOOSE({1,2},Clientes_Proveedores[Razon Social],Clientes_Proveedores[Ruc / Dni]),2,0),"")</f>
        <v>20456147781</v>
      </c>
      <c r="X2707" s="25"/>
      <c r="Y2707" s="25"/>
      <c r="Z2707" s="25"/>
      <c r="AA2707" s="101"/>
      <c r="AB2707" s="3" t="str">
        <f>IF(BCP_Soles[[#This Row],[FECHA]]&gt;0,TEXT(BCP_Soles[[#This Row],[FECHA]],"mmmm"),0)</f>
        <v>Julio</v>
      </c>
    </row>
    <row r="2708" spans="2:28" x14ac:dyDescent="0.3">
      <c r="B2708" s="2">
        <f>IF(BCP_Soles[[#This Row],[TIPO DE R.]]="R",COUNTIFS($D$4:$D2707,"R")+1,"")</f>
        <v>1980</v>
      </c>
      <c r="C2708" s="19" t="str">
        <f t="shared" si="210"/>
        <v>B-BCP - Soles</v>
      </c>
      <c r="D2708" s="3" t="s">
        <v>1074</v>
      </c>
      <c r="E2708" s="14">
        <v>45854</v>
      </c>
      <c r="F2708" s="5" t="s">
        <v>1078</v>
      </c>
      <c r="G2708" s="5" t="s">
        <v>1079</v>
      </c>
      <c r="H2708" s="6" t="s">
        <v>950</v>
      </c>
      <c r="I2708" s="6" t="s">
        <v>10</v>
      </c>
      <c r="J2708" s="6" t="s">
        <v>3392</v>
      </c>
      <c r="K2708" s="6">
        <v>1980</v>
      </c>
      <c r="L2708" s="7" t="s">
        <v>2868</v>
      </c>
      <c r="M2708" s="8"/>
      <c r="N2708" s="8" t="str">
        <f t="shared" si="211"/>
        <v>PEN</v>
      </c>
      <c r="O2708" s="13"/>
      <c r="P2708" s="13">
        <v>0.4</v>
      </c>
      <c r="Q2708" s="3">
        <f t="shared" si="212"/>
        <v>0</v>
      </c>
      <c r="R2708" s="3">
        <f t="shared" si="213"/>
        <v>0.4</v>
      </c>
      <c r="S2708" s="3">
        <f t="shared" si="214"/>
        <v>3138.0500000000243</v>
      </c>
      <c r="T2708" s="24" t="s">
        <v>1081</v>
      </c>
      <c r="U2708" s="24"/>
      <c r="V2708" s="69"/>
      <c r="W2708" s="25">
        <f>IFERROR(VLOOKUP(BCP_Soles[[#This Row],[DESTINATARIO]],CHOOSE({1,2},Clientes_Proveedores[Razon Social],Clientes_Proveedores[Ruc / Dni]),2,0),"")</f>
        <v>11111111</v>
      </c>
      <c r="X2708" s="25"/>
      <c r="Y2708" s="25"/>
      <c r="Z2708" s="25"/>
      <c r="AA2708" s="101"/>
      <c r="AB2708" s="3" t="str">
        <f>IF(BCP_Soles[[#This Row],[FECHA]]&gt;0,TEXT(BCP_Soles[[#This Row],[FECHA]],"mmmm"),0)</f>
        <v>Julio</v>
      </c>
    </row>
    <row r="2709" spans="2:28" ht="24" x14ac:dyDescent="0.3">
      <c r="B2709" s="2">
        <f>IF(BCP_Soles[[#This Row],[TIPO DE R.]]="R",COUNTIFS($D$4:$D2708,"R")+1,"")</f>
        <v>1981</v>
      </c>
      <c r="C2709" s="19" t="str">
        <f t="shared" si="210"/>
        <v>B-BCP - Soles</v>
      </c>
      <c r="D2709" s="3" t="s">
        <v>1074</v>
      </c>
      <c r="E2709" s="14">
        <v>45855</v>
      </c>
      <c r="F2709" s="5" t="s">
        <v>587</v>
      </c>
      <c r="G2709" s="5" t="s">
        <v>1087</v>
      </c>
      <c r="H2709" s="6" t="s">
        <v>368</v>
      </c>
      <c r="I2709" s="6" t="s">
        <v>14</v>
      </c>
      <c r="J2709" s="6" t="s">
        <v>3010</v>
      </c>
      <c r="K2709" s="6">
        <v>88</v>
      </c>
      <c r="L2709" s="7" t="s">
        <v>2120</v>
      </c>
      <c r="M2709" s="8">
        <v>2106230</v>
      </c>
      <c r="N2709" s="8" t="str">
        <f t="shared" si="211"/>
        <v>PEN</v>
      </c>
      <c r="O2709" s="13"/>
      <c r="P2709" s="13">
        <v>15400</v>
      </c>
      <c r="Q2709" s="3">
        <f t="shared" si="212"/>
        <v>15400</v>
      </c>
      <c r="R2709" s="3">
        <f t="shared" si="213"/>
        <v>0</v>
      </c>
      <c r="S2709" s="3">
        <f t="shared" si="214"/>
        <v>18538.050000000025</v>
      </c>
      <c r="T2709" s="24" t="s">
        <v>1081</v>
      </c>
      <c r="U2709" s="24" t="s">
        <v>1081</v>
      </c>
      <c r="V2709" s="69"/>
      <c r="W2709" s="25">
        <f>IFERROR(VLOOKUP(BCP_Soles[[#This Row],[DESTINATARIO]],CHOOSE({1,2},Clientes_Proveedores[Razon Social],Clientes_Proveedores[Ruc / Dni]),2,0),"")</f>
        <v>20558226979</v>
      </c>
      <c r="X2709" s="25"/>
      <c r="Y2709" s="25"/>
      <c r="Z2709" s="25"/>
      <c r="AA2709" s="101"/>
      <c r="AB2709" s="3" t="str">
        <f>IF(BCP_Soles[[#This Row],[FECHA]]&gt;0,TEXT(BCP_Soles[[#This Row],[FECHA]],"mmmm"),0)</f>
        <v>Julio</v>
      </c>
    </row>
    <row r="2710" spans="2:28" ht="24" x14ac:dyDescent="0.3">
      <c r="B2710" s="2">
        <f>IF(BCP_Soles[[#This Row],[TIPO DE R.]]="R",COUNTIFS($D$4:$D2709,"R")+1,"")</f>
        <v>1982</v>
      </c>
      <c r="C2710" s="19" t="str">
        <f t="shared" si="210"/>
        <v>B-BCP - Soles</v>
      </c>
      <c r="D2710" s="3" t="s">
        <v>1074</v>
      </c>
      <c r="E2710" s="14">
        <v>45855</v>
      </c>
      <c r="F2710" s="5" t="s">
        <v>1245</v>
      </c>
      <c r="G2710" s="5" t="s">
        <v>1087</v>
      </c>
      <c r="H2710" s="6" t="s">
        <v>368</v>
      </c>
      <c r="I2710" s="6" t="s">
        <v>63</v>
      </c>
      <c r="J2710" s="6">
        <v>2</v>
      </c>
      <c r="K2710" s="6">
        <v>812</v>
      </c>
      <c r="L2710" s="7" t="s">
        <v>1100</v>
      </c>
      <c r="M2710" s="8">
        <v>3554221</v>
      </c>
      <c r="N2710" s="8" t="str">
        <f t="shared" si="211"/>
        <v>PEN</v>
      </c>
      <c r="O2710" s="13"/>
      <c r="P2710" s="13">
        <v>1300</v>
      </c>
      <c r="Q2710" s="3">
        <f t="shared" si="212"/>
        <v>1300</v>
      </c>
      <c r="R2710" s="3">
        <f t="shared" si="213"/>
        <v>0</v>
      </c>
      <c r="S2710" s="3">
        <f t="shared" si="214"/>
        <v>19838.050000000025</v>
      </c>
      <c r="T2710" s="24" t="s">
        <v>1081</v>
      </c>
      <c r="U2710" s="24" t="s">
        <v>1081</v>
      </c>
      <c r="V2710" s="69"/>
      <c r="W2710" s="25">
        <f>IFERROR(VLOOKUP(BCP_Soles[[#This Row],[DESTINATARIO]],CHOOSE({1,2},Clientes_Proveedores[Razon Social],Clientes_Proveedores[Ruc / Dni]),2,0),"")</f>
        <v>20558226979</v>
      </c>
      <c r="X2710" s="25"/>
      <c r="Y2710" s="25"/>
      <c r="Z2710" s="25"/>
      <c r="AA2710" s="101"/>
      <c r="AB2710" s="3" t="str">
        <f>IF(BCP_Soles[[#This Row],[FECHA]]&gt;0,TEXT(BCP_Soles[[#This Row],[FECHA]],"mmmm"),0)</f>
        <v>Julio</v>
      </c>
    </row>
    <row r="2711" spans="2:28" ht="24" x14ac:dyDescent="0.3">
      <c r="B2711" s="2">
        <f>IF(BCP_Soles[[#This Row],[TIPO DE R.]]="R",COUNTIFS($D$4:$D2710,"R")+1,"")</f>
        <v>1983</v>
      </c>
      <c r="C2711" s="19" t="str">
        <f t="shared" si="210"/>
        <v>B-BCP - Soles</v>
      </c>
      <c r="D2711" s="3" t="s">
        <v>1074</v>
      </c>
      <c r="E2711" s="14">
        <v>45855</v>
      </c>
      <c r="F2711" s="5" t="s">
        <v>1082</v>
      </c>
      <c r="G2711" s="5" t="s">
        <v>1079</v>
      </c>
      <c r="H2711" s="6" t="s">
        <v>836</v>
      </c>
      <c r="I2711" s="6"/>
      <c r="J2711" s="6"/>
      <c r="K2711" s="6"/>
      <c r="L2711" s="7" t="s">
        <v>3643</v>
      </c>
      <c r="M2711" s="8">
        <v>1198955</v>
      </c>
      <c r="N2711" s="8" t="str">
        <f t="shared" si="211"/>
        <v>PEN</v>
      </c>
      <c r="O2711" s="13"/>
      <c r="P2711" s="13">
        <v>3000</v>
      </c>
      <c r="Q2711" s="3">
        <f t="shared" si="212"/>
        <v>0</v>
      </c>
      <c r="R2711" s="3">
        <f t="shared" si="213"/>
        <v>3000</v>
      </c>
      <c r="S2711" s="3">
        <f t="shared" si="214"/>
        <v>16838.050000000025</v>
      </c>
      <c r="T2711" s="24"/>
      <c r="U2711" s="24" t="s">
        <v>1081</v>
      </c>
      <c r="V2711" s="103" t="s">
        <v>3644</v>
      </c>
      <c r="W2711" s="25">
        <f>IFERROR(VLOOKUP(BCP_Soles[[#This Row],[DESTINATARIO]],CHOOSE({1,2},Clientes_Proveedores[Razon Social],Clientes_Proveedores[Ruc / Dni]),2,0),"")</f>
        <v>72144092</v>
      </c>
      <c r="X2711" s="25"/>
      <c r="Y2711" s="25"/>
      <c r="Z2711" s="25"/>
      <c r="AA2711" s="101"/>
      <c r="AB2711" s="3" t="str">
        <f>IF(BCP_Soles[[#This Row],[FECHA]]&gt;0,TEXT(BCP_Soles[[#This Row],[FECHA]],"mmmm"),0)</f>
        <v>Julio</v>
      </c>
    </row>
    <row r="2712" spans="2:28" x14ac:dyDescent="0.3">
      <c r="B2712" s="2">
        <f>IF(BCP_Soles[[#This Row],[TIPO DE R.]]="R",COUNTIFS($D$4:$D2711,"R")+1,"")</f>
        <v>1984</v>
      </c>
      <c r="C2712" s="19" t="str">
        <f t="shared" si="210"/>
        <v>B-BCP - Soles</v>
      </c>
      <c r="D2712" s="3" t="s">
        <v>1074</v>
      </c>
      <c r="E2712" s="14">
        <v>45855</v>
      </c>
      <c r="F2712" s="5" t="s">
        <v>1082</v>
      </c>
      <c r="G2712" s="5" t="s">
        <v>1079</v>
      </c>
      <c r="H2712" s="6" t="s">
        <v>638</v>
      </c>
      <c r="I2712" s="6"/>
      <c r="J2712" s="6"/>
      <c r="K2712" s="6"/>
      <c r="L2712" s="7" t="s">
        <v>3645</v>
      </c>
      <c r="M2712" s="8">
        <v>1645373</v>
      </c>
      <c r="N2712" s="8" t="str">
        <f t="shared" si="211"/>
        <v>PEN</v>
      </c>
      <c r="O2712" s="13"/>
      <c r="P2712" s="13">
        <v>1794.56</v>
      </c>
      <c r="Q2712" s="3">
        <f t="shared" si="212"/>
        <v>0</v>
      </c>
      <c r="R2712" s="3">
        <f t="shared" si="213"/>
        <v>1794.56</v>
      </c>
      <c r="S2712" s="3">
        <f t="shared" si="214"/>
        <v>15043.490000000025</v>
      </c>
      <c r="T2712" s="24" t="s">
        <v>1081</v>
      </c>
      <c r="U2712" s="24" t="s">
        <v>1081</v>
      </c>
      <c r="V2712" s="103" t="s">
        <v>3646</v>
      </c>
      <c r="W2712" s="25">
        <f>IFERROR(VLOOKUP(BCP_Soles[[#This Row],[DESTINATARIO]],CHOOSE({1,2},Clientes_Proveedores[Razon Social],Clientes_Proveedores[Ruc / Dni]),2,0),"")</f>
        <v>0</v>
      </c>
      <c r="X2712" s="25"/>
      <c r="Y2712" s="25"/>
      <c r="Z2712" s="25"/>
      <c r="AA2712" s="101"/>
      <c r="AB2712" s="3" t="str">
        <f>IF(BCP_Soles[[#This Row],[FECHA]]&gt;0,TEXT(BCP_Soles[[#This Row],[FECHA]],"mmmm"),0)</f>
        <v>Julio</v>
      </c>
    </row>
    <row r="2713" spans="2:28" x14ac:dyDescent="0.3">
      <c r="B2713" s="2" t="str">
        <f>IF(BCP_Soles[[#This Row],[TIPO DE R.]]="R",COUNTIFS($D$4:$D2712,"R")+1,"")</f>
        <v/>
      </c>
      <c r="C2713" s="19" t="str">
        <f t="shared" si="210"/>
        <v>B-BCP - Soles</v>
      </c>
      <c r="D2713" s="3" t="s">
        <v>1101</v>
      </c>
      <c r="E2713" s="14">
        <v>45855</v>
      </c>
      <c r="F2713" s="5" t="s">
        <v>1082</v>
      </c>
      <c r="G2713" s="5"/>
      <c r="H2713" s="6" t="s">
        <v>465</v>
      </c>
      <c r="I2713" s="6" t="s">
        <v>14</v>
      </c>
      <c r="J2713" s="6" t="s">
        <v>1121</v>
      </c>
      <c r="K2713" s="6">
        <v>4012</v>
      </c>
      <c r="L2713" s="7" t="s">
        <v>3645</v>
      </c>
      <c r="M2713" s="8">
        <v>1645373</v>
      </c>
      <c r="N2713" s="8" t="str">
        <f t="shared" si="211"/>
        <v>PEN</v>
      </c>
      <c r="O2713" s="13">
        <v>722.4</v>
      </c>
      <c r="P2713" s="13"/>
      <c r="Q2713" s="3">
        <f t="shared" si="212"/>
        <v>0</v>
      </c>
      <c r="R2713" s="3">
        <f t="shared" si="213"/>
        <v>0</v>
      </c>
      <c r="S2713" s="3">
        <f t="shared" si="214"/>
        <v>15043.490000000025</v>
      </c>
      <c r="T2713" s="24" t="s">
        <v>1081</v>
      </c>
      <c r="U2713" s="24" t="s">
        <v>1081</v>
      </c>
      <c r="V2713" s="103"/>
      <c r="W2713" s="25">
        <f>IFERROR(VLOOKUP(BCP_Soles[[#This Row],[DESTINATARIO]],CHOOSE({1,2},Clientes_Proveedores[Razon Social],Clientes_Proveedores[Ruc / Dni]),2,0),"")</f>
        <v>20603974817</v>
      </c>
      <c r="X2713" s="25"/>
      <c r="Y2713" s="25"/>
      <c r="Z2713" s="25"/>
      <c r="AA2713" s="101"/>
      <c r="AB2713" s="3" t="str">
        <f>IF(BCP_Soles[[#This Row],[FECHA]]&gt;0,TEXT(BCP_Soles[[#This Row],[FECHA]],"mmmm"),0)</f>
        <v>Julio</v>
      </c>
    </row>
    <row r="2714" spans="2:28" ht="36" x14ac:dyDescent="0.3">
      <c r="B2714" s="2" t="str">
        <f>IF(BCP_Soles[[#This Row],[TIPO DE R.]]="R",COUNTIFS($D$4:$D2713,"R")+1,"")</f>
        <v/>
      </c>
      <c r="C2714" s="19" t="str">
        <f t="shared" si="210"/>
        <v>B-BCP - Soles</v>
      </c>
      <c r="D2714" s="3" t="s">
        <v>1101</v>
      </c>
      <c r="E2714" s="14">
        <v>45855</v>
      </c>
      <c r="F2714" s="5" t="s">
        <v>1082</v>
      </c>
      <c r="G2714" s="5"/>
      <c r="H2714" s="6" t="s">
        <v>326</v>
      </c>
      <c r="I2714" s="6" t="s">
        <v>14</v>
      </c>
      <c r="J2714" s="6" t="s">
        <v>1541</v>
      </c>
      <c r="K2714" s="6">
        <v>903</v>
      </c>
      <c r="L2714" s="7" t="s">
        <v>3645</v>
      </c>
      <c r="M2714" s="8">
        <v>1645373</v>
      </c>
      <c r="N2714" s="8" t="str">
        <f t="shared" si="211"/>
        <v>PEN</v>
      </c>
      <c r="O2714" s="13">
        <v>69.16</v>
      </c>
      <c r="P2714" s="13"/>
      <c r="Q2714" s="3">
        <f t="shared" si="212"/>
        <v>0</v>
      </c>
      <c r="R2714" s="3">
        <f t="shared" si="213"/>
        <v>0</v>
      </c>
      <c r="S2714" s="3">
        <f t="shared" si="214"/>
        <v>15043.490000000025</v>
      </c>
      <c r="T2714" s="24" t="s">
        <v>1081</v>
      </c>
      <c r="U2714" s="24" t="s">
        <v>1081</v>
      </c>
      <c r="V2714" s="103"/>
      <c r="W2714" s="25">
        <f>IFERROR(VLOOKUP(BCP_Soles[[#This Row],[DESTINATARIO]],CHOOSE({1,2},Clientes_Proveedores[Razon Social],Clientes_Proveedores[Ruc / Dni]),2,0),"")</f>
        <v>20538593053</v>
      </c>
      <c r="X2714" s="25"/>
      <c r="Y2714" s="25"/>
      <c r="Z2714" s="25"/>
      <c r="AA2714" s="101"/>
      <c r="AB2714" s="3" t="str">
        <f>IF(BCP_Soles[[#This Row],[FECHA]]&gt;0,TEXT(BCP_Soles[[#This Row],[FECHA]],"mmmm"),0)</f>
        <v>Julio</v>
      </c>
    </row>
    <row r="2715" spans="2:28" x14ac:dyDescent="0.3">
      <c r="B2715" s="2" t="str">
        <f>IF(BCP_Soles[[#This Row],[TIPO DE R.]]="R",COUNTIFS($D$4:$D2714,"R")+1,"")</f>
        <v/>
      </c>
      <c r="C2715" s="19" t="str">
        <f t="shared" si="210"/>
        <v>B-BCP - Soles</v>
      </c>
      <c r="D2715" s="3" t="s">
        <v>1101</v>
      </c>
      <c r="E2715" s="14">
        <v>45855</v>
      </c>
      <c r="F2715" s="5" t="s">
        <v>1082</v>
      </c>
      <c r="G2715" s="5"/>
      <c r="H2715" s="6" t="s">
        <v>465</v>
      </c>
      <c r="I2715" s="6" t="s">
        <v>14</v>
      </c>
      <c r="J2715" s="6" t="s">
        <v>1121</v>
      </c>
      <c r="K2715" s="6">
        <v>4019</v>
      </c>
      <c r="L2715" s="7" t="s">
        <v>3645</v>
      </c>
      <c r="M2715" s="8">
        <v>1645373</v>
      </c>
      <c r="N2715" s="8" t="str">
        <f t="shared" si="211"/>
        <v>PEN</v>
      </c>
      <c r="O2715" s="13">
        <v>351.05</v>
      </c>
      <c r="P2715" s="13"/>
      <c r="Q2715" s="3">
        <f t="shared" si="212"/>
        <v>0</v>
      </c>
      <c r="R2715" s="3">
        <f t="shared" si="213"/>
        <v>0</v>
      </c>
      <c r="S2715" s="3">
        <f t="shared" si="214"/>
        <v>15043.490000000025</v>
      </c>
      <c r="T2715" s="24" t="s">
        <v>1081</v>
      </c>
      <c r="U2715" s="24" t="s">
        <v>1081</v>
      </c>
      <c r="V2715" s="103"/>
      <c r="W2715" s="25">
        <f>IFERROR(VLOOKUP(BCP_Soles[[#This Row],[DESTINATARIO]],CHOOSE({1,2},Clientes_Proveedores[Razon Social],Clientes_Proveedores[Ruc / Dni]),2,0),"")</f>
        <v>20603974817</v>
      </c>
      <c r="X2715" s="25"/>
      <c r="Y2715" s="25"/>
      <c r="Z2715" s="25"/>
      <c r="AA2715" s="101"/>
      <c r="AB2715" s="3" t="str">
        <f>IF(BCP_Soles[[#This Row],[FECHA]]&gt;0,TEXT(BCP_Soles[[#This Row],[FECHA]],"mmmm"),0)</f>
        <v>Julio</v>
      </c>
    </row>
    <row r="2716" spans="2:28" x14ac:dyDescent="0.3">
      <c r="B2716" s="2" t="str">
        <f>IF(BCP_Soles[[#This Row],[TIPO DE R.]]="R",COUNTIFS($D$4:$D2715,"R")+1,"")</f>
        <v/>
      </c>
      <c r="C2716" s="19" t="str">
        <f t="shared" si="210"/>
        <v>B-BCP - Soles</v>
      </c>
      <c r="D2716" s="3" t="s">
        <v>1101</v>
      </c>
      <c r="E2716" s="14">
        <v>45855</v>
      </c>
      <c r="F2716" s="5" t="s">
        <v>1082</v>
      </c>
      <c r="G2716" s="5"/>
      <c r="H2716" s="6" t="s">
        <v>465</v>
      </c>
      <c r="I2716" s="6" t="s">
        <v>14</v>
      </c>
      <c r="J2716" s="6" t="s">
        <v>1121</v>
      </c>
      <c r="K2716" s="6">
        <v>4023</v>
      </c>
      <c r="L2716" s="7" t="s">
        <v>3645</v>
      </c>
      <c r="M2716" s="8">
        <v>1645373</v>
      </c>
      <c r="N2716" s="8" t="str">
        <f t="shared" si="211"/>
        <v>PEN</v>
      </c>
      <c r="O2716" s="13">
        <v>651.95000000000005</v>
      </c>
      <c r="P2716" s="13"/>
      <c r="Q2716" s="3">
        <f t="shared" si="212"/>
        <v>0</v>
      </c>
      <c r="R2716" s="3">
        <f t="shared" si="213"/>
        <v>0</v>
      </c>
      <c r="S2716" s="3">
        <f t="shared" si="214"/>
        <v>15043.490000000025</v>
      </c>
      <c r="T2716" s="24" t="s">
        <v>1081</v>
      </c>
      <c r="U2716" s="24" t="s">
        <v>1081</v>
      </c>
      <c r="V2716" s="103"/>
      <c r="W2716" s="25">
        <f>IFERROR(VLOOKUP(BCP_Soles[[#This Row],[DESTINATARIO]],CHOOSE({1,2},Clientes_Proveedores[Razon Social],Clientes_Proveedores[Ruc / Dni]),2,0),"")</f>
        <v>20603974817</v>
      </c>
      <c r="X2716" s="25"/>
      <c r="Y2716" s="25"/>
      <c r="Z2716" s="25"/>
      <c r="AA2716" s="101"/>
      <c r="AB2716" s="3" t="str">
        <f>IF(BCP_Soles[[#This Row],[FECHA]]&gt;0,TEXT(BCP_Soles[[#This Row],[FECHA]],"mmmm"),0)</f>
        <v>Julio</v>
      </c>
    </row>
    <row r="2717" spans="2:28" ht="36" x14ac:dyDescent="0.3">
      <c r="B2717" s="2">
        <f>IF(BCP_Soles[[#This Row],[TIPO DE R.]]="R",COUNTIFS($D$4:$D2716,"R")+1,"")</f>
        <v>1985</v>
      </c>
      <c r="C2717" s="19" t="str">
        <f t="shared" si="210"/>
        <v>B-BCP - Soles</v>
      </c>
      <c r="D2717" s="3" t="s">
        <v>1074</v>
      </c>
      <c r="E2717" s="14">
        <v>45855</v>
      </c>
      <c r="F2717" s="5" t="s">
        <v>1082</v>
      </c>
      <c r="G2717" s="5" t="s">
        <v>1079</v>
      </c>
      <c r="H2717" s="6" t="s">
        <v>530</v>
      </c>
      <c r="I2717" s="6" t="s">
        <v>14</v>
      </c>
      <c r="J2717" s="6" t="s">
        <v>1121</v>
      </c>
      <c r="K2717" s="6">
        <v>462</v>
      </c>
      <c r="L2717" s="7" t="s">
        <v>3647</v>
      </c>
      <c r="M2717" s="8">
        <v>1203033</v>
      </c>
      <c r="N2717" s="8" t="str">
        <f t="shared" si="211"/>
        <v>PEN</v>
      </c>
      <c r="O2717" s="13"/>
      <c r="P2717" s="13">
        <v>70.680000000000007</v>
      </c>
      <c r="Q2717" s="3">
        <f t="shared" si="212"/>
        <v>0</v>
      </c>
      <c r="R2717" s="3">
        <f t="shared" si="213"/>
        <v>70.680000000000007</v>
      </c>
      <c r="S2717" s="3">
        <f t="shared" si="214"/>
        <v>14972.810000000025</v>
      </c>
      <c r="T2717" s="24" t="s">
        <v>1081</v>
      </c>
      <c r="U2717" s="24" t="s">
        <v>1081</v>
      </c>
      <c r="V2717" s="103" t="s">
        <v>3648</v>
      </c>
      <c r="W2717" s="25">
        <f>IFERROR(VLOOKUP(BCP_Soles[[#This Row],[DESTINATARIO]],CHOOSE({1,2},Clientes_Proveedores[Razon Social],Clientes_Proveedores[Ruc / Dni]),2,0),"")</f>
        <v>20609368773</v>
      </c>
      <c r="X2717" s="25"/>
      <c r="Y2717" s="25"/>
      <c r="Z2717" s="25"/>
      <c r="AA2717" s="101"/>
      <c r="AB2717" s="3" t="str">
        <f>IF(BCP_Soles[[#This Row],[FECHA]]&gt;0,TEXT(BCP_Soles[[#This Row],[FECHA]],"mmmm"),0)</f>
        <v>Julio</v>
      </c>
    </row>
    <row r="2718" spans="2:28" x14ac:dyDescent="0.3">
      <c r="B2718" s="2">
        <f>IF(BCP_Soles[[#This Row],[TIPO DE R.]]="R",COUNTIFS($D$4:$D2717,"R")+1,"")</f>
        <v>1986</v>
      </c>
      <c r="C2718" s="19" t="str">
        <f t="shared" si="210"/>
        <v>B-BCP - Soles</v>
      </c>
      <c r="D2718" s="3" t="s">
        <v>1074</v>
      </c>
      <c r="E2718" s="14">
        <v>45855</v>
      </c>
      <c r="F2718" s="5" t="s">
        <v>1082</v>
      </c>
      <c r="G2718" s="5" t="s">
        <v>1079</v>
      </c>
      <c r="H2718" s="6" t="s">
        <v>139</v>
      </c>
      <c r="I2718" s="6" t="s">
        <v>14</v>
      </c>
      <c r="J2718" s="6" t="s">
        <v>1953</v>
      </c>
      <c r="K2718" s="6">
        <v>6623</v>
      </c>
      <c r="L2718" s="7" t="s">
        <v>1954</v>
      </c>
      <c r="M2718" s="8">
        <v>200176</v>
      </c>
      <c r="N2718" s="8" t="str">
        <f t="shared" si="211"/>
        <v>PEN</v>
      </c>
      <c r="O2718" s="13"/>
      <c r="P2718" s="13">
        <v>53.72</v>
      </c>
      <c r="Q2718" s="3">
        <f t="shared" si="212"/>
        <v>0</v>
      </c>
      <c r="R2718" s="3">
        <f t="shared" si="213"/>
        <v>53.72</v>
      </c>
      <c r="S2718" s="3">
        <f t="shared" si="214"/>
        <v>14919.090000000026</v>
      </c>
      <c r="T2718" s="24" t="s">
        <v>1081</v>
      </c>
      <c r="U2718" s="24" t="s">
        <v>1081</v>
      </c>
      <c r="V2718" s="103" t="s">
        <v>3649</v>
      </c>
      <c r="W2718" s="25">
        <f>IFERROR(VLOOKUP(BCP_Soles[[#This Row],[DESTINATARIO]],CHOOSE({1,2},Clientes_Proveedores[Razon Social],Clientes_Proveedores[Ruc / Dni]),2,0),"")</f>
        <v>20100055237</v>
      </c>
      <c r="X2718" s="25"/>
      <c r="Y2718" s="25"/>
      <c r="Z2718" s="25"/>
      <c r="AA2718" s="101"/>
      <c r="AB2718" s="3" t="str">
        <f>IF(BCP_Soles[[#This Row],[FECHA]]&gt;0,TEXT(BCP_Soles[[#This Row],[FECHA]],"mmmm"),0)</f>
        <v>Julio</v>
      </c>
    </row>
    <row r="2719" spans="2:28" x14ac:dyDescent="0.3">
      <c r="B2719" s="2">
        <f>IF(BCP_Soles[[#This Row],[TIPO DE R.]]="R",COUNTIFS($D$4:$D2718,"R")+1,"")</f>
        <v>1987</v>
      </c>
      <c r="C2719" s="19" t="str">
        <f t="shared" si="210"/>
        <v>B-BCP - Soles</v>
      </c>
      <c r="D2719" s="3" t="s">
        <v>1074</v>
      </c>
      <c r="E2719" s="14">
        <v>45855</v>
      </c>
      <c r="F2719" s="5" t="s">
        <v>1082</v>
      </c>
      <c r="G2719" s="5" t="s">
        <v>1079</v>
      </c>
      <c r="H2719" s="6" t="s">
        <v>139</v>
      </c>
      <c r="I2719" s="6" t="s">
        <v>14</v>
      </c>
      <c r="J2719" s="6" t="s">
        <v>1953</v>
      </c>
      <c r="K2719" s="6">
        <v>6624</v>
      </c>
      <c r="L2719" s="7" t="s">
        <v>1954</v>
      </c>
      <c r="M2719" s="8">
        <v>201561</v>
      </c>
      <c r="N2719" s="8" t="str">
        <f t="shared" si="211"/>
        <v>PEN</v>
      </c>
      <c r="O2719" s="13"/>
      <c r="P2719" s="13">
        <v>307.08</v>
      </c>
      <c r="Q2719" s="3">
        <f t="shared" si="212"/>
        <v>0</v>
      </c>
      <c r="R2719" s="3">
        <f t="shared" si="213"/>
        <v>307.08</v>
      </c>
      <c r="S2719" s="3">
        <f t="shared" si="214"/>
        <v>14612.010000000026</v>
      </c>
      <c r="T2719" s="24" t="s">
        <v>1081</v>
      </c>
      <c r="U2719" s="24" t="s">
        <v>1081</v>
      </c>
      <c r="V2719" s="103" t="s">
        <v>3650</v>
      </c>
      <c r="W2719" s="25">
        <f>IFERROR(VLOOKUP(BCP_Soles[[#This Row],[DESTINATARIO]],CHOOSE({1,2},Clientes_Proveedores[Razon Social],Clientes_Proveedores[Ruc / Dni]),2,0),"")</f>
        <v>20100055237</v>
      </c>
      <c r="X2719" s="25"/>
      <c r="Y2719" s="25"/>
      <c r="Z2719" s="25"/>
      <c r="AA2719" s="101"/>
      <c r="AB2719" s="3" t="str">
        <f>IF(BCP_Soles[[#This Row],[FECHA]]&gt;0,TEXT(BCP_Soles[[#This Row],[FECHA]],"mmmm"),0)</f>
        <v>Julio</v>
      </c>
    </row>
    <row r="2720" spans="2:28" x14ac:dyDescent="0.3">
      <c r="B2720" s="2">
        <f>IF(BCP_Soles[[#This Row],[TIPO DE R.]]="R",COUNTIFS($D$4:$D2719,"R")+1,"")</f>
        <v>1988</v>
      </c>
      <c r="C2720" s="19" t="str">
        <f t="shared" si="210"/>
        <v>B-BCP - Soles</v>
      </c>
      <c r="D2720" s="3" t="s">
        <v>1074</v>
      </c>
      <c r="E2720" s="14">
        <v>45855</v>
      </c>
      <c r="F2720" s="5" t="s">
        <v>1082</v>
      </c>
      <c r="G2720" s="5" t="s">
        <v>1079</v>
      </c>
      <c r="H2720" s="6" t="s">
        <v>139</v>
      </c>
      <c r="I2720" s="6" t="s">
        <v>14</v>
      </c>
      <c r="J2720" s="6" t="s">
        <v>1953</v>
      </c>
      <c r="K2720" s="6">
        <v>6625</v>
      </c>
      <c r="L2720" s="7" t="s">
        <v>1954</v>
      </c>
      <c r="M2720" s="8">
        <v>200614</v>
      </c>
      <c r="N2720" s="8" t="str">
        <f t="shared" si="211"/>
        <v>PEN</v>
      </c>
      <c r="O2720" s="13"/>
      <c r="P2720" s="13">
        <v>391.2</v>
      </c>
      <c r="Q2720" s="3">
        <f t="shared" si="212"/>
        <v>0</v>
      </c>
      <c r="R2720" s="3">
        <f t="shared" si="213"/>
        <v>391.2</v>
      </c>
      <c r="S2720" s="3">
        <f t="shared" si="214"/>
        <v>14220.810000000025</v>
      </c>
      <c r="T2720" s="24" t="s">
        <v>1081</v>
      </c>
      <c r="U2720" s="24" t="s">
        <v>1081</v>
      </c>
      <c r="V2720" s="103" t="s">
        <v>3651</v>
      </c>
      <c r="W2720" s="25">
        <f>IFERROR(VLOOKUP(BCP_Soles[[#This Row],[DESTINATARIO]],CHOOSE({1,2},Clientes_Proveedores[Razon Social],Clientes_Proveedores[Ruc / Dni]),2,0),"")</f>
        <v>20100055237</v>
      </c>
      <c r="X2720" s="25"/>
      <c r="Y2720" s="25"/>
      <c r="Z2720" s="25"/>
      <c r="AA2720" s="101"/>
      <c r="AB2720" s="3" t="str">
        <f>IF(BCP_Soles[[#This Row],[FECHA]]&gt;0,TEXT(BCP_Soles[[#This Row],[FECHA]],"mmmm"),0)</f>
        <v>Julio</v>
      </c>
    </row>
    <row r="2721" spans="2:28" x14ac:dyDescent="0.3">
      <c r="B2721" s="2">
        <f>IF(BCP_Soles[[#This Row],[TIPO DE R.]]="R",COUNTIFS($D$4:$D2720,"R")+1,"")</f>
        <v>1989</v>
      </c>
      <c r="C2721" s="19" t="str">
        <f t="shared" si="210"/>
        <v>B-BCP - Soles</v>
      </c>
      <c r="D2721" s="3" t="s">
        <v>1074</v>
      </c>
      <c r="E2721" s="14">
        <v>45855</v>
      </c>
      <c r="F2721" s="5" t="s">
        <v>1082</v>
      </c>
      <c r="G2721" s="5" t="s">
        <v>1079</v>
      </c>
      <c r="H2721" s="6" t="s">
        <v>139</v>
      </c>
      <c r="I2721" s="6" t="s">
        <v>14</v>
      </c>
      <c r="J2721" s="6" t="s">
        <v>1953</v>
      </c>
      <c r="K2721" s="6">
        <v>6626</v>
      </c>
      <c r="L2721" s="7" t="s">
        <v>1954</v>
      </c>
      <c r="M2721" s="8">
        <v>203503</v>
      </c>
      <c r="N2721" s="8" t="str">
        <f t="shared" si="211"/>
        <v>PEN</v>
      </c>
      <c r="O2721" s="13"/>
      <c r="P2721" s="13">
        <v>94.51</v>
      </c>
      <c r="Q2721" s="3">
        <f t="shared" si="212"/>
        <v>0</v>
      </c>
      <c r="R2721" s="3">
        <f t="shared" si="213"/>
        <v>94.51</v>
      </c>
      <c r="S2721" s="3">
        <f t="shared" si="214"/>
        <v>14126.300000000025</v>
      </c>
      <c r="T2721" s="24" t="s">
        <v>1081</v>
      </c>
      <c r="U2721" s="24" t="s">
        <v>1081</v>
      </c>
      <c r="V2721" s="103" t="s">
        <v>3652</v>
      </c>
      <c r="W2721" s="25">
        <f>IFERROR(VLOOKUP(BCP_Soles[[#This Row],[DESTINATARIO]],CHOOSE({1,2},Clientes_Proveedores[Razon Social],Clientes_Proveedores[Ruc / Dni]),2,0),"")</f>
        <v>20100055237</v>
      </c>
      <c r="X2721" s="25"/>
      <c r="Y2721" s="25"/>
      <c r="Z2721" s="25"/>
      <c r="AA2721" s="101"/>
      <c r="AB2721" s="3" t="str">
        <f>IF(BCP_Soles[[#This Row],[FECHA]]&gt;0,TEXT(BCP_Soles[[#This Row],[FECHA]],"mmmm"),0)</f>
        <v>Julio</v>
      </c>
    </row>
    <row r="2722" spans="2:28" x14ac:dyDescent="0.3">
      <c r="B2722" s="2">
        <f>IF(BCP_Soles[[#This Row],[TIPO DE R.]]="R",COUNTIFS($D$4:$D2721,"R")+1,"")</f>
        <v>1990</v>
      </c>
      <c r="C2722" s="19" t="str">
        <f t="shared" si="210"/>
        <v>B-BCP - Soles</v>
      </c>
      <c r="D2722" s="3" t="s">
        <v>1074</v>
      </c>
      <c r="E2722" s="14">
        <v>45855</v>
      </c>
      <c r="F2722" s="5" t="s">
        <v>1078</v>
      </c>
      <c r="G2722" s="5" t="s">
        <v>1079</v>
      </c>
      <c r="H2722" s="6" t="s">
        <v>950</v>
      </c>
      <c r="I2722" s="6" t="s">
        <v>10</v>
      </c>
      <c r="J2722" s="6" t="s">
        <v>3392</v>
      </c>
      <c r="K2722" s="6">
        <v>1990</v>
      </c>
      <c r="L2722" s="7" t="s">
        <v>2868</v>
      </c>
      <c r="M2722" s="8"/>
      <c r="N2722" s="8" t="str">
        <f t="shared" si="211"/>
        <v>PEN</v>
      </c>
      <c r="O2722" s="13"/>
      <c r="P2722" s="13">
        <v>1</v>
      </c>
      <c r="Q2722" s="3">
        <f t="shared" si="212"/>
        <v>0</v>
      </c>
      <c r="R2722" s="3">
        <f t="shared" si="213"/>
        <v>1</v>
      </c>
      <c r="S2722" s="3">
        <f t="shared" si="214"/>
        <v>14125.300000000025</v>
      </c>
      <c r="T2722" s="24" t="s">
        <v>1081</v>
      </c>
      <c r="U2722" s="24"/>
      <c r="V2722" s="69"/>
      <c r="W2722" s="25">
        <f>IFERROR(VLOOKUP(BCP_Soles[[#This Row],[DESTINATARIO]],CHOOSE({1,2},Clientes_Proveedores[Razon Social],Clientes_Proveedores[Ruc / Dni]),2,0),"")</f>
        <v>11111111</v>
      </c>
      <c r="X2722" s="25"/>
      <c r="Y2722" s="25"/>
      <c r="Z2722" s="25"/>
      <c r="AA2722" s="101"/>
      <c r="AB2722" s="3" t="str">
        <f>IF(BCP_Soles[[#This Row],[FECHA]]&gt;0,TEXT(BCP_Soles[[#This Row],[FECHA]],"mmmm"),0)</f>
        <v>Julio</v>
      </c>
    </row>
    <row r="2723" spans="2:28" x14ac:dyDescent="0.3">
      <c r="B2723" s="2">
        <f>IF(BCP_Soles[[#This Row],[TIPO DE R.]]="R",COUNTIFS($D$4:$D2722,"R")+1,"")</f>
        <v>1991</v>
      </c>
      <c r="C2723" s="19" t="str">
        <f t="shared" si="210"/>
        <v>B-BCP - Soles</v>
      </c>
      <c r="D2723" s="3" t="s">
        <v>1074</v>
      </c>
      <c r="E2723" s="14">
        <v>45856</v>
      </c>
      <c r="F2723" s="5" t="s">
        <v>149</v>
      </c>
      <c r="G2723" s="5" t="s">
        <v>1087</v>
      </c>
      <c r="H2723" s="6" t="s">
        <v>368</v>
      </c>
      <c r="I2723" s="6" t="s">
        <v>14</v>
      </c>
      <c r="J2723" s="6" t="s">
        <v>1521</v>
      </c>
      <c r="K2723" s="6">
        <v>127</v>
      </c>
      <c r="L2723" s="7" t="s">
        <v>3653</v>
      </c>
      <c r="M2723" s="8">
        <v>2007604</v>
      </c>
      <c r="N2723" s="8" t="str">
        <f t="shared" si="211"/>
        <v>PEN</v>
      </c>
      <c r="O2723" s="13"/>
      <c r="P2723" s="13">
        <v>5652.2</v>
      </c>
      <c r="Q2723" s="3">
        <f t="shared" si="212"/>
        <v>5652.2</v>
      </c>
      <c r="R2723" s="3">
        <f t="shared" si="213"/>
        <v>0</v>
      </c>
      <c r="S2723" s="3">
        <f t="shared" si="214"/>
        <v>19777.500000000025</v>
      </c>
      <c r="T2723" s="24" t="s">
        <v>1081</v>
      </c>
      <c r="U2723" s="24" t="s">
        <v>1081</v>
      </c>
      <c r="V2723" s="69"/>
      <c r="W2723" s="25">
        <f>IFERROR(VLOOKUP(BCP_Soles[[#This Row],[DESTINATARIO]],CHOOSE({1,2},Clientes_Proveedores[Razon Social],Clientes_Proveedores[Ruc / Dni]),2,0),"")</f>
        <v>20558226979</v>
      </c>
      <c r="X2723" s="25"/>
      <c r="Y2723" s="25"/>
      <c r="Z2723" s="25"/>
      <c r="AA2723" s="101"/>
      <c r="AB2723" s="3" t="str">
        <f>IF(BCP_Soles[[#This Row],[FECHA]]&gt;0,TEXT(BCP_Soles[[#This Row],[FECHA]],"mmmm"),0)</f>
        <v>Julio</v>
      </c>
    </row>
    <row r="2724" spans="2:28" x14ac:dyDescent="0.3">
      <c r="B2724" s="2">
        <f>IF(BCP_Soles[[#This Row],[TIPO DE R.]]="R",COUNTIFS($D$4:$D2723,"R")+1,"")</f>
        <v>1992</v>
      </c>
      <c r="C2724" s="19" t="str">
        <f t="shared" si="210"/>
        <v>B-BCP - Soles</v>
      </c>
      <c r="D2724" s="3" t="s">
        <v>1074</v>
      </c>
      <c r="E2724" s="14">
        <v>45856</v>
      </c>
      <c r="F2724" s="5" t="s">
        <v>139</v>
      </c>
      <c r="G2724" s="5" t="s">
        <v>1087</v>
      </c>
      <c r="H2724" s="6" t="s">
        <v>368</v>
      </c>
      <c r="I2724" s="6" t="s">
        <v>14</v>
      </c>
      <c r="J2724" s="6" t="s">
        <v>1521</v>
      </c>
      <c r="K2724" s="6">
        <v>120</v>
      </c>
      <c r="L2724" s="7" t="s">
        <v>3654</v>
      </c>
      <c r="M2724" s="8">
        <v>15361</v>
      </c>
      <c r="N2724" s="8" t="str">
        <f t="shared" si="211"/>
        <v>PEN</v>
      </c>
      <c r="O2724" s="13"/>
      <c r="P2724" s="13">
        <v>2700.36</v>
      </c>
      <c r="Q2724" s="3">
        <f t="shared" si="212"/>
        <v>2700.36</v>
      </c>
      <c r="R2724" s="3">
        <f t="shared" si="213"/>
        <v>0</v>
      </c>
      <c r="S2724" s="3">
        <f t="shared" si="214"/>
        <v>22477.860000000026</v>
      </c>
      <c r="T2724" s="24" t="s">
        <v>1081</v>
      </c>
      <c r="U2724" s="24" t="s">
        <v>1081</v>
      </c>
      <c r="V2724" s="69"/>
      <c r="W2724" s="25">
        <f>IFERROR(VLOOKUP(BCP_Soles[[#This Row],[DESTINATARIO]],CHOOSE({1,2},Clientes_Proveedores[Razon Social],Clientes_Proveedores[Ruc / Dni]),2,0),"")</f>
        <v>20558226979</v>
      </c>
      <c r="X2724" s="25"/>
      <c r="Y2724" s="25"/>
      <c r="Z2724" s="25"/>
      <c r="AA2724" s="101"/>
      <c r="AB2724" s="3" t="str">
        <f>IF(BCP_Soles[[#This Row],[FECHA]]&gt;0,TEXT(BCP_Soles[[#This Row],[FECHA]],"mmmm"),0)</f>
        <v>Julio</v>
      </c>
    </row>
    <row r="2725" spans="2:28" ht="60" x14ac:dyDescent="0.3">
      <c r="B2725" s="2">
        <f>IF(BCP_Soles[[#This Row],[TIPO DE R.]]="R",COUNTIFS($D$4:$D2724,"R")+1,"")</f>
        <v>1993</v>
      </c>
      <c r="C2725" s="19" t="str">
        <f t="shared" si="210"/>
        <v>B-BCP - Soles</v>
      </c>
      <c r="D2725" s="3" t="s">
        <v>1074</v>
      </c>
      <c r="E2725" s="14">
        <v>45856</v>
      </c>
      <c r="F2725" s="5" t="s">
        <v>346</v>
      </c>
      <c r="G2725" s="5" t="s">
        <v>1087</v>
      </c>
      <c r="H2725" s="6" t="s">
        <v>368</v>
      </c>
      <c r="I2725" s="6" t="s">
        <v>14</v>
      </c>
      <c r="J2725" s="6" t="s">
        <v>1521</v>
      </c>
      <c r="K2725" s="6">
        <v>39</v>
      </c>
      <c r="L2725" s="7" t="s">
        <v>3655</v>
      </c>
      <c r="M2725" s="8">
        <v>2118277</v>
      </c>
      <c r="N2725" s="8" t="str">
        <f t="shared" si="211"/>
        <v>PEN</v>
      </c>
      <c r="O2725" s="13"/>
      <c r="P2725" s="13">
        <v>869.49</v>
      </c>
      <c r="Q2725" s="3">
        <f t="shared" si="212"/>
        <v>869.49</v>
      </c>
      <c r="R2725" s="3">
        <f t="shared" si="213"/>
        <v>0</v>
      </c>
      <c r="S2725" s="3">
        <f t="shared" si="214"/>
        <v>23347.350000000028</v>
      </c>
      <c r="T2725" s="24" t="s">
        <v>1081</v>
      </c>
      <c r="U2725" s="24" t="s">
        <v>1081</v>
      </c>
      <c r="V2725" s="69"/>
      <c r="W2725" s="25">
        <f>IFERROR(VLOOKUP(BCP_Soles[[#This Row],[DESTINATARIO]],CHOOSE({1,2},Clientes_Proveedores[Razon Social],Clientes_Proveedores[Ruc / Dni]),2,0),"")</f>
        <v>20558226979</v>
      </c>
      <c r="X2725" s="25"/>
      <c r="Y2725" s="25"/>
      <c r="Z2725" s="25"/>
      <c r="AA2725" s="101"/>
      <c r="AB2725" s="3" t="str">
        <f>IF(BCP_Soles[[#This Row],[FECHA]]&gt;0,TEXT(BCP_Soles[[#This Row],[FECHA]],"mmmm"),0)</f>
        <v>Julio</v>
      </c>
    </row>
    <row r="2726" spans="2:28" ht="36" x14ac:dyDescent="0.3">
      <c r="B2726" s="2">
        <f>IF(BCP_Soles[[#This Row],[TIPO DE R.]]="R",COUNTIFS($D$4:$D2725,"R")+1,"")</f>
        <v>1994</v>
      </c>
      <c r="C2726" s="19" t="str">
        <f t="shared" si="210"/>
        <v>B-BCP - Soles</v>
      </c>
      <c r="D2726" s="3" t="s">
        <v>1074</v>
      </c>
      <c r="E2726" s="14">
        <v>45856</v>
      </c>
      <c r="F2726" s="5" t="s">
        <v>602</v>
      </c>
      <c r="G2726" s="5" t="s">
        <v>1087</v>
      </c>
      <c r="H2726" s="6" t="s">
        <v>368</v>
      </c>
      <c r="I2726" s="6" t="s">
        <v>14</v>
      </c>
      <c r="J2726" s="6" t="s">
        <v>3010</v>
      </c>
      <c r="K2726" s="6">
        <v>94</v>
      </c>
      <c r="L2726" s="7" t="s">
        <v>1100</v>
      </c>
      <c r="M2726" s="8">
        <v>1479558</v>
      </c>
      <c r="N2726" s="8" t="str">
        <f t="shared" si="211"/>
        <v>PEN</v>
      </c>
      <c r="O2726" s="13"/>
      <c r="P2726" s="13">
        <v>684.4</v>
      </c>
      <c r="Q2726" s="3">
        <f t="shared" si="212"/>
        <v>684.4</v>
      </c>
      <c r="R2726" s="3">
        <f t="shared" si="213"/>
        <v>0</v>
      </c>
      <c r="S2726" s="3">
        <f t="shared" si="214"/>
        <v>24031.750000000029</v>
      </c>
      <c r="T2726" s="24" t="s">
        <v>1081</v>
      </c>
      <c r="U2726" s="24" t="s">
        <v>1081</v>
      </c>
      <c r="V2726" s="69"/>
      <c r="W2726" s="25">
        <f>IFERROR(VLOOKUP(BCP_Soles[[#This Row],[DESTINATARIO]],CHOOSE({1,2},Clientes_Proveedores[Razon Social],Clientes_Proveedores[Ruc / Dni]),2,0),"")</f>
        <v>20558226979</v>
      </c>
      <c r="X2726" s="25"/>
      <c r="Y2726" s="25"/>
      <c r="Z2726" s="25"/>
      <c r="AA2726" s="101"/>
      <c r="AB2726" s="3" t="str">
        <f>IF(BCP_Soles[[#This Row],[FECHA]]&gt;0,TEXT(BCP_Soles[[#This Row],[FECHA]],"mmmm"),0)</f>
        <v>Julio</v>
      </c>
    </row>
    <row r="2727" spans="2:28" ht="36" x14ac:dyDescent="0.3">
      <c r="B2727" s="2">
        <f>IF(BCP_Soles[[#This Row],[TIPO DE R.]]="R",COUNTIFS($D$4:$D2726,"R")+1,"")</f>
        <v>1995</v>
      </c>
      <c r="C2727" s="19" t="str">
        <f t="shared" si="210"/>
        <v>B-BCP - Soles</v>
      </c>
      <c r="D2727" s="3" t="s">
        <v>1074</v>
      </c>
      <c r="E2727" s="14">
        <v>45856</v>
      </c>
      <c r="F2727" s="5" t="s">
        <v>1082</v>
      </c>
      <c r="G2727" s="5" t="s">
        <v>1079</v>
      </c>
      <c r="H2727" s="6" t="s">
        <v>644</v>
      </c>
      <c r="I2727" s="6" t="s">
        <v>14</v>
      </c>
      <c r="J2727" s="6" t="s">
        <v>3230</v>
      </c>
      <c r="K2727" s="6">
        <v>381043</v>
      </c>
      <c r="L2727" s="7" t="s">
        <v>3656</v>
      </c>
      <c r="M2727" s="8">
        <v>1130885</v>
      </c>
      <c r="N2727" s="8" t="str">
        <f t="shared" si="211"/>
        <v>PEN</v>
      </c>
      <c r="O2727" s="13"/>
      <c r="P2727" s="13">
        <v>153</v>
      </c>
      <c r="Q2727" s="3">
        <f t="shared" si="212"/>
        <v>0</v>
      </c>
      <c r="R2727" s="3">
        <f t="shared" si="213"/>
        <v>153</v>
      </c>
      <c r="S2727" s="3">
        <f t="shared" si="214"/>
        <v>23878.750000000029</v>
      </c>
      <c r="T2727" s="24" t="s">
        <v>1081</v>
      </c>
      <c r="U2727" s="24" t="s">
        <v>1081</v>
      </c>
      <c r="V2727" s="103" t="s">
        <v>3657</v>
      </c>
      <c r="W2727" s="25">
        <f>IFERROR(VLOOKUP(BCP_Soles[[#This Row],[DESTINATARIO]],CHOOSE({1,2},Clientes_Proveedores[Razon Social],Clientes_Proveedores[Ruc / Dni]),2,0),"")</f>
        <v>20454073143</v>
      </c>
      <c r="X2727" s="25"/>
      <c r="Y2727" s="25"/>
      <c r="Z2727" s="25"/>
      <c r="AA2727" s="101"/>
      <c r="AB2727" s="3" t="str">
        <f>IF(BCP_Soles[[#This Row],[FECHA]]&gt;0,TEXT(BCP_Soles[[#This Row],[FECHA]],"mmmm"),0)</f>
        <v>Julio</v>
      </c>
    </row>
    <row r="2728" spans="2:28" ht="24" x14ac:dyDescent="0.3">
      <c r="B2728" s="2">
        <f>IF(BCP_Soles[[#This Row],[TIPO DE R.]]="R",COUNTIFS($D$4:$D2727,"R")+1,"")</f>
        <v>1996</v>
      </c>
      <c r="C2728" s="19" t="str">
        <f t="shared" si="210"/>
        <v>B-BCP - Soles</v>
      </c>
      <c r="D2728" s="3" t="s">
        <v>1074</v>
      </c>
      <c r="E2728" s="14">
        <v>45856</v>
      </c>
      <c r="F2728" s="5" t="s">
        <v>1082</v>
      </c>
      <c r="G2728" s="5" t="s">
        <v>1079</v>
      </c>
      <c r="H2728" s="6" t="s">
        <v>192</v>
      </c>
      <c r="I2728" s="6"/>
      <c r="J2728" s="6"/>
      <c r="K2728" s="6"/>
      <c r="L2728" s="7" t="s">
        <v>3658</v>
      </c>
      <c r="M2728" s="8">
        <v>1130400</v>
      </c>
      <c r="N2728" s="8" t="str">
        <f t="shared" si="211"/>
        <v>PEN</v>
      </c>
      <c r="O2728" s="13"/>
      <c r="P2728" s="13">
        <v>3000</v>
      </c>
      <c r="Q2728" s="3">
        <f t="shared" si="212"/>
        <v>0</v>
      </c>
      <c r="R2728" s="3">
        <f t="shared" si="213"/>
        <v>3000</v>
      </c>
      <c r="S2728" s="3">
        <f t="shared" si="214"/>
        <v>20878.750000000029</v>
      </c>
      <c r="T2728" s="24"/>
      <c r="U2728" s="24"/>
      <c r="V2728" s="103" t="s">
        <v>3659</v>
      </c>
      <c r="W2728" s="25">
        <f>IFERROR(VLOOKUP(BCP_Soles[[#This Row],[DESTINATARIO]],CHOOSE({1,2},Clientes_Proveedores[Razon Social],Clientes_Proveedores[Ruc / Dni]),2,0),"")</f>
        <v>20302891452</v>
      </c>
      <c r="X2728" s="25"/>
      <c r="Y2728" s="25"/>
      <c r="Z2728" s="25"/>
      <c r="AA2728" s="101"/>
      <c r="AB2728" s="3" t="str">
        <f>IF(BCP_Soles[[#This Row],[FECHA]]&gt;0,TEXT(BCP_Soles[[#This Row],[FECHA]],"mmmm"),0)</f>
        <v>Julio</v>
      </c>
    </row>
    <row r="2729" spans="2:28" x14ac:dyDescent="0.3">
      <c r="B2729" s="2">
        <f>IF(BCP_Soles[[#This Row],[TIPO DE R.]]="R",COUNTIFS($D$4:$D2728,"R")+1,"")</f>
        <v>1997</v>
      </c>
      <c r="C2729" s="19" t="str">
        <f t="shared" si="210"/>
        <v>B-BCP - Soles</v>
      </c>
      <c r="D2729" s="3" t="s">
        <v>1074</v>
      </c>
      <c r="E2729" s="14">
        <v>45856</v>
      </c>
      <c r="F2729" s="5" t="s">
        <v>1082</v>
      </c>
      <c r="G2729" s="5" t="s">
        <v>1079</v>
      </c>
      <c r="H2729" s="6" t="s">
        <v>929</v>
      </c>
      <c r="I2729" s="6" t="s">
        <v>14</v>
      </c>
      <c r="J2729" s="6" t="s">
        <v>1119</v>
      </c>
      <c r="K2729" s="6">
        <v>17084</v>
      </c>
      <c r="L2729" s="7" t="s">
        <v>3660</v>
      </c>
      <c r="M2729" s="8">
        <v>1265337</v>
      </c>
      <c r="N2729" s="8" t="str">
        <f t="shared" si="211"/>
        <v>PEN</v>
      </c>
      <c r="O2729" s="13"/>
      <c r="P2729" s="13">
        <v>1050</v>
      </c>
      <c r="Q2729" s="3">
        <f t="shared" si="212"/>
        <v>0</v>
      </c>
      <c r="R2729" s="3">
        <f t="shared" si="213"/>
        <v>1050</v>
      </c>
      <c r="S2729" s="3">
        <f t="shared" si="214"/>
        <v>19828.750000000029</v>
      </c>
      <c r="T2729" s="24" t="s">
        <v>1081</v>
      </c>
      <c r="U2729" s="24" t="s">
        <v>1081</v>
      </c>
      <c r="V2729" s="103" t="s">
        <v>3661</v>
      </c>
      <c r="W2729" s="25">
        <f>IFERROR(VLOOKUP(BCP_Soles[[#This Row],[DESTINATARIO]],CHOOSE({1,2},Clientes_Proveedores[Razon Social],Clientes_Proveedores[Ruc / Dni]),2,0),"")</f>
        <v>20609629739</v>
      </c>
      <c r="X2729" s="25"/>
      <c r="Y2729" s="25"/>
      <c r="Z2729" s="25"/>
      <c r="AA2729" s="101"/>
      <c r="AB2729" s="3" t="str">
        <f>IF(BCP_Soles[[#This Row],[FECHA]]&gt;0,TEXT(BCP_Soles[[#This Row],[FECHA]],"mmmm"),0)</f>
        <v>Julio</v>
      </c>
    </row>
    <row r="2730" spans="2:28" x14ac:dyDescent="0.3">
      <c r="B2730" s="2">
        <f>IF(BCP_Soles[[#This Row],[TIPO DE R.]]="R",COUNTIFS($D$4:$D2729,"R")+1,"")</f>
        <v>1998</v>
      </c>
      <c r="C2730" s="19" t="str">
        <f t="shared" si="210"/>
        <v>B-BCP - Soles</v>
      </c>
      <c r="D2730" s="3" t="s">
        <v>1074</v>
      </c>
      <c r="E2730" s="14">
        <v>45856</v>
      </c>
      <c r="F2730" s="5" t="s">
        <v>1082</v>
      </c>
      <c r="G2730" s="5" t="s">
        <v>1079</v>
      </c>
      <c r="H2730" s="6" t="s">
        <v>638</v>
      </c>
      <c r="I2730" s="6"/>
      <c r="J2730" s="6"/>
      <c r="K2730" s="6"/>
      <c r="L2730" s="7" t="s">
        <v>3662</v>
      </c>
      <c r="M2730" s="8">
        <v>2131849</v>
      </c>
      <c r="N2730" s="8" t="str">
        <f t="shared" si="211"/>
        <v>PEN</v>
      </c>
      <c r="O2730" s="13"/>
      <c r="P2730" s="13">
        <v>3789.64</v>
      </c>
      <c r="Q2730" s="3">
        <f t="shared" si="212"/>
        <v>0</v>
      </c>
      <c r="R2730" s="3">
        <f t="shared" si="213"/>
        <v>3789.64</v>
      </c>
      <c r="S2730" s="3">
        <f t="shared" si="214"/>
        <v>16039.11000000003</v>
      </c>
      <c r="T2730" s="24" t="s">
        <v>1081</v>
      </c>
      <c r="U2730" s="24" t="s">
        <v>1081</v>
      </c>
      <c r="V2730" s="103" t="s">
        <v>3663</v>
      </c>
      <c r="W2730" s="25">
        <f>IFERROR(VLOOKUP(BCP_Soles[[#This Row],[DESTINATARIO]],CHOOSE({1,2},Clientes_Proveedores[Razon Social],Clientes_Proveedores[Ruc / Dni]),2,0),"")</f>
        <v>0</v>
      </c>
      <c r="X2730" s="25"/>
      <c r="Y2730" s="25"/>
      <c r="Z2730" s="25"/>
      <c r="AA2730" s="101"/>
      <c r="AB2730" s="3" t="str">
        <f>IF(BCP_Soles[[#This Row],[FECHA]]&gt;0,TEXT(BCP_Soles[[#This Row],[FECHA]],"mmmm"),0)</f>
        <v>Julio</v>
      </c>
    </row>
    <row r="2731" spans="2:28" x14ac:dyDescent="0.3">
      <c r="B2731" s="2" t="str">
        <f>IF(BCP_Soles[[#This Row],[TIPO DE R.]]="R",COUNTIFS($D$4:$D2730,"R")+1,"")</f>
        <v/>
      </c>
      <c r="C2731" s="19" t="str">
        <f t="shared" si="210"/>
        <v>B-BCP - Soles</v>
      </c>
      <c r="D2731" s="3" t="s">
        <v>1101</v>
      </c>
      <c r="E2731" s="14">
        <v>45856</v>
      </c>
      <c r="F2731" s="5" t="s">
        <v>1082</v>
      </c>
      <c r="G2731" s="5"/>
      <c r="H2731" s="6" t="s">
        <v>465</v>
      </c>
      <c r="I2731" s="6" t="s">
        <v>14</v>
      </c>
      <c r="J2731" s="6" t="s">
        <v>1121</v>
      </c>
      <c r="K2731" s="6">
        <v>4007</v>
      </c>
      <c r="L2731" s="7" t="s">
        <v>3662</v>
      </c>
      <c r="M2731" s="8">
        <v>2131849</v>
      </c>
      <c r="N2731" s="8" t="str">
        <f t="shared" si="211"/>
        <v>PEN</v>
      </c>
      <c r="O2731" s="13">
        <v>531.59</v>
      </c>
      <c r="P2731" s="13"/>
      <c r="Q2731" s="3">
        <f t="shared" si="212"/>
        <v>0</v>
      </c>
      <c r="R2731" s="3">
        <f t="shared" si="213"/>
        <v>0</v>
      </c>
      <c r="S2731" s="3">
        <f t="shared" si="214"/>
        <v>16039.11000000003</v>
      </c>
      <c r="T2731" s="24" t="s">
        <v>1081</v>
      </c>
      <c r="U2731" s="24" t="s">
        <v>1081</v>
      </c>
      <c r="V2731" s="103"/>
      <c r="W2731" s="25">
        <f>IFERROR(VLOOKUP(BCP_Soles[[#This Row],[DESTINATARIO]],CHOOSE({1,2},Clientes_Proveedores[Razon Social],Clientes_Proveedores[Ruc / Dni]),2,0),"")</f>
        <v>20603974817</v>
      </c>
      <c r="X2731" s="25"/>
      <c r="Y2731" s="25"/>
      <c r="Z2731" s="25"/>
      <c r="AA2731" s="101"/>
      <c r="AB2731" s="3" t="str">
        <f>IF(BCP_Soles[[#This Row],[FECHA]]&gt;0,TEXT(BCP_Soles[[#This Row],[FECHA]],"mmmm"),0)</f>
        <v>Julio</v>
      </c>
    </row>
    <row r="2732" spans="2:28" ht="24" x14ac:dyDescent="0.3">
      <c r="B2732" s="2" t="str">
        <f>IF(BCP_Soles[[#This Row],[TIPO DE R.]]="R",COUNTIFS($D$4:$D2731,"R")+1,"")</f>
        <v/>
      </c>
      <c r="C2732" s="19" t="str">
        <f t="shared" si="210"/>
        <v>B-BCP - Soles</v>
      </c>
      <c r="D2732" s="3" t="s">
        <v>1101</v>
      </c>
      <c r="E2732" s="14">
        <v>45856</v>
      </c>
      <c r="F2732" s="5" t="s">
        <v>1082</v>
      </c>
      <c r="G2732" s="5"/>
      <c r="H2732" s="6" t="s">
        <v>108</v>
      </c>
      <c r="I2732" s="6" t="s">
        <v>14</v>
      </c>
      <c r="J2732" s="6" t="s">
        <v>1121</v>
      </c>
      <c r="K2732" s="6">
        <v>5083</v>
      </c>
      <c r="L2732" s="7" t="s">
        <v>3662</v>
      </c>
      <c r="M2732" s="8">
        <v>2131849</v>
      </c>
      <c r="N2732" s="8" t="str">
        <f t="shared" si="211"/>
        <v>PEN</v>
      </c>
      <c r="O2732" s="13">
        <v>59</v>
      </c>
      <c r="P2732" s="13"/>
      <c r="Q2732" s="3">
        <f t="shared" si="212"/>
        <v>0</v>
      </c>
      <c r="R2732" s="3">
        <f t="shared" si="213"/>
        <v>0</v>
      </c>
      <c r="S2732" s="3">
        <f t="shared" si="214"/>
        <v>16039.11000000003</v>
      </c>
      <c r="T2732" s="24" t="s">
        <v>1081</v>
      </c>
      <c r="U2732" s="24" t="s">
        <v>1081</v>
      </c>
      <c r="V2732" s="103"/>
      <c r="W2732" s="25">
        <f>IFERROR(VLOOKUP(BCP_Soles[[#This Row],[DESTINATARIO]],CHOOSE({1,2},Clientes_Proveedores[Razon Social],Clientes_Proveedores[Ruc / Dni]),2,0),"")</f>
        <v>10425371652</v>
      </c>
      <c r="X2732" s="25"/>
      <c r="Y2732" s="25"/>
      <c r="Z2732" s="25"/>
      <c r="AA2732" s="101"/>
      <c r="AB2732" s="3" t="str">
        <f>IF(BCP_Soles[[#This Row],[FECHA]]&gt;0,TEXT(BCP_Soles[[#This Row],[FECHA]],"mmmm"),0)</f>
        <v>Julio</v>
      </c>
    </row>
    <row r="2733" spans="2:28" ht="24" x14ac:dyDescent="0.3">
      <c r="B2733" s="2" t="str">
        <f>IF(BCP_Soles[[#This Row],[TIPO DE R.]]="R",COUNTIFS($D$4:$D2732,"R")+1,"")</f>
        <v/>
      </c>
      <c r="C2733" s="19" t="str">
        <f t="shared" si="210"/>
        <v>B-BCP - Soles</v>
      </c>
      <c r="D2733" s="3" t="s">
        <v>1101</v>
      </c>
      <c r="E2733" s="14">
        <v>45856</v>
      </c>
      <c r="F2733" s="5" t="s">
        <v>1082</v>
      </c>
      <c r="G2733" s="5"/>
      <c r="H2733" s="6" t="s">
        <v>214</v>
      </c>
      <c r="I2733" s="6" t="s">
        <v>14</v>
      </c>
      <c r="J2733" s="6" t="s">
        <v>1120</v>
      </c>
      <c r="K2733" s="6">
        <v>6949</v>
      </c>
      <c r="L2733" s="7" t="s">
        <v>3662</v>
      </c>
      <c r="M2733" s="8">
        <v>2131849</v>
      </c>
      <c r="N2733" s="8" t="str">
        <f t="shared" si="211"/>
        <v>PEN</v>
      </c>
      <c r="O2733" s="13">
        <v>772</v>
      </c>
      <c r="P2733" s="13"/>
      <c r="Q2733" s="3">
        <f t="shared" si="212"/>
        <v>0</v>
      </c>
      <c r="R2733" s="3">
        <f t="shared" si="213"/>
        <v>0</v>
      </c>
      <c r="S2733" s="3">
        <f t="shared" si="214"/>
        <v>16039.11000000003</v>
      </c>
      <c r="T2733" s="24" t="s">
        <v>1081</v>
      </c>
      <c r="U2733" s="24" t="s">
        <v>1081</v>
      </c>
      <c r="V2733" s="103"/>
      <c r="W2733" s="25">
        <f>IFERROR(VLOOKUP(BCP_Soles[[#This Row],[DESTINATARIO]],CHOOSE({1,2},Clientes_Proveedores[Razon Social],Clientes_Proveedores[Ruc / Dni]),2,0),"")</f>
        <v>20419158462</v>
      </c>
      <c r="X2733" s="25"/>
      <c r="Y2733" s="25"/>
      <c r="Z2733" s="25"/>
      <c r="AA2733" s="101"/>
      <c r="AB2733" s="3" t="str">
        <f>IF(BCP_Soles[[#This Row],[FECHA]]&gt;0,TEXT(BCP_Soles[[#This Row],[FECHA]],"mmmm"),0)</f>
        <v>Julio</v>
      </c>
    </row>
    <row r="2734" spans="2:28" x14ac:dyDescent="0.3">
      <c r="B2734" s="2" t="str">
        <f>IF(BCP_Soles[[#This Row],[TIPO DE R.]]="R",COUNTIFS($D$4:$D2733,"R")+1,"")</f>
        <v/>
      </c>
      <c r="C2734" s="19" t="str">
        <f t="shared" si="210"/>
        <v>B-BCP - Soles</v>
      </c>
      <c r="D2734" s="3" t="s">
        <v>1101</v>
      </c>
      <c r="E2734" s="14">
        <v>45856</v>
      </c>
      <c r="F2734" s="5" t="s">
        <v>1082</v>
      </c>
      <c r="G2734" s="5"/>
      <c r="H2734" s="6" t="s">
        <v>465</v>
      </c>
      <c r="I2734" s="6" t="s">
        <v>14</v>
      </c>
      <c r="J2734" s="6" t="s">
        <v>1121</v>
      </c>
      <c r="K2734" s="6">
        <v>4016</v>
      </c>
      <c r="L2734" s="7" t="s">
        <v>3662</v>
      </c>
      <c r="M2734" s="8">
        <v>2131849</v>
      </c>
      <c r="N2734" s="8" t="str">
        <f t="shared" si="211"/>
        <v>PEN</v>
      </c>
      <c r="O2734" s="13">
        <v>351.05</v>
      </c>
      <c r="P2734" s="13"/>
      <c r="Q2734" s="3">
        <f t="shared" si="212"/>
        <v>0</v>
      </c>
      <c r="R2734" s="3">
        <f t="shared" si="213"/>
        <v>0</v>
      </c>
      <c r="S2734" s="3">
        <f t="shared" si="214"/>
        <v>16039.11000000003</v>
      </c>
      <c r="T2734" s="24" t="s">
        <v>1081</v>
      </c>
      <c r="U2734" s="24" t="s">
        <v>1081</v>
      </c>
      <c r="V2734" s="103"/>
      <c r="W2734" s="25">
        <f>IFERROR(VLOOKUP(BCP_Soles[[#This Row],[DESTINATARIO]],CHOOSE({1,2},Clientes_Proveedores[Razon Social],Clientes_Proveedores[Ruc / Dni]),2,0),"")</f>
        <v>20603974817</v>
      </c>
      <c r="X2734" s="25"/>
      <c r="Y2734" s="25"/>
      <c r="Z2734" s="25"/>
      <c r="AA2734" s="101"/>
      <c r="AB2734" s="3" t="str">
        <f>IF(BCP_Soles[[#This Row],[FECHA]]&gt;0,TEXT(BCP_Soles[[#This Row],[FECHA]],"mmmm"),0)</f>
        <v>Julio</v>
      </c>
    </row>
    <row r="2735" spans="2:28" ht="36" x14ac:dyDescent="0.3">
      <c r="B2735" s="2" t="str">
        <f>IF(BCP_Soles[[#This Row],[TIPO DE R.]]="R",COUNTIFS($D$4:$D2734,"R")+1,"")</f>
        <v/>
      </c>
      <c r="C2735" s="19" t="str">
        <f t="shared" si="210"/>
        <v>B-BCP - Soles</v>
      </c>
      <c r="D2735" s="3" t="s">
        <v>1101</v>
      </c>
      <c r="E2735" s="14">
        <v>45856</v>
      </c>
      <c r="F2735" s="5" t="s">
        <v>1082</v>
      </c>
      <c r="G2735" s="5"/>
      <c r="H2735" s="6" t="s">
        <v>417</v>
      </c>
      <c r="I2735" s="6" t="s">
        <v>14</v>
      </c>
      <c r="J2735" s="6" t="s">
        <v>1121</v>
      </c>
      <c r="K2735" s="6">
        <v>812</v>
      </c>
      <c r="L2735" s="7" t="s">
        <v>3662</v>
      </c>
      <c r="M2735" s="8">
        <v>2131849</v>
      </c>
      <c r="N2735" s="8" t="str">
        <f t="shared" si="211"/>
        <v>PEN</v>
      </c>
      <c r="O2735" s="13">
        <v>1056</v>
      </c>
      <c r="P2735" s="13"/>
      <c r="Q2735" s="3">
        <f t="shared" si="212"/>
        <v>0</v>
      </c>
      <c r="R2735" s="3">
        <f t="shared" si="213"/>
        <v>0</v>
      </c>
      <c r="S2735" s="3">
        <f t="shared" si="214"/>
        <v>16039.11000000003</v>
      </c>
      <c r="T2735" s="24" t="s">
        <v>1081</v>
      </c>
      <c r="U2735" s="24" t="s">
        <v>1081</v>
      </c>
      <c r="V2735" s="103"/>
      <c r="W2735" s="25">
        <f>IFERROR(VLOOKUP(BCP_Soles[[#This Row],[DESTINATARIO]],CHOOSE({1,2},Clientes_Proveedores[Razon Social],Clientes_Proveedores[Ruc / Dni]),2,0),"")</f>
        <v>20602075177</v>
      </c>
      <c r="X2735" s="25"/>
      <c r="Y2735" s="25"/>
      <c r="Z2735" s="25"/>
      <c r="AA2735" s="101"/>
      <c r="AB2735" s="3" t="str">
        <f>IF(BCP_Soles[[#This Row],[FECHA]]&gt;0,TEXT(BCP_Soles[[#This Row],[FECHA]],"mmmm"),0)</f>
        <v>Julio</v>
      </c>
    </row>
    <row r="2736" spans="2:28" ht="24" x14ac:dyDescent="0.3">
      <c r="B2736" s="2" t="str">
        <f>IF(BCP_Soles[[#This Row],[TIPO DE R.]]="R",COUNTIFS($D$4:$D2735,"R")+1,"")</f>
        <v/>
      </c>
      <c r="C2736" s="19" t="str">
        <f t="shared" si="210"/>
        <v>B-BCP - Soles</v>
      </c>
      <c r="D2736" s="3" t="s">
        <v>1101</v>
      </c>
      <c r="E2736" s="14">
        <v>45856</v>
      </c>
      <c r="F2736" s="5" t="s">
        <v>1082</v>
      </c>
      <c r="G2736" s="5"/>
      <c r="H2736" s="6" t="s">
        <v>609</v>
      </c>
      <c r="I2736" s="6" t="s">
        <v>14</v>
      </c>
      <c r="J2736" s="6" t="s">
        <v>1121</v>
      </c>
      <c r="K2736" s="6">
        <v>45</v>
      </c>
      <c r="L2736" s="7" t="s">
        <v>3662</v>
      </c>
      <c r="M2736" s="8">
        <v>2131849</v>
      </c>
      <c r="N2736" s="8" t="str">
        <f t="shared" si="211"/>
        <v>PEN</v>
      </c>
      <c r="O2736" s="13">
        <v>510</v>
      </c>
      <c r="P2736" s="13"/>
      <c r="Q2736" s="3">
        <f t="shared" si="212"/>
        <v>0</v>
      </c>
      <c r="R2736" s="3">
        <f t="shared" si="213"/>
        <v>0</v>
      </c>
      <c r="S2736" s="3">
        <f t="shared" si="214"/>
        <v>16039.11000000003</v>
      </c>
      <c r="T2736" s="24" t="s">
        <v>1081</v>
      </c>
      <c r="U2736" s="24" t="s">
        <v>1081</v>
      </c>
      <c r="V2736" s="103"/>
      <c r="W2736" s="25">
        <f>IFERROR(VLOOKUP(BCP_Soles[[#This Row],[DESTINATARIO]],CHOOSE({1,2},Clientes_Proveedores[Razon Social],Clientes_Proveedores[Ruc / Dni]),2,0),"")</f>
        <v>10410687491</v>
      </c>
      <c r="X2736" s="25"/>
      <c r="Y2736" s="25"/>
      <c r="Z2736" s="25"/>
      <c r="AA2736" s="101"/>
      <c r="AB2736" s="3" t="str">
        <f>IF(BCP_Soles[[#This Row],[FECHA]]&gt;0,TEXT(BCP_Soles[[#This Row],[FECHA]],"mmmm"),0)</f>
        <v>Julio</v>
      </c>
    </row>
    <row r="2737" spans="2:28" ht="24" x14ac:dyDescent="0.3">
      <c r="B2737" s="2" t="str">
        <f>IF(BCP_Soles[[#This Row],[TIPO DE R.]]="R",COUNTIFS($D$4:$D2736,"R")+1,"")</f>
        <v/>
      </c>
      <c r="C2737" s="19" t="str">
        <f t="shared" si="210"/>
        <v>B-BCP - Soles</v>
      </c>
      <c r="D2737" s="3" t="s">
        <v>1101</v>
      </c>
      <c r="E2737" s="14">
        <v>45856</v>
      </c>
      <c r="F2737" s="5" t="s">
        <v>1082</v>
      </c>
      <c r="G2737" s="5"/>
      <c r="H2737" s="6" t="s">
        <v>609</v>
      </c>
      <c r="I2737" s="6" t="s">
        <v>14</v>
      </c>
      <c r="J2737" s="6" t="s">
        <v>1121</v>
      </c>
      <c r="K2737" s="6">
        <v>44</v>
      </c>
      <c r="L2737" s="7" t="s">
        <v>3662</v>
      </c>
      <c r="M2737" s="8">
        <v>2131849</v>
      </c>
      <c r="N2737" s="8" t="str">
        <f t="shared" si="211"/>
        <v>PEN</v>
      </c>
      <c r="O2737" s="13">
        <v>510</v>
      </c>
      <c r="P2737" s="13"/>
      <c r="Q2737" s="3">
        <f t="shared" si="212"/>
        <v>0</v>
      </c>
      <c r="R2737" s="3">
        <f t="shared" si="213"/>
        <v>0</v>
      </c>
      <c r="S2737" s="3">
        <f t="shared" si="214"/>
        <v>16039.11000000003</v>
      </c>
      <c r="T2737" s="24" t="s">
        <v>1081</v>
      </c>
      <c r="U2737" s="24" t="s">
        <v>1081</v>
      </c>
      <c r="V2737" s="103"/>
      <c r="W2737" s="25">
        <f>IFERROR(VLOOKUP(BCP_Soles[[#This Row],[DESTINATARIO]],CHOOSE({1,2},Clientes_Proveedores[Razon Social],Clientes_Proveedores[Ruc / Dni]),2,0),"")</f>
        <v>10410687491</v>
      </c>
      <c r="X2737" s="25"/>
      <c r="Y2737" s="25"/>
      <c r="Z2737" s="25"/>
      <c r="AA2737" s="101"/>
      <c r="AB2737" s="3" t="str">
        <f>IF(BCP_Soles[[#This Row],[FECHA]]&gt;0,TEXT(BCP_Soles[[#This Row],[FECHA]],"mmmm"),0)</f>
        <v>Julio</v>
      </c>
    </row>
    <row r="2738" spans="2:28" x14ac:dyDescent="0.3">
      <c r="B2738" s="2">
        <f>IF(BCP_Soles[[#This Row],[TIPO DE R.]]="R",COUNTIFS($D$4:$D2737,"R")+1,"")</f>
        <v>1999</v>
      </c>
      <c r="C2738" s="19" t="str">
        <f t="shared" si="210"/>
        <v>B-BCP - Soles</v>
      </c>
      <c r="D2738" s="3" t="s">
        <v>1074</v>
      </c>
      <c r="E2738" s="14">
        <v>45856</v>
      </c>
      <c r="F2738" s="5" t="s">
        <v>1082</v>
      </c>
      <c r="G2738" s="5" t="s">
        <v>1079</v>
      </c>
      <c r="H2738" s="6" t="s">
        <v>368</v>
      </c>
      <c r="I2738" s="6"/>
      <c r="J2738" s="6"/>
      <c r="K2738" s="6"/>
      <c r="L2738" s="7" t="s">
        <v>3664</v>
      </c>
      <c r="M2738" s="8">
        <v>1267708</v>
      </c>
      <c r="N2738" s="8" t="str">
        <f t="shared" si="211"/>
        <v>PEN</v>
      </c>
      <c r="O2738" s="13"/>
      <c r="P2738" s="13">
        <v>501.2</v>
      </c>
      <c r="Q2738" s="3">
        <f t="shared" si="212"/>
        <v>0</v>
      </c>
      <c r="R2738" s="3">
        <f t="shared" si="213"/>
        <v>501.2</v>
      </c>
      <c r="S2738" s="3">
        <f t="shared" si="214"/>
        <v>15537.910000000029</v>
      </c>
      <c r="T2738" s="24"/>
      <c r="U2738" s="24"/>
      <c r="V2738" s="103" t="s">
        <v>3665</v>
      </c>
      <c r="W2738" s="25">
        <f>IFERROR(VLOOKUP(BCP_Soles[[#This Row],[DESTINATARIO]],CHOOSE({1,2},Clientes_Proveedores[Razon Social],Clientes_Proveedores[Ruc / Dni]),2,0),"")</f>
        <v>20558226979</v>
      </c>
      <c r="X2738" s="25"/>
      <c r="Y2738" s="25"/>
      <c r="Z2738" s="25"/>
      <c r="AA2738" s="101"/>
      <c r="AB2738" s="3" t="str">
        <f>IF(BCP_Soles[[#This Row],[FECHA]]&gt;0,TEXT(BCP_Soles[[#This Row],[FECHA]],"mmmm"),0)</f>
        <v>Julio</v>
      </c>
    </row>
    <row r="2739" spans="2:28" ht="24" x14ac:dyDescent="0.3">
      <c r="B2739" s="2">
        <f>IF(BCP_Soles[[#This Row],[TIPO DE R.]]="R",COUNTIFS($D$4:$D2738,"R")+1,"")</f>
        <v>2000</v>
      </c>
      <c r="C2739" s="19" t="str">
        <f t="shared" si="210"/>
        <v>B-BCP - Soles</v>
      </c>
      <c r="D2739" s="3" t="s">
        <v>1074</v>
      </c>
      <c r="E2739" s="14">
        <v>45856</v>
      </c>
      <c r="F2739" s="5" t="s">
        <v>1078</v>
      </c>
      <c r="G2739" s="5" t="s">
        <v>1079</v>
      </c>
      <c r="H2739" s="6" t="s">
        <v>1001</v>
      </c>
      <c r="I2739" s="6" t="s">
        <v>14</v>
      </c>
      <c r="J2739" s="6" t="s">
        <v>3128</v>
      </c>
      <c r="K2739" s="6">
        <v>35055362</v>
      </c>
      <c r="L2739" s="7" t="s">
        <v>1141</v>
      </c>
      <c r="M2739" s="8">
        <v>488</v>
      </c>
      <c r="N2739" s="8" t="str">
        <f t="shared" si="211"/>
        <v>PEN</v>
      </c>
      <c r="O2739" s="13"/>
      <c r="P2739" s="13">
        <v>10</v>
      </c>
      <c r="Q2739" s="3">
        <f t="shared" si="212"/>
        <v>0</v>
      </c>
      <c r="R2739" s="3">
        <f t="shared" si="213"/>
        <v>10</v>
      </c>
      <c r="S2739" s="3">
        <f t="shared" si="214"/>
        <v>15527.910000000029</v>
      </c>
      <c r="T2739" s="24" t="s">
        <v>1081</v>
      </c>
      <c r="U2739" s="24" t="s">
        <v>1081</v>
      </c>
      <c r="V2739" s="103"/>
      <c r="W2739" s="25">
        <f>IFERROR(VLOOKUP(BCP_Soles[[#This Row],[DESTINATARIO]],CHOOSE({1,2},Clientes_Proveedores[Razon Social],Clientes_Proveedores[Ruc / Dni]),2,0),"")</f>
        <v>20100047218</v>
      </c>
      <c r="X2739" s="25"/>
      <c r="Y2739" s="25"/>
      <c r="Z2739" s="25"/>
      <c r="AA2739" s="101"/>
      <c r="AB2739" s="3" t="str">
        <f>IF(BCP_Soles[[#This Row],[FECHA]]&gt;0,TEXT(BCP_Soles[[#This Row],[FECHA]],"mmmm"),0)</f>
        <v>Julio</v>
      </c>
    </row>
    <row r="2740" spans="2:28" x14ac:dyDescent="0.3">
      <c r="B2740" s="2">
        <f>IF(BCP_Soles[[#This Row],[TIPO DE R.]]="R",COUNTIFS($D$4:$D2739,"R")+1,"")</f>
        <v>2001</v>
      </c>
      <c r="C2740" s="19" t="str">
        <f t="shared" si="210"/>
        <v>B-BCP - Soles</v>
      </c>
      <c r="D2740" s="3" t="s">
        <v>1074</v>
      </c>
      <c r="E2740" s="14">
        <v>45856</v>
      </c>
      <c r="F2740" s="5" t="s">
        <v>2898</v>
      </c>
      <c r="G2740" s="5" t="s">
        <v>1079</v>
      </c>
      <c r="H2740" s="6"/>
      <c r="I2740" s="6"/>
      <c r="J2740" s="6"/>
      <c r="K2740" s="6"/>
      <c r="L2740" s="7" t="s">
        <v>3666</v>
      </c>
      <c r="M2740" s="8">
        <v>1017947</v>
      </c>
      <c r="N2740" s="8" t="str">
        <f t="shared" si="211"/>
        <v>PEN</v>
      </c>
      <c r="O2740" s="13"/>
      <c r="P2740" s="13">
        <v>3407</v>
      </c>
      <c r="Q2740" s="3">
        <f t="shared" si="212"/>
        <v>0</v>
      </c>
      <c r="R2740" s="3">
        <f t="shared" si="213"/>
        <v>3407</v>
      </c>
      <c r="S2740" s="3">
        <f t="shared" si="214"/>
        <v>12120.910000000029</v>
      </c>
      <c r="T2740" s="24" t="s">
        <v>1081</v>
      </c>
      <c r="U2740" s="24" t="s">
        <v>1081</v>
      </c>
      <c r="V2740" s="103"/>
      <c r="W2740" s="25" t="str">
        <f>IFERROR(VLOOKUP(BCP_Soles[[#This Row],[DESTINATARIO]],CHOOSE({1,2},Clientes_Proveedores[Razon Social],Clientes_Proveedores[Ruc / Dni]),2,0),"")</f>
        <v/>
      </c>
      <c r="X2740" s="25"/>
      <c r="Y2740" s="25"/>
      <c r="Z2740" s="25"/>
      <c r="AA2740" s="101"/>
      <c r="AB2740" s="3" t="str">
        <f>IF(BCP_Soles[[#This Row],[FECHA]]&gt;0,TEXT(BCP_Soles[[#This Row],[FECHA]],"mmmm"),0)</f>
        <v>Julio</v>
      </c>
    </row>
    <row r="2741" spans="2:28" ht="24" x14ac:dyDescent="0.3">
      <c r="B2741" s="2" t="str">
        <f>IF(BCP_Soles[[#This Row],[TIPO DE R.]]="R",COUNTIFS($D$4:$D2740,"R")+1,"")</f>
        <v/>
      </c>
      <c r="C2741" s="19" t="str">
        <f t="shared" si="210"/>
        <v>B-BCP - Soles</v>
      </c>
      <c r="D2741" s="3" t="s">
        <v>1101</v>
      </c>
      <c r="E2741" s="14">
        <v>45856</v>
      </c>
      <c r="F2741" s="5" t="s">
        <v>2898</v>
      </c>
      <c r="G2741" s="5"/>
      <c r="H2741" s="6" t="s">
        <v>609</v>
      </c>
      <c r="I2741" s="6" t="s">
        <v>14</v>
      </c>
      <c r="J2741" s="6" t="s">
        <v>1121</v>
      </c>
      <c r="K2741" s="6">
        <v>29</v>
      </c>
      <c r="L2741" s="7" t="s">
        <v>3666</v>
      </c>
      <c r="M2741" s="8">
        <v>1017947</v>
      </c>
      <c r="N2741" s="8" t="str">
        <f t="shared" si="211"/>
        <v>PEN</v>
      </c>
      <c r="O2741" s="13">
        <v>21</v>
      </c>
      <c r="P2741" s="13"/>
      <c r="Q2741" s="3">
        <f t="shared" si="212"/>
        <v>0</v>
      </c>
      <c r="R2741" s="3">
        <f t="shared" si="213"/>
        <v>0</v>
      </c>
      <c r="S2741" s="3">
        <f t="shared" si="214"/>
        <v>12120.910000000029</v>
      </c>
      <c r="T2741" s="24" t="s">
        <v>1081</v>
      </c>
      <c r="U2741" s="24" t="s">
        <v>1081</v>
      </c>
      <c r="V2741" s="103"/>
      <c r="W2741" s="25">
        <f>IFERROR(VLOOKUP(BCP_Soles[[#This Row],[DESTINATARIO]],CHOOSE({1,2},Clientes_Proveedores[Razon Social],Clientes_Proveedores[Ruc / Dni]),2,0),"")</f>
        <v>10410687491</v>
      </c>
      <c r="X2741" s="25"/>
      <c r="Y2741" s="25"/>
      <c r="Z2741" s="25"/>
      <c r="AA2741" s="101" t="s">
        <v>3385</v>
      </c>
      <c r="AB2741" s="3" t="str">
        <f>IF(BCP_Soles[[#This Row],[FECHA]]&gt;0,TEXT(BCP_Soles[[#This Row],[FECHA]],"mmmm"),0)</f>
        <v>Julio</v>
      </c>
    </row>
    <row r="2742" spans="2:28" ht="24" x14ac:dyDescent="0.3">
      <c r="B2742" s="2" t="str">
        <f>IF(BCP_Soles[[#This Row],[TIPO DE R.]]="R",COUNTIFS($D$4:$D2741,"R")+1,"")</f>
        <v/>
      </c>
      <c r="C2742" s="19" t="str">
        <f t="shared" si="210"/>
        <v>B-BCP - Soles</v>
      </c>
      <c r="D2742" s="3" t="s">
        <v>1101</v>
      </c>
      <c r="E2742" s="14">
        <v>45856</v>
      </c>
      <c r="F2742" s="5" t="s">
        <v>2898</v>
      </c>
      <c r="G2742" s="5"/>
      <c r="H2742" s="6" t="s">
        <v>147</v>
      </c>
      <c r="I2742" s="6" t="s">
        <v>14</v>
      </c>
      <c r="J2742" s="6" t="s">
        <v>1148</v>
      </c>
      <c r="K2742" s="6">
        <v>16339</v>
      </c>
      <c r="L2742" s="7" t="s">
        <v>3666</v>
      </c>
      <c r="M2742" s="8">
        <v>1017947</v>
      </c>
      <c r="N2742" s="8" t="str">
        <f t="shared" si="211"/>
        <v>PEN</v>
      </c>
      <c r="O2742" s="13">
        <v>30</v>
      </c>
      <c r="P2742" s="13"/>
      <c r="Q2742" s="3">
        <f t="shared" si="212"/>
        <v>0</v>
      </c>
      <c r="R2742" s="3">
        <f t="shared" si="213"/>
        <v>0</v>
      </c>
      <c r="S2742" s="3">
        <f t="shared" si="214"/>
        <v>12120.910000000029</v>
      </c>
      <c r="T2742" s="24" t="s">
        <v>1081</v>
      </c>
      <c r="U2742" s="24" t="s">
        <v>1081</v>
      </c>
      <c r="V2742" s="103"/>
      <c r="W2742" s="25">
        <f>IFERROR(VLOOKUP(BCP_Soles[[#This Row],[DESTINATARIO]],CHOOSE({1,2},Clientes_Proveedores[Razon Social],Clientes_Proveedores[Ruc / Dni]),2,0),"")</f>
        <v>20100192064</v>
      </c>
      <c r="X2742" s="25"/>
      <c r="Y2742" s="25"/>
      <c r="Z2742" s="25"/>
      <c r="AA2742" s="101" t="s">
        <v>3385</v>
      </c>
      <c r="AB2742" s="3" t="str">
        <f>IF(BCP_Soles[[#This Row],[FECHA]]&gt;0,TEXT(BCP_Soles[[#This Row],[FECHA]],"mmmm"),0)</f>
        <v>Julio</v>
      </c>
    </row>
    <row r="2743" spans="2:28" x14ac:dyDescent="0.3">
      <c r="B2743" s="2" t="str">
        <f>IF(BCP_Soles[[#This Row],[TIPO DE R.]]="R",COUNTIFS($D$4:$D2742,"R")+1,"")</f>
        <v/>
      </c>
      <c r="C2743" s="19" t="str">
        <f t="shared" si="210"/>
        <v>B-BCP - Soles</v>
      </c>
      <c r="D2743" s="3" t="s">
        <v>1101</v>
      </c>
      <c r="E2743" s="14">
        <v>45856</v>
      </c>
      <c r="F2743" s="5" t="s">
        <v>2898</v>
      </c>
      <c r="G2743" s="5"/>
      <c r="H2743" s="6" t="s">
        <v>229</v>
      </c>
      <c r="I2743" s="6" t="s">
        <v>14</v>
      </c>
      <c r="J2743" s="6" t="s">
        <v>1429</v>
      </c>
      <c r="K2743" s="6">
        <v>1710</v>
      </c>
      <c r="L2743" s="7" t="s">
        <v>3666</v>
      </c>
      <c r="M2743" s="8">
        <v>1017947</v>
      </c>
      <c r="N2743" s="8" t="str">
        <f t="shared" si="211"/>
        <v>PEN</v>
      </c>
      <c r="O2743" s="13">
        <v>100</v>
      </c>
      <c r="P2743" s="13"/>
      <c r="Q2743" s="3">
        <f t="shared" si="212"/>
        <v>0</v>
      </c>
      <c r="R2743" s="3">
        <f t="shared" si="213"/>
        <v>0</v>
      </c>
      <c r="S2743" s="3">
        <f t="shared" si="214"/>
        <v>12120.910000000029</v>
      </c>
      <c r="T2743" s="24" t="s">
        <v>1081</v>
      </c>
      <c r="U2743" s="24" t="s">
        <v>1081</v>
      </c>
      <c r="V2743" s="103"/>
      <c r="W2743" s="25">
        <f>IFERROR(VLOOKUP(BCP_Soles[[#This Row],[DESTINATARIO]],CHOOSE({1,2},Clientes_Proveedores[Razon Social],Clientes_Proveedores[Ruc / Dni]),2,0),"")</f>
        <v>20454186002</v>
      </c>
      <c r="X2743" s="25"/>
      <c r="Y2743" s="25"/>
      <c r="Z2743" s="25"/>
      <c r="AA2743" s="101" t="s">
        <v>3385</v>
      </c>
      <c r="AB2743" s="3" t="str">
        <f>IF(BCP_Soles[[#This Row],[FECHA]]&gt;0,TEXT(BCP_Soles[[#This Row],[FECHA]],"mmmm"),0)</f>
        <v>Julio</v>
      </c>
    </row>
    <row r="2744" spans="2:28" ht="24" x14ac:dyDescent="0.3">
      <c r="B2744" s="2" t="str">
        <f>IF(BCP_Soles[[#This Row],[TIPO DE R.]]="R",COUNTIFS($D$4:$D2743,"R")+1,"")</f>
        <v/>
      </c>
      <c r="C2744" s="19" t="str">
        <f t="shared" si="210"/>
        <v>B-BCP - Soles</v>
      </c>
      <c r="D2744" s="3" t="s">
        <v>1101</v>
      </c>
      <c r="E2744" s="14">
        <v>45856</v>
      </c>
      <c r="F2744" s="5" t="s">
        <v>2898</v>
      </c>
      <c r="G2744" s="5"/>
      <c r="H2744" s="6" t="s">
        <v>147</v>
      </c>
      <c r="I2744" s="6" t="s">
        <v>14</v>
      </c>
      <c r="J2744" s="6" t="s">
        <v>1148</v>
      </c>
      <c r="K2744" s="6">
        <v>16391</v>
      </c>
      <c r="L2744" s="7" t="s">
        <v>3666</v>
      </c>
      <c r="M2744" s="8">
        <v>1017947</v>
      </c>
      <c r="N2744" s="8" t="str">
        <f t="shared" si="211"/>
        <v>PEN</v>
      </c>
      <c r="O2744" s="13">
        <v>30</v>
      </c>
      <c r="P2744" s="13"/>
      <c r="Q2744" s="3">
        <f t="shared" si="212"/>
        <v>0</v>
      </c>
      <c r="R2744" s="3">
        <f t="shared" si="213"/>
        <v>0</v>
      </c>
      <c r="S2744" s="3">
        <f t="shared" si="214"/>
        <v>12120.910000000029</v>
      </c>
      <c r="T2744" s="24" t="s">
        <v>1081</v>
      </c>
      <c r="U2744" s="24" t="s">
        <v>1081</v>
      </c>
      <c r="V2744" s="103"/>
      <c r="W2744" s="25">
        <f>IFERROR(VLOOKUP(BCP_Soles[[#This Row],[DESTINATARIO]],CHOOSE({1,2},Clientes_Proveedores[Razon Social],Clientes_Proveedores[Ruc / Dni]),2,0),"")</f>
        <v>20100192064</v>
      </c>
      <c r="X2744" s="25"/>
      <c r="Y2744" s="25"/>
      <c r="Z2744" s="25"/>
      <c r="AA2744" s="101" t="s">
        <v>3385</v>
      </c>
      <c r="AB2744" s="3" t="str">
        <f>IF(BCP_Soles[[#This Row],[FECHA]]&gt;0,TEXT(BCP_Soles[[#This Row],[FECHA]],"mmmm"),0)</f>
        <v>Julio</v>
      </c>
    </row>
    <row r="2745" spans="2:28" ht="24" x14ac:dyDescent="0.3">
      <c r="B2745" s="2" t="str">
        <f>IF(BCP_Soles[[#This Row],[TIPO DE R.]]="R",COUNTIFS($D$4:$D2744,"R")+1,"")</f>
        <v/>
      </c>
      <c r="C2745" s="19" t="str">
        <f t="shared" si="210"/>
        <v>B-BCP - Soles</v>
      </c>
      <c r="D2745" s="3" t="s">
        <v>1101</v>
      </c>
      <c r="E2745" s="14">
        <v>45856</v>
      </c>
      <c r="F2745" s="5" t="s">
        <v>2898</v>
      </c>
      <c r="G2745" s="5"/>
      <c r="H2745" s="6" t="s">
        <v>147</v>
      </c>
      <c r="I2745" s="6" t="s">
        <v>14</v>
      </c>
      <c r="J2745" s="6" t="s">
        <v>1148</v>
      </c>
      <c r="K2745" s="6">
        <v>16398</v>
      </c>
      <c r="L2745" s="7" t="s">
        <v>3666</v>
      </c>
      <c r="M2745" s="8">
        <v>1017947</v>
      </c>
      <c r="N2745" s="8" t="str">
        <f t="shared" si="211"/>
        <v>PEN</v>
      </c>
      <c r="O2745" s="13">
        <v>30</v>
      </c>
      <c r="P2745" s="13"/>
      <c r="Q2745" s="3">
        <f t="shared" si="212"/>
        <v>0</v>
      </c>
      <c r="R2745" s="3">
        <f t="shared" si="213"/>
        <v>0</v>
      </c>
      <c r="S2745" s="3">
        <f t="shared" si="214"/>
        <v>12120.910000000029</v>
      </c>
      <c r="T2745" s="24" t="s">
        <v>1081</v>
      </c>
      <c r="U2745" s="24" t="s">
        <v>1081</v>
      </c>
      <c r="V2745" s="103"/>
      <c r="W2745" s="25">
        <f>IFERROR(VLOOKUP(BCP_Soles[[#This Row],[DESTINATARIO]],CHOOSE({1,2},Clientes_Proveedores[Razon Social],Clientes_Proveedores[Ruc / Dni]),2,0),"")</f>
        <v>20100192064</v>
      </c>
      <c r="X2745" s="25"/>
      <c r="Y2745" s="25"/>
      <c r="Z2745" s="25"/>
      <c r="AA2745" s="101" t="s">
        <v>3385</v>
      </c>
      <c r="AB2745" s="3" t="str">
        <f>IF(BCP_Soles[[#This Row],[FECHA]]&gt;0,TEXT(BCP_Soles[[#This Row],[FECHA]],"mmmm"),0)</f>
        <v>Julio</v>
      </c>
    </row>
    <row r="2746" spans="2:28" ht="24" x14ac:dyDescent="0.3">
      <c r="B2746" s="2" t="str">
        <f>IF(BCP_Soles[[#This Row],[TIPO DE R.]]="R",COUNTIFS($D$4:$D2745,"R")+1,"")</f>
        <v/>
      </c>
      <c r="C2746" s="19" t="str">
        <f t="shared" si="210"/>
        <v>B-BCP - Soles</v>
      </c>
      <c r="D2746" s="3" t="s">
        <v>1101</v>
      </c>
      <c r="E2746" s="14">
        <v>45856</v>
      </c>
      <c r="F2746" s="5" t="s">
        <v>2898</v>
      </c>
      <c r="G2746" s="5"/>
      <c r="H2746" s="6" t="s">
        <v>147</v>
      </c>
      <c r="I2746" s="6" t="s">
        <v>14</v>
      </c>
      <c r="J2746" s="6" t="s">
        <v>1148</v>
      </c>
      <c r="K2746" s="6">
        <v>16422</v>
      </c>
      <c r="L2746" s="7" t="s">
        <v>3666</v>
      </c>
      <c r="M2746" s="8">
        <v>1017947</v>
      </c>
      <c r="N2746" s="8" t="str">
        <f t="shared" si="211"/>
        <v>PEN</v>
      </c>
      <c r="O2746" s="13">
        <v>15</v>
      </c>
      <c r="P2746" s="13"/>
      <c r="Q2746" s="3">
        <f t="shared" si="212"/>
        <v>0</v>
      </c>
      <c r="R2746" s="3">
        <f t="shared" si="213"/>
        <v>0</v>
      </c>
      <c r="S2746" s="3">
        <f t="shared" si="214"/>
        <v>12120.910000000029</v>
      </c>
      <c r="T2746" s="24" t="s">
        <v>1081</v>
      </c>
      <c r="U2746" s="24" t="s">
        <v>1081</v>
      </c>
      <c r="V2746" s="103"/>
      <c r="W2746" s="25">
        <f>IFERROR(VLOOKUP(BCP_Soles[[#This Row],[DESTINATARIO]],CHOOSE({1,2},Clientes_Proveedores[Razon Social],Clientes_Proveedores[Ruc / Dni]),2,0),"")</f>
        <v>20100192064</v>
      </c>
      <c r="X2746" s="25"/>
      <c r="Y2746" s="25"/>
      <c r="Z2746" s="25"/>
      <c r="AA2746" s="101" t="s">
        <v>3385</v>
      </c>
      <c r="AB2746" s="3" t="str">
        <f>IF(BCP_Soles[[#This Row],[FECHA]]&gt;0,TEXT(BCP_Soles[[#This Row],[FECHA]],"mmmm"),0)</f>
        <v>Julio</v>
      </c>
    </row>
    <row r="2747" spans="2:28" ht="24" x14ac:dyDescent="0.3">
      <c r="B2747" s="2" t="str">
        <f>IF(BCP_Soles[[#This Row],[TIPO DE R.]]="R",COUNTIFS($D$4:$D2746,"R")+1,"")</f>
        <v/>
      </c>
      <c r="C2747" s="19" t="str">
        <f t="shared" si="210"/>
        <v>B-BCP - Soles</v>
      </c>
      <c r="D2747" s="3" t="s">
        <v>1101</v>
      </c>
      <c r="E2747" s="14">
        <v>45856</v>
      </c>
      <c r="F2747" s="5" t="s">
        <v>2898</v>
      </c>
      <c r="G2747" s="5"/>
      <c r="H2747" s="6" t="s">
        <v>147</v>
      </c>
      <c r="I2747" s="6" t="s">
        <v>14</v>
      </c>
      <c r="J2747" s="6" t="s">
        <v>1148</v>
      </c>
      <c r="K2747" s="6">
        <v>16359</v>
      </c>
      <c r="L2747" s="7" t="s">
        <v>3666</v>
      </c>
      <c r="M2747" s="8">
        <v>1017947</v>
      </c>
      <c r="N2747" s="8" t="str">
        <f t="shared" si="211"/>
        <v>PEN</v>
      </c>
      <c r="O2747" s="13">
        <v>937</v>
      </c>
      <c r="P2747" s="13"/>
      <c r="Q2747" s="3">
        <f t="shared" si="212"/>
        <v>0</v>
      </c>
      <c r="R2747" s="3">
        <f t="shared" si="213"/>
        <v>0</v>
      </c>
      <c r="S2747" s="3">
        <f t="shared" si="214"/>
        <v>12120.910000000029</v>
      </c>
      <c r="T2747" s="24" t="s">
        <v>1081</v>
      </c>
      <c r="U2747" s="24" t="s">
        <v>1081</v>
      </c>
      <c r="V2747" s="103"/>
      <c r="W2747" s="25">
        <f>IFERROR(VLOOKUP(BCP_Soles[[#This Row],[DESTINATARIO]],CHOOSE({1,2},Clientes_Proveedores[Razon Social],Clientes_Proveedores[Ruc / Dni]),2,0),"")</f>
        <v>20100192064</v>
      </c>
      <c r="X2747" s="25"/>
      <c r="Y2747" s="25"/>
      <c r="Z2747" s="25"/>
      <c r="AA2747" s="101" t="s">
        <v>3385</v>
      </c>
      <c r="AB2747" s="3" t="str">
        <f>IF(BCP_Soles[[#This Row],[FECHA]]&gt;0,TEXT(BCP_Soles[[#This Row],[FECHA]],"mmmm"),0)</f>
        <v>Julio</v>
      </c>
    </row>
    <row r="2748" spans="2:28" ht="24" x14ac:dyDescent="0.3">
      <c r="B2748" s="2" t="str">
        <f>IF(BCP_Soles[[#This Row],[TIPO DE R.]]="R",COUNTIFS($D$4:$D2747,"R")+1,"")</f>
        <v/>
      </c>
      <c r="C2748" s="19" t="str">
        <f t="shared" si="210"/>
        <v>B-BCP - Soles</v>
      </c>
      <c r="D2748" s="3" t="s">
        <v>1101</v>
      </c>
      <c r="E2748" s="14">
        <v>45856</v>
      </c>
      <c r="F2748" s="5" t="s">
        <v>2898</v>
      </c>
      <c r="G2748" s="5"/>
      <c r="H2748" s="6" t="s">
        <v>147</v>
      </c>
      <c r="I2748" s="6" t="s">
        <v>14</v>
      </c>
      <c r="J2748" s="6" t="s">
        <v>1148</v>
      </c>
      <c r="K2748" s="6">
        <v>16383</v>
      </c>
      <c r="L2748" s="7" t="s">
        <v>3666</v>
      </c>
      <c r="M2748" s="8">
        <v>1017947</v>
      </c>
      <c r="N2748" s="8" t="str">
        <f t="shared" si="211"/>
        <v>PEN</v>
      </c>
      <c r="O2748" s="13">
        <v>35</v>
      </c>
      <c r="P2748" s="13"/>
      <c r="Q2748" s="3">
        <f t="shared" si="212"/>
        <v>0</v>
      </c>
      <c r="R2748" s="3">
        <f t="shared" si="213"/>
        <v>0</v>
      </c>
      <c r="S2748" s="3">
        <f t="shared" si="214"/>
        <v>12120.910000000029</v>
      </c>
      <c r="T2748" s="24" t="s">
        <v>1081</v>
      </c>
      <c r="U2748" s="24" t="s">
        <v>1081</v>
      </c>
      <c r="V2748" s="103"/>
      <c r="W2748" s="25">
        <f>IFERROR(VLOOKUP(BCP_Soles[[#This Row],[DESTINATARIO]],CHOOSE({1,2},Clientes_Proveedores[Razon Social],Clientes_Proveedores[Ruc / Dni]),2,0),"")</f>
        <v>20100192064</v>
      </c>
      <c r="X2748" s="25"/>
      <c r="Y2748" s="25"/>
      <c r="Z2748" s="25"/>
      <c r="AA2748" s="101" t="s">
        <v>3385</v>
      </c>
      <c r="AB2748" s="3" t="str">
        <f>IF(BCP_Soles[[#This Row],[FECHA]]&gt;0,TEXT(BCP_Soles[[#This Row],[FECHA]],"mmmm"),0)</f>
        <v>Julio</v>
      </c>
    </row>
    <row r="2749" spans="2:28" ht="24" x14ac:dyDescent="0.3">
      <c r="B2749" s="2" t="str">
        <f>IF(BCP_Soles[[#This Row],[TIPO DE R.]]="R",COUNTIFS($D$4:$D2748,"R")+1,"")</f>
        <v/>
      </c>
      <c r="C2749" s="19" t="str">
        <f t="shared" si="210"/>
        <v>B-BCP - Soles</v>
      </c>
      <c r="D2749" s="3" t="s">
        <v>1101</v>
      </c>
      <c r="E2749" s="14">
        <v>45856</v>
      </c>
      <c r="F2749" s="5" t="s">
        <v>2898</v>
      </c>
      <c r="G2749" s="5"/>
      <c r="H2749" s="6" t="s">
        <v>147</v>
      </c>
      <c r="I2749" s="6" t="s">
        <v>14</v>
      </c>
      <c r="J2749" s="6" t="s">
        <v>1148</v>
      </c>
      <c r="K2749" s="6">
        <v>16358</v>
      </c>
      <c r="L2749" s="7" t="s">
        <v>3666</v>
      </c>
      <c r="M2749" s="8">
        <v>1017947</v>
      </c>
      <c r="N2749" s="8" t="str">
        <f t="shared" si="211"/>
        <v>PEN</v>
      </c>
      <c r="O2749" s="13">
        <v>1444</v>
      </c>
      <c r="P2749" s="13"/>
      <c r="Q2749" s="3">
        <f t="shared" si="212"/>
        <v>0</v>
      </c>
      <c r="R2749" s="3">
        <f t="shared" si="213"/>
        <v>0</v>
      </c>
      <c r="S2749" s="3">
        <f t="shared" si="214"/>
        <v>12120.910000000029</v>
      </c>
      <c r="T2749" s="24" t="s">
        <v>1081</v>
      </c>
      <c r="U2749" s="24" t="s">
        <v>1081</v>
      </c>
      <c r="V2749" s="103"/>
      <c r="W2749" s="25">
        <f>IFERROR(VLOOKUP(BCP_Soles[[#This Row],[DESTINATARIO]],CHOOSE({1,2},Clientes_Proveedores[Razon Social],Clientes_Proveedores[Ruc / Dni]),2,0),"")</f>
        <v>20100192064</v>
      </c>
      <c r="X2749" s="25"/>
      <c r="Y2749" s="25"/>
      <c r="Z2749" s="25"/>
      <c r="AA2749" s="101" t="s">
        <v>3385</v>
      </c>
      <c r="AB2749" s="3" t="str">
        <f>IF(BCP_Soles[[#This Row],[FECHA]]&gt;0,TEXT(BCP_Soles[[#This Row],[FECHA]],"mmmm"),0)</f>
        <v>Julio</v>
      </c>
    </row>
    <row r="2750" spans="2:28" ht="24" x14ac:dyDescent="0.3">
      <c r="B2750" s="2" t="str">
        <f>IF(BCP_Soles[[#This Row],[TIPO DE R.]]="R",COUNTIFS($D$4:$D2749,"R")+1,"")</f>
        <v/>
      </c>
      <c r="C2750" s="19" t="str">
        <f t="shared" si="210"/>
        <v>B-BCP - Soles</v>
      </c>
      <c r="D2750" s="3" t="s">
        <v>1101</v>
      </c>
      <c r="E2750" s="14">
        <v>45856</v>
      </c>
      <c r="F2750" s="5" t="s">
        <v>2898</v>
      </c>
      <c r="G2750" s="5"/>
      <c r="H2750" s="6" t="s">
        <v>255</v>
      </c>
      <c r="I2750" s="6" t="s">
        <v>14</v>
      </c>
      <c r="J2750" s="6" t="s">
        <v>1121</v>
      </c>
      <c r="K2750" s="6">
        <v>3617</v>
      </c>
      <c r="L2750" s="7" t="s">
        <v>3666</v>
      </c>
      <c r="M2750" s="8">
        <v>1017947</v>
      </c>
      <c r="N2750" s="8" t="str">
        <f t="shared" si="211"/>
        <v>PEN</v>
      </c>
      <c r="O2750" s="13">
        <v>127</v>
      </c>
      <c r="P2750" s="13"/>
      <c r="Q2750" s="3">
        <f t="shared" si="212"/>
        <v>0</v>
      </c>
      <c r="R2750" s="3">
        <f t="shared" si="213"/>
        <v>0</v>
      </c>
      <c r="S2750" s="3">
        <f t="shared" si="214"/>
        <v>12120.910000000029</v>
      </c>
      <c r="T2750" s="24" t="s">
        <v>1081</v>
      </c>
      <c r="U2750" s="24" t="s">
        <v>1081</v>
      </c>
      <c r="V2750" s="103"/>
      <c r="W2750" s="25">
        <f>IFERROR(VLOOKUP(BCP_Soles[[#This Row],[DESTINATARIO]],CHOOSE({1,2},Clientes_Proveedores[Razon Social],Clientes_Proveedores[Ruc / Dni]),2,0),"")</f>
        <v>20456147781</v>
      </c>
      <c r="X2750" s="25"/>
      <c r="Y2750" s="25"/>
      <c r="Z2750" s="25"/>
      <c r="AA2750" s="101" t="s">
        <v>3385</v>
      </c>
      <c r="AB2750" s="3" t="str">
        <f>IF(BCP_Soles[[#This Row],[FECHA]]&gt;0,TEXT(BCP_Soles[[#This Row],[FECHA]],"mmmm"),0)</f>
        <v>Julio</v>
      </c>
    </row>
    <row r="2751" spans="2:28" ht="24" x14ac:dyDescent="0.3">
      <c r="B2751" s="2" t="str">
        <f>IF(BCP_Soles[[#This Row],[TIPO DE R.]]="R",COUNTIFS($D$4:$D2750,"R")+1,"")</f>
        <v/>
      </c>
      <c r="C2751" s="19" t="str">
        <f t="shared" si="210"/>
        <v>B-BCP - Soles</v>
      </c>
      <c r="D2751" s="3" t="s">
        <v>1101</v>
      </c>
      <c r="E2751" s="14">
        <v>45856</v>
      </c>
      <c r="F2751" s="5" t="s">
        <v>2898</v>
      </c>
      <c r="G2751" s="5"/>
      <c r="H2751" s="6" t="s">
        <v>935</v>
      </c>
      <c r="I2751" s="6" t="s">
        <v>14</v>
      </c>
      <c r="J2751" s="6" t="s">
        <v>1121</v>
      </c>
      <c r="K2751" s="6">
        <v>542</v>
      </c>
      <c r="L2751" s="7" t="s">
        <v>3666</v>
      </c>
      <c r="M2751" s="8">
        <v>1017947</v>
      </c>
      <c r="N2751" s="8" t="str">
        <f t="shared" si="211"/>
        <v>PEN</v>
      </c>
      <c r="O2751" s="13">
        <v>92</v>
      </c>
      <c r="P2751" s="13"/>
      <c r="Q2751" s="3">
        <f t="shared" si="212"/>
        <v>0</v>
      </c>
      <c r="R2751" s="3">
        <f t="shared" si="213"/>
        <v>0</v>
      </c>
      <c r="S2751" s="3">
        <f t="shared" si="214"/>
        <v>12120.910000000029</v>
      </c>
      <c r="T2751" s="24" t="s">
        <v>1081</v>
      </c>
      <c r="U2751" s="24" t="s">
        <v>1081</v>
      </c>
      <c r="V2751" s="103"/>
      <c r="W2751" s="25">
        <f>IFERROR(VLOOKUP(BCP_Soles[[#This Row],[DESTINATARIO]],CHOOSE({1,2},Clientes_Proveedores[Razon Social],Clientes_Proveedores[Ruc / Dni]),2,0),"")</f>
        <v>20611396121</v>
      </c>
      <c r="X2751" s="25"/>
      <c r="Y2751" s="25"/>
      <c r="Z2751" s="25"/>
      <c r="AA2751" s="101" t="s">
        <v>3385</v>
      </c>
      <c r="AB2751" s="3" t="str">
        <f>IF(BCP_Soles[[#This Row],[FECHA]]&gt;0,TEXT(BCP_Soles[[#This Row],[FECHA]],"mmmm"),0)</f>
        <v>Julio</v>
      </c>
    </row>
    <row r="2752" spans="2:28" x14ac:dyDescent="0.3">
      <c r="B2752" s="2" t="str">
        <f>IF(BCP_Soles[[#This Row],[TIPO DE R.]]="R",COUNTIFS($D$4:$D2751,"R")+1,"")</f>
        <v/>
      </c>
      <c r="C2752" s="19" t="str">
        <f t="shared" si="210"/>
        <v>B-BCP - Soles</v>
      </c>
      <c r="D2752" s="3" t="s">
        <v>1101</v>
      </c>
      <c r="E2752" s="14">
        <v>45856</v>
      </c>
      <c r="F2752" s="5" t="s">
        <v>2898</v>
      </c>
      <c r="G2752" s="5"/>
      <c r="H2752" s="6" t="s">
        <v>229</v>
      </c>
      <c r="I2752" s="6" t="s">
        <v>14</v>
      </c>
      <c r="J2752" s="6" t="s">
        <v>1429</v>
      </c>
      <c r="K2752" s="6">
        <v>1709</v>
      </c>
      <c r="L2752" s="7" t="s">
        <v>3666</v>
      </c>
      <c r="M2752" s="8">
        <v>1017947</v>
      </c>
      <c r="N2752" s="8" t="str">
        <f t="shared" si="211"/>
        <v>PEN</v>
      </c>
      <c r="O2752" s="13">
        <v>46</v>
      </c>
      <c r="P2752" s="13"/>
      <c r="Q2752" s="3">
        <f t="shared" si="212"/>
        <v>0</v>
      </c>
      <c r="R2752" s="3">
        <f t="shared" si="213"/>
        <v>0</v>
      </c>
      <c r="S2752" s="3">
        <f t="shared" si="214"/>
        <v>12120.910000000029</v>
      </c>
      <c r="T2752" s="24" t="s">
        <v>1081</v>
      </c>
      <c r="U2752" s="24" t="s">
        <v>1081</v>
      </c>
      <c r="V2752" s="103"/>
      <c r="W2752" s="25">
        <f>IFERROR(VLOOKUP(BCP_Soles[[#This Row],[DESTINATARIO]],CHOOSE({1,2},Clientes_Proveedores[Razon Social],Clientes_Proveedores[Ruc / Dni]),2,0),"")</f>
        <v>20454186002</v>
      </c>
      <c r="X2752" s="25"/>
      <c r="Y2752" s="25"/>
      <c r="Z2752" s="25"/>
      <c r="AA2752" s="101" t="s">
        <v>3385</v>
      </c>
      <c r="AB2752" s="3" t="str">
        <f>IF(BCP_Soles[[#This Row],[FECHA]]&gt;0,TEXT(BCP_Soles[[#This Row],[FECHA]],"mmmm"),0)</f>
        <v>Julio</v>
      </c>
    </row>
    <row r="2753" spans="2:28" ht="36" x14ac:dyDescent="0.3">
      <c r="B2753" s="2" t="str">
        <f>IF(BCP_Soles[[#This Row],[TIPO DE R.]]="R",COUNTIFS($D$4:$D2752,"R")+1,"")</f>
        <v/>
      </c>
      <c r="C2753" s="19" t="str">
        <f t="shared" si="210"/>
        <v>B-BCP - Soles</v>
      </c>
      <c r="D2753" s="3" t="s">
        <v>1101</v>
      </c>
      <c r="E2753" s="14">
        <v>45856</v>
      </c>
      <c r="F2753" s="5" t="s">
        <v>2898</v>
      </c>
      <c r="G2753" s="5"/>
      <c r="H2753" s="6" t="s">
        <v>326</v>
      </c>
      <c r="I2753" s="6" t="s">
        <v>14</v>
      </c>
      <c r="J2753" s="6" t="s">
        <v>1541</v>
      </c>
      <c r="K2753" s="6">
        <v>903</v>
      </c>
      <c r="L2753" s="7" t="s">
        <v>3666</v>
      </c>
      <c r="M2753" s="8">
        <v>1017947</v>
      </c>
      <c r="N2753" s="8" t="str">
        <f t="shared" si="211"/>
        <v>PEN</v>
      </c>
      <c r="O2753" s="13">
        <v>12</v>
      </c>
      <c r="P2753" s="13"/>
      <c r="Q2753" s="3">
        <f t="shared" si="212"/>
        <v>0</v>
      </c>
      <c r="R2753" s="3">
        <f t="shared" si="213"/>
        <v>0</v>
      </c>
      <c r="S2753" s="3">
        <f t="shared" si="214"/>
        <v>12120.910000000029</v>
      </c>
      <c r="T2753" s="24" t="s">
        <v>1081</v>
      </c>
      <c r="U2753" s="24" t="s">
        <v>1081</v>
      </c>
      <c r="V2753" s="103"/>
      <c r="W2753" s="25">
        <f>IFERROR(VLOOKUP(BCP_Soles[[#This Row],[DESTINATARIO]],CHOOSE({1,2},Clientes_Proveedores[Razon Social],Clientes_Proveedores[Ruc / Dni]),2,0),"")</f>
        <v>20538593053</v>
      </c>
      <c r="X2753" s="25"/>
      <c r="Y2753" s="25"/>
      <c r="Z2753" s="25"/>
      <c r="AA2753" s="101" t="s">
        <v>3385</v>
      </c>
      <c r="AB2753" s="3" t="str">
        <f>IF(BCP_Soles[[#This Row],[FECHA]]&gt;0,TEXT(BCP_Soles[[#This Row],[FECHA]],"mmmm"),0)</f>
        <v>Julio</v>
      </c>
    </row>
    <row r="2754" spans="2:28" x14ac:dyDescent="0.3">
      <c r="B2754" s="2" t="str">
        <f>IF(BCP_Soles[[#This Row],[TIPO DE R.]]="R",COUNTIFS($D$4:$D2753,"R")+1,"")</f>
        <v/>
      </c>
      <c r="C2754" s="19" t="str">
        <f t="shared" si="210"/>
        <v>B-BCP - Soles</v>
      </c>
      <c r="D2754" s="3" t="s">
        <v>1101</v>
      </c>
      <c r="E2754" s="14">
        <v>45856</v>
      </c>
      <c r="F2754" s="5" t="s">
        <v>2898</v>
      </c>
      <c r="G2754" s="5"/>
      <c r="H2754" s="6" t="s">
        <v>465</v>
      </c>
      <c r="I2754" s="6" t="s">
        <v>14</v>
      </c>
      <c r="J2754" s="6" t="s">
        <v>1121</v>
      </c>
      <c r="K2754" s="6">
        <v>4012</v>
      </c>
      <c r="L2754" s="7" t="s">
        <v>3666</v>
      </c>
      <c r="M2754" s="8">
        <v>1017947</v>
      </c>
      <c r="N2754" s="8" t="str">
        <f t="shared" si="211"/>
        <v>PEN</v>
      </c>
      <c r="O2754" s="13">
        <v>80</v>
      </c>
      <c r="P2754" s="13"/>
      <c r="Q2754" s="3">
        <f t="shared" si="212"/>
        <v>0</v>
      </c>
      <c r="R2754" s="3">
        <f t="shared" si="213"/>
        <v>0</v>
      </c>
      <c r="S2754" s="3">
        <f t="shared" si="214"/>
        <v>12120.910000000029</v>
      </c>
      <c r="T2754" s="24" t="s">
        <v>1081</v>
      </c>
      <c r="U2754" s="24" t="s">
        <v>1081</v>
      </c>
      <c r="V2754" s="103"/>
      <c r="W2754" s="25">
        <f>IFERROR(VLOOKUP(BCP_Soles[[#This Row],[DESTINATARIO]],CHOOSE({1,2},Clientes_Proveedores[Razon Social],Clientes_Proveedores[Ruc / Dni]),2,0),"")</f>
        <v>20603974817</v>
      </c>
      <c r="X2754" s="25"/>
      <c r="Y2754" s="25"/>
      <c r="Z2754" s="25"/>
      <c r="AA2754" s="101" t="s">
        <v>3385</v>
      </c>
      <c r="AB2754" s="3" t="str">
        <f>IF(BCP_Soles[[#This Row],[FECHA]]&gt;0,TEXT(BCP_Soles[[#This Row],[FECHA]],"mmmm"),0)</f>
        <v>Julio</v>
      </c>
    </row>
    <row r="2755" spans="2:28" x14ac:dyDescent="0.3">
      <c r="B2755" s="2" t="str">
        <f>IF(BCP_Soles[[#This Row],[TIPO DE R.]]="R",COUNTIFS($D$4:$D2754,"R")+1,"")</f>
        <v/>
      </c>
      <c r="C2755" s="19" t="str">
        <f t="shared" si="210"/>
        <v>B-BCP - Soles</v>
      </c>
      <c r="D2755" s="3" t="s">
        <v>1101</v>
      </c>
      <c r="E2755" s="14">
        <v>45856</v>
      </c>
      <c r="F2755" s="5" t="s">
        <v>2898</v>
      </c>
      <c r="G2755" s="5"/>
      <c r="H2755" s="6" t="s">
        <v>139</v>
      </c>
      <c r="I2755" s="6" t="s">
        <v>14</v>
      </c>
      <c r="J2755" s="6" t="s">
        <v>1953</v>
      </c>
      <c r="K2755" s="6">
        <v>6623</v>
      </c>
      <c r="L2755" s="7" t="s">
        <v>3666</v>
      </c>
      <c r="M2755" s="8">
        <v>1017947</v>
      </c>
      <c r="N2755" s="8" t="str">
        <f t="shared" si="211"/>
        <v>PEN</v>
      </c>
      <c r="O2755" s="13">
        <v>10</v>
      </c>
      <c r="P2755" s="13"/>
      <c r="Q2755" s="3">
        <f t="shared" si="212"/>
        <v>0</v>
      </c>
      <c r="R2755" s="3">
        <f t="shared" si="213"/>
        <v>0</v>
      </c>
      <c r="S2755" s="3">
        <f t="shared" si="214"/>
        <v>12120.910000000029</v>
      </c>
      <c r="T2755" s="24" t="s">
        <v>1081</v>
      </c>
      <c r="U2755" s="24" t="s">
        <v>1081</v>
      </c>
      <c r="V2755" s="103"/>
      <c r="W2755" s="25">
        <f>IFERROR(VLOOKUP(BCP_Soles[[#This Row],[DESTINATARIO]],CHOOSE({1,2},Clientes_Proveedores[Razon Social],Clientes_Proveedores[Ruc / Dni]),2,0),"")</f>
        <v>20100055237</v>
      </c>
      <c r="X2755" s="25"/>
      <c r="Y2755" s="25"/>
      <c r="Z2755" s="25"/>
      <c r="AA2755" s="101" t="s">
        <v>3385</v>
      </c>
      <c r="AB2755" s="3" t="str">
        <f>IF(BCP_Soles[[#This Row],[FECHA]]&gt;0,TEXT(BCP_Soles[[#This Row],[FECHA]],"mmmm"),0)</f>
        <v>Julio</v>
      </c>
    </row>
    <row r="2756" spans="2:28" x14ac:dyDescent="0.3">
      <c r="B2756" s="2" t="str">
        <f>IF(BCP_Soles[[#This Row],[TIPO DE R.]]="R",COUNTIFS($D$4:$D2755,"R")+1,"")</f>
        <v/>
      </c>
      <c r="C2756" s="19" t="str">
        <f t="shared" si="210"/>
        <v>B-BCP - Soles</v>
      </c>
      <c r="D2756" s="3" t="s">
        <v>1101</v>
      </c>
      <c r="E2756" s="14">
        <v>45856</v>
      </c>
      <c r="F2756" s="5" t="s">
        <v>2898</v>
      </c>
      <c r="G2756" s="5"/>
      <c r="H2756" s="6" t="s">
        <v>139</v>
      </c>
      <c r="I2756" s="6" t="s">
        <v>14</v>
      </c>
      <c r="J2756" s="6" t="s">
        <v>1953</v>
      </c>
      <c r="K2756" s="6">
        <v>6624</v>
      </c>
      <c r="L2756" s="7" t="s">
        <v>3666</v>
      </c>
      <c r="M2756" s="8">
        <v>1017947</v>
      </c>
      <c r="N2756" s="8" t="str">
        <f t="shared" si="211"/>
        <v>PEN</v>
      </c>
      <c r="O2756" s="13">
        <v>54</v>
      </c>
      <c r="P2756" s="13"/>
      <c r="Q2756" s="3">
        <f t="shared" si="212"/>
        <v>0</v>
      </c>
      <c r="R2756" s="3">
        <f t="shared" si="213"/>
        <v>0</v>
      </c>
      <c r="S2756" s="3">
        <f t="shared" si="214"/>
        <v>12120.910000000029</v>
      </c>
      <c r="T2756" s="24" t="s">
        <v>1081</v>
      </c>
      <c r="U2756" s="24" t="s">
        <v>1081</v>
      </c>
      <c r="V2756" s="103"/>
      <c r="W2756" s="25">
        <f>IFERROR(VLOOKUP(BCP_Soles[[#This Row],[DESTINATARIO]],CHOOSE({1,2},Clientes_Proveedores[Razon Social],Clientes_Proveedores[Ruc / Dni]),2,0),"")</f>
        <v>20100055237</v>
      </c>
      <c r="X2756" s="25"/>
      <c r="Y2756" s="25"/>
      <c r="Z2756" s="25"/>
      <c r="AA2756" s="101" t="s">
        <v>3385</v>
      </c>
      <c r="AB2756" s="3" t="str">
        <f>IF(BCP_Soles[[#This Row],[FECHA]]&gt;0,TEXT(BCP_Soles[[#This Row],[FECHA]],"mmmm"),0)</f>
        <v>Julio</v>
      </c>
    </row>
    <row r="2757" spans="2:28" x14ac:dyDescent="0.3">
      <c r="B2757" s="2" t="str">
        <f>IF(BCP_Soles[[#This Row],[TIPO DE R.]]="R",COUNTIFS($D$4:$D2756,"R")+1,"")</f>
        <v/>
      </c>
      <c r="C2757" s="19" t="str">
        <f t="shared" ref="C2757:C2820" si="215">"B-BCP - Soles"</f>
        <v>B-BCP - Soles</v>
      </c>
      <c r="D2757" s="3" t="s">
        <v>1101</v>
      </c>
      <c r="E2757" s="14">
        <v>45856</v>
      </c>
      <c r="F2757" s="5" t="s">
        <v>2898</v>
      </c>
      <c r="G2757" s="5"/>
      <c r="H2757" s="6" t="s">
        <v>139</v>
      </c>
      <c r="I2757" s="6" t="s">
        <v>14</v>
      </c>
      <c r="J2757" s="6" t="s">
        <v>1953</v>
      </c>
      <c r="K2757" s="6">
        <v>6625</v>
      </c>
      <c r="L2757" s="7" t="s">
        <v>3666</v>
      </c>
      <c r="M2757" s="8">
        <v>1017947</v>
      </c>
      <c r="N2757" s="8" t="str">
        <f t="shared" ref="N2757:N2820" si="216">"PEN"</f>
        <v>PEN</v>
      </c>
      <c r="O2757" s="13">
        <v>69</v>
      </c>
      <c r="P2757" s="13"/>
      <c r="Q2757" s="3">
        <f t="shared" ref="Q2757:Q2820" si="217">+IF(OR($G2757="SALDO",$G2757="INGRESO"),$P2757,0)</f>
        <v>0</v>
      </c>
      <c r="R2757" s="3">
        <f t="shared" ref="R2757:R2820" si="218">+IF($G2757="EGRESO",$P2757,0)</f>
        <v>0</v>
      </c>
      <c r="S2757" s="3">
        <f t="shared" ref="S2757:S2820" si="219">IFERROR(IF(G2757="SALDO",Q2757,S2756+Q2757-R2757),0)</f>
        <v>12120.910000000029</v>
      </c>
      <c r="T2757" s="24" t="s">
        <v>1081</v>
      </c>
      <c r="U2757" s="24" t="s">
        <v>1081</v>
      </c>
      <c r="V2757" s="103"/>
      <c r="W2757" s="25">
        <f>IFERROR(VLOOKUP(BCP_Soles[[#This Row],[DESTINATARIO]],CHOOSE({1,2},Clientes_Proveedores[Razon Social],Clientes_Proveedores[Ruc / Dni]),2,0),"")</f>
        <v>20100055237</v>
      </c>
      <c r="X2757" s="25"/>
      <c r="Y2757" s="25"/>
      <c r="Z2757" s="25"/>
      <c r="AA2757" s="101" t="s">
        <v>3385</v>
      </c>
      <c r="AB2757" s="3" t="str">
        <f>IF(BCP_Soles[[#This Row],[FECHA]]&gt;0,TEXT(BCP_Soles[[#This Row],[FECHA]],"mmmm"),0)</f>
        <v>Julio</v>
      </c>
    </row>
    <row r="2758" spans="2:28" x14ac:dyDescent="0.3">
      <c r="B2758" s="2" t="str">
        <f>IF(BCP_Soles[[#This Row],[TIPO DE R.]]="R",COUNTIFS($D$4:$D2757,"R")+1,"")</f>
        <v/>
      </c>
      <c r="C2758" s="19" t="str">
        <f t="shared" si="215"/>
        <v>B-BCP - Soles</v>
      </c>
      <c r="D2758" s="3" t="s">
        <v>1101</v>
      </c>
      <c r="E2758" s="14">
        <v>45856</v>
      </c>
      <c r="F2758" s="5" t="s">
        <v>2898</v>
      </c>
      <c r="G2758" s="5"/>
      <c r="H2758" s="6" t="s">
        <v>139</v>
      </c>
      <c r="I2758" s="6" t="s">
        <v>14</v>
      </c>
      <c r="J2758" s="6" t="s">
        <v>1953</v>
      </c>
      <c r="K2758" s="6">
        <v>6626</v>
      </c>
      <c r="L2758" s="7" t="s">
        <v>3666</v>
      </c>
      <c r="M2758" s="8">
        <v>1017947</v>
      </c>
      <c r="N2758" s="8" t="str">
        <f t="shared" si="216"/>
        <v>PEN</v>
      </c>
      <c r="O2758" s="13">
        <v>17</v>
      </c>
      <c r="P2758" s="13"/>
      <c r="Q2758" s="3">
        <f t="shared" si="217"/>
        <v>0</v>
      </c>
      <c r="R2758" s="3">
        <f t="shared" si="218"/>
        <v>0</v>
      </c>
      <c r="S2758" s="3">
        <f t="shared" si="219"/>
        <v>12120.910000000029</v>
      </c>
      <c r="T2758" s="24" t="s">
        <v>1081</v>
      </c>
      <c r="U2758" s="24" t="s">
        <v>1081</v>
      </c>
      <c r="V2758" s="103"/>
      <c r="W2758" s="25">
        <f>IFERROR(VLOOKUP(BCP_Soles[[#This Row],[DESTINATARIO]],CHOOSE({1,2},Clientes_Proveedores[Razon Social],Clientes_Proveedores[Ruc / Dni]),2,0),"")</f>
        <v>20100055237</v>
      </c>
      <c r="X2758" s="25"/>
      <c r="Y2758" s="25"/>
      <c r="Z2758" s="25"/>
      <c r="AA2758" s="101" t="s">
        <v>3385</v>
      </c>
      <c r="AB2758" s="3" t="str">
        <f>IF(BCP_Soles[[#This Row],[FECHA]]&gt;0,TEXT(BCP_Soles[[#This Row],[FECHA]],"mmmm"),0)</f>
        <v>Julio</v>
      </c>
    </row>
    <row r="2759" spans="2:28" ht="24" x14ac:dyDescent="0.3">
      <c r="B2759" s="2" t="str">
        <f>IF(BCP_Soles[[#This Row],[TIPO DE R.]]="R",COUNTIFS($D$4:$D2758,"R")+1,"")</f>
        <v/>
      </c>
      <c r="C2759" s="19" t="str">
        <f t="shared" si="215"/>
        <v>B-BCP - Soles</v>
      </c>
      <c r="D2759" s="3" t="s">
        <v>1101</v>
      </c>
      <c r="E2759" s="14">
        <v>45856</v>
      </c>
      <c r="F2759" s="5" t="s">
        <v>2898</v>
      </c>
      <c r="G2759" s="5"/>
      <c r="H2759" s="6" t="s">
        <v>964</v>
      </c>
      <c r="I2759" s="6" t="s">
        <v>14</v>
      </c>
      <c r="J2759" s="6" t="s">
        <v>1121</v>
      </c>
      <c r="K2759" s="6">
        <v>33</v>
      </c>
      <c r="L2759" s="7" t="s">
        <v>3666</v>
      </c>
      <c r="M2759" s="8">
        <v>1017947</v>
      </c>
      <c r="N2759" s="8" t="str">
        <f t="shared" si="216"/>
        <v>PEN</v>
      </c>
      <c r="O2759" s="13">
        <v>36</v>
      </c>
      <c r="P2759" s="13"/>
      <c r="Q2759" s="3">
        <f t="shared" si="217"/>
        <v>0</v>
      </c>
      <c r="R2759" s="3">
        <f t="shared" si="218"/>
        <v>0</v>
      </c>
      <c r="S2759" s="3">
        <f t="shared" si="219"/>
        <v>12120.910000000029</v>
      </c>
      <c r="T2759" s="24" t="s">
        <v>1081</v>
      </c>
      <c r="U2759" s="24" t="s">
        <v>1081</v>
      </c>
      <c r="V2759" s="103"/>
      <c r="W2759" s="25">
        <f>IFERROR(VLOOKUP(BCP_Soles[[#This Row],[DESTINATARIO]],CHOOSE({1,2},Clientes_Proveedores[Razon Social],Clientes_Proveedores[Ruc / Dni]),2,0),"")</f>
        <v>10410162551</v>
      </c>
      <c r="X2759" s="25"/>
      <c r="Y2759" s="25"/>
      <c r="Z2759" s="25"/>
      <c r="AA2759" s="101" t="s">
        <v>3385</v>
      </c>
      <c r="AB2759" s="3" t="str">
        <f>IF(BCP_Soles[[#This Row],[FECHA]]&gt;0,TEXT(BCP_Soles[[#This Row],[FECHA]],"mmmm"),0)</f>
        <v>Julio</v>
      </c>
    </row>
    <row r="2760" spans="2:28" ht="24" x14ac:dyDescent="0.3">
      <c r="B2760" s="2" t="str">
        <f>IF(BCP_Soles[[#This Row],[TIPO DE R.]]="R",COUNTIFS($D$4:$D2759,"R")+1,"")</f>
        <v/>
      </c>
      <c r="C2760" s="19" t="str">
        <f t="shared" si="215"/>
        <v>B-BCP - Soles</v>
      </c>
      <c r="D2760" s="3" t="s">
        <v>1101</v>
      </c>
      <c r="E2760" s="14">
        <v>45856</v>
      </c>
      <c r="F2760" s="5" t="s">
        <v>2898</v>
      </c>
      <c r="G2760" s="5"/>
      <c r="H2760" s="6" t="s">
        <v>609</v>
      </c>
      <c r="I2760" s="6" t="s">
        <v>14</v>
      </c>
      <c r="J2760" s="6" t="s">
        <v>1121</v>
      </c>
      <c r="K2760" s="6">
        <v>45</v>
      </c>
      <c r="L2760" s="7" t="s">
        <v>3666</v>
      </c>
      <c r="M2760" s="8">
        <v>1017947</v>
      </c>
      <c r="N2760" s="8" t="str">
        <f t="shared" si="216"/>
        <v>PEN</v>
      </c>
      <c r="O2760" s="13">
        <v>21</v>
      </c>
      <c r="P2760" s="13"/>
      <c r="Q2760" s="3">
        <f t="shared" si="217"/>
        <v>0</v>
      </c>
      <c r="R2760" s="3">
        <f t="shared" si="218"/>
        <v>0</v>
      </c>
      <c r="S2760" s="3">
        <f t="shared" si="219"/>
        <v>12120.910000000029</v>
      </c>
      <c r="T2760" s="24" t="s">
        <v>1081</v>
      </c>
      <c r="U2760" s="24" t="s">
        <v>1081</v>
      </c>
      <c r="V2760" s="103"/>
      <c r="W2760" s="25">
        <f>IFERROR(VLOOKUP(BCP_Soles[[#This Row],[DESTINATARIO]],CHOOSE({1,2},Clientes_Proveedores[Razon Social],Clientes_Proveedores[Ruc / Dni]),2,0),"")</f>
        <v>10410687491</v>
      </c>
      <c r="X2760" s="25"/>
      <c r="Y2760" s="25"/>
      <c r="Z2760" s="25"/>
      <c r="AA2760" s="101" t="s">
        <v>3385</v>
      </c>
      <c r="AB2760" s="3" t="str">
        <f>IF(BCP_Soles[[#This Row],[FECHA]]&gt;0,TEXT(BCP_Soles[[#This Row],[FECHA]],"mmmm"),0)</f>
        <v>Julio</v>
      </c>
    </row>
    <row r="2761" spans="2:28" ht="36" x14ac:dyDescent="0.3">
      <c r="B2761" s="2" t="str">
        <f>IF(BCP_Soles[[#This Row],[TIPO DE R.]]="R",COUNTIFS($D$4:$D2760,"R")+1,"")</f>
        <v/>
      </c>
      <c r="C2761" s="19" t="str">
        <f t="shared" si="215"/>
        <v>B-BCP - Soles</v>
      </c>
      <c r="D2761" s="3" t="s">
        <v>1101</v>
      </c>
      <c r="E2761" s="14">
        <v>45856</v>
      </c>
      <c r="F2761" s="5" t="s">
        <v>2898</v>
      </c>
      <c r="G2761" s="5"/>
      <c r="H2761" s="6" t="s">
        <v>417</v>
      </c>
      <c r="I2761" s="6" t="s">
        <v>14</v>
      </c>
      <c r="J2761" s="6" t="s">
        <v>1121</v>
      </c>
      <c r="K2761" s="6">
        <v>812</v>
      </c>
      <c r="L2761" s="7" t="s">
        <v>3666</v>
      </c>
      <c r="M2761" s="8">
        <v>1017947</v>
      </c>
      <c r="N2761" s="8" t="str">
        <f t="shared" si="216"/>
        <v>PEN</v>
      </c>
      <c r="O2761" s="13">
        <v>44</v>
      </c>
      <c r="P2761" s="13"/>
      <c r="Q2761" s="3">
        <f t="shared" si="217"/>
        <v>0</v>
      </c>
      <c r="R2761" s="3">
        <f t="shared" si="218"/>
        <v>0</v>
      </c>
      <c r="S2761" s="3">
        <f t="shared" si="219"/>
        <v>12120.910000000029</v>
      </c>
      <c r="T2761" s="24" t="s">
        <v>1081</v>
      </c>
      <c r="U2761" s="24" t="s">
        <v>1081</v>
      </c>
      <c r="V2761" s="103"/>
      <c r="W2761" s="25">
        <f>IFERROR(VLOOKUP(BCP_Soles[[#This Row],[DESTINATARIO]],CHOOSE({1,2},Clientes_Proveedores[Razon Social],Clientes_Proveedores[Ruc / Dni]),2,0),"")</f>
        <v>20602075177</v>
      </c>
      <c r="X2761" s="25"/>
      <c r="Y2761" s="25"/>
      <c r="Z2761" s="25"/>
      <c r="AA2761" s="101" t="s">
        <v>3385</v>
      </c>
      <c r="AB2761" s="3" t="str">
        <f>IF(BCP_Soles[[#This Row],[FECHA]]&gt;0,TEXT(BCP_Soles[[#This Row],[FECHA]],"mmmm"),0)</f>
        <v>Julio</v>
      </c>
    </row>
    <row r="2762" spans="2:28" ht="24" x14ac:dyDescent="0.3">
      <c r="B2762" s="2" t="str">
        <f>IF(BCP_Soles[[#This Row],[TIPO DE R.]]="R",COUNTIFS($D$4:$D2761,"R")+1,"")</f>
        <v/>
      </c>
      <c r="C2762" s="19" t="str">
        <f t="shared" si="215"/>
        <v>B-BCP - Soles</v>
      </c>
      <c r="D2762" s="3" t="s">
        <v>1101</v>
      </c>
      <c r="E2762" s="14">
        <v>45856</v>
      </c>
      <c r="F2762" s="5" t="s">
        <v>2898</v>
      </c>
      <c r="G2762" s="5"/>
      <c r="H2762" s="6" t="s">
        <v>609</v>
      </c>
      <c r="I2762" s="6" t="s">
        <v>14</v>
      </c>
      <c r="J2762" s="6" t="s">
        <v>1121</v>
      </c>
      <c r="K2762" s="6">
        <v>44</v>
      </c>
      <c r="L2762" s="7" t="s">
        <v>3666</v>
      </c>
      <c r="M2762" s="8">
        <v>1017947</v>
      </c>
      <c r="N2762" s="8" t="str">
        <f t="shared" si="216"/>
        <v>PEN</v>
      </c>
      <c r="O2762" s="13">
        <v>21</v>
      </c>
      <c r="P2762" s="13"/>
      <c r="Q2762" s="3">
        <f t="shared" si="217"/>
        <v>0</v>
      </c>
      <c r="R2762" s="3">
        <f t="shared" si="218"/>
        <v>0</v>
      </c>
      <c r="S2762" s="3">
        <f t="shared" si="219"/>
        <v>12120.910000000029</v>
      </c>
      <c r="T2762" s="24" t="s">
        <v>1081</v>
      </c>
      <c r="U2762" s="24" t="s">
        <v>1081</v>
      </c>
      <c r="V2762" s="103"/>
      <c r="W2762" s="25">
        <f>IFERROR(VLOOKUP(BCP_Soles[[#This Row],[DESTINATARIO]],CHOOSE({1,2},Clientes_Proveedores[Razon Social],Clientes_Proveedores[Ruc / Dni]),2,0),"")</f>
        <v>10410687491</v>
      </c>
      <c r="X2762" s="25"/>
      <c r="Y2762" s="25"/>
      <c r="Z2762" s="25"/>
      <c r="AA2762" s="101" t="s">
        <v>3385</v>
      </c>
      <c r="AB2762" s="3" t="str">
        <f>IF(BCP_Soles[[#This Row],[FECHA]]&gt;0,TEXT(BCP_Soles[[#This Row],[FECHA]],"mmmm"),0)</f>
        <v>Julio</v>
      </c>
    </row>
    <row r="2763" spans="2:28" ht="24" x14ac:dyDescent="0.3">
      <c r="B2763" s="2" t="str">
        <f>IF(BCP_Soles[[#This Row],[TIPO DE R.]]="R",COUNTIFS($D$4:$D2762,"R")+1,"")</f>
        <v/>
      </c>
      <c r="C2763" s="19" t="str">
        <f t="shared" si="215"/>
        <v>B-BCP - Soles</v>
      </c>
      <c r="D2763" s="3" t="s">
        <v>1101</v>
      </c>
      <c r="E2763" s="14">
        <v>45856</v>
      </c>
      <c r="F2763" s="5" t="s">
        <v>2898</v>
      </c>
      <c r="G2763" s="5"/>
      <c r="H2763" s="6" t="s">
        <v>214</v>
      </c>
      <c r="I2763" s="6" t="s">
        <v>14</v>
      </c>
      <c r="J2763" s="6" t="s">
        <v>1120</v>
      </c>
      <c r="K2763" s="6">
        <v>6949</v>
      </c>
      <c r="L2763" s="7" t="s">
        <v>3666</v>
      </c>
      <c r="M2763" s="8">
        <v>1017947</v>
      </c>
      <c r="N2763" s="8" t="str">
        <f t="shared" si="216"/>
        <v>PEN</v>
      </c>
      <c r="O2763" s="13">
        <v>136</v>
      </c>
      <c r="P2763" s="13"/>
      <c r="Q2763" s="3">
        <f t="shared" si="217"/>
        <v>0</v>
      </c>
      <c r="R2763" s="3">
        <f t="shared" si="218"/>
        <v>0</v>
      </c>
      <c r="S2763" s="3">
        <f t="shared" si="219"/>
        <v>12120.910000000029</v>
      </c>
      <c r="T2763" s="24" t="s">
        <v>1081</v>
      </c>
      <c r="U2763" s="24" t="s">
        <v>1081</v>
      </c>
      <c r="V2763" s="103"/>
      <c r="W2763" s="25">
        <f>IFERROR(VLOOKUP(BCP_Soles[[#This Row],[DESTINATARIO]],CHOOSE({1,2},Clientes_Proveedores[Razon Social],Clientes_Proveedores[Ruc / Dni]),2,0),"")</f>
        <v>20419158462</v>
      </c>
      <c r="X2763" s="25"/>
      <c r="Y2763" s="25"/>
      <c r="Z2763" s="25"/>
      <c r="AA2763" s="101" t="s">
        <v>3385</v>
      </c>
      <c r="AB2763" s="3" t="str">
        <f>IF(BCP_Soles[[#This Row],[FECHA]]&gt;0,TEXT(BCP_Soles[[#This Row],[FECHA]],"mmmm"),0)</f>
        <v>Julio</v>
      </c>
    </row>
    <row r="2764" spans="2:28" x14ac:dyDescent="0.3">
      <c r="B2764" s="2">
        <f>IF(BCP_Soles[[#This Row],[TIPO DE R.]]="R",COUNTIFS($D$4:$D2763,"R")+1,"")</f>
        <v>2002</v>
      </c>
      <c r="C2764" s="19" t="str">
        <f t="shared" si="215"/>
        <v>B-BCP - Soles</v>
      </c>
      <c r="D2764" s="3" t="s">
        <v>1074</v>
      </c>
      <c r="E2764" s="14">
        <v>45856</v>
      </c>
      <c r="F2764" s="5" t="s">
        <v>1078</v>
      </c>
      <c r="G2764" s="5" t="s">
        <v>1079</v>
      </c>
      <c r="H2764" s="6" t="s">
        <v>950</v>
      </c>
      <c r="I2764" s="6" t="s">
        <v>10</v>
      </c>
      <c r="J2764" s="6" t="s">
        <v>3392</v>
      </c>
      <c r="K2764" s="6">
        <v>2002</v>
      </c>
      <c r="L2764" s="7" t="s">
        <v>2868</v>
      </c>
      <c r="M2764" s="8"/>
      <c r="N2764" s="8" t="str">
        <f t="shared" si="216"/>
        <v>PEN</v>
      </c>
      <c r="O2764" s="13"/>
      <c r="P2764" s="13">
        <v>0.85</v>
      </c>
      <c r="Q2764" s="3">
        <f t="shared" si="217"/>
        <v>0</v>
      </c>
      <c r="R2764" s="3">
        <f t="shared" si="218"/>
        <v>0.85</v>
      </c>
      <c r="S2764" s="3">
        <f t="shared" si="219"/>
        <v>12120.060000000029</v>
      </c>
      <c r="T2764" s="24" t="s">
        <v>1081</v>
      </c>
      <c r="U2764" s="24"/>
      <c r="V2764" s="69"/>
      <c r="W2764" s="25">
        <f>IFERROR(VLOOKUP(BCP_Soles[[#This Row],[DESTINATARIO]],CHOOSE({1,2},Clientes_Proveedores[Razon Social],Clientes_Proveedores[Ruc / Dni]),2,0),"")</f>
        <v>11111111</v>
      </c>
      <c r="X2764" s="25"/>
      <c r="Y2764" s="25"/>
      <c r="Z2764" s="25"/>
      <c r="AA2764" s="101"/>
      <c r="AB2764" s="3" t="str">
        <f>IF(BCP_Soles[[#This Row],[FECHA]]&gt;0,TEXT(BCP_Soles[[#This Row],[FECHA]],"mmmm"),0)</f>
        <v>Julio</v>
      </c>
    </row>
    <row r="2765" spans="2:28" ht="24" x14ac:dyDescent="0.3">
      <c r="B2765" s="2">
        <f>IF(BCP_Soles[[#This Row],[TIPO DE R.]]="R",COUNTIFS($D$4:$D2764,"R")+1,"")</f>
        <v>2003</v>
      </c>
      <c r="C2765" s="19" t="str">
        <f t="shared" si="215"/>
        <v>B-BCP - Soles</v>
      </c>
      <c r="D2765" s="3" t="s">
        <v>1074</v>
      </c>
      <c r="E2765" s="14">
        <v>45857</v>
      </c>
      <c r="F2765" s="5" t="s">
        <v>405</v>
      </c>
      <c r="G2765" s="5" t="s">
        <v>1087</v>
      </c>
      <c r="H2765" s="6" t="s">
        <v>368</v>
      </c>
      <c r="I2765" s="6" t="s">
        <v>14</v>
      </c>
      <c r="J2765" s="6" t="s">
        <v>3091</v>
      </c>
      <c r="K2765" s="6">
        <v>46</v>
      </c>
      <c r="L2765" s="7" t="s">
        <v>1100</v>
      </c>
      <c r="M2765" s="8">
        <v>2471273</v>
      </c>
      <c r="N2765" s="8" t="str">
        <f t="shared" si="216"/>
        <v>PEN</v>
      </c>
      <c r="O2765" s="13"/>
      <c r="P2765" s="13">
        <v>1097.99</v>
      </c>
      <c r="Q2765" s="3">
        <f t="shared" si="217"/>
        <v>1097.99</v>
      </c>
      <c r="R2765" s="3">
        <f t="shared" si="218"/>
        <v>0</v>
      </c>
      <c r="S2765" s="3">
        <f t="shared" si="219"/>
        <v>13218.050000000028</v>
      </c>
      <c r="T2765" s="24" t="s">
        <v>1081</v>
      </c>
      <c r="U2765" s="24" t="s">
        <v>1081</v>
      </c>
      <c r="V2765" s="69"/>
      <c r="W2765" s="25">
        <f>IFERROR(VLOOKUP(BCP_Soles[[#This Row],[DESTINATARIO]],CHOOSE({1,2},Clientes_Proveedores[Razon Social],Clientes_Proveedores[Ruc / Dni]),2,0),"")</f>
        <v>20558226979</v>
      </c>
      <c r="X2765" s="25"/>
      <c r="Y2765" s="25"/>
      <c r="Z2765" s="25"/>
      <c r="AA2765" s="101"/>
      <c r="AB2765" s="3" t="str">
        <f>IF(BCP_Soles[[#This Row],[FECHA]]&gt;0,TEXT(BCP_Soles[[#This Row],[FECHA]],"mmmm"),0)</f>
        <v>Julio</v>
      </c>
    </row>
    <row r="2766" spans="2:28" ht="24" x14ac:dyDescent="0.3">
      <c r="B2766" s="2">
        <f>IF(BCP_Soles[[#This Row],[TIPO DE R.]]="R",COUNTIFS($D$4:$D2765,"R")+1,"")</f>
        <v>2004</v>
      </c>
      <c r="C2766" s="19" t="str">
        <f t="shared" si="215"/>
        <v>B-BCP - Soles</v>
      </c>
      <c r="D2766" s="3" t="s">
        <v>1074</v>
      </c>
      <c r="E2766" s="14">
        <v>45857</v>
      </c>
      <c r="F2766" s="5" t="s">
        <v>405</v>
      </c>
      <c r="G2766" s="5" t="s">
        <v>1087</v>
      </c>
      <c r="H2766" s="6" t="s">
        <v>368</v>
      </c>
      <c r="I2766" s="6" t="s">
        <v>14</v>
      </c>
      <c r="J2766" s="6" t="s">
        <v>3091</v>
      </c>
      <c r="K2766" s="6">
        <v>47</v>
      </c>
      <c r="L2766" s="7" t="s">
        <v>1100</v>
      </c>
      <c r="M2766" s="8">
        <v>2453794</v>
      </c>
      <c r="N2766" s="8" t="str">
        <f t="shared" si="216"/>
        <v>PEN</v>
      </c>
      <c r="O2766" s="13"/>
      <c r="P2766" s="13">
        <v>779.99</v>
      </c>
      <c r="Q2766" s="3">
        <f t="shared" si="217"/>
        <v>779.99</v>
      </c>
      <c r="R2766" s="3">
        <f t="shared" si="218"/>
        <v>0</v>
      </c>
      <c r="S2766" s="3">
        <f t="shared" si="219"/>
        <v>13998.040000000028</v>
      </c>
      <c r="T2766" s="24" t="s">
        <v>1081</v>
      </c>
      <c r="U2766" s="24" t="s">
        <v>1081</v>
      </c>
      <c r="V2766" s="69"/>
      <c r="W2766" s="25">
        <f>IFERROR(VLOOKUP(BCP_Soles[[#This Row],[DESTINATARIO]],CHOOSE({1,2},Clientes_Proveedores[Razon Social],Clientes_Proveedores[Ruc / Dni]),2,0),"")</f>
        <v>20558226979</v>
      </c>
      <c r="X2766" s="25"/>
      <c r="Y2766" s="25"/>
      <c r="Z2766" s="25"/>
      <c r="AA2766" s="101"/>
      <c r="AB2766" s="3" t="str">
        <f>IF(BCP_Soles[[#This Row],[FECHA]]&gt;0,TEXT(BCP_Soles[[#This Row],[FECHA]],"mmmm"),0)</f>
        <v>Julio</v>
      </c>
    </row>
    <row r="2767" spans="2:28" x14ac:dyDescent="0.3">
      <c r="B2767" s="2">
        <f>IF(BCP_Soles[[#This Row],[TIPO DE R.]]="R",COUNTIFS($D$4:$D2766,"R")+1,"")</f>
        <v>2005</v>
      </c>
      <c r="C2767" s="19" t="str">
        <f t="shared" si="215"/>
        <v>B-BCP - Soles</v>
      </c>
      <c r="D2767" s="3" t="s">
        <v>1074</v>
      </c>
      <c r="E2767" s="14">
        <v>45858</v>
      </c>
      <c r="F2767" s="5" t="s">
        <v>1078</v>
      </c>
      <c r="G2767" s="5" t="s">
        <v>1079</v>
      </c>
      <c r="H2767" s="6" t="s">
        <v>950</v>
      </c>
      <c r="I2767" s="6" t="s">
        <v>10</v>
      </c>
      <c r="J2767" s="6" t="s">
        <v>3392</v>
      </c>
      <c r="K2767" s="6">
        <v>2005</v>
      </c>
      <c r="L2767" s="7" t="s">
        <v>2868</v>
      </c>
      <c r="M2767" s="8"/>
      <c r="N2767" s="8" t="str">
        <f t="shared" si="216"/>
        <v>PEN</v>
      </c>
      <c r="O2767" s="13"/>
      <c r="P2767" s="13">
        <v>0.05</v>
      </c>
      <c r="Q2767" s="3">
        <f t="shared" si="217"/>
        <v>0</v>
      </c>
      <c r="R2767" s="3">
        <f t="shared" si="218"/>
        <v>0.05</v>
      </c>
      <c r="S2767" s="3">
        <f t="shared" si="219"/>
        <v>13997.990000000029</v>
      </c>
      <c r="T2767" s="24" t="s">
        <v>1081</v>
      </c>
      <c r="U2767" s="24"/>
      <c r="V2767" s="69"/>
      <c r="W2767" s="25">
        <f>IFERROR(VLOOKUP(BCP_Soles[[#This Row],[DESTINATARIO]],CHOOSE({1,2},Clientes_Proveedores[Razon Social],Clientes_Proveedores[Ruc / Dni]),2,0),"")</f>
        <v>11111111</v>
      </c>
      <c r="X2767" s="25"/>
      <c r="Y2767" s="25"/>
      <c r="Z2767" s="25"/>
      <c r="AA2767" s="101"/>
      <c r="AB2767" s="3" t="str">
        <f>IF(BCP_Soles[[#This Row],[FECHA]]&gt;0,TEXT(BCP_Soles[[#This Row],[FECHA]],"mmmm"),0)</f>
        <v>Julio</v>
      </c>
    </row>
    <row r="2768" spans="2:28" ht="36" x14ac:dyDescent="0.3">
      <c r="B2768" s="2">
        <f>IF(BCP_Soles[[#This Row],[TIPO DE R.]]="R",COUNTIFS($D$4:$D2767,"R")+1,"")</f>
        <v>2006</v>
      </c>
      <c r="C2768" s="19" t="str">
        <f t="shared" si="215"/>
        <v>B-BCP - Soles</v>
      </c>
      <c r="D2768" s="3" t="s">
        <v>1074</v>
      </c>
      <c r="E2768" s="14">
        <v>45859</v>
      </c>
      <c r="F2768" s="5" t="s">
        <v>180</v>
      </c>
      <c r="G2768" s="5" t="s">
        <v>1087</v>
      </c>
      <c r="H2768" s="6" t="s">
        <v>368</v>
      </c>
      <c r="I2768" s="6" t="s">
        <v>14</v>
      </c>
      <c r="J2768" s="6" t="s">
        <v>1521</v>
      </c>
      <c r="K2768" s="6">
        <v>168</v>
      </c>
      <c r="L2768" s="7" t="s">
        <v>3667</v>
      </c>
      <c r="M2768" s="8">
        <v>2765562</v>
      </c>
      <c r="N2768" s="8" t="str">
        <f t="shared" si="216"/>
        <v>PEN</v>
      </c>
      <c r="O2768" s="13"/>
      <c r="P2768" s="13">
        <v>1913.98</v>
      </c>
      <c r="Q2768" s="3">
        <f t="shared" si="217"/>
        <v>1913.98</v>
      </c>
      <c r="R2768" s="3">
        <f t="shared" si="218"/>
        <v>0</v>
      </c>
      <c r="S2768" s="3">
        <f t="shared" si="219"/>
        <v>15911.970000000028</v>
      </c>
      <c r="T2768" s="24" t="s">
        <v>1081</v>
      </c>
      <c r="U2768" s="24" t="s">
        <v>1081</v>
      </c>
      <c r="V2768" s="69"/>
      <c r="W2768" s="25">
        <f>IFERROR(VLOOKUP(BCP_Soles[[#This Row],[DESTINATARIO]],CHOOSE({1,2},Clientes_Proveedores[Razon Social],Clientes_Proveedores[Ruc / Dni]),2,0),"")</f>
        <v>20558226979</v>
      </c>
      <c r="X2768" s="25"/>
      <c r="Y2768" s="25"/>
      <c r="Z2768" s="25"/>
      <c r="AA2768" s="101"/>
      <c r="AB2768" s="3" t="str">
        <f>IF(BCP_Soles[[#This Row],[FECHA]]&gt;0,TEXT(BCP_Soles[[#This Row],[FECHA]],"mmmm"),0)</f>
        <v>Julio</v>
      </c>
    </row>
    <row r="2769" spans="2:28" ht="24" x14ac:dyDescent="0.3">
      <c r="B2769" s="2">
        <f>IF(BCP_Soles[[#This Row],[TIPO DE R.]]="R",COUNTIFS($D$4:$D2768,"R")+1,"")</f>
        <v>2007</v>
      </c>
      <c r="C2769" s="19" t="str">
        <f t="shared" si="215"/>
        <v>B-BCP - Soles</v>
      </c>
      <c r="D2769" s="3" t="s">
        <v>1074</v>
      </c>
      <c r="E2769" s="14">
        <v>45859</v>
      </c>
      <c r="F2769" s="5" t="s">
        <v>639</v>
      </c>
      <c r="G2769" s="5" t="s">
        <v>1087</v>
      </c>
      <c r="H2769" s="6" t="s">
        <v>368</v>
      </c>
      <c r="I2769" s="6" t="s">
        <v>14</v>
      </c>
      <c r="J2769" s="6" t="s">
        <v>3010</v>
      </c>
      <c r="K2769" s="6">
        <v>95</v>
      </c>
      <c r="L2769" s="7" t="s">
        <v>1665</v>
      </c>
      <c r="M2769" s="8">
        <v>6028931</v>
      </c>
      <c r="N2769" s="8" t="str">
        <f t="shared" si="216"/>
        <v>PEN</v>
      </c>
      <c r="O2769" s="13"/>
      <c r="P2769" s="13">
        <v>319</v>
      </c>
      <c r="Q2769" s="3">
        <f t="shared" si="217"/>
        <v>319</v>
      </c>
      <c r="R2769" s="3">
        <f t="shared" si="218"/>
        <v>0</v>
      </c>
      <c r="S2769" s="3">
        <f t="shared" si="219"/>
        <v>16230.970000000028</v>
      </c>
      <c r="T2769" s="24" t="s">
        <v>1081</v>
      </c>
      <c r="U2769" s="24" t="s">
        <v>1081</v>
      </c>
      <c r="V2769" s="69"/>
      <c r="W2769" s="25">
        <f>IFERROR(VLOOKUP(BCP_Soles[[#This Row],[DESTINATARIO]],CHOOSE({1,2},Clientes_Proveedores[Razon Social],Clientes_Proveedores[Ruc / Dni]),2,0),"")</f>
        <v>20558226979</v>
      </c>
      <c r="X2769" s="25"/>
      <c r="Y2769" s="25"/>
      <c r="Z2769" s="25"/>
      <c r="AA2769" s="101"/>
      <c r="AB2769" s="3" t="str">
        <f>IF(BCP_Soles[[#This Row],[FECHA]]&gt;0,TEXT(BCP_Soles[[#This Row],[FECHA]],"mmmm"),0)</f>
        <v>Julio</v>
      </c>
    </row>
    <row r="2770" spans="2:28" ht="24" x14ac:dyDescent="0.3">
      <c r="B2770" s="2">
        <f>IF(BCP_Soles[[#This Row],[TIPO DE R.]]="R",COUNTIFS($D$4:$D2769,"R")+1,"")</f>
        <v>2008</v>
      </c>
      <c r="C2770" s="19" t="str">
        <f t="shared" si="215"/>
        <v>B-BCP - Soles</v>
      </c>
      <c r="D2770" s="3" t="s">
        <v>1074</v>
      </c>
      <c r="E2770" s="14">
        <v>45859</v>
      </c>
      <c r="F2770" s="5" t="s">
        <v>1936</v>
      </c>
      <c r="G2770" s="5" t="s">
        <v>1087</v>
      </c>
      <c r="H2770" s="6" t="s">
        <v>368</v>
      </c>
      <c r="I2770" s="6" t="s">
        <v>63</v>
      </c>
      <c r="J2770" s="6">
        <v>1</v>
      </c>
      <c r="K2770" s="6">
        <v>4619</v>
      </c>
      <c r="L2770" s="7" t="s">
        <v>1100</v>
      </c>
      <c r="M2770" s="8">
        <v>4052535</v>
      </c>
      <c r="N2770" s="8" t="str">
        <f t="shared" si="216"/>
        <v>PEN</v>
      </c>
      <c r="O2770" s="13"/>
      <c r="P2770" s="13">
        <v>2997</v>
      </c>
      <c r="Q2770" s="3">
        <f t="shared" si="217"/>
        <v>2997</v>
      </c>
      <c r="R2770" s="3">
        <f t="shared" si="218"/>
        <v>0</v>
      </c>
      <c r="S2770" s="3">
        <f t="shared" si="219"/>
        <v>19227.97000000003</v>
      </c>
      <c r="T2770" s="24" t="s">
        <v>1081</v>
      </c>
      <c r="U2770" s="24" t="s">
        <v>1081</v>
      </c>
      <c r="V2770" s="69"/>
      <c r="W2770" s="25">
        <f>IFERROR(VLOOKUP(BCP_Soles[[#This Row],[DESTINATARIO]],CHOOSE({1,2},Clientes_Proveedores[Razon Social],Clientes_Proveedores[Ruc / Dni]),2,0),"")</f>
        <v>20558226979</v>
      </c>
      <c r="X2770" s="25"/>
      <c r="Y2770" s="25"/>
      <c r="Z2770" s="25"/>
      <c r="AA2770" s="101"/>
      <c r="AB2770" s="3" t="str">
        <f>IF(BCP_Soles[[#This Row],[FECHA]]&gt;0,TEXT(BCP_Soles[[#This Row],[FECHA]],"mmmm"),0)</f>
        <v>Julio</v>
      </c>
    </row>
    <row r="2771" spans="2:28" x14ac:dyDescent="0.3">
      <c r="B2771" s="2">
        <f>IF(BCP_Soles[[#This Row],[TIPO DE R.]]="R",COUNTIFS($D$4:$D2770,"R")+1,"")</f>
        <v>2009</v>
      </c>
      <c r="C2771" s="19" t="str">
        <f t="shared" si="215"/>
        <v>B-BCP - Soles</v>
      </c>
      <c r="D2771" s="3" t="s">
        <v>1074</v>
      </c>
      <c r="E2771" s="14">
        <v>45859</v>
      </c>
      <c r="F2771" s="5" t="s">
        <v>1996</v>
      </c>
      <c r="G2771" s="5" t="s">
        <v>1079</v>
      </c>
      <c r="H2771" s="6" t="s">
        <v>637</v>
      </c>
      <c r="I2771" s="6"/>
      <c r="J2771" s="6"/>
      <c r="K2771" s="6"/>
      <c r="L2771" s="7" t="s">
        <v>3268</v>
      </c>
      <c r="M2771" s="8">
        <v>144039</v>
      </c>
      <c r="N2771" s="8" t="str">
        <f t="shared" si="216"/>
        <v>PEN</v>
      </c>
      <c r="O2771" s="13"/>
      <c r="P2771" s="13">
        <v>1761.99</v>
      </c>
      <c r="Q2771" s="3">
        <f t="shared" si="217"/>
        <v>0</v>
      </c>
      <c r="R2771" s="3">
        <f t="shared" si="218"/>
        <v>1761.99</v>
      </c>
      <c r="S2771" s="3">
        <f t="shared" si="219"/>
        <v>17465.980000000029</v>
      </c>
      <c r="T2771" s="24" t="s">
        <v>1081</v>
      </c>
      <c r="U2771" s="24" t="s">
        <v>1081</v>
      </c>
      <c r="V2771" s="69" t="s">
        <v>3668</v>
      </c>
      <c r="W2771" s="25">
        <f>IFERROR(VLOOKUP(BCP_Soles[[#This Row],[DESTINATARIO]],CHOOSE({1,2},Clientes_Proveedores[Razon Social],Clientes_Proveedores[Ruc / Dni]),2,0),"")</f>
        <v>20127765279</v>
      </c>
      <c r="X2771" s="25"/>
      <c r="Y2771" s="25"/>
      <c r="Z2771" s="25"/>
      <c r="AA2771" s="101"/>
      <c r="AB2771" s="3" t="str">
        <f>IF(BCP_Soles[[#This Row],[FECHA]]&gt;0,TEXT(BCP_Soles[[#This Row],[FECHA]],"mmmm"),0)</f>
        <v>Julio</v>
      </c>
    </row>
    <row r="2772" spans="2:28" x14ac:dyDescent="0.3">
      <c r="B2772" s="2" t="str">
        <f>IF(BCP_Soles[[#This Row],[TIPO DE R.]]="R",COUNTIFS($D$4:$D2771,"R")+1,"")</f>
        <v/>
      </c>
      <c r="C2772" s="19" t="str">
        <f t="shared" si="215"/>
        <v>B-BCP - Soles</v>
      </c>
      <c r="D2772" s="3" t="s">
        <v>1101</v>
      </c>
      <c r="E2772" s="14">
        <v>45859</v>
      </c>
      <c r="F2772" s="5" t="s">
        <v>1996</v>
      </c>
      <c r="G2772" s="5"/>
      <c r="H2772" s="6" t="s">
        <v>637</v>
      </c>
      <c r="I2772" s="6" t="s">
        <v>14</v>
      </c>
      <c r="J2772" s="6" t="s">
        <v>1122</v>
      </c>
      <c r="K2772" s="6">
        <v>173605</v>
      </c>
      <c r="L2772" s="7" t="s">
        <v>3268</v>
      </c>
      <c r="M2772" s="8">
        <v>144039</v>
      </c>
      <c r="N2772" s="8" t="str">
        <f t="shared" si="216"/>
        <v>PEN</v>
      </c>
      <c r="O2772" s="13">
        <v>1060.45</v>
      </c>
      <c r="P2772" s="13"/>
      <c r="Q2772" s="3">
        <f t="shared" si="217"/>
        <v>0</v>
      </c>
      <c r="R2772" s="3">
        <f t="shared" si="218"/>
        <v>0</v>
      </c>
      <c r="S2772" s="3">
        <f t="shared" si="219"/>
        <v>17465.980000000029</v>
      </c>
      <c r="T2772" s="24" t="s">
        <v>1081</v>
      </c>
      <c r="U2772" s="24" t="s">
        <v>1081</v>
      </c>
      <c r="V2772" s="69"/>
      <c r="W2772" s="25">
        <f>IFERROR(VLOOKUP(BCP_Soles[[#This Row],[DESTINATARIO]],CHOOSE({1,2},Clientes_Proveedores[Razon Social],Clientes_Proveedores[Ruc / Dni]),2,0),"")</f>
        <v>20127765279</v>
      </c>
      <c r="X2772" s="25"/>
      <c r="Y2772" s="25"/>
      <c r="Z2772" s="25"/>
      <c r="AA2772" s="101"/>
      <c r="AB2772" s="3" t="str">
        <f>IF(BCP_Soles[[#This Row],[FECHA]]&gt;0,TEXT(BCP_Soles[[#This Row],[FECHA]],"mmmm"),0)</f>
        <v>Julio</v>
      </c>
    </row>
    <row r="2773" spans="2:28" x14ac:dyDescent="0.3">
      <c r="B2773" s="2" t="str">
        <f>IF(BCP_Soles[[#This Row],[TIPO DE R.]]="R",COUNTIFS($D$4:$D2772,"R")+1,"")</f>
        <v/>
      </c>
      <c r="C2773" s="19" t="str">
        <f t="shared" si="215"/>
        <v>B-BCP - Soles</v>
      </c>
      <c r="D2773" s="3" t="s">
        <v>1101</v>
      </c>
      <c r="E2773" s="14">
        <v>45859</v>
      </c>
      <c r="F2773" s="5" t="s">
        <v>1996</v>
      </c>
      <c r="G2773" s="5"/>
      <c r="H2773" s="6" t="s">
        <v>637</v>
      </c>
      <c r="I2773" s="6" t="s">
        <v>14</v>
      </c>
      <c r="J2773" s="6" t="s">
        <v>1122</v>
      </c>
      <c r="K2773" s="6">
        <v>173626</v>
      </c>
      <c r="L2773" s="7" t="s">
        <v>3268</v>
      </c>
      <c r="M2773" s="8">
        <v>144039</v>
      </c>
      <c r="N2773" s="8" t="str">
        <f t="shared" si="216"/>
        <v>PEN</v>
      </c>
      <c r="O2773" s="13">
        <v>701.54</v>
      </c>
      <c r="P2773" s="13"/>
      <c r="Q2773" s="3">
        <f t="shared" si="217"/>
        <v>0</v>
      </c>
      <c r="R2773" s="3">
        <f t="shared" si="218"/>
        <v>0</v>
      </c>
      <c r="S2773" s="3">
        <f t="shared" si="219"/>
        <v>17465.980000000029</v>
      </c>
      <c r="T2773" s="24" t="s">
        <v>1081</v>
      </c>
      <c r="U2773" s="24" t="s">
        <v>1081</v>
      </c>
      <c r="V2773" s="69"/>
      <c r="W2773" s="25">
        <f>IFERROR(VLOOKUP(BCP_Soles[[#This Row],[DESTINATARIO]],CHOOSE({1,2},Clientes_Proveedores[Razon Social],Clientes_Proveedores[Ruc / Dni]),2,0),"")</f>
        <v>20127765279</v>
      </c>
      <c r="X2773" s="25"/>
      <c r="Y2773" s="25"/>
      <c r="Z2773" s="25"/>
      <c r="AA2773" s="101"/>
      <c r="AB2773" s="3" t="str">
        <f>IF(BCP_Soles[[#This Row],[FECHA]]&gt;0,TEXT(BCP_Soles[[#This Row],[FECHA]],"mmmm"),0)</f>
        <v>Julio</v>
      </c>
    </row>
    <row r="2774" spans="2:28" ht="36" x14ac:dyDescent="0.3">
      <c r="B2774" s="2">
        <f>IF(BCP_Soles[[#This Row],[TIPO DE R.]]="R",COUNTIFS($D$4:$D2773,"R")+1,"")</f>
        <v>2010</v>
      </c>
      <c r="C2774" s="19" t="str">
        <f t="shared" si="215"/>
        <v>B-BCP - Soles</v>
      </c>
      <c r="D2774" s="3" t="s">
        <v>1074</v>
      </c>
      <c r="E2774" s="14">
        <v>45859</v>
      </c>
      <c r="F2774" s="5" t="s">
        <v>1996</v>
      </c>
      <c r="G2774" s="5" t="s">
        <v>1079</v>
      </c>
      <c r="H2774" s="6" t="s">
        <v>644</v>
      </c>
      <c r="I2774" s="6"/>
      <c r="J2774" s="6"/>
      <c r="K2774" s="6"/>
      <c r="L2774" s="7" t="s">
        <v>3669</v>
      </c>
      <c r="M2774" s="8">
        <v>141620</v>
      </c>
      <c r="N2774" s="8" t="str">
        <f t="shared" si="216"/>
        <v>PEN</v>
      </c>
      <c r="O2774" s="13"/>
      <c r="P2774" s="13">
        <v>53.9</v>
      </c>
      <c r="Q2774" s="3">
        <f t="shared" si="217"/>
        <v>0</v>
      </c>
      <c r="R2774" s="3">
        <f t="shared" si="218"/>
        <v>53.9</v>
      </c>
      <c r="S2774" s="3">
        <f t="shared" si="219"/>
        <v>17412.080000000027</v>
      </c>
      <c r="T2774" s="24"/>
      <c r="U2774" s="24"/>
      <c r="V2774" s="69" t="s">
        <v>3670</v>
      </c>
      <c r="W2774" s="25">
        <f>IFERROR(VLOOKUP(BCP_Soles[[#This Row],[DESTINATARIO]],CHOOSE({1,2},Clientes_Proveedores[Razon Social],Clientes_Proveedores[Ruc / Dni]),2,0),"")</f>
        <v>20454073143</v>
      </c>
      <c r="X2774" s="25"/>
      <c r="Y2774" s="25"/>
      <c r="Z2774" s="25"/>
      <c r="AA2774" s="101"/>
      <c r="AB2774" s="3" t="str">
        <f>IF(BCP_Soles[[#This Row],[FECHA]]&gt;0,TEXT(BCP_Soles[[#This Row],[FECHA]],"mmmm"),0)</f>
        <v>Julio</v>
      </c>
    </row>
    <row r="2775" spans="2:28" ht="36" x14ac:dyDescent="0.3">
      <c r="B2775" s="2">
        <f>IF(BCP_Soles[[#This Row],[TIPO DE R.]]="R",COUNTIFS($D$4:$D2774,"R")+1,"")</f>
        <v>2011</v>
      </c>
      <c r="C2775" s="19" t="str">
        <f t="shared" si="215"/>
        <v>B-BCP - Soles</v>
      </c>
      <c r="D2775" s="3" t="s">
        <v>1074</v>
      </c>
      <c r="E2775" s="14">
        <v>45859</v>
      </c>
      <c r="F2775" s="5" t="s">
        <v>1996</v>
      </c>
      <c r="G2775" s="5" t="s">
        <v>1079</v>
      </c>
      <c r="H2775" s="6" t="s">
        <v>644</v>
      </c>
      <c r="I2775" s="6"/>
      <c r="J2775" s="6"/>
      <c r="K2775" s="6"/>
      <c r="L2775" s="7" t="s">
        <v>3671</v>
      </c>
      <c r="M2775" s="8">
        <v>142082</v>
      </c>
      <c r="N2775" s="8" t="str">
        <f t="shared" si="216"/>
        <v>PEN</v>
      </c>
      <c r="O2775" s="13"/>
      <c r="P2775" s="13">
        <v>96</v>
      </c>
      <c r="Q2775" s="3">
        <f t="shared" si="217"/>
        <v>0</v>
      </c>
      <c r="R2775" s="3">
        <f t="shared" si="218"/>
        <v>96</v>
      </c>
      <c r="S2775" s="3">
        <f t="shared" si="219"/>
        <v>17316.080000000027</v>
      </c>
      <c r="T2775" s="24"/>
      <c r="U2775" s="24"/>
      <c r="V2775" s="69" t="s">
        <v>3672</v>
      </c>
      <c r="W2775" s="25">
        <f>IFERROR(VLOOKUP(BCP_Soles[[#This Row],[DESTINATARIO]],CHOOSE({1,2},Clientes_Proveedores[Razon Social],Clientes_Proveedores[Ruc / Dni]),2,0),"")</f>
        <v>20454073143</v>
      </c>
      <c r="X2775" s="25"/>
      <c r="Y2775" s="25"/>
      <c r="Z2775" s="25"/>
      <c r="AA2775" s="101"/>
      <c r="AB2775" s="3" t="str">
        <f>IF(BCP_Soles[[#This Row],[FECHA]]&gt;0,TEXT(BCP_Soles[[#This Row],[FECHA]],"mmmm"),0)</f>
        <v>Julio</v>
      </c>
    </row>
    <row r="2776" spans="2:28" ht="24" x14ac:dyDescent="0.3">
      <c r="B2776" s="2">
        <f>IF(BCP_Soles[[#This Row],[TIPO DE R.]]="R",COUNTIFS($D$4:$D2775,"R")+1,"")</f>
        <v>2012</v>
      </c>
      <c r="C2776" s="19" t="str">
        <f t="shared" si="215"/>
        <v>B-BCP - Soles</v>
      </c>
      <c r="D2776" s="3" t="s">
        <v>1074</v>
      </c>
      <c r="E2776" s="14">
        <v>45859</v>
      </c>
      <c r="F2776" s="5" t="s">
        <v>1996</v>
      </c>
      <c r="G2776" s="5" t="s">
        <v>1079</v>
      </c>
      <c r="H2776" s="6" t="s">
        <v>963</v>
      </c>
      <c r="I2776" s="6"/>
      <c r="J2776" s="6"/>
      <c r="K2776" s="6"/>
      <c r="L2776" s="7" t="s">
        <v>3673</v>
      </c>
      <c r="M2776" s="8">
        <v>1143079</v>
      </c>
      <c r="N2776" s="8" t="str">
        <f t="shared" si="216"/>
        <v>PEN</v>
      </c>
      <c r="O2776" s="13"/>
      <c r="P2776" s="13">
        <v>400</v>
      </c>
      <c r="Q2776" s="3">
        <f t="shared" si="217"/>
        <v>0</v>
      </c>
      <c r="R2776" s="3">
        <f t="shared" si="218"/>
        <v>400</v>
      </c>
      <c r="S2776" s="3">
        <f t="shared" si="219"/>
        <v>16916.080000000027</v>
      </c>
      <c r="T2776" s="24"/>
      <c r="U2776" s="24"/>
      <c r="V2776" s="69" t="s">
        <v>3674</v>
      </c>
      <c r="W2776" s="25">
        <f>IFERROR(VLOOKUP(BCP_Soles[[#This Row],[DESTINATARIO]],CHOOSE({1,2},Clientes_Proveedores[Razon Social],Clientes_Proveedores[Ruc / Dni]),2,0),"")</f>
        <v>73376012</v>
      </c>
      <c r="X2776" s="25"/>
      <c r="Y2776" s="25"/>
      <c r="Z2776" s="25"/>
      <c r="AA2776" s="101"/>
      <c r="AB2776" s="3" t="str">
        <f>IF(BCP_Soles[[#This Row],[FECHA]]&gt;0,TEXT(BCP_Soles[[#This Row],[FECHA]],"mmmm"),0)</f>
        <v>Julio</v>
      </c>
    </row>
    <row r="2777" spans="2:28" ht="24" x14ac:dyDescent="0.3">
      <c r="B2777" s="2">
        <f>IF(BCP_Soles[[#This Row],[TIPO DE R.]]="R",COUNTIFS($D$4:$D2776,"R")+1,"")</f>
        <v>2013</v>
      </c>
      <c r="C2777" s="19" t="str">
        <f t="shared" si="215"/>
        <v>B-BCP - Soles</v>
      </c>
      <c r="D2777" s="3" t="s">
        <v>1074</v>
      </c>
      <c r="E2777" s="14">
        <v>45859</v>
      </c>
      <c r="F2777" s="5" t="s">
        <v>1996</v>
      </c>
      <c r="G2777" s="5" t="s">
        <v>1079</v>
      </c>
      <c r="H2777" s="6" t="s">
        <v>468</v>
      </c>
      <c r="I2777" s="6" t="s">
        <v>14</v>
      </c>
      <c r="J2777" s="6" t="s">
        <v>1121</v>
      </c>
      <c r="K2777" s="6">
        <v>1440</v>
      </c>
      <c r="L2777" s="7" t="s">
        <v>3675</v>
      </c>
      <c r="M2777" s="8">
        <v>1140662</v>
      </c>
      <c r="N2777" s="8" t="str">
        <f t="shared" si="216"/>
        <v>PEN</v>
      </c>
      <c r="O2777" s="13"/>
      <c r="P2777" s="13">
        <v>498.62</v>
      </c>
      <c r="Q2777" s="3">
        <f t="shared" si="217"/>
        <v>0</v>
      </c>
      <c r="R2777" s="3">
        <f t="shared" si="218"/>
        <v>498.62</v>
      </c>
      <c r="S2777" s="3">
        <f t="shared" si="219"/>
        <v>16417.460000000028</v>
      </c>
      <c r="T2777" s="24" t="s">
        <v>1081</v>
      </c>
      <c r="U2777" s="24" t="s">
        <v>1081</v>
      </c>
      <c r="V2777" s="69" t="s">
        <v>3676</v>
      </c>
      <c r="W2777" s="25">
        <f>IFERROR(VLOOKUP(BCP_Soles[[#This Row],[DESTINATARIO]],CHOOSE({1,2},Clientes_Proveedores[Razon Social],Clientes_Proveedores[Ruc / Dni]),2,0),"")</f>
        <v>20604304831</v>
      </c>
      <c r="X2777" s="25"/>
      <c r="Y2777" s="25"/>
      <c r="Z2777" s="25"/>
      <c r="AA2777" s="101"/>
      <c r="AB2777" s="3" t="str">
        <f>IF(BCP_Soles[[#This Row],[FECHA]]&gt;0,TEXT(BCP_Soles[[#This Row],[FECHA]],"mmmm"),0)</f>
        <v>Julio</v>
      </c>
    </row>
    <row r="2778" spans="2:28" ht="24" x14ac:dyDescent="0.3">
      <c r="B2778" s="2">
        <f>IF(BCP_Soles[[#This Row],[TIPO DE R.]]="R",COUNTIFS($D$4:$D2777,"R")+1,"")</f>
        <v>2014</v>
      </c>
      <c r="C2778" s="19" t="str">
        <f t="shared" si="215"/>
        <v>B-BCP - Soles</v>
      </c>
      <c r="D2778" s="3" t="s">
        <v>1074</v>
      </c>
      <c r="E2778" s="14">
        <v>45859</v>
      </c>
      <c r="F2778" s="5" t="s">
        <v>1996</v>
      </c>
      <c r="G2778" s="5" t="s">
        <v>1079</v>
      </c>
      <c r="H2778" s="6" t="s">
        <v>650</v>
      </c>
      <c r="I2778" s="6"/>
      <c r="J2778" s="6"/>
      <c r="K2778" s="6"/>
      <c r="L2778" s="7" t="s">
        <v>3677</v>
      </c>
      <c r="M2778" s="8">
        <v>141619</v>
      </c>
      <c r="N2778" s="8" t="str">
        <f t="shared" si="216"/>
        <v>PEN</v>
      </c>
      <c r="O2778" s="13"/>
      <c r="P2778" s="13">
        <v>36.58</v>
      </c>
      <c r="Q2778" s="3">
        <f t="shared" si="217"/>
        <v>0</v>
      </c>
      <c r="R2778" s="3">
        <f t="shared" si="218"/>
        <v>36.58</v>
      </c>
      <c r="S2778" s="3">
        <f t="shared" si="219"/>
        <v>16380.880000000028</v>
      </c>
      <c r="T2778" s="24"/>
      <c r="U2778" s="24"/>
      <c r="V2778" s="69" t="s">
        <v>3678</v>
      </c>
      <c r="W2778" s="25">
        <f>IFERROR(VLOOKUP(BCP_Soles[[#This Row],[DESTINATARIO]],CHOOSE({1,2},Clientes_Proveedores[Razon Social],Clientes_Proveedores[Ruc / Dni]),2,0),"")</f>
        <v>20467534026</v>
      </c>
      <c r="X2778" s="25"/>
      <c r="Y2778" s="25"/>
      <c r="Z2778" s="25"/>
      <c r="AA2778" s="101"/>
      <c r="AB2778" s="3" t="str">
        <f>IF(BCP_Soles[[#This Row],[FECHA]]&gt;0,TEXT(BCP_Soles[[#This Row],[FECHA]],"mmmm"),0)</f>
        <v>Julio</v>
      </c>
    </row>
    <row r="2779" spans="2:28" ht="24" x14ac:dyDescent="0.3">
      <c r="B2779" s="2">
        <f>IF(BCP_Soles[[#This Row],[TIPO DE R.]]="R",COUNTIFS($D$4:$D2778,"R")+1,"")</f>
        <v>2015</v>
      </c>
      <c r="C2779" s="19" t="str">
        <f t="shared" si="215"/>
        <v>B-BCP - Soles</v>
      </c>
      <c r="D2779" s="3" t="s">
        <v>1074</v>
      </c>
      <c r="E2779" s="14">
        <v>45859</v>
      </c>
      <c r="F2779" s="5" t="s">
        <v>1996</v>
      </c>
      <c r="G2779" s="5" t="s">
        <v>1079</v>
      </c>
      <c r="H2779" s="6" t="s">
        <v>540</v>
      </c>
      <c r="I2779" s="6" t="s">
        <v>14</v>
      </c>
      <c r="J2779" s="6" t="s">
        <v>1121</v>
      </c>
      <c r="K2779" s="6">
        <v>328</v>
      </c>
      <c r="L2779" s="7" t="s">
        <v>3679</v>
      </c>
      <c r="M2779" s="8">
        <v>1228572</v>
      </c>
      <c r="N2779" s="8" t="str">
        <f t="shared" si="216"/>
        <v>PEN</v>
      </c>
      <c r="O2779" s="13"/>
      <c r="P2779" s="13">
        <v>450</v>
      </c>
      <c r="Q2779" s="3">
        <f t="shared" si="217"/>
        <v>0</v>
      </c>
      <c r="R2779" s="3">
        <f t="shared" si="218"/>
        <v>450</v>
      </c>
      <c r="S2779" s="3">
        <f t="shared" si="219"/>
        <v>15930.880000000028</v>
      </c>
      <c r="T2779" s="24" t="s">
        <v>1081</v>
      </c>
      <c r="U2779" s="24" t="s">
        <v>1081</v>
      </c>
      <c r="V2779" s="69" t="s">
        <v>3680</v>
      </c>
      <c r="W2779" s="25">
        <f>IFERROR(VLOOKUP(BCP_Soles[[#This Row],[DESTINATARIO]],CHOOSE({1,2},Clientes_Proveedores[Razon Social],Clientes_Proveedores[Ruc / Dni]),2,0),"")</f>
        <v>20609908492</v>
      </c>
      <c r="X2779" s="25"/>
      <c r="Y2779" s="25"/>
      <c r="Z2779" s="25"/>
      <c r="AA2779" s="101"/>
      <c r="AB2779" s="3" t="str">
        <f>IF(BCP_Soles[[#This Row],[FECHA]]&gt;0,TEXT(BCP_Soles[[#This Row],[FECHA]],"mmmm"),0)</f>
        <v>Julio</v>
      </c>
    </row>
    <row r="2780" spans="2:28" ht="24" x14ac:dyDescent="0.3">
      <c r="B2780" s="2">
        <f>IF(BCP_Soles[[#This Row],[TIPO DE R.]]="R",COUNTIFS($D$4:$D2779,"R")+1,"")</f>
        <v>2016</v>
      </c>
      <c r="C2780" s="19" t="str">
        <f t="shared" si="215"/>
        <v>B-BCP - Soles</v>
      </c>
      <c r="D2780" s="3" t="s">
        <v>1074</v>
      </c>
      <c r="E2780" s="14">
        <v>45859</v>
      </c>
      <c r="F2780" s="5" t="s">
        <v>1996</v>
      </c>
      <c r="G2780" s="5" t="s">
        <v>1079</v>
      </c>
      <c r="H2780" s="6" t="s">
        <v>540</v>
      </c>
      <c r="I2780" s="6" t="s">
        <v>14</v>
      </c>
      <c r="J2780" s="6" t="s">
        <v>1121</v>
      </c>
      <c r="K2780" s="6">
        <v>327</v>
      </c>
      <c r="L2780" s="7" t="s">
        <v>3681</v>
      </c>
      <c r="M2780" s="8">
        <v>1229534</v>
      </c>
      <c r="N2780" s="8" t="str">
        <f t="shared" si="216"/>
        <v>PEN</v>
      </c>
      <c r="O2780" s="13"/>
      <c r="P2780" s="13">
        <v>1850</v>
      </c>
      <c r="Q2780" s="3">
        <f t="shared" si="217"/>
        <v>0</v>
      </c>
      <c r="R2780" s="3">
        <f t="shared" si="218"/>
        <v>1850</v>
      </c>
      <c r="S2780" s="3">
        <f t="shared" si="219"/>
        <v>14080.880000000028</v>
      </c>
      <c r="T2780" s="24" t="s">
        <v>1081</v>
      </c>
      <c r="U2780" s="24" t="s">
        <v>1081</v>
      </c>
      <c r="V2780" s="69" t="s">
        <v>3682</v>
      </c>
      <c r="W2780" s="25">
        <f>IFERROR(VLOOKUP(BCP_Soles[[#This Row],[DESTINATARIO]],CHOOSE({1,2},Clientes_Proveedores[Razon Social],Clientes_Proveedores[Ruc / Dni]),2,0),"")</f>
        <v>20609908492</v>
      </c>
      <c r="X2780" s="25"/>
      <c r="Y2780" s="25"/>
      <c r="Z2780" s="25"/>
      <c r="AA2780" s="101"/>
      <c r="AB2780" s="3" t="str">
        <f>IF(BCP_Soles[[#This Row],[FECHA]]&gt;0,TEXT(BCP_Soles[[#This Row],[FECHA]],"mmmm"),0)</f>
        <v>Julio</v>
      </c>
    </row>
    <row r="2781" spans="2:28" ht="36" x14ac:dyDescent="0.3">
      <c r="B2781" s="2">
        <f>IF(BCP_Soles[[#This Row],[TIPO DE R.]]="R",COUNTIFS($D$4:$D2780,"R")+1,"")</f>
        <v>2017</v>
      </c>
      <c r="C2781" s="19" t="str">
        <f t="shared" si="215"/>
        <v>B-BCP - Soles</v>
      </c>
      <c r="D2781" s="3" t="s">
        <v>1074</v>
      </c>
      <c r="E2781" s="14">
        <v>45859</v>
      </c>
      <c r="F2781" s="5" t="s">
        <v>1996</v>
      </c>
      <c r="G2781" s="5" t="s">
        <v>1079</v>
      </c>
      <c r="H2781" s="6" t="s">
        <v>644</v>
      </c>
      <c r="I2781" s="6" t="s">
        <v>14</v>
      </c>
      <c r="J2781" s="6" t="s">
        <v>1204</v>
      </c>
      <c r="K2781" s="6">
        <v>687187</v>
      </c>
      <c r="L2781" s="7" t="s">
        <v>3669</v>
      </c>
      <c r="M2781" s="8">
        <v>227480</v>
      </c>
      <c r="N2781" s="8" t="str">
        <f t="shared" si="216"/>
        <v>PEN</v>
      </c>
      <c r="O2781" s="13"/>
      <c r="P2781" s="13">
        <v>1096.02</v>
      </c>
      <c r="Q2781" s="3">
        <f t="shared" si="217"/>
        <v>0</v>
      </c>
      <c r="R2781" s="3">
        <f t="shared" si="218"/>
        <v>1096.02</v>
      </c>
      <c r="S2781" s="3">
        <f t="shared" si="219"/>
        <v>12984.860000000028</v>
      </c>
      <c r="T2781" s="24" t="s">
        <v>1081</v>
      </c>
      <c r="U2781" s="24" t="s">
        <v>1081</v>
      </c>
      <c r="V2781" s="69" t="s">
        <v>3683</v>
      </c>
      <c r="W2781" s="25">
        <f>IFERROR(VLOOKUP(BCP_Soles[[#This Row],[DESTINATARIO]],CHOOSE({1,2},Clientes_Proveedores[Razon Social],Clientes_Proveedores[Ruc / Dni]),2,0),"")</f>
        <v>20454073143</v>
      </c>
      <c r="X2781" s="25"/>
      <c r="Y2781" s="25"/>
      <c r="Z2781" s="25"/>
      <c r="AA2781" s="101"/>
      <c r="AB2781" s="3" t="str">
        <f>IF(BCP_Soles[[#This Row],[FECHA]]&gt;0,TEXT(BCP_Soles[[#This Row],[FECHA]],"mmmm"),0)</f>
        <v>Julio</v>
      </c>
    </row>
    <row r="2782" spans="2:28" ht="36" x14ac:dyDescent="0.3">
      <c r="B2782" s="2">
        <f>IF(BCP_Soles[[#This Row],[TIPO DE R.]]="R",COUNTIFS($D$4:$D2781,"R")+1,"")</f>
        <v>2018</v>
      </c>
      <c r="C2782" s="19" t="str">
        <f t="shared" si="215"/>
        <v>B-BCP - Soles</v>
      </c>
      <c r="D2782" s="3" t="s">
        <v>1074</v>
      </c>
      <c r="E2782" s="14">
        <v>45859</v>
      </c>
      <c r="F2782" s="5" t="s">
        <v>1996</v>
      </c>
      <c r="G2782" s="5" t="s">
        <v>1079</v>
      </c>
      <c r="H2782" s="6" t="s">
        <v>991</v>
      </c>
      <c r="I2782" s="6" t="s">
        <v>14</v>
      </c>
      <c r="J2782" s="6" t="s">
        <v>1204</v>
      </c>
      <c r="K2782" s="6">
        <v>536940</v>
      </c>
      <c r="L2782" s="7" t="s">
        <v>3671</v>
      </c>
      <c r="M2782" s="8">
        <v>228457</v>
      </c>
      <c r="N2782" s="8" t="str">
        <f t="shared" si="216"/>
        <v>PEN</v>
      </c>
      <c r="O2782" s="13"/>
      <c r="P2782" s="13">
        <v>2376.12</v>
      </c>
      <c r="Q2782" s="3">
        <f t="shared" si="217"/>
        <v>0</v>
      </c>
      <c r="R2782" s="3">
        <f t="shared" si="218"/>
        <v>2376.12</v>
      </c>
      <c r="S2782" s="3">
        <f t="shared" si="219"/>
        <v>10608.740000000027</v>
      </c>
      <c r="T2782" s="24" t="s">
        <v>1081</v>
      </c>
      <c r="U2782" s="24" t="s">
        <v>1081</v>
      </c>
      <c r="V2782" s="69" t="s">
        <v>3684</v>
      </c>
      <c r="W2782" s="25">
        <f>IFERROR(VLOOKUP(BCP_Soles[[#This Row],[DESTINATARIO]],CHOOSE({1,2},Clientes_Proveedores[Razon Social],Clientes_Proveedores[Ruc / Dni]),2,0),"")</f>
        <v>20601978572</v>
      </c>
      <c r="X2782" s="25"/>
      <c r="Y2782" s="25"/>
      <c r="Z2782" s="25"/>
      <c r="AA2782" s="101"/>
      <c r="AB2782" s="3" t="str">
        <f>IF(BCP_Soles[[#This Row],[FECHA]]&gt;0,TEXT(BCP_Soles[[#This Row],[FECHA]],"mmmm"),0)</f>
        <v>Julio</v>
      </c>
    </row>
    <row r="2783" spans="2:28" x14ac:dyDescent="0.3">
      <c r="B2783" s="2">
        <f>IF(BCP_Soles[[#This Row],[TIPO DE R.]]="R",COUNTIFS($D$4:$D2782,"R")+1,"")</f>
        <v>2019</v>
      </c>
      <c r="C2783" s="19" t="str">
        <f t="shared" si="215"/>
        <v>B-BCP - Soles</v>
      </c>
      <c r="D2783" s="3" t="s">
        <v>1074</v>
      </c>
      <c r="E2783" s="14">
        <v>45859</v>
      </c>
      <c r="F2783" s="5" t="s">
        <v>1078</v>
      </c>
      <c r="G2783" s="5" t="s">
        <v>1079</v>
      </c>
      <c r="H2783" s="6" t="s">
        <v>950</v>
      </c>
      <c r="I2783" s="6" t="s">
        <v>10</v>
      </c>
      <c r="J2783" s="6" t="s">
        <v>3392</v>
      </c>
      <c r="K2783" s="6">
        <v>2019</v>
      </c>
      <c r="L2783" s="7" t="s">
        <v>2868</v>
      </c>
      <c r="M2783" s="8"/>
      <c r="N2783" s="8" t="str">
        <f t="shared" si="216"/>
        <v>PEN</v>
      </c>
      <c r="O2783" s="13"/>
      <c r="P2783" s="13">
        <v>0.4</v>
      </c>
      <c r="Q2783" s="3">
        <f t="shared" si="217"/>
        <v>0</v>
      </c>
      <c r="R2783" s="3">
        <f t="shared" si="218"/>
        <v>0.4</v>
      </c>
      <c r="S2783" s="3">
        <f t="shared" si="219"/>
        <v>10608.340000000027</v>
      </c>
      <c r="T2783" s="24" t="s">
        <v>1081</v>
      </c>
      <c r="U2783" s="24"/>
      <c r="V2783" s="69"/>
      <c r="W2783" s="25">
        <f>IFERROR(VLOOKUP(BCP_Soles[[#This Row],[DESTINATARIO]],CHOOSE({1,2},Clientes_Proveedores[Razon Social],Clientes_Proveedores[Ruc / Dni]),2,0),"")</f>
        <v>11111111</v>
      </c>
      <c r="X2783" s="25"/>
      <c r="Y2783" s="25"/>
      <c r="Z2783" s="25"/>
      <c r="AA2783" s="101"/>
      <c r="AB2783" s="3" t="str">
        <f>IF(BCP_Soles[[#This Row],[FECHA]]&gt;0,TEXT(BCP_Soles[[#This Row],[FECHA]],"mmmm"),0)</f>
        <v>Julio</v>
      </c>
    </row>
    <row r="2784" spans="2:28" ht="24" x14ac:dyDescent="0.3">
      <c r="B2784" s="2">
        <f>IF(BCP_Soles[[#This Row],[TIPO DE R.]]="R",COUNTIFS($D$4:$D2783,"R")+1,"")</f>
        <v>2020</v>
      </c>
      <c r="C2784" s="19" t="str">
        <f t="shared" si="215"/>
        <v>B-BCP - Soles</v>
      </c>
      <c r="D2784" s="3" t="s">
        <v>1074</v>
      </c>
      <c r="E2784" s="14">
        <v>45860</v>
      </c>
      <c r="F2784" s="5" t="s">
        <v>405</v>
      </c>
      <c r="G2784" s="5" t="s">
        <v>1087</v>
      </c>
      <c r="H2784" s="6" t="s">
        <v>368</v>
      </c>
      <c r="I2784" s="6" t="s">
        <v>14</v>
      </c>
      <c r="J2784" s="6" t="s">
        <v>3091</v>
      </c>
      <c r="K2784" s="6">
        <v>48</v>
      </c>
      <c r="L2784" s="7" t="s">
        <v>1100</v>
      </c>
      <c r="M2784" s="8">
        <v>3298905</v>
      </c>
      <c r="N2784" s="8" t="str">
        <f t="shared" si="216"/>
        <v>PEN</v>
      </c>
      <c r="O2784" s="13"/>
      <c r="P2784" s="13">
        <v>512.5</v>
      </c>
      <c r="Q2784" s="3">
        <f t="shared" si="217"/>
        <v>512.5</v>
      </c>
      <c r="R2784" s="3">
        <f t="shared" si="218"/>
        <v>0</v>
      </c>
      <c r="S2784" s="3">
        <f t="shared" si="219"/>
        <v>11120.840000000027</v>
      </c>
      <c r="T2784" s="24" t="s">
        <v>1081</v>
      </c>
      <c r="U2784" s="24" t="s">
        <v>1081</v>
      </c>
      <c r="V2784" s="69"/>
      <c r="W2784" s="25">
        <f>IFERROR(VLOOKUP(BCP_Soles[[#This Row],[DESTINATARIO]],CHOOSE({1,2},Clientes_Proveedores[Razon Social],Clientes_Proveedores[Ruc / Dni]),2,0),"")</f>
        <v>20558226979</v>
      </c>
      <c r="X2784" s="25"/>
      <c r="Y2784" s="25"/>
      <c r="Z2784" s="25"/>
      <c r="AA2784" s="101"/>
      <c r="AB2784" s="3" t="str">
        <f>IF(BCP_Soles[[#This Row],[FECHA]]&gt;0,TEXT(BCP_Soles[[#This Row],[FECHA]],"mmmm"),0)</f>
        <v>Julio</v>
      </c>
    </row>
    <row r="2785" spans="2:28" ht="24" x14ac:dyDescent="0.3">
      <c r="B2785" s="2">
        <f>IF(BCP_Soles[[#This Row],[TIPO DE R.]]="R",COUNTIFS($D$4:$D2784,"R")+1,"")</f>
        <v>2021</v>
      </c>
      <c r="C2785" s="19" t="str">
        <f t="shared" si="215"/>
        <v>B-BCP - Soles</v>
      </c>
      <c r="D2785" s="3" t="s">
        <v>1074</v>
      </c>
      <c r="E2785" s="14">
        <v>45860</v>
      </c>
      <c r="F2785" s="5" t="s">
        <v>405</v>
      </c>
      <c r="G2785" s="5" t="s">
        <v>1087</v>
      </c>
      <c r="H2785" s="6" t="s">
        <v>368</v>
      </c>
      <c r="I2785" s="6" t="s">
        <v>14</v>
      </c>
      <c r="J2785" s="6" t="s">
        <v>3091</v>
      </c>
      <c r="K2785" s="6">
        <v>49</v>
      </c>
      <c r="L2785" s="7" t="s">
        <v>1100</v>
      </c>
      <c r="M2785" s="8">
        <v>3301725</v>
      </c>
      <c r="N2785" s="8" t="str">
        <f t="shared" si="216"/>
        <v>PEN</v>
      </c>
      <c r="O2785" s="13"/>
      <c r="P2785" s="13">
        <v>1242.99</v>
      </c>
      <c r="Q2785" s="3">
        <f t="shared" si="217"/>
        <v>1242.99</v>
      </c>
      <c r="R2785" s="3">
        <f t="shared" si="218"/>
        <v>0</v>
      </c>
      <c r="S2785" s="3">
        <f t="shared" si="219"/>
        <v>12363.830000000027</v>
      </c>
      <c r="T2785" s="24" t="s">
        <v>1081</v>
      </c>
      <c r="U2785" s="24" t="s">
        <v>1081</v>
      </c>
      <c r="V2785" s="69"/>
      <c r="W2785" s="25">
        <f>IFERROR(VLOOKUP(BCP_Soles[[#This Row],[DESTINATARIO]],CHOOSE({1,2},Clientes_Proveedores[Razon Social],Clientes_Proveedores[Ruc / Dni]),2,0),"")</f>
        <v>20558226979</v>
      </c>
      <c r="X2785" s="25"/>
      <c r="Y2785" s="25"/>
      <c r="Z2785" s="25"/>
      <c r="AA2785" s="101"/>
      <c r="AB2785" s="3" t="str">
        <f>IF(BCP_Soles[[#This Row],[FECHA]]&gt;0,TEXT(BCP_Soles[[#This Row],[FECHA]],"mmmm"),0)</f>
        <v>Julio</v>
      </c>
    </row>
    <row r="2786" spans="2:28" x14ac:dyDescent="0.3">
      <c r="B2786" s="2">
        <f>IF(BCP_Soles[[#This Row],[TIPO DE R.]]="R",COUNTIFS($D$4:$D2785,"R")+1,"")</f>
        <v>2022</v>
      </c>
      <c r="C2786" s="19" t="str">
        <f t="shared" si="215"/>
        <v>B-BCP - Soles</v>
      </c>
      <c r="D2786" s="3" t="s">
        <v>1074</v>
      </c>
      <c r="E2786" s="14">
        <v>45860</v>
      </c>
      <c r="F2786" s="5" t="s">
        <v>146</v>
      </c>
      <c r="G2786" s="5" t="s">
        <v>1087</v>
      </c>
      <c r="H2786" s="6" t="s">
        <v>368</v>
      </c>
      <c r="I2786" s="6" t="s">
        <v>14</v>
      </c>
      <c r="J2786" s="6" t="s">
        <v>1521</v>
      </c>
      <c r="K2786" s="6">
        <v>125</v>
      </c>
      <c r="L2786" s="7" t="s">
        <v>3685</v>
      </c>
      <c r="M2786" s="8">
        <v>2285063</v>
      </c>
      <c r="N2786" s="8" t="str">
        <f t="shared" si="216"/>
        <v>PEN</v>
      </c>
      <c r="O2786" s="13"/>
      <c r="P2786" s="13">
        <v>1257.53</v>
      </c>
      <c r="Q2786" s="3">
        <f t="shared" si="217"/>
        <v>1257.53</v>
      </c>
      <c r="R2786" s="3">
        <f t="shared" si="218"/>
        <v>0</v>
      </c>
      <c r="S2786" s="3">
        <f t="shared" si="219"/>
        <v>13621.360000000028</v>
      </c>
      <c r="T2786" s="24" t="s">
        <v>1081</v>
      </c>
      <c r="U2786" s="24" t="s">
        <v>1081</v>
      </c>
      <c r="V2786" s="69"/>
      <c r="W2786" s="25">
        <f>IFERROR(VLOOKUP(BCP_Soles[[#This Row],[DESTINATARIO]],CHOOSE({1,2},Clientes_Proveedores[Razon Social],Clientes_Proveedores[Ruc / Dni]),2,0),"")</f>
        <v>20558226979</v>
      </c>
      <c r="X2786" s="25"/>
      <c r="Y2786" s="25"/>
      <c r="Z2786" s="25"/>
      <c r="AA2786" s="101"/>
      <c r="AB2786" s="3" t="str">
        <f>IF(BCP_Soles[[#This Row],[FECHA]]&gt;0,TEXT(BCP_Soles[[#This Row],[FECHA]],"mmmm"),0)</f>
        <v>Julio</v>
      </c>
    </row>
    <row r="2787" spans="2:28" ht="24" x14ac:dyDescent="0.3">
      <c r="B2787" s="2">
        <f>IF(BCP_Soles[[#This Row],[TIPO DE R.]]="R",COUNTIFS($D$4:$D2786,"R")+1,"")</f>
        <v>2023</v>
      </c>
      <c r="C2787" s="19" t="str">
        <f t="shared" si="215"/>
        <v>B-BCP - Soles</v>
      </c>
      <c r="D2787" s="3" t="s">
        <v>1074</v>
      </c>
      <c r="E2787" s="14">
        <v>45860</v>
      </c>
      <c r="F2787" s="5" t="s">
        <v>1996</v>
      </c>
      <c r="G2787" s="5" t="s">
        <v>1079</v>
      </c>
      <c r="H2787" s="6" t="s">
        <v>731</v>
      </c>
      <c r="I2787" s="6" t="s">
        <v>87</v>
      </c>
      <c r="J2787" s="6"/>
      <c r="K2787" s="6"/>
      <c r="L2787" s="7" t="s">
        <v>3686</v>
      </c>
      <c r="M2787" s="8">
        <v>1233462</v>
      </c>
      <c r="N2787" s="8" t="str">
        <f t="shared" si="216"/>
        <v>PEN</v>
      </c>
      <c r="O2787" s="13"/>
      <c r="P2787" s="13">
        <v>788.7</v>
      </c>
      <c r="Q2787" s="3">
        <f t="shared" si="217"/>
        <v>0</v>
      </c>
      <c r="R2787" s="3">
        <f t="shared" si="218"/>
        <v>788.7</v>
      </c>
      <c r="S2787" s="3">
        <f t="shared" si="219"/>
        <v>12832.660000000027</v>
      </c>
      <c r="T2787" s="24"/>
      <c r="U2787" s="24"/>
      <c r="V2787" s="103" t="s">
        <v>3687</v>
      </c>
      <c r="W2787" s="25">
        <f>IFERROR(VLOOKUP(BCP_Soles[[#This Row],[DESTINATARIO]],CHOOSE({1,2},Clientes_Proveedores[Razon Social],Clientes_Proveedores[Ruc / Dni]),2,0),"")</f>
        <v>72169020</v>
      </c>
      <c r="X2787" s="25"/>
      <c r="Y2787" s="25"/>
      <c r="Z2787" s="25"/>
      <c r="AA2787" s="101"/>
      <c r="AB2787" s="3" t="str">
        <f>IF(BCP_Soles[[#This Row],[FECHA]]&gt;0,TEXT(BCP_Soles[[#This Row],[FECHA]],"mmmm"),0)</f>
        <v>Julio</v>
      </c>
    </row>
    <row r="2788" spans="2:28" ht="36" x14ac:dyDescent="0.3">
      <c r="B2788" s="2">
        <f>IF(BCP_Soles[[#This Row],[TIPO DE R.]]="R",COUNTIFS($D$4:$D2787,"R")+1,"")</f>
        <v>2024</v>
      </c>
      <c r="C2788" s="19" t="str">
        <f t="shared" si="215"/>
        <v>B-BCP - Soles</v>
      </c>
      <c r="D2788" s="3" t="s">
        <v>1074</v>
      </c>
      <c r="E2788" s="14">
        <v>45860</v>
      </c>
      <c r="F2788" s="5" t="s">
        <v>1996</v>
      </c>
      <c r="G2788" s="5" t="s">
        <v>1079</v>
      </c>
      <c r="H2788" s="6" t="s">
        <v>54</v>
      </c>
      <c r="I2788" s="6" t="s">
        <v>14</v>
      </c>
      <c r="J2788" s="6" t="s">
        <v>1119</v>
      </c>
      <c r="K2788" s="6">
        <v>16709</v>
      </c>
      <c r="L2788" s="7" t="s">
        <v>3688</v>
      </c>
      <c r="M2788" s="8">
        <v>1234900</v>
      </c>
      <c r="N2788" s="8" t="str">
        <f t="shared" si="216"/>
        <v>PEN</v>
      </c>
      <c r="O2788" s="13"/>
      <c r="P2788" s="13">
        <v>1232</v>
      </c>
      <c r="Q2788" s="3">
        <f t="shared" si="217"/>
        <v>0</v>
      </c>
      <c r="R2788" s="3">
        <f t="shared" si="218"/>
        <v>1232</v>
      </c>
      <c r="S2788" s="3">
        <f t="shared" si="219"/>
        <v>11600.660000000027</v>
      </c>
      <c r="T2788" s="24" t="s">
        <v>1081</v>
      </c>
      <c r="U2788" s="24"/>
      <c r="V2788" s="103" t="s">
        <v>3689</v>
      </c>
      <c r="W2788" s="25">
        <f>IFERROR(VLOOKUP(BCP_Soles[[#This Row],[DESTINATARIO]],CHOOSE({1,2},Clientes_Proveedores[Razon Social],Clientes_Proveedores[Ruc / Dni]),2,0),"")</f>
        <v>10295259634</v>
      </c>
      <c r="X2788" s="25" t="s">
        <v>3690</v>
      </c>
      <c r="Y2788" s="25"/>
      <c r="Z2788" s="25"/>
      <c r="AA2788" s="101"/>
      <c r="AB2788" s="3" t="str">
        <f>IF(BCP_Soles[[#This Row],[FECHA]]&gt;0,TEXT(BCP_Soles[[#This Row],[FECHA]],"mmmm"),0)</f>
        <v>Julio</v>
      </c>
    </row>
    <row r="2789" spans="2:28" ht="36" x14ac:dyDescent="0.3">
      <c r="B2789" s="2">
        <f>IF(BCP_Soles[[#This Row],[TIPO DE R.]]="R",COUNTIFS($D$4:$D2788,"R")+1,"")</f>
        <v>2025</v>
      </c>
      <c r="C2789" s="19" t="str">
        <f t="shared" si="215"/>
        <v>B-BCP - Soles</v>
      </c>
      <c r="D2789" s="3" t="s">
        <v>1074</v>
      </c>
      <c r="E2789" s="14">
        <v>45860</v>
      </c>
      <c r="F2789" s="5" t="s">
        <v>1996</v>
      </c>
      <c r="G2789" s="5" t="s">
        <v>1079</v>
      </c>
      <c r="H2789" s="6" t="s">
        <v>525</v>
      </c>
      <c r="I2789" s="6"/>
      <c r="J2789" s="6"/>
      <c r="K2789" s="6"/>
      <c r="L2789" s="7" t="s">
        <v>3691</v>
      </c>
      <c r="M2789" s="8">
        <v>1234409</v>
      </c>
      <c r="N2789" s="8" t="str">
        <f t="shared" si="216"/>
        <v>PEN</v>
      </c>
      <c r="O2789" s="13"/>
      <c r="P2789" s="13">
        <v>405</v>
      </c>
      <c r="Q2789" s="3">
        <f t="shared" si="217"/>
        <v>0</v>
      </c>
      <c r="R2789" s="3">
        <f t="shared" si="218"/>
        <v>405</v>
      </c>
      <c r="S2789" s="3">
        <f t="shared" si="219"/>
        <v>11195.660000000027</v>
      </c>
      <c r="T2789" s="24"/>
      <c r="U2789" s="24"/>
      <c r="V2789" s="103" t="s">
        <v>3692</v>
      </c>
      <c r="W2789" s="25">
        <f>IFERROR(VLOOKUP(BCP_Soles[[#This Row],[DESTINATARIO]],CHOOSE({1,2},Clientes_Proveedores[Razon Social],Clientes_Proveedores[Ruc / Dni]),2,0),"")</f>
        <v>20609155303</v>
      </c>
      <c r="X2789" s="25"/>
      <c r="Y2789" s="25"/>
      <c r="Z2789" s="25"/>
      <c r="AA2789" s="101"/>
      <c r="AB2789" s="3" t="str">
        <f>IF(BCP_Soles[[#This Row],[FECHA]]&gt;0,TEXT(BCP_Soles[[#This Row],[FECHA]],"mmmm"),0)</f>
        <v>Julio</v>
      </c>
    </row>
    <row r="2790" spans="2:28" x14ac:dyDescent="0.3">
      <c r="B2790" s="2">
        <f>IF(BCP_Soles[[#This Row],[TIPO DE R.]]="R",COUNTIFS($D$4:$D2789,"R")+1,"")</f>
        <v>2026</v>
      </c>
      <c r="C2790" s="19" t="str">
        <f t="shared" si="215"/>
        <v>B-BCP - Soles</v>
      </c>
      <c r="D2790" s="3" t="s">
        <v>1074</v>
      </c>
      <c r="E2790" s="14">
        <v>45861</v>
      </c>
      <c r="F2790" s="5" t="s">
        <v>1078</v>
      </c>
      <c r="G2790" s="5" t="s">
        <v>1079</v>
      </c>
      <c r="H2790" s="6" t="s">
        <v>950</v>
      </c>
      <c r="I2790" s="6" t="s">
        <v>10</v>
      </c>
      <c r="J2790" s="6" t="s">
        <v>3392</v>
      </c>
      <c r="K2790" s="6">
        <v>2026</v>
      </c>
      <c r="L2790" s="7" t="s">
        <v>2868</v>
      </c>
      <c r="M2790" s="8"/>
      <c r="N2790" s="8" t="str">
        <f t="shared" si="216"/>
        <v>PEN</v>
      </c>
      <c r="O2790" s="13"/>
      <c r="P2790" s="13">
        <v>0.15</v>
      </c>
      <c r="Q2790" s="3">
        <f t="shared" si="217"/>
        <v>0</v>
      </c>
      <c r="R2790" s="3">
        <f t="shared" si="218"/>
        <v>0.15</v>
      </c>
      <c r="S2790" s="3">
        <f t="shared" si="219"/>
        <v>11195.510000000028</v>
      </c>
      <c r="T2790" s="24" t="s">
        <v>1081</v>
      </c>
      <c r="U2790" s="24"/>
      <c r="V2790" s="69"/>
      <c r="W2790" s="25">
        <f>IFERROR(VLOOKUP(BCP_Soles[[#This Row],[DESTINATARIO]],CHOOSE({1,2},Clientes_Proveedores[Razon Social],Clientes_Proveedores[Ruc / Dni]),2,0),"")</f>
        <v>11111111</v>
      </c>
      <c r="X2790" s="25"/>
      <c r="Y2790" s="25"/>
      <c r="Z2790" s="25"/>
      <c r="AA2790" s="101"/>
      <c r="AB2790" s="3" t="str">
        <f>IF(BCP_Soles[[#This Row],[FECHA]]&gt;0,TEXT(BCP_Soles[[#This Row],[FECHA]],"mmmm"),0)</f>
        <v>Julio</v>
      </c>
    </row>
    <row r="2791" spans="2:28" ht="24" x14ac:dyDescent="0.3">
      <c r="B2791" s="2">
        <f>IF(BCP_Soles[[#This Row],[TIPO DE R.]]="R",COUNTIFS($D$4:$D2790,"R")+1,"")</f>
        <v>2027</v>
      </c>
      <c r="C2791" s="19" t="str">
        <f t="shared" si="215"/>
        <v>B-BCP - Soles</v>
      </c>
      <c r="D2791" s="3" t="s">
        <v>1074</v>
      </c>
      <c r="E2791" s="14">
        <v>45862</v>
      </c>
      <c r="F2791" s="5" t="s">
        <v>2801</v>
      </c>
      <c r="G2791" s="5" t="s">
        <v>1087</v>
      </c>
      <c r="H2791" s="6" t="s">
        <v>368</v>
      </c>
      <c r="I2791" s="6" t="s">
        <v>63</v>
      </c>
      <c r="J2791" s="6">
        <v>2</v>
      </c>
      <c r="K2791" s="6">
        <v>816</v>
      </c>
      <c r="L2791" s="7" t="s">
        <v>1100</v>
      </c>
      <c r="M2791" s="8">
        <v>283533</v>
      </c>
      <c r="N2791" s="8" t="str">
        <f t="shared" si="216"/>
        <v>PEN</v>
      </c>
      <c r="O2791" s="13"/>
      <c r="P2791" s="13">
        <v>1875</v>
      </c>
      <c r="Q2791" s="3">
        <f t="shared" si="217"/>
        <v>1875</v>
      </c>
      <c r="R2791" s="3">
        <f t="shared" si="218"/>
        <v>0</v>
      </c>
      <c r="S2791" s="3">
        <f t="shared" si="219"/>
        <v>13070.510000000028</v>
      </c>
      <c r="T2791" s="24" t="s">
        <v>1081</v>
      </c>
      <c r="U2791" s="24" t="s">
        <v>1081</v>
      </c>
      <c r="V2791" s="69"/>
      <c r="W2791" s="25">
        <f>IFERROR(VLOOKUP(BCP_Soles[[#This Row],[DESTINATARIO]],CHOOSE({1,2},Clientes_Proveedores[Razon Social],Clientes_Proveedores[Ruc / Dni]),2,0),"")</f>
        <v>20558226979</v>
      </c>
      <c r="X2791" s="25"/>
      <c r="Y2791" s="25"/>
      <c r="Z2791" s="25"/>
      <c r="AA2791" s="101"/>
      <c r="AB2791" s="3" t="str">
        <f>IF(BCP_Soles[[#This Row],[FECHA]]&gt;0,TEXT(BCP_Soles[[#This Row],[FECHA]],"mmmm"),0)</f>
        <v>Julio</v>
      </c>
    </row>
    <row r="2792" spans="2:28" ht="24" x14ac:dyDescent="0.3">
      <c r="B2792" s="2">
        <f>IF(BCP_Soles[[#This Row],[TIPO DE R.]]="R",COUNTIFS($D$4:$D2791,"R")+1,"")</f>
        <v>2028</v>
      </c>
      <c r="C2792" s="19" t="str">
        <f t="shared" si="215"/>
        <v>B-BCP - Soles</v>
      </c>
      <c r="D2792" s="3" t="s">
        <v>1074</v>
      </c>
      <c r="E2792" s="14">
        <v>45862</v>
      </c>
      <c r="F2792" s="5" t="s">
        <v>147</v>
      </c>
      <c r="G2792" s="5" t="s">
        <v>1087</v>
      </c>
      <c r="H2792" s="6" t="s">
        <v>368</v>
      </c>
      <c r="I2792" s="6"/>
      <c r="J2792" s="6"/>
      <c r="K2792" s="6"/>
      <c r="L2792" s="7" t="s">
        <v>1095</v>
      </c>
      <c r="M2792" s="8">
        <v>3799458</v>
      </c>
      <c r="N2792" s="8" t="str">
        <f t="shared" si="216"/>
        <v>PEN</v>
      </c>
      <c r="O2792" s="13"/>
      <c r="P2792" s="13">
        <v>6634.76</v>
      </c>
      <c r="Q2792" s="3">
        <f t="shared" si="217"/>
        <v>6634.76</v>
      </c>
      <c r="R2792" s="3">
        <f t="shared" si="218"/>
        <v>0</v>
      </c>
      <c r="S2792" s="3">
        <f t="shared" si="219"/>
        <v>19705.270000000026</v>
      </c>
      <c r="T2792" s="24" t="s">
        <v>1081</v>
      </c>
      <c r="U2792" s="24"/>
      <c r="V2792" s="69"/>
      <c r="W2792" s="25">
        <f>IFERROR(VLOOKUP(BCP_Soles[[#This Row],[DESTINATARIO]],CHOOSE({1,2},Clientes_Proveedores[Razon Social],Clientes_Proveedores[Ruc / Dni]),2,0),"")</f>
        <v>20558226979</v>
      </c>
      <c r="X2792" s="25"/>
      <c r="Y2792" s="25"/>
      <c r="Z2792" s="25"/>
      <c r="AA2792" s="101"/>
      <c r="AB2792" s="3" t="str">
        <f>IF(BCP_Soles[[#This Row],[FECHA]]&gt;0,TEXT(BCP_Soles[[#This Row],[FECHA]],"mmmm"),0)</f>
        <v>Julio</v>
      </c>
    </row>
    <row r="2793" spans="2:28" ht="24" x14ac:dyDescent="0.3">
      <c r="B2793" s="2" t="str">
        <f>IF(BCP_Soles[[#This Row],[TIPO DE R.]]="R",COUNTIFS($D$4:$D2792,"R")+1,"")</f>
        <v/>
      </c>
      <c r="C2793" s="19" t="str">
        <f t="shared" si="215"/>
        <v>B-BCP - Soles</v>
      </c>
      <c r="D2793" s="3" t="s">
        <v>1101</v>
      </c>
      <c r="E2793" s="14">
        <v>45862</v>
      </c>
      <c r="F2793" s="5" t="s">
        <v>147</v>
      </c>
      <c r="G2793" s="5"/>
      <c r="H2793" s="6"/>
      <c r="I2793" s="6" t="s">
        <v>14</v>
      </c>
      <c r="J2793" s="6" t="s">
        <v>3010</v>
      </c>
      <c r="K2793" s="6">
        <v>76</v>
      </c>
      <c r="L2793" s="7" t="s">
        <v>1095</v>
      </c>
      <c r="M2793" s="8">
        <v>3799458</v>
      </c>
      <c r="N2793" s="8" t="str">
        <f t="shared" si="216"/>
        <v>PEN</v>
      </c>
      <c r="O2793" s="13">
        <f>+P2792-O2794</f>
        <v>1534.2200000000003</v>
      </c>
      <c r="P2793" s="13"/>
      <c r="Q2793" s="3">
        <f t="shared" si="217"/>
        <v>0</v>
      </c>
      <c r="R2793" s="3">
        <f t="shared" si="218"/>
        <v>0</v>
      </c>
      <c r="S2793" s="3">
        <f t="shared" si="219"/>
        <v>19705.270000000026</v>
      </c>
      <c r="T2793" s="24" t="s">
        <v>1081</v>
      </c>
      <c r="U2793" s="24"/>
      <c r="V2793" s="69"/>
      <c r="W2793" s="25" t="str">
        <f>IFERROR(VLOOKUP(BCP_Soles[[#This Row],[DESTINATARIO]],CHOOSE({1,2},Clientes_Proveedores[Razon Social],Clientes_Proveedores[Ruc / Dni]),2,0),"")</f>
        <v/>
      </c>
      <c r="X2793" s="25"/>
      <c r="Y2793" s="25"/>
      <c r="Z2793" s="25"/>
      <c r="AA2793" s="101"/>
      <c r="AB2793" s="3" t="str">
        <f>IF(BCP_Soles[[#This Row],[FECHA]]&gt;0,TEXT(BCP_Soles[[#This Row],[FECHA]],"mmmm"),0)</f>
        <v>Julio</v>
      </c>
    </row>
    <row r="2794" spans="2:28" ht="24" x14ac:dyDescent="0.3">
      <c r="B2794" s="2" t="str">
        <f>IF(BCP_Soles[[#This Row],[TIPO DE R.]]="R",COUNTIFS($D$4:$D2793,"R")+1,"")</f>
        <v/>
      </c>
      <c r="C2794" s="19" t="str">
        <f t="shared" si="215"/>
        <v>B-BCP - Soles</v>
      </c>
      <c r="D2794" s="3" t="s">
        <v>1101</v>
      </c>
      <c r="E2794" s="14">
        <v>45862</v>
      </c>
      <c r="F2794" s="5" t="s">
        <v>147</v>
      </c>
      <c r="G2794" s="5"/>
      <c r="H2794" s="6"/>
      <c r="I2794" s="6" t="s">
        <v>14</v>
      </c>
      <c r="J2794" s="6" t="s">
        <v>1521</v>
      </c>
      <c r="K2794" s="6">
        <v>133</v>
      </c>
      <c r="L2794" s="7" t="s">
        <v>1095</v>
      </c>
      <c r="M2794" s="8">
        <v>3799458</v>
      </c>
      <c r="N2794" s="8" t="str">
        <f t="shared" si="216"/>
        <v>PEN</v>
      </c>
      <c r="O2794" s="13">
        <v>5100.54</v>
      </c>
      <c r="P2794" s="13"/>
      <c r="Q2794" s="3">
        <f t="shared" si="217"/>
        <v>0</v>
      </c>
      <c r="R2794" s="3">
        <f t="shared" si="218"/>
        <v>0</v>
      </c>
      <c r="S2794" s="3">
        <f t="shared" si="219"/>
        <v>19705.270000000026</v>
      </c>
      <c r="T2794" s="24" t="s">
        <v>1081</v>
      </c>
      <c r="U2794" s="24"/>
      <c r="V2794" s="69"/>
      <c r="W2794" s="25" t="str">
        <f>IFERROR(VLOOKUP(BCP_Soles[[#This Row],[DESTINATARIO]],CHOOSE({1,2},Clientes_Proveedores[Razon Social],Clientes_Proveedores[Ruc / Dni]),2,0),"")</f>
        <v/>
      </c>
      <c r="X2794" s="25"/>
      <c r="Y2794" s="25"/>
      <c r="Z2794" s="25"/>
      <c r="AA2794" s="101"/>
      <c r="AB2794" s="3" t="str">
        <f>IF(BCP_Soles[[#This Row],[FECHA]]&gt;0,TEXT(BCP_Soles[[#This Row],[FECHA]],"mmmm"),0)</f>
        <v>Julio</v>
      </c>
    </row>
    <row r="2795" spans="2:28" x14ac:dyDescent="0.3">
      <c r="B2795" s="2">
        <f>IF(BCP_Soles[[#This Row],[TIPO DE R.]]="R",COUNTIFS($D$4:$D2794,"R")+1,"")</f>
        <v>2029</v>
      </c>
      <c r="C2795" s="19" t="str">
        <f t="shared" si="215"/>
        <v>B-BCP - Soles</v>
      </c>
      <c r="D2795" s="3" t="s">
        <v>1074</v>
      </c>
      <c r="E2795" s="14">
        <v>45862</v>
      </c>
      <c r="F2795" s="5" t="s">
        <v>1239</v>
      </c>
      <c r="G2795" s="5" t="s">
        <v>1087</v>
      </c>
      <c r="H2795" s="6" t="s">
        <v>368</v>
      </c>
      <c r="I2795" s="6" t="s">
        <v>63</v>
      </c>
      <c r="J2795" s="6">
        <v>1</v>
      </c>
      <c r="K2795" s="6">
        <v>4626</v>
      </c>
      <c r="L2795" s="7" t="s">
        <v>1100</v>
      </c>
      <c r="M2795" s="8">
        <v>1897497</v>
      </c>
      <c r="N2795" s="8" t="str">
        <f t="shared" si="216"/>
        <v>PEN</v>
      </c>
      <c r="O2795" s="13"/>
      <c r="P2795" s="13">
        <v>300</v>
      </c>
      <c r="Q2795" s="3">
        <f t="shared" si="217"/>
        <v>300</v>
      </c>
      <c r="R2795" s="3">
        <f t="shared" si="218"/>
        <v>0</v>
      </c>
      <c r="S2795" s="3">
        <f t="shared" si="219"/>
        <v>20005.270000000026</v>
      </c>
      <c r="T2795" s="24" t="s">
        <v>1081</v>
      </c>
      <c r="U2795" s="24" t="s">
        <v>1081</v>
      </c>
      <c r="V2795" s="69"/>
      <c r="W2795" s="25">
        <f>IFERROR(VLOOKUP(BCP_Soles[[#This Row],[DESTINATARIO]],CHOOSE({1,2},Clientes_Proveedores[Razon Social],Clientes_Proveedores[Ruc / Dni]),2,0),"")</f>
        <v>20558226979</v>
      </c>
      <c r="X2795" s="25"/>
      <c r="Y2795" s="25"/>
      <c r="Z2795" s="25"/>
      <c r="AA2795" s="101"/>
      <c r="AB2795" s="3" t="str">
        <f>IF(BCP_Soles[[#This Row],[FECHA]]&gt;0,TEXT(BCP_Soles[[#This Row],[FECHA]],"mmmm"),0)</f>
        <v>Julio</v>
      </c>
    </row>
    <row r="2796" spans="2:28" ht="24" x14ac:dyDescent="0.3">
      <c r="B2796" s="2">
        <f>IF(BCP_Soles[[#This Row],[TIPO DE R.]]="R",COUNTIFS($D$4:$D2795,"R")+1,"")</f>
        <v>2030</v>
      </c>
      <c r="C2796" s="19" t="str">
        <f t="shared" si="215"/>
        <v>B-BCP - Soles</v>
      </c>
      <c r="D2796" s="3" t="s">
        <v>1074</v>
      </c>
      <c r="E2796" s="14">
        <v>45862</v>
      </c>
      <c r="F2796" s="5" t="s">
        <v>405</v>
      </c>
      <c r="G2796" s="5" t="s">
        <v>1087</v>
      </c>
      <c r="H2796" s="6" t="s">
        <v>368</v>
      </c>
      <c r="I2796" s="6" t="s">
        <v>14</v>
      </c>
      <c r="J2796" s="6" t="s">
        <v>3091</v>
      </c>
      <c r="K2796" s="6">
        <v>50</v>
      </c>
      <c r="L2796" s="7" t="s">
        <v>1100</v>
      </c>
      <c r="M2796" s="8">
        <v>1528486</v>
      </c>
      <c r="N2796" s="8" t="str">
        <f t="shared" si="216"/>
        <v>PEN</v>
      </c>
      <c r="O2796" s="13"/>
      <c r="P2796" s="13">
        <v>1712.48</v>
      </c>
      <c r="Q2796" s="3">
        <f t="shared" si="217"/>
        <v>1712.48</v>
      </c>
      <c r="R2796" s="3">
        <f t="shared" si="218"/>
        <v>0</v>
      </c>
      <c r="S2796" s="3">
        <f t="shared" si="219"/>
        <v>21717.750000000025</v>
      </c>
      <c r="T2796" s="24" t="s">
        <v>1081</v>
      </c>
      <c r="U2796" s="24" t="s">
        <v>1081</v>
      </c>
      <c r="V2796" s="69"/>
      <c r="W2796" s="25">
        <f>IFERROR(VLOOKUP(BCP_Soles[[#This Row],[DESTINATARIO]],CHOOSE({1,2},Clientes_Proveedores[Razon Social],Clientes_Proveedores[Ruc / Dni]),2,0),"")</f>
        <v>20558226979</v>
      </c>
      <c r="X2796" s="25"/>
      <c r="Y2796" s="25"/>
      <c r="Z2796" s="25"/>
      <c r="AA2796" s="101"/>
      <c r="AB2796" s="3" t="str">
        <f>IF(BCP_Soles[[#This Row],[FECHA]]&gt;0,TEXT(BCP_Soles[[#This Row],[FECHA]],"mmmm"),0)</f>
        <v>Julio</v>
      </c>
    </row>
    <row r="2797" spans="2:28" x14ac:dyDescent="0.3">
      <c r="B2797" s="2">
        <f>IF(BCP_Soles[[#This Row],[TIPO DE R.]]="R",COUNTIFS($D$4:$D2796,"R")+1,"")</f>
        <v>2031</v>
      </c>
      <c r="C2797" s="19" t="str">
        <f t="shared" si="215"/>
        <v>B-BCP - Soles</v>
      </c>
      <c r="D2797" s="3" t="s">
        <v>1074</v>
      </c>
      <c r="E2797" s="14">
        <v>45862</v>
      </c>
      <c r="F2797" s="5"/>
      <c r="G2797" s="5" t="s">
        <v>1087</v>
      </c>
      <c r="H2797" s="6" t="s">
        <v>368</v>
      </c>
      <c r="I2797" s="6"/>
      <c r="J2797" s="6"/>
      <c r="K2797" s="6"/>
      <c r="L2797" s="7" t="s">
        <v>3693</v>
      </c>
      <c r="M2797" s="8">
        <v>4022891</v>
      </c>
      <c r="N2797" s="8" t="str">
        <f t="shared" si="216"/>
        <v>PEN</v>
      </c>
      <c r="O2797" s="13"/>
      <c r="P2797" s="13">
        <v>31287.13</v>
      </c>
      <c r="Q2797" s="3">
        <f t="shared" si="217"/>
        <v>31287.13</v>
      </c>
      <c r="R2797" s="3">
        <f t="shared" si="218"/>
        <v>0</v>
      </c>
      <c r="S2797" s="3">
        <f t="shared" si="219"/>
        <v>53004.880000000026</v>
      </c>
      <c r="T2797" s="24" t="s">
        <v>1081</v>
      </c>
      <c r="U2797" s="24" t="s">
        <v>1081</v>
      </c>
      <c r="V2797" s="69"/>
      <c r="W2797" s="25">
        <f>IFERROR(VLOOKUP(BCP_Soles[[#This Row],[DESTINATARIO]],CHOOSE({1,2},Clientes_Proveedores[Razon Social],Clientes_Proveedores[Ruc / Dni]),2,0),"")</f>
        <v>20558226979</v>
      </c>
      <c r="X2797" s="25"/>
      <c r="Y2797" s="25"/>
      <c r="Z2797" s="25"/>
      <c r="AA2797" s="101"/>
      <c r="AB2797" s="3" t="str">
        <f>IF(BCP_Soles[[#This Row],[FECHA]]&gt;0,TEXT(BCP_Soles[[#This Row],[FECHA]],"mmmm"),0)</f>
        <v>Julio</v>
      </c>
    </row>
    <row r="2798" spans="2:28" x14ac:dyDescent="0.3">
      <c r="B2798" s="2" t="str">
        <f>IF(BCP_Soles[[#This Row],[TIPO DE R.]]="R",COUNTIFS($D$4:$D2797,"R")+1,"")</f>
        <v/>
      </c>
      <c r="C2798" s="19" t="str">
        <f t="shared" si="215"/>
        <v>B-BCP - Soles</v>
      </c>
      <c r="D2798" s="3" t="s">
        <v>1101</v>
      </c>
      <c r="E2798" s="14">
        <v>45862</v>
      </c>
      <c r="F2798" s="84" t="s">
        <v>214</v>
      </c>
      <c r="G2798" s="5"/>
      <c r="H2798" s="6"/>
      <c r="I2798" s="6" t="s">
        <v>14</v>
      </c>
      <c r="J2798" s="6" t="s">
        <v>1521</v>
      </c>
      <c r="K2798" s="6">
        <v>146</v>
      </c>
      <c r="L2798" s="7" t="s">
        <v>3693</v>
      </c>
      <c r="M2798" s="8">
        <v>4022891</v>
      </c>
      <c r="N2798" s="8" t="str">
        <f t="shared" si="216"/>
        <v>PEN</v>
      </c>
      <c r="O2798" s="13">
        <v>1485.05</v>
      </c>
      <c r="P2798" s="13"/>
      <c r="Q2798" s="3">
        <f t="shared" si="217"/>
        <v>0</v>
      </c>
      <c r="R2798" s="3">
        <f t="shared" si="218"/>
        <v>0</v>
      </c>
      <c r="S2798" s="3">
        <f t="shared" si="219"/>
        <v>53004.880000000026</v>
      </c>
      <c r="T2798" s="24" t="s">
        <v>1081</v>
      </c>
      <c r="U2798" s="24" t="s">
        <v>1081</v>
      </c>
      <c r="V2798" s="69"/>
      <c r="W2798" s="25" t="str">
        <f>IFERROR(VLOOKUP(BCP_Soles[[#This Row],[DESTINATARIO]],CHOOSE({1,2},Clientes_Proveedores[Razon Social],Clientes_Proveedores[Ruc / Dni]),2,0),"")</f>
        <v/>
      </c>
      <c r="X2798" s="25"/>
      <c r="Y2798" s="25"/>
      <c r="Z2798" s="25"/>
      <c r="AA2798" s="101"/>
      <c r="AB2798" s="3" t="str">
        <f>IF(BCP_Soles[[#This Row],[FECHA]]&gt;0,TEXT(BCP_Soles[[#This Row],[FECHA]],"mmmm"),0)</f>
        <v>Julio</v>
      </c>
    </row>
    <row r="2799" spans="2:28" x14ac:dyDescent="0.3">
      <c r="B2799" s="2" t="str">
        <f>IF(BCP_Soles[[#This Row],[TIPO DE R.]]="R",COUNTIFS($D$4:$D2798,"R")+1,"")</f>
        <v/>
      </c>
      <c r="C2799" s="19" t="str">
        <f t="shared" si="215"/>
        <v>B-BCP - Soles</v>
      </c>
      <c r="D2799" s="3" t="s">
        <v>1101</v>
      </c>
      <c r="E2799" s="14">
        <v>45862</v>
      </c>
      <c r="F2799" s="84" t="s">
        <v>214</v>
      </c>
      <c r="G2799" s="5"/>
      <c r="H2799" s="6"/>
      <c r="I2799" s="6" t="s">
        <v>14</v>
      </c>
      <c r="J2799" s="6" t="s">
        <v>1521</v>
      </c>
      <c r="K2799" s="6">
        <v>147</v>
      </c>
      <c r="L2799" s="7" t="s">
        <v>3693</v>
      </c>
      <c r="M2799" s="8">
        <v>4022891</v>
      </c>
      <c r="N2799" s="8" t="str">
        <f t="shared" si="216"/>
        <v>PEN</v>
      </c>
      <c r="O2799" s="13">
        <v>1776.63</v>
      </c>
      <c r="P2799" s="13"/>
      <c r="Q2799" s="3">
        <f t="shared" si="217"/>
        <v>0</v>
      </c>
      <c r="R2799" s="3">
        <f t="shared" si="218"/>
        <v>0</v>
      </c>
      <c r="S2799" s="3">
        <f t="shared" si="219"/>
        <v>53004.880000000026</v>
      </c>
      <c r="T2799" s="24" t="s">
        <v>1081</v>
      </c>
      <c r="U2799" s="24" t="s">
        <v>1081</v>
      </c>
      <c r="V2799" s="69"/>
      <c r="W2799" s="25" t="str">
        <f>IFERROR(VLOOKUP(BCP_Soles[[#This Row],[DESTINATARIO]],CHOOSE({1,2},Clientes_Proveedores[Razon Social],Clientes_Proveedores[Ruc / Dni]),2,0),"")</f>
        <v/>
      </c>
      <c r="X2799" s="25"/>
      <c r="Y2799" s="25"/>
      <c r="Z2799" s="25"/>
      <c r="AA2799" s="101"/>
      <c r="AB2799" s="3" t="str">
        <f>IF(BCP_Soles[[#This Row],[FECHA]]&gt;0,TEXT(BCP_Soles[[#This Row],[FECHA]],"mmmm"),0)</f>
        <v>Julio</v>
      </c>
    </row>
    <row r="2800" spans="2:28" x14ac:dyDescent="0.3">
      <c r="B2800" s="2" t="str">
        <f>IF(BCP_Soles[[#This Row],[TIPO DE R.]]="R",COUNTIFS($D$4:$D2799,"R")+1,"")</f>
        <v/>
      </c>
      <c r="C2800" s="19" t="str">
        <f t="shared" si="215"/>
        <v>B-BCP - Soles</v>
      </c>
      <c r="D2800" s="3" t="s">
        <v>1101</v>
      </c>
      <c r="E2800" s="14">
        <v>45862</v>
      </c>
      <c r="F2800" s="84" t="s">
        <v>214</v>
      </c>
      <c r="G2800" s="5"/>
      <c r="H2800" s="6"/>
      <c r="I2800" s="6" t="s">
        <v>14</v>
      </c>
      <c r="J2800" s="6" t="s">
        <v>1521</v>
      </c>
      <c r="K2800" s="6">
        <v>148</v>
      </c>
      <c r="L2800" s="7" t="s">
        <v>3693</v>
      </c>
      <c r="M2800" s="8">
        <v>4022891</v>
      </c>
      <c r="N2800" s="8" t="str">
        <f t="shared" si="216"/>
        <v>PEN</v>
      </c>
      <c r="O2800" s="13">
        <v>1485.05</v>
      </c>
      <c r="P2800" s="13"/>
      <c r="Q2800" s="3">
        <f t="shared" si="217"/>
        <v>0</v>
      </c>
      <c r="R2800" s="3">
        <f t="shared" si="218"/>
        <v>0</v>
      </c>
      <c r="S2800" s="3">
        <f t="shared" si="219"/>
        <v>53004.880000000026</v>
      </c>
      <c r="T2800" s="24" t="s">
        <v>1081</v>
      </c>
      <c r="U2800" s="24" t="s">
        <v>1081</v>
      </c>
      <c r="V2800" s="69"/>
      <c r="W2800" s="25" t="str">
        <f>IFERROR(VLOOKUP(BCP_Soles[[#This Row],[DESTINATARIO]],CHOOSE({1,2},Clientes_Proveedores[Razon Social],Clientes_Proveedores[Ruc / Dni]),2,0),"")</f>
        <v/>
      </c>
      <c r="X2800" s="25"/>
      <c r="Y2800" s="25"/>
      <c r="Z2800" s="25"/>
      <c r="AA2800" s="101"/>
      <c r="AB2800" s="3" t="str">
        <f>IF(BCP_Soles[[#This Row],[FECHA]]&gt;0,TEXT(BCP_Soles[[#This Row],[FECHA]],"mmmm"),0)</f>
        <v>Julio</v>
      </c>
    </row>
    <row r="2801" spans="1:28" x14ac:dyDescent="0.3">
      <c r="B2801" s="2" t="str">
        <f>IF(BCP_Soles[[#This Row],[TIPO DE R.]]="R",COUNTIFS($D$4:$D2800,"R")+1,"")</f>
        <v/>
      </c>
      <c r="C2801" s="19" t="str">
        <f t="shared" si="215"/>
        <v>B-BCP - Soles</v>
      </c>
      <c r="D2801" s="3" t="s">
        <v>1101</v>
      </c>
      <c r="E2801" s="14">
        <v>45862</v>
      </c>
      <c r="F2801" s="84" t="s">
        <v>214</v>
      </c>
      <c r="G2801" s="5"/>
      <c r="H2801" s="6"/>
      <c r="I2801" s="6" t="s">
        <v>14</v>
      </c>
      <c r="J2801" s="6" t="s">
        <v>1521</v>
      </c>
      <c r="K2801" s="6">
        <v>149</v>
      </c>
      <c r="L2801" s="7" t="s">
        <v>3693</v>
      </c>
      <c r="M2801" s="8">
        <v>4022891</v>
      </c>
      <c r="N2801" s="8" t="str">
        <f t="shared" si="216"/>
        <v>PEN</v>
      </c>
      <c r="O2801" s="13">
        <v>1485.05</v>
      </c>
      <c r="P2801" s="13"/>
      <c r="Q2801" s="3">
        <f t="shared" si="217"/>
        <v>0</v>
      </c>
      <c r="R2801" s="3">
        <f t="shared" si="218"/>
        <v>0</v>
      </c>
      <c r="S2801" s="3">
        <f t="shared" si="219"/>
        <v>53004.880000000026</v>
      </c>
      <c r="T2801" s="24" t="s">
        <v>1081</v>
      </c>
      <c r="U2801" s="24" t="s">
        <v>1081</v>
      </c>
      <c r="V2801" s="69"/>
      <c r="W2801" s="25" t="str">
        <f>IFERROR(VLOOKUP(BCP_Soles[[#This Row],[DESTINATARIO]],CHOOSE({1,2},Clientes_Proveedores[Razon Social],Clientes_Proveedores[Ruc / Dni]),2,0),"")</f>
        <v/>
      </c>
      <c r="X2801" s="25"/>
      <c r="Y2801" s="25"/>
      <c r="Z2801" s="25"/>
      <c r="AA2801" s="101"/>
      <c r="AB2801" s="3" t="str">
        <f>IF(BCP_Soles[[#This Row],[FECHA]]&gt;0,TEXT(BCP_Soles[[#This Row],[FECHA]],"mmmm"),0)</f>
        <v>Julio</v>
      </c>
    </row>
    <row r="2802" spans="1:28" x14ac:dyDescent="0.3">
      <c r="B2802" s="2" t="str">
        <f>IF(BCP_Soles[[#This Row],[TIPO DE R.]]="R",COUNTIFS($D$4:$D2801,"R")+1,"")</f>
        <v/>
      </c>
      <c r="C2802" s="19" t="str">
        <f t="shared" si="215"/>
        <v>B-BCP - Soles</v>
      </c>
      <c r="D2802" s="3" t="s">
        <v>1101</v>
      </c>
      <c r="E2802" s="14">
        <v>45862</v>
      </c>
      <c r="F2802" s="84" t="s">
        <v>214</v>
      </c>
      <c r="G2802" s="5"/>
      <c r="H2802" s="6"/>
      <c r="I2802" s="6" t="s">
        <v>14</v>
      </c>
      <c r="J2802" s="6" t="s">
        <v>1521</v>
      </c>
      <c r="K2802" s="6">
        <v>150</v>
      </c>
      <c r="L2802" s="7" t="s">
        <v>3693</v>
      </c>
      <c r="M2802" s="8">
        <v>4022891</v>
      </c>
      <c r="N2802" s="8" t="str">
        <f t="shared" si="216"/>
        <v>PEN</v>
      </c>
      <c r="O2802" s="13">
        <v>1485.05</v>
      </c>
      <c r="P2802" s="13"/>
      <c r="Q2802" s="3">
        <f t="shared" si="217"/>
        <v>0</v>
      </c>
      <c r="R2802" s="3">
        <f t="shared" si="218"/>
        <v>0</v>
      </c>
      <c r="S2802" s="3">
        <f t="shared" si="219"/>
        <v>53004.880000000026</v>
      </c>
      <c r="T2802" s="24" t="s">
        <v>1081</v>
      </c>
      <c r="U2802" s="24" t="s">
        <v>1081</v>
      </c>
      <c r="V2802" s="69"/>
      <c r="W2802" s="25" t="str">
        <f>IFERROR(VLOOKUP(BCP_Soles[[#This Row],[DESTINATARIO]],CHOOSE({1,2},Clientes_Proveedores[Razon Social],Clientes_Proveedores[Ruc / Dni]),2,0),"")</f>
        <v/>
      </c>
      <c r="X2802" s="25"/>
      <c r="Y2802" s="25"/>
      <c r="Z2802" s="25"/>
      <c r="AA2802" s="101"/>
      <c r="AB2802" s="3" t="str">
        <f>IF(BCP_Soles[[#This Row],[FECHA]]&gt;0,TEXT(BCP_Soles[[#This Row],[FECHA]],"mmmm"),0)</f>
        <v>Julio</v>
      </c>
    </row>
    <row r="2803" spans="1:28" x14ac:dyDescent="0.3">
      <c r="B2803" s="2" t="str">
        <f>IF(BCP_Soles[[#This Row],[TIPO DE R.]]="R",COUNTIFS($D$4:$D2802,"R")+1,"")</f>
        <v/>
      </c>
      <c r="C2803" s="19" t="str">
        <f t="shared" si="215"/>
        <v>B-BCP - Soles</v>
      </c>
      <c r="D2803" s="3" t="s">
        <v>1101</v>
      </c>
      <c r="E2803" s="14">
        <v>45862</v>
      </c>
      <c r="F2803" s="84" t="s">
        <v>214</v>
      </c>
      <c r="G2803" s="5"/>
      <c r="H2803" s="6"/>
      <c r="I2803" s="6" t="s">
        <v>14</v>
      </c>
      <c r="J2803" s="6" t="s">
        <v>1521</v>
      </c>
      <c r="K2803" s="6">
        <v>151</v>
      </c>
      <c r="L2803" s="7" t="s">
        <v>3693</v>
      </c>
      <c r="M2803" s="8">
        <v>4022891</v>
      </c>
      <c r="N2803" s="8" t="str">
        <f t="shared" si="216"/>
        <v>PEN</v>
      </c>
      <c r="O2803" s="13">
        <v>1485.05</v>
      </c>
      <c r="P2803" s="13"/>
      <c r="Q2803" s="3">
        <f t="shared" si="217"/>
        <v>0</v>
      </c>
      <c r="R2803" s="3">
        <f t="shared" si="218"/>
        <v>0</v>
      </c>
      <c r="S2803" s="3">
        <f t="shared" si="219"/>
        <v>53004.880000000026</v>
      </c>
      <c r="T2803" s="24" t="s">
        <v>1081</v>
      </c>
      <c r="U2803" s="24" t="s">
        <v>1081</v>
      </c>
      <c r="V2803" s="69"/>
      <c r="W2803" s="25" t="str">
        <f>IFERROR(VLOOKUP(BCP_Soles[[#This Row],[DESTINATARIO]],CHOOSE({1,2},Clientes_Proveedores[Razon Social],Clientes_Proveedores[Ruc / Dni]),2,0),"")</f>
        <v/>
      </c>
      <c r="X2803" s="25"/>
      <c r="Y2803" s="25"/>
      <c r="Z2803" s="25"/>
      <c r="AA2803" s="101"/>
      <c r="AB2803" s="3" t="str">
        <f>IF(BCP_Soles[[#This Row],[FECHA]]&gt;0,TEXT(BCP_Soles[[#This Row],[FECHA]],"mmmm"),0)</f>
        <v>Julio</v>
      </c>
    </row>
    <row r="2804" spans="1:28" x14ac:dyDescent="0.3">
      <c r="B2804" s="2" t="str">
        <f>IF(BCP_Soles[[#This Row],[TIPO DE R.]]="R",COUNTIFS($D$4:$D2803,"R")+1,"")</f>
        <v/>
      </c>
      <c r="C2804" s="19" t="str">
        <f t="shared" si="215"/>
        <v>B-BCP - Soles</v>
      </c>
      <c r="D2804" s="3" t="s">
        <v>1101</v>
      </c>
      <c r="E2804" s="14">
        <v>45862</v>
      </c>
      <c r="F2804" s="84" t="s">
        <v>214</v>
      </c>
      <c r="G2804" s="5"/>
      <c r="H2804" s="6"/>
      <c r="I2804" s="6" t="s">
        <v>14</v>
      </c>
      <c r="J2804" s="6" t="s">
        <v>1521</v>
      </c>
      <c r="K2804" s="6">
        <v>152</v>
      </c>
      <c r="L2804" s="7" t="s">
        <v>3693</v>
      </c>
      <c r="M2804" s="8">
        <v>4022891</v>
      </c>
      <c r="N2804" s="8" t="str">
        <f t="shared" si="216"/>
        <v>PEN</v>
      </c>
      <c r="O2804" s="13">
        <v>1951.86</v>
      </c>
      <c r="P2804" s="13"/>
      <c r="Q2804" s="3">
        <f t="shared" si="217"/>
        <v>0</v>
      </c>
      <c r="R2804" s="3">
        <f t="shared" si="218"/>
        <v>0</v>
      </c>
      <c r="S2804" s="3">
        <f t="shared" si="219"/>
        <v>53004.880000000026</v>
      </c>
      <c r="T2804" s="24" t="s">
        <v>1081</v>
      </c>
      <c r="U2804" s="24" t="s">
        <v>1081</v>
      </c>
      <c r="V2804" s="69"/>
      <c r="W2804" s="25" t="str">
        <f>IFERROR(VLOOKUP(BCP_Soles[[#This Row],[DESTINATARIO]],CHOOSE({1,2},Clientes_Proveedores[Razon Social],Clientes_Proveedores[Ruc / Dni]),2,0),"")</f>
        <v/>
      </c>
      <c r="X2804" s="25"/>
      <c r="Y2804" s="25"/>
      <c r="Z2804" s="25"/>
      <c r="AA2804" s="101"/>
      <c r="AB2804" s="3" t="str">
        <f>IF(BCP_Soles[[#This Row],[FECHA]]&gt;0,TEXT(BCP_Soles[[#This Row],[FECHA]],"mmmm"),0)</f>
        <v>Julio</v>
      </c>
    </row>
    <row r="2805" spans="1:28" x14ac:dyDescent="0.3">
      <c r="B2805" s="2" t="str">
        <f>IF(BCP_Soles[[#This Row],[TIPO DE R.]]="R",COUNTIFS($D$4:$D2804,"R")+1,"")</f>
        <v/>
      </c>
      <c r="C2805" s="19" t="str">
        <f t="shared" si="215"/>
        <v>B-BCP - Soles</v>
      </c>
      <c r="D2805" s="3" t="s">
        <v>1101</v>
      </c>
      <c r="E2805" s="14">
        <v>45862</v>
      </c>
      <c r="F2805" s="84" t="s">
        <v>214</v>
      </c>
      <c r="G2805" s="5"/>
      <c r="H2805" s="6"/>
      <c r="I2805" s="6" t="s">
        <v>14</v>
      </c>
      <c r="J2805" s="6" t="s">
        <v>1521</v>
      </c>
      <c r="K2805" s="6">
        <v>153</v>
      </c>
      <c r="L2805" s="7" t="s">
        <v>3693</v>
      </c>
      <c r="M2805" s="8">
        <v>4022891</v>
      </c>
      <c r="N2805" s="8" t="str">
        <f t="shared" si="216"/>
        <v>PEN</v>
      </c>
      <c r="O2805" s="13">
        <v>1485.05</v>
      </c>
      <c r="P2805" s="13"/>
      <c r="Q2805" s="3">
        <f t="shared" si="217"/>
        <v>0</v>
      </c>
      <c r="R2805" s="3">
        <f t="shared" si="218"/>
        <v>0</v>
      </c>
      <c r="S2805" s="3">
        <f t="shared" si="219"/>
        <v>53004.880000000026</v>
      </c>
      <c r="T2805" s="24" t="s">
        <v>1081</v>
      </c>
      <c r="U2805" s="24" t="s">
        <v>1081</v>
      </c>
      <c r="V2805" s="69"/>
      <c r="W2805" s="25" t="str">
        <f>IFERROR(VLOOKUP(BCP_Soles[[#This Row],[DESTINATARIO]],CHOOSE({1,2},Clientes_Proveedores[Razon Social],Clientes_Proveedores[Ruc / Dni]),2,0),"")</f>
        <v/>
      </c>
      <c r="X2805" s="25"/>
      <c r="Y2805" s="25"/>
      <c r="Z2805" s="25"/>
      <c r="AA2805" s="101"/>
      <c r="AB2805" s="3" t="str">
        <f>IF(BCP_Soles[[#This Row],[FECHA]]&gt;0,TEXT(BCP_Soles[[#This Row],[FECHA]],"mmmm"),0)</f>
        <v>Julio</v>
      </c>
    </row>
    <row r="2806" spans="1:28" x14ac:dyDescent="0.3">
      <c r="B2806" s="2" t="str">
        <f>IF(BCP_Soles[[#This Row],[TIPO DE R.]]="R",COUNTIFS($D$4:$D2805,"R")+1,"")</f>
        <v/>
      </c>
      <c r="C2806" s="19" t="str">
        <f t="shared" si="215"/>
        <v>B-BCP - Soles</v>
      </c>
      <c r="D2806" s="3" t="s">
        <v>1101</v>
      </c>
      <c r="E2806" s="14">
        <v>45862</v>
      </c>
      <c r="F2806" s="84" t="s">
        <v>214</v>
      </c>
      <c r="G2806" s="5"/>
      <c r="H2806" s="6"/>
      <c r="I2806" s="6" t="s">
        <v>14</v>
      </c>
      <c r="J2806" s="6" t="s">
        <v>1521</v>
      </c>
      <c r="K2806" s="6">
        <v>154</v>
      </c>
      <c r="L2806" s="7" t="s">
        <v>3693</v>
      </c>
      <c r="M2806" s="8">
        <v>4022891</v>
      </c>
      <c r="N2806" s="8" t="str">
        <f t="shared" si="216"/>
        <v>PEN</v>
      </c>
      <c r="O2806" s="13">
        <v>1485.05</v>
      </c>
      <c r="P2806" s="13"/>
      <c r="Q2806" s="3">
        <f t="shared" si="217"/>
        <v>0</v>
      </c>
      <c r="R2806" s="3">
        <f t="shared" si="218"/>
        <v>0</v>
      </c>
      <c r="S2806" s="3">
        <f t="shared" si="219"/>
        <v>53004.880000000026</v>
      </c>
      <c r="T2806" s="24" t="s">
        <v>1081</v>
      </c>
      <c r="U2806" s="24" t="s">
        <v>1081</v>
      </c>
      <c r="V2806" s="69"/>
      <c r="W2806" s="25" t="str">
        <f>IFERROR(VLOOKUP(BCP_Soles[[#This Row],[DESTINATARIO]],CHOOSE({1,2},Clientes_Proveedores[Razon Social],Clientes_Proveedores[Ruc / Dni]),2,0),"")</f>
        <v/>
      </c>
      <c r="X2806" s="25"/>
      <c r="Y2806" s="25"/>
      <c r="Z2806" s="25"/>
      <c r="AA2806" s="101"/>
      <c r="AB2806" s="3" t="str">
        <f>IF(BCP_Soles[[#This Row],[FECHA]]&gt;0,TEXT(BCP_Soles[[#This Row],[FECHA]],"mmmm"),0)</f>
        <v>Julio</v>
      </c>
    </row>
    <row r="2807" spans="1:28" x14ac:dyDescent="0.3">
      <c r="B2807" s="2" t="str">
        <f>IF(BCP_Soles[[#This Row],[TIPO DE R.]]="R",COUNTIFS($D$4:$D2806,"R")+1,"")</f>
        <v/>
      </c>
      <c r="C2807" s="19" t="str">
        <f t="shared" si="215"/>
        <v>B-BCP - Soles</v>
      </c>
      <c r="D2807" s="3" t="s">
        <v>1101</v>
      </c>
      <c r="E2807" s="14">
        <v>45862</v>
      </c>
      <c r="F2807" s="84" t="s">
        <v>214</v>
      </c>
      <c r="G2807" s="5"/>
      <c r="H2807" s="6"/>
      <c r="I2807" s="6" t="s">
        <v>14</v>
      </c>
      <c r="J2807" s="6" t="s">
        <v>1521</v>
      </c>
      <c r="K2807" s="6">
        <v>155</v>
      </c>
      <c r="L2807" s="7" t="s">
        <v>3693</v>
      </c>
      <c r="M2807" s="8">
        <v>4022891</v>
      </c>
      <c r="N2807" s="8" t="str">
        <f t="shared" si="216"/>
        <v>PEN</v>
      </c>
      <c r="O2807" s="13">
        <v>1485.05</v>
      </c>
      <c r="P2807" s="13"/>
      <c r="Q2807" s="3">
        <f t="shared" si="217"/>
        <v>0</v>
      </c>
      <c r="R2807" s="3">
        <f t="shared" si="218"/>
        <v>0</v>
      </c>
      <c r="S2807" s="3">
        <f t="shared" si="219"/>
        <v>53004.880000000026</v>
      </c>
      <c r="T2807" s="24" t="s">
        <v>1081</v>
      </c>
      <c r="U2807" s="24" t="s">
        <v>1081</v>
      </c>
      <c r="V2807" s="69"/>
      <c r="W2807" s="25" t="str">
        <f>IFERROR(VLOOKUP(BCP_Soles[[#This Row],[DESTINATARIO]],CHOOSE({1,2},Clientes_Proveedores[Razon Social],Clientes_Proveedores[Ruc / Dni]),2,0),"")</f>
        <v/>
      </c>
      <c r="X2807" s="25"/>
      <c r="Y2807" s="25"/>
      <c r="Z2807" s="25"/>
      <c r="AA2807" s="101"/>
      <c r="AB2807" s="3" t="str">
        <f>IF(BCP_Soles[[#This Row],[FECHA]]&gt;0,TEXT(BCP_Soles[[#This Row],[FECHA]],"mmmm"),0)</f>
        <v>Julio</v>
      </c>
    </row>
    <row r="2808" spans="1:28" x14ac:dyDescent="0.3">
      <c r="A2808" s="121"/>
      <c r="B2808" s="2" t="str">
        <f>IF(BCP_Soles[[#This Row],[TIPO DE R.]]="R",COUNTIFS($D$4:$D2807,"R")+1,"")</f>
        <v/>
      </c>
      <c r="C2808" s="19" t="str">
        <f t="shared" si="215"/>
        <v>B-BCP - Soles</v>
      </c>
      <c r="D2808" s="3" t="s">
        <v>1101</v>
      </c>
      <c r="E2808" s="14">
        <v>45862</v>
      </c>
      <c r="F2808" s="84" t="s">
        <v>214</v>
      </c>
      <c r="G2808" s="5"/>
      <c r="H2808" s="6"/>
      <c r="I2808" s="6" t="s">
        <v>14</v>
      </c>
      <c r="J2808" s="6" t="s">
        <v>1521</v>
      </c>
      <c r="K2808" s="6">
        <v>157</v>
      </c>
      <c r="L2808" s="7" t="s">
        <v>3693</v>
      </c>
      <c r="M2808" s="8">
        <v>4022891</v>
      </c>
      <c r="N2808" s="8" t="str">
        <f t="shared" si="216"/>
        <v>PEN</v>
      </c>
      <c r="O2808" s="120">
        <v>2697.29</v>
      </c>
      <c r="P2808" s="13"/>
      <c r="Q2808" s="3">
        <f t="shared" si="217"/>
        <v>0</v>
      </c>
      <c r="R2808" s="3">
        <f t="shared" si="218"/>
        <v>0</v>
      </c>
      <c r="S2808" s="3">
        <f t="shared" si="219"/>
        <v>53004.880000000026</v>
      </c>
      <c r="T2808" s="24" t="s">
        <v>1081</v>
      </c>
      <c r="U2808" s="24" t="s">
        <v>1081</v>
      </c>
      <c r="V2808" s="69"/>
      <c r="W2808" s="25" t="str">
        <f>IFERROR(VLOOKUP(BCP_Soles[[#This Row],[DESTINATARIO]],CHOOSE({1,2},Clientes_Proveedores[Razon Social],Clientes_Proveedores[Ruc / Dni]),2,0),"")</f>
        <v/>
      </c>
      <c r="X2808" s="25"/>
      <c r="Y2808" s="25"/>
      <c r="Z2808" s="25"/>
      <c r="AA2808" s="101"/>
      <c r="AB2808" s="3" t="str">
        <f>IF(BCP_Soles[[#This Row],[FECHA]]&gt;0,TEXT(BCP_Soles[[#This Row],[FECHA]],"mmmm"),0)</f>
        <v>Julio</v>
      </c>
    </row>
    <row r="2809" spans="1:28" x14ac:dyDescent="0.3">
      <c r="A2809" s="121"/>
      <c r="B2809" s="2" t="str">
        <f>IF(BCP_Soles[[#This Row],[TIPO DE R.]]="R",COUNTIFS($D$4:$D2808,"R")+1,"")</f>
        <v/>
      </c>
      <c r="C2809" s="19" t="str">
        <f t="shared" si="215"/>
        <v>B-BCP - Soles</v>
      </c>
      <c r="D2809" s="3" t="s">
        <v>1101</v>
      </c>
      <c r="E2809" s="14">
        <v>45862</v>
      </c>
      <c r="F2809" s="84" t="s">
        <v>214</v>
      </c>
      <c r="G2809" s="5"/>
      <c r="H2809" s="6"/>
      <c r="I2809" s="6" t="s">
        <v>14</v>
      </c>
      <c r="J2809" s="6" t="s">
        <v>1521</v>
      </c>
      <c r="K2809" s="6">
        <v>158</v>
      </c>
      <c r="L2809" s="7" t="s">
        <v>3693</v>
      </c>
      <c r="M2809" s="8">
        <v>4022891</v>
      </c>
      <c r="N2809" s="8" t="str">
        <f t="shared" si="216"/>
        <v>PEN</v>
      </c>
      <c r="O2809" s="120">
        <v>2697.29</v>
      </c>
      <c r="P2809" s="13"/>
      <c r="Q2809" s="3">
        <f t="shared" si="217"/>
        <v>0</v>
      </c>
      <c r="R2809" s="3">
        <f t="shared" si="218"/>
        <v>0</v>
      </c>
      <c r="S2809" s="3">
        <f t="shared" si="219"/>
        <v>53004.880000000026</v>
      </c>
      <c r="T2809" s="24" t="s">
        <v>1081</v>
      </c>
      <c r="U2809" s="24" t="s">
        <v>1081</v>
      </c>
      <c r="V2809" s="69"/>
      <c r="W2809" s="25" t="str">
        <f>IFERROR(VLOOKUP(BCP_Soles[[#This Row],[DESTINATARIO]],CHOOSE({1,2},Clientes_Proveedores[Razon Social],Clientes_Proveedores[Ruc / Dni]),2,0),"")</f>
        <v/>
      </c>
      <c r="X2809" s="25"/>
      <c r="Y2809" s="25"/>
      <c r="Z2809" s="25"/>
      <c r="AA2809" s="101"/>
      <c r="AB2809" s="3" t="str">
        <f>IF(BCP_Soles[[#This Row],[FECHA]]&gt;0,TEXT(BCP_Soles[[#This Row],[FECHA]],"mmmm"),0)</f>
        <v>Julio</v>
      </c>
    </row>
    <row r="2810" spans="1:28" x14ac:dyDescent="0.3">
      <c r="B2810" s="2" t="str">
        <f>IF(BCP_Soles[[#This Row],[TIPO DE R.]]="R",COUNTIFS($D$4:$D2809,"R")+1,"")</f>
        <v/>
      </c>
      <c r="C2810" s="19" t="str">
        <f t="shared" si="215"/>
        <v>B-BCP - Soles</v>
      </c>
      <c r="D2810" s="3" t="s">
        <v>1101</v>
      </c>
      <c r="E2810" s="14">
        <v>45862</v>
      </c>
      <c r="F2810" s="84" t="s">
        <v>214</v>
      </c>
      <c r="G2810" s="5"/>
      <c r="H2810" s="6"/>
      <c r="I2810" s="6" t="s">
        <v>14</v>
      </c>
      <c r="J2810" s="6" t="s">
        <v>1521</v>
      </c>
      <c r="K2810" s="6">
        <v>159</v>
      </c>
      <c r="L2810" s="7" t="s">
        <v>3693</v>
      </c>
      <c r="M2810" s="8">
        <v>4022891</v>
      </c>
      <c r="N2810" s="8" t="str">
        <f t="shared" si="216"/>
        <v>PEN</v>
      </c>
      <c r="O2810" s="13">
        <v>3889.69</v>
      </c>
      <c r="P2810" s="13"/>
      <c r="Q2810" s="3">
        <f t="shared" si="217"/>
        <v>0</v>
      </c>
      <c r="R2810" s="3">
        <f t="shared" si="218"/>
        <v>0</v>
      </c>
      <c r="S2810" s="3">
        <f t="shared" si="219"/>
        <v>53004.880000000026</v>
      </c>
      <c r="T2810" s="24" t="s">
        <v>1081</v>
      </c>
      <c r="U2810" s="24" t="s">
        <v>1081</v>
      </c>
      <c r="V2810" s="69"/>
      <c r="W2810" s="25" t="str">
        <f>IFERROR(VLOOKUP(BCP_Soles[[#This Row],[DESTINATARIO]],CHOOSE({1,2},Clientes_Proveedores[Razon Social],Clientes_Proveedores[Ruc / Dni]),2,0),"")</f>
        <v/>
      </c>
      <c r="X2810" s="25"/>
      <c r="Y2810" s="25"/>
      <c r="Z2810" s="25"/>
      <c r="AA2810" s="101"/>
      <c r="AB2810" s="3" t="str">
        <f>IF(BCP_Soles[[#This Row],[FECHA]]&gt;0,TEXT(BCP_Soles[[#This Row],[FECHA]],"mmmm"),0)</f>
        <v>Julio</v>
      </c>
    </row>
    <row r="2811" spans="1:28" x14ac:dyDescent="0.3">
      <c r="B2811" s="2" t="str">
        <f>IF(BCP_Soles[[#This Row],[TIPO DE R.]]="R",COUNTIFS($D$4:$D2810,"R")+1,"")</f>
        <v/>
      </c>
      <c r="C2811" s="19" t="str">
        <f t="shared" si="215"/>
        <v>B-BCP - Soles</v>
      </c>
      <c r="D2811" s="3" t="s">
        <v>1101</v>
      </c>
      <c r="E2811" s="14">
        <v>45862</v>
      </c>
      <c r="F2811" s="84" t="s">
        <v>214</v>
      </c>
      <c r="G2811" s="5"/>
      <c r="H2811" s="6"/>
      <c r="I2811" s="6" t="s">
        <v>14</v>
      </c>
      <c r="J2811" s="6" t="s">
        <v>1521</v>
      </c>
      <c r="K2811" s="6">
        <v>160</v>
      </c>
      <c r="L2811" s="7" t="s">
        <v>3693</v>
      </c>
      <c r="M2811" s="8">
        <v>4022891</v>
      </c>
      <c r="N2811" s="8" t="str">
        <f t="shared" si="216"/>
        <v>PEN</v>
      </c>
      <c r="O2811" s="13">
        <v>3696.68</v>
      </c>
      <c r="P2811" s="13"/>
      <c r="Q2811" s="3">
        <f t="shared" si="217"/>
        <v>0</v>
      </c>
      <c r="R2811" s="3">
        <f t="shared" si="218"/>
        <v>0</v>
      </c>
      <c r="S2811" s="3">
        <f t="shared" si="219"/>
        <v>53004.880000000026</v>
      </c>
      <c r="T2811" s="24" t="s">
        <v>1081</v>
      </c>
      <c r="U2811" s="24" t="s">
        <v>1081</v>
      </c>
      <c r="V2811" s="69"/>
      <c r="W2811" s="25" t="str">
        <f>IFERROR(VLOOKUP(BCP_Soles[[#This Row],[DESTINATARIO]],CHOOSE({1,2},Clientes_Proveedores[Razon Social],Clientes_Proveedores[Ruc / Dni]),2,0),"")</f>
        <v/>
      </c>
      <c r="X2811" s="25"/>
      <c r="Y2811" s="25"/>
      <c r="Z2811" s="25"/>
      <c r="AA2811" s="101"/>
      <c r="AB2811" s="3" t="str">
        <f>IF(BCP_Soles[[#This Row],[FECHA]]&gt;0,TEXT(BCP_Soles[[#This Row],[FECHA]],"mmmm"),0)</f>
        <v>Julio</v>
      </c>
    </row>
    <row r="2812" spans="1:28" x14ac:dyDescent="0.3">
      <c r="B2812" s="2" t="str">
        <f>IF(BCP_Soles[[#This Row],[TIPO DE R.]]="R",COUNTIFS($D$4:$D2811,"R")+1,"")</f>
        <v/>
      </c>
      <c r="C2812" s="19" t="str">
        <f t="shared" si="215"/>
        <v>B-BCP - Soles</v>
      </c>
      <c r="D2812" s="3" t="s">
        <v>1101</v>
      </c>
      <c r="E2812" s="14">
        <v>45862</v>
      </c>
      <c r="F2812" s="84" t="s">
        <v>214</v>
      </c>
      <c r="G2812" s="5"/>
      <c r="H2812" s="6"/>
      <c r="I2812" s="6" t="s">
        <v>14</v>
      </c>
      <c r="J2812" s="6" t="s">
        <v>1521</v>
      </c>
      <c r="K2812" s="6">
        <v>166</v>
      </c>
      <c r="L2812" s="7" t="s">
        <v>3693</v>
      </c>
      <c r="M2812" s="8">
        <v>4022891</v>
      </c>
      <c r="N2812" s="8" t="str">
        <f t="shared" si="216"/>
        <v>PEN</v>
      </c>
      <c r="O2812" s="13">
        <v>2697.29</v>
      </c>
      <c r="P2812" s="13"/>
      <c r="Q2812" s="3">
        <f t="shared" si="217"/>
        <v>0</v>
      </c>
      <c r="R2812" s="3">
        <f t="shared" si="218"/>
        <v>0</v>
      </c>
      <c r="S2812" s="3">
        <f t="shared" si="219"/>
        <v>53004.880000000026</v>
      </c>
      <c r="T2812" s="24" t="s">
        <v>1081</v>
      </c>
      <c r="U2812" s="24" t="s">
        <v>1081</v>
      </c>
      <c r="V2812" s="69"/>
      <c r="W2812" s="25" t="str">
        <f>IFERROR(VLOOKUP(BCP_Soles[[#This Row],[DESTINATARIO]],CHOOSE({1,2},Clientes_Proveedores[Razon Social],Clientes_Proveedores[Ruc / Dni]),2,0),"")</f>
        <v/>
      </c>
      <c r="X2812" s="25"/>
      <c r="Y2812" s="25"/>
      <c r="Z2812" s="25"/>
      <c r="AA2812" s="101"/>
      <c r="AB2812" s="3" t="str">
        <f>IF(BCP_Soles[[#This Row],[FECHA]]&gt;0,TEXT(BCP_Soles[[#This Row],[FECHA]],"mmmm"),0)</f>
        <v>Julio</v>
      </c>
    </row>
    <row r="2813" spans="1:28" ht="24" x14ac:dyDescent="0.3">
      <c r="B2813" s="2">
        <f>IF(BCP_Soles[[#This Row],[TIPO DE R.]]="R",COUNTIFS($D$4:$D2812,"R")+1,"")</f>
        <v>2032</v>
      </c>
      <c r="C2813" s="19" t="str">
        <f t="shared" si="215"/>
        <v>B-BCP - Soles</v>
      </c>
      <c r="D2813" s="3" t="s">
        <v>1074</v>
      </c>
      <c r="E2813" s="14">
        <v>45862</v>
      </c>
      <c r="F2813" s="5" t="s">
        <v>217</v>
      </c>
      <c r="G2813" s="5" t="s">
        <v>1087</v>
      </c>
      <c r="H2813" s="6" t="s">
        <v>368</v>
      </c>
      <c r="I2813" s="6" t="s">
        <v>14</v>
      </c>
      <c r="J2813" s="6" t="s">
        <v>3010</v>
      </c>
      <c r="K2813" s="6">
        <v>100</v>
      </c>
      <c r="L2813" s="7" t="s">
        <v>3694</v>
      </c>
      <c r="M2813" s="8">
        <v>2649667</v>
      </c>
      <c r="N2813" s="8" t="str">
        <f t="shared" si="216"/>
        <v>PEN</v>
      </c>
      <c r="O2813" s="13"/>
      <c r="P2813" s="13">
        <v>380</v>
      </c>
      <c r="Q2813" s="3">
        <f t="shared" si="217"/>
        <v>380</v>
      </c>
      <c r="R2813" s="3">
        <f t="shared" si="218"/>
        <v>0</v>
      </c>
      <c r="S2813" s="3">
        <f t="shared" si="219"/>
        <v>53384.880000000026</v>
      </c>
      <c r="T2813" s="24" t="s">
        <v>1081</v>
      </c>
      <c r="U2813" s="24" t="s">
        <v>1081</v>
      </c>
      <c r="V2813" s="69"/>
      <c r="W2813" s="25">
        <f>IFERROR(VLOOKUP(BCP_Soles[[#This Row],[DESTINATARIO]],CHOOSE({1,2},Clientes_Proveedores[Razon Social],Clientes_Proveedores[Ruc / Dni]),2,0),"")</f>
        <v>20558226979</v>
      </c>
      <c r="X2813" s="25"/>
      <c r="Y2813" s="25"/>
      <c r="Z2813" s="25"/>
      <c r="AA2813" s="101"/>
      <c r="AB2813" s="3" t="str">
        <f>IF(BCP_Soles[[#This Row],[FECHA]]&gt;0,TEXT(BCP_Soles[[#This Row],[FECHA]],"mmmm"),0)</f>
        <v>Julio</v>
      </c>
    </row>
    <row r="2814" spans="1:28" x14ac:dyDescent="0.3">
      <c r="B2814" s="2">
        <f>IF(BCP_Soles[[#This Row],[TIPO DE R.]]="R",COUNTIFS($D$4:$D2813,"R")+1,"")</f>
        <v>2033</v>
      </c>
      <c r="C2814" s="19" t="str">
        <f t="shared" si="215"/>
        <v>B-BCP - Soles</v>
      </c>
      <c r="D2814" s="3" t="s">
        <v>1074</v>
      </c>
      <c r="E2814" s="14">
        <v>45862</v>
      </c>
      <c r="F2814" s="5" t="s">
        <v>1996</v>
      </c>
      <c r="G2814" s="5" t="s">
        <v>1079</v>
      </c>
      <c r="H2814" s="6" t="s">
        <v>638</v>
      </c>
      <c r="I2814" s="6"/>
      <c r="J2814" s="6"/>
      <c r="K2814" s="6"/>
      <c r="L2814" s="7" t="s">
        <v>3695</v>
      </c>
      <c r="M2814" s="8">
        <v>3850278</v>
      </c>
      <c r="N2814" s="8" t="str">
        <f t="shared" si="216"/>
        <v>PEN</v>
      </c>
      <c r="O2814" s="13"/>
      <c r="P2814" s="13">
        <v>984</v>
      </c>
      <c r="Q2814" s="3">
        <f t="shared" si="217"/>
        <v>0</v>
      </c>
      <c r="R2814" s="3">
        <f t="shared" si="218"/>
        <v>984</v>
      </c>
      <c r="S2814" s="3">
        <f t="shared" si="219"/>
        <v>52400.880000000026</v>
      </c>
      <c r="T2814" s="24" t="s">
        <v>1081</v>
      </c>
      <c r="U2814" s="24" t="s">
        <v>1081</v>
      </c>
      <c r="V2814" s="103" t="s">
        <v>3696</v>
      </c>
      <c r="W2814" s="25">
        <f>IFERROR(VLOOKUP(BCP_Soles[[#This Row],[DESTINATARIO]],CHOOSE({1,2},Clientes_Proveedores[Razon Social],Clientes_Proveedores[Ruc / Dni]),2,0),"")</f>
        <v>0</v>
      </c>
      <c r="X2814" s="25"/>
      <c r="Y2814" s="25"/>
      <c r="Z2814" s="25"/>
      <c r="AA2814" s="101"/>
      <c r="AB2814" s="3" t="str">
        <f>IF(BCP_Soles[[#This Row],[FECHA]]&gt;0,TEXT(BCP_Soles[[#This Row],[FECHA]],"mmmm"),0)</f>
        <v>Julio</v>
      </c>
    </row>
    <row r="2815" spans="1:28" ht="24" x14ac:dyDescent="0.3">
      <c r="B2815" s="2" t="str">
        <f>IF(BCP_Soles[[#This Row],[TIPO DE R.]]="R",COUNTIFS($D$4:$D2814,"R")+1,"")</f>
        <v/>
      </c>
      <c r="C2815" s="19" t="str">
        <f t="shared" si="215"/>
        <v>B-BCP - Soles</v>
      </c>
      <c r="D2815" s="3" t="s">
        <v>1101</v>
      </c>
      <c r="E2815" s="14">
        <v>45862</v>
      </c>
      <c r="F2815" s="5"/>
      <c r="G2815" s="5"/>
      <c r="H2815" s="6" t="s">
        <v>536</v>
      </c>
      <c r="I2815" s="6" t="s">
        <v>14</v>
      </c>
      <c r="J2815" s="6" t="s">
        <v>1121</v>
      </c>
      <c r="K2815" s="6">
        <v>2379</v>
      </c>
      <c r="L2815" s="7" t="s">
        <v>3695</v>
      </c>
      <c r="M2815" s="8">
        <v>3850278</v>
      </c>
      <c r="N2815" s="8" t="str">
        <f t="shared" si="216"/>
        <v>PEN</v>
      </c>
      <c r="O2815" s="13">
        <v>70.8</v>
      </c>
      <c r="P2815" s="13"/>
      <c r="Q2815" s="3">
        <f t="shared" si="217"/>
        <v>0</v>
      </c>
      <c r="R2815" s="3">
        <f t="shared" si="218"/>
        <v>0</v>
      </c>
      <c r="S2815" s="3">
        <f t="shared" si="219"/>
        <v>52400.880000000026</v>
      </c>
      <c r="T2815" s="24" t="s">
        <v>1081</v>
      </c>
      <c r="U2815" s="24" t="s">
        <v>1081</v>
      </c>
      <c r="V2815" s="103"/>
      <c r="W2815" s="25">
        <f>IFERROR(VLOOKUP(BCP_Soles[[#This Row],[DESTINATARIO]],CHOOSE({1,2},Clientes_Proveedores[Razon Social],Clientes_Proveedores[Ruc / Dni]),2,0),"")</f>
        <v>20609764261</v>
      </c>
      <c r="X2815" s="25"/>
      <c r="Y2815" s="25"/>
      <c r="Z2815" s="25"/>
      <c r="AA2815" s="101"/>
      <c r="AB2815" s="3" t="str">
        <f>IF(BCP_Soles[[#This Row],[FECHA]]&gt;0,TEXT(BCP_Soles[[#This Row],[FECHA]],"mmmm"),0)</f>
        <v>Julio</v>
      </c>
    </row>
    <row r="2816" spans="1:28" ht="24" x14ac:dyDescent="0.3">
      <c r="B2816" s="2" t="str">
        <f>IF(BCP_Soles[[#This Row],[TIPO DE R.]]="R",COUNTIFS($D$4:$D2815,"R")+1,"")</f>
        <v/>
      </c>
      <c r="C2816" s="19" t="str">
        <f t="shared" si="215"/>
        <v>B-BCP - Soles</v>
      </c>
      <c r="D2816" s="3" t="s">
        <v>1101</v>
      </c>
      <c r="E2816" s="14">
        <v>45862</v>
      </c>
      <c r="F2816" s="5"/>
      <c r="G2816" s="5"/>
      <c r="H2816" s="6" t="s">
        <v>536</v>
      </c>
      <c r="I2816" s="6" t="s">
        <v>14</v>
      </c>
      <c r="J2816" s="6" t="s">
        <v>1121</v>
      </c>
      <c r="K2816" s="6">
        <v>2378</v>
      </c>
      <c r="L2816" s="7" t="s">
        <v>3695</v>
      </c>
      <c r="M2816" s="8">
        <v>3850278</v>
      </c>
      <c r="N2816" s="8" t="str">
        <f t="shared" si="216"/>
        <v>PEN</v>
      </c>
      <c r="O2816" s="13">
        <v>70.8</v>
      </c>
      <c r="P2816" s="13"/>
      <c r="Q2816" s="3">
        <f t="shared" si="217"/>
        <v>0</v>
      </c>
      <c r="R2816" s="3">
        <f t="shared" si="218"/>
        <v>0</v>
      </c>
      <c r="S2816" s="3">
        <f t="shared" si="219"/>
        <v>52400.880000000026</v>
      </c>
      <c r="T2816" s="24" t="s">
        <v>1081</v>
      </c>
      <c r="U2816" s="24" t="s">
        <v>1081</v>
      </c>
      <c r="V2816" s="103"/>
      <c r="W2816" s="25">
        <f>IFERROR(VLOOKUP(BCP_Soles[[#This Row],[DESTINATARIO]],CHOOSE({1,2},Clientes_Proveedores[Razon Social],Clientes_Proveedores[Ruc / Dni]),2,0),"")</f>
        <v>20609764261</v>
      </c>
      <c r="X2816" s="25"/>
      <c r="Y2816" s="25"/>
      <c r="Z2816" s="25"/>
      <c r="AA2816" s="101"/>
      <c r="AB2816" s="3" t="str">
        <f>IF(BCP_Soles[[#This Row],[FECHA]]&gt;0,TEXT(BCP_Soles[[#This Row],[FECHA]],"mmmm"),0)</f>
        <v>Julio</v>
      </c>
    </row>
    <row r="2817" spans="2:28" x14ac:dyDescent="0.3">
      <c r="B2817" s="2" t="str">
        <f>IF(BCP_Soles[[#This Row],[TIPO DE R.]]="R",COUNTIFS($D$4:$D2816,"R")+1,"")</f>
        <v/>
      </c>
      <c r="C2817" s="19" t="str">
        <f t="shared" si="215"/>
        <v>B-BCP - Soles</v>
      </c>
      <c r="D2817" s="3" t="s">
        <v>1101</v>
      </c>
      <c r="E2817" s="14">
        <v>45862</v>
      </c>
      <c r="F2817" s="5"/>
      <c r="G2817" s="5"/>
      <c r="H2817" s="6" t="s">
        <v>465</v>
      </c>
      <c r="I2817" s="6" t="s">
        <v>14</v>
      </c>
      <c r="J2817" s="6" t="s">
        <v>1121</v>
      </c>
      <c r="K2817" s="6">
        <v>4035</v>
      </c>
      <c r="L2817" s="7" t="s">
        <v>3695</v>
      </c>
      <c r="M2817" s="8">
        <v>3850278</v>
      </c>
      <c r="N2817" s="8" t="str">
        <f t="shared" si="216"/>
        <v>PEN</v>
      </c>
      <c r="O2817" s="13">
        <v>389.4</v>
      </c>
      <c r="P2817" s="13"/>
      <c r="Q2817" s="3">
        <f t="shared" si="217"/>
        <v>0</v>
      </c>
      <c r="R2817" s="3">
        <f t="shared" si="218"/>
        <v>0</v>
      </c>
      <c r="S2817" s="3">
        <f t="shared" si="219"/>
        <v>52400.880000000026</v>
      </c>
      <c r="T2817" s="24" t="s">
        <v>1081</v>
      </c>
      <c r="U2817" s="24" t="s">
        <v>1081</v>
      </c>
      <c r="V2817" s="103"/>
      <c r="W2817" s="25">
        <f>IFERROR(VLOOKUP(BCP_Soles[[#This Row],[DESTINATARIO]],CHOOSE({1,2},Clientes_Proveedores[Razon Social],Clientes_Proveedores[Ruc / Dni]),2,0),"")</f>
        <v>20603974817</v>
      </c>
      <c r="X2817" s="25"/>
      <c r="Y2817" s="25"/>
      <c r="Z2817" s="25"/>
      <c r="AA2817" s="101"/>
      <c r="AB2817" s="3" t="str">
        <f>IF(BCP_Soles[[#This Row],[FECHA]]&gt;0,TEXT(BCP_Soles[[#This Row],[FECHA]],"mmmm"),0)</f>
        <v>Julio</v>
      </c>
    </row>
    <row r="2818" spans="2:28" ht="24" x14ac:dyDescent="0.3">
      <c r="B2818" s="2" t="str">
        <f>IF(BCP_Soles[[#This Row],[TIPO DE R.]]="R",COUNTIFS($D$4:$D2817,"R")+1,"")</f>
        <v/>
      </c>
      <c r="C2818" s="19" t="str">
        <f t="shared" si="215"/>
        <v>B-BCP - Soles</v>
      </c>
      <c r="D2818" s="3" t="s">
        <v>1101</v>
      </c>
      <c r="E2818" s="14">
        <v>45862</v>
      </c>
      <c r="F2818" s="5"/>
      <c r="G2818" s="5"/>
      <c r="H2818" s="6" t="s">
        <v>634</v>
      </c>
      <c r="I2818" s="6" t="s">
        <v>14</v>
      </c>
      <c r="J2818" s="6" t="s">
        <v>1121</v>
      </c>
      <c r="K2818" s="6">
        <v>12</v>
      </c>
      <c r="L2818" s="7" t="s">
        <v>3695</v>
      </c>
      <c r="M2818" s="8">
        <v>3850278</v>
      </c>
      <c r="N2818" s="8" t="str">
        <f t="shared" si="216"/>
        <v>PEN</v>
      </c>
      <c r="O2818" s="13">
        <v>453</v>
      </c>
      <c r="P2818" s="13"/>
      <c r="Q2818" s="3">
        <f t="shared" si="217"/>
        <v>0</v>
      </c>
      <c r="R2818" s="3">
        <f t="shared" si="218"/>
        <v>0</v>
      </c>
      <c r="S2818" s="3">
        <f t="shared" si="219"/>
        <v>52400.880000000026</v>
      </c>
      <c r="T2818" s="24" t="s">
        <v>1081</v>
      </c>
      <c r="U2818" s="24" t="s">
        <v>1081</v>
      </c>
      <c r="V2818" s="103"/>
      <c r="W2818" s="25">
        <f>IFERROR(VLOOKUP(BCP_Soles[[#This Row],[DESTINATARIO]],CHOOSE({1,2},Clientes_Proveedores[Razon Social],Clientes_Proveedores[Ruc / Dni]),2,0),"")</f>
        <v>10736055631</v>
      </c>
      <c r="X2818" s="25"/>
      <c r="Y2818" s="25"/>
      <c r="Z2818" s="25"/>
      <c r="AA2818" s="101"/>
      <c r="AB2818" s="3" t="str">
        <f>IF(BCP_Soles[[#This Row],[FECHA]]&gt;0,TEXT(BCP_Soles[[#This Row],[FECHA]],"mmmm"),0)</f>
        <v>Julio</v>
      </c>
    </row>
    <row r="2819" spans="2:28" x14ac:dyDescent="0.3">
      <c r="B2819" s="2">
        <f>IF(BCP_Soles[[#This Row],[TIPO DE R.]]="R",COUNTIFS($D$4:$D2818,"R")+1,"")</f>
        <v>2034</v>
      </c>
      <c r="C2819" s="19" t="str">
        <f t="shared" si="215"/>
        <v>B-BCP - Soles</v>
      </c>
      <c r="D2819" s="3" t="s">
        <v>1074</v>
      </c>
      <c r="E2819" s="14">
        <v>45862</v>
      </c>
      <c r="F2819" s="5" t="s">
        <v>1996</v>
      </c>
      <c r="G2819" s="5" t="s">
        <v>1079</v>
      </c>
      <c r="H2819" s="6" t="s">
        <v>974</v>
      </c>
      <c r="I2819" s="6" t="s">
        <v>14</v>
      </c>
      <c r="J2819" s="6" t="s">
        <v>1148</v>
      </c>
      <c r="K2819" s="6">
        <v>11547</v>
      </c>
      <c r="L2819" s="7" t="s">
        <v>7887</v>
      </c>
      <c r="M2819" s="8">
        <v>1195977</v>
      </c>
      <c r="N2819" s="8" t="str">
        <f t="shared" si="216"/>
        <v>PEN</v>
      </c>
      <c r="O2819" s="13"/>
      <c r="P2819" s="13">
        <v>855</v>
      </c>
      <c r="Q2819" s="3">
        <f t="shared" si="217"/>
        <v>0</v>
      </c>
      <c r="R2819" s="3">
        <f t="shared" si="218"/>
        <v>855</v>
      </c>
      <c r="S2819" s="3">
        <f t="shared" si="219"/>
        <v>51545.880000000026</v>
      </c>
      <c r="T2819" s="24" t="s">
        <v>1081</v>
      </c>
      <c r="U2819" s="24" t="s">
        <v>1081</v>
      </c>
      <c r="V2819" s="103" t="s">
        <v>3697</v>
      </c>
      <c r="W2819" s="25">
        <f>IFERROR(VLOOKUP(BCP_Soles[[#This Row],[DESTINATARIO]],CHOOSE({1,2},Clientes_Proveedores[Razon Social],Clientes_Proveedores[Ruc / Dni]),2,0),"")</f>
        <v>20602460143</v>
      </c>
      <c r="X2819" s="25"/>
      <c r="Y2819" s="25"/>
      <c r="Z2819" s="25"/>
      <c r="AA2819" s="101"/>
      <c r="AB2819" s="3" t="str">
        <f>IF(BCP_Soles[[#This Row],[FECHA]]&gt;0,TEXT(BCP_Soles[[#This Row],[FECHA]],"mmmm"),0)</f>
        <v>Julio</v>
      </c>
    </row>
    <row r="2820" spans="2:28" x14ac:dyDescent="0.3">
      <c r="B2820" s="2">
        <f>IF(BCP_Soles[[#This Row],[TIPO DE R.]]="R",COUNTIFS($D$4:$D2819,"R")+1,"")</f>
        <v>2035</v>
      </c>
      <c r="C2820" s="19" t="str">
        <f t="shared" si="215"/>
        <v>B-BCP - Soles</v>
      </c>
      <c r="D2820" s="3" t="s">
        <v>1074</v>
      </c>
      <c r="E2820" s="14">
        <v>45862</v>
      </c>
      <c r="F2820" s="5" t="s">
        <v>1082</v>
      </c>
      <c r="G2820" s="5" t="s">
        <v>1079</v>
      </c>
      <c r="H2820" s="6" t="s">
        <v>139</v>
      </c>
      <c r="I2820" s="6" t="s">
        <v>14</v>
      </c>
      <c r="J2820" s="6" t="s">
        <v>1953</v>
      </c>
      <c r="K2820" s="6">
        <v>6645</v>
      </c>
      <c r="L2820" s="7" t="s">
        <v>1954</v>
      </c>
      <c r="M2820" s="8">
        <v>195976</v>
      </c>
      <c r="N2820" s="8" t="str">
        <f t="shared" si="216"/>
        <v>PEN</v>
      </c>
      <c r="O2820" s="13"/>
      <c r="P2820" s="13">
        <v>35.299999999999997</v>
      </c>
      <c r="Q2820" s="3">
        <f t="shared" si="217"/>
        <v>0</v>
      </c>
      <c r="R2820" s="3">
        <f t="shared" si="218"/>
        <v>35.299999999999997</v>
      </c>
      <c r="S2820" s="3">
        <f t="shared" si="219"/>
        <v>51510.580000000024</v>
      </c>
      <c r="T2820" s="24" t="s">
        <v>1081</v>
      </c>
      <c r="U2820" s="24" t="s">
        <v>1081</v>
      </c>
      <c r="V2820" s="103" t="s">
        <v>3698</v>
      </c>
      <c r="W2820" s="25">
        <f>IFERROR(VLOOKUP(BCP_Soles[[#This Row],[DESTINATARIO]],CHOOSE({1,2},Clientes_Proveedores[Razon Social],Clientes_Proveedores[Ruc / Dni]),2,0),"")</f>
        <v>20100055237</v>
      </c>
      <c r="X2820" s="25"/>
      <c r="Y2820" s="25"/>
      <c r="Z2820" s="25"/>
      <c r="AA2820" s="101"/>
      <c r="AB2820" s="3" t="str">
        <f>IF(BCP_Soles[[#This Row],[FECHA]]&gt;0,TEXT(BCP_Soles[[#This Row],[FECHA]],"mmmm"),0)</f>
        <v>Julio</v>
      </c>
    </row>
    <row r="2821" spans="2:28" x14ac:dyDescent="0.3">
      <c r="B2821" s="2">
        <f>IF(BCP_Soles[[#This Row],[TIPO DE R.]]="R",COUNTIFS($D$4:$D2820,"R")+1,"")</f>
        <v>2036</v>
      </c>
      <c r="C2821" s="19" t="str">
        <f t="shared" ref="C2821:C2884" si="220">"B-BCP - Soles"</f>
        <v>B-BCP - Soles</v>
      </c>
      <c r="D2821" s="3" t="s">
        <v>1074</v>
      </c>
      <c r="E2821" s="14">
        <v>45862</v>
      </c>
      <c r="F2821" s="5" t="s">
        <v>1082</v>
      </c>
      <c r="G2821" s="5" t="s">
        <v>1079</v>
      </c>
      <c r="H2821" s="6" t="s">
        <v>139</v>
      </c>
      <c r="I2821" s="6" t="s">
        <v>14</v>
      </c>
      <c r="J2821" s="6" t="s">
        <v>1953</v>
      </c>
      <c r="K2821" s="6">
        <v>6644</v>
      </c>
      <c r="L2821" s="7" t="s">
        <v>1954</v>
      </c>
      <c r="M2821" s="8">
        <v>196542</v>
      </c>
      <c r="N2821" s="8" t="str">
        <f t="shared" ref="N2821:N2884" si="221">"PEN"</f>
        <v>PEN</v>
      </c>
      <c r="O2821" s="13"/>
      <c r="P2821" s="13">
        <v>405.9</v>
      </c>
      <c r="Q2821" s="3">
        <f t="shared" ref="Q2821:Q2884" si="222">+IF(OR($G2821="SALDO",$G2821="INGRESO"),$P2821,0)</f>
        <v>0</v>
      </c>
      <c r="R2821" s="3">
        <f t="shared" ref="R2821:R2884" si="223">+IF($G2821="EGRESO",$P2821,0)</f>
        <v>405.9</v>
      </c>
      <c r="S2821" s="3">
        <f t="shared" ref="S2821:S2884" si="224">IFERROR(IF(G2821="SALDO",Q2821,S2820+Q2821-R2821),0)</f>
        <v>51104.680000000022</v>
      </c>
      <c r="T2821" s="24" t="s">
        <v>1081</v>
      </c>
      <c r="U2821" s="24" t="s">
        <v>1081</v>
      </c>
      <c r="V2821" s="103" t="s">
        <v>3699</v>
      </c>
      <c r="W2821" s="25">
        <f>IFERROR(VLOOKUP(BCP_Soles[[#This Row],[DESTINATARIO]],CHOOSE({1,2},Clientes_Proveedores[Razon Social],Clientes_Proveedores[Ruc / Dni]),2,0),"")</f>
        <v>20100055237</v>
      </c>
      <c r="X2821" s="25"/>
      <c r="Y2821" s="25"/>
      <c r="Z2821" s="25"/>
      <c r="AA2821" s="101"/>
      <c r="AB2821" s="3" t="str">
        <f>IF(BCP_Soles[[#This Row],[FECHA]]&gt;0,TEXT(BCP_Soles[[#This Row],[FECHA]],"mmmm"),0)</f>
        <v>Julio</v>
      </c>
    </row>
    <row r="2822" spans="2:28" x14ac:dyDescent="0.3">
      <c r="B2822" s="2">
        <f>IF(BCP_Soles[[#This Row],[TIPO DE R.]]="R",COUNTIFS($D$4:$D2821,"R")+1,"")</f>
        <v>2037</v>
      </c>
      <c r="C2822" s="19" t="str">
        <f t="shared" si="220"/>
        <v>B-BCP - Soles</v>
      </c>
      <c r="D2822" s="3" t="s">
        <v>1074</v>
      </c>
      <c r="E2822" s="14">
        <v>45862</v>
      </c>
      <c r="F2822" s="5" t="s">
        <v>1082</v>
      </c>
      <c r="G2822" s="5" t="s">
        <v>1079</v>
      </c>
      <c r="H2822" s="6" t="s">
        <v>139</v>
      </c>
      <c r="I2822" s="6" t="s">
        <v>14</v>
      </c>
      <c r="J2822" s="6" t="s">
        <v>1953</v>
      </c>
      <c r="K2822" s="6">
        <v>6647</v>
      </c>
      <c r="L2822" s="7" t="s">
        <v>1954</v>
      </c>
      <c r="M2822" s="8">
        <v>194999</v>
      </c>
      <c r="N2822" s="8" t="str">
        <f t="shared" si="221"/>
        <v>PEN</v>
      </c>
      <c r="O2822" s="13"/>
      <c r="P2822" s="13">
        <v>560.62</v>
      </c>
      <c r="Q2822" s="3">
        <f t="shared" si="222"/>
        <v>0</v>
      </c>
      <c r="R2822" s="3">
        <f t="shared" si="223"/>
        <v>560.62</v>
      </c>
      <c r="S2822" s="3">
        <f t="shared" si="224"/>
        <v>50544.060000000019</v>
      </c>
      <c r="T2822" s="24" t="s">
        <v>1081</v>
      </c>
      <c r="U2822" s="24" t="s">
        <v>1081</v>
      </c>
      <c r="V2822" s="103" t="s">
        <v>3700</v>
      </c>
      <c r="W2822" s="25">
        <f>IFERROR(VLOOKUP(BCP_Soles[[#This Row],[DESTINATARIO]],CHOOSE({1,2},Clientes_Proveedores[Razon Social],Clientes_Proveedores[Ruc / Dni]),2,0),"")</f>
        <v>20100055237</v>
      </c>
      <c r="X2822" s="25"/>
      <c r="Y2822" s="25"/>
      <c r="Z2822" s="25"/>
      <c r="AA2822" s="101"/>
      <c r="AB2822" s="3" t="str">
        <f>IF(BCP_Soles[[#This Row],[FECHA]]&gt;0,TEXT(BCP_Soles[[#This Row],[FECHA]],"mmmm"),0)</f>
        <v>Julio</v>
      </c>
    </row>
    <row r="2823" spans="2:28" x14ac:dyDescent="0.3">
      <c r="B2823" s="2">
        <f>IF(BCP_Soles[[#This Row],[TIPO DE R.]]="R",COUNTIFS($D$4:$D2822,"R")+1,"")</f>
        <v>2038</v>
      </c>
      <c r="C2823" s="19" t="str">
        <f t="shared" si="220"/>
        <v>B-BCP - Soles</v>
      </c>
      <c r="D2823" s="3" t="s">
        <v>1074</v>
      </c>
      <c r="E2823" s="14">
        <v>45862</v>
      </c>
      <c r="F2823" s="5" t="s">
        <v>1082</v>
      </c>
      <c r="G2823" s="5" t="s">
        <v>1079</v>
      </c>
      <c r="H2823" s="6" t="s">
        <v>139</v>
      </c>
      <c r="I2823" s="6" t="s">
        <v>14</v>
      </c>
      <c r="J2823" s="6" t="s">
        <v>1953</v>
      </c>
      <c r="K2823" s="6">
        <v>6646</v>
      </c>
      <c r="L2823" s="7" t="s">
        <v>1954</v>
      </c>
      <c r="M2823" s="8">
        <v>196543</v>
      </c>
      <c r="N2823" s="8" t="str">
        <f t="shared" si="221"/>
        <v>PEN</v>
      </c>
      <c r="O2823" s="13"/>
      <c r="P2823" s="13">
        <v>11.81</v>
      </c>
      <c r="Q2823" s="3">
        <f t="shared" si="222"/>
        <v>0</v>
      </c>
      <c r="R2823" s="3">
        <f t="shared" si="223"/>
        <v>11.81</v>
      </c>
      <c r="S2823" s="3">
        <f t="shared" si="224"/>
        <v>50532.250000000022</v>
      </c>
      <c r="T2823" s="24" t="s">
        <v>1081</v>
      </c>
      <c r="U2823" s="24" t="s">
        <v>1081</v>
      </c>
      <c r="V2823" s="103" t="s">
        <v>3701</v>
      </c>
      <c r="W2823" s="25">
        <f>IFERROR(VLOOKUP(BCP_Soles[[#This Row],[DESTINATARIO]],CHOOSE({1,2},Clientes_Proveedores[Razon Social],Clientes_Proveedores[Ruc / Dni]),2,0),"")</f>
        <v>20100055237</v>
      </c>
      <c r="X2823" s="25"/>
      <c r="Y2823" s="25"/>
      <c r="Z2823" s="25"/>
      <c r="AA2823" s="101"/>
      <c r="AB2823" s="3" t="str">
        <f>IF(BCP_Soles[[#This Row],[FECHA]]&gt;0,TEXT(BCP_Soles[[#This Row],[FECHA]],"mmmm"),0)</f>
        <v>Julio</v>
      </c>
    </row>
    <row r="2824" spans="2:28" x14ac:dyDescent="0.3">
      <c r="B2824" s="2">
        <f>IF(BCP_Soles[[#This Row],[TIPO DE R.]]="R",COUNTIFS($D$4:$D2823,"R")+1,"")</f>
        <v>2039</v>
      </c>
      <c r="C2824" s="19" t="str">
        <f t="shared" si="220"/>
        <v>B-BCP - Soles</v>
      </c>
      <c r="D2824" s="3" t="s">
        <v>1074</v>
      </c>
      <c r="E2824" s="14">
        <v>45862</v>
      </c>
      <c r="F2824" s="5" t="s">
        <v>1082</v>
      </c>
      <c r="G2824" s="5" t="s">
        <v>1079</v>
      </c>
      <c r="H2824" s="6" t="s">
        <v>139</v>
      </c>
      <c r="I2824" s="6" t="s">
        <v>14</v>
      </c>
      <c r="J2824" s="6" t="s">
        <v>1953</v>
      </c>
      <c r="K2824" s="6">
        <v>6648</v>
      </c>
      <c r="L2824" s="7" t="s">
        <v>1954</v>
      </c>
      <c r="M2824" s="8">
        <v>196086</v>
      </c>
      <c r="N2824" s="8" t="str">
        <f t="shared" si="221"/>
        <v>PEN</v>
      </c>
      <c r="O2824" s="13"/>
      <c r="P2824" s="13">
        <v>962.8</v>
      </c>
      <c r="Q2824" s="3">
        <f t="shared" si="222"/>
        <v>0</v>
      </c>
      <c r="R2824" s="3">
        <f t="shared" si="223"/>
        <v>962.8</v>
      </c>
      <c r="S2824" s="3">
        <f t="shared" si="224"/>
        <v>49569.450000000019</v>
      </c>
      <c r="T2824" s="24" t="s">
        <v>1081</v>
      </c>
      <c r="U2824" s="24" t="s">
        <v>1081</v>
      </c>
      <c r="V2824" s="103" t="s">
        <v>3701</v>
      </c>
      <c r="W2824" s="25">
        <f>IFERROR(VLOOKUP(BCP_Soles[[#This Row],[DESTINATARIO]],CHOOSE({1,2},Clientes_Proveedores[Razon Social],Clientes_Proveedores[Ruc / Dni]),2,0),"")</f>
        <v>20100055237</v>
      </c>
      <c r="X2824" s="25"/>
      <c r="Y2824" s="25"/>
      <c r="Z2824" s="25"/>
      <c r="AA2824" s="101"/>
      <c r="AB2824" s="3" t="str">
        <f>IF(BCP_Soles[[#This Row],[FECHA]]&gt;0,TEXT(BCP_Soles[[#This Row],[FECHA]],"mmmm"),0)</f>
        <v>Julio</v>
      </c>
    </row>
    <row r="2825" spans="2:28" x14ac:dyDescent="0.3">
      <c r="B2825" s="2">
        <f>IF(BCP_Soles[[#This Row],[TIPO DE R.]]="R",COUNTIFS($D$4:$D2824,"R")+1,"")</f>
        <v>2040</v>
      </c>
      <c r="C2825" s="19" t="str">
        <f t="shared" si="220"/>
        <v>B-BCP - Soles</v>
      </c>
      <c r="D2825" s="3" t="s">
        <v>1074</v>
      </c>
      <c r="E2825" s="14">
        <v>45862</v>
      </c>
      <c r="F2825" s="5" t="s">
        <v>1082</v>
      </c>
      <c r="G2825" s="5" t="s">
        <v>1079</v>
      </c>
      <c r="H2825" s="6" t="s">
        <v>139</v>
      </c>
      <c r="I2825" s="6" t="s">
        <v>14</v>
      </c>
      <c r="J2825" s="6" t="s">
        <v>1953</v>
      </c>
      <c r="K2825" s="6">
        <v>6643</v>
      </c>
      <c r="L2825" s="7" t="s">
        <v>1954</v>
      </c>
      <c r="M2825" s="8">
        <v>196541</v>
      </c>
      <c r="N2825" s="8" t="str">
        <f t="shared" si="221"/>
        <v>PEN</v>
      </c>
      <c r="O2825" s="13"/>
      <c r="P2825" s="13">
        <v>190.02</v>
      </c>
      <c r="Q2825" s="3">
        <f t="shared" si="222"/>
        <v>0</v>
      </c>
      <c r="R2825" s="3">
        <f t="shared" si="223"/>
        <v>190.02</v>
      </c>
      <c r="S2825" s="3">
        <f t="shared" si="224"/>
        <v>49379.430000000022</v>
      </c>
      <c r="T2825" s="24" t="s">
        <v>1081</v>
      </c>
      <c r="U2825" s="24" t="s">
        <v>1081</v>
      </c>
      <c r="V2825" s="103" t="s">
        <v>3702</v>
      </c>
      <c r="W2825" s="25">
        <f>IFERROR(VLOOKUP(BCP_Soles[[#This Row],[DESTINATARIO]],CHOOSE({1,2},Clientes_Proveedores[Razon Social],Clientes_Proveedores[Ruc / Dni]),2,0),"")</f>
        <v>20100055237</v>
      </c>
      <c r="X2825" s="25"/>
      <c r="Y2825" s="25"/>
      <c r="Z2825" s="25"/>
      <c r="AA2825" s="101"/>
      <c r="AB2825" s="3" t="str">
        <f>IF(BCP_Soles[[#This Row],[FECHA]]&gt;0,TEXT(BCP_Soles[[#This Row],[FECHA]],"mmmm"),0)</f>
        <v>Julio</v>
      </c>
    </row>
    <row r="2826" spans="2:28" ht="24" x14ac:dyDescent="0.3">
      <c r="B2826" s="2">
        <f>IF(BCP_Soles[[#This Row],[TIPO DE R.]]="R",COUNTIFS($D$4:$D2825,"R")+1,"")</f>
        <v>2041</v>
      </c>
      <c r="C2826" s="19" t="str">
        <f t="shared" si="220"/>
        <v>B-BCP - Soles</v>
      </c>
      <c r="D2826" s="3" t="s">
        <v>1074</v>
      </c>
      <c r="E2826" s="14">
        <v>45862</v>
      </c>
      <c r="F2826" s="5" t="s">
        <v>1082</v>
      </c>
      <c r="G2826" s="5" t="s">
        <v>1079</v>
      </c>
      <c r="H2826" s="6" t="s">
        <v>951</v>
      </c>
      <c r="I2826" s="6"/>
      <c r="J2826" s="6"/>
      <c r="K2826" s="6"/>
      <c r="L2826" s="7" t="s">
        <v>3703</v>
      </c>
      <c r="M2826" s="8">
        <v>1226965</v>
      </c>
      <c r="N2826" s="8" t="str">
        <f t="shared" si="221"/>
        <v>PEN</v>
      </c>
      <c r="O2826" s="13"/>
      <c r="P2826" s="13">
        <v>400</v>
      </c>
      <c r="Q2826" s="3">
        <f t="shared" si="222"/>
        <v>0</v>
      </c>
      <c r="R2826" s="3">
        <f t="shared" si="223"/>
        <v>400</v>
      </c>
      <c r="S2826" s="3">
        <f t="shared" si="224"/>
        <v>48979.430000000022</v>
      </c>
      <c r="T2826" s="24"/>
      <c r="U2826" s="24"/>
      <c r="V2826" s="103" t="s">
        <v>3704</v>
      </c>
      <c r="W2826" s="25">
        <f>IFERROR(VLOOKUP(BCP_Soles[[#This Row],[DESTINATARIO]],CHOOSE({1,2},Clientes_Proveedores[Razon Social],Clientes_Proveedores[Ruc / Dni]),2,0),"")</f>
        <v>48197510</v>
      </c>
      <c r="X2826" s="25"/>
      <c r="Y2826" s="25"/>
      <c r="Z2826" s="25"/>
      <c r="AA2826" s="101"/>
      <c r="AB2826" s="3" t="str">
        <f>IF(BCP_Soles[[#This Row],[FECHA]]&gt;0,TEXT(BCP_Soles[[#This Row],[FECHA]],"mmmm"),0)</f>
        <v>Julio</v>
      </c>
    </row>
    <row r="2827" spans="2:28" ht="24" x14ac:dyDescent="0.3">
      <c r="B2827" s="2">
        <f>IF(BCP_Soles[[#This Row],[TIPO DE R.]]="R",COUNTIFS($D$4:$D2826,"R")+1,"")</f>
        <v>2042</v>
      </c>
      <c r="C2827" s="19" t="str">
        <f t="shared" si="220"/>
        <v>B-BCP - Soles</v>
      </c>
      <c r="D2827" s="3" t="s">
        <v>1074</v>
      </c>
      <c r="E2827" s="14">
        <v>45862</v>
      </c>
      <c r="F2827" s="5" t="s">
        <v>1082</v>
      </c>
      <c r="G2827" s="5" t="s">
        <v>1079</v>
      </c>
      <c r="H2827" s="6" t="s">
        <v>276</v>
      </c>
      <c r="I2827" s="6" t="s">
        <v>14</v>
      </c>
      <c r="J2827" s="6" t="s">
        <v>1121</v>
      </c>
      <c r="K2827" s="6">
        <v>744</v>
      </c>
      <c r="L2827" s="7" t="s">
        <v>7886</v>
      </c>
      <c r="M2827" s="8">
        <v>1227461</v>
      </c>
      <c r="N2827" s="8" t="str">
        <f t="shared" si="221"/>
        <v>PEN</v>
      </c>
      <c r="O2827" s="13"/>
      <c r="P2827" s="13">
        <v>265.5</v>
      </c>
      <c r="Q2827" s="3">
        <f t="shared" si="222"/>
        <v>0</v>
      </c>
      <c r="R2827" s="3">
        <f t="shared" si="223"/>
        <v>265.5</v>
      </c>
      <c r="S2827" s="3">
        <f t="shared" si="224"/>
        <v>48713.930000000022</v>
      </c>
      <c r="T2827" s="24" t="s">
        <v>1081</v>
      </c>
      <c r="U2827" s="24" t="s">
        <v>1081</v>
      </c>
      <c r="V2827" s="103" t="s">
        <v>3705</v>
      </c>
      <c r="W2827" s="25">
        <f>IFERROR(VLOOKUP(BCP_Soles[[#This Row],[DESTINATARIO]],CHOOSE({1,2},Clientes_Proveedores[Razon Social],Clientes_Proveedores[Ruc / Dni]),2,0),"")</f>
        <v>20498218831</v>
      </c>
      <c r="X2827" s="25"/>
      <c r="Y2827" s="25"/>
      <c r="Z2827" s="25"/>
      <c r="AA2827" s="101"/>
      <c r="AB2827" s="3" t="str">
        <f>IF(BCP_Soles[[#This Row],[FECHA]]&gt;0,TEXT(BCP_Soles[[#This Row],[FECHA]],"mmmm"),0)</f>
        <v>Julio</v>
      </c>
    </row>
    <row r="2828" spans="2:28" x14ac:dyDescent="0.3">
      <c r="B2828" s="2">
        <f>IF(BCP_Soles[[#This Row],[TIPO DE R.]]="R",COUNTIFS($D$4:$D2827,"R")+1,"")</f>
        <v>2043</v>
      </c>
      <c r="C2828" s="19" t="str">
        <f t="shared" si="220"/>
        <v>B-BCP - Soles</v>
      </c>
      <c r="D2828" s="3" t="s">
        <v>1074</v>
      </c>
      <c r="E2828" s="14">
        <v>45862</v>
      </c>
      <c r="F2828" s="5" t="s">
        <v>1078</v>
      </c>
      <c r="G2828" s="5" t="s">
        <v>1079</v>
      </c>
      <c r="H2828" s="6" t="s">
        <v>950</v>
      </c>
      <c r="I2828" s="6" t="s">
        <v>10</v>
      </c>
      <c r="J2828" s="6" t="s">
        <v>3392</v>
      </c>
      <c r="K2828" s="6">
        <v>2043</v>
      </c>
      <c r="L2828" s="7" t="s">
        <v>2868</v>
      </c>
      <c r="M2828" s="8"/>
      <c r="N2828" s="8" t="str">
        <f t="shared" si="221"/>
        <v>PEN</v>
      </c>
      <c r="O2828" s="13"/>
      <c r="P2828" s="13">
        <v>1.95</v>
      </c>
      <c r="Q2828" s="3">
        <f t="shared" si="222"/>
        <v>0</v>
      </c>
      <c r="R2828" s="3">
        <f t="shared" si="223"/>
        <v>1.95</v>
      </c>
      <c r="S2828" s="3">
        <f t="shared" si="224"/>
        <v>48711.980000000025</v>
      </c>
      <c r="T2828" s="24" t="s">
        <v>1081</v>
      </c>
      <c r="U2828" s="24"/>
      <c r="V2828" s="69"/>
      <c r="W2828" s="25">
        <f>IFERROR(VLOOKUP(BCP_Soles[[#This Row],[DESTINATARIO]],CHOOSE({1,2},Clientes_Proveedores[Razon Social],Clientes_Proveedores[Ruc / Dni]),2,0),"")</f>
        <v>11111111</v>
      </c>
      <c r="X2828" s="25"/>
      <c r="Y2828" s="25"/>
      <c r="Z2828" s="25"/>
      <c r="AA2828" s="101"/>
      <c r="AB2828" s="3" t="str">
        <f>IF(BCP_Soles[[#This Row],[FECHA]]&gt;0,TEXT(BCP_Soles[[#This Row],[FECHA]],"mmmm"),0)</f>
        <v>Julio</v>
      </c>
    </row>
    <row r="2829" spans="2:28" ht="36" x14ac:dyDescent="0.3">
      <c r="B2829" s="2">
        <f>IF(BCP_Soles[[#This Row],[TIPO DE R.]]="R",COUNTIFS($D$4:$D2828,"R")+1,"")</f>
        <v>2044</v>
      </c>
      <c r="C2829" s="19" t="str">
        <f t="shared" si="220"/>
        <v>B-BCP - Soles</v>
      </c>
      <c r="D2829" s="3" t="s">
        <v>1074</v>
      </c>
      <c r="E2829" s="14">
        <v>45863</v>
      </c>
      <c r="F2829" s="5" t="s">
        <v>459</v>
      </c>
      <c r="G2829" s="5" t="s">
        <v>1087</v>
      </c>
      <c r="H2829" s="6" t="s">
        <v>368</v>
      </c>
      <c r="I2829" s="6" t="s">
        <v>14</v>
      </c>
      <c r="J2829" s="6" t="s">
        <v>1521</v>
      </c>
      <c r="K2829" s="6">
        <v>175</v>
      </c>
      <c r="L2829" s="7" t="s">
        <v>1474</v>
      </c>
      <c r="M2829" s="8">
        <v>2105078</v>
      </c>
      <c r="N2829" s="8" t="str">
        <f t="shared" si="221"/>
        <v>PEN</v>
      </c>
      <c r="O2829" s="13"/>
      <c r="P2829" s="13">
        <v>4220.46</v>
      </c>
      <c r="Q2829" s="3">
        <f t="shared" si="222"/>
        <v>4220.46</v>
      </c>
      <c r="R2829" s="3">
        <f t="shared" si="223"/>
        <v>0</v>
      </c>
      <c r="S2829" s="3">
        <f t="shared" si="224"/>
        <v>52932.440000000024</v>
      </c>
      <c r="T2829" s="24" t="s">
        <v>1081</v>
      </c>
      <c r="U2829" s="24" t="s">
        <v>1081</v>
      </c>
      <c r="V2829" s="69"/>
      <c r="W2829" s="25">
        <f>IFERROR(VLOOKUP(BCP_Soles[[#This Row],[DESTINATARIO]],CHOOSE({1,2},Clientes_Proveedores[Razon Social],Clientes_Proveedores[Ruc / Dni]),2,0),"")</f>
        <v>20558226979</v>
      </c>
      <c r="X2829" s="25"/>
      <c r="Y2829" s="25"/>
      <c r="Z2829" s="25"/>
      <c r="AA2829" s="101"/>
      <c r="AB2829" s="3" t="str">
        <f>IF(BCP_Soles[[#This Row],[FECHA]]&gt;0,TEXT(BCP_Soles[[#This Row],[FECHA]],"mmmm"),0)</f>
        <v>Julio</v>
      </c>
    </row>
    <row r="2830" spans="2:28" x14ac:dyDescent="0.3">
      <c r="B2830" s="2">
        <f>IF(BCP_Soles[[#This Row],[TIPO DE R.]]="R",COUNTIFS($D$4:$D2829,"R")+1,"")</f>
        <v>2045</v>
      </c>
      <c r="C2830" s="19" t="str">
        <f t="shared" si="220"/>
        <v>B-BCP - Soles</v>
      </c>
      <c r="D2830" s="3" t="s">
        <v>1074</v>
      </c>
      <c r="E2830" s="14">
        <v>45863</v>
      </c>
      <c r="F2830" s="5" t="s">
        <v>213</v>
      </c>
      <c r="G2830" s="5" t="s">
        <v>1087</v>
      </c>
      <c r="H2830" s="6" t="s">
        <v>368</v>
      </c>
      <c r="I2830" s="6" t="s">
        <v>14</v>
      </c>
      <c r="J2830" s="6" t="s">
        <v>1521</v>
      </c>
      <c r="K2830" s="6">
        <v>90</v>
      </c>
      <c r="L2830" s="7" t="s">
        <v>3706</v>
      </c>
      <c r="M2830" s="8">
        <v>4393860</v>
      </c>
      <c r="N2830" s="8" t="str">
        <f t="shared" si="221"/>
        <v>PEN</v>
      </c>
      <c r="O2830" s="13"/>
      <c r="P2830" s="13">
        <v>4059.89</v>
      </c>
      <c r="Q2830" s="3">
        <f t="shared" si="222"/>
        <v>4059.89</v>
      </c>
      <c r="R2830" s="3">
        <f t="shared" si="223"/>
        <v>0</v>
      </c>
      <c r="S2830" s="3">
        <f t="shared" si="224"/>
        <v>56992.330000000024</v>
      </c>
      <c r="T2830" s="24" t="s">
        <v>1081</v>
      </c>
      <c r="U2830" s="24" t="s">
        <v>1081</v>
      </c>
      <c r="V2830" s="69"/>
      <c r="W2830" s="25">
        <f>IFERROR(VLOOKUP(BCP_Soles[[#This Row],[DESTINATARIO]],CHOOSE({1,2},Clientes_Proveedores[Razon Social],Clientes_Proveedores[Ruc / Dni]),2,0),"")</f>
        <v>20558226979</v>
      </c>
      <c r="X2830" s="25"/>
      <c r="Y2830" s="25"/>
      <c r="Z2830" s="25"/>
      <c r="AA2830" s="101"/>
      <c r="AB2830" s="3" t="str">
        <f>IF(BCP_Soles[[#This Row],[FECHA]]&gt;0,TEXT(BCP_Soles[[#This Row],[FECHA]],"mmmm"),0)</f>
        <v>Julio</v>
      </c>
    </row>
    <row r="2831" spans="2:28" ht="24" x14ac:dyDescent="0.3">
      <c r="B2831" s="2">
        <f>IF(BCP_Soles[[#This Row],[TIPO DE R.]]="R",COUNTIFS($D$4:$D2830,"R")+1,"")</f>
        <v>2046</v>
      </c>
      <c r="C2831" s="19" t="str">
        <f t="shared" si="220"/>
        <v>B-BCP - Soles</v>
      </c>
      <c r="D2831" s="3" t="s">
        <v>1074</v>
      </c>
      <c r="E2831" s="14">
        <v>45863</v>
      </c>
      <c r="F2831" s="5" t="s">
        <v>3158</v>
      </c>
      <c r="G2831" s="5" t="s">
        <v>1087</v>
      </c>
      <c r="H2831" s="6" t="s">
        <v>368</v>
      </c>
      <c r="I2831" s="6" t="s">
        <v>63</v>
      </c>
      <c r="J2831" s="6">
        <v>1</v>
      </c>
      <c r="K2831" s="6">
        <v>4634</v>
      </c>
      <c r="L2831" s="7" t="s">
        <v>1100</v>
      </c>
      <c r="M2831" s="8">
        <v>3441461</v>
      </c>
      <c r="N2831" s="8" t="str">
        <f t="shared" si="221"/>
        <v>PEN</v>
      </c>
      <c r="O2831" s="13"/>
      <c r="P2831" s="13">
        <v>1100</v>
      </c>
      <c r="Q2831" s="3">
        <f t="shared" si="222"/>
        <v>1100</v>
      </c>
      <c r="R2831" s="3">
        <f t="shared" si="223"/>
        <v>0</v>
      </c>
      <c r="S2831" s="3">
        <f t="shared" si="224"/>
        <v>58092.330000000024</v>
      </c>
      <c r="T2831" s="24" t="s">
        <v>1081</v>
      </c>
      <c r="U2831" s="24"/>
      <c r="V2831" s="69"/>
      <c r="W2831" s="25">
        <f>IFERROR(VLOOKUP(BCP_Soles[[#This Row],[DESTINATARIO]],CHOOSE({1,2},Clientes_Proveedores[Razon Social],Clientes_Proveedores[Ruc / Dni]),2,0),"")</f>
        <v>20558226979</v>
      </c>
      <c r="X2831" s="25"/>
      <c r="Y2831" s="25"/>
      <c r="Z2831" s="25"/>
      <c r="AA2831" s="101"/>
      <c r="AB2831" s="3" t="str">
        <f>IF(BCP_Soles[[#This Row],[FECHA]]&gt;0,TEXT(BCP_Soles[[#This Row],[FECHA]],"mmmm"),0)</f>
        <v>Julio</v>
      </c>
    </row>
    <row r="2832" spans="2:28" x14ac:dyDescent="0.3">
      <c r="B2832" s="2">
        <f>IF(BCP_Soles[[#This Row],[TIPO DE R.]]="R",COUNTIFS($D$4:$D2831,"R")+1,"")</f>
        <v>2047</v>
      </c>
      <c r="C2832" s="19" t="str">
        <f t="shared" si="220"/>
        <v>B-BCP - Soles</v>
      </c>
      <c r="D2832" s="3" t="s">
        <v>1074</v>
      </c>
      <c r="E2832" s="14">
        <v>45863</v>
      </c>
      <c r="F2832" s="5" t="s">
        <v>319</v>
      </c>
      <c r="G2832" s="5" t="s">
        <v>1087</v>
      </c>
      <c r="H2832" s="6" t="s">
        <v>368</v>
      </c>
      <c r="I2832" s="6" t="s">
        <v>14</v>
      </c>
      <c r="J2832" s="6" t="s">
        <v>1521</v>
      </c>
      <c r="K2832" s="6">
        <v>144</v>
      </c>
      <c r="L2832" s="7" t="s">
        <v>1127</v>
      </c>
      <c r="M2832" s="8">
        <v>16100</v>
      </c>
      <c r="N2832" s="8" t="str">
        <f t="shared" si="221"/>
        <v>PEN</v>
      </c>
      <c r="O2832" s="13"/>
      <c r="P2832" s="13">
        <v>5061.5600000000004</v>
      </c>
      <c r="Q2832" s="3">
        <f t="shared" si="222"/>
        <v>5061.5600000000004</v>
      </c>
      <c r="R2832" s="3">
        <f t="shared" si="223"/>
        <v>0</v>
      </c>
      <c r="S2832" s="3">
        <f t="shared" si="224"/>
        <v>63153.890000000021</v>
      </c>
      <c r="T2832" s="24" t="s">
        <v>1081</v>
      </c>
      <c r="U2832" s="24" t="s">
        <v>1081</v>
      </c>
      <c r="V2832" s="69"/>
      <c r="W2832" s="25">
        <f>IFERROR(VLOOKUP(BCP_Soles[[#This Row],[DESTINATARIO]],CHOOSE({1,2},Clientes_Proveedores[Razon Social],Clientes_Proveedores[Ruc / Dni]),2,0),"")</f>
        <v>20558226979</v>
      </c>
      <c r="X2832" s="25"/>
      <c r="Y2832" s="25"/>
      <c r="Z2832" s="25"/>
      <c r="AA2832" s="101"/>
      <c r="AB2832" s="3" t="str">
        <f>IF(BCP_Soles[[#This Row],[FECHA]]&gt;0,TEXT(BCP_Soles[[#This Row],[FECHA]],"mmmm"),0)</f>
        <v>Julio</v>
      </c>
    </row>
    <row r="2833" spans="2:28" ht="36" x14ac:dyDescent="0.3">
      <c r="B2833" s="2">
        <f>IF(BCP_Soles[[#This Row],[TIPO DE R.]]="R",COUNTIFS($D$4:$D2832,"R")+1,"")</f>
        <v>2048</v>
      </c>
      <c r="C2833" s="19" t="str">
        <f t="shared" si="220"/>
        <v>B-BCP - Soles</v>
      </c>
      <c r="D2833" s="3" t="s">
        <v>1074</v>
      </c>
      <c r="E2833" s="14">
        <v>45863</v>
      </c>
      <c r="F2833" s="5" t="s">
        <v>267</v>
      </c>
      <c r="G2833" s="5" t="s">
        <v>1087</v>
      </c>
      <c r="H2833" s="6" t="s">
        <v>368</v>
      </c>
      <c r="I2833" s="6" t="s">
        <v>14</v>
      </c>
      <c r="J2833" s="6" t="s">
        <v>1521</v>
      </c>
      <c r="K2833" s="6">
        <v>129</v>
      </c>
      <c r="L2833" s="7" t="s">
        <v>3707</v>
      </c>
      <c r="M2833" s="8">
        <v>4715501</v>
      </c>
      <c r="N2833" s="8" t="str">
        <f t="shared" si="221"/>
        <v>PEN</v>
      </c>
      <c r="O2833" s="13"/>
      <c r="P2833" s="13">
        <v>15439</v>
      </c>
      <c r="Q2833" s="3">
        <f t="shared" si="222"/>
        <v>15439</v>
      </c>
      <c r="R2833" s="3">
        <f t="shared" si="223"/>
        <v>0</v>
      </c>
      <c r="S2833" s="3">
        <f t="shared" si="224"/>
        <v>78592.890000000014</v>
      </c>
      <c r="T2833" s="24" t="s">
        <v>1081</v>
      </c>
      <c r="U2833" s="24" t="s">
        <v>1081</v>
      </c>
      <c r="V2833" s="69"/>
      <c r="W2833" s="25">
        <f>IFERROR(VLOOKUP(BCP_Soles[[#This Row],[DESTINATARIO]],CHOOSE({1,2},Clientes_Proveedores[Razon Social],Clientes_Proveedores[Ruc / Dni]),2,0),"")</f>
        <v>20558226979</v>
      </c>
      <c r="X2833" s="25"/>
      <c r="Y2833" s="25"/>
      <c r="Z2833" s="25"/>
      <c r="AA2833" s="101"/>
      <c r="AB2833" s="3" t="str">
        <f>IF(BCP_Soles[[#This Row],[FECHA]]&gt;0,TEXT(BCP_Soles[[#This Row],[FECHA]],"mmmm"),0)</f>
        <v>Julio</v>
      </c>
    </row>
    <row r="2834" spans="2:28" ht="36" x14ac:dyDescent="0.3">
      <c r="B2834" s="2">
        <f>IF(BCP_Soles[[#This Row],[TIPO DE R.]]="R",COUNTIFS($D$4:$D2833,"R")+1,"")</f>
        <v>2049</v>
      </c>
      <c r="C2834" s="19" t="str">
        <f t="shared" si="220"/>
        <v>B-BCP - Soles</v>
      </c>
      <c r="D2834" s="3" t="s">
        <v>1074</v>
      </c>
      <c r="E2834" s="14">
        <v>45863</v>
      </c>
      <c r="F2834" s="5" t="s">
        <v>1368</v>
      </c>
      <c r="G2834" s="5" t="s">
        <v>1087</v>
      </c>
      <c r="H2834" s="6" t="s">
        <v>368</v>
      </c>
      <c r="I2834" s="6" t="s">
        <v>63</v>
      </c>
      <c r="J2834" s="6">
        <v>2</v>
      </c>
      <c r="K2834" s="6">
        <v>813</v>
      </c>
      <c r="L2834" s="7" t="s">
        <v>1100</v>
      </c>
      <c r="M2834" s="8">
        <v>4169292</v>
      </c>
      <c r="N2834" s="8" t="str">
        <f t="shared" si="221"/>
        <v>PEN</v>
      </c>
      <c r="O2834" s="13"/>
      <c r="P2834" s="13">
        <v>1305</v>
      </c>
      <c r="Q2834" s="3">
        <f t="shared" si="222"/>
        <v>1305</v>
      </c>
      <c r="R2834" s="3">
        <f t="shared" si="223"/>
        <v>0</v>
      </c>
      <c r="S2834" s="3">
        <f t="shared" si="224"/>
        <v>79897.890000000014</v>
      </c>
      <c r="T2834" s="24" t="s">
        <v>1081</v>
      </c>
      <c r="U2834" s="24"/>
      <c r="V2834" s="69"/>
      <c r="W2834" s="25">
        <f>IFERROR(VLOOKUP(BCP_Soles[[#This Row],[DESTINATARIO]],CHOOSE({1,2},Clientes_Proveedores[Razon Social],Clientes_Proveedores[Ruc / Dni]),2,0),"")</f>
        <v>20558226979</v>
      </c>
      <c r="X2834" s="25"/>
      <c r="Y2834" s="25"/>
      <c r="Z2834" s="25"/>
      <c r="AA2834" s="101"/>
      <c r="AB2834" s="3" t="str">
        <f>IF(BCP_Soles[[#This Row],[FECHA]]&gt;0,TEXT(BCP_Soles[[#This Row],[FECHA]],"mmmm"),0)</f>
        <v>Julio</v>
      </c>
    </row>
    <row r="2835" spans="2:28" ht="24" x14ac:dyDescent="0.3">
      <c r="B2835" s="2">
        <f>IF(BCP_Soles[[#This Row],[TIPO DE R.]]="R",COUNTIFS($D$4:$D2834,"R")+1,"")</f>
        <v>2050</v>
      </c>
      <c r="C2835" s="19" t="str">
        <f t="shared" si="220"/>
        <v>B-BCP - Soles</v>
      </c>
      <c r="D2835" s="3" t="s">
        <v>1074</v>
      </c>
      <c r="E2835" s="14">
        <v>45863</v>
      </c>
      <c r="F2835" s="5" t="s">
        <v>376</v>
      </c>
      <c r="G2835" s="5" t="s">
        <v>1087</v>
      </c>
      <c r="H2835" s="6" t="s">
        <v>368</v>
      </c>
      <c r="I2835" s="6" t="s">
        <v>14</v>
      </c>
      <c r="J2835" s="6" t="s">
        <v>3010</v>
      </c>
      <c r="K2835" s="6">
        <v>96</v>
      </c>
      <c r="L2835" s="7" t="s">
        <v>1100</v>
      </c>
      <c r="M2835" s="8">
        <v>4057157</v>
      </c>
      <c r="N2835" s="8" t="str">
        <f t="shared" si="221"/>
        <v>PEN</v>
      </c>
      <c r="O2835" s="13"/>
      <c r="P2835" s="13">
        <v>905.54</v>
      </c>
      <c r="Q2835" s="3">
        <f t="shared" si="222"/>
        <v>905.54</v>
      </c>
      <c r="R2835" s="3">
        <f t="shared" si="223"/>
        <v>0</v>
      </c>
      <c r="S2835" s="3">
        <f t="shared" si="224"/>
        <v>80803.430000000008</v>
      </c>
      <c r="T2835" s="24" t="s">
        <v>1081</v>
      </c>
      <c r="U2835" s="24" t="s">
        <v>1081</v>
      </c>
      <c r="V2835" s="69"/>
      <c r="W2835" s="25">
        <f>IFERROR(VLOOKUP(BCP_Soles[[#This Row],[DESTINATARIO]],CHOOSE({1,2},Clientes_Proveedores[Razon Social],Clientes_Proveedores[Ruc / Dni]),2,0),"")</f>
        <v>20558226979</v>
      </c>
      <c r="X2835" s="25"/>
      <c r="Y2835" s="25"/>
      <c r="Z2835" s="25"/>
      <c r="AA2835" s="101"/>
      <c r="AB2835" s="3" t="str">
        <f>IF(BCP_Soles[[#This Row],[FECHA]]&gt;0,TEXT(BCP_Soles[[#This Row],[FECHA]],"mmmm"),0)</f>
        <v>Julio</v>
      </c>
    </row>
    <row r="2836" spans="2:28" ht="36" x14ac:dyDescent="0.3">
      <c r="B2836" s="2">
        <f>IF(BCP_Soles[[#This Row],[TIPO DE R.]]="R",COUNTIFS($D$4:$D2835,"R")+1,"")</f>
        <v>2051</v>
      </c>
      <c r="C2836" s="19" t="str">
        <f t="shared" si="220"/>
        <v>B-BCP - Soles</v>
      </c>
      <c r="D2836" s="3" t="s">
        <v>1074</v>
      </c>
      <c r="E2836" s="14">
        <v>45863</v>
      </c>
      <c r="F2836" s="5" t="s">
        <v>1082</v>
      </c>
      <c r="G2836" s="5" t="s">
        <v>1079</v>
      </c>
      <c r="H2836" s="6" t="s">
        <v>981</v>
      </c>
      <c r="I2836" s="6" t="s">
        <v>14</v>
      </c>
      <c r="J2836" s="6" t="s">
        <v>3708</v>
      </c>
      <c r="K2836" s="6">
        <v>1832633</v>
      </c>
      <c r="L2836" s="7" t="s">
        <v>3709</v>
      </c>
      <c r="M2836" s="8">
        <v>255168</v>
      </c>
      <c r="N2836" s="8" t="str">
        <f t="shared" si="221"/>
        <v>PEN</v>
      </c>
      <c r="O2836" s="13"/>
      <c r="P2836" s="13">
        <v>595.80999999999995</v>
      </c>
      <c r="Q2836" s="3">
        <f t="shared" si="222"/>
        <v>0</v>
      </c>
      <c r="R2836" s="3">
        <f t="shared" si="223"/>
        <v>595.80999999999995</v>
      </c>
      <c r="S2836" s="3">
        <f t="shared" si="224"/>
        <v>80207.62000000001</v>
      </c>
      <c r="T2836" s="24" t="s">
        <v>1081</v>
      </c>
      <c r="U2836" s="24" t="s">
        <v>1081</v>
      </c>
      <c r="V2836" s="69" t="s">
        <v>3710</v>
      </c>
      <c r="W2836" s="25">
        <f>IFERROR(VLOOKUP(BCP_Soles[[#This Row],[DESTINATARIO]],CHOOSE({1,2},Clientes_Proveedores[Razon Social],Clientes_Proveedores[Ruc / Dni]),2,0),"")</f>
        <v>20332970411</v>
      </c>
      <c r="X2836" s="25"/>
      <c r="Y2836" s="25"/>
      <c r="Z2836" s="25"/>
      <c r="AA2836" s="101"/>
      <c r="AB2836" s="3" t="str">
        <f>IF(BCP_Soles[[#This Row],[FECHA]]&gt;0,TEXT(BCP_Soles[[#This Row],[FECHA]],"mmmm"),0)</f>
        <v>Julio</v>
      </c>
    </row>
    <row r="2837" spans="2:28" ht="24" x14ac:dyDescent="0.3">
      <c r="B2837" s="2">
        <f>IF(BCP_Soles[[#This Row],[TIPO DE R.]]="R",COUNTIFS($D$4:$D2836,"R")+1,"")</f>
        <v>2052</v>
      </c>
      <c r="C2837" s="19" t="str">
        <f t="shared" si="220"/>
        <v>B-BCP - Soles</v>
      </c>
      <c r="D2837" s="3" t="s">
        <v>1074</v>
      </c>
      <c r="E2837" s="14">
        <v>45863</v>
      </c>
      <c r="F2837" s="5" t="s">
        <v>1082</v>
      </c>
      <c r="G2837" s="5" t="s">
        <v>1079</v>
      </c>
      <c r="H2837" s="6" t="s">
        <v>650</v>
      </c>
      <c r="I2837" s="6" t="s">
        <v>52</v>
      </c>
      <c r="J2837" s="6" t="s">
        <v>1399</v>
      </c>
      <c r="K2837" s="6">
        <v>552867336</v>
      </c>
      <c r="L2837" s="7" t="s">
        <v>3288</v>
      </c>
      <c r="M2837" s="8">
        <v>255618</v>
      </c>
      <c r="N2837" s="8" t="str">
        <f t="shared" si="221"/>
        <v>PEN</v>
      </c>
      <c r="O2837" s="13"/>
      <c r="P2837" s="13">
        <v>1370.77</v>
      </c>
      <c r="Q2837" s="3">
        <f t="shared" si="222"/>
        <v>0</v>
      </c>
      <c r="R2837" s="3">
        <f t="shared" si="223"/>
        <v>1370.77</v>
      </c>
      <c r="S2837" s="3">
        <f t="shared" si="224"/>
        <v>78836.850000000006</v>
      </c>
      <c r="T2837" s="24" t="s">
        <v>1081</v>
      </c>
      <c r="U2837" s="24"/>
      <c r="V2837" s="103" t="s">
        <v>3711</v>
      </c>
      <c r="W2837" s="25">
        <f>IFERROR(VLOOKUP(BCP_Soles[[#This Row],[DESTINATARIO]],CHOOSE({1,2},Clientes_Proveedores[Razon Social],Clientes_Proveedores[Ruc / Dni]),2,0),"")</f>
        <v>20467534026</v>
      </c>
      <c r="X2837" s="25" t="s">
        <v>3712</v>
      </c>
      <c r="Y2837" s="25"/>
      <c r="Z2837" s="25"/>
      <c r="AA2837" s="101"/>
      <c r="AB2837" s="3" t="str">
        <f>IF(BCP_Soles[[#This Row],[FECHA]]&gt;0,TEXT(BCP_Soles[[#This Row],[FECHA]],"mmmm"),0)</f>
        <v>Julio</v>
      </c>
    </row>
    <row r="2838" spans="2:28" ht="24" x14ac:dyDescent="0.3">
      <c r="B2838" s="2">
        <f>IF(BCP_Soles[[#This Row],[TIPO DE R.]]="R",COUNTIFS($D$4:$D2837,"R")+1,"")</f>
        <v>2053</v>
      </c>
      <c r="C2838" s="19" t="str">
        <f t="shared" si="220"/>
        <v>B-BCP - Soles</v>
      </c>
      <c r="D2838" s="3" t="s">
        <v>1074</v>
      </c>
      <c r="E2838" s="14">
        <v>45863</v>
      </c>
      <c r="F2838" s="5" t="s">
        <v>1082</v>
      </c>
      <c r="G2838" s="5" t="s">
        <v>1079</v>
      </c>
      <c r="H2838" s="6" t="s">
        <v>973</v>
      </c>
      <c r="I2838" s="6" t="s">
        <v>14</v>
      </c>
      <c r="J2838" s="6" t="s">
        <v>1121</v>
      </c>
      <c r="K2838" s="6">
        <v>221</v>
      </c>
      <c r="L2838" s="7" t="s">
        <v>3713</v>
      </c>
      <c r="M2838" s="8">
        <v>1254704</v>
      </c>
      <c r="N2838" s="8" t="str">
        <f t="shared" si="221"/>
        <v>PEN</v>
      </c>
      <c r="O2838" s="13"/>
      <c r="P2838" s="13">
        <v>180</v>
      </c>
      <c r="Q2838" s="3">
        <f t="shared" si="222"/>
        <v>0</v>
      </c>
      <c r="R2838" s="3">
        <f t="shared" si="223"/>
        <v>180</v>
      </c>
      <c r="S2838" s="3">
        <f t="shared" si="224"/>
        <v>78656.850000000006</v>
      </c>
      <c r="T2838" s="24" t="s">
        <v>1081</v>
      </c>
      <c r="U2838" s="24" t="s">
        <v>1081</v>
      </c>
      <c r="V2838" s="103" t="s">
        <v>3714</v>
      </c>
      <c r="W2838" s="25">
        <f>IFERROR(VLOOKUP(BCP_Soles[[#This Row],[DESTINATARIO]],CHOOSE({1,2},Clientes_Proveedores[Razon Social],Clientes_Proveedores[Ruc / Dni]),2,0),"")</f>
        <v>10440377497</v>
      </c>
      <c r="X2838" s="25"/>
      <c r="Y2838" s="25"/>
      <c r="Z2838" s="25"/>
      <c r="AA2838" s="101"/>
      <c r="AB2838" s="3" t="str">
        <f>IF(BCP_Soles[[#This Row],[FECHA]]&gt;0,TEXT(BCP_Soles[[#This Row],[FECHA]],"mmmm"),0)</f>
        <v>Julio</v>
      </c>
    </row>
    <row r="2839" spans="2:28" ht="24" x14ac:dyDescent="0.3">
      <c r="B2839" s="2">
        <f>IF(BCP_Soles[[#This Row],[TIPO DE R.]]="R",COUNTIFS($D$4:$D2838,"R")+1,"")</f>
        <v>2054</v>
      </c>
      <c r="C2839" s="19" t="str">
        <f t="shared" si="220"/>
        <v>B-BCP - Soles</v>
      </c>
      <c r="D2839" s="3" t="s">
        <v>1074</v>
      </c>
      <c r="E2839" s="14">
        <v>45863</v>
      </c>
      <c r="F2839" s="5" t="s">
        <v>1082</v>
      </c>
      <c r="G2839" s="5" t="s">
        <v>1079</v>
      </c>
      <c r="H2839" s="6" t="s">
        <v>600</v>
      </c>
      <c r="I2839" s="6" t="s">
        <v>14</v>
      </c>
      <c r="J2839" s="6" t="s">
        <v>1121</v>
      </c>
      <c r="K2839" s="6">
        <v>49</v>
      </c>
      <c r="L2839" s="7" t="s">
        <v>3715</v>
      </c>
      <c r="M2839" s="8">
        <v>1293914</v>
      </c>
      <c r="N2839" s="8" t="str">
        <f t="shared" si="221"/>
        <v>PEN</v>
      </c>
      <c r="O2839" s="13"/>
      <c r="P2839" s="13">
        <v>1000</v>
      </c>
      <c r="Q2839" s="3">
        <f t="shared" si="222"/>
        <v>0</v>
      </c>
      <c r="R2839" s="3">
        <f t="shared" si="223"/>
        <v>1000</v>
      </c>
      <c r="S2839" s="3">
        <f t="shared" si="224"/>
        <v>77656.850000000006</v>
      </c>
      <c r="T2839" s="24" t="s">
        <v>1081</v>
      </c>
      <c r="U2839" s="24" t="s">
        <v>1081</v>
      </c>
      <c r="V2839" s="103" t="s">
        <v>3716</v>
      </c>
      <c r="W2839" s="25">
        <f>IFERROR(VLOOKUP(BCP_Soles[[#This Row],[DESTINATARIO]],CHOOSE({1,2},Clientes_Proveedores[Razon Social],Clientes_Proveedores[Ruc / Dni]),2,0),"")</f>
        <v>15609125303</v>
      </c>
      <c r="X2839" s="25"/>
      <c r="Y2839" s="25"/>
      <c r="Z2839" s="25"/>
      <c r="AA2839" s="101"/>
      <c r="AB2839" s="3" t="str">
        <f>IF(BCP_Soles[[#This Row],[FECHA]]&gt;0,TEXT(BCP_Soles[[#This Row],[FECHA]],"mmmm"),0)</f>
        <v>Julio</v>
      </c>
    </row>
    <row r="2840" spans="2:28" x14ac:dyDescent="0.3">
      <c r="B2840" s="2">
        <f>IF(BCP_Soles[[#This Row],[TIPO DE R.]]="R",COUNTIFS($D$4:$D2839,"R")+1,"")</f>
        <v>2055</v>
      </c>
      <c r="C2840" s="19" t="str">
        <f t="shared" si="220"/>
        <v>B-BCP - Soles</v>
      </c>
      <c r="D2840" s="3" t="s">
        <v>1074</v>
      </c>
      <c r="E2840" s="14">
        <v>45863</v>
      </c>
      <c r="F2840" s="5" t="s">
        <v>1082</v>
      </c>
      <c r="G2840" s="5" t="s">
        <v>1079</v>
      </c>
      <c r="H2840" s="6" t="s">
        <v>638</v>
      </c>
      <c r="I2840" s="6"/>
      <c r="J2840" s="6"/>
      <c r="K2840" s="6"/>
      <c r="L2840" s="7" t="s">
        <v>3717</v>
      </c>
      <c r="M2840" s="8">
        <v>4654315</v>
      </c>
      <c r="N2840" s="8" t="str">
        <f t="shared" si="221"/>
        <v>PEN</v>
      </c>
      <c r="O2840" s="13"/>
      <c r="P2840" s="13">
        <v>3934.39</v>
      </c>
      <c r="Q2840" s="3">
        <f t="shared" si="222"/>
        <v>0</v>
      </c>
      <c r="R2840" s="3">
        <f t="shared" si="223"/>
        <v>3934.39</v>
      </c>
      <c r="S2840" s="3">
        <f t="shared" si="224"/>
        <v>73722.460000000006</v>
      </c>
      <c r="T2840" s="24" t="s">
        <v>1081</v>
      </c>
      <c r="U2840" s="24" t="s">
        <v>1081</v>
      </c>
      <c r="V2840" s="103" t="s">
        <v>3718</v>
      </c>
      <c r="W2840" s="25">
        <f>IFERROR(VLOOKUP(BCP_Soles[[#This Row],[DESTINATARIO]],CHOOSE({1,2},Clientes_Proveedores[Razon Social],Clientes_Proveedores[Ruc / Dni]),2,0),"")</f>
        <v>0</v>
      </c>
      <c r="X2840" s="25"/>
      <c r="Y2840" s="25"/>
      <c r="Z2840" s="25"/>
      <c r="AA2840" s="101"/>
      <c r="AB2840" s="3" t="str">
        <f>IF(BCP_Soles[[#This Row],[FECHA]]&gt;0,TEXT(BCP_Soles[[#This Row],[FECHA]],"mmmm"),0)</f>
        <v>Julio</v>
      </c>
    </row>
    <row r="2841" spans="2:28" ht="24" x14ac:dyDescent="0.3">
      <c r="B2841" s="2" t="str">
        <f>IF(BCP_Soles[[#This Row],[TIPO DE R.]]="R",COUNTIFS($D$4:$D2840,"R")+1,"")</f>
        <v/>
      </c>
      <c r="C2841" s="19" t="str">
        <f t="shared" si="220"/>
        <v>B-BCP - Soles</v>
      </c>
      <c r="D2841" s="3" t="s">
        <v>1101</v>
      </c>
      <c r="E2841" s="14">
        <v>45863</v>
      </c>
      <c r="F2841" s="5" t="s">
        <v>1082</v>
      </c>
      <c r="G2841" s="5"/>
      <c r="H2841" s="6" t="s">
        <v>214</v>
      </c>
      <c r="I2841" s="6" t="s">
        <v>14</v>
      </c>
      <c r="J2841" s="6" t="s">
        <v>1120</v>
      </c>
      <c r="K2841" s="6">
        <v>6951</v>
      </c>
      <c r="L2841" s="7" t="s">
        <v>3717</v>
      </c>
      <c r="M2841" s="8">
        <v>4654315</v>
      </c>
      <c r="N2841" s="8" t="str">
        <f t="shared" si="221"/>
        <v>PEN</v>
      </c>
      <c r="O2841" s="13">
        <v>2248</v>
      </c>
      <c r="P2841" s="13"/>
      <c r="Q2841" s="3">
        <f t="shared" si="222"/>
        <v>0</v>
      </c>
      <c r="R2841" s="3">
        <f t="shared" si="223"/>
        <v>0</v>
      </c>
      <c r="S2841" s="3">
        <f t="shared" si="224"/>
        <v>73722.460000000006</v>
      </c>
      <c r="T2841" s="24" t="s">
        <v>1081</v>
      </c>
      <c r="U2841" s="24" t="s">
        <v>1081</v>
      </c>
      <c r="V2841" s="69"/>
      <c r="W2841" s="25">
        <f>IFERROR(VLOOKUP(BCP_Soles[[#This Row],[DESTINATARIO]],CHOOSE({1,2},Clientes_Proveedores[Razon Social],Clientes_Proveedores[Ruc / Dni]),2,0),"")</f>
        <v>20419158462</v>
      </c>
      <c r="X2841" s="25"/>
      <c r="Y2841" s="25"/>
      <c r="Z2841" s="25"/>
      <c r="AA2841" s="101"/>
      <c r="AB2841" s="3" t="str">
        <f>IF(BCP_Soles[[#This Row],[FECHA]]&gt;0,TEXT(BCP_Soles[[#This Row],[FECHA]],"mmmm"),0)</f>
        <v>Julio</v>
      </c>
    </row>
    <row r="2842" spans="2:28" ht="24" x14ac:dyDescent="0.3">
      <c r="B2842" s="2" t="str">
        <f>IF(BCP_Soles[[#This Row],[TIPO DE R.]]="R",COUNTIFS($D$4:$D2841,"R")+1,"")</f>
        <v/>
      </c>
      <c r="C2842" s="19" t="str">
        <f t="shared" si="220"/>
        <v>B-BCP - Soles</v>
      </c>
      <c r="D2842" s="3" t="s">
        <v>1101</v>
      </c>
      <c r="E2842" s="14">
        <v>45863</v>
      </c>
      <c r="F2842" s="5" t="s">
        <v>1082</v>
      </c>
      <c r="G2842" s="5"/>
      <c r="H2842" s="6" t="s">
        <v>214</v>
      </c>
      <c r="I2842" s="6" t="s">
        <v>14</v>
      </c>
      <c r="J2842" s="6" t="s">
        <v>1120</v>
      </c>
      <c r="K2842" s="6">
        <v>6950</v>
      </c>
      <c r="L2842" s="7" t="s">
        <v>3717</v>
      </c>
      <c r="M2842" s="8">
        <v>4654315</v>
      </c>
      <c r="N2842" s="8" t="str">
        <f t="shared" si="221"/>
        <v>PEN</v>
      </c>
      <c r="O2842" s="13">
        <v>694</v>
      </c>
      <c r="P2842" s="13"/>
      <c r="Q2842" s="3">
        <f t="shared" si="222"/>
        <v>0</v>
      </c>
      <c r="R2842" s="3">
        <f t="shared" si="223"/>
        <v>0</v>
      </c>
      <c r="S2842" s="3">
        <f t="shared" si="224"/>
        <v>73722.460000000006</v>
      </c>
      <c r="T2842" s="24" t="s">
        <v>1081</v>
      </c>
      <c r="U2842" s="24" t="s">
        <v>1081</v>
      </c>
      <c r="V2842" s="69"/>
      <c r="W2842" s="25">
        <f>IFERROR(VLOOKUP(BCP_Soles[[#This Row],[DESTINATARIO]],CHOOSE({1,2},Clientes_Proveedores[Razon Social],Clientes_Proveedores[Ruc / Dni]),2,0),"")</f>
        <v>20419158462</v>
      </c>
      <c r="X2842" s="25"/>
      <c r="Y2842" s="25"/>
      <c r="Z2842" s="25"/>
      <c r="AA2842" s="101"/>
      <c r="AB2842" s="3" t="str">
        <f>IF(BCP_Soles[[#This Row],[FECHA]]&gt;0,TEXT(BCP_Soles[[#This Row],[FECHA]],"mmmm"),0)</f>
        <v>Julio</v>
      </c>
    </row>
    <row r="2843" spans="2:28" x14ac:dyDescent="0.3">
      <c r="B2843" s="2" t="str">
        <f>IF(BCP_Soles[[#This Row],[TIPO DE R.]]="R",COUNTIFS($D$4:$D2842,"R")+1,"")</f>
        <v/>
      </c>
      <c r="C2843" s="19" t="str">
        <f t="shared" si="220"/>
        <v>B-BCP - Soles</v>
      </c>
      <c r="D2843" s="3" t="s">
        <v>1101</v>
      </c>
      <c r="E2843" s="14">
        <v>45863</v>
      </c>
      <c r="F2843" s="5" t="s">
        <v>1082</v>
      </c>
      <c r="G2843" s="5"/>
      <c r="H2843" s="6" t="s">
        <v>229</v>
      </c>
      <c r="I2843" s="6" t="s">
        <v>14</v>
      </c>
      <c r="J2843" s="6" t="s">
        <v>1148</v>
      </c>
      <c r="K2843" s="6">
        <v>630</v>
      </c>
      <c r="L2843" s="7" t="s">
        <v>3717</v>
      </c>
      <c r="M2843" s="8">
        <v>4654315</v>
      </c>
      <c r="N2843" s="8" t="str">
        <f t="shared" si="221"/>
        <v>PEN</v>
      </c>
      <c r="O2843" s="13">
        <v>234.6</v>
      </c>
      <c r="P2843" s="13"/>
      <c r="Q2843" s="3">
        <f t="shared" si="222"/>
        <v>0</v>
      </c>
      <c r="R2843" s="3">
        <f t="shared" si="223"/>
        <v>0</v>
      </c>
      <c r="S2843" s="3">
        <f t="shared" si="224"/>
        <v>73722.460000000006</v>
      </c>
      <c r="T2843" s="24" t="s">
        <v>1081</v>
      </c>
      <c r="U2843" s="24" t="s">
        <v>1081</v>
      </c>
      <c r="V2843" s="69"/>
      <c r="W2843" s="25">
        <f>IFERROR(VLOOKUP(BCP_Soles[[#This Row],[DESTINATARIO]],CHOOSE({1,2},Clientes_Proveedores[Razon Social],Clientes_Proveedores[Ruc / Dni]),2,0),"")</f>
        <v>20454186002</v>
      </c>
      <c r="X2843" s="25"/>
      <c r="Y2843" s="25"/>
      <c r="Z2843" s="25"/>
      <c r="AA2843" s="101"/>
      <c r="AB2843" s="3" t="str">
        <f>IF(BCP_Soles[[#This Row],[FECHA]]&gt;0,TEXT(BCP_Soles[[#This Row],[FECHA]],"mmmm"),0)</f>
        <v>Julio</v>
      </c>
    </row>
    <row r="2844" spans="2:28" x14ac:dyDescent="0.3">
      <c r="B2844" s="2" t="str">
        <f>IF(BCP_Soles[[#This Row],[TIPO DE R.]]="R",COUNTIFS($D$4:$D2843,"R")+1,"")</f>
        <v/>
      </c>
      <c r="C2844" s="19" t="str">
        <f t="shared" si="220"/>
        <v>B-BCP - Soles</v>
      </c>
      <c r="D2844" s="3" t="s">
        <v>1101</v>
      </c>
      <c r="E2844" s="14">
        <v>45863</v>
      </c>
      <c r="F2844" s="5" t="s">
        <v>1082</v>
      </c>
      <c r="G2844" s="5"/>
      <c r="H2844" s="6" t="s">
        <v>229</v>
      </c>
      <c r="I2844" s="6" t="s">
        <v>14</v>
      </c>
      <c r="J2844" s="6" t="s">
        <v>1429</v>
      </c>
      <c r="K2844" s="6">
        <v>1715</v>
      </c>
      <c r="L2844" s="7" t="s">
        <v>3717</v>
      </c>
      <c r="M2844" s="8">
        <v>4654315</v>
      </c>
      <c r="N2844" s="8" t="str">
        <f t="shared" si="221"/>
        <v>PEN</v>
      </c>
      <c r="O2844" s="13">
        <v>148</v>
      </c>
      <c r="P2844" s="13"/>
      <c r="Q2844" s="3">
        <f t="shared" si="222"/>
        <v>0</v>
      </c>
      <c r="R2844" s="3">
        <f t="shared" si="223"/>
        <v>0</v>
      </c>
      <c r="S2844" s="3">
        <f t="shared" si="224"/>
        <v>73722.460000000006</v>
      </c>
      <c r="T2844" s="24" t="s">
        <v>1081</v>
      </c>
      <c r="U2844" s="24" t="s">
        <v>1081</v>
      </c>
      <c r="V2844" s="69"/>
      <c r="W2844" s="25">
        <f>IFERROR(VLOOKUP(BCP_Soles[[#This Row],[DESTINATARIO]],CHOOSE({1,2},Clientes_Proveedores[Razon Social],Clientes_Proveedores[Ruc / Dni]),2,0),"")</f>
        <v>20454186002</v>
      </c>
      <c r="X2844" s="25"/>
      <c r="Y2844" s="25"/>
      <c r="Z2844" s="25"/>
      <c r="AA2844" s="101"/>
      <c r="AB2844" s="3" t="str">
        <f>IF(BCP_Soles[[#This Row],[FECHA]]&gt;0,TEXT(BCP_Soles[[#This Row],[FECHA]],"mmmm"),0)</f>
        <v>Julio</v>
      </c>
    </row>
    <row r="2845" spans="2:28" x14ac:dyDescent="0.3">
      <c r="B2845" s="2" t="str">
        <f>IF(BCP_Soles[[#This Row],[TIPO DE R.]]="R",COUNTIFS($D$4:$D2844,"R")+1,"")</f>
        <v/>
      </c>
      <c r="C2845" s="19" t="str">
        <f t="shared" si="220"/>
        <v>B-BCP - Soles</v>
      </c>
      <c r="D2845" s="3" t="s">
        <v>1101</v>
      </c>
      <c r="E2845" s="14">
        <v>45863</v>
      </c>
      <c r="F2845" s="5" t="s">
        <v>1082</v>
      </c>
      <c r="G2845" s="5"/>
      <c r="H2845" s="6" t="s">
        <v>229</v>
      </c>
      <c r="I2845" s="6" t="s">
        <v>14</v>
      </c>
      <c r="J2845" s="6" t="s">
        <v>1429</v>
      </c>
      <c r="K2845" s="6">
        <v>1712</v>
      </c>
      <c r="L2845" s="7" t="s">
        <v>3717</v>
      </c>
      <c r="M2845" s="8">
        <v>4654315</v>
      </c>
      <c r="N2845" s="8" t="str">
        <f t="shared" si="221"/>
        <v>PEN</v>
      </c>
      <c r="O2845" s="13">
        <v>173</v>
      </c>
      <c r="P2845" s="13"/>
      <c r="Q2845" s="3">
        <f t="shared" si="222"/>
        <v>0</v>
      </c>
      <c r="R2845" s="3">
        <f t="shared" si="223"/>
        <v>0</v>
      </c>
      <c r="S2845" s="3">
        <f t="shared" si="224"/>
        <v>73722.460000000006</v>
      </c>
      <c r="T2845" s="24" t="s">
        <v>1081</v>
      </c>
      <c r="U2845" s="24" t="s">
        <v>1081</v>
      </c>
      <c r="V2845" s="69"/>
      <c r="W2845" s="25">
        <f>IFERROR(VLOOKUP(BCP_Soles[[#This Row],[DESTINATARIO]],CHOOSE({1,2},Clientes_Proveedores[Razon Social],Clientes_Proveedores[Ruc / Dni]),2,0),"")</f>
        <v>20454186002</v>
      </c>
      <c r="X2845" s="25"/>
      <c r="Y2845" s="25"/>
      <c r="Z2845" s="25"/>
      <c r="AA2845" s="101"/>
      <c r="AB2845" s="3" t="str">
        <f>IF(BCP_Soles[[#This Row],[FECHA]]&gt;0,TEXT(BCP_Soles[[#This Row],[FECHA]],"mmmm"),0)</f>
        <v>Julio</v>
      </c>
    </row>
    <row r="2846" spans="2:28" x14ac:dyDescent="0.3">
      <c r="B2846" s="2" t="str">
        <f>IF(BCP_Soles[[#This Row],[TIPO DE R.]]="R",COUNTIFS($D$4:$D2845,"R")+1,"")</f>
        <v/>
      </c>
      <c r="C2846" s="19" t="str">
        <f t="shared" si="220"/>
        <v>B-BCP - Soles</v>
      </c>
      <c r="D2846" s="3" t="s">
        <v>1101</v>
      </c>
      <c r="E2846" s="14">
        <v>45863</v>
      </c>
      <c r="F2846" s="5" t="s">
        <v>1082</v>
      </c>
      <c r="G2846" s="5"/>
      <c r="H2846" s="6" t="s">
        <v>229</v>
      </c>
      <c r="I2846" s="6" t="s">
        <v>14</v>
      </c>
      <c r="J2846" s="6" t="s">
        <v>1429</v>
      </c>
      <c r="K2846" s="6">
        <v>1711</v>
      </c>
      <c r="L2846" s="7" t="s">
        <v>3717</v>
      </c>
      <c r="M2846" s="8">
        <v>4654315</v>
      </c>
      <c r="N2846" s="8" t="str">
        <f t="shared" si="221"/>
        <v>PEN</v>
      </c>
      <c r="O2846" s="13">
        <v>17.399999999999999</v>
      </c>
      <c r="P2846" s="13"/>
      <c r="Q2846" s="3">
        <f t="shared" si="222"/>
        <v>0</v>
      </c>
      <c r="R2846" s="3">
        <f t="shared" si="223"/>
        <v>0</v>
      </c>
      <c r="S2846" s="3">
        <f t="shared" si="224"/>
        <v>73722.460000000006</v>
      </c>
      <c r="T2846" s="24" t="s">
        <v>1081</v>
      </c>
      <c r="U2846" s="24" t="s">
        <v>1081</v>
      </c>
      <c r="V2846" s="69"/>
      <c r="W2846" s="25">
        <f>IFERROR(VLOOKUP(BCP_Soles[[#This Row],[DESTINATARIO]],CHOOSE({1,2},Clientes_Proveedores[Razon Social],Clientes_Proveedores[Ruc / Dni]),2,0),"")</f>
        <v>20454186002</v>
      </c>
      <c r="X2846" s="25"/>
      <c r="Y2846" s="25"/>
      <c r="Z2846" s="25"/>
      <c r="AA2846" s="101"/>
      <c r="AB2846" s="3" t="str">
        <f>IF(BCP_Soles[[#This Row],[FECHA]]&gt;0,TEXT(BCP_Soles[[#This Row],[FECHA]],"mmmm"),0)</f>
        <v>Julio</v>
      </c>
    </row>
    <row r="2847" spans="2:28" x14ac:dyDescent="0.3">
      <c r="B2847" s="2" t="str">
        <f>IF(BCP_Soles[[#This Row],[TIPO DE R.]]="R",COUNTIFS($D$4:$D2846,"R")+1,"")</f>
        <v/>
      </c>
      <c r="C2847" s="19" t="str">
        <f t="shared" si="220"/>
        <v>B-BCP - Soles</v>
      </c>
      <c r="D2847" s="3" t="s">
        <v>1101</v>
      </c>
      <c r="E2847" s="14">
        <v>45863</v>
      </c>
      <c r="F2847" s="5" t="s">
        <v>1082</v>
      </c>
      <c r="G2847" s="5"/>
      <c r="H2847" s="6" t="s">
        <v>229</v>
      </c>
      <c r="I2847" s="6" t="s">
        <v>14</v>
      </c>
      <c r="J2847" s="6" t="s">
        <v>1429</v>
      </c>
      <c r="K2847" s="6">
        <v>1713</v>
      </c>
      <c r="L2847" s="7" t="s">
        <v>3717</v>
      </c>
      <c r="M2847" s="8">
        <v>4654315</v>
      </c>
      <c r="N2847" s="8" t="str">
        <f t="shared" si="221"/>
        <v>PEN</v>
      </c>
      <c r="O2847" s="13">
        <v>224</v>
      </c>
      <c r="P2847" s="13"/>
      <c r="Q2847" s="3">
        <f t="shared" si="222"/>
        <v>0</v>
      </c>
      <c r="R2847" s="3">
        <f t="shared" si="223"/>
        <v>0</v>
      </c>
      <c r="S2847" s="3">
        <f t="shared" si="224"/>
        <v>73722.460000000006</v>
      </c>
      <c r="T2847" s="24" t="s">
        <v>1081</v>
      </c>
      <c r="U2847" s="24" t="s">
        <v>1081</v>
      </c>
      <c r="V2847" s="69"/>
      <c r="W2847" s="25">
        <f>IFERROR(VLOOKUP(BCP_Soles[[#This Row],[DESTINATARIO]],CHOOSE({1,2},Clientes_Proveedores[Razon Social],Clientes_Proveedores[Ruc / Dni]),2,0),"")</f>
        <v>20454186002</v>
      </c>
      <c r="X2847" s="25"/>
      <c r="Y2847" s="25"/>
      <c r="Z2847" s="25"/>
      <c r="AA2847" s="101"/>
      <c r="AB2847" s="3" t="str">
        <f>IF(BCP_Soles[[#This Row],[FECHA]]&gt;0,TEXT(BCP_Soles[[#This Row],[FECHA]],"mmmm"),0)</f>
        <v>Julio</v>
      </c>
    </row>
    <row r="2848" spans="2:28" x14ac:dyDescent="0.3">
      <c r="B2848" s="2" t="str">
        <f>IF(BCP_Soles[[#This Row],[TIPO DE R.]]="R",COUNTIFS($D$4:$D2847,"R")+1,"")</f>
        <v/>
      </c>
      <c r="C2848" s="19" t="str">
        <f t="shared" si="220"/>
        <v>B-BCP - Soles</v>
      </c>
      <c r="D2848" s="3" t="s">
        <v>1101</v>
      </c>
      <c r="E2848" s="14">
        <v>45863</v>
      </c>
      <c r="F2848" s="5" t="s">
        <v>1082</v>
      </c>
      <c r="G2848" s="5"/>
      <c r="H2848" s="6" t="s">
        <v>229</v>
      </c>
      <c r="I2848" s="6" t="s">
        <v>14</v>
      </c>
      <c r="J2848" s="6" t="s">
        <v>1429</v>
      </c>
      <c r="K2848" s="6">
        <v>1714</v>
      </c>
      <c r="L2848" s="7" t="s">
        <v>3717</v>
      </c>
      <c r="M2848" s="8">
        <v>4654315</v>
      </c>
      <c r="N2848" s="8" t="str">
        <f t="shared" si="221"/>
        <v>PEN</v>
      </c>
      <c r="O2848" s="13">
        <v>195.39</v>
      </c>
      <c r="P2848" s="13"/>
      <c r="Q2848" s="3">
        <f t="shared" si="222"/>
        <v>0</v>
      </c>
      <c r="R2848" s="3">
        <f t="shared" si="223"/>
        <v>0</v>
      </c>
      <c r="S2848" s="3">
        <f t="shared" si="224"/>
        <v>73722.460000000006</v>
      </c>
      <c r="T2848" s="24" t="s">
        <v>1081</v>
      </c>
      <c r="U2848" s="24" t="s">
        <v>1081</v>
      </c>
      <c r="V2848" s="69"/>
      <c r="W2848" s="25">
        <f>IFERROR(VLOOKUP(BCP_Soles[[#This Row],[DESTINATARIO]],CHOOSE({1,2},Clientes_Proveedores[Razon Social],Clientes_Proveedores[Ruc / Dni]),2,0),"")</f>
        <v>20454186002</v>
      </c>
      <c r="X2848" s="25"/>
      <c r="Y2848" s="25"/>
      <c r="Z2848" s="25"/>
      <c r="AA2848" s="101"/>
      <c r="AB2848" s="3" t="str">
        <f>IF(BCP_Soles[[#This Row],[FECHA]]&gt;0,TEXT(BCP_Soles[[#This Row],[FECHA]],"mmmm"),0)</f>
        <v>Julio</v>
      </c>
    </row>
    <row r="2849" spans="2:28" x14ac:dyDescent="0.3">
      <c r="B2849" s="2">
        <f>IF(BCP_Soles[[#This Row],[TIPO DE R.]]="R",COUNTIFS($D$4:$D2848,"R")+1,"")</f>
        <v>2056</v>
      </c>
      <c r="C2849" s="19" t="str">
        <f t="shared" si="220"/>
        <v>B-BCP - Soles</v>
      </c>
      <c r="D2849" s="3" t="s">
        <v>1074</v>
      </c>
      <c r="E2849" s="14">
        <v>45863</v>
      </c>
      <c r="F2849" s="5" t="s">
        <v>1082</v>
      </c>
      <c r="G2849" s="5" t="s">
        <v>1079</v>
      </c>
      <c r="H2849" s="6" t="s">
        <v>357</v>
      </c>
      <c r="I2849" s="6" t="s">
        <v>14</v>
      </c>
      <c r="J2849" s="6" t="s">
        <v>1119</v>
      </c>
      <c r="K2849" s="6">
        <v>14701</v>
      </c>
      <c r="L2849" s="7" t="s">
        <v>3719</v>
      </c>
      <c r="M2849" s="8">
        <v>1294888</v>
      </c>
      <c r="N2849" s="8" t="str">
        <f t="shared" si="221"/>
        <v>PEN</v>
      </c>
      <c r="O2849" s="13"/>
      <c r="P2849" s="13">
        <v>14989.16</v>
      </c>
      <c r="Q2849" s="3">
        <f t="shared" si="222"/>
        <v>0</v>
      </c>
      <c r="R2849" s="3">
        <f t="shared" si="223"/>
        <v>14989.16</v>
      </c>
      <c r="S2849" s="3">
        <f t="shared" si="224"/>
        <v>58733.3</v>
      </c>
      <c r="T2849" s="24" t="s">
        <v>1081</v>
      </c>
      <c r="U2849" s="24" t="s">
        <v>1081</v>
      </c>
      <c r="V2849" s="69" t="s">
        <v>3720</v>
      </c>
      <c r="W2849" s="25">
        <f>IFERROR(VLOOKUP(BCP_Soles[[#This Row],[DESTINATARIO]],CHOOSE({1,2},Clientes_Proveedores[Razon Social],Clientes_Proveedores[Ruc / Dni]),2,0),"")</f>
        <v>20553255709</v>
      </c>
      <c r="X2849" s="25"/>
      <c r="Y2849" s="25"/>
      <c r="Z2849" s="25"/>
      <c r="AA2849" s="101"/>
      <c r="AB2849" s="3" t="str">
        <f>IF(BCP_Soles[[#This Row],[FECHA]]&gt;0,TEXT(BCP_Soles[[#This Row],[FECHA]],"mmmm"),0)</f>
        <v>Julio</v>
      </c>
    </row>
    <row r="2850" spans="2:28" ht="24" x14ac:dyDescent="0.3">
      <c r="B2850" s="2">
        <f>IF(BCP_Soles[[#This Row],[TIPO DE R.]]="R",COUNTIFS($D$4:$D2849,"R")+1,"")</f>
        <v>2057</v>
      </c>
      <c r="C2850" s="19" t="str">
        <f t="shared" si="220"/>
        <v>B-BCP - Soles</v>
      </c>
      <c r="D2850" s="3" t="s">
        <v>1074</v>
      </c>
      <c r="E2850" s="14">
        <v>45863</v>
      </c>
      <c r="F2850" s="5" t="s">
        <v>1082</v>
      </c>
      <c r="G2850" s="5" t="s">
        <v>1079</v>
      </c>
      <c r="H2850" s="6" t="s">
        <v>536</v>
      </c>
      <c r="I2850" s="6" t="s">
        <v>14</v>
      </c>
      <c r="J2850" s="6" t="s">
        <v>1121</v>
      </c>
      <c r="K2850" s="6">
        <v>2370</v>
      </c>
      <c r="L2850" s="7" t="s">
        <v>3721</v>
      </c>
      <c r="M2850" s="8">
        <v>1293915</v>
      </c>
      <c r="N2850" s="8" t="str">
        <f t="shared" si="221"/>
        <v>PEN</v>
      </c>
      <c r="O2850" s="13"/>
      <c r="P2850" s="13">
        <v>70.8</v>
      </c>
      <c r="Q2850" s="3">
        <f t="shared" si="222"/>
        <v>0</v>
      </c>
      <c r="R2850" s="3">
        <f t="shared" si="223"/>
        <v>70.8</v>
      </c>
      <c r="S2850" s="3">
        <f t="shared" si="224"/>
        <v>58662.5</v>
      </c>
      <c r="T2850" s="24" t="s">
        <v>1081</v>
      </c>
      <c r="U2850" s="24" t="s">
        <v>1081</v>
      </c>
      <c r="V2850" s="69" t="s">
        <v>3722</v>
      </c>
      <c r="W2850" s="25">
        <f>IFERROR(VLOOKUP(BCP_Soles[[#This Row],[DESTINATARIO]],CHOOSE({1,2},Clientes_Proveedores[Razon Social],Clientes_Proveedores[Ruc / Dni]),2,0),"")</f>
        <v>20609764261</v>
      </c>
      <c r="X2850" s="25"/>
      <c r="Y2850" s="25"/>
      <c r="Z2850" s="25"/>
      <c r="AA2850" s="101"/>
      <c r="AB2850" s="3" t="str">
        <f>IF(BCP_Soles[[#This Row],[FECHA]]&gt;0,TEXT(BCP_Soles[[#This Row],[FECHA]],"mmmm"),0)</f>
        <v>Julio</v>
      </c>
    </row>
    <row r="2851" spans="2:28" ht="24" x14ac:dyDescent="0.3">
      <c r="B2851" s="2">
        <f>IF(BCP_Soles[[#This Row],[TIPO DE R.]]="R",COUNTIFS($D$4:$D2850,"R")+1,"")</f>
        <v>2058</v>
      </c>
      <c r="C2851" s="19" t="str">
        <f t="shared" si="220"/>
        <v>B-BCP - Soles</v>
      </c>
      <c r="D2851" s="3" t="s">
        <v>1074</v>
      </c>
      <c r="E2851" s="14">
        <v>45863</v>
      </c>
      <c r="F2851" s="5" t="s">
        <v>1078</v>
      </c>
      <c r="G2851" s="5" t="s">
        <v>1079</v>
      </c>
      <c r="H2851" s="6" t="s">
        <v>1001</v>
      </c>
      <c r="I2851" s="6" t="s">
        <v>14</v>
      </c>
      <c r="J2851" s="6" t="s">
        <v>3128</v>
      </c>
      <c r="K2851" s="6">
        <v>35231563</v>
      </c>
      <c r="L2851" s="7" t="s">
        <v>3723</v>
      </c>
      <c r="M2851" s="8">
        <v>4654325</v>
      </c>
      <c r="N2851" s="8" t="str">
        <f t="shared" si="221"/>
        <v>PEN</v>
      </c>
      <c r="O2851" s="13"/>
      <c r="P2851" s="13">
        <v>15</v>
      </c>
      <c r="Q2851" s="3">
        <f t="shared" si="222"/>
        <v>0</v>
      </c>
      <c r="R2851" s="3">
        <f t="shared" si="223"/>
        <v>15</v>
      </c>
      <c r="S2851" s="3">
        <f t="shared" si="224"/>
        <v>58647.5</v>
      </c>
      <c r="T2851" s="24" t="s">
        <v>1081</v>
      </c>
      <c r="U2851" s="24" t="s">
        <v>1081</v>
      </c>
      <c r="V2851" s="69"/>
      <c r="W2851" s="25">
        <f>IFERROR(VLOOKUP(BCP_Soles[[#This Row],[DESTINATARIO]],CHOOSE({1,2},Clientes_Proveedores[Razon Social],Clientes_Proveedores[Ruc / Dni]),2,0),"")</f>
        <v>20100047218</v>
      </c>
      <c r="X2851" s="25"/>
      <c r="Y2851" s="25"/>
      <c r="Z2851" s="25"/>
      <c r="AA2851" s="101"/>
      <c r="AB2851" s="3" t="str">
        <f>IF(BCP_Soles[[#This Row],[FECHA]]&gt;0,TEXT(BCP_Soles[[#This Row],[FECHA]],"mmmm"),0)</f>
        <v>Julio</v>
      </c>
    </row>
    <row r="2852" spans="2:28" x14ac:dyDescent="0.3">
      <c r="B2852" s="2">
        <f>IF(BCP_Soles[[#This Row],[TIPO DE R.]]="R",COUNTIFS($D$4:$D2851,"R")+1,"")</f>
        <v>2059</v>
      </c>
      <c r="C2852" s="19" t="str">
        <f t="shared" si="220"/>
        <v>B-BCP - Soles</v>
      </c>
      <c r="D2852" s="3" t="s">
        <v>1074</v>
      </c>
      <c r="E2852" s="14">
        <v>45863</v>
      </c>
      <c r="F2852" s="5" t="s">
        <v>3556</v>
      </c>
      <c r="G2852" s="5" t="s">
        <v>1079</v>
      </c>
      <c r="H2852" s="6"/>
      <c r="I2852" s="6"/>
      <c r="J2852" s="6"/>
      <c r="K2852" s="6"/>
      <c r="L2852" s="7" t="s">
        <v>3724</v>
      </c>
      <c r="M2852" s="8">
        <v>1012882</v>
      </c>
      <c r="N2852" s="8" t="str">
        <f t="shared" si="221"/>
        <v>PEN</v>
      </c>
      <c r="O2852" s="13"/>
      <c r="P2852" s="13">
        <v>1097</v>
      </c>
      <c r="Q2852" s="3">
        <f t="shared" si="222"/>
        <v>0</v>
      </c>
      <c r="R2852" s="3">
        <f t="shared" si="223"/>
        <v>1097</v>
      </c>
      <c r="S2852" s="3">
        <f t="shared" si="224"/>
        <v>57550.5</v>
      </c>
      <c r="T2852" s="24" t="s">
        <v>1081</v>
      </c>
      <c r="U2852" s="24" t="s">
        <v>1081</v>
      </c>
      <c r="V2852" s="69"/>
      <c r="W2852" s="25" t="str">
        <f>IFERROR(VLOOKUP(BCP_Soles[[#This Row],[DESTINATARIO]],CHOOSE({1,2},Clientes_Proveedores[Razon Social],Clientes_Proveedores[Ruc / Dni]),2,0),"")</f>
        <v/>
      </c>
      <c r="X2852" s="25"/>
      <c r="Y2852" s="25"/>
      <c r="Z2852" s="25"/>
      <c r="AA2852" s="101"/>
      <c r="AB2852" s="3" t="str">
        <f>IF(BCP_Soles[[#This Row],[FECHA]]&gt;0,TEXT(BCP_Soles[[#This Row],[FECHA]],"mmmm"),0)</f>
        <v>Julio</v>
      </c>
    </row>
    <row r="2853" spans="2:28" ht="24" x14ac:dyDescent="0.3">
      <c r="B2853" s="2" t="str">
        <f>IF(BCP_Soles[[#This Row],[TIPO DE R.]]="R",COUNTIFS($D$4:$D2852,"R")+1,"")</f>
        <v/>
      </c>
      <c r="C2853" s="19" t="str">
        <f t="shared" si="220"/>
        <v>B-BCP - Soles</v>
      </c>
      <c r="D2853" s="3" t="s">
        <v>1101</v>
      </c>
      <c r="E2853" s="14">
        <v>45863</v>
      </c>
      <c r="F2853" s="5" t="s">
        <v>3556</v>
      </c>
      <c r="G2853" s="5"/>
      <c r="H2853" s="6" t="s">
        <v>634</v>
      </c>
      <c r="I2853" s="6" t="s">
        <v>14</v>
      </c>
      <c r="J2853" s="6" t="s">
        <v>1121</v>
      </c>
      <c r="K2853" s="6">
        <v>12</v>
      </c>
      <c r="L2853" s="7" t="s">
        <v>3724</v>
      </c>
      <c r="M2853" s="8">
        <v>1012882</v>
      </c>
      <c r="N2853" s="8" t="str">
        <f t="shared" si="221"/>
        <v>PEN</v>
      </c>
      <c r="O2853" s="13">
        <v>19</v>
      </c>
      <c r="P2853" s="13"/>
      <c r="Q2853" s="3">
        <f t="shared" si="222"/>
        <v>0</v>
      </c>
      <c r="R2853" s="3">
        <f t="shared" si="223"/>
        <v>0</v>
      </c>
      <c r="S2853" s="3">
        <f t="shared" si="224"/>
        <v>57550.5</v>
      </c>
      <c r="T2853" s="24" t="s">
        <v>1081</v>
      </c>
      <c r="U2853" s="24" t="s">
        <v>1081</v>
      </c>
      <c r="V2853" s="69"/>
      <c r="W2853" s="25">
        <f>IFERROR(VLOOKUP(BCP_Soles[[#This Row],[DESTINATARIO]],CHOOSE({1,2},Clientes_Proveedores[Razon Social],Clientes_Proveedores[Ruc / Dni]),2,0),"")</f>
        <v>10736055631</v>
      </c>
      <c r="X2853" s="25"/>
      <c r="Y2853" s="25"/>
      <c r="Z2853" s="25"/>
      <c r="AA2853" s="101" t="s">
        <v>3385</v>
      </c>
      <c r="AB2853" s="3" t="str">
        <f>IF(BCP_Soles[[#This Row],[FECHA]]&gt;0,TEXT(BCP_Soles[[#This Row],[FECHA]],"mmmm"),0)</f>
        <v>Julio</v>
      </c>
    </row>
    <row r="2854" spans="2:28" x14ac:dyDescent="0.3">
      <c r="B2854" s="2" t="str">
        <f>IF(BCP_Soles[[#This Row],[TIPO DE R.]]="R",COUNTIFS($D$4:$D2853,"R")+1,"")</f>
        <v/>
      </c>
      <c r="C2854" s="19" t="str">
        <f t="shared" si="220"/>
        <v>B-BCP - Soles</v>
      </c>
      <c r="D2854" s="3" t="s">
        <v>1101</v>
      </c>
      <c r="E2854" s="14">
        <v>45863</v>
      </c>
      <c r="F2854" s="5" t="s">
        <v>3556</v>
      </c>
      <c r="G2854" s="5"/>
      <c r="H2854" s="6" t="s">
        <v>229</v>
      </c>
      <c r="I2854" s="6" t="s">
        <v>14</v>
      </c>
      <c r="J2854" s="6" t="s">
        <v>1148</v>
      </c>
      <c r="K2854" s="6">
        <v>630</v>
      </c>
      <c r="L2854" s="7" t="s">
        <v>3724</v>
      </c>
      <c r="M2854" s="8">
        <v>1012882</v>
      </c>
      <c r="N2854" s="8" t="str">
        <f t="shared" si="221"/>
        <v>PEN</v>
      </c>
      <c r="O2854" s="13">
        <v>41</v>
      </c>
      <c r="P2854" s="13"/>
      <c r="Q2854" s="3">
        <f t="shared" si="222"/>
        <v>0</v>
      </c>
      <c r="R2854" s="3">
        <f t="shared" si="223"/>
        <v>0</v>
      </c>
      <c r="S2854" s="3">
        <f t="shared" si="224"/>
        <v>57550.5</v>
      </c>
      <c r="T2854" s="24" t="s">
        <v>1081</v>
      </c>
      <c r="U2854" s="24" t="s">
        <v>1081</v>
      </c>
      <c r="V2854" s="69"/>
      <c r="W2854" s="25">
        <f>IFERROR(VLOOKUP(BCP_Soles[[#This Row],[DESTINATARIO]],CHOOSE({1,2},Clientes_Proveedores[Razon Social],Clientes_Proveedores[Ruc / Dni]),2,0),"")</f>
        <v>20454186002</v>
      </c>
      <c r="X2854" s="25"/>
      <c r="Y2854" s="25"/>
      <c r="Z2854" s="25"/>
      <c r="AA2854" s="101" t="s">
        <v>3385</v>
      </c>
      <c r="AB2854" s="3" t="str">
        <f>IF(BCP_Soles[[#This Row],[FECHA]]&gt;0,TEXT(BCP_Soles[[#This Row],[FECHA]],"mmmm"),0)</f>
        <v>Julio</v>
      </c>
    </row>
    <row r="2855" spans="2:28" x14ac:dyDescent="0.3">
      <c r="B2855" s="2" t="str">
        <f>IF(BCP_Soles[[#This Row],[TIPO DE R.]]="R",COUNTIFS($D$4:$D2854,"R")+1,"")</f>
        <v/>
      </c>
      <c r="C2855" s="19" t="str">
        <f t="shared" si="220"/>
        <v>B-BCP - Soles</v>
      </c>
      <c r="D2855" s="3" t="s">
        <v>1101</v>
      </c>
      <c r="E2855" s="14">
        <v>45863</v>
      </c>
      <c r="F2855" s="5" t="s">
        <v>3556</v>
      </c>
      <c r="G2855" s="5"/>
      <c r="H2855" s="6" t="s">
        <v>139</v>
      </c>
      <c r="I2855" s="6" t="s">
        <v>14</v>
      </c>
      <c r="J2855" s="6" t="s">
        <v>1953</v>
      </c>
      <c r="K2855" s="6">
        <v>6645</v>
      </c>
      <c r="L2855" s="7" t="s">
        <v>3724</v>
      </c>
      <c r="M2855" s="8">
        <v>1012882</v>
      </c>
      <c r="N2855" s="8" t="str">
        <f t="shared" si="221"/>
        <v>PEN</v>
      </c>
      <c r="O2855" s="13">
        <v>6</v>
      </c>
      <c r="P2855" s="13"/>
      <c r="Q2855" s="3">
        <f t="shared" si="222"/>
        <v>0</v>
      </c>
      <c r="R2855" s="3">
        <f t="shared" si="223"/>
        <v>0</v>
      </c>
      <c r="S2855" s="3">
        <f t="shared" si="224"/>
        <v>57550.5</v>
      </c>
      <c r="T2855" s="24" t="s">
        <v>1081</v>
      </c>
      <c r="U2855" s="24" t="s">
        <v>1081</v>
      </c>
      <c r="V2855" s="69"/>
      <c r="W2855" s="25">
        <f>IFERROR(VLOOKUP(BCP_Soles[[#This Row],[DESTINATARIO]],CHOOSE({1,2},Clientes_Proveedores[Razon Social],Clientes_Proveedores[Ruc / Dni]),2,0),"")</f>
        <v>20100055237</v>
      </c>
      <c r="X2855" s="25"/>
      <c r="Y2855" s="25"/>
      <c r="Z2855" s="25"/>
      <c r="AA2855" s="101" t="s">
        <v>3385</v>
      </c>
      <c r="AB2855" s="3" t="str">
        <f>IF(BCP_Soles[[#This Row],[FECHA]]&gt;0,TEXT(BCP_Soles[[#This Row],[FECHA]],"mmmm"),0)</f>
        <v>Julio</v>
      </c>
    </row>
    <row r="2856" spans="2:28" x14ac:dyDescent="0.3">
      <c r="B2856" s="2" t="str">
        <f>IF(BCP_Soles[[#This Row],[TIPO DE R.]]="R",COUNTIFS($D$4:$D2855,"R")+1,"")</f>
        <v/>
      </c>
      <c r="C2856" s="19" t="str">
        <f t="shared" si="220"/>
        <v>B-BCP - Soles</v>
      </c>
      <c r="D2856" s="3" t="s">
        <v>1101</v>
      </c>
      <c r="E2856" s="14">
        <v>45863</v>
      </c>
      <c r="F2856" s="5" t="s">
        <v>3556</v>
      </c>
      <c r="G2856" s="5"/>
      <c r="H2856" s="6" t="s">
        <v>139</v>
      </c>
      <c r="I2856" s="6" t="s">
        <v>14</v>
      </c>
      <c r="J2856" s="6" t="s">
        <v>1953</v>
      </c>
      <c r="K2856" s="6">
        <v>6644</v>
      </c>
      <c r="L2856" s="7" t="s">
        <v>3724</v>
      </c>
      <c r="M2856" s="8">
        <v>1012882</v>
      </c>
      <c r="N2856" s="8" t="str">
        <f t="shared" si="221"/>
        <v>PEN</v>
      </c>
      <c r="O2856" s="13">
        <v>72</v>
      </c>
      <c r="P2856" s="13"/>
      <c r="Q2856" s="3">
        <f t="shared" si="222"/>
        <v>0</v>
      </c>
      <c r="R2856" s="3">
        <f t="shared" si="223"/>
        <v>0</v>
      </c>
      <c r="S2856" s="3">
        <f t="shared" si="224"/>
        <v>57550.5</v>
      </c>
      <c r="T2856" s="24" t="s">
        <v>1081</v>
      </c>
      <c r="U2856" s="24" t="s">
        <v>1081</v>
      </c>
      <c r="V2856" s="69"/>
      <c r="W2856" s="25">
        <f>IFERROR(VLOOKUP(BCP_Soles[[#This Row],[DESTINATARIO]],CHOOSE({1,2},Clientes_Proveedores[Razon Social],Clientes_Proveedores[Ruc / Dni]),2,0),"")</f>
        <v>20100055237</v>
      </c>
      <c r="X2856" s="25"/>
      <c r="Y2856" s="25"/>
      <c r="Z2856" s="25"/>
      <c r="AA2856" s="101" t="s">
        <v>3385</v>
      </c>
      <c r="AB2856" s="3" t="str">
        <f>IF(BCP_Soles[[#This Row],[FECHA]]&gt;0,TEXT(BCP_Soles[[#This Row],[FECHA]],"mmmm"),0)</f>
        <v>Julio</v>
      </c>
    </row>
    <row r="2857" spans="2:28" x14ac:dyDescent="0.3">
      <c r="B2857" s="2" t="str">
        <f>IF(BCP_Soles[[#This Row],[TIPO DE R.]]="R",COUNTIFS($D$4:$D2856,"R")+1,"")</f>
        <v/>
      </c>
      <c r="C2857" s="19" t="str">
        <f t="shared" si="220"/>
        <v>B-BCP - Soles</v>
      </c>
      <c r="D2857" s="3" t="s">
        <v>1101</v>
      </c>
      <c r="E2857" s="14">
        <v>45863</v>
      </c>
      <c r="F2857" s="5" t="s">
        <v>3556</v>
      </c>
      <c r="G2857" s="5"/>
      <c r="H2857" s="6" t="s">
        <v>139</v>
      </c>
      <c r="I2857" s="6" t="s">
        <v>14</v>
      </c>
      <c r="J2857" s="6" t="s">
        <v>1953</v>
      </c>
      <c r="K2857" s="6">
        <v>6647</v>
      </c>
      <c r="L2857" s="7" t="s">
        <v>3724</v>
      </c>
      <c r="M2857" s="8">
        <v>1012882</v>
      </c>
      <c r="N2857" s="8" t="str">
        <f t="shared" si="221"/>
        <v>PEN</v>
      </c>
      <c r="O2857" s="13">
        <v>99</v>
      </c>
      <c r="P2857" s="13"/>
      <c r="Q2857" s="3">
        <f t="shared" si="222"/>
        <v>0</v>
      </c>
      <c r="R2857" s="3">
        <f t="shared" si="223"/>
        <v>0</v>
      </c>
      <c r="S2857" s="3">
        <f t="shared" si="224"/>
        <v>57550.5</v>
      </c>
      <c r="T2857" s="24" t="s">
        <v>1081</v>
      </c>
      <c r="U2857" s="24" t="s">
        <v>1081</v>
      </c>
      <c r="V2857" s="69"/>
      <c r="W2857" s="25">
        <f>IFERROR(VLOOKUP(BCP_Soles[[#This Row],[DESTINATARIO]],CHOOSE({1,2},Clientes_Proveedores[Razon Social],Clientes_Proveedores[Ruc / Dni]),2,0),"")</f>
        <v>20100055237</v>
      </c>
      <c r="X2857" s="25"/>
      <c r="Y2857" s="25"/>
      <c r="Z2857" s="25"/>
      <c r="AA2857" s="101" t="s">
        <v>3385</v>
      </c>
      <c r="AB2857" s="3" t="str">
        <f>IF(BCP_Soles[[#This Row],[FECHA]]&gt;0,TEXT(BCP_Soles[[#This Row],[FECHA]],"mmmm"),0)</f>
        <v>Julio</v>
      </c>
    </row>
    <row r="2858" spans="2:28" x14ac:dyDescent="0.3">
      <c r="B2858" s="2" t="str">
        <f>IF(BCP_Soles[[#This Row],[TIPO DE R.]]="R",COUNTIFS($D$4:$D2857,"R")+1,"")</f>
        <v/>
      </c>
      <c r="C2858" s="19" t="str">
        <f t="shared" si="220"/>
        <v>B-BCP - Soles</v>
      </c>
      <c r="D2858" s="3" t="s">
        <v>1101</v>
      </c>
      <c r="E2858" s="14">
        <v>45863</v>
      </c>
      <c r="F2858" s="5" t="s">
        <v>3556</v>
      </c>
      <c r="G2858" s="5"/>
      <c r="H2858" s="6" t="s">
        <v>139</v>
      </c>
      <c r="I2858" s="6" t="s">
        <v>14</v>
      </c>
      <c r="J2858" s="6" t="s">
        <v>1953</v>
      </c>
      <c r="K2858" s="6">
        <v>6646</v>
      </c>
      <c r="L2858" s="7" t="s">
        <v>3724</v>
      </c>
      <c r="M2858" s="8">
        <v>1012882</v>
      </c>
      <c r="N2858" s="8" t="str">
        <f t="shared" si="221"/>
        <v>PEN</v>
      </c>
      <c r="O2858" s="13">
        <v>2</v>
      </c>
      <c r="P2858" s="13"/>
      <c r="Q2858" s="3">
        <f t="shared" si="222"/>
        <v>0</v>
      </c>
      <c r="R2858" s="3">
        <f t="shared" si="223"/>
        <v>0</v>
      </c>
      <c r="S2858" s="3">
        <f t="shared" si="224"/>
        <v>57550.5</v>
      </c>
      <c r="T2858" s="24" t="s">
        <v>1081</v>
      </c>
      <c r="U2858" s="24" t="s">
        <v>1081</v>
      </c>
      <c r="V2858" s="69"/>
      <c r="W2858" s="25">
        <f>IFERROR(VLOOKUP(BCP_Soles[[#This Row],[DESTINATARIO]],CHOOSE({1,2},Clientes_Proveedores[Razon Social],Clientes_Proveedores[Ruc / Dni]),2,0),"")</f>
        <v>20100055237</v>
      </c>
      <c r="X2858" s="25"/>
      <c r="Y2858" s="25"/>
      <c r="Z2858" s="25"/>
      <c r="AA2858" s="101" t="s">
        <v>3385</v>
      </c>
      <c r="AB2858" s="3" t="str">
        <f>IF(BCP_Soles[[#This Row],[FECHA]]&gt;0,TEXT(BCP_Soles[[#This Row],[FECHA]],"mmmm"),0)</f>
        <v>Julio</v>
      </c>
    </row>
    <row r="2859" spans="2:28" x14ac:dyDescent="0.3">
      <c r="B2859" s="2" t="str">
        <f>IF(BCP_Soles[[#This Row],[TIPO DE R.]]="R",COUNTIFS($D$4:$D2858,"R")+1,"")</f>
        <v/>
      </c>
      <c r="C2859" s="19" t="str">
        <f t="shared" si="220"/>
        <v>B-BCP - Soles</v>
      </c>
      <c r="D2859" s="3" t="s">
        <v>1101</v>
      </c>
      <c r="E2859" s="14">
        <v>45863</v>
      </c>
      <c r="F2859" s="5" t="s">
        <v>3556</v>
      </c>
      <c r="G2859" s="5"/>
      <c r="H2859" s="6" t="s">
        <v>139</v>
      </c>
      <c r="I2859" s="6" t="s">
        <v>14</v>
      </c>
      <c r="J2859" s="6" t="s">
        <v>1953</v>
      </c>
      <c r="K2859" s="6">
        <v>6648</v>
      </c>
      <c r="L2859" s="7" t="s">
        <v>3724</v>
      </c>
      <c r="M2859" s="8">
        <v>1012882</v>
      </c>
      <c r="N2859" s="8" t="str">
        <f t="shared" si="221"/>
        <v>PEN</v>
      </c>
      <c r="O2859" s="13">
        <v>170</v>
      </c>
      <c r="P2859" s="13"/>
      <c r="Q2859" s="3">
        <f t="shared" si="222"/>
        <v>0</v>
      </c>
      <c r="R2859" s="3">
        <f t="shared" si="223"/>
        <v>0</v>
      </c>
      <c r="S2859" s="3">
        <f t="shared" si="224"/>
        <v>57550.5</v>
      </c>
      <c r="T2859" s="24" t="s">
        <v>1081</v>
      </c>
      <c r="U2859" s="24" t="s">
        <v>1081</v>
      </c>
      <c r="V2859" s="69"/>
      <c r="W2859" s="25">
        <f>IFERROR(VLOOKUP(BCP_Soles[[#This Row],[DESTINATARIO]],CHOOSE({1,2},Clientes_Proveedores[Razon Social],Clientes_Proveedores[Ruc / Dni]),2,0),"")</f>
        <v>20100055237</v>
      </c>
      <c r="X2859" s="25"/>
      <c r="Y2859" s="25"/>
      <c r="Z2859" s="25"/>
      <c r="AA2859" s="101" t="s">
        <v>3385</v>
      </c>
      <c r="AB2859" s="3" t="str">
        <f>IF(BCP_Soles[[#This Row],[FECHA]]&gt;0,TEXT(BCP_Soles[[#This Row],[FECHA]],"mmmm"),0)</f>
        <v>Julio</v>
      </c>
    </row>
    <row r="2860" spans="2:28" x14ac:dyDescent="0.3">
      <c r="B2860" s="2" t="str">
        <f>IF(BCP_Soles[[#This Row],[TIPO DE R.]]="R",COUNTIFS($D$4:$D2859,"R")+1,"")</f>
        <v/>
      </c>
      <c r="C2860" s="19" t="str">
        <f t="shared" si="220"/>
        <v>B-BCP - Soles</v>
      </c>
      <c r="D2860" s="3" t="s">
        <v>1101</v>
      </c>
      <c r="E2860" s="14">
        <v>45863</v>
      </c>
      <c r="F2860" s="5" t="s">
        <v>3556</v>
      </c>
      <c r="G2860" s="5"/>
      <c r="H2860" s="6" t="s">
        <v>139</v>
      </c>
      <c r="I2860" s="6" t="s">
        <v>14</v>
      </c>
      <c r="J2860" s="6" t="s">
        <v>1953</v>
      </c>
      <c r="K2860" s="6">
        <v>6643</v>
      </c>
      <c r="L2860" s="7" t="s">
        <v>3724</v>
      </c>
      <c r="M2860" s="8">
        <v>1012882</v>
      </c>
      <c r="N2860" s="8" t="str">
        <f t="shared" si="221"/>
        <v>PEN</v>
      </c>
      <c r="O2860" s="13">
        <v>33</v>
      </c>
      <c r="P2860" s="13"/>
      <c r="Q2860" s="3">
        <f t="shared" si="222"/>
        <v>0</v>
      </c>
      <c r="R2860" s="3">
        <f t="shared" si="223"/>
        <v>0</v>
      </c>
      <c r="S2860" s="3">
        <f t="shared" si="224"/>
        <v>57550.5</v>
      </c>
      <c r="T2860" s="24" t="s">
        <v>1081</v>
      </c>
      <c r="U2860" s="24" t="s">
        <v>1081</v>
      </c>
      <c r="V2860" s="69"/>
      <c r="W2860" s="25">
        <f>IFERROR(VLOOKUP(BCP_Soles[[#This Row],[DESTINATARIO]],CHOOSE({1,2},Clientes_Proveedores[Razon Social],Clientes_Proveedores[Ruc / Dni]),2,0),"")</f>
        <v>20100055237</v>
      </c>
      <c r="X2860" s="25"/>
      <c r="Y2860" s="25"/>
      <c r="Z2860" s="25"/>
      <c r="AA2860" s="101" t="s">
        <v>3385</v>
      </c>
      <c r="AB2860" s="3" t="str">
        <f>IF(BCP_Soles[[#This Row],[FECHA]]&gt;0,TEXT(BCP_Soles[[#This Row],[FECHA]],"mmmm"),0)</f>
        <v>Julio</v>
      </c>
    </row>
    <row r="2861" spans="2:28" x14ac:dyDescent="0.3">
      <c r="B2861" s="2" t="str">
        <f>IF(BCP_Soles[[#This Row],[TIPO DE R.]]="R",COUNTIFS($D$4:$D2860,"R")+1,"")</f>
        <v/>
      </c>
      <c r="C2861" s="19" t="str">
        <f t="shared" si="220"/>
        <v>B-BCP - Soles</v>
      </c>
      <c r="D2861" s="3" t="s">
        <v>1101</v>
      </c>
      <c r="E2861" s="14">
        <v>45863</v>
      </c>
      <c r="F2861" s="5" t="s">
        <v>3556</v>
      </c>
      <c r="G2861" s="5"/>
      <c r="H2861" s="6" t="s">
        <v>229</v>
      </c>
      <c r="I2861" s="6" t="s">
        <v>14</v>
      </c>
      <c r="J2861" s="6" t="s">
        <v>1429</v>
      </c>
      <c r="K2861" s="6">
        <v>1714</v>
      </c>
      <c r="L2861" s="7" t="s">
        <v>3724</v>
      </c>
      <c r="M2861" s="8">
        <v>1012882</v>
      </c>
      <c r="N2861" s="8" t="str">
        <f t="shared" si="221"/>
        <v>PEN</v>
      </c>
      <c r="O2861" s="13">
        <v>35</v>
      </c>
      <c r="P2861" s="13"/>
      <c r="Q2861" s="3">
        <f t="shared" si="222"/>
        <v>0</v>
      </c>
      <c r="R2861" s="3">
        <f t="shared" si="223"/>
        <v>0</v>
      </c>
      <c r="S2861" s="3">
        <f t="shared" si="224"/>
        <v>57550.5</v>
      </c>
      <c r="T2861" s="24" t="s">
        <v>1081</v>
      </c>
      <c r="U2861" s="24" t="s">
        <v>1081</v>
      </c>
      <c r="V2861" s="69"/>
      <c r="W2861" s="25">
        <f>IFERROR(VLOOKUP(BCP_Soles[[#This Row],[DESTINATARIO]],CHOOSE({1,2},Clientes_Proveedores[Razon Social],Clientes_Proveedores[Ruc / Dni]),2,0),"")</f>
        <v>20454186002</v>
      </c>
      <c r="X2861" s="25"/>
      <c r="Y2861" s="25"/>
      <c r="Z2861" s="25"/>
      <c r="AA2861" s="101" t="s">
        <v>3385</v>
      </c>
      <c r="AB2861" s="3" t="str">
        <f>IF(BCP_Soles[[#This Row],[FECHA]]&gt;0,TEXT(BCP_Soles[[#This Row],[FECHA]],"mmmm"),0)</f>
        <v>Julio</v>
      </c>
    </row>
    <row r="2862" spans="2:28" x14ac:dyDescent="0.3">
      <c r="B2862" s="2" t="str">
        <f>IF(BCP_Soles[[#This Row],[TIPO DE R.]]="R",COUNTIFS($D$4:$D2861,"R")+1,"")</f>
        <v/>
      </c>
      <c r="C2862" s="19" t="str">
        <f t="shared" si="220"/>
        <v>B-BCP - Soles</v>
      </c>
      <c r="D2862" s="3" t="s">
        <v>1101</v>
      </c>
      <c r="E2862" s="14">
        <v>45863</v>
      </c>
      <c r="F2862" s="5" t="s">
        <v>3556</v>
      </c>
      <c r="G2862" s="5"/>
      <c r="H2862" s="6" t="s">
        <v>229</v>
      </c>
      <c r="I2862" s="6" t="s">
        <v>14</v>
      </c>
      <c r="J2862" s="6" t="s">
        <v>1429</v>
      </c>
      <c r="K2862" s="6">
        <v>1713</v>
      </c>
      <c r="L2862" s="7" t="s">
        <v>3724</v>
      </c>
      <c r="M2862" s="8">
        <v>1012882</v>
      </c>
      <c r="N2862" s="8" t="str">
        <f t="shared" si="221"/>
        <v>PEN</v>
      </c>
      <c r="O2862" s="13">
        <v>40</v>
      </c>
      <c r="P2862" s="13"/>
      <c r="Q2862" s="3">
        <f t="shared" si="222"/>
        <v>0</v>
      </c>
      <c r="R2862" s="3">
        <f t="shared" si="223"/>
        <v>0</v>
      </c>
      <c r="S2862" s="3">
        <f t="shared" si="224"/>
        <v>57550.5</v>
      </c>
      <c r="T2862" s="24" t="s">
        <v>1081</v>
      </c>
      <c r="U2862" s="24" t="s">
        <v>1081</v>
      </c>
      <c r="V2862" s="69"/>
      <c r="W2862" s="25">
        <f>IFERROR(VLOOKUP(BCP_Soles[[#This Row],[DESTINATARIO]],CHOOSE({1,2},Clientes_Proveedores[Razon Social],Clientes_Proveedores[Ruc / Dni]),2,0),"")</f>
        <v>20454186002</v>
      </c>
      <c r="X2862" s="25"/>
      <c r="Y2862" s="25"/>
      <c r="Z2862" s="25"/>
      <c r="AA2862" s="101" t="s">
        <v>3385</v>
      </c>
      <c r="AB2862" s="3" t="str">
        <f>IF(BCP_Soles[[#This Row],[FECHA]]&gt;0,TEXT(BCP_Soles[[#This Row],[FECHA]],"mmmm"),0)</f>
        <v>Julio</v>
      </c>
    </row>
    <row r="2863" spans="2:28" x14ac:dyDescent="0.3">
      <c r="B2863" s="2" t="str">
        <f>IF(BCP_Soles[[#This Row],[TIPO DE R.]]="R",COUNTIFS($D$4:$D2862,"R")+1,"")</f>
        <v/>
      </c>
      <c r="C2863" s="19" t="str">
        <f t="shared" si="220"/>
        <v>B-BCP - Soles</v>
      </c>
      <c r="D2863" s="3" t="s">
        <v>1101</v>
      </c>
      <c r="E2863" s="14">
        <v>45863</v>
      </c>
      <c r="F2863" s="5" t="s">
        <v>3556</v>
      </c>
      <c r="G2863" s="5"/>
      <c r="H2863" s="6" t="s">
        <v>229</v>
      </c>
      <c r="I2863" s="6" t="s">
        <v>14</v>
      </c>
      <c r="J2863" s="6" t="s">
        <v>1429</v>
      </c>
      <c r="K2863" s="6">
        <v>1712</v>
      </c>
      <c r="L2863" s="7" t="s">
        <v>3724</v>
      </c>
      <c r="M2863" s="8">
        <v>1012882</v>
      </c>
      <c r="N2863" s="8" t="str">
        <f t="shared" si="221"/>
        <v>PEN</v>
      </c>
      <c r="O2863" s="13">
        <v>31</v>
      </c>
      <c r="P2863" s="13"/>
      <c r="Q2863" s="3">
        <f t="shared" si="222"/>
        <v>0</v>
      </c>
      <c r="R2863" s="3">
        <f t="shared" si="223"/>
        <v>0</v>
      </c>
      <c r="S2863" s="3">
        <f t="shared" si="224"/>
        <v>57550.5</v>
      </c>
      <c r="T2863" s="24" t="s">
        <v>1081</v>
      </c>
      <c r="U2863" s="24" t="s">
        <v>1081</v>
      </c>
      <c r="V2863" s="69"/>
      <c r="W2863" s="25">
        <f>IFERROR(VLOOKUP(BCP_Soles[[#This Row],[DESTINATARIO]],CHOOSE({1,2},Clientes_Proveedores[Razon Social],Clientes_Proveedores[Ruc / Dni]),2,0),"")</f>
        <v>20454186002</v>
      </c>
      <c r="X2863" s="25"/>
      <c r="Y2863" s="25"/>
      <c r="Z2863" s="25"/>
      <c r="AA2863" s="101" t="s">
        <v>3385</v>
      </c>
      <c r="AB2863" s="3" t="str">
        <f>IF(BCP_Soles[[#This Row],[FECHA]]&gt;0,TEXT(BCP_Soles[[#This Row],[FECHA]],"mmmm"),0)</f>
        <v>Julio</v>
      </c>
    </row>
    <row r="2864" spans="2:28" x14ac:dyDescent="0.3">
      <c r="B2864" s="2" t="str">
        <f>IF(BCP_Soles[[#This Row],[TIPO DE R.]]="R",COUNTIFS($D$4:$D2863,"R")+1,"")</f>
        <v/>
      </c>
      <c r="C2864" s="19" t="str">
        <f t="shared" si="220"/>
        <v>B-BCP - Soles</v>
      </c>
      <c r="D2864" s="3" t="s">
        <v>1101</v>
      </c>
      <c r="E2864" s="14">
        <v>45863</v>
      </c>
      <c r="F2864" s="5" t="s">
        <v>3556</v>
      </c>
      <c r="G2864" s="5"/>
      <c r="H2864" s="6" t="s">
        <v>229</v>
      </c>
      <c r="I2864" s="6" t="s">
        <v>14</v>
      </c>
      <c r="J2864" s="6" t="s">
        <v>1429</v>
      </c>
      <c r="K2864" s="6">
        <v>1711</v>
      </c>
      <c r="L2864" s="7" t="s">
        <v>3724</v>
      </c>
      <c r="M2864" s="8">
        <v>1012882</v>
      </c>
      <c r="N2864" s="8" t="str">
        <f t="shared" si="221"/>
        <v>PEN</v>
      </c>
      <c r="O2864" s="13">
        <v>3</v>
      </c>
      <c r="P2864" s="13"/>
      <c r="Q2864" s="3">
        <f t="shared" si="222"/>
        <v>0</v>
      </c>
      <c r="R2864" s="3">
        <f t="shared" si="223"/>
        <v>0</v>
      </c>
      <c r="S2864" s="3">
        <f t="shared" si="224"/>
        <v>57550.5</v>
      </c>
      <c r="T2864" s="24" t="s">
        <v>1081</v>
      </c>
      <c r="U2864" s="24" t="s">
        <v>1081</v>
      </c>
      <c r="V2864" s="69"/>
      <c r="W2864" s="25">
        <f>IFERROR(VLOOKUP(BCP_Soles[[#This Row],[DESTINATARIO]],CHOOSE({1,2},Clientes_Proveedores[Razon Social],Clientes_Proveedores[Ruc / Dni]),2,0),"")</f>
        <v>20454186002</v>
      </c>
      <c r="X2864" s="25"/>
      <c r="Y2864" s="25"/>
      <c r="Z2864" s="25"/>
      <c r="AA2864" s="101" t="s">
        <v>3385</v>
      </c>
      <c r="AB2864" s="3" t="str">
        <f>IF(BCP_Soles[[#This Row],[FECHA]]&gt;0,TEXT(BCP_Soles[[#This Row],[FECHA]],"mmmm"),0)</f>
        <v>Julio</v>
      </c>
    </row>
    <row r="2865" spans="2:28" ht="24" x14ac:dyDescent="0.3">
      <c r="B2865" s="2" t="str">
        <f>IF(BCP_Soles[[#This Row],[TIPO DE R.]]="R",COUNTIFS($D$4:$D2864,"R")+1,"")</f>
        <v/>
      </c>
      <c r="C2865" s="19" t="str">
        <f t="shared" si="220"/>
        <v>B-BCP - Soles</v>
      </c>
      <c r="D2865" s="3" t="s">
        <v>1101</v>
      </c>
      <c r="E2865" s="14">
        <v>45863</v>
      </c>
      <c r="F2865" s="5" t="s">
        <v>3556</v>
      </c>
      <c r="G2865" s="5"/>
      <c r="H2865" s="6" t="s">
        <v>214</v>
      </c>
      <c r="I2865" s="6" t="s">
        <v>14</v>
      </c>
      <c r="J2865" s="6" t="s">
        <v>1120</v>
      </c>
      <c r="K2865" s="6">
        <v>6951</v>
      </c>
      <c r="L2865" s="7" t="s">
        <v>3724</v>
      </c>
      <c r="M2865" s="8">
        <v>1012882</v>
      </c>
      <c r="N2865" s="8" t="str">
        <f t="shared" si="221"/>
        <v>PEN</v>
      </c>
      <c r="O2865" s="13">
        <v>397</v>
      </c>
      <c r="P2865" s="13"/>
      <c r="Q2865" s="3">
        <f t="shared" si="222"/>
        <v>0</v>
      </c>
      <c r="R2865" s="3">
        <f t="shared" si="223"/>
        <v>0</v>
      </c>
      <c r="S2865" s="3">
        <f t="shared" si="224"/>
        <v>57550.5</v>
      </c>
      <c r="T2865" s="24" t="s">
        <v>1081</v>
      </c>
      <c r="U2865" s="24" t="s">
        <v>1081</v>
      </c>
      <c r="V2865" s="69"/>
      <c r="W2865" s="25">
        <f>IFERROR(VLOOKUP(BCP_Soles[[#This Row],[DESTINATARIO]],CHOOSE({1,2},Clientes_Proveedores[Razon Social],Clientes_Proveedores[Ruc / Dni]),2,0),"")</f>
        <v>20419158462</v>
      </c>
      <c r="X2865" s="25"/>
      <c r="Y2865" s="25"/>
      <c r="Z2865" s="25"/>
      <c r="AA2865" s="101" t="s">
        <v>3385</v>
      </c>
      <c r="AB2865" s="3" t="str">
        <f>IF(BCP_Soles[[#This Row],[FECHA]]&gt;0,TEXT(BCP_Soles[[#This Row],[FECHA]],"mmmm"),0)</f>
        <v>Julio</v>
      </c>
    </row>
    <row r="2866" spans="2:28" ht="24" x14ac:dyDescent="0.3">
      <c r="B2866" s="2" t="str">
        <f>IF(BCP_Soles[[#This Row],[TIPO DE R.]]="R",COUNTIFS($D$4:$D2865,"R")+1,"")</f>
        <v/>
      </c>
      <c r="C2866" s="19" t="str">
        <f t="shared" si="220"/>
        <v>B-BCP - Soles</v>
      </c>
      <c r="D2866" s="3" t="s">
        <v>1101</v>
      </c>
      <c r="E2866" s="14">
        <v>45863</v>
      </c>
      <c r="F2866" s="5" t="s">
        <v>3556</v>
      </c>
      <c r="G2866" s="5"/>
      <c r="H2866" s="6" t="s">
        <v>214</v>
      </c>
      <c r="I2866" s="6" t="s">
        <v>14</v>
      </c>
      <c r="J2866" s="6" t="s">
        <v>1120</v>
      </c>
      <c r="K2866" s="6">
        <v>6950</v>
      </c>
      <c r="L2866" s="7" t="s">
        <v>3724</v>
      </c>
      <c r="M2866" s="8">
        <v>1012882</v>
      </c>
      <c r="N2866" s="8" t="str">
        <f t="shared" si="221"/>
        <v>PEN</v>
      </c>
      <c r="O2866" s="13">
        <v>123</v>
      </c>
      <c r="P2866" s="13"/>
      <c r="Q2866" s="3">
        <f t="shared" si="222"/>
        <v>0</v>
      </c>
      <c r="R2866" s="3">
        <f t="shared" si="223"/>
        <v>0</v>
      </c>
      <c r="S2866" s="3">
        <f t="shared" si="224"/>
        <v>57550.5</v>
      </c>
      <c r="T2866" s="24" t="s">
        <v>1081</v>
      </c>
      <c r="U2866" s="24" t="s">
        <v>1081</v>
      </c>
      <c r="V2866" s="69"/>
      <c r="W2866" s="25">
        <f>IFERROR(VLOOKUP(BCP_Soles[[#This Row],[DESTINATARIO]],CHOOSE({1,2},Clientes_Proveedores[Razon Social],Clientes_Proveedores[Ruc / Dni]),2,0),"")</f>
        <v>20419158462</v>
      </c>
      <c r="X2866" s="25"/>
      <c r="Y2866" s="25"/>
      <c r="Z2866" s="25"/>
      <c r="AA2866" s="101" t="s">
        <v>3385</v>
      </c>
      <c r="AB2866" s="3" t="str">
        <f>IF(BCP_Soles[[#This Row],[FECHA]]&gt;0,TEXT(BCP_Soles[[#This Row],[FECHA]],"mmmm"),0)</f>
        <v>Julio</v>
      </c>
    </row>
    <row r="2867" spans="2:28" x14ac:dyDescent="0.3">
      <c r="B2867" s="2" t="str">
        <f>IF(BCP_Soles[[#This Row],[TIPO DE R.]]="R",COUNTIFS($D$4:$D2866,"R")+1,"")</f>
        <v/>
      </c>
      <c r="C2867" s="19" t="str">
        <f t="shared" si="220"/>
        <v>B-BCP - Soles</v>
      </c>
      <c r="D2867" s="3" t="s">
        <v>1101</v>
      </c>
      <c r="E2867" s="14">
        <v>45863</v>
      </c>
      <c r="F2867" s="5" t="s">
        <v>3556</v>
      </c>
      <c r="G2867" s="5"/>
      <c r="H2867" s="6" t="s">
        <v>229</v>
      </c>
      <c r="I2867" s="6" t="s">
        <v>14</v>
      </c>
      <c r="J2867" s="6" t="s">
        <v>1429</v>
      </c>
      <c r="K2867" s="6">
        <v>1715</v>
      </c>
      <c r="L2867" s="7" t="s">
        <v>3724</v>
      </c>
      <c r="M2867" s="8">
        <v>1012882</v>
      </c>
      <c r="N2867" s="8" t="str">
        <f t="shared" si="221"/>
        <v>PEN</v>
      </c>
      <c r="O2867" s="13">
        <v>26</v>
      </c>
      <c r="P2867" s="13"/>
      <c r="Q2867" s="3">
        <f t="shared" si="222"/>
        <v>0</v>
      </c>
      <c r="R2867" s="3">
        <f t="shared" si="223"/>
        <v>0</v>
      </c>
      <c r="S2867" s="3">
        <f t="shared" si="224"/>
        <v>57550.5</v>
      </c>
      <c r="T2867" s="24" t="s">
        <v>1081</v>
      </c>
      <c r="U2867" s="24" t="s">
        <v>1081</v>
      </c>
      <c r="V2867" s="69"/>
      <c r="W2867" s="25">
        <f>IFERROR(VLOOKUP(BCP_Soles[[#This Row],[DESTINATARIO]],CHOOSE({1,2},Clientes_Proveedores[Razon Social],Clientes_Proveedores[Ruc / Dni]),2,0),"")</f>
        <v>20454186002</v>
      </c>
      <c r="X2867" s="25"/>
      <c r="Y2867" s="25"/>
      <c r="Z2867" s="25"/>
      <c r="AA2867" s="101" t="s">
        <v>3385</v>
      </c>
      <c r="AB2867" s="3" t="str">
        <f>IF(BCP_Soles[[#This Row],[FECHA]]&gt;0,TEXT(BCP_Soles[[#This Row],[FECHA]],"mmmm"),0)</f>
        <v>Julio</v>
      </c>
    </row>
    <row r="2868" spans="2:28" ht="24" x14ac:dyDescent="0.3">
      <c r="B2868" s="2">
        <f>IF(BCP_Soles[[#This Row],[TIPO DE R.]]="R",COUNTIFS($D$4:$D2867,"R")+1,"")</f>
        <v>2060</v>
      </c>
      <c r="C2868" s="19" t="str">
        <f t="shared" si="220"/>
        <v>B-BCP - Soles</v>
      </c>
      <c r="D2868" s="3" t="s">
        <v>1074</v>
      </c>
      <c r="E2868" s="14">
        <v>45863</v>
      </c>
      <c r="F2868" s="5" t="s">
        <v>1078</v>
      </c>
      <c r="G2868" s="5" t="s">
        <v>1079</v>
      </c>
      <c r="H2868" s="6" t="s">
        <v>1001</v>
      </c>
      <c r="I2868" s="6" t="s">
        <v>14</v>
      </c>
      <c r="J2868" s="6" t="s">
        <v>3128</v>
      </c>
      <c r="K2868" s="6">
        <v>35203372</v>
      </c>
      <c r="L2868" s="7" t="s">
        <v>1141</v>
      </c>
      <c r="M2868" s="8">
        <v>583</v>
      </c>
      <c r="N2868" s="8" t="str">
        <f t="shared" si="221"/>
        <v>PEN</v>
      </c>
      <c r="O2868" s="13"/>
      <c r="P2868" s="13">
        <v>10</v>
      </c>
      <c r="Q2868" s="3">
        <f t="shared" si="222"/>
        <v>0</v>
      </c>
      <c r="R2868" s="3">
        <f t="shared" si="223"/>
        <v>10</v>
      </c>
      <c r="S2868" s="3">
        <f t="shared" si="224"/>
        <v>57540.5</v>
      </c>
      <c r="T2868" s="24" t="s">
        <v>1081</v>
      </c>
      <c r="U2868" s="24" t="s">
        <v>1081</v>
      </c>
      <c r="V2868" s="69"/>
      <c r="W2868" s="25">
        <f>IFERROR(VLOOKUP(BCP_Soles[[#This Row],[DESTINATARIO]],CHOOSE({1,2},Clientes_Proveedores[Razon Social],Clientes_Proveedores[Ruc / Dni]),2,0),"")</f>
        <v>20100047218</v>
      </c>
      <c r="X2868" s="25"/>
      <c r="Y2868" s="25"/>
      <c r="Z2868" s="25"/>
      <c r="AA2868" s="101"/>
      <c r="AB2868" s="3" t="str">
        <f>IF(BCP_Soles[[#This Row],[FECHA]]&gt;0,TEXT(BCP_Soles[[#This Row],[FECHA]],"mmmm"),0)</f>
        <v>Julio</v>
      </c>
    </row>
    <row r="2869" spans="2:28" x14ac:dyDescent="0.3">
      <c r="B2869" s="2">
        <f>IF(BCP_Soles[[#This Row],[TIPO DE R.]]="R",COUNTIFS($D$4:$D2868,"R")+1,"")</f>
        <v>2061</v>
      </c>
      <c r="C2869" s="19" t="str">
        <f t="shared" si="220"/>
        <v>B-BCP - Soles</v>
      </c>
      <c r="D2869" s="3" t="s">
        <v>1074</v>
      </c>
      <c r="E2869" s="14">
        <v>45863</v>
      </c>
      <c r="F2869" s="5" t="s">
        <v>1078</v>
      </c>
      <c r="G2869" s="5" t="s">
        <v>1079</v>
      </c>
      <c r="H2869" s="6" t="s">
        <v>950</v>
      </c>
      <c r="I2869" s="6" t="s">
        <v>10</v>
      </c>
      <c r="J2869" s="6" t="s">
        <v>3392</v>
      </c>
      <c r="K2869" s="6">
        <v>2061</v>
      </c>
      <c r="L2869" s="7" t="s">
        <v>2868</v>
      </c>
      <c r="M2869" s="8"/>
      <c r="N2869" s="8" t="str">
        <f t="shared" si="221"/>
        <v>PEN</v>
      </c>
      <c r="O2869" s="13"/>
      <c r="P2869" s="13">
        <v>2.5</v>
      </c>
      <c r="Q2869" s="3">
        <f t="shared" si="222"/>
        <v>0</v>
      </c>
      <c r="R2869" s="3">
        <f t="shared" si="223"/>
        <v>2.5</v>
      </c>
      <c r="S2869" s="3">
        <f t="shared" si="224"/>
        <v>57538</v>
      </c>
      <c r="T2869" s="24" t="s">
        <v>1081</v>
      </c>
      <c r="U2869" s="24"/>
      <c r="V2869" s="69"/>
      <c r="W2869" s="25">
        <f>IFERROR(VLOOKUP(BCP_Soles[[#This Row],[DESTINATARIO]],CHOOSE({1,2},Clientes_Proveedores[Razon Social],Clientes_Proveedores[Ruc / Dni]),2,0),"")</f>
        <v>11111111</v>
      </c>
      <c r="X2869" s="25"/>
      <c r="Y2869" s="25"/>
      <c r="Z2869" s="25"/>
      <c r="AA2869" s="101"/>
      <c r="AB2869" s="3" t="str">
        <f>IF(BCP_Soles[[#This Row],[FECHA]]&gt;0,TEXT(BCP_Soles[[#This Row],[FECHA]],"mmmm"),0)</f>
        <v>Julio</v>
      </c>
    </row>
    <row r="2870" spans="2:28" ht="60" x14ac:dyDescent="0.3">
      <c r="B2870" s="2">
        <f>IF(BCP_Soles[[#This Row],[TIPO DE R.]]="R",COUNTIFS($D$4:$D2869,"R")+1,"")</f>
        <v>2062</v>
      </c>
      <c r="C2870" s="19" t="str">
        <f t="shared" si="220"/>
        <v>B-BCP - Soles</v>
      </c>
      <c r="D2870" s="3" t="s">
        <v>1074</v>
      </c>
      <c r="E2870" s="14">
        <v>45865</v>
      </c>
      <c r="F2870" s="5" t="s">
        <v>238</v>
      </c>
      <c r="G2870" s="5" t="s">
        <v>1087</v>
      </c>
      <c r="H2870" s="6" t="s">
        <v>368</v>
      </c>
      <c r="I2870" s="6" t="s">
        <v>14</v>
      </c>
      <c r="J2870" s="6" t="s">
        <v>3010</v>
      </c>
      <c r="K2870" s="6">
        <v>91</v>
      </c>
      <c r="L2870" s="7" t="s">
        <v>1170</v>
      </c>
      <c r="M2870" s="8">
        <v>2120783</v>
      </c>
      <c r="N2870" s="8" t="str">
        <f t="shared" si="221"/>
        <v>PEN</v>
      </c>
      <c r="O2870" s="13"/>
      <c r="P2870" s="13">
        <v>892.02</v>
      </c>
      <c r="Q2870" s="3">
        <f t="shared" si="222"/>
        <v>892.02</v>
      </c>
      <c r="R2870" s="3">
        <f t="shared" si="223"/>
        <v>0</v>
      </c>
      <c r="S2870" s="3">
        <f t="shared" si="224"/>
        <v>58430.02</v>
      </c>
      <c r="T2870" s="24" t="s">
        <v>1081</v>
      </c>
      <c r="U2870" s="24" t="s">
        <v>1081</v>
      </c>
      <c r="V2870" s="69"/>
      <c r="W2870" s="25">
        <f>IFERROR(VLOOKUP(BCP_Soles[[#This Row],[DESTINATARIO]],CHOOSE({1,2},Clientes_Proveedores[Razon Social],Clientes_Proveedores[Ruc / Dni]),2,0),"")</f>
        <v>20558226979</v>
      </c>
      <c r="X2870" s="25"/>
      <c r="Y2870" s="25"/>
      <c r="Z2870" s="25"/>
      <c r="AA2870" s="101"/>
      <c r="AB2870" s="3" t="str">
        <f>IF(BCP_Soles[[#This Row],[FECHA]]&gt;0,TEXT(BCP_Soles[[#This Row],[FECHA]],"mmmm"),0)</f>
        <v>Julio</v>
      </c>
    </row>
    <row r="2871" spans="2:28" ht="60" x14ac:dyDescent="0.3">
      <c r="B2871" s="2">
        <f>IF(BCP_Soles[[#This Row],[TIPO DE R.]]="R",COUNTIFS($D$4:$D2870,"R")+1,"")</f>
        <v>2063</v>
      </c>
      <c r="C2871" s="19" t="str">
        <f t="shared" si="220"/>
        <v>B-BCP - Soles</v>
      </c>
      <c r="D2871" s="3" t="s">
        <v>1074</v>
      </c>
      <c r="E2871" s="14">
        <v>45865</v>
      </c>
      <c r="F2871" s="5" t="s">
        <v>238</v>
      </c>
      <c r="G2871" s="5" t="s">
        <v>1087</v>
      </c>
      <c r="H2871" s="6" t="s">
        <v>368</v>
      </c>
      <c r="I2871" s="6" t="s">
        <v>14</v>
      </c>
      <c r="J2871" s="6" t="s">
        <v>3010</v>
      </c>
      <c r="K2871" s="6">
        <v>90</v>
      </c>
      <c r="L2871" s="7" t="s">
        <v>1170</v>
      </c>
      <c r="M2871" s="8">
        <v>2122748</v>
      </c>
      <c r="N2871" s="8" t="str">
        <f t="shared" si="221"/>
        <v>PEN</v>
      </c>
      <c r="O2871" s="13"/>
      <c r="P2871" s="13">
        <v>505.72</v>
      </c>
      <c r="Q2871" s="3">
        <f t="shared" si="222"/>
        <v>505.72</v>
      </c>
      <c r="R2871" s="3">
        <f t="shared" si="223"/>
        <v>0</v>
      </c>
      <c r="S2871" s="3">
        <f t="shared" si="224"/>
        <v>58935.74</v>
      </c>
      <c r="T2871" s="24" t="s">
        <v>1081</v>
      </c>
      <c r="U2871" s="24" t="s">
        <v>1081</v>
      </c>
      <c r="V2871" s="69"/>
      <c r="W2871" s="25">
        <f>IFERROR(VLOOKUP(BCP_Soles[[#This Row],[DESTINATARIO]],CHOOSE({1,2},Clientes_Proveedores[Razon Social],Clientes_Proveedores[Ruc / Dni]),2,0),"")</f>
        <v>20558226979</v>
      </c>
      <c r="X2871" s="25"/>
      <c r="Y2871" s="25"/>
      <c r="Z2871" s="25"/>
      <c r="AA2871" s="101"/>
      <c r="AB2871" s="3" t="str">
        <f>IF(BCP_Soles[[#This Row],[FECHA]]&gt;0,TEXT(BCP_Soles[[#This Row],[FECHA]],"mmmm"),0)</f>
        <v>Julio</v>
      </c>
    </row>
    <row r="2872" spans="2:28" ht="60" x14ac:dyDescent="0.3">
      <c r="B2872" s="2">
        <f>IF(BCP_Soles[[#This Row],[TIPO DE R.]]="R",COUNTIFS($D$4:$D2871,"R")+1,"")</f>
        <v>2064</v>
      </c>
      <c r="C2872" s="19" t="str">
        <f t="shared" si="220"/>
        <v>B-BCP - Soles</v>
      </c>
      <c r="D2872" s="3" t="s">
        <v>1074</v>
      </c>
      <c r="E2872" s="14">
        <v>45865</v>
      </c>
      <c r="F2872" s="5" t="s">
        <v>238</v>
      </c>
      <c r="G2872" s="5" t="s">
        <v>1087</v>
      </c>
      <c r="H2872" s="6" t="s">
        <v>368</v>
      </c>
      <c r="I2872" s="6" t="s">
        <v>14</v>
      </c>
      <c r="J2872" s="6" t="s">
        <v>3010</v>
      </c>
      <c r="K2872" s="6">
        <v>89</v>
      </c>
      <c r="L2872" s="7" t="s">
        <v>1170</v>
      </c>
      <c r="M2872" s="8">
        <v>2120289</v>
      </c>
      <c r="N2872" s="8" t="str">
        <f t="shared" si="221"/>
        <v>PEN</v>
      </c>
      <c r="O2872" s="13"/>
      <c r="P2872" s="13">
        <v>352.18</v>
      </c>
      <c r="Q2872" s="3">
        <f t="shared" si="222"/>
        <v>352.18</v>
      </c>
      <c r="R2872" s="3">
        <f t="shared" si="223"/>
        <v>0</v>
      </c>
      <c r="S2872" s="3">
        <f t="shared" si="224"/>
        <v>59287.92</v>
      </c>
      <c r="T2872" s="24" t="s">
        <v>1081</v>
      </c>
      <c r="U2872" s="24" t="s">
        <v>1081</v>
      </c>
      <c r="V2872" s="69"/>
      <c r="W2872" s="25">
        <f>IFERROR(VLOOKUP(BCP_Soles[[#This Row],[DESTINATARIO]],CHOOSE({1,2},Clientes_Proveedores[Razon Social],Clientes_Proveedores[Ruc / Dni]),2,0),"")</f>
        <v>20558226979</v>
      </c>
      <c r="X2872" s="25"/>
      <c r="Y2872" s="25"/>
      <c r="Z2872" s="25"/>
      <c r="AA2872" s="101"/>
      <c r="AB2872" s="3" t="str">
        <f>IF(BCP_Soles[[#This Row],[FECHA]]&gt;0,TEXT(BCP_Soles[[#This Row],[FECHA]],"mmmm"),0)</f>
        <v>Julio</v>
      </c>
    </row>
    <row r="2873" spans="2:28" x14ac:dyDescent="0.3">
      <c r="B2873" s="2">
        <f>IF(BCP_Soles[[#This Row],[TIPO DE R.]]="R",COUNTIFS($D$4:$D2872,"R")+1,"")</f>
        <v>2065</v>
      </c>
      <c r="C2873" s="19" t="str">
        <f t="shared" si="220"/>
        <v>B-BCP - Soles</v>
      </c>
      <c r="D2873" s="3" t="s">
        <v>1074</v>
      </c>
      <c r="E2873" s="14">
        <v>45868</v>
      </c>
      <c r="F2873" s="5"/>
      <c r="G2873" s="5" t="s">
        <v>1087</v>
      </c>
      <c r="H2873" s="6" t="s">
        <v>368</v>
      </c>
      <c r="I2873" s="6"/>
      <c r="J2873" s="6"/>
      <c r="K2873" s="6"/>
      <c r="L2873" s="7" t="s">
        <v>3725</v>
      </c>
      <c r="M2873" s="8">
        <v>2247065</v>
      </c>
      <c r="N2873" s="8" t="str">
        <f t="shared" si="221"/>
        <v>PEN</v>
      </c>
      <c r="O2873" s="13"/>
      <c r="P2873" s="13">
        <v>63</v>
      </c>
      <c r="Q2873" s="3">
        <f t="shared" si="222"/>
        <v>63</v>
      </c>
      <c r="R2873" s="3">
        <f t="shared" si="223"/>
        <v>0</v>
      </c>
      <c r="S2873" s="3">
        <f t="shared" si="224"/>
        <v>59350.92</v>
      </c>
      <c r="T2873" s="24"/>
      <c r="U2873" s="24"/>
      <c r="V2873" s="69"/>
      <c r="W2873" s="25">
        <f>IFERROR(VLOOKUP(BCP_Soles[[#This Row],[DESTINATARIO]],CHOOSE({1,2},Clientes_Proveedores[Razon Social],Clientes_Proveedores[Ruc / Dni]),2,0),"")</f>
        <v>20558226979</v>
      </c>
      <c r="X2873" s="25"/>
      <c r="Y2873" s="25"/>
      <c r="Z2873" s="25"/>
      <c r="AA2873" s="101"/>
      <c r="AB2873" s="3" t="str">
        <f>IF(BCP_Soles[[#This Row],[FECHA]]&gt;0,TEXT(BCP_Soles[[#This Row],[FECHA]],"mmmm"),0)</f>
        <v>Julio</v>
      </c>
    </row>
    <row r="2874" spans="2:28" ht="24" x14ac:dyDescent="0.3">
      <c r="B2874" s="2">
        <f>IF(BCP_Soles[[#This Row],[TIPO DE R.]]="R",COUNTIFS($D$4:$D2873,"R")+1,"")</f>
        <v>2066</v>
      </c>
      <c r="C2874" s="19" t="str">
        <f t="shared" si="220"/>
        <v>B-BCP - Soles</v>
      </c>
      <c r="D2874" s="3" t="s">
        <v>1074</v>
      </c>
      <c r="E2874" s="14">
        <v>45868</v>
      </c>
      <c r="F2874" s="5" t="s">
        <v>608</v>
      </c>
      <c r="G2874" s="5" t="s">
        <v>1087</v>
      </c>
      <c r="H2874" s="6" t="s">
        <v>368</v>
      </c>
      <c r="I2874" s="6" t="s">
        <v>14</v>
      </c>
      <c r="J2874" s="6" t="s">
        <v>1521</v>
      </c>
      <c r="K2874" s="6">
        <v>176</v>
      </c>
      <c r="L2874" s="7" t="s">
        <v>3726</v>
      </c>
      <c r="M2874" s="8">
        <v>5917656</v>
      </c>
      <c r="N2874" s="8" t="str">
        <f t="shared" si="221"/>
        <v>PEN</v>
      </c>
      <c r="O2874" s="13"/>
      <c r="P2874" s="13">
        <v>696.11</v>
      </c>
      <c r="Q2874" s="3">
        <f t="shared" si="222"/>
        <v>696.11</v>
      </c>
      <c r="R2874" s="3">
        <f t="shared" si="223"/>
        <v>0</v>
      </c>
      <c r="S2874" s="3">
        <f t="shared" si="224"/>
        <v>60047.03</v>
      </c>
      <c r="T2874" s="24" t="s">
        <v>1081</v>
      </c>
      <c r="U2874" s="24" t="s">
        <v>1081</v>
      </c>
      <c r="V2874" s="69"/>
      <c r="W2874" s="25">
        <f>IFERROR(VLOOKUP(BCP_Soles[[#This Row],[DESTINATARIO]],CHOOSE({1,2},Clientes_Proveedores[Razon Social],Clientes_Proveedores[Ruc / Dni]),2,0),"")</f>
        <v>20558226979</v>
      </c>
      <c r="X2874" s="25"/>
      <c r="Y2874" s="25"/>
      <c r="Z2874" s="25"/>
      <c r="AA2874" s="101"/>
      <c r="AB2874" s="3" t="str">
        <f>IF(BCP_Soles[[#This Row],[FECHA]]&gt;0,TEXT(BCP_Soles[[#This Row],[FECHA]],"mmmm"),0)</f>
        <v>Julio</v>
      </c>
    </row>
    <row r="2875" spans="2:28" x14ac:dyDescent="0.3">
      <c r="B2875" s="2">
        <f>IF(BCP_Soles[[#This Row],[TIPO DE R.]]="R",COUNTIFS($D$4:$D2874,"R")+1,"")</f>
        <v>2067</v>
      </c>
      <c r="C2875" s="19" t="str">
        <f t="shared" si="220"/>
        <v>B-BCP - Soles</v>
      </c>
      <c r="D2875" s="3" t="s">
        <v>1074</v>
      </c>
      <c r="E2875" s="14">
        <v>45868</v>
      </c>
      <c r="F2875" s="5" t="s">
        <v>1082</v>
      </c>
      <c r="G2875" s="5" t="s">
        <v>1079</v>
      </c>
      <c r="H2875" s="6" t="s">
        <v>368</v>
      </c>
      <c r="I2875" s="6"/>
      <c r="J2875" s="6"/>
      <c r="K2875" s="6"/>
      <c r="L2875" s="7" t="s">
        <v>3727</v>
      </c>
      <c r="M2875" s="8">
        <v>1021268</v>
      </c>
      <c r="N2875" s="8" t="str">
        <f t="shared" si="221"/>
        <v>PEN</v>
      </c>
      <c r="O2875" s="13"/>
      <c r="P2875" s="13">
        <v>14800</v>
      </c>
      <c r="Q2875" s="3">
        <f t="shared" si="222"/>
        <v>0</v>
      </c>
      <c r="R2875" s="3">
        <f t="shared" si="223"/>
        <v>14800</v>
      </c>
      <c r="S2875" s="3">
        <f t="shared" si="224"/>
        <v>45247.03</v>
      </c>
      <c r="T2875" s="24"/>
      <c r="U2875" s="24"/>
      <c r="V2875" s="69"/>
      <c r="W2875" s="25">
        <f>IFERROR(VLOOKUP(BCP_Soles[[#This Row],[DESTINATARIO]],CHOOSE({1,2},Clientes_Proveedores[Razon Social],Clientes_Proveedores[Ruc / Dni]),2,0),"")</f>
        <v>20558226979</v>
      </c>
      <c r="X2875" s="25"/>
      <c r="Y2875" s="25"/>
      <c r="Z2875" s="25"/>
      <c r="AA2875" s="101"/>
      <c r="AB2875" s="3" t="str">
        <f>IF(BCP_Soles[[#This Row],[FECHA]]&gt;0,TEXT(BCP_Soles[[#This Row],[FECHA]],"mmmm"),0)</f>
        <v>Julio</v>
      </c>
    </row>
    <row r="2876" spans="2:28" ht="36" x14ac:dyDescent="0.3">
      <c r="B2876" s="2">
        <f>IF(BCP_Soles[[#This Row],[TIPO DE R.]]="R",COUNTIFS($D$4:$D2875,"R")+1,"")</f>
        <v>2068</v>
      </c>
      <c r="C2876" s="19" t="str">
        <f t="shared" si="220"/>
        <v>B-BCP - Soles</v>
      </c>
      <c r="D2876" s="3" t="s">
        <v>1074</v>
      </c>
      <c r="E2876" s="14">
        <v>45868</v>
      </c>
      <c r="F2876" s="5" t="s">
        <v>1082</v>
      </c>
      <c r="G2876" s="5" t="s">
        <v>1079</v>
      </c>
      <c r="H2876" s="6" t="s">
        <v>656</v>
      </c>
      <c r="I2876" s="6" t="s">
        <v>14</v>
      </c>
      <c r="J2876" s="6" t="s">
        <v>1119</v>
      </c>
      <c r="K2876" s="6">
        <v>43333</v>
      </c>
      <c r="L2876" s="7" t="s">
        <v>3728</v>
      </c>
      <c r="M2876" s="8" t="s">
        <v>3729</v>
      </c>
      <c r="N2876" s="8" t="str">
        <f t="shared" si="221"/>
        <v>PEN</v>
      </c>
      <c r="O2876" s="13"/>
      <c r="P2876" s="13">
        <v>35</v>
      </c>
      <c r="Q2876" s="3">
        <f t="shared" si="222"/>
        <v>0</v>
      </c>
      <c r="R2876" s="3">
        <f t="shared" si="223"/>
        <v>35</v>
      </c>
      <c r="S2876" s="3">
        <f t="shared" si="224"/>
        <v>45212.03</v>
      </c>
      <c r="T2876" s="24" t="s">
        <v>1081</v>
      </c>
      <c r="U2876" s="24" t="s">
        <v>1081</v>
      </c>
      <c r="V2876" s="103" t="s">
        <v>3730</v>
      </c>
      <c r="W2876" s="25">
        <f>IFERROR(VLOOKUP(BCP_Soles[[#This Row],[DESTINATARIO]],CHOOSE({1,2},Clientes_Proveedores[Razon Social],Clientes_Proveedores[Ruc / Dni]),2,0),"")</f>
        <v>20514464881</v>
      </c>
      <c r="X2876" s="25"/>
      <c r="Y2876" s="25"/>
      <c r="Z2876" s="25"/>
      <c r="AA2876" s="101"/>
      <c r="AB2876" s="3" t="str">
        <f>IF(BCP_Soles[[#This Row],[FECHA]]&gt;0,TEXT(BCP_Soles[[#This Row],[FECHA]],"mmmm"),0)</f>
        <v>Julio</v>
      </c>
    </row>
    <row r="2877" spans="2:28" ht="24" x14ac:dyDescent="0.3">
      <c r="B2877" s="2">
        <f>IF(BCP_Soles[[#This Row],[TIPO DE R.]]="R",COUNTIFS($D$4:$D2876,"R")+1,"")</f>
        <v>2069</v>
      </c>
      <c r="C2877" s="19" t="str">
        <f t="shared" si="220"/>
        <v>B-BCP - Soles</v>
      </c>
      <c r="D2877" s="3" t="s">
        <v>1074</v>
      </c>
      <c r="E2877" s="14">
        <v>45868</v>
      </c>
      <c r="F2877" s="5" t="s">
        <v>1082</v>
      </c>
      <c r="G2877" s="5" t="s">
        <v>1079</v>
      </c>
      <c r="H2877" s="6" t="s">
        <v>650</v>
      </c>
      <c r="I2877" s="6" t="s">
        <v>14</v>
      </c>
      <c r="J2877" s="6" t="s">
        <v>1395</v>
      </c>
      <c r="K2877" s="6">
        <v>305476</v>
      </c>
      <c r="L2877" s="7" t="s">
        <v>3731</v>
      </c>
      <c r="M2877" s="8">
        <v>247366</v>
      </c>
      <c r="N2877" s="8" t="str">
        <f t="shared" si="221"/>
        <v>PEN</v>
      </c>
      <c r="O2877" s="13"/>
      <c r="P2877" s="13">
        <v>35.36</v>
      </c>
      <c r="Q2877" s="3">
        <f t="shared" si="222"/>
        <v>0</v>
      </c>
      <c r="R2877" s="3">
        <f t="shared" si="223"/>
        <v>35.36</v>
      </c>
      <c r="S2877" s="3">
        <f t="shared" si="224"/>
        <v>45176.67</v>
      </c>
      <c r="T2877" s="24" t="s">
        <v>1081</v>
      </c>
      <c r="U2877" s="24" t="s">
        <v>1081</v>
      </c>
      <c r="V2877" s="103" t="s">
        <v>3732</v>
      </c>
      <c r="W2877" s="25">
        <f>IFERROR(VLOOKUP(BCP_Soles[[#This Row],[DESTINATARIO]],CHOOSE({1,2},Clientes_Proveedores[Razon Social],Clientes_Proveedores[Ruc / Dni]),2,0),"")</f>
        <v>20467534026</v>
      </c>
      <c r="X2877" s="25"/>
      <c r="Y2877" s="25"/>
      <c r="Z2877" s="25"/>
      <c r="AA2877" s="101"/>
      <c r="AB2877" s="3" t="str">
        <f>IF(BCP_Soles[[#This Row],[FECHA]]&gt;0,TEXT(BCP_Soles[[#This Row],[FECHA]],"mmmm"),0)</f>
        <v>Julio</v>
      </c>
    </row>
    <row r="2878" spans="2:28" ht="24" x14ac:dyDescent="0.3">
      <c r="B2878" s="2">
        <f>IF(BCP_Soles[[#This Row],[TIPO DE R.]]="R",COUNTIFS($D$4:$D2877,"R")+1,"")</f>
        <v>2070</v>
      </c>
      <c r="C2878" s="19" t="str">
        <f t="shared" si="220"/>
        <v>B-BCP - Soles</v>
      </c>
      <c r="D2878" s="3" t="s">
        <v>1074</v>
      </c>
      <c r="E2878" s="14">
        <v>45868</v>
      </c>
      <c r="F2878" s="5" t="s">
        <v>1082</v>
      </c>
      <c r="G2878" s="5" t="s">
        <v>1079</v>
      </c>
      <c r="H2878" s="6" t="s">
        <v>650</v>
      </c>
      <c r="I2878" s="6" t="s">
        <v>14</v>
      </c>
      <c r="J2878" s="6" t="s">
        <v>1395</v>
      </c>
      <c r="K2878" s="6">
        <v>305475</v>
      </c>
      <c r="L2878" s="7" t="s">
        <v>3733</v>
      </c>
      <c r="M2878" s="8">
        <v>246907</v>
      </c>
      <c r="N2878" s="8" t="str">
        <f t="shared" si="221"/>
        <v>PEN</v>
      </c>
      <c r="O2878" s="13"/>
      <c r="P2878" s="13">
        <v>530.41</v>
      </c>
      <c r="Q2878" s="3">
        <f t="shared" si="222"/>
        <v>0</v>
      </c>
      <c r="R2878" s="3">
        <f t="shared" si="223"/>
        <v>530.41</v>
      </c>
      <c r="S2878" s="3">
        <f t="shared" si="224"/>
        <v>44646.259999999995</v>
      </c>
      <c r="T2878" s="24" t="s">
        <v>1081</v>
      </c>
      <c r="U2878" s="24" t="s">
        <v>1081</v>
      </c>
      <c r="V2878" s="103" t="s">
        <v>3734</v>
      </c>
      <c r="W2878" s="25">
        <f>IFERROR(VLOOKUP(BCP_Soles[[#This Row],[DESTINATARIO]],CHOOSE({1,2},Clientes_Proveedores[Razon Social],Clientes_Proveedores[Ruc / Dni]),2,0),"")</f>
        <v>20467534026</v>
      </c>
      <c r="X2878" s="25"/>
      <c r="Y2878" s="25"/>
      <c r="Z2878" s="25"/>
      <c r="AA2878" s="101"/>
      <c r="AB2878" s="3" t="str">
        <f>IF(BCP_Soles[[#This Row],[FECHA]]&gt;0,TEXT(BCP_Soles[[#This Row],[FECHA]],"mmmm"),0)</f>
        <v>Julio</v>
      </c>
    </row>
    <row r="2879" spans="2:28" x14ac:dyDescent="0.3">
      <c r="B2879" s="2">
        <f>IF(BCP_Soles[[#This Row],[TIPO DE R.]]="R",COUNTIFS($D$4:$D2878,"R")+1,"")</f>
        <v>2071</v>
      </c>
      <c r="C2879" s="19" t="str">
        <f t="shared" si="220"/>
        <v>B-BCP - Soles</v>
      </c>
      <c r="D2879" s="3" t="s">
        <v>1074</v>
      </c>
      <c r="E2879" s="14">
        <v>45868</v>
      </c>
      <c r="F2879" s="5" t="s">
        <v>1082</v>
      </c>
      <c r="G2879" s="5" t="s">
        <v>1079</v>
      </c>
      <c r="H2879" s="6" t="s">
        <v>638</v>
      </c>
      <c r="I2879" s="6"/>
      <c r="J2879" s="6"/>
      <c r="K2879" s="6"/>
      <c r="L2879" s="7" t="s">
        <v>3735</v>
      </c>
      <c r="M2879" s="8">
        <v>5935656</v>
      </c>
      <c r="N2879" s="8" t="str">
        <f t="shared" si="221"/>
        <v>PEN</v>
      </c>
      <c r="O2879" s="13"/>
      <c r="P2879" s="13">
        <v>2159.4</v>
      </c>
      <c r="Q2879" s="3">
        <f t="shared" si="222"/>
        <v>0</v>
      </c>
      <c r="R2879" s="3">
        <f t="shared" si="223"/>
        <v>2159.4</v>
      </c>
      <c r="S2879" s="3">
        <f t="shared" si="224"/>
        <v>42486.859999999993</v>
      </c>
      <c r="T2879" s="24" t="s">
        <v>1081</v>
      </c>
      <c r="U2879" s="24" t="s">
        <v>1081</v>
      </c>
      <c r="V2879" s="103" t="s">
        <v>3736</v>
      </c>
      <c r="W2879" s="25">
        <f>IFERROR(VLOOKUP(BCP_Soles[[#This Row],[DESTINATARIO]],CHOOSE({1,2},Clientes_Proveedores[Razon Social],Clientes_Proveedores[Ruc / Dni]),2,0),"")</f>
        <v>0</v>
      </c>
      <c r="X2879" s="25"/>
      <c r="Y2879" s="25"/>
      <c r="Z2879" s="25"/>
      <c r="AA2879" s="101"/>
      <c r="AB2879" s="3" t="str">
        <f>IF(BCP_Soles[[#This Row],[FECHA]]&gt;0,TEXT(BCP_Soles[[#This Row],[FECHA]],"mmmm"),0)</f>
        <v>Julio</v>
      </c>
    </row>
    <row r="2880" spans="2:28" x14ac:dyDescent="0.3">
      <c r="B2880" s="2" t="str">
        <f>IF(BCP_Soles[[#This Row],[TIPO DE R.]]="R",COUNTIFS($D$4:$D2879,"R")+1,"")</f>
        <v/>
      </c>
      <c r="C2880" s="19" t="str">
        <f t="shared" si="220"/>
        <v>B-BCP - Soles</v>
      </c>
      <c r="D2880" s="3" t="s">
        <v>1101</v>
      </c>
      <c r="E2880" s="14">
        <v>45868</v>
      </c>
      <c r="F2880" s="5" t="s">
        <v>1082</v>
      </c>
      <c r="G2880" s="5"/>
      <c r="H2880" s="6" t="s">
        <v>465</v>
      </c>
      <c r="I2880" s="6" t="s">
        <v>14</v>
      </c>
      <c r="J2880" s="6" t="s">
        <v>1121</v>
      </c>
      <c r="K2880" s="6">
        <v>4046</v>
      </c>
      <c r="L2880" s="7" t="s">
        <v>3735</v>
      </c>
      <c r="M2880" s="8">
        <v>5935656</v>
      </c>
      <c r="N2880" s="8" t="str">
        <f t="shared" si="221"/>
        <v>PEN</v>
      </c>
      <c r="O2880" s="13">
        <v>250.75</v>
      </c>
      <c r="P2880" s="13"/>
      <c r="Q2880" s="3">
        <f t="shared" si="222"/>
        <v>0</v>
      </c>
      <c r="R2880" s="3">
        <f t="shared" si="223"/>
        <v>0</v>
      </c>
      <c r="S2880" s="3">
        <f t="shared" si="224"/>
        <v>42486.859999999993</v>
      </c>
      <c r="T2880" s="24" t="s">
        <v>1081</v>
      </c>
      <c r="U2880" s="24" t="s">
        <v>1081</v>
      </c>
      <c r="V2880" s="69"/>
      <c r="W2880" s="25">
        <f>IFERROR(VLOOKUP(BCP_Soles[[#This Row],[DESTINATARIO]],CHOOSE({1,2},Clientes_Proveedores[Razon Social],Clientes_Proveedores[Ruc / Dni]),2,0),"")</f>
        <v>20603974817</v>
      </c>
      <c r="X2880" s="25"/>
      <c r="Y2880" s="25"/>
      <c r="Z2880" s="25"/>
      <c r="AA2880" s="101"/>
      <c r="AB2880" s="3" t="str">
        <f>IF(BCP_Soles[[#This Row],[FECHA]]&gt;0,TEXT(BCP_Soles[[#This Row],[FECHA]],"mmmm"),0)</f>
        <v>Julio</v>
      </c>
    </row>
    <row r="2881" spans="2:28" x14ac:dyDescent="0.3">
      <c r="B2881" s="2" t="str">
        <f>IF(BCP_Soles[[#This Row],[TIPO DE R.]]="R",COUNTIFS($D$4:$D2880,"R")+1,"")</f>
        <v/>
      </c>
      <c r="C2881" s="19" t="str">
        <f t="shared" si="220"/>
        <v>B-BCP - Soles</v>
      </c>
      <c r="D2881" s="3" t="s">
        <v>1101</v>
      </c>
      <c r="E2881" s="14">
        <v>45868</v>
      </c>
      <c r="F2881" s="5" t="s">
        <v>1082</v>
      </c>
      <c r="G2881" s="5"/>
      <c r="H2881" s="6" t="s">
        <v>281</v>
      </c>
      <c r="I2881" s="6" t="s">
        <v>14</v>
      </c>
      <c r="J2881" s="6" t="s">
        <v>1121</v>
      </c>
      <c r="K2881" s="6">
        <v>485</v>
      </c>
      <c r="L2881" s="7" t="s">
        <v>3735</v>
      </c>
      <c r="M2881" s="8">
        <v>5935656</v>
      </c>
      <c r="N2881" s="8" t="str">
        <f t="shared" si="221"/>
        <v>PEN</v>
      </c>
      <c r="O2881" s="13">
        <v>354</v>
      </c>
      <c r="P2881" s="13"/>
      <c r="Q2881" s="3">
        <f t="shared" si="222"/>
        <v>0</v>
      </c>
      <c r="R2881" s="3">
        <f t="shared" si="223"/>
        <v>0</v>
      </c>
      <c r="S2881" s="3">
        <f t="shared" si="224"/>
        <v>42486.859999999993</v>
      </c>
      <c r="T2881" s="24" t="s">
        <v>1081</v>
      </c>
      <c r="U2881" s="24" t="s">
        <v>1081</v>
      </c>
      <c r="V2881" s="69"/>
      <c r="W2881" s="25">
        <f>IFERROR(VLOOKUP(BCP_Soles[[#This Row],[DESTINATARIO]],CHOOSE({1,2},Clientes_Proveedores[Razon Social],Clientes_Proveedores[Ruc / Dni]),2,0),"")</f>
        <v>20498380931</v>
      </c>
      <c r="X2881" s="25"/>
      <c r="Y2881" s="25"/>
      <c r="Z2881" s="25"/>
      <c r="AA2881" s="101"/>
      <c r="AB2881" s="3" t="str">
        <f>IF(BCP_Soles[[#This Row],[FECHA]]&gt;0,TEXT(BCP_Soles[[#This Row],[FECHA]],"mmmm"),0)</f>
        <v>Julio</v>
      </c>
    </row>
    <row r="2882" spans="2:28" x14ac:dyDescent="0.3">
      <c r="B2882" s="2" t="str">
        <f>IF(BCP_Soles[[#This Row],[TIPO DE R.]]="R",COUNTIFS($D$4:$D2881,"R")+1,"")</f>
        <v/>
      </c>
      <c r="C2882" s="19" t="str">
        <f t="shared" si="220"/>
        <v>B-BCP - Soles</v>
      </c>
      <c r="D2882" s="3" t="s">
        <v>1101</v>
      </c>
      <c r="E2882" s="14">
        <v>45868</v>
      </c>
      <c r="F2882" s="5" t="s">
        <v>1082</v>
      </c>
      <c r="G2882" s="5"/>
      <c r="H2882" s="6" t="s">
        <v>465</v>
      </c>
      <c r="I2882" s="6" t="s">
        <v>14</v>
      </c>
      <c r="J2882" s="6" t="s">
        <v>1121</v>
      </c>
      <c r="K2882" s="6">
        <v>4045</v>
      </c>
      <c r="L2882" s="7" t="s">
        <v>3735</v>
      </c>
      <c r="M2882" s="8">
        <v>5935656</v>
      </c>
      <c r="N2882" s="8" t="str">
        <f t="shared" si="221"/>
        <v>PEN</v>
      </c>
      <c r="O2882" s="13">
        <v>200.6</v>
      </c>
      <c r="P2882" s="13"/>
      <c r="Q2882" s="3">
        <f t="shared" si="222"/>
        <v>0</v>
      </c>
      <c r="R2882" s="3">
        <f t="shared" si="223"/>
        <v>0</v>
      </c>
      <c r="S2882" s="3">
        <f t="shared" si="224"/>
        <v>42486.859999999993</v>
      </c>
      <c r="T2882" s="24" t="s">
        <v>1081</v>
      </c>
      <c r="U2882" s="24" t="s">
        <v>1081</v>
      </c>
      <c r="V2882" s="69"/>
      <c r="W2882" s="25">
        <f>IFERROR(VLOOKUP(BCP_Soles[[#This Row],[DESTINATARIO]],CHOOSE({1,2},Clientes_Proveedores[Razon Social],Clientes_Proveedores[Ruc / Dni]),2,0),"")</f>
        <v>20603974817</v>
      </c>
      <c r="X2882" s="25"/>
      <c r="Y2882" s="25"/>
      <c r="Z2882" s="25"/>
      <c r="AA2882" s="101"/>
      <c r="AB2882" s="3" t="str">
        <f>IF(BCP_Soles[[#This Row],[FECHA]]&gt;0,TEXT(BCP_Soles[[#This Row],[FECHA]],"mmmm"),0)</f>
        <v>Julio</v>
      </c>
    </row>
    <row r="2883" spans="2:28" x14ac:dyDescent="0.3">
      <c r="B2883" s="2" t="str">
        <f>IF(BCP_Soles[[#This Row],[TIPO DE R.]]="R",COUNTIFS($D$4:$D2882,"R")+1,"")</f>
        <v/>
      </c>
      <c r="C2883" s="19" t="str">
        <f t="shared" si="220"/>
        <v>B-BCP - Soles</v>
      </c>
      <c r="D2883" s="3" t="s">
        <v>1101</v>
      </c>
      <c r="E2883" s="14">
        <v>45868</v>
      </c>
      <c r="F2883" s="5" t="s">
        <v>1082</v>
      </c>
      <c r="G2883" s="5"/>
      <c r="H2883" s="6" t="s">
        <v>465</v>
      </c>
      <c r="I2883" s="6" t="s">
        <v>14</v>
      </c>
      <c r="J2883" s="6" t="s">
        <v>1121</v>
      </c>
      <c r="K2883" s="6">
        <v>4036</v>
      </c>
      <c r="L2883" s="7" t="s">
        <v>3735</v>
      </c>
      <c r="M2883" s="8">
        <v>5935656</v>
      </c>
      <c r="N2883" s="8" t="str">
        <f t="shared" si="221"/>
        <v>PEN</v>
      </c>
      <c r="O2883" s="13">
        <v>300.89999999999998</v>
      </c>
      <c r="P2883" s="13"/>
      <c r="Q2883" s="3">
        <f t="shared" si="222"/>
        <v>0</v>
      </c>
      <c r="R2883" s="3">
        <f t="shared" si="223"/>
        <v>0</v>
      </c>
      <c r="S2883" s="3">
        <f t="shared" si="224"/>
        <v>42486.859999999993</v>
      </c>
      <c r="T2883" s="24" t="s">
        <v>1081</v>
      </c>
      <c r="U2883" s="24" t="s">
        <v>1081</v>
      </c>
      <c r="V2883" s="69"/>
      <c r="W2883" s="25">
        <f>IFERROR(VLOOKUP(BCP_Soles[[#This Row],[DESTINATARIO]],CHOOSE({1,2},Clientes_Proveedores[Razon Social],Clientes_Proveedores[Ruc / Dni]),2,0),"")</f>
        <v>20603974817</v>
      </c>
      <c r="X2883" s="25"/>
      <c r="Y2883" s="25"/>
      <c r="Z2883" s="25"/>
      <c r="AA2883" s="101"/>
      <c r="AB2883" s="3" t="str">
        <f>IF(BCP_Soles[[#This Row],[FECHA]]&gt;0,TEXT(BCP_Soles[[#This Row],[FECHA]],"mmmm"),0)</f>
        <v>Julio</v>
      </c>
    </row>
    <row r="2884" spans="2:28" x14ac:dyDescent="0.3">
      <c r="B2884" s="2" t="str">
        <f>IF(BCP_Soles[[#This Row],[TIPO DE R.]]="R",COUNTIFS($D$4:$D2883,"R")+1,"")</f>
        <v/>
      </c>
      <c r="C2884" s="19" t="str">
        <f t="shared" si="220"/>
        <v>B-BCP - Soles</v>
      </c>
      <c r="D2884" s="3" t="s">
        <v>1101</v>
      </c>
      <c r="E2884" s="14">
        <v>45868</v>
      </c>
      <c r="F2884" s="5" t="s">
        <v>1082</v>
      </c>
      <c r="G2884" s="5"/>
      <c r="H2884" s="6" t="s">
        <v>465</v>
      </c>
      <c r="I2884" s="6" t="s">
        <v>14</v>
      </c>
      <c r="J2884" s="6" t="s">
        <v>1121</v>
      </c>
      <c r="K2884" s="6">
        <v>4039</v>
      </c>
      <c r="L2884" s="7" t="s">
        <v>3735</v>
      </c>
      <c r="M2884" s="8">
        <v>5935656</v>
      </c>
      <c r="N2884" s="8" t="str">
        <f t="shared" si="221"/>
        <v>PEN</v>
      </c>
      <c r="O2884" s="13">
        <v>451.35</v>
      </c>
      <c r="P2884" s="13"/>
      <c r="Q2884" s="3">
        <f t="shared" si="222"/>
        <v>0</v>
      </c>
      <c r="R2884" s="3">
        <f t="shared" si="223"/>
        <v>0</v>
      </c>
      <c r="S2884" s="3">
        <f t="shared" si="224"/>
        <v>42486.859999999993</v>
      </c>
      <c r="T2884" s="24" t="s">
        <v>1081</v>
      </c>
      <c r="U2884" s="24" t="s">
        <v>1081</v>
      </c>
      <c r="V2884" s="69"/>
      <c r="W2884" s="25">
        <f>IFERROR(VLOOKUP(BCP_Soles[[#This Row],[DESTINATARIO]],CHOOSE({1,2},Clientes_Proveedores[Razon Social],Clientes_Proveedores[Ruc / Dni]),2,0),"")</f>
        <v>20603974817</v>
      </c>
      <c r="X2884" s="25"/>
      <c r="Y2884" s="25"/>
      <c r="Z2884" s="25"/>
      <c r="AA2884" s="101"/>
      <c r="AB2884" s="3" t="str">
        <f>IF(BCP_Soles[[#This Row],[FECHA]]&gt;0,TEXT(BCP_Soles[[#This Row],[FECHA]],"mmmm"),0)</f>
        <v>Julio</v>
      </c>
    </row>
    <row r="2885" spans="2:28" x14ac:dyDescent="0.3">
      <c r="B2885" s="2" t="str">
        <f>IF(BCP_Soles[[#This Row],[TIPO DE R.]]="R",COUNTIFS($D$4:$D2884,"R")+1,"")</f>
        <v/>
      </c>
      <c r="C2885" s="19" t="str">
        <f t="shared" ref="C2885:C2948" si="225">"B-BCP - Soles"</f>
        <v>B-BCP - Soles</v>
      </c>
      <c r="D2885" s="3" t="s">
        <v>1101</v>
      </c>
      <c r="E2885" s="14">
        <v>45868</v>
      </c>
      <c r="F2885" s="5" t="s">
        <v>1082</v>
      </c>
      <c r="G2885" s="5"/>
      <c r="H2885" s="6" t="s">
        <v>465</v>
      </c>
      <c r="I2885" s="6" t="s">
        <v>14</v>
      </c>
      <c r="J2885" s="6" t="s">
        <v>1121</v>
      </c>
      <c r="K2885" s="6">
        <v>4047</v>
      </c>
      <c r="L2885" s="7" t="s">
        <v>3735</v>
      </c>
      <c r="M2885" s="8">
        <v>5935656</v>
      </c>
      <c r="N2885" s="8" t="str">
        <f t="shared" ref="N2885:N2948" si="226">"PEN"</f>
        <v>PEN</v>
      </c>
      <c r="O2885" s="13">
        <v>601.79999999999995</v>
      </c>
      <c r="P2885" s="13"/>
      <c r="Q2885" s="3">
        <f t="shared" ref="Q2885:Q2948" si="227">+IF(OR($G2885="SALDO",$G2885="INGRESO"),$P2885,0)</f>
        <v>0</v>
      </c>
      <c r="R2885" s="3">
        <f t="shared" ref="R2885:R2948" si="228">+IF($G2885="EGRESO",$P2885,0)</f>
        <v>0</v>
      </c>
      <c r="S2885" s="3">
        <f t="shared" ref="S2885:S2948" si="229">IFERROR(IF(G2885="SALDO",Q2885,S2884+Q2885-R2885),0)</f>
        <v>42486.859999999993</v>
      </c>
      <c r="T2885" s="24" t="s">
        <v>1081</v>
      </c>
      <c r="U2885" s="24" t="s">
        <v>1081</v>
      </c>
      <c r="V2885" s="69"/>
      <c r="W2885" s="25">
        <f>IFERROR(VLOOKUP(BCP_Soles[[#This Row],[DESTINATARIO]],CHOOSE({1,2},Clientes_Proveedores[Razon Social],Clientes_Proveedores[Ruc / Dni]),2,0),"")</f>
        <v>20603974817</v>
      </c>
      <c r="X2885" s="25"/>
      <c r="Y2885" s="25"/>
      <c r="Z2885" s="25"/>
      <c r="AA2885" s="101"/>
      <c r="AB2885" s="3" t="str">
        <f>IF(BCP_Soles[[#This Row],[FECHA]]&gt;0,TEXT(BCP_Soles[[#This Row],[FECHA]],"mmmm"),0)</f>
        <v>Julio</v>
      </c>
    </row>
    <row r="2886" spans="2:28" x14ac:dyDescent="0.3">
      <c r="B2886" s="2">
        <f>IF(BCP_Soles[[#This Row],[TIPO DE R.]]="R",COUNTIFS($D$4:$D2885,"R")+1,"")</f>
        <v>2072</v>
      </c>
      <c r="C2886" s="19" t="str">
        <f t="shared" si="225"/>
        <v>B-BCP - Soles</v>
      </c>
      <c r="D2886" s="3" t="s">
        <v>1074</v>
      </c>
      <c r="E2886" s="14">
        <v>45868</v>
      </c>
      <c r="F2886" s="5" t="s">
        <v>1078</v>
      </c>
      <c r="G2886" s="5" t="s">
        <v>1079</v>
      </c>
      <c r="H2886" s="6" t="s">
        <v>950</v>
      </c>
      <c r="I2886" s="6" t="s">
        <v>10</v>
      </c>
      <c r="J2886" s="6" t="s">
        <v>3392</v>
      </c>
      <c r="K2886" s="6">
        <v>2072</v>
      </c>
      <c r="L2886" s="7" t="s">
        <v>2868</v>
      </c>
      <c r="M2886" s="8"/>
      <c r="N2886" s="8" t="str">
        <f t="shared" si="226"/>
        <v>PEN</v>
      </c>
      <c r="O2886" s="13"/>
      <c r="P2886" s="13">
        <v>0.1</v>
      </c>
      <c r="Q2886" s="3">
        <f t="shared" si="227"/>
        <v>0</v>
      </c>
      <c r="R2886" s="3">
        <f t="shared" si="228"/>
        <v>0.1</v>
      </c>
      <c r="S2886" s="3">
        <f t="shared" si="229"/>
        <v>42486.759999999995</v>
      </c>
      <c r="T2886" s="24" t="s">
        <v>1081</v>
      </c>
      <c r="U2886" s="24"/>
      <c r="V2886" s="69"/>
      <c r="W2886" s="25">
        <f>IFERROR(VLOOKUP(BCP_Soles[[#This Row],[DESTINATARIO]],CHOOSE({1,2},Clientes_Proveedores[Razon Social],Clientes_Proveedores[Ruc / Dni]),2,0),"")</f>
        <v>11111111</v>
      </c>
      <c r="X2886" s="25"/>
      <c r="Y2886" s="25"/>
      <c r="Z2886" s="25"/>
      <c r="AA2886" s="101"/>
      <c r="AB2886" s="3" t="str">
        <f>IF(BCP_Soles[[#This Row],[FECHA]]&gt;0,TEXT(BCP_Soles[[#This Row],[FECHA]],"mmmm"),0)</f>
        <v>Julio</v>
      </c>
    </row>
    <row r="2887" spans="2:28" x14ac:dyDescent="0.3">
      <c r="B2887" s="2">
        <f>IF(BCP_Soles[[#This Row],[TIPO DE R.]]="R",COUNTIFS($D$4:$D2886,"R")+1,"")</f>
        <v>2073</v>
      </c>
      <c r="C2887" s="19" t="str">
        <f t="shared" si="225"/>
        <v>B-BCP - Soles</v>
      </c>
      <c r="D2887" s="3" t="s">
        <v>1074</v>
      </c>
      <c r="E2887" s="14">
        <v>45869</v>
      </c>
      <c r="F2887" s="5" t="s">
        <v>229</v>
      </c>
      <c r="G2887" s="5" t="s">
        <v>1087</v>
      </c>
      <c r="H2887" s="6" t="s">
        <v>368</v>
      </c>
      <c r="I2887" s="6"/>
      <c r="J2887" s="6"/>
      <c r="K2887" s="6"/>
      <c r="L2887" s="7" t="s">
        <v>3737</v>
      </c>
      <c r="M2887" s="8">
        <v>13259</v>
      </c>
      <c r="N2887" s="8" t="str">
        <f t="shared" si="226"/>
        <v>PEN</v>
      </c>
      <c r="O2887" s="13"/>
      <c r="P2887" s="13">
        <v>9526.41</v>
      </c>
      <c r="Q2887" s="3">
        <f t="shared" si="227"/>
        <v>9526.41</v>
      </c>
      <c r="R2887" s="3">
        <f t="shared" si="228"/>
        <v>0</v>
      </c>
      <c r="S2887" s="3">
        <f t="shared" si="229"/>
        <v>52013.17</v>
      </c>
      <c r="T2887" s="24" t="s">
        <v>1081</v>
      </c>
      <c r="U2887" s="24" t="s">
        <v>1081</v>
      </c>
      <c r="V2887" s="69"/>
      <c r="W2887" s="25">
        <f>IFERROR(VLOOKUP(BCP_Soles[[#This Row],[DESTINATARIO]],CHOOSE({1,2},Clientes_Proveedores[Razon Social],Clientes_Proveedores[Ruc / Dni]),2,0),"")</f>
        <v>20558226979</v>
      </c>
      <c r="X2887" s="25"/>
      <c r="Y2887" s="25"/>
      <c r="Z2887" s="25"/>
      <c r="AA2887" s="101"/>
      <c r="AB2887" s="3" t="str">
        <f>IF(BCP_Soles[[#This Row],[FECHA]]&gt;0,TEXT(BCP_Soles[[#This Row],[FECHA]],"mmmm"),0)</f>
        <v>Julio</v>
      </c>
    </row>
    <row r="2888" spans="2:28" x14ac:dyDescent="0.3">
      <c r="B2888" s="2" t="str">
        <f>IF(BCP_Soles[[#This Row],[TIPO DE R.]]="R",COUNTIFS($D$4:$D2887,"R")+1,"")</f>
        <v/>
      </c>
      <c r="C2888" s="19" t="str">
        <f t="shared" si="225"/>
        <v>B-BCP - Soles</v>
      </c>
      <c r="D2888" s="3" t="s">
        <v>1101</v>
      </c>
      <c r="E2888" s="14">
        <v>45869</v>
      </c>
      <c r="F2888" s="5" t="s">
        <v>229</v>
      </c>
      <c r="G2888" s="5"/>
      <c r="H2888" s="6"/>
      <c r="I2888" s="6" t="s">
        <v>14</v>
      </c>
      <c r="J2888" s="6" t="s">
        <v>1521</v>
      </c>
      <c r="K2888" s="6">
        <v>179</v>
      </c>
      <c r="L2888" s="7" t="s">
        <v>3737</v>
      </c>
      <c r="M2888" s="8">
        <v>13259</v>
      </c>
      <c r="N2888" s="8" t="str">
        <f t="shared" si="226"/>
        <v>PEN</v>
      </c>
      <c r="O2888" s="13">
        <v>2583.5300000000002</v>
      </c>
      <c r="P2888" s="13"/>
      <c r="Q2888" s="3">
        <f t="shared" si="227"/>
        <v>0</v>
      </c>
      <c r="R2888" s="3">
        <f t="shared" si="228"/>
        <v>0</v>
      </c>
      <c r="S2888" s="3">
        <f t="shared" si="229"/>
        <v>52013.17</v>
      </c>
      <c r="T2888" s="24" t="s">
        <v>1081</v>
      </c>
      <c r="U2888" s="24" t="s">
        <v>1081</v>
      </c>
      <c r="V2888" s="69"/>
      <c r="W2888" s="25" t="str">
        <f>IFERROR(VLOOKUP(BCP_Soles[[#This Row],[DESTINATARIO]],CHOOSE({1,2},Clientes_Proveedores[Razon Social],Clientes_Proveedores[Ruc / Dni]),2,0),"")</f>
        <v/>
      </c>
      <c r="X2888" s="25"/>
      <c r="Y2888" s="25"/>
      <c r="Z2888" s="25"/>
      <c r="AA2888" s="101"/>
      <c r="AB2888" s="3" t="str">
        <f>IF(BCP_Soles[[#This Row],[FECHA]]&gt;0,TEXT(BCP_Soles[[#This Row],[FECHA]],"mmmm"),0)</f>
        <v>Julio</v>
      </c>
    </row>
    <row r="2889" spans="2:28" x14ac:dyDescent="0.3">
      <c r="B2889" s="2" t="str">
        <f>IF(BCP_Soles[[#This Row],[TIPO DE R.]]="R",COUNTIFS($D$4:$D2888,"R")+1,"")</f>
        <v/>
      </c>
      <c r="C2889" s="19" t="str">
        <f t="shared" si="225"/>
        <v>B-BCP - Soles</v>
      </c>
      <c r="D2889" s="3" t="s">
        <v>1101</v>
      </c>
      <c r="E2889" s="14">
        <v>45869</v>
      </c>
      <c r="F2889" s="5" t="s">
        <v>229</v>
      </c>
      <c r="G2889" s="5"/>
      <c r="H2889" s="6"/>
      <c r="I2889" s="6" t="s">
        <v>14</v>
      </c>
      <c r="J2889" s="6" t="s">
        <v>1521</v>
      </c>
      <c r="K2889" s="6">
        <v>180</v>
      </c>
      <c r="L2889" s="7" t="s">
        <v>3737</v>
      </c>
      <c r="M2889" s="8">
        <v>13259</v>
      </c>
      <c r="N2889" s="8" t="str">
        <f t="shared" si="226"/>
        <v>PEN</v>
      </c>
      <c r="O2889" s="13">
        <v>3467.02</v>
      </c>
      <c r="P2889" s="13"/>
      <c r="Q2889" s="3">
        <f t="shared" si="227"/>
        <v>0</v>
      </c>
      <c r="R2889" s="3">
        <f t="shared" si="228"/>
        <v>0</v>
      </c>
      <c r="S2889" s="3">
        <f t="shared" si="229"/>
        <v>52013.17</v>
      </c>
      <c r="T2889" s="24" t="s">
        <v>1081</v>
      </c>
      <c r="U2889" s="24" t="s">
        <v>1081</v>
      </c>
      <c r="V2889" s="69"/>
      <c r="W2889" s="25" t="str">
        <f>IFERROR(VLOOKUP(BCP_Soles[[#This Row],[DESTINATARIO]],CHOOSE({1,2},Clientes_Proveedores[Razon Social],Clientes_Proveedores[Ruc / Dni]),2,0),"")</f>
        <v/>
      </c>
      <c r="X2889" s="25"/>
      <c r="Y2889" s="25"/>
      <c r="Z2889" s="25"/>
      <c r="AA2889" s="101"/>
      <c r="AB2889" s="3" t="str">
        <f>IF(BCP_Soles[[#This Row],[FECHA]]&gt;0,TEXT(BCP_Soles[[#This Row],[FECHA]],"mmmm"),0)</f>
        <v>Julio</v>
      </c>
    </row>
    <row r="2890" spans="2:28" x14ac:dyDescent="0.3">
      <c r="B2890" s="2" t="str">
        <f>IF(BCP_Soles[[#This Row],[TIPO DE R.]]="R",COUNTIFS($D$4:$D2889,"R")+1,"")</f>
        <v/>
      </c>
      <c r="C2890" s="19" t="str">
        <f t="shared" si="225"/>
        <v>B-BCP - Soles</v>
      </c>
      <c r="D2890" s="3" t="s">
        <v>1101</v>
      </c>
      <c r="E2890" s="14">
        <v>45869</v>
      </c>
      <c r="F2890" s="5" t="s">
        <v>229</v>
      </c>
      <c r="G2890" s="5"/>
      <c r="H2890" s="6"/>
      <c r="I2890" s="6" t="s">
        <v>14</v>
      </c>
      <c r="J2890" s="6" t="s">
        <v>1521</v>
      </c>
      <c r="K2890" s="6">
        <v>182</v>
      </c>
      <c r="L2890" s="7" t="s">
        <v>3737</v>
      </c>
      <c r="M2890" s="8">
        <v>13259</v>
      </c>
      <c r="N2890" s="8" t="str">
        <f t="shared" si="226"/>
        <v>PEN</v>
      </c>
      <c r="O2890" s="13">
        <v>1933.54</v>
      </c>
      <c r="P2890" s="13"/>
      <c r="Q2890" s="3">
        <f t="shared" si="227"/>
        <v>0</v>
      </c>
      <c r="R2890" s="3">
        <f t="shared" si="228"/>
        <v>0</v>
      </c>
      <c r="S2890" s="3">
        <f t="shared" si="229"/>
        <v>52013.17</v>
      </c>
      <c r="T2890" s="24" t="s">
        <v>1081</v>
      </c>
      <c r="U2890" s="24" t="s">
        <v>1081</v>
      </c>
      <c r="V2890" s="69"/>
      <c r="W2890" s="25" t="str">
        <f>IFERROR(VLOOKUP(BCP_Soles[[#This Row],[DESTINATARIO]],CHOOSE({1,2},Clientes_Proveedores[Razon Social],Clientes_Proveedores[Ruc / Dni]),2,0),"")</f>
        <v/>
      </c>
      <c r="X2890" s="25"/>
      <c r="Y2890" s="25"/>
      <c r="Z2890" s="25"/>
      <c r="AA2890" s="101"/>
      <c r="AB2890" s="3" t="str">
        <f>IF(BCP_Soles[[#This Row],[FECHA]]&gt;0,TEXT(BCP_Soles[[#This Row],[FECHA]],"mmmm"),0)</f>
        <v>Julio</v>
      </c>
    </row>
    <row r="2891" spans="2:28" x14ac:dyDescent="0.3">
      <c r="B2891" s="2" t="str">
        <f>IF(BCP_Soles[[#This Row],[TIPO DE R.]]="R",COUNTIFS($D$4:$D2890,"R")+1,"")</f>
        <v/>
      </c>
      <c r="C2891" s="19" t="str">
        <f t="shared" si="225"/>
        <v>B-BCP - Soles</v>
      </c>
      <c r="D2891" s="3" t="s">
        <v>1101</v>
      </c>
      <c r="E2891" s="14">
        <v>45869</v>
      </c>
      <c r="F2891" s="5" t="s">
        <v>229</v>
      </c>
      <c r="G2891" s="5"/>
      <c r="H2891" s="6"/>
      <c r="I2891" s="6" t="s">
        <v>14</v>
      </c>
      <c r="J2891" s="6" t="s">
        <v>1521</v>
      </c>
      <c r="K2891" s="6">
        <v>183</v>
      </c>
      <c r="L2891" s="7" t="s">
        <v>3737</v>
      </c>
      <c r="M2891" s="8">
        <v>13259</v>
      </c>
      <c r="N2891" s="8" t="str">
        <f t="shared" si="226"/>
        <v>PEN</v>
      </c>
      <c r="O2891" s="13">
        <v>1542.32</v>
      </c>
      <c r="P2891" s="13"/>
      <c r="Q2891" s="3">
        <f t="shared" si="227"/>
        <v>0</v>
      </c>
      <c r="R2891" s="3">
        <f t="shared" si="228"/>
        <v>0</v>
      </c>
      <c r="S2891" s="3">
        <f t="shared" si="229"/>
        <v>52013.17</v>
      </c>
      <c r="T2891" s="24" t="s">
        <v>1081</v>
      </c>
      <c r="U2891" s="24" t="s">
        <v>1081</v>
      </c>
      <c r="V2891" s="69"/>
      <c r="W2891" s="25" t="str">
        <f>IFERROR(VLOOKUP(BCP_Soles[[#This Row],[DESTINATARIO]],CHOOSE({1,2},Clientes_Proveedores[Razon Social],Clientes_Proveedores[Ruc / Dni]),2,0),"")</f>
        <v/>
      </c>
      <c r="X2891" s="25"/>
      <c r="Y2891" s="25"/>
      <c r="Z2891" s="25"/>
      <c r="AA2891" s="101"/>
      <c r="AB2891" s="3" t="str">
        <f>IF(BCP_Soles[[#This Row],[FECHA]]&gt;0,TEXT(BCP_Soles[[#This Row],[FECHA]],"mmmm"),0)</f>
        <v>Julio</v>
      </c>
    </row>
    <row r="2892" spans="2:28" x14ac:dyDescent="0.3">
      <c r="B2892" s="2">
        <f>IF(BCP_Soles[[#This Row],[TIPO DE R.]]="R",COUNTIFS($D$4:$D2891,"R")+1,"")</f>
        <v>2074</v>
      </c>
      <c r="C2892" s="19" t="str">
        <f t="shared" si="225"/>
        <v>B-BCP - Soles</v>
      </c>
      <c r="D2892" s="3" t="s">
        <v>1074</v>
      </c>
      <c r="E2892" s="14">
        <v>45869</v>
      </c>
      <c r="F2892" s="5" t="s">
        <v>3738</v>
      </c>
      <c r="G2892" s="5" t="s">
        <v>1087</v>
      </c>
      <c r="H2892" s="6" t="s">
        <v>368</v>
      </c>
      <c r="I2892" s="6"/>
      <c r="J2892" s="6"/>
      <c r="K2892" s="6"/>
      <c r="L2892" s="7" t="s">
        <v>3739</v>
      </c>
      <c r="M2892" s="8">
        <v>2361629</v>
      </c>
      <c r="N2892" s="8" t="str">
        <f t="shared" si="226"/>
        <v>PEN</v>
      </c>
      <c r="O2892" s="13"/>
      <c r="P2892" s="13">
        <v>22757</v>
      </c>
      <c r="Q2892" s="3">
        <f t="shared" si="227"/>
        <v>22757</v>
      </c>
      <c r="R2892" s="3">
        <f t="shared" si="228"/>
        <v>0</v>
      </c>
      <c r="S2892" s="3">
        <f t="shared" si="229"/>
        <v>74770.17</v>
      </c>
      <c r="T2892" s="24"/>
      <c r="U2892" s="24"/>
      <c r="V2892" s="69"/>
      <c r="W2892" s="25">
        <f>IFERROR(VLOOKUP(BCP_Soles[[#This Row],[DESTINATARIO]],CHOOSE({1,2},Clientes_Proveedores[Razon Social],Clientes_Proveedores[Ruc / Dni]),2,0),"")</f>
        <v>20558226979</v>
      </c>
      <c r="X2892" s="25"/>
      <c r="Y2892" s="25"/>
      <c r="Z2892" s="25"/>
      <c r="AA2892" s="101"/>
      <c r="AB2892" s="3" t="str">
        <f>IF(BCP_Soles[[#This Row],[FECHA]]&gt;0,TEXT(BCP_Soles[[#This Row],[FECHA]],"mmmm"),0)</f>
        <v>Julio</v>
      </c>
    </row>
    <row r="2893" spans="2:28" x14ac:dyDescent="0.3">
      <c r="B2893" s="2">
        <f>IF(BCP_Soles[[#This Row],[TIPO DE R.]]="R",COUNTIFS($D$4:$D2892,"R")+1,"")</f>
        <v>2075</v>
      </c>
      <c r="C2893" s="19" t="str">
        <f t="shared" si="225"/>
        <v>B-BCP - Soles</v>
      </c>
      <c r="D2893" s="3" t="s">
        <v>1074</v>
      </c>
      <c r="E2893" s="14">
        <v>45869</v>
      </c>
      <c r="F2893" s="5" t="s">
        <v>3740</v>
      </c>
      <c r="G2893" s="5" t="s">
        <v>1087</v>
      </c>
      <c r="H2893" s="6" t="s">
        <v>368</v>
      </c>
      <c r="I2893" s="6"/>
      <c r="J2893" s="6"/>
      <c r="K2893" s="6"/>
      <c r="L2893" s="7" t="s">
        <v>3536</v>
      </c>
      <c r="M2893" s="8">
        <v>2416103</v>
      </c>
      <c r="N2893" s="8" t="str">
        <f t="shared" si="226"/>
        <v>PEN</v>
      </c>
      <c r="O2893" s="13"/>
      <c r="P2893" s="13">
        <v>22220.799999999999</v>
      </c>
      <c r="Q2893" s="3">
        <f t="shared" si="227"/>
        <v>22220.799999999999</v>
      </c>
      <c r="R2893" s="3">
        <f t="shared" si="228"/>
        <v>0</v>
      </c>
      <c r="S2893" s="3">
        <f t="shared" si="229"/>
        <v>96990.97</v>
      </c>
      <c r="T2893" s="24"/>
      <c r="U2893" s="24"/>
      <c r="V2893" s="69"/>
      <c r="W2893" s="25">
        <f>IFERROR(VLOOKUP(BCP_Soles[[#This Row],[DESTINATARIO]],CHOOSE({1,2},Clientes_Proveedores[Razon Social],Clientes_Proveedores[Ruc / Dni]),2,0),"")</f>
        <v>20558226979</v>
      </c>
      <c r="X2893" s="25"/>
      <c r="Y2893" s="25"/>
      <c r="Z2893" s="25"/>
      <c r="AA2893" s="101"/>
      <c r="AB2893" s="3" t="str">
        <f>IF(BCP_Soles[[#This Row],[FECHA]]&gt;0,TEXT(BCP_Soles[[#This Row],[FECHA]],"mmmm"),0)</f>
        <v>Julio</v>
      </c>
    </row>
    <row r="2894" spans="2:28" x14ac:dyDescent="0.3">
      <c r="B2894" s="2">
        <f>IF(BCP_Soles[[#This Row],[TIPO DE R.]]="R",COUNTIFS($D$4:$D2893,"R")+1,"")</f>
        <v>2076</v>
      </c>
      <c r="C2894" s="19" t="str">
        <f t="shared" si="225"/>
        <v>B-BCP - Soles</v>
      </c>
      <c r="D2894" s="3" t="s">
        <v>1074</v>
      </c>
      <c r="E2894" s="14">
        <v>45869</v>
      </c>
      <c r="F2894" s="5"/>
      <c r="G2894" s="5" t="s">
        <v>1087</v>
      </c>
      <c r="H2894" s="6" t="s">
        <v>368</v>
      </c>
      <c r="I2894" s="6"/>
      <c r="J2894" s="6"/>
      <c r="K2894" s="6"/>
      <c r="L2894" s="7" t="s">
        <v>3741</v>
      </c>
      <c r="M2894" s="8">
        <v>7197969</v>
      </c>
      <c r="N2894" s="8" t="str">
        <f t="shared" si="226"/>
        <v>PEN</v>
      </c>
      <c r="O2894" s="13"/>
      <c r="P2894" s="13">
        <v>1394.18</v>
      </c>
      <c r="Q2894" s="3">
        <f t="shared" si="227"/>
        <v>1394.18</v>
      </c>
      <c r="R2894" s="3">
        <f t="shared" si="228"/>
        <v>0</v>
      </c>
      <c r="S2894" s="3">
        <f t="shared" si="229"/>
        <v>98385.15</v>
      </c>
      <c r="T2894" s="24"/>
      <c r="U2894" s="24"/>
      <c r="V2894" s="69"/>
      <c r="W2894" s="25">
        <f>IFERROR(VLOOKUP(BCP_Soles[[#This Row],[DESTINATARIO]],CHOOSE({1,2},Clientes_Proveedores[Razon Social],Clientes_Proveedores[Ruc / Dni]),2,0),"")</f>
        <v>20558226979</v>
      </c>
      <c r="X2894" s="25"/>
      <c r="Y2894" s="25"/>
      <c r="Z2894" s="25"/>
      <c r="AA2894" s="101"/>
      <c r="AB2894" s="3" t="str">
        <f>IF(BCP_Soles[[#This Row],[FECHA]]&gt;0,TEXT(BCP_Soles[[#This Row],[FECHA]],"mmmm"),0)</f>
        <v>Julio</v>
      </c>
    </row>
    <row r="2895" spans="2:28" ht="24" x14ac:dyDescent="0.3">
      <c r="B2895" s="2">
        <f>IF(BCP_Soles[[#This Row],[TIPO DE R.]]="R",COUNTIFS($D$4:$D2894,"R")+1,"")</f>
        <v>2077</v>
      </c>
      <c r="C2895" s="19" t="str">
        <f t="shared" si="225"/>
        <v>B-BCP - Soles</v>
      </c>
      <c r="D2895" s="3" t="s">
        <v>1074</v>
      </c>
      <c r="E2895" s="14">
        <v>45869</v>
      </c>
      <c r="F2895" s="5" t="s">
        <v>1996</v>
      </c>
      <c r="G2895" s="5" t="s">
        <v>1079</v>
      </c>
      <c r="H2895" s="6" t="s">
        <v>600</v>
      </c>
      <c r="I2895" s="6" t="s">
        <v>14</v>
      </c>
      <c r="J2895" s="6" t="s">
        <v>1121</v>
      </c>
      <c r="K2895" s="6">
        <v>49</v>
      </c>
      <c r="L2895" s="7" t="s">
        <v>3742</v>
      </c>
      <c r="M2895" s="8">
        <v>1112271</v>
      </c>
      <c r="N2895" s="8" t="str">
        <f t="shared" si="226"/>
        <v>PEN</v>
      </c>
      <c r="O2895" s="13"/>
      <c r="P2895" s="13">
        <v>416</v>
      </c>
      <c r="Q2895" s="3">
        <f t="shared" si="227"/>
        <v>0</v>
      </c>
      <c r="R2895" s="3">
        <f t="shared" si="228"/>
        <v>416</v>
      </c>
      <c r="S2895" s="3">
        <f t="shared" si="229"/>
        <v>97969.15</v>
      </c>
      <c r="T2895" s="24" t="s">
        <v>1081</v>
      </c>
      <c r="U2895" s="24" t="s">
        <v>1081</v>
      </c>
      <c r="V2895" s="103" t="s">
        <v>3743</v>
      </c>
      <c r="W2895" s="25">
        <f>IFERROR(VLOOKUP(BCP_Soles[[#This Row],[DESTINATARIO]],CHOOSE({1,2},Clientes_Proveedores[Razon Social],Clientes_Proveedores[Ruc / Dni]),2,0),"")</f>
        <v>15609125303</v>
      </c>
      <c r="X2895" s="25"/>
      <c r="Y2895" s="25"/>
      <c r="Z2895" s="25"/>
      <c r="AA2895" s="101"/>
      <c r="AB2895" s="3" t="str">
        <f>IF(BCP_Soles[[#This Row],[FECHA]]&gt;0,TEXT(BCP_Soles[[#This Row],[FECHA]],"mmmm"),0)</f>
        <v>Julio</v>
      </c>
    </row>
    <row r="2896" spans="2:28" ht="24" x14ac:dyDescent="0.3">
      <c r="B2896" s="2">
        <f>IF(BCP_Soles[[#This Row],[TIPO DE R.]]="R",COUNTIFS($D$4:$D2895,"R")+1,"")</f>
        <v>2078</v>
      </c>
      <c r="C2896" s="19" t="str">
        <f t="shared" si="225"/>
        <v>B-BCP - Soles</v>
      </c>
      <c r="D2896" s="3" t="s">
        <v>1074</v>
      </c>
      <c r="E2896" s="14">
        <v>45869</v>
      </c>
      <c r="F2896" s="5" t="s">
        <v>1996</v>
      </c>
      <c r="G2896" s="5" t="s">
        <v>1079</v>
      </c>
      <c r="H2896" s="6" t="s">
        <v>600</v>
      </c>
      <c r="I2896" s="6" t="s">
        <v>14</v>
      </c>
      <c r="J2896" s="6" t="s">
        <v>1121</v>
      </c>
      <c r="K2896" s="6">
        <v>48</v>
      </c>
      <c r="L2896" s="7" t="s">
        <v>3744</v>
      </c>
      <c r="M2896" s="8">
        <v>1113732</v>
      </c>
      <c r="N2896" s="8" t="str">
        <f t="shared" si="226"/>
        <v>PEN</v>
      </c>
      <c r="O2896" s="13"/>
      <c r="P2896" s="13">
        <v>1580.6</v>
      </c>
      <c r="Q2896" s="3">
        <f t="shared" si="227"/>
        <v>0</v>
      </c>
      <c r="R2896" s="3">
        <f t="shared" si="228"/>
        <v>1580.6</v>
      </c>
      <c r="S2896" s="3">
        <f t="shared" si="229"/>
        <v>96388.549999999988</v>
      </c>
      <c r="T2896" s="24" t="s">
        <v>1081</v>
      </c>
      <c r="U2896" s="24" t="s">
        <v>1081</v>
      </c>
      <c r="V2896" s="103" t="s">
        <v>3745</v>
      </c>
      <c r="W2896" s="25">
        <f>IFERROR(VLOOKUP(BCP_Soles[[#This Row],[DESTINATARIO]],CHOOSE({1,2},Clientes_Proveedores[Razon Social],Clientes_Proveedores[Ruc / Dni]),2,0),"")</f>
        <v>15609125303</v>
      </c>
      <c r="X2896" s="25"/>
      <c r="Y2896" s="25"/>
      <c r="Z2896" s="25"/>
      <c r="AA2896" s="101"/>
      <c r="AB2896" s="3" t="str">
        <f>IF(BCP_Soles[[#This Row],[FECHA]]&gt;0,TEXT(BCP_Soles[[#This Row],[FECHA]],"mmmm"),0)</f>
        <v>Julio</v>
      </c>
    </row>
    <row r="2897" spans="2:28" ht="24" x14ac:dyDescent="0.3">
      <c r="B2897" s="2">
        <f>IF(BCP_Soles[[#This Row],[TIPO DE R.]]="R",COUNTIFS($D$4:$D2896,"R")+1,"")</f>
        <v>2079</v>
      </c>
      <c r="C2897" s="19" t="str">
        <f t="shared" si="225"/>
        <v>B-BCP - Soles</v>
      </c>
      <c r="D2897" s="3" t="s">
        <v>1074</v>
      </c>
      <c r="E2897" s="14">
        <v>45869</v>
      </c>
      <c r="F2897" s="5" t="s">
        <v>1996</v>
      </c>
      <c r="G2897" s="5" t="s">
        <v>1079</v>
      </c>
      <c r="H2897" s="6" t="s">
        <v>646</v>
      </c>
      <c r="I2897" s="6" t="s">
        <v>52</v>
      </c>
      <c r="J2897" s="6" t="s">
        <v>1299</v>
      </c>
      <c r="K2897" s="6">
        <v>10516763</v>
      </c>
      <c r="L2897" s="7" t="s">
        <v>3746</v>
      </c>
      <c r="M2897" s="8">
        <v>4114220</v>
      </c>
      <c r="N2897" s="8" t="str">
        <f t="shared" si="226"/>
        <v>PEN</v>
      </c>
      <c r="O2897" s="13"/>
      <c r="P2897" s="13">
        <v>15.2</v>
      </c>
      <c r="Q2897" s="3">
        <f t="shared" si="227"/>
        <v>0</v>
      </c>
      <c r="R2897" s="3">
        <f t="shared" si="228"/>
        <v>15.2</v>
      </c>
      <c r="S2897" s="3">
        <f t="shared" si="229"/>
        <v>96373.349999999991</v>
      </c>
      <c r="T2897" s="24" t="s">
        <v>1081</v>
      </c>
      <c r="U2897" s="24" t="s">
        <v>1081</v>
      </c>
      <c r="V2897" s="103" t="s">
        <v>3747</v>
      </c>
      <c r="W2897" s="25">
        <f>IFERROR(VLOOKUP(BCP_Soles[[#This Row],[DESTINATARIO]],CHOOSE({1,2},Clientes_Proveedores[Razon Social],Clientes_Proveedores[Ruc / Dni]),2,0),"")</f>
        <v>20100152356</v>
      </c>
      <c r="X2897" s="25" t="s">
        <v>3748</v>
      </c>
      <c r="Y2897" s="25"/>
      <c r="Z2897" s="25"/>
      <c r="AA2897" s="101"/>
      <c r="AB2897" s="3" t="str">
        <f>IF(BCP_Soles[[#This Row],[FECHA]]&gt;0,TEXT(BCP_Soles[[#This Row],[FECHA]],"mmmm"),0)</f>
        <v>Julio</v>
      </c>
    </row>
    <row r="2898" spans="2:28" x14ac:dyDescent="0.3">
      <c r="B2898" s="2">
        <f>IF(BCP_Soles[[#This Row],[TIPO DE R.]]="R",COUNTIFS($D$4:$D2897,"R")+1,"")</f>
        <v>2080</v>
      </c>
      <c r="C2898" s="19" t="str">
        <f t="shared" si="225"/>
        <v>B-BCP - Soles</v>
      </c>
      <c r="D2898" s="3" t="s">
        <v>1074</v>
      </c>
      <c r="E2898" s="14">
        <v>45869</v>
      </c>
      <c r="F2898" s="5" t="s">
        <v>1996</v>
      </c>
      <c r="G2898" s="5" t="s">
        <v>1079</v>
      </c>
      <c r="H2898" s="6" t="s">
        <v>356</v>
      </c>
      <c r="I2898" s="6"/>
      <c r="J2898" s="6"/>
      <c r="K2898" s="6"/>
      <c r="L2898" s="7" t="s">
        <v>3749</v>
      </c>
      <c r="M2898" s="8">
        <v>1112768</v>
      </c>
      <c r="N2898" s="8" t="str">
        <f t="shared" si="226"/>
        <v>PEN</v>
      </c>
      <c r="O2898" s="13"/>
      <c r="P2898" s="13">
        <v>67.849999999999994</v>
      </c>
      <c r="Q2898" s="3">
        <f t="shared" si="227"/>
        <v>0</v>
      </c>
      <c r="R2898" s="3">
        <f t="shared" si="228"/>
        <v>67.849999999999994</v>
      </c>
      <c r="S2898" s="3">
        <f t="shared" si="229"/>
        <v>96305.499999999985</v>
      </c>
      <c r="T2898" s="24"/>
      <c r="U2898" s="24"/>
      <c r="V2898" s="103" t="s">
        <v>3750</v>
      </c>
      <c r="W2898" s="25">
        <f>IFERROR(VLOOKUP(BCP_Soles[[#This Row],[DESTINATARIO]],CHOOSE({1,2},Clientes_Proveedores[Razon Social],Clientes_Proveedores[Ruc / Dni]),2,0),"")</f>
        <v>20552024355</v>
      </c>
      <c r="X2898" s="25"/>
      <c r="Y2898" s="25"/>
      <c r="Z2898" s="25"/>
      <c r="AA2898" s="101"/>
      <c r="AB2898" s="3" t="str">
        <f>IF(BCP_Soles[[#This Row],[FECHA]]&gt;0,TEXT(BCP_Soles[[#This Row],[FECHA]],"mmmm"),0)</f>
        <v>Julio</v>
      </c>
    </row>
    <row r="2899" spans="2:28" x14ac:dyDescent="0.3">
      <c r="B2899" s="2">
        <f>IF(BCP_Soles[[#This Row],[TIPO DE R.]]="R",COUNTIFS($D$4:$D2898,"R")+1,"")</f>
        <v>2081</v>
      </c>
      <c r="C2899" s="19" t="str">
        <f t="shared" si="225"/>
        <v>B-BCP - Soles</v>
      </c>
      <c r="D2899" s="3" t="s">
        <v>1074</v>
      </c>
      <c r="E2899" s="14">
        <v>45869</v>
      </c>
      <c r="F2899" s="5" t="s">
        <v>1996</v>
      </c>
      <c r="G2899" s="5" t="s">
        <v>1079</v>
      </c>
      <c r="H2899" s="6" t="s">
        <v>750</v>
      </c>
      <c r="I2899" s="6"/>
      <c r="J2899" s="6"/>
      <c r="K2899" s="6"/>
      <c r="L2899" s="7" t="s">
        <v>3751</v>
      </c>
      <c r="M2899" s="8">
        <v>1113239</v>
      </c>
      <c r="N2899" s="8" t="str">
        <f t="shared" si="226"/>
        <v>PEN</v>
      </c>
      <c r="O2899" s="13"/>
      <c r="P2899" s="13">
        <v>3000</v>
      </c>
      <c r="Q2899" s="3">
        <f t="shared" si="227"/>
        <v>0</v>
      </c>
      <c r="R2899" s="3">
        <f t="shared" si="228"/>
        <v>3000</v>
      </c>
      <c r="S2899" s="3">
        <f t="shared" si="229"/>
        <v>93305.499999999985</v>
      </c>
      <c r="T2899" s="24"/>
      <c r="U2899" s="24"/>
      <c r="V2899" s="103" t="s">
        <v>3752</v>
      </c>
      <c r="W2899" s="25">
        <f>IFERROR(VLOOKUP(BCP_Soles[[#This Row],[DESTINATARIO]],CHOOSE({1,2},Clientes_Proveedores[Razon Social],Clientes_Proveedores[Ruc / Dni]),2,0),"")</f>
        <v>45286301</v>
      </c>
      <c r="X2899" s="25"/>
      <c r="Y2899" s="25"/>
      <c r="Z2899" s="25"/>
      <c r="AA2899" s="101"/>
      <c r="AB2899" s="3" t="str">
        <f>IF(BCP_Soles[[#This Row],[FECHA]]&gt;0,TEXT(BCP_Soles[[#This Row],[FECHA]],"mmmm"),0)</f>
        <v>Julio</v>
      </c>
    </row>
    <row r="2900" spans="2:28" ht="24" x14ac:dyDescent="0.3">
      <c r="B2900" s="2">
        <f>IF(BCP_Soles[[#This Row],[TIPO DE R.]]="R",COUNTIFS($D$4:$D2899,"R")+1,"")</f>
        <v>2082</v>
      </c>
      <c r="C2900" s="19" t="str">
        <f t="shared" si="225"/>
        <v>B-BCP - Soles</v>
      </c>
      <c r="D2900" s="3" t="s">
        <v>1074</v>
      </c>
      <c r="E2900" s="14">
        <v>45869</v>
      </c>
      <c r="F2900" s="5" t="s">
        <v>1996</v>
      </c>
      <c r="G2900" s="5" t="s">
        <v>1079</v>
      </c>
      <c r="H2900" s="6" t="s">
        <v>747</v>
      </c>
      <c r="I2900" s="6"/>
      <c r="J2900" s="6"/>
      <c r="K2900" s="6"/>
      <c r="L2900" s="7" t="s">
        <v>3753</v>
      </c>
      <c r="M2900" s="8">
        <v>1114222</v>
      </c>
      <c r="N2900" s="8" t="str">
        <f t="shared" si="226"/>
        <v>PEN</v>
      </c>
      <c r="O2900" s="13"/>
      <c r="P2900" s="13">
        <v>2000</v>
      </c>
      <c r="Q2900" s="3">
        <f t="shared" si="227"/>
        <v>0</v>
      </c>
      <c r="R2900" s="3">
        <f t="shared" si="228"/>
        <v>2000</v>
      </c>
      <c r="S2900" s="3">
        <f t="shared" si="229"/>
        <v>91305.499999999985</v>
      </c>
      <c r="T2900" s="24"/>
      <c r="U2900" s="24"/>
      <c r="V2900" s="103" t="s">
        <v>3754</v>
      </c>
      <c r="W2900" s="25">
        <f>IFERROR(VLOOKUP(BCP_Soles[[#This Row],[DESTINATARIO]],CHOOSE({1,2},Clientes_Proveedores[Razon Social],Clientes_Proveedores[Ruc / Dni]),2,0),"")</f>
        <v>44162989</v>
      </c>
      <c r="X2900" s="25"/>
      <c r="Y2900" s="25"/>
      <c r="Z2900" s="25"/>
      <c r="AA2900" s="101"/>
      <c r="AB2900" s="3" t="str">
        <f>IF(BCP_Soles[[#This Row],[FECHA]]&gt;0,TEXT(BCP_Soles[[#This Row],[FECHA]],"mmmm"),0)</f>
        <v>Julio</v>
      </c>
    </row>
    <row r="2901" spans="2:28" x14ac:dyDescent="0.3">
      <c r="B2901" s="2">
        <f>IF(BCP_Soles[[#This Row],[TIPO DE R.]]="R",COUNTIFS($D$4:$D2900,"R")+1,"")</f>
        <v>2083</v>
      </c>
      <c r="C2901" s="19" t="str">
        <f t="shared" si="225"/>
        <v>B-BCP - Soles</v>
      </c>
      <c r="D2901" s="3" t="s">
        <v>1074</v>
      </c>
      <c r="E2901" s="14">
        <v>45869</v>
      </c>
      <c r="F2901" s="5" t="s">
        <v>1082</v>
      </c>
      <c r="G2901" s="5" t="s">
        <v>1079</v>
      </c>
      <c r="H2901" s="6" t="s">
        <v>638</v>
      </c>
      <c r="I2901" s="6"/>
      <c r="J2901" s="6"/>
      <c r="K2901" s="6"/>
      <c r="L2901" s="7" t="s">
        <v>3755</v>
      </c>
      <c r="M2901" s="8">
        <v>6986228</v>
      </c>
      <c r="N2901" s="8" t="str">
        <f t="shared" si="226"/>
        <v>PEN</v>
      </c>
      <c r="O2901" s="13"/>
      <c r="P2901" s="13">
        <v>4027.01</v>
      </c>
      <c r="Q2901" s="3">
        <f t="shared" si="227"/>
        <v>0</v>
      </c>
      <c r="R2901" s="3">
        <f t="shared" si="228"/>
        <v>4027.01</v>
      </c>
      <c r="S2901" s="3">
        <f t="shared" si="229"/>
        <v>87278.489999999991</v>
      </c>
      <c r="T2901" s="24" t="s">
        <v>1081</v>
      </c>
      <c r="U2901" s="24" t="s">
        <v>1081</v>
      </c>
      <c r="V2901" s="103" t="s">
        <v>3756</v>
      </c>
      <c r="W2901" s="25">
        <f>IFERROR(VLOOKUP(BCP_Soles[[#This Row],[DESTINATARIO]],CHOOSE({1,2},Clientes_Proveedores[Razon Social],Clientes_Proveedores[Ruc / Dni]),2,0),"")</f>
        <v>0</v>
      </c>
      <c r="X2901" s="25"/>
      <c r="Y2901" s="25"/>
      <c r="Z2901" s="25"/>
      <c r="AA2901" s="101"/>
      <c r="AB2901" s="3" t="str">
        <f>IF(BCP_Soles[[#This Row],[FECHA]]&gt;0,TEXT(BCP_Soles[[#This Row],[FECHA]],"mmmm"),0)</f>
        <v>Julio</v>
      </c>
    </row>
    <row r="2902" spans="2:28" ht="24" x14ac:dyDescent="0.3">
      <c r="B2902" s="2" t="str">
        <f>IF(BCP_Soles[[#This Row],[TIPO DE R.]]="R",COUNTIFS($D$4:$D2901,"R")+1,"")</f>
        <v/>
      </c>
      <c r="C2902" s="19" t="str">
        <f t="shared" si="225"/>
        <v>B-BCP - Soles</v>
      </c>
      <c r="D2902" s="3" t="s">
        <v>1101</v>
      </c>
      <c r="E2902" s="14">
        <v>45869</v>
      </c>
      <c r="F2902" s="5" t="s">
        <v>1082</v>
      </c>
      <c r="G2902" s="5"/>
      <c r="H2902" s="6" t="s">
        <v>128</v>
      </c>
      <c r="I2902" s="6" t="s">
        <v>14</v>
      </c>
      <c r="J2902" s="6" t="s">
        <v>1121</v>
      </c>
      <c r="K2902" s="6">
        <v>141</v>
      </c>
      <c r="L2902" s="7" t="s">
        <v>3755</v>
      </c>
      <c r="M2902" s="8">
        <v>6986228</v>
      </c>
      <c r="N2902" s="8" t="str">
        <f t="shared" si="226"/>
        <v>PEN</v>
      </c>
      <c r="O2902" s="13">
        <v>1152</v>
      </c>
      <c r="P2902" s="13"/>
      <c r="Q2902" s="3">
        <f t="shared" si="227"/>
        <v>0</v>
      </c>
      <c r="R2902" s="3">
        <f t="shared" si="228"/>
        <v>0</v>
      </c>
      <c r="S2902" s="3">
        <f t="shared" si="229"/>
        <v>87278.489999999991</v>
      </c>
      <c r="T2902" s="24" t="s">
        <v>1081</v>
      </c>
      <c r="U2902" s="24" t="s">
        <v>1081</v>
      </c>
      <c r="V2902" s="69"/>
      <c r="W2902" s="25">
        <f>IFERROR(VLOOKUP(BCP_Soles[[#This Row],[DESTINATARIO]],CHOOSE({1,2},Clientes_Proveedores[Razon Social],Clientes_Proveedores[Ruc / Dni]),2,0),"")</f>
        <v>10489531963</v>
      </c>
      <c r="X2902" s="25"/>
      <c r="Y2902" s="25"/>
      <c r="Z2902" s="25"/>
      <c r="AA2902" s="101"/>
      <c r="AB2902" s="3" t="str">
        <f>IF(BCP_Soles[[#This Row],[FECHA]]&gt;0,TEXT(BCP_Soles[[#This Row],[FECHA]],"mmmm"),0)</f>
        <v>Julio</v>
      </c>
    </row>
    <row r="2903" spans="2:28" ht="24" x14ac:dyDescent="0.3">
      <c r="B2903" s="2" t="str">
        <f>IF(BCP_Soles[[#This Row],[TIPO DE R.]]="R",COUNTIFS($D$4:$D2902,"R")+1,"")</f>
        <v/>
      </c>
      <c r="C2903" s="19" t="str">
        <f t="shared" si="225"/>
        <v>B-BCP - Soles</v>
      </c>
      <c r="D2903" s="3" t="s">
        <v>1101</v>
      </c>
      <c r="E2903" s="14">
        <v>45869</v>
      </c>
      <c r="F2903" s="5" t="s">
        <v>1082</v>
      </c>
      <c r="G2903" s="5"/>
      <c r="H2903" s="6" t="s">
        <v>634</v>
      </c>
      <c r="I2903" s="6" t="s">
        <v>14</v>
      </c>
      <c r="J2903" s="6" t="s">
        <v>1121</v>
      </c>
      <c r="K2903" s="6">
        <v>13</v>
      </c>
      <c r="L2903" s="7" t="s">
        <v>3755</v>
      </c>
      <c r="M2903" s="8">
        <v>6986228</v>
      </c>
      <c r="N2903" s="8" t="str">
        <f t="shared" si="226"/>
        <v>PEN</v>
      </c>
      <c r="O2903" s="13">
        <v>480</v>
      </c>
      <c r="P2903" s="13"/>
      <c r="Q2903" s="3">
        <f t="shared" si="227"/>
        <v>0</v>
      </c>
      <c r="R2903" s="3">
        <f t="shared" si="228"/>
        <v>0</v>
      </c>
      <c r="S2903" s="3">
        <f t="shared" si="229"/>
        <v>87278.489999999991</v>
      </c>
      <c r="T2903" s="24" t="s">
        <v>1081</v>
      </c>
      <c r="U2903" s="24" t="s">
        <v>1081</v>
      </c>
      <c r="V2903" s="69"/>
      <c r="W2903" s="25">
        <f>IFERROR(VLOOKUP(BCP_Soles[[#This Row],[DESTINATARIO]],CHOOSE({1,2},Clientes_Proveedores[Razon Social],Clientes_Proveedores[Ruc / Dni]),2,0),"")</f>
        <v>10736055631</v>
      </c>
      <c r="X2903" s="25"/>
      <c r="Y2903" s="25"/>
      <c r="Z2903" s="25"/>
      <c r="AA2903" s="101"/>
      <c r="AB2903" s="3" t="str">
        <f>IF(BCP_Soles[[#This Row],[FECHA]]&gt;0,TEXT(BCP_Soles[[#This Row],[FECHA]],"mmmm"),0)</f>
        <v>Julio</v>
      </c>
    </row>
    <row r="2904" spans="2:28" ht="24" x14ac:dyDescent="0.3">
      <c r="B2904" s="2" t="str">
        <f>IF(BCP_Soles[[#This Row],[TIPO DE R.]]="R",COUNTIFS($D$4:$D2903,"R")+1,"")</f>
        <v/>
      </c>
      <c r="C2904" s="19" t="str">
        <f t="shared" si="225"/>
        <v>B-BCP - Soles</v>
      </c>
      <c r="D2904" s="3" t="s">
        <v>1101</v>
      </c>
      <c r="E2904" s="14">
        <v>45869</v>
      </c>
      <c r="F2904" s="5" t="s">
        <v>1082</v>
      </c>
      <c r="G2904" s="5"/>
      <c r="H2904" s="6" t="s">
        <v>609</v>
      </c>
      <c r="I2904" s="6" t="s">
        <v>14</v>
      </c>
      <c r="J2904" s="6" t="s">
        <v>1121</v>
      </c>
      <c r="K2904" s="6">
        <v>50</v>
      </c>
      <c r="L2904" s="7" t="s">
        <v>3755</v>
      </c>
      <c r="M2904" s="8">
        <v>6986228</v>
      </c>
      <c r="N2904" s="8" t="str">
        <f t="shared" si="226"/>
        <v>PEN</v>
      </c>
      <c r="O2904" s="13">
        <v>623</v>
      </c>
      <c r="P2904" s="13"/>
      <c r="Q2904" s="3">
        <f t="shared" si="227"/>
        <v>0</v>
      </c>
      <c r="R2904" s="3">
        <f t="shared" si="228"/>
        <v>0</v>
      </c>
      <c r="S2904" s="3">
        <f t="shared" si="229"/>
        <v>87278.489999999991</v>
      </c>
      <c r="T2904" s="24" t="s">
        <v>1081</v>
      </c>
      <c r="U2904" s="24" t="s">
        <v>1081</v>
      </c>
      <c r="V2904" s="69"/>
      <c r="W2904" s="25">
        <f>IFERROR(VLOOKUP(BCP_Soles[[#This Row],[DESTINATARIO]],CHOOSE({1,2},Clientes_Proveedores[Razon Social],Clientes_Proveedores[Ruc / Dni]),2,0),"")</f>
        <v>10410687491</v>
      </c>
      <c r="X2904" s="25"/>
      <c r="Y2904" s="25"/>
      <c r="Z2904" s="25"/>
      <c r="AA2904" s="101"/>
      <c r="AB2904" s="3" t="str">
        <f>IF(BCP_Soles[[#This Row],[FECHA]]&gt;0,TEXT(BCP_Soles[[#This Row],[FECHA]],"mmmm"),0)</f>
        <v>Julio</v>
      </c>
    </row>
    <row r="2905" spans="2:28" ht="24" x14ac:dyDescent="0.3">
      <c r="B2905" s="2" t="str">
        <f>IF(BCP_Soles[[#This Row],[TIPO DE R.]]="R",COUNTIFS($D$4:$D2904,"R")+1,"")</f>
        <v/>
      </c>
      <c r="C2905" s="19" t="str">
        <f t="shared" si="225"/>
        <v>B-BCP - Soles</v>
      </c>
      <c r="D2905" s="3" t="s">
        <v>1101</v>
      </c>
      <c r="E2905" s="14">
        <v>45869</v>
      </c>
      <c r="F2905" s="5" t="s">
        <v>1082</v>
      </c>
      <c r="G2905" s="5"/>
      <c r="H2905" s="6" t="s">
        <v>964</v>
      </c>
      <c r="I2905" s="6" t="s">
        <v>14</v>
      </c>
      <c r="J2905" s="6" t="s">
        <v>1121</v>
      </c>
      <c r="K2905" s="6">
        <v>34</v>
      </c>
      <c r="L2905" s="7" t="s">
        <v>3755</v>
      </c>
      <c r="M2905" s="8">
        <v>6986228</v>
      </c>
      <c r="N2905" s="8" t="str">
        <f t="shared" si="226"/>
        <v>PEN</v>
      </c>
      <c r="O2905" s="13">
        <v>432</v>
      </c>
      <c r="P2905" s="13"/>
      <c r="Q2905" s="3">
        <f t="shared" si="227"/>
        <v>0</v>
      </c>
      <c r="R2905" s="3">
        <f t="shared" si="228"/>
        <v>0</v>
      </c>
      <c r="S2905" s="3">
        <f t="shared" si="229"/>
        <v>87278.489999999991</v>
      </c>
      <c r="T2905" s="24" t="s">
        <v>1081</v>
      </c>
      <c r="U2905" s="24" t="s">
        <v>1081</v>
      </c>
      <c r="V2905" s="69"/>
      <c r="W2905" s="25">
        <f>IFERROR(VLOOKUP(BCP_Soles[[#This Row],[DESTINATARIO]],CHOOSE({1,2},Clientes_Proveedores[Razon Social],Clientes_Proveedores[Ruc / Dni]),2,0),"")</f>
        <v>10410162551</v>
      </c>
      <c r="X2905" s="25"/>
      <c r="Y2905" s="25"/>
      <c r="Z2905" s="25"/>
      <c r="AA2905" s="101"/>
      <c r="AB2905" s="3" t="str">
        <f>IF(BCP_Soles[[#This Row],[FECHA]]&gt;0,TEXT(BCP_Soles[[#This Row],[FECHA]],"mmmm"),0)</f>
        <v>Julio</v>
      </c>
    </row>
    <row r="2906" spans="2:28" ht="24" x14ac:dyDescent="0.3">
      <c r="B2906" s="2" t="str">
        <f>IF(BCP_Soles[[#This Row],[TIPO DE R.]]="R",COUNTIFS($D$4:$D2905,"R")+1,"")</f>
        <v/>
      </c>
      <c r="C2906" s="19" t="str">
        <f t="shared" si="225"/>
        <v>B-BCP - Soles</v>
      </c>
      <c r="D2906" s="3" t="s">
        <v>1101</v>
      </c>
      <c r="E2906" s="14">
        <v>45869</v>
      </c>
      <c r="F2906" s="5" t="s">
        <v>1082</v>
      </c>
      <c r="G2906" s="5"/>
      <c r="H2906" s="6" t="s">
        <v>634</v>
      </c>
      <c r="I2906" s="6" t="s">
        <v>14</v>
      </c>
      <c r="J2906" s="6" t="s">
        <v>1121</v>
      </c>
      <c r="K2906" s="6">
        <v>15</v>
      </c>
      <c r="L2906" s="7" t="s">
        <v>3755</v>
      </c>
      <c r="M2906" s="8">
        <v>6986228</v>
      </c>
      <c r="N2906" s="8" t="str">
        <f t="shared" si="226"/>
        <v>PEN</v>
      </c>
      <c r="O2906" s="13">
        <v>864.01</v>
      </c>
      <c r="P2906" s="13"/>
      <c r="Q2906" s="3">
        <f t="shared" si="227"/>
        <v>0</v>
      </c>
      <c r="R2906" s="3">
        <f t="shared" si="228"/>
        <v>0</v>
      </c>
      <c r="S2906" s="3">
        <f t="shared" si="229"/>
        <v>87278.489999999991</v>
      </c>
      <c r="T2906" s="24" t="s">
        <v>1081</v>
      </c>
      <c r="U2906" s="24" t="s">
        <v>1081</v>
      </c>
      <c r="V2906" s="69"/>
      <c r="W2906" s="25">
        <f>IFERROR(VLOOKUP(BCP_Soles[[#This Row],[DESTINATARIO]],CHOOSE({1,2},Clientes_Proveedores[Razon Social],Clientes_Proveedores[Ruc / Dni]),2,0),"")</f>
        <v>10736055631</v>
      </c>
      <c r="X2906" s="25"/>
      <c r="Y2906" s="25"/>
      <c r="Z2906" s="25"/>
      <c r="AA2906" s="101"/>
      <c r="AB2906" s="3" t="str">
        <f>IF(BCP_Soles[[#This Row],[FECHA]]&gt;0,TEXT(BCP_Soles[[#This Row],[FECHA]],"mmmm"),0)</f>
        <v>Julio</v>
      </c>
    </row>
    <row r="2907" spans="2:28" ht="24" x14ac:dyDescent="0.3">
      <c r="B2907" s="2" t="str">
        <f>IF(BCP_Soles[[#This Row],[TIPO DE R.]]="R",COUNTIFS($D$4:$D2906,"R")+1,"")</f>
        <v/>
      </c>
      <c r="C2907" s="19" t="str">
        <f t="shared" si="225"/>
        <v>B-BCP - Soles</v>
      </c>
      <c r="D2907" s="3" t="s">
        <v>1101</v>
      </c>
      <c r="E2907" s="14">
        <v>45869</v>
      </c>
      <c r="F2907" s="5" t="s">
        <v>1082</v>
      </c>
      <c r="G2907" s="5"/>
      <c r="H2907" s="6" t="s">
        <v>480</v>
      </c>
      <c r="I2907" s="6" t="s">
        <v>14</v>
      </c>
      <c r="J2907" s="6" t="s">
        <v>1121</v>
      </c>
      <c r="K2907" s="6">
        <v>877</v>
      </c>
      <c r="L2907" s="7" t="s">
        <v>3755</v>
      </c>
      <c r="M2907" s="8">
        <v>6986228</v>
      </c>
      <c r="N2907" s="8" t="str">
        <f t="shared" si="226"/>
        <v>PEN</v>
      </c>
      <c r="O2907" s="13">
        <v>476</v>
      </c>
      <c r="P2907" s="13"/>
      <c r="Q2907" s="3">
        <f t="shared" si="227"/>
        <v>0</v>
      </c>
      <c r="R2907" s="3">
        <f t="shared" si="228"/>
        <v>0</v>
      </c>
      <c r="S2907" s="3">
        <f t="shared" si="229"/>
        <v>87278.489999999991</v>
      </c>
      <c r="T2907" s="24" t="s">
        <v>1081</v>
      </c>
      <c r="U2907" s="24" t="s">
        <v>1081</v>
      </c>
      <c r="V2907" s="69"/>
      <c r="W2907" s="25">
        <f>IFERROR(VLOOKUP(BCP_Soles[[#This Row],[DESTINATARIO]],CHOOSE({1,2},Clientes_Proveedores[Razon Social],Clientes_Proveedores[Ruc / Dni]),2,0),"")</f>
        <v>20605447814</v>
      </c>
      <c r="X2907" s="25"/>
      <c r="Y2907" s="25"/>
      <c r="Z2907" s="25"/>
      <c r="AA2907" s="101"/>
      <c r="AB2907" s="3" t="str">
        <f>IF(BCP_Soles[[#This Row],[FECHA]]&gt;0,TEXT(BCP_Soles[[#This Row],[FECHA]],"mmmm"),0)</f>
        <v>Julio</v>
      </c>
    </row>
    <row r="2908" spans="2:28" x14ac:dyDescent="0.3">
      <c r="B2908" s="2">
        <f>IF(BCP_Soles[[#This Row],[TIPO DE R.]]="R",COUNTIFS($D$4:$D2907,"R")+1,"")</f>
        <v>2084</v>
      </c>
      <c r="C2908" s="19" t="str">
        <f t="shared" si="225"/>
        <v>B-BCP - Soles</v>
      </c>
      <c r="D2908" s="3" t="s">
        <v>1074</v>
      </c>
      <c r="E2908" s="14">
        <v>45869</v>
      </c>
      <c r="F2908" s="5" t="s">
        <v>1082</v>
      </c>
      <c r="G2908" s="5" t="s">
        <v>1079</v>
      </c>
      <c r="H2908" s="6"/>
      <c r="I2908" s="6"/>
      <c r="J2908" s="6"/>
      <c r="K2908" s="6"/>
      <c r="L2908" s="7" t="s">
        <v>3757</v>
      </c>
      <c r="M2908" s="8">
        <v>7197909</v>
      </c>
      <c r="N2908" s="8" t="str">
        <f t="shared" si="226"/>
        <v>PEN</v>
      </c>
      <c r="O2908" s="13"/>
      <c r="P2908" s="13">
        <v>83939.18</v>
      </c>
      <c r="Q2908" s="3">
        <f t="shared" si="227"/>
        <v>0</v>
      </c>
      <c r="R2908" s="3">
        <f t="shared" si="228"/>
        <v>83939.18</v>
      </c>
      <c r="S2908" s="3">
        <f t="shared" si="229"/>
        <v>3339.3099999999977</v>
      </c>
      <c r="T2908" s="24"/>
      <c r="U2908" s="24"/>
      <c r="V2908" s="69"/>
      <c r="W2908" s="25" t="str">
        <f>IFERROR(VLOOKUP(BCP_Soles[[#This Row],[DESTINATARIO]],CHOOSE({1,2},Clientes_Proveedores[Razon Social],Clientes_Proveedores[Ruc / Dni]),2,0),"")</f>
        <v/>
      </c>
      <c r="X2908" s="25"/>
      <c r="Y2908" s="25"/>
      <c r="Z2908" s="25"/>
      <c r="AA2908" s="101"/>
      <c r="AB2908" s="3" t="str">
        <f>IF(BCP_Soles[[#This Row],[FECHA]]&gt;0,TEXT(BCP_Soles[[#This Row],[FECHA]],"mmmm"),0)</f>
        <v>Julio</v>
      </c>
    </row>
    <row r="2909" spans="2:28" ht="24" x14ac:dyDescent="0.3">
      <c r="B2909" s="2" t="str">
        <f>IF(BCP_Soles[[#This Row],[TIPO DE R.]]="R",COUNTIFS($D$4:$D2908,"R")+1,"")</f>
        <v/>
      </c>
      <c r="C2909" s="19" t="str">
        <f t="shared" si="225"/>
        <v>B-BCP - Soles</v>
      </c>
      <c r="D2909" s="3" t="s">
        <v>1101</v>
      </c>
      <c r="E2909" s="14">
        <v>45869</v>
      </c>
      <c r="F2909" s="5" t="s">
        <v>1082</v>
      </c>
      <c r="G2909" s="5"/>
      <c r="H2909" s="6" t="s">
        <v>954</v>
      </c>
      <c r="I2909" s="6" t="s">
        <v>95</v>
      </c>
      <c r="J2909" s="6" t="s">
        <v>3758</v>
      </c>
      <c r="K2909" s="6">
        <v>1</v>
      </c>
      <c r="L2909" s="7" t="s">
        <v>3757</v>
      </c>
      <c r="M2909" s="8">
        <v>7197909</v>
      </c>
      <c r="N2909" s="8" t="str">
        <f t="shared" si="226"/>
        <v>PEN</v>
      </c>
      <c r="O2909" s="13">
        <v>1150.52</v>
      </c>
      <c r="P2909" s="13"/>
      <c r="Q2909" s="3">
        <f t="shared" si="227"/>
        <v>0</v>
      </c>
      <c r="R2909" s="3">
        <f t="shared" si="228"/>
        <v>0</v>
      </c>
      <c r="S2909" s="3">
        <f t="shared" si="229"/>
        <v>3339.3099999999977</v>
      </c>
      <c r="T2909" s="24"/>
      <c r="U2909" s="24"/>
      <c r="V2909" s="69"/>
      <c r="W2909" s="25">
        <f>IFERROR(VLOOKUP(BCP_Soles[[#This Row],[DESTINATARIO]],CHOOSE({1,2},Clientes_Proveedores[Razon Social],Clientes_Proveedores[Ruc / Dni]),2,0),"")</f>
        <v>60945818</v>
      </c>
      <c r="X2909" s="25"/>
      <c r="Y2909" s="25"/>
      <c r="Z2909" s="25"/>
      <c r="AA2909" s="101"/>
      <c r="AB2909" s="3" t="str">
        <f>IF(BCP_Soles[[#This Row],[FECHA]]&gt;0,TEXT(BCP_Soles[[#This Row],[FECHA]],"mmmm"),0)</f>
        <v>Julio</v>
      </c>
    </row>
    <row r="2910" spans="2:28" ht="24" x14ac:dyDescent="0.3">
      <c r="B2910" s="2" t="str">
        <f>IF(BCP_Soles[[#This Row],[TIPO DE R.]]="R",COUNTIFS($D$4:$D2909,"R")+1,"")</f>
        <v/>
      </c>
      <c r="C2910" s="19" t="str">
        <f t="shared" si="225"/>
        <v>B-BCP - Soles</v>
      </c>
      <c r="D2910" s="3" t="s">
        <v>1101</v>
      </c>
      <c r="E2910" s="14">
        <v>45869</v>
      </c>
      <c r="F2910" s="5" t="s">
        <v>1082</v>
      </c>
      <c r="G2910" s="5"/>
      <c r="H2910" s="6" t="s">
        <v>729</v>
      </c>
      <c r="I2910" s="6" t="s">
        <v>95</v>
      </c>
      <c r="J2910" s="6" t="s">
        <v>3758</v>
      </c>
      <c r="K2910" s="6">
        <v>2</v>
      </c>
      <c r="L2910" s="7" t="s">
        <v>3757</v>
      </c>
      <c r="M2910" s="8">
        <v>7197909</v>
      </c>
      <c r="N2910" s="8" t="str">
        <f t="shared" si="226"/>
        <v>PEN</v>
      </c>
      <c r="O2910" s="13">
        <v>153.25</v>
      </c>
      <c r="P2910" s="13"/>
      <c r="Q2910" s="3">
        <f t="shared" si="227"/>
        <v>0</v>
      </c>
      <c r="R2910" s="3">
        <f t="shared" si="228"/>
        <v>0</v>
      </c>
      <c r="S2910" s="3">
        <f t="shared" si="229"/>
        <v>3339.3099999999977</v>
      </c>
      <c r="T2910" s="24"/>
      <c r="U2910" s="24"/>
      <c r="V2910" s="69"/>
      <c r="W2910" s="25">
        <f>IFERROR(VLOOKUP(BCP_Soles[[#This Row],[DESTINATARIO]],CHOOSE({1,2},Clientes_Proveedores[Razon Social],Clientes_Proveedores[Ruc / Dni]),2,0),"")</f>
        <v>73238347</v>
      </c>
      <c r="X2910" s="25"/>
      <c r="Y2910" s="25"/>
      <c r="Z2910" s="25"/>
      <c r="AA2910" s="101"/>
      <c r="AB2910" s="3" t="str">
        <f>IF(BCP_Soles[[#This Row],[FECHA]]&gt;0,TEXT(BCP_Soles[[#This Row],[FECHA]],"mmmm"),0)</f>
        <v>Julio</v>
      </c>
    </row>
    <row r="2911" spans="2:28" ht="24" x14ac:dyDescent="0.3">
      <c r="B2911" s="2" t="str">
        <f>IF(BCP_Soles[[#This Row],[TIPO DE R.]]="R",COUNTIFS($D$4:$D2910,"R")+1,"")</f>
        <v/>
      </c>
      <c r="C2911" s="19" t="str">
        <f t="shared" si="225"/>
        <v>B-BCP - Soles</v>
      </c>
      <c r="D2911" s="3" t="s">
        <v>1101</v>
      </c>
      <c r="E2911" s="14">
        <v>45869</v>
      </c>
      <c r="F2911" s="5" t="s">
        <v>1082</v>
      </c>
      <c r="G2911" s="5"/>
      <c r="H2911" s="6" t="s">
        <v>955</v>
      </c>
      <c r="I2911" s="6" t="s">
        <v>95</v>
      </c>
      <c r="J2911" s="6" t="s">
        <v>3758</v>
      </c>
      <c r="K2911" s="6">
        <v>3</v>
      </c>
      <c r="L2911" s="7" t="s">
        <v>3757</v>
      </c>
      <c r="M2911" s="8">
        <v>7197909</v>
      </c>
      <c r="N2911" s="8" t="str">
        <f t="shared" si="226"/>
        <v>PEN</v>
      </c>
      <c r="O2911" s="13">
        <v>1439.88</v>
      </c>
      <c r="P2911" s="13"/>
      <c r="Q2911" s="3">
        <f t="shared" si="227"/>
        <v>0</v>
      </c>
      <c r="R2911" s="3">
        <f t="shared" si="228"/>
        <v>0</v>
      </c>
      <c r="S2911" s="3">
        <f t="shared" si="229"/>
        <v>3339.3099999999977</v>
      </c>
      <c r="T2911" s="24"/>
      <c r="U2911" s="24"/>
      <c r="V2911" s="69"/>
      <c r="W2911" s="25">
        <f>IFERROR(VLOOKUP(BCP_Soles[[#This Row],[DESTINATARIO]],CHOOSE({1,2},Clientes_Proveedores[Razon Social],Clientes_Proveedores[Ruc / Dni]),2,0),"")</f>
        <v>75560789</v>
      </c>
      <c r="X2911" s="25"/>
      <c r="Y2911" s="25"/>
      <c r="Z2911" s="25"/>
      <c r="AA2911" s="101"/>
      <c r="AB2911" s="3" t="str">
        <f>IF(BCP_Soles[[#This Row],[FECHA]]&gt;0,TEXT(BCP_Soles[[#This Row],[FECHA]],"mmmm"),0)</f>
        <v>Julio</v>
      </c>
    </row>
    <row r="2912" spans="2:28" ht="24" x14ac:dyDescent="0.3">
      <c r="B2912" s="2" t="str">
        <f>IF(BCP_Soles[[#This Row],[TIPO DE R.]]="R",COUNTIFS($D$4:$D2911,"R")+1,"")</f>
        <v/>
      </c>
      <c r="C2912" s="19" t="str">
        <f t="shared" si="225"/>
        <v>B-BCP - Soles</v>
      </c>
      <c r="D2912" s="3" t="s">
        <v>1101</v>
      </c>
      <c r="E2912" s="14">
        <v>45869</v>
      </c>
      <c r="F2912" s="5" t="s">
        <v>1082</v>
      </c>
      <c r="G2912" s="5"/>
      <c r="H2912" s="6" t="s">
        <v>731</v>
      </c>
      <c r="I2912" s="6" t="s">
        <v>95</v>
      </c>
      <c r="J2912" s="6" t="s">
        <v>3758</v>
      </c>
      <c r="K2912" s="6">
        <v>4</v>
      </c>
      <c r="L2912" s="7" t="s">
        <v>3757</v>
      </c>
      <c r="M2912" s="8">
        <v>7197909</v>
      </c>
      <c r="N2912" s="8" t="str">
        <f t="shared" si="226"/>
        <v>PEN</v>
      </c>
      <c r="O2912" s="13">
        <v>1604.15</v>
      </c>
      <c r="P2912" s="13"/>
      <c r="Q2912" s="3">
        <f t="shared" si="227"/>
        <v>0</v>
      </c>
      <c r="R2912" s="3">
        <f t="shared" si="228"/>
        <v>0</v>
      </c>
      <c r="S2912" s="3">
        <f t="shared" si="229"/>
        <v>3339.3099999999977</v>
      </c>
      <c r="T2912" s="24"/>
      <c r="U2912" s="24"/>
      <c r="V2912" s="69"/>
      <c r="W2912" s="25">
        <f>IFERROR(VLOOKUP(BCP_Soles[[#This Row],[DESTINATARIO]],CHOOSE({1,2},Clientes_Proveedores[Razon Social],Clientes_Proveedores[Ruc / Dni]),2,0),"")</f>
        <v>72169020</v>
      </c>
      <c r="X2912" s="25"/>
      <c r="Y2912" s="25"/>
      <c r="Z2912" s="25"/>
      <c r="AA2912" s="101"/>
      <c r="AB2912" s="3" t="str">
        <f>IF(BCP_Soles[[#This Row],[FECHA]]&gt;0,TEXT(BCP_Soles[[#This Row],[FECHA]],"mmmm"),0)</f>
        <v>Julio</v>
      </c>
    </row>
    <row r="2913" spans="2:28" ht="24" x14ac:dyDescent="0.3">
      <c r="B2913" s="2" t="str">
        <f>IF(BCP_Soles[[#This Row],[TIPO DE R.]]="R",COUNTIFS($D$4:$D2912,"R")+1,"")</f>
        <v/>
      </c>
      <c r="C2913" s="19" t="str">
        <f t="shared" si="225"/>
        <v>B-BCP - Soles</v>
      </c>
      <c r="D2913" s="3" t="s">
        <v>1101</v>
      </c>
      <c r="E2913" s="14">
        <v>45869</v>
      </c>
      <c r="F2913" s="5" t="s">
        <v>1082</v>
      </c>
      <c r="G2913" s="5"/>
      <c r="H2913" s="6" t="s">
        <v>956</v>
      </c>
      <c r="I2913" s="6" t="s">
        <v>95</v>
      </c>
      <c r="J2913" s="6" t="s">
        <v>3758</v>
      </c>
      <c r="K2913" s="6">
        <v>5</v>
      </c>
      <c r="L2913" s="7" t="s">
        <v>3757</v>
      </c>
      <c r="M2913" s="8">
        <v>7197909</v>
      </c>
      <c r="N2913" s="8" t="str">
        <f t="shared" si="226"/>
        <v>PEN</v>
      </c>
      <c r="O2913" s="13">
        <v>1168.67</v>
      </c>
      <c r="P2913" s="13"/>
      <c r="Q2913" s="3">
        <f t="shared" si="227"/>
        <v>0</v>
      </c>
      <c r="R2913" s="3">
        <f t="shared" si="228"/>
        <v>0</v>
      </c>
      <c r="S2913" s="3">
        <f t="shared" si="229"/>
        <v>3339.3099999999977</v>
      </c>
      <c r="T2913" s="24"/>
      <c r="U2913" s="24"/>
      <c r="V2913" s="69"/>
      <c r="W2913" s="25">
        <f>IFERROR(VLOOKUP(BCP_Soles[[#This Row],[DESTINATARIO]],CHOOSE({1,2},Clientes_Proveedores[Razon Social],Clientes_Proveedores[Ruc / Dni]),2,0),"")</f>
        <v>48298276</v>
      </c>
      <c r="X2913" s="25"/>
      <c r="Y2913" s="25"/>
      <c r="Z2913" s="25"/>
      <c r="AA2913" s="101"/>
      <c r="AB2913" s="3" t="str">
        <f>IF(BCP_Soles[[#This Row],[FECHA]]&gt;0,TEXT(BCP_Soles[[#This Row],[FECHA]],"mmmm"),0)</f>
        <v>Julio</v>
      </c>
    </row>
    <row r="2914" spans="2:28" ht="36" x14ac:dyDescent="0.3">
      <c r="B2914" s="2" t="str">
        <f>IF(BCP_Soles[[#This Row],[TIPO DE R.]]="R",COUNTIFS($D$4:$D2913,"R")+1,"")</f>
        <v/>
      </c>
      <c r="C2914" s="19" t="str">
        <f t="shared" si="225"/>
        <v>B-BCP - Soles</v>
      </c>
      <c r="D2914" s="3" t="s">
        <v>1101</v>
      </c>
      <c r="E2914" s="14">
        <v>45869</v>
      </c>
      <c r="F2914" s="5" t="s">
        <v>1082</v>
      </c>
      <c r="G2914" s="5"/>
      <c r="H2914" s="6" t="s">
        <v>736</v>
      </c>
      <c r="I2914" s="6" t="s">
        <v>95</v>
      </c>
      <c r="J2914" s="6" t="s">
        <v>3758</v>
      </c>
      <c r="K2914" s="6">
        <v>6</v>
      </c>
      <c r="L2914" s="7" t="s">
        <v>3757</v>
      </c>
      <c r="M2914" s="8">
        <v>7197909</v>
      </c>
      <c r="N2914" s="8" t="str">
        <f t="shared" si="226"/>
        <v>PEN</v>
      </c>
      <c r="O2914" s="13">
        <v>1295.05</v>
      </c>
      <c r="P2914" s="13"/>
      <c r="Q2914" s="3">
        <f t="shared" si="227"/>
        <v>0</v>
      </c>
      <c r="R2914" s="3">
        <f t="shared" si="228"/>
        <v>0</v>
      </c>
      <c r="S2914" s="3">
        <f t="shared" si="229"/>
        <v>3339.3099999999977</v>
      </c>
      <c r="T2914" s="24"/>
      <c r="U2914" s="24"/>
      <c r="V2914" s="69"/>
      <c r="W2914" s="25">
        <f>IFERROR(VLOOKUP(BCP_Soles[[#This Row],[DESTINATARIO]],CHOOSE({1,2},Clientes_Proveedores[Razon Social],Clientes_Proveedores[Ruc / Dni]),2,0),"")</f>
        <v>48164743</v>
      </c>
      <c r="X2914" s="25"/>
      <c r="Y2914" s="25"/>
      <c r="Z2914" s="25"/>
      <c r="AA2914" s="101"/>
      <c r="AB2914" s="3" t="str">
        <f>IF(BCP_Soles[[#This Row],[FECHA]]&gt;0,TEXT(BCP_Soles[[#This Row],[FECHA]],"mmmm"),0)</f>
        <v>Julio</v>
      </c>
    </row>
    <row r="2915" spans="2:28" ht="24" x14ac:dyDescent="0.3">
      <c r="B2915" s="2" t="str">
        <f>IF(BCP_Soles[[#This Row],[TIPO DE R.]]="R",COUNTIFS($D$4:$D2914,"R")+1,"")</f>
        <v/>
      </c>
      <c r="C2915" s="19" t="str">
        <f t="shared" si="225"/>
        <v>B-BCP - Soles</v>
      </c>
      <c r="D2915" s="3" t="s">
        <v>1101</v>
      </c>
      <c r="E2915" s="14">
        <v>45869</v>
      </c>
      <c r="F2915" s="5" t="s">
        <v>1082</v>
      </c>
      <c r="G2915" s="5"/>
      <c r="H2915" s="6" t="s">
        <v>957</v>
      </c>
      <c r="I2915" s="6" t="s">
        <v>95</v>
      </c>
      <c r="J2915" s="6" t="s">
        <v>3758</v>
      </c>
      <c r="K2915" s="6">
        <v>7</v>
      </c>
      <c r="L2915" s="7" t="s">
        <v>3757</v>
      </c>
      <c r="M2915" s="8">
        <v>7197909</v>
      </c>
      <c r="N2915" s="8" t="str">
        <f t="shared" si="226"/>
        <v>PEN</v>
      </c>
      <c r="O2915" s="13">
        <v>1156.74</v>
      </c>
      <c r="P2915" s="13"/>
      <c r="Q2915" s="3">
        <f t="shared" si="227"/>
        <v>0</v>
      </c>
      <c r="R2915" s="3">
        <f t="shared" si="228"/>
        <v>0</v>
      </c>
      <c r="S2915" s="3">
        <f t="shared" si="229"/>
        <v>3339.3099999999977</v>
      </c>
      <c r="T2915" s="24"/>
      <c r="U2915" s="24"/>
      <c r="V2915" s="69"/>
      <c r="W2915" s="25">
        <f>IFERROR(VLOOKUP(BCP_Soles[[#This Row],[DESTINATARIO]],CHOOSE({1,2},Clientes_Proveedores[Razon Social],Clientes_Proveedores[Ruc / Dni]),2,0),"")</f>
        <v>76140901</v>
      </c>
      <c r="X2915" s="25"/>
      <c r="Y2915" s="25"/>
      <c r="Z2915" s="25"/>
      <c r="AA2915" s="101"/>
      <c r="AB2915" s="3" t="str">
        <f>IF(BCP_Soles[[#This Row],[FECHA]]&gt;0,TEXT(BCP_Soles[[#This Row],[FECHA]],"mmmm"),0)</f>
        <v>Julio</v>
      </c>
    </row>
    <row r="2916" spans="2:28" ht="24" x14ac:dyDescent="0.3">
      <c r="B2916" s="2" t="str">
        <f>IF(BCP_Soles[[#This Row],[TIPO DE R.]]="R",COUNTIFS($D$4:$D2915,"R")+1,"")</f>
        <v/>
      </c>
      <c r="C2916" s="19" t="str">
        <f t="shared" si="225"/>
        <v>B-BCP - Soles</v>
      </c>
      <c r="D2916" s="3" t="s">
        <v>1101</v>
      </c>
      <c r="E2916" s="14">
        <v>45869</v>
      </c>
      <c r="F2916" s="5" t="s">
        <v>1082</v>
      </c>
      <c r="G2916" s="5"/>
      <c r="H2916" s="6" t="s">
        <v>747</v>
      </c>
      <c r="I2916" s="6" t="s">
        <v>95</v>
      </c>
      <c r="J2916" s="6" t="s">
        <v>3758</v>
      </c>
      <c r="K2916" s="6">
        <v>8</v>
      </c>
      <c r="L2916" s="7" t="s">
        <v>3757</v>
      </c>
      <c r="M2916" s="8">
        <v>7197909</v>
      </c>
      <c r="N2916" s="8" t="str">
        <f t="shared" si="226"/>
        <v>PEN</v>
      </c>
      <c r="O2916" s="13">
        <v>1562.55</v>
      </c>
      <c r="P2916" s="13"/>
      <c r="Q2916" s="3">
        <f t="shared" si="227"/>
        <v>0</v>
      </c>
      <c r="R2916" s="3">
        <f t="shared" si="228"/>
        <v>0</v>
      </c>
      <c r="S2916" s="3">
        <f t="shared" si="229"/>
        <v>3339.3099999999977</v>
      </c>
      <c r="T2916" s="24"/>
      <c r="U2916" s="24"/>
      <c r="V2916" s="69"/>
      <c r="W2916" s="25">
        <f>IFERROR(VLOOKUP(BCP_Soles[[#This Row],[DESTINATARIO]],CHOOSE({1,2},Clientes_Proveedores[Razon Social],Clientes_Proveedores[Ruc / Dni]),2,0),"")</f>
        <v>44162989</v>
      </c>
      <c r="X2916" s="25"/>
      <c r="Y2916" s="25"/>
      <c r="Z2916" s="25"/>
      <c r="AA2916" s="101"/>
      <c r="AB2916" s="3" t="str">
        <f>IF(BCP_Soles[[#This Row],[FECHA]]&gt;0,TEXT(BCP_Soles[[#This Row],[FECHA]],"mmmm"),0)</f>
        <v>Julio</v>
      </c>
    </row>
    <row r="2917" spans="2:28" ht="24" x14ac:dyDescent="0.3">
      <c r="B2917" s="2" t="str">
        <f>IF(BCP_Soles[[#This Row],[TIPO DE R.]]="R",COUNTIFS($D$4:$D2916,"R")+1,"")</f>
        <v/>
      </c>
      <c r="C2917" s="19" t="str">
        <f t="shared" si="225"/>
        <v>B-BCP - Soles</v>
      </c>
      <c r="D2917" s="3" t="s">
        <v>1101</v>
      </c>
      <c r="E2917" s="14">
        <v>45869</v>
      </c>
      <c r="F2917" s="5" t="s">
        <v>1082</v>
      </c>
      <c r="G2917" s="5"/>
      <c r="H2917" s="6" t="s">
        <v>750</v>
      </c>
      <c r="I2917" s="6" t="s">
        <v>95</v>
      </c>
      <c r="J2917" s="6" t="s">
        <v>3758</v>
      </c>
      <c r="K2917" s="6">
        <v>9</v>
      </c>
      <c r="L2917" s="7" t="s">
        <v>3757</v>
      </c>
      <c r="M2917" s="8">
        <v>7197909</v>
      </c>
      <c r="N2917" s="8" t="str">
        <f t="shared" si="226"/>
        <v>PEN</v>
      </c>
      <c r="O2917" s="13">
        <v>3583.25</v>
      </c>
      <c r="P2917" s="13"/>
      <c r="Q2917" s="3">
        <f t="shared" si="227"/>
        <v>0</v>
      </c>
      <c r="R2917" s="3">
        <f t="shared" si="228"/>
        <v>0</v>
      </c>
      <c r="S2917" s="3">
        <f t="shared" si="229"/>
        <v>3339.3099999999977</v>
      </c>
      <c r="T2917" s="24"/>
      <c r="U2917" s="24"/>
      <c r="V2917" s="69"/>
      <c r="W2917" s="25">
        <f>IFERROR(VLOOKUP(BCP_Soles[[#This Row],[DESTINATARIO]],CHOOSE({1,2},Clientes_Proveedores[Razon Social],Clientes_Proveedores[Ruc / Dni]),2,0),"")</f>
        <v>45286301</v>
      </c>
      <c r="X2917" s="25"/>
      <c r="Y2917" s="25"/>
      <c r="Z2917" s="25"/>
      <c r="AA2917" s="101"/>
      <c r="AB2917" s="3" t="str">
        <f>IF(BCP_Soles[[#This Row],[FECHA]]&gt;0,TEXT(BCP_Soles[[#This Row],[FECHA]],"mmmm"),0)</f>
        <v>Julio</v>
      </c>
    </row>
    <row r="2918" spans="2:28" ht="24" x14ac:dyDescent="0.3">
      <c r="B2918" s="2" t="str">
        <f>IF(BCP_Soles[[#This Row],[TIPO DE R.]]="R",COUNTIFS($D$4:$D2917,"R")+1,"")</f>
        <v/>
      </c>
      <c r="C2918" s="19" t="str">
        <f t="shared" si="225"/>
        <v>B-BCP - Soles</v>
      </c>
      <c r="D2918" s="3" t="s">
        <v>1101</v>
      </c>
      <c r="E2918" s="14">
        <v>45869</v>
      </c>
      <c r="F2918" s="5" t="s">
        <v>1082</v>
      </c>
      <c r="G2918" s="5"/>
      <c r="H2918" s="6" t="s">
        <v>753</v>
      </c>
      <c r="I2918" s="6" t="s">
        <v>95</v>
      </c>
      <c r="J2918" s="6" t="s">
        <v>3758</v>
      </c>
      <c r="K2918" s="6">
        <v>10</v>
      </c>
      <c r="L2918" s="7" t="s">
        <v>3757</v>
      </c>
      <c r="M2918" s="8">
        <v>7197909</v>
      </c>
      <c r="N2918" s="8" t="str">
        <f t="shared" si="226"/>
        <v>PEN</v>
      </c>
      <c r="O2918" s="13">
        <v>2160.0100000000002</v>
      </c>
      <c r="P2918" s="13"/>
      <c r="Q2918" s="3">
        <f t="shared" si="227"/>
        <v>0</v>
      </c>
      <c r="R2918" s="3">
        <f t="shared" si="228"/>
        <v>0</v>
      </c>
      <c r="S2918" s="3">
        <f t="shared" si="229"/>
        <v>3339.3099999999977</v>
      </c>
      <c r="T2918" s="24"/>
      <c r="U2918" s="24"/>
      <c r="V2918" s="69"/>
      <c r="W2918" s="25">
        <f>IFERROR(VLOOKUP(BCP_Soles[[#This Row],[DESTINATARIO]],CHOOSE({1,2},Clientes_Proveedores[Razon Social],Clientes_Proveedores[Ruc / Dni]),2,0),"")</f>
        <v>73444362</v>
      </c>
      <c r="X2918" s="25"/>
      <c r="Y2918" s="25"/>
      <c r="Z2918" s="25"/>
      <c r="AA2918" s="101"/>
      <c r="AB2918" s="3" t="str">
        <f>IF(BCP_Soles[[#This Row],[FECHA]]&gt;0,TEXT(BCP_Soles[[#This Row],[FECHA]],"mmmm"),0)</f>
        <v>Julio</v>
      </c>
    </row>
    <row r="2919" spans="2:28" ht="24" x14ac:dyDescent="0.3">
      <c r="B2919" s="2" t="str">
        <f>IF(BCP_Soles[[#This Row],[TIPO DE R.]]="R",COUNTIFS($D$4:$D2918,"R")+1,"")</f>
        <v/>
      </c>
      <c r="C2919" s="19" t="str">
        <f t="shared" si="225"/>
        <v>B-BCP - Soles</v>
      </c>
      <c r="D2919" s="3" t="s">
        <v>1101</v>
      </c>
      <c r="E2919" s="14">
        <v>45869</v>
      </c>
      <c r="F2919" s="5" t="s">
        <v>1082</v>
      </c>
      <c r="G2919" s="5"/>
      <c r="H2919" s="6" t="s">
        <v>958</v>
      </c>
      <c r="I2919" s="6" t="s">
        <v>95</v>
      </c>
      <c r="J2919" s="6" t="s">
        <v>3758</v>
      </c>
      <c r="K2919" s="6">
        <v>11</v>
      </c>
      <c r="L2919" s="7" t="s">
        <v>3757</v>
      </c>
      <c r="M2919" s="8">
        <v>7197909</v>
      </c>
      <c r="N2919" s="8" t="str">
        <f t="shared" si="226"/>
        <v>PEN</v>
      </c>
      <c r="O2919" s="13">
        <v>1510.4</v>
      </c>
      <c r="P2919" s="13"/>
      <c r="Q2919" s="3">
        <f t="shared" si="227"/>
        <v>0</v>
      </c>
      <c r="R2919" s="3">
        <f t="shared" si="228"/>
        <v>0</v>
      </c>
      <c r="S2919" s="3">
        <f t="shared" si="229"/>
        <v>3339.3099999999977</v>
      </c>
      <c r="T2919" s="24"/>
      <c r="U2919" s="24"/>
      <c r="V2919" s="69"/>
      <c r="W2919" s="25">
        <f>IFERROR(VLOOKUP(BCP_Soles[[#This Row],[DESTINATARIO]],CHOOSE({1,2},Clientes_Proveedores[Razon Social],Clientes_Proveedores[Ruc / Dni]),2,0),"")</f>
        <v>72458502</v>
      </c>
      <c r="X2919" s="25"/>
      <c r="Y2919" s="25"/>
      <c r="Z2919" s="25"/>
      <c r="AA2919" s="101"/>
      <c r="AB2919" s="3" t="str">
        <f>IF(BCP_Soles[[#This Row],[FECHA]]&gt;0,TEXT(BCP_Soles[[#This Row],[FECHA]],"mmmm"),0)</f>
        <v>Julio</v>
      </c>
    </row>
    <row r="2920" spans="2:28" ht="24" x14ac:dyDescent="0.3">
      <c r="B2920" s="2" t="str">
        <f>IF(BCP_Soles[[#This Row],[TIPO DE R.]]="R",COUNTIFS($D$4:$D2919,"R")+1,"")</f>
        <v/>
      </c>
      <c r="C2920" s="19" t="str">
        <f t="shared" si="225"/>
        <v>B-BCP - Soles</v>
      </c>
      <c r="D2920" s="3" t="s">
        <v>1101</v>
      </c>
      <c r="E2920" s="14">
        <v>45869</v>
      </c>
      <c r="F2920" s="5" t="s">
        <v>1082</v>
      </c>
      <c r="G2920" s="5"/>
      <c r="H2920" s="6" t="s">
        <v>761</v>
      </c>
      <c r="I2920" s="6" t="s">
        <v>95</v>
      </c>
      <c r="J2920" s="6" t="s">
        <v>3758</v>
      </c>
      <c r="K2920" s="6">
        <v>12</v>
      </c>
      <c r="L2920" s="7" t="s">
        <v>3757</v>
      </c>
      <c r="M2920" s="8">
        <v>7197909</v>
      </c>
      <c r="N2920" s="8" t="str">
        <f t="shared" si="226"/>
        <v>PEN</v>
      </c>
      <c r="O2920" s="13">
        <v>1366.38</v>
      </c>
      <c r="P2920" s="13"/>
      <c r="Q2920" s="3">
        <f t="shared" si="227"/>
        <v>0</v>
      </c>
      <c r="R2920" s="3">
        <f t="shared" si="228"/>
        <v>0</v>
      </c>
      <c r="S2920" s="3">
        <f t="shared" si="229"/>
        <v>3339.3099999999977</v>
      </c>
      <c r="T2920" s="24"/>
      <c r="U2920" s="24"/>
      <c r="V2920" s="69"/>
      <c r="W2920" s="25">
        <f>IFERROR(VLOOKUP(BCP_Soles[[#This Row],[DESTINATARIO]],CHOOSE({1,2},Clientes_Proveedores[Razon Social],Clientes_Proveedores[Ruc / Dni]),2,0),"")</f>
        <v>75424672</v>
      </c>
      <c r="X2920" s="25"/>
      <c r="Y2920" s="25"/>
      <c r="Z2920" s="25"/>
      <c r="AA2920" s="101"/>
      <c r="AB2920" s="3" t="str">
        <f>IF(BCP_Soles[[#This Row],[FECHA]]&gt;0,TEXT(BCP_Soles[[#This Row],[FECHA]],"mmmm"),0)</f>
        <v>Julio</v>
      </c>
    </row>
    <row r="2921" spans="2:28" ht="24" x14ac:dyDescent="0.3">
      <c r="B2921" s="2" t="str">
        <f>IF(BCP_Soles[[#This Row],[TIPO DE R.]]="R",COUNTIFS($D$4:$D2920,"R")+1,"")</f>
        <v/>
      </c>
      <c r="C2921" s="19" t="str">
        <f t="shared" si="225"/>
        <v>B-BCP - Soles</v>
      </c>
      <c r="D2921" s="3" t="s">
        <v>1101</v>
      </c>
      <c r="E2921" s="14">
        <v>45869</v>
      </c>
      <c r="F2921" s="5" t="s">
        <v>1082</v>
      </c>
      <c r="G2921" s="5"/>
      <c r="H2921" s="6" t="s">
        <v>770</v>
      </c>
      <c r="I2921" s="6" t="s">
        <v>95</v>
      </c>
      <c r="J2921" s="6" t="s">
        <v>3758</v>
      </c>
      <c r="K2921" s="6">
        <v>13</v>
      </c>
      <c r="L2921" s="7" t="s">
        <v>3757</v>
      </c>
      <c r="M2921" s="8">
        <v>7197909</v>
      </c>
      <c r="N2921" s="8" t="str">
        <f t="shared" si="226"/>
        <v>PEN</v>
      </c>
      <c r="O2921" s="13">
        <v>1665.38</v>
      </c>
      <c r="P2921" s="13"/>
      <c r="Q2921" s="3">
        <f t="shared" si="227"/>
        <v>0</v>
      </c>
      <c r="R2921" s="3">
        <f t="shared" si="228"/>
        <v>0</v>
      </c>
      <c r="S2921" s="3">
        <f t="shared" si="229"/>
        <v>3339.3099999999977</v>
      </c>
      <c r="T2921" s="24"/>
      <c r="U2921" s="24"/>
      <c r="V2921" s="69"/>
      <c r="W2921" s="25">
        <f>IFERROR(VLOOKUP(BCP_Soles[[#This Row],[DESTINATARIO]],CHOOSE({1,2},Clientes_Proveedores[Razon Social],Clientes_Proveedores[Ruc / Dni]),2,0),"")</f>
        <v>70198916</v>
      </c>
      <c r="X2921" s="25"/>
      <c r="Y2921" s="25"/>
      <c r="Z2921" s="25"/>
      <c r="AA2921" s="101"/>
      <c r="AB2921" s="3" t="str">
        <f>IF(BCP_Soles[[#This Row],[FECHA]]&gt;0,TEXT(BCP_Soles[[#This Row],[FECHA]],"mmmm"),0)</f>
        <v>Julio</v>
      </c>
    </row>
    <row r="2922" spans="2:28" ht="24" x14ac:dyDescent="0.3">
      <c r="B2922" s="2" t="str">
        <f>IF(BCP_Soles[[#This Row],[TIPO DE R.]]="R",COUNTIFS($D$4:$D2921,"R")+1,"")</f>
        <v/>
      </c>
      <c r="C2922" s="19" t="str">
        <f t="shared" si="225"/>
        <v>B-BCP - Soles</v>
      </c>
      <c r="D2922" s="3" t="s">
        <v>1101</v>
      </c>
      <c r="E2922" s="14">
        <v>45869</v>
      </c>
      <c r="F2922" s="5" t="s">
        <v>1082</v>
      </c>
      <c r="G2922" s="5"/>
      <c r="H2922" s="6" t="s">
        <v>768</v>
      </c>
      <c r="I2922" s="6" t="s">
        <v>95</v>
      </c>
      <c r="J2922" s="6" t="s">
        <v>3758</v>
      </c>
      <c r="K2922" s="6">
        <v>14</v>
      </c>
      <c r="L2922" s="7" t="s">
        <v>3757</v>
      </c>
      <c r="M2922" s="8">
        <v>7197909</v>
      </c>
      <c r="N2922" s="8" t="str">
        <f t="shared" si="226"/>
        <v>PEN</v>
      </c>
      <c r="O2922" s="13">
        <v>1532.59</v>
      </c>
      <c r="P2922" s="13"/>
      <c r="Q2922" s="3">
        <f t="shared" si="227"/>
        <v>0</v>
      </c>
      <c r="R2922" s="3">
        <f t="shared" si="228"/>
        <v>0</v>
      </c>
      <c r="S2922" s="3">
        <f t="shared" si="229"/>
        <v>3339.3099999999977</v>
      </c>
      <c r="T2922" s="24"/>
      <c r="U2922" s="24"/>
      <c r="V2922" s="69"/>
      <c r="W2922" s="25">
        <f>IFERROR(VLOOKUP(BCP_Soles[[#This Row],[DESTINATARIO]],CHOOSE({1,2},Clientes_Proveedores[Razon Social],Clientes_Proveedores[Ruc / Dni]),2,0),"")</f>
        <v>74600892</v>
      </c>
      <c r="X2922" s="25"/>
      <c r="Y2922" s="25"/>
      <c r="Z2922" s="25"/>
      <c r="AA2922" s="101"/>
      <c r="AB2922" s="3" t="str">
        <f>IF(BCP_Soles[[#This Row],[FECHA]]&gt;0,TEXT(BCP_Soles[[#This Row],[FECHA]],"mmmm"),0)</f>
        <v>Julio</v>
      </c>
    </row>
    <row r="2923" spans="2:28" ht="24" x14ac:dyDescent="0.3">
      <c r="B2923" s="2" t="str">
        <f>IF(BCP_Soles[[#This Row],[TIPO DE R.]]="R",COUNTIFS($D$4:$D2922,"R")+1,"")</f>
        <v/>
      </c>
      <c r="C2923" s="19" t="str">
        <f t="shared" si="225"/>
        <v>B-BCP - Soles</v>
      </c>
      <c r="D2923" s="3" t="s">
        <v>1101</v>
      </c>
      <c r="E2923" s="14">
        <v>45869</v>
      </c>
      <c r="F2923" s="5" t="s">
        <v>1082</v>
      </c>
      <c r="G2923" s="5"/>
      <c r="H2923" s="6" t="s">
        <v>777</v>
      </c>
      <c r="I2923" s="6" t="s">
        <v>95</v>
      </c>
      <c r="J2923" s="6" t="s">
        <v>3758</v>
      </c>
      <c r="K2923" s="6">
        <v>15</v>
      </c>
      <c r="L2923" s="7" t="s">
        <v>3757</v>
      </c>
      <c r="M2923" s="8">
        <v>7197909</v>
      </c>
      <c r="N2923" s="8" t="str">
        <f t="shared" si="226"/>
        <v>PEN</v>
      </c>
      <c r="O2923" s="13">
        <v>1664.39</v>
      </c>
      <c r="P2923" s="13"/>
      <c r="Q2923" s="3">
        <f t="shared" si="227"/>
        <v>0</v>
      </c>
      <c r="R2923" s="3">
        <f t="shared" si="228"/>
        <v>0</v>
      </c>
      <c r="S2923" s="3">
        <f t="shared" si="229"/>
        <v>3339.3099999999977</v>
      </c>
      <c r="T2923" s="24"/>
      <c r="U2923" s="24"/>
      <c r="V2923" s="69"/>
      <c r="W2923" s="25">
        <f>IFERROR(VLOOKUP(BCP_Soles[[#This Row],[DESTINATARIO]],CHOOSE({1,2},Clientes_Proveedores[Razon Social],Clientes_Proveedores[Ruc / Dni]),2,0),"")</f>
        <v>44468346</v>
      </c>
      <c r="X2923" s="25"/>
      <c r="Y2923" s="25"/>
      <c r="Z2923" s="25"/>
      <c r="AA2923" s="101"/>
      <c r="AB2923" s="3" t="str">
        <f>IF(BCP_Soles[[#This Row],[FECHA]]&gt;0,TEXT(BCP_Soles[[#This Row],[FECHA]],"mmmm"),0)</f>
        <v>Julio</v>
      </c>
    </row>
    <row r="2924" spans="2:28" ht="24" x14ac:dyDescent="0.3">
      <c r="B2924" s="2" t="str">
        <f>IF(BCP_Soles[[#This Row],[TIPO DE R.]]="R",COUNTIFS($D$4:$D2923,"R")+1,"")</f>
        <v/>
      </c>
      <c r="C2924" s="19" t="str">
        <f t="shared" si="225"/>
        <v>B-BCP - Soles</v>
      </c>
      <c r="D2924" s="3" t="s">
        <v>1101</v>
      </c>
      <c r="E2924" s="14">
        <v>45869</v>
      </c>
      <c r="F2924" s="5" t="s">
        <v>1082</v>
      </c>
      <c r="G2924" s="5"/>
      <c r="H2924" s="6" t="s">
        <v>938</v>
      </c>
      <c r="I2924" s="6" t="s">
        <v>95</v>
      </c>
      <c r="J2924" s="6" t="s">
        <v>3758</v>
      </c>
      <c r="K2924" s="6">
        <v>16</v>
      </c>
      <c r="L2924" s="7" t="s">
        <v>3757</v>
      </c>
      <c r="M2924" s="8">
        <v>7197909</v>
      </c>
      <c r="N2924" s="8" t="str">
        <f t="shared" si="226"/>
        <v>PEN</v>
      </c>
      <c r="O2924" s="13">
        <v>1574.31</v>
      </c>
      <c r="P2924" s="13"/>
      <c r="Q2924" s="3">
        <f t="shared" si="227"/>
        <v>0</v>
      </c>
      <c r="R2924" s="3">
        <f t="shared" si="228"/>
        <v>0</v>
      </c>
      <c r="S2924" s="3">
        <f t="shared" si="229"/>
        <v>3339.3099999999977</v>
      </c>
      <c r="T2924" s="24"/>
      <c r="U2924" s="24"/>
      <c r="V2924" s="69"/>
      <c r="W2924" s="25">
        <f>IFERROR(VLOOKUP(BCP_Soles[[#This Row],[DESTINATARIO]],CHOOSE({1,2},Clientes_Proveedores[Razon Social],Clientes_Proveedores[Ruc / Dni]),2,0),"")</f>
        <v>71334789</v>
      </c>
      <c r="X2924" s="25"/>
      <c r="Y2924" s="25"/>
      <c r="Z2924" s="25"/>
      <c r="AA2924" s="101"/>
      <c r="AB2924" s="3" t="str">
        <f>IF(BCP_Soles[[#This Row],[FECHA]]&gt;0,TEXT(BCP_Soles[[#This Row],[FECHA]],"mmmm"),0)</f>
        <v>Julio</v>
      </c>
    </row>
    <row r="2925" spans="2:28" ht="24" x14ac:dyDescent="0.3">
      <c r="B2925" s="2" t="str">
        <f>IF(BCP_Soles[[#This Row],[TIPO DE R.]]="R",COUNTIFS($D$4:$D2924,"R")+1,"")</f>
        <v/>
      </c>
      <c r="C2925" s="19" t="str">
        <f t="shared" si="225"/>
        <v>B-BCP - Soles</v>
      </c>
      <c r="D2925" s="3" t="s">
        <v>1101</v>
      </c>
      <c r="E2925" s="14">
        <v>45869</v>
      </c>
      <c r="F2925" s="5" t="s">
        <v>1082</v>
      </c>
      <c r="G2925" s="5"/>
      <c r="H2925" s="6" t="s">
        <v>908</v>
      </c>
      <c r="I2925" s="6" t="s">
        <v>95</v>
      </c>
      <c r="J2925" s="6" t="s">
        <v>3758</v>
      </c>
      <c r="K2925" s="6">
        <v>17</v>
      </c>
      <c r="L2925" s="7" t="s">
        <v>3757</v>
      </c>
      <c r="M2925" s="8">
        <v>7197909</v>
      </c>
      <c r="N2925" s="8" t="str">
        <f t="shared" si="226"/>
        <v>PEN</v>
      </c>
      <c r="O2925" s="13">
        <v>1249.68</v>
      </c>
      <c r="P2925" s="13"/>
      <c r="Q2925" s="3">
        <f t="shared" si="227"/>
        <v>0</v>
      </c>
      <c r="R2925" s="3">
        <f t="shared" si="228"/>
        <v>0</v>
      </c>
      <c r="S2925" s="3">
        <f t="shared" si="229"/>
        <v>3339.3099999999977</v>
      </c>
      <c r="T2925" s="24"/>
      <c r="U2925" s="24"/>
      <c r="V2925" s="69"/>
      <c r="W2925" s="25">
        <f>IFERROR(VLOOKUP(BCP_Soles[[#This Row],[DESTINATARIO]],CHOOSE({1,2},Clientes_Proveedores[Razon Social],Clientes_Proveedores[Ruc / Dni]),2,0),"")</f>
        <v>70517150</v>
      </c>
      <c r="X2925" s="25"/>
      <c r="Y2925" s="25"/>
      <c r="Z2925" s="25"/>
      <c r="AA2925" s="101"/>
      <c r="AB2925" s="3" t="str">
        <f>IF(BCP_Soles[[#This Row],[FECHA]]&gt;0,TEXT(BCP_Soles[[#This Row],[FECHA]],"mmmm"),0)</f>
        <v>Julio</v>
      </c>
    </row>
    <row r="2926" spans="2:28" ht="24" x14ac:dyDescent="0.3">
      <c r="B2926" s="2" t="str">
        <f>IF(BCP_Soles[[#This Row],[TIPO DE R.]]="R",COUNTIFS($D$4:$D2925,"R")+1,"")</f>
        <v/>
      </c>
      <c r="C2926" s="19" t="str">
        <f t="shared" si="225"/>
        <v>B-BCP - Soles</v>
      </c>
      <c r="D2926" s="3" t="s">
        <v>1101</v>
      </c>
      <c r="E2926" s="14">
        <v>45869</v>
      </c>
      <c r="F2926" s="5" t="s">
        <v>1082</v>
      </c>
      <c r="G2926" s="5"/>
      <c r="H2926" s="6" t="s">
        <v>798</v>
      </c>
      <c r="I2926" s="6" t="s">
        <v>95</v>
      </c>
      <c r="J2926" s="6" t="s">
        <v>3758</v>
      </c>
      <c r="K2926" s="6">
        <v>18</v>
      </c>
      <c r="L2926" s="7" t="s">
        <v>3757</v>
      </c>
      <c r="M2926" s="8">
        <v>7197909</v>
      </c>
      <c r="N2926" s="8" t="str">
        <f t="shared" si="226"/>
        <v>PEN</v>
      </c>
      <c r="O2926" s="13">
        <v>1620.76</v>
      </c>
      <c r="P2926" s="13"/>
      <c r="Q2926" s="3">
        <f t="shared" si="227"/>
        <v>0</v>
      </c>
      <c r="R2926" s="3">
        <f t="shared" si="228"/>
        <v>0</v>
      </c>
      <c r="S2926" s="3">
        <f t="shared" si="229"/>
        <v>3339.3099999999977</v>
      </c>
      <c r="T2926" s="24"/>
      <c r="U2926" s="24"/>
      <c r="V2926" s="69"/>
      <c r="W2926" s="25">
        <f>IFERROR(VLOOKUP(BCP_Soles[[#This Row],[DESTINATARIO]],CHOOSE({1,2},Clientes_Proveedores[Razon Social],Clientes_Proveedores[Ruc / Dni]),2,0),"")</f>
        <v>70666331</v>
      </c>
      <c r="X2926" s="25"/>
      <c r="Y2926" s="25"/>
      <c r="Z2926" s="25"/>
      <c r="AA2926" s="101"/>
      <c r="AB2926" s="3" t="str">
        <f>IF(BCP_Soles[[#This Row],[FECHA]]&gt;0,TEXT(BCP_Soles[[#This Row],[FECHA]],"mmmm"),0)</f>
        <v>Julio</v>
      </c>
    </row>
    <row r="2927" spans="2:28" ht="24" x14ac:dyDescent="0.3">
      <c r="B2927" s="2" t="str">
        <f>IF(BCP_Soles[[#This Row],[TIPO DE R.]]="R",COUNTIFS($D$4:$D2926,"R")+1,"")</f>
        <v/>
      </c>
      <c r="C2927" s="19" t="str">
        <f t="shared" si="225"/>
        <v>B-BCP - Soles</v>
      </c>
      <c r="D2927" s="3" t="s">
        <v>1101</v>
      </c>
      <c r="E2927" s="14">
        <v>45869</v>
      </c>
      <c r="F2927" s="5" t="s">
        <v>1082</v>
      </c>
      <c r="G2927" s="5"/>
      <c r="H2927" s="6" t="s">
        <v>800</v>
      </c>
      <c r="I2927" s="6" t="s">
        <v>95</v>
      </c>
      <c r="J2927" s="6" t="s">
        <v>3758</v>
      </c>
      <c r="K2927" s="6">
        <v>19</v>
      </c>
      <c r="L2927" s="7" t="s">
        <v>3757</v>
      </c>
      <c r="M2927" s="8">
        <v>7197909</v>
      </c>
      <c r="N2927" s="8" t="str">
        <f t="shared" si="226"/>
        <v>PEN</v>
      </c>
      <c r="O2927" s="13">
        <v>1056.19</v>
      </c>
      <c r="P2927" s="13"/>
      <c r="Q2927" s="3">
        <f t="shared" si="227"/>
        <v>0</v>
      </c>
      <c r="R2927" s="3">
        <f t="shared" si="228"/>
        <v>0</v>
      </c>
      <c r="S2927" s="3">
        <f t="shared" si="229"/>
        <v>3339.3099999999977</v>
      </c>
      <c r="T2927" s="24"/>
      <c r="U2927" s="24"/>
      <c r="V2927" s="69"/>
      <c r="W2927" s="25">
        <f>IFERROR(VLOOKUP(BCP_Soles[[#This Row],[DESTINATARIO]],CHOOSE({1,2},Clientes_Proveedores[Razon Social],Clientes_Proveedores[Ruc / Dni]),2,0),"")</f>
        <v>43814375</v>
      </c>
      <c r="X2927" s="25"/>
      <c r="Y2927" s="25"/>
      <c r="Z2927" s="25"/>
      <c r="AA2927" s="101"/>
      <c r="AB2927" s="3" t="str">
        <f>IF(BCP_Soles[[#This Row],[FECHA]]&gt;0,TEXT(BCP_Soles[[#This Row],[FECHA]],"mmmm"),0)</f>
        <v>Julio</v>
      </c>
    </row>
    <row r="2928" spans="2:28" ht="24" x14ac:dyDescent="0.3">
      <c r="B2928" s="2" t="str">
        <f>IF(BCP_Soles[[#This Row],[TIPO DE R.]]="R",COUNTIFS($D$4:$D2927,"R")+1,"")</f>
        <v/>
      </c>
      <c r="C2928" s="19" t="str">
        <f t="shared" si="225"/>
        <v>B-BCP - Soles</v>
      </c>
      <c r="D2928" s="3" t="s">
        <v>1101</v>
      </c>
      <c r="E2928" s="14">
        <v>45869</v>
      </c>
      <c r="F2928" s="5" t="s">
        <v>1082</v>
      </c>
      <c r="G2928" s="5"/>
      <c r="H2928" s="6" t="s">
        <v>634</v>
      </c>
      <c r="I2928" s="6" t="s">
        <v>95</v>
      </c>
      <c r="J2928" s="6" t="s">
        <v>3758</v>
      </c>
      <c r="K2928" s="6">
        <v>20</v>
      </c>
      <c r="L2928" s="7" t="s">
        <v>3757</v>
      </c>
      <c r="M2928" s="8">
        <v>7197909</v>
      </c>
      <c r="N2928" s="8" t="str">
        <f t="shared" si="226"/>
        <v>PEN</v>
      </c>
      <c r="O2928" s="13">
        <v>2688.89</v>
      </c>
      <c r="P2928" s="13"/>
      <c r="Q2928" s="3">
        <f t="shared" si="227"/>
        <v>0</v>
      </c>
      <c r="R2928" s="3">
        <f t="shared" si="228"/>
        <v>0</v>
      </c>
      <c r="S2928" s="3">
        <f t="shared" si="229"/>
        <v>3339.3099999999977</v>
      </c>
      <c r="T2928" s="24"/>
      <c r="U2928" s="24"/>
      <c r="V2928" s="69"/>
      <c r="W2928" s="25">
        <f>IFERROR(VLOOKUP(BCP_Soles[[#This Row],[DESTINATARIO]],CHOOSE({1,2},Clientes_Proveedores[Razon Social],Clientes_Proveedores[Ruc / Dni]),2,0),"")</f>
        <v>10736055631</v>
      </c>
      <c r="X2928" s="25"/>
      <c r="Y2928" s="25"/>
      <c r="Z2928" s="25"/>
      <c r="AA2928" s="101"/>
      <c r="AB2928" s="3" t="str">
        <f>IF(BCP_Soles[[#This Row],[FECHA]]&gt;0,TEXT(BCP_Soles[[#This Row],[FECHA]],"mmmm"),0)</f>
        <v>Julio</v>
      </c>
    </row>
    <row r="2929" spans="2:28" ht="24" x14ac:dyDescent="0.3">
      <c r="B2929" s="2" t="str">
        <f>IF(BCP_Soles[[#This Row],[TIPO DE R.]]="R",COUNTIFS($D$4:$D2928,"R")+1,"")</f>
        <v/>
      </c>
      <c r="C2929" s="19" t="str">
        <f t="shared" si="225"/>
        <v>B-BCP - Soles</v>
      </c>
      <c r="D2929" s="3" t="s">
        <v>1101</v>
      </c>
      <c r="E2929" s="14">
        <v>45869</v>
      </c>
      <c r="F2929" s="5" t="s">
        <v>1082</v>
      </c>
      <c r="G2929" s="5"/>
      <c r="H2929" s="6" t="s">
        <v>807</v>
      </c>
      <c r="I2929" s="6" t="s">
        <v>95</v>
      </c>
      <c r="J2929" s="6" t="s">
        <v>3758</v>
      </c>
      <c r="K2929" s="6">
        <v>21</v>
      </c>
      <c r="L2929" s="7" t="s">
        <v>3757</v>
      </c>
      <c r="M2929" s="8">
        <v>7197909</v>
      </c>
      <c r="N2929" s="8" t="str">
        <f t="shared" si="226"/>
        <v>PEN</v>
      </c>
      <c r="O2929" s="13">
        <v>948.74</v>
      </c>
      <c r="P2929" s="13"/>
      <c r="Q2929" s="3">
        <f t="shared" si="227"/>
        <v>0</v>
      </c>
      <c r="R2929" s="3">
        <f t="shared" si="228"/>
        <v>0</v>
      </c>
      <c r="S2929" s="3">
        <f t="shared" si="229"/>
        <v>3339.3099999999977</v>
      </c>
      <c r="T2929" s="24"/>
      <c r="U2929" s="24"/>
      <c r="V2929" s="69"/>
      <c r="W2929" s="25">
        <f>IFERROR(VLOOKUP(BCP_Soles[[#This Row],[DESTINATARIO]],CHOOSE({1,2},Clientes_Proveedores[Razon Social],Clientes_Proveedores[Ruc / Dni]),2,0),"")</f>
        <v>45921913</v>
      </c>
      <c r="X2929" s="25"/>
      <c r="Y2929" s="25"/>
      <c r="Z2929" s="25"/>
      <c r="AA2929" s="101"/>
      <c r="AB2929" s="3" t="str">
        <f>IF(BCP_Soles[[#This Row],[FECHA]]&gt;0,TEXT(BCP_Soles[[#This Row],[FECHA]],"mmmm"),0)</f>
        <v>Julio</v>
      </c>
    </row>
    <row r="2930" spans="2:28" ht="24" x14ac:dyDescent="0.3">
      <c r="B2930" s="2" t="str">
        <f>IF(BCP_Soles[[#This Row],[TIPO DE R.]]="R",COUNTIFS($D$4:$D2929,"R")+1,"")</f>
        <v/>
      </c>
      <c r="C2930" s="19" t="str">
        <f t="shared" si="225"/>
        <v>B-BCP - Soles</v>
      </c>
      <c r="D2930" s="3" t="s">
        <v>1101</v>
      </c>
      <c r="E2930" s="14">
        <v>45869</v>
      </c>
      <c r="F2930" s="5" t="s">
        <v>1082</v>
      </c>
      <c r="G2930" s="5"/>
      <c r="H2930" s="6" t="s">
        <v>1016</v>
      </c>
      <c r="I2930" s="6" t="s">
        <v>95</v>
      </c>
      <c r="J2930" s="6" t="s">
        <v>3758</v>
      </c>
      <c r="K2930" s="6">
        <v>22</v>
      </c>
      <c r="L2930" s="7" t="s">
        <v>3757</v>
      </c>
      <c r="M2930" s="8">
        <v>7197909</v>
      </c>
      <c r="N2930" s="8" t="str">
        <f t="shared" si="226"/>
        <v>PEN</v>
      </c>
      <c r="O2930" s="13">
        <v>1166.29</v>
      </c>
      <c r="P2930" s="13"/>
      <c r="Q2930" s="3">
        <f t="shared" si="227"/>
        <v>0</v>
      </c>
      <c r="R2930" s="3">
        <f t="shared" si="228"/>
        <v>0</v>
      </c>
      <c r="S2930" s="3">
        <f t="shared" si="229"/>
        <v>3339.3099999999977</v>
      </c>
      <c r="T2930" s="24"/>
      <c r="U2930" s="24"/>
      <c r="V2930" s="69"/>
      <c r="W2930" s="25">
        <f>IFERROR(VLOOKUP(BCP_Soles[[#This Row],[DESTINATARIO]],CHOOSE({1,2},Clientes_Proveedores[Razon Social],Clientes_Proveedores[Ruc / Dni]),2,0),"")</f>
        <v>72551423</v>
      </c>
      <c r="X2930" s="25"/>
      <c r="Y2930" s="25"/>
      <c r="Z2930" s="25"/>
      <c r="AA2930" s="101"/>
      <c r="AB2930" s="3" t="str">
        <f>IF(BCP_Soles[[#This Row],[FECHA]]&gt;0,TEXT(BCP_Soles[[#This Row],[FECHA]],"mmmm"),0)</f>
        <v>Julio</v>
      </c>
    </row>
    <row r="2931" spans="2:28" ht="24" x14ac:dyDescent="0.3">
      <c r="B2931" s="2" t="str">
        <f>IF(BCP_Soles[[#This Row],[TIPO DE R.]]="R",COUNTIFS($D$4:$D2930,"R")+1,"")</f>
        <v/>
      </c>
      <c r="C2931" s="19" t="str">
        <f t="shared" si="225"/>
        <v>B-BCP - Soles</v>
      </c>
      <c r="D2931" s="3" t="s">
        <v>1101</v>
      </c>
      <c r="E2931" s="14">
        <v>45869</v>
      </c>
      <c r="F2931" s="5" t="s">
        <v>1082</v>
      </c>
      <c r="G2931" s="5"/>
      <c r="H2931" s="6" t="s">
        <v>812</v>
      </c>
      <c r="I2931" s="6" t="s">
        <v>95</v>
      </c>
      <c r="J2931" s="6" t="s">
        <v>3758</v>
      </c>
      <c r="K2931" s="6">
        <v>23</v>
      </c>
      <c r="L2931" s="7" t="s">
        <v>3757</v>
      </c>
      <c r="M2931" s="8">
        <v>7197909</v>
      </c>
      <c r="N2931" s="8" t="str">
        <f t="shared" si="226"/>
        <v>PEN</v>
      </c>
      <c r="O2931" s="13">
        <v>1564.89</v>
      </c>
      <c r="P2931" s="13"/>
      <c r="Q2931" s="3">
        <f t="shared" si="227"/>
        <v>0</v>
      </c>
      <c r="R2931" s="3">
        <f t="shared" si="228"/>
        <v>0</v>
      </c>
      <c r="S2931" s="3">
        <f t="shared" si="229"/>
        <v>3339.3099999999977</v>
      </c>
      <c r="T2931" s="24"/>
      <c r="U2931" s="24"/>
      <c r="V2931" s="69"/>
      <c r="W2931" s="25">
        <f>IFERROR(VLOOKUP(BCP_Soles[[#This Row],[DESTINATARIO]],CHOOSE({1,2},Clientes_Proveedores[Razon Social],Clientes_Proveedores[Ruc / Dni]),2,0),"")</f>
        <v>72302392</v>
      </c>
      <c r="X2931" s="25"/>
      <c r="Y2931" s="25"/>
      <c r="Z2931" s="25"/>
      <c r="AA2931" s="101"/>
      <c r="AB2931" s="3" t="str">
        <f>IF(BCP_Soles[[#This Row],[FECHA]]&gt;0,TEXT(BCP_Soles[[#This Row],[FECHA]],"mmmm"),0)</f>
        <v>Julio</v>
      </c>
    </row>
    <row r="2932" spans="2:28" ht="24" x14ac:dyDescent="0.3">
      <c r="B2932" s="2" t="str">
        <f>IF(BCP_Soles[[#This Row],[TIPO DE R.]]="R",COUNTIFS($D$4:$D2931,"R")+1,"")</f>
        <v/>
      </c>
      <c r="C2932" s="19" t="str">
        <f t="shared" si="225"/>
        <v>B-BCP - Soles</v>
      </c>
      <c r="D2932" s="3" t="s">
        <v>1101</v>
      </c>
      <c r="E2932" s="14">
        <v>45869</v>
      </c>
      <c r="F2932" s="5" t="s">
        <v>1082</v>
      </c>
      <c r="G2932" s="5"/>
      <c r="H2932" s="6" t="s">
        <v>814</v>
      </c>
      <c r="I2932" s="6" t="s">
        <v>95</v>
      </c>
      <c r="J2932" s="6" t="s">
        <v>3758</v>
      </c>
      <c r="K2932" s="6">
        <v>24</v>
      </c>
      <c r="L2932" s="7" t="s">
        <v>3757</v>
      </c>
      <c r="M2932" s="8">
        <v>7197909</v>
      </c>
      <c r="N2932" s="8" t="str">
        <f t="shared" si="226"/>
        <v>PEN</v>
      </c>
      <c r="O2932" s="13">
        <v>1168.31</v>
      </c>
      <c r="P2932" s="13"/>
      <c r="Q2932" s="3">
        <f t="shared" si="227"/>
        <v>0</v>
      </c>
      <c r="R2932" s="3">
        <f t="shared" si="228"/>
        <v>0</v>
      </c>
      <c r="S2932" s="3">
        <f t="shared" si="229"/>
        <v>3339.3099999999977</v>
      </c>
      <c r="T2932" s="24"/>
      <c r="U2932" s="24"/>
      <c r="V2932" s="69"/>
      <c r="W2932" s="25">
        <f>IFERROR(VLOOKUP(BCP_Soles[[#This Row],[DESTINATARIO]],CHOOSE({1,2},Clientes_Proveedores[Razon Social],Clientes_Proveedores[Ruc / Dni]),2,0),"")</f>
        <v>80355193</v>
      </c>
      <c r="X2932" s="25"/>
      <c r="Y2932" s="25"/>
      <c r="Z2932" s="25"/>
      <c r="AA2932" s="101"/>
      <c r="AB2932" s="3" t="str">
        <f>IF(BCP_Soles[[#This Row],[FECHA]]&gt;0,TEXT(BCP_Soles[[#This Row],[FECHA]],"mmmm"),0)</f>
        <v>Julio</v>
      </c>
    </row>
    <row r="2933" spans="2:28" ht="24" x14ac:dyDescent="0.3">
      <c r="B2933" s="2" t="str">
        <f>IF(BCP_Soles[[#This Row],[TIPO DE R.]]="R",COUNTIFS($D$4:$D2932,"R")+1,"")</f>
        <v/>
      </c>
      <c r="C2933" s="19" t="str">
        <f t="shared" si="225"/>
        <v>B-BCP - Soles</v>
      </c>
      <c r="D2933" s="3" t="s">
        <v>1101</v>
      </c>
      <c r="E2933" s="14">
        <v>45869</v>
      </c>
      <c r="F2933" s="5" t="s">
        <v>1082</v>
      </c>
      <c r="G2933" s="5"/>
      <c r="H2933" s="6" t="s">
        <v>823</v>
      </c>
      <c r="I2933" s="6" t="s">
        <v>95</v>
      </c>
      <c r="J2933" s="6" t="s">
        <v>3758</v>
      </c>
      <c r="K2933" s="6">
        <v>26</v>
      </c>
      <c r="L2933" s="7" t="s">
        <v>3757</v>
      </c>
      <c r="M2933" s="8">
        <v>7197909</v>
      </c>
      <c r="N2933" s="8" t="str">
        <f t="shared" si="226"/>
        <v>PEN</v>
      </c>
      <c r="O2933" s="13">
        <v>2567.52</v>
      </c>
      <c r="P2933" s="13"/>
      <c r="Q2933" s="3">
        <f t="shared" si="227"/>
        <v>0</v>
      </c>
      <c r="R2933" s="3">
        <f t="shared" si="228"/>
        <v>0</v>
      </c>
      <c r="S2933" s="3">
        <f t="shared" si="229"/>
        <v>3339.3099999999977</v>
      </c>
      <c r="T2933" s="24"/>
      <c r="U2933" s="24"/>
      <c r="V2933" s="69"/>
      <c r="W2933" s="25">
        <f>IFERROR(VLOOKUP(BCP_Soles[[#This Row],[DESTINATARIO]],CHOOSE({1,2},Clientes_Proveedores[Razon Social],Clientes_Proveedores[Ruc / Dni]),2,0),"")</f>
        <v>72450429</v>
      </c>
      <c r="X2933" s="25"/>
      <c r="Y2933" s="25"/>
      <c r="Z2933" s="25"/>
      <c r="AA2933" s="101"/>
      <c r="AB2933" s="3" t="str">
        <f>IF(BCP_Soles[[#This Row],[FECHA]]&gt;0,TEXT(BCP_Soles[[#This Row],[FECHA]],"mmmm"),0)</f>
        <v>Julio</v>
      </c>
    </row>
    <row r="2934" spans="2:28" ht="24" x14ac:dyDescent="0.3">
      <c r="B2934" s="2" t="str">
        <f>IF(BCP_Soles[[#This Row],[TIPO DE R.]]="R",COUNTIFS($D$4:$D2933,"R")+1,"")</f>
        <v/>
      </c>
      <c r="C2934" s="19" t="str">
        <f t="shared" si="225"/>
        <v>B-BCP - Soles</v>
      </c>
      <c r="D2934" s="3" t="s">
        <v>1101</v>
      </c>
      <c r="E2934" s="14">
        <v>45869</v>
      </c>
      <c r="F2934" s="5" t="s">
        <v>1082</v>
      </c>
      <c r="G2934" s="5"/>
      <c r="H2934" s="6" t="s">
        <v>951</v>
      </c>
      <c r="I2934" s="6" t="s">
        <v>95</v>
      </c>
      <c r="J2934" s="6" t="s">
        <v>3758</v>
      </c>
      <c r="K2934" s="6">
        <v>27</v>
      </c>
      <c r="L2934" s="7" t="s">
        <v>3757</v>
      </c>
      <c r="M2934" s="8">
        <v>7197909</v>
      </c>
      <c r="N2934" s="8" t="str">
        <f t="shared" si="226"/>
        <v>PEN</v>
      </c>
      <c r="O2934" s="13">
        <v>1025.94</v>
      </c>
      <c r="P2934" s="13"/>
      <c r="Q2934" s="3">
        <f t="shared" si="227"/>
        <v>0</v>
      </c>
      <c r="R2934" s="3">
        <f t="shared" si="228"/>
        <v>0</v>
      </c>
      <c r="S2934" s="3">
        <f t="shared" si="229"/>
        <v>3339.3099999999977</v>
      </c>
      <c r="T2934" s="24"/>
      <c r="U2934" s="24"/>
      <c r="V2934" s="69"/>
      <c r="W2934" s="25">
        <f>IFERROR(VLOOKUP(BCP_Soles[[#This Row],[DESTINATARIO]],CHOOSE({1,2},Clientes_Proveedores[Razon Social],Clientes_Proveedores[Ruc / Dni]),2,0),"")</f>
        <v>48197510</v>
      </c>
      <c r="X2934" s="25"/>
      <c r="Y2934" s="25"/>
      <c r="Z2934" s="25"/>
      <c r="AA2934" s="101"/>
      <c r="AB2934" s="3" t="str">
        <f>IF(BCP_Soles[[#This Row],[FECHA]]&gt;0,TEXT(BCP_Soles[[#This Row],[FECHA]],"mmmm"),0)</f>
        <v>Julio</v>
      </c>
    </row>
    <row r="2935" spans="2:28" ht="24" x14ac:dyDescent="0.3">
      <c r="B2935" s="2" t="str">
        <f>IF(BCP_Soles[[#This Row],[TIPO DE R.]]="R",COUNTIFS($D$4:$D2934,"R")+1,"")</f>
        <v/>
      </c>
      <c r="C2935" s="19" t="str">
        <f t="shared" si="225"/>
        <v>B-BCP - Soles</v>
      </c>
      <c r="D2935" s="3" t="s">
        <v>1101</v>
      </c>
      <c r="E2935" s="14">
        <v>45869</v>
      </c>
      <c r="F2935" s="5" t="s">
        <v>1082</v>
      </c>
      <c r="G2935" s="5"/>
      <c r="H2935" s="6" t="s">
        <v>829</v>
      </c>
      <c r="I2935" s="6" t="s">
        <v>95</v>
      </c>
      <c r="J2935" s="6" t="s">
        <v>3758</v>
      </c>
      <c r="K2935" s="6">
        <v>28</v>
      </c>
      <c r="L2935" s="7" t="s">
        <v>3757</v>
      </c>
      <c r="M2935" s="8">
        <v>7197909</v>
      </c>
      <c r="N2935" s="8" t="str">
        <f t="shared" si="226"/>
        <v>PEN</v>
      </c>
      <c r="O2935" s="13">
        <v>2041.81</v>
      </c>
      <c r="P2935" s="13"/>
      <c r="Q2935" s="3">
        <f t="shared" si="227"/>
        <v>0</v>
      </c>
      <c r="R2935" s="3">
        <f t="shared" si="228"/>
        <v>0</v>
      </c>
      <c r="S2935" s="3">
        <f t="shared" si="229"/>
        <v>3339.3099999999977</v>
      </c>
      <c r="T2935" s="24"/>
      <c r="U2935" s="24"/>
      <c r="V2935" s="69"/>
      <c r="W2935" s="25">
        <f>IFERROR(VLOOKUP(BCP_Soles[[#This Row],[DESTINATARIO]],CHOOSE({1,2},Clientes_Proveedores[Razon Social],Clientes_Proveedores[Ruc / Dni]),2,0),"")</f>
        <v>47461440</v>
      </c>
      <c r="X2935" s="25"/>
      <c r="Y2935" s="25"/>
      <c r="Z2935" s="25"/>
      <c r="AA2935" s="101"/>
      <c r="AB2935" s="3" t="str">
        <f>IF(BCP_Soles[[#This Row],[FECHA]]&gt;0,TEXT(BCP_Soles[[#This Row],[FECHA]],"mmmm"),0)</f>
        <v>Julio</v>
      </c>
    </row>
    <row r="2936" spans="2:28" ht="24" x14ac:dyDescent="0.3">
      <c r="B2936" s="2" t="str">
        <f>IF(BCP_Soles[[#This Row],[TIPO DE R.]]="R",COUNTIFS($D$4:$D2935,"R")+1,"")</f>
        <v/>
      </c>
      <c r="C2936" s="19" t="str">
        <f t="shared" si="225"/>
        <v>B-BCP - Soles</v>
      </c>
      <c r="D2936" s="3" t="s">
        <v>1101</v>
      </c>
      <c r="E2936" s="14">
        <v>45869</v>
      </c>
      <c r="F2936" s="5" t="s">
        <v>1082</v>
      </c>
      <c r="G2936" s="5"/>
      <c r="H2936" s="6" t="s">
        <v>831</v>
      </c>
      <c r="I2936" s="6" t="s">
        <v>95</v>
      </c>
      <c r="J2936" s="6" t="s">
        <v>3758</v>
      </c>
      <c r="K2936" s="6">
        <v>29</v>
      </c>
      <c r="L2936" s="7" t="s">
        <v>3757</v>
      </c>
      <c r="M2936" s="8">
        <v>7197909</v>
      </c>
      <c r="N2936" s="8" t="str">
        <f t="shared" si="226"/>
        <v>PEN</v>
      </c>
      <c r="O2936" s="13">
        <v>1978.18</v>
      </c>
      <c r="P2936" s="13"/>
      <c r="Q2936" s="3">
        <f t="shared" si="227"/>
        <v>0</v>
      </c>
      <c r="R2936" s="3">
        <f t="shared" si="228"/>
        <v>0</v>
      </c>
      <c r="S2936" s="3">
        <f t="shared" si="229"/>
        <v>3339.3099999999977</v>
      </c>
      <c r="T2936" s="24"/>
      <c r="U2936" s="24"/>
      <c r="V2936" s="69"/>
      <c r="W2936" s="25">
        <f>IFERROR(VLOOKUP(BCP_Soles[[#This Row],[DESTINATARIO]],CHOOSE({1,2},Clientes_Proveedores[Razon Social],Clientes_Proveedores[Ruc / Dni]),2,0),"")</f>
        <v>78803424</v>
      </c>
      <c r="X2936" s="25"/>
      <c r="Y2936" s="25"/>
      <c r="Z2936" s="25"/>
      <c r="AA2936" s="101"/>
      <c r="AB2936" s="3" t="str">
        <f>IF(BCP_Soles[[#This Row],[FECHA]]&gt;0,TEXT(BCP_Soles[[#This Row],[FECHA]],"mmmm"),0)</f>
        <v>Julio</v>
      </c>
    </row>
    <row r="2937" spans="2:28" ht="24" x14ac:dyDescent="0.3">
      <c r="B2937" s="2" t="str">
        <f>IF(BCP_Soles[[#This Row],[TIPO DE R.]]="R",COUNTIFS($D$4:$D2936,"R")+1,"")</f>
        <v/>
      </c>
      <c r="C2937" s="19" t="str">
        <f t="shared" si="225"/>
        <v>B-BCP - Soles</v>
      </c>
      <c r="D2937" s="3" t="s">
        <v>1101</v>
      </c>
      <c r="E2937" s="14">
        <v>45869</v>
      </c>
      <c r="F2937" s="5" t="s">
        <v>1082</v>
      </c>
      <c r="G2937" s="5"/>
      <c r="H2937" s="6" t="s">
        <v>979</v>
      </c>
      <c r="I2937" s="6" t="s">
        <v>95</v>
      </c>
      <c r="J2937" s="6" t="s">
        <v>3758</v>
      </c>
      <c r="K2937" s="6">
        <v>30</v>
      </c>
      <c r="L2937" s="7" t="s">
        <v>3757</v>
      </c>
      <c r="M2937" s="8">
        <v>7197909</v>
      </c>
      <c r="N2937" s="8" t="str">
        <f t="shared" si="226"/>
        <v>PEN</v>
      </c>
      <c r="O2937" s="13">
        <v>1339.35</v>
      </c>
      <c r="P2937" s="13"/>
      <c r="Q2937" s="3">
        <f t="shared" si="227"/>
        <v>0</v>
      </c>
      <c r="R2937" s="3">
        <f t="shared" si="228"/>
        <v>0</v>
      </c>
      <c r="S2937" s="3">
        <f t="shared" si="229"/>
        <v>3339.3099999999977</v>
      </c>
      <c r="T2937" s="24"/>
      <c r="U2937" s="24"/>
      <c r="V2937" s="69"/>
      <c r="W2937" s="25">
        <f>IFERROR(VLOOKUP(BCP_Soles[[#This Row],[DESTINATARIO]],CHOOSE({1,2},Clientes_Proveedores[Razon Social],Clientes_Proveedores[Ruc / Dni]),2,0),"")</f>
        <v>72204134</v>
      </c>
      <c r="X2937" s="25"/>
      <c r="Y2937" s="25"/>
      <c r="Z2937" s="25"/>
      <c r="AA2937" s="101"/>
      <c r="AB2937" s="3" t="str">
        <f>IF(BCP_Soles[[#This Row],[FECHA]]&gt;0,TEXT(BCP_Soles[[#This Row],[FECHA]],"mmmm"),0)</f>
        <v>Julio</v>
      </c>
    </row>
    <row r="2938" spans="2:28" ht="24" x14ac:dyDescent="0.3">
      <c r="B2938" s="2" t="str">
        <f>IF(BCP_Soles[[#This Row],[TIPO DE R.]]="R",COUNTIFS($D$4:$D2937,"R")+1,"")</f>
        <v/>
      </c>
      <c r="C2938" s="19" t="str">
        <f t="shared" si="225"/>
        <v>B-BCP - Soles</v>
      </c>
      <c r="D2938" s="3" t="s">
        <v>1101</v>
      </c>
      <c r="E2938" s="14">
        <v>45869</v>
      </c>
      <c r="F2938" s="5" t="s">
        <v>1082</v>
      </c>
      <c r="G2938" s="5"/>
      <c r="H2938" s="6" t="s">
        <v>836</v>
      </c>
      <c r="I2938" s="6" t="s">
        <v>95</v>
      </c>
      <c r="J2938" s="6" t="s">
        <v>3758</v>
      </c>
      <c r="K2938" s="6">
        <v>31</v>
      </c>
      <c r="L2938" s="7" t="s">
        <v>3757</v>
      </c>
      <c r="M2938" s="8">
        <v>7197909</v>
      </c>
      <c r="N2938" s="8" t="str">
        <f t="shared" si="226"/>
        <v>PEN</v>
      </c>
      <c r="O2938" s="13">
        <v>1911.65</v>
      </c>
      <c r="P2938" s="13"/>
      <c r="Q2938" s="3">
        <f t="shared" si="227"/>
        <v>0</v>
      </c>
      <c r="R2938" s="3">
        <f t="shared" si="228"/>
        <v>0</v>
      </c>
      <c r="S2938" s="3">
        <f t="shared" si="229"/>
        <v>3339.3099999999977</v>
      </c>
      <c r="T2938" s="24"/>
      <c r="U2938" s="24"/>
      <c r="V2938" s="69"/>
      <c r="W2938" s="25">
        <f>IFERROR(VLOOKUP(BCP_Soles[[#This Row],[DESTINATARIO]],CHOOSE({1,2},Clientes_Proveedores[Razon Social],Clientes_Proveedores[Ruc / Dni]),2,0),"")</f>
        <v>72144092</v>
      </c>
      <c r="X2938" s="25"/>
      <c r="Y2938" s="25"/>
      <c r="Z2938" s="25"/>
      <c r="AA2938" s="101"/>
      <c r="AB2938" s="3" t="str">
        <f>IF(BCP_Soles[[#This Row],[FECHA]]&gt;0,TEXT(BCP_Soles[[#This Row],[FECHA]],"mmmm"),0)</f>
        <v>Julio</v>
      </c>
    </row>
    <row r="2939" spans="2:28" ht="24" x14ac:dyDescent="0.3">
      <c r="B2939" s="2" t="str">
        <f>IF(BCP_Soles[[#This Row],[TIPO DE R.]]="R",COUNTIFS($D$4:$D2938,"R")+1,"")</f>
        <v/>
      </c>
      <c r="C2939" s="19" t="str">
        <f t="shared" si="225"/>
        <v>B-BCP - Soles</v>
      </c>
      <c r="D2939" s="3" t="s">
        <v>1101</v>
      </c>
      <c r="E2939" s="14">
        <v>45869</v>
      </c>
      <c r="F2939" s="5" t="s">
        <v>1082</v>
      </c>
      <c r="G2939" s="5"/>
      <c r="H2939" s="6" t="s">
        <v>842</v>
      </c>
      <c r="I2939" s="6" t="s">
        <v>95</v>
      </c>
      <c r="J2939" s="6" t="s">
        <v>3758</v>
      </c>
      <c r="K2939" s="6">
        <v>32</v>
      </c>
      <c r="L2939" s="7" t="s">
        <v>3757</v>
      </c>
      <c r="M2939" s="8">
        <v>7197909</v>
      </c>
      <c r="N2939" s="8" t="str">
        <f t="shared" si="226"/>
        <v>PEN</v>
      </c>
      <c r="O2939" s="13">
        <v>2326.29</v>
      </c>
      <c r="P2939" s="13"/>
      <c r="Q2939" s="3">
        <f t="shared" si="227"/>
        <v>0</v>
      </c>
      <c r="R2939" s="3">
        <f t="shared" si="228"/>
        <v>0</v>
      </c>
      <c r="S2939" s="3">
        <f t="shared" si="229"/>
        <v>3339.3099999999977</v>
      </c>
      <c r="T2939" s="24"/>
      <c r="U2939" s="24"/>
      <c r="V2939" s="69"/>
      <c r="W2939" s="25">
        <f>IFERROR(VLOOKUP(BCP_Soles[[#This Row],[DESTINATARIO]],CHOOSE({1,2},Clientes_Proveedores[Razon Social],Clientes_Proveedores[Ruc / Dni]),2,0),"")</f>
        <v>72131384</v>
      </c>
      <c r="X2939" s="25"/>
      <c r="Y2939" s="25"/>
      <c r="Z2939" s="25"/>
      <c r="AA2939" s="101"/>
      <c r="AB2939" s="3" t="str">
        <f>IF(BCP_Soles[[#This Row],[FECHA]]&gt;0,TEXT(BCP_Soles[[#This Row],[FECHA]],"mmmm"),0)</f>
        <v>Julio</v>
      </c>
    </row>
    <row r="2940" spans="2:28" ht="24" x14ac:dyDescent="0.3">
      <c r="B2940" s="2" t="str">
        <f>IF(BCP_Soles[[#This Row],[TIPO DE R.]]="R",COUNTIFS($D$4:$D2939,"R")+1,"")</f>
        <v/>
      </c>
      <c r="C2940" s="19" t="str">
        <f t="shared" si="225"/>
        <v>B-BCP - Soles</v>
      </c>
      <c r="D2940" s="3" t="s">
        <v>1101</v>
      </c>
      <c r="E2940" s="14">
        <v>45869</v>
      </c>
      <c r="F2940" s="5" t="s">
        <v>1082</v>
      </c>
      <c r="G2940" s="5"/>
      <c r="H2940" s="6" t="s">
        <v>934</v>
      </c>
      <c r="I2940" s="6" t="s">
        <v>95</v>
      </c>
      <c r="J2940" s="6" t="s">
        <v>3758</v>
      </c>
      <c r="K2940" s="6">
        <v>33</v>
      </c>
      <c r="L2940" s="7" t="s">
        <v>3757</v>
      </c>
      <c r="M2940" s="8">
        <v>7197909</v>
      </c>
      <c r="N2940" s="8" t="str">
        <f t="shared" si="226"/>
        <v>PEN</v>
      </c>
      <c r="O2940" s="13">
        <v>1453.68</v>
      </c>
      <c r="P2940" s="13"/>
      <c r="Q2940" s="3">
        <f t="shared" si="227"/>
        <v>0</v>
      </c>
      <c r="R2940" s="3">
        <f t="shared" si="228"/>
        <v>0</v>
      </c>
      <c r="S2940" s="3">
        <f t="shared" si="229"/>
        <v>3339.3099999999977</v>
      </c>
      <c r="T2940" s="24"/>
      <c r="U2940" s="24"/>
      <c r="V2940" s="69"/>
      <c r="W2940" s="25">
        <f>IFERROR(VLOOKUP(BCP_Soles[[#This Row],[DESTINATARIO]],CHOOSE({1,2},Clientes_Proveedores[Razon Social],Clientes_Proveedores[Ruc / Dni]),2,0),"")</f>
        <v>76390500</v>
      </c>
      <c r="X2940" s="25"/>
      <c r="Y2940" s="25"/>
      <c r="Z2940" s="25"/>
      <c r="AA2940" s="101"/>
      <c r="AB2940" s="3" t="str">
        <f>IF(BCP_Soles[[#This Row],[FECHA]]&gt;0,TEXT(BCP_Soles[[#This Row],[FECHA]],"mmmm"),0)</f>
        <v>Julio</v>
      </c>
    </row>
    <row r="2941" spans="2:28" ht="24" x14ac:dyDescent="0.3">
      <c r="B2941" s="2" t="str">
        <f>IF(BCP_Soles[[#This Row],[TIPO DE R.]]="R",COUNTIFS($D$4:$D2940,"R")+1,"")</f>
        <v/>
      </c>
      <c r="C2941" s="19" t="str">
        <f t="shared" si="225"/>
        <v>B-BCP - Soles</v>
      </c>
      <c r="D2941" s="3" t="s">
        <v>1101</v>
      </c>
      <c r="E2941" s="14">
        <v>45869</v>
      </c>
      <c r="F2941" s="5" t="s">
        <v>1082</v>
      </c>
      <c r="G2941" s="5"/>
      <c r="H2941" s="6" t="s">
        <v>850</v>
      </c>
      <c r="I2941" s="6" t="s">
        <v>95</v>
      </c>
      <c r="J2941" s="6" t="s">
        <v>3758</v>
      </c>
      <c r="K2941" s="6">
        <v>34</v>
      </c>
      <c r="L2941" s="7" t="s">
        <v>3757</v>
      </c>
      <c r="M2941" s="8">
        <v>7197909</v>
      </c>
      <c r="N2941" s="8" t="str">
        <f t="shared" si="226"/>
        <v>PEN</v>
      </c>
      <c r="O2941" s="13">
        <v>3523.85</v>
      </c>
      <c r="P2941" s="13"/>
      <c r="Q2941" s="3">
        <f t="shared" si="227"/>
        <v>0</v>
      </c>
      <c r="R2941" s="3">
        <f t="shared" si="228"/>
        <v>0</v>
      </c>
      <c r="S2941" s="3">
        <f t="shared" si="229"/>
        <v>3339.3099999999977</v>
      </c>
      <c r="T2941" s="24"/>
      <c r="U2941" s="24"/>
      <c r="V2941" s="69"/>
      <c r="W2941" s="25">
        <f>IFERROR(VLOOKUP(BCP_Soles[[#This Row],[DESTINATARIO]],CHOOSE({1,2},Clientes_Proveedores[Razon Social],Clientes_Proveedores[Ruc / Dni]),2,0),"")</f>
        <v>44314304</v>
      </c>
      <c r="X2941" s="25"/>
      <c r="Y2941" s="25"/>
      <c r="Z2941" s="25"/>
      <c r="AA2941" s="101"/>
      <c r="AB2941" s="3" t="str">
        <f>IF(BCP_Soles[[#This Row],[FECHA]]&gt;0,TEXT(BCP_Soles[[#This Row],[FECHA]],"mmmm"),0)</f>
        <v>Julio</v>
      </c>
    </row>
    <row r="2942" spans="2:28" ht="24" x14ac:dyDescent="0.3">
      <c r="B2942" s="2" t="str">
        <f>IF(BCP_Soles[[#This Row],[TIPO DE R.]]="R",COUNTIFS($D$4:$D2941,"R")+1,"")</f>
        <v/>
      </c>
      <c r="C2942" s="19" t="str">
        <f t="shared" si="225"/>
        <v>B-BCP - Soles</v>
      </c>
      <c r="D2942" s="3" t="s">
        <v>1101</v>
      </c>
      <c r="E2942" s="14">
        <v>45869</v>
      </c>
      <c r="F2942" s="5" t="s">
        <v>1082</v>
      </c>
      <c r="G2942" s="5"/>
      <c r="H2942" s="6" t="s">
        <v>854</v>
      </c>
      <c r="I2942" s="6" t="s">
        <v>95</v>
      </c>
      <c r="J2942" s="6" t="s">
        <v>3758</v>
      </c>
      <c r="K2942" s="6">
        <v>35</v>
      </c>
      <c r="L2942" s="7" t="s">
        <v>3757</v>
      </c>
      <c r="M2942" s="8">
        <v>7197909</v>
      </c>
      <c r="N2942" s="8" t="str">
        <f t="shared" si="226"/>
        <v>PEN</v>
      </c>
      <c r="O2942" s="13">
        <v>1876.49</v>
      </c>
      <c r="P2942" s="13"/>
      <c r="Q2942" s="3">
        <f t="shared" si="227"/>
        <v>0</v>
      </c>
      <c r="R2942" s="3">
        <f t="shared" si="228"/>
        <v>0</v>
      </c>
      <c r="S2942" s="3">
        <f t="shared" si="229"/>
        <v>3339.3099999999977</v>
      </c>
      <c r="T2942" s="24"/>
      <c r="U2942" s="24"/>
      <c r="V2942" s="69"/>
      <c r="W2942" s="25">
        <f>IFERROR(VLOOKUP(BCP_Soles[[#This Row],[DESTINATARIO]],CHOOSE({1,2},Clientes_Proveedores[Razon Social],Clientes_Proveedores[Ruc / Dni]),2,0),"")</f>
        <v>47760988</v>
      </c>
      <c r="X2942" s="25"/>
      <c r="Y2942" s="25"/>
      <c r="Z2942" s="25"/>
      <c r="AA2942" s="101"/>
      <c r="AB2942" s="3" t="str">
        <f>IF(BCP_Soles[[#This Row],[FECHA]]&gt;0,TEXT(BCP_Soles[[#This Row],[FECHA]],"mmmm"),0)</f>
        <v>Julio</v>
      </c>
    </row>
    <row r="2943" spans="2:28" ht="24" x14ac:dyDescent="0.3">
      <c r="B2943" s="2" t="str">
        <f>IF(BCP_Soles[[#This Row],[TIPO DE R.]]="R",COUNTIFS($D$4:$D2942,"R")+1,"")</f>
        <v/>
      </c>
      <c r="C2943" s="19" t="str">
        <f t="shared" si="225"/>
        <v>B-BCP - Soles</v>
      </c>
      <c r="D2943" s="3" t="s">
        <v>1101</v>
      </c>
      <c r="E2943" s="14">
        <v>45869</v>
      </c>
      <c r="F2943" s="5" t="s">
        <v>1082</v>
      </c>
      <c r="G2943" s="5"/>
      <c r="H2943" s="6" t="s">
        <v>857</v>
      </c>
      <c r="I2943" s="6" t="s">
        <v>95</v>
      </c>
      <c r="J2943" s="6" t="s">
        <v>3758</v>
      </c>
      <c r="K2943" s="6">
        <v>36</v>
      </c>
      <c r="L2943" s="7" t="s">
        <v>3757</v>
      </c>
      <c r="M2943" s="8">
        <v>7197909</v>
      </c>
      <c r="N2943" s="8" t="str">
        <f t="shared" si="226"/>
        <v>PEN</v>
      </c>
      <c r="O2943" s="13">
        <v>1310.54</v>
      </c>
      <c r="P2943" s="13"/>
      <c r="Q2943" s="3">
        <f t="shared" si="227"/>
        <v>0</v>
      </c>
      <c r="R2943" s="3">
        <f t="shared" si="228"/>
        <v>0</v>
      </c>
      <c r="S2943" s="3">
        <f t="shared" si="229"/>
        <v>3339.3099999999977</v>
      </c>
      <c r="T2943" s="24"/>
      <c r="U2943" s="24"/>
      <c r="V2943" s="69"/>
      <c r="W2943" s="25">
        <f>IFERROR(VLOOKUP(BCP_Soles[[#This Row],[DESTINATARIO]],CHOOSE({1,2},Clientes_Proveedores[Razon Social],Clientes_Proveedores[Ruc / Dni]),2,0),"")</f>
        <v>24800480</v>
      </c>
      <c r="X2943" s="25"/>
      <c r="Y2943" s="25"/>
      <c r="Z2943" s="25"/>
      <c r="AA2943" s="101"/>
      <c r="AB2943" s="3" t="str">
        <f>IF(BCP_Soles[[#This Row],[FECHA]]&gt;0,TEXT(BCP_Soles[[#This Row],[FECHA]],"mmmm"),0)</f>
        <v>Julio</v>
      </c>
    </row>
    <row r="2944" spans="2:28" ht="24" x14ac:dyDescent="0.3">
      <c r="B2944" s="2" t="str">
        <f>IF(BCP_Soles[[#This Row],[TIPO DE R.]]="R",COUNTIFS($D$4:$D2943,"R")+1,"")</f>
        <v/>
      </c>
      <c r="C2944" s="19" t="str">
        <f t="shared" si="225"/>
        <v>B-BCP - Soles</v>
      </c>
      <c r="D2944" s="3" t="s">
        <v>1101</v>
      </c>
      <c r="E2944" s="14">
        <v>45869</v>
      </c>
      <c r="F2944" s="5" t="s">
        <v>1082</v>
      </c>
      <c r="G2944" s="5"/>
      <c r="H2944" s="6" t="s">
        <v>859</v>
      </c>
      <c r="I2944" s="6" t="s">
        <v>95</v>
      </c>
      <c r="J2944" s="6" t="s">
        <v>3758</v>
      </c>
      <c r="K2944" s="6">
        <v>37</v>
      </c>
      <c r="L2944" s="7" t="s">
        <v>3757</v>
      </c>
      <c r="M2944" s="8">
        <v>7197909</v>
      </c>
      <c r="N2944" s="8" t="str">
        <f t="shared" si="226"/>
        <v>PEN</v>
      </c>
      <c r="O2944" s="13">
        <v>1797.81</v>
      </c>
      <c r="P2944" s="13"/>
      <c r="Q2944" s="3">
        <f t="shared" si="227"/>
        <v>0</v>
      </c>
      <c r="R2944" s="3">
        <f t="shared" si="228"/>
        <v>0</v>
      </c>
      <c r="S2944" s="3">
        <f t="shared" si="229"/>
        <v>3339.3099999999977</v>
      </c>
      <c r="T2944" s="24"/>
      <c r="U2944" s="24"/>
      <c r="V2944" s="69"/>
      <c r="W2944" s="25">
        <f>IFERROR(VLOOKUP(BCP_Soles[[#This Row],[DESTINATARIO]],CHOOSE({1,2},Clientes_Proveedores[Razon Social],Clientes_Proveedores[Ruc / Dni]),2,0),"")</f>
        <v>48536654</v>
      </c>
      <c r="X2944" s="25"/>
      <c r="Y2944" s="25"/>
      <c r="Z2944" s="25"/>
      <c r="AA2944" s="101"/>
      <c r="AB2944" s="3" t="str">
        <f>IF(BCP_Soles[[#This Row],[FECHA]]&gt;0,TEXT(BCP_Soles[[#This Row],[FECHA]],"mmmm"),0)</f>
        <v>Julio</v>
      </c>
    </row>
    <row r="2945" spans="2:28" ht="24" x14ac:dyDescent="0.3">
      <c r="B2945" s="2" t="str">
        <f>IF(BCP_Soles[[#This Row],[TIPO DE R.]]="R",COUNTIFS($D$4:$D2944,"R")+1,"")</f>
        <v/>
      </c>
      <c r="C2945" s="19" t="str">
        <f t="shared" si="225"/>
        <v>B-BCP - Soles</v>
      </c>
      <c r="D2945" s="3" t="s">
        <v>1101</v>
      </c>
      <c r="E2945" s="14">
        <v>45869</v>
      </c>
      <c r="F2945" s="5" t="s">
        <v>1082</v>
      </c>
      <c r="G2945" s="5"/>
      <c r="H2945" s="6" t="s">
        <v>863</v>
      </c>
      <c r="I2945" s="6" t="s">
        <v>95</v>
      </c>
      <c r="J2945" s="6" t="s">
        <v>3758</v>
      </c>
      <c r="K2945" s="6">
        <v>38</v>
      </c>
      <c r="L2945" s="7" t="s">
        <v>3757</v>
      </c>
      <c r="M2945" s="8">
        <v>7197909</v>
      </c>
      <c r="N2945" s="8" t="str">
        <f t="shared" si="226"/>
        <v>PEN</v>
      </c>
      <c r="O2945" s="13">
        <v>1874.27</v>
      </c>
      <c r="P2945" s="13"/>
      <c r="Q2945" s="3">
        <f t="shared" si="227"/>
        <v>0</v>
      </c>
      <c r="R2945" s="3">
        <f t="shared" si="228"/>
        <v>0</v>
      </c>
      <c r="S2945" s="3">
        <f t="shared" si="229"/>
        <v>3339.3099999999977</v>
      </c>
      <c r="T2945" s="24"/>
      <c r="U2945" s="24"/>
      <c r="V2945" s="69"/>
      <c r="W2945" s="25">
        <f>IFERROR(VLOOKUP(BCP_Soles[[#This Row],[DESTINATARIO]],CHOOSE({1,2},Clientes_Proveedores[Razon Social],Clientes_Proveedores[Ruc / Dni]),2,0),"")</f>
        <v>72537561</v>
      </c>
      <c r="X2945" s="25"/>
      <c r="Y2945" s="25"/>
      <c r="Z2945" s="25"/>
      <c r="AA2945" s="101"/>
      <c r="AB2945" s="3" t="str">
        <f>IF(BCP_Soles[[#This Row],[FECHA]]&gt;0,TEXT(BCP_Soles[[#This Row],[FECHA]],"mmmm"),0)</f>
        <v>Julio</v>
      </c>
    </row>
    <row r="2946" spans="2:28" ht="24" x14ac:dyDescent="0.3">
      <c r="B2946" s="2" t="str">
        <f>IF(BCP_Soles[[#This Row],[TIPO DE R.]]="R",COUNTIFS($D$4:$D2945,"R")+1,"")</f>
        <v/>
      </c>
      <c r="C2946" s="19" t="str">
        <f t="shared" si="225"/>
        <v>B-BCP - Soles</v>
      </c>
      <c r="D2946" s="3" t="s">
        <v>1101</v>
      </c>
      <c r="E2946" s="14">
        <v>45869</v>
      </c>
      <c r="F2946" s="5" t="s">
        <v>1082</v>
      </c>
      <c r="G2946" s="5"/>
      <c r="H2946" s="6" t="s">
        <v>959</v>
      </c>
      <c r="I2946" s="6" t="s">
        <v>95</v>
      </c>
      <c r="J2946" s="6" t="s">
        <v>3758</v>
      </c>
      <c r="K2946" s="6">
        <v>39</v>
      </c>
      <c r="L2946" s="7" t="s">
        <v>3757</v>
      </c>
      <c r="M2946" s="8">
        <v>7197909</v>
      </c>
      <c r="N2946" s="8" t="str">
        <f t="shared" si="226"/>
        <v>PEN</v>
      </c>
      <c r="O2946" s="13">
        <v>1112.51</v>
      </c>
      <c r="P2946" s="13"/>
      <c r="Q2946" s="3">
        <f t="shared" si="227"/>
        <v>0</v>
      </c>
      <c r="R2946" s="3">
        <f t="shared" si="228"/>
        <v>0</v>
      </c>
      <c r="S2946" s="3">
        <f t="shared" si="229"/>
        <v>3339.3099999999977</v>
      </c>
      <c r="T2946" s="24"/>
      <c r="U2946" s="24"/>
      <c r="V2946" s="69"/>
      <c r="W2946" s="25">
        <f>IFERROR(VLOOKUP(BCP_Soles[[#This Row],[DESTINATARIO]],CHOOSE({1,2},Clientes_Proveedores[Razon Social],Clientes_Proveedores[Ruc / Dni]),2,0),"")</f>
        <v>75276411</v>
      </c>
      <c r="X2946" s="25"/>
      <c r="Y2946" s="25"/>
      <c r="Z2946" s="25"/>
      <c r="AA2946" s="101"/>
      <c r="AB2946" s="3" t="str">
        <f>IF(BCP_Soles[[#This Row],[FECHA]]&gt;0,TEXT(BCP_Soles[[#This Row],[FECHA]],"mmmm"),0)</f>
        <v>Julio</v>
      </c>
    </row>
    <row r="2947" spans="2:28" ht="24" x14ac:dyDescent="0.3">
      <c r="B2947" s="2" t="str">
        <f>IF(BCP_Soles[[#This Row],[TIPO DE R.]]="R",COUNTIFS($D$4:$D2946,"R")+1,"")</f>
        <v/>
      </c>
      <c r="C2947" s="19" t="str">
        <f t="shared" si="225"/>
        <v>B-BCP - Soles</v>
      </c>
      <c r="D2947" s="3" t="s">
        <v>1101</v>
      </c>
      <c r="E2947" s="14">
        <v>45869</v>
      </c>
      <c r="F2947" s="5" t="s">
        <v>1082</v>
      </c>
      <c r="G2947" s="5"/>
      <c r="H2947" s="6" t="s">
        <v>866</v>
      </c>
      <c r="I2947" s="6" t="s">
        <v>95</v>
      </c>
      <c r="J2947" s="6" t="s">
        <v>3758</v>
      </c>
      <c r="K2947" s="6">
        <v>40</v>
      </c>
      <c r="L2947" s="7" t="s">
        <v>3757</v>
      </c>
      <c r="M2947" s="8">
        <v>7197909</v>
      </c>
      <c r="N2947" s="8" t="str">
        <f t="shared" si="226"/>
        <v>PEN</v>
      </c>
      <c r="O2947" s="13">
        <v>1183.1500000000001</v>
      </c>
      <c r="P2947" s="13"/>
      <c r="Q2947" s="3">
        <f t="shared" si="227"/>
        <v>0</v>
      </c>
      <c r="R2947" s="3">
        <f t="shared" si="228"/>
        <v>0</v>
      </c>
      <c r="S2947" s="3">
        <f t="shared" si="229"/>
        <v>3339.3099999999977</v>
      </c>
      <c r="T2947" s="24"/>
      <c r="U2947" s="24"/>
      <c r="V2947" s="69"/>
      <c r="W2947" s="25">
        <f>IFERROR(VLOOKUP(BCP_Soles[[#This Row],[DESTINATARIO]],CHOOSE({1,2},Clientes_Proveedores[Razon Social],Clientes_Proveedores[Ruc / Dni]),2,0),"")</f>
        <v>73530159</v>
      </c>
      <c r="X2947" s="25"/>
      <c r="Y2947" s="25"/>
      <c r="Z2947" s="25"/>
      <c r="AA2947" s="101"/>
      <c r="AB2947" s="3" t="str">
        <f>IF(BCP_Soles[[#This Row],[FECHA]]&gt;0,TEXT(BCP_Soles[[#This Row],[FECHA]],"mmmm"),0)</f>
        <v>Julio</v>
      </c>
    </row>
    <row r="2948" spans="2:28" ht="24" x14ac:dyDescent="0.3">
      <c r="B2948" s="2" t="str">
        <f>IF(BCP_Soles[[#This Row],[TIPO DE R.]]="R",COUNTIFS($D$4:$D2947,"R")+1,"")</f>
        <v/>
      </c>
      <c r="C2948" s="19" t="str">
        <f t="shared" si="225"/>
        <v>B-BCP - Soles</v>
      </c>
      <c r="D2948" s="3" t="s">
        <v>1101</v>
      </c>
      <c r="E2948" s="14">
        <v>45869</v>
      </c>
      <c r="F2948" s="5" t="s">
        <v>1082</v>
      </c>
      <c r="G2948" s="5"/>
      <c r="H2948" s="6" t="s">
        <v>869</v>
      </c>
      <c r="I2948" s="6" t="s">
        <v>95</v>
      </c>
      <c r="J2948" s="6" t="s">
        <v>3758</v>
      </c>
      <c r="K2948" s="6">
        <v>41</v>
      </c>
      <c r="L2948" s="7" t="s">
        <v>3757</v>
      </c>
      <c r="M2948" s="8">
        <v>7197909</v>
      </c>
      <c r="N2948" s="8" t="str">
        <f t="shared" si="226"/>
        <v>PEN</v>
      </c>
      <c r="O2948" s="13">
        <v>1393.43</v>
      </c>
      <c r="P2948" s="13"/>
      <c r="Q2948" s="3">
        <f t="shared" si="227"/>
        <v>0</v>
      </c>
      <c r="R2948" s="3">
        <f t="shared" si="228"/>
        <v>0</v>
      </c>
      <c r="S2948" s="3">
        <f t="shared" si="229"/>
        <v>3339.3099999999977</v>
      </c>
      <c r="T2948" s="24"/>
      <c r="U2948" s="24"/>
      <c r="V2948" s="69"/>
      <c r="W2948" s="25">
        <f>IFERROR(VLOOKUP(BCP_Soles[[#This Row],[DESTINATARIO]],CHOOSE({1,2},Clientes_Proveedores[Razon Social],Clientes_Proveedores[Ruc / Dni]),2,0),"")</f>
        <v>46126507</v>
      </c>
      <c r="X2948" s="25"/>
      <c r="Y2948" s="25"/>
      <c r="Z2948" s="25"/>
      <c r="AA2948" s="101"/>
      <c r="AB2948" s="3" t="str">
        <f>IF(BCP_Soles[[#This Row],[FECHA]]&gt;0,TEXT(BCP_Soles[[#This Row],[FECHA]],"mmmm"),0)</f>
        <v>Julio</v>
      </c>
    </row>
    <row r="2949" spans="2:28" ht="24" x14ac:dyDescent="0.3">
      <c r="B2949" s="2" t="str">
        <f>IF(BCP_Soles[[#This Row],[TIPO DE R.]]="R",COUNTIFS($D$4:$D2948,"R")+1,"")</f>
        <v/>
      </c>
      <c r="C2949" s="19" t="str">
        <f t="shared" ref="C2949:C3012" si="230">"B-BCP - Soles"</f>
        <v>B-BCP - Soles</v>
      </c>
      <c r="D2949" s="3" t="s">
        <v>1101</v>
      </c>
      <c r="E2949" s="14">
        <v>45869</v>
      </c>
      <c r="F2949" s="5" t="s">
        <v>1082</v>
      </c>
      <c r="G2949" s="5"/>
      <c r="H2949" s="6" t="s">
        <v>874</v>
      </c>
      <c r="I2949" s="6" t="s">
        <v>95</v>
      </c>
      <c r="J2949" s="6" t="s">
        <v>3758</v>
      </c>
      <c r="K2949" s="6">
        <v>42</v>
      </c>
      <c r="L2949" s="7" t="s">
        <v>3757</v>
      </c>
      <c r="M2949" s="8">
        <v>7197909</v>
      </c>
      <c r="N2949" s="8" t="str">
        <f t="shared" ref="N2949:N3012" si="231">"PEN"</f>
        <v>PEN</v>
      </c>
      <c r="O2949" s="13">
        <v>1422.82</v>
      </c>
      <c r="P2949" s="13"/>
      <c r="Q2949" s="3">
        <f t="shared" ref="Q2949:Q3012" si="232">+IF(OR($G2949="SALDO",$G2949="INGRESO"),$P2949,0)</f>
        <v>0</v>
      </c>
      <c r="R2949" s="3">
        <f t="shared" ref="R2949:R3012" si="233">+IF($G2949="EGRESO",$P2949,0)</f>
        <v>0</v>
      </c>
      <c r="S2949" s="3">
        <f t="shared" ref="S2949:S3012" si="234">IFERROR(IF(G2949="SALDO",Q2949,S2948+Q2949-R2949),0)</f>
        <v>3339.3099999999977</v>
      </c>
      <c r="T2949" s="24"/>
      <c r="U2949" s="24"/>
      <c r="V2949" s="69"/>
      <c r="W2949" s="25">
        <f>IFERROR(VLOOKUP(BCP_Soles[[#This Row],[DESTINATARIO]],CHOOSE({1,2},Clientes_Proveedores[Razon Social],Clientes_Proveedores[Ruc / Dni]),2,0),"")</f>
        <v>73195103</v>
      </c>
      <c r="X2949" s="25"/>
      <c r="Y2949" s="25"/>
      <c r="Z2949" s="25"/>
      <c r="AA2949" s="101"/>
      <c r="AB2949" s="3" t="str">
        <f>IF(BCP_Soles[[#This Row],[FECHA]]&gt;0,TEXT(BCP_Soles[[#This Row],[FECHA]],"mmmm"),0)</f>
        <v>Julio</v>
      </c>
    </row>
    <row r="2950" spans="2:28" ht="24" x14ac:dyDescent="0.3">
      <c r="B2950" s="2" t="str">
        <f>IF(BCP_Soles[[#This Row],[TIPO DE R.]]="R",COUNTIFS($D$4:$D2949,"R")+1,"")</f>
        <v/>
      </c>
      <c r="C2950" s="19" t="str">
        <f t="shared" si="230"/>
        <v>B-BCP - Soles</v>
      </c>
      <c r="D2950" s="3" t="s">
        <v>1101</v>
      </c>
      <c r="E2950" s="14">
        <v>45869</v>
      </c>
      <c r="F2950" s="5" t="s">
        <v>1082</v>
      </c>
      <c r="G2950" s="5"/>
      <c r="H2950" s="6" t="s">
        <v>876</v>
      </c>
      <c r="I2950" s="6" t="s">
        <v>95</v>
      </c>
      <c r="J2950" s="6" t="s">
        <v>3758</v>
      </c>
      <c r="K2950" s="6">
        <v>43</v>
      </c>
      <c r="L2950" s="7" t="s">
        <v>3757</v>
      </c>
      <c r="M2950" s="8">
        <v>7197909</v>
      </c>
      <c r="N2950" s="8" t="str">
        <f t="shared" si="231"/>
        <v>PEN</v>
      </c>
      <c r="O2950" s="13">
        <v>1321.49</v>
      </c>
      <c r="P2950" s="13"/>
      <c r="Q2950" s="3">
        <f t="shared" si="232"/>
        <v>0</v>
      </c>
      <c r="R2950" s="3">
        <f t="shared" si="233"/>
        <v>0</v>
      </c>
      <c r="S2950" s="3">
        <f t="shared" si="234"/>
        <v>3339.3099999999977</v>
      </c>
      <c r="T2950" s="24"/>
      <c r="U2950" s="24"/>
      <c r="V2950" s="69"/>
      <c r="W2950" s="25">
        <f>IFERROR(VLOOKUP(BCP_Soles[[#This Row],[DESTINATARIO]],CHOOSE({1,2},Clientes_Proveedores[Razon Social],Clientes_Proveedores[Ruc / Dni]),2,0),"")</f>
        <v>47557239</v>
      </c>
      <c r="X2950" s="25"/>
      <c r="Y2950" s="25"/>
      <c r="Z2950" s="25"/>
      <c r="AA2950" s="101"/>
      <c r="AB2950" s="3" t="str">
        <f>IF(BCP_Soles[[#This Row],[FECHA]]&gt;0,TEXT(BCP_Soles[[#This Row],[FECHA]],"mmmm"),0)</f>
        <v>Julio</v>
      </c>
    </row>
    <row r="2951" spans="2:28" ht="36" x14ac:dyDescent="0.3">
      <c r="B2951" s="2" t="str">
        <f>IF(BCP_Soles[[#This Row],[TIPO DE R.]]="R",COUNTIFS($D$4:$D2950,"R")+1,"")</f>
        <v/>
      </c>
      <c r="C2951" s="19" t="str">
        <f t="shared" si="230"/>
        <v>B-BCP - Soles</v>
      </c>
      <c r="D2951" s="3" t="s">
        <v>1101</v>
      </c>
      <c r="E2951" s="14">
        <v>45869</v>
      </c>
      <c r="F2951" s="5" t="s">
        <v>1082</v>
      </c>
      <c r="G2951" s="5"/>
      <c r="H2951" s="6" t="s">
        <v>878</v>
      </c>
      <c r="I2951" s="6" t="s">
        <v>95</v>
      </c>
      <c r="J2951" s="6" t="s">
        <v>3758</v>
      </c>
      <c r="K2951" s="6">
        <v>44</v>
      </c>
      <c r="L2951" s="7" t="s">
        <v>3757</v>
      </c>
      <c r="M2951" s="8">
        <v>7197909</v>
      </c>
      <c r="N2951" s="8" t="str">
        <f t="shared" si="231"/>
        <v>PEN</v>
      </c>
      <c r="O2951" s="13">
        <v>1521.15</v>
      </c>
      <c r="P2951" s="13"/>
      <c r="Q2951" s="3">
        <f t="shared" si="232"/>
        <v>0</v>
      </c>
      <c r="R2951" s="3">
        <f t="shared" si="233"/>
        <v>0</v>
      </c>
      <c r="S2951" s="3">
        <f t="shared" si="234"/>
        <v>3339.3099999999977</v>
      </c>
      <c r="T2951" s="24"/>
      <c r="U2951" s="24"/>
      <c r="V2951" s="69"/>
      <c r="W2951" s="25">
        <f>IFERROR(VLOOKUP(BCP_Soles[[#This Row],[DESTINATARIO]],CHOOSE({1,2},Clientes_Proveedores[Razon Social],Clientes_Proveedores[Ruc / Dni]),2,0),"")</f>
        <v>72728100</v>
      </c>
      <c r="X2951" s="25"/>
      <c r="Y2951" s="25"/>
      <c r="Z2951" s="25"/>
      <c r="AA2951" s="101"/>
      <c r="AB2951" s="3" t="str">
        <f>IF(BCP_Soles[[#This Row],[FECHA]]&gt;0,TEXT(BCP_Soles[[#This Row],[FECHA]],"mmmm"),0)</f>
        <v>Julio</v>
      </c>
    </row>
    <row r="2952" spans="2:28" ht="36" x14ac:dyDescent="0.3">
      <c r="B2952" s="2" t="str">
        <f>IF(BCP_Soles[[#This Row],[TIPO DE R.]]="R",COUNTIFS($D$4:$D2951,"R")+1,"")</f>
        <v/>
      </c>
      <c r="C2952" s="19" t="str">
        <f t="shared" si="230"/>
        <v>B-BCP - Soles</v>
      </c>
      <c r="D2952" s="3" t="s">
        <v>1101</v>
      </c>
      <c r="E2952" s="14">
        <v>45869</v>
      </c>
      <c r="F2952" s="5" t="s">
        <v>1082</v>
      </c>
      <c r="G2952" s="5"/>
      <c r="H2952" s="6" t="s">
        <v>889</v>
      </c>
      <c r="I2952" s="6" t="s">
        <v>95</v>
      </c>
      <c r="J2952" s="6" t="s">
        <v>3758</v>
      </c>
      <c r="K2952" s="6">
        <v>45</v>
      </c>
      <c r="L2952" s="7" t="s">
        <v>3757</v>
      </c>
      <c r="M2952" s="8">
        <v>7197909</v>
      </c>
      <c r="N2952" s="8" t="str">
        <f t="shared" si="231"/>
        <v>PEN</v>
      </c>
      <c r="O2952" s="13">
        <v>1309.77</v>
      </c>
      <c r="P2952" s="13"/>
      <c r="Q2952" s="3">
        <f t="shared" si="232"/>
        <v>0</v>
      </c>
      <c r="R2952" s="3">
        <f t="shared" si="233"/>
        <v>0</v>
      </c>
      <c r="S2952" s="3">
        <f t="shared" si="234"/>
        <v>3339.3099999999977</v>
      </c>
      <c r="T2952" s="24"/>
      <c r="U2952" s="24"/>
      <c r="V2952" s="69"/>
      <c r="W2952" s="25">
        <f>IFERROR(VLOOKUP(BCP_Soles[[#This Row],[DESTINATARIO]],CHOOSE({1,2},Clientes_Proveedores[Razon Social],Clientes_Proveedores[Ruc / Dni]),2,0),"")</f>
        <v>71311214</v>
      </c>
      <c r="X2952" s="25"/>
      <c r="Y2952" s="25"/>
      <c r="Z2952" s="25"/>
      <c r="AA2952" s="101"/>
      <c r="AB2952" s="3" t="str">
        <f>IF(BCP_Soles[[#This Row],[FECHA]]&gt;0,TEXT(BCP_Soles[[#This Row],[FECHA]],"mmmm"),0)</f>
        <v>Julio</v>
      </c>
    </row>
    <row r="2953" spans="2:28" ht="24" x14ac:dyDescent="0.3">
      <c r="B2953" s="2" t="str">
        <f>IF(BCP_Soles[[#This Row],[TIPO DE R.]]="R",COUNTIFS($D$4:$D2952,"R")+1,"")</f>
        <v/>
      </c>
      <c r="C2953" s="19" t="str">
        <f t="shared" si="230"/>
        <v>B-BCP - Soles</v>
      </c>
      <c r="D2953" s="3" t="s">
        <v>1101</v>
      </c>
      <c r="E2953" s="14">
        <v>45869</v>
      </c>
      <c r="F2953" s="5" t="s">
        <v>1082</v>
      </c>
      <c r="G2953" s="5"/>
      <c r="H2953" s="6" t="s">
        <v>960</v>
      </c>
      <c r="I2953" s="6" t="s">
        <v>95</v>
      </c>
      <c r="J2953" s="6" t="s">
        <v>3758</v>
      </c>
      <c r="K2953" s="6">
        <v>46</v>
      </c>
      <c r="L2953" s="7" t="s">
        <v>3757</v>
      </c>
      <c r="M2953" s="8">
        <v>7197909</v>
      </c>
      <c r="N2953" s="8" t="str">
        <f t="shared" si="231"/>
        <v>PEN</v>
      </c>
      <c r="O2953" s="13">
        <v>2016.67</v>
      </c>
      <c r="P2953" s="13"/>
      <c r="Q2953" s="3">
        <f t="shared" si="232"/>
        <v>0</v>
      </c>
      <c r="R2953" s="3">
        <f t="shared" si="233"/>
        <v>0</v>
      </c>
      <c r="S2953" s="3">
        <f t="shared" si="234"/>
        <v>3339.3099999999977</v>
      </c>
      <c r="T2953" s="24"/>
      <c r="U2953" s="24"/>
      <c r="V2953" s="69"/>
      <c r="W2953" s="25">
        <f>IFERROR(VLOOKUP(BCP_Soles[[#This Row],[DESTINATARIO]],CHOOSE({1,2},Clientes_Proveedores[Razon Social],Clientes_Proveedores[Ruc / Dni]),2,0),"")</f>
        <v>71654750</v>
      </c>
      <c r="X2953" s="25"/>
      <c r="Y2953" s="25"/>
      <c r="Z2953" s="25"/>
      <c r="AA2953" s="101"/>
      <c r="AB2953" s="3" t="str">
        <f>IF(BCP_Soles[[#This Row],[FECHA]]&gt;0,TEXT(BCP_Soles[[#This Row],[FECHA]],"mmmm"),0)</f>
        <v>Julio</v>
      </c>
    </row>
    <row r="2954" spans="2:28" ht="24" x14ac:dyDescent="0.3">
      <c r="B2954" s="2" t="str">
        <f>IF(BCP_Soles[[#This Row],[TIPO DE R.]]="R",COUNTIFS($D$4:$D2953,"R")+1,"")</f>
        <v/>
      </c>
      <c r="C2954" s="19" t="str">
        <f t="shared" si="230"/>
        <v>B-BCP - Soles</v>
      </c>
      <c r="D2954" s="3" t="s">
        <v>1101</v>
      </c>
      <c r="E2954" s="14">
        <v>45869</v>
      </c>
      <c r="F2954" s="5" t="s">
        <v>1082</v>
      </c>
      <c r="G2954" s="5"/>
      <c r="H2954" s="6" t="s">
        <v>894</v>
      </c>
      <c r="I2954" s="6" t="s">
        <v>95</v>
      </c>
      <c r="J2954" s="6" t="s">
        <v>3758</v>
      </c>
      <c r="K2954" s="6">
        <v>47</v>
      </c>
      <c r="L2954" s="7" t="s">
        <v>3757</v>
      </c>
      <c r="M2954" s="8">
        <v>7197909</v>
      </c>
      <c r="N2954" s="8" t="str">
        <f t="shared" si="231"/>
        <v>PEN</v>
      </c>
      <c r="O2954" s="13">
        <v>1339.72</v>
      </c>
      <c r="P2954" s="13"/>
      <c r="Q2954" s="3">
        <f t="shared" si="232"/>
        <v>0</v>
      </c>
      <c r="R2954" s="3">
        <f t="shared" si="233"/>
        <v>0</v>
      </c>
      <c r="S2954" s="3">
        <f t="shared" si="234"/>
        <v>3339.3099999999977</v>
      </c>
      <c r="T2954" s="24"/>
      <c r="U2954" s="24"/>
      <c r="V2954" s="69"/>
      <c r="W2954" s="25">
        <f>IFERROR(VLOOKUP(BCP_Soles[[#This Row],[DESTINATARIO]],CHOOSE({1,2},Clientes_Proveedores[Razon Social],Clientes_Proveedores[Ruc / Dni]),2,0),"")</f>
        <v>72682665</v>
      </c>
      <c r="X2954" s="25"/>
      <c r="Y2954" s="25"/>
      <c r="Z2954" s="25"/>
      <c r="AA2954" s="101"/>
      <c r="AB2954" s="3" t="str">
        <f>IF(BCP_Soles[[#This Row],[FECHA]]&gt;0,TEXT(BCP_Soles[[#This Row],[FECHA]],"mmmm"),0)</f>
        <v>Julio</v>
      </c>
    </row>
    <row r="2955" spans="2:28" ht="24" x14ac:dyDescent="0.3">
      <c r="B2955" s="2" t="str">
        <f>IF(BCP_Soles[[#This Row],[TIPO DE R.]]="R",COUNTIFS($D$4:$D2954,"R")+1,"")</f>
        <v/>
      </c>
      <c r="C2955" s="19" t="str">
        <f t="shared" si="230"/>
        <v>B-BCP - Soles</v>
      </c>
      <c r="D2955" s="3" t="s">
        <v>1101</v>
      </c>
      <c r="E2955" s="14">
        <v>45869</v>
      </c>
      <c r="F2955" s="5" t="s">
        <v>1082</v>
      </c>
      <c r="G2955" s="5"/>
      <c r="H2955" s="6" t="s">
        <v>896</v>
      </c>
      <c r="I2955" s="6" t="s">
        <v>95</v>
      </c>
      <c r="J2955" s="6" t="s">
        <v>3758</v>
      </c>
      <c r="K2955" s="6">
        <v>48</v>
      </c>
      <c r="L2955" s="7" t="s">
        <v>3757</v>
      </c>
      <c r="M2955" s="8">
        <v>7197909</v>
      </c>
      <c r="N2955" s="8" t="str">
        <f t="shared" si="231"/>
        <v>PEN</v>
      </c>
      <c r="O2955" s="13">
        <v>1171.3900000000001</v>
      </c>
      <c r="P2955" s="13"/>
      <c r="Q2955" s="3">
        <f t="shared" si="232"/>
        <v>0</v>
      </c>
      <c r="R2955" s="3">
        <f t="shared" si="233"/>
        <v>0</v>
      </c>
      <c r="S2955" s="3">
        <f t="shared" si="234"/>
        <v>3339.3099999999977</v>
      </c>
      <c r="T2955" s="24"/>
      <c r="U2955" s="24"/>
      <c r="V2955" s="69"/>
      <c r="W2955" s="25">
        <f>IFERROR(VLOOKUP(BCP_Soles[[#This Row],[DESTINATARIO]],CHOOSE({1,2},Clientes_Proveedores[Razon Social],Clientes_Proveedores[Ruc / Dni]),2,0),"")</f>
        <v>48362717</v>
      </c>
      <c r="X2955" s="25"/>
      <c r="Y2955" s="25"/>
      <c r="Z2955" s="25"/>
      <c r="AA2955" s="101"/>
      <c r="AB2955" s="3" t="str">
        <f>IF(BCP_Soles[[#This Row],[FECHA]]&gt;0,TEXT(BCP_Soles[[#This Row],[FECHA]],"mmmm"),0)</f>
        <v>Julio</v>
      </c>
    </row>
    <row r="2956" spans="2:28" ht="24" x14ac:dyDescent="0.3">
      <c r="B2956" s="2" t="str">
        <f>IF(BCP_Soles[[#This Row],[TIPO DE R.]]="R",COUNTIFS($D$4:$D2955,"R")+1,"")</f>
        <v/>
      </c>
      <c r="C2956" s="19" t="str">
        <f t="shared" si="230"/>
        <v>B-BCP - Soles</v>
      </c>
      <c r="D2956" s="3" t="s">
        <v>1101</v>
      </c>
      <c r="E2956" s="14">
        <v>45869</v>
      </c>
      <c r="F2956" s="5" t="s">
        <v>1082</v>
      </c>
      <c r="G2956" s="5"/>
      <c r="H2956" s="6" t="s">
        <v>898</v>
      </c>
      <c r="I2956" s="6" t="s">
        <v>95</v>
      </c>
      <c r="J2956" s="6" t="s">
        <v>3758</v>
      </c>
      <c r="K2956" s="6">
        <v>49</v>
      </c>
      <c r="L2956" s="7" t="s">
        <v>3757</v>
      </c>
      <c r="M2956" s="8">
        <v>7197909</v>
      </c>
      <c r="N2956" s="8" t="str">
        <f t="shared" si="231"/>
        <v>PEN</v>
      </c>
      <c r="O2956" s="13">
        <v>1941.37</v>
      </c>
      <c r="P2956" s="13"/>
      <c r="Q2956" s="3">
        <f t="shared" si="232"/>
        <v>0</v>
      </c>
      <c r="R2956" s="3">
        <f t="shared" si="233"/>
        <v>0</v>
      </c>
      <c r="S2956" s="3">
        <f t="shared" si="234"/>
        <v>3339.3099999999977</v>
      </c>
      <c r="T2956" s="24"/>
      <c r="U2956" s="24"/>
      <c r="V2956" s="69"/>
      <c r="W2956" s="25">
        <f>IFERROR(VLOOKUP(BCP_Soles[[#This Row],[DESTINATARIO]],CHOOSE({1,2},Clientes_Proveedores[Razon Social],Clientes_Proveedores[Ruc / Dni]),2,0),"")</f>
        <v>80454870</v>
      </c>
      <c r="X2956" s="25"/>
      <c r="Y2956" s="25"/>
      <c r="Z2956" s="25"/>
      <c r="AA2956" s="101"/>
      <c r="AB2956" s="3" t="str">
        <f>IF(BCP_Soles[[#This Row],[FECHA]]&gt;0,TEXT(BCP_Soles[[#This Row],[FECHA]],"mmmm"),0)</f>
        <v>Julio</v>
      </c>
    </row>
    <row r="2957" spans="2:28" ht="24" x14ac:dyDescent="0.3">
      <c r="B2957" s="2" t="str">
        <f>IF(BCP_Soles[[#This Row],[TIPO DE R.]]="R",COUNTIFS($D$4:$D2956,"R")+1,"")</f>
        <v/>
      </c>
      <c r="C2957" s="19" t="str">
        <f t="shared" si="230"/>
        <v>B-BCP - Soles</v>
      </c>
      <c r="D2957" s="3" t="s">
        <v>1101</v>
      </c>
      <c r="E2957" s="14">
        <v>45869</v>
      </c>
      <c r="F2957" s="5" t="s">
        <v>1082</v>
      </c>
      <c r="G2957" s="5"/>
      <c r="H2957" s="6" t="s">
        <v>961</v>
      </c>
      <c r="I2957" s="6" t="s">
        <v>95</v>
      </c>
      <c r="J2957" s="6" t="s">
        <v>3758</v>
      </c>
      <c r="K2957" s="6">
        <v>50</v>
      </c>
      <c r="L2957" s="7" t="s">
        <v>3757</v>
      </c>
      <c r="M2957" s="8">
        <v>7197909</v>
      </c>
      <c r="N2957" s="8" t="str">
        <f t="shared" si="231"/>
        <v>PEN</v>
      </c>
      <c r="O2957" s="13">
        <v>1179.72</v>
      </c>
      <c r="P2957" s="13"/>
      <c r="Q2957" s="3">
        <f t="shared" si="232"/>
        <v>0</v>
      </c>
      <c r="R2957" s="3">
        <f t="shared" si="233"/>
        <v>0</v>
      </c>
      <c r="S2957" s="3">
        <f t="shared" si="234"/>
        <v>3339.3099999999977</v>
      </c>
      <c r="T2957" s="24"/>
      <c r="U2957" s="24"/>
      <c r="V2957" s="69"/>
      <c r="W2957" s="25">
        <f>IFERROR(VLOOKUP(BCP_Soles[[#This Row],[DESTINATARIO]],CHOOSE({1,2},Clientes_Proveedores[Razon Social],Clientes_Proveedores[Ruc / Dni]),2,0),"")</f>
        <v>60248415</v>
      </c>
      <c r="X2957" s="25"/>
      <c r="Y2957" s="25"/>
      <c r="Z2957" s="25"/>
      <c r="AA2957" s="101"/>
      <c r="AB2957" s="3" t="str">
        <f>IF(BCP_Soles[[#This Row],[FECHA]]&gt;0,TEXT(BCP_Soles[[#This Row],[FECHA]],"mmmm"),0)</f>
        <v>Julio</v>
      </c>
    </row>
    <row r="2958" spans="2:28" ht="36" x14ac:dyDescent="0.3">
      <c r="B2958" s="2" t="str">
        <f>IF(BCP_Soles[[#This Row],[TIPO DE R.]]="R",COUNTIFS($D$4:$D2957,"R")+1,"")</f>
        <v/>
      </c>
      <c r="C2958" s="19" t="str">
        <f t="shared" si="230"/>
        <v>B-BCP - Soles</v>
      </c>
      <c r="D2958" s="3" t="s">
        <v>1101</v>
      </c>
      <c r="E2958" s="14">
        <v>45869</v>
      </c>
      <c r="F2958" s="5" t="s">
        <v>1082</v>
      </c>
      <c r="G2958" s="5"/>
      <c r="H2958" s="6" t="s">
        <v>1017</v>
      </c>
      <c r="I2958" s="6" t="s">
        <v>95</v>
      </c>
      <c r="J2958" s="6" t="s">
        <v>3758</v>
      </c>
      <c r="K2958" s="6">
        <v>51</v>
      </c>
      <c r="L2958" s="7" t="s">
        <v>3757</v>
      </c>
      <c r="M2958" s="8">
        <v>7197909</v>
      </c>
      <c r="N2958" s="8" t="str">
        <f t="shared" si="231"/>
        <v>PEN</v>
      </c>
      <c r="O2958" s="13">
        <v>901.62</v>
      </c>
      <c r="P2958" s="13"/>
      <c r="Q2958" s="3">
        <f t="shared" si="232"/>
        <v>0</v>
      </c>
      <c r="R2958" s="3">
        <f t="shared" si="233"/>
        <v>0</v>
      </c>
      <c r="S2958" s="3">
        <f t="shared" si="234"/>
        <v>3339.3099999999977</v>
      </c>
      <c r="T2958" s="24"/>
      <c r="U2958" s="24"/>
      <c r="V2958" s="69"/>
      <c r="W2958" s="25">
        <f>IFERROR(VLOOKUP(BCP_Soles[[#This Row],[DESTINATARIO]],CHOOSE({1,2},Clientes_Proveedores[Razon Social],Clientes_Proveedores[Ruc / Dni]),2,0),"")</f>
        <v>77175568</v>
      </c>
      <c r="X2958" s="25"/>
      <c r="Y2958" s="25"/>
      <c r="Z2958" s="25"/>
      <c r="AA2958" s="101"/>
      <c r="AB2958" s="3" t="str">
        <f>IF(BCP_Soles[[#This Row],[FECHA]]&gt;0,TEXT(BCP_Soles[[#This Row],[FECHA]],"mmmm"),0)</f>
        <v>Julio</v>
      </c>
    </row>
    <row r="2959" spans="2:28" ht="24" x14ac:dyDescent="0.3">
      <c r="B2959" s="2" t="str">
        <f>IF(BCP_Soles[[#This Row],[TIPO DE R.]]="R",COUNTIFS($D$4:$D2958,"R")+1,"")</f>
        <v/>
      </c>
      <c r="C2959" s="19" t="str">
        <f t="shared" si="230"/>
        <v>B-BCP - Soles</v>
      </c>
      <c r="D2959" s="3" t="s">
        <v>1101</v>
      </c>
      <c r="E2959" s="14">
        <v>45869</v>
      </c>
      <c r="F2959" s="5" t="s">
        <v>1082</v>
      </c>
      <c r="G2959" s="5"/>
      <c r="H2959" s="6" t="s">
        <v>962</v>
      </c>
      <c r="I2959" s="6" t="s">
        <v>95</v>
      </c>
      <c r="J2959" s="6" t="s">
        <v>3758</v>
      </c>
      <c r="K2959" s="6">
        <v>52</v>
      </c>
      <c r="L2959" s="7" t="s">
        <v>3757</v>
      </c>
      <c r="M2959" s="8">
        <v>7197909</v>
      </c>
      <c r="N2959" s="8" t="str">
        <f t="shared" si="231"/>
        <v>PEN</v>
      </c>
      <c r="O2959" s="13">
        <v>1500.23</v>
      </c>
      <c r="P2959" s="13"/>
      <c r="Q2959" s="3">
        <f t="shared" si="232"/>
        <v>0</v>
      </c>
      <c r="R2959" s="3">
        <f t="shared" si="233"/>
        <v>0</v>
      </c>
      <c r="S2959" s="3">
        <f t="shared" si="234"/>
        <v>3339.3099999999977</v>
      </c>
      <c r="T2959" s="24"/>
      <c r="U2959" s="24"/>
      <c r="V2959" s="69"/>
      <c r="W2959" s="25">
        <f>IFERROR(VLOOKUP(BCP_Soles[[#This Row],[DESTINATARIO]],CHOOSE({1,2},Clientes_Proveedores[Razon Social],Clientes_Proveedores[Ruc / Dni]),2,0),"")</f>
        <v>77089939</v>
      </c>
      <c r="X2959" s="25"/>
      <c r="Y2959" s="25"/>
      <c r="Z2959" s="25"/>
      <c r="AA2959" s="101"/>
      <c r="AB2959" s="3" t="str">
        <f>IF(BCP_Soles[[#This Row],[FECHA]]&gt;0,TEXT(BCP_Soles[[#This Row],[FECHA]],"mmmm"),0)</f>
        <v>Julio</v>
      </c>
    </row>
    <row r="2960" spans="2:28" ht="24" x14ac:dyDescent="0.3">
      <c r="B2960" s="2" t="str">
        <f>IF(BCP_Soles[[#This Row],[TIPO DE R.]]="R",COUNTIFS($D$4:$D2959,"R")+1,"")</f>
        <v/>
      </c>
      <c r="C2960" s="19" t="str">
        <f t="shared" si="230"/>
        <v>B-BCP - Soles</v>
      </c>
      <c r="D2960" s="3" t="s">
        <v>1101</v>
      </c>
      <c r="E2960" s="14">
        <v>45869</v>
      </c>
      <c r="F2960" s="5" t="s">
        <v>1082</v>
      </c>
      <c r="G2960" s="5"/>
      <c r="H2960" s="6" t="s">
        <v>963</v>
      </c>
      <c r="I2960" s="6" t="s">
        <v>95</v>
      </c>
      <c r="J2960" s="6" t="s">
        <v>3758</v>
      </c>
      <c r="K2960" s="6">
        <v>53</v>
      </c>
      <c r="L2960" s="7" t="s">
        <v>3757</v>
      </c>
      <c r="M2960" s="8">
        <v>7197909</v>
      </c>
      <c r="N2960" s="8" t="str">
        <f t="shared" si="231"/>
        <v>PEN</v>
      </c>
      <c r="O2960" s="13">
        <v>598.99</v>
      </c>
      <c r="P2960" s="13"/>
      <c r="Q2960" s="3">
        <f t="shared" si="232"/>
        <v>0</v>
      </c>
      <c r="R2960" s="3">
        <f t="shared" si="233"/>
        <v>0</v>
      </c>
      <c r="S2960" s="3">
        <f t="shared" si="234"/>
        <v>3339.3099999999977</v>
      </c>
      <c r="T2960" s="24"/>
      <c r="U2960" s="24"/>
      <c r="V2960" s="69"/>
      <c r="W2960" s="25">
        <f>IFERROR(VLOOKUP(BCP_Soles[[#This Row],[DESTINATARIO]],CHOOSE({1,2},Clientes_Proveedores[Razon Social],Clientes_Proveedores[Ruc / Dni]),2,0),"")</f>
        <v>73376012</v>
      </c>
      <c r="X2960" s="25"/>
      <c r="Y2960" s="25"/>
      <c r="Z2960" s="25"/>
      <c r="AA2960" s="101"/>
      <c r="AB2960" s="3" t="str">
        <f>IF(BCP_Soles[[#This Row],[FECHA]]&gt;0,TEXT(BCP_Soles[[#This Row],[FECHA]],"mmmm"),0)</f>
        <v>Julio</v>
      </c>
    </row>
    <row r="2961" spans="2:28" ht="24" x14ac:dyDescent="0.3">
      <c r="B2961" s="2" t="str">
        <f>IF(BCP_Soles[[#This Row],[TIPO DE R.]]="R",COUNTIFS($D$4:$D2960,"R")+1,"")</f>
        <v/>
      </c>
      <c r="C2961" s="19" t="str">
        <f t="shared" si="230"/>
        <v>B-BCP - Soles</v>
      </c>
      <c r="D2961" s="3" t="s">
        <v>1101</v>
      </c>
      <c r="E2961" s="14">
        <v>45869</v>
      </c>
      <c r="F2961" s="5" t="s">
        <v>1082</v>
      </c>
      <c r="G2961" s="5"/>
      <c r="H2961" s="6" t="s">
        <v>980</v>
      </c>
      <c r="I2961" s="6" t="s">
        <v>95</v>
      </c>
      <c r="J2961" s="6" t="s">
        <v>3758</v>
      </c>
      <c r="K2961" s="6">
        <v>54</v>
      </c>
      <c r="L2961" s="7" t="s">
        <v>3757</v>
      </c>
      <c r="M2961" s="8">
        <v>7197909</v>
      </c>
      <c r="N2961" s="8" t="str">
        <f t="shared" si="231"/>
        <v>PEN</v>
      </c>
      <c r="O2961" s="13">
        <v>1552.32</v>
      </c>
      <c r="P2961" s="13"/>
      <c r="Q2961" s="3">
        <f t="shared" si="232"/>
        <v>0</v>
      </c>
      <c r="R2961" s="3">
        <f t="shared" si="233"/>
        <v>0</v>
      </c>
      <c r="S2961" s="3">
        <f t="shared" si="234"/>
        <v>3339.3099999999977</v>
      </c>
      <c r="T2961" s="24"/>
      <c r="U2961" s="24"/>
      <c r="V2961" s="69"/>
      <c r="W2961" s="25">
        <f>IFERROR(VLOOKUP(BCP_Soles[[#This Row],[DESTINATARIO]],CHOOSE({1,2},Clientes_Proveedores[Razon Social],Clientes_Proveedores[Ruc / Dni]),2,0),"")</f>
        <v>70511606</v>
      </c>
      <c r="X2961" s="25"/>
      <c r="Y2961" s="25"/>
      <c r="Z2961" s="25"/>
      <c r="AA2961" s="101"/>
      <c r="AB2961" s="3" t="str">
        <f>IF(BCP_Soles[[#This Row],[FECHA]]&gt;0,TEXT(BCP_Soles[[#This Row],[FECHA]],"mmmm"),0)</f>
        <v>Julio</v>
      </c>
    </row>
    <row r="2962" spans="2:28" ht="24" x14ac:dyDescent="0.3">
      <c r="B2962" s="2">
        <f>IF(BCP_Soles[[#This Row],[TIPO DE R.]]="R",COUNTIFS($D$4:$D2961,"R")+1,"")</f>
        <v>2085</v>
      </c>
      <c r="C2962" s="19" t="str">
        <f t="shared" si="230"/>
        <v>B-BCP - Soles</v>
      </c>
      <c r="D2962" s="3" t="s">
        <v>1074</v>
      </c>
      <c r="E2962" s="14">
        <v>45869</v>
      </c>
      <c r="F2962" s="5" t="s">
        <v>1078</v>
      </c>
      <c r="G2962" s="5" t="s">
        <v>1079</v>
      </c>
      <c r="H2962" s="6" t="s">
        <v>1001</v>
      </c>
      <c r="I2962" s="6" t="s">
        <v>14</v>
      </c>
      <c r="J2962" s="6" t="s">
        <v>3759</v>
      </c>
      <c r="K2962" s="6">
        <v>16106846</v>
      </c>
      <c r="L2962" s="7" t="s">
        <v>1495</v>
      </c>
      <c r="M2962" s="8">
        <v>975646</v>
      </c>
      <c r="N2962" s="8" t="str">
        <f t="shared" si="231"/>
        <v>PEN</v>
      </c>
      <c r="O2962" s="13"/>
      <c r="P2962" s="13">
        <v>5.5</v>
      </c>
      <c r="Q2962" s="3">
        <f t="shared" si="232"/>
        <v>0</v>
      </c>
      <c r="R2962" s="3">
        <f t="shared" si="233"/>
        <v>5.5</v>
      </c>
      <c r="S2962" s="3">
        <f t="shared" si="234"/>
        <v>3333.8099999999977</v>
      </c>
      <c r="T2962" s="24" t="s">
        <v>1081</v>
      </c>
      <c r="U2962" s="24" t="s">
        <v>1081</v>
      </c>
      <c r="V2962" s="69"/>
      <c r="W2962" s="25">
        <f>IFERROR(VLOOKUP(BCP_Soles[[#This Row],[DESTINATARIO]],CHOOSE({1,2},Clientes_Proveedores[Razon Social],Clientes_Proveedores[Ruc / Dni]),2,0),"")</f>
        <v>20100047218</v>
      </c>
      <c r="X2962" s="25"/>
      <c r="Y2962" s="25"/>
      <c r="Z2962" s="25"/>
      <c r="AA2962" s="101"/>
      <c r="AB2962" s="3" t="str">
        <f>IF(BCP_Soles[[#This Row],[FECHA]]&gt;0,TEXT(BCP_Soles[[#This Row],[FECHA]],"mmmm"),0)</f>
        <v>Julio</v>
      </c>
    </row>
    <row r="2963" spans="2:28" ht="24" x14ac:dyDescent="0.3">
      <c r="B2963" s="2">
        <f>IF(BCP_Soles[[#This Row],[TIPO DE R.]]="R",COUNTIFS($D$4:$D2962,"R")+1,"")</f>
        <v>2086</v>
      </c>
      <c r="C2963" s="19" t="str">
        <f t="shared" si="230"/>
        <v>B-BCP - Soles</v>
      </c>
      <c r="D2963" s="3" t="s">
        <v>1074</v>
      </c>
      <c r="E2963" s="14">
        <v>45869</v>
      </c>
      <c r="F2963" s="5" t="s">
        <v>1078</v>
      </c>
      <c r="G2963" s="5" t="s">
        <v>1079</v>
      </c>
      <c r="H2963" s="6" t="s">
        <v>1001</v>
      </c>
      <c r="I2963" s="6" t="s">
        <v>14</v>
      </c>
      <c r="J2963" s="6" t="s">
        <v>3759</v>
      </c>
      <c r="K2963" s="6">
        <v>16106846</v>
      </c>
      <c r="L2963" s="7" t="s">
        <v>1493</v>
      </c>
      <c r="M2963" s="8">
        <v>0</v>
      </c>
      <c r="N2963" s="8" t="str">
        <f t="shared" si="231"/>
        <v>PEN</v>
      </c>
      <c r="O2963" s="13"/>
      <c r="P2963" s="13">
        <v>35</v>
      </c>
      <c r="Q2963" s="3">
        <f t="shared" si="232"/>
        <v>0</v>
      </c>
      <c r="R2963" s="3">
        <f t="shared" si="233"/>
        <v>35</v>
      </c>
      <c r="S2963" s="3">
        <f t="shared" si="234"/>
        <v>3298.8099999999977</v>
      </c>
      <c r="T2963" s="24" t="s">
        <v>1081</v>
      </c>
      <c r="U2963" s="24" t="s">
        <v>1081</v>
      </c>
      <c r="V2963" s="69"/>
      <c r="W2963" s="25">
        <f>IFERROR(VLOOKUP(BCP_Soles[[#This Row],[DESTINATARIO]],CHOOSE({1,2},Clientes_Proveedores[Razon Social],Clientes_Proveedores[Ruc / Dni]),2,0),"")</f>
        <v>20100047218</v>
      </c>
      <c r="X2963" s="25"/>
      <c r="Y2963" s="25"/>
      <c r="Z2963" s="25"/>
      <c r="AA2963" s="101"/>
      <c r="AB2963" s="3" t="str">
        <f>IF(BCP_Soles[[#This Row],[FECHA]]&gt;0,TEXT(BCP_Soles[[#This Row],[FECHA]],"mmmm"),0)</f>
        <v>Julio</v>
      </c>
    </row>
    <row r="2964" spans="2:28" x14ac:dyDescent="0.3">
      <c r="B2964" s="2">
        <f>IF(BCP_Soles[[#This Row],[TIPO DE R.]]="R",COUNTIFS($D$4:$D2963,"R")+1,"")</f>
        <v>2087</v>
      </c>
      <c r="C2964" s="19" t="str">
        <f t="shared" si="230"/>
        <v>B-BCP - Soles</v>
      </c>
      <c r="D2964" s="3" t="s">
        <v>1074</v>
      </c>
      <c r="E2964" s="14">
        <v>45869</v>
      </c>
      <c r="F2964" s="5" t="s">
        <v>1078</v>
      </c>
      <c r="G2964" s="5" t="s">
        <v>1079</v>
      </c>
      <c r="H2964" s="6" t="s">
        <v>950</v>
      </c>
      <c r="I2964" s="6" t="s">
        <v>10</v>
      </c>
      <c r="J2964" s="6" t="s">
        <v>3392</v>
      </c>
      <c r="K2964" s="6">
        <v>2087</v>
      </c>
      <c r="L2964" s="7" t="s">
        <v>2868</v>
      </c>
      <c r="M2964" s="8"/>
      <c r="N2964" s="8" t="str">
        <f t="shared" si="231"/>
        <v>PEN</v>
      </c>
      <c r="O2964" s="13"/>
      <c r="P2964" s="13">
        <v>6.2</v>
      </c>
      <c r="Q2964" s="3">
        <f t="shared" si="232"/>
        <v>0</v>
      </c>
      <c r="R2964" s="3">
        <f t="shared" si="233"/>
        <v>6.2</v>
      </c>
      <c r="S2964" s="3">
        <f t="shared" si="234"/>
        <v>3292.6099999999979</v>
      </c>
      <c r="T2964" s="24" t="s">
        <v>1081</v>
      </c>
      <c r="U2964" s="24"/>
      <c r="V2964" s="69"/>
      <c r="W2964" s="25">
        <f>IFERROR(VLOOKUP(BCP_Soles[[#This Row],[DESTINATARIO]],CHOOSE({1,2},Clientes_Proveedores[Razon Social],Clientes_Proveedores[Ruc / Dni]),2,0),"")</f>
        <v>11111111</v>
      </c>
      <c r="X2964" s="25"/>
      <c r="Y2964" s="25"/>
      <c r="Z2964" s="25"/>
      <c r="AA2964" s="101"/>
      <c r="AB2964" s="3" t="str">
        <f>IF(BCP_Soles[[#This Row],[FECHA]]&gt;0,TEXT(BCP_Soles[[#This Row],[FECHA]],"mmmm"),0)</f>
        <v>Julio</v>
      </c>
    </row>
    <row r="2965" spans="2:28" x14ac:dyDescent="0.3">
      <c r="B2965" s="2">
        <f>IF(BCP_Soles[[#This Row],[TIPO DE R.]]="R",COUNTIFS($D$4:$D2964,"R")+1,"")</f>
        <v>2088</v>
      </c>
      <c r="C2965" s="19" t="str">
        <f t="shared" si="230"/>
        <v>B-BCP - Soles</v>
      </c>
      <c r="D2965" s="3" t="s">
        <v>1074</v>
      </c>
      <c r="E2965" s="14">
        <v>45870</v>
      </c>
      <c r="F2965" s="5" t="s">
        <v>1078</v>
      </c>
      <c r="G2965" s="5" t="s">
        <v>1087</v>
      </c>
      <c r="H2965" s="6" t="s">
        <v>368</v>
      </c>
      <c r="I2965" s="6"/>
      <c r="J2965" s="6"/>
      <c r="K2965" s="6"/>
      <c r="L2965" s="7" t="s">
        <v>3760</v>
      </c>
      <c r="M2965" s="8"/>
      <c r="N2965" s="8" t="str">
        <f t="shared" si="231"/>
        <v>PEN</v>
      </c>
      <c r="O2965" s="13"/>
      <c r="P2965" s="13">
        <v>0.05</v>
      </c>
      <c r="Q2965" s="3">
        <f t="shared" si="232"/>
        <v>0.05</v>
      </c>
      <c r="R2965" s="3">
        <f t="shared" si="233"/>
        <v>0</v>
      </c>
      <c r="S2965" s="3">
        <f t="shared" si="234"/>
        <v>3292.659999999998</v>
      </c>
      <c r="T2965" s="24"/>
      <c r="U2965" s="24"/>
      <c r="V2965" s="69"/>
      <c r="W2965" s="25">
        <f>IFERROR(VLOOKUP(BCP_Soles[[#This Row],[DESTINATARIO]],CHOOSE({1,2},Clientes_Proveedores[Razon Social],Clientes_Proveedores[Ruc / Dni]),2,0),"")</f>
        <v>20558226979</v>
      </c>
      <c r="X2965" s="25"/>
      <c r="Y2965" s="25"/>
      <c r="Z2965" s="25"/>
      <c r="AA2965" s="101"/>
      <c r="AB2965" s="3" t="str">
        <f>IF(BCP_Soles[[#This Row],[FECHA]]&gt;0,TEXT(BCP_Soles[[#This Row],[FECHA]],"mmmm"),0)</f>
        <v>Agosto</v>
      </c>
    </row>
    <row r="2966" spans="2:28" ht="36" x14ac:dyDescent="0.3">
      <c r="B2966" s="2">
        <f>IF(BCP_Soles[[#This Row],[TIPO DE R.]]="R",COUNTIFS($D$4:$D2965,"R")+1,"")</f>
        <v>2089</v>
      </c>
      <c r="C2966" s="19" t="str">
        <f t="shared" si="230"/>
        <v>B-BCP - Soles</v>
      </c>
      <c r="D2966" s="3" t="s">
        <v>1074</v>
      </c>
      <c r="E2966" s="14">
        <v>45870</v>
      </c>
      <c r="F2966" s="5" t="s">
        <v>267</v>
      </c>
      <c r="G2966" s="5" t="s">
        <v>1087</v>
      </c>
      <c r="H2966" s="6" t="s">
        <v>368</v>
      </c>
      <c r="I2966" s="6" t="s">
        <v>14</v>
      </c>
      <c r="J2966" s="6" t="s">
        <v>1521</v>
      </c>
      <c r="K2966" s="6">
        <v>130</v>
      </c>
      <c r="L2966" s="7" t="s">
        <v>3761</v>
      </c>
      <c r="M2966" s="8">
        <v>7633594</v>
      </c>
      <c r="N2966" s="8" t="str">
        <f t="shared" si="231"/>
        <v>PEN</v>
      </c>
      <c r="O2966" s="13"/>
      <c r="P2966" s="13">
        <v>16859.95</v>
      </c>
      <c r="Q2966" s="3">
        <f t="shared" si="232"/>
        <v>16859.95</v>
      </c>
      <c r="R2966" s="3">
        <f t="shared" si="233"/>
        <v>0</v>
      </c>
      <c r="S2966" s="3">
        <f t="shared" si="234"/>
        <v>20152.61</v>
      </c>
      <c r="T2966" s="24" t="s">
        <v>1081</v>
      </c>
      <c r="U2966" s="24" t="s">
        <v>1081</v>
      </c>
      <c r="V2966" s="69"/>
      <c r="W2966" s="25">
        <f>IFERROR(VLOOKUP(BCP_Soles[[#This Row],[DESTINATARIO]],CHOOSE({1,2},Clientes_Proveedores[Razon Social],Clientes_Proveedores[Ruc / Dni]),2,0),"")</f>
        <v>20558226979</v>
      </c>
      <c r="X2966" s="25"/>
      <c r="Y2966" s="25"/>
      <c r="Z2966" s="25"/>
      <c r="AA2966" s="101"/>
      <c r="AB2966" s="3" t="str">
        <f>IF(BCP_Soles[[#This Row],[FECHA]]&gt;0,TEXT(BCP_Soles[[#This Row],[FECHA]],"mmmm"),0)</f>
        <v>Agosto</v>
      </c>
    </row>
    <row r="2967" spans="2:28" ht="60" x14ac:dyDescent="0.3">
      <c r="B2967" s="2">
        <f>IF(BCP_Soles[[#This Row],[TIPO DE R.]]="R",COUNTIFS($D$4:$D2966,"R")+1,"")</f>
        <v>2090</v>
      </c>
      <c r="C2967" s="19" t="str">
        <f t="shared" si="230"/>
        <v>B-BCP - Soles</v>
      </c>
      <c r="D2967" s="3" t="s">
        <v>1074</v>
      </c>
      <c r="E2967" s="14">
        <v>45870</v>
      </c>
      <c r="F2967" s="5" t="s">
        <v>346</v>
      </c>
      <c r="G2967" s="5" t="s">
        <v>1087</v>
      </c>
      <c r="H2967" s="6" t="s">
        <v>368</v>
      </c>
      <c r="I2967" s="6" t="s">
        <v>14</v>
      </c>
      <c r="J2967" s="6" t="s">
        <v>1521</v>
      </c>
      <c r="K2967" s="6">
        <v>109</v>
      </c>
      <c r="L2967" s="7" t="s">
        <v>3762</v>
      </c>
      <c r="M2967" s="8">
        <v>590581</v>
      </c>
      <c r="N2967" s="8" t="str">
        <f t="shared" si="231"/>
        <v>PEN</v>
      </c>
      <c r="O2967" s="13"/>
      <c r="P2967" s="13">
        <v>6075.02</v>
      </c>
      <c r="Q2967" s="3">
        <f t="shared" si="232"/>
        <v>6075.02</v>
      </c>
      <c r="R2967" s="3">
        <f t="shared" si="233"/>
        <v>0</v>
      </c>
      <c r="S2967" s="3">
        <f t="shared" si="234"/>
        <v>26227.63</v>
      </c>
      <c r="T2967" s="24" t="s">
        <v>1081</v>
      </c>
      <c r="U2967" s="24" t="s">
        <v>1081</v>
      </c>
      <c r="V2967" s="69"/>
      <c r="W2967" s="25">
        <f>IFERROR(VLOOKUP(BCP_Soles[[#This Row],[DESTINATARIO]],CHOOSE({1,2},Clientes_Proveedores[Razon Social],Clientes_Proveedores[Ruc / Dni]),2,0),"")</f>
        <v>20558226979</v>
      </c>
      <c r="X2967" s="25"/>
      <c r="Y2967" s="25"/>
      <c r="Z2967" s="25"/>
      <c r="AA2967" s="101"/>
      <c r="AB2967" s="3" t="str">
        <f>IF(BCP_Soles[[#This Row],[FECHA]]&gt;0,TEXT(BCP_Soles[[#This Row],[FECHA]],"mmmm"),0)</f>
        <v>Agosto</v>
      </c>
    </row>
    <row r="2968" spans="2:28" ht="14.25" customHeight="1" x14ac:dyDescent="0.3">
      <c r="B2968" s="2">
        <f>IF(BCP_Soles[[#This Row],[TIPO DE R.]]="R",COUNTIFS($D$4:$D2967,"R")+1,"")</f>
        <v>2091</v>
      </c>
      <c r="C2968" s="19" t="str">
        <f t="shared" si="230"/>
        <v>B-BCP - Soles</v>
      </c>
      <c r="D2968" s="3" t="s">
        <v>1074</v>
      </c>
      <c r="E2968" s="14">
        <v>45870</v>
      </c>
      <c r="F2968" s="5" t="s">
        <v>179</v>
      </c>
      <c r="G2968" s="5" t="s">
        <v>1087</v>
      </c>
      <c r="H2968" s="6" t="s">
        <v>368</v>
      </c>
      <c r="I2968" s="6" t="s">
        <v>14</v>
      </c>
      <c r="J2968" s="6" t="s">
        <v>1521</v>
      </c>
      <c r="K2968" s="6">
        <v>196</v>
      </c>
      <c r="L2968" s="7" t="s">
        <v>1100</v>
      </c>
      <c r="M2968" s="8">
        <v>1469665</v>
      </c>
      <c r="N2968" s="8" t="str">
        <f t="shared" si="231"/>
        <v>PEN</v>
      </c>
      <c r="O2968" s="13"/>
      <c r="P2968" s="13">
        <v>318.60000000000002</v>
      </c>
      <c r="Q2968" s="3">
        <f t="shared" si="232"/>
        <v>318.60000000000002</v>
      </c>
      <c r="R2968" s="3">
        <f t="shared" si="233"/>
        <v>0</v>
      </c>
      <c r="S2968" s="3">
        <f t="shared" si="234"/>
        <v>26546.23</v>
      </c>
      <c r="T2968" s="24" t="s">
        <v>1081</v>
      </c>
      <c r="U2968" s="24" t="s">
        <v>1081</v>
      </c>
      <c r="V2968" s="69"/>
      <c r="W2968" s="25">
        <f>IFERROR(VLOOKUP(BCP_Soles[[#This Row],[DESTINATARIO]],CHOOSE({1,2},Clientes_Proveedores[Razon Social],Clientes_Proveedores[Ruc / Dni]),2,0),"")</f>
        <v>20558226979</v>
      </c>
      <c r="X2968" s="25"/>
      <c r="Y2968" s="25"/>
      <c r="Z2968" s="25"/>
      <c r="AA2968" s="101"/>
      <c r="AB2968" s="3" t="str">
        <f>IF(BCP_Soles[[#This Row],[FECHA]]&gt;0,TEXT(BCP_Soles[[#This Row],[FECHA]],"mmmm"),0)</f>
        <v>Agosto</v>
      </c>
    </row>
    <row r="2969" spans="2:28" ht="24" x14ac:dyDescent="0.3">
      <c r="B2969" s="2">
        <f>IF(BCP_Soles[[#This Row],[TIPO DE R.]]="R",COUNTIFS($D$4:$D2968,"R")+1,"")</f>
        <v>2092</v>
      </c>
      <c r="C2969" s="19" t="str">
        <f t="shared" si="230"/>
        <v>B-BCP - Soles</v>
      </c>
      <c r="D2969" s="3" t="s">
        <v>1074</v>
      </c>
      <c r="E2969" s="14">
        <v>45870</v>
      </c>
      <c r="F2969" s="5" t="s">
        <v>1745</v>
      </c>
      <c r="G2969" s="5" t="s">
        <v>1087</v>
      </c>
      <c r="H2969" s="6" t="s">
        <v>368</v>
      </c>
      <c r="I2969" s="6" t="s">
        <v>63</v>
      </c>
      <c r="J2969" s="6">
        <v>1</v>
      </c>
      <c r="K2969" s="6">
        <v>4638</v>
      </c>
      <c r="L2969" s="7" t="s">
        <v>1100</v>
      </c>
      <c r="M2969" s="8">
        <v>1140825</v>
      </c>
      <c r="N2969" s="8" t="str">
        <f t="shared" si="231"/>
        <v>PEN</v>
      </c>
      <c r="O2969" s="13"/>
      <c r="P2969" s="13">
        <v>1000</v>
      </c>
      <c r="Q2969" s="3">
        <f t="shared" si="232"/>
        <v>1000</v>
      </c>
      <c r="R2969" s="3">
        <f t="shared" si="233"/>
        <v>0</v>
      </c>
      <c r="S2969" s="3">
        <f t="shared" si="234"/>
        <v>27546.23</v>
      </c>
      <c r="T2969" s="24" t="s">
        <v>1081</v>
      </c>
      <c r="U2969" s="24"/>
      <c r="V2969" s="69"/>
      <c r="W2969" s="25">
        <f>IFERROR(VLOOKUP(BCP_Soles[[#This Row],[DESTINATARIO]],CHOOSE({1,2},Clientes_Proveedores[Razon Social],Clientes_Proveedores[Ruc / Dni]),2,0),"")</f>
        <v>20558226979</v>
      </c>
      <c r="X2969" s="25"/>
      <c r="Y2969" s="25"/>
      <c r="Z2969" s="25"/>
      <c r="AA2969" s="101"/>
      <c r="AB2969" s="3" t="str">
        <f>IF(BCP_Soles[[#This Row],[FECHA]]&gt;0,TEXT(BCP_Soles[[#This Row],[FECHA]],"mmmm"),0)</f>
        <v>Agosto</v>
      </c>
    </row>
    <row r="2970" spans="2:28" ht="36" x14ac:dyDescent="0.3">
      <c r="B2970" s="2">
        <f>IF(BCP_Soles[[#This Row],[TIPO DE R.]]="R",COUNTIFS($D$4:$D2969,"R")+1,"")</f>
        <v>2093</v>
      </c>
      <c r="C2970" s="19" t="str">
        <f t="shared" si="230"/>
        <v>B-BCP - Soles</v>
      </c>
      <c r="D2970" s="3" t="s">
        <v>1074</v>
      </c>
      <c r="E2970" s="14">
        <v>45870</v>
      </c>
      <c r="F2970" s="5" t="s">
        <v>353</v>
      </c>
      <c r="G2970" s="5" t="s">
        <v>1087</v>
      </c>
      <c r="H2970" s="6" t="s">
        <v>368</v>
      </c>
      <c r="I2970" s="6" t="s">
        <v>14</v>
      </c>
      <c r="J2970" s="6" t="s">
        <v>3010</v>
      </c>
      <c r="K2970" s="6">
        <v>101</v>
      </c>
      <c r="L2970" s="7" t="s">
        <v>1100</v>
      </c>
      <c r="M2970" s="8">
        <v>3249196</v>
      </c>
      <c r="N2970" s="8" t="str">
        <f t="shared" si="231"/>
        <v>PEN</v>
      </c>
      <c r="O2970" s="13"/>
      <c r="P2970" s="13">
        <v>5813.28</v>
      </c>
      <c r="Q2970" s="3">
        <f t="shared" si="232"/>
        <v>5813.28</v>
      </c>
      <c r="R2970" s="3">
        <f t="shared" si="233"/>
        <v>0</v>
      </c>
      <c r="S2970" s="3">
        <f t="shared" si="234"/>
        <v>33359.51</v>
      </c>
      <c r="T2970" s="24" t="s">
        <v>1081</v>
      </c>
      <c r="U2970" s="24" t="s">
        <v>1081</v>
      </c>
      <c r="V2970" s="69"/>
      <c r="W2970" s="25">
        <f>IFERROR(VLOOKUP(BCP_Soles[[#This Row],[DESTINATARIO]],CHOOSE({1,2},Clientes_Proveedores[Razon Social],Clientes_Proveedores[Ruc / Dni]),2,0),"")</f>
        <v>20558226979</v>
      </c>
      <c r="X2970" s="25"/>
      <c r="Y2970" s="25"/>
      <c r="Z2970" s="25"/>
      <c r="AA2970" s="101"/>
      <c r="AB2970" s="3" t="str">
        <f>IF(BCP_Soles[[#This Row],[FECHA]]&gt;0,TEXT(BCP_Soles[[#This Row],[FECHA]],"mmmm"),0)</f>
        <v>Agosto</v>
      </c>
    </row>
    <row r="2971" spans="2:28" ht="24" x14ac:dyDescent="0.3">
      <c r="B2971" s="2">
        <f>IF(BCP_Soles[[#This Row],[TIPO DE R.]]="R",COUNTIFS($D$4:$D2970,"R")+1,"")</f>
        <v>2094</v>
      </c>
      <c r="C2971" s="19" t="str">
        <f t="shared" si="230"/>
        <v>B-BCP - Soles</v>
      </c>
      <c r="D2971" s="3" t="s">
        <v>1074</v>
      </c>
      <c r="E2971" s="14">
        <v>45870</v>
      </c>
      <c r="F2971" s="5" t="s">
        <v>1082</v>
      </c>
      <c r="G2971" s="5" t="s">
        <v>1079</v>
      </c>
      <c r="H2971" s="6" t="s">
        <v>650</v>
      </c>
      <c r="I2971" s="6" t="s">
        <v>14</v>
      </c>
      <c r="J2971" s="6" t="s">
        <v>1395</v>
      </c>
      <c r="K2971" s="6">
        <v>305477</v>
      </c>
      <c r="L2971" s="7" t="s">
        <v>3763</v>
      </c>
      <c r="M2971" s="8">
        <v>239259</v>
      </c>
      <c r="N2971" s="8" t="str">
        <f t="shared" si="231"/>
        <v>PEN</v>
      </c>
      <c r="O2971" s="13"/>
      <c r="P2971" s="13">
        <v>20.77</v>
      </c>
      <c r="Q2971" s="3">
        <f t="shared" si="232"/>
        <v>0</v>
      </c>
      <c r="R2971" s="3">
        <f t="shared" si="233"/>
        <v>20.77</v>
      </c>
      <c r="S2971" s="3">
        <f t="shared" si="234"/>
        <v>33338.740000000005</v>
      </c>
      <c r="T2971" s="24" t="s">
        <v>1081</v>
      </c>
      <c r="U2971" s="24" t="s">
        <v>1081</v>
      </c>
      <c r="V2971" s="103" t="s">
        <v>3764</v>
      </c>
      <c r="W2971" s="25">
        <f>IFERROR(VLOOKUP(BCP_Soles[[#This Row],[DESTINATARIO]],CHOOSE({1,2},Clientes_Proveedores[Razon Social],Clientes_Proveedores[Ruc / Dni]),2,0),"")</f>
        <v>20467534026</v>
      </c>
      <c r="X2971" s="25"/>
      <c r="Y2971" s="25"/>
      <c r="Z2971" s="25"/>
      <c r="AA2971" s="101"/>
      <c r="AB2971" s="3" t="str">
        <f>IF(BCP_Soles[[#This Row],[FECHA]]&gt;0,TEXT(BCP_Soles[[#This Row],[FECHA]],"mmmm"),0)</f>
        <v>Agosto</v>
      </c>
    </row>
    <row r="2972" spans="2:28" x14ac:dyDescent="0.3">
      <c r="B2972" s="2">
        <f>IF(BCP_Soles[[#This Row],[TIPO DE R.]]="R",COUNTIFS($D$4:$D2971,"R")+1,"")</f>
        <v>2095</v>
      </c>
      <c r="C2972" s="19" t="str">
        <f t="shared" si="230"/>
        <v>B-BCP - Soles</v>
      </c>
      <c r="D2972" s="3" t="s">
        <v>1074</v>
      </c>
      <c r="E2972" s="14">
        <v>45870</v>
      </c>
      <c r="F2972" s="5" t="s">
        <v>1082</v>
      </c>
      <c r="G2972" s="5" t="s">
        <v>1079</v>
      </c>
      <c r="H2972" s="6" t="s">
        <v>637</v>
      </c>
      <c r="I2972" s="6"/>
      <c r="J2972" s="6"/>
      <c r="K2972" s="6"/>
      <c r="L2972" s="7" t="s">
        <v>3268</v>
      </c>
      <c r="M2972" s="8">
        <v>236850</v>
      </c>
      <c r="N2972" s="8" t="str">
        <f t="shared" si="231"/>
        <v>PEN</v>
      </c>
      <c r="O2972" s="13"/>
      <c r="P2972" s="13">
        <v>3882.01</v>
      </c>
      <c r="Q2972" s="3">
        <f t="shared" si="232"/>
        <v>0</v>
      </c>
      <c r="R2972" s="3">
        <f t="shared" si="233"/>
        <v>3882.01</v>
      </c>
      <c r="S2972" s="3">
        <f t="shared" si="234"/>
        <v>29456.730000000003</v>
      </c>
      <c r="T2972" s="24" t="s">
        <v>1081</v>
      </c>
      <c r="U2972" s="24" t="s">
        <v>1081</v>
      </c>
      <c r="V2972" s="103" t="s">
        <v>3765</v>
      </c>
      <c r="W2972" s="25">
        <f>IFERROR(VLOOKUP(BCP_Soles[[#This Row],[DESTINATARIO]],CHOOSE({1,2},Clientes_Proveedores[Razon Social],Clientes_Proveedores[Ruc / Dni]),2,0),"")</f>
        <v>20127765279</v>
      </c>
      <c r="X2972" s="25"/>
      <c r="Y2972" s="25"/>
      <c r="Z2972" s="25"/>
      <c r="AA2972" s="101"/>
      <c r="AB2972" s="3" t="str">
        <f>IF(BCP_Soles[[#This Row],[FECHA]]&gt;0,TEXT(BCP_Soles[[#This Row],[FECHA]],"mmmm"),0)</f>
        <v>Agosto</v>
      </c>
    </row>
    <row r="2973" spans="2:28" x14ac:dyDescent="0.3">
      <c r="B2973" s="2" t="str">
        <f>IF(BCP_Soles[[#This Row],[TIPO DE R.]]="R",COUNTIFS($D$4:$D2972,"R")+1,"")</f>
        <v/>
      </c>
      <c r="C2973" s="19" t="str">
        <f t="shared" si="230"/>
        <v>B-BCP - Soles</v>
      </c>
      <c r="D2973" s="3" t="s">
        <v>1101</v>
      </c>
      <c r="E2973" s="14">
        <v>45870</v>
      </c>
      <c r="F2973" s="5" t="s">
        <v>1082</v>
      </c>
      <c r="G2973" s="5"/>
      <c r="H2973" s="6" t="s">
        <v>637</v>
      </c>
      <c r="I2973" s="6" t="s">
        <v>14</v>
      </c>
      <c r="J2973" s="6" t="s">
        <v>1253</v>
      </c>
      <c r="K2973" s="6">
        <v>173479</v>
      </c>
      <c r="L2973" s="7" t="s">
        <v>3268</v>
      </c>
      <c r="M2973" s="8">
        <v>236850</v>
      </c>
      <c r="N2973" s="8" t="str">
        <f t="shared" si="231"/>
        <v>PEN</v>
      </c>
      <c r="O2973" s="13">
        <v>1444.68</v>
      </c>
      <c r="P2973" s="13"/>
      <c r="Q2973" s="3">
        <f t="shared" si="232"/>
        <v>0</v>
      </c>
      <c r="R2973" s="3">
        <f t="shared" si="233"/>
        <v>0</v>
      </c>
      <c r="S2973" s="3">
        <f t="shared" si="234"/>
        <v>29456.730000000003</v>
      </c>
      <c r="T2973" s="24" t="s">
        <v>1081</v>
      </c>
      <c r="U2973" s="24" t="s">
        <v>1081</v>
      </c>
      <c r="V2973" s="103"/>
      <c r="W2973" s="25">
        <f>IFERROR(VLOOKUP(BCP_Soles[[#This Row],[DESTINATARIO]],CHOOSE({1,2},Clientes_Proveedores[Razon Social],Clientes_Proveedores[Ruc / Dni]),2,0),"")</f>
        <v>20127765279</v>
      </c>
      <c r="X2973" s="25"/>
      <c r="Y2973" s="25"/>
      <c r="Z2973" s="25"/>
      <c r="AA2973" s="101"/>
      <c r="AB2973" s="3" t="str">
        <f>IF(BCP_Soles[[#This Row],[FECHA]]&gt;0,TEXT(BCP_Soles[[#This Row],[FECHA]],"mmmm"),0)</f>
        <v>Agosto</v>
      </c>
    </row>
    <row r="2974" spans="2:28" x14ac:dyDescent="0.3">
      <c r="B2974" s="2" t="str">
        <f>IF(BCP_Soles[[#This Row],[TIPO DE R.]]="R",COUNTIFS($D$4:$D2973,"R")+1,"")</f>
        <v/>
      </c>
      <c r="C2974" s="19" t="str">
        <f t="shared" si="230"/>
        <v>B-BCP - Soles</v>
      </c>
      <c r="D2974" s="3" t="s">
        <v>1101</v>
      </c>
      <c r="E2974" s="14">
        <v>45870</v>
      </c>
      <c r="F2974" s="5" t="s">
        <v>1082</v>
      </c>
      <c r="G2974" s="5"/>
      <c r="H2974" s="6" t="s">
        <v>637</v>
      </c>
      <c r="I2974" s="6" t="s">
        <v>14</v>
      </c>
      <c r="J2974" s="6" t="s">
        <v>1453</v>
      </c>
      <c r="K2974" s="6">
        <v>149675</v>
      </c>
      <c r="L2974" s="7" t="s">
        <v>3268</v>
      </c>
      <c r="M2974" s="8">
        <v>236850</v>
      </c>
      <c r="N2974" s="8" t="str">
        <f t="shared" si="231"/>
        <v>PEN</v>
      </c>
      <c r="O2974" s="13">
        <v>2437.33</v>
      </c>
      <c r="P2974" s="13"/>
      <c r="Q2974" s="3">
        <f t="shared" si="232"/>
        <v>0</v>
      </c>
      <c r="R2974" s="3">
        <f t="shared" si="233"/>
        <v>0</v>
      </c>
      <c r="S2974" s="3">
        <f t="shared" si="234"/>
        <v>29456.730000000003</v>
      </c>
      <c r="T2974" s="24" t="s">
        <v>1081</v>
      </c>
      <c r="U2974" s="24" t="s">
        <v>1081</v>
      </c>
      <c r="V2974" s="103"/>
      <c r="W2974" s="25">
        <f>IFERROR(VLOOKUP(BCP_Soles[[#This Row],[DESTINATARIO]],CHOOSE({1,2},Clientes_Proveedores[Razon Social],Clientes_Proveedores[Ruc / Dni]),2,0),"")</f>
        <v>20127765279</v>
      </c>
      <c r="X2974" s="25"/>
      <c r="Y2974" s="25"/>
      <c r="Z2974" s="25"/>
      <c r="AA2974" s="101"/>
      <c r="AB2974" s="3" t="str">
        <f>IF(BCP_Soles[[#This Row],[FECHA]]&gt;0,TEXT(BCP_Soles[[#This Row],[FECHA]],"mmmm"),0)</f>
        <v>Agosto</v>
      </c>
    </row>
    <row r="2975" spans="2:28" ht="24" x14ac:dyDescent="0.3">
      <c r="B2975" s="2">
        <f>IF(BCP_Soles[[#This Row],[TIPO DE R.]]="R",COUNTIFS($D$4:$D2974,"R")+1,"")</f>
        <v>2096</v>
      </c>
      <c r="C2975" s="19" t="str">
        <f t="shared" si="230"/>
        <v>B-BCP - Soles</v>
      </c>
      <c r="D2975" s="3" t="s">
        <v>1074</v>
      </c>
      <c r="E2975" s="14">
        <v>45870</v>
      </c>
      <c r="F2975" s="5" t="s">
        <v>1082</v>
      </c>
      <c r="G2975" s="5" t="s">
        <v>1079</v>
      </c>
      <c r="H2975" s="6" t="s">
        <v>1010</v>
      </c>
      <c r="I2975" s="6"/>
      <c r="J2975" s="6"/>
      <c r="K2975" s="6"/>
      <c r="L2975" s="7" t="s">
        <v>3766</v>
      </c>
      <c r="M2975" s="8">
        <v>1274426</v>
      </c>
      <c r="N2975" s="8" t="str">
        <f t="shared" si="231"/>
        <v>PEN</v>
      </c>
      <c r="O2975" s="13"/>
      <c r="P2975" s="13">
        <v>1306.54</v>
      </c>
      <c r="Q2975" s="3">
        <f t="shared" si="232"/>
        <v>0</v>
      </c>
      <c r="R2975" s="3">
        <f t="shared" si="233"/>
        <v>1306.54</v>
      </c>
      <c r="S2975" s="3">
        <f t="shared" si="234"/>
        <v>28150.190000000002</v>
      </c>
      <c r="T2975" s="24"/>
      <c r="U2975" s="24"/>
      <c r="V2975" s="103" t="s">
        <v>3767</v>
      </c>
      <c r="W2975" s="25">
        <f>IFERROR(VLOOKUP(BCP_Soles[[#This Row],[DESTINATARIO]],CHOOSE({1,2},Clientes_Proveedores[Razon Social],Clientes_Proveedores[Ruc / Dni]),2,0),"")</f>
        <v>72378581</v>
      </c>
      <c r="X2975" s="25"/>
      <c r="Y2975" s="25"/>
      <c r="Z2975" s="25"/>
      <c r="AA2975" s="101"/>
      <c r="AB2975" s="3" t="str">
        <f>IF(BCP_Soles[[#This Row],[FECHA]]&gt;0,TEXT(BCP_Soles[[#This Row],[FECHA]],"mmmm"),0)</f>
        <v>Agosto</v>
      </c>
    </row>
    <row r="2976" spans="2:28" ht="24" x14ac:dyDescent="0.3">
      <c r="B2976" s="2">
        <f>IF(BCP_Soles[[#This Row],[TIPO DE R.]]="R",COUNTIFS($D$4:$D2975,"R")+1,"")</f>
        <v>2097</v>
      </c>
      <c r="C2976" s="19" t="str">
        <f t="shared" si="230"/>
        <v>B-BCP - Soles</v>
      </c>
      <c r="D2976" s="3" t="s">
        <v>1074</v>
      </c>
      <c r="E2976" s="14">
        <v>45870</v>
      </c>
      <c r="F2976" s="5" t="s">
        <v>1082</v>
      </c>
      <c r="G2976" s="5" t="s">
        <v>1079</v>
      </c>
      <c r="H2976" s="6" t="s">
        <v>908</v>
      </c>
      <c r="I2976" s="6" t="s">
        <v>87</v>
      </c>
      <c r="J2976" s="6">
        <v>1</v>
      </c>
      <c r="K2976" s="6">
        <v>512025</v>
      </c>
      <c r="L2976" s="7" t="s">
        <v>3768</v>
      </c>
      <c r="M2976" s="8">
        <v>1275906</v>
      </c>
      <c r="N2976" s="8" t="str">
        <f t="shared" si="231"/>
        <v>PEN</v>
      </c>
      <c r="O2976" s="13"/>
      <c r="P2976" s="13">
        <v>442</v>
      </c>
      <c r="Q2976" s="3">
        <f t="shared" si="232"/>
        <v>0</v>
      </c>
      <c r="R2976" s="3">
        <f t="shared" si="233"/>
        <v>442</v>
      </c>
      <c r="S2976" s="3">
        <f t="shared" si="234"/>
        <v>27708.190000000002</v>
      </c>
      <c r="T2976" s="24"/>
      <c r="U2976" s="24"/>
      <c r="V2976" s="103" t="s">
        <v>3769</v>
      </c>
      <c r="W2976" s="25">
        <f>IFERROR(VLOOKUP(BCP_Soles[[#This Row],[DESTINATARIO]],CHOOSE({1,2},Clientes_Proveedores[Razon Social],Clientes_Proveedores[Ruc / Dni]),2,0),"")</f>
        <v>70517150</v>
      </c>
      <c r="X2976" s="25"/>
      <c r="Y2976" s="25"/>
      <c r="Z2976" s="25"/>
      <c r="AA2976" s="101"/>
      <c r="AB2976" s="3" t="str">
        <f>IF(BCP_Soles[[#This Row],[FECHA]]&gt;0,TEXT(BCP_Soles[[#This Row],[FECHA]],"mmmm"),0)</f>
        <v>Agosto</v>
      </c>
    </row>
    <row r="2977" spans="2:28" ht="24" x14ac:dyDescent="0.3">
      <c r="B2977" s="2">
        <f>IF(BCP_Soles[[#This Row],[TIPO DE R.]]="R",COUNTIFS($D$4:$D2976,"R")+1,"")</f>
        <v>2098</v>
      </c>
      <c r="C2977" s="19" t="str">
        <f t="shared" si="230"/>
        <v>B-BCP - Soles</v>
      </c>
      <c r="D2977" s="3" t="s">
        <v>1074</v>
      </c>
      <c r="E2977" s="14">
        <v>45870</v>
      </c>
      <c r="F2977" s="5" t="s">
        <v>1082</v>
      </c>
      <c r="G2977" s="5" t="s">
        <v>1079</v>
      </c>
      <c r="H2977" s="6" t="s">
        <v>817</v>
      </c>
      <c r="I2977" s="6" t="s">
        <v>95</v>
      </c>
      <c r="J2977" s="6" t="s">
        <v>3758</v>
      </c>
      <c r="K2977" s="6">
        <v>25</v>
      </c>
      <c r="L2977" s="7" t="s">
        <v>3770</v>
      </c>
      <c r="M2977" s="8">
        <v>7618239</v>
      </c>
      <c r="N2977" s="8" t="str">
        <f t="shared" si="231"/>
        <v>PEN</v>
      </c>
      <c r="O2977" s="13"/>
      <c r="P2977" s="13">
        <v>1394.18</v>
      </c>
      <c r="Q2977" s="3">
        <f t="shared" si="232"/>
        <v>0</v>
      </c>
      <c r="R2977" s="3">
        <f t="shared" si="233"/>
        <v>1394.18</v>
      </c>
      <c r="S2977" s="3">
        <f t="shared" si="234"/>
        <v>26314.010000000002</v>
      </c>
      <c r="T2977" s="24" t="s">
        <v>1081</v>
      </c>
      <c r="U2977" s="24"/>
      <c r="V2977" s="69"/>
      <c r="W2977" s="25">
        <f>IFERROR(VLOOKUP(BCP_Soles[[#This Row],[DESTINATARIO]],CHOOSE({1,2},Clientes_Proveedores[Razon Social],Clientes_Proveedores[Ruc / Dni]),2,0),"")</f>
        <v>1829028</v>
      </c>
      <c r="X2977" s="25"/>
      <c r="Y2977" s="25"/>
      <c r="Z2977" s="25"/>
      <c r="AA2977" s="101"/>
      <c r="AB2977" s="3" t="str">
        <f>IF(BCP_Soles[[#This Row],[FECHA]]&gt;0,TEXT(BCP_Soles[[#This Row],[FECHA]],"mmmm"),0)</f>
        <v>Agosto</v>
      </c>
    </row>
    <row r="2978" spans="2:28" x14ac:dyDescent="0.3">
      <c r="B2978" s="2">
        <f>IF(BCP_Soles[[#This Row],[TIPO DE R.]]="R",COUNTIFS($D$4:$D2977,"R")+1,"")</f>
        <v>2099</v>
      </c>
      <c r="C2978" s="19" t="str">
        <f t="shared" si="230"/>
        <v>B-BCP - Soles</v>
      </c>
      <c r="D2978" s="3" t="s">
        <v>1074</v>
      </c>
      <c r="E2978" s="14">
        <v>45870</v>
      </c>
      <c r="F2978" s="5" t="s">
        <v>1082</v>
      </c>
      <c r="G2978" s="5" t="s">
        <v>1079</v>
      </c>
      <c r="H2978" s="6" t="s">
        <v>638</v>
      </c>
      <c r="I2978" s="6"/>
      <c r="J2978" s="6"/>
      <c r="K2978" s="6"/>
      <c r="L2978" s="7" t="s">
        <v>3771</v>
      </c>
      <c r="M2978" s="8">
        <v>7618301</v>
      </c>
      <c r="N2978" s="8" t="str">
        <f t="shared" si="231"/>
        <v>PEN</v>
      </c>
      <c r="O2978" s="13"/>
      <c r="P2978" s="13">
        <v>2945.2</v>
      </c>
      <c r="Q2978" s="3">
        <f t="shared" si="232"/>
        <v>0</v>
      </c>
      <c r="R2978" s="3">
        <f t="shared" si="233"/>
        <v>2945.2</v>
      </c>
      <c r="S2978" s="3">
        <f t="shared" si="234"/>
        <v>23368.81</v>
      </c>
      <c r="T2978" s="24" t="s">
        <v>1081</v>
      </c>
      <c r="U2978" s="24" t="s">
        <v>1081</v>
      </c>
      <c r="V2978" s="103" t="s">
        <v>3772</v>
      </c>
      <c r="W2978" s="25">
        <f>IFERROR(VLOOKUP(BCP_Soles[[#This Row],[DESTINATARIO]],CHOOSE({1,2},Clientes_Proveedores[Razon Social],Clientes_Proveedores[Ruc / Dni]),2,0),"")</f>
        <v>0</v>
      </c>
      <c r="X2978" s="25"/>
      <c r="Y2978" s="25"/>
      <c r="Z2978" s="25"/>
      <c r="AA2978" s="101"/>
      <c r="AB2978" s="3" t="str">
        <f>IF(BCP_Soles[[#This Row],[FECHA]]&gt;0,TEXT(BCP_Soles[[#This Row],[FECHA]],"mmmm"),0)</f>
        <v>Agosto</v>
      </c>
    </row>
    <row r="2979" spans="2:28" ht="36" x14ac:dyDescent="0.3">
      <c r="B2979" s="2" t="str">
        <f>IF(BCP_Soles[[#This Row],[TIPO DE R.]]="R",COUNTIFS($D$4:$D2978,"R")+1,"")</f>
        <v/>
      </c>
      <c r="C2979" s="19" t="str">
        <f t="shared" si="230"/>
        <v>B-BCP - Soles</v>
      </c>
      <c r="D2979" s="3" t="s">
        <v>1101</v>
      </c>
      <c r="E2979" s="14">
        <v>45870</v>
      </c>
      <c r="F2979" s="5" t="s">
        <v>1082</v>
      </c>
      <c r="G2979" s="5"/>
      <c r="H2979" s="6" t="s">
        <v>220</v>
      </c>
      <c r="I2979" s="6" t="s">
        <v>14</v>
      </c>
      <c r="J2979" s="6" t="s">
        <v>1148</v>
      </c>
      <c r="K2979" s="6">
        <v>1802</v>
      </c>
      <c r="L2979" s="7" t="s">
        <v>3771</v>
      </c>
      <c r="M2979" s="8">
        <v>7618301</v>
      </c>
      <c r="N2979" s="8" t="str">
        <f t="shared" si="231"/>
        <v>PEN</v>
      </c>
      <c r="O2979" s="13">
        <v>2544</v>
      </c>
      <c r="P2979" s="13"/>
      <c r="Q2979" s="3">
        <f t="shared" si="232"/>
        <v>0</v>
      </c>
      <c r="R2979" s="3">
        <f t="shared" si="233"/>
        <v>0</v>
      </c>
      <c r="S2979" s="3">
        <f t="shared" si="234"/>
        <v>23368.81</v>
      </c>
      <c r="T2979" s="24" t="s">
        <v>1081</v>
      </c>
      <c r="U2979" s="24" t="s">
        <v>1081</v>
      </c>
      <c r="V2979" s="103"/>
      <c r="W2979" s="25">
        <f>IFERROR(VLOOKUP(BCP_Soles[[#This Row],[DESTINATARIO]],CHOOSE({1,2},Clientes_Proveedores[Razon Social],Clientes_Proveedores[Ruc / Dni]),2,0),"")</f>
        <v>20429640939</v>
      </c>
      <c r="X2979" s="25"/>
      <c r="Y2979" s="25"/>
      <c r="Z2979" s="25"/>
      <c r="AA2979" s="101"/>
      <c r="AB2979" s="3" t="str">
        <f>IF(BCP_Soles[[#This Row],[FECHA]]&gt;0,TEXT(BCP_Soles[[#This Row],[FECHA]],"mmmm"),0)</f>
        <v>Agosto</v>
      </c>
    </row>
    <row r="2980" spans="2:28" x14ac:dyDescent="0.3">
      <c r="B2980" s="2" t="str">
        <f>IF(BCP_Soles[[#This Row],[TIPO DE R.]]="R",COUNTIFS($D$4:$D2979,"R")+1,"")</f>
        <v/>
      </c>
      <c r="C2980" s="19" t="str">
        <f t="shared" si="230"/>
        <v>B-BCP - Soles</v>
      </c>
      <c r="D2980" s="3" t="s">
        <v>1101</v>
      </c>
      <c r="E2980" s="14">
        <v>45870</v>
      </c>
      <c r="F2980" s="5" t="s">
        <v>1082</v>
      </c>
      <c r="G2980" s="5"/>
      <c r="H2980" s="6" t="s">
        <v>465</v>
      </c>
      <c r="I2980" s="6" t="s">
        <v>14</v>
      </c>
      <c r="J2980" s="6" t="s">
        <v>1121</v>
      </c>
      <c r="K2980" s="6">
        <v>4001</v>
      </c>
      <c r="L2980" s="7" t="s">
        <v>3771</v>
      </c>
      <c r="M2980" s="8">
        <v>7618301</v>
      </c>
      <c r="N2980" s="8" t="str">
        <f t="shared" si="231"/>
        <v>PEN</v>
      </c>
      <c r="O2980" s="13">
        <v>401.2</v>
      </c>
      <c r="P2980" s="13"/>
      <c r="Q2980" s="3">
        <f t="shared" si="232"/>
        <v>0</v>
      </c>
      <c r="R2980" s="3">
        <f t="shared" si="233"/>
        <v>0</v>
      </c>
      <c r="S2980" s="3">
        <f t="shared" si="234"/>
        <v>23368.81</v>
      </c>
      <c r="T2980" s="24" t="s">
        <v>1081</v>
      </c>
      <c r="U2980" s="24" t="s">
        <v>1081</v>
      </c>
      <c r="V2980" s="103"/>
      <c r="W2980" s="25">
        <f>IFERROR(VLOOKUP(BCP_Soles[[#This Row],[DESTINATARIO]],CHOOSE({1,2},Clientes_Proveedores[Razon Social],Clientes_Proveedores[Ruc / Dni]),2,0),"")</f>
        <v>20603974817</v>
      </c>
      <c r="X2980" s="25"/>
      <c r="Y2980" s="25"/>
      <c r="Z2980" s="25"/>
      <c r="AA2980" s="101"/>
      <c r="AB2980" s="3" t="str">
        <f>IF(BCP_Soles[[#This Row],[FECHA]]&gt;0,TEXT(BCP_Soles[[#This Row],[FECHA]],"mmmm"),0)</f>
        <v>Agosto</v>
      </c>
    </row>
    <row r="2981" spans="2:28" x14ac:dyDescent="0.3">
      <c r="B2981" s="2">
        <f>IF(BCP_Soles[[#This Row],[TIPO DE R.]]="R",COUNTIFS($D$4:$D2980,"R")+1,"")</f>
        <v>2100</v>
      </c>
      <c r="C2981" s="19" t="str">
        <f t="shared" si="230"/>
        <v>B-BCP - Soles</v>
      </c>
      <c r="D2981" s="3" t="s">
        <v>1074</v>
      </c>
      <c r="E2981" s="14">
        <v>45870</v>
      </c>
      <c r="F2981" s="5" t="s">
        <v>1082</v>
      </c>
      <c r="G2981" s="5" t="s">
        <v>1079</v>
      </c>
      <c r="H2981" s="6" t="s">
        <v>638</v>
      </c>
      <c r="I2981" s="6"/>
      <c r="J2981" s="6"/>
      <c r="K2981" s="6"/>
      <c r="L2981" s="7" t="s">
        <v>3773</v>
      </c>
      <c r="M2981" s="8">
        <v>7623995</v>
      </c>
      <c r="N2981" s="8" t="str">
        <f t="shared" si="231"/>
        <v>PEN</v>
      </c>
      <c r="O2981" s="13"/>
      <c r="P2981" s="13">
        <v>3886.1</v>
      </c>
      <c r="Q2981" s="3">
        <f t="shared" si="232"/>
        <v>0</v>
      </c>
      <c r="R2981" s="3">
        <f t="shared" si="233"/>
        <v>3886.1</v>
      </c>
      <c r="S2981" s="3">
        <f t="shared" si="234"/>
        <v>19482.710000000003</v>
      </c>
      <c r="T2981" s="24" t="s">
        <v>1081</v>
      </c>
      <c r="U2981" s="24" t="s">
        <v>1081</v>
      </c>
      <c r="V2981" s="103" t="s">
        <v>3774</v>
      </c>
      <c r="W2981" s="25">
        <f>IFERROR(VLOOKUP(BCP_Soles[[#This Row],[DESTINATARIO]],CHOOSE({1,2},Clientes_Proveedores[Razon Social],Clientes_Proveedores[Ruc / Dni]),2,0),"")</f>
        <v>0</v>
      </c>
      <c r="X2981" s="25"/>
      <c r="Y2981" s="25"/>
      <c r="Z2981" s="25"/>
      <c r="AA2981" s="101"/>
      <c r="AB2981" s="3" t="str">
        <f>IF(BCP_Soles[[#This Row],[FECHA]]&gt;0,TEXT(BCP_Soles[[#This Row],[FECHA]],"mmmm"),0)</f>
        <v>Agosto</v>
      </c>
    </row>
    <row r="2982" spans="2:28" ht="24" x14ac:dyDescent="0.3">
      <c r="B2982" s="2" t="str">
        <f>IF(BCP_Soles[[#This Row],[TIPO DE R.]]="R",COUNTIFS($D$4:$D2981,"R")+1,"")</f>
        <v/>
      </c>
      <c r="C2982" s="19" t="str">
        <f t="shared" si="230"/>
        <v>B-BCP - Soles</v>
      </c>
      <c r="D2982" s="3" t="s">
        <v>1101</v>
      </c>
      <c r="E2982" s="14">
        <v>45870</v>
      </c>
      <c r="F2982" s="5" t="s">
        <v>1082</v>
      </c>
      <c r="G2982" s="5"/>
      <c r="H2982" s="6" t="s">
        <v>214</v>
      </c>
      <c r="I2982" s="6" t="s">
        <v>14</v>
      </c>
      <c r="J2982" s="6" t="s">
        <v>1120</v>
      </c>
      <c r="K2982" s="6">
        <v>6961</v>
      </c>
      <c r="L2982" s="7" t="s">
        <v>3773</v>
      </c>
      <c r="M2982" s="8">
        <v>7623995</v>
      </c>
      <c r="N2982" s="8" t="str">
        <f t="shared" si="231"/>
        <v>PEN</v>
      </c>
      <c r="O2982" s="13">
        <v>806.72</v>
      </c>
      <c r="P2982" s="13"/>
      <c r="Q2982" s="3">
        <f t="shared" si="232"/>
        <v>0</v>
      </c>
      <c r="R2982" s="3">
        <f t="shared" si="233"/>
        <v>0</v>
      </c>
      <c r="S2982" s="3">
        <f t="shared" si="234"/>
        <v>19482.710000000003</v>
      </c>
      <c r="T2982" s="24" t="s">
        <v>1081</v>
      </c>
      <c r="U2982" s="24" t="s">
        <v>1081</v>
      </c>
      <c r="V2982" s="103"/>
      <c r="W2982" s="25">
        <f>IFERROR(VLOOKUP(BCP_Soles[[#This Row],[DESTINATARIO]],CHOOSE({1,2},Clientes_Proveedores[Razon Social],Clientes_Proveedores[Ruc / Dni]),2,0),"")</f>
        <v>20419158462</v>
      </c>
      <c r="X2982" s="25"/>
      <c r="Y2982" s="25"/>
      <c r="Z2982" s="25"/>
      <c r="AA2982" s="101"/>
      <c r="AB2982" s="3" t="str">
        <f>IF(BCP_Soles[[#This Row],[FECHA]]&gt;0,TEXT(BCP_Soles[[#This Row],[FECHA]],"mmmm"),0)</f>
        <v>Agosto</v>
      </c>
    </row>
    <row r="2983" spans="2:28" ht="24" x14ac:dyDescent="0.3">
      <c r="B2983" s="2" t="str">
        <f>IF(BCP_Soles[[#This Row],[TIPO DE R.]]="R",COUNTIFS($D$4:$D2982,"R")+1,"")</f>
        <v/>
      </c>
      <c r="C2983" s="19" t="str">
        <f t="shared" si="230"/>
        <v>B-BCP - Soles</v>
      </c>
      <c r="D2983" s="3" t="s">
        <v>1101</v>
      </c>
      <c r="E2983" s="14">
        <v>45870</v>
      </c>
      <c r="F2983" s="5" t="s">
        <v>1082</v>
      </c>
      <c r="G2983" s="5"/>
      <c r="H2983" s="6" t="s">
        <v>214</v>
      </c>
      <c r="I2983" s="6" t="s">
        <v>14</v>
      </c>
      <c r="J2983" s="6" t="s">
        <v>1120</v>
      </c>
      <c r="K2983" s="6">
        <v>6957</v>
      </c>
      <c r="L2983" s="7" t="s">
        <v>3773</v>
      </c>
      <c r="M2983" s="8">
        <v>7623995</v>
      </c>
      <c r="N2983" s="8" t="str">
        <f t="shared" si="231"/>
        <v>PEN</v>
      </c>
      <c r="O2983" s="13">
        <v>1334</v>
      </c>
      <c r="P2983" s="13"/>
      <c r="Q2983" s="3">
        <f t="shared" si="232"/>
        <v>0</v>
      </c>
      <c r="R2983" s="3">
        <f t="shared" si="233"/>
        <v>0</v>
      </c>
      <c r="S2983" s="3">
        <f t="shared" si="234"/>
        <v>19482.710000000003</v>
      </c>
      <c r="T2983" s="24" t="s">
        <v>1081</v>
      </c>
      <c r="U2983" s="24" t="s">
        <v>1081</v>
      </c>
      <c r="V2983" s="103"/>
      <c r="W2983" s="25">
        <f>IFERROR(VLOOKUP(BCP_Soles[[#This Row],[DESTINATARIO]],CHOOSE({1,2},Clientes_Proveedores[Razon Social],Clientes_Proveedores[Ruc / Dni]),2,0),"")</f>
        <v>20419158462</v>
      </c>
      <c r="X2983" s="25"/>
      <c r="Y2983" s="25"/>
      <c r="Z2983" s="25"/>
      <c r="AA2983" s="101"/>
      <c r="AB2983" s="3" t="str">
        <f>IF(BCP_Soles[[#This Row],[FECHA]]&gt;0,TEXT(BCP_Soles[[#This Row],[FECHA]],"mmmm"),0)</f>
        <v>Agosto</v>
      </c>
    </row>
    <row r="2984" spans="2:28" ht="24" x14ac:dyDescent="0.3">
      <c r="B2984" s="2" t="str">
        <f>IF(BCP_Soles[[#This Row],[TIPO DE R.]]="R",COUNTIFS($D$4:$D2983,"R")+1,"")</f>
        <v/>
      </c>
      <c r="C2984" s="19" t="str">
        <f t="shared" si="230"/>
        <v>B-BCP - Soles</v>
      </c>
      <c r="D2984" s="3" t="s">
        <v>1101</v>
      </c>
      <c r="E2984" s="14">
        <v>45870</v>
      </c>
      <c r="F2984" s="5" t="s">
        <v>1082</v>
      </c>
      <c r="G2984" s="5"/>
      <c r="H2984" s="6" t="s">
        <v>214</v>
      </c>
      <c r="I2984" s="6" t="s">
        <v>14</v>
      </c>
      <c r="J2984" s="6" t="s">
        <v>1120</v>
      </c>
      <c r="K2984" s="6">
        <v>6962</v>
      </c>
      <c r="L2984" s="7" t="s">
        <v>3773</v>
      </c>
      <c r="M2984" s="8">
        <v>7623995</v>
      </c>
      <c r="N2984" s="8" t="str">
        <f t="shared" si="231"/>
        <v>PEN</v>
      </c>
      <c r="O2984" s="13">
        <v>762.4</v>
      </c>
      <c r="P2984" s="13"/>
      <c r="Q2984" s="3">
        <f t="shared" si="232"/>
        <v>0</v>
      </c>
      <c r="R2984" s="3">
        <f t="shared" si="233"/>
        <v>0</v>
      </c>
      <c r="S2984" s="3">
        <f t="shared" si="234"/>
        <v>19482.710000000003</v>
      </c>
      <c r="T2984" s="24" t="s">
        <v>1081</v>
      </c>
      <c r="U2984" s="24" t="s">
        <v>1081</v>
      </c>
      <c r="V2984" s="103"/>
      <c r="W2984" s="25">
        <f>IFERROR(VLOOKUP(BCP_Soles[[#This Row],[DESTINATARIO]],CHOOSE({1,2},Clientes_Proveedores[Razon Social],Clientes_Proveedores[Ruc / Dni]),2,0),"")</f>
        <v>20419158462</v>
      </c>
      <c r="X2984" s="25"/>
      <c r="Y2984" s="25"/>
      <c r="Z2984" s="25"/>
      <c r="AA2984" s="101"/>
      <c r="AB2984" s="3" t="str">
        <f>IF(BCP_Soles[[#This Row],[FECHA]]&gt;0,TEXT(BCP_Soles[[#This Row],[FECHA]],"mmmm"),0)</f>
        <v>Agosto</v>
      </c>
    </row>
    <row r="2985" spans="2:28" ht="24" x14ac:dyDescent="0.3">
      <c r="B2985" s="2" t="str">
        <f>IF(BCP_Soles[[#This Row],[TIPO DE R.]]="R",COUNTIFS($D$4:$D2984,"R")+1,"")</f>
        <v/>
      </c>
      <c r="C2985" s="19" t="str">
        <f t="shared" si="230"/>
        <v>B-BCP - Soles</v>
      </c>
      <c r="D2985" s="3" t="s">
        <v>1101</v>
      </c>
      <c r="E2985" s="14">
        <v>45870</v>
      </c>
      <c r="F2985" s="5" t="s">
        <v>1082</v>
      </c>
      <c r="G2985" s="5"/>
      <c r="H2985" s="6" t="s">
        <v>328</v>
      </c>
      <c r="I2985" s="6" t="s">
        <v>14</v>
      </c>
      <c r="J2985" s="6" t="s">
        <v>1121</v>
      </c>
      <c r="K2985" s="6">
        <v>1342</v>
      </c>
      <c r="L2985" s="7" t="s">
        <v>3773</v>
      </c>
      <c r="M2985" s="8">
        <v>7623995</v>
      </c>
      <c r="N2985" s="8" t="str">
        <f t="shared" si="231"/>
        <v>PEN</v>
      </c>
      <c r="O2985" s="13">
        <v>773</v>
      </c>
      <c r="P2985" s="13"/>
      <c r="Q2985" s="3">
        <f t="shared" si="232"/>
        <v>0</v>
      </c>
      <c r="R2985" s="3">
        <f t="shared" si="233"/>
        <v>0</v>
      </c>
      <c r="S2985" s="3">
        <f t="shared" si="234"/>
        <v>19482.710000000003</v>
      </c>
      <c r="T2985" s="24" t="s">
        <v>1081</v>
      </c>
      <c r="U2985" s="24" t="s">
        <v>1081</v>
      </c>
      <c r="V2985" s="103"/>
      <c r="W2985" s="25">
        <f>IFERROR(VLOOKUP(BCP_Soles[[#This Row],[DESTINATARIO]],CHOOSE({1,2},Clientes_Proveedores[Razon Social],Clientes_Proveedores[Ruc / Dni]),2,0),"")</f>
        <v>20539387104</v>
      </c>
      <c r="X2985" s="25"/>
      <c r="Y2985" s="25"/>
      <c r="Z2985" s="25"/>
      <c r="AA2985" s="101"/>
      <c r="AB2985" s="3" t="str">
        <f>IF(BCP_Soles[[#This Row],[FECHA]]&gt;0,TEXT(BCP_Soles[[#This Row],[FECHA]],"mmmm"),0)</f>
        <v>Agosto</v>
      </c>
    </row>
    <row r="2986" spans="2:28" x14ac:dyDescent="0.3">
      <c r="B2986" s="2" t="str">
        <f>IF(BCP_Soles[[#This Row],[TIPO DE R.]]="R",COUNTIFS($D$4:$D2985,"R")+1,"")</f>
        <v/>
      </c>
      <c r="C2986" s="19" t="str">
        <f t="shared" si="230"/>
        <v>B-BCP - Soles</v>
      </c>
      <c r="D2986" s="3" t="s">
        <v>1101</v>
      </c>
      <c r="E2986" s="14">
        <v>45870</v>
      </c>
      <c r="F2986" s="5" t="s">
        <v>1082</v>
      </c>
      <c r="G2986" s="5"/>
      <c r="H2986" s="6" t="s">
        <v>468</v>
      </c>
      <c r="I2986" s="6" t="s">
        <v>14</v>
      </c>
      <c r="J2986" s="6" t="s">
        <v>1121</v>
      </c>
      <c r="K2986" s="6">
        <v>1439</v>
      </c>
      <c r="L2986" s="7" t="s">
        <v>3773</v>
      </c>
      <c r="M2986" s="8">
        <v>7623995</v>
      </c>
      <c r="N2986" s="8" t="str">
        <f t="shared" si="231"/>
        <v>PEN</v>
      </c>
      <c r="O2986" s="13">
        <v>209.98</v>
      </c>
      <c r="P2986" s="13"/>
      <c r="Q2986" s="3">
        <f t="shared" si="232"/>
        <v>0</v>
      </c>
      <c r="R2986" s="3">
        <f t="shared" si="233"/>
        <v>0</v>
      </c>
      <c r="S2986" s="3">
        <f t="shared" si="234"/>
        <v>19482.710000000003</v>
      </c>
      <c r="T2986" s="24" t="s">
        <v>1081</v>
      </c>
      <c r="U2986" s="24" t="s">
        <v>1081</v>
      </c>
      <c r="V2986" s="103"/>
      <c r="W2986" s="25">
        <f>IFERROR(VLOOKUP(BCP_Soles[[#This Row],[DESTINATARIO]],CHOOSE({1,2},Clientes_Proveedores[Razon Social],Clientes_Proveedores[Ruc / Dni]),2,0),"")</f>
        <v>20604304831</v>
      </c>
      <c r="X2986" s="25"/>
      <c r="Y2986" s="25"/>
      <c r="Z2986" s="25"/>
      <c r="AA2986" s="101"/>
      <c r="AB2986" s="3" t="str">
        <f>IF(BCP_Soles[[#This Row],[FECHA]]&gt;0,TEXT(BCP_Soles[[#This Row],[FECHA]],"mmmm"),0)</f>
        <v>Agosto</v>
      </c>
    </row>
    <row r="2987" spans="2:28" ht="24" x14ac:dyDescent="0.3">
      <c r="B2987" s="2">
        <f>IF(BCP_Soles[[#This Row],[TIPO DE R.]]="R",COUNTIFS($D$4:$D2986,"R")+1,"")</f>
        <v>2101</v>
      </c>
      <c r="C2987" s="19" t="str">
        <f t="shared" si="230"/>
        <v>B-BCP - Soles</v>
      </c>
      <c r="D2987" s="3" t="s">
        <v>1074</v>
      </c>
      <c r="E2987" s="14">
        <v>45870</v>
      </c>
      <c r="F2987" s="5" t="s">
        <v>1082</v>
      </c>
      <c r="G2987" s="5" t="s">
        <v>1079</v>
      </c>
      <c r="H2987" s="6" t="s">
        <v>966</v>
      </c>
      <c r="I2987" s="6" t="s">
        <v>14</v>
      </c>
      <c r="J2987" s="6" t="s">
        <v>1121</v>
      </c>
      <c r="K2987" s="6">
        <v>2516</v>
      </c>
      <c r="L2987" s="7" t="s">
        <v>3775</v>
      </c>
      <c r="M2987" s="8">
        <v>1279610</v>
      </c>
      <c r="N2987" s="8" t="str">
        <f t="shared" si="231"/>
        <v>PEN</v>
      </c>
      <c r="O2987" s="13"/>
      <c r="P2987" s="13">
        <v>30</v>
      </c>
      <c r="Q2987" s="3">
        <f t="shared" si="232"/>
        <v>0</v>
      </c>
      <c r="R2987" s="3">
        <f t="shared" si="233"/>
        <v>30</v>
      </c>
      <c r="S2987" s="3">
        <f t="shared" si="234"/>
        <v>19452.710000000003</v>
      </c>
      <c r="T2987" s="24" t="s">
        <v>1081</v>
      </c>
      <c r="U2987" s="24" t="s">
        <v>1081</v>
      </c>
      <c r="V2987" s="103" t="s">
        <v>3776</v>
      </c>
      <c r="W2987" s="25">
        <f>IFERROR(VLOOKUP(BCP_Soles[[#This Row],[DESTINATARIO]],CHOOSE({1,2},Clientes_Proveedores[Razon Social],Clientes_Proveedores[Ruc / Dni]),2,0),"")</f>
        <v>20601369622</v>
      </c>
      <c r="X2987" s="25"/>
      <c r="Y2987" s="25"/>
      <c r="Z2987" s="25"/>
      <c r="AA2987" s="101"/>
      <c r="AB2987" s="3" t="str">
        <f>IF(BCP_Soles[[#This Row],[FECHA]]&gt;0,TEXT(BCP_Soles[[#This Row],[FECHA]],"mmmm"),0)</f>
        <v>Agosto</v>
      </c>
    </row>
    <row r="2988" spans="2:28" x14ac:dyDescent="0.3">
      <c r="B2988" s="2">
        <f>IF(BCP_Soles[[#This Row],[TIPO DE R.]]="R",COUNTIFS($D$4:$D2987,"R")+1,"")</f>
        <v>2102</v>
      </c>
      <c r="C2988" s="19" t="str">
        <f t="shared" si="230"/>
        <v>B-BCP - Soles</v>
      </c>
      <c r="D2988" s="3" t="s">
        <v>1074</v>
      </c>
      <c r="E2988" s="14">
        <v>45870</v>
      </c>
      <c r="F2988" s="5" t="s">
        <v>2898</v>
      </c>
      <c r="G2988" s="5" t="s">
        <v>1079</v>
      </c>
      <c r="H2988" s="6"/>
      <c r="I2988" s="6"/>
      <c r="J2988" s="6"/>
      <c r="K2988" s="6"/>
      <c r="L2988" s="7" t="s">
        <v>3777</v>
      </c>
      <c r="M2988" s="8">
        <v>1010643</v>
      </c>
      <c r="N2988" s="8" t="str">
        <f t="shared" si="231"/>
        <v>PEN</v>
      </c>
      <c r="O2988" s="13"/>
      <c r="P2988" s="13">
        <v>1404</v>
      </c>
      <c r="Q2988" s="3">
        <f t="shared" si="232"/>
        <v>0</v>
      </c>
      <c r="R2988" s="3">
        <f t="shared" si="233"/>
        <v>1404</v>
      </c>
      <c r="S2988" s="3">
        <f t="shared" si="234"/>
        <v>18048.710000000003</v>
      </c>
      <c r="T2988" s="24" t="s">
        <v>1081</v>
      </c>
      <c r="U2988" s="24" t="s">
        <v>1081</v>
      </c>
      <c r="V2988" s="69"/>
      <c r="W2988" s="25" t="str">
        <f>IFERROR(VLOOKUP(BCP_Soles[[#This Row],[DESTINATARIO]],CHOOSE({1,2},Clientes_Proveedores[Razon Social],Clientes_Proveedores[Ruc / Dni]),2,0),"")</f>
        <v/>
      </c>
      <c r="X2988" s="25"/>
      <c r="Y2988" s="25"/>
      <c r="Z2988" s="25"/>
      <c r="AA2988" s="101"/>
      <c r="AB2988" s="3" t="str">
        <f>IF(BCP_Soles[[#This Row],[FECHA]]&gt;0,TEXT(BCP_Soles[[#This Row],[FECHA]],"mmmm"),0)</f>
        <v>Agosto</v>
      </c>
    </row>
    <row r="2989" spans="2:28" ht="24" x14ac:dyDescent="0.3">
      <c r="B2989" s="2" t="str">
        <f>IF(BCP_Soles[[#This Row],[TIPO DE R.]]="R",COUNTIFS($D$4:$D2988,"R")+1,"")</f>
        <v/>
      </c>
      <c r="C2989" s="19" t="str">
        <f t="shared" si="230"/>
        <v>B-BCP - Soles</v>
      </c>
      <c r="D2989" s="3" t="s">
        <v>1101</v>
      </c>
      <c r="E2989" s="14">
        <v>45870</v>
      </c>
      <c r="F2989" s="5" t="s">
        <v>2898</v>
      </c>
      <c r="G2989" s="5"/>
      <c r="H2989" s="6" t="s">
        <v>480</v>
      </c>
      <c r="I2989" s="6" t="s">
        <v>14</v>
      </c>
      <c r="J2989" s="6" t="s">
        <v>1121</v>
      </c>
      <c r="K2989" s="6">
        <v>877</v>
      </c>
      <c r="L2989" s="7" t="s">
        <v>3777</v>
      </c>
      <c r="M2989" s="8">
        <v>1010643</v>
      </c>
      <c r="N2989" s="8" t="str">
        <f t="shared" si="231"/>
        <v>PEN</v>
      </c>
      <c r="O2989" s="13"/>
      <c r="P2989" s="13"/>
      <c r="Q2989" s="3">
        <f t="shared" si="232"/>
        <v>0</v>
      </c>
      <c r="R2989" s="3">
        <f t="shared" si="233"/>
        <v>0</v>
      </c>
      <c r="S2989" s="3">
        <f t="shared" si="234"/>
        <v>18048.710000000003</v>
      </c>
      <c r="T2989" s="24" t="s">
        <v>1081</v>
      </c>
      <c r="U2989" s="24" t="s">
        <v>1081</v>
      </c>
      <c r="V2989" s="69"/>
      <c r="W2989" s="25">
        <f>IFERROR(VLOOKUP(BCP_Soles[[#This Row],[DESTINATARIO]],CHOOSE({1,2},Clientes_Proveedores[Razon Social],Clientes_Proveedores[Ruc / Dni]),2,0),"")</f>
        <v>20605447814</v>
      </c>
      <c r="X2989" s="25"/>
      <c r="Y2989" s="25"/>
      <c r="Z2989" s="25"/>
      <c r="AA2989" s="101" t="s">
        <v>3385</v>
      </c>
      <c r="AB2989" s="3" t="str">
        <f>IF(BCP_Soles[[#This Row],[FECHA]]&gt;0,TEXT(BCP_Soles[[#This Row],[FECHA]],"mmmm"),0)</f>
        <v>Agosto</v>
      </c>
    </row>
    <row r="2990" spans="2:28" ht="24" x14ac:dyDescent="0.3">
      <c r="B2990" s="2" t="str">
        <f>IF(BCP_Soles[[#This Row],[TIPO DE R.]]="R",COUNTIFS($D$4:$D2989,"R")+1,"")</f>
        <v/>
      </c>
      <c r="C2990" s="19" t="str">
        <f t="shared" si="230"/>
        <v>B-BCP - Soles</v>
      </c>
      <c r="D2990" s="3" t="s">
        <v>1101</v>
      </c>
      <c r="E2990" s="14">
        <v>45870</v>
      </c>
      <c r="F2990" s="5" t="s">
        <v>2898</v>
      </c>
      <c r="G2990" s="5"/>
      <c r="H2990" s="6" t="s">
        <v>147</v>
      </c>
      <c r="I2990" s="6" t="s">
        <v>14</v>
      </c>
      <c r="J2990" s="6" t="s">
        <v>1148</v>
      </c>
      <c r="K2990" s="6">
        <v>16470</v>
      </c>
      <c r="L2990" s="7" t="s">
        <v>3777</v>
      </c>
      <c r="M2990" s="8">
        <v>1010643</v>
      </c>
      <c r="N2990" s="8" t="str">
        <f t="shared" si="231"/>
        <v>PEN</v>
      </c>
      <c r="O2990" s="13"/>
      <c r="P2990" s="13"/>
      <c r="Q2990" s="3">
        <f t="shared" si="232"/>
        <v>0</v>
      </c>
      <c r="R2990" s="3">
        <f t="shared" si="233"/>
        <v>0</v>
      </c>
      <c r="S2990" s="3">
        <f t="shared" si="234"/>
        <v>18048.710000000003</v>
      </c>
      <c r="T2990" s="24" t="s">
        <v>1081</v>
      </c>
      <c r="U2990" s="24" t="s">
        <v>1081</v>
      </c>
      <c r="V2990" s="69"/>
      <c r="W2990" s="25">
        <f>IFERROR(VLOOKUP(BCP_Soles[[#This Row],[DESTINATARIO]],CHOOSE({1,2},Clientes_Proveedores[Razon Social],Clientes_Proveedores[Ruc / Dni]),2,0),"")</f>
        <v>20100192064</v>
      </c>
      <c r="X2990" s="25"/>
      <c r="Y2990" s="25"/>
      <c r="Z2990" s="25"/>
      <c r="AA2990" s="101" t="s">
        <v>3385</v>
      </c>
      <c r="AB2990" s="3" t="str">
        <f>IF(BCP_Soles[[#This Row],[FECHA]]&gt;0,TEXT(BCP_Soles[[#This Row],[FECHA]],"mmmm"),0)</f>
        <v>Agosto</v>
      </c>
    </row>
    <row r="2991" spans="2:28" ht="24" x14ac:dyDescent="0.3">
      <c r="B2991" s="2" t="str">
        <f>IF(BCP_Soles[[#This Row],[TIPO DE R.]]="R",COUNTIFS($D$4:$D2990,"R")+1,"")</f>
        <v/>
      </c>
      <c r="C2991" s="19" t="str">
        <f t="shared" si="230"/>
        <v>B-BCP - Soles</v>
      </c>
      <c r="D2991" s="3" t="s">
        <v>1101</v>
      </c>
      <c r="E2991" s="14">
        <v>45870</v>
      </c>
      <c r="F2991" s="5" t="s">
        <v>2898</v>
      </c>
      <c r="G2991" s="5"/>
      <c r="H2991" s="6" t="s">
        <v>147</v>
      </c>
      <c r="I2991" s="6" t="s">
        <v>14</v>
      </c>
      <c r="J2991" s="6" t="s">
        <v>1148</v>
      </c>
      <c r="K2991" s="6">
        <v>16454</v>
      </c>
      <c r="L2991" s="7" t="s">
        <v>3777</v>
      </c>
      <c r="M2991" s="8">
        <v>1010643</v>
      </c>
      <c r="N2991" s="8" t="str">
        <f t="shared" si="231"/>
        <v>PEN</v>
      </c>
      <c r="O2991" s="13"/>
      <c r="P2991" s="13"/>
      <c r="Q2991" s="3">
        <f t="shared" si="232"/>
        <v>0</v>
      </c>
      <c r="R2991" s="3">
        <f t="shared" si="233"/>
        <v>0</v>
      </c>
      <c r="S2991" s="3">
        <f t="shared" si="234"/>
        <v>18048.710000000003</v>
      </c>
      <c r="T2991" s="24" t="s">
        <v>1081</v>
      </c>
      <c r="U2991" s="24" t="s">
        <v>1081</v>
      </c>
      <c r="V2991" s="69"/>
      <c r="W2991" s="25">
        <f>IFERROR(VLOOKUP(BCP_Soles[[#This Row],[DESTINATARIO]],CHOOSE({1,2},Clientes_Proveedores[Razon Social],Clientes_Proveedores[Ruc / Dni]),2,0),"")</f>
        <v>20100192064</v>
      </c>
      <c r="X2991" s="25"/>
      <c r="Y2991" s="25"/>
      <c r="Z2991" s="25"/>
      <c r="AA2991" s="101" t="s">
        <v>3385</v>
      </c>
      <c r="AB2991" s="3" t="str">
        <f>IF(BCP_Soles[[#This Row],[FECHA]]&gt;0,TEXT(BCP_Soles[[#This Row],[FECHA]],"mmmm"),0)</f>
        <v>Agosto</v>
      </c>
    </row>
    <row r="2992" spans="2:28" ht="24" x14ac:dyDescent="0.3">
      <c r="B2992" s="2" t="str">
        <f>IF(BCP_Soles[[#This Row],[TIPO DE R.]]="R",COUNTIFS($D$4:$D2991,"R")+1,"")</f>
        <v/>
      </c>
      <c r="C2992" s="19" t="str">
        <f t="shared" si="230"/>
        <v>B-BCP - Soles</v>
      </c>
      <c r="D2992" s="3" t="s">
        <v>1101</v>
      </c>
      <c r="E2992" s="14">
        <v>45870</v>
      </c>
      <c r="F2992" s="5" t="s">
        <v>2898</v>
      </c>
      <c r="G2992" s="5"/>
      <c r="H2992" s="6" t="s">
        <v>147</v>
      </c>
      <c r="I2992" s="6" t="s">
        <v>14</v>
      </c>
      <c r="J2992" s="6" t="s">
        <v>1148</v>
      </c>
      <c r="K2992" s="6">
        <v>16442</v>
      </c>
      <c r="L2992" s="7" t="s">
        <v>3777</v>
      </c>
      <c r="M2992" s="8">
        <v>1010643</v>
      </c>
      <c r="N2992" s="8" t="str">
        <f t="shared" si="231"/>
        <v>PEN</v>
      </c>
      <c r="O2992" s="13"/>
      <c r="P2992" s="13"/>
      <c r="Q2992" s="3">
        <f t="shared" si="232"/>
        <v>0</v>
      </c>
      <c r="R2992" s="3">
        <f t="shared" si="233"/>
        <v>0</v>
      </c>
      <c r="S2992" s="3">
        <f t="shared" si="234"/>
        <v>18048.710000000003</v>
      </c>
      <c r="T2992" s="24" t="s">
        <v>1081</v>
      </c>
      <c r="U2992" s="24" t="s">
        <v>1081</v>
      </c>
      <c r="V2992" s="69"/>
      <c r="W2992" s="25">
        <f>IFERROR(VLOOKUP(BCP_Soles[[#This Row],[DESTINATARIO]],CHOOSE({1,2},Clientes_Proveedores[Razon Social],Clientes_Proveedores[Ruc / Dni]),2,0),"")</f>
        <v>20100192064</v>
      </c>
      <c r="X2992" s="25"/>
      <c r="Y2992" s="25"/>
      <c r="Z2992" s="25"/>
      <c r="AA2992" s="101" t="s">
        <v>3385</v>
      </c>
      <c r="AB2992" s="3" t="str">
        <f>IF(BCP_Soles[[#This Row],[FECHA]]&gt;0,TEXT(BCP_Soles[[#This Row],[FECHA]],"mmmm"),0)</f>
        <v>Agosto</v>
      </c>
    </row>
    <row r="2993" spans="2:28" ht="24" x14ac:dyDescent="0.3">
      <c r="B2993" s="2" t="str">
        <f>IF(BCP_Soles[[#This Row],[TIPO DE R.]]="R",COUNTIFS($D$4:$D2992,"R")+1,"")</f>
        <v/>
      </c>
      <c r="C2993" s="19" t="str">
        <f t="shared" si="230"/>
        <v>B-BCP - Soles</v>
      </c>
      <c r="D2993" s="3" t="s">
        <v>1101</v>
      </c>
      <c r="E2993" s="14">
        <v>45870</v>
      </c>
      <c r="F2993" s="5" t="s">
        <v>2898</v>
      </c>
      <c r="G2993" s="5"/>
      <c r="H2993" s="6" t="s">
        <v>147</v>
      </c>
      <c r="I2993" s="6" t="s">
        <v>14</v>
      </c>
      <c r="J2993" s="6" t="s">
        <v>1148</v>
      </c>
      <c r="K2993" s="6">
        <v>16476</v>
      </c>
      <c r="L2993" s="7" t="s">
        <v>3777</v>
      </c>
      <c r="M2993" s="8">
        <v>1010643</v>
      </c>
      <c r="N2993" s="8" t="str">
        <f t="shared" si="231"/>
        <v>PEN</v>
      </c>
      <c r="O2993" s="13"/>
      <c r="P2993" s="13"/>
      <c r="Q2993" s="3">
        <f t="shared" si="232"/>
        <v>0</v>
      </c>
      <c r="R2993" s="3">
        <f t="shared" si="233"/>
        <v>0</v>
      </c>
      <c r="S2993" s="3">
        <f t="shared" si="234"/>
        <v>18048.710000000003</v>
      </c>
      <c r="T2993" s="24" t="s">
        <v>1081</v>
      </c>
      <c r="U2993" s="24" t="s">
        <v>1081</v>
      </c>
      <c r="V2993" s="69"/>
      <c r="W2993" s="25">
        <f>IFERROR(VLOOKUP(BCP_Soles[[#This Row],[DESTINATARIO]],CHOOSE({1,2},Clientes_Proveedores[Razon Social],Clientes_Proveedores[Ruc / Dni]),2,0),"")</f>
        <v>20100192064</v>
      </c>
      <c r="X2993" s="25"/>
      <c r="Y2993" s="25"/>
      <c r="Z2993" s="25"/>
      <c r="AA2993" s="101" t="s">
        <v>3385</v>
      </c>
      <c r="AB2993" s="3" t="str">
        <f>IF(BCP_Soles[[#This Row],[FECHA]]&gt;0,TEXT(BCP_Soles[[#This Row],[FECHA]],"mmmm"),0)</f>
        <v>Agosto</v>
      </c>
    </row>
    <row r="2994" spans="2:28" ht="24" x14ac:dyDescent="0.3">
      <c r="B2994" s="2" t="str">
        <f>IF(BCP_Soles[[#This Row],[TIPO DE R.]]="R",COUNTIFS($D$4:$D2993,"R")+1,"")</f>
        <v/>
      </c>
      <c r="C2994" s="19" t="str">
        <f t="shared" si="230"/>
        <v>B-BCP - Soles</v>
      </c>
      <c r="D2994" s="3" t="s">
        <v>1101</v>
      </c>
      <c r="E2994" s="14">
        <v>45870</v>
      </c>
      <c r="F2994" s="5" t="s">
        <v>2898</v>
      </c>
      <c r="G2994" s="5"/>
      <c r="H2994" s="6" t="s">
        <v>147</v>
      </c>
      <c r="I2994" s="6" t="s">
        <v>14</v>
      </c>
      <c r="J2994" s="6" t="s">
        <v>1148</v>
      </c>
      <c r="K2994" s="6">
        <v>16500</v>
      </c>
      <c r="L2994" s="7" t="s">
        <v>3777</v>
      </c>
      <c r="M2994" s="8">
        <v>1010643</v>
      </c>
      <c r="N2994" s="8" t="str">
        <f t="shared" si="231"/>
        <v>PEN</v>
      </c>
      <c r="O2994" s="13"/>
      <c r="P2994" s="13"/>
      <c r="Q2994" s="3">
        <f t="shared" si="232"/>
        <v>0</v>
      </c>
      <c r="R2994" s="3">
        <f t="shared" si="233"/>
        <v>0</v>
      </c>
      <c r="S2994" s="3">
        <f t="shared" si="234"/>
        <v>18048.710000000003</v>
      </c>
      <c r="T2994" s="24" t="s">
        <v>1081</v>
      </c>
      <c r="U2994" s="24" t="s">
        <v>1081</v>
      </c>
      <c r="V2994" s="69"/>
      <c r="W2994" s="25">
        <f>IFERROR(VLOOKUP(BCP_Soles[[#This Row],[DESTINATARIO]],CHOOSE({1,2},Clientes_Proveedores[Razon Social],Clientes_Proveedores[Ruc / Dni]),2,0),"")</f>
        <v>20100192064</v>
      </c>
      <c r="X2994" s="25"/>
      <c r="Y2994" s="25"/>
      <c r="Z2994" s="25"/>
      <c r="AA2994" s="101" t="s">
        <v>3385</v>
      </c>
      <c r="AB2994" s="3" t="str">
        <f>IF(BCP_Soles[[#This Row],[FECHA]]&gt;0,TEXT(BCP_Soles[[#This Row],[FECHA]],"mmmm"),0)</f>
        <v>Agosto</v>
      </c>
    </row>
    <row r="2995" spans="2:28" ht="24" x14ac:dyDescent="0.3">
      <c r="B2995" s="2" t="str">
        <f>IF(BCP_Soles[[#This Row],[TIPO DE R.]]="R",COUNTIFS($D$4:$D2994,"R")+1,"")</f>
        <v/>
      </c>
      <c r="C2995" s="19" t="str">
        <f t="shared" si="230"/>
        <v>B-BCP - Soles</v>
      </c>
      <c r="D2995" s="3" t="s">
        <v>1101</v>
      </c>
      <c r="E2995" s="14">
        <v>45870</v>
      </c>
      <c r="F2995" s="5" t="s">
        <v>2898</v>
      </c>
      <c r="G2995" s="5"/>
      <c r="H2995" s="6" t="s">
        <v>147</v>
      </c>
      <c r="I2995" s="6" t="s">
        <v>14</v>
      </c>
      <c r="J2995" s="6" t="s">
        <v>1148</v>
      </c>
      <c r="K2995" s="6">
        <v>16480</v>
      </c>
      <c r="L2995" s="7" t="s">
        <v>3777</v>
      </c>
      <c r="M2995" s="8">
        <v>1010643</v>
      </c>
      <c r="N2995" s="8" t="str">
        <f t="shared" si="231"/>
        <v>PEN</v>
      </c>
      <c r="O2995" s="13"/>
      <c r="P2995" s="13"/>
      <c r="Q2995" s="3">
        <f t="shared" si="232"/>
        <v>0</v>
      </c>
      <c r="R2995" s="3">
        <f t="shared" si="233"/>
        <v>0</v>
      </c>
      <c r="S2995" s="3">
        <f t="shared" si="234"/>
        <v>18048.710000000003</v>
      </c>
      <c r="T2995" s="24" t="s">
        <v>1081</v>
      </c>
      <c r="U2995" s="24" t="s">
        <v>1081</v>
      </c>
      <c r="V2995" s="69"/>
      <c r="W2995" s="25">
        <f>IFERROR(VLOOKUP(BCP_Soles[[#This Row],[DESTINATARIO]],CHOOSE({1,2},Clientes_Proveedores[Razon Social],Clientes_Proveedores[Ruc / Dni]),2,0),"")</f>
        <v>20100192064</v>
      </c>
      <c r="X2995" s="25"/>
      <c r="Y2995" s="25"/>
      <c r="Z2995" s="25"/>
      <c r="AA2995" s="101" t="s">
        <v>3385</v>
      </c>
      <c r="AB2995" s="3" t="str">
        <f>IF(BCP_Soles[[#This Row],[FECHA]]&gt;0,TEXT(BCP_Soles[[#This Row],[FECHA]],"mmmm"),0)</f>
        <v>Agosto</v>
      </c>
    </row>
    <row r="2996" spans="2:28" ht="24" x14ac:dyDescent="0.3">
      <c r="B2996" s="2" t="str">
        <f>IF(BCP_Soles[[#This Row],[TIPO DE R.]]="R",COUNTIFS($D$4:$D2995,"R")+1,"")</f>
        <v/>
      </c>
      <c r="C2996" s="19" t="str">
        <f t="shared" si="230"/>
        <v>B-BCP - Soles</v>
      </c>
      <c r="D2996" s="3" t="s">
        <v>1101</v>
      </c>
      <c r="E2996" s="14">
        <v>45870</v>
      </c>
      <c r="F2996" s="5" t="s">
        <v>2898</v>
      </c>
      <c r="G2996" s="5"/>
      <c r="H2996" s="6" t="s">
        <v>147</v>
      </c>
      <c r="I2996" s="6" t="s">
        <v>14</v>
      </c>
      <c r="J2996" s="6" t="s">
        <v>1148</v>
      </c>
      <c r="K2996" s="6">
        <v>16501</v>
      </c>
      <c r="L2996" s="7" t="s">
        <v>3777</v>
      </c>
      <c r="M2996" s="8">
        <v>1010643</v>
      </c>
      <c r="N2996" s="8" t="str">
        <f t="shared" si="231"/>
        <v>PEN</v>
      </c>
      <c r="O2996" s="13"/>
      <c r="P2996" s="13"/>
      <c r="Q2996" s="3">
        <f t="shared" si="232"/>
        <v>0</v>
      </c>
      <c r="R2996" s="3">
        <f t="shared" si="233"/>
        <v>0</v>
      </c>
      <c r="S2996" s="3">
        <f t="shared" si="234"/>
        <v>18048.710000000003</v>
      </c>
      <c r="T2996" s="24" t="s">
        <v>1081</v>
      </c>
      <c r="U2996" s="24" t="s">
        <v>1081</v>
      </c>
      <c r="V2996" s="69"/>
      <c r="W2996" s="25">
        <f>IFERROR(VLOOKUP(BCP_Soles[[#This Row],[DESTINATARIO]],CHOOSE({1,2},Clientes_Proveedores[Razon Social],Clientes_Proveedores[Ruc / Dni]),2,0),"")</f>
        <v>20100192064</v>
      </c>
      <c r="X2996" s="25"/>
      <c r="Y2996" s="25"/>
      <c r="Z2996" s="25"/>
      <c r="AA2996" s="101" t="s">
        <v>3385</v>
      </c>
      <c r="AB2996" s="3" t="str">
        <f>IF(BCP_Soles[[#This Row],[FECHA]]&gt;0,TEXT(BCP_Soles[[#This Row],[FECHA]],"mmmm"),0)</f>
        <v>Agosto</v>
      </c>
    </row>
    <row r="2997" spans="2:28" ht="24" x14ac:dyDescent="0.3">
      <c r="B2997" s="2" t="str">
        <f>IF(BCP_Soles[[#This Row],[TIPO DE R.]]="R",COUNTIFS($D$4:$D2996,"R")+1,"")</f>
        <v/>
      </c>
      <c r="C2997" s="19" t="str">
        <f t="shared" si="230"/>
        <v>B-BCP - Soles</v>
      </c>
      <c r="D2997" s="3" t="s">
        <v>1101</v>
      </c>
      <c r="E2997" s="14">
        <v>45870</v>
      </c>
      <c r="F2997" s="5" t="s">
        <v>2898</v>
      </c>
      <c r="G2997" s="5"/>
      <c r="H2997" s="6" t="s">
        <v>54</v>
      </c>
      <c r="I2997" s="6" t="s">
        <v>14</v>
      </c>
      <c r="J2997" s="6" t="s">
        <v>1119</v>
      </c>
      <c r="K2997" s="6">
        <v>16709</v>
      </c>
      <c r="L2997" s="7" t="s">
        <v>3777</v>
      </c>
      <c r="M2997" s="8">
        <v>1010643</v>
      </c>
      <c r="N2997" s="8" t="str">
        <f t="shared" si="231"/>
        <v>PEN</v>
      </c>
      <c r="O2997" s="13"/>
      <c r="P2997" s="13"/>
      <c r="Q2997" s="3">
        <f t="shared" si="232"/>
        <v>0</v>
      </c>
      <c r="R2997" s="3">
        <f t="shared" si="233"/>
        <v>0</v>
      </c>
      <c r="S2997" s="3">
        <f t="shared" si="234"/>
        <v>18048.710000000003</v>
      </c>
      <c r="T2997" s="24" t="s">
        <v>1081</v>
      </c>
      <c r="U2997" s="24" t="s">
        <v>1081</v>
      </c>
      <c r="V2997" s="69"/>
      <c r="W2997" s="25">
        <f>IFERROR(VLOOKUP(BCP_Soles[[#This Row],[DESTINATARIO]],CHOOSE({1,2},Clientes_Proveedores[Razon Social],Clientes_Proveedores[Ruc / Dni]),2,0),"")</f>
        <v>10295259634</v>
      </c>
      <c r="X2997" s="25"/>
      <c r="Y2997" s="25"/>
      <c r="Z2997" s="25"/>
      <c r="AA2997" s="101" t="s">
        <v>3385</v>
      </c>
      <c r="AB2997" s="3" t="str">
        <f>IF(BCP_Soles[[#This Row],[FECHA]]&gt;0,TEXT(BCP_Soles[[#This Row],[FECHA]],"mmmm"),0)</f>
        <v>Agosto</v>
      </c>
    </row>
    <row r="2998" spans="2:28" ht="24" x14ac:dyDescent="0.3">
      <c r="B2998" s="2" t="str">
        <f>IF(BCP_Soles[[#This Row],[TIPO DE R.]]="R",COUNTIFS($D$4:$D2997,"R")+1,"")</f>
        <v/>
      </c>
      <c r="C2998" s="19" t="str">
        <f t="shared" si="230"/>
        <v>B-BCP - Soles</v>
      </c>
      <c r="D2998" s="3" t="s">
        <v>1101</v>
      </c>
      <c r="E2998" s="14">
        <v>45870</v>
      </c>
      <c r="F2998" s="5" t="s">
        <v>2898</v>
      </c>
      <c r="G2998" s="5"/>
      <c r="H2998" s="6" t="s">
        <v>964</v>
      </c>
      <c r="I2998" s="6" t="s">
        <v>14</v>
      </c>
      <c r="J2998" s="6" t="s">
        <v>1121</v>
      </c>
      <c r="K2998" s="6">
        <v>34</v>
      </c>
      <c r="L2998" s="7" t="s">
        <v>3777</v>
      </c>
      <c r="M2998" s="8">
        <v>1010643</v>
      </c>
      <c r="N2998" s="8" t="str">
        <f t="shared" si="231"/>
        <v>PEN</v>
      </c>
      <c r="O2998" s="13"/>
      <c r="P2998" s="13"/>
      <c r="Q2998" s="3">
        <f t="shared" si="232"/>
        <v>0</v>
      </c>
      <c r="R2998" s="3">
        <f t="shared" si="233"/>
        <v>0</v>
      </c>
      <c r="S2998" s="3">
        <f t="shared" si="234"/>
        <v>18048.710000000003</v>
      </c>
      <c r="T2998" s="24" t="s">
        <v>1081</v>
      </c>
      <c r="U2998" s="24" t="s">
        <v>1081</v>
      </c>
      <c r="V2998" s="69"/>
      <c r="W2998" s="25">
        <f>IFERROR(VLOOKUP(BCP_Soles[[#This Row],[DESTINATARIO]],CHOOSE({1,2},Clientes_Proveedores[Razon Social],Clientes_Proveedores[Ruc / Dni]),2,0),"")</f>
        <v>10410162551</v>
      </c>
      <c r="X2998" s="25"/>
      <c r="Y2998" s="25"/>
      <c r="Z2998" s="25"/>
      <c r="AA2998" s="101" t="s">
        <v>3385</v>
      </c>
      <c r="AB2998" s="3" t="str">
        <f>IF(BCP_Soles[[#This Row],[FECHA]]&gt;0,TEXT(BCP_Soles[[#This Row],[FECHA]],"mmmm"),0)</f>
        <v>Agosto</v>
      </c>
    </row>
    <row r="2999" spans="2:28" ht="24" x14ac:dyDescent="0.3">
      <c r="B2999" s="2" t="str">
        <f>IF(BCP_Soles[[#This Row],[TIPO DE R.]]="R",COUNTIFS($D$4:$D2998,"R")+1,"")</f>
        <v/>
      </c>
      <c r="C2999" s="19" t="str">
        <f t="shared" si="230"/>
        <v>B-BCP - Soles</v>
      </c>
      <c r="D2999" s="3" t="s">
        <v>1101</v>
      </c>
      <c r="E2999" s="14">
        <v>45870</v>
      </c>
      <c r="F2999" s="5" t="s">
        <v>2898</v>
      </c>
      <c r="G2999" s="5"/>
      <c r="H2999" s="6" t="s">
        <v>609</v>
      </c>
      <c r="I2999" s="6" t="s">
        <v>14</v>
      </c>
      <c r="J2999" s="6" t="s">
        <v>1121</v>
      </c>
      <c r="K2999" s="6">
        <v>50</v>
      </c>
      <c r="L2999" s="7" t="s">
        <v>3777</v>
      </c>
      <c r="M2999" s="8">
        <v>1010643</v>
      </c>
      <c r="N2999" s="8" t="str">
        <f t="shared" si="231"/>
        <v>PEN</v>
      </c>
      <c r="O2999" s="13"/>
      <c r="P2999" s="13"/>
      <c r="Q2999" s="3">
        <f t="shared" si="232"/>
        <v>0</v>
      </c>
      <c r="R2999" s="3">
        <f t="shared" si="233"/>
        <v>0</v>
      </c>
      <c r="S2999" s="3">
        <f t="shared" si="234"/>
        <v>18048.710000000003</v>
      </c>
      <c r="T2999" s="24" t="s">
        <v>1081</v>
      </c>
      <c r="U2999" s="24" t="s">
        <v>1081</v>
      </c>
      <c r="V2999" s="69"/>
      <c r="W2999" s="25">
        <f>IFERROR(VLOOKUP(BCP_Soles[[#This Row],[DESTINATARIO]],CHOOSE({1,2},Clientes_Proveedores[Razon Social],Clientes_Proveedores[Ruc / Dni]),2,0),"")</f>
        <v>10410687491</v>
      </c>
      <c r="X2999" s="25"/>
      <c r="Y2999" s="25"/>
      <c r="Z2999" s="25"/>
      <c r="AA2999" s="101" t="s">
        <v>3385</v>
      </c>
      <c r="AB2999" s="3" t="str">
        <f>IF(BCP_Soles[[#This Row],[FECHA]]&gt;0,TEXT(BCP_Soles[[#This Row],[FECHA]],"mmmm"),0)</f>
        <v>Agosto</v>
      </c>
    </row>
    <row r="3000" spans="2:28" ht="24" x14ac:dyDescent="0.3">
      <c r="B3000" s="2" t="str">
        <f>IF(BCP_Soles[[#This Row],[TIPO DE R.]]="R",COUNTIFS($D$4:$D2999,"R")+1,"")</f>
        <v/>
      </c>
      <c r="C3000" s="19" t="str">
        <f t="shared" si="230"/>
        <v>B-BCP - Soles</v>
      </c>
      <c r="D3000" s="3" t="s">
        <v>1101</v>
      </c>
      <c r="E3000" s="14">
        <v>45870</v>
      </c>
      <c r="F3000" s="5" t="s">
        <v>2898</v>
      </c>
      <c r="G3000" s="5"/>
      <c r="H3000" s="6" t="s">
        <v>634</v>
      </c>
      <c r="I3000" s="6" t="s">
        <v>14</v>
      </c>
      <c r="J3000" s="6" t="s">
        <v>1121</v>
      </c>
      <c r="K3000" s="6">
        <v>15</v>
      </c>
      <c r="L3000" s="7" t="s">
        <v>3777</v>
      </c>
      <c r="M3000" s="8">
        <v>1010643</v>
      </c>
      <c r="N3000" s="8" t="str">
        <f t="shared" si="231"/>
        <v>PEN</v>
      </c>
      <c r="O3000" s="13"/>
      <c r="P3000" s="13"/>
      <c r="Q3000" s="3">
        <f t="shared" si="232"/>
        <v>0</v>
      </c>
      <c r="R3000" s="3">
        <f t="shared" si="233"/>
        <v>0</v>
      </c>
      <c r="S3000" s="3">
        <f t="shared" si="234"/>
        <v>18048.710000000003</v>
      </c>
      <c r="T3000" s="24" t="s">
        <v>1081</v>
      </c>
      <c r="U3000" s="24" t="s">
        <v>1081</v>
      </c>
      <c r="V3000" s="69"/>
      <c r="W3000" s="25">
        <f>IFERROR(VLOOKUP(BCP_Soles[[#This Row],[DESTINATARIO]],CHOOSE({1,2},Clientes_Proveedores[Razon Social],Clientes_Proveedores[Ruc / Dni]),2,0),"")</f>
        <v>10736055631</v>
      </c>
      <c r="X3000" s="25"/>
      <c r="Y3000" s="25"/>
      <c r="Z3000" s="25"/>
      <c r="AA3000" s="101" t="s">
        <v>3385</v>
      </c>
      <c r="AB3000" s="3" t="str">
        <f>IF(BCP_Soles[[#This Row],[FECHA]]&gt;0,TEXT(BCP_Soles[[#This Row],[FECHA]],"mmmm"),0)</f>
        <v>Agosto</v>
      </c>
    </row>
    <row r="3001" spans="2:28" ht="24" x14ac:dyDescent="0.3">
      <c r="B3001" s="2" t="str">
        <f>IF(BCP_Soles[[#This Row],[TIPO DE R.]]="R",COUNTIFS($D$4:$D3000,"R")+1,"")</f>
        <v/>
      </c>
      <c r="C3001" s="19" t="str">
        <f t="shared" si="230"/>
        <v>B-BCP - Soles</v>
      </c>
      <c r="D3001" s="3" t="s">
        <v>1101</v>
      </c>
      <c r="E3001" s="14">
        <v>45870</v>
      </c>
      <c r="F3001" s="5" t="s">
        <v>2898</v>
      </c>
      <c r="G3001" s="5"/>
      <c r="H3001" s="6" t="s">
        <v>128</v>
      </c>
      <c r="I3001" s="6" t="s">
        <v>14</v>
      </c>
      <c r="J3001" s="6" t="s">
        <v>1121</v>
      </c>
      <c r="K3001" s="6">
        <v>141</v>
      </c>
      <c r="L3001" s="7" t="s">
        <v>3777</v>
      </c>
      <c r="M3001" s="8">
        <v>1010643</v>
      </c>
      <c r="N3001" s="8" t="str">
        <f t="shared" si="231"/>
        <v>PEN</v>
      </c>
      <c r="O3001" s="13"/>
      <c r="P3001" s="13"/>
      <c r="Q3001" s="3">
        <f t="shared" si="232"/>
        <v>0</v>
      </c>
      <c r="R3001" s="3">
        <f t="shared" si="233"/>
        <v>0</v>
      </c>
      <c r="S3001" s="3">
        <f t="shared" si="234"/>
        <v>18048.710000000003</v>
      </c>
      <c r="T3001" s="24" t="s">
        <v>1081</v>
      </c>
      <c r="U3001" s="24" t="s">
        <v>1081</v>
      </c>
      <c r="V3001" s="69"/>
      <c r="W3001" s="25">
        <f>IFERROR(VLOOKUP(BCP_Soles[[#This Row],[DESTINATARIO]],CHOOSE({1,2},Clientes_Proveedores[Razon Social],Clientes_Proveedores[Ruc / Dni]),2,0),"")</f>
        <v>10489531963</v>
      </c>
      <c r="X3001" s="25"/>
      <c r="Y3001" s="25"/>
      <c r="Z3001" s="25"/>
      <c r="AA3001" s="101" t="s">
        <v>3385</v>
      </c>
      <c r="AB3001" s="3" t="str">
        <f>IF(BCP_Soles[[#This Row],[FECHA]]&gt;0,TEXT(BCP_Soles[[#This Row],[FECHA]],"mmmm"),0)</f>
        <v>Agosto</v>
      </c>
    </row>
    <row r="3002" spans="2:28" ht="24" x14ac:dyDescent="0.3">
      <c r="B3002" s="2" t="str">
        <f>IF(BCP_Soles[[#This Row],[TIPO DE R.]]="R",COUNTIFS($D$4:$D3001,"R")+1,"")</f>
        <v/>
      </c>
      <c r="C3002" s="19" t="str">
        <f t="shared" si="230"/>
        <v>B-BCP - Soles</v>
      </c>
      <c r="D3002" s="3" t="s">
        <v>1101</v>
      </c>
      <c r="E3002" s="14">
        <v>45870</v>
      </c>
      <c r="F3002" s="5" t="s">
        <v>2898</v>
      </c>
      <c r="G3002" s="5"/>
      <c r="H3002" s="6" t="s">
        <v>634</v>
      </c>
      <c r="I3002" s="6" t="s">
        <v>14</v>
      </c>
      <c r="J3002" s="6" t="s">
        <v>1121</v>
      </c>
      <c r="K3002" s="6">
        <v>13</v>
      </c>
      <c r="L3002" s="7" t="s">
        <v>3777</v>
      </c>
      <c r="M3002" s="8">
        <v>1010643</v>
      </c>
      <c r="N3002" s="8" t="str">
        <f t="shared" si="231"/>
        <v>PEN</v>
      </c>
      <c r="O3002" s="13"/>
      <c r="P3002" s="13"/>
      <c r="Q3002" s="3">
        <f t="shared" si="232"/>
        <v>0</v>
      </c>
      <c r="R3002" s="3">
        <f t="shared" si="233"/>
        <v>0</v>
      </c>
      <c r="S3002" s="3">
        <f t="shared" si="234"/>
        <v>18048.710000000003</v>
      </c>
      <c r="T3002" s="24" t="s">
        <v>1081</v>
      </c>
      <c r="U3002" s="24" t="s">
        <v>1081</v>
      </c>
      <c r="V3002" s="69"/>
      <c r="W3002" s="25">
        <f>IFERROR(VLOOKUP(BCP_Soles[[#This Row],[DESTINATARIO]],CHOOSE({1,2},Clientes_Proveedores[Razon Social],Clientes_Proveedores[Ruc / Dni]),2,0),"")</f>
        <v>10736055631</v>
      </c>
      <c r="X3002" s="25"/>
      <c r="Y3002" s="25"/>
      <c r="Z3002" s="25"/>
      <c r="AA3002" s="101" t="s">
        <v>3385</v>
      </c>
      <c r="AB3002" s="3" t="str">
        <f>IF(BCP_Soles[[#This Row],[FECHA]]&gt;0,TEXT(BCP_Soles[[#This Row],[FECHA]],"mmmm"),0)</f>
        <v>Agosto</v>
      </c>
    </row>
    <row r="3003" spans="2:28" ht="24" x14ac:dyDescent="0.3">
      <c r="B3003" s="2" t="str">
        <f>IF(BCP_Soles[[#This Row],[TIPO DE R.]]="R",COUNTIFS($D$4:$D3002,"R")+1,"")</f>
        <v/>
      </c>
      <c r="C3003" s="19" t="str">
        <f t="shared" si="230"/>
        <v>B-BCP - Soles</v>
      </c>
      <c r="D3003" s="3" t="s">
        <v>1101</v>
      </c>
      <c r="E3003" s="14">
        <v>45870</v>
      </c>
      <c r="F3003" s="5" t="s">
        <v>2898</v>
      </c>
      <c r="G3003" s="5"/>
      <c r="H3003" s="6" t="s">
        <v>214</v>
      </c>
      <c r="I3003" s="6" t="s">
        <v>14</v>
      </c>
      <c r="J3003" s="6" t="s">
        <v>1120</v>
      </c>
      <c r="K3003" s="6">
        <v>6957</v>
      </c>
      <c r="L3003" s="7" t="s">
        <v>3777</v>
      </c>
      <c r="M3003" s="8">
        <v>1010643</v>
      </c>
      <c r="N3003" s="8" t="str">
        <f t="shared" si="231"/>
        <v>PEN</v>
      </c>
      <c r="O3003" s="13"/>
      <c r="P3003" s="13"/>
      <c r="Q3003" s="3">
        <f t="shared" si="232"/>
        <v>0</v>
      </c>
      <c r="R3003" s="3">
        <f t="shared" si="233"/>
        <v>0</v>
      </c>
      <c r="S3003" s="3">
        <f t="shared" si="234"/>
        <v>18048.710000000003</v>
      </c>
      <c r="T3003" s="24" t="s">
        <v>1081</v>
      </c>
      <c r="U3003" s="24" t="s">
        <v>1081</v>
      </c>
      <c r="V3003" s="69"/>
      <c r="W3003" s="25">
        <f>IFERROR(VLOOKUP(BCP_Soles[[#This Row],[DESTINATARIO]],CHOOSE({1,2},Clientes_Proveedores[Razon Social],Clientes_Proveedores[Ruc / Dni]),2,0),"")</f>
        <v>20419158462</v>
      </c>
      <c r="X3003" s="25"/>
      <c r="Y3003" s="25"/>
      <c r="Z3003" s="25"/>
      <c r="AA3003" s="101" t="s">
        <v>3385</v>
      </c>
      <c r="AB3003" s="3" t="str">
        <f>IF(BCP_Soles[[#This Row],[FECHA]]&gt;0,TEXT(BCP_Soles[[#This Row],[FECHA]],"mmmm"),0)</f>
        <v>Agosto</v>
      </c>
    </row>
    <row r="3004" spans="2:28" ht="24" x14ac:dyDescent="0.3">
      <c r="B3004" s="2" t="str">
        <f>IF(BCP_Soles[[#This Row],[TIPO DE R.]]="R",COUNTIFS($D$4:$D3003,"R")+1,"")</f>
        <v/>
      </c>
      <c r="C3004" s="19" t="str">
        <f t="shared" si="230"/>
        <v>B-BCP - Soles</v>
      </c>
      <c r="D3004" s="3" t="s">
        <v>1101</v>
      </c>
      <c r="E3004" s="14">
        <v>45870</v>
      </c>
      <c r="F3004" s="5" t="s">
        <v>2898</v>
      </c>
      <c r="G3004" s="5"/>
      <c r="H3004" s="6" t="s">
        <v>214</v>
      </c>
      <c r="I3004" s="6" t="s">
        <v>14</v>
      </c>
      <c r="J3004" s="6" t="s">
        <v>1120</v>
      </c>
      <c r="K3004" s="6">
        <v>6962</v>
      </c>
      <c r="L3004" s="7" t="s">
        <v>3777</v>
      </c>
      <c r="M3004" s="8">
        <v>1010643</v>
      </c>
      <c r="N3004" s="8" t="str">
        <f t="shared" si="231"/>
        <v>PEN</v>
      </c>
      <c r="O3004" s="13"/>
      <c r="P3004" s="13"/>
      <c r="Q3004" s="3">
        <f t="shared" si="232"/>
        <v>0</v>
      </c>
      <c r="R3004" s="3">
        <f t="shared" si="233"/>
        <v>0</v>
      </c>
      <c r="S3004" s="3">
        <f t="shared" si="234"/>
        <v>18048.710000000003</v>
      </c>
      <c r="T3004" s="24" t="s">
        <v>1081</v>
      </c>
      <c r="U3004" s="24" t="s">
        <v>1081</v>
      </c>
      <c r="V3004" s="69"/>
      <c r="W3004" s="25">
        <f>IFERROR(VLOOKUP(BCP_Soles[[#This Row],[DESTINATARIO]],CHOOSE({1,2},Clientes_Proveedores[Razon Social],Clientes_Proveedores[Ruc / Dni]),2,0),"")</f>
        <v>20419158462</v>
      </c>
      <c r="X3004" s="25"/>
      <c r="Y3004" s="25"/>
      <c r="Z3004" s="25"/>
      <c r="AA3004" s="101" t="s">
        <v>3385</v>
      </c>
      <c r="AB3004" s="3" t="str">
        <f>IF(BCP_Soles[[#This Row],[FECHA]]&gt;0,TEXT(BCP_Soles[[#This Row],[FECHA]],"mmmm"),0)</f>
        <v>Agosto</v>
      </c>
    </row>
    <row r="3005" spans="2:28" ht="24" x14ac:dyDescent="0.3">
      <c r="B3005" s="2" t="str">
        <f>IF(BCP_Soles[[#This Row],[TIPO DE R.]]="R",COUNTIFS($D$4:$D3004,"R")+1,"")</f>
        <v/>
      </c>
      <c r="C3005" s="19" t="str">
        <f t="shared" si="230"/>
        <v>B-BCP - Soles</v>
      </c>
      <c r="D3005" s="3" t="s">
        <v>1101</v>
      </c>
      <c r="E3005" s="14">
        <v>45870</v>
      </c>
      <c r="F3005" s="5" t="s">
        <v>2898</v>
      </c>
      <c r="G3005" s="5"/>
      <c r="H3005" s="6" t="s">
        <v>214</v>
      </c>
      <c r="I3005" s="6" t="s">
        <v>14</v>
      </c>
      <c r="J3005" s="6" t="s">
        <v>1120</v>
      </c>
      <c r="K3005" s="6">
        <v>6961</v>
      </c>
      <c r="L3005" s="7" t="s">
        <v>3777</v>
      </c>
      <c r="M3005" s="8">
        <v>1010643</v>
      </c>
      <c r="N3005" s="8" t="str">
        <f t="shared" si="231"/>
        <v>PEN</v>
      </c>
      <c r="O3005" s="13"/>
      <c r="P3005" s="13"/>
      <c r="Q3005" s="3">
        <f t="shared" si="232"/>
        <v>0</v>
      </c>
      <c r="R3005" s="3">
        <f t="shared" si="233"/>
        <v>0</v>
      </c>
      <c r="S3005" s="3">
        <f t="shared" si="234"/>
        <v>18048.710000000003</v>
      </c>
      <c r="T3005" s="24" t="s">
        <v>1081</v>
      </c>
      <c r="U3005" s="24" t="s">
        <v>1081</v>
      </c>
      <c r="V3005" s="69"/>
      <c r="W3005" s="25">
        <f>IFERROR(VLOOKUP(BCP_Soles[[#This Row],[DESTINATARIO]],CHOOSE({1,2},Clientes_Proveedores[Razon Social],Clientes_Proveedores[Ruc / Dni]),2,0),"")</f>
        <v>20419158462</v>
      </c>
      <c r="X3005" s="25"/>
      <c r="Y3005" s="25"/>
      <c r="Z3005" s="25"/>
      <c r="AA3005" s="101" t="s">
        <v>3385</v>
      </c>
      <c r="AB3005" s="3" t="str">
        <f>IF(BCP_Soles[[#This Row],[FECHA]]&gt;0,TEXT(BCP_Soles[[#This Row],[FECHA]],"mmmm"),0)</f>
        <v>Agosto</v>
      </c>
    </row>
    <row r="3006" spans="2:28" ht="24" x14ac:dyDescent="0.3">
      <c r="B3006" s="2" t="str">
        <f>IF(BCP_Soles[[#This Row],[TIPO DE R.]]="R",COUNTIFS($D$4:$D3005,"R")+1,"")</f>
        <v/>
      </c>
      <c r="C3006" s="19" t="str">
        <f t="shared" si="230"/>
        <v>B-BCP - Soles</v>
      </c>
      <c r="D3006" s="3" t="s">
        <v>1101</v>
      </c>
      <c r="E3006" s="14">
        <v>45870</v>
      </c>
      <c r="F3006" s="5" t="s">
        <v>2898</v>
      </c>
      <c r="G3006" s="5"/>
      <c r="H3006" s="6" t="s">
        <v>147</v>
      </c>
      <c r="I3006" s="6" t="s">
        <v>14</v>
      </c>
      <c r="J3006" s="6" t="s">
        <v>1148</v>
      </c>
      <c r="K3006" s="6">
        <v>16531</v>
      </c>
      <c r="L3006" s="7" t="s">
        <v>3777</v>
      </c>
      <c r="M3006" s="8">
        <v>1010643</v>
      </c>
      <c r="N3006" s="8" t="str">
        <f t="shared" si="231"/>
        <v>PEN</v>
      </c>
      <c r="O3006" s="13"/>
      <c r="P3006" s="13"/>
      <c r="Q3006" s="3">
        <f t="shared" si="232"/>
        <v>0</v>
      </c>
      <c r="R3006" s="3">
        <f t="shared" si="233"/>
        <v>0</v>
      </c>
      <c r="S3006" s="3">
        <f t="shared" si="234"/>
        <v>18048.710000000003</v>
      </c>
      <c r="T3006" s="24" t="s">
        <v>1081</v>
      </c>
      <c r="U3006" s="24" t="s">
        <v>1081</v>
      </c>
      <c r="V3006" s="69"/>
      <c r="W3006" s="25">
        <f>IFERROR(VLOOKUP(BCP_Soles[[#This Row],[DESTINATARIO]],CHOOSE({1,2},Clientes_Proveedores[Razon Social],Clientes_Proveedores[Ruc / Dni]),2,0),"")</f>
        <v>20100192064</v>
      </c>
      <c r="X3006" s="25"/>
      <c r="Y3006" s="25"/>
      <c r="Z3006" s="25"/>
      <c r="AA3006" s="101" t="s">
        <v>3385</v>
      </c>
      <c r="AB3006" s="3" t="str">
        <f>IF(BCP_Soles[[#This Row],[FECHA]]&gt;0,TEXT(BCP_Soles[[#This Row],[FECHA]],"mmmm"),0)</f>
        <v>Agosto</v>
      </c>
    </row>
    <row r="3007" spans="2:28" ht="24" x14ac:dyDescent="0.3">
      <c r="B3007" s="2" t="str">
        <f>IF(BCP_Soles[[#This Row],[TIPO DE R.]]="R",COUNTIFS($D$4:$D3006,"R")+1,"")</f>
        <v/>
      </c>
      <c r="C3007" s="19" t="str">
        <f t="shared" si="230"/>
        <v>B-BCP - Soles</v>
      </c>
      <c r="D3007" s="3" t="s">
        <v>1101</v>
      </c>
      <c r="E3007" s="14">
        <v>45870</v>
      </c>
      <c r="F3007" s="5" t="s">
        <v>2898</v>
      </c>
      <c r="G3007" s="5"/>
      <c r="H3007" s="6" t="s">
        <v>147</v>
      </c>
      <c r="I3007" s="6" t="s">
        <v>14</v>
      </c>
      <c r="J3007" s="6" t="s">
        <v>1148</v>
      </c>
      <c r="K3007" s="6">
        <v>16532</v>
      </c>
      <c r="L3007" s="7" t="s">
        <v>3777</v>
      </c>
      <c r="M3007" s="8">
        <v>1010643</v>
      </c>
      <c r="N3007" s="8" t="str">
        <f t="shared" si="231"/>
        <v>PEN</v>
      </c>
      <c r="O3007" s="13"/>
      <c r="P3007" s="13"/>
      <c r="Q3007" s="3">
        <f t="shared" si="232"/>
        <v>0</v>
      </c>
      <c r="R3007" s="3">
        <f t="shared" si="233"/>
        <v>0</v>
      </c>
      <c r="S3007" s="3">
        <f t="shared" si="234"/>
        <v>18048.710000000003</v>
      </c>
      <c r="T3007" s="24" t="s">
        <v>1081</v>
      </c>
      <c r="U3007" s="24" t="s">
        <v>1081</v>
      </c>
      <c r="V3007" s="69"/>
      <c r="W3007" s="25">
        <f>IFERROR(VLOOKUP(BCP_Soles[[#This Row],[DESTINATARIO]],CHOOSE({1,2},Clientes_Proveedores[Razon Social],Clientes_Proveedores[Ruc / Dni]),2,0),"")</f>
        <v>20100192064</v>
      </c>
      <c r="X3007" s="25"/>
      <c r="Y3007" s="25"/>
      <c r="Z3007" s="25"/>
      <c r="AA3007" s="101" t="s">
        <v>3385</v>
      </c>
      <c r="AB3007" s="3" t="str">
        <f>IF(BCP_Soles[[#This Row],[FECHA]]&gt;0,TEXT(BCP_Soles[[#This Row],[FECHA]],"mmmm"),0)</f>
        <v>Agosto</v>
      </c>
    </row>
    <row r="3008" spans="2:28" ht="24" x14ac:dyDescent="0.3">
      <c r="B3008" s="2" t="str">
        <f>IF(BCP_Soles[[#This Row],[TIPO DE R.]]="R",COUNTIFS($D$4:$D3007,"R")+1,"")</f>
        <v/>
      </c>
      <c r="C3008" s="19" t="str">
        <f t="shared" si="230"/>
        <v>B-BCP - Soles</v>
      </c>
      <c r="D3008" s="3" t="s">
        <v>1101</v>
      </c>
      <c r="E3008" s="14">
        <v>45870</v>
      </c>
      <c r="F3008" s="5" t="s">
        <v>2898</v>
      </c>
      <c r="G3008" s="5"/>
      <c r="H3008" s="6" t="s">
        <v>147</v>
      </c>
      <c r="I3008" s="6" t="s">
        <v>14</v>
      </c>
      <c r="J3008" s="6" t="s">
        <v>1148</v>
      </c>
      <c r="K3008" s="6">
        <v>16534</v>
      </c>
      <c r="L3008" s="7" t="s">
        <v>3777</v>
      </c>
      <c r="M3008" s="8">
        <v>1010643</v>
      </c>
      <c r="N3008" s="8" t="str">
        <f t="shared" si="231"/>
        <v>PEN</v>
      </c>
      <c r="O3008" s="13"/>
      <c r="P3008" s="13"/>
      <c r="Q3008" s="3">
        <f t="shared" si="232"/>
        <v>0</v>
      </c>
      <c r="R3008" s="3">
        <f t="shared" si="233"/>
        <v>0</v>
      </c>
      <c r="S3008" s="3">
        <f t="shared" si="234"/>
        <v>18048.710000000003</v>
      </c>
      <c r="T3008" s="24" t="s">
        <v>1081</v>
      </c>
      <c r="U3008" s="24" t="s">
        <v>1081</v>
      </c>
      <c r="V3008" s="69"/>
      <c r="W3008" s="25">
        <f>IFERROR(VLOOKUP(BCP_Soles[[#This Row],[DESTINATARIO]],CHOOSE({1,2},Clientes_Proveedores[Razon Social],Clientes_Proveedores[Ruc / Dni]),2,0),"")</f>
        <v>20100192064</v>
      </c>
      <c r="X3008" s="25"/>
      <c r="Y3008" s="25"/>
      <c r="Z3008" s="25"/>
      <c r="AA3008" s="101" t="s">
        <v>3385</v>
      </c>
      <c r="AB3008" s="3" t="str">
        <f>IF(BCP_Soles[[#This Row],[FECHA]]&gt;0,TEXT(BCP_Soles[[#This Row],[FECHA]],"mmmm"),0)</f>
        <v>Agosto</v>
      </c>
    </row>
    <row r="3009" spans="2:28" ht="24" x14ac:dyDescent="0.3">
      <c r="B3009" s="2" t="str">
        <f>IF(BCP_Soles[[#This Row],[TIPO DE R.]]="R",COUNTIFS($D$4:$D3008,"R")+1,"")</f>
        <v/>
      </c>
      <c r="C3009" s="19" t="str">
        <f t="shared" si="230"/>
        <v>B-BCP - Soles</v>
      </c>
      <c r="D3009" s="3" t="s">
        <v>1101</v>
      </c>
      <c r="E3009" s="14">
        <v>45870</v>
      </c>
      <c r="F3009" s="5" t="s">
        <v>2898</v>
      </c>
      <c r="G3009" s="5"/>
      <c r="H3009" s="6" t="s">
        <v>328</v>
      </c>
      <c r="I3009" s="6" t="s">
        <v>14</v>
      </c>
      <c r="J3009" s="6" t="s">
        <v>1121</v>
      </c>
      <c r="K3009" s="6">
        <v>1342</v>
      </c>
      <c r="L3009" s="7" t="s">
        <v>3777</v>
      </c>
      <c r="M3009" s="8">
        <v>1010643</v>
      </c>
      <c r="N3009" s="8" t="str">
        <f t="shared" si="231"/>
        <v>PEN</v>
      </c>
      <c r="O3009" s="13"/>
      <c r="P3009" s="13"/>
      <c r="Q3009" s="3">
        <f t="shared" si="232"/>
        <v>0</v>
      </c>
      <c r="R3009" s="3">
        <f t="shared" si="233"/>
        <v>0</v>
      </c>
      <c r="S3009" s="3">
        <f t="shared" si="234"/>
        <v>18048.710000000003</v>
      </c>
      <c r="T3009" s="24" t="s">
        <v>1081</v>
      </c>
      <c r="U3009" s="24" t="s">
        <v>1081</v>
      </c>
      <c r="V3009" s="69"/>
      <c r="W3009" s="25">
        <f>IFERROR(VLOOKUP(BCP_Soles[[#This Row],[DESTINATARIO]],CHOOSE({1,2},Clientes_Proveedores[Razon Social],Clientes_Proveedores[Ruc / Dni]),2,0),"")</f>
        <v>20539387104</v>
      </c>
      <c r="X3009" s="25"/>
      <c r="Y3009" s="25"/>
      <c r="Z3009" s="25"/>
      <c r="AA3009" s="101" t="s">
        <v>3385</v>
      </c>
      <c r="AB3009" s="3" t="str">
        <f>IF(BCP_Soles[[#This Row],[FECHA]]&gt;0,TEXT(BCP_Soles[[#This Row],[FECHA]],"mmmm"),0)</f>
        <v>Agosto</v>
      </c>
    </row>
    <row r="3010" spans="2:28" x14ac:dyDescent="0.3">
      <c r="B3010" s="2">
        <f>IF(BCP_Soles[[#This Row],[TIPO DE R.]]="R",COUNTIFS($D$4:$D3009,"R")+1,"")</f>
        <v>2103</v>
      </c>
      <c r="C3010" s="19" t="str">
        <f t="shared" si="230"/>
        <v>B-BCP - Soles</v>
      </c>
      <c r="D3010" s="3" t="s">
        <v>1074</v>
      </c>
      <c r="E3010" s="14">
        <v>45870</v>
      </c>
      <c r="F3010" s="5" t="s">
        <v>1078</v>
      </c>
      <c r="G3010" s="5" t="s">
        <v>1079</v>
      </c>
      <c r="H3010" s="6"/>
      <c r="I3010" s="6"/>
      <c r="J3010" s="6"/>
      <c r="K3010" s="6"/>
      <c r="L3010" s="7" t="s">
        <v>2868</v>
      </c>
      <c r="M3010" s="8"/>
      <c r="N3010" s="8" t="str">
        <f t="shared" si="231"/>
        <v>PEN</v>
      </c>
      <c r="O3010" s="13"/>
      <c r="P3010" s="13">
        <v>1.95</v>
      </c>
      <c r="Q3010" s="3">
        <f t="shared" si="232"/>
        <v>0</v>
      </c>
      <c r="R3010" s="3">
        <f t="shared" si="233"/>
        <v>1.95</v>
      </c>
      <c r="S3010" s="3">
        <f t="shared" si="234"/>
        <v>18046.760000000002</v>
      </c>
      <c r="T3010" s="24"/>
      <c r="U3010" s="24"/>
      <c r="V3010" s="69"/>
      <c r="W3010" s="25" t="str">
        <f>IFERROR(VLOOKUP(BCP_Soles[[#This Row],[DESTINATARIO]],CHOOSE({1,2},Clientes_Proveedores[Razon Social],Clientes_Proveedores[Ruc / Dni]),2,0),"")</f>
        <v/>
      </c>
      <c r="X3010" s="25"/>
      <c r="Y3010" s="25"/>
      <c r="Z3010" s="25"/>
      <c r="AA3010" s="101"/>
      <c r="AB3010" s="3" t="str">
        <f>IF(BCP_Soles[[#This Row],[FECHA]]&gt;0,TEXT(BCP_Soles[[#This Row],[FECHA]],"mmmm"),0)</f>
        <v>Agosto</v>
      </c>
    </row>
    <row r="3011" spans="2:28" ht="24" x14ac:dyDescent="0.3">
      <c r="B3011" s="2">
        <f>IF(BCP_Soles[[#This Row],[TIPO DE R.]]="R",COUNTIFS($D$4:$D3010,"R")+1,"")</f>
        <v>2104</v>
      </c>
      <c r="C3011" s="19" t="str">
        <f t="shared" si="230"/>
        <v>B-BCP - Soles</v>
      </c>
      <c r="D3011" s="3" t="s">
        <v>1074</v>
      </c>
      <c r="E3011" s="14">
        <v>45870</v>
      </c>
      <c r="F3011" s="5" t="s">
        <v>1078</v>
      </c>
      <c r="G3011" s="5" t="s">
        <v>1079</v>
      </c>
      <c r="H3011" s="6" t="s">
        <v>1001</v>
      </c>
      <c r="I3011" s="6" t="s">
        <v>14</v>
      </c>
      <c r="J3011" s="6" t="s">
        <v>3128</v>
      </c>
      <c r="K3011" s="6">
        <v>35354742</v>
      </c>
      <c r="L3011" s="7" t="s">
        <v>1141</v>
      </c>
      <c r="M3011" s="8">
        <v>624</v>
      </c>
      <c r="N3011" s="8" t="str">
        <f t="shared" si="231"/>
        <v>PEN</v>
      </c>
      <c r="O3011" s="13"/>
      <c r="P3011" s="13">
        <v>10</v>
      </c>
      <c r="Q3011" s="3">
        <f t="shared" si="232"/>
        <v>0</v>
      </c>
      <c r="R3011" s="3">
        <f t="shared" si="233"/>
        <v>10</v>
      </c>
      <c r="S3011" s="3">
        <f t="shared" si="234"/>
        <v>18036.760000000002</v>
      </c>
      <c r="T3011" s="24" t="s">
        <v>1081</v>
      </c>
      <c r="U3011" s="24" t="s">
        <v>1081</v>
      </c>
      <c r="V3011" s="69"/>
      <c r="W3011" s="25">
        <f>IFERROR(VLOOKUP(BCP_Soles[[#This Row],[DESTINATARIO]],CHOOSE({1,2},Clientes_Proveedores[Razon Social],Clientes_Proveedores[Ruc / Dni]),2,0),"")</f>
        <v>20100047218</v>
      </c>
      <c r="X3011" s="25"/>
      <c r="Y3011" s="25"/>
      <c r="Z3011" s="25"/>
      <c r="AA3011" s="101"/>
      <c r="AB3011" s="3" t="str">
        <f>IF(BCP_Soles[[#This Row],[FECHA]]&gt;0,TEXT(BCP_Soles[[#This Row],[FECHA]],"mmmm"),0)</f>
        <v>Agosto</v>
      </c>
    </row>
    <row r="3012" spans="2:28" x14ac:dyDescent="0.3">
      <c r="B3012" s="2">
        <f>IF(BCP_Soles[[#This Row],[TIPO DE R.]]="R",COUNTIFS($D$4:$D3011,"R")+1,"")</f>
        <v>2105</v>
      </c>
      <c r="C3012" s="19" t="str">
        <f t="shared" si="230"/>
        <v>B-BCP - Soles</v>
      </c>
      <c r="D3012" s="3" t="s">
        <v>1074</v>
      </c>
      <c r="E3012" s="14">
        <v>45871</v>
      </c>
      <c r="F3012" s="5" t="s">
        <v>3738</v>
      </c>
      <c r="G3012" s="5" t="s">
        <v>1087</v>
      </c>
      <c r="H3012" s="6" t="s">
        <v>368</v>
      </c>
      <c r="I3012" s="6"/>
      <c r="J3012" s="6"/>
      <c r="K3012" s="6"/>
      <c r="L3012" s="7" t="s">
        <v>3739</v>
      </c>
      <c r="M3012" s="8">
        <v>2055176</v>
      </c>
      <c r="N3012" s="8" t="str">
        <f t="shared" si="231"/>
        <v>PEN</v>
      </c>
      <c r="O3012" s="13"/>
      <c r="P3012" s="13">
        <v>2529.2399999999998</v>
      </c>
      <c r="Q3012" s="3">
        <f t="shared" si="232"/>
        <v>2529.2399999999998</v>
      </c>
      <c r="R3012" s="3">
        <f t="shared" si="233"/>
        <v>0</v>
      </c>
      <c r="S3012" s="3">
        <f t="shared" si="234"/>
        <v>20566</v>
      </c>
      <c r="T3012" s="24"/>
      <c r="U3012" s="24"/>
      <c r="V3012" s="69"/>
      <c r="W3012" s="25">
        <f>IFERROR(VLOOKUP(BCP_Soles[[#This Row],[DESTINATARIO]],CHOOSE({1,2},Clientes_Proveedores[Razon Social],Clientes_Proveedores[Ruc / Dni]),2,0),"")</f>
        <v>20558226979</v>
      </c>
      <c r="X3012" s="25"/>
      <c r="Y3012" s="25"/>
      <c r="Z3012" s="25"/>
      <c r="AA3012" s="101"/>
      <c r="AB3012" s="3" t="str">
        <f>IF(BCP_Soles[[#This Row],[FECHA]]&gt;0,TEXT(BCP_Soles[[#This Row],[FECHA]],"mmmm"),0)</f>
        <v>Agosto</v>
      </c>
    </row>
    <row r="3013" spans="2:28" ht="36" x14ac:dyDescent="0.3">
      <c r="B3013" s="2">
        <f>IF(BCP_Soles[[#This Row],[TIPO DE R.]]="R",COUNTIFS($D$4:$D3012,"R")+1,"")</f>
        <v>2106</v>
      </c>
      <c r="C3013" s="19" t="str">
        <f t="shared" ref="C3013:C3076" si="235">"B-BCP - Soles"</f>
        <v>B-BCP - Soles</v>
      </c>
      <c r="D3013" s="3" t="s">
        <v>1074</v>
      </c>
      <c r="E3013" s="14">
        <v>45871</v>
      </c>
      <c r="F3013" s="5" t="s">
        <v>602</v>
      </c>
      <c r="G3013" s="5" t="s">
        <v>1087</v>
      </c>
      <c r="H3013" s="6" t="s">
        <v>368</v>
      </c>
      <c r="I3013" s="6" t="s">
        <v>14</v>
      </c>
      <c r="J3013" s="6" t="s">
        <v>3010</v>
      </c>
      <c r="K3013" s="6">
        <v>106</v>
      </c>
      <c r="L3013" s="7" t="s">
        <v>1100</v>
      </c>
      <c r="M3013" s="8">
        <v>2216013</v>
      </c>
      <c r="N3013" s="8" t="str">
        <f t="shared" ref="N3013:N3076" si="236">"PEN"</f>
        <v>PEN</v>
      </c>
      <c r="O3013" s="13"/>
      <c r="P3013" s="13">
        <v>584.1</v>
      </c>
      <c r="Q3013" s="3">
        <f t="shared" ref="Q3013:Q3076" si="237">+IF(OR($G3013="SALDO",$G3013="INGRESO"),$P3013,0)</f>
        <v>584.1</v>
      </c>
      <c r="R3013" s="3">
        <f t="shared" ref="R3013:R3076" si="238">+IF($G3013="EGRESO",$P3013,0)</f>
        <v>0</v>
      </c>
      <c r="S3013" s="3">
        <f t="shared" ref="S3013:S3076" si="239">IFERROR(IF(G3013="SALDO",Q3013,S3012+Q3013-R3013),0)</f>
        <v>21150.1</v>
      </c>
      <c r="T3013" s="24" t="s">
        <v>1081</v>
      </c>
      <c r="U3013" s="24" t="s">
        <v>1081</v>
      </c>
      <c r="V3013" s="69"/>
      <c r="W3013" s="25">
        <f>IFERROR(VLOOKUP(BCP_Soles[[#This Row],[DESTINATARIO]],CHOOSE({1,2},Clientes_Proveedores[Razon Social],Clientes_Proveedores[Ruc / Dni]),2,0),"")</f>
        <v>20558226979</v>
      </c>
      <c r="X3013" s="25"/>
      <c r="Y3013" s="25"/>
      <c r="Z3013" s="25"/>
      <c r="AA3013" s="101"/>
      <c r="AB3013" s="3" t="str">
        <f>IF(BCP_Soles[[#This Row],[FECHA]]&gt;0,TEXT(BCP_Soles[[#This Row],[FECHA]],"mmmm"),0)</f>
        <v>Agosto</v>
      </c>
    </row>
    <row r="3014" spans="2:28" x14ac:dyDescent="0.3">
      <c r="B3014" s="2">
        <f>IF(BCP_Soles[[#This Row],[TIPO DE R.]]="R",COUNTIFS($D$4:$D3013,"R")+1,"")</f>
        <v>2107</v>
      </c>
      <c r="C3014" s="19" t="str">
        <f t="shared" si="235"/>
        <v>B-BCP - Soles</v>
      </c>
      <c r="D3014" s="3" t="s">
        <v>1074</v>
      </c>
      <c r="E3014" s="14">
        <v>45872</v>
      </c>
      <c r="F3014" s="5" t="s">
        <v>1078</v>
      </c>
      <c r="G3014" s="5" t="s">
        <v>1079</v>
      </c>
      <c r="H3014" s="6" t="s">
        <v>368</v>
      </c>
      <c r="I3014" s="6"/>
      <c r="J3014" s="6"/>
      <c r="K3014" s="6"/>
      <c r="L3014" s="7" t="s">
        <v>2868</v>
      </c>
      <c r="M3014" s="8"/>
      <c r="N3014" s="8" t="str">
        <f t="shared" si="236"/>
        <v>PEN</v>
      </c>
      <c r="O3014" s="13"/>
      <c r="P3014" s="13">
        <v>0.1</v>
      </c>
      <c r="Q3014" s="3">
        <f t="shared" si="237"/>
        <v>0</v>
      </c>
      <c r="R3014" s="3">
        <f t="shared" si="238"/>
        <v>0.1</v>
      </c>
      <c r="S3014" s="3">
        <f t="shared" si="239"/>
        <v>21150</v>
      </c>
      <c r="T3014" s="24"/>
      <c r="U3014" s="24"/>
      <c r="V3014" s="69"/>
      <c r="W3014" s="25">
        <f>IFERROR(VLOOKUP(BCP_Soles[[#This Row],[DESTINATARIO]],CHOOSE({1,2},Clientes_Proveedores[Razon Social],Clientes_Proveedores[Ruc / Dni]),2,0),"")</f>
        <v>20558226979</v>
      </c>
      <c r="X3014" s="25"/>
      <c r="Y3014" s="25"/>
      <c r="Z3014" s="25"/>
      <c r="AA3014" s="101"/>
      <c r="AB3014" s="3" t="str">
        <f>IF(BCP_Soles[[#This Row],[FECHA]]&gt;0,TEXT(BCP_Soles[[#This Row],[FECHA]],"mmmm"),0)</f>
        <v>Agosto</v>
      </c>
    </row>
    <row r="3015" spans="2:28" ht="24" x14ac:dyDescent="0.3">
      <c r="B3015" s="2">
        <f>IF(BCP_Soles[[#This Row],[TIPO DE R.]]="R",COUNTIFS($D$4:$D3014,"R")+1,"")</f>
        <v>2108</v>
      </c>
      <c r="C3015" s="19" t="str">
        <f t="shared" si="235"/>
        <v>B-BCP - Soles</v>
      </c>
      <c r="D3015" s="3" t="s">
        <v>1074</v>
      </c>
      <c r="E3015" s="14">
        <v>45873</v>
      </c>
      <c r="F3015" s="5" t="s">
        <v>587</v>
      </c>
      <c r="G3015" s="5" t="s">
        <v>1087</v>
      </c>
      <c r="H3015" s="6" t="s">
        <v>368</v>
      </c>
      <c r="I3015" s="6"/>
      <c r="J3015" s="6"/>
      <c r="K3015" s="6"/>
      <c r="L3015" s="7" t="s">
        <v>2120</v>
      </c>
      <c r="M3015" s="8">
        <v>2011558</v>
      </c>
      <c r="N3015" s="8" t="str">
        <f t="shared" si="236"/>
        <v>PEN</v>
      </c>
      <c r="O3015" s="13"/>
      <c r="P3015" s="13">
        <v>8952</v>
      </c>
      <c r="Q3015" s="3">
        <f t="shared" si="237"/>
        <v>8952</v>
      </c>
      <c r="R3015" s="3">
        <f t="shared" si="238"/>
        <v>0</v>
      </c>
      <c r="S3015" s="3">
        <f t="shared" si="239"/>
        <v>30102</v>
      </c>
      <c r="T3015" s="24"/>
      <c r="U3015" s="24"/>
      <c r="V3015" s="69"/>
      <c r="W3015" s="25">
        <f>IFERROR(VLOOKUP(BCP_Soles[[#This Row],[DESTINATARIO]],CHOOSE({1,2},Clientes_Proveedores[Razon Social],Clientes_Proveedores[Ruc / Dni]),2,0),"")</f>
        <v>20558226979</v>
      </c>
      <c r="X3015" s="25"/>
      <c r="Y3015" s="25"/>
      <c r="Z3015" s="25"/>
      <c r="AA3015" s="101"/>
      <c r="AB3015" s="3" t="str">
        <f>IF(BCP_Soles[[#This Row],[FECHA]]&gt;0,TEXT(BCP_Soles[[#This Row],[FECHA]],"mmmm"),0)</f>
        <v>Agosto</v>
      </c>
    </row>
    <row r="3016" spans="2:28" ht="24" x14ac:dyDescent="0.3">
      <c r="B3016" s="2">
        <f>IF(BCP_Soles[[#This Row],[TIPO DE R.]]="R",COUNTIFS($D$4:$D3015,"R")+1,"")</f>
        <v>2109</v>
      </c>
      <c r="C3016" s="19" t="str">
        <f t="shared" si="235"/>
        <v>B-BCP - Soles</v>
      </c>
      <c r="D3016" s="3" t="s">
        <v>1074</v>
      </c>
      <c r="E3016" s="14">
        <v>45873</v>
      </c>
      <c r="F3016" s="5" t="s">
        <v>587</v>
      </c>
      <c r="G3016" s="5"/>
      <c r="H3016" s="6"/>
      <c r="I3016" s="6" t="s">
        <v>63</v>
      </c>
      <c r="J3016" s="6">
        <v>1</v>
      </c>
      <c r="K3016" s="6">
        <v>4600</v>
      </c>
      <c r="L3016" s="7" t="s">
        <v>2120</v>
      </c>
      <c r="M3016" s="8">
        <v>2011558</v>
      </c>
      <c r="N3016" s="8" t="str">
        <f t="shared" si="236"/>
        <v>PEN</v>
      </c>
      <c r="O3016" s="13"/>
      <c r="P3016" s="13">
        <v>8800</v>
      </c>
      <c r="Q3016" s="3">
        <f t="shared" si="237"/>
        <v>0</v>
      </c>
      <c r="R3016" s="3">
        <f t="shared" si="238"/>
        <v>0</v>
      </c>
      <c r="S3016" s="3">
        <f t="shared" si="239"/>
        <v>30102</v>
      </c>
      <c r="T3016" s="24"/>
      <c r="U3016" s="24"/>
      <c r="V3016" s="69"/>
      <c r="W3016" s="25" t="str">
        <f>IFERROR(VLOOKUP(BCP_Soles[[#This Row],[DESTINATARIO]],CHOOSE({1,2},Clientes_Proveedores[Razon Social],Clientes_Proveedores[Ruc / Dni]),2,0),"")</f>
        <v/>
      </c>
      <c r="X3016" s="25"/>
      <c r="Y3016" s="25"/>
      <c r="Z3016" s="25"/>
      <c r="AA3016" s="101"/>
      <c r="AB3016" s="3" t="str">
        <f>IF(BCP_Soles[[#This Row],[FECHA]]&gt;0,TEXT(BCP_Soles[[#This Row],[FECHA]],"mmmm"),0)</f>
        <v>Agosto</v>
      </c>
    </row>
    <row r="3017" spans="2:28" ht="24" x14ac:dyDescent="0.3">
      <c r="B3017" s="2">
        <f>IF(BCP_Soles[[#This Row],[TIPO DE R.]]="R",COUNTIFS($D$4:$D3016,"R")+1,"")</f>
        <v>2110</v>
      </c>
      <c r="C3017" s="19" t="str">
        <f t="shared" si="235"/>
        <v>B-BCP - Soles</v>
      </c>
      <c r="D3017" s="3" t="s">
        <v>1074</v>
      </c>
      <c r="E3017" s="14">
        <v>45873</v>
      </c>
      <c r="F3017" s="5" t="s">
        <v>587</v>
      </c>
      <c r="G3017" s="5"/>
      <c r="H3017" s="6"/>
      <c r="I3017" s="6" t="s">
        <v>3157</v>
      </c>
      <c r="J3017" s="6"/>
      <c r="K3017" s="6"/>
      <c r="L3017" s="7" t="s">
        <v>2120</v>
      </c>
      <c r="M3017" s="8">
        <v>2011558</v>
      </c>
      <c r="N3017" s="8" t="str">
        <f t="shared" si="236"/>
        <v>PEN</v>
      </c>
      <c r="O3017" s="13"/>
      <c r="P3017" s="13">
        <v>152</v>
      </c>
      <c r="Q3017" s="3">
        <f t="shared" si="237"/>
        <v>0</v>
      </c>
      <c r="R3017" s="3">
        <f t="shared" si="238"/>
        <v>0</v>
      </c>
      <c r="S3017" s="3">
        <f t="shared" si="239"/>
        <v>30102</v>
      </c>
      <c r="T3017" s="24"/>
      <c r="U3017" s="24"/>
      <c r="V3017" s="69"/>
      <c r="W3017" s="25" t="str">
        <f>IFERROR(VLOOKUP(BCP_Soles[[#This Row],[DESTINATARIO]],CHOOSE({1,2},Clientes_Proveedores[Razon Social],Clientes_Proveedores[Ruc / Dni]),2,0),"")</f>
        <v/>
      </c>
      <c r="X3017" s="25"/>
      <c r="Y3017" s="25"/>
      <c r="Z3017" s="25"/>
      <c r="AA3017" s="101"/>
      <c r="AB3017" s="3" t="str">
        <f>IF(BCP_Soles[[#This Row],[FECHA]]&gt;0,TEXT(BCP_Soles[[#This Row],[FECHA]],"mmmm"),0)</f>
        <v>Agosto</v>
      </c>
    </row>
    <row r="3018" spans="2:28" ht="36" x14ac:dyDescent="0.3">
      <c r="B3018" s="2">
        <f>IF(BCP_Soles[[#This Row],[TIPO DE R.]]="R",COUNTIFS($D$4:$D3017,"R")+1,"")</f>
        <v>2111</v>
      </c>
      <c r="C3018" s="19" t="str">
        <f t="shared" si="235"/>
        <v>B-BCP - Soles</v>
      </c>
      <c r="D3018" s="3" t="s">
        <v>1074</v>
      </c>
      <c r="E3018" s="14">
        <v>45873</v>
      </c>
      <c r="F3018" s="5" t="s">
        <v>204</v>
      </c>
      <c r="G3018" s="5" t="s">
        <v>1087</v>
      </c>
      <c r="H3018" s="6" t="s">
        <v>368</v>
      </c>
      <c r="I3018" s="6" t="s">
        <v>14</v>
      </c>
      <c r="J3018" s="6" t="s">
        <v>3010</v>
      </c>
      <c r="K3018" s="6">
        <v>107</v>
      </c>
      <c r="L3018" s="7" t="s">
        <v>3778</v>
      </c>
      <c r="M3018" s="8">
        <v>8550540</v>
      </c>
      <c r="N3018" s="8" t="str">
        <f t="shared" si="236"/>
        <v>PEN</v>
      </c>
      <c r="O3018" s="13"/>
      <c r="P3018" s="13">
        <v>22665.58</v>
      </c>
      <c r="Q3018" s="3">
        <f t="shared" si="237"/>
        <v>22665.58</v>
      </c>
      <c r="R3018" s="3">
        <f t="shared" si="238"/>
        <v>0</v>
      </c>
      <c r="S3018" s="3">
        <f t="shared" si="239"/>
        <v>52767.58</v>
      </c>
      <c r="T3018" s="24" t="s">
        <v>1081</v>
      </c>
      <c r="U3018" s="24" t="s">
        <v>1081</v>
      </c>
      <c r="V3018" s="69"/>
      <c r="W3018" s="25">
        <f>IFERROR(VLOOKUP(BCP_Soles[[#This Row],[DESTINATARIO]],CHOOSE({1,2},Clientes_Proveedores[Razon Social],Clientes_Proveedores[Ruc / Dni]),2,0),"")</f>
        <v>20558226979</v>
      </c>
      <c r="X3018" s="25"/>
      <c r="Y3018" s="25"/>
      <c r="Z3018" s="25"/>
      <c r="AA3018" s="101"/>
      <c r="AB3018" s="3" t="str">
        <f>IF(BCP_Soles[[#This Row],[FECHA]]&gt;0,TEXT(BCP_Soles[[#This Row],[FECHA]],"mmmm"),0)</f>
        <v>Agosto</v>
      </c>
    </row>
    <row r="3019" spans="2:28" x14ac:dyDescent="0.3">
      <c r="B3019" s="2">
        <f>IF(BCP_Soles[[#This Row],[TIPO DE R.]]="R",COUNTIFS($D$4:$D3018,"R")+1,"")</f>
        <v>2112</v>
      </c>
      <c r="C3019" s="19" t="str">
        <f t="shared" si="235"/>
        <v>B-BCP - Soles</v>
      </c>
      <c r="D3019" s="3" t="s">
        <v>1074</v>
      </c>
      <c r="E3019" s="14">
        <v>45873</v>
      </c>
      <c r="F3019" s="5" t="s">
        <v>278</v>
      </c>
      <c r="G3019" s="5" t="s">
        <v>1087</v>
      </c>
      <c r="H3019" s="6" t="s">
        <v>368</v>
      </c>
      <c r="I3019" s="6" t="s">
        <v>14</v>
      </c>
      <c r="J3019" s="6" t="s">
        <v>3010</v>
      </c>
      <c r="K3019" s="6">
        <v>99</v>
      </c>
      <c r="L3019" s="7" t="s">
        <v>3779</v>
      </c>
      <c r="M3019" s="8">
        <v>2266557</v>
      </c>
      <c r="N3019" s="8" t="str">
        <f t="shared" si="236"/>
        <v>PEN</v>
      </c>
      <c r="O3019" s="13"/>
      <c r="P3019" s="13">
        <v>550.82000000000005</v>
      </c>
      <c r="Q3019" s="3">
        <f t="shared" si="237"/>
        <v>550.82000000000005</v>
      </c>
      <c r="R3019" s="3">
        <f t="shared" si="238"/>
        <v>0</v>
      </c>
      <c r="S3019" s="3">
        <f t="shared" si="239"/>
        <v>53318.400000000001</v>
      </c>
      <c r="T3019" s="24" t="s">
        <v>1081</v>
      </c>
      <c r="U3019" s="24" t="s">
        <v>1081</v>
      </c>
      <c r="V3019" s="69"/>
      <c r="W3019" s="25">
        <f>IFERROR(VLOOKUP(BCP_Soles[[#This Row],[DESTINATARIO]],CHOOSE({1,2},Clientes_Proveedores[Razon Social],Clientes_Proveedores[Ruc / Dni]),2,0),"")</f>
        <v>20558226979</v>
      </c>
      <c r="X3019" s="25"/>
      <c r="Y3019" s="25"/>
      <c r="Z3019" s="25"/>
      <c r="AA3019" s="101"/>
      <c r="AB3019" s="3" t="str">
        <f>IF(BCP_Soles[[#This Row],[FECHA]]&gt;0,TEXT(BCP_Soles[[#This Row],[FECHA]],"mmmm"),0)</f>
        <v>Agosto</v>
      </c>
    </row>
    <row r="3020" spans="2:28" ht="24" x14ac:dyDescent="0.3">
      <c r="B3020" s="2">
        <f>IF(BCP_Soles[[#This Row],[TIPO DE R.]]="R",COUNTIFS($D$4:$D3019,"R")+1,"")</f>
        <v>2113</v>
      </c>
      <c r="C3020" s="19" t="str">
        <f t="shared" si="235"/>
        <v>B-BCP - Soles</v>
      </c>
      <c r="D3020" s="3" t="s">
        <v>1074</v>
      </c>
      <c r="E3020" s="14">
        <v>45873</v>
      </c>
      <c r="F3020" s="5" t="s">
        <v>1082</v>
      </c>
      <c r="G3020" s="5" t="s">
        <v>1079</v>
      </c>
      <c r="H3020" s="6" t="s">
        <v>192</v>
      </c>
      <c r="I3020" s="6"/>
      <c r="J3020" s="6"/>
      <c r="K3020" s="6"/>
      <c r="L3020" s="7" t="s">
        <v>3780</v>
      </c>
      <c r="M3020" s="8">
        <v>1060305</v>
      </c>
      <c r="N3020" s="8" t="str">
        <f t="shared" si="236"/>
        <v>PEN</v>
      </c>
      <c r="O3020" s="13"/>
      <c r="P3020" s="13">
        <v>3000</v>
      </c>
      <c r="Q3020" s="3">
        <f t="shared" si="237"/>
        <v>0</v>
      </c>
      <c r="R3020" s="3">
        <f t="shared" si="238"/>
        <v>3000</v>
      </c>
      <c r="S3020" s="3">
        <f t="shared" si="239"/>
        <v>50318.400000000001</v>
      </c>
      <c r="T3020" s="24"/>
      <c r="U3020" s="24"/>
      <c r="V3020" s="103" t="s">
        <v>3781</v>
      </c>
      <c r="W3020" s="25">
        <f>IFERROR(VLOOKUP(BCP_Soles[[#This Row],[DESTINATARIO]],CHOOSE({1,2},Clientes_Proveedores[Razon Social],Clientes_Proveedores[Ruc / Dni]),2,0),"")</f>
        <v>20302891452</v>
      </c>
      <c r="X3020" s="25"/>
      <c r="Y3020" s="25"/>
      <c r="Z3020" s="25"/>
      <c r="AA3020" s="101"/>
      <c r="AB3020" s="3" t="str">
        <f>IF(BCP_Soles[[#This Row],[FECHA]]&gt;0,TEXT(BCP_Soles[[#This Row],[FECHA]],"mmmm"),0)</f>
        <v>Agosto</v>
      </c>
    </row>
    <row r="3021" spans="2:28" ht="24" x14ac:dyDescent="0.3">
      <c r="B3021" s="2">
        <f>IF(BCP_Soles[[#This Row],[TIPO DE R.]]="R",COUNTIFS($D$4:$D3020,"R")+1,"")</f>
        <v>2114</v>
      </c>
      <c r="C3021" s="19" t="str">
        <f t="shared" si="235"/>
        <v>B-BCP - Soles</v>
      </c>
      <c r="D3021" s="3" t="s">
        <v>1074</v>
      </c>
      <c r="E3021" s="14">
        <v>45873</v>
      </c>
      <c r="F3021" s="5" t="s">
        <v>1082</v>
      </c>
      <c r="G3021" s="5" t="s">
        <v>1079</v>
      </c>
      <c r="H3021" s="6"/>
      <c r="I3021" s="6"/>
      <c r="J3021" s="6"/>
      <c r="K3021" s="6"/>
      <c r="L3021" s="7" t="s">
        <v>3782</v>
      </c>
      <c r="M3021" s="8">
        <v>1062260</v>
      </c>
      <c r="N3021" s="8" t="str">
        <f t="shared" si="236"/>
        <v>PEN</v>
      </c>
      <c r="O3021" s="13"/>
      <c r="P3021" s="13">
        <v>1380</v>
      </c>
      <c r="Q3021" s="3">
        <f t="shared" si="237"/>
        <v>0</v>
      </c>
      <c r="R3021" s="3">
        <f t="shared" si="238"/>
        <v>1380</v>
      </c>
      <c r="S3021" s="3">
        <f t="shared" si="239"/>
        <v>48938.400000000001</v>
      </c>
      <c r="T3021" s="24"/>
      <c r="U3021" s="24"/>
      <c r="V3021" s="103" t="s">
        <v>3783</v>
      </c>
      <c r="W3021" s="25" t="str">
        <f>IFERROR(VLOOKUP(BCP_Soles[[#This Row],[DESTINATARIO]],CHOOSE({1,2},Clientes_Proveedores[Razon Social],Clientes_Proveedores[Ruc / Dni]),2,0),"")</f>
        <v/>
      </c>
      <c r="X3021" s="25"/>
      <c r="Y3021" s="25"/>
      <c r="Z3021" s="25"/>
      <c r="AA3021" s="101"/>
      <c r="AB3021" s="3" t="str">
        <f>IF(BCP_Soles[[#This Row],[FECHA]]&gt;0,TEXT(BCP_Soles[[#This Row],[FECHA]],"mmmm"),0)</f>
        <v>Agosto</v>
      </c>
    </row>
    <row r="3022" spans="2:28" ht="24" x14ac:dyDescent="0.3">
      <c r="B3022" s="2">
        <f>IF(BCP_Soles[[#This Row],[TIPO DE R.]]="R",COUNTIFS($D$4:$D3021,"R")+1,"")</f>
        <v>2115</v>
      </c>
      <c r="C3022" s="19" t="str">
        <f t="shared" si="235"/>
        <v>B-BCP - Soles</v>
      </c>
      <c r="D3022" s="3" t="s">
        <v>1074</v>
      </c>
      <c r="E3022" s="14">
        <v>45873</v>
      </c>
      <c r="F3022" s="5" t="s">
        <v>1082</v>
      </c>
      <c r="G3022" s="5" t="s">
        <v>1079</v>
      </c>
      <c r="H3022" s="6" t="s">
        <v>829</v>
      </c>
      <c r="I3022" s="6" t="s">
        <v>91</v>
      </c>
      <c r="J3022" s="6">
        <v>14</v>
      </c>
      <c r="K3022" s="6">
        <v>34</v>
      </c>
      <c r="L3022" s="7" t="s">
        <v>3784</v>
      </c>
      <c r="M3022" s="8">
        <v>1060304</v>
      </c>
      <c r="N3022" s="8" t="str">
        <f t="shared" si="236"/>
        <v>PEN</v>
      </c>
      <c r="O3022" s="13"/>
      <c r="P3022" s="13">
        <v>1957.54</v>
      </c>
      <c r="Q3022" s="3">
        <f t="shared" si="237"/>
        <v>0</v>
      </c>
      <c r="R3022" s="3">
        <f t="shared" si="238"/>
        <v>1957.54</v>
      </c>
      <c r="S3022" s="3">
        <f t="shared" si="239"/>
        <v>46980.86</v>
      </c>
      <c r="T3022" s="24" t="s">
        <v>1081</v>
      </c>
      <c r="U3022" s="24"/>
      <c r="V3022" s="70" t="s">
        <v>3785</v>
      </c>
      <c r="W3022" s="25">
        <f>IFERROR(VLOOKUP(BCP_Soles[[#This Row],[DESTINATARIO]],CHOOSE({1,2},Clientes_Proveedores[Razon Social],Clientes_Proveedores[Ruc / Dni]),2,0),"")</f>
        <v>47461440</v>
      </c>
      <c r="X3022" s="25"/>
      <c r="Y3022" s="25"/>
      <c r="Z3022" s="25"/>
      <c r="AA3022" s="101"/>
      <c r="AB3022" s="3" t="str">
        <f>IF(BCP_Soles[[#This Row],[FECHA]]&gt;0,TEXT(BCP_Soles[[#This Row],[FECHA]],"mmmm"),0)</f>
        <v>Agosto</v>
      </c>
    </row>
    <row r="3023" spans="2:28" x14ac:dyDescent="0.3">
      <c r="B3023" s="2">
        <f>IF(BCP_Soles[[#This Row],[TIPO DE R.]]="R",COUNTIFS($D$4:$D3022,"R")+1,"")</f>
        <v>2116</v>
      </c>
      <c r="C3023" s="19" t="str">
        <f t="shared" si="235"/>
        <v>B-BCP - Soles</v>
      </c>
      <c r="D3023" s="3" t="s">
        <v>1074</v>
      </c>
      <c r="E3023" s="14">
        <v>45873</v>
      </c>
      <c r="F3023" s="5" t="s">
        <v>1082</v>
      </c>
      <c r="G3023" s="5" t="s">
        <v>1079</v>
      </c>
      <c r="H3023" s="6" t="s">
        <v>637</v>
      </c>
      <c r="I3023" s="6"/>
      <c r="J3023" s="6"/>
      <c r="K3023" s="6"/>
      <c r="L3023" s="7" t="s">
        <v>3268</v>
      </c>
      <c r="M3023" s="8">
        <v>63273</v>
      </c>
      <c r="N3023" s="8" t="str">
        <f t="shared" si="236"/>
        <v>PEN</v>
      </c>
      <c r="O3023" s="13"/>
      <c r="P3023" s="13">
        <v>1966.63</v>
      </c>
      <c r="Q3023" s="3">
        <f t="shared" si="237"/>
        <v>0</v>
      </c>
      <c r="R3023" s="3">
        <f t="shared" si="238"/>
        <v>1966.63</v>
      </c>
      <c r="S3023" s="3">
        <f t="shared" si="239"/>
        <v>45014.23</v>
      </c>
      <c r="T3023" s="24" t="s">
        <v>1081</v>
      </c>
      <c r="U3023" s="24"/>
      <c r="V3023" s="103" t="s">
        <v>3786</v>
      </c>
      <c r="W3023" s="25">
        <f>IFERROR(VLOOKUP(BCP_Soles[[#This Row],[DESTINATARIO]],CHOOSE({1,2},Clientes_Proveedores[Razon Social],Clientes_Proveedores[Ruc / Dni]),2,0),"")</f>
        <v>20127765279</v>
      </c>
      <c r="X3023" s="25"/>
      <c r="Y3023" s="25"/>
      <c r="Z3023" s="25"/>
      <c r="AA3023" s="101"/>
      <c r="AB3023" s="3" t="str">
        <f>IF(BCP_Soles[[#This Row],[FECHA]]&gt;0,TEXT(BCP_Soles[[#This Row],[FECHA]],"mmmm"),0)</f>
        <v>Agosto</v>
      </c>
    </row>
    <row r="3024" spans="2:28" x14ac:dyDescent="0.3">
      <c r="B3024" s="2" t="str">
        <f>IF(BCP_Soles[[#This Row],[TIPO DE R.]]="R",COUNTIFS($D$4:$D3023,"R")+1,"")</f>
        <v/>
      </c>
      <c r="C3024" s="19" t="str">
        <f t="shared" si="235"/>
        <v>B-BCP - Soles</v>
      </c>
      <c r="D3024" s="3" t="s">
        <v>1101</v>
      </c>
      <c r="E3024" s="14">
        <v>45873</v>
      </c>
      <c r="F3024" s="5" t="s">
        <v>1082</v>
      </c>
      <c r="G3024" s="5"/>
      <c r="H3024" s="6" t="s">
        <v>637</v>
      </c>
      <c r="I3024" s="6" t="s">
        <v>14</v>
      </c>
      <c r="J3024" s="6" t="s">
        <v>1453</v>
      </c>
      <c r="K3024" s="6">
        <v>150566</v>
      </c>
      <c r="L3024" s="7" t="s">
        <v>3268</v>
      </c>
      <c r="M3024" s="8">
        <v>63273</v>
      </c>
      <c r="N3024" s="8" t="str">
        <f t="shared" si="236"/>
        <v>PEN</v>
      </c>
      <c r="O3024" s="13">
        <v>1371.6</v>
      </c>
      <c r="P3024" s="13"/>
      <c r="Q3024" s="3">
        <f t="shared" si="237"/>
        <v>0</v>
      </c>
      <c r="R3024" s="3">
        <f t="shared" si="238"/>
        <v>0</v>
      </c>
      <c r="S3024" s="3">
        <f t="shared" si="239"/>
        <v>45014.23</v>
      </c>
      <c r="T3024" s="24" t="s">
        <v>1081</v>
      </c>
      <c r="U3024" s="24"/>
      <c r="V3024" s="103"/>
      <c r="W3024" s="25">
        <f>IFERROR(VLOOKUP(BCP_Soles[[#This Row],[DESTINATARIO]],CHOOSE({1,2},Clientes_Proveedores[Razon Social],Clientes_Proveedores[Ruc / Dni]),2,0),"")</f>
        <v>20127765279</v>
      </c>
      <c r="X3024" s="25"/>
      <c r="Y3024" s="25"/>
      <c r="Z3024" s="25"/>
      <c r="AA3024" s="101"/>
      <c r="AB3024" s="3" t="str">
        <f>IF(BCP_Soles[[#This Row],[FECHA]]&gt;0,TEXT(BCP_Soles[[#This Row],[FECHA]],"mmmm"),0)</f>
        <v>Agosto</v>
      </c>
    </row>
    <row r="3025" spans="2:28" x14ac:dyDescent="0.3">
      <c r="B3025" s="2" t="str">
        <f>IF(BCP_Soles[[#This Row],[TIPO DE R.]]="R",COUNTIFS($D$4:$D3024,"R")+1,"")</f>
        <v/>
      </c>
      <c r="C3025" s="19" t="str">
        <f t="shared" si="235"/>
        <v>B-BCP - Soles</v>
      </c>
      <c r="D3025" s="3" t="s">
        <v>1101</v>
      </c>
      <c r="E3025" s="14">
        <v>45873</v>
      </c>
      <c r="F3025" s="5" t="s">
        <v>1082</v>
      </c>
      <c r="G3025" s="5"/>
      <c r="H3025" s="6" t="s">
        <v>637</v>
      </c>
      <c r="I3025" s="6" t="s">
        <v>14</v>
      </c>
      <c r="J3025" s="6" t="s">
        <v>1453</v>
      </c>
      <c r="K3025" s="6">
        <v>150575</v>
      </c>
      <c r="L3025" s="7" t="s">
        <v>7888</v>
      </c>
      <c r="M3025" s="8">
        <v>63273</v>
      </c>
      <c r="N3025" s="8" t="str">
        <f t="shared" si="236"/>
        <v>PEN</v>
      </c>
      <c r="O3025" s="13">
        <v>595.03</v>
      </c>
      <c r="P3025" s="13"/>
      <c r="Q3025" s="3">
        <f t="shared" si="237"/>
        <v>0</v>
      </c>
      <c r="R3025" s="3">
        <f t="shared" si="238"/>
        <v>0</v>
      </c>
      <c r="S3025" s="3">
        <f t="shared" si="239"/>
        <v>45014.23</v>
      </c>
      <c r="T3025" s="24" t="s">
        <v>1081</v>
      </c>
      <c r="U3025" s="24"/>
      <c r="V3025" s="103"/>
      <c r="W3025" s="25">
        <f>IFERROR(VLOOKUP(BCP_Soles[[#This Row],[DESTINATARIO]],CHOOSE({1,2},Clientes_Proveedores[Razon Social],Clientes_Proveedores[Ruc / Dni]),2,0),"")</f>
        <v>20127765279</v>
      </c>
      <c r="X3025" s="25"/>
      <c r="Y3025" s="25"/>
      <c r="Z3025" s="25"/>
      <c r="AA3025" s="101"/>
      <c r="AB3025" s="3" t="str">
        <f>IF(BCP_Soles[[#This Row],[FECHA]]&gt;0,TEXT(BCP_Soles[[#This Row],[FECHA]],"mmmm"),0)</f>
        <v>Agosto</v>
      </c>
    </row>
    <row r="3026" spans="2:28" ht="24" x14ac:dyDescent="0.3">
      <c r="B3026" s="2">
        <f>IF(BCP_Soles[[#This Row],[TIPO DE R.]]="R",COUNTIFS($D$4:$D3025,"R")+1,"")</f>
        <v>2117</v>
      </c>
      <c r="C3026" s="19" t="str">
        <f t="shared" si="235"/>
        <v>B-BCP - Soles</v>
      </c>
      <c r="D3026" s="3" t="s">
        <v>1074</v>
      </c>
      <c r="E3026" s="14">
        <v>45873</v>
      </c>
      <c r="F3026" s="5" t="s">
        <v>1082</v>
      </c>
      <c r="G3026" s="5" t="s">
        <v>1079</v>
      </c>
      <c r="H3026" s="6" t="s">
        <v>210</v>
      </c>
      <c r="I3026" s="6" t="s">
        <v>14</v>
      </c>
      <c r="J3026" s="6" t="s">
        <v>1714</v>
      </c>
      <c r="K3026" s="6">
        <v>27124</v>
      </c>
      <c r="L3026" s="7" t="s">
        <v>3787</v>
      </c>
      <c r="M3026" s="8">
        <v>1061770</v>
      </c>
      <c r="N3026" s="8" t="str">
        <f t="shared" si="236"/>
        <v>PEN</v>
      </c>
      <c r="O3026" s="13"/>
      <c r="P3026" s="13">
        <v>1472.51</v>
      </c>
      <c r="Q3026" s="3">
        <f t="shared" si="237"/>
        <v>0</v>
      </c>
      <c r="R3026" s="3">
        <f t="shared" si="238"/>
        <v>1472.51</v>
      </c>
      <c r="S3026" s="3">
        <f t="shared" si="239"/>
        <v>43541.72</v>
      </c>
      <c r="T3026" s="24" t="s">
        <v>1081</v>
      </c>
      <c r="U3026" s="24" t="s">
        <v>1081</v>
      </c>
      <c r="V3026" s="103" t="s">
        <v>3788</v>
      </c>
      <c r="W3026" s="25">
        <f>IFERROR(VLOOKUP(BCP_Soles[[#This Row],[DESTINATARIO]],CHOOSE({1,2},Clientes_Proveedores[Razon Social],Clientes_Proveedores[Ruc / Dni]),2,0),"")</f>
        <v>20413666130</v>
      </c>
      <c r="X3026" s="25"/>
      <c r="Y3026" s="25"/>
      <c r="Z3026" s="25"/>
      <c r="AA3026" s="101"/>
      <c r="AB3026" s="3" t="str">
        <f>IF(BCP_Soles[[#This Row],[FECHA]]&gt;0,TEXT(BCP_Soles[[#This Row],[FECHA]],"mmmm"),0)</f>
        <v>Agosto</v>
      </c>
    </row>
    <row r="3027" spans="2:28" ht="24" x14ac:dyDescent="0.3">
      <c r="B3027" s="2">
        <f>IF(BCP_Soles[[#This Row],[TIPO DE R.]]="R",COUNTIFS($D$4:$D3026,"R")+1,"")</f>
        <v>2118</v>
      </c>
      <c r="C3027" s="19" t="str">
        <f t="shared" si="235"/>
        <v>B-BCP - Soles</v>
      </c>
      <c r="D3027" s="3" t="s">
        <v>1074</v>
      </c>
      <c r="E3027" s="14">
        <v>45873</v>
      </c>
      <c r="F3027" s="5" t="s">
        <v>1082</v>
      </c>
      <c r="G3027" s="5" t="s">
        <v>1079</v>
      </c>
      <c r="H3027" s="6" t="s">
        <v>925</v>
      </c>
      <c r="I3027" s="6"/>
      <c r="J3027" s="6"/>
      <c r="K3027" s="6"/>
      <c r="L3027" s="7" t="s">
        <v>3789</v>
      </c>
      <c r="M3027" s="8">
        <v>1001724</v>
      </c>
      <c r="N3027" s="8" t="str">
        <f t="shared" si="236"/>
        <v>PEN</v>
      </c>
      <c r="O3027" s="13"/>
      <c r="P3027" s="13">
        <v>366.98</v>
      </c>
      <c r="Q3027" s="3">
        <f t="shared" si="237"/>
        <v>0</v>
      </c>
      <c r="R3027" s="3">
        <f t="shared" si="238"/>
        <v>366.98</v>
      </c>
      <c r="S3027" s="3">
        <f t="shared" si="239"/>
        <v>43174.74</v>
      </c>
      <c r="T3027" s="24"/>
      <c r="U3027" s="24"/>
      <c r="V3027" s="103" t="s">
        <v>3790</v>
      </c>
      <c r="W3027" s="25">
        <f>IFERROR(VLOOKUP(BCP_Soles[[#This Row],[DESTINATARIO]],CHOOSE({1,2},Clientes_Proveedores[Razon Social],Clientes_Proveedores[Ruc / Dni]),2,0),"")</f>
        <v>20455823880</v>
      </c>
      <c r="X3027" s="25"/>
      <c r="Y3027" s="25"/>
      <c r="Z3027" s="25"/>
      <c r="AA3027" s="101"/>
      <c r="AB3027" s="3" t="str">
        <f>IF(BCP_Soles[[#This Row],[FECHA]]&gt;0,TEXT(BCP_Soles[[#This Row],[FECHA]],"mmmm"),0)</f>
        <v>Agosto</v>
      </c>
    </row>
    <row r="3028" spans="2:28" ht="24" x14ac:dyDescent="0.3">
      <c r="B3028" s="2">
        <f>IF(BCP_Soles[[#This Row],[TIPO DE R.]]="R",COUNTIFS($D$4:$D3027,"R")+1,"")</f>
        <v>2119</v>
      </c>
      <c r="C3028" s="19" t="str">
        <f t="shared" si="235"/>
        <v>B-BCP - Soles</v>
      </c>
      <c r="D3028" s="3" t="s">
        <v>1074</v>
      </c>
      <c r="E3028" s="14">
        <v>45873</v>
      </c>
      <c r="F3028" s="5" t="s">
        <v>1082</v>
      </c>
      <c r="G3028" s="5" t="s">
        <v>1079</v>
      </c>
      <c r="H3028" s="6" t="s">
        <v>908</v>
      </c>
      <c r="I3028" s="6"/>
      <c r="J3028" s="6"/>
      <c r="K3028" s="6"/>
      <c r="L3028" s="7" t="s">
        <v>3791</v>
      </c>
      <c r="M3028" s="8">
        <v>1003223</v>
      </c>
      <c r="N3028" s="8" t="str">
        <f t="shared" si="236"/>
        <v>PEN</v>
      </c>
      <c r="O3028" s="13"/>
      <c r="P3028" s="13">
        <v>3740</v>
      </c>
      <c r="Q3028" s="3">
        <f t="shared" si="237"/>
        <v>0</v>
      </c>
      <c r="R3028" s="3">
        <f t="shared" si="238"/>
        <v>3740</v>
      </c>
      <c r="S3028" s="3">
        <f t="shared" si="239"/>
        <v>39434.74</v>
      </c>
      <c r="T3028" s="24" t="s">
        <v>1081</v>
      </c>
      <c r="U3028" s="24" t="s">
        <v>1081</v>
      </c>
      <c r="V3028" s="103" t="s">
        <v>3792</v>
      </c>
      <c r="W3028" s="25">
        <f>IFERROR(VLOOKUP(BCP_Soles[[#This Row],[DESTINATARIO]],CHOOSE({1,2},Clientes_Proveedores[Razon Social],Clientes_Proveedores[Ruc / Dni]),2,0),"")</f>
        <v>70517150</v>
      </c>
      <c r="X3028" s="25"/>
      <c r="Y3028" s="25"/>
      <c r="Z3028" s="25"/>
      <c r="AA3028" s="101"/>
      <c r="AB3028" s="3" t="str">
        <f>IF(BCP_Soles[[#This Row],[FECHA]]&gt;0,TEXT(BCP_Soles[[#This Row],[FECHA]],"mmmm"),0)</f>
        <v>Agosto</v>
      </c>
    </row>
    <row r="3029" spans="2:28" ht="36" x14ac:dyDescent="0.3">
      <c r="B3029" s="2" t="str">
        <f>IF(BCP_Soles[[#This Row],[TIPO DE R.]]="R",COUNTIFS($D$4:$D3028,"R")+1,"")</f>
        <v/>
      </c>
      <c r="C3029" s="19" t="str">
        <f t="shared" si="235"/>
        <v>B-BCP - Soles</v>
      </c>
      <c r="D3029" s="3" t="s">
        <v>1101</v>
      </c>
      <c r="E3029" s="14">
        <v>45873</v>
      </c>
      <c r="F3029" s="5" t="s">
        <v>1082</v>
      </c>
      <c r="G3029" s="5"/>
      <c r="H3029" s="6" t="s">
        <v>926</v>
      </c>
      <c r="I3029" s="6" t="s">
        <v>14</v>
      </c>
      <c r="J3029" s="6" t="s">
        <v>1121</v>
      </c>
      <c r="K3029" s="6">
        <v>100</v>
      </c>
      <c r="L3029" s="7" t="s">
        <v>3791</v>
      </c>
      <c r="M3029" s="8">
        <v>1003223</v>
      </c>
      <c r="N3029" s="8" t="str">
        <f t="shared" si="236"/>
        <v>PEN</v>
      </c>
      <c r="O3029" s="13">
        <v>1998.1</v>
      </c>
      <c r="P3029" s="13"/>
      <c r="Q3029" s="3">
        <f t="shared" si="237"/>
        <v>0</v>
      </c>
      <c r="R3029" s="3">
        <f t="shared" si="238"/>
        <v>0</v>
      </c>
      <c r="S3029" s="3">
        <f t="shared" si="239"/>
        <v>39434.74</v>
      </c>
      <c r="T3029" s="24" t="s">
        <v>1081</v>
      </c>
      <c r="U3029" s="24" t="s">
        <v>1081</v>
      </c>
      <c r="V3029" s="103"/>
      <c r="W3029" s="25">
        <f>IFERROR(VLOOKUP(BCP_Soles[[#This Row],[DESTINATARIO]],CHOOSE({1,2},Clientes_Proveedores[Razon Social],Clientes_Proveedores[Ruc / Dni]),2,0),"")</f>
        <v>20600922310</v>
      </c>
      <c r="X3029" s="25"/>
      <c r="Y3029" s="25"/>
      <c r="Z3029" s="25"/>
      <c r="AA3029" s="101"/>
      <c r="AB3029" s="3" t="str">
        <f>IF(BCP_Soles[[#This Row],[FECHA]]&gt;0,TEXT(BCP_Soles[[#This Row],[FECHA]],"mmmm"),0)</f>
        <v>Agosto</v>
      </c>
    </row>
    <row r="3030" spans="2:28" ht="36" x14ac:dyDescent="0.3">
      <c r="B3030" s="2" t="str">
        <f>IF(BCP_Soles[[#This Row],[TIPO DE R.]]="R",COUNTIFS($D$4:$D3029,"R")+1,"")</f>
        <v/>
      </c>
      <c r="C3030" s="19" t="str">
        <f t="shared" si="235"/>
        <v>B-BCP - Soles</v>
      </c>
      <c r="D3030" s="3" t="s">
        <v>1101</v>
      </c>
      <c r="E3030" s="14">
        <v>45873</v>
      </c>
      <c r="F3030" s="5" t="s">
        <v>1082</v>
      </c>
      <c r="G3030" s="5"/>
      <c r="H3030" s="6" t="s">
        <v>926</v>
      </c>
      <c r="I3030" s="6" t="s">
        <v>14</v>
      </c>
      <c r="J3030" s="6" t="s">
        <v>1121</v>
      </c>
      <c r="K3030" s="6">
        <v>101</v>
      </c>
      <c r="L3030" s="7" t="s">
        <v>3791</v>
      </c>
      <c r="M3030" s="8">
        <v>1003223</v>
      </c>
      <c r="N3030" s="8" t="str">
        <f t="shared" si="236"/>
        <v>PEN</v>
      </c>
      <c r="O3030" s="13">
        <v>1741.9</v>
      </c>
      <c r="P3030" s="13"/>
      <c r="Q3030" s="3">
        <f t="shared" si="237"/>
        <v>0</v>
      </c>
      <c r="R3030" s="3">
        <f t="shared" si="238"/>
        <v>0</v>
      </c>
      <c r="S3030" s="3">
        <f t="shared" si="239"/>
        <v>39434.74</v>
      </c>
      <c r="T3030" s="24" t="s">
        <v>1081</v>
      </c>
      <c r="U3030" s="24" t="s">
        <v>1081</v>
      </c>
      <c r="V3030" s="103"/>
      <c r="W3030" s="25">
        <f>IFERROR(VLOOKUP(BCP_Soles[[#This Row],[DESTINATARIO]],CHOOSE({1,2},Clientes_Proveedores[Razon Social],Clientes_Proveedores[Ruc / Dni]),2,0),"")</f>
        <v>20600922310</v>
      </c>
      <c r="X3030" s="25"/>
      <c r="Y3030" s="25"/>
      <c r="Z3030" s="25"/>
      <c r="AA3030" s="101"/>
      <c r="AB3030" s="3" t="str">
        <f>IF(BCP_Soles[[#This Row],[FECHA]]&gt;0,TEXT(BCP_Soles[[#This Row],[FECHA]],"mmmm"),0)</f>
        <v>Agosto</v>
      </c>
    </row>
    <row r="3031" spans="2:28" ht="24" x14ac:dyDescent="0.3">
      <c r="B3031" s="2">
        <f>IF(BCP_Soles[[#This Row],[TIPO DE R.]]="R",COUNTIFS($D$4:$D3030,"R")+1,"")</f>
        <v>2120</v>
      </c>
      <c r="C3031" s="19" t="str">
        <f t="shared" si="235"/>
        <v>B-BCP - Soles</v>
      </c>
      <c r="D3031" s="3" t="s">
        <v>1074</v>
      </c>
      <c r="E3031" s="14">
        <v>45873</v>
      </c>
      <c r="F3031" s="5" t="s">
        <v>1082</v>
      </c>
      <c r="G3031" s="5" t="s">
        <v>1079</v>
      </c>
      <c r="H3031" s="6" t="s">
        <v>836</v>
      </c>
      <c r="I3031" s="6"/>
      <c r="J3031" s="6"/>
      <c r="K3031" s="6"/>
      <c r="L3031" s="7" t="s">
        <v>3793</v>
      </c>
      <c r="M3031" s="8">
        <v>1000226</v>
      </c>
      <c r="N3031" s="8" t="str">
        <f t="shared" si="236"/>
        <v>PEN</v>
      </c>
      <c r="O3031" s="13"/>
      <c r="P3031" s="13">
        <v>900</v>
      </c>
      <c r="Q3031" s="3">
        <f t="shared" si="237"/>
        <v>0</v>
      </c>
      <c r="R3031" s="3">
        <f t="shared" si="238"/>
        <v>900</v>
      </c>
      <c r="S3031" s="3">
        <f t="shared" si="239"/>
        <v>38534.74</v>
      </c>
      <c r="T3031" s="24"/>
      <c r="U3031" s="24" t="s">
        <v>1081</v>
      </c>
      <c r="V3031" s="103" t="s">
        <v>3794</v>
      </c>
      <c r="W3031" s="25">
        <f>IFERROR(VLOOKUP(BCP_Soles[[#This Row],[DESTINATARIO]],CHOOSE({1,2},Clientes_Proveedores[Razon Social],Clientes_Proveedores[Ruc / Dni]),2,0),"")</f>
        <v>72144092</v>
      </c>
      <c r="X3031" s="25"/>
      <c r="Y3031" s="25"/>
      <c r="Z3031" s="25"/>
      <c r="AA3031" s="99"/>
      <c r="AB3031" s="3" t="str">
        <f>IF(BCP_Soles[[#This Row],[FECHA]]&gt;0,TEXT(BCP_Soles[[#This Row],[FECHA]],"mmmm"),0)</f>
        <v>Agosto</v>
      </c>
    </row>
    <row r="3032" spans="2:28" ht="36" x14ac:dyDescent="0.3">
      <c r="B3032" s="2">
        <f>IF(BCP_Soles[[#This Row],[TIPO DE R.]]="R",COUNTIFS($D$4:$D3031,"R")+1,"")</f>
        <v>2121</v>
      </c>
      <c r="C3032" s="19" t="str">
        <f t="shared" si="235"/>
        <v>B-BCP - Soles</v>
      </c>
      <c r="D3032" s="3" t="s">
        <v>1074</v>
      </c>
      <c r="E3032" s="14">
        <v>45873</v>
      </c>
      <c r="F3032" s="5" t="s">
        <v>1082</v>
      </c>
      <c r="G3032" s="5" t="s">
        <v>1079</v>
      </c>
      <c r="H3032" s="6" t="s">
        <v>530</v>
      </c>
      <c r="I3032" s="6" t="s">
        <v>14</v>
      </c>
      <c r="J3032" s="6" t="s">
        <v>1121</v>
      </c>
      <c r="K3032" s="6">
        <v>478</v>
      </c>
      <c r="L3032" s="7" t="s">
        <v>3795</v>
      </c>
      <c r="M3032" s="8">
        <v>1002224</v>
      </c>
      <c r="N3032" s="8" t="str">
        <f t="shared" si="236"/>
        <v>PEN</v>
      </c>
      <c r="O3032" s="13"/>
      <c r="P3032" s="13">
        <v>94.28</v>
      </c>
      <c r="Q3032" s="3">
        <f t="shared" si="237"/>
        <v>0</v>
      </c>
      <c r="R3032" s="3">
        <f t="shared" si="238"/>
        <v>94.28</v>
      </c>
      <c r="S3032" s="3">
        <f t="shared" si="239"/>
        <v>38440.46</v>
      </c>
      <c r="T3032" s="24" t="s">
        <v>1081</v>
      </c>
      <c r="U3032" s="24" t="s">
        <v>1081</v>
      </c>
      <c r="V3032" s="103" t="s">
        <v>3796</v>
      </c>
      <c r="W3032" s="25">
        <f>IFERROR(VLOOKUP(BCP_Soles[[#This Row],[DESTINATARIO]],CHOOSE({1,2},Clientes_Proveedores[Razon Social],Clientes_Proveedores[Ruc / Dni]),2,0),"")</f>
        <v>20609368773</v>
      </c>
      <c r="X3032" s="25"/>
      <c r="Y3032" s="25"/>
      <c r="Z3032" s="25"/>
      <c r="AA3032" s="101"/>
      <c r="AB3032" s="3" t="str">
        <f>IF(BCP_Soles[[#This Row],[FECHA]]&gt;0,TEXT(BCP_Soles[[#This Row],[FECHA]],"mmmm"),0)</f>
        <v>Agosto</v>
      </c>
    </row>
    <row r="3033" spans="2:28" ht="24" x14ac:dyDescent="0.3">
      <c r="B3033" s="2">
        <f>IF(BCP_Soles[[#This Row],[TIPO DE R.]]="R",COUNTIFS($D$4:$D3032,"R")+1,"")</f>
        <v>2122</v>
      </c>
      <c r="C3033" s="19" t="str">
        <f t="shared" si="235"/>
        <v>B-BCP - Soles</v>
      </c>
      <c r="D3033" s="3" t="s">
        <v>1074</v>
      </c>
      <c r="E3033" s="14">
        <v>45873</v>
      </c>
      <c r="F3033" s="5" t="s">
        <v>1082</v>
      </c>
      <c r="G3033" s="5" t="s">
        <v>1079</v>
      </c>
      <c r="H3033" s="6" t="s">
        <v>863</v>
      </c>
      <c r="I3033" s="6" t="s">
        <v>87</v>
      </c>
      <c r="J3033" s="6">
        <v>1</v>
      </c>
      <c r="K3033" s="6">
        <v>522025</v>
      </c>
      <c r="L3033" s="7" t="s">
        <v>3797</v>
      </c>
      <c r="M3033" s="8">
        <v>1001725</v>
      </c>
      <c r="N3033" s="8" t="str">
        <f t="shared" si="236"/>
        <v>PEN</v>
      </c>
      <c r="O3033" s="13"/>
      <c r="P3033" s="13">
        <v>800</v>
      </c>
      <c r="Q3033" s="3">
        <f t="shared" si="237"/>
        <v>0</v>
      </c>
      <c r="R3033" s="3">
        <f t="shared" si="238"/>
        <v>800</v>
      </c>
      <c r="S3033" s="3">
        <f t="shared" si="239"/>
        <v>37640.46</v>
      </c>
      <c r="T3033" s="24" t="s">
        <v>1081</v>
      </c>
      <c r="U3033" s="24" t="s">
        <v>1081</v>
      </c>
      <c r="V3033" s="103" t="s">
        <v>3798</v>
      </c>
      <c r="W3033" s="25">
        <f>IFERROR(VLOOKUP(BCP_Soles[[#This Row],[DESTINATARIO]],CHOOSE({1,2},Clientes_Proveedores[Razon Social],Clientes_Proveedores[Ruc / Dni]),2,0),"")</f>
        <v>72537561</v>
      </c>
      <c r="X3033" s="25"/>
      <c r="Y3033" s="25"/>
      <c r="Z3033" s="25"/>
      <c r="AA3033" s="101"/>
      <c r="AB3033" s="3" t="str">
        <f>IF(BCP_Soles[[#This Row],[FECHA]]&gt;0,TEXT(BCP_Soles[[#This Row],[FECHA]],"mmmm"),0)</f>
        <v>Agosto</v>
      </c>
    </row>
    <row r="3034" spans="2:28" ht="24" x14ac:dyDescent="0.3">
      <c r="B3034" s="2">
        <f>IF(BCP_Soles[[#This Row],[TIPO DE R.]]="R",COUNTIFS($D$4:$D3033,"R")+1,"")</f>
        <v>2123</v>
      </c>
      <c r="C3034" s="19" t="str">
        <f t="shared" si="235"/>
        <v>B-BCP - Soles</v>
      </c>
      <c r="D3034" s="3" t="s">
        <v>1074</v>
      </c>
      <c r="E3034" s="14">
        <v>45873</v>
      </c>
      <c r="F3034" s="5" t="s">
        <v>1082</v>
      </c>
      <c r="G3034" s="5" t="s">
        <v>1079</v>
      </c>
      <c r="H3034" s="6" t="s">
        <v>683</v>
      </c>
      <c r="I3034" s="6" t="s">
        <v>14</v>
      </c>
      <c r="J3034" s="6" t="s">
        <v>3230</v>
      </c>
      <c r="K3034" s="6">
        <v>386030</v>
      </c>
      <c r="L3034" s="7" t="s">
        <v>3799</v>
      </c>
      <c r="M3034" s="8">
        <v>1003733</v>
      </c>
      <c r="N3034" s="8" t="str">
        <f t="shared" si="236"/>
        <v>PEN</v>
      </c>
      <c r="O3034" s="13"/>
      <c r="P3034" s="13">
        <v>153</v>
      </c>
      <c r="Q3034" s="3">
        <f t="shared" si="237"/>
        <v>0</v>
      </c>
      <c r="R3034" s="3">
        <f t="shared" si="238"/>
        <v>153</v>
      </c>
      <c r="S3034" s="3">
        <f t="shared" si="239"/>
        <v>37487.46</v>
      </c>
      <c r="T3034" s="24" t="s">
        <v>1081</v>
      </c>
      <c r="U3034" s="24" t="s">
        <v>1081</v>
      </c>
      <c r="V3034" s="103" t="s">
        <v>3800</v>
      </c>
      <c r="W3034" s="25">
        <f>IFERROR(VLOOKUP(BCP_Soles[[#This Row],[DESTINATARIO]],CHOOSE({1,2},Clientes_Proveedores[Razon Social],Clientes_Proveedores[Ruc / Dni]),2,0),"")</f>
        <v>20100210909</v>
      </c>
      <c r="X3034" s="25"/>
      <c r="Y3034" s="25"/>
      <c r="Z3034" s="25"/>
      <c r="AA3034" s="101"/>
      <c r="AB3034" s="3" t="str">
        <f>IF(BCP_Soles[[#This Row],[FECHA]]&gt;0,TEXT(BCP_Soles[[#This Row],[FECHA]],"mmmm"),0)</f>
        <v>Agosto</v>
      </c>
    </row>
    <row r="3035" spans="2:28" x14ac:dyDescent="0.3">
      <c r="B3035" s="2">
        <f>IF(BCP_Soles[[#This Row],[TIPO DE R.]]="R",COUNTIFS($D$4:$D3034,"R")+1,"")</f>
        <v>2124</v>
      </c>
      <c r="C3035" s="19" t="str">
        <f t="shared" si="235"/>
        <v>B-BCP - Soles</v>
      </c>
      <c r="D3035" s="3" t="s">
        <v>1074</v>
      </c>
      <c r="E3035" s="14">
        <v>45873</v>
      </c>
      <c r="F3035" s="5" t="s">
        <v>1078</v>
      </c>
      <c r="G3035" s="5" t="s">
        <v>1079</v>
      </c>
      <c r="H3035" s="6"/>
      <c r="I3035" s="6"/>
      <c r="J3035" s="6"/>
      <c r="K3035" s="6"/>
      <c r="L3035" s="7" t="s">
        <v>2868</v>
      </c>
      <c r="M3035" s="8"/>
      <c r="N3035" s="8" t="str">
        <f t="shared" si="236"/>
        <v>PEN</v>
      </c>
      <c r="O3035" s="13"/>
      <c r="P3035" s="13">
        <v>1.85</v>
      </c>
      <c r="Q3035" s="3">
        <f t="shared" si="237"/>
        <v>0</v>
      </c>
      <c r="R3035" s="3">
        <f t="shared" si="238"/>
        <v>1.85</v>
      </c>
      <c r="S3035" s="3">
        <f t="shared" si="239"/>
        <v>37485.61</v>
      </c>
      <c r="T3035" s="24"/>
      <c r="U3035" s="24"/>
      <c r="V3035" s="69"/>
      <c r="W3035" s="25" t="str">
        <f>IFERROR(VLOOKUP(BCP_Soles[[#This Row],[DESTINATARIO]],CHOOSE({1,2},Clientes_Proveedores[Razon Social],Clientes_Proveedores[Ruc / Dni]),2,0),"")</f>
        <v/>
      </c>
      <c r="X3035" s="25"/>
      <c r="Y3035" s="25"/>
      <c r="Z3035" s="25"/>
      <c r="AA3035" s="101"/>
      <c r="AB3035" s="3" t="str">
        <f>IF(BCP_Soles[[#This Row],[FECHA]]&gt;0,TEXT(BCP_Soles[[#This Row],[FECHA]],"mmmm"),0)</f>
        <v>Agosto</v>
      </c>
    </row>
    <row r="3036" spans="2:28" x14ac:dyDescent="0.3">
      <c r="B3036" s="2">
        <f>IF(BCP_Soles[[#This Row],[TIPO DE R.]]="R",COUNTIFS($D$4:$D3035,"R")+1,"")</f>
        <v>2125</v>
      </c>
      <c r="C3036" s="19" t="str">
        <f t="shared" si="235"/>
        <v>B-BCP - Soles</v>
      </c>
      <c r="D3036" s="3" t="s">
        <v>1074</v>
      </c>
      <c r="E3036" s="14">
        <v>45874</v>
      </c>
      <c r="F3036" s="84" t="s">
        <v>238</v>
      </c>
      <c r="G3036" s="5" t="s">
        <v>1087</v>
      </c>
      <c r="H3036" s="6" t="s">
        <v>368</v>
      </c>
      <c r="I3036" s="6" t="s">
        <v>14</v>
      </c>
      <c r="J3036" s="6" t="s">
        <v>3010</v>
      </c>
      <c r="K3036" s="6">
        <v>98</v>
      </c>
      <c r="L3036" s="7" t="s">
        <v>1170</v>
      </c>
      <c r="M3036" s="8">
        <v>2178637</v>
      </c>
      <c r="N3036" s="8" t="str">
        <f t="shared" si="236"/>
        <v>PEN</v>
      </c>
      <c r="O3036" s="13"/>
      <c r="P3036" s="13">
        <v>505.72</v>
      </c>
      <c r="Q3036" s="3">
        <f t="shared" si="237"/>
        <v>505.72</v>
      </c>
      <c r="R3036" s="3">
        <f t="shared" si="238"/>
        <v>0</v>
      </c>
      <c r="S3036" s="3">
        <f t="shared" si="239"/>
        <v>37991.33</v>
      </c>
      <c r="T3036" s="24" t="s">
        <v>1081</v>
      </c>
      <c r="U3036" s="24" t="s">
        <v>1081</v>
      </c>
      <c r="V3036" s="69"/>
      <c r="W3036" s="25">
        <f>IFERROR(VLOOKUP(BCP_Soles[[#This Row],[DESTINATARIO]],CHOOSE({1,2},Clientes_Proveedores[Razon Social],Clientes_Proveedores[Ruc / Dni]),2,0),"")</f>
        <v>20558226979</v>
      </c>
      <c r="X3036" s="25"/>
      <c r="Y3036" s="25"/>
      <c r="Z3036" s="25"/>
      <c r="AA3036" s="101"/>
      <c r="AB3036" s="3" t="str">
        <f>IF(BCP_Soles[[#This Row],[FECHA]]&gt;0,TEXT(BCP_Soles[[#This Row],[FECHA]],"mmmm"),0)</f>
        <v>Agosto</v>
      </c>
    </row>
    <row r="3037" spans="2:28" x14ac:dyDescent="0.3">
      <c r="B3037" s="2">
        <f>IF(BCP_Soles[[#This Row],[TIPO DE R.]]="R",COUNTIFS($D$4:$D3036,"R")+1,"")</f>
        <v>2126</v>
      </c>
      <c r="C3037" s="19" t="str">
        <f t="shared" si="235"/>
        <v>B-BCP - Soles</v>
      </c>
      <c r="D3037" s="3" t="s">
        <v>1074</v>
      </c>
      <c r="E3037" s="14">
        <v>45874</v>
      </c>
      <c r="F3037" s="84" t="s">
        <v>238</v>
      </c>
      <c r="G3037" s="5" t="s">
        <v>1087</v>
      </c>
      <c r="H3037" s="6" t="s">
        <v>368</v>
      </c>
      <c r="I3037" s="6" t="s">
        <v>14</v>
      </c>
      <c r="J3037" s="6" t="s">
        <v>3010</v>
      </c>
      <c r="K3037" s="6">
        <v>97</v>
      </c>
      <c r="L3037" s="7" t="s">
        <v>1170</v>
      </c>
      <c r="M3037" s="8">
        <v>2176432</v>
      </c>
      <c r="N3037" s="8" t="str">
        <f t="shared" si="236"/>
        <v>PEN</v>
      </c>
      <c r="O3037" s="13"/>
      <c r="P3037" s="13">
        <v>556.30999999999995</v>
      </c>
      <c r="Q3037" s="3">
        <f t="shared" si="237"/>
        <v>556.30999999999995</v>
      </c>
      <c r="R3037" s="3">
        <f t="shared" si="238"/>
        <v>0</v>
      </c>
      <c r="S3037" s="3">
        <f t="shared" si="239"/>
        <v>38547.64</v>
      </c>
      <c r="T3037" s="24" t="s">
        <v>1081</v>
      </c>
      <c r="U3037" s="24" t="s">
        <v>1081</v>
      </c>
      <c r="V3037" s="69"/>
      <c r="W3037" s="25">
        <f>IFERROR(VLOOKUP(BCP_Soles[[#This Row],[DESTINATARIO]],CHOOSE({1,2},Clientes_Proveedores[Razon Social],Clientes_Proveedores[Ruc / Dni]),2,0),"")</f>
        <v>20558226979</v>
      </c>
      <c r="X3037" s="25"/>
      <c r="Y3037" s="25"/>
      <c r="Z3037" s="25"/>
      <c r="AA3037" s="101"/>
      <c r="AB3037" s="3" t="str">
        <f>IF(BCP_Soles[[#This Row],[FECHA]]&gt;0,TEXT(BCP_Soles[[#This Row],[FECHA]],"mmmm"),0)</f>
        <v>Agosto</v>
      </c>
    </row>
    <row r="3038" spans="2:28" x14ac:dyDescent="0.3">
      <c r="B3038" s="2">
        <f>IF(BCP_Soles[[#This Row],[TIPO DE R.]]="R",COUNTIFS($D$4:$D3037,"R")+1,"")</f>
        <v>2127</v>
      </c>
      <c r="C3038" s="19" t="str">
        <f t="shared" si="235"/>
        <v>B-BCP - Soles</v>
      </c>
      <c r="D3038" s="3" t="s">
        <v>1074</v>
      </c>
      <c r="E3038" s="14">
        <v>45874</v>
      </c>
      <c r="F3038" s="84" t="s">
        <v>238</v>
      </c>
      <c r="G3038" s="5" t="s">
        <v>1087</v>
      </c>
      <c r="H3038" s="6" t="s">
        <v>368</v>
      </c>
      <c r="I3038" s="6" t="s">
        <v>14</v>
      </c>
      <c r="J3038" s="6" t="s">
        <v>3010</v>
      </c>
      <c r="K3038" s="6">
        <v>102</v>
      </c>
      <c r="L3038" s="7" t="s">
        <v>1170</v>
      </c>
      <c r="M3038" s="8">
        <v>2220787</v>
      </c>
      <c r="N3038" s="8" t="str">
        <f t="shared" si="236"/>
        <v>PEN</v>
      </c>
      <c r="O3038" s="13"/>
      <c r="P3038" s="13">
        <v>641.02</v>
      </c>
      <c r="Q3038" s="3">
        <f t="shared" si="237"/>
        <v>641.02</v>
      </c>
      <c r="R3038" s="3">
        <f t="shared" si="238"/>
        <v>0</v>
      </c>
      <c r="S3038" s="3">
        <f t="shared" si="239"/>
        <v>39188.659999999996</v>
      </c>
      <c r="T3038" s="24" t="s">
        <v>1081</v>
      </c>
      <c r="U3038" s="24" t="s">
        <v>1081</v>
      </c>
      <c r="V3038" s="69"/>
      <c r="W3038" s="25">
        <f>IFERROR(VLOOKUP(BCP_Soles[[#This Row],[DESTINATARIO]],CHOOSE({1,2},Clientes_Proveedores[Razon Social],Clientes_Proveedores[Ruc / Dni]),2,0),"")</f>
        <v>20558226979</v>
      </c>
      <c r="X3038" s="25"/>
      <c r="Y3038" s="25"/>
      <c r="Z3038" s="25"/>
      <c r="AA3038" s="101"/>
      <c r="AB3038" s="3" t="str">
        <f>IF(BCP_Soles[[#This Row],[FECHA]]&gt;0,TEXT(BCP_Soles[[#This Row],[FECHA]],"mmmm"),0)</f>
        <v>Agosto</v>
      </c>
    </row>
    <row r="3039" spans="2:28" x14ac:dyDescent="0.3">
      <c r="B3039" s="2">
        <f>IF(BCP_Soles[[#This Row],[TIPO DE R.]]="R",COUNTIFS($D$4:$D3038,"R")+1,"")</f>
        <v>2128</v>
      </c>
      <c r="C3039" s="19" t="str">
        <f t="shared" si="235"/>
        <v>B-BCP - Soles</v>
      </c>
      <c r="D3039" s="3" t="s">
        <v>1074</v>
      </c>
      <c r="E3039" s="14">
        <v>45874</v>
      </c>
      <c r="F3039" s="84" t="s">
        <v>238</v>
      </c>
      <c r="G3039" s="5" t="s">
        <v>1087</v>
      </c>
      <c r="H3039" s="6" t="s">
        <v>368</v>
      </c>
      <c r="I3039" s="6" t="s">
        <v>14</v>
      </c>
      <c r="J3039" s="6" t="s">
        <v>3010</v>
      </c>
      <c r="K3039" s="6">
        <v>103</v>
      </c>
      <c r="L3039" s="7" t="s">
        <v>1170</v>
      </c>
      <c r="M3039" s="8">
        <v>2223847</v>
      </c>
      <c r="N3039" s="8" t="str">
        <f t="shared" si="236"/>
        <v>PEN</v>
      </c>
      <c r="O3039" s="13"/>
      <c r="P3039" s="13">
        <v>302.77</v>
      </c>
      <c r="Q3039" s="3">
        <f t="shared" si="237"/>
        <v>302.77</v>
      </c>
      <c r="R3039" s="3">
        <f t="shared" si="238"/>
        <v>0</v>
      </c>
      <c r="S3039" s="3">
        <f t="shared" si="239"/>
        <v>39491.429999999993</v>
      </c>
      <c r="T3039" s="24" t="s">
        <v>1081</v>
      </c>
      <c r="U3039" s="24" t="s">
        <v>1081</v>
      </c>
      <c r="V3039" s="69"/>
      <c r="W3039" s="25">
        <f>IFERROR(VLOOKUP(BCP_Soles[[#This Row],[DESTINATARIO]],CHOOSE({1,2},Clientes_Proveedores[Razon Social],Clientes_Proveedores[Ruc / Dni]),2,0),"")</f>
        <v>20558226979</v>
      </c>
      <c r="X3039" s="25"/>
      <c r="Y3039" s="25"/>
      <c r="Z3039" s="25"/>
      <c r="AA3039" s="101"/>
      <c r="AB3039" s="3" t="str">
        <f>IF(BCP_Soles[[#This Row],[FECHA]]&gt;0,TEXT(BCP_Soles[[#This Row],[FECHA]],"mmmm"),0)</f>
        <v>Agosto</v>
      </c>
    </row>
    <row r="3040" spans="2:28" x14ac:dyDescent="0.3">
      <c r="B3040" s="2">
        <f>IF(BCP_Soles[[#This Row],[TIPO DE R.]]="R",COUNTIFS($D$4:$D3039,"R")+1,"")</f>
        <v>2129</v>
      </c>
      <c r="C3040" s="19" t="str">
        <f t="shared" si="235"/>
        <v>B-BCP - Soles</v>
      </c>
      <c r="D3040" s="3" t="s">
        <v>1074</v>
      </c>
      <c r="E3040" s="14">
        <v>45874</v>
      </c>
      <c r="F3040" s="84" t="s">
        <v>238</v>
      </c>
      <c r="G3040" s="5" t="s">
        <v>1087</v>
      </c>
      <c r="H3040" s="6" t="s">
        <v>368</v>
      </c>
      <c r="I3040" s="6" t="s">
        <v>14</v>
      </c>
      <c r="J3040" s="6" t="s">
        <v>3010</v>
      </c>
      <c r="K3040" s="6">
        <v>104</v>
      </c>
      <c r="L3040" s="7" t="s">
        <v>1170</v>
      </c>
      <c r="M3040" s="8">
        <v>2226191</v>
      </c>
      <c r="N3040" s="8" t="str">
        <f t="shared" si="236"/>
        <v>PEN</v>
      </c>
      <c r="O3040" s="13"/>
      <c r="P3040" s="13">
        <v>411.21</v>
      </c>
      <c r="Q3040" s="3">
        <f t="shared" si="237"/>
        <v>411.21</v>
      </c>
      <c r="R3040" s="3">
        <f t="shared" si="238"/>
        <v>0</v>
      </c>
      <c r="S3040" s="3">
        <f t="shared" si="239"/>
        <v>39902.639999999992</v>
      </c>
      <c r="T3040" s="24" t="s">
        <v>1081</v>
      </c>
      <c r="U3040" s="24" t="s">
        <v>1081</v>
      </c>
      <c r="V3040" s="69"/>
      <c r="W3040" s="25">
        <f>IFERROR(VLOOKUP(BCP_Soles[[#This Row],[DESTINATARIO]],CHOOSE({1,2},Clientes_Proveedores[Razon Social],Clientes_Proveedores[Ruc / Dni]),2,0),"")</f>
        <v>20558226979</v>
      </c>
      <c r="X3040" s="25"/>
      <c r="Y3040" s="25"/>
      <c r="Z3040" s="25"/>
      <c r="AA3040" s="101"/>
      <c r="AB3040" s="3" t="str">
        <f>IF(BCP_Soles[[#This Row],[FECHA]]&gt;0,TEXT(BCP_Soles[[#This Row],[FECHA]],"mmmm"),0)</f>
        <v>Agosto</v>
      </c>
    </row>
    <row r="3041" spans="2:28" x14ac:dyDescent="0.3">
      <c r="B3041" s="2">
        <f>IF(BCP_Soles[[#This Row],[TIPO DE R.]]="R",COUNTIFS($D$4:$D3040,"R")+1,"")</f>
        <v>2130</v>
      </c>
      <c r="C3041" s="19" t="str">
        <f t="shared" si="235"/>
        <v>B-BCP - Soles</v>
      </c>
      <c r="D3041" s="3" t="s">
        <v>1074</v>
      </c>
      <c r="E3041" s="14">
        <v>45874</v>
      </c>
      <c r="F3041" s="84" t="s">
        <v>238</v>
      </c>
      <c r="G3041" s="5" t="s">
        <v>1087</v>
      </c>
      <c r="H3041" s="6" t="s">
        <v>368</v>
      </c>
      <c r="I3041" s="6" t="s">
        <v>14</v>
      </c>
      <c r="J3041" s="6" t="s">
        <v>3010</v>
      </c>
      <c r="K3041" s="6">
        <v>105</v>
      </c>
      <c r="L3041" s="7" t="s">
        <v>1170</v>
      </c>
      <c r="M3041" s="8">
        <v>2272587</v>
      </c>
      <c r="N3041" s="8" t="str">
        <f t="shared" si="236"/>
        <v>PEN</v>
      </c>
      <c r="O3041" s="13"/>
      <c r="P3041" s="13">
        <v>157.85</v>
      </c>
      <c r="Q3041" s="3">
        <f t="shared" si="237"/>
        <v>157.85</v>
      </c>
      <c r="R3041" s="3">
        <f t="shared" si="238"/>
        <v>0</v>
      </c>
      <c r="S3041" s="3">
        <f t="shared" si="239"/>
        <v>40060.489999999991</v>
      </c>
      <c r="T3041" s="24" t="s">
        <v>1081</v>
      </c>
      <c r="U3041" s="24" t="s">
        <v>1081</v>
      </c>
      <c r="V3041" s="69"/>
      <c r="W3041" s="25">
        <f>IFERROR(VLOOKUP(BCP_Soles[[#This Row],[DESTINATARIO]],CHOOSE({1,2},Clientes_Proveedores[Razon Social],Clientes_Proveedores[Ruc / Dni]),2,0),"")</f>
        <v>20558226979</v>
      </c>
      <c r="X3041" s="25"/>
      <c r="Y3041" s="25"/>
      <c r="Z3041" s="25"/>
      <c r="AA3041" s="101"/>
      <c r="AB3041" s="3" t="str">
        <f>IF(BCP_Soles[[#This Row],[FECHA]]&gt;0,TEXT(BCP_Soles[[#This Row],[FECHA]],"mmmm"),0)</f>
        <v>Agosto</v>
      </c>
    </row>
    <row r="3042" spans="2:28" ht="24" x14ac:dyDescent="0.3">
      <c r="B3042" s="2">
        <f>IF(BCP_Soles[[#This Row],[TIPO DE R.]]="R",COUNTIFS($D$4:$D3041,"R")+1,"")</f>
        <v>2131</v>
      </c>
      <c r="C3042" s="19" t="str">
        <f t="shared" si="235"/>
        <v>B-BCP - Soles</v>
      </c>
      <c r="D3042" s="3" t="s">
        <v>1074</v>
      </c>
      <c r="E3042" s="14">
        <v>45874</v>
      </c>
      <c r="F3042" s="5" t="s">
        <v>1082</v>
      </c>
      <c r="G3042" s="5" t="s">
        <v>1079</v>
      </c>
      <c r="H3042" s="6" t="s">
        <v>652</v>
      </c>
      <c r="I3042" s="6" t="s">
        <v>52</v>
      </c>
      <c r="J3042" s="6">
        <v>1</v>
      </c>
      <c r="K3042" s="6">
        <v>59904887</v>
      </c>
      <c r="L3042" s="7" t="s">
        <v>3801</v>
      </c>
      <c r="M3042" s="8">
        <v>117803</v>
      </c>
      <c r="N3042" s="8" t="str">
        <f t="shared" si="236"/>
        <v>PEN</v>
      </c>
      <c r="O3042" s="13"/>
      <c r="P3042" s="13">
        <v>492.7</v>
      </c>
      <c r="Q3042" s="3">
        <f t="shared" si="237"/>
        <v>0</v>
      </c>
      <c r="R3042" s="3">
        <f t="shared" si="238"/>
        <v>492.7</v>
      </c>
      <c r="S3042" s="3">
        <f t="shared" si="239"/>
        <v>39567.789999999994</v>
      </c>
      <c r="T3042" s="24" t="s">
        <v>1081</v>
      </c>
      <c r="U3042" s="24" t="s">
        <v>1081</v>
      </c>
      <c r="V3042" s="103" t="s">
        <v>3802</v>
      </c>
      <c r="W3042" s="25">
        <f>IFERROR(VLOOKUP(BCP_Soles[[#This Row],[DESTINATARIO]],CHOOSE({1,2},Clientes_Proveedores[Razon Social],Clientes_Proveedores[Ruc / Dni]),2,0),"")</f>
        <v>20100211034</v>
      </c>
      <c r="X3042" s="25" t="s">
        <v>3803</v>
      </c>
      <c r="Y3042" s="25"/>
      <c r="Z3042" s="25"/>
      <c r="AA3042" s="101"/>
      <c r="AB3042" s="3" t="str">
        <f>IF(BCP_Soles[[#This Row],[FECHA]]&gt;0,TEXT(BCP_Soles[[#This Row],[FECHA]],"mmmm"),0)</f>
        <v>Agosto</v>
      </c>
    </row>
    <row r="3043" spans="2:28" x14ac:dyDescent="0.3">
      <c r="B3043" s="2">
        <f>IF(BCP_Soles[[#This Row],[TIPO DE R.]]="R",COUNTIFS($D$4:$D3042,"R")+1,"")</f>
        <v>2132</v>
      </c>
      <c r="C3043" s="19" t="str">
        <f t="shared" si="235"/>
        <v>B-BCP - Soles</v>
      </c>
      <c r="D3043" s="3" t="s">
        <v>1074</v>
      </c>
      <c r="E3043" s="14">
        <v>45874</v>
      </c>
      <c r="F3043" s="5" t="s">
        <v>1082</v>
      </c>
      <c r="G3043" s="5" t="s">
        <v>1079</v>
      </c>
      <c r="H3043" s="6" t="s">
        <v>637</v>
      </c>
      <c r="I3043" s="6" t="s">
        <v>14</v>
      </c>
      <c r="J3043" s="6" t="s">
        <v>1122</v>
      </c>
      <c r="K3043" s="6">
        <v>176050</v>
      </c>
      <c r="L3043" s="7" t="s">
        <v>3804</v>
      </c>
      <c r="M3043" s="8">
        <v>118795</v>
      </c>
      <c r="N3043" s="8" t="str">
        <f t="shared" si="236"/>
        <v>PEN</v>
      </c>
      <c r="O3043" s="13"/>
      <c r="P3043" s="13">
        <v>937.81</v>
      </c>
      <c r="Q3043" s="3">
        <f t="shared" si="237"/>
        <v>0</v>
      </c>
      <c r="R3043" s="3">
        <f t="shared" si="238"/>
        <v>937.81</v>
      </c>
      <c r="S3043" s="3">
        <f t="shared" si="239"/>
        <v>38629.979999999996</v>
      </c>
      <c r="T3043" s="24" t="s">
        <v>1081</v>
      </c>
      <c r="U3043" s="24" t="s">
        <v>1081</v>
      </c>
      <c r="V3043" s="103" t="s">
        <v>3805</v>
      </c>
      <c r="W3043" s="25">
        <f>IFERROR(VLOOKUP(BCP_Soles[[#This Row],[DESTINATARIO]],CHOOSE({1,2},Clientes_Proveedores[Razon Social],Clientes_Proveedores[Ruc / Dni]),2,0),"")</f>
        <v>20127765279</v>
      </c>
      <c r="X3043" s="25"/>
      <c r="Y3043" s="25"/>
      <c r="Z3043" s="25"/>
      <c r="AA3043" s="101"/>
      <c r="AB3043" s="3" t="str">
        <f>IF(BCP_Soles[[#This Row],[FECHA]]&gt;0,TEXT(BCP_Soles[[#This Row],[FECHA]],"mmmm"),0)</f>
        <v>Agosto</v>
      </c>
    </row>
    <row r="3044" spans="2:28" ht="24" x14ac:dyDescent="0.3">
      <c r="B3044" s="2">
        <f>IF(BCP_Soles[[#This Row],[TIPO DE R.]]="R",COUNTIFS($D$4:$D3043,"R")+1,"")</f>
        <v>2133</v>
      </c>
      <c r="C3044" s="19" t="str">
        <f t="shared" si="235"/>
        <v>B-BCP - Soles</v>
      </c>
      <c r="D3044" s="3" t="s">
        <v>1074</v>
      </c>
      <c r="E3044" s="14">
        <v>45874</v>
      </c>
      <c r="F3044" s="5" t="s">
        <v>1082</v>
      </c>
      <c r="G3044" s="5" t="s">
        <v>1079</v>
      </c>
      <c r="H3044" s="6" t="s">
        <v>525</v>
      </c>
      <c r="I3044" s="6"/>
      <c r="J3044" s="6"/>
      <c r="K3044" s="6"/>
      <c r="L3044" s="7" t="s">
        <v>3806</v>
      </c>
      <c r="M3044" s="8">
        <v>1226603</v>
      </c>
      <c r="N3044" s="8" t="str">
        <f t="shared" si="236"/>
        <v>PEN</v>
      </c>
      <c r="O3044" s="13"/>
      <c r="P3044" s="13">
        <v>405</v>
      </c>
      <c r="Q3044" s="3">
        <f t="shared" si="237"/>
        <v>0</v>
      </c>
      <c r="R3044" s="3">
        <f t="shared" si="238"/>
        <v>405</v>
      </c>
      <c r="S3044" s="3">
        <f t="shared" si="239"/>
        <v>38224.979999999996</v>
      </c>
      <c r="T3044" s="24"/>
      <c r="U3044" s="24"/>
      <c r="V3044" s="103" t="s">
        <v>3807</v>
      </c>
      <c r="W3044" s="25">
        <f>IFERROR(VLOOKUP(BCP_Soles[[#This Row],[DESTINATARIO]],CHOOSE({1,2},Clientes_Proveedores[Razon Social],Clientes_Proveedores[Ruc / Dni]),2,0),"")</f>
        <v>20609155303</v>
      </c>
      <c r="X3044" s="25"/>
      <c r="Y3044" s="25"/>
      <c r="Z3044" s="25"/>
      <c r="AA3044" s="101"/>
      <c r="AB3044" s="3" t="str">
        <f>IF(BCP_Soles[[#This Row],[FECHA]]&gt;0,TEXT(BCP_Soles[[#This Row],[FECHA]],"mmmm"),0)</f>
        <v>Agosto</v>
      </c>
    </row>
    <row r="3045" spans="2:28" ht="24" x14ac:dyDescent="0.3">
      <c r="B3045" s="2">
        <f>IF(BCP_Soles[[#This Row],[TIPO DE R.]]="R",COUNTIFS($D$4:$D3044,"R")+1,"")</f>
        <v>2134</v>
      </c>
      <c r="C3045" s="19" t="str">
        <f t="shared" si="235"/>
        <v>B-BCP - Soles</v>
      </c>
      <c r="D3045" s="3" t="s">
        <v>1074</v>
      </c>
      <c r="E3045" s="14">
        <v>45874</v>
      </c>
      <c r="F3045" s="5" t="s">
        <v>1082</v>
      </c>
      <c r="G3045" s="5" t="s">
        <v>1079</v>
      </c>
      <c r="H3045" s="6" t="s">
        <v>525</v>
      </c>
      <c r="I3045" s="6"/>
      <c r="J3045" s="6"/>
      <c r="K3045" s="6"/>
      <c r="L3045" s="7" t="s">
        <v>3808</v>
      </c>
      <c r="M3045" s="8">
        <v>1227086</v>
      </c>
      <c r="N3045" s="8" t="str">
        <f t="shared" si="236"/>
        <v>PEN</v>
      </c>
      <c r="O3045" s="13"/>
      <c r="P3045" s="13">
        <v>3558.8</v>
      </c>
      <c r="Q3045" s="3">
        <f t="shared" si="237"/>
        <v>0</v>
      </c>
      <c r="R3045" s="3">
        <f t="shared" si="238"/>
        <v>3558.8</v>
      </c>
      <c r="S3045" s="3">
        <f t="shared" si="239"/>
        <v>34666.179999999993</v>
      </c>
      <c r="T3045" s="24"/>
      <c r="U3045" s="24"/>
      <c r="V3045" s="103" t="s">
        <v>3809</v>
      </c>
      <c r="W3045" s="25">
        <f>IFERROR(VLOOKUP(BCP_Soles[[#This Row],[DESTINATARIO]],CHOOSE({1,2},Clientes_Proveedores[Razon Social],Clientes_Proveedores[Ruc / Dni]),2,0),"")</f>
        <v>20609155303</v>
      </c>
      <c r="X3045" s="25"/>
      <c r="Y3045" s="25"/>
      <c r="Z3045" s="25"/>
      <c r="AA3045" s="101"/>
      <c r="AB3045" s="3" t="str">
        <f>IF(BCP_Soles[[#This Row],[FECHA]]&gt;0,TEXT(BCP_Soles[[#This Row],[FECHA]],"mmmm"),0)</f>
        <v>Agosto</v>
      </c>
    </row>
    <row r="3046" spans="2:28" ht="24" x14ac:dyDescent="0.3">
      <c r="B3046" s="2">
        <f>IF(BCP_Soles[[#This Row],[TIPO DE R.]]="R",COUNTIFS($D$4:$D3045,"R")+1,"")</f>
        <v>2135</v>
      </c>
      <c r="C3046" s="19" t="str">
        <f t="shared" si="235"/>
        <v>B-BCP - Soles</v>
      </c>
      <c r="D3046" s="3" t="s">
        <v>1074</v>
      </c>
      <c r="E3046" s="14">
        <v>45874</v>
      </c>
      <c r="F3046" s="5" t="s">
        <v>1082</v>
      </c>
      <c r="G3046" s="5" t="s">
        <v>1079</v>
      </c>
      <c r="H3046" s="6" t="s">
        <v>414</v>
      </c>
      <c r="I3046" s="6" t="s">
        <v>14</v>
      </c>
      <c r="J3046" s="6" t="s">
        <v>1121</v>
      </c>
      <c r="K3046" s="6">
        <v>419</v>
      </c>
      <c r="L3046" s="7" t="s">
        <v>3810</v>
      </c>
      <c r="M3046" s="8">
        <v>1225148</v>
      </c>
      <c r="N3046" s="8" t="str">
        <f t="shared" si="236"/>
        <v>PEN</v>
      </c>
      <c r="O3046" s="13"/>
      <c r="P3046" s="13">
        <v>1926</v>
      </c>
      <c r="Q3046" s="3">
        <f t="shared" si="237"/>
        <v>0</v>
      </c>
      <c r="R3046" s="3">
        <f t="shared" si="238"/>
        <v>1926</v>
      </c>
      <c r="S3046" s="3">
        <f t="shared" si="239"/>
        <v>32740.179999999993</v>
      </c>
      <c r="T3046" s="24" t="s">
        <v>1081</v>
      </c>
      <c r="U3046" s="24" t="s">
        <v>1081</v>
      </c>
      <c r="V3046" s="103" t="s">
        <v>3811</v>
      </c>
      <c r="W3046" s="25">
        <f>IFERROR(VLOOKUP(BCP_Soles[[#This Row],[DESTINATARIO]],CHOOSE({1,2},Clientes_Proveedores[Razon Social],Clientes_Proveedores[Ruc / Dni]),2,0),"")</f>
        <v>20601883270</v>
      </c>
      <c r="X3046" s="25"/>
      <c r="Y3046" s="25"/>
      <c r="Z3046" s="25"/>
      <c r="AA3046" s="101"/>
      <c r="AB3046" s="3" t="str">
        <f>IF(BCP_Soles[[#This Row],[FECHA]]&gt;0,TEXT(BCP_Soles[[#This Row],[FECHA]],"mmmm"),0)</f>
        <v>Agosto</v>
      </c>
    </row>
    <row r="3047" spans="2:28" x14ac:dyDescent="0.3">
      <c r="B3047" s="2">
        <f>IF(BCP_Soles[[#This Row],[TIPO DE R.]]="R",COUNTIFS($D$4:$D3046,"R")+1,"")</f>
        <v>2136</v>
      </c>
      <c r="C3047" s="19" t="str">
        <f t="shared" si="235"/>
        <v>B-BCP - Soles</v>
      </c>
      <c r="D3047" s="3" t="s">
        <v>1074</v>
      </c>
      <c r="E3047" s="14">
        <v>45874</v>
      </c>
      <c r="F3047" s="5" t="s">
        <v>1082</v>
      </c>
      <c r="G3047" s="5" t="s">
        <v>1079</v>
      </c>
      <c r="H3047" s="6" t="s">
        <v>638</v>
      </c>
      <c r="I3047" s="6"/>
      <c r="J3047" s="6"/>
      <c r="K3047" s="6"/>
      <c r="L3047" s="7" t="s">
        <v>3812</v>
      </c>
      <c r="M3047" s="8">
        <v>8939851</v>
      </c>
      <c r="N3047" s="8" t="str">
        <f t="shared" si="236"/>
        <v>PEN</v>
      </c>
      <c r="O3047" s="13"/>
      <c r="P3047" s="13">
        <v>1676.6</v>
      </c>
      <c r="Q3047" s="3">
        <f t="shared" si="237"/>
        <v>0</v>
      </c>
      <c r="R3047" s="3">
        <f t="shared" si="238"/>
        <v>1676.6</v>
      </c>
      <c r="S3047" s="3">
        <f t="shared" si="239"/>
        <v>31063.579999999994</v>
      </c>
      <c r="T3047" s="24" t="s">
        <v>1081</v>
      </c>
      <c r="U3047" s="24" t="s">
        <v>1081</v>
      </c>
      <c r="V3047" s="103" t="s">
        <v>3813</v>
      </c>
      <c r="W3047" s="25">
        <f>IFERROR(VLOOKUP(BCP_Soles[[#This Row],[DESTINATARIO]],CHOOSE({1,2},Clientes_Proveedores[Razon Social],Clientes_Proveedores[Ruc / Dni]),2,0),"")</f>
        <v>0</v>
      </c>
      <c r="X3047" s="25"/>
      <c r="Y3047" s="25"/>
      <c r="Z3047" s="25"/>
      <c r="AA3047" s="101"/>
      <c r="AB3047" s="3" t="str">
        <f>IF(BCP_Soles[[#This Row],[FECHA]]&gt;0,TEXT(BCP_Soles[[#This Row],[FECHA]],"mmmm"),0)</f>
        <v>Agosto</v>
      </c>
    </row>
    <row r="3048" spans="2:28" ht="24" x14ac:dyDescent="0.3">
      <c r="B3048" s="2" t="str">
        <f>IF(BCP_Soles[[#This Row],[TIPO DE R.]]="R",COUNTIFS($D$4:$D3047,"R")+1,"")</f>
        <v/>
      </c>
      <c r="C3048" s="19" t="str">
        <f t="shared" si="235"/>
        <v>B-BCP - Soles</v>
      </c>
      <c r="D3048" s="3" t="s">
        <v>1101</v>
      </c>
      <c r="E3048" s="14">
        <v>45874</v>
      </c>
      <c r="F3048" s="5"/>
      <c r="G3048" s="5"/>
      <c r="H3048" s="6" t="s">
        <v>634</v>
      </c>
      <c r="I3048" s="6" t="s">
        <v>14</v>
      </c>
      <c r="J3048" s="6" t="s">
        <v>1121</v>
      </c>
      <c r="K3048" s="6">
        <v>16</v>
      </c>
      <c r="L3048" s="7" t="s">
        <v>3812</v>
      </c>
      <c r="M3048" s="8">
        <v>8939851</v>
      </c>
      <c r="N3048" s="8" t="str">
        <f t="shared" si="236"/>
        <v>PEN</v>
      </c>
      <c r="O3048" s="13">
        <v>510</v>
      </c>
      <c r="P3048" s="13"/>
      <c r="Q3048" s="3">
        <f t="shared" si="237"/>
        <v>0</v>
      </c>
      <c r="R3048" s="3">
        <f t="shared" si="238"/>
        <v>0</v>
      </c>
      <c r="S3048" s="3">
        <f t="shared" si="239"/>
        <v>31063.579999999994</v>
      </c>
      <c r="T3048" s="24" t="s">
        <v>1081</v>
      </c>
      <c r="U3048" s="24" t="s">
        <v>1081</v>
      </c>
      <c r="V3048" s="103"/>
      <c r="W3048" s="25">
        <f>IFERROR(VLOOKUP(BCP_Soles[[#This Row],[DESTINATARIO]],CHOOSE({1,2},Clientes_Proveedores[Razon Social],Clientes_Proveedores[Ruc / Dni]),2,0),"")</f>
        <v>10736055631</v>
      </c>
      <c r="X3048" s="25"/>
      <c r="Y3048" s="25"/>
      <c r="Z3048" s="25"/>
      <c r="AA3048" s="101"/>
      <c r="AB3048" s="3" t="str">
        <f>IF(BCP_Soles[[#This Row],[FECHA]]&gt;0,TEXT(BCP_Soles[[#This Row],[FECHA]],"mmmm"),0)</f>
        <v>Agosto</v>
      </c>
    </row>
    <row r="3049" spans="2:28" ht="24" x14ac:dyDescent="0.3">
      <c r="B3049" s="2" t="str">
        <f>IF(BCP_Soles[[#This Row],[TIPO DE R.]]="R",COUNTIFS($D$4:$D3048,"R")+1,"")</f>
        <v/>
      </c>
      <c r="C3049" s="19" t="str">
        <f t="shared" si="235"/>
        <v>B-BCP - Soles</v>
      </c>
      <c r="D3049" s="3" t="s">
        <v>1101</v>
      </c>
      <c r="E3049" s="14">
        <v>45874</v>
      </c>
      <c r="F3049" s="5"/>
      <c r="G3049" s="5"/>
      <c r="H3049" s="6" t="s">
        <v>480</v>
      </c>
      <c r="I3049" s="6" t="s">
        <v>14</v>
      </c>
      <c r="J3049" s="6" t="s">
        <v>1121</v>
      </c>
      <c r="K3049" s="6">
        <v>896</v>
      </c>
      <c r="L3049" s="7" t="s">
        <v>3812</v>
      </c>
      <c r="M3049" s="8">
        <v>8939851</v>
      </c>
      <c r="N3049" s="8" t="str">
        <f t="shared" si="236"/>
        <v>PEN</v>
      </c>
      <c r="O3049" s="13">
        <v>666</v>
      </c>
      <c r="P3049" s="13"/>
      <c r="Q3049" s="3">
        <f t="shared" si="237"/>
        <v>0</v>
      </c>
      <c r="R3049" s="3">
        <f t="shared" si="238"/>
        <v>0</v>
      </c>
      <c r="S3049" s="3">
        <f t="shared" si="239"/>
        <v>31063.579999999994</v>
      </c>
      <c r="T3049" s="24" t="s">
        <v>1081</v>
      </c>
      <c r="U3049" s="24" t="s">
        <v>1081</v>
      </c>
      <c r="V3049" s="103"/>
      <c r="W3049" s="25">
        <f>IFERROR(VLOOKUP(BCP_Soles[[#This Row],[DESTINATARIO]],CHOOSE({1,2},Clientes_Proveedores[Razon Social],Clientes_Proveedores[Ruc / Dni]),2,0),"")</f>
        <v>20605447814</v>
      </c>
      <c r="X3049" s="25"/>
      <c r="Y3049" s="25"/>
      <c r="Z3049" s="25"/>
      <c r="AA3049" s="101"/>
      <c r="AB3049" s="3" t="str">
        <f>IF(BCP_Soles[[#This Row],[FECHA]]&gt;0,TEXT(BCP_Soles[[#This Row],[FECHA]],"mmmm"),0)</f>
        <v>Agosto</v>
      </c>
    </row>
    <row r="3050" spans="2:28" x14ac:dyDescent="0.3">
      <c r="B3050" s="2" t="str">
        <f>IF(BCP_Soles[[#This Row],[TIPO DE R.]]="R",COUNTIFS($D$4:$D3049,"R")+1,"")</f>
        <v/>
      </c>
      <c r="C3050" s="19" t="str">
        <f t="shared" si="235"/>
        <v>B-BCP - Soles</v>
      </c>
      <c r="D3050" s="3" t="s">
        <v>1101</v>
      </c>
      <c r="E3050" s="14">
        <v>45874</v>
      </c>
      <c r="F3050" s="5"/>
      <c r="G3050" s="5"/>
      <c r="H3050" s="6" t="s">
        <v>465</v>
      </c>
      <c r="I3050" s="6" t="s">
        <v>14</v>
      </c>
      <c r="J3050" s="6" t="s">
        <v>1121</v>
      </c>
      <c r="K3050" s="6">
        <v>4055</v>
      </c>
      <c r="L3050" s="7" t="s">
        <v>3812</v>
      </c>
      <c r="M3050" s="8">
        <v>8939851</v>
      </c>
      <c r="N3050" s="8" t="str">
        <f t="shared" si="236"/>
        <v>PEN</v>
      </c>
      <c r="O3050" s="13">
        <v>200.6</v>
      </c>
      <c r="P3050" s="13"/>
      <c r="Q3050" s="3">
        <f t="shared" si="237"/>
        <v>0</v>
      </c>
      <c r="R3050" s="3">
        <f t="shared" si="238"/>
        <v>0</v>
      </c>
      <c r="S3050" s="3">
        <f t="shared" si="239"/>
        <v>31063.579999999994</v>
      </c>
      <c r="T3050" s="24" t="s">
        <v>1081</v>
      </c>
      <c r="U3050" s="24" t="s">
        <v>1081</v>
      </c>
      <c r="V3050" s="103"/>
      <c r="W3050" s="25">
        <f>IFERROR(VLOOKUP(BCP_Soles[[#This Row],[DESTINATARIO]],CHOOSE({1,2},Clientes_Proveedores[Razon Social],Clientes_Proveedores[Ruc / Dni]),2,0),"")</f>
        <v>20603974817</v>
      </c>
      <c r="X3050" s="25"/>
      <c r="Y3050" s="25"/>
      <c r="Z3050" s="25"/>
      <c r="AA3050" s="101"/>
      <c r="AB3050" s="3" t="str">
        <f>IF(BCP_Soles[[#This Row],[FECHA]]&gt;0,TEXT(BCP_Soles[[#This Row],[FECHA]],"mmmm"),0)</f>
        <v>Agosto</v>
      </c>
    </row>
    <row r="3051" spans="2:28" ht="24" x14ac:dyDescent="0.3">
      <c r="B3051" s="2" t="str">
        <f>IF(BCP_Soles[[#This Row],[TIPO DE R.]]="R",COUNTIFS($D$4:$D3050,"R")+1,"")</f>
        <v/>
      </c>
      <c r="C3051" s="19" t="str">
        <f t="shared" si="235"/>
        <v>B-BCP - Soles</v>
      </c>
      <c r="D3051" s="3" t="s">
        <v>1101</v>
      </c>
      <c r="E3051" s="14">
        <v>45874</v>
      </c>
      <c r="F3051" s="5"/>
      <c r="G3051" s="5"/>
      <c r="H3051" s="6" t="s">
        <v>634</v>
      </c>
      <c r="I3051" s="6" t="s">
        <v>14</v>
      </c>
      <c r="J3051" s="6" t="s">
        <v>1121</v>
      </c>
      <c r="K3051" s="6">
        <v>14</v>
      </c>
      <c r="L3051" s="7" t="s">
        <v>3812</v>
      </c>
      <c r="M3051" s="8">
        <v>8939851</v>
      </c>
      <c r="N3051" s="8" t="str">
        <f t="shared" si="236"/>
        <v>PEN</v>
      </c>
      <c r="O3051" s="13">
        <v>300</v>
      </c>
      <c r="P3051" s="13"/>
      <c r="Q3051" s="3">
        <f t="shared" si="237"/>
        <v>0</v>
      </c>
      <c r="R3051" s="3">
        <f t="shared" si="238"/>
        <v>0</v>
      </c>
      <c r="S3051" s="3">
        <f t="shared" si="239"/>
        <v>31063.579999999994</v>
      </c>
      <c r="T3051" s="24" t="s">
        <v>1081</v>
      </c>
      <c r="U3051" s="24" t="s">
        <v>1081</v>
      </c>
      <c r="V3051" s="103"/>
      <c r="W3051" s="25">
        <f>IFERROR(VLOOKUP(BCP_Soles[[#This Row],[DESTINATARIO]],CHOOSE({1,2},Clientes_Proveedores[Razon Social],Clientes_Proveedores[Ruc / Dni]),2,0),"")</f>
        <v>10736055631</v>
      </c>
      <c r="X3051" s="25"/>
      <c r="Y3051" s="25"/>
      <c r="Z3051" s="25"/>
      <c r="AA3051" s="101"/>
      <c r="AB3051" s="3" t="str">
        <f>IF(BCP_Soles[[#This Row],[FECHA]]&gt;0,TEXT(BCP_Soles[[#This Row],[FECHA]],"mmmm"),0)</f>
        <v>Agosto</v>
      </c>
    </row>
    <row r="3052" spans="2:28" x14ac:dyDescent="0.3">
      <c r="B3052" s="2">
        <f>IF(BCP_Soles[[#This Row],[TIPO DE R.]]="R",COUNTIFS($D$4:$D3051,"R")+1,"")</f>
        <v>2137</v>
      </c>
      <c r="C3052" s="19" t="str">
        <f t="shared" si="235"/>
        <v>B-BCP - Soles</v>
      </c>
      <c r="D3052" s="3" t="s">
        <v>1074</v>
      </c>
      <c r="E3052" s="14">
        <v>45874</v>
      </c>
      <c r="F3052" s="5" t="s">
        <v>2898</v>
      </c>
      <c r="G3052" s="5" t="s">
        <v>1079</v>
      </c>
      <c r="H3052" s="6"/>
      <c r="I3052" s="6"/>
      <c r="J3052" s="6"/>
      <c r="K3052" s="6"/>
      <c r="L3052" s="7" t="s">
        <v>3814</v>
      </c>
      <c r="M3052" s="8">
        <v>1011187</v>
      </c>
      <c r="N3052" s="8" t="str">
        <f t="shared" si="236"/>
        <v>PEN</v>
      </c>
      <c r="O3052" s="13"/>
      <c r="P3052" s="13">
        <v>1350</v>
      </c>
      <c r="Q3052" s="3">
        <f t="shared" si="237"/>
        <v>0</v>
      </c>
      <c r="R3052" s="3">
        <f t="shared" si="238"/>
        <v>1350</v>
      </c>
      <c r="S3052" s="3">
        <f t="shared" si="239"/>
        <v>29713.579999999994</v>
      </c>
      <c r="T3052" s="24" t="s">
        <v>1081</v>
      </c>
      <c r="U3052" s="24" t="s">
        <v>1081</v>
      </c>
      <c r="V3052" s="69"/>
      <c r="W3052" s="25" t="str">
        <f>IFERROR(VLOOKUP(BCP_Soles[[#This Row],[DESTINATARIO]],CHOOSE({1,2},Clientes_Proveedores[Razon Social],Clientes_Proveedores[Ruc / Dni]),2,0),"")</f>
        <v/>
      </c>
      <c r="X3052" s="25"/>
      <c r="Y3052" s="25"/>
      <c r="Z3052" s="25"/>
      <c r="AA3052" s="101"/>
      <c r="AB3052" s="3" t="str">
        <f>IF(BCP_Soles[[#This Row],[FECHA]]&gt;0,TEXT(BCP_Soles[[#This Row],[FECHA]],"mmmm"),0)</f>
        <v>Agosto</v>
      </c>
    </row>
    <row r="3053" spans="2:28" x14ac:dyDescent="0.3">
      <c r="B3053" s="2" t="str">
        <f>IF(BCP_Soles[[#This Row],[TIPO DE R.]]="R",COUNTIFS($D$4:$D3052,"R")+1,"")</f>
        <v/>
      </c>
      <c r="C3053" s="19" t="str">
        <f t="shared" si="235"/>
        <v>B-BCP - Soles</v>
      </c>
      <c r="D3053" s="3" t="s">
        <v>1101</v>
      </c>
      <c r="E3053" s="14">
        <v>45874</v>
      </c>
      <c r="F3053" s="5" t="s">
        <v>2898</v>
      </c>
      <c r="G3053" s="5"/>
      <c r="H3053" s="6" t="s">
        <v>139</v>
      </c>
      <c r="I3053" s="6" t="s">
        <v>14</v>
      </c>
      <c r="J3053" s="6" t="s">
        <v>1953</v>
      </c>
      <c r="K3053" s="6">
        <v>6665</v>
      </c>
      <c r="L3053" s="7" t="s">
        <v>3814</v>
      </c>
      <c r="M3053" s="8">
        <v>1011187</v>
      </c>
      <c r="N3053" s="8" t="str">
        <f t="shared" si="236"/>
        <v>PEN</v>
      </c>
      <c r="O3053" s="13">
        <v>61</v>
      </c>
      <c r="P3053" s="13"/>
      <c r="Q3053" s="3">
        <f t="shared" si="237"/>
        <v>0</v>
      </c>
      <c r="R3053" s="3">
        <f t="shared" si="238"/>
        <v>0</v>
      </c>
      <c r="S3053" s="3">
        <f t="shared" si="239"/>
        <v>29713.579999999994</v>
      </c>
      <c r="T3053" s="24" t="s">
        <v>1081</v>
      </c>
      <c r="U3053" s="24" t="s">
        <v>1081</v>
      </c>
      <c r="V3053" s="69"/>
      <c r="W3053" s="25">
        <f>IFERROR(VLOOKUP(BCP_Soles[[#This Row],[DESTINATARIO]],CHOOSE({1,2},Clientes_Proveedores[Razon Social],Clientes_Proveedores[Ruc / Dni]),2,0),"")</f>
        <v>20100055237</v>
      </c>
      <c r="X3053" s="25"/>
      <c r="Y3053" s="25"/>
      <c r="Z3053" s="25"/>
      <c r="AA3053" s="101" t="s">
        <v>3385</v>
      </c>
      <c r="AB3053" s="3" t="str">
        <f>IF(BCP_Soles[[#This Row],[FECHA]]&gt;0,TEXT(BCP_Soles[[#This Row],[FECHA]],"mmmm"),0)</f>
        <v>Agosto</v>
      </c>
    </row>
    <row r="3054" spans="2:28" x14ac:dyDescent="0.3">
      <c r="B3054" s="2" t="str">
        <f>IF(BCP_Soles[[#This Row],[TIPO DE R.]]="R",COUNTIFS($D$4:$D3053,"R")+1,"")</f>
        <v/>
      </c>
      <c r="C3054" s="19" t="str">
        <f t="shared" si="235"/>
        <v>B-BCP - Soles</v>
      </c>
      <c r="D3054" s="3" t="s">
        <v>1101</v>
      </c>
      <c r="E3054" s="14">
        <v>45874</v>
      </c>
      <c r="F3054" s="5" t="s">
        <v>2898</v>
      </c>
      <c r="G3054" s="5"/>
      <c r="H3054" s="6" t="s">
        <v>139</v>
      </c>
      <c r="I3054" s="6" t="s">
        <v>14</v>
      </c>
      <c r="J3054" s="6" t="s">
        <v>1953</v>
      </c>
      <c r="K3054" s="6">
        <v>6663</v>
      </c>
      <c r="L3054" s="7" t="s">
        <v>3814</v>
      </c>
      <c r="M3054" s="8">
        <v>1011187</v>
      </c>
      <c r="N3054" s="8" t="str">
        <f t="shared" si="236"/>
        <v>PEN</v>
      </c>
      <c r="O3054" s="13">
        <v>2</v>
      </c>
      <c r="P3054" s="13"/>
      <c r="Q3054" s="3">
        <f t="shared" si="237"/>
        <v>0</v>
      </c>
      <c r="R3054" s="3">
        <f t="shared" si="238"/>
        <v>0</v>
      </c>
      <c r="S3054" s="3">
        <f t="shared" si="239"/>
        <v>29713.579999999994</v>
      </c>
      <c r="T3054" s="24" t="s">
        <v>1081</v>
      </c>
      <c r="U3054" s="24" t="s">
        <v>1081</v>
      </c>
      <c r="V3054" s="69"/>
      <c r="W3054" s="25">
        <f>IFERROR(VLOOKUP(BCP_Soles[[#This Row],[DESTINATARIO]],CHOOSE({1,2},Clientes_Proveedores[Razon Social],Clientes_Proveedores[Ruc / Dni]),2,0),"")</f>
        <v>20100055237</v>
      </c>
      <c r="X3054" s="25"/>
      <c r="Y3054" s="25"/>
      <c r="Z3054" s="25"/>
      <c r="AA3054" s="101" t="s">
        <v>3385</v>
      </c>
      <c r="AB3054" s="3" t="str">
        <f>IF(BCP_Soles[[#This Row],[FECHA]]&gt;0,TEXT(BCP_Soles[[#This Row],[FECHA]],"mmmm"),0)</f>
        <v>Agosto</v>
      </c>
    </row>
    <row r="3055" spans="2:28" x14ac:dyDescent="0.3">
      <c r="B3055" s="2" t="str">
        <f>IF(BCP_Soles[[#This Row],[TIPO DE R.]]="R",COUNTIFS($D$4:$D3054,"R")+1,"")</f>
        <v/>
      </c>
      <c r="C3055" s="19" t="str">
        <f t="shared" si="235"/>
        <v>B-BCP - Soles</v>
      </c>
      <c r="D3055" s="3" t="s">
        <v>1101</v>
      </c>
      <c r="E3055" s="14">
        <v>45874</v>
      </c>
      <c r="F3055" s="5" t="s">
        <v>2898</v>
      </c>
      <c r="G3055" s="5"/>
      <c r="H3055" s="6" t="s">
        <v>139</v>
      </c>
      <c r="I3055" s="6" t="s">
        <v>14</v>
      </c>
      <c r="J3055" s="6" t="s">
        <v>1953</v>
      </c>
      <c r="K3055" s="6">
        <v>6666</v>
      </c>
      <c r="L3055" s="7" t="s">
        <v>3814</v>
      </c>
      <c r="M3055" s="8">
        <v>1011187</v>
      </c>
      <c r="N3055" s="8" t="str">
        <f t="shared" si="236"/>
        <v>PEN</v>
      </c>
      <c r="O3055" s="13">
        <v>9</v>
      </c>
      <c r="P3055" s="13"/>
      <c r="Q3055" s="3">
        <f t="shared" si="237"/>
        <v>0</v>
      </c>
      <c r="R3055" s="3">
        <f t="shared" si="238"/>
        <v>0</v>
      </c>
      <c r="S3055" s="3">
        <f t="shared" si="239"/>
        <v>29713.579999999994</v>
      </c>
      <c r="T3055" s="24" t="s">
        <v>1081</v>
      </c>
      <c r="U3055" s="24" t="s">
        <v>1081</v>
      </c>
      <c r="V3055" s="69"/>
      <c r="W3055" s="25">
        <f>IFERROR(VLOOKUP(BCP_Soles[[#This Row],[DESTINATARIO]],CHOOSE({1,2},Clientes_Proveedores[Razon Social],Clientes_Proveedores[Ruc / Dni]),2,0),"")</f>
        <v>20100055237</v>
      </c>
      <c r="X3055" s="25"/>
      <c r="Y3055" s="25"/>
      <c r="Z3055" s="25"/>
      <c r="AA3055" s="101" t="s">
        <v>3385</v>
      </c>
      <c r="AB3055" s="3" t="str">
        <f>IF(BCP_Soles[[#This Row],[FECHA]]&gt;0,TEXT(BCP_Soles[[#This Row],[FECHA]],"mmmm"),0)</f>
        <v>Agosto</v>
      </c>
    </row>
    <row r="3056" spans="2:28" x14ac:dyDescent="0.3">
      <c r="B3056" s="2" t="str">
        <f>IF(BCP_Soles[[#This Row],[TIPO DE R.]]="R",COUNTIFS($D$4:$D3055,"R")+1,"")</f>
        <v/>
      </c>
      <c r="C3056" s="19" t="str">
        <f t="shared" si="235"/>
        <v>B-BCP - Soles</v>
      </c>
      <c r="D3056" s="3" t="s">
        <v>1101</v>
      </c>
      <c r="E3056" s="14">
        <v>45874</v>
      </c>
      <c r="F3056" s="5" t="s">
        <v>2898</v>
      </c>
      <c r="G3056" s="5"/>
      <c r="H3056" s="6" t="s">
        <v>139</v>
      </c>
      <c r="I3056" s="6" t="s">
        <v>14</v>
      </c>
      <c r="J3056" s="6" t="s">
        <v>1953</v>
      </c>
      <c r="K3056" s="6">
        <v>6667</v>
      </c>
      <c r="L3056" s="7" t="s">
        <v>3814</v>
      </c>
      <c r="M3056" s="8">
        <v>1011187</v>
      </c>
      <c r="N3056" s="8" t="str">
        <f t="shared" si="236"/>
        <v>PEN</v>
      </c>
      <c r="O3056" s="13">
        <v>108</v>
      </c>
      <c r="P3056" s="13"/>
      <c r="Q3056" s="3">
        <f t="shared" si="237"/>
        <v>0</v>
      </c>
      <c r="R3056" s="3">
        <f t="shared" si="238"/>
        <v>0</v>
      </c>
      <c r="S3056" s="3">
        <f t="shared" si="239"/>
        <v>29713.579999999994</v>
      </c>
      <c r="T3056" s="24" t="s">
        <v>1081</v>
      </c>
      <c r="U3056" s="24" t="s">
        <v>1081</v>
      </c>
      <c r="V3056" s="69"/>
      <c r="W3056" s="25">
        <f>IFERROR(VLOOKUP(BCP_Soles[[#This Row],[DESTINATARIO]],CHOOSE({1,2},Clientes_Proveedores[Razon Social],Clientes_Proveedores[Ruc / Dni]),2,0),"")</f>
        <v>20100055237</v>
      </c>
      <c r="X3056" s="25"/>
      <c r="Y3056" s="25"/>
      <c r="Z3056" s="25"/>
      <c r="AA3056" s="101" t="s">
        <v>3385</v>
      </c>
      <c r="AB3056" s="3" t="str">
        <f>IF(BCP_Soles[[#This Row],[FECHA]]&gt;0,TEXT(BCP_Soles[[#This Row],[FECHA]],"mmmm"),0)</f>
        <v>Agosto</v>
      </c>
    </row>
    <row r="3057" spans="2:28" x14ac:dyDescent="0.3">
      <c r="B3057" s="2" t="str">
        <f>IF(BCP_Soles[[#This Row],[TIPO DE R.]]="R",COUNTIFS($D$4:$D3056,"R")+1,"")</f>
        <v/>
      </c>
      <c r="C3057" s="19" t="str">
        <f t="shared" si="235"/>
        <v>B-BCP - Soles</v>
      </c>
      <c r="D3057" s="3" t="s">
        <v>1101</v>
      </c>
      <c r="E3057" s="14">
        <v>45874</v>
      </c>
      <c r="F3057" s="5" t="s">
        <v>2898</v>
      </c>
      <c r="G3057" s="5"/>
      <c r="H3057" s="6" t="s">
        <v>139</v>
      </c>
      <c r="I3057" s="6" t="s">
        <v>14</v>
      </c>
      <c r="J3057" s="6" t="s">
        <v>1953</v>
      </c>
      <c r="K3057" s="6">
        <v>6662</v>
      </c>
      <c r="L3057" s="7" t="s">
        <v>3814</v>
      </c>
      <c r="M3057" s="8">
        <v>1011187</v>
      </c>
      <c r="N3057" s="8" t="str">
        <f t="shared" si="236"/>
        <v>PEN</v>
      </c>
      <c r="O3057" s="13">
        <v>75</v>
      </c>
      <c r="P3057" s="13"/>
      <c r="Q3057" s="3">
        <f t="shared" si="237"/>
        <v>0</v>
      </c>
      <c r="R3057" s="3">
        <f t="shared" si="238"/>
        <v>0</v>
      </c>
      <c r="S3057" s="3">
        <f t="shared" si="239"/>
        <v>29713.579999999994</v>
      </c>
      <c r="T3057" s="24" t="s">
        <v>1081</v>
      </c>
      <c r="U3057" s="24" t="s">
        <v>1081</v>
      </c>
      <c r="V3057" s="69"/>
      <c r="W3057" s="25">
        <f>IFERROR(VLOOKUP(BCP_Soles[[#This Row],[DESTINATARIO]],CHOOSE({1,2},Clientes_Proveedores[Razon Social],Clientes_Proveedores[Ruc / Dni]),2,0),"")</f>
        <v>20100055237</v>
      </c>
      <c r="X3057" s="25"/>
      <c r="Y3057" s="25"/>
      <c r="Z3057" s="25"/>
      <c r="AA3057" s="101" t="s">
        <v>3385</v>
      </c>
      <c r="AB3057" s="3" t="str">
        <f>IF(BCP_Soles[[#This Row],[FECHA]]&gt;0,TEXT(BCP_Soles[[#This Row],[FECHA]],"mmmm"),0)</f>
        <v>Agosto</v>
      </c>
    </row>
    <row r="3058" spans="2:28" x14ac:dyDescent="0.3">
      <c r="B3058" s="2" t="str">
        <f>IF(BCP_Soles[[#This Row],[TIPO DE R.]]="R",COUNTIFS($D$4:$D3057,"R")+1,"")</f>
        <v/>
      </c>
      <c r="C3058" s="19" t="str">
        <f t="shared" si="235"/>
        <v>B-BCP - Soles</v>
      </c>
      <c r="D3058" s="3" t="s">
        <v>1101</v>
      </c>
      <c r="E3058" s="14">
        <v>45874</v>
      </c>
      <c r="F3058" s="5" t="s">
        <v>2898</v>
      </c>
      <c r="G3058" s="5"/>
      <c r="H3058" s="6" t="s">
        <v>139</v>
      </c>
      <c r="I3058" s="6" t="s">
        <v>14</v>
      </c>
      <c r="J3058" s="6" t="s">
        <v>1953</v>
      </c>
      <c r="K3058" s="6">
        <v>6661</v>
      </c>
      <c r="L3058" s="7" t="s">
        <v>3814</v>
      </c>
      <c r="M3058" s="8">
        <v>1011187</v>
      </c>
      <c r="N3058" s="8" t="str">
        <f t="shared" si="236"/>
        <v>PEN</v>
      </c>
      <c r="O3058" s="13">
        <v>25</v>
      </c>
      <c r="P3058" s="13"/>
      <c r="Q3058" s="3">
        <f t="shared" si="237"/>
        <v>0</v>
      </c>
      <c r="R3058" s="3">
        <f t="shared" si="238"/>
        <v>0</v>
      </c>
      <c r="S3058" s="3">
        <f t="shared" si="239"/>
        <v>29713.579999999994</v>
      </c>
      <c r="T3058" s="24" t="s">
        <v>1081</v>
      </c>
      <c r="U3058" s="24" t="s">
        <v>1081</v>
      </c>
      <c r="V3058" s="69"/>
      <c r="W3058" s="25">
        <f>IFERROR(VLOOKUP(BCP_Soles[[#This Row],[DESTINATARIO]],CHOOSE({1,2},Clientes_Proveedores[Razon Social],Clientes_Proveedores[Ruc / Dni]),2,0),"")</f>
        <v>20100055237</v>
      </c>
      <c r="X3058" s="25"/>
      <c r="Y3058" s="25"/>
      <c r="Z3058" s="25"/>
      <c r="AA3058" s="101" t="s">
        <v>3385</v>
      </c>
      <c r="AB3058" s="3" t="str">
        <f>IF(BCP_Soles[[#This Row],[FECHA]]&gt;0,TEXT(BCP_Soles[[#This Row],[FECHA]],"mmmm"),0)</f>
        <v>Agosto</v>
      </c>
    </row>
    <row r="3059" spans="2:28" ht="24" x14ac:dyDescent="0.3">
      <c r="B3059" s="2" t="str">
        <f>IF(BCP_Soles[[#This Row],[TIPO DE R.]]="R",COUNTIFS($D$4:$D3058,"R")+1,"")</f>
        <v/>
      </c>
      <c r="C3059" s="19" t="str">
        <f t="shared" si="235"/>
        <v>B-BCP - Soles</v>
      </c>
      <c r="D3059" s="3" t="s">
        <v>1101</v>
      </c>
      <c r="E3059" s="14">
        <v>45874</v>
      </c>
      <c r="F3059" s="5" t="s">
        <v>2898</v>
      </c>
      <c r="G3059" s="5"/>
      <c r="H3059" s="6" t="s">
        <v>634</v>
      </c>
      <c r="I3059" s="6" t="s">
        <v>14</v>
      </c>
      <c r="J3059" s="6" t="s">
        <v>1121</v>
      </c>
      <c r="K3059" s="6">
        <v>16</v>
      </c>
      <c r="L3059" s="7" t="s">
        <v>3814</v>
      </c>
      <c r="M3059" s="8">
        <v>1011187</v>
      </c>
      <c r="N3059" s="8" t="str">
        <f t="shared" si="236"/>
        <v>PEN</v>
      </c>
      <c r="O3059" s="13">
        <v>21</v>
      </c>
      <c r="P3059" s="13"/>
      <c r="Q3059" s="3">
        <f t="shared" si="237"/>
        <v>0</v>
      </c>
      <c r="R3059" s="3">
        <f t="shared" si="238"/>
        <v>0</v>
      </c>
      <c r="S3059" s="3">
        <f t="shared" si="239"/>
        <v>29713.579999999994</v>
      </c>
      <c r="T3059" s="24" t="s">
        <v>1081</v>
      </c>
      <c r="U3059" s="24" t="s">
        <v>1081</v>
      </c>
      <c r="V3059" s="69"/>
      <c r="W3059" s="25">
        <f>IFERROR(VLOOKUP(BCP_Soles[[#This Row],[DESTINATARIO]],CHOOSE({1,2},Clientes_Proveedores[Razon Social],Clientes_Proveedores[Ruc / Dni]),2,0),"")</f>
        <v>10736055631</v>
      </c>
      <c r="X3059" s="25"/>
      <c r="Y3059" s="25"/>
      <c r="Z3059" s="25"/>
      <c r="AA3059" s="101" t="s">
        <v>3385</v>
      </c>
      <c r="AB3059" s="3" t="str">
        <f>IF(BCP_Soles[[#This Row],[FECHA]]&gt;0,TEXT(BCP_Soles[[#This Row],[FECHA]],"mmmm"),0)</f>
        <v>Agosto</v>
      </c>
    </row>
    <row r="3060" spans="2:28" ht="24" x14ac:dyDescent="0.3">
      <c r="B3060" s="2" t="str">
        <f>IF(BCP_Soles[[#This Row],[TIPO DE R.]]="R",COUNTIFS($D$4:$D3059,"R")+1,"")</f>
        <v/>
      </c>
      <c r="C3060" s="19" t="str">
        <f t="shared" si="235"/>
        <v>B-BCP - Soles</v>
      </c>
      <c r="D3060" s="3" t="s">
        <v>1101</v>
      </c>
      <c r="E3060" s="14">
        <v>45874</v>
      </c>
      <c r="F3060" s="5" t="s">
        <v>2898</v>
      </c>
      <c r="G3060" s="5"/>
      <c r="H3060" s="6" t="s">
        <v>147</v>
      </c>
      <c r="I3060" s="6" t="s">
        <v>14</v>
      </c>
      <c r="J3060" s="6" t="s">
        <v>1148</v>
      </c>
      <c r="K3060" s="6">
        <v>16567</v>
      </c>
      <c r="L3060" s="7" t="s">
        <v>3814</v>
      </c>
      <c r="M3060" s="8">
        <v>1011187</v>
      </c>
      <c r="N3060" s="8" t="str">
        <f t="shared" si="236"/>
        <v>PEN</v>
      </c>
      <c r="O3060" s="13">
        <v>504</v>
      </c>
      <c r="P3060" s="13"/>
      <c r="Q3060" s="3">
        <f t="shared" si="237"/>
        <v>0</v>
      </c>
      <c r="R3060" s="3">
        <f t="shared" si="238"/>
        <v>0</v>
      </c>
      <c r="S3060" s="3">
        <f t="shared" si="239"/>
        <v>29713.579999999994</v>
      </c>
      <c r="T3060" s="24" t="s">
        <v>1081</v>
      </c>
      <c r="U3060" s="24" t="s">
        <v>1081</v>
      </c>
      <c r="V3060" s="69"/>
      <c r="W3060" s="25">
        <f>IFERROR(VLOOKUP(BCP_Soles[[#This Row],[DESTINATARIO]],CHOOSE({1,2},Clientes_Proveedores[Razon Social],Clientes_Proveedores[Ruc / Dni]),2,0),"")</f>
        <v>20100192064</v>
      </c>
      <c r="X3060" s="25"/>
      <c r="Y3060" s="25"/>
      <c r="Z3060" s="25"/>
      <c r="AA3060" s="101" t="s">
        <v>3385</v>
      </c>
      <c r="AB3060" s="3" t="str">
        <f>IF(BCP_Soles[[#This Row],[FECHA]]&gt;0,TEXT(BCP_Soles[[#This Row],[FECHA]],"mmmm"),0)</f>
        <v>Agosto</v>
      </c>
    </row>
    <row r="3061" spans="2:28" ht="24" x14ac:dyDescent="0.3">
      <c r="B3061" s="2" t="str">
        <f>IF(BCP_Soles[[#This Row],[TIPO DE R.]]="R",COUNTIFS($D$4:$D3060,"R")+1,"")</f>
        <v/>
      </c>
      <c r="C3061" s="19" t="str">
        <f t="shared" si="235"/>
        <v>B-BCP - Soles</v>
      </c>
      <c r="D3061" s="3" t="s">
        <v>1101</v>
      </c>
      <c r="E3061" s="14">
        <v>45874</v>
      </c>
      <c r="F3061" s="5" t="s">
        <v>2898</v>
      </c>
      <c r="G3061" s="5"/>
      <c r="H3061" s="6" t="s">
        <v>147</v>
      </c>
      <c r="I3061" s="6" t="s">
        <v>14</v>
      </c>
      <c r="J3061" s="6" t="s">
        <v>1148</v>
      </c>
      <c r="K3061" s="6">
        <v>16566</v>
      </c>
      <c r="L3061" s="7" t="s">
        <v>3814</v>
      </c>
      <c r="M3061" s="8">
        <v>1011187</v>
      </c>
      <c r="N3061" s="8" t="str">
        <f t="shared" si="236"/>
        <v>PEN</v>
      </c>
      <c r="O3061" s="13">
        <v>427</v>
      </c>
      <c r="P3061" s="13"/>
      <c r="Q3061" s="3">
        <f t="shared" si="237"/>
        <v>0</v>
      </c>
      <c r="R3061" s="3">
        <f t="shared" si="238"/>
        <v>0</v>
      </c>
      <c r="S3061" s="3">
        <f t="shared" si="239"/>
        <v>29713.579999999994</v>
      </c>
      <c r="T3061" s="24" t="s">
        <v>1081</v>
      </c>
      <c r="U3061" s="24" t="s">
        <v>1081</v>
      </c>
      <c r="V3061" s="69"/>
      <c r="W3061" s="25">
        <f>IFERROR(VLOOKUP(BCP_Soles[[#This Row],[DESTINATARIO]],CHOOSE({1,2},Clientes_Proveedores[Razon Social],Clientes_Proveedores[Ruc / Dni]),2,0),"")</f>
        <v>20100192064</v>
      </c>
      <c r="X3061" s="25"/>
      <c r="Y3061" s="25"/>
      <c r="Z3061" s="25"/>
      <c r="AA3061" s="101" t="s">
        <v>3385</v>
      </c>
      <c r="AB3061" s="3" t="str">
        <f>IF(BCP_Soles[[#This Row],[FECHA]]&gt;0,TEXT(BCP_Soles[[#This Row],[FECHA]],"mmmm"),0)</f>
        <v>Agosto</v>
      </c>
    </row>
    <row r="3062" spans="2:28" ht="24" x14ac:dyDescent="0.3">
      <c r="B3062" s="2" t="str">
        <f>IF(BCP_Soles[[#This Row],[TIPO DE R.]]="R",COUNTIFS($D$4:$D3061,"R")+1,"")</f>
        <v/>
      </c>
      <c r="C3062" s="19" t="str">
        <f t="shared" si="235"/>
        <v>B-BCP - Soles</v>
      </c>
      <c r="D3062" s="3" t="s">
        <v>1101</v>
      </c>
      <c r="E3062" s="14">
        <v>45874</v>
      </c>
      <c r="F3062" s="5" t="s">
        <v>2898</v>
      </c>
      <c r="G3062" s="5"/>
      <c r="H3062" s="6" t="s">
        <v>480</v>
      </c>
      <c r="I3062" s="6" t="s">
        <v>14</v>
      </c>
      <c r="J3062" s="6" t="s">
        <v>1121</v>
      </c>
      <c r="K3062" s="6">
        <v>896</v>
      </c>
      <c r="L3062" s="7" t="s">
        <v>3814</v>
      </c>
      <c r="M3062" s="8">
        <v>1011187</v>
      </c>
      <c r="N3062" s="8" t="str">
        <f t="shared" si="236"/>
        <v>PEN</v>
      </c>
      <c r="O3062" s="13">
        <v>118</v>
      </c>
      <c r="P3062" s="13"/>
      <c r="Q3062" s="3">
        <f t="shared" si="237"/>
        <v>0</v>
      </c>
      <c r="R3062" s="3">
        <f t="shared" si="238"/>
        <v>0</v>
      </c>
      <c r="S3062" s="3">
        <f t="shared" si="239"/>
        <v>29713.579999999994</v>
      </c>
      <c r="T3062" s="24" t="s">
        <v>1081</v>
      </c>
      <c r="U3062" s="24" t="s">
        <v>1081</v>
      </c>
      <c r="V3062" s="69"/>
      <c r="W3062" s="25">
        <f>IFERROR(VLOOKUP(BCP_Soles[[#This Row],[DESTINATARIO]],CHOOSE({1,2},Clientes_Proveedores[Razon Social],Clientes_Proveedores[Ruc / Dni]),2,0),"")</f>
        <v>20605447814</v>
      </c>
      <c r="X3062" s="25"/>
      <c r="Y3062" s="25"/>
      <c r="Z3062" s="25"/>
      <c r="AA3062" s="101" t="s">
        <v>3385</v>
      </c>
      <c r="AB3062" s="3" t="str">
        <f>IF(BCP_Soles[[#This Row],[FECHA]]&gt;0,TEXT(BCP_Soles[[#This Row],[FECHA]],"mmmm"),0)</f>
        <v>Agosto</v>
      </c>
    </row>
    <row r="3063" spans="2:28" ht="24" x14ac:dyDescent="0.3">
      <c r="B3063" s="2">
        <f>IF(BCP_Soles[[#This Row],[TIPO DE R.]]="R",COUNTIFS($D$4:$D3062,"R")+1,"")</f>
        <v>2138</v>
      </c>
      <c r="C3063" s="19" t="str">
        <f t="shared" si="235"/>
        <v>B-BCP - Soles</v>
      </c>
      <c r="D3063" s="3" t="s">
        <v>1074</v>
      </c>
      <c r="E3063" s="14">
        <v>45874</v>
      </c>
      <c r="F3063" s="5" t="s">
        <v>1078</v>
      </c>
      <c r="G3063" s="5" t="s">
        <v>1079</v>
      </c>
      <c r="H3063" s="6" t="s">
        <v>1001</v>
      </c>
      <c r="I3063" s="6" t="s">
        <v>14</v>
      </c>
      <c r="J3063" s="6" t="s">
        <v>3128</v>
      </c>
      <c r="K3063" s="6">
        <v>35455361</v>
      </c>
      <c r="L3063" s="7" t="s">
        <v>1141</v>
      </c>
      <c r="M3063" s="8">
        <v>776</v>
      </c>
      <c r="N3063" s="8" t="str">
        <f t="shared" si="236"/>
        <v>PEN</v>
      </c>
      <c r="O3063" s="13"/>
      <c r="P3063" s="13">
        <v>10</v>
      </c>
      <c r="Q3063" s="3">
        <f t="shared" si="237"/>
        <v>0</v>
      </c>
      <c r="R3063" s="3">
        <f t="shared" si="238"/>
        <v>10</v>
      </c>
      <c r="S3063" s="3">
        <f t="shared" si="239"/>
        <v>29703.579999999994</v>
      </c>
      <c r="T3063" s="24" t="s">
        <v>1081</v>
      </c>
      <c r="U3063" s="24" t="s">
        <v>1081</v>
      </c>
      <c r="V3063" s="69"/>
      <c r="W3063" s="25">
        <f>IFERROR(VLOOKUP(BCP_Soles[[#This Row],[DESTINATARIO]],CHOOSE({1,2},Clientes_Proveedores[Razon Social],Clientes_Proveedores[Ruc / Dni]),2,0),"")</f>
        <v>20100047218</v>
      </c>
      <c r="X3063" s="25"/>
      <c r="Y3063" s="25"/>
      <c r="Z3063" s="25"/>
      <c r="AA3063" s="101"/>
      <c r="AB3063" s="3" t="str">
        <f>IF(BCP_Soles[[#This Row],[FECHA]]&gt;0,TEXT(BCP_Soles[[#This Row],[FECHA]],"mmmm"),0)</f>
        <v>Agosto</v>
      </c>
    </row>
    <row r="3064" spans="2:28" x14ac:dyDescent="0.3">
      <c r="B3064" s="2">
        <f>IF(BCP_Soles[[#This Row],[TIPO DE R.]]="R",COUNTIFS($D$4:$D3063,"R")+1,"")</f>
        <v>2139</v>
      </c>
      <c r="C3064" s="19" t="str">
        <f t="shared" si="235"/>
        <v>B-BCP - Soles</v>
      </c>
      <c r="D3064" s="3" t="s">
        <v>1074</v>
      </c>
      <c r="E3064" s="14">
        <v>45875</v>
      </c>
      <c r="F3064" s="5" t="s">
        <v>1078</v>
      </c>
      <c r="G3064" s="5" t="s">
        <v>1079</v>
      </c>
      <c r="H3064" s="6"/>
      <c r="I3064" s="6"/>
      <c r="J3064" s="6"/>
      <c r="K3064" s="6"/>
      <c r="L3064" s="7" t="s">
        <v>2868</v>
      </c>
      <c r="M3064" s="8"/>
      <c r="N3064" s="8" t="str">
        <f t="shared" si="236"/>
        <v>PEN</v>
      </c>
      <c r="O3064" s="13"/>
      <c r="P3064" s="13">
        <v>0.45</v>
      </c>
      <c r="Q3064" s="3">
        <f t="shared" si="237"/>
        <v>0</v>
      </c>
      <c r="R3064" s="3">
        <f t="shared" si="238"/>
        <v>0.45</v>
      </c>
      <c r="S3064" s="3">
        <f t="shared" si="239"/>
        <v>29703.129999999994</v>
      </c>
      <c r="T3064" s="24"/>
      <c r="U3064" s="24"/>
      <c r="V3064" s="69"/>
      <c r="W3064" s="25" t="str">
        <f>IFERROR(VLOOKUP(BCP_Soles[[#This Row],[DESTINATARIO]],CHOOSE({1,2},Clientes_Proveedores[Razon Social],Clientes_Proveedores[Ruc / Dni]),2,0),"")</f>
        <v/>
      </c>
      <c r="X3064" s="25"/>
      <c r="Y3064" s="25"/>
      <c r="Z3064" s="25"/>
      <c r="AA3064" s="101"/>
      <c r="AB3064" s="3" t="str">
        <f>IF(BCP_Soles[[#This Row],[FECHA]]&gt;0,TEXT(BCP_Soles[[#This Row],[FECHA]],"mmmm"),0)</f>
        <v>Agosto</v>
      </c>
    </row>
    <row r="3065" spans="2:28" x14ac:dyDescent="0.3">
      <c r="B3065" s="2">
        <f>IF(BCP_Soles[[#This Row],[TIPO DE R.]]="R",COUNTIFS($D$4:$D3064,"R")+1,"")</f>
        <v>2140</v>
      </c>
      <c r="C3065" s="19" t="str">
        <f t="shared" si="235"/>
        <v>B-BCP - Soles</v>
      </c>
      <c r="D3065" s="3" t="s">
        <v>1074</v>
      </c>
      <c r="E3065" s="14">
        <v>45876</v>
      </c>
      <c r="F3065" s="5" t="s">
        <v>289</v>
      </c>
      <c r="G3065" s="5" t="s">
        <v>1087</v>
      </c>
      <c r="H3065" s="6" t="s">
        <v>368</v>
      </c>
      <c r="I3065" s="6"/>
      <c r="J3065" s="6"/>
      <c r="K3065" s="6"/>
      <c r="L3065" s="7" t="s">
        <v>3815</v>
      </c>
      <c r="M3065" s="8">
        <v>9487456</v>
      </c>
      <c r="N3065" s="8" t="str">
        <f t="shared" si="236"/>
        <v>PEN</v>
      </c>
      <c r="O3065" s="13"/>
      <c r="P3065" s="13">
        <v>21782.38</v>
      </c>
      <c r="Q3065" s="3">
        <f t="shared" si="237"/>
        <v>21782.38</v>
      </c>
      <c r="R3065" s="3">
        <f t="shared" si="238"/>
        <v>0</v>
      </c>
      <c r="S3065" s="3">
        <f t="shared" si="239"/>
        <v>51485.509999999995</v>
      </c>
      <c r="T3065" s="24" t="s">
        <v>1081</v>
      </c>
      <c r="U3065" s="24" t="s">
        <v>1081</v>
      </c>
      <c r="V3065" s="69"/>
      <c r="W3065" s="25">
        <f>IFERROR(VLOOKUP(BCP_Soles[[#This Row],[DESTINATARIO]],CHOOSE({1,2},Clientes_Proveedores[Razon Social],Clientes_Proveedores[Ruc / Dni]),2,0),"")</f>
        <v>20558226979</v>
      </c>
      <c r="X3065" s="25"/>
      <c r="Y3065" s="25"/>
      <c r="Z3065" s="25"/>
      <c r="AA3065" s="101"/>
      <c r="AB3065" s="3" t="str">
        <f>IF(BCP_Soles[[#This Row],[FECHA]]&gt;0,TEXT(BCP_Soles[[#This Row],[FECHA]],"mmmm"),0)</f>
        <v>Agosto</v>
      </c>
    </row>
    <row r="3066" spans="2:28" x14ac:dyDescent="0.3">
      <c r="B3066" s="2" t="str">
        <f>IF(BCP_Soles[[#This Row],[TIPO DE R.]]="R",COUNTIFS($D$4:$D3065,"R")+1,"")</f>
        <v/>
      </c>
      <c r="C3066" s="19" t="str">
        <f t="shared" si="235"/>
        <v>B-BCP - Soles</v>
      </c>
      <c r="D3066" s="3" t="s">
        <v>1101</v>
      </c>
      <c r="E3066" s="14">
        <v>45876</v>
      </c>
      <c r="F3066" s="5"/>
      <c r="G3066" s="5"/>
      <c r="H3066" s="6" t="s">
        <v>289</v>
      </c>
      <c r="I3066" s="6" t="s">
        <v>14</v>
      </c>
      <c r="J3066" s="6" t="s">
        <v>1521</v>
      </c>
      <c r="K3066" s="6">
        <v>161</v>
      </c>
      <c r="L3066" s="7" t="s">
        <v>3815</v>
      </c>
      <c r="M3066" s="8">
        <v>9487456</v>
      </c>
      <c r="N3066" s="8" t="str">
        <f t="shared" si="236"/>
        <v>PEN</v>
      </c>
      <c r="O3066" s="13">
        <v>454.07</v>
      </c>
      <c r="P3066" s="13"/>
      <c r="Q3066" s="3">
        <f t="shared" si="237"/>
        <v>0</v>
      </c>
      <c r="R3066" s="3">
        <f t="shared" si="238"/>
        <v>0</v>
      </c>
      <c r="S3066" s="3">
        <f t="shared" si="239"/>
        <v>51485.509999999995</v>
      </c>
      <c r="T3066" s="24" t="s">
        <v>1081</v>
      </c>
      <c r="U3066" s="24" t="s">
        <v>1081</v>
      </c>
      <c r="V3066" s="69"/>
      <c r="W3066" s="25">
        <f>IFERROR(VLOOKUP(BCP_Soles[[#This Row],[DESTINATARIO]],CHOOSE({1,2},Clientes_Proveedores[Razon Social],Clientes_Proveedores[Ruc / Dni]),2,0),"")</f>
        <v>20505675836</v>
      </c>
      <c r="X3066" s="25"/>
      <c r="Y3066" s="25"/>
      <c r="Z3066" s="25"/>
      <c r="AA3066" s="101"/>
      <c r="AB3066" s="3" t="str">
        <f>IF(BCP_Soles[[#This Row],[FECHA]]&gt;0,TEXT(BCP_Soles[[#This Row],[FECHA]],"mmmm"),0)</f>
        <v>Agosto</v>
      </c>
    </row>
    <row r="3067" spans="2:28" x14ac:dyDescent="0.3">
      <c r="B3067" s="2" t="str">
        <f>IF(BCP_Soles[[#This Row],[TIPO DE R.]]="R",COUNTIFS($D$4:$D3066,"R")+1,"")</f>
        <v/>
      </c>
      <c r="C3067" s="19" t="str">
        <f t="shared" si="235"/>
        <v>B-BCP - Soles</v>
      </c>
      <c r="D3067" s="3" t="s">
        <v>1101</v>
      </c>
      <c r="E3067" s="14">
        <v>45876</v>
      </c>
      <c r="F3067" s="5"/>
      <c r="G3067" s="5"/>
      <c r="H3067" s="6" t="s">
        <v>289</v>
      </c>
      <c r="I3067" s="6" t="s">
        <v>14</v>
      </c>
      <c r="J3067" s="6" t="s">
        <v>1521</v>
      </c>
      <c r="K3067" s="6">
        <v>162</v>
      </c>
      <c r="L3067" s="7" t="s">
        <v>3815</v>
      </c>
      <c r="M3067" s="8">
        <v>9487456</v>
      </c>
      <c r="N3067" s="8" t="str">
        <f t="shared" si="236"/>
        <v>PEN</v>
      </c>
      <c r="O3067" s="13">
        <v>4071.76</v>
      </c>
      <c r="P3067" s="13"/>
      <c r="Q3067" s="3">
        <f t="shared" si="237"/>
        <v>0</v>
      </c>
      <c r="R3067" s="3">
        <f t="shared" si="238"/>
        <v>0</v>
      </c>
      <c r="S3067" s="3">
        <f t="shared" si="239"/>
        <v>51485.509999999995</v>
      </c>
      <c r="T3067" s="24" t="s">
        <v>1081</v>
      </c>
      <c r="U3067" s="24" t="s">
        <v>1081</v>
      </c>
      <c r="V3067" s="69"/>
      <c r="W3067" s="25">
        <f>IFERROR(VLOOKUP(BCP_Soles[[#This Row],[DESTINATARIO]],CHOOSE({1,2},Clientes_Proveedores[Razon Social],Clientes_Proveedores[Ruc / Dni]),2,0),"")</f>
        <v>20505675836</v>
      </c>
      <c r="X3067" s="25"/>
      <c r="Y3067" s="25"/>
      <c r="Z3067" s="25"/>
      <c r="AA3067" s="101"/>
      <c r="AB3067" s="3" t="str">
        <f>IF(BCP_Soles[[#This Row],[FECHA]]&gt;0,TEXT(BCP_Soles[[#This Row],[FECHA]],"mmmm"),0)</f>
        <v>Agosto</v>
      </c>
    </row>
    <row r="3068" spans="2:28" x14ac:dyDescent="0.3">
      <c r="B3068" s="2" t="str">
        <f>IF(BCP_Soles[[#This Row],[TIPO DE R.]]="R",COUNTIFS($D$4:$D3067,"R")+1,"")</f>
        <v/>
      </c>
      <c r="C3068" s="19" t="str">
        <f t="shared" si="235"/>
        <v>B-BCP - Soles</v>
      </c>
      <c r="D3068" s="3" t="s">
        <v>1101</v>
      </c>
      <c r="E3068" s="14">
        <v>45876</v>
      </c>
      <c r="F3068" s="5"/>
      <c r="G3068" s="5"/>
      <c r="H3068" s="6" t="s">
        <v>289</v>
      </c>
      <c r="I3068" s="6" t="s">
        <v>14</v>
      </c>
      <c r="J3068" s="6" t="s">
        <v>1521</v>
      </c>
      <c r="K3068" s="6">
        <v>163</v>
      </c>
      <c r="L3068" s="7" t="s">
        <v>3815</v>
      </c>
      <c r="M3068" s="8">
        <v>9487456</v>
      </c>
      <c r="N3068" s="8" t="str">
        <f t="shared" si="236"/>
        <v>PEN</v>
      </c>
      <c r="O3068" s="13">
        <v>3519.7</v>
      </c>
      <c r="P3068" s="13"/>
      <c r="Q3068" s="3">
        <f t="shared" si="237"/>
        <v>0</v>
      </c>
      <c r="R3068" s="3">
        <f t="shared" si="238"/>
        <v>0</v>
      </c>
      <c r="S3068" s="3">
        <f t="shared" si="239"/>
        <v>51485.509999999995</v>
      </c>
      <c r="T3068" s="24" t="s">
        <v>1081</v>
      </c>
      <c r="U3068" s="24" t="s">
        <v>1081</v>
      </c>
      <c r="V3068" s="69"/>
      <c r="W3068" s="25">
        <f>IFERROR(VLOOKUP(BCP_Soles[[#This Row],[DESTINATARIO]],CHOOSE({1,2},Clientes_Proveedores[Razon Social],Clientes_Proveedores[Ruc / Dni]),2,0),"")</f>
        <v>20505675836</v>
      </c>
      <c r="X3068" s="25"/>
      <c r="Y3068" s="25"/>
      <c r="Z3068" s="25"/>
      <c r="AA3068" s="101"/>
      <c r="AB3068" s="3" t="str">
        <f>IF(BCP_Soles[[#This Row],[FECHA]]&gt;0,TEXT(BCP_Soles[[#This Row],[FECHA]],"mmmm"),0)</f>
        <v>Agosto</v>
      </c>
    </row>
    <row r="3069" spans="2:28" x14ac:dyDescent="0.3">
      <c r="B3069" s="2" t="str">
        <f>IF(BCP_Soles[[#This Row],[TIPO DE R.]]="R",COUNTIFS($D$4:$D3068,"R")+1,"")</f>
        <v/>
      </c>
      <c r="C3069" s="19" t="str">
        <f t="shared" si="235"/>
        <v>B-BCP - Soles</v>
      </c>
      <c r="D3069" s="3" t="s">
        <v>1101</v>
      </c>
      <c r="E3069" s="14">
        <v>45876</v>
      </c>
      <c r="F3069" s="5"/>
      <c r="G3069" s="5"/>
      <c r="H3069" s="6" t="s">
        <v>289</v>
      </c>
      <c r="I3069" s="6" t="s">
        <v>14</v>
      </c>
      <c r="J3069" s="6" t="s">
        <v>1521</v>
      </c>
      <c r="K3069" s="6">
        <v>164</v>
      </c>
      <c r="L3069" s="7" t="s">
        <v>3815</v>
      </c>
      <c r="M3069" s="8">
        <v>9487456</v>
      </c>
      <c r="N3069" s="8" t="str">
        <f t="shared" si="236"/>
        <v>PEN</v>
      </c>
      <c r="O3069" s="13">
        <v>7571.39</v>
      </c>
      <c r="P3069" s="13"/>
      <c r="Q3069" s="3">
        <f t="shared" si="237"/>
        <v>0</v>
      </c>
      <c r="R3069" s="3">
        <f t="shared" si="238"/>
        <v>0</v>
      </c>
      <c r="S3069" s="3">
        <f t="shared" si="239"/>
        <v>51485.509999999995</v>
      </c>
      <c r="T3069" s="24" t="s">
        <v>1081</v>
      </c>
      <c r="U3069" s="24" t="s">
        <v>1081</v>
      </c>
      <c r="V3069" s="69"/>
      <c r="W3069" s="25">
        <f>IFERROR(VLOOKUP(BCP_Soles[[#This Row],[DESTINATARIO]],CHOOSE({1,2},Clientes_Proveedores[Razon Social],Clientes_Proveedores[Ruc / Dni]),2,0),"")</f>
        <v>20505675836</v>
      </c>
      <c r="X3069" s="25"/>
      <c r="Y3069" s="25"/>
      <c r="Z3069" s="25"/>
      <c r="AA3069" s="101"/>
      <c r="AB3069" s="3" t="str">
        <f>IF(BCP_Soles[[#This Row],[FECHA]]&gt;0,TEXT(BCP_Soles[[#This Row],[FECHA]],"mmmm"),0)</f>
        <v>Agosto</v>
      </c>
    </row>
    <row r="3070" spans="2:28" x14ac:dyDescent="0.3">
      <c r="B3070" s="2" t="str">
        <f>IF(BCP_Soles[[#This Row],[TIPO DE R.]]="R",COUNTIFS($D$4:$D3069,"R")+1,"")</f>
        <v/>
      </c>
      <c r="C3070" s="19" t="str">
        <f t="shared" si="235"/>
        <v>B-BCP - Soles</v>
      </c>
      <c r="D3070" s="3" t="s">
        <v>1101</v>
      </c>
      <c r="E3070" s="14">
        <v>45876</v>
      </c>
      <c r="F3070" s="5"/>
      <c r="G3070" s="5"/>
      <c r="H3070" s="6" t="s">
        <v>289</v>
      </c>
      <c r="I3070" s="6" t="s">
        <v>14</v>
      </c>
      <c r="J3070" s="6" t="s">
        <v>1521</v>
      </c>
      <c r="K3070" s="6">
        <v>165</v>
      </c>
      <c r="L3070" s="7" t="s">
        <v>3815</v>
      </c>
      <c r="M3070" s="8">
        <v>9487456</v>
      </c>
      <c r="N3070" s="8" t="str">
        <f t="shared" si="236"/>
        <v>PEN</v>
      </c>
      <c r="O3070" s="13">
        <v>5711.39</v>
      </c>
      <c r="P3070" s="13"/>
      <c r="Q3070" s="3">
        <f t="shared" si="237"/>
        <v>0</v>
      </c>
      <c r="R3070" s="3">
        <f t="shared" si="238"/>
        <v>0</v>
      </c>
      <c r="S3070" s="3">
        <f t="shared" si="239"/>
        <v>51485.509999999995</v>
      </c>
      <c r="T3070" s="24" t="s">
        <v>1081</v>
      </c>
      <c r="U3070" s="24" t="s">
        <v>1081</v>
      </c>
      <c r="V3070" s="69"/>
      <c r="W3070" s="25">
        <f>IFERROR(VLOOKUP(BCP_Soles[[#This Row],[DESTINATARIO]],CHOOSE({1,2},Clientes_Proveedores[Razon Social],Clientes_Proveedores[Ruc / Dni]),2,0),"")</f>
        <v>20505675836</v>
      </c>
      <c r="X3070" s="25"/>
      <c r="Y3070" s="25"/>
      <c r="Z3070" s="25"/>
      <c r="AA3070" s="101"/>
      <c r="AB3070" s="3" t="str">
        <f>IF(BCP_Soles[[#This Row],[FECHA]]&gt;0,TEXT(BCP_Soles[[#This Row],[FECHA]],"mmmm"),0)</f>
        <v>Agosto</v>
      </c>
    </row>
    <row r="3071" spans="2:28" x14ac:dyDescent="0.3">
      <c r="B3071" s="2" t="str">
        <f>IF(BCP_Soles[[#This Row],[TIPO DE R.]]="R",COUNTIFS($D$4:$D3070,"R")+1,"")</f>
        <v/>
      </c>
      <c r="C3071" s="19" t="str">
        <f t="shared" si="235"/>
        <v>B-BCP - Soles</v>
      </c>
      <c r="D3071" s="3" t="s">
        <v>1101</v>
      </c>
      <c r="E3071" s="14">
        <v>45876</v>
      </c>
      <c r="F3071" s="5"/>
      <c r="G3071" s="5"/>
      <c r="H3071" s="6" t="s">
        <v>289</v>
      </c>
      <c r="I3071" s="6" t="s">
        <v>14</v>
      </c>
      <c r="J3071" s="6" t="s">
        <v>1521</v>
      </c>
      <c r="K3071" s="6">
        <v>170</v>
      </c>
      <c r="L3071" s="7" t="s">
        <v>3815</v>
      </c>
      <c r="M3071" s="8">
        <v>9487456</v>
      </c>
      <c r="N3071" s="8" t="str">
        <f t="shared" si="236"/>
        <v>PEN</v>
      </c>
      <c r="O3071" s="13">
        <v>454.07</v>
      </c>
      <c r="P3071" s="13"/>
      <c r="Q3071" s="3">
        <f t="shared" si="237"/>
        <v>0</v>
      </c>
      <c r="R3071" s="3">
        <f t="shared" si="238"/>
        <v>0</v>
      </c>
      <c r="S3071" s="3">
        <f t="shared" si="239"/>
        <v>51485.509999999995</v>
      </c>
      <c r="T3071" s="24" t="s">
        <v>1081</v>
      </c>
      <c r="U3071" s="24" t="s">
        <v>1081</v>
      </c>
      <c r="V3071" s="69"/>
      <c r="W3071" s="25">
        <f>IFERROR(VLOOKUP(BCP_Soles[[#This Row],[DESTINATARIO]],CHOOSE({1,2},Clientes_Proveedores[Razon Social],Clientes_Proveedores[Ruc / Dni]),2,0),"")</f>
        <v>20505675836</v>
      </c>
      <c r="X3071" s="25"/>
      <c r="Y3071" s="25"/>
      <c r="Z3071" s="25"/>
      <c r="AA3071" s="101"/>
      <c r="AB3071" s="3" t="str">
        <f>IF(BCP_Soles[[#This Row],[FECHA]]&gt;0,TEXT(BCP_Soles[[#This Row],[FECHA]],"mmmm"),0)</f>
        <v>Agosto</v>
      </c>
    </row>
    <row r="3072" spans="2:28" ht="36" x14ac:dyDescent="0.3">
      <c r="B3072" s="2">
        <f>IF(BCP_Soles[[#This Row],[TIPO DE R.]]="R",COUNTIFS($D$4:$D3071,"R")+1,"")</f>
        <v>2141</v>
      </c>
      <c r="C3072" s="19" t="str">
        <f t="shared" si="235"/>
        <v>B-BCP - Soles</v>
      </c>
      <c r="D3072" s="3" t="s">
        <v>1074</v>
      </c>
      <c r="E3072" s="14">
        <v>45876</v>
      </c>
      <c r="F3072" s="5" t="s">
        <v>1368</v>
      </c>
      <c r="G3072" s="5" t="s">
        <v>1087</v>
      </c>
      <c r="H3072" s="6" t="s">
        <v>368</v>
      </c>
      <c r="I3072" s="6" t="s">
        <v>63</v>
      </c>
      <c r="J3072" s="6">
        <v>2</v>
      </c>
      <c r="K3072" s="6">
        <v>823</v>
      </c>
      <c r="L3072" s="7" t="s">
        <v>1100</v>
      </c>
      <c r="M3072" s="8">
        <v>2405906</v>
      </c>
      <c r="N3072" s="8" t="str">
        <f t="shared" si="236"/>
        <v>PEN</v>
      </c>
      <c r="O3072" s="13"/>
      <c r="P3072" s="13">
        <v>2760</v>
      </c>
      <c r="Q3072" s="3">
        <f t="shared" si="237"/>
        <v>2760</v>
      </c>
      <c r="R3072" s="3">
        <f t="shared" si="238"/>
        <v>0</v>
      </c>
      <c r="S3072" s="3">
        <f t="shared" si="239"/>
        <v>54245.509999999995</v>
      </c>
      <c r="T3072" s="24" t="s">
        <v>1081</v>
      </c>
      <c r="U3072" s="24"/>
      <c r="V3072" s="69"/>
      <c r="W3072" s="25">
        <f>IFERROR(VLOOKUP(BCP_Soles[[#This Row],[DESTINATARIO]],CHOOSE({1,2},Clientes_Proveedores[Razon Social],Clientes_Proveedores[Ruc / Dni]),2,0),"")</f>
        <v>20558226979</v>
      </c>
      <c r="X3072" s="25"/>
      <c r="Y3072" s="25"/>
      <c r="Z3072" s="25"/>
      <c r="AA3072" s="101"/>
      <c r="AB3072" s="3" t="str">
        <f>IF(BCP_Soles[[#This Row],[FECHA]]&gt;0,TEXT(BCP_Soles[[#This Row],[FECHA]],"mmmm"),0)</f>
        <v>Agosto</v>
      </c>
    </row>
    <row r="3073" spans="2:28" ht="24" x14ac:dyDescent="0.3">
      <c r="B3073" s="2">
        <f>IF(BCP_Soles[[#This Row],[TIPO DE R.]]="R",COUNTIFS($D$4:$D3072,"R")+1,"")</f>
        <v>2142</v>
      </c>
      <c r="C3073" s="19" t="str">
        <f t="shared" si="235"/>
        <v>B-BCP - Soles</v>
      </c>
      <c r="D3073" s="3" t="s">
        <v>1074</v>
      </c>
      <c r="E3073" s="14">
        <v>45876</v>
      </c>
      <c r="F3073" s="5" t="s">
        <v>3816</v>
      </c>
      <c r="G3073" s="5" t="s">
        <v>1087</v>
      </c>
      <c r="H3073" s="6" t="s">
        <v>368</v>
      </c>
      <c r="I3073" s="6" t="s">
        <v>63</v>
      </c>
      <c r="J3073" s="6">
        <v>1</v>
      </c>
      <c r="K3073" s="6">
        <v>4587</v>
      </c>
      <c r="L3073" s="7" t="s">
        <v>1100</v>
      </c>
      <c r="M3073" s="8">
        <v>432883</v>
      </c>
      <c r="N3073" s="8" t="str">
        <f t="shared" si="236"/>
        <v>PEN</v>
      </c>
      <c r="O3073" s="13"/>
      <c r="P3073" s="13">
        <v>1000</v>
      </c>
      <c r="Q3073" s="3">
        <f t="shared" si="237"/>
        <v>1000</v>
      </c>
      <c r="R3073" s="3">
        <f t="shared" si="238"/>
        <v>0</v>
      </c>
      <c r="S3073" s="3">
        <f t="shared" si="239"/>
        <v>55245.509999999995</v>
      </c>
      <c r="T3073" s="24" t="s">
        <v>1081</v>
      </c>
      <c r="U3073" s="24"/>
      <c r="V3073" s="69"/>
      <c r="W3073" s="25">
        <f>IFERROR(VLOOKUP(BCP_Soles[[#This Row],[DESTINATARIO]],CHOOSE({1,2},Clientes_Proveedores[Razon Social],Clientes_Proveedores[Ruc / Dni]),2,0),"")</f>
        <v>20558226979</v>
      </c>
      <c r="X3073" s="25"/>
      <c r="Y3073" s="25"/>
      <c r="Z3073" s="25"/>
      <c r="AA3073" s="101"/>
      <c r="AB3073" s="3" t="str">
        <f>IF(BCP_Soles[[#This Row],[FECHA]]&gt;0,TEXT(BCP_Soles[[#This Row],[FECHA]],"mmmm"),0)</f>
        <v>Agosto</v>
      </c>
    </row>
    <row r="3074" spans="2:28" ht="24" x14ac:dyDescent="0.3">
      <c r="B3074" s="2">
        <f>IF(BCP_Soles[[#This Row],[TIPO DE R.]]="R",COUNTIFS($D$4:$D3073,"R")+1,"")</f>
        <v>2143</v>
      </c>
      <c r="C3074" s="19" t="str">
        <f t="shared" si="235"/>
        <v>B-BCP - Soles</v>
      </c>
      <c r="D3074" s="3" t="s">
        <v>1074</v>
      </c>
      <c r="E3074" s="14">
        <v>45876</v>
      </c>
      <c r="F3074" s="5" t="s">
        <v>252</v>
      </c>
      <c r="G3074" s="5" t="s">
        <v>1087</v>
      </c>
      <c r="H3074" s="6" t="s">
        <v>368</v>
      </c>
      <c r="I3074" s="6" t="s">
        <v>63</v>
      </c>
      <c r="J3074" s="6">
        <v>1</v>
      </c>
      <c r="K3074" s="6">
        <v>3978</v>
      </c>
      <c r="L3074" s="7" t="s">
        <v>1100</v>
      </c>
      <c r="M3074" s="8">
        <v>4618763</v>
      </c>
      <c r="N3074" s="8" t="str">
        <f t="shared" si="236"/>
        <v>PEN</v>
      </c>
      <c r="O3074" s="13"/>
      <c r="P3074" s="13">
        <v>6947.5</v>
      </c>
      <c r="Q3074" s="3">
        <f t="shared" si="237"/>
        <v>6947.5</v>
      </c>
      <c r="R3074" s="3">
        <f t="shared" si="238"/>
        <v>0</v>
      </c>
      <c r="S3074" s="3">
        <f t="shared" si="239"/>
        <v>62193.009999999995</v>
      </c>
      <c r="T3074" s="24" t="s">
        <v>1081</v>
      </c>
      <c r="U3074" s="24"/>
      <c r="V3074" s="69"/>
      <c r="W3074" s="25">
        <f>IFERROR(VLOOKUP(BCP_Soles[[#This Row],[DESTINATARIO]],CHOOSE({1,2},Clientes_Proveedores[Razon Social],Clientes_Proveedores[Ruc / Dni]),2,0),"")</f>
        <v>20558226979</v>
      </c>
      <c r="X3074" s="25"/>
      <c r="Y3074" s="25"/>
      <c r="Z3074" s="25"/>
      <c r="AA3074" s="101"/>
      <c r="AB3074" s="3" t="str">
        <f>IF(BCP_Soles[[#This Row],[FECHA]]&gt;0,TEXT(BCP_Soles[[#This Row],[FECHA]],"mmmm"),0)</f>
        <v>Agosto</v>
      </c>
    </row>
    <row r="3075" spans="2:28" x14ac:dyDescent="0.3">
      <c r="B3075" s="2">
        <f>IF(BCP_Soles[[#This Row],[TIPO DE R.]]="R",COUNTIFS($D$4:$D3074,"R")+1,"")</f>
        <v>2144</v>
      </c>
      <c r="C3075" s="19" t="str">
        <f t="shared" si="235"/>
        <v>B-BCP - Soles</v>
      </c>
      <c r="D3075" s="3" t="s">
        <v>1074</v>
      </c>
      <c r="E3075" s="14">
        <v>45876</v>
      </c>
      <c r="F3075" s="5" t="s">
        <v>3817</v>
      </c>
      <c r="G3075" s="5" t="s">
        <v>1087</v>
      </c>
      <c r="H3075" s="6" t="s">
        <v>368</v>
      </c>
      <c r="I3075" s="6"/>
      <c r="J3075" s="6"/>
      <c r="K3075" s="6"/>
      <c r="L3075" s="7" t="s">
        <v>1100</v>
      </c>
      <c r="M3075" s="8"/>
      <c r="N3075" s="8" t="str">
        <f t="shared" si="236"/>
        <v>PEN</v>
      </c>
      <c r="O3075" s="13"/>
      <c r="P3075" s="13">
        <v>75</v>
      </c>
      <c r="Q3075" s="3">
        <f t="shared" si="237"/>
        <v>75</v>
      </c>
      <c r="R3075" s="3">
        <f t="shared" si="238"/>
        <v>0</v>
      </c>
      <c r="S3075" s="3">
        <f t="shared" si="239"/>
        <v>62268.009999999995</v>
      </c>
      <c r="T3075" s="24"/>
      <c r="U3075" s="24"/>
      <c r="V3075" s="69"/>
      <c r="W3075" s="25">
        <f>IFERROR(VLOOKUP(BCP_Soles[[#This Row],[DESTINATARIO]],CHOOSE({1,2},Clientes_Proveedores[Razon Social],Clientes_Proveedores[Ruc / Dni]),2,0),"")</f>
        <v>20558226979</v>
      </c>
      <c r="X3075" s="25"/>
      <c r="Y3075" s="25"/>
      <c r="Z3075" s="25"/>
      <c r="AA3075" s="101"/>
      <c r="AB3075" s="3" t="str">
        <f>IF(BCP_Soles[[#This Row],[FECHA]]&gt;0,TEXT(BCP_Soles[[#This Row],[FECHA]],"mmmm"),0)</f>
        <v>Agosto</v>
      </c>
    </row>
    <row r="3076" spans="2:28" ht="24" x14ac:dyDescent="0.3">
      <c r="B3076" s="2">
        <f>IF(BCP_Soles[[#This Row],[TIPO DE R.]]="R",COUNTIFS($D$4:$D3075,"R")+1,"")</f>
        <v>2145</v>
      </c>
      <c r="C3076" s="19" t="str">
        <f t="shared" si="235"/>
        <v>B-BCP - Soles</v>
      </c>
      <c r="D3076" s="3" t="s">
        <v>1074</v>
      </c>
      <c r="E3076" s="14">
        <v>45876</v>
      </c>
      <c r="F3076" s="5" t="s">
        <v>1082</v>
      </c>
      <c r="G3076" s="5" t="s">
        <v>1079</v>
      </c>
      <c r="H3076" s="6" t="s">
        <v>807</v>
      </c>
      <c r="I3076" s="6" t="s">
        <v>87</v>
      </c>
      <c r="J3076" s="6">
        <v>1</v>
      </c>
      <c r="K3076" s="6">
        <v>532025</v>
      </c>
      <c r="L3076" s="7" t="s">
        <v>3818</v>
      </c>
      <c r="M3076" s="8">
        <v>1105375</v>
      </c>
      <c r="N3076" s="8" t="str">
        <f t="shared" si="236"/>
        <v>PEN</v>
      </c>
      <c r="O3076" s="13"/>
      <c r="P3076" s="13">
        <v>460</v>
      </c>
      <c r="Q3076" s="3">
        <f t="shared" si="237"/>
        <v>0</v>
      </c>
      <c r="R3076" s="3">
        <f t="shared" si="238"/>
        <v>460</v>
      </c>
      <c r="S3076" s="3">
        <f t="shared" si="239"/>
        <v>61808.009999999995</v>
      </c>
      <c r="T3076" s="24" t="s">
        <v>1081</v>
      </c>
      <c r="U3076" s="24" t="s">
        <v>1081</v>
      </c>
      <c r="V3076" s="103" t="s">
        <v>3819</v>
      </c>
      <c r="W3076" s="25">
        <f>IFERROR(VLOOKUP(BCP_Soles[[#This Row],[DESTINATARIO]],CHOOSE({1,2},Clientes_Proveedores[Razon Social],Clientes_Proveedores[Ruc / Dni]),2,0),"")</f>
        <v>45921913</v>
      </c>
      <c r="X3076" s="25"/>
      <c r="Y3076" s="25"/>
      <c r="Z3076" s="25"/>
      <c r="AA3076" s="101"/>
      <c r="AB3076" s="3" t="str">
        <f>IF(BCP_Soles[[#This Row],[FECHA]]&gt;0,TEXT(BCP_Soles[[#This Row],[FECHA]],"mmmm"),0)</f>
        <v>Agosto</v>
      </c>
    </row>
    <row r="3077" spans="2:28" ht="48" x14ac:dyDescent="0.3">
      <c r="B3077" s="2">
        <f>IF(BCP_Soles[[#This Row],[TIPO DE R.]]="R",COUNTIFS($D$4:$D3076,"R")+1,"")</f>
        <v>2146</v>
      </c>
      <c r="C3077" s="19" t="str">
        <f t="shared" ref="C3077:C3140" si="240">"B-BCP - Soles"</f>
        <v>B-BCP - Soles</v>
      </c>
      <c r="D3077" s="3" t="s">
        <v>1074</v>
      </c>
      <c r="E3077" s="14">
        <v>45876</v>
      </c>
      <c r="F3077" s="5" t="s">
        <v>1082</v>
      </c>
      <c r="G3077" s="5" t="s">
        <v>1079</v>
      </c>
      <c r="H3077" s="6" t="s">
        <v>444</v>
      </c>
      <c r="I3077" s="6" t="s">
        <v>14</v>
      </c>
      <c r="J3077" s="6" t="s">
        <v>1390</v>
      </c>
      <c r="K3077" s="6">
        <v>8620</v>
      </c>
      <c r="L3077" s="7" t="s">
        <v>3820</v>
      </c>
      <c r="M3077" s="8">
        <v>1053424</v>
      </c>
      <c r="N3077" s="8" t="str">
        <f t="shared" ref="N3077:N3140" si="241">"PEN"</f>
        <v>PEN</v>
      </c>
      <c r="O3077" s="13"/>
      <c r="P3077" s="13">
        <v>230</v>
      </c>
      <c r="Q3077" s="3">
        <f t="shared" ref="Q3077:Q3140" si="242">+IF(OR($G3077="SALDO",$G3077="INGRESO"),$P3077,0)</f>
        <v>0</v>
      </c>
      <c r="R3077" s="3">
        <f t="shared" ref="R3077:R3140" si="243">+IF($G3077="EGRESO",$P3077,0)</f>
        <v>230</v>
      </c>
      <c r="S3077" s="3">
        <f t="shared" ref="S3077:S3140" si="244">IFERROR(IF(G3077="SALDO",Q3077,S3076+Q3077-R3077),0)</f>
        <v>61578.009999999995</v>
      </c>
      <c r="T3077" s="24" t="s">
        <v>1081</v>
      </c>
      <c r="U3077" s="24" t="s">
        <v>1081</v>
      </c>
      <c r="V3077" s="103" t="s">
        <v>3821</v>
      </c>
      <c r="W3077" s="25">
        <f>IFERROR(VLOOKUP(BCP_Soles[[#This Row],[DESTINATARIO]],CHOOSE({1,2},Clientes_Proveedores[Razon Social],Clientes_Proveedores[Ruc / Dni]),2,0),"")</f>
        <v>20602978274</v>
      </c>
      <c r="X3077" s="25"/>
      <c r="Y3077" s="25"/>
      <c r="Z3077" s="25"/>
      <c r="AA3077" s="101"/>
      <c r="AB3077" s="3" t="str">
        <f>IF(BCP_Soles[[#This Row],[FECHA]]&gt;0,TEXT(BCP_Soles[[#This Row],[FECHA]],"mmmm"),0)</f>
        <v>Agosto</v>
      </c>
    </row>
    <row r="3078" spans="2:28" ht="48" x14ac:dyDescent="0.3">
      <c r="B3078" s="2">
        <f>IF(BCP_Soles[[#This Row],[TIPO DE R.]]="R",COUNTIFS($D$4:$D3077,"R")+1,"")</f>
        <v>2147</v>
      </c>
      <c r="C3078" s="19" t="str">
        <f t="shared" si="240"/>
        <v>B-BCP - Soles</v>
      </c>
      <c r="D3078" s="3" t="s">
        <v>1074</v>
      </c>
      <c r="E3078" s="14">
        <v>45876</v>
      </c>
      <c r="F3078" s="5" t="s">
        <v>1082</v>
      </c>
      <c r="G3078" s="5" t="s">
        <v>1079</v>
      </c>
      <c r="H3078" s="6" t="s">
        <v>444</v>
      </c>
      <c r="I3078" s="6" t="s">
        <v>14</v>
      </c>
      <c r="J3078" s="6" t="s">
        <v>1266</v>
      </c>
      <c r="K3078" s="6">
        <v>11207</v>
      </c>
      <c r="L3078" s="7" t="s">
        <v>3822</v>
      </c>
      <c r="M3078" s="8">
        <v>1053932</v>
      </c>
      <c r="N3078" s="8" t="str">
        <f t="shared" si="241"/>
        <v>PEN</v>
      </c>
      <c r="O3078" s="13"/>
      <c r="P3078" s="13">
        <v>262.89999999999998</v>
      </c>
      <c r="Q3078" s="3">
        <f t="shared" si="242"/>
        <v>0</v>
      </c>
      <c r="R3078" s="3">
        <f t="shared" si="243"/>
        <v>262.89999999999998</v>
      </c>
      <c r="S3078" s="3">
        <f t="shared" si="244"/>
        <v>61315.109999999993</v>
      </c>
      <c r="T3078" s="24" t="s">
        <v>1081</v>
      </c>
      <c r="U3078" s="24" t="s">
        <v>1081</v>
      </c>
      <c r="V3078" s="103" t="s">
        <v>3823</v>
      </c>
      <c r="W3078" s="25">
        <f>IFERROR(VLOOKUP(BCP_Soles[[#This Row],[DESTINATARIO]],CHOOSE({1,2},Clientes_Proveedores[Razon Social],Clientes_Proveedores[Ruc / Dni]),2,0),"")</f>
        <v>20602978274</v>
      </c>
      <c r="X3078" s="25"/>
      <c r="Y3078" s="25"/>
      <c r="Z3078" s="25"/>
      <c r="AA3078" s="101"/>
      <c r="AB3078" s="3" t="str">
        <f>IF(BCP_Soles[[#This Row],[FECHA]]&gt;0,TEXT(BCP_Soles[[#This Row],[FECHA]],"mmmm"),0)</f>
        <v>Agosto</v>
      </c>
    </row>
    <row r="3079" spans="2:28" x14ac:dyDescent="0.3">
      <c r="B3079" s="2">
        <f>IF(BCP_Soles[[#This Row],[TIPO DE R.]]="R",COUNTIFS($D$4:$D3078,"R")+1,"")</f>
        <v>2148</v>
      </c>
      <c r="C3079" s="19" t="str">
        <f t="shared" si="240"/>
        <v>B-BCP - Soles</v>
      </c>
      <c r="D3079" s="3" t="s">
        <v>1074</v>
      </c>
      <c r="E3079" s="14">
        <v>45876</v>
      </c>
      <c r="F3079" s="5" t="s">
        <v>1078</v>
      </c>
      <c r="G3079" s="5" t="s">
        <v>1079</v>
      </c>
      <c r="H3079" s="6"/>
      <c r="I3079" s="6"/>
      <c r="J3079" s="6"/>
      <c r="K3079" s="6"/>
      <c r="L3079" s="7" t="s">
        <v>2868</v>
      </c>
      <c r="M3079" s="8"/>
      <c r="N3079" s="8" t="str">
        <f t="shared" si="241"/>
        <v>PEN</v>
      </c>
      <c r="O3079" s="13"/>
      <c r="P3079" s="13">
        <v>1.5</v>
      </c>
      <c r="Q3079" s="3">
        <f t="shared" si="242"/>
        <v>0</v>
      </c>
      <c r="R3079" s="3">
        <f t="shared" si="243"/>
        <v>1.5</v>
      </c>
      <c r="S3079" s="3">
        <f t="shared" si="244"/>
        <v>61313.609999999993</v>
      </c>
      <c r="T3079" s="24"/>
      <c r="U3079" s="24"/>
      <c r="V3079" s="103"/>
      <c r="W3079" s="25" t="str">
        <f>IFERROR(VLOOKUP(BCP_Soles[[#This Row],[DESTINATARIO]],CHOOSE({1,2},Clientes_Proveedores[Razon Social],Clientes_Proveedores[Ruc / Dni]),2,0),"")</f>
        <v/>
      </c>
      <c r="X3079" s="25"/>
      <c r="Y3079" s="25"/>
      <c r="Z3079" s="25"/>
      <c r="AA3079" s="101"/>
      <c r="AB3079" s="3" t="str">
        <f>IF(BCP_Soles[[#This Row],[FECHA]]&gt;0,TEXT(BCP_Soles[[#This Row],[FECHA]],"mmmm"),0)</f>
        <v>Agosto</v>
      </c>
    </row>
    <row r="3080" spans="2:28" ht="36" x14ac:dyDescent="0.3">
      <c r="B3080" s="2">
        <f>IF(BCP_Soles[[#This Row],[TIPO DE R.]]="R",COUNTIFS($D$4:$D3079,"R")+1,"")</f>
        <v>2149</v>
      </c>
      <c r="C3080" s="19" t="str">
        <f t="shared" si="240"/>
        <v>B-BCP - Soles</v>
      </c>
      <c r="D3080" s="3" t="s">
        <v>1074</v>
      </c>
      <c r="E3080" s="14">
        <v>45876</v>
      </c>
      <c r="F3080" s="5" t="s">
        <v>497</v>
      </c>
      <c r="G3080" s="5" t="s">
        <v>1087</v>
      </c>
      <c r="H3080" s="6" t="s">
        <v>368</v>
      </c>
      <c r="I3080" s="6"/>
      <c r="J3080" s="6"/>
      <c r="K3080" s="6"/>
      <c r="L3080" s="7" t="s">
        <v>3824</v>
      </c>
      <c r="M3080" s="8">
        <v>9784782</v>
      </c>
      <c r="N3080" s="8" t="str">
        <f t="shared" si="241"/>
        <v>PEN</v>
      </c>
      <c r="O3080" s="13"/>
      <c r="P3080" s="13">
        <v>3727.53</v>
      </c>
      <c r="Q3080" s="3">
        <f t="shared" si="242"/>
        <v>3727.53</v>
      </c>
      <c r="R3080" s="3">
        <f t="shared" si="243"/>
        <v>0</v>
      </c>
      <c r="S3080" s="3">
        <f t="shared" si="244"/>
        <v>65041.139999999992</v>
      </c>
      <c r="T3080" s="24" t="s">
        <v>1081</v>
      </c>
      <c r="U3080" s="24" t="s">
        <v>1081</v>
      </c>
      <c r="V3080" s="103"/>
      <c r="W3080" s="25">
        <f>IFERROR(VLOOKUP(BCP_Soles[[#This Row],[DESTINATARIO]],CHOOSE({1,2},Clientes_Proveedores[Razon Social],Clientes_Proveedores[Ruc / Dni]),2,0),"")</f>
        <v>20558226979</v>
      </c>
      <c r="X3080" s="25"/>
      <c r="Y3080" s="25"/>
      <c r="Z3080" s="25"/>
      <c r="AA3080" s="101"/>
      <c r="AB3080" s="3" t="str">
        <f>IF(BCP_Soles[[#This Row],[FECHA]]&gt;0,TEXT(BCP_Soles[[#This Row],[FECHA]],"mmmm"),0)</f>
        <v>Agosto</v>
      </c>
    </row>
    <row r="3081" spans="2:28" ht="36" x14ac:dyDescent="0.3">
      <c r="B3081" s="2" t="str">
        <f>IF(BCP_Soles[[#This Row],[TIPO DE R.]]="R",COUNTIFS($D$4:$D3080,"R")+1,"")</f>
        <v/>
      </c>
      <c r="C3081" s="19" t="str">
        <f t="shared" si="240"/>
        <v>B-BCP - Soles</v>
      </c>
      <c r="D3081" s="3" t="s">
        <v>1101</v>
      </c>
      <c r="E3081" s="14">
        <v>45876</v>
      </c>
      <c r="F3081" s="5"/>
      <c r="G3081" s="5"/>
      <c r="H3081" s="6" t="s">
        <v>497</v>
      </c>
      <c r="I3081" s="6" t="s">
        <v>14</v>
      </c>
      <c r="J3081" s="6" t="s">
        <v>3091</v>
      </c>
      <c r="K3081" s="6">
        <v>51</v>
      </c>
      <c r="L3081" s="7" t="s">
        <v>3824</v>
      </c>
      <c r="M3081" s="8">
        <v>9784782</v>
      </c>
      <c r="N3081" s="8" t="str">
        <f t="shared" si="241"/>
        <v>PEN</v>
      </c>
      <c r="O3081" s="13">
        <v>622.19000000000005</v>
      </c>
      <c r="P3081" s="13"/>
      <c r="Q3081" s="3">
        <f t="shared" si="242"/>
        <v>0</v>
      </c>
      <c r="R3081" s="3">
        <f t="shared" si="243"/>
        <v>0</v>
      </c>
      <c r="S3081" s="3">
        <f t="shared" si="244"/>
        <v>65041.139999999992</v>
      </c>
      <c r="T3081" s="24" t="s">
        <v>1081</v>
      </c>
      <c r="U3081" s="24" t="s">
        <v>1081</v>
      </c>
      <c r="V3081" s="103"/>
      <c r="W3081" s="25">
        <f>IFERROR(VLOOKUP(BCP_Soles[[#This Row],[DESTINATARIO]],CHOOSE({1,2},Clientes_Proveedores[Razon Social],Clientes_Proveedores[Ruc / Dni]),2,0),"")</f>
        <v>20607388416</v>
      </c>
      <c r="X3081" s="25"/>
      <c r="Y3081" s="25"/>
      <c r="Z3081" s="25"/>
      <c r="AA3081" s="101"/>
      <c r="AB3081" s="3" t="str">
        <f>IF(BCP_Soles[[#This Row],[FECHA]]&gt;0,TEXT(BCP_Soles[[#This Row],[FECHA]],"mmmm"),0)</f>
        <v>Agosto</v>
      </c>
    </row>
    <row r="3082" spans="2:28" ht="36" x14ac:dyDescent="0.3">
      <c r="B3082" s="2" t="str">
        <f>IF(BCP_Soles[[#This Row],[TIPO DE R.]]="R",COUNTIFS($D$4:$D3081,"R")+1,"")</f>
        <v/>
      </c>
      <c r="C3082" s="19" t="str">
        <f t="shared" si="240"/>
        <v>B-BCP - Soles</v>
      </c>
      <c r="D3082" s="3" t="s">
        <v>1101</v>
      </c>
      <c r="E3082" s="14">
        <v>45876</v>
      </c>
      <c r="F3082" s="5"/>
      <c r="G3082" s="5"/>
      <c r="H3082" s="6" t="s">
        <v>497</v>
      </c>
      <c r="I3082" s="6" t="s">
        <v>14</v>
      </c>
      <c r="J3082" s="6" t="s">
        <v>3091</v>
      </c>
      <c r="K3082" s="6">
        <v>52</v>
      </c>
      <c r="L3082" s="7" t="s">
        <v>3824</v>
      </c>
      <c r="M3082" s="8">
        <v>9784782</v>
      </c>
      <c r="N3082" s="8" t="str">
        <f t="shared" si="241"/>
        <v>PEN</v>
      </c>
      <c r="O3082" s="13">
        <v>556.66</v>
      </c>
      <c r="P3082" s="13"/>
      <c r="Q3082" s="3">
        <f t="shared" si="242"/>
        <v>0</v>
      </c>
      <c r="R3082" s="3">
        <f t="shared" si="243"/>
        <v>0</v>
      </c>
      <c r="S3082" s="3">
        <f t="shared" si="244"/>
        <v>65041.139999999992</v>
      </c>
      <c r="T3082" s="24" t="s">
        <v>1081</v>
      </c>
      <c r="U3082" s="24" t="s">
        <v>1081</v>
      </c>
      <c r="V3082" s="103"/>
      <c r="W3082" s="25">
        <f>IFERROR(VLOOKUP(BCP_Soles[[#This Row],[DESTINATARIO]],CHOOSE({1,2},Clientes_Proveedores[Razon Social],Clientes_Proveedores[Ruc / Dni]),2,0),"")</f>
        <v>20607388416</v>
      </c>
      <c r="X3082" s="25"/>
      <c r="Y3082" s="25"/>
      <c r="Z3082" s="25"/>
      <c r="AA3082" s="101"/>
      <c r="AB3082" s="3" t="str">
        <f>IF(BCP_Soles[[#This Row],[FECHA]]&gt;0,TEXT(BCP_Soles[[#This Row],[FECHA]],"mmmm"),0)</f>
        <v>Agosto</v>
      </c>
    </row>
    <row r="3083" spans="2:28" ht="36" x14ac:dyDescent="0.3">
      <c r="B3083" s="2" t="str">
        <f>IF(BCP_Soles[[#This Row],[TIPO DE R.]]="R",COUNTIFS($D$4:$D3082,"R")+1,"")</f>
        <v/>
      </c>
      <c r="C3083" s="19" t="str">
        <f t="shared" si="240"/>
        <v>B-BCP - Soles</v>
      </c>
      <c r="D3083" s="3" t="s">
        <v>1101</v>
      </c>
      <c r="E3083" s="14">
        <v>45876</v>
      </c>
      <c r="F3083" s="5"/>
      <c r="G3083" s="5"/>
      <c r="H3083" s="6" t="s">
        <v>497</v>
      </c>
      <c r="I3083" s="6" t="s">
        <v>14</v>
      </c>
      <c r="J3083" s="6" t="s">
        <v>3091</v>
      </c>
      <c r="K3083" s="6">
        <v>53</v>
      </c>
      <c r="L3083" s="7" t="s">
        <v>3824</v>
      </c>
      <c r="M3083" s="8">
        <v>9784782</v>
      </c>
      <c r="N3083" s="8" t="str">
        <f t="shared" si="241"/>
        <v>PEN</v>
      </c>
      <c r="O3083" s="13">
        <v>1237.77</v>
      </c>
      <c r="P3083" s="13"/>
      <c r="Q3083" s="3">
        <f t="shared" si="242"/>
        <v>0</v>
      </c>
      <c r="R3083" s="3">
        <f t="shared" si="243"/>
        <v>0</v>
      </c>
      <c r="S3083" s="3">
        <f t="shared" si="244"/>
        <v>65041.139999999992</v>
      </c>
      <c r="T3083" s="24" t="s">
        <v>1081</v>
      </c>
      <c r="U3083" s="24" t="s">
        <v>1081</v>
      </c>
      <c r="V3083" s="103"/>
      <c r="W3083" s="25">
        <f>IFERROR(VLOOKUP(BCP_Soles[[#This Row],[DESTINATARIO]],CHOOSE({1,2},Clientes_Proveedores[Razon Social],Clientes_Proveedores[Ruc / Dni]),2,0),"")</f>
        <v>20607388416</v>
      </c>
      <c r="X3083" s="25"/>
      <c r="Y3083" s="25"/>
      <c r="Z3083" s="25"/>
      <c r="AA3083" s="101"/>
      <c r="AB3083" s="3" t="str">
        <f>IF(BCP_Soles[[#This Row],[FECHA]]&gt;0,TEXT(BCP_Soles[[#This Row],[FECHA]],"mmmm"),0)</f>
        <v>Agosto</v>
      </c>
    </row>
    <row r="3084" spans="2:28" ht="36" x14ac:dyDescent="0.3">
      <c r="B3084" s="2" t="str">
        <f>IF(BCP_Soles[[#This Row],[TIPO DE R.]]="R",COUNTIFS($D$4:$D3083,"R")+1,"")</f>
        <v/>
      </c>
      <c r="C3084" s="19" t="str">
        <f t="shared" si="240"/>
        <v>B-BCP - Soles</v>
      </c>
      <c r="D3084" s="3" t="s">
        <v>1101</v>
      </c>
      <c r="E3084" s="14">
        <v>45876</v>
      </c>
      <c r="F3084" s="5"/>
      <c r="G3084" s="5"/>
      <c r="H3084" s="6" t="s">
        <v>497</v>
      </c>
      <c r="I3084" s="6" t="s">
        <v>14</v>
      </c>
      <c r="J3084" s="6" t="s">
        <v>3091</v>
      </c>
      <c r="K3084" s="6">
        <v>54</v>
      </c>
      <c r="L3084" s="7" t="s">
        <v>3824</v>
      </c>
      <c r="M3084" s="8">
        <v>9784782</v>
      </c>
      <c r="N3084" s="8" t="str">
        <f t="shared" si="241"/>
        <v>PEN</v>
      </c>
      <c r="O3084" s="13">
        <v>1310.91</v>
      </c>
      <c r="P3084" s="13"/>
      <c r="Q3084" s="3">
        <f t="shared" si="242"/>
        <v>0</v>
      </c>
      <c r="R3084" s="3">
        <f t="shared" si="243"/>
        <v>0</v>
      </c>
      <c r="S3084" s="3">
        <f t="shared" si="244"/>
        <v>65041.139999999992</v>
      </c>
      <c r="T3084" s="24" t="s">
        <v>1081</v>
      </c>
      <c r="U3084" s="24" t="s">
        <v>1081</v>
      </c>
      <c r="V3084" s="103"/>
      <c r="W3084" s="25">
        <f>IFERROR(VLOOKUP(BCP_Soles[[#This Row],[DESTINATARIO]],CHOOSE({1,2},Clientes_Proveedores[Razon Social],Clientes_Proveedores[Ruc / Dni]),2,0),"")</f>
        <v>20607388416</v>
      </c>
      <c r="X3084" s="25"/>
      <c r="Y3084" s="25"/>
      <c r="Z3084" s="25"/>
      <c r="AA3084" s="101"/>
      <c r="AB3084" s="3" t="str">
        <f>IF(BCP_Soles[[#This Row],[FECHA]]&gt;0,TEXT(BCP_Soles[[#This Row],[FECHA]],"mmmm"),0)</f>
        <v>Agosto</v>
      </c>
    </row>
    <row r="3085" spans="2:28" x14ac:dyDescent="0.3">
      <c r="B3085" s="2">
        <f>IF(BCP_Soles[[#This Row],[TIPO DE R.]]="R",COUNTIFS($D$4:$D3084,"R")+1,"")</f>
        <v>2150</v>
      </c>
      <c r="C3085" s="19" t="str">
        <f t="shared" si="240"/>
        <v>B-BCP - Soles</v>
      </c>
      <c r="D3085" s="3" t="s">
        <v>1074</v>
      </c>
      <c r="E3085" s="14">
        <v>45876</v>
      </c>
      <c r="F3085" s="5"/>
      <c r="G3085" s="5" t="s">
        <v>1087</v>
      </c>
      <c r="H3085" s="6" t="s">
        <v>368</v>
      </c>
      <c r="I3085" s="6"/>
      <c r="J3085" s="6"/>
      <c r="K3085" s="6"/>
      <c r="L3085" s="7" t="s">
        <v>3825</v>
      </c>
      <c r="M3085" s="8">
        <v>940811</v>
      </c>
      <c r="N3085" s="8" t="str">
        <f t="shared" si="241"/>
        <v>PEN</v>
      </c>
      <c r="O3085" s="13"/>
      <c r="P3085" s="13">
        <v>662.3</v>
      </c>
      <c r="Q3085" s="3">
        <f t="shared" si="242"/>
        <v>662.3</v>
      </c>
      <c r="R3085" s="3">
        <f t="shared" si="243"/>
        <v>0</v>
      </c>
      <c r="S3085" s="3">
        <f t="shared" si="244"/>
        <v>65703.439999999988</v>
      </c>
      <c r="T3085" s="24"/>
      <c r="U3085" s="24"/>
      <c r="V3085" s="103"/>
      <c r="W3085" s="25">
        <f>IFERROR(VLOOKUP(BCP_Soles[[#This Row],[DESTINATARIO]],CHOOSE({1,2},Clientes_Proveedores[Razon Social],Clientes_Proveedores[Ruc / Dni]),2,0),"")</f>
        <v>20558226979</v>
      </c>
      <c r="X3085" s="25"/>
      <c r="Y3085" s="25"/>
      <c r="Z3085" s="25"/>
      <c r="AA3085" s="101"/>
      <c r="AB3085" s="3" t="str">
        <f>IF(BCP_Soles[[#This Row],[FECHA]]&gt;0,TEXT(BCP_Soles[[#This Row],[FECHA]],"mmmm"),0)</f>
        <v>Agosto</v>
      </c>
    </row>
    <row r="3086" spans="2:28" x14ac:dyDescent="0.3">
      <c r="B3086" s="2" t="str">
        <f>IF(BCP_Soles[[#This Row],[TIPO DE R.]]="R",COUNTIFS($D$4:$D3085,"R")+1,"")</f>
        <v/>
      </c>
      <c r="C3086" s="19" t="str">
        <f t="shared" si="240"/>
        <v>B-BCP - Soles</v>
      </c>
      <c r="D3086" s="3" t="s">
        <v>1101</v>
      </c>
      <c r="E3086" s="14">
        <v>45876</v>
      </c>
      <c r="F3086" s="5" t="s">
        <v>3826</v>
      </c>
      <c r="G3086" s="5"/>
      <c r="H3086" s="6"/>
      <c r="I3086" s="6" t="s">
        <v>63</v>
      </c>
      <c r="J3086" s="6">
        <v>3</v>
      </c>
      <c r="K3086" s="6">
        <v>616</v>
      </c>
      <c r="L3086" s="7" t="s">
        <v>3825</v>
      </c>
      <c r="M3086" s="8"/>
      <c r="N3086" s="8" t="str">
        <f t="shared" si="241"/>
        <v>PEN</v>
      </c>
      <c r="O3086" s="13">
        <v>243</v>
      </c>
      <c r="P3086" s="13"/>
      <c r="Q3086" s="3">
        <f t="shared" si="242"/>
        <v>0</v>
      </c>
      <c r="R3086" s="3">
        <f t="shared" si="243"/>
        <v>0</v>
      </c>
      <c r="S3086" s="3">
        <f t="shared" si="244"/>
        <v>65703.439999999988</v>
      </c>
      <c r="T3086" s="24"/>
      <c r="U3086" s="24"/>
      <c r="V3086" s="103"/>
      <c r="W3086" s="25" t="str">
        <f>IFERROR(VLOOKUP(BCP_Soles[[#This Row],[DESTINATARIO]],CHOOSE({1,2},Clientes_Proveedores[Razon Social],Clientes_Proveedores[Ruc / Dni]),2,0),"")</f>
        <v/>
      </c>
      <c r="X3086" s="25"/>
      <c r="Y3086" s="25"/>
      <c r="Z3086" s="25"/>
      <c r="AA3086" s="101"/>
      <c r="AB3086" s="3" t="str">
        <f>IF(BCP_Soles[[#This Row],[FECHA]]&gt;0,TEXT(BCP_Soles[[#This Row],[FECHA]],"mmmm"),0)</f>
        <v>Agosto</v>
      </c>
    </row>
    <row r="3087" spans="2:28" ht="24" x14ac:dyDescent="0.3">
      <c r="B3087" s="2" t="str">
        <f>IF(BCP_Soles[[#This Row],[TIPO DE R.]]="R",COUNTIFS($D$4:$D3086,"R")+1,"")</f>
        <v/>
      </c>
      <c r="C3087" s="19" t="str">
        <f t="shared" si="240"/>
        <v>B-BCP - Soles</v>
      </c>
      <c r="D3087" s="3" t="s">
        <v>1101</v>
      </c>
      <c r="E3087" s="14">
        <v>45876</v>
      </c>
      <c r="F3087" s="5" t="s">
        <v>3397</v>
      </c>
      <c r="G3087" s="5"/>
      <c r="H3087" s="6"/>
      <c r="I3087" s="6" t="s">
        <v>63</v>
      </c>
      <c r="J3087" s="6">
        <v>3</v>
      </c>
      <c r="K3087" s="6">
        <v>617</v>
      </c>
      <c r="L3087" s="7" t="s">
        <v>3825</v>
      </c>
      <c r="M3087" s="8"/>
      <c r="N3087" s="8" t="str">
        <f t="shared" si="241"/>
        <v>PEN</v>
      </c>
      <c r="O3087" s="13">
        <v>171.2</v>
      </c>
      <c r="P3087" s="13"/>
      <c r="Q3087" s="3">
        <f t="shared" si="242"/>
        <v>0</v>
      </c>
      <c r="R3087" s="3">
        <f t="shared" si="243"/>
        <v>0</v>
      </c>
      <c r="S3087" s="3">
        <f t="shared" si="244"/>
        <v>65703.439999999988</v>
      </c>
      <c r="T3087" s="24"/>
      <c r="U3087" s="24"/>
      <c r="V3087" s="103"/>
      <c r="W3087" s="25" t="str">
        <f>IFERROR(VLOOKUP(BCP_Soles[[#This Row],[DESTINATARIO]],CHOOSE({1,2},Clientes_Proveedores[Razon Social],Clientes_Proveedores[Ruc / Dni]),2,0),"")</f>
        <v/>
      </c>
      <c r="X3087" s="25"/>
      <c r="Y3087" s="25"/>
      <c r="Z3087" s="25"/>
      <c r="AA3087" s="101"/>
      <c r="AB3087" s="3" t="str">
        <f>IF(BCP_Soles[[#This Row],[FECHA]]&gt;0,TEXT(BCP_Soles[[#This Row],[FECHA]],"mmmm"),0)</f>
        <v>Agosto</v>
      </c>
    </row>
    <row r="3088" spans="2:28" ht="24" x14ac:dyDescent="0.3">
      <c r="B3088" s="2" t="str">
        <f>IF(BCP_Soles[[#This Row],[TIPO DE R.]]="R",COUNTIFS($D$4:$D3087,"R")+1,"")</f>
        <v/>
      </c>
      <c r="C3088" s="19" t="str">
        <f t="shared" si="240"/>
        <v>B-BCP - Soles</v>
      </c>
      <c r="D3088" s="3" t="s">
        <v>1101</v>
      </c>
      <c r="E3088" s="14">
        <v>45876</v>
      </c>
      <c r="F3088" s="5" t="s">
        <v>3827</v>
      </c>
      <c r="G3088" s="5"/>
      <c r="H3088" s="6"/>
      <c r="I3088" s="6" t="s">
        <v>63</v>
      </c>
      <c r="J3088" s="6">
        <v>3</v>
      </c>
      <c r="K3088" s="6">
        <v>618</v>
      </c>
      <c r="L3088" s="7" t="s">
        <v>3825</v>
      </c>
      <c r="M3088" s="8"/>
      <c r="N3088" s="8" t="str">
        <f t="shared" si="241"/>
        <v>PEN</v>
      </c>
      <c r="O3088" s="13">
        <v>107.6</v>
      </c>
      <c r="P3088" s="13"/>
      <c r="Q3088" s="3">
        <f t="shared" si="242"/>
        <v>0</v>
      </c>
      <c r="R3088" s="3">
        <f t="shared" si="243"/>
        <v>0</v>
      </c>
      <c r="S3088" s="3">
        <f t="shared" si="244"/>
        <v>65703.439999999988</v>
      </c>
      <c r="T3088" s="24"/>
      <c r="U3088" s="24"/>
      <c r="V3088" s="103"/>
      <c r="W3088" s="25" t="str">
        <f>IFERROR(VLOOKUP(BCP_Soles[[#This Row],[DESTINATARIO]],CHOOSE({1,2},Clientes_Proveedores[Razon Social],Clientes_Proveedores[Ruc / Dni]),2,0),"")</f>
        <v/>
      </c>
      <c r="X3088" s="25"/>
      <c r="Y3088" s="25"/>
      <c r="Z3088" s="25"/>
      <c r="AA3088" s="101"/>
      <c r="AB3088" s="3" t="str">
        <f>IF(BCP_Soles[[#This Row],[FECHA]]&gt;0,TEXT(BCP_Soles[[#This Row],[FECHA]],"mmmm"),0)</f>
        <v>Agosto</v>
      </c>
    </row>
    <row r="3089" spans="2:28" x14ac:dyDescent="0.3">
      <c r="B3089" s="2" t="str">
        <f>IF(BCP_Soles[[#This Row],[TIPO DE R.]]="R",COUNTIFS($D$4:$D3088,"R")+1,"")</f>
        <v/>
      </c>
      <c r="C3089" s="19" t="str">
        <f t="shared" si="240"/>
        <v>B-BCP - Soles</v>
      </c>
      <c r="D3089" s="3" t="s">
        <v>1101</v>
      </c>
      <c r="E3089" s="14">
        <v>45876</v>
      </c>
      <c r="F3089" s="5" t="s">
        <v>3828</v>
      </c>
      <c r="G3089" s="5"/>
      <c r="H3089" s="6"/>
      <c r="I3089" s="6" t="s">
        <v>63</v>
      </c>
      <c r="J3089" s="6">
        <v>3</v>
      </c>
      <c r="K3089" s="6">
        <v>619</v>
      </c>
      <c r="L3089" s="7" t="s">
        <v>3825</v>
      </c>
      <c r="M3089" s="8"/>
      <c r="N3089" s="8" t="str">
        <f t="shared" si="241"/>
        <v>PEN</v>
      </c>
      <c r="O3089" s="13">
        <v>98.8</v>
      </c>
      <c r="P3089" s="13"/>
      <c r="Q3089" s="3">
        <f t="shared" si="242"/>
        <v>0</v>
      </c>
      <c r="R3089" s="3">
        <f t="shared" si="243"/>
        <v>0</v>
      </c>
      <c r="S3089" s="3">
        <f t="shared" si="244"/>
        <v>65703.439999999988</v>
      </c>
      <c r="T3089" s="24"/>
      <c r="U3089" s="24"/>
      <c r="V3089" s="103"/>
      <c r="W3089" s="25" t="str">
        <f>IFERROR(VLOOKUP(BCP_Soles[[#This Row],[DESTINATARIO]],CHOOSE({1,2},Clientes_Proveedores[Razon Social],Clientes_Proveedores[Ruc / Dni]),2,0),"")</f>
        <v/>
      </c>
      <c r="X3089" s="25"/>
      <c r="Y3089" s="25"/>
      <c r="Z3089" s="25"/>
      <c r="AA3089" s="101"/>
      <c r="AB3089" s="3" t="str">
        <f>IF(BCP_Soles[[#This Row],[FECHA]]&gt;0,TEXT(BCP_Soles[[#This Row],[FECHA]],"mmmm"),0)</f>
        <v>Agosto</v>
      </c>
    </row>
    <row r="3090" spans="2:28" x14ac:dyDescent="0.3">
      <c r="B3090" s="2" t="str">
        <f>IF(BCP_Soles[[#This Row],[TIPO DE R.]]="R",COUNTIFS($D$4:$D3089,"R")+1,"")</f>
        <v/>
      </c>
      <c r="C3090" s="19" t="str">
        <f t="shared" si="240"/>
        <v>B-BCP - Soles</v>
      </c>
      <c r="D3090" s="3" t="s">
        <v>1101</v>
      </c>
      <c r="E3090" s="14">
        <v>45876</v>
      </c>
      <c r="F3090" s="5" t="s">
        <v>1239</v>
      </c>
      <c r="G3090" s="5"/>
      <c r="H3090" s="6"/>
      <c r="I3090" s="6" t="s">
        <v>63</v>
      </c>
      <c r="J3090" s="6">
        <v>3</v>
      </c>
      <c r="K3090" s="6">
        <v>626</v>
      </c>
      <c r="L3090" s="7" t="s">
        <v>3825</v>
      </c>
      <c r="M3090" s="8"/>
      <c r="N3090" s="8" t="str">
        <f t="shared" si="241"/>
        <v>PEN</v>
      </c>
      <c r="O3090" s="13">
        <v>35</v>
      </c>
      <c r="P3090" s="13"/>
      <c r="Q3090" s="3">
        <f t="shared" si="242"/>
        <v>0</v>
      </c>
      <c r="R3090" s="3">
        <f t="shared" si="243"/>
        <v>0</v>
      </c>
      <c r="S3090" s="3">
        <f t="shared" si="244"/>
        <v>65703.439999999988</v>
      </c>
      <c r="T3090" s="24"/>
      <c r="U3090" s="24"/>
      <c r="V3090" s="103"/>
      <c r="W3090" s="25" t="str">
        <f>IFERROR(VLOOKUP(BCP_Soles[[#This Row],[DESTINATARIO]],CHOOSE({1,2},Clientes_Proveedores[Razon Social],Clientes_Proveedores[Ruc / Dni]),2,0),"")</f>
        <v/>
      </c>
      <c r="X3090" s="25"/>
      <c r="Y3090" s="25"/>
      <c r="Z3090" s="25"/>
      <c r="AA3090" s="101"/>
      <c r="AB3090" s="3" t="str">
        <f>IF(BCP_Soles[[#This Row],[FECHA]]&gt;0,TEXT(BCP_Soles[[#This Row],[FECHA]],"mmmm"),0)</f>
        <v>Agosto</v>
      </c>
    </row>
    <row r="3091" spans="2:28" ht="24" x14ac:dyDescent="0.3">
      <c r="B3091" s="2" t="str">
        <f>IF(BCP_Soles[[#This Row],[TIPO DE R.]]="R",COUNTIFS($D$4:$D3090,"R")+1,"")</f>
        <v/>
      </c>
      <c r="C3091" s="19" t="str">
        <f t="shared" si="240"/>
        <v>B-BCP - Soles</v>
      </c>
      <c r="D3091" s="3" t="s">
        <v>1101</v>
      </c>
      <c r="E3091" s="14">
        <v>45876</v>
      </c>
      <c r="F3091" s="5" t="s">
        <v>3403</v>
      </c>
      <c r="G3091" s="5"/>
      <c r="H3091" s="6"/>
      <c r="I3091" s="6" t="s">
        <v>63</v>
      </c>
      <c r="J3091" s="6">
        <v>3</v>
      </c>
      <c r="K3091" s="6">
        <v>634</v>
      </c>
      <c r="L3091" s="7" t="s">
        <v>3825</v>
      </c>
      <c r="M3091" s="8"/>
      <c r="N3091" s="8" t="str">
        <f t="shared" si="241"/>
        <v>PEN</v>
      </c>
      <c r="O3091" s="13">
        <v>6.7</v>
      </c>
      <c r="P3091" s="13"/>
      <c r="Q3091" s="3">
        <f t="shared" si="242"/>
        <v>0</v>
      </c>
      <c r="R3091" s="3">
        <f t="shared" si="243"/>
        <v>0</v>
      </c>
      <c r="S3091" s="3">
        <f t="shared" si="244"/>
        <v>65703.439999999988</v>
      </c>
      <c r="T3091" s="24"/>
      <c r="U3091" s="24"/>
      <c r="V3091" s="103"/>
      <c r="W3091" s="25" t="str">
        <f>IFERROR(VLOOKUP(BCP_Soles[[#This Row],[DESTINATARIO]],CHOOSE({1,2},Clientes_Proveedores[Razon Social],Clientes_Proveedores[Ruc / Dni]),2,0),"")</f>
        <v/>
      </c>
      <c r="X3091" s="25"/>
      <c r="Y3091" s="25"/>
      <c r="Z3091" s="25"/>
      <c r="AA3091" s="101"/>
      <c r="AB3091" s="3" t="str">
        <f>IF(BCP_Soles[[#This Row],[FECHA]]&gt;0,TEXT(BCP_Soles[[#This Row],[FECHA]],"mmmm"),0)</f>
        <v>Agosto</v>
      </c>
    </row>
    <row r="3092" spans="2:28" ht="36" x14ac:dyDescent="0.3">
      <c r="B3092" s="2">
        <f>IF(BCP_Soles[[#This Row],[TIPO DE R.]]="R",COUNTIFS($D$4:$D3091,"R")+1,"")</f>
        <v>2151</v>
      </c>
      <c r="C3092" s="19" t="str">
        <f t="shared" si="240"/>
        <v>B-BCP - Soles</v>
      </c>
      <c r="D3092" s="3" t="s">
        <v>1074</v>
      </c>
      <c r="E3092" s="14">
        <v>45877</v>
      </c>
      <c r="F3092" s="5" t="s">
        <v>180</v>
      </c>
      <c r="G3092" s="5" t="s">
        <v>1087</v>
      </c>
      <c r="H3092" s="6" t="s">
        <v>368</v>
      </c>
      <c r="I3092" s="6"/>
      <c r="J3092" s="6"/>
      <c r="K3092" s="6"/>
      <c r="L3092" s="7" t="s">
        <v>3829</v>
      </c>
      <c r="M3092" s="8">
        <v>9977433</v>
      </c>
      <c r="N3092" s="8" t="str">
        <f t="shared" si="241"/>
        <v>PEN</v>
      </c>
      <c r="O3092" s="13"/>
      <c r="P3092" s="13">
        <v>5962.56</v>
      </c>
      <c r="Q3092" s="3">
        <f t="shared" si="242"/>
        <v>5962.56</v>
      </c>
      <c r="R3092" s="3">
        <f t="shared" si="243"/>
        <v>0</v>
      </c>
      <c r="S3092" s="3">
        <f t="shared" si="244"/>
        <v>71665.999999999985</v>
      </c>
      <c r="T3092" s="24" t="s">
        <v>1081</v>
      </c>
      <c r="U3092" s="24" t="s">
        <v>1081</v>
      </c>
      <c r="V3092" s="103"/>
      <c r="W3092" s="25">
        <f>IFERROR(VLOOKUP(BCP_Soles[[#This Row],[DESTINATARIO]],CHOOSE({1,2},Clientes_Proveedores[Razon Social],Clientes_Proveedores[Ruc / Dni]),2,0),"")</f>
        <v>20558226979</v>
      </c>
      <c r="X3092" s="25"/>
      <c r="Y3092" s="25"/>
      <c r="Z3092" s="25"/>
      <c r="AA3092" s="101"/>
      <c r="AB3092" s="3" t="str">
        <f>IF(BCP_Soles[[#This Row],[FECHA]]&gt;0,TEXT(BCP_Soles[[#This Row],[FECHA]],"mmmm"),0)</f>
        <v>Agosto</v>
      </c>
    </row>
    <row r="3093" spans="2:28" ht="36" x14ac:dyDescent="0.3">
      <c r="B3093" s="2" t="str">
        <f>IF(BCP_Soles[[#This Row],[TIPO DE R.]]="R",COUNTIFS($D$4:$D3092,"R")+1,"")</f>
        <v/>
      </c>
      <c r="C3093" s="19" t="str">
        <f t="shared" si="240"/>
        <v>B-BCP - Soles</v>
      </c>
      <c r="D3093" s="3" t="s">
        <v>1101</v>
      </c>
      <c r="E3093" s="14">
        <v>45877</v>
      </c>
      <c r="F3093" s="5"/>
      <c r="G3093" s="5"/>
      <c r="H3093" s="6" t="s">
        <v>180</v>
      </c>
      <c r="I3093" s="6" t="s">
        <v>14</v>
      </c>
      <c r="J3093" s="6" t="s">
        <v>1521</v>
      </c>
      <c r="K3093" s="6">
        <v>126</v>
      </c>
      <c r="L3093" s="7" t="s">
        <v>3829</v>
      </c>
      <c r="M3093" s="8">
        <v>9977433</v>
      </c>
      <c r="N3093" s="8" t="str">
        <f t="shared" si="241"/>
        <v>PEN</v>
      </c>
      <c r="O3093" s="13">
        <v>1219.32</v>
      </c>
      <c r="P3093" s="13"/>
      <c r="Q3093" s="3">
        <f t="shared" si="242"/>
        <v>0</v>
      </c>
      <c r="R3093" s="3">
        <f t="shared" si="243"/>
        <v>0</v>
      </c>
      <c r="S3093" s="3">
        <f t="shared" si="244"/>
        <v>71665.999999999985</v>
      </c>
      <c r="T3093" s="24" t="s">
        <v>1081</v>
      </c>
      <c r="U3093" s="24" t="s">
        <v>1081</v>
      </c>
      <c r="V3093" s="103"/>
      <c r="W3093" s="25">
        <f>IFERROR(VLOOKUP(BCP_Soles[[#This Row],[DESTINATARIO]],CHOOSE({1,2},Clientes_Proveedores[Razon Social],Clientes_Proveedores[Ruc / Dni]),2,0),"")</f>
        <v>20141637941</v>
      </c>
      <c r="X3093" s="25"/>
      <c r="Y3093" s="25"/>
      <c r="Z3093" s="25"/>
      <c r="AA3093" s="101"/>
      <c r="AB3093" s="3" t="str">
        <f>IF(BCP_Soles[[#This Row],[FECHA]]&gt;0,TEXT(BCP_Soles[[#This Row],[FECHA]],"mmmm"),0)</f>
        <v>Agosto</v>
      </c>
    </row>
    <row r="3094" spans="2:28" ht="36" x14ac:dyDescent="0.3">
      <c r="B3094" s="2" t="str">
        <f>IF(BCP_Soles[[#This Row],[TIPO DE R.]]="R",COUNTIFS($D$4:$D3093,"R")+1,"")</f>
        <v/>
      </c>
      <c r="C3094" s="19" t="str">
        <f t="shared" si="240"/>
        <v>B-BCP - Soles</v>
      </c>
      <c r="D3094" s="3" t="s">
        <v>1101</v>
      </c>
      <c r="E3094" s="14">
        <v>45877</v>
      </c>
      <c r="F3094" s="5"/>
      <c r="G3094" s="5"/>
      <c r="H3094" s="6" t="s">
        <v>180</v>
      </c>
      <c r="I3094" s="6" t="s">
        <v>14</v>
      </c>
      <c r="J3094" s="6" t="s">
        <v>1521</v>
      </c>
      <c r="K3094" s="6">
        <v>136</v>
      </c>
      <c r="L3094" s="7" t="s">
        <v>3829</v>
      </c>
      <c r="M3094" s="8">
        <v>9977433</v>
      </c>
      <c r="N3094" s="8" t="str">
        <f t="shared" si="241"/>
        <v>PEN</v>
      </c>
      <c r="O3094" s="13">
        <v>4743.24</v>
      </c>
      <c r="P3094" s="13"/>
      <c r="Q3094" s="3">
        <f t="shared" si="242"/>
        <v>0</v>
      </c>
      <c r="R3094" s="3">
        <f t="shared" si="243"/>
        <v>0</v>
      </c>
      <c r="S3094" s="3">
        <f t="shared" si="244"/>
        <v>71665.999999999985</v>
      </c>
      <c r="T3094" s="24" t="s">
        <v>1081</v>
      </c>
      <c r="U3094" s="24" t="s">
        <v>1081</v>
      </c>
      <c r="V3094" s="103"/>
      <c r="W3094" s="25">
        <f>IFERROR(VLOOKUP(BCP_Soles[[#This Row],[DESTINATARIO]],CHOOSE({1,2},Clientes_Proveedores[Razon Social],Clientes_Proveedores[Ruc / Dni]),2,0),"")</f>
        <v>20141637941</v>
      </c>
      <c r="X3094" s="25"/>
      <c r="Y3094" s="25"/>
      <c r="Z3094" s="25"/>
      <c r="AA3094" s="101"/>
      <c r="AB3094" s="3" t="str">
        <f>IF(BCP_Soles[[#This Row],[FECHA]]&gt;0,TEXT(BCP_Soles[[#This Row],[FECHA]],"mmmm"),0)</f>
        <v>Agosto</v>
      </c>
    </row>
    <row r="3095" spans="2:28" ht="24" x14ac:dyDescent="0.3">
      <c r="B3095" s="2">
        <f>IF(BCP_Soles[[#This Row],[TIPO DE R.]]="R",COUNTIFS($D$4:$D3094,"R")+1,"")</f>
        <v>2152</v>
      </c>
      <c r="C3095" s="19" t="str">
        <f t="shared" si="240"/>
        <v>B-BCP - Soles</v>
      </c>
      <c r="D3095" s="3" t="s">
        <v>1074</v>
      </c>
      <c r="E3095" s="14">
        <v>45877</v>
      </c>
      <c r="F3095" s="5" t="s">
        <v>1082</v>
      </c>
      <c r="G3095" s="5" t="s">
        <v>1079</v>
      </c>
      <c r="H3095" s="6" t="s">
        <v>990</v>
      </c>
      <c r="I3095" s="6" t="s">
        <v>14</v>
      </c>
      <c r="J3095" s="6" t="s">
        <v>1121</v>
      </c>
      <c r="K3095" s="6">
        <v>182</v>
      </c>
      <c r="L3095" s="7" t="s">
        <v>3830</v>
      </c>
      <c r="M3095" s="8">
        <v>1014991</v>
      </c>
      <c r="N3095" s="8" t="str">
        <f t="shared" si="241"/>
        <v>PEN</v>
      </c>
      <c r="O3095" s="13"/>
      <c r="P3095" s="13">
        <v>2000</v>
      </c>
      <c r="Q3095" s="3">
        <f t="shared" si="242"/>
        <v>0</v>
      </c>
      <c r="R3095" s="3">
        <f t="shared" si="243"/>
        <v>2000</v>
      </c>
      <c r="S3095" s="3">
        <f t="shared" si="244"/>
        <v>69665.999999999985</v>
      </c>
      <c r="T3095" s="24" t="s">
        <v>1081</v>
      </c>
      <c r="U3095" s="24" t="s">
        <v>1081</v>
      </c>
      <c r="V3095" s="103" t="s">
        <v>3831</v>
      </c>
      <c r="W3095" s="25">
        <f>IFERROR(VLOOKUP(BCP_Soles[[#This Row],[DESTINATARIO]],CHOOSE({1,2},Clientes_Proveedores[Razon Social],Clientes_Proveedores[Ruc / Dni]),2,0),"")</f>
        <v>20606259116</v>
      </c>
      <c r="X3095" s="25"/>
      <c r="Y3095" s="25"/>
      <c r="Z3095" s="25"/>
      <c r="AA3095" s="101"/>
      <c r="AB3095" s="3" t="str">
        <f>IF(BCP_Soles[[#This Row],[FECHA]]&gt;0,TEXT(BCP_Soles[[#This Row],[FECHA]],"mmmm"),0)</f>
        <v>Agosto</v>
      </c>
    </row>
    <row r="3096" spans="2:28" ht="24" x14ac:dyDescent="0.3">
      <c r="B3096" s="2">
        <f>IF(BCP_Soles[[#This Row],[TIPO DE R.]]="R",COUNTIFS($D$4:$D3095,"R")+1,"")</f>
        <v>2153</v>
      </c>
      <c r="C3096" s="19" t="str">
        <f t="shared" si="240"/>
        <v>B-BCP - Soles</v>
      </c>
      <c r="D3096" s="3" t="s">
        <v>1074</v>
      </c>
      <c r="E3096" s="14">
        <v>45877</v>
      </c>
      <c r="F3096" s="5" t="s">
        <v>1082</v>
      </c>
      <c r="G3096" s="5" t="s">
        <v>1079</v>
      </c>
      <c r="H3096" s="6" t="s">
        <v>990</v>
      </c>
      <c r="I3096" s="6" t="s">
        <v>14</v>
      </c>
      <c r="J3096" s="6" t="s">
        <v>1121</v>
      </c>
      <c r="K3096" s="6">
        <v>182</v>
      </c>
      <c r="L3096" s="7" t="s">
        <v>3832</v>
      </c>
      <c r="M3096" s="8">
        <v>1016007</v>
      </c>
      <c r="N3096" s="8" t="str">
        <f t="shared" si="241"/>
        <v>PEN</v>
      </c>
      <c r="O3096" s="13"/>
      <c r="P3096" s="13">
        <v>950</v>
      </c>
      <c r="Q3096" s="3">
        <f t="shared" si="242"/>
        <v>0</v>
      </c>
      <c r="R3096" s="3">
        <f t="shared" si="243"/>
        <v>950</v>
      </c>
      <c r="S3096" s="3">
        <f t="shared" si="244"/>
        <v>68715.999999999985</v>
      </c>
      <c r="T3096" s="24" t="s">
        <v>1081</v>
      </c>
      <c r="U3096" s="24" t="s">
        <v>1081</v>
      </c>
      <c r="V3096" s="103" t="s">
        <v>3831</v>
      </c>
      <c r="W3096" s="25">
        <f>IFERROR(VLOOKUP(BCP_Soles[[#This Row],[DESTINATARIO]],CHOOSE({1,2},Clientes_Proveedores[Razon Social],Clientes_Proveedores[Ruc / Dni]),2,0),"")</f>
        <v>20606259116</v>
      </c>
      <c r="X3096" s="25" t="s">
        <v>3833</v>
      </c>
      <c r="Y3096" s="25"/>
      <c r="Z3096" s="25"/>
      <c r="AA3096" s="101"/>
      <c r="AB3096" s="3" t="str">
        <f>IF(BCP_Soles[[#This Row],[FECHA]]&gt;0,TEXT(BCP_Soles[[#This Row],[FECHA]],"mmmm"),0)</f>
        <v>Agosto</v>
      </c>
    </row>
    <row r="3097" spans="2:28" ht="24" x14ac:dyDescent="0.3">
      <c r="B3097" s="2">
        <f>IF(BCP_Soles[[#This Row],[TIPO DE R.]]="R",COUNTIFS($D$4:$D3096,"R")+1,"")</f>
        <v>2154</v>
      </c>
      <c r="C3097" s="19" t="str">
        <f t="shared" si="240"/>
        <v>B-BCP - Soles</v>
      </c>
      <c r="D3097" s="3" t="s">
        <v>1074</v>
      </c>
      <c r="E3097" s="14">
        <v>45877</v>
      </c>
      <c r="F3097" s="5" t="s">
        <v>1082</v>
      </c>
      <c r="G3097" s="5" t="s">
        <v>1079</v>
      </c>
      <c r="H3097" s="6" t="s">
        <v>634</v>
      </c>
      <c r="I3097" s="6"/>
      <c r="J3097" s="6"/>
      <c r="K3097" s="6"/>
      <c r="L3097" s="7" t="s">
        <v>3834</v>
      </c>
      <c r="M3097" s="8">
        <v>1146030</v>
      </c>
      <c r="N3097" s="8" t="str">
        <f t="shared" si="241"/>
        <v>PEN</v>
      </c>
      <c r="O3097" s="13"/>
      <c r="P3097" s="13">
        <v>2581.12</v>
      </c>
      <c r="Q3097" s="3">
        <f t="shared" si="242"/>
        <v>0</v>
      </c>
      <c r="R3097" s="3">
        <f t="shared" si="243"/>
        <v>2581.12</v>
      </c>
      <c r="S3097" s="3">
        <f t="shared" si="244"/>
        <v>66134.87999999999</v>
      </c>
      <c r="T3097" s="24"/>
      <c r="U3097" s="24"/>
      <c r="V3097" s="69"/>
      <c r="W3097" s="25">
        <f>IFERROR(VLOOKUP(BCP_Soles[[#This Row],[DESTINATARIO]],CHOOSE({1,2},Clientes_Proveedores[Razon Social],Clientes_Proveedores[Ruc / Dni]),2,0),"")</f>
        <v>10736055631</v>
      </c>
      <c r="X3097" s="25"/>
      <c r="Y3097" s="25"/>
      <c r="Z3097" s="25"/>
      <c r="AA3097" s="101"/>
      <c r="AB3097" s="3" t="str">
        <f>IF(BCP_Soles[[#This Row],[FECHA]]&gt;0,TEXT(BCP_Soles[[#This Row],[FECHA]],"mmmm"),0)</f>
        <v>Agosto</v>
      </c>
    </row>
    <row r="3098" spans="2:28" ht="24" x14ac:dyDescent="0.3">
      <c r="B3098" s="2">
        <f>IF(BCP_Soles[[#This Row],[TIPO DE R.]]="R",COUNTIFS($D$4:$D3097,"R")+1,"")</f>
        <v>2155</v>
      </c>
      <c r="C3098" s="19" t="str">
        <f t="shared" si="240"/>
        <v>B-BCP - Soles</v>
      </c>
      <c r="D3098" s="3" t="s">
        <v>1074</v>
      </c>
      <c r="E3098" s="14">
        <v>45877</v>
      </c>
      <c r="F3098" s="5" t="s">
        <v>1082</v>
      </c>
      <c r="G3098" s="5" t="s">
        <v>1079</v>
      </c>
      <c r="H3098" s="6" t="s">
        <v>770</v>
      </c>
      <c r="I3098" s="6"/>
      <c r="J3098" s="6"/>
      <c r="K3098" s="6"/>
      <c r="L3098" s="7" t="s">
        <v>3835</v>
      </c>
      <c r="M3098" s="8">
        <v>1144061</v>
      </c>
      <c r="N3098" s="8" t="str">
        <f t="shared" si="241"/>
        <v>PEN</v>
      </c>
      <c r="O3098" s="13"/>
      <c r="P3098" s="13">
        <v>2752.11</v>
      </c>
      <c r="Q3098" s="3">
        <f t="shared" si="242"/>
        <v>0</v>
      </c>
      <c r="R3098" s="3">
        <f t="shared" si="243"/>
        <v>2752.11</v>
      </c>
      <c r="S3098" s="3">
        <f t="shared" si="244"/>
        <v>63382.76999999999</v>
      </c>
      <c r="T3098" s="24"/>
      <c r="U3098" s="24"/>
      <c r="V3098" s="69"/>
      <c r="W3098" s="25">
        <f>IFERROR(VLOOKUP(BCP_Soles[[#This Row],[DESTINATARIO]],CHOOSE({1,2},Clientes_Proveedores[Razon Social],Clientes_Proveedores[Ruc / Dni]),2,0),"")</f>
        <v>70198916</v>
      </c>
      <c r="X3098" s="25"/>
      <c r="Y3098" s="25"/>
      <c r="Z3098" s="25"/>
      <c r="AA3098" s="101"/>
      <c r="AB3098" s="3" t="str">
        <f>IF(BCP_Soles[[#This Row],[FECHA]]&gt;0,TEXT(BCP_Soles[[#This Row],[FECHA]],"mmmm"),0)</f>
        <v>Agosto</v>
      </c>
    </row>
    <row r="3099" spans="2:28" ht="24" x14ac:dyDescent="0.3">
      <c r="B3099" s="2">
        <f>IF(BCP_Soles[[#This Row],[TIPO DE R.]]="R",COUNTIFS($D$4:$D3098,"R")+1,"")</f>
        <v>2156</v>
      </c>
      <c r="C3099" s="19" t="str">
        <f t="shared" si="240"/>
        <v>B-BCP - Soles</v>
      </c>
      <c r="D3099" s="3" t="s">
        <v>1074</v>
      </c>
      <c r="E3099" s="14">
        <v>45877</v>
      </c>
      <c r="F3099" s="5" t="s">
        <v>1082</v>
      </c>
      <c r="G3099" s="5" t="s">
        <v>1079</v>
      </c>
      <c r="H3099" s="6" t="s">
        <v>960</v>
      </c>
      <c r="I3099" s="6"/>
      <c r="J3099" s="6"/>
      <c r="K3099" s="6"/>
      <c r="L3099" s="7" t="s">
        <v>3836</v>
      </c>
      <c r="M3099" s="8">
        <v>1145541</v>
      </c>
      <c r="N3099" s="8" t="str">
        <f t="shared" si="241"/>
        <v>PEN</v>
      </c>
      <c r="O3099" s="13"/>
      <c r="P3099" s="13">
        <v>1743.6</v>
      </c>
      <c r="Q3099" s="3">
        <f t="shared" si="242"/>
        <v>0</v>
      </c>
      <c r="R3099" s="3">
        <f t="shared" si="243"/>
        <v>1743.6</v>
      </c>
      <c r="S3099" s="3">
        <f t="shared" si="244"/>
        <v>61639.169999999991</v>
      </c>
      <c r="T3099" s="24"/>
      <c r="U3099" s="24"/>
      <c r="V3099" s="69"/>
      <c r="W3099" s="25">
        <f>IFERROR(VLOOKUP(BCP_Soles[[#This Row],[DESTINATARIO]],CHOOSE({1,2},Clientes_Proveedores[Razon Social],Clientes_Proveedores[Ruc / Dni]),2,0),"")</f>
        <v>71654750</v>
      </c>
      <c r="X3099" s="25"/>
      <c r="Y3099" s="25"/>
      <c r="Z3099" s="25"/>
      <c r="AA3099" s="101"/>
      <c r="AB3099" s="3" t="str">
        <f>IF(BCP_Soles[[#This Row],[FECHA]]&gt;0,TEXT(BCP_Soles[[#This Row],[FECHA]],"mmmm"),0)</f>
        <v>Agosto</v>
      </c>
    </row>
    <row r="3100" spans="2:28" x14ac:dyDescent="0.3">
      <c r="B3100" s="2">
        <f>IF(BCP_Soles[[#This Row],[TIPO DE R.]]="R",COUNTIFS($D$4:$D3099,"R")+1,"")</f>
        <v>2157</v>
      </c>
      <c r="C3100" s="19" t="str">
        <f t="shared" si="240"/>
        <v>B-BCP - Soles</v>
      </c>
      <c r="D3100" s="3" t="s">
        <v>1074</v>
      </c>
      <c r="E3100" s="14">
        <v>45877</v>
      </c>
      <c r="F3100" s="5" t="s">
        <v>1082</v>
      </c>
      <c r="G3100" s="5" t="s">
        <v>1079</v>
      </c>
      <c r="H3100" s="6" t="s">
        <v>866</v>
      </c>
      <c r="I3100" s="6"/>
      <c r="J3100" s="6"/>
      <c r="K3100" s="6"/>
      <c r="L3100" s="7" t="s">
        <v>3837</v>
      </c>
      <c r="M3100" s="8">
        <v>1145542</v>
      </c>
      <c r="N3100" s="8" t="str">
        <f t="shared" si="241"/>
        <v>PEN</v>
      </c>
      <c r="O3100" s="13"/>
      <c r="P3100" s="13">
        <v>2351.41</v>
      </c>
      <c r="Q3100" s="3">
        <f t="shared" si="242"/>
        <v>0</v>
      </c>
      <c r="R3100" s="3">
        <f t="shared" si="243"/>
        <v>2351.41</v>
      </c>
      <c r="S3100" s="3">
        <f t="shared" si="244"/>
        <v>59287.759999999995</v>
      </c>
      <c r="T3100" s="24"/>
      <c r="U3100" s="24"/>
      <c r="V3100" s="69"/>
      <c r="W3100" s="25">
        <f>IFERROR(VLOOKUP(BCP_Soles[[#This Row],[DESTINATARIO]],CHOOSE({1,2},Clientes_Proveedores[Razon Social],Clientes_Proveedores[Ruc / Dni]),2,0),"")</f>
        <v>73530159</v>
      </c>
      <c r="X3100" s="25"/>
      <c r="Y3100" s="25"/>
      <c r="Z3100" s="25"/>
      <c r="AA3100" s="101"/>
      <c r="AB3100" s="3" t="str">
        <f>IF(BCP_Soles[[#This Row],[FECHA]]&gt;0,TEXT(BCP_Soles[[#This Row],[FECHA]],"mmmm"),0)</f>
        <v>Agosto</v>
      </c>
    </row>
    <row r="3101" spans="2:28" ht="24" x14ac:dyDescent="0.3">
      <c r="B3101" s="2">
        <f>IF(BCP_Soles[[#This Row],[TIPO DE R.]]="R",COUNTIFS($D$4:$D3100,"R")+1,"")</f>
        <v>2158</v>
      </c>
      <c r="C3101" s="19" t="str">
        <f t="shared" si="240"/>
        <v>B-BCP - Soles</v>
      </c>
      <c r="D3101" s="3" t="s">
        <v>1074</v>
      </c>
      <c r="E3101" s="14">
        <v>45877</v>
      </c>
      <c r="F3101" s="5" t="s">
        <v>1082</v>
      </c>
      <c r="G3101" s="5" t="s">
        <v>1079</v>
      </c>
      <c r="H3101" s="6" t="s">
        <v>963</v>
      </c>
      <c r="I3101" s="6"/>
      <c r="J3101" s="6"/>
      <c r="K3101" s="6"/>
      <c r="L3101" s="7" t="s">
        <v>3838</v>
      </c>
      <c r="M3101" s="8">
        <v>1145042</v>
      </c>
      <c r="N3101" s="8" t="str">
        <f t="shared" si="241"/>
        <v>PEN</v>
      </c>
      <c r="O3101" s="13"/>
      <c r="P3101" s="13">
        <v>1025.46</v>
      </c>
      <c r="Q3101" s="3">
        <f t="shared" si="242"/>
        <v>0</v>
      </c>
      <c r="R3101" s="3">
        <f t="shared" si="243"/>
        <v>1025.46</v>
      </c>
      <c r="S3101" s="3">
        <f t="shared" si="244"/>
        <v>58262.299999999996</v>
      </c>
      <c r="T3101" s="24"/>
      <c r="U3101" s="24"/>
      <c r="V3101" s="69"/>
      <c r="W3101" s="25">
        <f>IFERROR(VLOOKUP(BCP_Soles[[#This Row],[DESTINATARIO]],CHOOSE({1,2},Clientes_Proveedores[Razon Social],Clientes_Proveedores[Ruc / Dni]),2,0),"")</f>
        <v>73376012</v>
      </c>
      <c r="X3101" s="25"/>
      <c r="Y3101" s="25"/>
      <c r="Z3101" s="25"/>
      <c r="AA3101" s="101"/>
      <c r="AB3101" s="3" t="str">
        <f>IF(BCP_Soles[[#This Row],[FECHA]]&gt;0,TEXT(BCP_Soles[[#This Row],[FECHA]],"mmmm"),0)</f>
        <v>Agosto</v>
      </c>
    </row>
    <row r="3102" spans="2:28" ht="24" x14ac:dyDescent="0.3">
      <c r="B3102" s="2">
        <f>IF(BCP_Soles[[#This Row],[TIPO DE R.]]="R",COUNTIFS($D$4:$D3101,"R")+1,"")</f>
        <v>2159</v>
      </c>
      <c r="C3102" s="19" t="str">
        <f t="shared" si="240"/>
        <v>B-BCP - Soles</v>
      </c>
      <c r="D3102" s="3" t="s">
        <v>1074</v>
      </c>
      <c r="E3102" s="14">
        <v>45877</v>
      </c>
      <c r="F3102" s="5" t="s">
        <v>1082</v>
      </c>
      <c r="G3102" s="5" t="s">
        <v>1079</v>
      </c>
      <c r="H3102" s="6" t="s">
        <v>954</v>
      </c>
      <c r="I3102" s="6"/>
      <c r="J3102" s="6"/>
      <c r="K3102" s="6"/>
      <c r="L3102" s="7" t="s">
        <v>3839</v>
      </c>
      <c r="M3102" s="8">
        <v>1144542</v>
      </c>
      <c r="N3102" s="8" t="str">
        <f t="shared" si="241"/>
        <v>PEN</v>
      </c>
      <c r="O3102" s="13"/>
      <c r="P3102" s="13">
        <v>1014.31</v>
      </c>
      <c r="Q3102" s="3">
        <f t="shared" si="242"/>
        <v>0</v>
      </c>
      <c r="R3102" s="3">
        <f t="shared" si="243"/>
        <v>1014.31</v>
      </c>
      <c r="S3102" s="3">
        <f t="shared" si="244"/>
        <v>57247.99</v>
      </c>
      <c r="T3102" s="24"/>
      <c r="U3102" s="24"/>
      <c r="V3102" s="69"/>
      <c r="W3102" s="25">
        <f>IFERROR(VLOOKUP(BCP_Soles[[#This Row],[DESTINATARIO]],CHOOSE({1,2},Clientes_Proveedores[Razon Social],Clientes_Proveedores[Ruc / Dni]),2,0),"")</f>
        <v>60945818</v>
      </c>
      <c r="X3102" s="25"/>
      <c r="Y3102" s="25"/>
      <c r="Z3102" s="25"/>
      <c r="AA3102" s="101"/>
      <c r="AB3102" s="3" t="str">
        <f>IF(BCP_Soles[[#This Row],[FECHA]]&gt;0,TEXT(BCP_Soles[[#This Row],[FECHA]],"mmmm"),0)</f>
        <v>Agosto</v>
      </c>
    </row>
    <row r="3103" spans="2:28" x14ac:dyDescent="0.3">
      <c r="B3103" s="2">
        <f>IF(BCP_Soles[[#This Row],[TIPO DE R.]]="R",COUNTIFS($D$4:$D3102,"R")+1,"")</f>
        <v>2160</v>
      </c>
      <c r="C3103" s="19" t="str">
        <f t="shared" si="240"/>
        <v>B-BCP - Soles</v>
      </c>
      <c r="D3103" s="3" t="s">
        <v>1074</v>
      </c>
      <c r="E3103" s="14">
        <v>45877</v>
      </c>
      <c r="F3103" s="5" t="s">
        <v>1082</v>
      </c>
      <c r="G3103" s="5" t="s">
        <v>1079</v>
      </c>
      <c r="H3103" s="6" t="s">
        <v>139</v>
      </c>
      <c r="I3103" s="6" t="s">
        <v>14</v>
      </c>
      <c r="J3103" s="6" t="s">
        <v>1953</v>
      </c>
      <c r="K3103" s="6">
        <v>6708</v>
      </c>
      <c r="L3103" s="7" t="s">
        <v>1954</v>
      </c>
      <c r="M3103" s="8">
        <v>147001</v>
      </c>
      <c r="N3103" s="8" t="str">
        <f t="shared" si="241"/>
        <v>PEN</v>
      </c>
      <c r="O3103" s="13"/>
      <c r="P3103" s="13">
        <v>302.18</v>
      </c>
      <c r="Q3103" s="3">
        <f t="shared" si="242"/>
        <v>0</v>
      </c>
      <c r="R3103" s="3">
        <f t="shared" si="243"/>
        <v>302.18</v>
      </c>
      <c r="S3103" s="3">
        <f t="shared" si="244"/>
        <v>56945.81</v>
      </c>
      <c r="T3103" s="24" t="s">
        <v>1081</v>
      </c>
      <c r="U3103" s="24" t="s">
        <v>1081</v>
      </c>
      <c r="V3103" s="103" t="s">
        <v>3840</v>
      </c>
      <c r="W3103" s="25">
        <f>IFERROR(VLOOKUP(BCP_Soles[[#This Row],[DESTINATARIO]],CHOOSE({1,2},Clientes_Proveedores[Razon Social],Clientes_Proveedores[Ruc / Dni]),2,0),"")</f>
        <v>20100055237</v>
      </c>
      <c r="X3103" s="25"/>
      <c r="Y3103" s="25"/>
      <c r="Z3103" s="25"/>
      <c r="AA3103" s="101"/>
      <c r="AB3103" s="3" t="str">
        <f>IF(BCP_Soles[[#This Row],[FECHA]]&gt;0,TEXT(BCP_Soles[[#This Row],[FECHA]],"mmmm"),0)</f>
        <v>Agosto</v>
      </c>
    </row>
    <row r="3104" spans="2:28" x14ac:dyDescent="0.3">
      <c r="B3104" s="2">
        <f>IF(BCP_Soles[[#This Row],[TIPO DE R.]]="R",COUNTIFS($D$4:$D3103,"R")+1,"")</f>
        <v>2161</v>
      </c>
      <c r="C3104" s="19" t="str">
        <f t="shared" si="240"/>
        <v>B-BCP - Soles</v>
      </c>
      <c r="D3104" s="3" t="s">
        <v>1074</v>
      </c>
      <c r="E3104" s="14">
        <v>45877</v>
      </c>
      <c r="F3104" s="5" t="s">
        <v>1082</v>
      </c>
      <c r="G3104" s="5" t="s">
        <v>1079</v>
      </c>
      <c r="H3104" s="6" t="s">
        <v>139</v>
      </c>
      <c r="I3104" s="6" t="s">
        <v>14</v>
      </c>
      <c r="J3104" s="6" t="s">
        <v>1953</v>
      </c>
      <c r="K3104" s="6">
        <v>6709</v>
      </c>
      <c r="L3104" s="7" t="s">
        <v>1954</v>
      </c>
      <c r="M3104" s="8">
        <v>144062</v>
      </c>
      <c r="N3104" s="8" t="str">
        <f t="shared" si="241"/>
        <v>PEN</v>
      </c>
      <c r="O3104" s="13"/>
      <c r="P3104" s="13">
        <v>50.59</v>
      </c>
      <c r="Q3104" s="3">
        <f t="shared" si="242"/>
        <v>0</v>
      </c>
      <c r="R3104" s="3">
        <f t="shared" si="243"/>
        <v>50.59</v>
      </c>
      <c r="S3104" s="3">
        <f t="shared" si="244"/>
        <v>56895.22</v>
      </c>
      <c r="T3104" s="24" t="s">
        <v>1081</v>
      </c>
      <c r="U3104" s="24" t="s">
        <v>1081</v>
      </c>
      <c r="V3104" s="103" t="s">
        <v>3841</v>
      </c>
      <c r="W3104" s="25">
        <f>IFERROR(VLOOKUP(BCP_Soles[[#This Row],[DESTINATARIO]],CHOOSE({1,2},Clientes_Proveedores[Razon Social],Clientes_Proveedores[Ruc / Dni]),2,0),"")</f>
        <v>20100055237</v>
      </c>
      <c r="X3104" s="25"/>
      <c r="Y3104" s="25"/>
      <c r="Z3104" s="25"/>
      <c r="AA3104" s="101"/>
      <c r="AB3104" s="3" t="str">
        <f>IF(BCP_Soles[[#This Row],[FECHA]]&gt;0,TEXT(BCP_Soles[[#This Row],[FECHA]],"mmmm"),0)</f>
        <v>Agosto</v>
      </c>
    </row>
    <row r="3105" spans="2:28" x14ac:dyDescent="0.3">
      <c r="B3105" s="2">
        <f>IF(BCP_Soles[[#This Row],[TIPO DE R.]]="R",COUNTIFS($D$4:$D3104,"R")+1,"")</f>
        <v>2162</v>
      </c>
      <c r="C3105" s="19" t="str">
        <f t="shared" si="240"/>
        <v>B-BCP - Soles</v>
      </c>
      <c r="D3105" s="3" t="s">
        <v>1074</v>
      </c>
      <c r="E3105" s="14">
        <v>45877</v>
      </c>
      <c r="F3105" s="5" t="s">
        <v>1082</v>
      </c>
      <c r="G3105" s="5" t="s">
        <v>1079</v>
      </c>
      <c r="H3105" s="6" t="s">
        <v>139</v>
      </c>
      <c r="I3105" s="6" t="s">
        <v>14</v>
      </c>
      <c r="J3105" s="6" t="s">
        <v>1953</v>
      </c>
      <c r="K3105" s="6">
        <v>6706</v>
      </c>
      <c r="L3105" s="7" t="s">
        <v>1954</v>
      </c>
      <c r="M3105" s="8">
        <v>143497</v>
      </c>
      <c r="N3105" s="8" t="str">
        <f t="shared" si="241"/>
        <v>PEN</v>
      </c>
      <c r="O3105" s="13"/>
      <c r="P3105" s="13">
        <v>288.83999999999997</v>
      </c>
      <c r="Q3105" s="3">
        <f t="shared" si="242"/>
        <v>0</v>
      </c>
      <c r="R3105" s="3">
        <f t="shared" si="243"/>
        <v>288.83999999999997</v>
      </c>
      <c r="S3105" s="3">
        <f t="shared" si="244"/>
        <v>56606.380000000005</v>
      </c>
      <c r="T3105" s="24" t="s">
        <v>1081</v>
      </c>
      <c r="U3105" s="24" t="s">
        <v>1081</v>
      </c>
      <c r="V3105" s="103" t="s">
        <v>3842</v>
      </c>
      <c r="W3105" s="25">
        <f>IFERROR(VLOOKUP(BCP_Soles[[#This Row],[DESTINATARIO]],CHOOSE({1,2},Clientes_Proveedores[Razon Social],Clientes_Proveedores[Ruc / Dni]),2,0),"")</f>
        <v>20100055237</v>
      </c>
      <c r="X3105" s="25"/>
      <c r="Y3105" s="25"/>
      <c r="Z3105" s="25"/>
      <c r="AA3105" s="101"/>
      <c r="AB3105" s="3" t="str">
        <f>IF(BCP_Soles[[#This Row],[FECHA]]&gt;0,TEXT(BCP_Soles[[#This Row],[FECHA]],"mmmm"),0)</f>
        <v>Agosto</v>
      </c>
    </row>
    <row r="3106" spans="2:28" x14ac:dyDescent="0.3">
      <c r="B3106" s="2">
        <f>IF(BCP_Soles[[#This Row],[TIPO DE R.]]="R",COUNTIFS($D$4:$D3105,"R")+1,"")</f>
        <v>2163</v>
      </c>
      <c r="C3106" s="19" t="str">
        <f t="shared" si="240"/>
        <v>B-BCP - Soles</v>
      </c>
      <c r="D3106" s="3" t="s">
        <v>1074</v>
      </c>
      <c r="E3106" s="14">
        <v>45877</v>
      </c>
      <c r="F3106" s="5" t="s">
        <v>1082</v>
      </c>
      <c r="G3106" s="5" t="s">
        <v>1079</v>
      </c>
      <c r="H3106" s="6" t="s">
        <v>139</v>
      </c>
      <c r="I3106" s="6" t="s">
        <v>14</v>
      </c>
      <c r="J3106" s="6" t="s">
        <v>1953</v>
      </c>
      <c r="K3106" s="6">
        <v>6707</v>
      </c>
      <c r="L3106" s="7" t="s">
        <v>1954</v>
      </c>
      <c r="M3106" s="8">
        <v>143496</v>
      </c>
      <c r="N3106" s="8" t="str">
        <f t="shared" si="241"/>
        <v>PEN</v>
      </c>
      <c r="O3106" s="13"/>
      <c r="P3106" s="13">
        <v>5.37</v>
      </c>
      <c r="Q3106" s="3">
        <f t="shared" si="242"/>
        <v>0</v>
      </c>
      <c r="R3106" s="3">
        <f t="shared" si="243"/>
        <v>5.37</v>
      </c>
      <c r="S3106" s="3">
        <f t="shared" si="244"/>
        <v>56601.01</v>
      </c>
      <c r="T3106" s="24" t="s">
        <v>1081</v>
      </c>
      <c r="U3106" s="24" t="s">
        <v>1081</v>
      </c>
      <c r="V3106" s="103" t="s">
        <v>3843</v>
      </c>
      <c r="W3106" s="25">
        <f>IFERROR(VLOOKUP(BCP_Soles[[#This Row],[DESTINATARIO]],CHOOSE({1,2},Clientes_Proveedores[Razon Social],Clientes_Proveedores[Ruc / Dni]),2,0),"")</f>
        <v>20100055237</v>
      </c>
      <c r="X3106" s="25"/>
      <c r="Y3106" s="25"/>
      <c r="Z3106" s="25"/>
      <c r="AA3106" s="101"/>
      <c r="AB3106" s="3" t="str">
        <f>IF(BCP_Soles[[#This Row],[FECHA]]&gt;0,TEXT(BCP_Soles[[#This Row],[FECHA]],"mmmm"),0)</f>
        <v>Agosto</v>
      </c>
    </row>
    <row r="3107" spans="2:28" x14ac:dyDescent="0.3">
      <c r="B3107" s="2">
        <f>IF(BCP_Soles[[#This Row],[TIPO DE R.]]="R",COUNTIFS($D$4:$D3106,"R")+1,"")</f>
        <v>2164</v>
      </c>
      <c r="C3107" s="19" t="str">
        <f t="shared" si="240"/>
        <v>B-BCP - Soles</v>
      </c>
      <c r="D3107" s="3" t="s">
        <v>1074</v>
      </c>
      <c r="E3107" s="14">
        <v>45877</v>
      </c>
      <c r="F3107" s="5" t="s">
        <v>1082</v>
      </c>
      <c r="G3107" s="5" t="s">
        <v>1079</v>
      </c>
      <c r="H3107" s="6" t="s">
        <v>139</v>
      </c>
      <c r="I3107" s="6" t="s">
        <v>14</v>
      </c>
      <c r="J3107" s="6" t="s">
        <v>1953</v>
      </c>
      <c r="K3107" s="6">
        <v>6705</v>
      </c>
      <c r="L3107" s="7" t="s">
        <v>1954</v>
      </c>
      <c r="M3107" s="8">
        <v>144063</v>
      </c>
      <c r="N3107" s="8" t="str">
        <f t="shared" si="241"/>
        <v>PEN</v>
      </c>
      <c r="O3107" s="13"/>
      <c r="P3107" s="13">
        <v>149.22999999999999</v>
      </c>
      <c r="Q3107" s="3">
        <f t="shared" si="242"/>
        <v>0</v>
      </c>
      <c r="R3107" s="3">
        <f t="shared" si="243"/>
        <v>149.22999999999999</v>
      </c>
      <c r="S3107" s="3">
        <f t="shared" si="244"/>
        <v>56451.78</v>
      </c>
      <c r="T3107" s="24" t="s">
        <v>1081</v>
      </c>
      <c r="U3107" s="24" t="s">
        <v>1081</v>
      </c>
      <c r="V3107" s="103" t="s">
        <v>3844</v>
      </c>
      <c r="W3107" s="25">
        <f>IFERROR(VLOOKUP(BCP_Soles[[#This Row],[DESTINATARIO]],CHOOSE({1,2},Clientes_Proveedores[Razon Social],Clientes_Proveedores[Ruc / Dni]),2,0),"")</f>
        <v>20100055237</v>
      </c>
      <c r="X3107" s="25"/>
      <c r="Y3107" s="25"/>
      <c r="Z3107" s="25"/>
      <c r="AA3107" s="101"/>
      <c r="AB3107" s="3" t="str">
        <f>IF(BCP_Soles[[#This Row],[FECHA]]&gt;0,TEXT(BCP_Soles[[#This Row],[FECHA]],"mmmm"),0)</f>
        <v>Agosto</v>
      </c>
    </row>
    <row r="3108" spans="2:28" x14ac:dyDescent="0.3">
      <c r="B3108" s="2">
        <f>IF(BCP_Soles[[#This Row],[TIPO DE R.]]="R",COUNTIFS($D$4:$D3107,"R")+1,"")</f>
        <v>2165</v>
      </c>
      <c r="C3108" s="19" t="str">
        <f t="shared" si="240"/>
        <v>B-BCP - Soles</v>
      </c>
      <c r="D3108" s="3" t="s">
        <v>1074</v>
      </c>
      <c r="E3108" s="14">
        <v>45877</v>
      </c>
      <c r="F3108" s="5" t="s">
        <v>1082</v>
      </c>
      <c r="G3108" s="5" t="s">
        <v>1079</v>
      </c>
      <c r="H3108" s="6" t="s">
        <v>271</v>
      </c>
      <c r="I3108" s="6" t="s">
        <v>14</v>
      </c>
      <c r="J3108" s="6" t="s">
        <v>1119</v>
      </c>
      <c r="K3108" s="6">
        <v>8555</v>
      </c>
      <c r="L3108" s="7" t="s">
        <v>3845</v>
      </c>
      <c r="M3108" s="8">
        <v>1146031</v>
      </c>
      <c r="N3108" s="8" t="str">
        <f t="shared" si="241"/>
        <v>PEN</v>
      </c>
      <c r="O3108" s="13"/>
      <c r="P3108" s="13">
        <v>90</v>
      </c>
      <c r="Q3108" s="3">
        <f t="shared" si="242"/>
        <v>0</v>
      </c>
      <c r="R3108" s="3">
        <f t="shared" si="243"/>
        <v>90</v>
      </c>
      <c r="S3108" s="3">
        <f t="shared" si="244"/>
        <v>56361.78</v>
      </c>
      <c r="T3108" s="24" t="s">
        <v>1081</v>
      </c>
      <c r="U3108" s="24" t="s">
        <v>1081</v>
      </c>
      <c r="V3108" s="69"/>
      <c r="W3108" s="25">
        <f>IFERROR(VLOOKUP(BCP_Soles[[#This Row],[DESTINATARIO]],CHOOSE({1,2},Clientes_Proveedores[Razon Social],Clientes_Proveedores[Ruc / Dni]),2,0),"")</f>
        <v>20498041567</v>
      </c>
      <c r="X3108" s="25"/>
      <c r="Y3108" s="25"/>
      <c r="Z3108" s="25"/>
      <c r="AA3108" s="101"/>
      <c r="AB3108" s="3" t="str">
        <f>IF(BCP_Soles[[#This Row],[FECHA]]&gt;0,TEXT(BCP_Soles[[#This Row],[FECHA]],"mmmm"),0)</f>
        <v>Agosto</v>
      </c>
    </row>
    <row r="3109" spans="2:28" x14ac:dyDescent="0.3">
      <c r="B3109" s="2">
        <f>IF(BCP_Soles[[#This Row],[TIPO DE R.]]="R",COUNTIFS($D$4:$D3108,"R")+1,"")</f>
        <v>2166</v>
      </c>
      <c r="C3109" s="19" t="str">
        <f t="shared" si="240"/>
        <v>B-BCP - Soles</v>
      </c>
      <c r="D3109" s="3" t="s">
        <v>1074</v>
      </c>
      <c r="E3109" s="14">
        <v>45877</v>
      </c>
      <c r="F3109" s="5" t="s">
        <v>1082</v>
      </c>
      <c r="G3109" s="5" t="s">
        <v>1079</v>
      </c>
      <c r="H3109" s="6" t="s">
        <v>139</v>
      </c>
      <c r="I3109" s="6" t="s">
        <v>14</v>
      </c>
      <c r="J3109" s="6" t="s">
        <v>1953</v>
      </c>
      <c r="K3109" s="6">
        <v>6710</v>
      </c>
      <c r="L3109" s="7" t="s">
        <v>1954</v>
      </c>
      <c r="M3109" s="8">
        <v>145543</v>
      </c>
      <c r="N3109" s="8" t="str">
        <f t="shared" si="241"/>
        <v>PEN</v>
      </c>
      <c r="O3109" s="13"/>
      <c r="P3109" s="13">
        <v>609.44000000000005</v>
      </c>
      <c r="Q3109" s="3">
        <f t="shared" si="242"/>
        <v>0</v>
      </c>
      <c r="R3109" s="3">
        <f t="shared" si="243"/>
        <v>609.44000000000005</v>
      </c>
      <c r="S3109" s="3">
        <f t="shared" si="244"/>
        <v>55752.34</v>
      </c>
      <c r="T3109" s="24" t="s">
        <v>1081</v>
      </c>
      <c r="U3109" s="24" t="s">
        <v>1081</v>
      </c>
      <c r="V3109" s="103" t="s">
        <v>3846</v>
      </c>
      <c r="W3109" s="25">
        <f>IFERROR(VLOOKUP(BCP_Soles[[#This Row],[DESTINATARIO]],CHOOSE({1,2},Clientes_Proveedores[Razon Social],Clientes_Proveedores[Ruc / Dni]),2,0),"")</f>
        <v>20100055237</v>
      </c>
      <c r="X3109" s="25"/>
      <c r="Y3109" s="25"/>
      <c r="Z3109" s="25"/>
      <c r="AA3109" s="101"/>
      <c r="AB3109" s="3" t="str">
        <f>IF(BCP_Soles[[#This Row],[FECHA]]&gt;0,TEXT(BCP_Soles[[#This Row],[FECHA]],"mmmm"),0)</f>
        <v>Agosto</v>
      </c>
    </row>
    <row r="3110" spans="2:28" x14ac:dyDescent="0.3">
      <c r="B3110" s="131">
        <f>IF(BCP_Soles[[#This Row],[TIPO DE R.]]="R",COUNTIFS($D$4:$D3109,"R")+1,"")</f>
        <v>2167</v>
      </c>
      <c r="C3110" s="95" t="str">
        <f t="shared" si="240"/>
        <v>B-BCP - Soles</v>
      </c>
      <c r="D3110" s="94" t="s">
        <v>1074</v>
      </c>
      <c r="E3110" s="14">
        <v>45877</v>
      </c>
      <c r="F3110" s="5" t="s">
        <v>1082</v>
      </c>
      <c r="G3110" s="5" t="s">
        <v>1079</v>
      </c>
      <c r="H3110" s="6" t="s">
        <v>638</v>
      </c>
      <c r="I3110" s="6"/>
      <c r="J3110" s="6"/>
      <c r="K3110" s="6"/>
      <c r="L3110" s="132" t="s">
        <v>3847</v>
      </c>
      <c r="M3110" s="8">
        <v>9810014</v>
      </c>
      <c r="N3110" s="8" t="str">
        <f t="shared" si="241"/>
        <v>PEN</v>
      </c>
      <c r="O3110" s="9"/>
      <c r="P3110" s="9">
        <v>705.05</v>
      </c>
      <c r="Q3110" s="94">
        <f t="shared" si="242"/>
        <v>0</v>
      </c>
      <c r="R3110" s="94">
        <f t="shared" si="243"/>
        <v>705.05</v>
      </c>
      <c r="S3110" s="94">
        <f t="shared" si="244"/>
        <v>55047.289999999994</v>
      </c>
      <c r="T3110" s="119" t="s">
        <v>1081</v>
      </c>
      <c r="U3110" s="119" t="s">
        <v>1081</v>
      </c>
      <c r="V3110" s="105" t="s">
        <v>3848</v>
      </c>
      <c r="W3110" s="93">
        <f>IFERROR(VLOOKUP(BCP_Soles[[#This Row],[DESTINATARIO]],CHOOSE({1,2},Clientes_Proveedores[Razon Social],Clientes_Proveedores[Ruc / Dni]),2,0),"")</f>
        <v>0</v>
      </c>
      <c r="X3110" s="93"/>
      <c r="Y3110" s="93"/>
      <c r="Z3110" s="93"/>
      <c r="AA3110" s="102"/>
      <c r="AB3110" s="94" t="str">
        <f>IF(BCP_Soles[[#This Row],[FECHA]]&gt;0,TEXT(BCP_Soles[[#This Row],[FECHA]],"mmmm"),0)</f>
        <v>Agosto</v>
      </c>
    </row>
    <row r="3111" spans="2:28" ht="24" x14ac:dyDescent="0.3">
      <c r="B3111" s="131" t="str">
        <f>IF(BCP_Soles[[#This Row],[TIPO DE R.]]="R",COUNTIFS($D$4:$D3110,"R")+1,"")</f>
        <v/>
      </c>
      <c r="C3111" s="95" t="str">
        <f t="shared" si="240"/>
        <v>B-BCP - Soles</v>
      </c>
      <c r="D3111" s="94" t="s">
        <v>1101</v>
      </c>
      <c r="E3111" s="14">
        <v>45877</v>
      </c>
      <c r="F3111" s="5" t="s">
        <v>1082</v>
      </c>
      <c r="G3111" s="5"/>
      <c r="H3111" s="6" t="s">
        <v>536</v>
      </c>
      <c r="I3111" s="6" t="s">
        <v>14</v>
      </c>
      <c r="J3111" s="6" t="s">
        <v>1121</v>
      </c>
      <c r="K3111" s="6">
        <v>2337</v>
      </c>
      <c r="L3111" s="132" t="s">
        <v>3847</v>
      </c>
      <c r="M3111" s="8">
        <v>9810014</v>
      </c>
      <c r="N3111" s="8" t="str">
        <f t="shared" si="241"/>
        <v>PEN</v>
      </c>
      <c r="O3111" s="9">
        <v>94.4</v>
      </c>
      <c r="P3111" s="9"/>
      <c r="Q3111" s="94">
        <f t="shared" si="242"/>
        <v>0</v>
      </c>
      <c r="R3111" s="94">
        <f t="shared" si="243"/>
        <v>0</v>
      </c>
      <c r="S3111" s="94">
        <f t="shared" si="244"/>
        <v>55047.289999999994</v>
      </c>
      <c r="T3111" s="28" t="s">
        <v>1081</v>
      </c>
      <c r="U3111" s="119" t="s">
        <v>1081</v>
      </c>
      <c r="V3111" s="105"/>
      <c r="W3111" s="93">
        <f>IFERROR(VLOOKUP(BCP_Soles[[#This Row],[DESTINATARIO]],CHOOSE({1,2},Clientes_Proveedores[Razon Social],Clientes_Proveedores[Ruc / Dni]),2,0),"")</f>
        <v>20609764261</v>
      </c>
      <c r="X3111" s="93"/>
      <c r="Y3111" s="93"/>
      <c r="Z3111" s="93"/>
      <c r="AA3111" s="102"/>
      <c r="AB3111" s="94" t="str">
        <f>IF(BCP_Soles[[#This Row],[FECHA]]&gt;0,TEXT(BCP_Soles[[#This Row],[FECHA]],"mmmm"),0)</f>
        <v>Agosto</v>
      </c>
    </row>
    <row r="3112" spans="2:28" ht="24" x14ac:dyDescent="0.3">
      <c r="B3112" s="131" t="str">
        <f>IF(BCP_Soles[[#This Row],[TIPO DE R.]]="R",COUNTIFS($D$4:$D3111,"R")+1,"")</f>
        <v/>
      </c>
      <c r="C3112" s="95" t="str">
        <f t="shared" si="240"/>
        <v>B-BCP - Soles</v>
      </c>
      <c r="D3112" s="94" t="s">
        <v>1101</v>
      </c>
      <c r="E3112" s="14">
        <v>45877</v>
      </c>
      <c r="F3112" s="5" t="s">
        <v>1082</v>
      </c>
      <c r="G3112" s="5"/>
      <c r="H3112" s="6" t="s">
        <v>536</v>
      </c>
      <c r="I3112" s="6" t="s">
        <v>14</v>
      </c>
      <c r="J3112" s="6" t="s">
        <v>1121</v>
      </c>
      <c r="K3112" s="6">
        <v>2368</v>
      </c>
      <c r="L3112" s="132" t="s">
        <v>3847</v>
      </c>
      <c r="M3112" s="8">
        <v>9810014</v>
      </c>
      <c r="N3112" s="8" t="str">
        <f t="shared" si="241"/>
        <v>PEN</v>
      </c>
      <c r="O3112" s="9">
        <v>118</v>
      </c>
      <c r="P3112" s="9"/>
      <c r="Q3112" s="94">
        <f t="shared" si="242"/>
        <v>0</v>
      </c>
      <c r="R3112" s="94">
        <f t="shared" si="243"/>
        <v>0</v>
      </c>
      <c r="S3112" s="94">
        <f t="shared" si="244"/>
        <v>55047.289999999994</v>
      </c>
      <c r="T3112" s="28" t="s">
        <v>1081</v>
      </c>
      <c r="U3112" s="119" t="s">
        <v>1081</v>
      </c>
      <c r="V3112" s="105"/>
      <c r="W3112" s="93">
        <f>IFERROR(VLOOKUP(BCP_Soles[[#This Row],[DESTINATARIO]],CHOOSE({1,2},Clientes_Proveedores[Razon Social],Clientes_Proveedores[Ruc / Dni]),2,0),"")</f>
        <v>20609764261</v>
      </c>
      <c r="X3112" s="93"/>
      <c r="Y3112" s="93"/>
      <c r="Z3112" s="93"/>
      <c r="AA3112" s="102"/>
      <c r="AB3112" s="94" t="str">
        <f>IF(BCP_Soles[[#This Row],[FECHA]]&gt;0,TEXT(BCP_Soles[[#This Row],[FECHA]],"mmmm"),0)</f>
        <v>Agosto</v>
      </c>
    </row>
    <row r="3113" spans="2:28" ht="24" x14ac:dyDescent="0.3">
      <c r="B3113" s="131" t="str">
        <f>IF(BCP_Soles[[#This Row],[TIPO DE R.]]="R",COUNTIFS($D$4:$D3112,"R")+1,"")</f>
        <v/>
      </c>
      <c r="C3113" s="95" t="str">
        <f t="shared" si="240"/>
        <v>B-BCP - Soles</v>
      </c>
      <c r="D3113" s="94" t="s">
        <v>1101</v>
      </c>
      <c r="E3113" s="14">
        <v>45877</v>
      </c>
      <c r="F3113" s="5" t="s">
        <v>1082</v>
      </c>
      <c r="G3113" s="5"/>
      <c r="H3113" s="6" t="s">
        <v>536</v>
      </c>
      <c r="I3113" s="6" t="s">
        <v>14</v>
      </c>
      <c r="J3113" s="6" t="s">
        <v>1121</v>
      </c>
      <c r="K3113" s="6">
        <v>2369</v>
      </c>
      <c r="L3113" s="132" t="s">
        <v>3847</v>
      </c>
      <c r="M3113" s="8">
        <v>9810014</v>
      </c>
      <c r="N3113" s="8" t="str">
        <f t="shared" si="241"/>
        <v>PEN</v>
      </c>
      <c r="O3113" s="9">
        <v>177</v>
      </c>
      <c r="P3113" s="9"/>
      <c r="Q3113" s="94">
        <f t="shared" si="242"/>
        <v>0</v>
      </c>
      <c r="R3113" s="94">
        <f t="shared" si="243"/>
        <v>0</v>
      </c>
      <c r="S3113" s="94">
        <f t="shared" si="244"/>
        <v>55047.289999999994</v>
      </c>
      <c r="T3113" s="28" t="s">
        <v>1081</v>
      </c>
      <c r="U3113" s="119" t="s">
        <v>1081</v>
      </c>
      <c r="V3113" s="105"/>
      <c r="W3113" s="93">
        <f>IFERROR(VLOOKUP(BCP_Soles[[#This Row],[DESTINATARIO]],CHOOSE({1,2},Clientes_Proveedores[Razon Social],Clientes_Proveedores[Ruc / Dni]),2,0),"")</f>
        <v>20609764261</v>
      </c>
      <c r="X3113" s="93"/>
      <c r="Y3113" s="93"/>
      <c r="Z3113" s="93"/>
      <c r="AA3113" s="102"/>
      <c r="AB3113" s="94" t="str">
        <f>IF(BCP_Soles[[#This Row],[FECHA]]&gt;0,TEXT(BCP_Soles[[#This Row],[FECHA]],"mmmm"),0)</f>
        <v>Agosto</v>
      </c>
    </row>
    <row r="3114" spans="2:28" ht="24" x14ac:dyDescent="0.3">
      <c r="B3114" s="131" t="str">
        <f>IF(BCP_Soles[[#This Row],[TIPO DE R.]]="R",COUNTIFS($D$4:$D3113,"R")+1,"")</f>
        <v/>
      </c>
      <c r="C3114" s="95" t="str">
        <f t="shared" si="240"/>
        <v>B-BCP - Soles</v>
      </c>
      <c r="D3114" s="94" t="s">
        <v>1101</v>
      </c>
      <c r="E3114" s="14">
        <v>45877</v>
      </c>
      <c r="F3114" s="5" t="s">
        <v>1082</v>
      </c>
      <c r="G3114" s="5"/>
      <c r="H3114" s="6" t="s">
        <v>536</v>
      </c>
      <c r="I3114" s="6" t="s">
        <v>14</v>
      </c>
      <c r="J3114" s="6" t="s">
        <v>1121</v>
      </c>
      <c r="K3114" s="6">
        <v>2338</v>
      </c>
      <c r="L3114" s="132" t="s">
        <v>3847</v>
      </c>
      <c r="M3114" s="8">
        <v>9810014</v>
      </c>
      <c r="N3114" s="8" t="str">
        <f t="shared" si="241"/>
        <v>PEN</v>
      </c>
      <c r="O3114" s="9">
        <v>221.25</v>
      </c>
      <c r="P3114" s="9"/>
      <c r="Q3114" s="94">
        <f t="shared" si="242"/>
        <v>0</v>
      </c>
      <c r="R3114" s="94">
        <f t="shared" si="243"/>
        <v>0</v>
      </c>
      <c r="S3114" s="94">
        <f t="shared" si="244"/>
        <v>55047.289999999994</v>
      </c>
      <c r="T3114" s="28" t="s">
        <v>1081</v>
      </c>
      <c r="U3114" s="119" t="s">
        <v>1081</v>
      </c>
      <c r="V3114" s="105"/>
      <c r="W3114" s="93">
        <f>IFERROR(VLOOKUP(BCP_Soles[[#This Row],[DESTINATARIO]],CHOOSE({1,2},Clientes_Proveedores[Razon Social],Clientes_Proveedores[Ruc / Dni]),2,0),"")</f>
        <v>20609764261</v>
      </c>
      <c r="X3114" s="93"/>
      <c r="Y3114" s="93"/>
      <c r="Z3114" s="93"/>
      <c r="AA3114" s="102"/>
      <c r="AB3114" s="94" t="str">
        <f>IF(BCP_Soles[[#This Row],[FECHA]]&gt;0,TEXT(BCP_Soles[[#This Row],[FECHA]],"mmmm"),0)</f>
        <v>Agosto</v>
      </c>
    </row>
    <row r="3115" spans="2:28" ht="24" x14ac:dyDescent="0.3">
      <c r="B3115" s="131" t="str">
        <f>IF(BCP_Soles[[#This Row],[TIPO DE R.]]="R",COUNTIFS($D$4:$D3114,"R")+1,"")</f>
        <v/>
      </c>
      <c r="C3115" s="95" t="str">
        <f t="shared" si="240"/>
        <v>B-BCP - Soles</v>
      </c>
      <c r="D3115" s="94" t="s">
        <v>1101</v>
      </c>
      <c r="E3115" s="14">
        <v>45877</v>
      </c>
      <c r="F3115" s="5" t="s">
        <v>1082</v>
      </c>
      <c r="G3115" s="5"/>
      <c r="H3115" s="6" t="s">
        <v>536</v>
      </c>
      <c r="I3115" s="6" t="s">
        <v>14</v>
      </c>
      <c r="J3115" s="6" t="s">
        <v>1121</v>
      </c>
      <c r="K3115" s="6">
        <v>2294</v>
      </c>
      <c r="L3115" s="132" t="s">
        <v>3847</v>
      </c>
      <c r="M3115" s="8">
        <v>9810014</v>
      </c>
      <c r="N3115" s="8" t="str">
        <f t="shared" si="241"/>
        <v>PEN</v>
      </c>
      <c r="O3115" s="9">
        <v>94.4</v>
      </c>
      <c r="P3115" s="9"/>
      <c r="Q3115" s="94">
        <f t="shared" si="242"/>
        <v>0</v>
      </c>
      <c r="R3115" s="94">
        <f t="shared" si="243"/>
        <v>0</v>
      </c>
      <c r="S3115" s="94">
        <f t="shared" si="244"/>
        <v>55047.289999999994</v>
      </c>
      <c r="T3115" s="28" t="s">
        <v>1081</v>
      </c>
      <c r="U3115" s="119" t="s">
        <v>1081</v>
      </c>
      <c r="V3115" s="105"/>
      <c r="W3115" s="93">
        <f>IFERROR(VLOOKUP(BCP_Soles[[#This Row],[DESTINATARIO]],CHOOSE({1,2},Clientes_Proveedores[Razon Social],Clientes_Proveedores[Ruc / Dni]),2,0),"")</f>
        <v>20609764261</v>
      </c>
      <c r="X3115" s="93"/>
      <c r="Y3115" s="93"/>
      <c r="Z3115" s="93"/>
      <c r="AA3115" s="102"/>
      <c r="AB3115" s="94" t="str">
        <f>IF(BCP_Soles[[#This Row],[FECHA]]&gt;0,TEXT(BCP_Soles[[#This Row],[FECHA]],"mmmm"),0)</f>
        <v>Agosto</v>
      </c>
    </row>
    <row r="3116" spans="2:28" x14ac:dyDescent="0.3">
      <c r="B3116" s="2">
        <f>IF(BCP_Soles[[#This Row],[TIPO DE R.]]="R",COUNTIFS($D$4:$D3115,"R")+1,"")</f>
        <v>2168</v>
      </c>
      <c r="C3116" s="19" t="str">
        <f t="shared" si="240"/>
        <v>B-BCP - Soles</v>
      </c>
      <c r="D3116" s="3" t="s">
        <v>1074</v>
      </c>
      <c r="E3116" s="14">
        <v>45877</v>
      </c>
      <c r="F3116" s="5" t="s">
        <v>1082</v>
      </c>
      <c r="G3116" s="5" t="s">
        <v>1079</v>
      </c>
      <c r="H3116" s="6" t="s">
        <v>666</v>
      </c>
      <c r="I3116" s="6" t="s">
        <v>14</v>
      </c>
      <c r="J3116" s="6" t="s">
        <v>1121</v>
      </c>
      <c r="K3116" s="6">
        <v>4465</v>
      </c>
      <c r="L3116" s="7" t="s">
        <v>3849</v>
      </c>
      <c r="M3116" s="8">
        <v>1146507</v>
      </c>
      <c r="N3116" s="8" t="str">
        <f t="shared" si="241"/>
        <v>PEN</v>
      </c>
      <c r="O3116" s="13"/>
      <c r="P3116" s="13">
        <v>5858</v>
      </c>
      <c r="Q3116" s="3">
        <f t="shared" si="242"/>
        <v>0</v>
      </c>
      <c r="R3116" s="3">
        <f t="shared" si="243"/>
        <v>5858</v>
      </c>
      <c r="S3116" s="3">
        <f t="shared" si="244"/>
        <v>49189.289999999994</v>
      </c>
      <c r="T3116" s="24" t="s">
        <v>1081</v>
      </c>
      <c r="U3116" s="24" t="s">
        <v>1081</v>
      </c>
      <c r="V3116" s="103" t="s">
        <v>3850</v>
      </c>
      <c r="W3116" s="25">
        <f>IFERROR(VLOOKUP(BCP_Soles[[#This Row],[DESTINATARIO]],CHOOSE({1,2},Clientes_Proveedores[Razon Social],Clientes_Proveedores[Ruc / Dni]),2,0),"")</f>
        <v>20558275082</v>
      </c>
      <c r="X3116" s="25"/>
      <c r="Y3116" s="25"/>
      <c r="Z3116" s="25"/>
      <c r="AA3116" s="101"/>
      <c r="AB3116" s="3" t="str">
        <f>IF(BCP_Soles[[#This Row],[FECHA]]&gt;0,TEXT(BCP_Soles[[#This Row],[FECHA]],"mmmm"),0)</f>
        <v>Agosto</v>
      </c>
    </row>
    <row r="3117" spans="2:28" ht="24" x14ac:dyDescent="0.3">
      <c r="B3117" s="2">
        <f>IF(BCP_Soles[[#This Row],[TIPO DE R.]]="R",COUNTIFS($D$4:$D3116,"R")+1,"")</f>
        <v>2169</v>
      </c>
      <c r="C3117" s="19" t="str">
        <f t="shared" si="240"/>
        <v>B-BCP - Soles</v>
      </c>
      <c r="D3117" s="3" t="s">
        <v>1074</v>
      </c>
      <c r="E3117" s="14">
        <v>45877</v>
      </c>
      <c r="F3117" s="5" t="s">
        <v>1082</v>
      </c>
      <c r="G3117" s="5" t="s">
        <v>1079</v>
      </c>
      <c r="H3117" s="6" t="s">
        <v>836</v>
      </c>
      <c r="I3117" s="6"/>
      <c r="J3117" s="6"/>
      <c r="K3117" s="6"/>
      <c r="L3117" s="7" t="s">
        <v>2794</v>
      </c>
      <c r="M3117" s="8">
        <v>1296405</v>
      </c>
      <c r="N3117" s="8" t="str">
        <f t="shared" si="241"/>
        <v>PEN</v>
      </c>
      <c r="O3117" s="13"/>
      <c r="P3117" s="13">
        <v>2000</v>
      </c>
      <c r="Q3117" s="3">
        <f t="shared" si="242"/>
        <v>0</v>
      </c>
      <c r="R3117" s="3">
        <f t="shared" si="243"/>
        <v>2000</v>
      </c>
      <c r="S3117" s="3">
        <f t="shared" si="244"/>
        <v>47189.289999999994</v>
      </c>
      <c r="T3117" s="24"/>
      <c r="U3117" s="24"/>
      <c r="V3117" s="103" t="s">
        <v>3851</v>
      </c>
      <c r="W3117" s="25">
        <f>IFERROR(VLOOKUP(BCP_Soles[[#This Row],[DESTINATARIO]],CHOOSE({1,2},Clientes_Proveedores[Razon Social],Clientes_Proveedores[Ruc / Dni]),2,0),"")</f>
        <v>72144092</v>
      </c>
      <c r="X3117" s="25"/>
      <c r="Y3117" s="25"/>
      <c r="Z3117" s="25"/>
      <c r="AA3117" s="101"/>
      <c r="AB3117" s="3" t="str">
        <f>IF(BCP_Soles[[#This Row],[FECHA]]&gt;0,TEXT(BCP_Soles[[#This Row],[FECHA]],"mmmm"),0)</f>
        <v>Agosto</v>
      </c>
    </row>
    <row r="3118" spans="2:28" x14ac:dyDescent="0.3">
      <c r="B3118" s="2">
        <f>IF(BCP_Soles[[#This Row],[TIPO DE R.]]="R",COUNTIFS($D$4:$D3117,"R")+1,"")</f>
        <v>2170</v>
      </c>
      <c r="C3118" s="19" t="str">
        <f t="shared" si="240"/>
        <v>B-BCP - Soles</v>
      </c>
      <c r="D3118" s="3" t="s">
        <v>1074</v>
      </c>
      <c r="E3118" s="14">
        <v>45877</v>
      </c>
      <c r="F3118" s="5" t="s">
        <v>1082</v>
      </c>
      <c r="G3118" s="5" t="s">
        <v>1079</v>
      </c>
      <c r="H3118" s="6" t="s">
        <v>638</v>
      </c>
      <c r="I3118" s="6"/>
      <c r="J3118" s="6"/>
      <c r="K3118" s="6"/>
      <c r="L3118" s="7" t="s">
        <v>3852</v>
      </c>
      <c r="M3118" s="8">
        <v>58607</v>
      </c>
      <c r="N3118" s="8" t="str">
        <f t="shared" si="241"/>
        <v>PEN</v>
      </c>
      <c r="O3118" s="13"/>
      <c r="P3118" s="13">
        <v>389.8</v>
      </c>
      <c r="Q3118" s="3">
        <f t="shared" si="242"/>
        <v>0</v>
      </c>
      <c r="R3118" s="3">
        <f t="shared" si="243"/>
        <v>389.8</v>
      </c>
      <c r="S3118" s="3">
        <f t="shared" si="244"/>
        <v>46799.489999999991</v>
      </c>
      <c r="T3118" s="24" t="s">
        <v>1081</v>
      </c>
      <c r="U3118" s="24" t="s">
        <v>1081</v>
      </c>
      <c r="V3118" s="103" t="s">
        <v>3853</v>
      </c>
      <c r="W3118" s="25">
        <f>IFERROR(VLOOKUP(BCP_Soles[[#This Row],[DESTINATARIO]],CHOOSE({1,2},Clientes_Proveedores[Razon Social],Clientes_Proveedores[Ruc / Dni]),2,0),"")</f>
        <v>0</v>
      </c>
      <c r="X3118" s="25"/>
      <c r="Y3118" s="25"/>
      <c r="Z3118" s="25"/>
      <c r="AA3118" s="101"/>
      <c r="AB3118" s="3" t="str">
        <f>IF(BCP_Soles[[#This Row],[FECHA]]&gt;0,TEXT(BCP_Soles[[#This Row],[FECHA]],"mmmm"),0)</f>
        <v>Agosto</v>
      </c>
    </row>
    <row r="3119" spans="2:28" ht="24" x14ac:dyDescent="0.3">
      <c r="B3119" s="2" t="str">
        <f>IF(BCP_Soles[[#This Row],[TIPO DE R.]]="R",COUNTIFS($D$4:$D3118,"R")+1,"")</f>
        <v/>
      </c>
      <c r="C3119" s="19" t="str">
        <f t="shared" si="240"/>
        <v>B-BCP - Soles</v>
      </c>
      <c r="D3119" s="3" t="s">
        <v>1101</v>
      </c>
      <c r="E3119" s="14">
        <v>45877</v>
      </c>
      <c r="F3119" s="5" t="s">
        <v>1082</v>
      </c>
      <c r="G3119" s="5"/>
      <c r="H3119" s="6" t="s">
        <v>536</v>
      </c>
      <c r="I3119" s="6" t="s">
        <v>14</v>
      </c>
      <c r="J3119" s="6" t="s">
        <v>1121</v>
      </c>
      <c r="K3119" s="6">
        <v>2420</v>
      </c>
      <c r="L3119" s="7" t="s">
        <v>3852</v>
      </c>
      <c r="M3119" s="8">
        <v>58607</v>
      </c>
      <c r="N3119" s="8" t="str">
        <f t="shared" si="241"/>
        <v>PEN</v>
      </c>
      <c r="O3119" s="13">
        <v>70.8</v>
      </c>
      <c r="P3119" s="13"/>
      <c r="Q3119" s="3">
        <f t="shared" si="242"/>
        <v>0</v>
      </c>
      <c r="R3119" s="3">
        <f t="shared" si="243"/>
        <v>0</v>
      </c>
      <c r="S3119" s="3">
        <f t="shared" si="244"/>
        <v>46799.489999999991</v>
      </c>
      <c r="T3119" s="24" t="s">
        <v>1081</v>
      </c>
      <c r="U3119" s="24" t="s">
        <v>1081</v>
      </c>
      <c r="V3119" s="69"/>
      <c r="W3119" s="25">
        <f>IFERROR(VLOOKUP(BCP_Soles[[#This Row],[DESTINATARIO]],CHOOSE({1,2},Clientes_Proveedores[Razon Social],Clientes_Proveedores[Ruc / Dni]),2,0),"")</f>
        <v>20609764261</v>
      </c>
      <c r="X3119" s="25"/>
      <c r="Y3119" s="25"/>
      <c r="Z3119" s="25"/>
      <c r="AA3119" s="101"/>
      <c r="AB3119" s="3" t="str">
        <f>IF(BCP_Soles[[#This Row],[FECHA]]&gt;0,TEXT(BCP_Soles[[#This Row],[FECHA]],"mmmm"),0)</f>
        <v>Agosto</v>
      </c>
    </row>
    <row r="3120" spans="2:28" ht="24" x14ac:dyDescent="0.3">
      <c r="B3120" s="2" t="str">
        <f>IF(BCP_Soles[[#This Row],[TIPO DE R.]]="R",COUNTIFS($D$4:$D3119,"R")+1,"")</f>
        <v/>
      </c>
      <c r="C3120" s="19" t="str">
        <f t="shared" si="240"/>
        <v>B-BCP - Soles</v>
      </c>
      <c r="D3120" s="3" t="s">
        <v>1101</v>
      </c>
      <c r="E3120" s="14">
        <v>45877</v>
      </c>
      <c r="F3120" s="5" t="s">
        <v>1082</v>
      </c>
      <c r="G3120" s="5"/>
      <c r="H3120" s="6" t="s">
        <v>536</v>
      </c>
      <c r="I3120" s="6" t="s">
        <v>14</v>
      </c>
      <c r="J3120" s="6" t="s">
        <v>1121</v>
      </c>
      <c r="K3120" s="6">
        <v>2419</v>
      </c>
      <c r="L3120" s="7" t="s">
        <v>3852</v>
      </c>
      <c r="M3120" s="8">
        <v>58607</v>
      </c>
      <c r="N3120" s="8" t="str">
        <f t="shared" si="241"/>
        <v>PEN</v>
      </c>
      <c r="O3120" s="13">
        <v>94.4</v>
      </c>
      <c r="P3120" s="13"/>
      <c r="Q3120" s="3">
        <f t="shared" si="242"/>
        <v>0</v>
      </c>
      <c r="R3120" s="3">
        <f t="shared" si="243"/>
        <v>0</v>
      </c>
      <c r="S3120" s="3">
        <f t="shared" si="244"/>
        <v>46799.489999999991</v>
      </c>
      <c r="T3120" s="24" t="s">
        <v>1081</v>
      </c>
      <c r="U3120" s="24" t="s">
        <v>1081</v>
      </c>
      <c r="V3120" s="69"/>
      <c r="W3120" s="25">
        <f>IFERROR(VLOOKUP(BCP_Soles[[#This Row],[DESTINATARIO]],CHOOSE({1,2},Clientes_Proveedores[Razon Social],Clientes_Proveedores[Ruc / Dni]),2,0),"")</f>
        <v>20609764261</v>
      </c>
      <c r="X3120" s="25"/>
      <c r="Y3120" s="25"/>
      <c r="Z3120" s="25"/>
      <c r="AA3120" s="101"/>
      <c r="AB3120" s="3" t="str">
        <f>IF(BCP_Soles[[#This Row],[FECHA]]&gt;0,TEXT(BCP_Soles[[#This Row],[FECHA]],"mmmm"),0)</f>
        <v>Agosto</v>
      </c>
    </row>
    <row r="3121" spans="2:28" ht="24" x14ac:dyDescent="0.3">
      <c r="B3121" s="2" t="str">
        <f>IF(BCP_Soles[[#This Row],[TIPO DE R.]]="R",COUNTIFS($D$4:$D3120,"R")+1,"")</f>
        <v/>
      </c>
      <c r="C3121" s="19" t="str">
        <f t="shared" si="240"/>
        <v>B-BCP - Soles</v>
      </c>
      <c r="D3121" s="3" t="s">
        <v>1101</v>
      </c>
      <c r="E3121" s="14">
        <v>45877</v>
      </c>
      <c r="F3121" s="5" t="s">
        <v>1082</v>
      </c>
      <c r="G3121" s="5"/>
      <c r="H3121" s="6" t="s">
        <v>536</v>
      </c>
      <c r="I3121" s="6" t="s">
        <v>14</v>
      </c>
      <c r="J3121" s="6" t="s">
        <v>1121</v>
      </c>
      <c r="K3121" s="6">
        <v>2401</v>
      </c>
      <c r="L3121" s="7" t="s">
        <v>3852</v>
      </c>
      <c r="M3121" s="8">
        <v>58607</v>
      </c>
      <c r="N3121" s="8" t="str">
        <f t="shared" si="241"/>
        <v>PEN</v>
      </c>
      <c r="O3121" s="13">
        <v>94.4</v>
      </c>
      <c r="P3121" s="13"/>
      <c r="Q3121" s="3">
        <f t="shared" si="242"/>
        <v>0</v>
      </c>
      <c r="R3121" s="3">
        <f t="shared" si="243"/>
        <v>0</v>
      </c>
      <c r="S3121" s="3">
        <f t="shared" si="244"/>
        <v>46799.489999999991</v>
      </c>
      <c r="T3121" s="24" t="s">
        <v>1081</v>
      </c>
      <c r="U3121" s="24" t="s">
        <v>1081</v>
      </c>
      <c r="V3121" s="69"/>
      <c r="W3121" s="25">
        <f>IFERROR(VLOOKUP(BCP_Soles[[#This Row],[DESTINATARIO]],CHOOSE({1,2},Clientes_Proveedores[Razon Social],Clientes_Proveedores[Ruc / Dni]),2,0),"")</f>
        <v>20609764261</v>
      </c>
      <c r="X3121" s="25"/>
      <c r="Y3121" s="25"/>
      <c r="Z3121" s="25"/>
      <c r="AA3121" s="101"/>
      <c r="AB3121" s="3" t="str">
        <f>IF(BCP_Soles[[#This Row],[FECHA]]&gt;0,TEXT(BCP_Soles[[#This Row],[FECHA]],"mmmm"),0)</f>
        <v>Agosto</v>
      </c>
    </row>
    <row r="3122" spans="2:28" x14ac:dyDescent="0.3">
      <c r="B3122" s="2" t="str">
        <f>IF(BCP_Soles[[#This Row],[TIPO DE R.]]="R",COUNTIFS($D$4:$D3121,"R")+1,"")</f>
        <v/>
      </c>
      <c r="C3122" s="19" t="str">
        <f t="shared" si="240"/>
        <v>B-BCP - Soles</v>
      </c>
      <c r="D3122" s="3" t="s">
        <v>1101</v>
      </c>
      <c r="E3122" s="14">
        <v>45877</v>
      </c>
      <c r="F3122" s="5" t="s">
        <v>1082</v>
      </c>
      <c r="G3122" s="5"/>
      <c r="H3122" s="6" t="s">
        <v>229</v>
      </c>
      <c r="I3122" s="6" t="s">
        <v>14</v>
      </c>
      <c r="J3122" s="6" t="s">
        <v>1429</v>
      </c>
      <c r="K3122" s="6">
        <v>1716</v>
      </c>
      <c r="L3122" s="7" t="s">
        <v>3852</v>
      </c>
      <c r="M3122" s="8">
        <v>58607</v>
      </c>
      <c r="N3122" s="8" t="str">
        <f t="shared" si="241"/>
        <v>PEN</v>
      </c>
      <c r="O3122" s="13">
        <v>130.19999999999999</v>
      </c>
      <c r="P3122" s="13"/>
      <c r="Q3122" s="3">
        <f t="shared" si="242"/>
        <v>0</v>
      </c>
      <c r="R3122" s="3">
        <f t="shared" si="243"/>
        <v>0</v>
      </c>
      <c r="S3122" s="3">
        <f t="shared" si="244"/>
        <v>46799.489999999991</v>
      </c>
      <c r="T3122" s="24" t="s">
        <v>1081</v>
      </c>
      <c r="U3122" s="24" t="s">
        <v>1081</v>
      </c>
      <c r="V3122" s="69"/>
      <c r="W3122" s="25">
        <f>IFERROR(VLOOKUP(BCP_Soles[[#This Row],[DESTINATARIO]],CHOOSE({1,2},Clientes_Proveedores[Razon Social],Clientes_Proveedores[Ruc / Dni]),2,0),"")</f>
        <v>20454186002</v>
      </c>
      <c r="X3122" s="25"/>
      <c r="Y3122" s="25"/>
      <c r="Z3122" s="25"/>
      <c r="AA3122" s="101"/>
      <c r="AB3122" s="3" t="str">
        <f>IF(BCP_Soles[[#This Row],[FECHA]]&gt;0,TEXT(BCP_Soles[[#This Row],[FECHA]],"mmmm"),0)</f>
        <v>Agosto</v>
      </c>
    </row>
    <row r="3123" spans="2:28" ht="24" x14ac:dyDescent="0.3">
      <c r="B3123" s="2">
        <f>IF(BCP_Soles[[#This Row],[TIPO DE R.]]="R",COUNTIFS($D$4:$D3122,"R")+1,"")</f>
        <v>2171</v>
      </c>
      <c r="C3123" s="19" t="str">
        <f t="shared" si="240"/>
        <v>B-BCP - Soles</v>
      </c>
      <c r="D3123" s="3" t="s">
        <v>1074</v>
      </c>
      <c r="E3123" s="14">
        <v>45877</v>
      </c>
      <c r="F3123" s="5" t="s">
        <v>1078</v>
      </c>
      <c r="G3123" s="5" t="s">
        <v>1079</v>
      </c>
      <c r="H3123" s="6" t="s">
        <v>1001</v>
      </c>
      <c r="I3123" s="6" t="s">
        <v>14</v>
      </c>
      <c r="J3123" s="6" t="s">
        <v>3128</v>
      </c>
      <c r="K3123" s="6">
        <v>35557942</v>
      </c>
      <c r="L3123" s="7" t="s">
        <v>3854</v>
      </c>
      <c r="M3123" s="8">
        <v>58612</v>
      </c>
      <c r="N3123" s="8" t="str">
        <f t="shared" si="241"/>
        <v>PEN</v>
      </c>
      <c r="O3123" s="13"/>
      <c r="P3123" s="13">
        <v>2.5</v>
      </c>
      <c r="Q3123" s="3">
        <f t="shared" si="242"/>
        <v>0</v>
      </c>
      <c r="R3123" s="3">
        <f t="shared" si="243"/>
        <v>2.5</v>
      </c>
      <c r="S3123" s="3">
        <f t="shared" si="244"/>
        <v>46796.989999999991</v>
      </c>
      <c r="T3123" s="24" t="s">
        <v>1081</v>
      </c>
      <c r="U3123" s="24" t="s">
        <v>1081</v>
      </c>
      <c r="V3123" s="69"/>
      <c r="W3123" s="25">
        <f>IFERROR(VLOOKUP(BCP_Soles[[#This Row],[DESTINATARIO]],CHOOSE({1,2},Clientes_Proveedores[Razon Social],Clientes_Proveedores[Ruc / Dni]),2,0),"")</f>
        <v>20100047218</v>
      </c>
      <c r="X3123" s="25"/>
      <c r="Y3123" s="25"/>
      <c r="Z3123" s="25"/>
      <c r="AA3123" s="101"/>
      <c r="AB3123" s="3" t="str">
        <f>IF(BCP_Soles[[#This Row],[FECHA]]&gt;0,TEXT(BCP_Soles[[#This Row],[FECHA]],"mmmm"),0)</f>
        <v>Agosto</v>
      </c>
    </row>
    <row r="3124" spans="2:28" x14ac:dyDescent="0.3">
      <c r="B3124" s="2">
        <f>IF(BCP_Soles[[#This Row],[TIPO DE R.]]="R",COUNTIFS($D$4:$D3123,"R")+1,"")</f>
        <v>2172</v>
      </c>
      <c r="C3124" s="19" t="str">
        <f t="shared" si="240"/>
        <v>B-BCP - Soles</v>
      </c>
      <c r="D3124" s="3" t="s">
        <v>1074</v>
      </c>
      <c r="E3124" s="14">
        <v>45877</v>
      </c>
      <c r="F3124" s="5" t="s">
        <v>1078</v>
      </c>
      <c r="G3124" s="5" t="s">
        <v>1079</v>
      </c>
      <c r="H3124" s="6"/>
      <c r="I3124" s="6"/>
      <c r="J3124" s="6"/>
      <c r="K3124" s="6"/>
      <c r="L3124" s="7" t="s">
        <v>2868</v>
      </c>
      <c r="M3124" s="8"/>
      <c r="N3124" s="8" t="str">
        <f t="shared" si="241"/>
        <v>PEN</v>
      </c>
      <c r="O3124" s="13"/>
      <c r="P3124" s="13">
        <v>1.3</v>
      </c>
      <c r="Q3124" s="3">
        <f t="shared" si="242"/>
        <v>0</v>
      </c>
      <c r="R3124" s="3">
        <f t="shared" si="243"/>
        <v>1.3</v>
      </c>
      <c r="S3124" s="3">
        <f t="shared" si="244"/>
        <v>46795.689999999988</v>
      </c>
      <c r="T3124" s="24"/>
      <c r="U3124" s="24"/>
      <c r="V3124" s="69"/>
      <c r="W3124" s="25" t="str">
        <f>IFERROR(VLOOKUP(BCP_Soles[[#This Row],[DESTINATARIO]],CHOOSE({1,2},Clientes_Proveedores[Razon Social],Clientes_Proveedores[Ruc / Dni]),2,0),"")</f>
        <v/>
      </c>
      <c r="X3124" s="25"/>
      <c r="Y3124" s="25"/>
      <c r="Z3124" s="25"/>
      <c r="AA3124" s="101"/>
      <c r="AB3124" s="3" t="str">
        <f>IF(BCP_Soles[[#This Row],[FECHA]]&gt;0,TEXT(BCP_Soles[[#This Row],[FECHA]],"mmmm"),0)</f>
        <v>Agosto</v>
      </c>
    </row>
    <row r="3125" spans="2:28" x14ac:dyDescent="0.3">
      <c r="B3125" s="2">
        <f>IF(BCP_Soles[[#This Row],[TIPO DE R.]]="R",COUNTIFS($D$4:$D3124,"R")+1,"")</f>
        <v>2173</v>
      </c>
      <c r="C3125" s="19" t="str">
        <f t="shared" si="240"/>
        <v>B-BCP - Soles</v>
      </c>
      <c r="D3125" s="3" t="s">
        <v>1074</v>
      </c>
      <c r="E3125" s="14">
        <v>45880</v>
      </c>
      <c r="F3125" s="5" t="s">
        <v>1996</v>
      </c>
      <c r="G3125" s="5" t="s">
        <v>1079</v>
      </c>
      <c r="H3125" s="6" t="s">
        <v>350</v>
      </c>
      <c r="I3125" s="6" t="s">
        <v>14</v>
      </c>
      <c r="J3125" s="6" t="s">
        <v>3855</v>
      </c>
      <c r="K3125" s="6">
        <v>15607</v>
      </c>
      <c r="L3125" s="7" t="s">
        <v>3856</v>
      </c>
      <c r="M3125" s="8">
        <v>213427</v>
      </c>
      <c r="N3125" s="8" t="str">
        <f t="shared" si="241"/>
        <v>PEN</v>
      </c>
      <c r="O3125" s="13"/>
      <c r="P3125" s="13">
        <v>196.52</v>
      </c>
      <c r="Q3125" s="3">
        <f t="shared" si="242"/>
        <v>0</v>
      </c>
      <c r="R3125" s="3">
        <f t="shared" si="243"/>
        <v>196.52</v>
      </c>
      <c r="S3125" s="3">
        <f t="shared" si="244"/>
        <v>46599.169999999991</v>
      </c>
      <c r="T3125" s="24" t="s">
        <v>1081</v>
      </c>
      <c r="U3125" s="24" t="s">
        <v>1081</v>
      </c>
      <c r="V3125" s="103" t="s">
        <v>3857</v>
      </c>
      <c r="W3125" s="25">
        <f>IFERROR(VLOOKUP(BCP_Soles[[#This Row],[DESTINATARIO]],CHOOSE({1,2},Clientes_Proveedores[Razon Social],Clientes_Proveedores[Ruc / Dni]),2,0),"")</f>
        <v>20549068201</v>
      </c>
      <c r="X3125" s="25"/>
      <c r="Y3125" s="25"/>
      <c r="Z3125" s="25"/>
      <c r="AA3125" s="101"/>
      <c r="AB3125" s="3" t="str">
        <f>IF(BCP_Soles[[#This Row],[FECHA]]&gt;0,TEXT(BCP_Soles[[#This Row],[FECHA]],"mmmm"),0)</f>
        <v>Agosto</v>
      </c>
    </row>
    <row r="3126" spans="2:28" x14ac:dyDescent="0.3">
      <c r="B3126" s="2">
        <f>IF(BCP_Soles[[#This Row],[TIPO DE R.]]="R",COUNTIFS($D$4:$D3125,"R")+1,"")</f>
        <v>2174</v>
      </c>
      <c r="C3126" s="19" t="str">
        <f t="shared" si="240"/>
        <v>B-BCP - Soles</v>
      </c>
      <c r="D3126" s="3" t="s">
        <v>1074</v>
      </c>
      <c r="E3126" s="14">
        <v>45880</v>
      </c>
      <c r="F3126" s="5" t="s">
        <v>1996</v>
      </c>
      <c r="G3126" s="5" t="s">
        <v>1079</v>
      </c>
      <c r="H3126" s="6" t="s">
        <v>590</v>
      </c>
      <c r="I3126" s="6" t="s">
        <v>14</v>
      </c>
      <c r="J3126" s="6" t="s">
        <v>1119</v>
      </c>
      <c r="K3126" s="6">
        <v>1059728</v>
      </c>
      <c r="L3126" s="7" t="s">
        <v>1585</v>
      </c>
      <c r="M3126" s="8">
        <v>213428</v>
      </c>
      <c r="N3126" s="8" t="str">
        <f t="shared" si="241"/>
        <v>PEN</v>
      </c>
      <c r="O3126" s="13"/>
      <c r="P3126" s="13">
        <v>120.36</v>
      </c>
      <c r="Q3126" s="3">
        <f t="shared" si="242"/>
        <v>0</v>
      </c>
      <c r="R3126" s="3">
        <f t="shared" si="243"/>
        <v>120.36</v>
      </c>
      <c r="S3126" s="3">
        <f t="shared" si="244"/>
        <v>46478.80999999999</v>
      </c>
      <c r="T3126" s="24" t="s">
        <v>1081</v>
      </c>
      <c r="U3126" s="24" t="s">
        <v>1081</v>
      </c>
      <c r="V3126" s="103" t="s">
        <v>3858</v>
      </c>
      <c r="W3126" s="25">
        <f>IFERROR(VLOOKUP(BCP_Soles[[#This Row],[DESTINATARIO]],CHOOSE({1,2},Clientes_Proveedores[Razon Social],Clientes_Proveedores[Ruc / Dni]),2,0),"")</f>
        <v>20265681299</v>
      </c>
      <c r="X3126" s="25"/>
      <c r="Y3126" s="25"/>
      <c r="Z3126" s="25"/>
      <c r="AA3126" s="101"/>
      <c r="AB3126" s="3" t="str">
        <f>IF(BCP_Soles[[#This Row],[FECHA]]&gt;0,TEXT(BCP_Soles[[#This Row],[FECHA]],"mmmm"),0)</f>
        <v>Agosto</v>
      </c>
    </row>
    <row r="3127" spans="2:28" x14ac:dyDescent="0.3">
      <c r="B3127" s="2">
        <f>IF(BCP_Soles[[#This Row],[TIPO DE R.]]="R",COUNTIFS($D$4:$D3126,"R")+1,"")</f>
        <v>2175</v>
      </c>
      <c r="C3127" s="19" t="str">
        <f t="shared" si="240"/>
        <v>B-BCP - Soles</v>
      </c>
      <c r="D3127" s="3" t="s">
        <v>1074</v>
      </c>
      <c r="E3127" s="14">
        <v>45880</v>
      </c>
      <c r="F3127" s="5" t="s">
        <v>1996</v>
      </c>
      <c r="G3127" s="5" t="s">
        <v>1079</v>
      </c>
      <c r="H3127" s="6" t="s">
        <v>638</v>
      </c>
      <c r="I3127" s="6"/>
      <c r="J3127" s="6"/>
      <c r="K3127" s="6"/>
      <c r="L3127" s="7" t="s">
        <v>3859</v>
      </c>
      <c r="M3127" s="8">
        <v>804746</v>
      </c>
      <c r="N3127" s="8" t="str">
        <f t="shared" si="241"/>
        <v>PEN</v>
      </c>
      <c r="O3127" s="13"/>
      <c r="P3127" s="13">
        <v>8322.4</v>
      </c>
      <c r="Q3127" s="3">
        <f t="shared" si="242"/>
        <v>0</v>
      </c>
      <c r="R3127" s="3">
        <f t="shared" si="243"/>
        <v>8322.4</v>
      </c>
      <c r="S3127" s="3">
        <f t="shared" si="244"/>
        <v>38156.409999999989</v>
      </c>
      <c r="T3127" s="24" t="s">
        <v>1081</v>
      </c>
      <c r="U3127" s="24" t="s">
        <v>1081</v>
      </c>
      <c r="V3127" s="103" t="s">
        <v>3860</v>
      </c>
      <c r="W3127" s="25">
        <f>IFERROR(VLOOKUP(BCP_Soles[[#This Row],[DESTINATARIO]],CHOOSE({1,2},Clientes_Proveedores[Razon Social],Clientes_Proveedores[Ruc / Dni]),2,0),"")</f>
        <v>0</v>
      </c>
      <c r="X3127" s="25"/>
      <c r="Y3127" s="25"/>
      <c r="Z3127" s="25"/>
      <c r="AA3127" s="101"/>
      <c r="AB3127" s="3" t="str">
        <f>IF(BCP_Soles[[#This Row],[FECHA]]&gt;0,TEXT(BCP_Soles[[#This Row],[FECHA]],"mmmm"),0)</f>
        <v>Agosto</v>
      </c>
    </row>
    <row r="3128" spans="2:28" ht="36" x14ac:dyDescent="0.3">
      <c r="B3128" s="2" t="str">
        <f>IF(BCP_Soles[[#This Row],[TIPO DE R.]]="R",COUNTIFS($D$4:$D3127,"R")+1,"")</f>
        <v/>
      </c>
      <c r="C3128" s="19" t="str">
        <f t="shared" si="240"/>
        <v>B-BCP - Soles</v>
      </c>
      <c r="D3128" s="3" t="s">
        <v>1101</v>
      </c>
      <c r="E3128" s="14">
        <v>45880</v>
      </c>
      <c r="F3128" s="5" t="s">
        <v>1996</v>
      </c>
      <c r="G3128" s="5"/>
      <c r="H3128" s="6" t="s">
        <v>220</v>
      </c>
      <c r="I3128" s="6" t="s">
        <v>14</v>
      </c>
      <c r="J3128" s="6" t="s">
        <v>1148</v>
      </c>
      <c r="K3128" s="6">
        <v>1833</v>
      </c>
      <c r="L3128" s="7" t="s">
        <v>3859</v>
      </c>
      <c r="M3128" s="8">
        <v>804746</v>
      </c>
      <c r="N3128" s="8" t="str">
        <f t="shared" si="241"/>
        <v>PEN</v>
      </c>
      <c r="O3128" s="13">
        <v>1344</v>
      </c>
      <c r="P3128" s="13"/>
      <c r="Q3128" s="3">
        <f t="shared" si="242"/>
        <v>0</v>
      </c>
      <c r="R3128" s="3">
        <f t="shared" si="243"/>
        <v>0</v>
      </c>
      <c r="S3128" s="3">
        <f t="shared" si="244"/>
        <v>38156.409999999989</v>
      </c>
      <c r="T3128" s="28" t="s">
        <v>1081</v>
      </c>
      <c r="U3128" s="24" t="s">
        <v>1081</v>
      </c>
      <c r="V3128" s="69"/>
      <c r="W3128" s="25">
        <f>IFERROR(VLOOKUP(BCP_Soles[[#This Row],[DESTINATARIO]],CHOOSE({1,2},Clientes_Proveedores[Razon Social],Clientes_Proveedores[Ruc / Dni]),2,0),"")</f>
        <v>20429640939</v>
      </c>
      <c r="X3128" s="25"/>
      <c r="Y3128" s="25"/>
      <c r="Z3128" s="25"/>
      <c r="AA3128" s="101"/>
      <c r="AB3128" s="3" t="str">
        <f>IF(BCP_Soles[[#This Row],[FECHA]]&gt;0,TEXT(BCP_Soles[[#This Row],[FECHA]],"mmmm"),0)</f>
        <v>Agosto</v>
      </c>
    </row>
    <row r="3129" spans="2:28" ht="36" x14ac:dyDescent="0.3">
      <c r="B3129" s="2" t="str">
        <f>IF(BCP_Soles[[#This Row],[TIPO DE R.]]="R",COUNTIFS($D$4:$D3128,"R")+1,"")</f>
        <v/>
      </c>
      <c r="C3129" s="19" t="str">
        <f t="shared" si="240"/>
        <v>B-BCP - Soles</v>
      </c>
      <c r="D3129" s="3" t="s">
        <v>1101</v>
      </c>
      <c r="E3129" s="14">
        <v>45880</v>
      </c>
      <c r="F3129" s="5" t="s">
        <v>1996</v>
      </c>
      <c r="G3129" s="5"/>
      <c r="H3129" s="6" t="s">
        <v>220</v>
      </c>
      <c r="I3129" s="6" t="s">
        <v>14</v>
      </c>
      <c r="J3129" s="6" t="s">
        <v>1148</v>
      </c>
      <c r="K3129" s="6">
        <v>1822</v>
      </c>
      <c r="L3129" s="7" t="s">
        <v>3859</v>
      </c>
      <c r="M3129" s="8">
        <v>804746</v>
      </c>
      <c r="N3129" s="8" t="str">
        <f t="shared" si="241"/>
        <v>PEN</v>
      </c>
      <c r="O3129" s="13">
        <v>2544</v>
      </c>
      <c r="P3129" s="13"/>
      <c r="Q3129" s="3">
        <f t="shared" si="242"/>
        <v>0</v>
      </c>
      <c r="R3129" s="3">
        <f t="shared" si="243"/>
        <v>0</v>
      </c>
      <c r="S3129" s="3">
        <f t="shared" si="244"/>
        <v>38156.409999999989</v>
      </c>
      <c r="T3129" s="28" t="s">
        <v>1081</v>
      </c>
      <c r="U3129" s="24" t="s">
        <v>1081</v>
      </c>
      <c r="V3129" s="69"/>
      <c r="W3129" s="25">
        <f>IFERROR(VLOOKUP(BCP_Soles[[#This Row],[DESTINATARIO]],CHOOSE({1,2},Clientes_Proveedores[Razon Social],Clientes_Proveedores[Ruc / Dni]),2,0),"")</f>
        <v>20429640939</v>
      </c>
      <c r="X3129" s="25"/>
      <c r="Y3129" s="25"/>
      <c r="Z3129" s="25"/>
      <c r="AA3129" s="101"/>
      <c r="AB3129" s="3" t="str">
        <f>IF(BCP_Soles[[#This Row],[FECHA]]&gt;0,TEXT(BCP_Soles[[#This Row],[FECHA]],"mmmm"),0)</f>
        <v>Agosto</v>
      </c>
    </row>
    <row r="3130" spans="2:28" ht="36" x14ac:dyDescent="0.3">
      <c r="B3130" s="2" t="str">
        <f>IF(BCP_Soles[[#This Row],[TIPO DE R.]]="R",COUNTIFS($D$4:$D3129,"R")+1,"")</f>
        <v/>
      </c>
      <c r="C3130" s="19" t="str">
        <f t="shared" si="240"/>
        <v>B-BCP - Soles</v>
      </c>
      <c r="D3130" s="3" t="s">
        <v>1101</v>
      </c>
      <c r="E3130" s="14">
        <v>45880</v>
      </c>
      <c r="F3130" s="5" t="s">
        <v>1996</v>
      </c>
      <c r="G3130" s="5"/>
      <c r="H3130" s="6" t="s">
        <v>511</v>
      </c>
      <c r="I3130" s="6" t="s">
        <v>14</v>
      </c>
      <c r="J3130" s="6" t="s">
        <v>1121</v>
      </c>
      <c r="K3130" s="6">
        <v>684</v>
      </c>
      <c r="L3130" s="7" t="s">
        <v>3859</v>
      </c>
      <c r="M3130" s="8">
        <v>804746</v>
      </c>
      <c r="N3130" s="8" t="str">
        <f t="shared" si="241"/>
        <v>PEN</v>
      </c>
      <c r="O3130" s="13">
        <v>793</v>
      </c>
      <c r="P3130" s="13"/>
      <c r="Q3130" s="3">
        <f t="shared" si="242"/>
        <v>0</v>
      </c>
      <c r="R3130" s="3">
        <f t="shared" si="243"/>
        <v>0</v>
      </c>
      <c r="S3130" s="3">
        <f t="shared" si="244"/>
        <v>38156.409999999989</v>
      </c>
      <c r="T3130" s="28" t="s">
        <v>1081</v>
      </c>
      <c r="U3130" s="24" t="s">
        <v>1081</v>
      </c>
      <c r="V3130" s="69"/>
      <c r="W3130" s="25">
        <f>IFERROR(VLOOKUP(BCP_Soles[[#This Row],[DESTINATARIO]],CHOOSE({1,2},Clientes_Proveedores[Razon Social],Clientes_Proveedores[Ruc / Dni]),2,0),"")</f>
        <v>20608686747</v>
      </c>
      <c r="X3130" s="25"/>
      <c r="Y3130" s="25"/>
      <c r="Z3130" s="25"/>
      <c r="AA3130" s="101"/>
      <c r="AB3130" s="3" t="str">
        <f>IF(BCP_Soles[[#This Row],[FECHA]]&gt;0,TEXT(BCP_Soles[[#This Row],[FECHA]],"mmmm"),0)</f>
        <v>Agosto</v>
      </c>
    </row>
    <row r="3131" spans="2:28" ht="36" x14ac:dyDescent="0.3">
      <c r="B3131" s="2" t="str">
        <f>IF(BCP_Soles[[#This Row],[TIPO DE R.]]="R",COUNTIFS($D$4:$D3130,"R")+1,"")</f>
        <v/>
      </c>
      <c r="C3131" s="19" t="str">
        <f t="shared" si="240"/>
        <v>B-BCP - Soles</v>
      </c>
      <c r="D3131" s="3" t="s">
        <v>1101</v>
      </c>
      <c r="E3131" s="14">
        <v>45880</v>
      </c>
      <c r="F3131" s="5" t="s">
        <v>1996</v>
      </c>
      <c r="G3131" s="5"/>
      <c r="H3131" s="6" t="s">
        <v>220</v>
      </c>
      <c r="I3131" s="6" t="s">
        <v>14</v>
      </c>
      <c r="J3131" s="6" t="s">
        <v>1148</v>
      </c>
      <c r="K3131" s="6">
        <v>1843</v>
      </c>
      <c r="L3131" s="7" t="s">
        <v>3859</v>
      </c>
      <c r="M3131" s="8">
        <v>804746</v>
      </c>
      <c r="N3131" s="8" t="str">
        <f t="shared" si="241"/>
        <v>PEN</v>
      </c>
      <c r="O3131" s="13">
        <v>2544</v>
      </c>
      <c r="P3131" s="13"/>
      <c r="Q3131" s="3">
        <f t="shared" si="242"/>
        <v>0</v>
      </c>
      <c r="R3131" s="3">
        <f t="shared" si="243"/>
        <v>0</v>
      </c>
      <c r="S3131" s="3">
        <f t="shared" si="244"/>
        <v>38156.409999999989</v>
      </c>
      <c r="T3131" s="28" t="s">
        <v>1081</v>
      </c>
      <c r="U3131" s="24" t="s">
        <v>1081</v>
      </c>
      <c r="V3131" s="69"/>
      <c r="W3131" s="25">
        <f>IFERROR(VLOOKUP(BCP_Soles[[#This Row],[DESTINATARIO]],CHOOSE({1,2},Clientes_Proveedores[Razon Social],Clientes_Proveedores[Ruc / Dni]),2,0),"")</f>
        <v>20429640939</v>
      </c>
      <c r="X3131" s="25"/>
      <c r="Y3131" s="25"/>
      <c r="Z3131" s="25"/>
      <c r="AA3131" s="101"/>
      <c r="AB3131" s="3" t="str">
        <f>IF(BCP_Soles[[#This Row],[FECHA]]&gt;0,TEXT(BCP_Soles[[#This Row],[FECHA]],"mmmm"),0)</f>
        <v>Agosto</v>
      </c>
    </row>
    <row r="3132" spans="2:28" x14ac:dyDescent="0.3">
      <c r="B3132" s="2" t="str">
        <f>IF(BCP_Soles[[#This Row],[TIPO DE R.]]="R",COUNTIFS($D$4:$D3131,"R")+1,"")</f>
        <v/>
      </c>
      <c r="C3132" s="19" t="str">
        <f t="shared" si="240"/>
        <v>B-BCP - Soles</v>
      </c>
      <c r="D3132" s="3" t="s">
        <v>1101</v>
      </c>
      <c r="E3132" s="14">
        <v>45880</v>
      </c>
      <c r="F3132" s="5" t="s">
        <v>1996</v>
      </c>
      <c r="G3132" s="5"/>
      <c r="H3132" s="6" t="s">
        <v>465</v>
      </c>
      <c r="I3132" s="6" t="s">
        <v>14</v>
      </c>
      <c r="J3132" s="6" t="s">
        <v>1121</v>
      </c>
      <c r="K3132" s="6">
        <v>4058</v>
      </c>
      <c r="L3132" s="7" t="s">
        <v>3859</v>
      </c>
      <c r="M3132" s="8">
        <v>804746</v>
      </c>
      <c r="N3132" s="8" t="str">
        <f t="shared" si="241"/>
        <v>PEN</v>
      </c>
      <c r="O3132" s="13">
        <v>351.05</v>
      </c>
      <c r="P3132" s="13"/>
      <c r="Q3132" s="3">
        <f t="shared" si="242"/>
        <v>0</v>
      </c>
      <c r="R3132" s="3">
        <f t="shared" si="243"/>
        <v>0</v>
      </c>
      <c r="S3132" s="3">
        <f t="shared" si="244"/>
        <v>38156.409999999989</v>
      </c>
      <c r="T3132" s="28" t="s">
        <v>1081</v>
      </c>
      <c r="U3132" s="24" t="s">
        <v>1081</v>
      </c>
      <c r="V3132" s="69"/>
      <c r="W3132" s="25">
        <f>IFERROR(VLOOKUP(BCP_Soles[[#This Row],[DESTINATARIO]],CHOOSE({1,2},Clientes_Proveedores[Razon Social],Clientes_Proveedores[Ruc / Dni]),2,0),"")</f>
        <v>20603974817</v>
      </c>
      <c r="X3132" s="25"/>
      <c r="Y3132" s="25"/>
      <c r="Z3132" s="25"/>
      <c r="AA3132" s="101"/>
      <c r="AB3132" s="3" t="str">
        <f>IF(BCP_Soles[[#This Row],[FECHA]]&gt;0,TEXT(BCP_Soles[[#This Row],[FECHA]],"mmmm"),0)</f>
        <v>Agosto</v>
      </c>
    </row>
    <row r="3133" spans="2:28" x14ac:dyDescent="0.3">
      <c r="B3133" s="2" t="str">
        <f>IF(BCP_Soles[[#This Row],[TIPO DE R.]]="R",COUNTIFS($D$4:$D3132,"R")+1,"")</f>
        <v/>
      </c>
      <c r="C3133" s="19" t="str">
        <f t="shared" si="240"/>
        <v>B-BCP - Soles</v>
      </c>
      <c r="D3133" s="3" t="s">
        <v>1101</v>
      </c>
      <c r="E3133" s="14">
        <v>45880</v>
      </c>
      <c r="F3133" s="5" t="s">
        <v>1996</v>
      </c>
      <c r="G3133" s="5"/>
      <c r="H3133" s="6" t="s">
        <v>465</v>
      </c>
      <c r="I3133" s="6" t="s">
        <v>14</v>
      </c>
      <c r="J3133" s="6" t="s">
        <v>1121</v>
      </c>
      <c r="K3133" s="6">
        <v>4083</v>
      </c>
      <c r="L3133" s="7" t="s">
        <v>3859</v>
      </c>
      <c r="M3133" s="8">
        <v>804746</v>
      </c>
      <c r="N3133" s="8" t="str">
        <f t="shared" si="241"/>
        <v>PEN</v>
      </c>
      <c r="O3133" s="13">
        <v>200.6</v>
      </c>
      <c r="P3133" s="13"/>
      <c r="Q3133" s="3">
        <f t="shared" si="242"/>
        <v>0</v>
      </c>
      <c r="R3133" s="3">
        <f t="shared" si="243"/>
        <v>0</v>
      </c>
      <c r="S3133" s="3">
        <f t="shared" si="244"/>
        <v>38156.409999999989</v>
      </c>
      <c r="T3133" s="28" t="s">
        <v>1081</v>
      </c>
      <c r="U3133" s="24" t="s">
        <v>1081</v>
      </c>
      <c r="V3133" s="69"/>
      <c r="W3133" s="25">
        <f>IFERROR(VLOOKUP(BCP_Soles[[#This Row],[DESTINATARIO]],CHOOSE({1,2},Clientes_Proveedores[Razon Social],Clientes_Proveedores[Ruc / Dni]),2,0),"")</f>
        <v>20603974817</v>
      </c>
      <c r="X3133" s="25"/>
      <c r="Y3133" s="25"/>
      <c r="Z3133" s="25"/>
      <c r="AA3133" s="101"/>
      <c r="AB3133" s="3" t="str">
        <f>IF(BCP_Soles[[#This Row],[FECHA]]&gt;0,TEXT(BCP_Soles[[#This Row],[FECHA]],"mmmm"),0)</f>
        <v>Agosto</v>
      </c>
    </row>
    <row r="3134" spans="2:28" x14ac:dyDescent="0.3">
      <c r="B3134" s="2" t="str">
        <f>IF(BCP_Soles[[#This Row],[TIPO DE R.]]="R",COUNTIFS($D$4:$D3133,"R")+1,"")</f>
        <v/>
      </c>
      <c r="C3134" s="19" t="str">
        <f t="shared" si="240"/>
        <v>B-BCP - Soles</v>
      </c>
      <c r="D3134" s="3" t="s">
        <v>1101</v>
      </c>
      <c r="E3134" s="14">
        <v>45880</v>
      </c>
      <c r="F3134" s="5" t="s">
        <v>1996</v>
      </c>
      <c r="G3134" s="5"/>
      <c r="H3134" s="6" t="s">
        <v>465</v>
      </c>
      <c r="I3134" s="6" t="s">
        <v>14</v>
      </c>
      <c r="J3134" s="6" t="s">
        <v>1121</v>
      </c>
      <c r="K3134" s="6">
        <v>4081</v>
      </c>
      <c r="L3134" s="7" t="s">
        <v>3859</v>
      </c>
      <c r="M3134" s="8">
        <v>804746</v>
      </c>
      <c r="N3134" s="8" t="str">
        <f t="shared" si="241"/>
        <v>PEN</v>
      </c>
      <c r="O3134" s="13">
        <v>451.35</v>
      </c>
      <c r="P3134" s="13"/>
      <c r="Q3134" s="3">
        <f t="shared" si="242"/>
        <v>0</v>
      </c>
      <c r="R3134" s="3">
        <f t="shared" si="243"/>
        <v>0</v>
      </c>
      <c r="S3134" s="3">
        <f t="shared" si="244"/>
        <v>38156.409999999989</v>
      </c>
      <c r="T3134" s="28" t="s">
        <v>1081</v>
      </c>
      <c r="U3134" s="24" t="s">
        <v>1081</v>
      </c>
      <c r="V3134" s="69"/>
      <c r="W3134" s="25">
        <f>IFERROR(VLOOKUP(BCP_Soles[[#This Row],[DESTINATARIO]],CHOOSE({1,2},Clientes_Proveedores[Razon Social],Clientes_Proveedores[Ruc / Dni]),2,0),"")</f>
        <v>20603974817</v>
      </c>
      <c r="X3134" s="25"/>
      <c r="Y3134" s="25"/>
      <c r="Z3134" s="25"/>
      <c r="AA3134" s="101"/>
      <c r="AB3134" s="3" t="str">
        <f>IF(BCP_Soles[[#This Row],[FECHA]]&gt;0,TEXT(BCP_Soles[[#This Row],[FECHA]],"mmmm"),0)</f>
        <v>Agosto</v>
      </c>
    </row>
    <row r="3135" spans="2:28" ht="24" x14ac:dyDescent="0.3">
      <c r="B3135" s="2" t="str">
        <f>IF(BCP_Soles[[#This Row],[TIPO DE R.]]="R",COUNTIFS($D$4:$D3134,"R")+1,"")</f>
        <v/>
      </c>
      <c r="C3135" s="19" t="str">
        <f t="shared" si="240"/>
        <v>B-BCP - Soles</v>
      </c>
      <c r="D3135" s="3" t="s">
        <v>1101</v>
      </c>
      <c r="E3135" s="14">
        <v>45880</v>
      </c>
      <c r="F3135" s="5" t="s">
        <v>1996</v>
      </c>
      <c r="G3135" s="5"/>
      <c r="H3135" s="6" t="s">
        <v>536</v>
      </c>
      <c r="I3135" s="6" t="s">
        <v>14</v>
      </c>
      <c r="J3135" s="6" t="s">
        <v>1121</v>
      </c>
      <c r="K3135" s="6">
        <v>2384</v>
      </c>
      <c r="L3135" s="7" t="s">
        <v>3859</v>
      </c>
      <c r="M3135" s="8">
        <v>804746</v>
      </c>
      <c r="N3135" s="8" t="str">
        <f t="shared" si="241"/>
        <v>PEN</v>
      </c>
      <c r="O3135" s="13">
        <v>94.4</v>
      </c>
      <c r="P3135" s="13"/>
      <c r="Q3135" s="3">
        <f t="shared" si="242"/>
        <v>0</v>
      </c>
      <c r="R3135" s="3">
        <f t="shared" si="243"/>
        <v>0</v>
      </c>
      <c r="S3135" s="3">
        <f t="shared" si="244"/>
        <v>38156.409999999989</v>
      </c>
      <c r="T3135" s="28" t="s">
        <v>1081</v>
      </c>
      <c r="U3135" s="24" t="s">
        <v>1081</v>
      </c>
      <c r="V3135" s="69"/>
      <c r="W3135" s="25">
        <f>IFERROR(VLOOKUP(BCP_Soles[[#This Row],[DESTINATARIO]],CHOOSE({1,2},Clientes_Proveedores[Razon Social],Clientes_Proveedores[Ruc / Dni]),2,0),"")</f>
        <v>20609764261</v>
      </c>
      <c r="X3135" s="25"/>
      <c r="Y3135" s="25"/>
      <c r="Z3135" s="25"/>
      <c r="AA3135" s="101"/>
      <c r="AB3135" s="3" t="str">
        <f>IF(BCP_Soles[[#This Row],[FECHA]]&gt;0,TEXT(BCP_Soles[[#This Row],[FECHA]],"mmmm"),0)</f>
        <v>Agosto</v>
      </c>
    </row>
    <row r="3136" spans="2:28" ht="24" x14ac:dyDescent="0.3">
      <c r="B3136" s="2">
        <f>IF(BCP_Soles[[#This Row],[TIPO DE R.]]="R",COUNTIFS($D$4:$D3135,"R")+1,"")</f>
        <v>2176</v>
      </c>
      <c r="C3136" s="19" t="str">
        <f t="shared" si="240"/>
        <v>B-BCP - Soles</v>
      </c>
      <c r="D3136" s="3" t="s">
        <v>1074</v>
      </c>
      <c r="E3136" s="14">
        <v>45880</v>
      </c>
      <c r="F3136" s="5" t="s">
        <v>1996</v>
      </c>
      <c r="G3136" s="5" t="s">
        <v>1079</v>
      </c>
      <c r="H3136" s="6" t="s">
        <v>536</v>
      </c>
      <c r="I3136" s="6" t="s">
        <v>14</v>
      </c>
      <c r="J3136" s="6" t="s">
        <v>1121</v>
      </c>
      <c r="K3136" s="6">
        <v>2243</v>
      </c>
      <c r="L3136" s="7" t="s">
        <v>3861</v>
      </c>
      <c r="M3136" s="8">
        <v>1214390</v>
      </c>
      <c r="N3136" s="8" t="str">
        <f t="shared" si="241"/>
        <v>PEN</v>
      </c>
      <c r="O3136" s="13"/>
      <c r="P3136" s="13">
        <v>70.8</v>
      </c>
      <c r="Q3136" s="3">
        <f t="shared" si="242"/>
        <v>0</v>
      </c>
      <c r="R3136" s="3">
        <f t="shared" si="243"/>
        <v>70.8</v>
      </c>
      <c r="S3136" s="3">
        <f t="shared" si="244"/>
        <v>38085.609999999986</v>
      </c>
      <c r="T3136" s="24" t="s">
        <v>1081</v>
      </c>
      <c r="U3136" s="24" t="s">
        <v>1081</v>
      </c>
      <c r="V3136" s="103" t="s">
        <v>3862</v>
      </c>
      <c r="W3136" s="25">
        <f>IFERROR(VLOOKUP(BCP_Soles[[#This Row],[DESTINATARIO]],CHOOSE({1,2},Clientes_Proveedores[Razon Social],Clientes_Proveedores[Ruc / Dni]),2,0),"")</f>
        <v>20609764261</v>
      </c>
      <c r="X3136" s="25"/>
      <c r="Y3136" s="25"/>
      <c r="Z3136" s="25"/>
      <c r="AA3136" s="101"/>
      <c r="AB3136" s="3" t="str">
        <f>IF(BCP_Soles[[#This Row],[FECHA]]&gt;0,TEXT(BCP_Soles[[#This Row],[FECHA]],"mmmm"),0)</f>
        <v>Agosto</v>
      </c>
    </row>
    <row r="3137" spans="2:28" x14ac:dyDescent="0.3">
      <c r="B3137" s="2">
        <f>IF(BCP_Soles[[#This Row],[TIPO DE R.]]="R",COUNTIFS($D$4:$D3136,"R")+1,"")</f>
        <v>2177</v>
      </c>
      <c r="C3137" s="19" t="str">
        <f t="shared" si="240"/>
        <v>B-BCP - Soles</v>
      </c>
      <c r="D3137" s="3" t="s">
        <v>1074</v>
      </c>
      <c r="E3137" s="14">
        <v>45880</v>
      </c>
      <c r="F3137" s="5" t="s">
        <v>1996</v>
      </c>
      <c r="G3137" s="5" t="s">
        <v>1079</v>
      </c>
      <c r="H3137" s="6" t="s">
        <v>817</v>
      </c>
      <c r="I3137" s="6"/>
      <c r="J3137" s="6"/>
      <c r="K3137" s="6"/>
      <c r="L3137" s="7" t="s">
        <v>3863</v>
      </c>
      <c r="M3137" s="8">
        <v>1214388</v>
      </c>
      <c r="N3137" s="8" t="str">
        <f t="shared" si="241"/>
        <v>PEN</v>
      </c>
      <c r="O3137" s="13"/>
      <c r="P3137" s="13">
        <v>400</v>
      </c>
      <c r="Q3137" s="3">
        <f t="shared" si="242"/>
        <v>0</v>
      </c>
      <c r="R3137" s="3">
        <f t="shared" si="243"/>
        <v>400</v>
      </c>
      <c r="S3137" s="3">
        <f t="shared" si="244"/>
        <v>37685.609999999986</v>
      </c>
      <c r="T3137" s="24"/>
      <c r="U3137" s="24"/>
      <c r="V3137" s="103" t="s">
        <v>3864</v>
      </c>
      <c r="W3137" s="25">
        <f>IFERROR(VLOOKUP(BCP_Soles[[#This Row],[DESTINATARIO]],CHOOSE({1,2},Clientes_Proveedores[Razon Social],Clientes_Proveedores[Ruc / Dni]),2,0),"")</f>
        <v>1829028</v>
      </c>
      <c r="X3137" s="25"/>
      <c r="Y3137" s="25"/>
      <c r="Z3137" s="25"/>
      <c r="AA3137" s="101"/>
      <c r="AB3137" s="3" t="str">
        <f>IF(BCP_Soles[[#This Row],[FECHA]]&gt;0,TEXT(BCP_Soles[[#This Row],[FECHA]],"mmmm"),0)</f>
        <v>Agosto</v>
      </c>
    </row>
    <row r="3138" spans="2:28" x14ac:dyDescent="0.3">
      <c r="B3138" s="2">
        <f>IF(BCP_Soles[[#This Row],[TIPO DE R.]]="R",COUNTIFS($D$4:$D3137,"R")+1,"")</f>
        <v>2178</v>
      </c>
      <c r="C3138" s="19" t="str">
        <f t="shared" si="240"/>
        <v>B-BCP - Soles</v>
      </c>
      <c r="D3138" s="3" t="s">
        <v>1074</v>
      </c>
      <c r="E3138" s="14">
        <v>45880</v>
      </c>
      <c r="F3138" s="5" t="s">
        <v>1078</v>
      </c>
      <c r="G3138" s="5" t="s">
        <v>1079</v>
      </c>
      <c r="H3138" s="6"/>
      <c r="I3138" s="6"/>
      <c r="J3138" s="6"/>
      <c r="K3138" s="6"/>
      <c r="L3138" s="7" t="s">
        <v>2868</v>
      </c>
      <c r="M3138" s="8"/>
      <c r="N3138" s="8" t="str">
        <f t="shared" si="241"/>
        <v>PEN</v>
      </c>
      <c r="O3138" s="13"/>
      <c r="P3138" s="13">
        <v>0.4</v>
      </c>
      <c r="Q3138" s="3">
        <f t="shared" si="242"/>
        <v>0</v>
      </c>
      <c r="R3138" s="3">
        <f t="shared" si="243"/>
        <v>0.4</v>
      </c>
      <c r="S3138" s="3">
        <f t="shared" si="244"/>
        <v>37685.209999999985</v>
      </c>
      <c r="T3138" s="24"/>
      <c r="U3138" s="24"/>
      <c r="V3138" s="69"/>
      <c r="W3138" s="25" t="str">
        <f>IFERROR(VLOOKUP(BCP_Soles[[#This Row],[DESTINATARIO]],CHOOSE({1,2},Clientes_Proveedores[Razon Social],Clientes_Proveedores[Ruc / Dni]),2,0),"")</f>
        <v/>
      </c>
      <c r="X3138" s="25"/>
      <c r="Y3138" s="25"/>
      <c r="Z3138" s="25"/>
      <c r="AA3138" s="101"/>
      <c r="AB3138" s="3" t="str">
        <f>IF(BCP_Soles[[#This Row],[FECHA]]&gt;0,TEXT(BCP_Soles[[#This Row],[FECHA]],"mmmm"),0)</f>
        <v>Agosto</v>
      </c>
    </row>
    <row r="3139" spans="2:28" ht="24" x14ac:dyDescent="0.3">
      <c r="B3139" s="2">
        <f>IF(BCP_Soles[[#This Row],[TIPO DE R.]]="R",COUNTIFS($D$4:$D3138,"R")+1,"")</f>
        <v>2179</v>
      </c>
      <c r="C3139" s="19" t="str">
        <f t="shared" si="240"/>
        <v>B-BCP - Soles</v>
      </c>
      <c r="D3139" s="3" t="s">
        <v>1074</v>
      </c>
      <c r="E3139" s="14">
        <v>45881</v>
      </c>
      <c r="F3139" s="5" t="s">
        <v>1996</v>
      </c>
      <c r="G3139" s="5" t="s">
        <v>1079</v>
      </c>
      <c r="H3139" s="6" t="s">
        <v>955</v>
      </c>
      <c r="I3139" s="6"/>
      <c r="J3139" s="6"/>
      <c r="K3139" s="6"/>
      <c r="L3139" s="7" t="s">
        <v>3863</v>
      </c>
      <c r="M3139" s="8">
        <v>1100218</v>
      </c>
      <c r="N3139" s="8" t="str">
        <f t="shared" si="241"/>
        <v>PEN</v>
      </c>
      <c r="O3139" s="13"/>
      <c r="P3139" s="13">
        <v>300</v>
      </c>
      <c r="Q3139" s="3">
        <f t="shared" si="242"/>
        <v>0</v>
      </c>
      <c r="R3139" s="3">
        <f t="shared" si="243"/>
        <v>300</v>
      </c>
      <c r="S3139" s="3">
        <f t="shared" si="244"/>
        <v>37385.209999999985</v>
      </c>
      <c r="T3139" s="24"/>
      <c r="U3139" s="24"/>
      <c r="V3139" s="69"/>
      <c r="W3139" s="25">
        <f>IFERROR(VLOOKUP(BCP_Soles[[#This Row],[DESTINATARIO]],CHOOSE({1,2},Clientes_Proveedores[Razon Social],Clientes_Proveedores[Ruc / Dni]),2,0),"")</f>
        <v>75560789</v>
      </c>
      <c r="X3139" s="25"/>
      <c r="Y3139" s="25"/>
      <c r="Z3139" s="25"/>
      <c r="AA3139" s="101"/>
      <c r="AB3139" s="3" t="str">
        <f>IF(BCP_Soles[[#This Row],[FECHA]]&gt;0,TEXT(BCP_Soles[[#This Row],[FECHA]],"mmmm"),0)</f>
        <v>Agosto</v>
      </c>
    </row>
    <row r="3140" spans="2:28" ht="24" x14ac:dyDescent="0.3">
      <c r="B3140" s="2">
        <f>IF(BCP_Soles[[#This Row],[TIPO DE R.]]="R",COUNTIFS($D$4:$D3139,"R")+1,"")</f>
        <v>2180</v>
      </c>
      <c r="C3140" s="19" t="str">
        <f t="shared" si="240"/>
        <v>B-BCP - Soles</v>
      </c>
      <c r="D3140" s="3" t="s">
        <v>1074</v>
      </c>
      <c r="E3140" s="14">
        <v>45881</v>
      </c>
      <c r="F3140" s="5" t="s">
        <v>1996</v>
      </c>
      <c r="G3140" s="5" t="s">
        <v>1079</v>
      </c>
      <c r="H3140" s="6" t="s">
        <v>113</v>
      </c>
      <c r="I3140" s="6" t="s">
        <v>14</v>
      </c>
      <c r="J3140" s="6" t="s">
        <v>1121</v>
      </c>
      <c r="K3140" s="6">
        <v>345</v>
      </c>
      <c r="L3140" s="7" t="s">
        <v>3865</v>
      </c>
      <c r="M3140" s="8">
        <v>1101665</v>
      </c>
      <c r="N3140" s="8" t="str">
        <f t="shared" si="241"/>
        <v>PEN</v>
      </c>
      <c r="O3140" s="13"/>
      <c r="P3140" s="13">
        <v>159</v>
      </c>
      <c r="Q3140" s="3">
        <f t="shared" si="242"/>
        <v>0</v>
      </c>
      <c r="R3140" s="3">
        <f t="shared" si="243"/>
        <v>159</v>
      </c>
      <c r="S3140" s="3">
        <f t="shared" si="244"/>
        <v>37226.209999999985</v>
      </c>
      <c r="T3140" s="24" t="s">
        <v>1081</v>
      </c>
      <c r="U3140" s="24" t="s">
        <v>1081</v>
      </c>
      <c r="V3140" s="70" t="s">
        <v>3866</v>
      </c>
      <c r="W3140" s="25">
        <f>IFERROR(VLOOKUP(BCP_Soles[[#This Row],[DESTINATARIO]],CHOOSE({1,2},Clientes_Proveedores[Razon Social],Clientes_Proveedores[Ruc / Dni]),2,0),"")</f>
        <v>10456105896</v>
      </c>
      <c r="X3140" s="25"/>
      <c r="Y3140" s="25"/>
      <c r="Z3140" s="25"/>
      <c r="AA3140" s="101"/>
      <c r="AB3140" s="3" t="str">
        <f>IF(BCP_Soles[[#This Row],[FECHA]]&gt;0,TEXT(BCP_Soles[[#This Row],[FECHA]],"mmmm"),0)</f>
        <v>Agosto</v>
      </c>
    </row>
    <row r="3141" spans="2:28" x14ac:dyDescent="0.3">
      <c r="B3141" s="2">
        <f>IF(BCP_Soles[[#This Row],[TIPO DE R.]]="R",COUNTIFS($D$4:$D3140,"R")+1,"")</f>
        <v>2181</v>
      </c>
      <c r="C3141" s="19" t="str">
        <f t="shared" ref="C3141:C3204" si="245">"B-BCP - Soles"</f>
        <v>B-BCP - Soles</v>
      </c>
      <c r="D3141" s="3" t="s">
        <v>1074</v>
      </c>
      <c r="E3141" s="14">
        <v>45881</v>
      </c>
      <c r="F3141" s="5" t="s">
        <v>1996</v>
      </c>
      <c r="G3141" s="5" t="s">
        <v>1079</v>
      </c>
      <c r="H3141" s="6" t="s">
        <v>638</v>
      </c>
      <c r="I3141" s="6"/>
      <c r="J3141" s="6"/>
      <c r="K3141" s="6"/>
      <c r="L3141" s="7" t="s">
        <v>3867</v>
      </c>
      <c r="M3141" s="8">
        <v>1151178</v>
      </c>
      <c r="N3141" s="8" t="str">
        <f t="shared" ref="N3141:N3204" si="246">"PEN"</f>
        <v>PEN</v>
      </c>
      <c r="O3141" s="13"/>
      <c r="P3141" s="13">
        <v>2592.34</v>
      </c>
      <c r="Q3141" s="3">
        <f t="shared" ref="Q3141:Q3204" si="247">+IF(OR($G3141="SALDO",$G3141="INGRESO"),$P3141,0)</f>
        <v>0</v>
      </c>
      <c r="R3141" s="3">
        <f t="shared" ref="R3141:R3204" si="248">+IF($G3141="EGRESO",$P3141,0)</f>
        <v>2592.34</v>
      </c>
      <c r="S3141" s="3">
        <f t="shared" ref="S3141:S3204" si="249">IFERROR(IF(G3141="SALDO",Q3141,S3140+Q3141-R3141),0)</f>
        <v>34633.869999999981</v>
      </c>
      <c r="T3141" s="24" t="s">
        <v>1081</v>
      </c>
      <c r="U3141" s="24" t="s">
        <v>1081</v>
      </c>
      <c r="V3141" s="70" t="s">
        <v>3868</v>
      </c>
      <c r="W3141" s="25">
        <f>IFERROR(VLOOKUP(BCP_Soles[[#This Row],[DESTINATARIO]],CHOOSE({1,2},Clientes_Proveedores[Razon Social],Clientes_Proveedores[Ruc / Dni]),2,0),"")</f>
        <v>0</v>
      </c>
      <c r="X3141" s="25"/>
      <c r="Y3141" s="25"/>
      <c r="Z3141" s="25"/>
      <c r="AA3141" s="101"/>
      <c r="AB3141" s="3" t="str">
        <f>IF(BCP_Soles[[#This Row],[FECHA]]&gt;0,TEXT(BCP_Soles[[#This Row],[FECHA]],"mmmm"),0)</f>
        <v>Agosto</v>
      </c>
    </row>
    <row r="3142" spans="2:28" ht="24" x14ac:dyDescent="0.3">
      <c r="B3142" s="2" t="str">
        <f>IF(BCP_Soles[[#This Row],[TIPO DE R.]]="R",COUNTIFS($D$4:$D3141,"R")+1,"")</f>
        <v/>
      </c>
      <c r="C3142" s="19" t="str">
        <f t="shared" si="245"/>
        <v>B-BCP - Soles</v>
      </c>
      <c r="D3142" s="3" t="s">
        <v>1101</v>
      </c>
      <c r="E3142" s="14">
        <v>45881</v>
      </c>
      <c r="F3142" s="5" t="s">
        <v>1996</v>
      </c>
      <c r="G3142" s="5"/>
      <c r="H3142" s="6" t="s">
        <v>214</v>
      </c>
      <c r="I3142" s="6" t="s">
        <v>14</v>
      </c>
      <c r="J3142" s="6" t="s">
        <v>1120</v>
      </c>
      <c r="K3142" s="6">
        <v>6959</v>
      </c>
      <c r="L3142" s="7" t="s">
        <v>3867</v>
      </c>
      <c r="M3142" s="8">
        <v>1151178</v>
      </c>
      <c r="N3142" s="8" t="str">
        <f t="shared" si="246"/>
        <v>PEN</v>
      </c>
      <c r="O3142" s="13">
        <v>666.34</v>
      </c>
      <c r="P3142" s="13"/>
      <c r="Q3142" s="3">
        <f t="shared" si="247"/>
        <v>0</v>
      </c>
      <c r="R3142" s="3">
        <f t="shared" si="248"/>
        <v>0</v>
      </c>
      <c r="S3142" s="3">
        <f t="shared" si="249"/>
        <v>34633.869999999981</v>
      </c>
      <c r="T3142" s="24" t="s">
        <v>1081</v>
      </c>
      <c r="U3142" s="24" t="s">
        <v>1081</v>
      </c>
      <c r="V3142" s="69"/>
      <c r="W3142" s="25">
        <f>IFERROR(VLOOKUP(BCP_Soles[[#This Row],[DESTINATARIO]],CHOOSE({1,2},Clientes_Proveedores[Razon Social],Clientes_Proveedores[Ruc / Dni]),2,0),"")</f>
        <v>20419158462</v>
      </c>
      <c r="X3142" s="25"/>
      <c r="Y3142" s="25"/>
      <c r="Z3142" s="25"/>
      <c r="AA3142" s="101"/>
      <c r="AB3142" s="3" t="str">
        <f>IF(BCP_Soles[[#This Row],[FECHA]]&gt;0,TEXT(BCP_Soles[[#This Row],[FECHA]],"mmmm"),0)</f>
        <v>Agosto</v>
      </c>
    </row>
    <row r="3143" spans="2:28" ht="24" x14ac:dyDescent="0.3">
      <c r="B3143" s="2" t="str">
        <f>IF(BCP_Soles[[#This Row],[TIPO DE R.]]="R",COUNTIFS($D$4:$D3142,"R")+1,"")</f>
        <v/>
      </c>
      <c r="C3143" s="19" t="str">
        <f t="shared" si="245"/>
        <v>B-BCP - Soles</v>
      </c>
      <c r="D3143" s="3" t="s">
        <v>1101</v>
      </c>
      <c r="E3143" s="14">
        <v>45881</v>
      </c>
      <c r="F3143" s="5" t="s">
        <v>1996</v>
      </c>
      <c r="G3143" s="5"/>
      <c r="H3143" s="6" t="s">
        <v>609</v>
      </c>
      <c r="I3143" s="6" t="s">
        <v>14</v>
      </c>
      <c r="J3143" s="6" t="s">
        <v>1121</v>
      </c>
      <c r="K3143" s="6">
        <v>53</v>
      </c>
      <c r="L3143" s="7" t="s">
        <v>3867</v>
      </c>
      <c r="M3143" s="8">
        <v>1151178</v>
      </c>
      <c r="N3143" s="8" t="str">
        <f t="shared" si="246"/>
        <v>PEN</v>
      </c>
      <c r="O3143" s="13">
        <v>510</v>
      </c>
      <c r="P3143" s="13"/>
      <c r="Q3143" s="3">
        <f t="shared" si="247"/>
        <v>0</v>
      </c>
      <c r="R3143" s="3">
        <f t="shared" si="248"/>
        <v>0</v>
      </c>
      <c r="S3143" s="3">
        <f t="shared" si="249"/>
        <v>34633.869999999981</v>
      </c>
      <c r="T3143" s="24" t="s">
        <v>1081</v>
      </c>
      <c r="U3143" s="24" t="s">
        <v>1081</v>
      </c>
      <c r="V3143" s="69"/>
      <c r="W3143" s="25">
        <f>IFERROR(VLOOKUP(BCP_Soles[[#This Row],[DESTINATARIO]],CHOOSE({1,2},Clientes_Proveedores[Razon Social],Clientes_Proveedores[Ruc / Dni]),2,0),"")</f>
        <v>10410687491</v>
      </c>
      <c r="X3143" s="25"/>
      <c r="Y3143" s="25"/>
      <c r="Z3143" s="25"/>
      <c r="AA3143" s="101"/>
      <c r="AB3143" s="3" t="str">
        <f>IF(BCP_Soles[[#This Row],[FECHA]]&gt;0,TEXT(BCP_Soles[[#This Row],[FECHA]],"mmmm"),0)</f>
        <v>Agosto</v>
      </c>
    </row>
    <row r="3144" spans="2:28" ht="36" x14ac:dyDescent="0.3">
      <c r="B3144" s="2" t="str">
        <f>IF(BCP_Soles[[#This Row],[TIPO DE R.]]="R",COUNTIFS($D$4:$D3143,"R")+1,"")</f>
        <v/>
      </c>
      <c r="C3144" s="19" t="str">
        <f t="shared" si="245"/>
        <v>B-BCP - Soles</v>
      </c>
      <c r="D3144" s="3" t="s">
        <v>1101</v>
      </c>
      <c r="E3144" s="14">
        <v>45881</v>
      </c>
      <c r="F3144" s="5" t="s">
        <v>1996</v>
      </c>
      <c r="G3144" s="5"/>
      <c r="H3144" s="6" t="s">
        <v>511</v>
      </c>
      <c r="I3144" s="6" t="s">
        <v>14</v>
      </c>
      <c r="J3144" s="6" t="s">
        <v>1121</v>
      </c>
      <c r="K3144" s="6">
        <v>682</v>
      </c>
      <c r="L3144" s="7" t="s">
        <v>3867</v>
      </c>
      <c r="M3144" s="8">
        <v>1151178</v>
      </c>
      <c r="N3144" s="8" t="str">
        <f t="shared" si="246"/>
        <v>PEN</v>
      </c>
      <c r="O3144" s="13">
        <v>768</v>
      </c>
      <c r="P3144" s="13"/>
      <c r="Q3144" s="3">
        <f t="shared" si="247"/>
        <v>0</v>
      </c>
      <c r="R3144" s="3">
        <f t="shared" si="248"/>
        <v>0</v>
      </c>
      <c r="S3144" s="3">
        <f t="shared" si="249"/>
        <v>34633.869999999981</v>
      </c>
      <c r="T3144" s="24" t="s">
        <v>1081</v>
      </c>
      <c r="U3144" s="24" t="s">
        <v>1081</v>
      </c>
      <c r="V3144" s="69"/>
      <c r="W3144" s="25">
        <f>IFERROR(VLOOKUP(BCP_Soles[[#This Row],[DESTINATARIO]],CHOOSE({1,2},Clientes_Proveedores[Razon Social],Clientes_Proveedores[Ruc / Dni]),2,0),"")</f>
        <v>20608686747</v>
      </c>
      <c r="X3144" s="25"/>
      <c r="Y3144" s="25"/>
      <c r="Z3144" s="25"/>
      <c r="AA3144" s="101"/>
      <c r="AB3144" s="3" t="str">
        <f>IF(BCP_Soles[[#This Row],[FECHA]]&gt;0,TEXT(BCP_Soles[[#This Row],[FECHA]],"mmmm"),0)</f>
        <v>Agosto</v>
      </c>
    </row>
    <row r="3145" spans="2:28" ht="24" x14ac:dyDescent="0.3">
      <c r="B3145" s="2" t="str">
        <f>IF(BCP_Soles[[#This Row],[TIPO DE R.]]="R",COUNTIFS($D$4:$D3144,"R")+1,"")</f>
        <v/>
      </c>
      <c r="C3145" s="19" t="str">
        <f t="shared" si="245"/>
        <v>B-BCP - Soles</v>
      </c>
      <c r="D3145" s="3" t="s">
        <v>1101</v>
      </c>
      <c r="E3145" s="14">
        <v>45881</v>
      </c>
      <c r="F3145" s="5" t="s">
        <v>1996</v>
      </c>
      <c r="G3145" s="5"/>
      <c r="H3145" s="6" t="s">
        <v>214</v>
      </c>
      <c r="I3145" s="6" t="s">
        <v>14</v>
      </c>
      <c r="J3145" s="6" t="s">
        <v>1120</v>
      </c>
      <c r="K3145" s="6">
        <v>6958</v>
      </c>
      <c r="L3145" s="7" t="s">
        <v>3867</v>
      </c>
      <c r="M3145" s="8">
        <v>1151178</v>
      </c>
      <c r="N3145" s="8" t="str">
        <f t="shared" si="246"/>
        <v>PEN</v>
      </c>
      <c r="O3145" s="13">
        <v>82</v>
      </c>
      <c r="P3145" s="13"/>
      <c r="Q3145" s="3">
        <f t="shared" si="247"/>
        <v>0</v>
      </c>
      <c r="R3145" s="3">
        <f t="shared" si="248"/>
        <v>0</v>
      </c>
      <c r="S3145" s="3">
        <f t="shared" si="249"/>
        <v>34633.869999999981</v>
      </c>
      <c r="T3145" s="24" t="s">
        <v>1081</v>
      </c>
      <c r="U3145" s="24" t="s">
        <v>1081</v>
      </c>
      <c r="V3145" s="69"/>
      <c r="W3145" s="25">
        <f>IFERROR(VLOOKUP(BCP_Soles[[#This Row],[DESTINATARIO]],CHOOSE({1,2},Clientes_Proveedores[Razon Social],Clientes_Proveedores[Ruc / Dni]),2,0),"")</f>
        <v>20419158462</v>
      </c>
      <c r="X3145" s="25"/>
      <c r="Y3145" s="25"/>
      <c r="Z3145" s="25"/>
      <c r="AA3145" s="101"/>
      <c r="AB3145" s="3" t="str">
        <f>IF(BCP_Soles[[#This Row],[FECHA]]&gt;0,TEXT(BCP_Soles[[#This Row],[FECHA]],"mmmm"),0)</f>
        <v>Agosto</v>
      </c>
    </row>
    <row r="3146" spans="2:28" ht="24" x14ac:dyDescent="0.3">
      <c r="B3146" s="2" t="str">
        <f>IF(BCP_Soles[[#This Row],[TIPO DE R.]]="R",COUNTIFS($D$4:$D3145,"R")+1,"")</f>
        <v/>
      </c>
      <c r="C3146" s="19" t="str">
        <f t="shared" si="245"/>
        <v>B-BCP - Soles</v>
      </c>
      <c r="D3146" s="3" t="s">
        <v>1101</v>
      </c>
      <c r="E3146" s="14">
        <v>45881</v>
      </c>
      <c r="F3146" s="5" t="s">
        <v>1996</v>
      </c>
      <c r="G3146" s="5"/>
      <c r="H3146" s="6" t="s">
        <v>214</v>
      </c>
      <c r="I3146" s="6" t="s">
        <v>14</v>
      </c>
      <c r="J3146" s="6" t="s">
        <v>1120</v>
      </c>
      <c r="K3146" s="6">
        <v>6960</v>
      </c>
      <c r="L3146" s="7" t="s">
        <v>3867</v>
      </c>
      <c r="M3146" s="8">
        <v>1151178</v>
      </c>
      <c r="N3146" s="8" t="str">
        <f t="shared" si="246"/>
        <v>PEN</v>
      </c>
      <c r="O3146" s="13">
        <v>56</v>
      </c>
      <c r="P3146" s="13"/>
      <c r="Q3146" s="3">
        <f t="shared" si="247"/>
        <v>0</v>
      </c>
      <c r="R3146" s="3">
        <f t="shared" si="248"/>
        <v>0</v>
      </c>
      <c r="S3146" s="3">
        <f t="shared" si="249"/>
        <v>34633.869999999981</v>
      </c>
      <c r="T3146" s="24" t="s">
        <v>1081</v>
      </c>
      <c r="U3146" s="24" t="s">
        <v>1081</v>
      </c>
      <c r="V3146" s="69"/>
      <c r="W3146" s="25">
        <f>IFERROR(VLOOKUP(BCP_Soles[[#This Row],[DESTINATARIO]],CHOOSE({1,2},Clientes_Proveedores[Razon Social],Clientes_Proveedores[Ruc / Dni]),2,0),"")</f>
        <v>20419158462</v>
      </c>
      <c r="X3146" s="25"/>
      <c r="Y3146" s="25"/>
      <c r="Z3146" s="25"/>
      <c r="AA3146" s="101"/>
      <c r="AB3146" s="3" t="str">
        <f>IF(BCP_Soles[[#This Row],[FECHA]]&gt;0,TEXT(BCP_Soles[[#This Row],[FECHA]],"mmmm"),0)</f>
        <v>Agosto</v>
      </c>
    </row>
    <row r="3147" spans="2:28" ht="24" x14ac:dyDescent="0.3">
      <c r="B3147" s="2" t="str">
        <f>IF(BCP_Soles[[#This Row],[TIPO DE R.]]="R",COUNTIFS($D$4:$D3146,"R")+1,"")</f>
        <v/>
      </c>
      <c r="C3147" s="19" t="str">
        <f t="shared" si="245"/>
        <v>B-BCP - Soles</v>
      </c>
      <c r="D3147" s="3" t="s">
        <v>1101</v>
      </c>
      <c r="E3147" s="14">
        <v>45881</v>
      </c>
      <c r="F3147" s="5" t="s">
        <v>1996</v>
      </c>
      <c r="G3147" s="5"/>
      <c r="H3147" s="6" t="s">
        <v>609</v>
      </c>
      <c r="I3147" s="6" t="s">
        <v>14</v>
      </c>
      <c r="J3147" s="6" t="s">
        <v>1121</v>
      </c>
      <c r="K3147" s="6">
        <v>55</v>
      </c>
      <c r="L3147" s="7" t="s">
        <v>3867</v>
      </c>
      <c r="M3147" s="8">
        <v>1151178</v>
      </c>
      <c r="N3147" s="8" t="str">
        <f t="shared" si="246"/>
        <v>PEN</v>
      </c>
      <c r="O3147" s="13">
        <v>510</v>
      </c>
      <c r="P3147" s="13"/>
      <c r="Q3147" s="3">
        <f t="shared" si="247"/>
        <v>0</v>
      </c>
      <c r="R3147" s="3">
        <f t="shared" si="248"/>
        <v>0</v>
      </c>
      <c r="S3147" s="3">
        <f t="shared" si="249"/>
        <v>34633.869999999981</v>
      </c>
      <c r="T3147" s="24" t="s">
        <v>1081</v>
      </c>
      <c r="U3147" s="24" t="s">
        <v>1081</v>
      </c>
      <c r="V3147" s="69"/>
      <c r="W3147" s="25">
        <f>IFERROR(VLOOKUP(BCP_Soles[[#This Row],[DESTINATARIO]],CHOOSE({1,2},Clientes_Proveedores[Razon Social],Clientes_Proveedores[Ruc / Dni]),2,0),"")</f>
        <v>10410687491</v>
      </c>
      <c r="X3147" s="25"/>
      <c r="Y3147" s="25"/>
      <c r="Z3147" s="25"/>
      <c r="AA3147" s="101"/>
      <c r="AB3147" s="3" t="str">
        <f>IF(BCP_Soles[[#This Row],[FECHA]]&gt;0,TEXT(BCP_Soles[[#This Row],[FECHA]],"mmmm"),0)</f>
        <v>Agosto</v>
      </c>
    </row>
    <row r="3148" spans="2:28" ht="24" x14ac:dyDescent="0.3">
      <c r="B3148" s="2">
        <f>IF(BCP_Soles[[#This Row],[TIPO DE R.]]="R",COUNTIFS($D$4:$D3147,"R")+1,"")</f>
        <v>2182</v>
      </c>
      <c r="C3148" s="19" t="str">
        <f t="shared" si="245"/>
        <v>B-BCP - Soles</v>
      </c>
      <c r="D3148" s="3" t="s">
        <v>1074</v>
      </c>
      <c r="E3148" s="14">
        <v>45881</v>
      </c>
      <c r="F3148" s="5" t="s">
        <v>1996</v>
      </c>
      <c r="G3148" s="5" t="s">
        <v>1079</v>
      </c>
      <c r="H3148" s="6" t="s">
        <v>934</v>
      </c>
      <c r="I3148" s="6" t="s">
        <v>87</v>
      </c>
      <c r="J3148" s="6">
        <v>1</v>
      </c>
      <c r="K3148" s="6">
        <v>542025</v>
      </c>
      <c r="L3148" s="7" t="s">
        <v>3869</v>
      </c>
      <c r="M3148" s="8">
        <v>1210477</v>
      </c>
      <c r="N3148" s="8" t="str">
        <f t="shared" si="246"/>
        <v>PEN</v>
      </c>
      <c r="O3148" s="13"/>
      <c r="P3148" s="13">
        <v>295</v>
      </c>
      <c r="Q3148" s="3">
        <f t="shared" si="247"/>
        <v>0</v>
      </c>
      <c r="R3148" s="3">
        <f t="shared" si="248"/>
        <v>295</v>
      </c>
      <c r="S3148" s="3">
        <f t="shared" si="249"/>
        <v>34338.869999999981</v>
      </c>
      <c r="T3148" s="24" t="s">
        <v>1081</v>
      </c>
      <c r="U3148" s="24" t="s">
        <v>1081</v>
      </c>
      <c r="V3148" s="70" t="s">
        <v>3870</v>
      </c>
      <c r="W3148" s="25">
        <f>IFERROR(VLOOKUP(BCP_Soles[[#This Row],[DESTINATARIO]],CHOOSE({1,2},Clientes_Proveedores[Razon Social],Clientes_Proveedores[Ruc / Dni]),2,0),"")</f>
        <v>76390500</v>
      </c>
      <c r="X3148" s="25"/>
      <c r="Y3148" s="25"/>
      <c r="Z3148" s="25"/>
      <c r="AA3148" s="101"/>
      <c r="AB3148" s="3" t="str">
        <f>IF(BCP_Soles[[#This Row],[FECHA]]&gt;0,TEXT(BCP_Soles[[#This Row],[FECHA]],"mmmm"),0)</f>
        <v>Agosto</v>
      </c>
    </row>
    <row r="3149" spans="2:28" ht="24" x14ac:dyDescent="0.3">
      <c r="B3149" s="2">
        <f>IF(BCP_Soles[[#This Row],[TIPO DE R.]]="R",COUNTIFS($D$4:$D3148,"R")+1,"")</f>
        <v>2183</v>
      </c>
      <c r="C3149" s="19" t="str">
        <f t="shared" si="245"/>
        <v>B-BCP - Soles</v>
      </c>
      <c r="D3149" s="3" t="s">
        <v>1074</v>
      </c>
      <c r="E3149" s="14">
        <v>45881</v>
      </c>
      <c r="F3149" s="5" t="s">
        <v>1996</v>
      </c>
      <c r="G3149" s="5" t="s">
        <v>1079</v>
      </c>
      <c r="H3149" s="6" t="s">
        <v>645</v>
      </c>
      <c r="I3149" s="6" t="s">
        <v>52</v>
      </c>
      <c r="J3149" s="6" t="s">
        <v>1225</v>
      </c>
      <c r="K3149" s="6">
        <v>31757461</v>
      </c>
      <c r="L3149" s="7" t="s">
        <v>3871</v>
      </c>
      <c r="M3149" s="8">
        <v>209493</v>
      </c>
      <c r="N3149" s="8" t="str">
        <f t="shared" si="246"/>
        <v>PEN</v>
      </c>
      <c r="O3149" s="13"/>
      <c r="P3149" s="13">
        <v>381.8</v>
      </c>
      <c r="Q3149" s="3">
        <f t="shared" si="247"/>
        <v>0</v>
      </c>
      <c r="R3149" s="3">
        <f t="shared" si="248"/>
        <v>381.8</v>
      </c>
      <c r="S3149" s="3">
        <f t="shared" si="249"/>
        <v>33957.069999999978</v>
      </c>
      <c r="T3149" s="24" t="s">
        <v>1081</v>
      </c>
      <c r="U3149" s="24" t="s">
        <v>1081</v>
      </c>
      <c r="V3149" s="70" t="s">
        <v>3872</v>
      </c>
      <c r="W3149" s="25">
        <f>IFERROR(VLOOKUP(BCP_Soles[[#This Row],[DESTINATARIO]],CHOOSE({1,2},Clientes_Proveedores[Razon Social],Clientes_Proveedores[Ruc / Dni]),2,0),"")</f>
        <v>20100188628</v>
      </c>
      <c r="X3149" s="25"/>
      <c r="Y3149" s="25"/>
      <c r="Z3149" s="25"/>
      <c r="AA3149" s="101"/>
      <c r="AB3149" s="3" t="str">
        <f>IF(BCP_Soles[[#This Row],[FECHA]]&gt;0,TEXT(BCP_Soles[[#This Row],[FECHA]],"mmmm"),0)</f>
        <v>Agosto</v>
      </c>
    </row>
    <row r="3150" spans="2:28" ht="24" x14ac:dyDescent="0.3">
      <c r="B3150" s="2">
        <f>IF(BCP_Soles[[#This Row],[TIPO DE R.]]="R",COUNTIFS($D$4:$D3149,"R")+1,"")</f>
        <v>2184</v>
      </c>
      <c r="C3150" s="19" t="str">
        <f t="shared" si="245"/>
        <v>B-BCP - Soles</v>
      </c>
      <c r="D3150" s="3" t="s">
        <v>1074</v>
      </c>
      <c r="E3150" s="14">
        <v>45881</v>
      </c>
      <c r="F3150" s="5" t="s">
        <v>1996</v>
      </c>
      <c r="G3150" s="5" t="s">
        <v>1079</v>
      </c>
      <c r="H3150" s="6" t="s">
        <v>645</v>
      </c>
      <c r="I3150" s="6" t="s">
        <v>52</v>
      </c>
      <c r="J3150" s="6" t="s">
        <v>1225</v>
      </c>
      <c r="K3150" s="6">
        <v>31757401</v>
      </c>
      <c r="L3150" s="7" t="s">
        <v>3873</v>
      </c>
      <c r="M3150" s="8">
        <v>210965</v>
      </c>
      <c r="N3150" s="8" t="str">
        <f t="shared" si="246"/>
        <v>PEN</v>
      </c>
      <c r="O3150" s="13"/>
      <c r="P3150" s="13">
        <v>122.9</v>
      </c>
      <c r="Q3150" s="3">
        <f t="shared" si="247"/>
        <v>0</v>
      </c>
      <c r="R3150" s="3">
        <f t="shared" si="248"/>
        <v>122.9</v>
      </c>
      <c r="S3150" s="3">
        <f t="shared" si="249"/>
        <v>33834.169999999976</v>
      </c>
      <c r="T3150" s="24" t="s">
        <v>1081</v>
      </c>
      <c r="U3150" s="24" t="s">
        <v>1081</v>
      </c>
      <c r="V3150" s="70" t="s">
        <v>3874</v>
      </c>
      <c r="W3150" s="25">
        <f>IFERROR(VLOOKUP(BCP_Soles[[#This Row],[DESTINATARIO]],CHOOSE({1,2},Clientes_Proveedores[Razon Social],Clientes_Proveedores[Ruc / Dni]),2,0),"")</f>
        <v>20100188628</v>
      </c>
      <c r="X3150" s="25"/>
      <c r="Y3150" s="25"/>
      <c r="Z3150" s="25"/>
      <c r="AA3150" s="101"/>
      <c r="AB3150" s="3" t="str">
        <f>IF(BCP_Soles[[#This Row],[FECHA]]&gt;0,TEXT(BCP_Soles[[#This Row],[FECHA]],"mmmm"),0)</f>
        <v>Agosto</v>
      </c>
    </row>
    <row r="3151" spans="2:28" ht="24" x14ac:dyDescent="0.3">
      <c r="B3151" s="2">
        <f>IF(BCP_Soles[[#This Row],[TIPO DE R.]]="R",COUNTIFS($D$4:$D3150,"R")+1,"")</f>
        <v>2185</v>
      </c>
      <c r="C3151" s="19" t="str">
        <f t="shared" si="245"/>
        <v>B-BCP - Soles</v>
      </c>
      <c r="D3151" s="3" t="s">
        <v>1074</v>
      </c>
      <c r="E3151" s="14">
        <v>45881</v>
      </c>
      <c r="F3151" s="5" t="s">
        <v>1996</v>
      </c>
      <c r="G3151" s="5" t="s">
        <v>1079</v>
      </c>
      <c r="H3151" s="6" t="s">
        <v>192</v>
      </c>
      <c r="I3151" s="6"/>
      <c r="J3151" s="6"/>
      <c r="K3151" s="6"/>
      <c r="L3151" s="7" t="s">
        <v>3875</v>
      </c>
      <c r="M3151" s="8">
        <v>1209981</v>
      </c>
      <c r="N3151" s="8" t="str">
        <f t="shared" si="246"/>
        <v>PEN</v>
      </c>
      <c r="O3151" s="13"/>
      <c r="P3151" s="13">
        <v>3000</v>
      </c>
      <c r="Q3151" s="3">
        <f t="shared" si="247"/>
        <v>0</v>
      </c>
      <c r="R3151" s="3">
        <f t="shared" si="248"/>
        <v>3000</v>
      </c>
      <c r="S3151" s="3">
        <f t="shared" si="249"/>
        <v>30834.169999999976</v>
      </c>
      <c r="T3151" s="24"/>
      <c r="U3151" s="24"/>
      <c r="V3151" s="69"/>
      <c r="W3151" s="25">
        <f>IFERROR(VLOOKUP(BCP_Soles[[#This Row],[DESTINATARIO]],CHOOSE({1,2},Clientes_Proveedores[Razon Social],Clientes_Proveedores[Ruc / Dni]),2,0),"")</f>
        <v>20302891452</v>
      </c>
      <c r="X3151" s="25"/>
      <c r="Y3151" s="25"/>
      <c r="Z3151" s="25"/>
      <c r="AA3151" s="101"/>
      <c r="AB3151" s="3" t="str">
        <f>IF(BCP_Soles[[#This Row],[FECHA]]&gt;0,TEXT(BCP_Soles[[#This Row],[FECHA]],"mmmm"),0)</f>
        <v>Agosto</v>
      </c>
    </row>
    <row r="3152" spans="2:28" ht="24" x14ac:dyDescent="0.3">
      <c r="B3152" s="2">
        <f>IF(BCP_Soles[[#This Row],[TIPO DE R.]]="R",COUNTIFS($D$4:$D3151,"R")+1,"")</f>
        <v>2186</v>
      </c>
      <c r="C3152" s="19" t="str">
        <f t="shared" si="245"/>
        <v>B-BCP - Soles</v>
      </c>
      <c r="D3152" s="3" t="s">
        <v>1074</v>
      </c>
      <c r="E3152" s="14">
        <v>45881</v>
      </c>
      <c r="F3152" s="5" t="s">
        <v>1996</v>
      </c>
      <c r="G3152" s="5" t="s">
        <v>1079</v>
      </c>
      <c r="H3152" s="6" t="s">
        <v>640</v>
      </c>
      <c r="I3152" s="6"/>
      <c r="J3152" s="6"/>
      <c r="K3152" s="6"/>
      <c r="L3152" s="7" t="s">
        <v>3876</v>
      </c>
      <c r="M3152" s="8">
        <v>4017179</v>
      </c>
      <c r="N3152" s="8" t="str">
        <f t="shared" si="246"/>
        <v>PEN</v>
      </c>
      <c r="O3152" s="13"/>
      <c r="P3152" s="13">
        <v>3219.5</v>
      </c>
      <c r="Q3152" s="3">
        <f t="shared" si="247"/>
        <v>0</v>
      </c>
      <c r="R3152" s="3">
        <f t="shared" si="248"/>
        <v>3219.5</v>
      </c>
      <c r="S3152" s="3">
        <f t="shared" si="249"/>
        <v>27614.669999999976</v>
      </c>
      <c r="T3152" s="24" t="s">
        <v>1081</v>
      </c>
      <c r="U3152" s="24"/>
      <c r="V3152" s="69"/>
      <c r="W3152" s="25">
        <f>IFERROR(VLOOKUP(BCP_Soles[[#This Row],[DESTINATARIO]],CHOOSE({1,2},Clientes_Proveedores[Razon Social],Clientes_Proveedores[Ruc / Dni]),2,0),"")</f>
        <v>10296347634</v>
      </c>
      <c r="X3152" s="25"/>
      <c r="Y3152" s="25"/>
      <c r="Z3152" s="25"/>
      <c r="AA3152" s="101"/>
      <c r="AB3152" s="3" t="str">
        <f>IF(BCP_Soles[[#This Row],[FECHA]]&gt;0,TEXT(BCP_Soles[[#This Row],[FECHA]],"mmmm"),0)</f>
        <v>Agosto</v>
      </c>
    </row>
    <row r="3153" spans="2:28" ht="24" x14ac:dyDescent="0.3">
      <c r="B3153" s="2" t="str">
        <f>IF(BCP_Soles[[#This Row],[TIPO DE R.]]="R",COUNTIFS($D$4:$D3152,"R")+1,"")</f>
        <v/>
      </c>
      <c r="C3153" s="19" t="str">
        <f t="shared" si="245"/>
        <v>B-BCP - Soles</v>
      </c>
      <c r="D3153" s="3"/>
      <c r="E3153" s="14">
        <v>45881</v>
      </c>
      <c r="F3153" s="5" t="s">
        <v>1996</v>
      </c>
      <c r="G3153" s="5"/>
      <c r="H3153" s="6" t="s">
        <v>640</v>
      </c>
      <c r="I3153" s="6"/>
      <c r="J3153" s="6"/>
      <c r="K3153" s="6"/>
      <c r="L3153" s="7" t="s">
        <v>3876</v>
      </c>
      <c r="M3153" s="8">
        <v>4017179</v>
      </c>
      <c r="N3153" s="8" t="str">
        <f t="shared" si="246"/>
        <v>PEN</v>
      </c>
      <c r="O3153" s="13">
        <v>3200</v>
      </c>
      <c r="P3153" s="13"/>
      <c r="Q3153" s="3">
        <f t="shared" si="247"/>
        <v>0</v>
      </c>
      <c r="R3153" s="3">
        <f t="shared" si="248"/>
        <v>0</v>
      </c>
      <c r="S3153" s="3">
        <f t="shared" si="249"/>
        <v>27614.669999999976</v>
      </c>
      <c r="T3153" s="24" t="s">
        <v>1081</v>
      </c>
      <c r="U3153" s="24"/>
      <c r="V3153" s="69"/>
      <c r="W3153" s="25">
        <f>IFERROR(VLOOKUP(BCP_Soles[[#This Row],[DESTINATARIO]],CHOOSE({1,2},Clientes_Proveedores[Razon Social],Clientes_Proveedores[Ruc / Dni]),2,0),"")</f>
        <v>10296347634</v>
      </c>
      <c r="X3153" s="25"/>
      <c r="Y3153" s="25"/>
      <c r="Z3153" s="25"/>
      <c r="AA3153" s="101"/>
      <c r="AB3153" s="3" t="str">
        <f>IF(BCP_Soles[[#This Row],[FECHA]]&gt;0,TEXT(BCP_Soles[[#This Row],[FECHA]],"mmmm"),0)</f>
        <v>Agosto</v>
      </c>
    </row>
    <row r="3154" spans="2:28" ht="24" x14ac:dyDescent="0.3">
      <c r="B3154" s="2" t="str">
        <f>IF(BCP_Soles[[#This Row],[TIPO DE R.]]="R",COUNTIFS($D$4:$D3153,"R")+1,"")</f>
        <v/>
      </c>
      <c r="C3154" s="19" t="str">
        <f t="shared" si="245"/>
        <v>B-BCP - Soles</v>
      </c>
      <c r="D3154" s="3"/>
      <c r="E3154" s="14">
        <v>45881</v>
      </c>
      <c r="F3154" s="5" t="s">
        <v>1996</v>
      </c>
      <c r="G3154" s="5"/>
      <c r="H3154" s="6" t="s">
        <v>1001</v>
      </c>
      <c r="I3154" s="6" t="s">
        <v>14</v>
      </c>
      <c r="J3154" s="6" t="s">
        <v>3128</v>
      </c>
      <c r="K3154" s="6">
        <v>35646390</v>
      </c>
      <c r="L3154" s="7" t="s">
        <v>3876</v>
      </c>
      <c r="M3154" s="8">
        <v>4017179</v>
      </c>
      <c r="N3154" s="8" t="str">
        <f t="shared" si="246"/>
        <v>PEN</v>
      </c>
      <c r="O3154" s="13">
        <v>19.5</v>
      </c>
      <c r="P3154" s="13"/>
      <c r="Q3154" s="3">
        <f t="shared" si="247"/>
        <v>0</v>
      </c>
      <c r="R3154" s="3">
        <f t="shared" si="248"/>
        <v>0</v>
      </c>
      <c r="S3154" s="3">
        <f t="shared" si="249"/>
        <v>27614.669999999976</v>
      </c>
      <c r="T3154" s="24" t="s">
        <v>1081</v>
      </c>
      <c r="U3154" s="24"/>
      <c r="V3154" s="69"/>
      <c r="W3154" s="25">
        <f>IFERROR(VLOOKUP(BCP_Soles[[#This Row],[DESTINATARIO]],CHOOSE({1,2},Clientes_Proveedores[Razon Social],Clientes_Proveedores[Ruc / Dni]),2,0),"")</f>
        <v>20100047218</v>
      </c>
      <c r="X3154" s="25"/>
      <c r="Y3154" s="25"/>
      <c r="Z3154" s="25"/>
      <c r="AA3154" s="101"/>
      <c r="AB3154" s="3" t="str">
        <f>IF(BCP_Soles[[#This Row],[FECHA]]&gt;0,TEXT(BCP_Soles[[#This Row],[FECHA]],"mmmm"),0)</f>
        <v>Agosto</v>
      </c>
    </row>
    <row r="3155" spans="2:28" ht="24" x14ac:dyDescent="0.3">
      <c r="B3155" s="2">
        <f>IF(BCP_Soles[[#This Row],[TIPO DE R.]]="R",COUNTIFS($D$4:$D3154,"R")+1,"")</f>
        <v>2187</v>
      </c>
      <c r="C3155" s="19" t="str">
        <f t="shared" si="245"/>
        <v>B-BCP - Soles</v>
      </c>
      <c r="D3155" s="3" t="s">
        <v>1074</v>
      </c>
      <c r="E3155" s="14">
        <v>45881</v>
      </c>
      <c r="F3155" s="5" t="s">
        <v>1996</v>
      </c>
      <c r="G3155" s="5" t="s">
        <v>1079</v>
      </c>
      <c r="H3155" s="6" t="s">
        <v>925</v>
      </c>
      <c r="I3155" s="6"/>
      <c r="J3155" s="6"/>
      <c r="K3155" s="6"/>
      <c r="L3155" s="7" t="s">
        <v>3877</v>
      </c>
      <c r="M3155" s="8">
        <v>1210964</v>
      </c>
      <c r="N3155" s="8" t="str">
        <f t="shared" si="246"/>
        <v>PEN</v>
      </c>
      <c r="O3155" s="13"/>
      <c r="P3155" s="13">
        <v>366.98</v>
      </c>
      <c r="Q3155" s="3">
        <f t="shared" si="247"/>
        <v>0</v>
      </c>
      <c r="R3155" s="3">
        <f t="shared" si="248"/>
        <v>366.98</v>
      </c>
      <c r="S3155" s="3">
        <f t="shared" si="249"/>
        <v>27247.689999999977</v>
      </c>
      <c r="T3155" s="24"/>
      <c r="U3155" s="24"/>
      <c r="V3155" s="69"/>
      <c r="W3155" s="25">
        <f>IFERROR(VLOOKUP(BCP_Soles[[#This Row],[DESTINATARIO]],CHOOSE({1,2},Clientes_Proveedores[Razon Social],Clientes_Proveedores[Ruc / Dni]),2,0),"")</f>
        <v>20455823880</v>
      </c>
      <c r="X3155" s="25"/>
      <c r="Y3155" s="25"/>
      <c r="Z3155" s="25"/>
      <c r="AA3155" s="101"/>
      <c r="AB3155" s="3" t="str">
        <f>IF(BCP_Soles[[#This Row],[FECHA]]&gt;0,TEXT(BCP_Soles[[#This Row],[FECHA]],"mmmm"),0)</f>
        <v>Agosto</v>
      </c>
    </row>
    <row r="3156" spans="2:28" x14ac:dyDescent="0.3">
      <c r="B3156" s="2">
        <f>IF(BCP_Soles[[#This Row],[TIPO DE R.]]="R",COUNTIFS($D$4:$D3155,"R")+1,"")</f>
        <v>2188</v>
      </c>
      <c r="C3156" s="19" t="str">
        <f t="shared" si="245"/>
        <v>B-BCP - Soles</v>
      </c>
      <c r="D3156" s="3" t="s">
        <v>1074</v>
      </c>
      <c r="E3156" s="14">
        <v>45881</v>
      </c>
      <c r="F3156" s="5" t="s">
        <v>1996</v>
      </c>
      <c r="G3156" s="5" t="s">
        <v>1079</v>
      </c>
      <c r="H3156" s="6" t="s">
        <v>357</v>
      </c>
      <c r="I3156" s="6" t="s">
        <v>14</v>
      </c>
      <c r="J3156" s="6" t="s">
        <v>1119</v>
      </c>
      <c r="K3156" s="6">
        <v>14701</v>
      </c>
      <c r="L3156" s="7" t="s">
        <v>3878</v>
      </c>
      <c r="M3156" s="8">
        <v>1212034</v>
      </c>
      <c r="N3156" s="8" t="str">
        <f t="shared" si="246"/>
        <v>PEN</v>
      </c>
      <c r="O3156" s="13"/>
      <c r="P3156" s="13">
        <v>529</v>
      </c>
      <c r="Q3156" s="3">
        <f t="shared" si="247"/>
        <v>0</v>
      </c>
      <c r="R3156" s="3">
        <f t="shared" si="248"/>
        <v>529</v>
      </c>
      <c r="S3156" s="3">
        <f t="shared" si="249"/>
        <v>26718.689999999977</v>
      </c>
      <c r="T3156" s="24" t="s">
        <v>1081</v>
      </c>
      <c r="U3156" s="24" t="s">
        <v>1081</v>
      </c>
      <c r="V3156" s="70" t="s">
        <v>3879</v>
      </c>
      <c r="W3156" s="25">
        <f>IFERROR(VLOOKUP(BCP_Soles[[#This Row],[DESTINATARIO]],CHOOSE({1,2},Clientes_Proveedores[Razon Social],Clientes_Proveedores[Ruc / Dni]),2,0),"")</f>
        <v>20553255709</v>
      </c>
      <c r="X3156" s="25"/>
      <c r="Y3156" s="25"/>
      <c r="Z3156" s="25"/>
      <c r="AA3156" s="101"/>
      <c r="AB3156" s="3" t="str">
        <f>IF(BCP_Soles[[#This Row],[FECHA]]&gt;0,TEXT(BCP_Soles[[#This Row],[FECHA]],"mmmm"),0)</f>
        <v>Agosto</v>
      </c>
    </row>
    <row r="3157" spans="2:28" ht="24" x14ac:dyDescent="0.3">
      <c r="B3157" s="2">
        <f>IF(BCP_Soles[[#This Row],[TIPO DE R.]]="R",COUNTIFS($D$4:$D3156,"R")+1,"")</f>
        <v>2189</v>
      </c>
      <c r="C3157" s="19" t="str">
        <f t="shared" si="245"/>
        <v>B-BCP - Soles</v>
      </c>
      <c r="D3157" s="3" t="s">
        <v>1074</v>
      </c>
      <c r="E3157" s="14">
        <v>45881</v>
      </c>
      <c r="F3157" s="5" t="s">
        <v>1996</v>
      </c>
      <c r="G3157" s="5" t="s">
        <v>1079</v>
      </c>
      <c r="H3157" s="6" t="s">
        <v>688</v>
      </c>
      <c r="I3157" s="6"/>
      <c r="J3157" s="6"/>
      <c r="K3157" s="6"/>
      <c r="L3157" s="7" t="s">
        <v>3880</v>
      </c>
      <c r="M3157" s="8">
        <v>1209491</v>
      </c>
      <c r="N3157" s="8" t="str">
        <f t="shared" si="246"/>
        <v>PEN</v>
      </c>
      <c r="O3157" s="13"/>
      <c r="P3157" s="13">
        <v>800</v>
      </c>
      <c r="Q3157" s="3">
        <f t="shared" si="247"/>
        <v>0</v>
      </c>
      <c r="R3157" s="3">
        <f t="shared" si="248"/>
        <v>800</v>
      </c>
      <c r="S3157" s="3">
        <f t="shared" si="249"/>
        <v>25918.689999999977</v>
      </c>
      <c r="T3157" s="24" t="s">
        <v>1081</v>
      </c>
      <c r="U3157" s="24" t="s">
        <v>1081</v>
      </c>
      <c r="V3157" s="70" t="s">
        <v>3881</v>
      </c>
      <c r="W3157" s="25">
        <f>IFERROR(VLOOKUP(BCP_Soles[[#This Row],[DESTINATARIO]],CHOOSE({1,2},Clientes_Proveedores[Razon Social],Clientes_Proveedores[Ruc / Dni]),2,0),"")</f>
        <v>10446328129</v>
      </c>
      <c r="X3157" s="25"/>
      <c r="Y3157" s="25"/>
      <c r="Z3157" s="25"/>
      <c r="AA3157" s="101"/>
      <c r="AB3157" s="3" t="str">
        <f>IF(BCP_Soles[[#This Row],[FECHA]]&gt;0,TEXT(BCP_Soles[[#This Row],[FECHA]],"mmmm"),0)</f>
        <v>Agosto</v>
      </c>
    </row>
    <row r="3158" spans="2:28" ht="24" x14ac:dyDescent="0.3">
      <c r="B3158" s="2" t="str">
        <f>IF(BCP_Soles[[#This Row],[TIPO DE R.]]="R",COUNTIFS($D$4:$D3157,"R")+1,"")</f>
        <v/>
      </c>
      <c r="C3158" s="19" t="str">
        <f t="shared" si="245"/>
        <v>B-BCP - Soles</v>
      </c>
      <c r="D3158" s="3" t="s">
        <v>1101</v>
      </c>
      <c r="E3158" s="14">
        <v>45881</v>
      </c>
      <c r="F3158" s="5" t="s">
        <v>1996</v>
      </c>
      <c r="G3158" s="5"/>
      <c r="H3158" s="6" t="s">
        <v>688</v>
      </c>
      <c r="I3158" s="6" t="s">
        <v>18</v>
      </c>
      <c r="J3158" s="6" t="s">
        <v>1121</v>
      </c>
      <c r="K3158" s="6">
        <v>32</v>
      </c>
      <c r="L3158" s="7" t="s">
        <v>3880</v>
      </c>
      <c r="M3158" s="8">
        <v>1209491</v>
      </c>
      <c r="N3158" s="8" t="str">
        <f t="shared" si="246"/>
        <v>PEN</v>
      </c>
      <c r="O3158" s="13">
        <v>250</v>
      </c>
      <c r="P3158" s="13"/>
      <c r="Q3158" s="3">
        <f t="shared" si="247"/>
        <v>0</v>
      </c>
      <c r="R3158" s="3">
        <f t="shared" si="248"/>
        <v>0</v>
      </c>
      <c r="S3158" s="3">
        <f t="shared" si="249"/>
        <v>25918.689999999977</v>
      </c>
      <c r="T3158" s="24" t="s">
        <v>1081</v>
      </c>
      <c r="U3158" s="24" t="s">
        <v>1081</v>
      </c>
      <c r="V3158" s="70" t="s">
        <v>3882</v>
      </c>
      <c r="W3158" s="25">
        <f>IFERROR(VLOOKUP(BCP_Soles[[#This Row],[DESTINATARIO]],CHOOSE({1,2},Clientes_Proveedores[Razon Social],Clientes_Proveedores[Ruc / Dni]),2,0),"")</f>
        <v>10446328129</v>
      </c>
      <c r="X3158" s="25"/>
      <c r="Y3158" s="25"/>
      <c r="Z3158" s="25"/>
      <c r="AA3158" s="101"/>
      <c r="AB3158" s="3" t="str">
        <f>IF(BCP_Soles[[#This Row],[FECHA]]&gt;0,TEXT(BCP_Soles[[#This Row],[FECHA]],"mmmm"),0)</f>
        <v>Agosto</v>
      </c>
    </row>
    <row r="3159" spans="2:28" ht="24" x14ac:dyDescent="0.3">
      <c r="B3159" s="2" t="str">
        <f>IF(BCP_Soles[[#This Row],[TIPO DE R.]]="R",COUNTIFS($D$4:$D3158,"R")+1,"")</f>
        <v/>
      </c>
      <c r="C3159" s="19" t="str">
        <f t="shared" si="245"/>
        <v>B-BCP - Soles</v>
      </c>
      <c r="D3159" s="3" t="s">
        <v>1101</v>
      </c>
      <c r="E3159" s="14">
        <v>45881</v>
      </c>
      <c r="F3159" s="5" t="s">
        <v>1996</v>
      </c>
      <c r="G3159" s="5"/>
      <c r="H3159" s="6" t="s">
        <v>688</v>
      </c>
      <c r="I3159" s="6" t="s">
        <v>18</v>
      </c>
      <c r="J3159" s="6" t="s">
        <v>1121</v>
      </c>
      <c r="K3159" s="6">
        <v>34</v>
      </c>
      <c r="L3159" s="7" t="s">
        <v>3880</v>
      </c>
      <c r="M3159" s="8">
        <v>1209491</v>
      </c>
      <c r="N3159" s="8" t="str">
        <f t="shared" si="246"/>
        <v>PEN</v>
      </c>
      <c r="O3159" s="13">
        <v>100</v>
      </c>
      <c r="P3159" s="13"/>
      <c r="Q3159" s="3">
        <f t="shared" si="247"/>
        <v>0</v>
      </c>
      <c r="R3159" s="3">
        <f t="shared" si="248"/>
        <v>0</v>
      </c>
      <c r="S3159" s="3">
        <f t="shared" si="249"/>
        <v>25918.689999999977</v>
      </c>
      <c r="T3159" s="24" t="s">
        <v>1081</v>
      </c>
      <c r="U3159" s="24" t="s">
        <v>1081</v>
      </c>
      <c r="V3159" s="70" t="s">
        <v>3882</v>
      </c>
      <c r="W3159" s="25">
        <f>IFERROR(VLOOKUP(BCP_Soles[[#This Row],[DESTINATARIO]],CHOOSE({1,2},Clientes_Proveedores[Razon Social],Clientes_Proveedores[Ruc / Dni]),2,0),"")</f>
        <v>10446328129</v>
      </c>
      <c r="X3159" s="25"/>
      <c r="Y3159" s="25"/>
      <c r="Z3159" s="25"/>
      <c r="AA3159" s="101"/>
      <c r="AB3159" s="3" t="str">
        <f>IF(BCP_Soles[[#This Row],[FECHA]]&gt;0,TEXT(BCP_Soles[[#This Row],[FECHA]],"mmmm"),0)</f>
        <v>Agosto</v>
      </c>
    </row>
    <row r="3160" spans="2:28" ht="24" x14ac:dyDescent="0.3">
      <c r="B3160" s="2" t="str">
        <f>IF(BCP_Soles[[#This Row],[TIPO DE R.]]="R",COUNTIFS($D$4:$D3159,"R")+1,"")</f>
        <v/>
      </c>
      <c r="C3160" s="19" t="str">
        <f t="shared" si="245"/>
        <v>B-BCP - Soles</v>
      </c>
      <c r="D3160" s="3" t="s">
        <v>1101</v>
      </c>
      <c r="E3160" s="14">
        <v>45881</v>
      </c>
      <c r="F3160" s="5" t="s">
        <v>1996</v>
      </c>
      <c r="G3160" s="5"/>
      <c r="H3160" s="6" t="s">
        <v>688</v>
      </c>
      <c r="I3160" s="6" t="s">
        <v>18</v>
      </c>
      <c r="J3160" s="6" t="s">
        <v>1121</v>
      </c>
      <c r="K3160" s="6">
        <v>35</v>
      </c>
      <c r="L3160" s="7" t="s">
        <v>3880</v>
      </c>
      <c r="M3160" s="8">
        <v>1209491</v>
      </c>
      <c r="N3160" s="8" t="str">
        <f t="shared" si="246"/>
        <v>PEN</v>
      </c>
      <c r="O3160" s="13">
        <v>200</v>
      </c>
      <c r="P3160" s="13"/>
      <c r="Q3160" s="3">
        <f t="shared" si="247"/>
        <v>0</v>
      </c>
      <c r="R3160" s="3">
        <f t="shared" si="248"/>
        <v>0</v>
      </c>
      <c r="S3160" s="3">
        <f t="shared" si="249"/>
        <v>25918.689999999977</v>
      </c>
      <c r="T3160" s="24" t="s">
        <v>1081</v>
      </c>
      <c r="U3160" s="24" t="s">
        <v>1081</v>
      </c>
      <c r="V3160" s="70" t="s">
        <v>3882</v>
      </c>
      <c r="W3160" s="25">
        <f>IFERROR(VLOOKUP(BCP_Soles[[#This Row],[DESTINATARIO]],CHOOSE({1,2},Clientes_Proveedores[Razon Social],Clientes_Proveedores[Ruc / Dni]),2,0),"")</f>
        <v>10446328129</v>
      </c>
      <c r="X3160" s="25"/>
      <c r="Y3160" s="25"/>
      <c r="Z3160" s="25"/>
      <c r="AA3160" s="101"/>
      <c r="AB3160" s="3" t="str">
        <f>IF(BCP_Soles[[#This Row],[FECHA]]&gt;0,TEXT(BCP_Soles[[#This Row],[FECHA]],"mmmm"),0)</f>
        <v>Agosto</v>
      </c>
    </row>
    <row r="3161" spans="2:28" ht="24" x14ac:dyDescent="0.3">
      <c r="B3161" s="2" t="str">
        <f>IF(BCP_Soles[[#This Row],[TIPO DE R.]]="R",COUNTIFS($D$4:$D3160,"R")+1,"")</f>
        <v/>
      </c>
      <c r="C3161" s="19" t="str">
        <f t="shared" si="245"/>
        <v>B-BCP - Soles</v>
      </c>
      <c r="D3161" s="3" t="s">
        <v>1101</v>
      </c>
      <c r="E3161" s="14">
        <v>45881</v>
      </c>
      <c r="F3161" s="5" t="s">
        <v>1996</v>
      </c>
      <c r="G3161" s="5"/>
      <c r="H3161" s="6" t="s">
        <v>688</v>
      </c>
      <c r="I3161" s="6" t="s">
        <v>18</v>
      </c>
      <c r="J3161" s="6" t="s">
        <v>1121</v>
      </c>
      <c r="K3161" s="6">
        <v>36</v>
      </c>
      <c r="L3161" s="7" t="s">
        <v>3880</v>
      </c>
      <c r="M3161" s="8">
        <v>1209491</v>
      </c>
      <c r="N3161" s="8" t="str">
        <f t="shared" si="246"/>
        <v>PEN</v>
      </c>
      <c r="O3161" s="13">
        <v>250</v>
      </c>
      <c r="P3161" s="13"/>
      <c r="Q3161" s="3">
        <f t="shared" si="247"/>
        <v>0</v>
      </c>
      <c r="R3161" s="3">
        <f t="shared" si="248"/>
        <v>0</v>
      </c>
      <c r="S3161" s="3">
        <f t="shared" si="249"/>
        <v>25918.689999999977</v>
      </c>
      <c r="T3161" s="24" t="s">
        <v>1081</v>
      </c>
      <c r="U3161" s="24" t="s">
        <v>1081</v>
      </c>
      <c r="V3161" s="70" t="s">
        <v>3882</v>
      </c>
      <c r="W3161" s="25">
        <f>IFERROR(VLOOKUP(BCP_Soles[[#This Row],[DESTINATARIO]],CHOOSE({1,2},Clientes_Proveedores[Razon Social],Clientes_Proveedores[Ruc / Dni]),2,0),"")</f>
        <v>10446328129</v>
      </c>
      <c r="X3161" s="25"/>
      <c r="Y3161" s="25"/>
      <c r="Z3161" s="25"/>
      <c r="AA3161" s="101"/>
      <c r="AB3161" s="3" t="str">
        <f>IF(BCP_Soles[[#This Row],[FECHA]]&gt;0,TEXT(BCP_Soles[[#This Row],[FECHA]],"mmmm"),0)</f>
        <v>Agosto</v>
      </c>
    </row>
    <row r="3162" spans="2:28" x14ac:dyDescent="0.3">
      <c r="B3162" s="2">
        <f>IF(BCP_Soles[[#This Row],[TIPO DE R.]]="R",COUNTIFS($D$4:$D3161,"R")+1,"")</f>
        <v>2190</v>
      </c>
      <c r="C3162" s="19" t="str">
        <f t="shared" si="245"/>
        <v>B-BCP - Soles</v>
      </c>
      <c r="D3162" s="3" t="s">
        <v>1074</v>
      </c>
      <c r="E3162" s="14">
        <v>45881</v>
      </c>
      <c r="F3162" s="5" t="s">
        <v>3883</v>
      </c>
      <c r="G3162" s="5" t="s">
        <v>1079</v>
      </c>
      <c r="H3162" s="6"/>
      <c r="I3162" s="6"/>
      <c r="J3162" s="6"/>
      <c r="K3162" s="6"/>
      <c r="L3162" s="7" t="s">
        <v>1279</v>
      </c>
      <c r="M3162" s="8">
        <v>3622</v>
      </c>
      <c r="N3162" s="8" t="str">
        <f t="shared" si="246"/>
        <v>PEN</v>
      </c>
      <c r="O3162" s="13"/>
      <c r="P3162" s="13">
        <v>515.36</v>
      </c>
      <c r="Q3162" s="3">
        <f t="shared" si="247"/>
        <v>0</v>
      </c>
      <c r="R3162" s="3">
        <f t="shared" si="248"/>
        <v>515.36</v>
      </c>
      <c r="S3162" s="3">
        <f t="shared" si="249"/>
        <v>25403.329999999976</v>
      </c>
      <c r="T3162" s="24"/>
      <c r="U3162" s="24"/>
      <c r="V3162" s="69"/>
      <c r="W3162" s="25" t="str">
        <f>IFERROR(VLOOKUP(BCP_Soles[[#This Row],[DESTINATARIO]],CHOOSE({1,2},Clientes_Proveedores[Razon Social],Clientes_Proveedores[Ruc / Dni]),2,0),"")</f>
        <v/>
      </c>
      <c r="X3162" s="25"/>
      <c r="Y3162" s="25"/>
      <c r="Z3162" s="25"/>
      <c r="AA3162" s="101"/>
      <c r="AB3162" s="3" t="str">
        <f>IF(BCP_Soles[[#This Row],[FECHA]]&gt;0,TEXT(BCP_Soles[[#This Row],[FECHA]],"mmmm"),0)</f>
        <v>Agosto</v>
      </c>
    </row>
    <row r="3163" spans="2:28" x14ac:dyDescent="0.3">
      <c r="B3163" s="2">
        <f>IF(BCP_Soles[[#This Row],[TIPO DE R.]]="R",COUNTIFS($D$4:$D3162,"R")+1,"")</f>
        <v>2191</v>
      </c>
      <c r="C3163" s="19" t="str">
        <f t="shared" si="245"/>
        <v>B-BCP - Soles</v>
      </c>
      <c r="D3163" s="3" t="s">
        <v>1074</v>
      </c>
      <c r="E3163" s="14">
        <v>45881</v>
      </c>
      <c r="F3163" s="5" t="s">
        <v>3883</v>
      </c>
      <c r="G3163" s="5" t="s">
        <v>1079</v>
      </c>
      <c r="H3163" s="6"/>
      <c r="I3163" s="6"/>
      <c r="J3163" s="6"/>
      <c r="K3163" s="6"/>
      <c r="L3163" s="7" t="s">
        <v>1277</v>
      </c>
      <c r="M3163" s="8">
        <v>3616</v>
      </c>
      <c r="N3163" s="8" t="str">
        <f t="shared" si="246"/>
        <v>PEN</v>
      </c>
      <c r="O3163" s="13"/>
      <c r="P3163" s="13">
        <v>837.24</v>
      </c>
      <c r="Q3163" s="3">
        <f t="shared" si="247"/>
        <v>0</v>
      </c>
      <c r="R3163" s="3">
        <f t="shared" si="248"/>
        <v>837.24</v>
      </c>
      <c r="S3163" s="3">
        <f t="shared" si="249"/>
        <v>24566.089999999975</v>
      </c>
      <c r="T3163" s="24"/>
      <c r="U3163" s="24"/>
      <c r="V3163" s="69"/>
      <c r="W3163" s="25" t="str">
        <f>IFERROR(VLOOKUP(BCP_Soles[[#This Row],[DESTINATARIO]],CHOOSE({1,2},Clientes_Proveedores[Razon Social],Clientes_Proveedores[Ruc / Dni]),2,0),"")</f>
        <v/>
      </c>
      <c r="X3163" s="25"/>
      <c r="Y3163" s="25"/>
      <c r="Z3163" s="25"/>
      <c r="AA3163" s="101"/>
      <c r="AB3163" s="3" t="str">
        <f>IF(BCP_Soles[[#This Row],[FECHA]]&gt;0,TEXT(BCP_Soles[[#This Row],[FECHA]],"mmmm"),0)</f>
        <v>Agosto</v>
      </c>
    </row>
    <row r="3164" spans="2:28" x14ac:dyDescent="0.3">
      <c r="B3164" s="2">
        <f>IF(BCP_Soles[[#This Row],[TIPO DE R.]]="R",COUNTIFS($D$4:$D3163,"R")+1,"")</f>
        <v>2192</v>
      </c>
      <c r="C3164" s="19" t="str">
        <f t="shared" si="245"/>
        <v>B-BCP - Soles</v>
      </c>
      <c r="D3164" s="3" t="s">
        <v>1074</v>
      </c>
      <c r="E3164" s="14">
        <v>45881</v>
      </c>
      <c r="F3164" s="5" t="s">
        <v>3883</v>
      </c>
      <c r="G3164" s="5" t="s">
        <v>1079</v>
      </c>
      <c r="H3164" s="6"/>
      <c r="I3164" s="6"/>
      <c r="J3164" s="6"/>
      <c r="K3164" s="6"/>
      <c r="L3164" s="7" t="s">
        <v>1274</v>
      </c>
      <c r="M3164" s="8">
        <v>3620</v>
      </c>
      <c r="N3164" s="8" t="str">
        <f t="shared" si="246"/>
        <v>PEN</v>
      </c>
      <c r="O3164" s="13"/>
      <c r="P3164" s="13">
        <v>2004.49</v>
      </c>
      <c r="Q3164" s="3">
        <f t="shared" si="247"/>
        <v>0</v>
      </c>
      <c r="R3164" s="3">
        <f t="shared" si="248"/>
        <v>2004.49</v>
      </c>
      <c r="S3164" s="3">
        <f t="shared" si="249"/>
        <v>22561.599999999973</v>
      </c>
      <c r="T3164" s="24"/>
      <c r="U3164" s="24"/>
      <c r="V3164" s="69"/>
      <c r="W3164" s="25" t="str">
        <f>IFERROR(VLOOKUP(BCP_Soles[[#This Row],[DESTINATARIO]],CHOOSE({1,2},Clientes_Proveedores[Razon Social],Clientes_Proveedores[Ruc / Dni]),2,0),"")</f>
        <v/>
      </c>
      <c r="X3164" s="25"/>
      <c r="Y3164" s="25"/>
      <c r="Z3164" s="25"/>
      <c r="AA3164" s="101"/>
      <c r="AB3164" s="3" t="str">
        <f>IF(BCP_Soles[[#This Row],[FECHA]]&gt;0,TEXT(BCP_Soles[[#This Row],[FECHA]],"mmmm"),0)</f>
        <v>Agosto</v>
      </c>
    </row>
    <row r="3165" spans="2:28" x14ac:dyDescent="0.3">
      <c r="B3165" s="2">
        <f>IF(BCP_Soles[[#This Row],[TIPO DE R.]]="R",COUNTIFS($D$4:$D3164,"R")+1,"")</f>
        <v>2193</v>
      </c>
      <c r="C3165" s="19" t="str">
        <f t="shared" si="245"/>
        <v>B-BCP - Soles</v>
      </c>
      <c r="D3165" s="3" t="s">
        <v>1074</v>
      </c>
      <c r="E3165" s="14">
        <v>45881</v>
      </c>
      <c r="F3165" s="5" t="s">
        <v>3883</v>
      </c>
      <c r="G3165" s="5" t="s">
        <v>1079</v>
      </c>
      <c r="H3165" s="6"/>
      <c r="I3165" s="6"/>
      <c r="J3165" s="6"/>
      <c r="K3165" s="6"/>
      <c r="L3165" s="7" t="s">
        <v>1271</v>
      </c>
      <c r="M3165" s="8">
        <v>3617</v>
      </c>
      <c r="N3165" s="8" t="str">
        <f t="shared" si="246"/>
        <v>PEN</v>
      </c>
      <c r="O3165" s="13"/>
      <c r="P3165" s="13">
        <v>6051.52</v>
      </c>
      <c r="Q3165" s="3">
        <f t="shared" si="247"/>
        <v>0</v>
      </c>
      <c r="R3165" s="3">
        <f t="shared" si="248"/>
        <v>6051.52</v>
      </c>
      <c r="S3165" s="3">
        <f t="shared" si="249"/>
        <v>16510.079999999973</v>
      </c>
      <c r="T3165" s="24"/>
      <c r="U3165" s="24"/>
      <c r="V3165" s="69"/>
      <c r="W3165" s="25" t="str">
        <f>IFERROR(VLOOKUP(BCP_Soles[[#This Row],[DESTINATARIO]],CHOOSE({1,2},Clientes_Proveedores[Razon Social],Clientes_Proveedores[Ruc / Dni]),2,0),"")</f>
        <v/>
      </c>
      <c r="X3165" s="25"/>
      <c r="Y3165" s="25"/>
      <c r="Z3165" s="25"/>
      <c r="AA3165" s="101"/>
      <c r="AB3165" s="3" t="str">
        <f>IF(BCP_Soles[[#This Row],[FECHA]]&gt;0,TEXT(BCP_Soles[[#This Row],[FECHA]],"mmmm"),0)</f>
        <v>Agosto</v>
      </c>
    </row>
    <row r="3166" spans="2:28" x14ac:dyDescent="0.3">
      <c r="B3166" s="2">
        <f>IF(BCP_Soles[[#This Row],[TIPO DE R.]]="R",COUNTIFS($D$4:$D3165,"R")+1,"")</f>
        <v>2194</v>
      </c>
      <c r="C3166" s="19" t="str">
        <f t="shared" si="245"/>
        <v>B-BCP - Soles</v>
      </c>
      <c r="D3166" s="3" t="s">
        <v>1074</v>
      </c>
      <c r="E3166" s="14">
        <v>45881</v>
      </c>
      <c r="F3166" s="5" t="s">
        <v>3883</v>
      </c>
      <c r="G3166" s="5" t="s">
        <v>1079</v>
      </c>
      <c r="H3166" s="6"/>
      <c r="I3166" s="6"/>
      <c r="J3166" s="6"/>
      <c r="K3166" s="6"/>
      <c r="L3166" s="7" t="s">
        <v>3884</v>
      </c>
      <c r="M3166" s="8">
        <v>1002643</v>
      </c>
      <c r="N3166" s="8" t="str">
        <f t="shared" si="246"/>
        <v>PEN</v>
      </c>
      <c r="O3166" s="13"/>
      <c r="P3166" s="13">
        <v>302</v>
      </c>
      <c r="Q3166" s="3">
        <f t="shared" si="247"/>
        <v>0</v>
      </c>
      <c r="R3166" s="3">
        <f t="shared" si="248"/>
        <v>302</v>
      </c>
      <c r="S3166" s="3">
        <f t="shared" si="249"/>
        <v>16208.079999999973</v>
      </c>
      <c r="T3166" s="24"/>
      <c r="U3166" s="24"/>
      <c r="V3166" s="69"/>
      <c r="W3166" s="25" t="str">
        <f>IFERROR(VLOOKUP(BCP_Soles[[#This Row],[DESTINATARIO]],CHOOSE({1,2},Clientes_Proveedores[Razon Social],Clientes_Proveedores[Ruc / Dni]),2,0),"")</f>
        <v/>
      </c>
      <c r="X3166" s="25"/>
      <c r="Y3166" s="25"/>
      <c r="Z3166" s="25"/>
      <c r="AA3166" s="101"/>
      <c r="AB3166" s="3" t="str">
        <f>IF(BCP_Soles[[#This Row],[FECHA]]&gt;0,TEXT(BCP_Soles[[#This Row],[FECHA]],"mmmm"),0)</f>
        <v>Agosto</v>
      </c>
    </row>
    <row r="3167" spans="2:28" x14ac:dyDescent="0.3">
      <c r="B3167" s="2">
        <f>IF(BCP_Soles[[#This Row],[TIPO DE R.]]="R",COUNTIFS($D$4:$D3166,"R")+1,"")</f>
        <v>2195</v>
      </c>
      <c r="C3167" s="19" t="str">
        <f t="shared" si="245"/>
        <v>B-BCP - Soles</v>
      </c>
      <c r="D3167" s="3" t="s">
        <v>1074</v>
      </c>
      <c r="E3167" s="14">
        <v>45881</v>
      </c>
      <c r="F3167" s="5" t="s">
        <v>2898</v>
      </c>
      <c r="G3167" s="5" t="s">
        <v>1079</v>
      </c>
      <c r="H3167" s="6"/>
      <c r="I3167" s="6"/>
      <c r="J3167" s="6"/>
      <c r="K3167" s="6"/>
      <c r="L3167" s="7" t="s">
        <v>3885</v>
      </c>
      <c r="M3167" s="8">
        <v>1009540</v>
      </c>
      <c r="N3167" s="8" t="str">
        <f t="shared" si="246"/>
        <v>PEN</v>
      </c>
      <c r="O3167" s="13"/>
      <c r="P3167" s="13">
        <v>2877</v>
      </c>
      <c r="Q3167" s="3">
        <f t="shared" si="247"/>
        <v>0</v>
      </c>
      <c r="R3167" s="3">
        <f t="shared" si="248"/>
        <v>2877</v>
      </c>
      <c r="S3167" s="3">
        <f t="shared" si="249"/>
        <v>13331.079999999973</v>
      </c>
      <c r="T3167" s="24" t="s">
        <v>1081</v>
      </c>
      <c r="U3167" s="24" t="s">
        <v>1081</v>
      </c>
      <c r="V3167" s="69"/>
      <c r="W3167" s="25" t="str">
        <f>IFERROR(VLOOKUP(BCP_Soles[[#This Row],[DESTINATARIO]],CHOOSE({1,2},Clientes_Proveedores[Razon Social],Clientes_Proveedores[Ruc / Dni]),2,0),"")</f>
        <v/>
      </c>
      <c r="X3167" s="25"/>
      <c r="Y3167" s="25"/>
      <c r="Z3167" s="25"/>
      <c r="AA3167" s="101"/>
      <c r="AB3167" s="3" t="str">
        <f>IF(BCP_Soles[[#This Row],[FECHA]]&gt;0,TEXT(BCP_Soles[[#This Row],[FECHA]],"mmmm"),0)</f>
        <v>Agosto</v>
      </c>
    </row>
    <row r="3168" spans="2:28" x14ac:dyDescent="0.3">
      <c r="B3168" s="2" t="str">
        <f>IF(BCP_Soles[[#This Row],[TIPO DE R.]]="R",COUNTIFS($D$4:$D3167,"R")+1,"")</f>
        <v/>
      </c>
      <c r="C3168" s="19" t="str">
        <f t="shared" si="245"/>
        <v>B-BCP - Soles</v>
      </c>
      <c r="D3168" s="3" t="s">
        <v>1101</v>
      </c>
      <c r="E3168" s="14">
        <v>45881</v>
      </c>
      <c r="F3168" s="5" t="s">
        <v>2898</v>
      </c>
      <c r="G3168" s="5"/>
      <c r="H3168" s="6" t="s">
        <v>357</v>
      </c>
      <c r="I3168" s="6" t="s">
        <v>14</v>
      </c>
      <c r="J3168" s="6" t="s">
        <v>1119</v>
      </c>
      <c r="K3168" s="6">
        <v>14701</v>
      </c>
      <c r="L3168" s="7" t="s">
        <v>3885</v>
      </c>
      <c r="M3168" s="8">
        <v>1009540</v>
      </c>
      <c r="N3168" s="8" t="str">
        <f t="shared" si="246"/>
        <v>PEN</v>
      </c>
      <c r="O3168" s="13">
        <v>2116</v>
      </c>
      <c r="P3168" s="13"/>
      <c r="Q3168" s="3">
        <f t="shared" si="247"/>
        <v>0</v>
      </c>
      <c r="R3168" s="3">
        <f t="shared" si="248"/>
        <v>0</v>
      </c>
      <c r="S3168" s="3">
        <f t="shared" si="249"/>
        <v>13331.079999999973</v>
      </c>
      <c r="T3168" s="24" t="s">
        <v>1081</v>
      </c>
      <c r="U3168" s="24" t="s">
        <v>1081</v>
      </c>
      <c r="V3168" s="69"/>
      <c r="W3168" s="25">
        <f>IFERROR(VLOOKUP(BCP_Soles[[#This Row],[DESTINATARIO]],CHOOSE({1,2},Clientes_Proveedores[Razon Social],Clientes_Proveedores[Ruc / Dni]),2,0),"")</f>
        <v>20553255709</v>
      </c>
      <c r="X3168" s="25"/>
      <c r="Y3168" s="25"/>
      <c r="Z3168" s="25"/>
      <c r="AA3168" s="101" t="s">
        <v>3385</v>
      </c>
      <c r="AB3168" s="3" t="str">
        <f>IF(BCP_Soles[[#This Row],[FECHA]]&gt;0,TEXT(BCP_Soles[[#This Row],[FECHA]],"mmmm"),0)</f>
        <v>Agosto</v>
      </c>
    </row>
    <row r="3169" spans="2:28" x14ac:dyDescent="0.3">
      <c r="B3169" s="2" t="str">
        <f>IF(BCP_Soles[[#This Row],[TIPO DE R.]]="R",COUNTIFS($D$4:$D3168,"R")+1,"")</f>
        <v/>
      </c>
      <c r="C3169" s="19" t="str">
        <f t="shared" si="245"/>
        <v>B-BCP - Soles</v>
      </c>
      <c r="D3169" s="3" t="s">
        <v>1101</v>
      </c>
      <c r="E3169" s="14">
        <v>45881</v>
      </c>
      <c r="F3169" s="5" t="s">
        <v>2898</v>
      </c>
      <c r="G3169" s="5"/>
      <c r="H3169" s="6" t="s">
        <v>229</v>
      </c>
      <c r="I3169" s="6" t="s">
        <v>14</v>
      </c>
      <c r="J3169" s="6" t="s">
        <v>1429</v>
      </c>
      <c r="K3169" s="6">
        <v>1716</v>
      </c>
      <c r="L3169" s="7" t="s">
        <v>3885</v>
      </c>
      <c r="M3169" s="8">
        <v>1009540</v>
      </c>
      <c r="N3169" s="8" t="str">
        <f t="shared" si="246"/>
        <v>PEN</v>
      </c>
      <c r="O3169" s="13">
        <v>23</v>
      </c>
      <c r="P3169" s="13"/>
      <c r="Q3169" s="3">
        <f t="shared" si="247"/>
        <v>0</v>
      </c>
      <c r="R3169" s="3">
        <f t="shared" si="248"/>
        <v>0</v>
      </c>
      <c r="S3169" s="3">
        <f t="shared" si="249"/>
        <v>13331.079999999973</v>
      </c>
      <c r="T3169" s="24" t="s">
        <v>1081</v>
      </c>
      <c r="U3169" s="24" t="s">
        <v>1081</v>
      </c>
      <c r="V3169" s="69"/>
      <c r="W3169" s="25">
        <f>IFERROR(VLOOKUP(BCP_Soles[[#This Row],[DESTINATARIO]],CHOOSE({1,2},Clientes_Proveedores[Razon Social],Clientes_Proveedores[Ruc / Dni]),2,0),"")</f>
        <v>20454186002</v>
      </c>
      <c r="X3169" s="25"/>
      <c r="Y3169" s="25"/>
      <c r="Z3169" s="25"/>
      <c r="AA3169" s="101" t="s">
        <v>3385</v>
      </c>
      <c r="AB3169" s="3" t="str">
        <f>IF(BCP_Soles[[#This Row],[FECHA]]&gt;0,TEXT(BCP_Soles[[#This Row],[FECHA]],"mmmm"),0)</f>
        <v>Agosto</v>
      </c>
    </row>
    <row r="3170" spans="2:28" ht="36" x14ac:dyDescent="0.3">
      <c r="B3170" s="2" t="str">
        <f>IF(BCP_Soles[[#This Row],[TIPO DE R.]]="R",COUNTIFS($D$4:$D3169,"R")+1,"")</f>
        <v/>
      </c>
      <c r="C3170" s="19" t="str">
        <f t="shared" si="245"/>
        <v>B-BCP - Soles</v>
      </c>
      <c r="D3170" s="3" t="s">
        <v>1101</v>
      </c>
      <c r="E3170" s="14">
        <v>45881</v>
      </c>
      <c r="F3170" s="5" t="s">
        <v>2898</v>
      </c>
      <c r="G3170" s="5"/>
      <c r="H3170" s="6" t="s">
        <v>220</v>
      </c>
      <c r="I3170" s="6" t="s">
        <v>14</v>
      </c>
      <c r="J3170" s="6" t="s">
        <v>1148</v>
      </c>
      <c r="K3170" s="6">
        <v>1802</v>
      </c>
      <c r="L3170" s="7" t="s">
        <v>3885</v>
      </c>
      <c r="M3170" s="8">
        <v>1009540</v>
      </c>
      <c r="N3170" s="8" t="str">
        <f t="shared" si="246"/>
        <v>PEN</v>
      </c>
      <c r="O3170" s="13">
        <v>106</v>
      </c>
      <c r="P3170" s="13"/>
      <c r="Q3170" s="3">
        <f t="shared" si="247"/>
        <v>0</v>
      </c>
      <c r="R3170" s="3">
        <f t="shared" si="248"/>
        <v>0</v>
      </c>
      <c r="S3170" s="3">
        <f t="shared" si="249"/>
        <v>13331.079999999973</v>
      </c>
      <c r="T3170" s="24" t="s">
        <v>1081</v>
      </c>
      <c r="U3170" s="24" t="s">
        <v>1081</v>
      </c>
      <c r="V3170" s="69"/>
      <c r="W3170" s="25">
        <f>IFERROR(VLOOKUP(BCP_Soles[[#This Row],[DESTINATARIO]],CHOOSE({1,2},Clientes_Proveedores[Razon Social],Clientes_Proveedores[Ruc / Dni]),2,0),"")</f>
        <v>20429640939</v>
      </c>
      <c r="X3170" s="25"/>
      <c r="Y3170" s="25"/>
      <c r="Z3170" s="25"/>
      <c r="AA3170" s="101" t="s">
        <v>3385</v>
      </c>
      <c r="AB3170" s="3" t="str">
        <f>IF(BCP_Soles[[#This Row],[FECHA]]&gt;0,TEXT(BCP_Soles[[#This Row],[FECHA]],"mmmm"),0)</f>
        <v>Agosto</v>
      </c>
    </row>
    <row r="3171" spans="2:28" ht="36" x14ac:dyDescent="0.3">
      <c r="B3171" s="2" t="str">
        <f>IF(BCP_Soles[[#This Row],[TIPO DE R.]]="R",COUNTIFS($D$4:$D3170,"R")+1,"")</f>
        <v/>
      </c>
      <c r="C3171" s="19" t="str">
        <f t="shared" si="245"/>
        <v>B-BCP - Soles</v>
      </c>
      <c r="D3171" s="3" t="s">
        <v>1101</v>
      </c>
      <c r="E3171" s="14">
        <v>45881</v>
      </c>
      <c r="F3171" s="5" t="s">
        <v>2898</v>
      </c>
      <c r="G3171" s="5"/>
      <c r="H3171" s="6" t="s">
        <v>220</v>
      </c>
      <c r="I3171" s="6" t="s">
        <v>14</v>
      </c>
      <c r="J3171" s="6" t="s">
        <v>1148</v>
      </c>
      <c r="K3171" s="6">
        <v>1822</v>
      </c>
      <c r="L3171" s="7" t="s">
        <v>3885</v>
      </c>
      <c r="M3171" s="8">
        <v>1009540</v>
      </c>
      <c r="N3171" s="8" t="str">
        <f t="shared" si="246"/>
        <v>PEN</v>
      </c>
      <c r="O3171" s="13">
        <v>106</v>
      </c>
      <c r="P3171" s="13"/>
      <c r="Q3171" s="3">
        <f t="shared" si="247"/>
        <v>0</v>
      </c>
      <c r="R3171" s="3">
        <f t="shared" si="248"/>
        <v>0</v>
      </c>
      <c r="S3171" s="3">
        <f t="shared" si="249"/>
        <v>13331.079999999973</v>
      </c>
      <c r="T3171" s="24" t="s">
        <v>1081</v>
      </c>
      <c r="U3171" s="24" t="s">
        <v>1081</v>
      </c>
      <c r="V3171" s="69"/>
      <c r="W3171" s="25">
        <f>IFERROR(VLOOKUP(BCP_Soles[[#This Row],[DESTINATARIO]],CHOOSE({1,2},Clientes_Proveedores[Razon Social],Clientes_Proveedores[Ruc / Dni]),2,0),"")</f>
        <v>20429640939</v>
      </c>
      <c r="X3171" s="25"/>
      <c r="Y3171" s="25"/>
      <c r="Z3171" s="25"/>
      <c r="AA3171" s="101" t="s">
        <v>3385</v>
      </c>
      <c r="AB3171" s="3" t="str">
        <f>IF(BCP_Soles[[#This Row],[FECHA]]&gt;0,TEXT(BCP_Soles[[#This Row],[FECHA]],"mmmm"),0)</f>
        <v>Agosto</v>
      </c>
    </row>
    <row r="3172" spans="2:28" ht="24" x14ac:dyDescent="0.3">
      <c r="B3172" s="2" t="str">
        <f>IF(BCP_Soles[[#This Row],[TIPO DE R.]]="R",COUNTIFS($D$4:$D3171,"R")+1,"")</f>
        <v/>
      </c>
      <c r="C3172" s="19" t="str">
        <f t="shared" si="245"/>
        <v>B-BCP - Soles</v>
      </c>
      <c r="D3172" s="3" t="s">
        <v>1101</v>
      </c>
      <c r="E3172" s="14">
        <v>45881</v>
      </c>
      <c r="F3172" s="5" t="s">
        <v>2898</v>
      </c>
      <c r="G3172" s="5"/>
      <c r="H3172" s="6" t="s">
        <v>147</v>
      </c>
      <c r="I3172" s="6" t="s">
        <v>14</v>
      </c>
      <c r="J3172" s="6" t="s">
        <v>1148</v>
      </c>
      <c r="K3172" s="6">
        <v>16475</v>
      </c>
      <c r="L3172" s="7" t="s">
        <v>3885</v>
      </c>
      <c r="M3172" s="8">
        <v>1009540</v>
      </c>
      <c r="N3172" s="8" t="str">
        <f t="shared" si="246"/>
        <v>PEN</v>
      </c>
      <c r="O3172" s="13">
        <v>54</v>
      </c>
      <c r="P3172" s="13"/>
      <c r="Q3172" s="3">
        <f t="shared" si="247"/>
        <v>0</v>
      </c>
      <c r="R3172" s="3">
        <f t="shared" si="248"/>
        <v>0</v>
      </c>
      <c r="S3172" s="3">
        <f t="shared" si="249"/>
        <v>13331.079999999973</v>
      </c>
      <c r="T3172" s="24" t="s">
        <v>1081</v>
      </c>
      <c r="U3172" s="24" t="s">
        <v>1081</v>
      </c>
      <c r="V3172" s="69"/>
      <c r="W3172" s="25">
        <f>IFERROR(VLOOKUP(BCP_Soles[[#This Row],[DESTINATARIO]],CHOOSE({1,2},Clientes_Proveedores[Razon Social],Clientes_Proveedores[Ruc / Dni]),2,0),"")</f>
        <v>20100192064</v>
      </c>
      <c r="X3172" s="25"/>
      <c r="Y3172" s="25"/>
      <c r="Z3172" s="25"/>
      <c r="AA3172" s="101" t="s">
        <v>3385</v>
      </c>
      <c r="AB3172" s="3" t="str">
        <f>IF(BCP_Soles[[#This Row],[FECHA]]&gt;0,TEXT(BCP_Soles[[#This Row],[FECHA]],"mmmm"),0)</f>
        <v>Agosto</v>
      </c>
    </row>
    <row r="3173" spans="2:28" ht="24" x14ac:dyDescent="0.3">
      <c r="B3173" s="2" t="str">
        <f>IF(BCP_Soles[[#This Row],[TIPO DE R.]]="R",COUNTIFS($D$4:$D3172,"R")+1,"")</f>
        <v/>
      </c>
      <c r="C3173" s="19" t="str">
        <f t="shared" si="245"/>
        <v>B-BCP - Soles</v>
      </c>
      <c r="D3173" s="3" t="s">
        <v>1101</v>
      </c>
      <c r="E3173" s="14">
        <v>45881</v>
      </c>
      <c r="F3173" s="5" t="s">
        <v>2898</v>
      </c>
      <c r="G3173" s="5"/>
      <c r="H3173" s="6" t="s">
        <v>147</v>
      </c>
      <c r="I3173" s="6" t="s">
        <v>14</v>
      </c>
      <c r="J3173" s="6" t="s">
        <v>1148</v>
      </c>
      <c r="K3173" s="6">
        <v>16474</v>
      </c>
      <c r="L3173" s="7" t="s">
        <v>3885</v>
      </c>
      <c r="M3173" s="8">
        <v>1009540</v>
      </c>
      <c r="N3173" s="8" t="str">
        <f t="shared" si="246"/>
        <v>PEN</v>
      </c>
      <c r="O3173" s="13">
        <v>42</v>
      </c>
      <c r="P3173" s="13"/>
      <c r="Q3173" s="3">
        <f t="shared" si="247"/>
        <v>0</v>
      </c>
      <c r="R3173" s="3">
        <f t="shared" si="248"/>
        <v>0</v>
      </c>
      <c r="S3173" s="3">
        <f t="shared" si="249"/>
        <v>13331.079999999973</v>
      </c>
      <c r="T3173" s="24" t="s">
        <v>1081</v>
      </c>
      <c r="U3173" s="24" t="s">
        <v>1081</v>
      </c>
      <c r="V3173" s="69"/>
      <c r="W3173" s="25">
        <f>IFERROR(VLOOKUP(BCP_Soles[[#This Row],[DESTINATARIO]],CHOOSE({1,2},Clientes_Proveedores[Razon Social],Clientes_Proveedores[Ruc / Dni]),2,0),"")</f>
        <v>20100192064</v>
      </c>
      <c r="X3173" s="25"/>
      <c r="Y3173" s="25"/>
      <c r="Z3173" s="25"/>
      <c r="AA3173" s="101" t="s">
        <v>3385</v>
      </c>
      <c r="AB3173" s="3" t="str">
        <f>IF(BCP_Soles[[#This Row],[FECHA]]&gt;0,TEXT(BCP_Soles[[#This Row],[FECHA]],"mmmm"),0)</f>
        <v>Agosto</v>
      </c>
    </row>
    <row r="3174" spans="2:28" ht="36" x14ac:dyDescent="0.3">
      <c r="B3174" s="2" t="str">
        <f>IF(BCP_Soles[[#This Row],[TIPO DE R.]]="R",COUNTIFS($D$4:$D3173,"R")+1,"")</f>
        <v/>
      </c>
      <c r="C3174" s="19" t="str">
        <f t="shared" si="245"/>
        <v>B-BCP - Soles</v>
      </c>
      <c r="D3174" s="3" t="s">
        <v>1101</v>
      </c>
      <c r="E3174" s="14">
        <v>45881</v>
      </c>
      <c r="F3174" s="5" t="s">
        <v>2898</v>
      </c>
      <c r="G3174" s="5"/>
      <c r="H3174" s="6" t="s">
        <v>220</v>
      </c>
      <c r="I3174" s="6" t="s">
        <v>14</v>
      </c>
      <c r="J3174" s="6" t="s">
        <v>1148</v>
      </c>
      <c r="K3174" s="6">
        <v>1843</v>
      </c>
      <c r="L3174" s="7" t="s">
        <v>3885</v>
      </c>
      <c r="M3174" s="8">
        <v>1009540</v>
      </c>
      <c r="N3174" s="8" t="str">
        <f t="shared" si="246"/>
        <v>PEN</v>
      </c>
      <c r="O3174" s="13">
        <v>106</v>
      </c>
      <c r="P3174" s="13"/>
      <c r="Q3174" s="3">
        <f t="shared" si="247"/>
        <v>0</v>
      </c>
      <c r="R3174" s="3">
        <f t="shared" si="248"/>
        <v>0</v>
      </c>
      <c r="S3174" s="3">
        <f t="shared" si="249"/>
        <v>13331.079999999973</v>
      </c>
      <c r="T3174" s="24" t="s">
        <v>1081</v>
      </c>
      <c r="U3174" s="24" t="s">
        <v>1081</v>
      </c>
      <c r="V3174" s="69"/>
      <c r="W3174" s="25">
        <f>IFERROR(VLOOKUP(BCP_Soles[[#This Row],[DESTINATARIO]],CHOOSE({1,2},Clientes_Proveedores[Razon Social],Clientes_Proveedores[Ruc / Dni]),2,0),"")</f>
        <v>20429640939</v>
      </c>
      <c r="X3174" s="25"/>
      <c r="Y3174" s="25"/>
      <c r="Z3174" s="25"/>
      <c r="AA3174" s="101" t="s">
        <v>3385</v>
      </c>
      <c r="AB3174" s="3" t="str">
        <f>IF(BCP_Soles[[#This Row],[FECHA]]&gt;0,TEXT(BCP_Soles[[#This Row],[FECHA]],"mmmm"),0)</f>
        <v>Agosto</v>
      </c>
    </row>
    <row r="3175" spans="2:28" ht="36" x14ac:dyDescent="0.3">
      <c r="B3175" s="2" t="str">
        <f>IF(BCP_Soles[[#This Row],[TIPO DE R.]]="R",COUNTIFS($D$4:$D3174,"R")+1,"")</f>
        <v/>
      </c>
      <c r="C3175" s="19" t="str">
        <f t="shared" si="245"/>
        <v>B-BCP - Soles</v>
      </c>
      <c r="D3175" s="3" t="s">
        <v>1101</v>
      </c>
      <c r="E3175" s="14">
        <v>45881</v>
      </c>
      <c r="F3175" s="5" t="s">
        <v>2898</v>
      </c>
      <c r="G3175" s="5"/>
      <c r="H3175" s="6" t="s">
        <v>220</v>
      </c>
      <c r="I3175" s="6" t="s">
        <v>14</v>
      </c>
      <c r="J3175" s="6" t="s">
        <v>1148</v>
      </c>
      <c r="K3175" s="6">
        <v>1833</v>
      </c>
      <c r="L3175" s="7" t="s">
        <v>3885</v>
      </c>
      <c r="M3175" s="8">
        <v>1009540</v>
      </c>
      <c r="N3175" s="8" t="str">
        <f t="shared" si="246"/>
        <v>PEN</v>
      </c>
      <c r="O3175" s="13">
        <v>56</v>
      </c>
      <c r="P3175" s="13"/>
      <c r="Q3175" s="3">
        <f t="shared" si="247"/>
        <v>0</v>
      </c>
      <c r="R3175" s="3">
        <f t="shared" si="248"/>
        <v>0</v>
      </c>
      <c r="S3175" s="3">
        <f t="shared" si="249"/>
        <v>13331.079999999973</v>
      </c>
      <c r="T3175" s="24" t="s">
        <v>1081</v>
      </c>
      <c r="U3175" s="24" t="s">
        <v>1081</v>
      </c>
      <c r="V3175" s="69"/>
      <c r="W3175" s="25">
        <f>IFERROR(VLOOKUP(BCP_Soles[[#This Row],[DESTINATARIO]],CHOOSE({1,2},Clientes_Proveedores[Razon Social],Clientes_Proveedores[Ruc / Dni]),2,0),"")</f>
        <v>20429640939</v>
      </c>
      <c r="X3175" s="25"/>
      <c r="Y3175" s="25"/>
      <c r="Z3175" s="25"/>
      <c r="AA3175" s="101" t="s">
        <v>3385</v>
      </c>
      <c r="AB3175" s="3" t="str">
        <f>IF(BCP_Soles[[#This Row],[FECHA]]&gt;0,TEXT(BCP_Soles[[#This Row],[FECHA]],"mmmm"),0)</f>
        <v>Agosto</v>
      </c>
    </row>
    <row r="3176" spans="2:28" ht="36" x14ac:dyDescent="0.3">
      <c r="B3176" s="2" t="str">
        <f>IF(BCP_Soles[[#This Row],[TIPO DE R.]]="R",COUNTIFS($D$4:$D3175,"R")+1,"")</f>
        <v/>
      </c>
      <c r="C3176" s="19" t="str">
        <f t="shared" si="245"/>
        <v>B-BCP - Soles</v>
      </c>
      <c r="D3176" s="3" t="s">
        <v>1101</v>
      </c>
      <c r="E3176" s="14">
        <v>45881</v>
      </c>
      <c r="F3176" s="5" t="s">
        <v>2898</v>
      </c>
      <c r="G3176" s="5"/>
      <c r="H3176" s="6" t="s">
        <v>61</v>
      </c>
      <c r="I3176" s="6" t="s">
        <v>14</v>
      </c>
      <c r="J3176" s="6" t="s">
        <v>1121</v>
      </c>
      <c r="K3176" s="6">
        <v>535</v>
      </c>
      <c r="L3176" s="7" t="s">
        <v>3885</v>
      </c>
      <c r="M3176" s="8">
        <v>1009540</v>
      </c>
      <c r="N3176" s="8" t="str">
        <f t="shared" si="246"/>
        <v>PEN</v>
      </c>
      <c r="O3176" s="13">
        <v>19</v>
      </c>
      <c r="P3176" s="13"/>
      <c r="Q3176" s="3">
        <f t="shared" si="247"/>
        <v>0</v>
      </c>
      <c r="R3176" s="3">
        <f t="shared" si="248"/>
        <v>0</v>
      </c>
      <c r="S3176" s="3">
        <f t="shared" si="249"/>
        <v>13331.079999999973</v>
      </c>
      <c r="T3176" s="24" t="s">
        <v>1081</v>
      </c>
      <c r="U3176" s="24" t="s">
        <v>1081</v>
      </c>
      <c r="V3176" s="69"/>
      <c r="W3176" s="25">
        <f>IFERROR(VLOOKUP(BCP_Soles[[#This Row],[DESTINATARIO]],CHOOSE({1,2},Clientes_Proveedores[Razon Social],Clientes_Proveedores[Ruc / Dni]),2,0),"")</f>
        <v>10295492908</v>
      </c>
      <c r="X3176" s="25"/>
      <c r="Y3176" s="25"/>
      <c r="Z3176" s="25"/>
      <c r="AA3176" s="101" t="s">
        <v>3385</v>
      </c>
      <c r="AB3176" s="3" t="str">
        <f>IF(BCP_Soles[[#This Row],[FECHA]]&gt;0,TEXT(BCP_Soles[[#This Row],[FECHA]],"mmmm"),0)</f>
        <v>Agosto</v>
      </c>
    </row>
    <row r="3177" spans="2:28" ht="24" x14ac:dyDescent="0.3">
      <c r="B3177" s="2" t="str">
        <f>IF(BCP_Soles[[#This Row],[TIPO DE R.]]="R",COUNTIFS($D$4:$D3176,"R")+1,"")</f>
        <v/>
      </c>
      <c r="C3177" s="19" t="str">
        <f t="shared" si="245"/>
        <v>B-BCP - Soles</v>
      </c>
      <c r="D3177" s="3" t="s">
        <v>1101</v>
      </c>
      <c r="E3177" s="14">
        <v>45881</v>
      </c>
      <c r="F3177" s="5" t="s">
        <v>2898</v>
      </c>
      <c r="G3177" s="5"/>
      <c r="H3177" s="6" t="s">
        <v>214</v>
      </c>
      <c r="I3177" s="6" t="s">
        <v>14</v>
      </c>
      <c r="J3177" s="6" t="s">
        <v>1120</v>
      </c>
      <c r="K3177" s="6">
        <v>6959</v>
      </c>
      <c r="L3177" s="7" t="s">
        <v>3885</v>
      </c>
      <c r="M3177" s="8">
        <v>1009540</v>
      </c>
      <c r="N3177" s="8" t="str">
        <f t="shared" si="246"/>
        <v>PEN</v>
      </c>
      <c r="O3177" s="13">
        <v>118</v>
      </c>
      <c r="P3177" s="13"/>
      <c r="Q3177" s="3">
        <f t="shared" si="247"/>
        <v>0</v>
      </c>
      <c r="R3177" s="3">
        <f t="shared" si="248"/>
        <v>0</v>
      </c>
      <c r="S3177" s="3">
        <f t="shared" si="249"/>
        <v>13331.079999999973</v>
      </c>
      <c r="T3177" s="24" t="s">
        <v>1081</v>
      </c>
      <c r="U3177" s="24" t="s">
        <v>1081</v>
      </c>
      <c r="V3177" s="69"/>
      <c r="W3177" s="25">
        <f>IFERROR(VLOOKUP(BCP_Soles[[#This Row],[DESTINATARIO]],CHOOSE({1,2},Clientes_Proveedores[Razon Social],Clientes_Proveedores[Ruc / Dni]),2,0),"")</f>
        <v>20419158462</v>
      </c>
      <c r="X3177" s="25"/>
      <c r="Y3177" s="25"/>
      <c r="Z3177" s="25"/>
      <c r="AA3177" s="101" t="s">
        <v>3385</v>
      </c>
      <c r="AB3177" s="3" t="str">
        <f>IF(BCP_Soles[[#This Row],[FECHA]]&gt;0,TEXT(BCP_Soles[[#This Row],[FECHA]],"mmmm"),0)</f>
        <v>Agosto</v>
      </c>
    </row>
    <row r="3178" spans="2:28" ht="24" x14ac:dyDescent="0.3">
      <c r="B3178" s="2" t="str">
        <f>IF(BCP_Soles[[#This Row],[TIPO DE R.]]="R",COUNTIFS($D$4:$D3177,"R")+1,"")</f>
        <v/>
      </c>
      <c r="C3178" s="19" t="str">
        <f t="shared" si="245"/>
        <v>B-BCP - Soles</v>
      </c>
      <c r="D3178" s="3" t="s">
        <v>1101</v>
      </c>
      <c r="E3178" s="14">
        <v>45881</v>
      </c>
      <c r="F3178" s="5" t="s">
        <v>2898</v>
      </c>
      <c r="G3178" s="5"/>
      <c r="H3178" s="6" t="s">
        <v>214</v>
      </c>
      <c r="I3178" s="6" t="s">
        <v>14</v>
      </c>
      <c r="J3178" s="6" t="s">
        <v>1120</v>
      </c>
      <c r="K3178" s="6">
        <v>6960</v>
      </c>
      <c r="L3178" s="7" t="s">
        <v>3885</v>
      </c>
      <c r="M3178" s="8">
        <v>1009540</v>
      </c>
      <c r="N3178" s="8" t="str">
        <f t="shared" si="246"/>
        <v>PEN</v>
      </c>
      <c r="O3178" s="13">
        <v>10</v>
      </c>
      <c r="P3178" s="13"/>
      <c r="Q3178" s="3">
        <f t="shared" si="247"/>
        <v>0</v>
      </c>
      <c r="R3178" s="3">
        <f t="shared" si="248"/>
        <v>0</v>
      </c>
      <c r="S3178" s="3">
        <f t="shared" si="249"/>
        <v>13331.079999999973</v>
      </c>
      <c r="T3178" s="24" t="s">
        <v>1081</v>
      </c>
      <c r="U3178" s="24" t="s">
        <v>1081</v>
      </c>
      <c r="V3178" s="69"/>
      <c r="W3178" s="25">
        <f>IFERROR(VLOOKUP(BCP_Soles[[#This Row],[DESTINATARIO]],CHOOSE({1,2},Clientes_Proveedores[Razon Social],Clientes_Proveedores[Ruc / Dni]),2,0),"")</f>
        <v>20419158462</v>
      </c>
      <c r="X3178" s="25"/>
      <c r="Y3178" s="25"/>
      <c r="Z3178" s="25"/>
      <c r="AA3178" s="101" t="s">
        <v>3385</v>
      </c>
      <c r="AB3178" s="3" t="str">
        <f>IF(BCP_Soles[[#This Row],[FECHA]]&gt;0,TEXT(BCP_Soles[[#This Row],[FECHA]],"mmmm"),0)</f>
        <v>Agosto</v>
      </c>
    </row>
    <row r="3179" spans="2:28" ht="24" x14ac:dyDescent="0.3">
      <c r="B3179" s="2" t="str">
        <f>IF(BCP_Soles[[#This Row],[TIPO DE R.]]="R",COUNTIFS($D$4:$D3178,"R")+1,"")</f>
        <v/>
      </c>
      <c r="C3179" s="19" t="str">
        <f t="shared" si="245"/>
        <v>B-BCP - Soles</v>
      </c>
      <c r="D3179" s="3" t="s">
        <v>1101</v>
      </c>
      <c r="E3179" s="14">
        <v>45881</v>
      </c>
      <c r="F3179" s="5" t="s">
        <v>2898</v>
      </c>
      <c r="G3179" s="5"/>
      <c r="H3179" s="6" t="s">
        <v>214</v>
      </c>
      <c r="I3179" s="6" t="s">
        <v>14</v>
      </c>
      <c r="J3179" s="6" t="s">
        <v>1120</v>
      </c>
      <c r="K3179" s="6">
        <v>6958</v>
      </c>
      <c r="L3179" s="7" t="s">
        <v>3885</v>
      </c>
      <c r="M3179" s="8">
        <v>1009540</v>
      </c>
      <c r="N3179" s="8" t="str">
        <f t="shared" si="246"/>
        <v>PEN</v>
      </c>
      <c r="O3179" s="13">
        <v>14</v>
      </c>
      <c r="P3179" s="13"/>
      <c r="Q3179" s="3">
        <f t="shared" si="247"/>
        <v>0</v>
      </c>
      <c r="R3179" s="3">
        <f t="shared" si="248"/>
        <v>0</v>
      </c>
      <c r="S3179" s="3">
        <f t="shared" si="249"/>
        <v>13331.079999999973</v>
      </c>
      <c r="T3179" s="24" t="s">
        <v>1081</v>
      </c>
      <c r="U3179" s="24" t="s">
        <v>1081</v>
      </c>
      <c r="V3179" s="69"/>
      <c r="W3179" s="25">
        <f>IFERROR(VLOOKUP(BCP_Soles[[#This Row],[DESTINATARIO]],CHOOSE({1,2},Clientes_Proveedores[Razon Social],Clientes_Proveedores[Ruc / Dni]),2,0),"")</f>
        <v>20419158462</v>
      </c>
      <c r="X3179" s="25"/>
      <c r="Y3179" s="25"/>
      <c r="Z3179" s="25"/>
      <c r="AA3179" s="101" t="s">
        <v>3385</v>
      </c>
      <c r="AB3179" s="3" t="str">
        <f>IF(BCP_Soles[[#This Row],[FECHA]]&gt;0,TEXT(BCP_Soles[[#This Row],[FECHA]],"mmmm"),0)</f>
        <v>Agosto</v>
      </c>
    </row>
    <row r="3180" spans="2:28" ht="24" x14ac:dyDescent="0.3">
      <c r="B3180" s="2" t="str">
        <f>IF(BCP_Soles[[#This Row],[TIPO DE R.]]="R",COUNTIFS($D$4:$D3179,"R")+1,"")</f>
        <v/>
      </c>
      <c r="C3180" s="19" t="str">
        <f t="shared" si="245"/>
        <v>B-BCP - Soles</v>
      </c>
      <c r="D3180" s="3" t="s">
        <v>1101</v>
      </c>
      <c r="E3180" s="14">
        <v>45881</v>
      </c>
      <c r="F3180" s="5" t="s">
        <v>2898</v>
      </c>
      <c r="G3180" s="5"/>
      <c r="H3180" s="6" t="s">
        <v>609</v>
      </c>
      <c r="I3180" s="6" t="s">
        <v>14</v>
      </c>
      <c r="J3180" s="6" t="s">
        <v>1121</v>
      </c>
      <c r="K3180" s="6">
        <v>55</v>
      </c>
      <c r="L3180" s="7" t="s">
        <v>3885</v>
      </c>
      <c r="M3180" s="8">
        <v>1009540</v>
      </c>
      <c r="N3180" s="8" t="str">
        <f t="shared" si="246"/>
        <v>PEN</v>
      </c>
      <c r="O3180" s="13">
        <v>21</v>
      </c>
      <c r="P3180" s="13"/>
      <c r="Q3180" s="3">
        <f t="shared" si="247"/>
        <v>0</v>
      </c>
      <c r="R3180" s="3">
        <f t="shared" si="248"/>
        <v>0</v>
      </c>
      <c r="S3180" s="3">
        <f t="shared" si="249"/>
        <v>13331.079999999973</v>
      </c>
      <c r="T3180" s="24" t="s">
        <v>1081</v>
      </c>
      <c r="U3180" s="24" t="s">
        <v>1081</v>
      </c>
      <c r="V3180" s="69"/>
      <c r="W3180" s="25">
        <f>IFERROR(VLOOKUP(BCP_Soles[[#This Row],[DESTINATARIO]],CHOOSE({1,2},Clientes_Proveedores[Razon Social],Clientes_Proveedores[Ruc / Dni]),2,0),"")</f>
        <v>10410687491</v>
      </c>
      <c r="X3180" s="25"/>
      <c r="Y3180" s="25"/>
      <c r="Z3180" s="25"/>
      <c r="AA3180" s="101" t="s">
        <v>3385</v>
      </c>
      <c r="AB3180" s="3" t="str">
        <f>IF(BCP_Soles[[#This Row],[FECHA]]&gt;0,TEXT(BCP_Soles[[#This Row],[FECHA]],"mmmm"),0)</f>
        <v>Agosto</v>
      </c>
    </row>
    <row r="3181" spans="2:28" ht="36" x14ac:dyDescent="0.3">
      <c r="B3181" s="2" t="str">
        <f>IF(BCP_Soles[[#This Row],[TIPO DE R.]]="R",COUNTIFS($D$4:$D3180,"R")+1,"")</f>
        <v/>
      </c>
      <c r="C3181" s="19" t="str">
        <f t="shared" si="245"/>
        <v>B-BCP - Soles</v>
      </c>
      <c r="D3181" s="3" t="s">
        <v>1101</v>
      </c>
      <c r="E3181" s="14">
        <v>45881</v>
      </c>
      <c r="F3181" s="5" t="s">
        <v>2898</v>
      </c>
      <c r="G3181" s="5"/>
      <c r="H3181" s="6" t="s">
        <v>511</v>
      </c>
      <c r="I3181" s="6" t="s">
        <v>14</v>
      </c>
      <c r="J3181" s="6" t="s">
        <v>1121</v>
      </c>
      <c r="K3181" s="6">
        <v>684</v>
      </c>
      <c r="L3181" s="7" t="s">
        <v>3885</v>
      </c>
      <c r="M3181" s="8">
        <v>1009540</v>
      </c>
      <c r="N3181" s="8" t="str">
        <f t="shared" si="246"/>
        <v>PEN</v>
      </c>
      <c r="O3181" s="13">
        <v>33</v>
      </c>
      <c r="P3181" s="13"/>
      <c r="Q3181" s="3">
        <f t="shared" si="247"/>
        <v>0</v>
      </c>
      <c r="R3181" s="3">
        <f t="shared" si="248"/>
        <v>0</v>
      </c>
      <c r="S3181" s="3">
        <f t="shared" si="249"/>
        <v>13331.079999999973</v>
      </c>
      <c r="T3181" s="24" t="s">
        <v>1081</v>
      </c>
      <c r="U3181" s="24" t="s">
        <v>1081</v>
      </c>
      <c r="V3181" s="69"/>
      <c r="W3181" s="25">
        <f>IFERROR(VLOOKUP(BCP_Soles[[#This Row],[DESTINATARIO]],CHOOSE({1,2},Clientes_Proveedores[Razon Social],Clientes_Proveedores[Ruc / Dni]),2,0),"")</f>
        <v>20608686747</v>
      </c>
      <c r="X3181" s="25"/>
      <c r="Y3181" s="25"/>
      <c r="Z3181" s="25"/>
      <c r="AA3181" s="101" t="s">
        <v>3385</v>
      </c>
      <c r="AB3181" s="3" t="str">
        <f>IF(BCP_Soles[[#This Row],[FECHA]]&gt;0,TEXT(BCP_Soles[[#This Row],[FECHA]],"mmmm"),0)</f>
        <v>Agosto</v>
      </c>
    </row>
    <row r="3182" spans="2:28" ht="36" x14ac:dyDescent="0.3">
      <c r="B3182" s="2" t="str">
        <f>IF(BCP_Soles[[#This Row],[TIPO DE R.]]="R",COUNTIFS($D$4:$D3181,"R")+1,"")</f>
        <v/>
      </c>
      <c r="C3182" s="19" t="str">
        <f t="shared" si="245"/>
        <v>B-BCP - Soles</v>
      </c>
      <c r="D3182" s="3" t="s">
        <v>1101</v>
      </c>
      <c r="E3182" s="14">
        <v>45881</v>
      </c>
      <c r="F3182" s="5" t="s">
        <v>2898</v>
      </c>
      <c r="G3182" s="5"/>
      <c r="H3182" s="6" t="s">
        <v>511</v>
      </c>
      <c r="I3182" s="6" t="s">
        <v>14</v>
      </c>
      <c r="J3182" s="6" t="s">
        <v>1121</v>
      </c>
      <c r="K3182" s="6">
        <v>682</v>
      </c>
      <c r="L3182" s="7" t="s">
        <v>3885</v>
      </c>
      <c r="M3182" s="8">
        <v>1009540</v>
      </c>
      <c r="N3182" s="8" t="str">
        <f t="shared" si="246"/>
        <v>PEN</v>
      </c>
      <c r="O3182" s="13">
        <v>32</v>
      </c>
      <c r="P3182" s="13"/>
      <c r="Q3182" s="3">
        <f t="shared" si="247"/>
        <v>0</v>
      </c>
      <c r="R3182" s="3">
        <f t="shared" si="248"/>
        <v>0</v>
      </c>
      <c r="S3182" s="3">
        <f t="shared" si="249"/>
        <v>13331.079999999973</v>
      </c>
      <c r="T3182" s="24" t="s">
        <v>1081</v>
      </c>
      <c r="U3182" s="24" t="s">
        <v>1081</v>
      </c>
      <c r="V3182" s="69"/>
      <c r="W3182" s="25">
        <f>IFERROR(VLOOKUP(BCP_Soles[[#This Row],[DESTINATARIO]],CHOOSE({1,2},Clientes_Proveedores[Razon Social],Clientes_Proveedores[Ruc / Dni]),2,0),"")</f>
        <v>20608686747</v>
      </c>
      <c r="X3182" s="25"/>
      <c r="Y3182" s="25"/>
      <c r="Z3182" s="25"/>
      <c r="AA3182" s="101" t="s">
        <v>3385</v>
      </c>
      <c r="AB3182" s="3" t="str">
        <f>IF(BCP_Soles[[#This Row],[FECHA]]&gt;0,TEXT(BCP_Soles[[#This Row],[FECHA]],"mmmm"),0)</f>
        <v>Agosto</v>
      </c>
    </row>
    <row r="3183" spans="2:28" ht="24" x14ac:dyDescent="0.3">
      <c r="B3183" s="2" t="str">
        <f>IF(BCP_Soles[[#This Row],[TIPO DE R.]]="R",COUNTIFS($D$4:$D3182,"R")+1,"")</f>
        <v/>
      </c>
      <c r="C3183" s="19" t="str">
        <f t="shared" si="245"/>
        <v>B-BCP - Soles</v>
      </c>
      <c r="D3183" s="3" t="s">
        <v>1101</v>
      </c>
      <c r="E3183" s="14">
        <v>45881</v>
      </c>
      <c r="F3183" s="5" t="s">
        <v>2898</v>
      </c>
      <c r="G3183" s="5"/>
      <c r="H3183" s="6" t="s">
        <v>609</v>
      </c>
      <c r="I3183" s="6" t="s">
        <v>14</v>
      </c>
      <c r="J3183" s="6" t="s">
        <v>1121</v>
      </c>
      <c r="K3183" s="6">
        <v>53</v>
      </c>
      <c r="L3183" s="7" t="s">
        <v>3885</v>
      </c>
      <c r="M3183" s="8">
        <v>1009540</v>
      </c>
      <c r="N3183" s="8" t="str">
        <f t="shared" si="246"/>
        <v>PEN</v>
      </c>
      <c r="O3183" s="13">
        <v>21</v>
      </c>
      <c r="P3183" s="13"/>
      <c r="Q3183" s="3">
        <f t="shared" si="247"/>
        <v>0</v>
      </c>
      <c r="R3183" s="3">
        <f t="shared" si="248"/>
        <v>0</v>
      </c>
      <c r="S3183" s="3">
        <f t="shared" si="249"/>
        <v>13331.079999999973</v>
      </c>
      <c r="T3183" s="24" t="s">
        <v>1081</v>
      </c>
      <c r="U3183" s="24" t="s">
        <v>1081</v>
      </c>
      <c r="V3183" s="69"/>
      <c r="W3183" s="25">
        <f>IFERROR(VLOOKUP(BCP_Soles[[#This Row],[DESTINATARIO]],CHOOSE({1,2},Clientes_Proveedores[Razon Social],Clientes_Proveedores[Ruc / Dni]),2,0),"")</f>
        <v>10410687491</v>
      </c>
      <c r="X3183" s="25"/>
      <c r="Y3183" s="25"/>
      <c r="Z3183" s="25"/>
      <c r="AA3183" s="101" t="s">
        <v>3385</v>
      </c>
      <c r="AB3183" s="3" t="str">
        <f>IF(BCP_Soles[[#This Row],[FECHA]]&gt;0,TEXT(BCP_Soles[[#This Row],[FECHA]],"mmmm"),0)</f>
        <v>Agosto</v>
      </c>
    </row>
    <row r="3184" spans="2:28" x14ac:dyDescent="0.3">
      <c r="B3184" s="2">
        <f>IF(BCP_Soles[[#This Row],[TIPO DE R.]]="R",COUNTIFS($D$4:$D3183,"R")+1,"")</f>
        <v>2196</v>
      </c>
      <c r="C3184" s="19" t="str">
        <f t="shared" si="245"/>
        <v>B-BCP - Soles</v>
      </c>
      <c r="D3184" s="3" t="s">
        <v>1074</v>
      </c>
      <c r="E3184" s="14">
        <v>45881</v>
      </c>
      <c r="F3184" s="5" t="s">
        <v>2898</v>
      </c>
      <c r="G3184" s="5" t="s">
        <v>1079</v>
      </c>
      <c r="H3184" s="6"/>
      <c r="I3184" s="6"/>
      <c r="J3184" s="6"/>
      <c r="K3184" s="6"/>
      <c r="L3184" s="7" t="s">
        <v>3886</v>
      </c>
      <c r="M3184" s="8">
        <v>1002407</v>
      </c>
      <c r="N3184" s="8" t="str">
        <f t="shared" si="246"/>
        <v>PEN</v>
      </c>
      <c r="O3184" s="13"/>
      <c r="P3184" s="13">
        <v>249</v>
      </c>
      <c r="Q3184" s="3">
        <f t="shared" si="247"/>
        <v>0</v>
      </c>
      <c r="R3184" s="3">
        <f t="shared" si="248"/>
        <v>249</v>
      </c>
      <c r="S3184" s="3">
        <f t="shared" si="249"/>
        <v>13082.079999999973</v>
      </c>
      <c r="T3184" s="24" t="s">
        <v>1081</v>
      </c>
      <c r="U3184" s="24" t="s">
        <v>1081</v>
      </c>
      <c r="V3184" s="69"/>
      <c r="W3184" s="25" t="str">
        <f>IFERROR(VLOOKUP(BCP_Soles[[#This Row],[DESTINATARIO]],CHOOSE({1,2},Clientes_Proveedores[Razon Social],Clientes_Proveedores[Ruc / Dni]),2,0),"")</f>
        <v/>
      </c>
      <c r="X3184" s="25"/>
      <c r="Y3184" s="25"/>
      <c r="Z3184" s="25"/>
      <c r="AA3184" s="101"/>
      <c r="AB3184" s="3" t="str">
        <f>IF(BCP_Soles[[#This Row],[FECHA]]&gt;0,TEXT(BCP_Soles[[#This Row],[FECHA]],"mmmm"),0)</f>
        <v>Agosto</v>
      </c>
    </row>
    <row r="3185" spans="2:28" x14ac:dyDescent="0.3">
      <c r="B3185" s="2" t="str">
        <f>IF(BCP_Soles[[#This Row],[TIPO DE R.]]="R",COUNTIFS($D$4:$D3184,"R")+1,"")</f>
        <v/>
      </c>
      <c r="C3185" s="19" t="str">
        <f t="shared" si="245"/>
        <v>B-BCP - Soles</v>
      </c>
      <c r="D3185" s="3" t="s">
        <v>1101</v>
      </c>
      <c r="E3185" s="14">
        <v>45881</v>
      </c>
      <c r="F3185" s="5" t="s">
        <v>2898</v>
      </c>
      <c r="G3185" s="5"/>
      <c r="H3185" s="6" t="s">
        <v>139</v>
      </c>
      <c r="I3185" s="6" t="s">
        <v>14</v>
      </c>
      <c r="J3185" s="6" t="s">
        <v>1953</v>
      </c>
      <c r="K3185" s="6">
        <v>6664</v>
      </c>
      <c r="L3185" s="7" t="s">
        <v>3886</v>
      </c>
      <c r="M3185" s="8">
        <v>1002407</v>
      </c>
      <c r="N3185" s="8" t="str">
        <f t="shared" si="246"/>
        <v>PEN</v>
      </c>
      <c r="O3185" s="13">
        <v>1</v>
      </c>
      <c r="P3185" s="13"/>
      <c r="Q3185" s="3">
        <f t="shared" si="247"/>
        <v>0</v>
      </c>
      <c r="R3185" s="3">
        <f t="shared" si="248"/>
        <v>0</v>
      </c>
      <c r="S3185" s="3">
        <f t="shared" si="249"/>
        <v>13082.079999999973</v>
      </c>
      <c r="T3185" s="24" t="s">
        <v>1081</v>
      </c>
      <c r="U3185" s="24" t="s">
        <v>1081</v>
      </c>
      <c r="V3185" s="69"/>
      <c r="W3185" s="25">
        <f>IFERROR(VLOOKUP(BCP_Soles[[#This Row],[DESTINATARIO]],CHOOSE({1,2},Clientes_Proveedores[Razon Social],Clientes_Proveedores[Ruc / Dni]),2,0),"")</f>
        <v>20100055237</v>
      </c>
      <c r="X3185" s="25"/>
      <c r="Y3185" s="25"/>
      <c r="Z3185" s="25"/>
      <c r="AA3185" s="101" t="s">
        <v>3385</v>
      </c>
      <c r="AB3185" s="3" t="str">
        <f>IF(BCP_Soles[[#This Row],[FECHA]]&gt;0,TEXT(BCP_Soles[[#This Row],[FECHA]],"mmmm"),0)</f>
        <v>Agosto</v>
      </c>
    </row>
    <row r="3186" spans="2:28" x14ac:dyDescent="0.3">
      <c r="B3186" s="2" t="str">
        <f>IF(BCP_Soles[[#This Row],[TIPO DE R.]]="R",COUNTIFS($D$4:$D3185,"R")+1,"")</f>
        <v/>
      </c>
      <c r="C3186" s="19" t="str">
        <f t="shared" si="245"/>
        <v>B-BCP - Soles</v>
      </c>
      <c r="D3186" s="3" t="s">
        <v>1101</v>
      </c>
      <c r="E3186" s="14">
        <v>45881</v>
      </c>
      <c r="F3186" s="5" t="s">
        <v>2898</v>
      </c>
      <c r="G3186" s="5"/>
      <c r="H3186" s="6" t="s">
        <v>139</v>
      </c>
      <c r="I3186" s="6" t="s">
        <v>14</v>
      </c>
      <c r="J3186" s="6" t="s">
        <v>1953</v>
      </c>
      <c r="K3186" s="6">
        <v>6705</v>
      </c>
      <c r="L3186" s="7" t="s">
        <v>3886</v>
      </c>
      <c r="M3186" s="8">
        <v>1002407</v>
      </c>
      <c r="N3186" s="8" t="str">
        <f t="shared" si="246"/>
        <v>PEN</v>
      </c>
      <c r="O3186" s="13">
        <v>26</v>
      </c>
      <c r="P3186" s="13"/>
      <c r="Q3186" s="3">
        <f t="shared" si="247"/>
        <v>0</v>
      </c>
      <c r="R3186" s="3">
        <f t="shared" si="248"/>
        <v>0</v>
      </c>
      <c r="S3186" s="3">
        <f t="shared" si="249"/>
        <v>13082.079999999973</v>
      </c>
      <c r="T3186" s="24" t="s">
        <v>1081</v>
      </c>
      <c r="U3186" s="24" t="s">
        <v>1081</v>
      </c>
      <c r="V3186" s="69"/>
      <c r="W3186" s="25">
        <f>IFERROR(VLOOKUP(BCP_Soles[[#This Row],[DESTINATARIO]],CHOOSE({1,2},Clientes_Proveedores[Razon Social],Clientes_Proveedores[Ruc / Dni]),2,0),"")</f>
        <v>20100055237</v>
      </c>
      <c r="X3186" s="25"/>
      <c r="Y3186" s="25"/>
      <c r="Z3186" s="25"/>
      <c r="AA3186" s="101" t="s">
        <v>3385</v>
      </c>
      <c r="AB3186" s="3" t="str">
        <f>IF(BCP_Soles[[#This Row],[FECHA]]&gt;0,TEXT(BCP_Soles[[#This Row],[FECHA]],"mmmm"),0)</f>
        <v>Agosto</v>
      </c>
    </row>
    <row r="3187" spans="2:28" x14ac:dyDescent="0.3">
      <c r="B3187" s="2" t="str">
        <f>IF(BCP_Soles[[#This Row],[TIPO DE R.]]="R",COUNTIFS($D$4:$D3186,"R")+1,"")</f>
        <v/>
      </c>
      <c r="C3187" s="19" t="str">
        <f t="shared" si="245"/>
        <v>B-BCP - Soles</v>
      </c>
      <c r="D3187" s="3" t="s">
        <v>1101</v>
      </c>
      <c r="E3187" s="14">
        <v>45881</v>
      </c>
      <c r="F3187" s="5" t="s">
        <v>2898</v>
      </c>
      <c r="G3187" s="5"/>
      <c r="H3187" s="6" t="s">
        <v>139</v>
      </c>
      <c r="I3187" s="6" t="s">
        <v>14</v>
      </c>
      <c r="J3187" s="6" t="s">
        <v>1953</v>
      </c>
      <c r="K3187" s="6">
        <v>6707</v>
      </c>
      <c r="L3187" s="7" t="s">
        <v>3886</v>
      </c>
      <c r="M3187" s="8">
        <v>1002407</v>
      </c>
      <c r="N3187" s="8" t="str">
        <f t="shared" si="246"/>
        <v>PEN</v>
      </c>
      <c r="O3187" s="13">
        <v>1</v>
      </c>
      <c r="P3187" s="13"/>
      <c r="Q3187" s="3">
        <f t="shared" si="247"/>
        <v>0</v>
      </c>
      <c r="R3187" s="3">
        <f t="shared" si="248"/>
        <v>0</v>
      </c>
      <c r="S3187" s="3">
        <f t="shared" si="249"/>
        <v>13082.079999999973</v>
      </c>
      <c r="T3187" s="24" t="s">
        <v>1081</v>
      </c>
      <c r="U3187" s="24" t="s">
        <v>1081</v>
      </c>
      <c r="V3187" s="69"/>
      <c r="W3187" s="25">
        <f>IFERROR(VLOOKUP(BCP_Soles[[#This Row],[DESTINATARIO]],CHOOSE({1,2},Clientes_Proveedores[Razon Social],Clientes_Proveedores[Ruc / Dni]),2,0),"")</f>
        <v>20100055237</v>
      </c>
      <c r="X3187" s="25"/>
      <c r="Y3187" s="25"/>
      <c r="Z3187" s="25"/>
      <c r="AA3187" s="101" t="s">
        <v>3385</v>
      </c>
      <c r="AB3187" s="3" t="str">
        <f>IF(BCP_Soles[[#This Row],[FECHA]]&gt;0,TEXT(BCP_Soles[[#This Row],[FECHA]],"mmmm"),0)</f>
        <v>Agosto</v>
      </c>
    </row>
    <row r="3188" spans="2:28" x14ac:dyDescent="0.3">
      <c r="B3188" s="2" t="str">
        <f>IF(BCP_Soles[[#This Row],[TIPO DE R.]]="R",COUNTIFS($D$4:$D3187,"R")+1,"")</f>
        <v/>
      </c>
      <c r="C3188" s="19" t="str">
        <f t="shared" si="245"/>
        <v>B-BCP - Soles</v>
      </c>
      <c r="D3188" s="3" t="s">
        <v>1101</v>
      </c>
      <c r="E3188" s="14">
        <v>45881</v>
      </c>
      <c r="F3188" s="5" t="s">
        <v>2898</v>
      </c>
      <c r="G3188" s="5"/>
      <c r="H3188" s="6" t="s">
        <v>139</v>
      </c>
      <c r="I3188" s="6" t="s">
        <v>14</v>
      </c>
      <c r="J3188" s="6" t="s">
        <v>1953</v>
      </c>
      <c r="K3188" s="6">
        <v>6706</v>
      </c>
      <c r="L3188" s="7" t="s">
        <v>3886</v>
      </c>
      <c r="M3188" s="8">
        <v>1002407</v>
      </c>
      <c r="N3188" s="8" t="str">
        <f t="shared" si="246"/>
        <v>PEN</v>
      </c>
      <c r="O3188" s="13">
        <v>51</v>
      </c>
      <c r="P3188" s="13"/>
      <c r="Q3188" s="3">
        <f t="shared" si="247"/>
        <v>0</v>
      </c>
      <c r="R3188" s="3">
        <f t="shared" si="248"/>
        <v>0</v>
      </c>
      <c r="S3188" s="3">
        <f t="shared" si="249"/>
        <v>13082.079999999973</v>
      </c>
      <c r="T3188" s="24" t="s">
        <v>1081</v>
      </c>
      <c r="U3188" s="24" t="s">
        <v>1081</v>
      </c>
      <c r="V3188" s="69"/>
      <c r="W3188" s="25">
        <f>IFERROR(VLOOKUP(BCP_Soles[[#This Row],[DESTINATARIO]],CHOOSE({1,2},Clientes_Proveedores[Razon Social],Clientes_Proveedores[Ruc / Dni]),2,0),"")</f>
        <v>20100055237</v>
      </c>
      <c r="X3188" s="25"/>
      <c r="Y3188" s="25"/>
      <c r="Z3188" s="25"/>
      <c r="AA3188" s="101" t="s">
        <v>3385</v>
      </c>
      <c r="AB3188" s="3" t="str">
        <f>IF(BCP_Soles[[#This Row],[FECHA]]&gt;0,TEXT(BCP_Soles[[#This Row],[FECHA]],"mmmm"),0)</f>
        <v>Agosto</v>
      </c>
    </row>
    <row r="3189" spans="2:28" x14ac:dyDescent="0.3">
      <c r="B3189" s="2" t="str">
        <f>IF(BCP_Soles[[#This Row],[TIPO DE R.]]="R",COUNTIFS($D$4:$D3188,"R")+1,"")</f>
        <v/>
      </c>
      <c r="C3189" s="19" t="str">
        <f t="shared" si="245"/>
        <v>B-BCP - Soles</v>
      </c>
      <c r="D3189" s="3" t="s">
        <v>1101</v>
      </c>
      <c r="E3189" s="14">
        <v>45881</v>
      </c>
      <c r="F3189" s="5" t="s">
        <v>2898</v>
      </c>
      <c r="G3189" s="5"/>
      <c r="H3189" s="6" t="s">
        <v>139</v>
      </c>
      <c r="I3189" s="6" t="s">
        <v>14</v>
      </c>
      <c r="J3189" s="6" t="s">
        <v>1953</v>
      </c>
      <c r="K3189" s="6">
        <v>6709</v>
      </c>
      <c r="L3189" s="7" t="s">
        <v>3886</v>
      </c>
      <c r="M3189" s="8">
        <v>1002407</v>
      </c>
      <c r="N3189" s="8" t="str">
        <f t="shared" si="246"/>
        <v>PEN</v>
      </c>
      <c r="O3189" s="13">
        <v>9</v>
      </c>
      <c r="P3189" s="13"/>
      <c r="Q3189" s="3">
        <f t="shared" si="247"/>
        <v>0</v>
      </c>
      <c r="R3189" s="3">
        <f t="shared" si="248"/>
        <v>0</v>
      </c>
      <c r="S3189" s="3">
        <f t="shared" si="249"/>
        <v>13082.079999999973</v>
      </c>
      <c r="T3189" s="24" t="s">
        <v>1081</v>
      </c>
      <c r="U3189" s="24" t="s">
        <v>1081</v>
      </c>
      <c r="V3189" s="69"/>
      <c r="W3189" s="25">
        <f>IFERROR(VLOOKUP(BCP_Soles[[#This Row],[DESTINATARIO]],CHOOSE({1,2},Clientes_Proveedores[Razon Social],Clientes_Proveedores[Ruc / Dni]),2,0),"")</f>
        <v>20100055237</v>
      </c>
      <c r="X3189" s="25"/>
      <c r="Y3189" s="25"/>
      <c r="Z3189" s="25"/>
      <c r="AA3189" s="101" t="s">
        <v>3385</v>
      </c>
      <c r="AB3189" s="3" t="str">
        <f>IF(BCP_Soles[[#This Row],[FECHA]]&gt;0,TEXT(BCP_Soles[[#This Row],[FECHA]],"mmmm"),0)</f>
        <v>Agosto</v>
      </c>
    </row>
    <row r="3190" spans="2:28" x14ac:dyDescent="0.3">
      <c r="B3190" s="2" t="str">
        <f>IF(BCP_Soles[[#This Row],[TIPO DE R.]]="R",COUNTIFS($D$4:$D3189,"R")+1,"")</f>
        <v/>
      </c>
      <c r="C3190" s="19" t="str">
        <f t="shared" si="245"/>
        <v>B-BCP - Soles</v>
      </c>
      <c r="D3190" s="3" t="s">
        <v>1101</v>
      </c>
      <c r="E3190" s="14">
        <v>45881</v>
      </c>
      <c r="F3190" s="5" t="s">
        <v>2898</v>
      </c>
      <c r="G3190" s="5"/>
      <c r="H3190" s="6" t="s">
        <v>139</v>
      </c>
      <c r="I3190" s="6" t="s">
        <v>14</v>
      </c>
      <c r="J3190" s="6" t="s">
        <v>1953</v>
      </c>
      <c r="K3190" s="6">
        <v>6708</v>
      </c>
      <c r="L3190" s="7" t="s">
        <v>3886</v>
      </c>
      <c r="M3190" s="8">
        <v>1002407</v>
      </c>
      <c r="N3190" s="8" t="str">
        <f t="shared" si="246"/>
        <v>PEN</v>
      </c>
      <c r="O3190" s="13">
        <v>53</v>
      </c>
      <c r="P3190" s="13"/>
      <c r="Q3190" s="3">
        <f t="shared" si="247"/>
        <v>0</v>
      </c>
      <c r="R3190" s="3">
        <f t="shared" si="248"/>
        <v>0</v>
      </c>
      <c r="S3190" s="3">
        <f t="shared" si="249"/>
        <v>13082.079999999973</v>
      </c>
      <c r="T3190" s="24" t="s">
        <v>1081</v>
      </c>
      <c r="U3190" s="24" t="s">
        <v>1081</v>
      </c>
      <c r="V3190" s="69"/>
      <c r="W3190" s="25">
        <f>IFERROR(VLOOKUP(BCP_Soles[[#This Row],[DESTINATARIO]],CHOOSE({1,2},Clientes_Proveedores[Razon Social],Clientes_Proveedores[Ruc / Dni]),2,0),"")</f>
        <v>20100055237</v>
      </c>
      <c r="X3190" s="25"/>
      <c r="Y3190" s="25"/>
      <c r="Z3190" s="25"/>
      <c r="AA3190" s="101" t="s">
        <v>3385</v>
      </c>
      <c r="AB3190" s="3" t="str">
        <f>IF(BCP_Soles[[#This Row],[FECHA]]&gt;0,TEXT(BCP_Soles[[#This Row],[FECHA]],"mmmm"),0)</f>
        <v>Agosto</v>
      </c>
    </row>
    <row r="3191" spans="2:28" x14ac:dyDescent="0.3">
      <c r="B3191" s="2" t="str">
        <f>IF(BCP_Soles[[#This Row],[TIPO DE R.]]="R",COUNTIFS($D$4:$D3190,"R")+1,"")</f>
        <v/>
      </c>
      <c r="C3191" s="19" t="str">
        <f t="shared" si="245"/>
        <v>B-BCP - Soles</v>
      </c>
      <c r="D3191" s="3" t="s">
        <v>1101</v>
      </c>
      <c r="E3191" s="14">
        <v>45881</v>
      </c>
      <c r="F3191" s="5" t="s">
        <v>2898</v>
      </c>
      <c r="G3191" s="5"/>
      <c r="H3191" s="6" t="s">
        <v>139</v>
      </c>
      <c r="I3191" s="6" t="s">
        <v>14</v>
      </c>
      <c r="J3191" s="6" t="s">
        <v>1953</v>
      </c>
      <c r="K3191" s="6">
        <v>6710</v>
      </c>
      <c r="L3191" s="7" t="s">
        <v>3886</v>
      </c>
      <c r="M3191" s="8">
        <v>1002407</v>
      </c>
      <c r="N3191" s="8" t="str">
        <f t="shared" si="246"/>
        <v>PEN</v>
      </c>
      <c r="O3191" s="13">
        <v>108</v>
      </c>
      <c r="P3191" s="13"/>
      <c r="Q3191" s="3">
        <f t="shared" si="247"/>
        <v>0</v>
      </c>
      <c r="R3191" s="3">
        <f t="shared" si="248"/>
        <v>0</v>
      </c>
      <c r="S3191" s="3">
        <f t="shared" si="249"/>
        <v>13082.079999999973</v>
      </c>
      <c r="T3191" s="24" t="s">
        <v>1081</v>
      </c>
      <c r="U3191" s="24" t="s">
        <v>1081</v>
      </c>
      <c r="V3191" s="69"/>
      <c r="W3191" s="25">
        <f>IFERROR(VLOOKUP(BCP_Soles[[#This Row],[DESTINATARIO]],CHOOSE({1,2},Clientes_Proveedores[Razon Social],Clientes_Proveedores[Ruc / Dni]),2,0),"")</f>
        <v>20100055237</v>
      </c>
      <c r="X3191" s="25"/>
      <c r="Y3191" s="25"/>
      <c r="Z3191" s="25"/>
      <c r="AA3191" s="101" t="s">
        <v>3385</v>
      </c>
      <c r="AB3191" s="3" t="str">
        <f>IF(BCP_Soles[[#This Row],[FECHA]]&gt;0,TEXT(BCP_Soles[[#This Row],[FECHA]],"mmmm"),0)</f>
        <v>Agosto</v>
      </c>
    </row>
    <row r="3192" spans="2:28" ht="24" x14ac:dyDescent="0.3">
      <c r="B3192" s="2">
        <f>IF(BCP_Soles[[#This Row],[TIPO DE R.]]="R",COUNTIFS($D$4:$D3191,"R")+1,"")</f>
        <v>2197</v>
      </c>
      <c r="C3192" s="19" t="str">
        <f t="shared" si="245"/>
        <v>B-BCP - Soles</v>
      </c>
      <c r="D3192" s="3" t="s">
        <v>1074</v>
      </c>
      <c r="E3192" s="14">
        <v>45881</v>
      </c>
      <c r="F3192" s="5" t="s">
        <v>1078</v>
      </c>
      <c r="G3192" s="5" t="s">
        <v>1079</v>
      </c>
      <c r="H3192" s="6" t="s">
        <v>1001</v>
      </c>
      <c r="I3192" s="6" t="s">
        <v>14</v>
      </c>
      <c r="J3192" s="6" t="s">
        <v>3128</v>
      </c>
      <c r="K3192" s="6">
        <v>35625336</v>
      </c>
      <c r="L3192" s="7" t="s">
        <v>1141</v>
      </c>
      <c r="M3192" s="8">
        <v>433</v>
      </c>
      <c r="N3192" s="8" t="str">
        <f t="shared" si="246"/>
        <v>PEN</v>
      </c>
      <c r="O3192" s="13"/>
      <c r="P3192" s="13">
        <v>10</v>
      </c>
      <c r="Q3192" s="3">
        <f t="shared" si="247"/>
        <v>0</v>
      </c>
      <c r="R3192" s="3">
        <f t="shared" si="248"/>
        <v>10</v>
      </c>
      <c r="S3192" s="3">
        <f t="shared" si="249"/>
        <v>13072.079999999973</v>
      </c>
      <c r="T3192" s="24" t="s">
        <v>1081</v>
      </c>
      <c r="U3192" s="24" t="s">
        <v>1081</v>
      </c>
      <c r="V3192" s="69"/>
      <c r="W3192" s="25">
        <f>IFERROR(VLOOKUP(BCP_Soles[[#This Row],[DESTINATARIO]],CHOOSE({1,2},Clientes_Proveedores[Razon Social],Clientes_Proveedores[Ruc / Dni]),2,0),"")</f>
        <v>20100047218</v>
      </c>
      <c r="X3192" s="25"/>
      <c r="Y3192" s="25"/>
      <c r="Z3192" s="25"/>
      <c r="AA3192" s="101"/>
      <c r="AB3192" s="3" t="str">
        <f>IF(BCP_Soles[[#This Row],[FECHA]]&gt;0,TEXT(BCP_Soles[[#This Row],[FECHA]],"mmmm"),0)</f>
        <v>Agosto</v>
      </c>
    </row>
    <row r="3193" spans="2:28" ht="24" x14ac:dyDescent="0.3">
      <c r="B3193" s="2">
        <f>IF(BCP_Soles[[#This Row],[TIPO DE R.]]="R",COUNTIFS($D$4:$D3192,"R")+1,"")</f>
        <v>2198</v>
      </c>
      <c r="C3193" s="19" t="str">
        <f t="shared" si="245"/>
        <v>B-BCP - Soles</v>
      </c>
      <c r="D3193" s="3" t="s">
        <v>1074</v>
      </c>
      <c r="E3193" s="14">
        <v>45881</v>
      </c>
      <c r="F3193" s="5" t="s">
        <v>1078</v>
      </c>
      <c r="G3193" s="5" t="s">
        <v>1079</v>
      </c>
      <c r="H3193" s="6" t="s">
        <v>1001</v>
      </c>
      <c r="I3193" s="6" t="s">
        <v>14</v>
      </c>
      <c r="J3193" s="6" t="s">
        <v>3128</v>
      </c>
      <c r="K3193" s="6">
        <v>35625336</v>
      </c>
      <c r="L3193" s="7" t="s">
        <v>1141</v>
      </c>
      <c r="M3193" s="8">
        <v>433</v>
      </c>
      <c r="N3193" s="8" t="str">
        <f t="shared" si="246"/>
        <v>PEN</v>
      </c>
      <c r="O3193" s="13"/>
      <c r="P3193" s="13">
        <v>10</v>
      </c>
      <c r="Q3193" s="3">
        <f t="shared" si="247"/>
        <v>0</v>
      </c>
      <c r="R3193" s="3">
        <f t="shared" si="248"/>
        <v>10</v>
      </c>
      <c r="S3193" s="3">
        <f t="shared" si="249"/>
        <v>13062.079999999973</v>
      </c>
      <c r="T3193" s="24" t="s">
        <v>1081</v>
      </c>
      <c r="U3193" s="24" t="s">
        <v>1081</v>
      </c>
      <c r="V3193" s="69"/>
      <c r="W3193" s="25">
        <f>IFERROR(VLOOKUP(BCP_Soles[[#This Row],[DESTINATARIO]],CHOOSE({1,2},Clientes_Proveedores[Razon Social],Clientes_Proveedores[Ruc / Dni]),2,0),"")</f>
        <v>20100047218</v>
      </c>
      <c r="X3193" s="25"/>
      <c r="Y3193" s="25"/>
      <c r="Z3193" s="25"/>
      <c r="AA3193" s="101"/>
      <c r="AB3193" s="3" t="str">
        <f>IF(BCP_Soles[[#This Row],[FECHA]]&gt;0,TEXT(BCP_Soles[[#This Row],[FECHA]],"mmmm"),0)</f>
        <v>Agosto</v>
      </c>
    </row>
    <row r="3194" spans="2:28" ht="24" x14ac:dyDescent="0.3">
      <c r="B3194" s="2">
        <f>IF(BCP_Soles[[#This Row],[TIPO DE R.]]="R",COUNTIFS($D$4:$D3193,"R")+1,"")</f>
        <v>2199</v>
      </c>
      <c r="C3194" s="19" t="str">
        <f t="shared" si="245"/>
        <v>B-BCP - Soles</v>
      </c>
      <c r="D3194" s="3" t="s">
        <v>1074</v>
      </c>
      <c r="E3194" s="14">
        <v>45881</v>
      </c>
      <c r="F3194" s="5" t="s">
        <v>1078</v>
      </c>
      <c r="G3194" s="5" t="s">
        <v>1079</v>
      </c>
      <c r="H3194" s="6" t="s">
        <v>1001</v>
      </c>
      <c r="I3194" s="6" t="s">
        <v>14</v>
      </c>
      <c r="J3194" s="6" t="s">
        <v>3128</v>
      </c>
      <c r="K3194" s="6">
        <v>35625336</v>
      </c>
      <c r="L3194" s="7" t="s">
        <v>1141</v>
      </c>
      <c r="M3194" s="8">
        <v>433</v>
      </c>
      <c r="N3194" s="8" t="str">
        <f t="shared" si="246"/>
        <v>PEN</v>
      </c>
      <c r="O3194" s="13"/>
      <c r="P3194" s="13">
        <v>3.5</v>
      </c>
      <c r="Q3194" s="3">
        <f t="shared" si="247"/>
        <v>0</v>
      </c>
      <c r="R3194" s="3">
        <f t="shared" si="248"/>
        <v>3.5</v>
      </c>
      <c r="S3194" s="3">
        <f t="shared" si="249"/>
        <v>13058.579999999973</v>
      </c>
      <c r="T3194" s="24" t="s">
        <v>1081</v>
      </c>
      <c r="U3194" s="24" t="s">
        <v>1081</v>
      </c>
      <c r="V3194" s="69"/>
      <c r="W3194" s="25">
        <f>IFERROR(VLOOKUP(BCP_Soles[[#This Row],[DESTINATARIO]],CHOOSE({1,2},Clientes_Proveedores[Razon Social],Clientes_Proveedores[Ruc / Dni]),2,0),"")</f>
        <v>20100047218</v>
      </c>
      <c r="X3194" s="25"/>
      <c r="Y3194" s="25"/>
      <c r="Z3194" s="25"/>
      <c r="AA3194" s="101"/>
      <c r="AB3194" s="3" t="str">
        <f>IF(BCP_Soles[[#This Row],[FECHA]]&gt;0,TEXT(BCP_Soles[[#This Row],[FECHA]],"mmmm"),0)</f>
        <v>Agosto</v>
      </c>
    </row>
    <row r="3195" spans="2:28" x14ac:dyDescent="0.3">
      <c r="B3195" s="2">
        <f>IF(BCP_Soles[[#This Row],[TIPO DE R.]]="R",COUNTIFS($D$4:$D3194,"R")+1,"")</f>
        <v>2200</v>
      </c>
      <c r="C3195" s="19" t="str">
        <f t="shared" si="245"/>
        <v>B-BCP - Soles</v>
      </c>
      <c r="D3195" s="3" t="s">
        <v>1074</v>
      </c>
      <c r="E3195" s="14">
        <v>45881</v>
      </c>
      <c r="F3195" s="5" t="s">
        <v>1078</v>
      </c>
      <c r="G3195" s="5" t="s">
        <v>1079</v>
      </c>
      <c r="H3195" s="6"/>
      <c r="I3195" s="6"/>
      <c r="J3195" s="6"/>
      <c r="K3195" s="6"/>
      <c r="L3195" s="7" t="s">
        <v>2868</v>
      </c>
      <c r="M3195" s="8"/>
      <c r="N3195" s="8" t="str">
        <f t="shared" si="246"/>
        <v>PEN</v>
      </c>
      <c r="O3195" s="13"/>
      <c r="P3195" s="13">
        <v>0.9</v>
      </c>
      <c r="Q3195" s="3">
        <f t="shared" si="247"/>
        <v>0</v>
      </c>
      <c r="R3195" s="3">
        <f t="shared" si="248"/>
        <v>0.9</v>
      </c>
      <c r="S3195" s="3">
        <f t="shared" si="249"/>
        <v>13057.679999999973</v>
      </c>
      <c r="T3195" s="24"/>
      <c r="U3195" s="24"/>
      <c r="V3195" s="69"/>
      <c r="W3195" s="25" t="str">
        <f>IFERROR(VLOOKUP(BCP_Soles[[#This Row],[DESTINATARIO]],CHOOSE({1,2},Clientes_Proveedores[Razon Social],Clientes_Proveedores[Ruc / Dni]),2,0),"")</f>
        <v/>
      </c>
      <c r="X3195" s="25"/>
      <c r="Y3195" s="25"/>
      <c r="Z3195" s="25"/>
      <c r="AA3195" s="101"/>
      <c r="AB3195" s="3" t="str">
        <f>IF(BCP_Soles[[#This Row],[FECHA]]&gt;0,TEXT(BCP_Soles[[#This Row],[FECHA]],"mmmm"),0)</f>
        <v>Agosto</v>
      </c>
    </row>
    <row r="3196" spans="2:28" x14ac:dyDescent="0.3">
      <c r="B3196" s="2">
        <f>IF(BCP_Soles[[#This Row],[TIPO DE R.]]="R",COUNTIFS($D$4:$D3195,"R")+1,"")</f>
        <v>2201</v>
      </c>
      <c r="C3196" s="19" t="str">
        <f t="shared" si="245"/>
        <v>B-BCP - Soles</v>
      </c>
      <c r="D3196" s="3" t="s">
        <v>1074</v>
      </c>
      <c r="E3196" s="14">
        <v>45882</v>
      </c>
      <c r="F3196" s="5" t="s">
        <v>1239</v>
      </c>
      <c r="G3196" s="5" t="s">
        <v>1087</v>
      </c>
      <c r="H3196" s="6" t="s">
        <v>368</v>
      </c>
      <c r="I3196" s="6" t="s">
        <v>63</v>
      </c>
      <c r="J3196" s="6">
        <v>1</v>
      </c>
      <c r="K3196" s="6">
        <v>4668</v>
      </c>
      <c r="L3196" s="7" t="s">
        <v>1100</v>
      </c>
      <c r="M3196" s="8">
        <v>3013554</v>
      </c>
      <c r="N3196" s="8" t="str">
        <f t="shared" si="246"/>
        <v>PEN</v>
      </c>
      <c r="O3196" s="13"/>
      <c r="P3196" s="13">
        <v>175</v>
      </c>
      <c r="Q3196" s="3">
        <f t="shared" si="247"/>
        <v>175</v>
      </c>
      <c r="R3196" s="3">
        <f t="shared" si="248"/>
        <v>0</v>
      </c>
      <c r="S3196" s="3">
        <f t="shared" si="249"/>
        <v>13232.679999999973</v>
      </c>
      <c r="T3196" s="24" t="s">
        <v>1081</v>
      </c>
      <c r="U3196" s="24"/>
      <c r="V3196" s="69"/>
      <c r="W3196" s="25">
        <f>IFERROR(VLOOKUP(BCP_Soles[[#This Row],[DESTINATARIO]],CHOOSE({1,2},Clientes_Proveedores[Razon Social],Clientes_Proveedores[Ruc / Dni]),2,0),"")</f>
        <v>20558226979</v>
      </c>
      <c r="X3196" s="25"/>
      <c r="Y3196" s="25"/>
      <c r="Z3196" s="25"/>
      <c r="AA3196" s="101"/>
      <c r="AB3196" s="3" t="str">
        <f>IF(BCP_Soles[[#This Row],[FECHA]]&gt;0,TEXT(BCP_Soles[[#This Row],[FECHA]],"mmmm"),0)</f>
        <v>Agosto</v>
      </c>
    </row>
    <row r="3197" spans="2:28" ht="24" x14ac:dyDescent="0.3">
      <c r="B3197" s="2">
        <f>IF(BCP_Soles[[#This Row],[TIPO DE R.]]="R",COUNTIFS($D$4:$D3196,"R")+1,"")</f>
        <v>2202</v>
      </c>
      <c r="C3197" s="19" t="str">
        <f t="shared" si="245"/>
        <v>B-BCP - Soles</v>
      </c>
      <c r="D3197" s="3" t="s">
        <v>1074</v>
      </c>
      <c r="E3197" s="14">
        <v>45882</v>
      </c>
      <c r="F3197" s="5" t="s">
        <v>1357</v>
      </c>
      <c r="G3197" s="5" t="s">
        <v>1087</v>
      </c>
      <c r="H3197" s="6" t="s">
        <v>368</v>
      </c>
      <c r="I3197" s="6" t="s">
        <v>63</v>
      </c>
      <c r="J3197" s="6">
        <v>1</v>
      </c>
      <c r="K3197" s="6">
        <v>4639</v>
      </c>
      <c r="L3197" s="7" t="s">
        <v>1100</v>
      </c>
      <c r="M3197" s="8">
        <v>2849830</v>
      </c>
      <c r="N3197" s="8" t="str">
        <f t="shared" si="246"/>
        <v>PEN</v>
      </c>
      <c r="O3197" s="13"/>
      <c r="P3197" s="13">
        <v>1000</v>
      </c>
      <c r="Q3197" s="3">
        <f t="shared" si="247"/>
        <v>1000</v>
      </c>
      <c r="R3197" s="3">
        <f t="shared" si="248"/>
        <v>0</v>
      </c>
      <c r="S3197" s="3">
        <f t="shared" si="249"/>
        <v>14232.679999999973</v>
      </c>
      <c r="T3197" s="24" t="s">
        <v>1081</v>
      </c>
      <c r="U3197" s="24"/>
      <c r="V3197" s="69"/>
      <c r="W3197" s="25">
        <f>IFERROR(VLOOKUP(BCP_Soles[[#This Row],[DESTINATARIO]],CHOOSE({1,2},Clientes_Proveedores[Razon Social],Clientes_Proveedores[Ruc / Dni]),2,0),"")</f>
        <v>20558226979</v>
      </c>
      <c r="X3197" s="25"/>
      <c r="Y3197" s="25"/>
      <c r="Z3197" s="25"/>
      <c r="AA3197" s="101"/>
      <c r="AB3197" s="3" t="str">
        <f>IF(BCP_Soles[[#This Row],[FECHA]]&gt;0,TEXT(BCP_Soles[[#This Row],[FECHA]],"mmmm"),0)</f>
        <v>Agosto</v>
      </c>
    </row>
    <row r="3198" spans="2:28" ht="36" x14ac:dyDescent="0.3">
      <c r="B3198" s="2">
        <f>IF(BCP_Soles[[#This Row],[TIPO DE R.]]="R",COUNTIFS($D$4:$D3197,"R")+1,"")</f>
        <v>2203</v>
      </c>
      <c r="C3198" s="19" t="str">
        <f t="shared" si="245"/>
        <v>B-BCP - Soles</v>
      </c>
      <c r="D3198" s="3" t="s">
        <v>1074</v>
      </c>
      <c r="E3198" s="14">
        <v>45882</v>
      </c>
      <c r="F3198" s="5" t="s">
        <v>1082</v>
      </c>
      <c r="G3198" s="5" t="s">
        <v>1079</v>
      </c>
      <c r="H3198" s="6" t="s">
        <v>656</v>
      </c>
      <c r="I3198" s="6" t="s">
        <v>14</v>
      </c>
      <c r="J3198" s="6" t="s">
        <v>1119</v>
      </c>
      <c r="K3198" s="6">
        <v>43786</v>
      </c>
      <c r="L3198" s="7" t="s">
        <v>3887</v>
      </c>
      <c r="M3198" s="8">
        <v>1108216</v>
      </c>
      <c r="N3198" s="8" t="str">
        <f t="shared" si="246"/>
        <v>PEN</v>
      </c>
      <c r="O3198" s="13"/>
      <c r="P3198" s="13">
        <v>105</v>
      </c>
      <c r="Q3198" s="3">
        <f t="shared" si="247"/>
        <v>0</v>
      </c>
      <c r="R3198" s="3">
        <f t="shared" si="248"/>
        <v>105</v>
      </c>
      <c r="S3198" s="3">
        <f t="shared" si="249"/>
        <v>14127.679999999973</v>
      </c>
      <c r="T3198" s="24" t="s">
        <v>1081</v>
      </c>
      <c r="U3198" s="24" t="s">
        <v>1081</v>
      </c>
      <c r="V3198" s="70" t="s">
        <v>3888</v>
      </c>
      <c r="W3198" s="25">
        <f>IFERROR(VLOOKUP(BCP_Soles[[#This Row],[DESTINATARIO]],CHOOSE({1,2},Clientes_Proveedores[Razon Social],Clientes_Proveedores[Ruc / Dni]),2,0),"")</f>
        <v>20514464881</v>
      </c>
      <c r="X3198" s="25"/>
      <c r="Y3198" s="25"/>
      <c r="Z3198" s="25"/>
      <c r="AA3198" s="101"/>
      <c r="AB3198" s="3" t="str">
        <f>IF(BCP_Soles[[#This Row],[FECHA]]&gt;0,TEXT(BCP_Soles[[#This Row],[FECHA]],"mmmm"),0)</f>
        <v>Agosto</v>
      </c>
    </row>
    <row r="3199" spans="2:28" x14ac:dyDescent="0.3">
      <c r="B3199" s="2">
        <f>IF(BCP_Soles[[#This Row],[TIPO DE R.]]="R",COUNTIFS($D$4:$D3198,"R")+1,"")</f>
        <v>2204</v>
      </c>
      <c r="C3199" s="19" t="str">
        <f t="shared" si="245"/>
        <v>B-BCP - Soles</v>
      </c>
      <c r="D3199" s="3" t="s">
        <v>1074</v>
      </c>
      <c r="E3199" s="14">
        <v>45882</v>
      </c>
      <c r="F3199" s="5" t="s">
        <v>1082</v>
      </c>
      <c r="G3199" s="5" t="s">
        <v>1079</v>
      </c>
      <c r="H3199" s="6" t="s">
        <v>507</v>
      </c>
      <c r="I3199" s="6" t="s">
        <v>14</v>
      </c>
      <c r="J3199" s="6" t="s">
        <v>1174</v>
      </c>
      <c r="K3199" s="6">
        <v>255</v>
      </c>
      <c r="L3199" s="7" t="s">
        <v>3889</v>
      </c>
      <c r="M3199" s="8">
        <v>1109205</v>
      </c>
      <c r="N3199" s="8" t="str">
        <f t="shared" si="246"/>
        <v>PEN</v>
      </c>
      <c r="O3199" s="13"/>
      <c r="P3199" s="13">
        <v>180</v>
      </c>
      <c r="Q3199" s="3">
        <f t="shared" si="247"/>
        <v>0</v>
      </c>
      <c r="R3199" s="3">
        <f t="shared" si="248"/>
        <v>180</v>
      </c>
      <c r="S3199" s="3">
        <f t="shared" si="249"/>
        <v>13947.679999999973</v>
      </c>
      <c r="T3199" s="24" t="s">
        <v>1081</v>
      </c>
      <c r="U3199" s="24" t="s">
        <v>1081</v>
      </c>
      <c r="V3199" s="70" t="s">
        <v>3890</v>
      </c>
      <c r="W3199" s="25">
        <f>IFERROR(VLOOKUP(BCP_Soles[[#This Row],[DESTINATARIO]],CHOOSE({1,2},Clientes_Proveedores[Razon Social],Clientes_Proveedores[Ruc / Dni]),2,0),"")</f>
        <v>20608587803</v>
      </c>
      <c r="X3199" s="25"/>
      <c r="Y3199" s="25"/>
      <c r="Z3199" s="25"/>
      <c r="AA3199" s="101"/>
      <c r="AB3199" s="3" t="str">
        <f>IF(BCP_Soles[[#This Row],[FECHA]]&gt;0,TEXT(BCP_Soles[[#This Row],[FECHA]],"mmmm"),0)</f>
        <v>Agosto</v>
      </c>
    </row>
    <row r="3200" spans="2:28" ht="24" x14ac:dyDescent="0.3">
      <c r="B3200" s="2">
        <f>IF(BCP_Soles[[#This Row],[TIPO DE R.]]="R",COUNTIFS($D$4:$D3199,"R")+1,"")</f>
        <v>2205</v>
      </c>
      <c r="C3200" s="19" t="str">
        <f t="shared" si="245"/>
        <v>B-BCP - Soles</v>
      </c>
      <c r="D3200" s="3" t="s">
        <v>1074</v>
      </c>
      <c r="E3200" s="14">
        <v>45882</v>
      </c>
      <c r="F3200" s="5" t="s">
        <v>1082</v>
      </c>
      <c r="G3200" s="5" t="s">
        <v>1079</v>
      </c>
      <c r="H3200" s="6" t="s">
        <v>647</v>
      </c>
      <c r="I3200" s="6" t="s">
        <v>52</v>
      </c>
      <c r="J3200" s="6" t="s">
        <v>2212</v>
      </c>
      <c r="K3200" s="6">
        <v>72257387</v>
      </c>
      <c r="L3200" s="7" t="s">
        <v>3891</v>
      </c>
      <c r="M3200" s="8">
        <v>4109689</v>
      </c>
      <c r="N3200" s="8" t="str">
        <f t="shared" si="246"/>
        <v>PEN</v>
      </c>
      <c r="O3200" s="13"/>
      <c r="P3200" s="13">
        <v>142.9</v>
      </c>
      <c r="Q3200" s="3">
        <f t="shared" si="247"/>
        <v>0</v>
      </c>
      <c r="R3200" s="3">
        <f t="shared" si="248"/>
        <v>142.9</v>
      </c>
      <c r="S3200" s="3">
        <f t="shared" si="249"/>
        <v>13804.779999999973</v>
      </c>
      <c r="T3200" s="24" t="s">
        <v>1081</v>
      </c>
      <c r="U3200" s="24" t="s">
        <v>1081</v>
      </c>
      <c r="V3200" s="70" t="s">
        <v>3890</v>
      </c>
      <c r="W3200" s="25">
        <f>IFERROR(VLOOKUP(BCP_Soles[[#This Row],[DESTINATARIO]],CHOOSE({1,2},Clientes_Proveedores[Razon Social],Clientes_Proveedores[Ruc / Dni]),2,0),"")</f>
        <v>20100017491</v>
      </c>
      <c r="X3200" s="25"/>
      <c r="Y3200" s="25"/>
      <c r="Z3200" s="25"/>
      <c r="AA3200" s="101"/>
      <c r="AB3200" s="3" t="str">
        <f>IF(BCP_Soles[[#This Row],[FECHA]]&gt;0,TEXT(BCP_Soles[[#This Row],[FECHA]],"mmmm"),0)</f>
        <v>Agosto</v>
      </c>
    </row>
    <row r="3201" spans="2:28" ht="24" x14ac:dyDescent="0.3">
      <c r="B3201" s="2">
        <f>IF(BCP_Soles[[#This Row],[TIPO DE R.]]="R",COUNTIFS($D$4:$D3200,"R")+1,"")</f>
        <v>2206</v>
      </c>
      <c r="C3201" s="19" t="str">
        <f t="shared" si="245"/>
        <v>B-BCP - Soles</v>
      </c>
      <c r="D3201" s="3" t="s">
        <v>1074</v>
      </c>
      <c r="E3201" s="14">
        <v>45882</v>
      </c>
      <c r="F3201" s="5" t="s">
        <v>1082</v>
      </c>
      <c r="G3201" s="5" t="s">
        <v>1079</v>
      </c>
      <c r="H3201" s="6" t="s">
        <v>1018</v>
      </c>
      <c r="I3201" s="6" t="s">
        <v>14</v>
      </c>
      <c r="J3201" s="6" t="s">
        <v>1821</v>
      </c>
      <c r="K3201" s="6">
        <v>1005</v>
      </c>
      <c r="L3201" s="7" t="s">
        <v>3892</v>
      </c>
      <c r="M3201" s="8">
        <v>1203493</v>
      </c>
      <c r="N3201" s="8" t="str">
        <f t="shared" si="246"/>
        <v>PEN</v>
      </c>
      <c r="O3201" s="13"/>
      <c r="P3201" s="13">
        <v>220</v>
      </c>
      <c r="Q3201" s="3">
        <f t="shared" si="247"/>
        <v>0</v>
      </c>
      <c r="R3201" s="3">
        <f t="shared" si="248"/>
        <v>220</v>
      </c>
      <c r="S3201" s="3">
        <f t="shared" si="249"/>
        <v>13584.779999999973</v>
      </c>
      <c r="T3201" s="24" t="s">
        <v>1081</v>
      </c>
      <c r="U3201" s="24" t="s">
        <v>1081</v>
      </c>
      <c r="V3201" s="70" t="s">
        <v>3893</v>
      </c>
      <c r="W3201" s="25">
        <f>IFERROR(VLOOKUP(BCP_Soles[[#This Row],[DESTINATARIO]],CHOOSE({1,2},Clientes_Proveedores[Razon Social],Clientes_Proveedores[Ruc / Dni]),2,0),"")</f>
        <v>20605533125</v>
      </c>
      <c r="X3201" s="25"/>
      <c r="Y3201" s="25"/>
      <c r="Z3201" s="25"/>
      <c r="AA3201" s="101"/>
      <c r="AB3201" s="3" t="str">
        <f>IF(BCP_Soles[[#This Row],[FECHA]]&gt;0,TEXT(BCP_Soles[[#This Row],[FECHA]],"mmmm"),0)</f>
        <v>Agosto</v>
      </c>
    </row>
    <row r="3202" spans="2:28" ht="24" x14ac:dyDescent="0.3">
      <c r="B3202" s="2">
        <f>IF(BCP_Soles[[#This Row],[TIPO DE R.]]="R",COUNTIFS($D$4:$D3201,"R")+1,"")</f>
        <v>2207</v>
      </c>
      <c r="C3202" s="19" t="str">
        <f t="shared" si="245"/>
        <v>B-BCP - Soles</v>
      </c>
      <c r="D3202" s="3" t="s">
        <v>1074</v>
      </c>
      <c r="E3202" s="14">
        <v>45882</v>
      </c>
      <c r="F3202" s="5" t="s">
        <v>1082</v>
      </c>
      <c r="G3202" s="5" t="s">
        <v>1079</v>
      </c>
      <c r="H3202" s="6" t="s">
        <v>863</v>
      </c>
      <c r="I3202" s="6" t="s">
        <v>87</v>
      </c>
      <c r="J3202" s="6">
        <v>1</v>
      </c>
      <c r="K3202" s="6">
        <v>552025</v>
      </c>
      <c r="L3202" s="7" t="s">
        <v>3894</v>
      </c>
      <c r="M3202" s="8">
        <v>1202989</v>
      </c>
      <c r="N3202" s="8" t="str">
        <f t="shared" si="246"/>
        <v>PEN</v>
      </c>
      <c r="O3202" s="13"/>
      <c r="P3202" s="13">
        <v>250</v>
      </c>
      <c r="Q3202" s="3">
        <f t="shared" si="247"/>
        <v>0</v>
      </c>
      <c r="R3202" s="3">
        <f t="shared" si="248"/>
        <v>250</v>
      </c>
      <c r="S3202" s="3">
        <f t="shared" si="249"/>
        <v>13334.779999999973</v>
      </c>
      <c r="T3202" s="24" t="s">
        <v>1081</v>
      </c>
      <c r="U3202" s="24" t="s">
        <v>1081</v>
      </c>
      <c r="V3202" s="70" t="s">
        <v>3895</v>
      </c>
      <c r="W3202" s="25">
        <f>IFERROR(VLOOKUP(BCP_Soles[[#This Row],[DESTINATARIO]],CHOOSE({1,2},Clientes_Proveedores[Razon Social],Clientes_Proveedores[Ruc / Dni]),2,0),"")</f>
        <v>72537561</v>
      </c>
      <c r="X3202" s="25"/>
      <c r="Y3202" s="25"/>
      <c r="Z3202" s="25"/>
      <c r="AA3202" s="101"/>
      <c r="AB3202" s="3" t="str">
        <f>IF(BCP_Soles[[#This Row],[FECHA]]&gt;0,TEXT(BCP_Soles[[#This Row],[FECHA]],"mmmm"),0)</f>
        <v>Agosto</v>
      </c>
    </row>
    <row r="3203" spans="2:28" x14ac:dyDescent="0.3">
      <c r="B3203" s="2">
        <f>IF(BCP_Soles[[#This Row],[TIPO DE R.]]="R",COUNTIFS($D$4:$D3202,"R")+1,"")</f>
        <v>2208</v>
      </c>
      <c r="C3203" s="19" t="str">
        <f t="shared" si="245"/>
        <v>B-BCP - Soles</v>
      </c>
      <c r="D3203" s="3" t="s">
        <v>1074</v>
      </c>
      <c r="E3203" s="14">
        <v>45882</v>
      </c>
      <c r="F3203" s="5" t="s">
        <v>1078</v>
      </c>
      <c r="G3203" s="5" t="s">
        <v>1079</v>
      </c>
      <c r="H3203" s="6"/>
      <c r="I3203" s="6"/>
      <c r="J3203" s="6"/>
      <c r="K3203" s="6"/>
      <c r="L3203" s="7" t="s">
        <v>2868</v>
      </c>
      <c r="M3203" s="8"/>
      <c r="N3203" s="8" t="str">
        <f t="shared" si="246"/>
        <v>PEN</v>
      </c>
      <c r="O3203" s="13"/>
      <c r="P3203" s="13">
        <v>0.05</v>
      </c>
      <c r="Q3203" s="3">
        <f t="shared" si="247"/>
        <v>0</v>
      </c>
      <c r="R3203" s="3">
        <f t="shared" si="248"/>
        <v>0.05</v>
      </c>
      <c r="S3203" s="3">
        <f t="shared" si="249"/>
        <v>13334.729999999974</v>
      </c>
      <c r="T3203" s="24"/>
      <c r="U3203" s="24"/>
      <c r="V3203" s="69"/>
      <c r="W3203" s="25" t="str">
        <f>IFERROR(VLOOKUP(BCP_Soles[[#This Row],[DESTINATARIO]],CHOOSE({1,2},Clientes_Proveedores[Razon Social],Clientes_Proveedores[Ruc / Dni]),2,0),"")</f>
        <v/>
      </c>
      <c r="X3203" s="25"/>
      <c r="Y3203" s="25"/>
      <c r="Z3203" s="25"/>
      <c r="AA3203" s="101"/>
      <c r="AB3203" s="3" t="str">
        <f>IF(BCP_Soles[[#This Row],[FECHA]]&gt;0,TEXT(BCP_Soles[[#This Row],[FECHA]],"mmmm"),0)</f>
        <v>Agosto</v>
      </c>
    </row>
    <row r="3204" spans="2:28" ht="24" x14ac:dyDescent="0.3">
      <c r="B3204" s="2">
        <f>IF(BCP_Soles[[#This Row],[TIPO DE R.]]="R",COUNTIFS($D$4:$D3203,"R")+1,"")</f>
        <v>2209</v>
      </c>
      <c r="C3204" s="19" t="str">
        <f t="shared" si="245"/>
        <v>B-BCP - Soles</v>
      </c>
      <c r="D3204" s="3" t="s">
        <v>1074</v>
      </c>
      <c r="E3204" s="14">
        <v>45883</v>
      </c>
      <c r="F3204" s="5" t="s">
        <v>2134</v>
      </c>
      <c r="G3204" s="5" t="s">
        <v>1087</v>
      </c>
      <c r="H3204" s="6" t="s">
        <v>368</v>
      </c>
      <c r="I3204" s="6" t="s">
        <v>63</v>
      </c>
      <c r="J3204" s="6">
        <v>1</v>
      </c>
      <c r="K3204" s="6">
        <v>4669</v>
      </c>
      <c r="L3204" s="7" t="s">
        <v>1100</v>
      </c>
      <c r="M3204" s="8">
        <v>1955044</v>
      </c>
      <c r="N3204" s="8" t="str">
        <f t="shared" si="246"/>
        <v>PEN</v>
      </c>
      <c r="O3204" s="13"/>
      <c r="P3204" s="13">
        <v>980</v>
      </c>
      <c r="Q3204" s="3">
        <f t="shared" si="247"/>
        <v>980</v>
      </c>
      <c r="R3204" s="3">
        <f t="shared" si="248"/>
        <v>0</v>
      </c>
      <c r="S3204" s="3">
        <f t="shared" si="249"/>
        <v>14314.729999999974</v>
      </c>
      <c r="T3204" s="24" t="s">
        <v>1081</v>
      </c>
      <c r="U3204" s="24"/>
      <c r="V3204" s="69"/>
      <c r="W3204" s="25">
        <f>IFERROR(VLOOKUP(BCP_Soles[[#This Row],[DESTINATARIO]],CHOOSE({1,2},Clientes_Proveedores[Razon Social],Clientes_Proveedores[Ruc / Dni]),2,0),"")</f>
        <v>20558226979</v>
      </c>
      <c r="X3204" s="25"/>
      <c r="Y3204" s="25"/>
      <c r="Z3204" s="25"/>
      <c r="AA3204" s="101"/>
      <c r="AB3204" s="3" t="str">
        <f>IF(BCP_Soles[[#This Row],[FECHA]]&gt;0,TEXT(BCP_Soles[[#This Row],[FECHA]],"mmmm"),0)</f>
        <v>Agosto</v>
      </c>
    </row>
    <row r="3205" spans="2:28" ht="36" x14ac:dyDescent="0.3">
      <c r="B3205" s="2">
        <f>IF(BCP_Soles[[#This Row],[TIPO DE R.]]="R",COUNTIFS($D$4:$D3204,"R")+1,"")</f>
        <v>2210</v>
      </c>
      <c r="C3205" s="19" t="str">
        <f t="shared" ref="C3205:C3268" si="250">"B-BCP - Soles"</f>
        <v>B-BCP - Soles</v>
      </c>
      <c r="D3205" s="3" t="s">
        <v>1074</v>
      </c>
      <c r="E3205" s="14">
        <v>45883</v>
      </c>
      <c r="F3205" s="5" t="s">
        <v>497</v>
      </c>
      <c r="G3205" s="5" t="s">
        <v>1087</v>
      </c>
      <c r="H3205" s="6" t="s">
        <v>368</v>
      </c>
      <c r="I3205" s="6" t="s">
        <v>14</v>
      </c>
      <c r="J3205" s="6" t="s">
        <v>3091</v>
      </c>
      <c r="K3205" s="6">
        <v>55</v>
      </c>
      <c r="L3205" s="7" t="s">
        <v>3896</v>
      </c>
      <c r="M3205" s="8">
        <v>1761716</v>
      </c>
      <c r="N3205" s="8" t="str">
        <f t="shared" ref="N3205:N3268" si="251">"PEN"</f>
        <v>PEN</v>
      </c>
      <c r="O3205" s="13"/>
      <c r="P3205" s="13">
        <v>607.96</v>
      </c>
      <c r="Q3205" s="3">
        <f t="shared" ref="Q3205:Q3268" si="252">+IF(OR($G3205="SALDO",$G3205="INGRESO"),$P3205,0)</f>
        <v>607.96</v>
      </c>
      <c r="R3205" s="3">
        <f t="shared" ref="R3205:R3268" si="253">+IF($G3205="EGRESO",$P3205,0)</f>
        <v>0</v>
      </c>
      <c r="S3205" s="3">
        <f t="shared" ref="S3205:S3268" si="254">IFERROR(IF(G3205="SALDO",Q3205,S3204+Q3205-R3205),0)</f>
        <v>14922.689999999973</v>
      </c>
      <c r="T3205" s="24" t="s">
        <v>1081</v>
      </c>
      <c r="U3205" s="24" t="s">
        <v>1081</v>
      </c>
      <c r="V3205" s="69"/>
      <c r="W3205" s="25">
        <f>IFERROR(VLOOKUP(BCP_Soles[[#This Row],[DESTINATARIO]],CHOOSE({1,2},Clientes_Proveedores[Razon Social],Clientes_Proveedores[Ruc / Dni]),2,0),"")</f>
        <v>20558226979</v>
      </c>
      <c r="X3205" s="25"/>
      <c r="Y3205" s="25"/>
      <c r="Z3205" s="25"/>
      <c r="AA3205" s="101"/>
      <c r="AB3205" s="3" t="str">
        <f>IF(BCP_Soles[[#This Row],[FECHA]]&gt;0,TEXT(BCP_Soles[[#This Row],[FECHA]],"mmmm"),0)</f>
        <v>Agosto</v>
      </c>
    </row>
    <row r="3206" spans="2:28" x14ac:dyDescent="0.3">
      <c r="B3206" s="2">
        <f>IF(BCP_Soles[[#This Row],[TIPO DE R.]]="R",COUNTIFS($D$4:$D3205,"R")+1,"")</f>
        <v>2211</v>
      </c>
      <c r="C3206" s="19" t="str">
        <f t="shared" si="250"/>
        <v>B-BCP - Soles</v>
      </c>
      <c r="D3206" s="3" t="s">
        <v>1074</v>
      </c>
      <c r="E3206" s="14">
        <v>45883</v>
      </c>
      <c r="F3206" s="5"/>
      <c r="G3206" s="5" t="s">
        <v>1087</v>
      </c>
      <c r="H3206" s="6" t="s">
        <v>368</v>
      </c>
      <c r="I3206" s="6"/>
      <c r="J3206" s="6"/>
      <c r="K3206" s="6"/>
      <c r="L3206" s="7" t="s">
        <v>1100</v>
      </c>
      <c r="M3206" s="8">
        <v>624172</v>
      </c>
      <c r="N3206" s="8" t="str">
        <f t="shared" si="251"/>
        <v>PEN</v>
      </c>
      <c r="O3206" s="13"/>
      <c r="P3206" s="13">
        <v>932.5</v>
      </c>
      <c r="Q3206" s="3">
        <f t="shared" si="252"/>
        <v>932.5</v>
      </c>
      <c r="R3206" s="3">
        <f t="shared" si="253"/>
        <v>0</v>
      </c>
      <c r="S3206" s="3">
        <f t="shared" si="254"/>
        <v>15855.189999999973</v>
      </c>
      <c r="T3206" s="24"/>
      <c r="U3206" s="24"/>
      <c r="V3206" s="69"/>
      <c r="W3206" s="25">
        <f>IFERROR(VLOOKUP(BCP_Soles[[#This Row],[DESTINATARIO]],CHOOSE({1,2},Clientes_Proveedores[Razon Social],Clientes_Proveedores[Ruc / Dni]),2,0),"")</f>
        <v>20558226979</v>
      </c>
      <c r="X3206" s="25"/>
      <c r="Y3206" s="25"/>
      <c r="Z3206" s="25"/>
      <c r="AA3206" s="101"/>
      <c r="AB3206" s="3" t="str">
        <f>IF(BCP_Soles[[#This Row],[FECHA]]&gt;0,TEXT(BCP_Soles[[#This Row],[FECHA]],"mmmm"),0)</f>
        <v>Agosto</v>
      </c>
    </row>
    <row r="3207" spans="2:28" x14ac:dyDescent="0.3">
      <c r="B3207" s="2">
        <f>IF(BCP_Soles[[#This Row],[TIPO DE R.]]="R",COUNTIFS($D$4:$D3206,"R")+1,"")</f>
        <v>2212</v>
      </c>
      <c r="C3207" s="19" t="str">
        <f t="shared" si="250"/>
        <v>B-BCP - Soles</v>
      </c>
      <c r="D3207" s="3" t="s">
        <v>1074</v>
      </c>
      <c r="E3207" s="14">
        <v>45883</v>
      </c>
      <c r="F3207" s="5"/>
      <c r="G3207" s="5" t="s">
        <v>1087</v>
      </c>
      <c r="H3207" s="6" t="s">
        <v>368</v>
      </c>
      <c r="I3207" s="6"/>
      <c r="J3207" s="6"/>
      <c r="K3207" s="6"/>
      <c r="L3207" s="7" t="s">
        <v>3897</v>
      </c>
      <c r="M3207" s="8"/>
      <c r="N3207" s="8" t="str">
        <f t="shared" si="251"/>
        <v>PEN</v>
      </c>
      <c r="O3207" s="13"/>
      <c r="P3207" s="13">
        <v>74.7</v>
      </c>
      <c r="Q3207" s="3">
        <f t="shared" si="252"/>
        <v>74.7</v>
      </c>
      <c r="R3207" s="3">
        <f t="shared" si="253"/>
        <v>0</v>
      </c>
      <c r="S3207" s="3">
        <f t="shared" si="254"/>
        <v>15929.889999999974</v>
      </c>
      <c r="T3207" s="24"/>
      <c r="U3207" s="24"/>
      <c r="V3207" s="69"/>
      <c r="W3207" s="25">
        <f>IFERROR(VLOOKUP(BCP_Soles[[#This Row],[DESTINATARIO]],CHOOSE({1,2},Clientes_Proveedores[Razon Social],Clientes_Proveedores[Ruc / Dni]),2,0),"")</f>
        <v>20558226979</v>
      </c>
      <c r="X3207" s="25"/>
      <c r="Y3207" s="25"/>
      <c r="Z3207" s="25"/>
      <c r="AA3207" s="101"/>
      <c r="AB3207" s="3" t="str">
        <f>IF(BCP_Soles[[#This Row],[FECHA]]&gt;0,TEXT(BCP_Soles[[#This Row],[FECHA]],"mmmm"),0)</f>
        <v>Agosto</v>
      </c>
    </row>
    <row r="3208" spans="2:28" ht="24" x14ac:dyDescent="0.3">
      <c r="B3208" s="2">
        <f>IF(BCP_Soles[[#This Row],[TIPO DE R.]]="R",COUNTIFS($D$4:$D3207,"R")+1,"")</f>
        <v>2213</v>
      </c>
      <c r="C3208" s="19" t="str">
        <f t="shared" si="250"/>
        <v>B-BCP - Soles</v>
      </c>
      <c r="D3208" s="3" t="s">
        <v>1074</v>
      </c>
      <c r="E3208" s="14">
        <v>45883</v>
      </c>
      <c r="F3208" s="5" t="s">
        <v>1082</v>
      </c>
      <c r="G3208" s="5" t="s">
        <v>1079</v>
      </c>
      <c r="H3208" s="6" t="s">
        <v>934</v>
      </c>
      <c r="I3208" s="6" t="s">
        <v>87</v>
      </c>
      <c r="J3208" s="6">
        <v>1</v>
      </c>
      <c r="K3208" s="6">
        <v>562025</v>
      </c>
      <c r="L3208" s="7" t="s">
        <v>3898</v>
      </c>
      <c r="M3208" s="8">
        <v>1236796</v>
      </c>
      <c r="N3208" s="8" t="str">
        <f t="shared" si="251"/>
        <v>PEN</v>
      </c>
      <c r="O3208" s="13"/>
      <c r="P3208" s="13">
        <v>89</v>
      </c>
      <c r="Q3208" s="3">
        <f t="shared" si="252"/>
        <v>0</v>
      </c>
      <c r="R3208" s="3">
        <f t="shared" si="253"/>
        <v>89</v>
      </c>
      <c r="S3208" s="3">
        <f t="shared" si="254"/>
        <v>15840.889999999974</v>
      </c>
      <c r="T3208" s="24" t="s">
        <v>1081</v>
      </c>
      <c r="U3208" s="24" t="s">
        <v>1081</v>
      </c>
      <c r="V3208" s="70" t="s">
        <v>3895</v>
      </c>
      <c r="W3208" s="25">
        <f>IFERROR(VLOOKUP(BCP_Soles[[#This Row],[DESTINATARIO]],CHOOSE({1,2},Clientes_Proveedores[Razon Social],Clientes_Proveedores[Ruc / Dni]),2,0),"")</f>
        <v>76390500</v>
      </c>
      <c r="X3208" s="25"/>
      <c r="Y3208" s="25"/>
      <c r="Z3208" s="25"/>
      <c r="AA3208" s="101"/>
      <c r="AB3208" s="3" t="str">
        <f>IF(BCP_Soles[[#This Row],[FECHA]]&gt;0,TEXT(BCP_Soles[[#This Row],[FECHA]],"mmmm"),0)</f>
        <v>Agosto</v>
      </c>
    </row>
    <row r="3209" spans="2:28" x14ac:dyDescent="0.3">
      <c r="B3209" s="2">
        <f>IF(BCP_Soles[[#This Row],[TIPO DE R.]]="R",COUNTIFS($D$4:$D3208,"R")+1,"")</f>
        <v>2214</v>
      </c>
      <c r="C3209" s="19" t="str">
        <f t="shared" si="250"/>
        <v>B-BCP - Soles</v>
      </c>
      <c r="D3209" s="3" t="s">
        <v>1074</v>
      </c>
      <c r="E3209" s="14">
        <v>45883</v>
      </c>
      <c r="F3209" s="5" t="s">
        <v>1082</v>
      </c>
      <c r="G3209" s="5" t="s">
        <v>1079</v>
      </c>
      <c r="H3209" s="6" t="s">
        <v>139</v>
      </c>
      <c r="I3209" s="6" t="s">
        <v>14</v>
      </c>
      <c r="J3209" s="6" t="s">
        <v>1953</v>
      </c>
      <c r="K3209" s="6">
        <v>6739</v>
      </c>
      <c r="L3209" s="7" t="s">
        <v>1954</v>
      </c>
      <c r="M3209" s="8">
        <v>236324</v>
      </c>
      <c r="N3209" s="8" t="str">
        <f t="shared" si="251"/>
        <v>PEN</v>
      </c>
      <c r="O3209" s="13"/>
      <c r="P3209" s="13">
        <v>120.6</v>
      </c>
      <c r="Q3209" s="3">
        <f t="shared" si="252"/>
        <v>0</v>
      </c>
      <c r="R3209" s="3">
        <f t="shared" si="253"/>
        <v>120.6</v>
      </c>
      <c r="S3209" s="3">
        <f t="shared" si="254"/>
        <v>15720.289999999974</v>
      </c>
      <c r="T3209" s="24" t="s">
        <v>1081</v>
      </c>
      <c r="U3209" s="24" t="s">
        <v>1081</v>
      </c>
      <c r="V3209" s="70" t="s">
        <v>3899</v>
      </c>
      <c r="W3209" s="25">
        <f>IFERROR(VLOOKUP(BCP_Soles[[#This Row],[DESTINATARIO]],CHOOSE({1,2},Clientes_Proveedores[Razon Social],Clientes_Proveedores[Ruc / Dni]),2,0),"")</f>
        <v>20100055237</v>
      </c>
      <c r="X3209" s="25"/>
      <c r="Y3209" s="25"/>
      <c r="Z3209" s="25"/>
      <c r="AA3209" s="101"/>
      <c r="AB3209" s="3" t="str">
        <f>IF(BCP_Soles[[#This Row],[FECHA]]&gt;0,TEXT(BCP_Soles[[#This Row],[FECHA]],"mmmm"),0)</f>
        <v>Agosto</v>
      </c>
    </row>
    <row r="3210" spans="2:28" x14ac:dyDescent="0.3">
      <c r="B3210" s="2">
        <f>IF(BCP_Soles[[#This Row],[TIPO DE R.]]="R",COUNTIFS($D$4:$D3209,"R")+1,"")</f>
        <v>2215</v>
      </c>
      <c r="C3210" s="19" t="str">
        <f t="shared" si="250"/>
        <v>B-BCP - Soles</v>
      </c>
      <c r="D3210" s="3" t="s">
        <v>1074</v>
      </c>
      <c r="E3210" s="14">
        <v>45883</v>
      </c>
      <c r="F3210" s="5" t="s">
        <v>1082</v>
      </c>
      <c r="G3210" s="5" t="s">
        <v>1079</v>
      </c>
      <c r="H3210" s="6" t="s">
        <v>139</v>
      </c>
      <c r="I3210" s="6" t="s">
        <v>14</v>
      </c>
      <c r="J3210" s="6" t="s">
        <v>1953</v>
      </c>
      <c r="K3210" s="6">
        <v>6738</v>
      </c>
      <c r="L3210" s="7" t="s">
        <v>1954</v>
      </c>
      <c r="M3210" s="8">
        <v>239242</v>
      </c>
      <c r="N3210" s="8" t="str">
        <f t="shared" si="251"/>
        <v>PEN</v>
      </c>
      <c r="O3210" s="13"/>
      <c r="P3210" s="13">
        <v>344.92</v>
      </c>
      <c r="Q3210" s="3">
        <f t="shared" si="252"/>
        <v>0</v>
      </c>
      <c r="R3210" s="3">
        <f t="shared" si="253"/>
        <v>344.92</v>
      </c>
      <c r="S3210" s="3">
        <f t="shared" si="254"/>
        <v>15375.369999999974</v>
      </c>
      <c r="T3210" s="24" t="s">
        <v>1081</v>
      </c>
      <c r="U3210" s="24" t="s">
        <v>1081</v>
      </c>
      <c r="V3210" s="70" t="s">
        <v>3900</v>
      </c>
      <c r="W3210" s="25">
        <f>IFERROR(VLOOKUP(BCP_Soles[[#This Row],[DESTINATARIO]],CHOOSE({1,2},Clientes_Proveedores[Razon Social],Clientes_Proveedores[Ruc / Dni]),2,0),"")</f>
        <v>20100055237</v>
      </c>
      <c r="X3210" s="25"/>
      <c r="Y3210" s="25"/>
      <c r="Z3210" s="25"/>
      <c r="AA3210" s="101"/>
      <c r="AB3210" s="3" t="str">
        <f>IF(BCP_Soles[[#This Row],[FECHA]]&gt;0,TEXT(BCP_Soles[[#This Row],[FECHA]],"mmmm"),0)</f>
        <v>Agosto</v>
      </c>
    </row>
    <row r="3211" spans="2:28" x14ac:dyDescent="0.3">
      <c r="B3211" s="2">
        <f>IF(BCP_Soles[[#This Row],[TIPO DE R.]]="R",COUNTIFS($D$4:$D3210,"R")+1,"")</f>
        <v>2216</v>
      </c>
      <c r="C3211" s="19" t="str">
        <f t="shared" si="250"/>
        <v>B-BCP - Soles</v>
      </c>
      <c r="D3211" s="3" t="s">
        <v>1074</v>
      </c>
      <c r="E3211" s="14">
        <v>45883</v>
      </c>
      <c r="F3211" s="5" t="s">
        <v>1082</v>
      </c>
      <c r="G3211" s="5" t="s">
        <v>1079</v>
      </c>
      <c r="H3211" s="6" t="s">
        <v>139</v>
      </c>
      <c r="I3211" s="6" t="s">
        <v>14</v>
      </c>
      <c r="J3211" s="6" t="s">
        <v>1953</v>
      </c>
      <c r="K3211" s="6">
        <v>6737</v>
      </c>
      <c r="L3211" s="7" t="s">
        <v>1954</v>
      </c>
      <c r="M3211" s="8">
        <v>236325</v>
      </c>
      <c r="N3211" s="8" t="str">
        <f t="shared" si="251"/>
        <v>PEN</v>
      </c>
      <c r="O3211" s="13"/>
      <c r="P3211" s="13">
        <v>7.14</v>
      </c>
      <c r="Q3211" s="3">
        <f t="shared" si="252"/>
        <v>0</v>
      </c>
      <c r="R3211" s="3">
        <f t="shared" si="253"/>
        <v>7.14</v>
      </c>
      <c r="S3211" s="3">
        <f t="shared" si="254"/>
        <v>15368.229999999974</v>
      </c>
      <c r="T3211" s="24" t="s">
        <v>1081</v>
      </c>
      <c r="U3211" s="24" t="s">
        <v>1081</v>
      </c>
      <c r="V3211" s="70" t="s">
        <v>3901</v>
      </c>
      <c r="W3211" s="25">
        <f>IFERROR(VLOOKUP(BCP_Soles[[#This Row],[DESTINATARIO]],CHOOSE({1,2},Clientes_Proveedores[Razon Social],Clientes_Proveedores[Ruc / Dni]),2,0),"")</f>
        <v>20100055237</v>
      </c>
      <c r="X3211" s="25"/>
      <c r="Y3211" s="25"/>
      <c r="Z3211" s="25"/>
      <c r="AA3211" s="101"/>
      <c r="AB3211" s="3" t="str">
        <f>IF(BCP_Soles[[#This Row],[FECHA]]&gt;0,TEXT(BCP_Soles[[#This Row],[FECHA]],"mmmm"),0)</f>
        <v>Agosto</v>
      </c>
    </row>
    <row r="3212" spans="2:28" x14ac:dyDescent="0.3">
      <c r="B3212" s="2">
        <f>IF(BCP_Soles[[#This Row],[TIPO DE R.]]="R",COUNTIFS($D$4:$D3211,"R")+1,"")</f>
        <v>2217</v>
      </c>
      <c r="C3212" s="19" t="str">
        <f t="shared" si="250"/>
        <v>B-BCP - Soles</v>
      </c>
      <c r="D3212" s="3" t="s">
        <v>1074</v>
      </c>
      <c r="E3212" s="14">
        <v>45883</v>
      </c>
      <c r="F3212" s="5" t="s">
        <v>1082</v>
      </c>
      <c r="G3212" s="5" t="s">
        <v>1079</v>
      </c>
      <c r="H3212" s="6" t="s">
        <v>139</v>
      </c>
      <c r="I3212" s="6" t="s">
        <v>14</v>
      </c>
      <c r="J3212" s="6" t="s">
        <v>1953</v>
      </c>
      <c r="K3212" s="6">
        <v>6736</v>
      </c>
      <c r="L3212" s="7" t="s">
        <v>1954</v>
      </c>
      <c r="M3212" s="8">
        <v>239746</v>
      </c>
      <c r="N3212" s="8" t="str">
        <f t="shared" si="251"/>
        <v>PEN</v>
      </c>
      <c r="O3212" s="13"/>
      <c r="P3212" s="13">
        <v>379.04</v>
      </c>
      <c r="Q3212" s="3">
        <f t="shared" si="252"/>
        <v>0</v>
      </c>
      <c r="R3212" s="3">
        <f t="shared" si="253"/>
        <v>379.04</v>
      </c>
      <c r="S3212" s="3">
        <f t="shared" si="254"/>
        <v>14989.189999999973</v>
      </c>
      <c r="T3212" s="24" t="s">
        <v>1081</v>
      </c>
      <c r="U3212" s="24" t="s">
        <v>1081</v>
      </c>
      <c r="V3212" s="70" t="s">
        <v>3902</v>
      </c>
      <c r="W3212" s="25">
        <f>IFERROR(VLOOKUP(BCP_Soles[[#This Row],[DESTINATARIO]],CHOOSE({1,2},Clientes_Proveedores[Razon Social],Clientes_Proveedores[Ruc / Dni]),2,0),"")</f>
        <v>20100055237</v>
      </c>
      <c r="X3212" s="25"/>
      <c r="Y3212" s="25"/>
      <c r="Z3212" s="25"/>
      <c r="AA3212" s="101"/>
      <c r="AB3212" s="3" t="str">
        <f>IF(BCP_Soles[[#This Row],[FECHA]]&gt;0,TEXT(BCP_Soles[[#This Row],[FECHA]],"mmmm"),0)</f>
        <v>Agosto</v>
      </c>
    </row>
    <row r="3213" spans="2:28" x14ac:dyDescent="0.3">
      <c r="B3213" s="2">
        <f>IF(BCP_Soles[[#This Row],[TIPO DE R.]]="R",COUNTIFS($D$4:$D3212,"R")+1,"")</f>
        <v>2218</v>
      </c>
      <c r="C3213" s="19" t="str">
        <f t="shared" si="250"/>
        <v>B-BCP - Soles</v>
      </c>
      <c r="D3213" s="3" t="s">
        <v>1074</v>
      </c>
      <c r="E3213" s="14">
        <v>45883</v>
      </c>
      <c r="F3213" s="5" t="s">
        <v>1082</v>
      </c>
      <c r="G3213" s="5" t="s">
        <v>1079</v>
      </c>
      <c r="H3213" s="6" t="s">
        <v>139</v>
      </c>
      <c r="I3213" s="6" t="s">
        <v>14</v>
      </c>
      <c r="J3213" s="6" t="s">
        <v>1953</v>
      </c>
      <c r="K3213" s="6">
        <v>6740</v>
      </c>
      <c r="L3213" s="7" t="s">
        <v>1954</v>
      </c>
      <c r="M3213" s="8">
        <v>236326</v>
      </c>
      <c r="N3213" s="8" t="str">
        <f t="shared" si="251"/>
        <v>PEN</v>
      </c>
      <c r="O3213" s="13"/>
      <c r="P3213" s="13">
        <v>513.16</v>
      </c>
      <c r="Q3213" s="3">
        <f t="shared" si="252"/>
        <v>0</v>
      </c>
      <c r="R3213" s="3">
        <f t="shared" si="253"/>
        <v>513.16</v>
      </c>
      <c r="S3213" s="3">
        <f t="shared" si="254"/>
        <v>14476.029999999973</v>
      </c>
      <c r="T3213" s="24" t="s">
        <v>1081</v>
      </c>
      <c r="U3213" s="24" t="s">
        <v>1081</v>
      </c>
      <c r="V3213" s="70" t="s">
        <v>3903</v>
      </c>
      <c r="W3213" s="25">
        <f>IFERROR(VLOOKUP(BCP_Soles[[#This Row],[DESTINATARIO]],CHOOSE({1,2},Clientes_Proveedores[Razon Social],Clientes_Proveedores[Ruc / Dni]),2,0),"")</f>
        <v>20100055237</v>
      </c>
      <c r="X3213" s="25"/>
      <c r="Y3213" s="25"/>
      <c r="Z3213" s="25"/>
      <c r="AA3213" s="101"/>
      <c r="AB3213" s="3" t="str">
        <f>IF(BCP_Soles[[#This Row],[FECHA]]&gt;0,TEXT(BCP_Soles[[#This Row],[FECHA]],"mmmm"),0)</f>
        <v>Agosto</v>
      </c>
    </row>
    <row r="3214" spans="2:28" x14ac:dyDescent="0.3">
      <c r="B3214" s="2">
        <f>IF(BCP_Soles[[#This Row],[TIPO DE R.]]="R",COUNTIFS($D$4:$D3213,"R")+1,"")</f>
        <v>2219</v>
      </c>
      <c r="C3214" s="19" t="str">
        <f t="shared" si="250"/>
        <v>B-BCP - Soles</v>
      </c>
      <c r="D3214" s="3" t="s">
        <v>1074</v>
      </c>
      <c r="E3214" s="14">
        <v>45883</v>
      </c>
      <c r="F3214" s="5" t="s">
        <v>1082</v>
      </c>
      <c r="G3214" s="5" t="s">
        <v>1079</v>
      </c>
      <c r="H3214" s="6" t="s">
        <v>139</v>
      </c>
      <c r="I3214" s="6" t="s">
        <v>14</v>
      </c>
      <c r="J3214" s="6" t="s">
        <v>1953</v>
      </c>
      <c r="K3214" s="6">
        <v>6735</v>
      </c>
      <c r="L3214" s="7" t="s">
        <v>1954</v>
      </c>
      <c r="M3214" s="8">
        <v>238256</v>
      </c>
      <c r="N3214" s="8" t="str">
        <f t="shared" si="251"/>
        <v>PEN</v>
      </c>
      <c r="O3214" s="13"/>
      <c r="P3214" s="13">
        <v>151.41999999999999</v>
      </c>
      <c r="Q3214" s="3">
        <f t="shared" si="252"/>
        <v>0</v>
      </c>
      <c r="R3214" s="3">
        <f t="shared" si="253"/>
        <v>151.41999999999999</v>
      </c>
      <c r="S3214" s="3">
        <f t="shared" si="254"/>
        <v>14324.609999999973</v>
      </c>
      <c r="T3214" s="24" t="s">
        <v>1081</v>
      </c>
      <c r="U3214" s="24" t="s">
        <v>1081</v>
      </c>
      <c r="V3214" s="70" t="s">
        <v>3904</v>
      </c>
      <c r="W3214" s="25">
        <f>IFERROR(VLOOKUP(BCP_Soles[[#This Row],[DESTINATARIO]],CHOOSE({1,2},Clientes_Proveedores[Razon Social],Clientes_Proveedores[Ruc / Dni]),2,0),"")</f>
        <v>20100055237</v>
      </c>
      <c r="X3214" s="25"/>
      <c r="Y3214" s="25"/>
      <c r="Z3214" s="25"/>
      <c r="AA3214" s="101"/>
      <c r="AB3214" s="3" t="str">
        <f>IF(BCP_Soles[[#This Row],[FECHA]]&gt;0,TEXT(BCP_Soles[[#This Row],[FECHA]],"mmmm"),0)</f>
        <v>Agosto</v>
      </c>
    </row>
    <row r="3215" spans="2:28" x14ac:dyDescent="0.3">
      <c r="B3215" s="2">
        <f>IF(BCP_Soles[[#This Row],[TIPO DE R.]]="R",COUNTIFS($D$4:$D3214,"R")+1,"")</f>
        <v>2220</v>
      </c>
      <c r="C3215" s="19" t="str">
        <f t="shared" si="250"/>
        <v>B-BCP - Soles</v>
      </c>
      <c r="D3215" s="3" t="s">
        <v>1074</v>
      </c>
      <c r="E3215" s="14">
        <v>45883</v>
      </c>
      <c r="F3215" s="5" t="s">
        <v>1082</v>
      </c>
      <c r="G3215" s="5" t="s">
        <v>1079</v>
      </c>
      <c r="H3215" s="6" t="s">
        <v>638</v>
      </c>
      <c r="I3215" s="6"/>
      <c r="J3215" s="6"/>
      <c r="K3215" s="6"/>
      <c r="L3215" s="7" t="s">
        <v>3905</v>
      </c>
      <c r="M3215" s="8">
        <v>1929985</v>
      </c>
      <c r="N3215" s="8" t="str">
        <f t="shared" si="251"/>
        <v>PEN</v>
      </c>
      <c r="O3215" s="13"/>
      <c r="P3215" s="13">
        <v>1413</v>
      </c>
      <c r="Q3215" s="3">
        <f t="shared" si="252"/>
        <v>0</v>
      </c>
      <c r="R3215" s="3">
        <f t="shared" si="253"/>
        <v>1413</v>
      </c>
      <c r="S3215" s="3">
        <f t="shared" si="254"/>
        <v>12911.609999999973</v>
      </c>
      <c r="T3215" s="24" t="s">
        <v>1081</v>
      </c>
      <c r="U3215" s="24" t="s">
        <v>1081</v>
      </c>
      <c r="V3215" s="70" t="s">
        <v>3906</v>
      </c>
      <c r="W3215" s="25">
        <f>IFERROR(VLOOKUP(BCP_Soles[[#This Row],[DESTINATARIO]],CHOOSE({1,2},Clientes_Proveedores[Razon Social],Clientes_Proveedores[Ruc / Dni]),2,0),"")</f>
        <v>0</v>
      </c>
      <c r="X3215" s="25"/>
      <c r="Y3215" s="25"/>
      <c r="Z3215" s="25"/>
      <c r="AA3215" s="101"/>
      <c r="AB3215" s="3" t="str">
        <f>IF(BCP_Soles[[#This Row],[FECHA]]&gt;0,TEXT(BCP_Soles[[#This Row],[FECHA]],"mmmm"),0)</f>
        <v>Agosto</v>
      </c>
    </row>
    <row r="3216" spans="2:28" ht="24" x14ac:dyDescent="0.3">
      <c r="B3216" s="2" t="str">
        <f>IF(BCP_Soles[[#This Row],[TIPO DE R.]]="R",COUNTIFS($D$4:$D3215,"R")+1,"")</f>
        <v/>
      </c>
      <c r="C3216" s="19" t="str">
        <f t="shared" si="250"/>
        <v>B-BCP - Soles</v>
      </c>
      <c r="D3216" s="3" t="s">
        <v>1101</v>
      </c>
      <c r="E3216" s="14">
        <v>45883</v>
      </c>
      <c r="F3216" s="5" t="s">
        <v>1082</v>
      </c>
      <c r="G3216" s="5"/>
      <c r="H3216" s="6" t="s">
        <v>999</v>
      </c>
      <c r="I3216" s="6" t="s">
        <v>14</v>
      </c>
      <c r="J3216" s="6" t="s">
        <v>1121</v>
      </c>
      <c r="K3216" s="6">
        <v>211</v>
      </c>
      <c r="L3216" s="7" t="s">
        <v>3905</v>
      </c>
      <c r="M3216" s="8">
        <v>1929985</v>
      </c>
      <c r="N3216" s="8" t="str">
        <f t="shared" si="251"/>
        <v>PEN</v>
      </c>
      <c r="O3216" s="13">
        <v>960</v>
      </c>
      <c r="P3216" s="13"/>
      <c r="Q3216" s="3">
        <f t="shared" si="252"/>
        <v>0</v>
      </c>
      <c r="R3216" s="3">
        <f t="shared" si="253"/>
        <v>0</v>
      </c>
      <c r="S3216" s="3">
        <f t="shared" si="254"/>
        <v>12911.609999999973</v>
      </c>
      <c r="T3216" s="24" t="s">
        <v>1081</v>
      </c>
      <c r="U3216" s="24" t="s">
        <v>1081</v>
      </c>
      <c r="V3216" s="70" t="s">
        <v>3906</v>
      </c>
      <c r="W3216" s="25">
        <f>IFERROR(VLOOKUP(BCP_Soles[[#This Row],[DESTINATARIO]],CHOOSE({1,2},Clientes_Proveedores[Razon Social],Clientes_Proveedores[Ruc / Dni]),2,0),"")</f>
        <v>10801606542</v>
      </c>
      <c r="X3216" s="25"/>
      <c r="Y3216" s="25"/>
      <c r="Z3216" s="25"/>
      <c r="AA3216" s="101"/>
      <c r="AB3216" s="3" t="str">
        <f>IF(BCP_Soles[[#This Row],[FECHA]]&gt;0,TEXT(BCP_Soles[[#This Row],[FECHA]],"mmmm"),0)</f>
        <v>Agosto</v>
      </c>
    </row>
    <row r="3217" spans="2:28" ht="36" x14ac:dyDescent="0.3">
      <c r="B3217" s="2" t="str">
        <f>IF(BCP_Soles[[#This Row],[TIPO DE R.]]="R",COUNTIFS($D$4:$D3216,"R")+1,"")</f>
        <v/>
      </c>
      <c r="C3217" s="19" t="str">
        <f t="shared" si="250"/>
        <v>B-BCP - Soles</v>
      </c>
      <c r="D3217" s="3" t="s">
        <v>1101</v>
      </c>
      <c r="E3217" s="14">
        <v>45883</v>
      </c>
      <c r="F3217" s="5" t="s">
        <v>1082</v>
      </c>
      <c r="G3217" s="5"/>
      <c r="H3217" s="6" t="s">
        <v>61</v>
      </c>
      <c r="I3217" s="6" t="s">
        <v>14</v>
      </c>
      <c r="J3217" s="6" t="s">
        <v>1121</v>
      </c>
      <c r="K3217" s="6">
        <v>535</v>
      </c>
      <c r="L3217" s="7" t="s">
        <v>3905</v>
      </c>
      <c r="M3217" s="8">
        <v>1929985</v>
      </c>
      <c r="N3217" s="8" t="str">
        <f t="shared" si="251"/>
        <v>PEN</v>
      </c>
      <c r="O3217" s="13">
        <v>453</v>
      </c>
      <c r="P3217" s="13"/>
      <c r="Q3217" s="3">
        <f t="shared" si="252"/>
        <v>0</v>
      </c>
      <c r="R3217" s="3">
        <f t="shared" si="253"/>
        <v>0</v>
      </c>
      <c r="S3217" s="3">
        <f t="shared" si="254"/>
        <v>12911.609999999973</v>
      </c>
      <c r="T3217" s="24" t="s">
        <v>1081</v>
      </c>
      <c r="U3217" s="24" t="s">
        <v>1081</v>
      </c>
      <c r="V3217" s="70" t="s">
        <v>3906</v>
      </c>
      <c r="W3217" s="25">
        <f>IFERROR(VLOOKUP(BCP_Soles[[#This Row],[DESTINATARIO]],CHOOSE({1,2},Clientes_Proveedores[Razon Social],Clientes_Proveedores[Ruc / Dni]),2,0),"")</f>
        <v>10295492908</v>
      </c>
      <c r="X3217" s="25"/>
      <c r="Y3217" s="25"/>
      <c r="Z3217" s="25"/>
      <c r="AA3217" s="101"/>
      <c r="AB3217" s="3" t="str">
        <f>IF(BCP_Soles[[#This Row],[FECHA]]&gt;0,TEXT(BCP_Soles[[#This Row],[FECHA]],"mmmm"),0)</f>
        <v>Agosto</v>
      </c>
    </row>
    <row r="3218" spans="2:28" x14ac:dyDescent="0.3">
      <c r="B3218" s="2">
        <f>IF(BCP_Soles[[#This Row],[TIPO DE R.]]="R",COUNTIFS($D$4:$D3217,"R")+1,"")</f>
        <v>2221</v>
      </c>
      <c r="C3218" s="19" t="str">
        <f t="shared" si="250"/>
        <v>B-BCP - Soles</v>
      </c>
      <c r="D3218" s="3" t="s">
        <v>1074</v>
      </c>
      <c r="E3218" s="14">
        <v>45883</v>
      </c>
      <c r="F3218" s="5" t="s">
        <v>1082</v>
      </c>
      <c r="G3218" s="5" t="s">
        <v>1079</v>
      </c>
      <c r="H3218" s="6" t="s">
        <v>637</v>
      </c>
      <c r="I3218" s="6"/>
      <c r="J3218" s="6"/>
      <c r="K3218" s="6"/>
      <c r="L3218" s="7" t="s">
        <v>3907</v>
      </c>
      <c r="M3218" s="8">
        <v>239747</v>
      </c>
      <c r="N3218" s="8" t="str">
        <f t="shared" si="251"/>
        <v>PEN</v>
      </c>
      <c r="O3218" s="13"/>
      <c r="P3218" s="13">
        <v>2989.51</v>
      </c>
      <c r="Q3218" s="3">
        <f t="shared" si="252"/>
        <v>0</v>
      </c>
      <c r="R3218" s="3">
        <f t="shared" si="253"/>
        <v>2989.51</v>
      </c>
      <c r="S3218" s="3">
        <f t="shared" si="254"/>
        <v>9922.0999999999731</v>
      </c>
      <c r="T3218" s="24" t="s">
        <v>1081</v>
      </c>
      <c r="U3218" s="24" t="s">
        <v>1081</v>
      </c>
      <c r="V3218" s="70" t="s">
        <v>3908</v>
      </c>
      <c r="W3218" s="25">
        <f>IFERROR(VLOOKUP(BCP_Soles[[#This Row],[DESTINATARIO]],CHOOSE({1,2},Clientes_Proveedores[Razon Social],Clientes_Proveedores[Ruc / Dni]),2,0),"")</f>
        <v>20127765279</v>
      </c>
      <c r="X3218" s="25"/>
      <c r="Y3218" s="25"/>
      <c r="Z3218" s="25"/>
      <c r="AA3218" s="101"/>
      <c r="AB3218" s="3" t="str">
        <f>IF(BCP_Soles[[#This Row],[FECHA]]&gt;0,TEXT(BCP_Soles[[#This Row],[FECHA]],"mmmm"),0)</f>
        <v>Agosto</v>
      </c>
    </row>
    <row r="3219" spans="2:28" x14ac:dyDescent="0.3">
      <c r="B3219" s="2" t="str">
        <f>IF(BCP_Soles[[#This Row],[TIPO DE R.]]="R",COUNTIFS($D$4:$D3218,"R")+1,"")</f>
        <v/>
      </c>
      <c r="C3219" s="19" t="str">
        <f t="shared" si="250"/>
        <v>B-BCP - Soles</v>
      </c>
      <c r="D3219" s="3" t="s">
        <v>1101</v>
      </c>
      <c r="E3219" s="14">
        <v>45883</v>
      </c>
      <c r="F3219" s="5" t="s">
        <v>1082</v>
      </c>
      <c r="G3219" s="5"/>
      <c r="H3219" s="6" t="s">
        <v>637</v>
      </c>
      <c r="I3219" s="6" t="s">
        <v>14</v>
      </c>
      <c r="J3219" s="6" t="s">
        <v>1122</v>
      </c>
      <c r="K3219" s="6">
        <v>177226</v>
      </c>
      <c r="L3219" s="7" t="s">
        <v>3907</v>
      </c>
      <c r="M3219" s="8">
        <v>239747</v>
      </c>
      <c r="N3219" s="8" t="str">
        <f t="shared" si="251"/>
        <v>PEN</v>
      </c>
      <c r="O3219" s="13">
        <v>1134.47</v>
      </c>
      <c r="P3219" s="13"/>
      <c r="Q3219" s="3">
        <f t="shared" si="252"/>
        <v>0</v>
      </c>
      <c r="R3219" s="3">
        <f t="shared" si="253"/>
        <v>0</v>
      </c>
      <c r="S3219" s="3">
        <f t="shared" si="254"/>
        <v>9922.0999999999731</v>
      </c>
      <c r="T3219" s="24" t="s">
        <v>1081</v>
      </c>
      <c r="U3219" s="24" t="s">
        <v>1081</v>
      </c>
      <c r="V3219" s="70"/>
      <c r="W3219" s="25">
        <f>IFERROR(VLOOKUP(BCP_Soles[[#This Row],[DESTINATARIO]],CHOOSE({1,2},Clientes_Proveedores[Razon Social],Clientes_Proveedores[Ruc / Dni]),2,0),"")</f>
        <v>20127765279</v>
      </c>
      <c r="X3219" s="25"/>
      <c r="Y3219" s="25"/>
      <c r="Z3219" s="25"/>
      <c r="AA3219" s="101"/>
      <c r="AB3219" s="3" t="str">
        <f>IF(BCP_Soles[[#This Row],[FECHA]]&gt;0,TEXT(BCP_Soles[[#This Row],[FECHA]],"mmmm"),0)</f>
        <v>Agosto</v>
      </c>
    </row>
    <row r="3220" spans="2:28" x14ac:dyDescent="0.3">
      <c r="B3220" s="2" t="str">
        <f>IF(BCP_Soles[[#This Row],[TIPO DE R.]]="R",COUNTIFS($D$4:$D3219,"R")+1,"")</f>
        <v/>
      </c>
      <c r="C3220" s="19" t="str">
        <f t="shared" si="250"/>
        <v>B-BCP - Soles</v>
      </c>
      <c r="D3220" s="3" t="s">
        <v>1101</v>
      </c>
      <c r="E3220" s="14">
        <v>45883</v>
      </c>
      <c r="F3220" s="5" t="s">
        <v>1082</v>
      </c>
      <c r="G3220" s="5"/>
      <c r="H3220" s="6" t="s">
        <v>637</v>
      </c>
      <c r="I3220" s="6" t="s">
        <v>14</v>
      </c>
      <c r="J3220" s="6" t="s">
        <v>1122</v>
      </c>
      <c r="K3220" s="6">
        <v>177266</v>
      </c>
      <c r="L3220" s="7" t="s">
        <v>3907</v>
      </c>
      <c r="M3220" s="8">
        <v>239747</v>
      </c>
      <c r="N3220" s="8" t="str">
        <f t="shared" si="251"/>
        <v>PEN</v>
      </c>
      <c r="O3220" s="13">
        <v>1855.04</v>
      </c>
      <c r="P3220" s="13"/>
      <c r="Q3220" s="3">
        <f t="shared" si="252"/>
        <v>0</v>
      </c>
      <c r="R3220" s="3">
        <f t="shared" si="253"/>
        <v>0</v>
      </c>
      <c r="S3220" s="3">
        <f t="shared" si="254"/>
        <v>9922.0999999999731</v>
      </c>
      <c r="T3220" s="24" t="s">
        <v>1081</v>
      </c>
      <c r="U3220" s="24" t="s">
        <v>1081</v>
      </c>
      <c r="V3220" s="70"/>
      <c r="W3220" s="25">
        <f>IFERROR(VLOOKUP(BCP_Soles[[#This Row],[DESTINATARIO]],CHOOSE({1,2},Clientes_Proveedores[Razon Social],Clientes_Proveedores[Ruc / Dni]),2,0),"")</f>
        <v>20127765279</v>
      </c>
      <c r="X3220" s="25"/>
      <c r="Y3220" s="25"/>
      <c r="Z3220" s="25"/>
      <c r="AA3220" s="101"/>
      <c r="AB3220" s="3" t="str">
        <f>IF(BCP_Soles[[#This Row],[FECHA]]&gt;0,TEXT(BCP_Soles[[#This Row],[FECHA]],"mmmm"),0)</f>
        <v>Agosto</v>
      </c>
    </row>
    <row r="3221" spans="2:28" x14ac:dyDescent="0.3">
      <c r="B3221" s="2">
        <f>IF(BCP_Soles[[#This Row],[TIPO DE R.]]="R",COUNTIFS($D$4:$D3220,"R")+1,"")</f>
        <v>2222</v>
      </c>
      <c r="C3221" s="19" t="str">
        <f t="shared" si="250"/>
        <v>B-BCP - Soles</v>
      </c>
      <c r="D3221" s="3" t="s">
        <v>1074</v>
      </c>
      <c r="E3221" s="14">
        <v>45883</v>
      </c>
      <c r="F3221" s="5" t="s">
        <v>1082</v>
      </c>
      <c r="G3221" s="5" t="s">
        <v>1079</v>
      </c>
      <c r="H3221" s="6" t="s">
        <v>368</v>
      </c>
      <c r="I3221" s="6"/>
      <c r="J3221" s="6"/>
      <c r="K3221" s="6"/>
      <c r="L3221" s="7" t="s">
        <v>3909</v>
      </c>
      <c r="M3221" s="8">
        <v>1237723</v>
      </c>
      <c r="N3221" s="8" t="str">
        <f t="shared" si="251"/>
        <v>PEN</v>
      </c>
      <c r="O3221" s="13"/>
      <c r="P3221" s="13">
        <v>2000</v>
      </c>
      <c r="Q3221" s="3">
        <f t="shared" si="252"/>
        <v>0</v>
      </c>
      <c r="R3221" s="3">
        <f t="shared" si="253"/>
        <v>2000</v>
      </c>
      <c r="S3221" s="3">
        <f t="shared" si="254"/>
        <v>7922.0999999999731</v>
      </c>
      <c r="T3221" s="24"/>
      <c r="U3221" s="24"/>
      <c r="V3221" s="70" t="s">
        <v>3908</v>
      </c>
      <c r="W3221" s="25">
        <f>IFERROR(VLOOKUP(BCP_Soles[[#This Row],[DESTINATARIO]],CHOOSE({1,2},Clientes_Proveedores[Razon Social],Clientes_Proveedores[Ruc / Dni]),2,0),"")</f>
        <v>20558226979</v>
      </c>
      <c r="X3221" s="25"/>
      <c r="Y3221" s="25"/>
      <c r="Z3221" s="25"/>
      <c r="AA3221" s="101"/>
      <c r="AB3221" s="3" t="str">
        <f>IF(BCP_Soles[[#This Row],[FECHA]]&gt;0,TEXT(BCP_Soles[[#This Row],[FECHA]],"mmmm"),0)</f>
        <v>Agosto</v>
      </c>
    </row>
    <row r="3222" spans="2:28" ht="24" x14ac:dyDescent="0.3">
      <c r="B3222" s="2">
        <f>IF(BCP_Soles[[#This Row],[TIPO DE R.]]="R",COUNTIFS($D$4:$D3221,"R")+1,"")</f>
        <v>2223</v>
      </c>
      <c r="C3222" s="19" t="str">
        <f t="shared" si="250"/>
        <v>B-BCP - Soles</v>
      </c>
      <c r="D3222" s="3" t="s">
        <v>1074</v>
      </c>
      <c r="E3222" s="14">
        <v>45883</v>
      </c>
      <c r="F3222" s="5" t="s">
        <v>1082</v>
      </c>
      <c r="G3222" s="5" t="s">
        <v>1079</v>
      </c>
      <c r="H3222" s="6" t="s">
        <v>829</v>
      </c>
      <c r="I3222" s="6" t="s">
        <v>91</v>
      </c>
      <c r="J3222" s="6">
        <v>13</v>
      </c>
      <c r="K3222" s="6">
        <v>34</v>
      </c>
      <c r="L3222" s="7" t="s">
        <v>3910</v>
      </c>
      <c r="M3222" s="8">
        <v>1239243</v>
      </c>
      <c r="N3222" s="8" t="str">
        <f t="shared" si="251"/>
        <v>PEN</v>
      </c>
      <c r="O3222" s="13"/>
      <c r="P3222" s="13">
        <v>1165</v>
      </c>
      <c r="Q3222" s="3">
        <f t="shared" si="252"/>
        <v>0</v>
      </c>
      <c r="R3222" s="3">
        <f t="shared" si="253"/>
        <v>1165</v>
      </c>
      <c r="S3222" s="3">
        <f t="shared" si="254"/>
        <v>6757.0999999999731</v>
      </c>
      <c r="T3222" s="24" t="s">
        <v>1081</v>
      </c>
      <c r="U3222" s="24"/>
      <c r="V3222" s="70" t="s">
        <v>3911</v>
      </c>
      <c r="W3222" s="25">
        <f>IFERROR(VLOOKUP(BCP_Soles[[#This Row],[DESTINATARIO]],CHOOSE({1,2},Clientes_Proveedores[Razon Social],Clientes_Proveedores[Ruc / Dni]),2,0),"")</f>
        <v>47461440</v>
      </c>
      <c r="X3222" s="25"/>
      <c r="Y3222" s="25"/>
      <c r="Z3222" s="25"/>
      <c r="AA3222" s="101"/>
      <c r="AB3222" s="3" t="str">
        <f>IF(BCP_Soles[[#This Row],[FECHA]]&gt;0,TEXT(BCP_Soles[[#This Row],[FECHA]],"mmmm"),0)</f>
        <v>Agosto</v>
      </c>
    </row>
    <row r="3223" spans="2:28" ht="24" x14ac:dyDescent="0.3">
      <c r="B3223" s="2">
        <f>IF(BCP_Soles[[#This Row],[TIPO DE R.]]="R",COUNTIFS($D$4:$D3222,"R")+1,"")</f>
        <v>2224</v>
      </c>
      <c r="C3223" s="19" t="str">
        <f t="shared" si="250"/>
        <v>B-BCP - Soles</v>
      </c>
      <c r="D3223" s="3" t="s">
        <v>1074</v>
      </c>
      <c r="E3223" s="14">
        <v>45883</v>
      </c>
      <c r="F3223" s="5" t="s">
        <v>1082</v>
      </c>
      <c r="G3223" s="5" t="s">
        <v>1079</v>
      </c>
      <c r="H3223" s="6" t="s">
        <v>1007</v>
      </c>
      <c r="I3223" s="6" t="s">
        <v>14</v>
      </c>
      <c r="J3223" s="6" t="s">
        <v>1121</v>
      </c>
      <c r="K3223" s="6">
        <v>179</v>
      </c>
      <c r="L3223" s="7" t="s">
        <v>3912</v>
      </c>
      <c r="M3223" s="8">
        <v>1238763</v>
      </c>
      <c r="N3223" s="8" t="str">
        <f t="shared" si="251"/>
        <v>PEN</v>
      </c>
      <c r="O3223" s="13"/>
      <c r="P3223" s="13">
        <v>90</v>
      </c>
      <c r="Q3223" s="3">
        <f t="shared" si="252"/>
        <v>0</v>
      </c>
      <c r="R3223" s="3">
        <f t="shared" si="253"/>
        <v>90</v>
      </c>
      <c r="S3223" s="3">
        <f t="shared" si="254"/>
        <v>6667.0999999999731</v>
      </c>
      <c r="T3223" s="24" t="s">
        <v>1081</v>
      </c>
      <c r="U3223" s="24" t="s">
        <v>1081</v>
      </c>
      <c r="V3223" s="70" t="s">
        <v>3913</v>
      </c>
      <c r="W3223" s="25">
        <f>IFERROR(VLOOKUP(BCP_Soles[[#This Row],[DESTINATARIO]],CHOOSE({1,2},Clientes_Proveedores[Razon Social],Clientes_Proveedores[Ruc / Dni]),2,0),"")</f>
        <v>10721906774</v>
      </c>
      <c r="X3223" s="25"/>
      <c r="Y3223" s="25"/>
      <c r="Z3223" s="25"/>
      <c r="AA3223" s="101"/>
      <c r="AB3223" s="3" t="str">
        <f>IF(BCP_Soles[[#This Row],[FECHA]]&gt;0,TEXT(BCP_Soles[[#This Row],[FECHA]],"mmmm"),0)</f>
        <v>Agosto</v>
      </c>
    </row>
    <row r="3224" spans="2:28" x14ac:dyDescent="0.3">
      <c r="B3224" s="2">
        <f>IF(BCP_Soles[[#This Row],[TIPO DE R.]]="R",COUNTIFS($D$4:$D3223,"R")+1,"")</f>
        <v>2225</v>
      </c>
      <c r="C3224" s="19" t="str">
        <f t="shared" si="250"/>
        <v>B-BCP - Soles</v>
      </c>
      <c r="D3224" s="13" t="s">
        <v>1074</v>
      </c>
      <c r="E3224" s="14">
        <v>45883</v>
      </c>
      <c r="F3224" s="5" t="s">
        <v>1078</v>
      </c>
      <c r="G3224" s="5" t="s">
        <v>1079</v>
      </c>
      <c r="H3224" s="6"/>
      <c r="I3224" s="6"/>
      <c r="J3224" s="6"/>
      <c r="K3224" s="6"/>
      <c r="L3224" s="7" t="s">
        <v>2868</v>
      </c>
      <c r="M3224" s="8"/>
      <c r="N3224" s="8" t="str">
        <f t="shared" si="251"/>
        <v>PEN</v>
      </c>
      <c r="O3224" s="13"/>
      <c r="P3224" s="13">
        <v>0.2</v>
      </c>
      <c r="Q3224" s="3">
        <f t="shared" si="252"/>
        <v>0</v>
      </c>
      <c r="R3224" s="3">
        <f t="shared" si="253"/>
        <v>0.2</v>
      </c>
      <c r="S3224" s="3">
        <f t="shared" si="254"/>
        <v>6666.8999999999733</v>
      </c>
      <c r="T3224" s="24"/>
      <c r="U3224" s="24"/>
      <c r="V3224" s="69"/>
      <c r="W3224" s="25" t="str">
        <f>IFERROR(VLOOKUP(BCP_Soles[[#This Row],[DESTINATARIO]],CHOOSE({1,2},Clientes_Proveedores[Razon Social],Clientes_Proveedores[Ruc / Dni]),2,0),"")</f>
        <v/>
      </c>
      <c r="X3224" s="25"/>
      <c r="Y3224" s="25"/>
      <c r="Z3224" s="25"/>
      <c r="AA3224" s="101"/>
      <c r="AB3224" s="3" t="str">
        <f>IF(BCP_Soles[[#This Row],[FECHA]]&gt;0,TEXT(BCP_Soles[[#This Row],[FECHA]],"mmmm"),0)</f>
        <v>Agosto</v>
      </c>
    </row>
    <row r="3225" spans="2:28" ht="24" x14ac:dyDescent="0.3">
      <c r="B3225" s="2">
        <f>IF(BCP_Soles[[#This Row],[TIPO DE R.]]="R",COUNTIFS($D$4:$D3224,"R")+1,"")</f>
        <v>2226</v>
      </c>
      <c r="C3225" s="19" t="str">
        <f t="shared" si="250"/>
        <v>B-BCP - Soles</v>
      </c>
      <c r="D3225" s="3" t="s">
        <v>1074</v>
      </c>
      <c r="E3225" s="14">
        <v>45884</v>
      </c>
      <c r="F3225" s="5" t="s">
        <v>1082</v>
      </c>
      <c r="G3225" s="5" t="s">
        <v>1079</v>
      </c>
      <c r="H3225" s="6" t="s">
        <v>1001</v>
      </c>
      <c r="I3225" s="6" t="s">
        <v>14</v>
      </c>
      <c r="J3225" s="6" t="s">
        <v>3128</v>
      </c>
      <c r="K3225" s="6">
        <v>35928154</v>
      </c>
      <c r="L3225" s="7" t="s">
        <v>3914</v>
      </c>
      <c r="M3225" s="8">
        <v>960888</v>
      </c>
      <c r="N3225" s="8" t="str">
        <f t="shared" si="251"/>
        <v>PEN</v>
      </c>
      <c r="O3225" s="13"/>
      <c r="P3225" s="13">
        <v>10</v>
      </c>
      <c r="Q3225" s="3">
        <f t="shared" si="252"/>
        <v>0</v>
      </c>
      <c r="R3225" s="3">
        <f t="shared" si="253"/>
        <v>10</v>
      </c>
      <c r="S3225" s="3">
        <f t="shared" si="254"/>
        <v>6656.8999999999733</v>
      </c>
      <c r="T3225" s="24" t="s">
        <v>1081</v>
      </c>
      <c r="U3225" s="24" t="s">
        <v>1081</v>
      </c>
      <c r="V3225" s="70"/>
      <c r="W3225" s="25">
        <f>IFERROR(VLOOKUP(BCP_Soles[[#This Row],[DESTINATARIO]],CHOOSE({1,2},Clientes_Proveedores[Razon Social],Clientes_Proveedores[Ruc / Dni]),2,0),"")</f>
        <v>20100047218</v>
      </c>
      <c r="X3225" s="25"/>
      <c r="Y3225" s="25"/>
      <c r="Z3225" s="25"/>
      <c r="AA3225" s="101"/>
      <c r="AB3225" s="3" t="str">
        <f>IF(BCP_Soles[[#This Row],[FECHA]]&gt;0,TEXT(BCP_Soles[[#This Row],[FECHA]],"mmmm"),0)</f>
        <v>Agosto</v>
      </c>
    </row>
    <row r="3226" spans="2:28" ht="24" x14ac:dyDescent="0.3">
      <c r="B3226" s="2">
        <f>IF(BCP_Soles[[#This Row],[TIPO DE R.]]="R",COUNTIFS($D$4:$D3225,"R")+1,"")</f>
        <v>2227</v>
      </c>
      <c r="C3226" s="19" t="str">
        <f t="shared" si="250"/>
        <v>B-BCP - Soles</v>
      </c>
      <c r="D3226" s="3" t="s">
        <v>1074</v>
      </c>
      <c r="E3226" s="14">
        <v>45887</v>
      </c>
      <c r="F3226" s="5" t="s">
        <v>587</v>
      </c>
      <c r="G3226" s="5" t="s">
        <v>1087</v>
      </c>
      <c r="H3226" s="6" t="s">
        <v>368</v>
      </c>
      <c r="I3226" s="6" t="s">
        <v>14</v>
      </c>
      <c r="J3226" s="6" t="s">
        <v>3010</v>
      </c>
      <c r="K3226" s="6">
        <v>108</v>
      </c>
      <c r="L3226" s="7" t="s">
        <v>2120</v>
      </c>
      <c r="M3226" s="8">
        <v>2207484</v>
      </c>
      <c r="N3226" s="8" t="str">
        <f t="shared" si="251"/>
        <v>PEN</v>
      </c>
      <c r="O3226" s="13"/>
      <c r="P3226" s="13">
        <v>14100</v>
      </c>
      <c r="Q3226" s="3">
        <f t="shared" si="252"/>
        <v>14100</v>
      </c>
      <c r="R3226" s="3">
        <f t="shared" si="253"/>
        <v>0</v>
      </c>
      <c r="S3226" s="3">
        <f t="shared" si="254"/>
        <v>20756.899999999972</v>
      </c>
      <c r="T3226" s="24" t="s">
        <v>1081</v>
      </c>
      <c r="U3226" s="24" t="s">
        <v>1081</v>
      </c>
      <c r="V3226" s="70"/>
      <c r="W3226" s="25">
        <f>IFERROR(VLOOKUP(BCP_Soles[[#This Row],[DESTINATARIO]],CHOOSE({1,2},Clientes_Proveedores[Razon Social],Clientes_Proveedores[Ruc / Dni]),2,0),"")</f>
        <v>20558226979</v>
      </c>
      <c r="X3226" s="25"/>
      <c r="Y3226" s="25"/>
      <c r="Z3226" s="25"/>
      <c r="AA3226" s="101"/>
      <c r="AB3226" s="3" t="str">
        <f>IF(BCP_Soles[[#This Row],[FECHA]]&gt;0,TEXT(BCP_Soles[[#This Row],[FECHA]],"mmmm"),0)</f>
        <v>Agosto</v>
      </c>
    </row>
    <row r="3227" spans="2:28" x14ac:dyDescent="0.3">
      <c r="B3227" s="2">
        <f>IF(BCP_Soles[[#This Row],[TIPO DE R.]]="R",COUNTIFS($D$4:$D3226,"R")+1,"")</f>
        <v>2228</v>
      </c>
      <c r="C3227" s="19" t="str">
        <f t="shared" si="250"/>
        <v>B-BCP - Soles</v>
      </c>
      <c r="D3227" s="13" t="s">
        <v>1074</v>
      </c>
      <c r="E3227" s="14">
        <v>45887</v>
      </c>
      <c r="F3227" s="5"/>
      <c r="G3227" s="5" t="s">
        <v>1087</v>
      </c>
      <c r="H3227" s="6" t="s">
        <v>368</v>
      </c>
      <c r="I3227" s="6"/>
      <c r="J3227" s="6"/>
      <c r="K3227" s="6"/>
      <c r="L3227" s="7" t="s">
        <v>3915</v>
      </c>
      <c r="M3227" s="8">
        <v>2234054</v>
      </c>
      <c r="N3227" s="8" t="str">
        <f t="shared" si="251"/>
        <v>PEN</v>
      </c>
      <c r="O3227" s="13"/>
      <c r="P3227" s="13">
        <v>1051.97</v>
      </c>
      <c r="Q3227" s="3">
        <f t="shared" si="252"/>
        <v>1051.97</v>
      </c>
      <c r="R3227" s="3">
        <f t="shared" si="253"/>
        <v>0</v>
      </c>
      <c r="S3227" s="3">
        <f t="shared" si="254"/>
        <v>21808.869999999974</v>
      </c>
      <c r="T3227" s="24"/>
      <c r="U3227" s="24"/>
      <c r="V3227" s="69"/>
      <c r="W3227" s="25">
        <f>IFERROR(VLOOKUP(BCP_Soles[[#This Row],[DESTINATARIO]],CHOOSE({1,2},Clientes_Proveedores[Razon Social],Clientes_Proveedores[Ruc / Dni]),2,0),"")</f>
        <v>20558226979</v>
      </c>
      <c r="X3227" s="25"/>
      <c r="Y3227" s="25"/>
      <c r="Z3227" s="25"/>
      <c r="AA3227" s="101"/>
      <c r="AB3227" s="3" t="str">
        <f>IF(BCP_Soles[[#This Row],[FECHA]]&gt;0,TEXT(BCP_Soles[[#This Row],[FECHA]],"mmmm"),0)</f>
        <v>Agosto</v>
      </c>
    </row>
    <row r="3228" spans="2:28" ht="24" x14ac:dyDescent="0.3">
      <c r="B3228" s="2">
        <f>IF(BCP_Soles[[#This Row],[TIPO DE R.]]="R",COUNTIFS($D$4:$D3227,"R")+1,"")</f>
        <v>2229</v>
      </c>
      <c r="C3228" s="19" t="str">
        <f t="shared" si="250"/>
        <v>B-BCP - Soles</v>
      </c>
      <c r="D3228" s="13" t="s">
        <v>1074</v>
      </c>
      <c r="E3228" s="14">
        <v>45887</v>
      </c>
      <c r="F3228" s="5" t="s">
        <v>1082</v>
      </c>
      <c r="G3228" s="5" t="s">
        <v>1079</v>
      </c>
      <c r="H3228" s="6" t="s">
        <v>850</v>
      </c>
      <c r="I3228" s="6"/>
      <c r="J3228" s="6"/>
      <c r="K3228" s="6"/>
      <c r="L3228" s="7" t="s">
        <v>3916</v>
      </c>
      <c r="M3228" s="8">
        <v>1097151</v>
      </c>
      <c r="N3228" s="8" t="str">
        <f t="shared" si="251"/>
        <v>PEN</v>
      </c>
      <c r="O3228" s="13"/>
      <c r="P3228" s="13">
        <v>400</v>
      </c>
      <c r="Q3228" s="3">
        <f t="shared" si="252"/>
        <v>0</v>
      </c>
      <c r="R3228" s="3">
        <f t="shared" si="253"/>
        <v>400</v>
      </c>
      <c r="S3228" s="3">
        <f t="shared" si="254"/>
        <v>21408.869999999974</v>
      </c>
      <c r="T3228" s="24"/>
      <c r="U3228" s="24"/>
      <c r="V3228" s="70" t="s">
        <v>3917</v>
      </c>
      <c r="W3228" s="25">
        <f>IFERROR(VLOOKUP(BCP_Soles[[#This Row],[DESTINATARIO]],CHOOSE({1,2},Clientes_Proveedores[Razon Social],Clientes_Proveedores[Ruc / Dni]),2,0),"")</f>
        <v>44314304</v>
      </c>
      <c r="X3228" s="25"/>
      <c r="Y3228" s="25"/>
      <c r="Z3228" s="25"/>
      <c r="AA3228" s="101"/>
      <c r="AB3228" s="3" t="str">
        <f>IF(BCP_Soles[[#This Row],[FECHA]]&gt;0,TEXT(BCP_Soles[[#This Row],[FECHA]],"mmmm"),0)</f>
        <v>Agosto</v>
      </c>
    </row>
    <row r="3229" spans="2:28" ht="24" x14ac:dyDescent="0.3">
      <c r="B3229" s="2">
        <f>IF(BCP_Soles[[#This Row],[TIPO DE R.]]="R",COUNTIFS($D$4:$D3228,"R")+1,"")</f>
        <v>2230</v>
      </c>
      <c r="C3229" s="19" t="str">
        <f t="shared" si="250"/>
        <v>B-BCP - Soles</v>
      </c>
      <c r="D3229" s="13" t="s">
        <v>1074</v>
      </c>
      <c r="E3229" s="14">
        <v>45887</v>
      </c>
      <c r="F3229" s="5" t="s">
        <v>1082</v>
      </c>
      <c r="G3229" s="5" t="s">
        <v>1079</v>
      </c>
      <c r="H3229" s="6" t="s">
        <v>798</v>
      </c>
      <c r="I3229" s="6"/>
      <c r="J3229" s="6"/>
      <c r="K3229" s="6"/>
      <c r="L3229" s="7" t="s">
        <v>3916</v>
      </c>
      <c r="M3229" s="8">
        <v>1099619</v>
      </c>
      <c r="N3229" s="8" t="str">
        <f t="shared" si="251"/>
        <v>PEN</v>
      </c>
      <c r="O3229" s="13"/>
      <c r="P3229" s="13">
        <v>250</v>
      </c>
      <c r="Q3229" s="3">
        <f t="shared" si="252"/>
        <v>0</v>
      </c>
      <c r="R3229" s="3">
        <f t="shared" si="253"/>
        <v>250</v>
      </c>
      <c r="S3229" s="3">
        <f t="shared" si="254"/>
        <v>21158.869999999974</v>
      </c>
      <c r="T3229" s="24"/>
      <c r="U3229" s="24"/>
      <c r="V3229" s="70" t="s">
        <v>3918</v>
      </c>
      <c r="W3229" s="25">
        <f>IFERROR(VLOOKUP(BCP_Soles[[#This Row],[DESTINATARIO]],CHOOSE({1,2},Clientes_Proveedores[Razon Social],Clientes_Proveedores[Ruc / Dni]),2,0),"")</f>
        <v>70666331</v>
      </c>
      <c r="X3229" s="25"/>
      <c r="Y3229" s="25"/>
      <c r="Z3229" s="25"/>
      <c r="AA3229" s="101"/>
      <c r="AB3229" s="3" t="str">
        <f>IF(BCP_Soles[[#This Row],[FECHA]]&gt;0,TEXT(BCP_Soles[[#This Row],[FECHA]],"mmmm"),0)</f>
        <v>Agosto</v>
      </c>
    </row>
    <row r="3230" spans="2:28" ht="24" x14ac:dyDescent="0.3">
      <c r="B3230" s="2">
        <f>IF(BCP_Soles[[#This Row],[TIPO DE R.]]="R",COUNTIFS($D$4:$D3229,"R")+1,"")</f>
        <v>2231</v>
      </c>
      <c r="C3230" s="19" t="str">
        <f t="shared" si="250"/>
        <v>B-BCP - Soles</v>
      </c>
      <c r="D3230" s="13" t="s">
        <v>1074</v>
      </c>
      <c r="E3230" s="14">
        <v>45887</v>
      </c>
      <c r="F3230" s="5" t="s">
        <v>1082</v>
      </c>
      <c r="G3230" s="5" t="s">
        <v>1079</v>
      </c>
      <c r="H3230" s="6" t="s">
        <v>807</v>
      </c>
      <c r="I3230" s="6"/>
      <c r="J3230" s="6"/>
      <c r="K3230" s="6"/>
      <c r="L3230" s="7" t="s">
        <v>3919</v>
      </c>
      <c r="M3230" s="8">
        <v>1099128</v>
      </c>
      <c r="N3230" s="8" t="str">
        <f t="shared" si="251"/>
        <v>PEN</v>
      </c>
      <c r="O3230" s="13"/>
      <c r="P3230" s="13">
        <v>200</v>
      </c>
      <c r="Q3230" s="3">
        <f t="shared" si="252"/>
        <v>0</v>
      </c>
      <c r="R3230" s="3">
        <f t="shared" si="253"/>
        <v>200</v>
      </c>
      <c r="S3230" s="3">
        <f t="shared" si="254"/>
        <v>20958.869999999974</v>
      </c>
      <c r="T3230" s="24"/>
      <c r="U3230" s="24"/>
      <c r="V3230" s="70" t="s">
        <v>3920</v>
      </c>
      <c r="W3230" s="25">
        <f>IFERROR(VLOOKUP(BCP_Soles[[#This Row],[DESTINATARIO]],CHOOSE({1,2},Clientes_Proveedores[Razon Social],Clientes_Proveedores[Ruc / Dni]),2,0),"")</f>
        <v>45921913</v>
      </c>
      <c r="X3230" s="25"/>
      <c r="Y3230" s="25"/>
      <c r="Z3230" s="25"/>
      <c r="AA3230" s="101"/>
      <c r="AB3230" s="3" t="str">
        <f>IF(BCP_Soles[[#This Row],[FECHA]]&gt;0,TEXT(BCP_Soles[[#This Row],[FECHA]],"mmmm"),0)</f>
        <v>Agosto</v>
      </c>
    </row>
    <row r="3231" spans="2:28" ht="24" x14ac:dyDescent="0.3">
      <c r="B3231" s="2">
        <f>IF(BCP_Soles[[#This Row],[TIPO DE R.]]="R",COUNTIFS($D$4:$D3230,"R")+1,"")</f>
        <v>2232</v>
      </c>
      <c r="C3231" s="19" t="str">
        <f t="shared" si="250"/>
        <v>B-BCP - Soles</v>
      </c>
      <c r="D3231" s="13" t="s">
        <v>1074</v>
      </c>
      <c r="E3231" s="14">
        <v>45887</v>
      </c>
      <c r="F3231" s="5" t="s">
        <v>1082</v>
      </c>
      <c r="G3231" s="5" t="s">
        <v>1079</v>
      </c>
      <c r="H3231" s="6" t="s">
        <v>814</v>
      </c>
      <c r="I3231" s="6"/>
      <c r="J3231" s="6"/>
      <c r="K3231" s="6"/>
      <c r="L3231" s="7" t="s">
        <v>3916</v>
      </c>
      <c r="M3231" s="8">
        <v>1097152</v>
      </c>
      <c r="N3231" s="8" t="str">
        <f t="shared" si="251"/>
        <v>PEN</v>
      </c>
      <c r="O3231" s="13"/>
      <c r="P3231" s="13">
        <v>150</v>
      </c>
      <c r="Q3231" s="3">
        <f t="shared" si="252"/>
        <v>0</v>
      </c>
      <c r="R3231" s="3">
        <f t="shared" si="253"/>
        <v>150</v>
      </c>
      <c r="S3231" s="3">
        <f t="shared" si="254"/>
        <v>20808.869999999974</v>
      </c>
      <c r="T3231" s="24"/>
      <c r="U3231" s="24"/>
      <c r="V3231" s="70" t="s">
        <v>3921</v>
      </c>
      <c r="W3231" s="25">
        <f>IFERROR(VLOOKUP(BCP_Soles[[#This Row],[DESTINATARIO]],CHOOSE({1,2},Clientes_Proveedores[Razon Social],Clientes_Proveedores[Ruc / Dni]),2,0),"")</f>
        <v>80355193</v>
      </c>
      <c r="X3231" s="25"/>
      <c r="Y3231" s="25"/>
      <c r="Z3231" s="25"/>
      <c r="AA3231" s="101"/>
      <c r="AB3231" s="3" t="str">
        <f>IF(BCP_Soles[[#This Row],[FECHA]]&gt;0,TEXT(BCP_Soles[[#This Row],[FECHA]],"mmmm"),0)</f>
        <v>Agosto</v>
      </c>
    </row>
    <row r="3232" spans="2:28" ht="24" x14ac:dyDescent="0.3">
      <c r="B3232" s="2">
        <f>IF(BCP_Soles[[#This Row],[TIPO DE R.]]="R",COUNTIFS($D$4:$D3231,"R")+1,"")</f>
        <v>2233</v>
      </c>
      <c r="C3232" s="19" t="str">
        <f t="shared" si="250"/>
        <v>B-BCP - Soles</v>
      </c>
      <c r="D3232" s="13" t="s">
        <v>1074</v>
      </c>
      <c r="E3232" s="14">
        <v>45887</v>
      </c>
      <c r="F3232" s="5" t="s">
        <v>1082</v>
      </c>
      <c r="G3232" s="5" t="s">
        <v>1079</v>
      </c>
      <c r="H3232" s="6" t="s">
        <v>731</v>
      </c>
      <c r="I3232" s="6" t="s">
        <v>87</v>
      </c>
      <c r="J3232" s="6">
        <v>1</v>
      </c>
      <c r="K3232" s="6">
        <v>572025</v>
      </c>
      <c r="L3232" s="7" t="s">
        <v>3922</v>
      </c>
      <c r="M3232" s="8">
        <v>1097649</v>
      </c>
      <c r="N3232" s="8" t="str">
        <f t="shared" si="251"/>
        <v>PEN</v>
      </c>
      <c r="O3232" s="13"/>
      <c r="P3232" s="13">
        <v>165</v>
      </c>
      <c r="Q3232" s="3">
        <f t="shared" si="252"/>
        <v>0</v>
      </c>
      <c r="R3232" s="3">
        <f t="shared" si="253"/>
        <v>165</v>
      </c>
      <c r="S3232" s="3">
        <f t="shared" si="254"/>
        <v>20643.869999999974</v>
      </c>
      <c r="T3232" s="24" t="s">
        <v>1081</v>
      </c>
      <c r="U3232" s="24" t="s">
        <v>1081</v>
      </c>
      <c r="V3232" s="70" t="s">
        <v>3923</v>
      </c>
      <c r="W3232" s="25">
        <f>IFERROR(VLOOKUP(BCP_Soles[[#This Row],[DESTINATARIO]],CHOOSE({1,2},Clientes_Proveedores[Razon Social],Clientes_Proveedores[Ruc / Dni]),2,0),"")</f>
        <v>72169020</v>
      </c>
      <c r="X3232" s="25"/>
      <c r="Y3232" s="25"/>
      <c r="Z3232" s="25"/>
      <c r="AA3232" s="101"/>
      <c r="AB3232" s="3" t="str">
        <f>IF(BCP_Soles[[#This Row],[FECHA]]&gt;0,TEXT(BCP_Soles[[#This Row],[FECHA]],"mmmm"),0)</f>
        <v>Agosto</v>
      </c>
    </row>
    <row r="3233" spans="2:28" x14ac:dyDescent="0.3">
      <c r="B3233" s="2">
        <f>IF(BCP_Soles[[#This Row],[TIPO DE R.]]="R",COUNTIFS($D$4:$D3232,"R")+1,"")</f>
        <v>2234</v>
      </c>
      <c r="C3233" s="19" t="str">
        <f t="shared" si="250"/>
        <v>B-BCP - Soles</v>
      </c>
      <c r="D3233" s="13" t="s">
        <v>1074</v>
      </c>
      <c r="E3233" s="14">
        <v>45887</v>
      </c>
      <c r="F3233" s="5" t="s">
        <v>1082</v>
      </c>
      <c r="G3233" s="5" t="s">
        <v>1079</v>
      </c>
      <c r="H3233" s="6" t="s">
        <v>517</v>
      </c>
      <c r="I3233" s="6"/>
      <c r="J3233" s="6"/>
      <c r="K3233" s="6"/>
      <c r="L3233" s="7" t="s">
        <v>3924</v>
      </c>
      <c r="M3233" s="8">
        <v>4010056</v>
      </c>
      <c r="N3233" s="8" t="str">
        <f t="shared" si="251"/>
        <v>PEN</v>
      </c>
      <c r="O3233" s="13"/>
      <c r="P3233" s="13">
        <v>600.5</v>
      </c>
      <c r="Q3233" s="3">
        <f t="shared" si="252"/>
        <v>0</v>
      </c>
      <c r="R3233" s="3">
        <f t="shared" si="253"/>
        <v>600.5</v>
      </c>
      <c r="S3233" s="3">
        <f t="shared" si="254"/>
        <v>20043.369999999974</v>
      </c>
      <c r="T3233" s="24" t="s">
        <v>1081</v>
      </c>
      <c r="U3233" s="24"/>
      <c r="V3233" s="70" t="s">
        <v>3925</v>
      </c>
      <c r="W3233" s="25">
        <f>IFERROR(VLOOKUP(BCP_Soles[[#This Row],[DESTINATARIO]],CHOOSE({1,2},Clientes_Proveedores[Razon Social],Clientes_Proveedores[Ruc / Dni]),2,0),"")</f>
        <v>20608970909</v>
      </c>
      <c r="X3233" s="25"/>
      <c r="Y3233" s="25"/>
      <c r="Z3233" s="25"/>
      <c r="AA3233" s="101"/>
      <c r="AB3233" s="3" t="str">
        <f>IF(BCP_Soles[[#This Row],[FECHA]]&gt;0,TEXT(BCP_Soles[[#This Row],[FECHA]],"mmmm"),0)</f>
        <v>Agosto</v>
      </c>
    </row>
    <row r="3234" spans="2:28" x14ac:dyDescent="0.3">
      <c r="B3234" s="2" t="str">
        <f>IF(BCP_Soles[[#This Row],[TIPO DE R.]]="R",COUNTIFS($D$4:$D3233,"R")+1,"")</f>
        <v/>
      </c>
      <c r="C3234" s="19" t="str">
        <f t="shared" si="250"/>
        <v>B-BCP - Soles</v>
      </c>
      <c r="D3234" s="13" t="s">
        <v>1101</v>
      </c>
      <c r="E3234" s="14">
        <v>45887</v>
      </c>
      <c r="F3234" s="5" t="s">
        <v>1082</v>
      </c>
      <c r="G3234" s="5"/>
      <c r="H3234" s="6" t="s">
        <v>517</v>
      </c>
      <c r="I3234" s="6" t="s">
        <v>14</v>
      </c>
      <c r="J3234" s="6" t="s">
        <v>1121</v>
      </c>
      <c r="K3234" s="6">
        <v>1273</v>
      </c>
      <c r="L3234" s="7" t="s">
        <v>3924</v>
      </c>
      <c r="M3234" s="8">
        <v>4010056</v>
      </c>
      <c r="N3234" s="8" t="str">
        <f t="shared" si="251"/>
        <v>PEN</v>
      </c>
      <c r="O3234" s="13">
        <v>590</v>
      </c>
      <c r="P3234" s="13"/>
      <c r="Q3234" s="3">
        <f t="shared" si="252"/>
        <v>0</v>
      </c>
      <c r="R3234" s="3">
        <f t="shared" si="253"/>
        <v>0</v>
      </c>
      <c r="S3234" s="3">
        <f t="shared" si="254"/>
        <v>20043.369999999974</v>
      </c>
      <c r="T3234" s="24" t="s">
        <v>1081</v>
      </c>
      <c r="U3234" s="24"/>
      <c r="V3234" s="70"/>
      <c r="W3234" s="25">
        <f>IFERROR(VLOOKUP(BCP_Soles[[#This Row],[DESTINATARIO]],CHOOSE({1,2},Clientes_Proveedores[Razon Social],Clientes_Proveedores[Ruc / Dni]),2,0),"")</f>
        <v>20608970909</v>
      </c>
      <c r="X3234" s="25"/>
      <c r="Y3234" s="25"/>
      <c r="Z3234" s="25"/>
      <c r="AA3234" s="101"/>
      <c r="AB3234" s="3" t="str">
        <f>IF(BCP_Soles[[#This Row],[FECHA]]&gt;0,TEXT(BCP_Soles[[#This Row],[FECHA]],"mmmm"),0)</f>
        <v>Agosto</v>
      </c>
    </row>
    <row r="3235" spans="2:28" ht="24" x14ac:dyDescent="0.3">
      <c r="B3235" s="2" t="str">
        <f>IF(BCP_Soles[[#This Row],[TIPO DE R.]]="R",COUNTIFS($D$4:$D3234,"R")+1,"")</f>
        <v/>
      </c>
      <c r="C3235" s="19" t="str">
        <f t="shared" si="250"/>
        <v>B-BCP - Soles</v>
      </c>
      <c r="D3235" s="13" t="s">
        <v>1101</v>
      </c>
      <c r="E3235" s="14">
        <v>45887</v>
      </c>
      <c r="F3235" s="5" t="s">
        <v>1082</v>
      </c>
      <c r="G3235" s="5"/>
      <c r="H3235" s="6" t="s">
        <v>1001</v>
      </c>
      <c r="I3235" s="6" t="s">
        <v>14</v>
      </c>
      <c r="J3235" s="6" t="s">
        <v>3128</v>
      </c>
      <c r="K3235" s="6">
        <v>36077173</v>
      </c>
      <c r="L3235" s="7" t="s">
        <v>3924</v>
      </c>
      <c r="M3235" s="8">
        <v>4010056</v>
      </c>
      <c r="N3235" s="8" t="str">
        <f t="shared" si="251"/>
        <v>PEN</v>
      </c>
      <c r="O3235" s="13">
        <v>10.5</v>
      </c>
      <c r="P3235" s="13"/>
      <c r="Q3235" s="3">
        <f t="shared" si="252"/>
        <v>0</v>
      </c>
      <c r="R3235" s="3">
        <f t="shared" si="253"/>
        <v>0</v>
      </c>
      <c r="S3235" s="3">
        <f t="shared" si="254"/>
        <v>20043.369999999974</v>
      </c>
      <c r="T3235" s="24" t="s">
        <v>1081</v>
      </c>
      <c r="U3235" s="24"/>
      <c r="V3235" s="70"/>
      <c r="W3235" s="25">
        <f>IFERROR(VLOOKUP(BCP_Soles[[#This Row],[DESTINATARIO]],CHOOSE({1,2},Clientes_Proveedores[Razon Social],Clientes_Proveedores[Ruc / Dni]),2,0),"")</f>
        <v>20100047218</v>
      </c>
      <c r="X3235" s="25"/>
      <c r="Y3235" s="25"/>
      <c r="Z3235" s="25"/>
      <c r="AA3235" s="101"/>
      <c r="AB3235" s="3" t="str">
        <f>IF(BCP_Soles[[#This Row],[FECHA]]&gt;0,TEXT(BCP_Soles[[#This Row],[FECHA]],"mmmm"),0)</f>
        <v>Agosto</v>
      </c>
    </row>
    <row r="3236" spans="2:28" ht="24" x14ac:dyDescent="0.3">
      <c r="B3236" s="2">
        <f>IF(BCP_Soles[[#This Row],[TIPO DE R.]]="R",COUNTIFS($D$4:$D3235,"R")+1,"")</f>
        <v>2235</v>
      </c>
      <c r="C3236" s="19" t="str">
        <f t="shared" si="250"/>
        <v>B-BCP - Soles</v>
      </c>
      <c r="D3236" s="13" t="s">
        <v>1074</v>
      </c>
      <c r="E3236" s="14">
        <v>45887</v>
      </c>
      <c r="F3236" s="5" t="s">
        <v>1082</v>
      </c>
      <c r="G3236" s="5" t="s">
        <v>1079</v>
      </c>
      <c r="H3236" s="6" t="s">
        <v>959</v>
      </c>
      <c r="I3236" s="6"/>
      <c r="J3236" s="6"/>
      <c r="K3236" s="6"/>
      <c r="L3236" s="7" t="s">
        <v>3926</v>
      </c>
      <c r="M3236" s="8">
        <v>1099130</v>
      </c>
      <c r="N3236" s="8" t="str">
        <f t="shared" si="251"/>
        <v>PEN</v>
      </c>
      <c r="O3236" s="13"/>
      <c r="P3236" s="13">
        <v>1062.83</v>
      </c>
      <c r="Q3236" s="3">
        <f t="shared" si="252"/>
        <v>0</v>
      </c>
      <c r="R3236" s="3">
        <f t="shared" si="253"/>
        <v>1062.83</v>
      </c>
      <c r="S3236" s="3">
        <f t="shared" si="254"/>
        <v>18980.539999999972</v>
      </c>
      <c r="T3236" s="24"/>
      <c r="U3236" s="24"/>
      <c r="V3236" s="69"/>
      <c r="W3236" s="25">
        <f>IFERROR(VLOOKUP(BCP_Soles[[#This Row],[DESTINATARIO]],CHOOSE({1,2},Clientes_Proveedores[Razon Social],Clientes_Proveedores[Ruc / Dni]),2,0),"")</f>
        <v>75276411</v>
      </c>
      <c r="X3236" s="25"/>
      <c r="Y3236" s="25"/>
      <c r="Z3236" s="25"/>
      <c r="AA3236" s="101"/>
      <c r="AB3236" s="3" t="str">
        <f>IF(BCP_Soles[[#This Row],[FECHA]]&gt;0,TEXT(BCP_Soles[[#This Row],[FECHA]],"mmmm"),0)</f>
        <v>Agosto</v>
      </c>
    </row>
    <row r="3237" spans="2:28" x14ac:dyDescent="0.3">
      <c r="B3237" s="2">
        <f>IF(BCP_Soles[[#This Row],[TIPO DE R.]]="R",COUNTIFS($D$4:$D3236,"R")+1,"")</f>
        <v>2236</v>
      </c>
      <c r="C3237" s="19" t="str">
        <f t="shared" si="250"/>
        <v>B-BCP - Soles</v>
      </c>
      <c r="D3237" s="13" t="s">
        <v>1074</v>
      </c>
      <c r="E3237" s="14">
        <v>45887</v>
      </c>
      <c r="F3237" s="5" t="s">
        <v>1082</v>
      </c>
      <c r="G3237" s="5" t="s">
        <v>1079</v>
      </c>
      <c r="H3237" s="6" t="s">
        <v>436</v>
      </c>
      <c r="I3237" s="6"/>
      <c r="J3237" s="6"/>
      <c r="K3237" s="6"/>
      <c r="L3237" s="7" t="s">
        <v>3927</v>
      </c>
      <c r="M3237" s="8">
        <v>1096208</v>
      </c>
      <c r="N3237" s="8" t="str">
        <f t="shared" si="251"/>
        <v>PEN</v>
      </c>
      <c r="O3237" s="13"/>
      <c r="P3237" s="13">
        <v>271.39999999999998</v>
      </c>
      <c r="Q3237" s="3">
        <f t="shared" si="252"/>
        <v>0</v>
      </c>
      <c r="R3237" s="3">
        <f t="shared" si="253"/>
        <v>271.39999999999998</v>
      </c>
      <c r="S3237" s="3">
        <f t="shared" si="254"/>
        <v>18709.13999999997</v>
      </c>
      <c r="T3237" s="24" t="s">
        <v>1081</v>
      </c>
      <c r="U3237" s="24" t="s">
        <v>1081</v>
      </c>
      <c r="V3237" s="70" t="s">
        <v>3928</v>
      </c>
      <c r="W3237" s="25">
        <f>IFERROR(VLOOKUP(BCP_Soles[[#This Row],[DESTINATARIO]],CHOOSE({1,2},Clientes_Proveedores[Razon Social],Clientes_Proveedores[Ruc / Dni]),2,0),"")</f>
        <v>20602751326</v>
      </c>
      <c r="X3237" s="25"/>
      <c r="Y3237" s="25"/>
      <c r="Z3237" s="25"/>
      <c r="AA3237" s="101"/>
      <c r="AB3237" s="3" t="str">
        <f>IF(BCP_Soles[[#This Row],[FECHA]]&gt;0,TEXT(BCP_Soles[[#This Row],[FECHA]],"mmmm"),0)</f>
        <v>Agosto</v>
      </c>
    </row>
    <row r="3238" spans="2:28" x14ac:dyDescent="0.3">
      <c r="B3238" s="2" t="str">
        <f>IF(BCP_Soles[[#This Row],[TIPO DE R.]]="R",COUNTIFS($D$4:$D3237,"R")+1,"")</f>
        <v/>
      </c>
      <c r="C3238" s="19" t="str">
        <f t="shared" si="250"/>
        <v>B-BCP - Soles</v>
      </c>
      <c r="D3238" s="13" t="s">
        <v>1101</v>
      </c>
      <c r="E3238" s="14">
        <v>45887</v>
      </c>
      <c r="F3238" s="5" t="s">
        <v>1082</v>
      </c>
      <c r="G3238" s="5"/>
      <c r="H3238" s="6" t="s">
        <v>436</v>
      </c>
      <c r="I3238" s="6" t="s">
        <v>14</v>
      </c>
      <c r="J3238" s="6" t="s">
        <v>1578</v>
      </c>
      <c r="K3238" s="6">
        <v>1192</v>
      </c>
      <c r="L3238" s="7" t="s">
        <v>3927</v>
      </c>
      <c r="M3238" s="8">
        <v>1096208</v>
      </c>
      <c r="N3238" s="8" t="str">
        <f t="shared" si="251"/>
        <v>PEN</v>
      </c>
      <c r="O3238" s="13">
        <v>103.13</v>
      </c>
      <c r="P3238" s="13"/>
      <c r="Q3238" s="3">
        <f t="shared" si="252"/>
        <v>0</v>
      </c>
      <c r="R3238" s="3">
        <f t="shared" si="253"/>
        <v>0</v>
      </c>
      <c r="S3238" s="3">
        <f t="shared" si="254"/>
        <v>18709.13999999997</v>
      </c>
      <c r="T3238" s="24" t="s">
        <v>1081</v>
      </c>
      <c r="U3238" s="24" t="s">
        <v>1081</v>
      </c>
      <c r="V3238" s="70" t="s">
        <v>3928</v>
      </c>
      <c r="W3238" s="25">
        <f>IFERROR(VLOOKUP(BCP_Soles[[#This Row],[DESTINATARIO]],CHOOSE({1,2},Clientes_Proveedores[Razon Social],Clientes_Proveedores[Ruc / Dni]),2,0),"")</f>
        <v>20602751326</v>
      </c>
      <c r="X3238" s="25"/>
      <c r="Y3238" s="25"/>
      <c r="Z3238" s="25"/>
      <c r="AA3238" s="101"/>
      <c r="AB3238" s="3" t="str">
        <f>IF(BCP_Soles[[#This Row],[FECHA]]&gt;0,TEXT(BCP_Soles[[#This Row],[FECHA]],"mmmm"),0)</f>
        <v>Agosto</v>
      </c>
    </row>
    <row r="3239" spans="2:28" x14ac:dyDescent="0.3">
      <c r="B3239" s="2" t="str">
        <f>IF(BCP_Soles[[#This Row],[TIPO DE R.]]="R",COUNTIFS($D$4:$D3238,"R")+1,"")</f>
        <v/>
      </c>
      <c r="C3239" s="19" t="str">
        <f t="shared" si="250"/>
        <v>B-BCP - Soles</v>
      </c>
      <c r="D3239" s="13" t="s">
        <v>1101</v>
      </c>
      <c r="E3239" s="14">
        <v>45887</v>
      </c>
      <c r="F3239" s="5" t="s">
        <v>1082</v>
      </c>
      <c r="G3239" s="5"/>
      <c r="H3239" s="6" t="s">
        <v>436</v>
      </c>
      <c r="I3239" s="6" t="s">
        <v>14</v>
      </c>
      <c r="J3239" s="6" t="s">
        <v>1578</v>
      </c>
      <c r="K3239" s="6">
        <v>1220</v>
      </c>
      <c r="L3239" s="7" t="s">
        <v>3927</v>
      </c>
      <c r="M3239" s="8">
        <v>1096208</v>
      </c>
      <c r="N3239" s="8" t="str">
        <f t="shared" si="251"/>
        <v>PEN</v>
      </c>
      <c r="O3239" s="13">
        <v>168.27</v>
      </c>
      <c r="P3239" s="13"/>
      <c r="Q3239" s="3">
        <f t="shared" si="252"/>
        <v>0</v>
      </c>
      <c r="R3239" s="3">
        <f t="shared" si="253"/>
        <v>0</v>
      </c>
      <c r="S3239" s="3">
        <f t="shared" si="254"/>
        <v>18709.13999999997</v>
      </c>
      <c r="T3239" s="24" t="s">
        <v>1081</v>
      </c>
      <c r="U3239" s="24" t="s">
        <v>1081</v>
      </c>
      <c r="V3239" s="70" t="s">
        <v>3928</v>
      </c>
      <c r="W3239" s="25">
        <f>IFERROR(VLOOKUP(BCP_Soles[[#This Row],[DESTINATARIO]],CHOOSE({1,2},Clientes_Proveedores[Razon Social],Clientes_Proveedores[Ruc / Dni]),2,0),"")</f>
        <v>20602751326</v>
      </c>
      <c r="X3239" s="25"/>
      <c r="Y3239" s="25"/>
      <c r="Z3239" s="25"/>
      <c r="AA3239" s="101"/>
      <c r="AB3239" s="3" t="str">
        <f>IF(BCP_Soles[[#This Row],[FECHA]]&gt;0,TEXT(BCP_Soles[[#This Row],[FECHA]],"mmmm"),0)</f>
        <v>Agosto</v>
      </c>
    </row>
    <row r="3240" spans="2:28" ht="24" x14ac:dyDescent="0.3">
      <c r="B3240" s="2">
        <f>IF(BCP_Soles[[#This Row],[TIPO DE R.]]="R",COUNTIFS($D$4:$D3239,"R")+1,"")</f>
        <v>2237</v>
      </c>
      <c r="C3240" s="19" t="str">
        <f t="shared" si="250"/>
        <v>B-BCP - Soles</v>
      </c>
      <c r="D3240" s="3" t="s">
        <v>1074</v>
      </c>
      <c r="E3240" s="14">
        <v>45887</v>
      </c>
      <c r="F3240" s="5" t="s">
        <v>1082</v>
      </c>
      <c r="G3240" s="5" t="s">
        <v>1079</v>
      </c>
      <c r="H3240" s="6" t="s">
        <v>836</v>
      </c>
      <c r="I3240" s="6"/>
      <c r="J3240" s="6"/>
      <c r="K3240" s="6"/>
      <c r="L3240" s="7" t="s">
        <v>3929</v>
      </c>
      <c r="M3240" s="8">
        <v>1222659</v>
      </c>
      <c r="N3240" s="8" t="str">
        <f t="shared" si="251"/>
        <v>PEN</v>
      </c>
      <c r="O3240" s="13"/>
      <c r="P3240" s="13">
        <v>900</v>
      </c>
      <c r="Q3240" s="3">
        <f t="shared" si="252"/>
        <v>0</v>
      </c>
      <c r="R3240" s="3">
        <f t="shared" si="253"/>
        <v>900</v>
      </c>
      <c r="S3240" s="3">
        <f t="shared" si="254"/>
        <v>17809.13999999997</v>
      </c>
      <c r="T3240" s="24"/>
      <c r="U3240" s="24" t="s">
        <v>1081</v>
      </c>
      <c r="V3240" s="70" t="s">
        <v>3930</v>
      </c>
      <c r="W3240" s="25">
        <f>IFERROR(VLOOKUP(BCP_Soles[[#This Row],[DESTINATARIO]],CHOOSE({1,2},Clientes_Proveedores[Razon Social],Clientes_Proveedores[Ruc / Dni]),2,0),"")</f>
        <v>72144092</v>
      </c>
      <c r="X3240" s="25"/>
      <c r="Y3240" s="25"/>
      <c r="Z3240" s="25"/>
      <c r="AA3240" s="101"/>
      <c r="AB3240" s="3" t="str">
        <f>IF(BCP_Soles[[#This Row],[FECHA]]&gt;0,TEXT(BCP_Soles[[#This Row],[FECHA]],"mmmm"),0)</f>
        <v>Agosto</v>
      </c>
    </row>
    <row r="3241" spans="2:28" ht="24" x14ac:dyDescent="0.3">
      <c r="B3241" s="2">
        <f>IF(BCP_Soles[[#This Row],[TIPO DE R.]]="R",COUNTIFS($D$4:$D3240,"R")+1,"")</f>
        <v>2238</v>
      </c>
      <c r="C3241" s="19" t="str">
        <f t="shared" si="250"/>
        <v>B-BCP - Soles</v>
      </c>
      <c r="D3241" s="3" t="s">
        <v>1074</v>
      </c>
      <c r="E3241" s="14">
        <v>45887</v>
      </c>
      <c r="F3241" s="5" t="s">
        <v>1082</v>
      </c>
      <c r="G3241" s="5" t="s">
        <v>1079</v>
      </c>
      <c r="H3241" s="6" t="s">
        <v>199</v>
      </c>
      <c r="I3241" s="6" t="s">
        <v>14</v>
      </c>
      <c r="J3241" s="6" t="s">
        <v>1119</v>
      </c>
      <c r="K3241" s="6">
        <v>49553</v>
      </c>
      <c r="L3241" s="7" t="s">
        <v>3931</v>
      </c>
      <c r="M3241" s="8">
        <v>1221667</v>
      </c>
      <c r="N3241" s="8" t="str">
        <f t="shared" si="251"/>
        <v>PEN</v>
      </c>
      <c r="O3241" s="13"/>
      <c r="P3241" s="13">
        <v>720</v>
      </c>
      <c r="Q3241" s="3">
        <f t="shared" si="252"/>
        <v>0</v>
      </c>
      <c r="R3241" s="3">
        <f t="shared" si="253"/>
        <v>720</v>
      </c>
      <c r="S3241" s="3">
        <f t="shared" si="254"/>
        <v>17089.13999999997</v>
      </c>
      <c r="T3241" s="24" t="s">
        <v>1081</v>
      </c>
      <c r="U3241" s="24" t="s">
        <v>1081</v>
      </c>
      <c r="V3241" s="70" t="s">
        <v>3932</v>
      </c>
      <c r="W3241" s="25">
        <f>IFERROR(VLOOKUP(BCP_Soles[[#This Row],[DESTINATARIO]],CHOOSE({1,2},Clientes_Proveedores[Razon Social],Clientes_Proveedores[Ruc / Dni]),2,0),"")</f>
        <v>20371310160</v>
      </c>
      <c r="X3241" s="25"/>
      <c r="Y3241" s="25"/>
      <c r="Z3241" s="25"/>
      <c r="AA3241" s="101"/>
      <c r="AB3241" s="3" t="str">
        <f>IF(BCP_Soles[[#This Row],[FECHA]]&gt;0,TEXT(BCP_Soles[[#This Row],[FECHA]],"mmmm"),0)</f>
        <v>Agosto</v>
      </c>
    </row>
    <row r="3242" spans="2:28" x14ac:dyDescent="0.3">
      <c r="B3242" s="2">
        <f>IF(BCP_Soles[[#This Row],[TIPO DE R.]]="R",COUNTIFS($D$4:$D3241,"R")+1,"")</f>
        <v>2239</v>
      </c>
      <c r="C3242" s="19" t="str">
        <f t="shared" si="250"/>
        <v>B-BCP - Soles</v>
      </c>
      <c r="D3242" s="3" t="s">
        <v>1074</v>
      </c>
      <c r="E3242" s="14">
        <v>45887</v>
      </c>
      <c r="F3242" s="5" t="s">
        <v>3883</v>
      </c>
      <c r="G3242" s="5" t="s">
        <v>1079</v>
      </c>
      <c r="H3242" s="6"/>
      <c r="I3242" s="6"/>
      <c r="J3242" s="6"/>
      <c r="K3242" s="6"/>
      <c r="L3242" s="7" t="s">
        <v>3933</v>
      </c>
      <c r="M3242" s="8">
        <v>1010737</v>
      </c>
      <c r="N3242" s="8" t="str">
        <f t="shared" si="251"/>
        <v>PEN</v>
      </c>
      <c r="O3242" s="13"/>
      <c r="P3242" s="13">
        <v>1706</v>
      </c>
      <c r="Q3242" s="3">
        <f t="shared" si="252"/>
        <v>0</v>
      </c>
      <c r="R3242" s="3">
        <f t="shared" si="253"/>
        <v>1706</v>
      </c>
      <c r="S3242" s="3">
        <f t="shared" si="254"/>
        <v>15383.13999999997</v>
      </c>
      <c r="T3242" s="24"/>
      <c r="U3242" s="24"/>
      <c r="V3242" s="69"/>
      <c r="W3242" s="25" t="str">
        <f>IFERROR(VLOOKUP(BCP_Soles[[#This Row],[DESTINATARIO]],CHOOSE({1,2},Clientes_Proveedores[Razon Social],Clientes_Proveedores[Ruc / Dni]),2,0),"")</f>
        <v/>
      </c>
      <c r="X3242" s="25"/>
      <c r="Y3242" s="25"/>
      <c r="Z3242" s="25"/>
      <c r="AA3242" s="101"/>
      <c r="AB3242" s="3" t="str">
        <f>IF(BCP_Soles[[#This Row],[FECHA]]&gt;0,TEXT(BCP_Soles[[#This Row],[FECHA]],"mmmm"),0)</f>
        <v>Agosto</v>
      </c>
    </row>
    <row r="3243" spans="2:28" ht="24" x14ac:dyDescent="0.3">
      <c r="B3243" s="2">
        <f>IF(BCP_Soles[[#This Row],[TIPO DE R.]]="R",COUNTIFS($D$4:$D3242,"R")+1,"")</f>
        <v>2240</v>
      </c>
      <c r="C3243" s="19" t="str">
        <f t="shared" si="250"/>
        <v>B-BCP - Soles</v>
      </c>
      <c r="D3243" s="3" t="s">
        <v>1074</v>
      </c>
      <c r="E3243" s="14">
        <v>45887</v>
      </c>
      <c r="F3243" s="5" t="s">
        <v>1078</v>
      </c>
      <c r="G3243" s="5" t="s">
        <v>1079</v>
      </c>
      <c r="H3243" s="6" t="s">
        <v>1001</v>
      </c>
      <c r="I3243" s="6" t="s">
        <v>14</v>
      </c>
      <c r="J3243" s="6" t="s">
        <v>3128</v>
      </c>
      <c r="K3243" s="6">
        <v>36068959</v>
      </c>
      <c r="L3243" s="7" t="s">
        <v>3300</v>
      </c>
      <c r="M3243" s="8">
        <v>537</v>
      </c>
      <c r="N3243" s="8" t="str">
        <f t="shared" si="251"/>
        <v>PEN</v>
      </c>
      <c r="O3243" s="13"/>
      <c r="P3243" s="13">
        <v>10</v>
      </c>
      <c r="Q3243" s="3">
        <f t="shared" si="252"/>
        <v>0</v>
      </c>
      <c r="R3243" s="3">
        <f t="shared" si="253"/>
        <v>10</v>
      </c>
      <c r="S3243" s="3">
        <f t="shared" si="254"/>
        <v>15373.13999999997</v>
      </c>
      <c r="T3243" s="24" t="s">
        <v>1081</v>
      </c>
      <c r="U3243" s="24" t="s">
        <v>1081</v>
      </c>
      <c r="V3243" s="69"/>
      <c r="W3243" s="25">
        <f>IFERROR(VLOOKUP(BCP_Soles[[#This Row],[DESTINATARIO]],CHOOSE({1,2},Clientes_Proveedores[Razon Social],Clientes_Proveedores[Ruc / Dni]),2,0),"")</f>
        <v>20100047218</v>
      </c>
      <c r="X3243" s="25"/>
      <c r="Y3243" s="25"/>
      <c r="Z3243" s="25"/>
      <c r="AA3243" s="101"/>
      <c r="AB3243" s="3" t="str">
        <f>IF(BCP_Soles[[#This Row],[FECHA]]&gt;0,TEXT(BCP_Soles[[#This Row],[FECHA]],"mmmm"),0)</f>
        <v>Agosto</v>
      </c>
    </row>
    <row r="3244" spans="2:28" x14ac:dyDescent="0.3">
      <c r="B3244" s="2">
        <f>IF(BCP_Soles[[#This Row],[TIPO DE R.]]="R",COUNTIFS($D$4:$D3243,"R")+1,"")</f>
        <v>2241</v>
      </c>
      <c r="C3244" s="19" t="str">
        <f t="shared" si="250"/>
        <v>B-BCP - Soles</v>
      </c>
      <c r="D3244" s="3" t="s">
        <v>1074</v>
      </c>
      <c r="E3244" s="14">
        <v>45887</v>
      </c>
      <c r="F3244" s="5" t="s">
        <v>1078</v>
      </c>
      <c r="G3244" s="5" t="s">
        <v>1079</v>
      </c>
      <c r="H3244" s="6"/>
      <c r="I3244" s="6"/>
      <c r="J3244" s="6"/>
      <c r="K3244" s="6"/>
      <c r="L3244" s="7" t="s">
        <v>2868</v>
      </c>
      <c r="M3244" s="8"/>
      <c r="N3244" s="8" t="str">
        <f t="shared" si="251"/>
        <v>PEN</v>
      </c>
      <c r="O3244" s="13"/>
      <c r="P3244" s="13">
        <v>0.85</v>
      </c>
      <c r="Q3244" s="3">
        <f t="shared" si="252"/>
        <v>0</v>
      </c>
      <c r="R3244" s="3">
        <f t="shared" si="253"/>
        <v>0.85</v>
      </c>
      <c r="S3244" s="3">
        <f t="shared" si="254"/>
        <v>15372.28999999997</v>
      </c>
      <c r="T3244" s="24"/>
      <c r="U3244" s="24"/>
      <c r="V3244" s="69"/>
      <c r="W3244" s="25" t="str">
        <f>IFERROR(VLOOKUP(BCP_Soles[[#This Row],[DESTINATARIO]],CHOOSE({1,2},Clientes_Proveedores[Razon Social],Clientes_Proveedores[Ruc / Dni]),2,0),"")</f>
        <v/>
      </c>
      <c r="X3244" s="25"/>
      <c r="Y3244" s="25"/>
      <c r="Z3244" s="25"/>
      <c r="AA3244" s="101"/>
      <c r="AB3244" s="3" t="str">
        <f>IF(BCP_Soles[[#This Row],[FECHA]]&gt;0,TEXT(BCP_Soles[[#This Row],[FECHA]],"mmmm"),0)</f>
        <v>Agosto</v>
      </c>
    </row>
    <row r="3245" spans="2:28" x14ac:dyDescent="0.3">
      <c r="B3245" s="2">
        <f>IF(BCP_Soles[[#This Row],[TIPO DE R.]]="R",COUNTIFS($D$4:$D3244,"R")+1,"")</f>
        <v>2242</v>
      </c>
      <c r="C3245" s="19" t="str">
        <f t="shared" si="250"/>
        <v>B-BCP - Soles</v>
      </c>
      <c r="D3245" s="3" t="s">
        <v>1074</v>
      </c>
      <c r="E3245" s="14">
        <v>45888</v>
      </c>
      <c r="F3245" s="5"/>
      <c r="G3245" s="5" t="s">
        <v>1087</v>
      </c>
      <c r="H3245" s="6" t="s">
        <v>368</v>
      </c>
      <c r="I3245" s="6"/>
      <c r="J3245" s="6"/>
      <c r="K3245" s="6"/>
      <c r="L3245" s="7" t="s">
        <v>1100</v>
      </c>
      <c r="M3245" s="8">
        <v>3167569</v>
      </c>
      <c r="N3245" s="8" t="str">
        <f t="shared" si="251"/>
        <v>PEN</v>
      </c>
      <c r="O3245" s="13"/>
      <c r="P3245" s="13">
        <v>53.1</v>
      </c>
      <c r="Q3245" s="3">
        <f t="shared" si="252"/>
        <v>53.1</v>
      </c>
      <c r="R3245" s="3">
        <f t="shared" si="253"/>
        <v>0</v>
      </c>
      <c r="S3245" s="3">
        <f t="shared" si="254"/>
        <v>15425.38999999997</v>
      </c>
      <c r="T3245" s="24"/>
      <c r="U3245" s="24"/>
      <c r="V3245" s="69"/>
      <c r="W3245" s="25">
        <f>IFERROR(VLOOKUP(BCP_Soles[[#This Row],[DESTINATARIO]],CHOOSE({1,2},Clientes_Proveedores[Razon Social],Clientes_Proveedores[Ruc / Dni]),2,0),"")</f>
        <v>20558226979</v>
      </c>
      <c r="X3245" s="25"/>
      <c r="Y3245" s="25"/>
      <c r="Z3245" s="25"/>
      <c r="AA3245" s="101"/>
      <c r="AB3245" s="3" t="str">
        <f>IF(BCP_Soles[[#This Row],[FECHA]]&gt;0,TEXT(BCP_Soles[[#This Row],[FECHA]],"mmmm"),0)</f>
        <v>Agosto</v>
      </c>
    </row>
    <row r="3246" spans="2:28" x14ac:dyDescent="0.3">
      <c r="B3246" s="2">
        <f>IF(BCP_Soles[[#This Row],[TIPO DE R.]]="R",COUNTIFS($D$4:$D3245,"R")+1,"")</f>
        <v>2243</v>
      </c>
      <c r="C3246" s="19" t="str">
        <f t="shared" si="250"/>
        <v>B-BCP - Soles</v>
      </c>
      <c r="D3246" s="3" t="s">
        <v>1074</v>
      </c>
      <c r="E3246" s="14">
        <v>45888</v>
      </c>
      <c r="F3246" s="5" t="s">
        <v>1082</v>
      </c>
      <c r="G3246" s="5" t="s">
        <v>1079</v>
      </c>
      <c r="H3246" s="6" t="s">
        <v>517</v>
      </c>
      <c r="I3246" s="6"/>
      <c r="J3246" s="6"/>
      <c r="K3246" s="6"/>
      <c r="L3246" s="7" t="s">
        <v>3934</v>
      </c>
      <c r="M3246" s="8">
        <v>4002853</v>
      </c>
      <c r="N3246" s="8" t="str">
        <f t="shared" si="251"/>
        <v>PEN</v>
      </c>
      <c r="O3246" s="13"/>
      <c r="P3246" s="13">
        <v>600.5</v>
      </c>
      <c r="Q3246" s="3">
        <f t="shared" si="252"/>
        <v>0</v>
      </c>
      <c r="R3246" s="3">
        <f t="shared" si="253"/>
        <v>600.5</v>
      </c>
      <c r="S3246" s="3">
        <f t="shared" si="254"/>
        <v>14824.88999999997</v>
      </c>
      <c r="T3246" s="24" t="s">
        <v>1081</v>
      </c>
      <c r="U3246" s="24"/>
      <c r="V3246" s="70" t="s">
        <v>3935</v>
      </c>
      <c r="W3246" s="25">
        <f>IFERROR(VLOOKUP(BCP_Soles[[#This Row],[DESTINATARIO]],CHOOSE({1,2},Clientes_Proveedores[Razon Social],Clientes_Proveedores[Ruc / Dni]),2,0),"")</f>
        <v>20608970909</v>
      </c>
      <c r="X3246" s="25"/>
      <c r="Y3246" s="25"/>
      <c r="Z3246" s="25"/>
      <c r="AA3246" s="101"/>
      <c r="AB3246" s="3" t="str">
        <f>IF(BCP_Soles[[#This Row],[FECHA]]&gt;0,TEXT(BCP_Soles[[#This Row],[FECHA]],"mmmm"),0)</f>
        <v>Agosto</v>
      </c>
    </row>
    <row r="3247" spans="2:28" x14ac:dyDescent="0.3">
      <c r="B3247" s="2" t="str">
        <f>IF(BCP_Soles[[#This Row],[TIPO DE R.]]="R",COUNTIFS($D$4:$D3246,"R")+1,"")</f>
        <v/>
      </c>
      <c r="C3247" s="19" t="str">
        <f t="shared" si="250"/>
        <v>B-BCP - Soles</v>
      </c>
      <c r="D3247" s="3" t="s">
        <v>1101</v>
      </c>
      <c r="E3247" s="14">
        <v>45888</v>
      </c>
      <c r="F3247" s="5" t="s">
        <v>1082</v>
      </c>
      <c r="G3247" s="5"/>
      <c r="H3247" s="6" t="s">
        <v>517</v>
      </c>
      <c r="I3247" s="6" t="s">
        <v>14</v>
      </c>
      <c r="J3247" s="6" t="s">
        <v>1121</v>
      </c>
      <c r="K3247" s="6">
        <v>1274</v>
      </c>
      <c r="L3247" s="7" t="s">
        <v>3934</v>
      </c>
      <c r="M3247" s="8">
        <v>4002853</v>
      </c>
      <c r="N3247" s="8" t="str">
        <f t="shared" si="251"/>
        <v>PEN</v>
      </c>
      <c r="O3247" s="13">
        <v>590</v>
      </c>
      <c r="P3247" s="13"/>
      <c r="Q3247" s="3">
        <f t="shared" si="252"/>
        <v>0</v>
      </c>
      <c r="R3247" s="3">
        <f t="shared" si="253"/>
        <v>0</v>
      </c>
      <c r="S3247" s="3">
        <f t="shared" si="254"/>
        <v>14824.88999999997</v>
      </c>
      <c r="T3247" s="24" t="s">
        <v>1081</v>
      </c>
      <c r="U3247" s="24"/>
      <c r="V3247" s="70"/>
      <c r="W3247" s="25">
        <f>IFERROR(VLOOKUP(BCP_Soles[[#This Row],[DESTINATARIO]],CHOOSE({1,2},Clientes_Proveedores[Razon Social],Clientes_Proveedores[Ruc / Dni]),2,0),"")</f>
        <v>20608970909</v>
      </c>
      <c r="X3247" s="25"/>
      <c r="Y3247" s="25"/>
      <c r="Z3247" s="25"/>
      <c r="AA3247" s="101"/>
      <c r="AB3247" s="3" t="str">
        <f>IF(BCP_Soles[[#This Row],[FECHA]]&gt;0,TEXT(BCP_Soles[[#This Row],[FECHA]],"mmmm"),0)</f>
        <v>Agosto</v>
      </c>
    </row>
    <row r="3248" spans="2:28" ht="24" x14ac:dyDescent="0.3">
      <c r="B3248" s="2" t="str">
        <f>IF(BCP_Soles[[#This Row],[TIPO DE R.]]="R",COUNTIFS($D$4:$D3247,"R")+1,"")</f>
        <v/>
      </c>
      <c r="C3248" s="19" t="str">
        <f t="shared" si="250"/>
        <v>B-BCP - Soles</v>
      </c>
      <c r="D3248" s="3" t="s">
        <v>1101</v>
      </c>
      <c r="E3248" s="14">
        <v>45888</v>
      </c>
      <c r="F3248" s="5" t="s">
        <v>1082</v>
      </c>
      <c r="G3248" s="5"/>
      <c r="H3248" s="6" t="s">
        <v>1001</v>
      </c>
      <c r="I3248" s="6" t="s">
        <v>14</v>
      </c>
      <c r="J3248" s="6" t="s">
        <v>3128</v>
      </c>
      <c r="K3248" s="6">
        <v>36132771</v>
      </c>
      <c r="L3248" s="7" t="s">
        <v>3934</v>
      </c>
      <c r="M3248" s="8">
        <v>4002853</v>
      </c>
      <c r="N3248" s="8" t="str">
        <f t="shared" si="251"/>
        <v>PEN</v>
      </c>
      <c r="O3248" s="13">
        <v>10.5</v>
      </c>
      <c r="P3248" s="13"/>
      <c r="Q3248" s="3">
        <f t="shared" si="252"/>
        <v>0</v>
      </c>
      <c r="R3248" s="3">
        <f t="shared" si="253"/>
        <v>0</v>
      </c>
      <c r="S3248" s="3">
        <f t="shared" si="254"/>
        <v>14824.88999999997</v>
      </c>
      <c r="T3248" s="24" t="s">
        <v>1081</v>
      </c>
      <c r="U3248" s="24"/>
      <c r="V3248" s="70"/>
      <c r="W3248" s="25">
        <f>IFERROR(VLOOKUP(BCP_Soles[[#This Row],[DESTINATARIO]],CHOOSE({1,2},Clientes_Proveedores[Razon Social],Clientes_Proveedores[Ruc / Dni]),2,0),"")</f>
        <v>20100047218</v>
      </c>
      <c r="X3248" s="25"/>
      <c r="Y3248" s="25"/>
      <c r="Z3248" s="25"/>
      <c r="AA3248" s="101"/>
      <c r="AB3248" s="3" t="str">
        <f>IF(BCP_Soles[[#This Row],[FECHA]]&gt;0,TEXT(BCP_Soles[[#This Row],[FECHA]],"mmmm"),0)</f>
        <v>Agosto</v>
      </c>
    </row>
    <row r="3249" spans="2:28" ht="24" x14ac:dyDescent="0.3">
      <c r="B3249" s="2">
        <f>IF(BCP_Soles[[#This Row],[TIPO DE R.]]="R",COUNTIFS($D$4:$D3248,"R")+1,"")</f>
        <v>2244</v>
      </c>
      <c r="C3249" s="19" t="str">
        <f t="shared" si="250"/>
        <v>B-BCP - Soles</v>
      </c>
      <c r="D3249" s="3" t="s">
        <v>1074</v>
      </c>
      <c r="E3249" s="14">
        <v>45888</v>
      </c>
      <c r="F3249" s="5" t="s">
        <v>1082</v>
      </c>
      <c r="G3249" s="5" t="s">
        <v>1079</v>
      </c>
      <c r="H3249" s="6" t="s">
        <v>836</v>
      </c>
      <c r="I3249" s="6"/>
      <c r="J3249" s="6"/>
      <c r="K3249" s="6"/>
      <c r="L3249" s="7" t="s">
        <v>3936</v>
      </c>
      <c r="M3249" s="8">
        <v>1210613</v>
      </c>
      <c r="N3249" s="8" t="str">
        <f t="shared" si="251"/>
        <v>PEN</v>
      </c>
      <c r="O3249" s="13"/>
      <c r="P3249" s="13">
        <v>900</v>
      </c>
      <c r="Q3249" s="3">
        <f t="shared" si="252"/>
        <v>0</v>
      </c>
      <c r="R3249" s="3">
        <f t="shared" si="253"/>
        <v>900</v>
      </c>
      <c r="S3249" s="3">
        <f t="shared" si="254"/>
        <v>13924.88999999997</v>
      </c>
      <c r="T3249" s="24"/>
      <c r="U3249" s="24" t="s">
        <v>1081</v>
      </c>
      <c r="V3249" s="70" t="s">
        <v>3937</v>
      </c>
      <c r="W3249" s="25">
        <f>IFERROR(VLOOKUP(BCP_Soles[[#This Row],[DESTINATARIO]],CHOOSE({1,2},Clientes_Proveedores[Razon Social],Clientes_Proveedores[Ruc / Dni]),2,0),"")</f>
        <v>72144092</v>
      </c>
      <c r="X3249" s="25"/>
      <c r="Y3249" s="25"/>
      <c r="Z3249" s="25"/>
      <c r="AA3249" s="101"/>
      <c r="AB3249" s="3" t="str">
        <f>IF(BCP_Soles[[#This Row],[FECHA]]&gt;0,TEXT(BCP_Soles[[#This Row],[FECHA]],"mmmm"),0)</f>
        <v>Agosto</v>
      </c>
    </row>
    <row r="3250" spans="2:28" ht="24" x14ac:dyDescent="0.3">
      <c r="B3250" s="2">
        <f>IF(BCP_Soles[[#This Row],[TIPO DE R.]]="R",COUNTIFS($D$4:$D3249,"R")+1,"")</f>
        <v>2245</v>
      </c>
      <c r="C3250" s="19" t="str">
        <f t="shared" si="250"/>
        <v>B-BCP - Soles</v>
      </c>
      <c r="D3250" s="3" t="s">
        <v>1074</v>
      </c>
      <c r="E3250" s="14">
        <v>45888</v>
      </c>
      <c r="F3250" s="5" t="s">
        <v>1082</v>
      </c>
      <c r="G3250" s="5" t="s">
        <v>1079</v>
      </c>
      <c r="H3250" s="6" t="s">
        <v>917</v>
      </c>
      <c r="I3250" s="6" t="s">
        <v>14</v>
      </c>
      <c r="J3250" s="6" t="s">
        <v>1119</v>
      </c>
      <c r="K3250" s="6">
        <v>1866</v>
      </c>
      <c r="L3250" s="7" t="s">
        <v>3938</v>
      </c>
      <c r="M3250" s="8">
        <v>1210141</v>
      </c>
      <c r="N3250" s="8" t="str">
        <f t="shared" si="251"/>
        <v>PEN</v>
      </c>
      <c r="O3250" s="13"/>
      <c r="P3250" s="13">
        <v>223.06</v>
      </c>
      <c r="Q3250" s="3">
        <f t="shared" si="252"/>
        <v>0</v>
      </c>
      <c r="R3250" s="3">
        <f t="shared" si="253"/>
        <v>223.06</v>
      </c>
      <c r="S3250" s="3">
        <f t="shared" si="254"/>
        <v>13701.829999999971</v>
      </c>
      <c r="T3250" s="24" t="s">
        <v>1081</v>
      </c>
      <c r="U3250" s="24" t="s">
        <v>1081</v>
      </c>
      <c r="V3250" s="70" t="s">
        <v>3939</v>
      </c>
      <c r="W3250" s="25">
        <f>IFERROR(VLOOKUP(BCP_Soles[[#This Row],[DESTINATARIO]],CHOOSE({1,2},Clientes_Proveedores[Razon Social],Clientes_Proveedores[Ruc / Dni]),2,0),"")</f>
        <v>20454029918</v>
      </c>
      <c r="X3250" s="25"/>
      <c r="Y3250" s="25"/>
      <c r="Z3250" s="25"/>
      <c r="AA3250" s="101"/>
      <c r="AB3250" s="3" t="str">
        <f>IF(BCP_Soles[[#This Row],[FECHA]]&gt;0,TEXT(BCP_Soles[[#This Row],[FECHA]],"mmmm"),0)</f>
        <v>Agosto</v>
      </c>
    </row>
    <row r="3251" spans="2:28" ht="24" x14ac:dyDescent="0.3">
      <c r="B3251" s="2">
        <f>IF(BCP_Soles[[#This Row],[TIPO DE R.]]="R",COUNTIFS($D$4:$D3250,"R")+1,"")</f>
        <v>2246</v>
      </c>
      <c r="C3251" s="19" t="str">
        <f t="shared" si="250"/>
        <v>B-BCP - Soles</v>
      </c>
      <c r="D3251" s="3" t="s">
        <v>1074</v>
      </c>
      <c r="E3251" s="14">
        <v>45888</v>
      </c>
      <c r="F3251" s="5" t="s">
        <v>1082</v>
      </c>
      <c r="G3251" s="5" t="s">
        <v>1079</v>
      </c>
      <c r="H3251" s="6" t="s">
        <v>648</v>
      </c>
      <c r="I3251" s="6" t="s">
        <v>52</v>
      </c>
      <c r="J3251" s="6" t="s">
        <v>1230</v>
      </c>
      <c r="K3251" s="6">
        <v>324866</v>
      </c>
      <c r="L3251" s="7" t="s">
        <v>3940</v>
      </c>
      <c r="M3251" s="8">
        <v>4208673</v>
      </c>
      <c r="N3251" s="8" t="str">
        <f t="shared" si="251"/>
        <v>PEN</v>
      </c>
      <c r="O3251" s="13"/>
      <c r="P3251" s="13">
        <v>19.3</v>
      </c>
      <c r="Q3251" s="3">
        <f t="shared" si="252"/>
        <v>0</v>
      </c>
      <c r="R3251" s="3">
        <f t="shared" si="253"/>
        <v>19.3</v>
      </c>
      <c r="S3251" s="3">
        <f t="shared" si="254"/>
        <v>13682.529999999972</v>
      </c>
      <c r="T3251" s="24" t="s">
        <v>1081</v>
      </c>
      <c r="U3251" s="24" t="s">
        <v>1081</v>
      </c>
      <c r="V3251" s="70" t="s">
        <v>3941</v>
      </c>
      <c r="W3251" s="25">
        <f>IFERROR(VLOOKUP(BCP_Soles[[#This Row],[DESTINATARIO]],CHOOSE({1,2},Clientes_Proveedores[Razon Social],Clientes_Proveedores[Ruc / Dni]),2,0),"")</f>
        <v>20331898008</v>
      </c>
      <c r="X3251" s="25"/>
      <c r="Y3251" s="25"/>
      <c r="Z3251" s="25"/>
      <c r="AA3251" s="101"/>
      <c r="AB3251" s="3" t="str">
        <f>IF(BCP_Soles[[#This Row],[FECHA]]&gt;0,TEXT(BCP_Soles[[#This Row],[FECHA]],"mmmm"),0)</f>
        <v>Agosto</v>
      </c>
    </row>
    <row r="3252" spans="2:28" ht="24" x14ac:dyDescent="0.3">
      <c r="B3252" s="2">
        <f>IF(BCP_Soles[[#This Row],[TIPO DE R.]]="R",COUNTIFS($D$4:$D3251,"R")+1,"")</f>
        <v>2247</v>
      </c>
      <c r="C3252" s="19" t="str">
        <f t="shared" si="250"/>
        <v>B-BCP - Soles</v>
      </c>
      <c r="D3252" s="3" t="s">
        <v>1074</v>
      </c>
      <c r="E3252" s="14">
        <v>45888</v>
      </c>
      <c r="F3252" s="5" t="s">
        <v>1082</v>
      </c>
      <c r="G3252" s="5" t="s">
        <v>1079</v>
      </c>
      <c r="H3252" s="6" t="s">
        <v>646</v>
      </c>
      <c r="I3252" s="6" t="s">
        <v>52</v>
      </c>
      <c r="J3252" s="6" t="s">
        <v>1299</v>
      </c>
      <c r="K3252" s="6">
        <v>12189708</v>
      </c>
      <c r="L3252" s="7" t="s">
        <v>3942</v>
      </c>
      <c r="M3252" s="8">
        <v>4211609</v>
      </c>
      <c r="N3252" s="8" t="str">
        <f t="shared" si="251"/>
        <v>PEN</v>
      </c>
      <c r="O3252" s="13"/>
      <c r="P3252" s="13">
        <v>15.3</v>
      </c>
      <c r="Q3252" s="3">
        <f t="shared" si="252"/>
        <v>0</v>
      </c>
      <c r="R3252" s="3">
        <f t="shared" si="253"/>
        <v>15.3</v>
      </c>
      <c r="S3252" s="3">
        <f t="shared" si="254"/>
        <v>13667.229999999972</v>
      </c>
      <c r="T3252" s="24" t="s">
        <v>1081</v>
      </c>
      <c r="U3252" s="24" t="s">
        <v>1081</v>
      </c>
      <c r="V3252" s="70" t="s">
        <v>3943</v>
      </c>
      <c r="W3252" s="25">
        <f>IFERROR(VLOOKUP(BCP_Soles[[#This Row],[DESTINATARIO]],CHOOSE({1,2},Clientes_Proveedores[Razon Social],Clientes_Proveedores[Ruc / Dni]),2,0),"")</f>
        <v>20100152356</v>
      </c>
      <c r="X3252" s="25"/>
      <c r="Y3252" s="25"/>
      <c r="Z3252" s="25"/>
      <c r="AA3252" s="101"/>
      <c r="AB3252" s="3" t="str">
        <f>IF(BCP_Soles[[#This Row],[FECHA]]&gt;0,TEXT(BCP_Soles[[#This Row],[FECHA]],"mmmm"),0)</f>
        <v>Agosto</v>
      </c>
    </row>
    <row r="3253" spans="2:28" ht="36" x14ac:dyDescent="0.3">
      <c r="B3253" s="2">
        <f>IF(BCP_Soles[[#This Row],[TIPO DE R.]]="R",COUNTIFS($D$4:$D3252,"R")+1,"")</f>
        <v>2248</v>
      </c>
      <c r="C3253" s="19" t="str">
        <f t="shared" si="250"/>
        <v>B-BCP - Soles</v>
      </c>
      <c r="D3253" s="3" t="s">
        <v>1074</v>
      </c>
      <c r="E3253" s="14">
        <v>45888</v>
      </c>
      <c r="F3253" s="5" t="s">
        <v>1082</v>
      </c>
      <c r="G3253" s="5" t="s">
        <v>1079</v>
      </c>
      <c r="H3253" s="6" t="s">
        <v>617</v>
      </c>
      <c r="I3253" s="6"/>
      <c r="J3253" s="6"/>
      <c r="K3253" s="6"/>
      <c r="L3253" s="7" t="s">
        <v>3944</v>
      </c>
      <c r="M3253" s="8">
        <v>1209638</v>
      </c>
      <c r="N3253" s="8" t="str">
        <f t="shared" si="251"/>
        <v>PEN</v>
      </c>
      <c r="O3253" s="13"/>
      <c r="P3253" s="13">
        <v>588.82000000000005</v>
      </c>
      <c r="Q3253" s="3">
        <f t="shared" si="252"/>
        <v>0</v>
      </c>
      <c r="R3253" s="3">
        <f t="shared" si="253"/>
        <v>588.82000000000005</v>
      </c>
      <c r="S3253" s="3">
        <f t="shared" si="254"/>
        <v>13078.409999999973</v>
      </c>
      <c r="T3253" s="24" t="s">
        <v>1081</v>
      </c>
      <c r="U3253" s="24" t="s">
        <v>1081</v>
      </c>
      <c r="V3253" s="70" t="s">
        <v>3945</v>
      </c>
      <c r="W3253" s="25">
        <f>IFERROR(VLOOKUP(BCP_Soles[[#This Row],[DESTINATARIO]],CHOOSE({1,2},Clientes_Proveedores[Razon Social],Clientes_Proveedores[Ruc / Dni]),2,0),"")</f>
        <v>20455911401</v>
      </c>
      <c r="X3253" s="25"/>
      <c r="Y3253" s="25"/>
      <c r="Z3253" s="25"/>
      <c r="AA3253" s="101"/>
      <c r="AB3253" s="3" t="str">
        <f>IF(BCP_Soles[[#This Row],[FECHA]]&gt;0,TEXT(BCP_Soles[[#This Row],[FECHA]],"mmmm"),0)</f>
        <v>Agosto</v>
      </c>
    </row>
    <row r="3254" spans="2:28" ht="36" x14ac:dyDescent="0.3">
      <c r="B3254" s="2" t="str">
        <f>IF(BCP_Soles[[#This Row],[TIPO DE R.]]="R",COUNTIFS($D$4:$D3253,"R")+1,"")</f>
        <v/>
      </c>
      <c r="C3254" s="19" t="str">
        <f t="shared" si="250"/>
        <v>B-BCP - Soles</v>
      </c>
      <c r="D3254" s="3" t="s">
        <v>1101</v>
      </c>
      <c r="E3254" s="14">
        <v>45888</v>
      </c>
      <c r="F3254" s="5" t="s">
        <v>1082</v>
      </c>
      <c r="G3254" s="5"/>
      <c r="H3254" s="6" t="s">
        <v>617</v>
      </c>
      <c r="I3254" s="6" t="s">
        <v>14</v>
      </c>
      <c r="J3254" s="6" t="s">
        <v>2629</v>
      </c>
      <c r="K3254" s="6">
        <v>1962</v>
      </c>
      <c r="L3254" s="7" t="s">
        <v>3944</v>
      </c>
      <c r="M3254" s="8">
        <v>1209638</v>
      </c>
      <c r="N3254" s="8" t="str">
        <f t="shared" si="251"/>
        <v>PEN</v>
      </c>
      <c r="O3254" s="13">
        <v>329.74</v>
      </c>
      <c r="P3254" s="13"/>
      <c r="Q3254" s="3">
        <f t="shared" si="252"/>
        <v>0</v>
      </c>
      <c r="R3254" s="3">
        <f t="shared" si="253"/>
        <v>0</v>
      </c>
      <c r="S3254" s="3">
        <f t="shared" si="254"/>
        <v>13078.409999999973</v>
      </c>
      <c r="T3254" s="24" t="s">
        <v>1081</v>
      </c>
      <c r="U3254" s="24" t="s">
        <v>1081</v>
      </c>
      <c r="V3254" s="70" t="s">
        <v>3945</v>
      </c>
      <c r="W3254" s="25">
        <f>IFERROR(VLOOKUP(BCP_Soles[[#This Row],[DESTINATARIO]],CHOOSE({1,2},Clientes_Proveedores[Razon Social],Clientes_Proveedores[Ruc / Dni]),2,0),"")</f>
        <v>20455911401</v>
      </c>
      <c r="X3254" s="25"/>
      <c r="Y3254" s="25"/>
      <c r="Z3254" s="25"/>
      <c r="AA3254" s="101"/>
      <c r="AB3254" s="3" t="str">
        <f>IF(BCP_Soles[[#This Row],[FECHA]]&gt;0,TEXT(BCP_Soles[[#This Row],[FECHA]],"mmmm"),0)</f>
        <v>Agosto</v>
      </c>
    </row>
    <row r="3255" spans="2:28" ht="36" x14ac:dyDescent="0.3">
      <c r="B3255" s="2" t="str">
        <f>IF(BCP_Soles[[#This Row],[TIPO DE R.]]="R",COUNTIFS($D$4:$D3254,"R")+1,"")</f>
        <v/>
      </c>
      <c r="C3255" s="19" t="str">
        <f t="shared" si="250"/>
        <v>B-BCP - Soles</v>
      </c>
      <c r="D3255" s="3" t="s">
        <v>1101</v>
      </c>
      <c r="E3255" s="14">
        <v>45888</v>
      </c>
      <c r="F3255" s="5" t="s">
        <v>1082</v>
      </c>
      <c r="G3255" s="5"/>
      <c r="H3255" s="6" t="s">
        <v>617</v>
      </c>
      <c r="I3255" s="6" t="s">
        <v>14</v>
      </c>
      <c r="J3255" s="6" t="s">
        <v>2629</v>
      </c>
      <c r="K3255" s="6">
        <v>2138</v>
      </c>
      <c r="L3255" s="7" t="s">
        <v>3944</v>
      </c>
      <c r="M3255" s="8">
        <v>1209638</v>
      </c>
      <c r="N3255" s="8" t="str">
        <f t="shared" si="251"/>
        <v>PEN</v>
      </c>
      <c r="O3255" s="13">
        <v>259.08</v>
      </c>
      <c r="P3255" s="13"/>
      <c r="Q3255" s="3">
        <f t="shared" si="252"/>
        <v>0</v>
      </c>
      <c r="R3255" s="3">
        <f t="shared" si="253"/>
        <v>0</v>
      </c>
      <c r="S3255" s="3">
        <f t="shared" si="254"/>
        <v>13078.409999999973</v>
      </c>
      <c r="T3255" s="24" t="s">
        <v>1081</v>
      </c>
      <c r="U3255" s="24" t="s">
        <v>1081</v>
      </c>
      <c r="V3255" s="70" t="s">
        <v>3945</v>
      </c>
      <c r="W3255" s="25">
        <f>IFERROR(VLOOKUP(BCP_Soles[[#This Row],[DESTINATARIO]],CHOOSE({1,2},Clientes_Proveedores[Razon Social],Clientes_Proveedores[Ruc / Dni]),2,0),"")</f>
        <v>20455911401</v>
      </c>
      <c r="X3255" s="25"/>
      <c r="Y3255" s="25"/>
      <c r="Z3255" s="25"/>
      <c r="AA3255" s="101"/>
      <c r="AB3255" s="3" t="str">
        <f>IF(BCP_Soles[[#This Row],[FECHA]]&gt;0,TEXT(BCP_Soles[[#This Row],[FECHA]],"mmmm"),0)</f>
        <v>Agosto</v>
      </c>
    </row>
    <row r="3256" spans="2:28" ht="24" x14ac:dyDescent="0.3">
      <c r="B3256" s="2">
        <f>IF(BCP_Soles[[#This Row],[TIPO DE R.]]="R",COUNTIFS($D$4:$D3255,"R")+1,"")</f>
        <v>2249</v>
      </c>
      <c r="C3256" s="19" t="str">
        <f t="shared" si="250"/>
        <v>B-BCP - Soles</v>
      </c>
      <c r="D3256" s="3" t="s">
        <v>1074</v>
      </c>
      <c r="E3256" s="14">
        <v>45888</v>
      </c>
      <c r="F3256" s="5" t="s">
        <v>1082</v>
      </c>
      <c r="G3256" s="5" t="s">
        <v>1079</v>
      </c>
      <c r="H3256" s="6" t="s">
        <v>924</v>
      </c>
      <c r="I3256" s="6" t="s">
        <v>14</v>
      </c>
      <c r="J3256" s="6" t="s">
        <v>1121</v>
      </c>
      <c r="K3256" s="6">
        <v>2</v>
      </c>
      <c r="L3256" s="7" t="s">
        <v>3946</v>
      </c>
      <c r="M3256" s="8">
        <v>1211610</v>
      </c>
      <c r="N3256" s="8" t="str">
        <f t="shared" si="251"/>
        <v>PEN</v>
      </c>
      <c r="O3256" s="13"/>
      <c r="P3256" s="13">
        <v>623</v>
      </c>
      <c r="Q3256" s="3">
        <f t="shared" si="252"/>
        <v>0</v>
      </c>
      <c r="R3256" s="3">
        <f t="shared" si="253"/>
        <v>623</v>
      </c>
      <c r="S3256" s="3">
        <f t="shared" si="254"/>
        <v>12455.409999999973</v>
      </c>
      <c r="T3256" s="24" t="s">
        <v>1081</v>
      </c>
      <c r="U3256" s="24" t="s">
        <v>1081</v>
      </c>
      <c r="V3256" s="70" t="s">
        <v>3947</v>
      </c>
      <c r="W3256" s="25">
        <f>IFERROR(VLOOKUP(BCP_Soles[[#This Row],[DESTINATARIO]],CHOOSE({1,2},Clientes_Proveedores[Razon Social],Clientes_Proveedores[Ruc / Dni]),2,0),"")</f>
        <v>20613747096</v>
      </c>
      <c r="X3256" s="25"/>
      <c r="Y3256" s="25"/>
      <c r="Z3256" s="25"/>
      <c r="AA3256" s="101"/>
      <c r="AB3256" s="3" t="str">
        <f>IF(BCP_Soles[[#This Row],[FECHA]]&gt;0,TEXT(BCP_Soles[[#This Row],[FECHA]],"mmmm"),0)</f>
        <v>Agosto</v>
      </c>
    </row>
    <row r="3257" spans="2:28" ht="24" x14ac:dyDescent="0.3">
      <c r="B3257" s="2">
        <f>IF(BCP_Soles[[#This Row],[TIPO DE R.]]="R",COUNTIFS($D$4:$D3256,"R")+1,"")</f>
        <v>2250</v>
      </c>
      <c r="C3257" s="19" t="str">
        <f t="shared" si="250"/>
        <v>B-BCP - Soles</v>
      </c>
      <c r="D3257" s="3" t="s">
        <v>1074</v>
      </c>
      <c r="E3257" s="14">
        <v>45888</v>
      </c>
      <c r="F3257" s="5" t="s">
        <v>1082</v>
      </c>
      <c r="G3257" s="5" t="s">
        <v>1079</v>
      </c>
      <c r="H3257" s="6" t="s">
        <v>814</v>
      </c>
      <c r="I3257" s="6"/>
      <c r="J3257" s="6"/>
      <c r="K3257" s="6"/>
      <c r="L3257" s="7" t="s">
        <v>3948</v>
      </c>
      <c r="M3257" s="8">
        <v>1209174</v>
      </c>
      <c r="N3257" s="8" t="str">
        <f t="shared" si="251"/>
        <v>PEN</v>
      </c>
      <c r="O3257" s="13"/>
      <c r="P3257" s="13">
        <v>1000</v>
      </c>
      <c r="Q3257" s="3">
        <f t="shared" si="252"/>
        <v>0</v>
      </c>
      <c r="R3257" s="3">
        <f t="shared" si="253"/>
        <v>1000</v>
      </c>
      <c r="S3257" s="3">
        <f t="shared" si="254"/>
        <v>11455.409999999973</v>
      </c>
      <c r="T3257" s="24"/>
      <c r="U3257" s="24"/>
      <c r="V3257" s="70" t="s">
        <v>3949</v>
      </c>
      <c r="W3257" s="25">
        <f>IFERROR(VLOOKUP(BCP_Soles[[#This Row],[DESTINATARIO]],CHOOSE({1,2},Clientes_Proveedores[Razon Social],Clientes_Proveedores[Ruc / Dni]),2,0),"")</f>
        <v>80355193</v>
      </c>
      <c r="X3257" s="25"/>
      <c r="Y3257" s="25"/>
      <c r="Z3257" s="25"/>
      <c r="AA3257" s="101"/>
      <c r="AB3257" s="3" t="str">
        <f>IF(BCP_Soles[[#This Row],[FECHA]]&gt;0,TEXT(BCP_Soles[[#This Row],[FECHA]],"mmmm"),0)</f>
        <v>Agosto</v>
      </c>
    </row>
    <row r="3258" spans="2:28" ht="24" x14ac:dyDescent="0.3">
      <c r="B3258" s="2">
        <f>IF(BCP_Soles[[#This Row],[TIPO DE R.]]="R",COUNTIFS($D$4:$D3257,"R")+1,"")</f>
        <v>2251</v>
      </c>
      <c r="C3258" s="19" t="str">
        <f t="shared" si="250"/>
        <v>B-BCP - Soles</v>
      </c>
      <c r="D3258" s="3" t="s">
        <v>1074</v>
      </c>
      <c r="E3258" s="14">
        <v>45888</v>
      </c>
      <c r="F3258" s="5" t="s">
        <v>1082</v>
      </c>
      <c r="G3258" s="5" t="s">
        <v>1079</v>
      </c>
      <c r="H3258" s="6" t="s">
        <v>192</v>
      </c>
      <c r="I3258" s="6"/>
      <c r="J3258" s="6"/>
      <c r="K3258" s="6"/>
      <c r="L3258" s="7" t="s">
        <v>3950</v>
      </c>
      <c r="M3258" s="8">
        <v>1209173</v>
      </c>
      <c r="N3258" s="8" t="str">
        <f t="shared" si="251"/>
        <v>PEN</v>
      </c>
      <c r="O3258" s="13"/>
      <c r="P3258" s="13">
        <v>3000</v>
      </c>
      <c r="Q3258" s="3">
        <f t="shared" si="252"/>
        <v>0</v>
      </c>
      <c r="R3258" s="3">
        <f t="shared" si="253"/>
        <v>3000</v>
      </c>
      <c r="S3258" s="3">
        <f t="shared" si="254"/>
        <v>8455.4099999999726</v>
      </c>
      <c r="T3258" s="24"/>
      <c r="U3258" s="24"/>
      <c r="V3258" s="70" t="s">
        <v>3951</v>
      </c>
      <c r="W3258" s="25">
        <f>IFERROR(VLOOKUP(BCP_Soles[[#This Row],[DESTINATARIO]],CHOOSE({1,2},Clientes_Proveedores[Razon Social],Clientes_Proveedores[Ruc / Dni]),2,0),"")</f>
        <v>20302891452</v>
      </c>
      <c r="X3258" s="25"/>
      <c r="Y3258" s="25"/>
      <c r="Z3258" s="25"/>
      <c r="AA3258" s="101"/>
      <c r="AB3258" s="3" t="str">
        <f>IF(BCP_Soles[[#This Row],[FECHA]]&gt;0,TEXT(BCP_Soles[[#This Row],[FECHA]],"mmmm"),0)</f>
        <v>Agosto</v>
      </c>
    </row>
    <row r="3259" spans="2:28" x14ac:dyDescent="0.3">
      <c r="B3259" s="2">
        <f>IF(BCP_Soles[[#This Row],[TIPO DE R.]]="R",COUNTIFS($D$4:$D3258,"R")+1,"")</f>
        <v>2252</v>
      </c>
      <c r="C3259" s="19" t="str">
        <f t="shared" si="250"/>
        <v>B-BCP - Soles</v>
      </c>
      <c r="D3259" s="3" t="s">
        <v>1074</v>
      </c>
      <c r="E3259" s="14">
        <v>45888</v>
      </c>
      <c r="F3259" s="5" t="s">
        <v>1078</v>
      </c>
      <c r="G3259" s="5" t="s">
        <v>1079</v>
      </c>
      <c r="H3259" s="6"/>
      <c r="I3259" s="6"/>
      <c r="J3259" s="6"/>
      <c r="K3259" s="6"/>
      <c r="L3259" s="7" t="s">
        <v>2868</v>
      </c>
      <c r="M3259" s="8"/>
      <c r="N3259" s="8" t="str">
        <f t="shared" si="251"/>
        <v>PEN</v>
      </c>
      <c r="O3259" s="13"/>
      <c r="P3259" s="13">
        <v>0.2</v>
      </c>
      <c r="Q3259" s="3">
        <f t="shared" si="252"/>
        <v>0</v>
      </c>
      <c r="R3259" s="3">
        <f t="shared" si="253"/>
        <v>0.2</v>
      </c>
      <c r="S3259" s="3">
        <f t="shared" si="254"/>
        <v>8455.2099999999718</v>
      </c>
      <c r="T3259" s="24"/>
      <c r="U3259" s="24"/>
      <c r="V3259" s="69"/>
      <c r="W3259" s="25" t="str">
        <f>IFERROR(VLOOKUP(BCP_Soles[[#This Row],[DESTINATARIO]],CHOOSE({1,2},Clientes_Proveedores[Razon Social],Clientes_Proveedores[Ruc / Dni]),2,0),"")</f>
        <v/>
      </c>
      <c r="X3259" s="25"/>
      <c r="Y3259" s="25"/>
      <c r="Z3259" s="25"/>
      <c r="AA3259" s="101"/>
      <c r="AB3259" s="3" t="str">
        <f>IF(BCP_Soles[[#This Row],[FECHA]]&gt;0,TEXT(BCP_Soles[[#This Row],[FECHA]],"mmmm"),0)</f>
        <v>Agosto</v>
      </c>
    </row>
    <row r="3260" spans="2:28" ht="24" x14ac:dyDescent="0.3">
      <c r="B3260" s="2">
        <f>IF(BCP_Soles[[#This Row],[TIPO DE R.]]="R",COUNTIFS($D$4:$D3259,"R")+1,"")</f>
        <v>2253</v>
      </c>
      <c r="C3260" s="19" t="str">
        <f t="shared" si="250"/>
        <v>B-BCP - Soles</v>
      </c>
      <c r="D3260" s="3" t="s">
        <v>1074</v>
      </c>
      <c r="E3260" s="14">
        <v>45889</v>
      </c>
      <c r="F3260" s="5" t="s">
        <v>217</v>
      </c>
      <c r="G3260" s="5" t="s">
        <v>1087</v>
      </c>
      <c r="H3260" s="6" t="s">
        <v>368</v>
      </c>
      <c r="I3260" s="6" t="s">
        <v>14</v>
      </c>
      <c r="J3260" s="6" t="s">
        <v>3010</v>
      </c>
      <c r="K3260" s="6">
        <v>109</v>
      </c>
      <c r="L3260" s="7" t="s">
        <v>3952</v>
      </c>
      <c r="M3260" s="8">
        <v>2227995</v>
      </c>
      <c r="N3260" s="8" t="str">
        <f t="shared" si="251"/>
        <v>PEN</v>
      </c>
      <c r="O3260" s="13"/>
      <c r="P3260" s="13">
        <v>541.20000000000005</v>
      </c>
      <c r="Q3260" s="3">
        <f t="shared" si="252"/>
        <v>541.20000000000005</v>
      </c>
      <c r="R3260" s="3">
        <f t="shared" si="253"/>
        <v>0</v>
      </c>
      <c r="S3260" s="3">
        <f t="shared" si="254"/>
        <v>8996.4099999999726</v>
      </c>
      <c r="T3260" s="24" t="s">
        <v>1081</v>
      </c>
      <c r="U3260" s="24" t="s">
        <v>1081</v>
      </c>
      <c r="V3260" s="69"/>
      <c r="W3260" s="25">
        <f>IFERROR(VLOOKUP(BCP_Soles[[#This Row],[DESTINATARIO]],CHOOSE({1,2},Clientes_Proveedores[Razon Social],Clientes_Proveedores[Ruc / Dni]),2,0),"")</f>
        <v>20558226979</v>
      </c>
      <c r="X3260" s="25"/>
      <c r="Y3260" s="25"/>
      <c r="Z3260" s="25"/>
      <c r="AA3260" s="101"/>
      <c r="AB3260" s="3" t="str">
        <f>IF(BCP_Soles[[#This Row],[FECHA]]&gt;0,TEXT(BCP_Soles[[#This Row],[FECHA]],"mmmm"),0)</f>
        <v>Agosto</v>
      </c>
    </row>
    <row r="3261" spans="2:28" x14ac:dyDescent="0.3">
      <c r="B3261" s="2">
        <f>IF(BCP_Soles[[#This Row],[TIPO DE R.]]="R",COUNTIFS($D$4:$D3260,"R")+1,"")</f>
        <v>2254</v>
      </c>
      <c r="C3261" s="19" t="str">
        <f t="shared" si="250"/>
        <v>B-BCP - Soles</v>
      </c>
      <c r="D3261" s="3" t="s">
        <v>1074</v>
      </c>
      <c r="E3261" s="14">
        <v>45889</v>
      </c>
      <c r="F3261" s="5"/>
      <c r="G3261" s="5" t="s">
        <v>1087</v>
      </c>
      <c r="H3261" s="6" t="s">
        <v>368</v>
      </c>
      <c r="I3261" s="6"/>
      <c r="J3261" s="6"/>
      <c r="K3261" s="6"/>
      <c r="L3261" s="7" t="s">
        <v>1100</v>
      </c>
      <c r="M3261" s="8">
        <v>716583</v>
      </c>
      <c r="N3261" s="8" t="str">
        <f t="shared" si="251"/>
        <v>PEN</v>
      </c>
      <c r="O3261" s="13"/>
      <c r="P3261" s="13">
        <v>44.5</v>
      </c>
      <c r="Q3261" s="3">
        <f t="shared" si="252"/>
        <v>44.5</v>
      </c>
      <c r="R3261" s="3">
        <f t="shared" si="253"/>
        <v>0</v>
      </c>
      <c r="S3261" s="3">
        <f t="shared" si="254"/>
        <v>9040.9099999999726</v>
      </c>
      <c r="T3261" s="24" t="s">
        <v>1081</v>
      </c>
      <c r="U3261" s="24"/>
      <c r="V3261" s="69"/>
      <c r="W3261" s="25">
        <f>IFERROR(VLOOKUP(BCP_Soles[[#This Row],[DESTINATARIO]],CHOOSE({1,2},Clientes_Proveedores[Razon Social],Clientes_Proveedores[Ruc / Dni]),2,0),"")</f>
        <v>20558226979</v>
      </c>
      <c r="X3261" s="25"/>
      <c r="Y3261" s="25"/>
      <c r="Z3261" s="25"/>
      <c r="AA3261" s="101"/>
      <c r="AB3261" s="3" t="str">
        <f>IF(BCP_Soles[[#This Row],[FECHA]]&gt;0,TEXT(BCP_Soles[[#This Row],[FECHA]],"mmmm"),0)</f>
        <v>Agosto</v>
      </c>
    </row>
    <row r="3262" spans="2:28" x14ac:dyDescent="0.3">
      <c r="B3262" s="2" t="str">
        <f>IF(BCP_Soles[[#This Row],[TIPO DE R.]]="R",COUNTIFS($D$4:$D3261,"R")+1,"")</f>
        <v/>
      </c>
      <c r="C3262" s="19" t="str">
        <f t="shared" si="250"/>
        <v>B-BCP - Soles</v>
      </c>
      <c r="D3262" s="3" t="s">
        <v>1101</v>
      </c>
      <c r="E3262" s="14">
        <v>45889</v>
      </c>
      <c r="F3262" s="5" t="s">
        <v>3953</v>
      </c>
      <c r="G3262" s="5"/>
      <c r="H3262" s="6"/>
      <c r="I3262" s="6" t="s">
        <v>63</v>
      </c>
      <c r="J3262" s="6">
        <v>1</v>
      </c>
      <c r="K3262" s="6">
        <v>4680</v>
      </c>
      <c r="L3262" s="7" t="s">
        <v>1100</v>
      </c>
      <c r="M3262" s="8">
        <v>716583</v>
      </c>
      <c r="N3262" s="8" t="str">
        <f t="shared" si="251"/>
        <v>PEN</v>
      </c>
      <c r="O3262" s="13">
        <v>41</v>
      </c>
      <c r="P3262" s="13"/>
      <c r="Q3262" s="3">
        <f t="shared" si="252"/>
        <v>0</v>
      </c>
      <c r="R3262" s="3">
        <f t="shared" si="253"/>
        <v>0</v>
      </c>
      <c r="S3262" s="3">
        <f t="shared" si="254"/>
        <v>9040.9099999999726</v>
      </c>
      <c r="T3262" s="24" t="s">
        <v>1081</v>
      </c>
      <c r="U3262" s="24"/>
      <c r="V3262" s="69"/>
      <c r="W3262" s="25" t="str">
        <f>IFERROR(VLOOKUP(BCP_Soles[[#This Row],[DESTINATARIO]],CHOOSE({1,2},Clientes_Proveedores[Razon Social],Clientes_Proveedores[Ruc / Dni]),2,0),"")</f>
        <v/>
      </c>
      <c r="X3262" s="25"/>
      <c r="Y3262" s="25"/>
      <c r="Z3262" s="25"/>
      <c r="AA3262" s="101"/>
      <c r="AB3262" s="3" t="str">
        <f>IF(BCP_Soles[[#This Row],[FECHA]]&gt;0,TEXT(BCP_Soles[[#This Row],[FECHA]],"mmmm"),0)</f>
        <v>Agosto</v>
      </c>
    </row>
    <row r="3263" spans="2:28" x14ac:dyDescent="0.3">
      <c r="B3263" s="2" t="str">
        <f>IF(BCP_Soles[[#This Row],[TIPO DE R.]]="R",COUNTIFS($D$4:$D3262,"R")+1,"")</f>
        <v/>
      </c>
      <c r="C3263" s="19" t="str">
        <f t="shared" si="250"/>
        <v>B-BCP - Soles</v>
      </c>
      <c r="D3263" s="3" t="s">
        <v>1101</v>
      </c>
      <c r="E3263" s="14">
        <v>45889</v>
      </c>
      <c r="F3263" s="5" t="s">
        <v>3953</v>
      </c>
      <c r="G3263" s="5"/>
      <c r="H3263" s="6"/>
      <c r="I3263" s="6" t="s">
        <v>63</v>
      </c>
      <c r="J3263" s="6">
        <v>1</v>
      </c>
      <c r="K3263" s="6">
        <v>4681</v>
      </c>
      <c r="L3263" s="7" t="s">
        <v>1100</v>
      </c>
      <c r="M3263" s="8">
        <v>716583</v>
      </c>
      <c r="N3263" s="8" t="str">
        <f t="shared" si="251"/>
        <v>PEN</v>
      </c>
      <c r="O3263" s="13">
        <v>3.5</v>
      </c>
      <c r="P3263" s="13"/>
      <c r="Q3263" s="3">
        <f t="shared" si="252"/>
        <v>0</v>
      </c>
      <c r="R3263" s="3">
        <f t="shared" si="253"/>
        <v>0</v>
      </c>
      <c r="S3263" s="3">
        <f t="shared" si="254"/>
        <v>9040.9099999999726</v>
      </c>
      <c r="T3263" s="24" t="s">
        <v>1081</v>
      </c>
      <c r="U3263" s="24"/>
      <c r="V3263" s="69"/>
      <c r="W3263" s="25" t="str">
        <f>IFERROR(VLOOKUP(BCP_Soles[[#This Row],[DESTINATARIO]],CHOOSE({1,2},Clientes_Proveedores[Razon Social],Clientes_Proveedores[Ruc / Dni]),2,0),"")</f>
        <v/>
      </c>
      <c r="X3263" s="25"/>
      <c r="Y3263" s="25"/>
      <c r="Z3263" s="25"/>
      <c r="AA3263" s="101"/>
      <c r="AB3263" s="3" t="str">
        <f>IF(BCP_Soles[[#This Row],[FECHA]]&gt;0,TEXT(BCP_Soles[[#This Row],[FECHA]],"mmmm"),0)</f>
        <v>Agosto</v>
      </c>
    </row>
    <row r="3264" spans="2:28" ht="24" x14ac:dyDescent="0.3">
      <c r="B3264" s="2">
        <f>IF(BCP_Soles[[#This Row],[TIPO DE R.]]="R",COUNTIFS($D$4:$D3263,"R")+1,"")</f>
        <v>2255</v>
      </c>
      <c r="C3264" s="19" t="str">
        <f t="shared" si="250"/>
        <v>B-BCP - Soles</v>
      </c>
      <c r="D3264" s="3" t="s">
        <v>1074</v>
      </c>
      <c r="E3264" s="14">
        <v>45889</v>
      </c>
      <c r="F3264" s="5" t="s">
        <v>1745</v>
      </c>
      <c r="G3264" s="5" t="s">
        <v>1087</v>
      </c>
      <c r="H3264" s="6" t="s">
        <v>368</v>
      </c>
      <c r="I3264" s="6" t="s">
        <v>63</v>
      </c>
      <c r="J3264" s="6">
        <v>1</v>
      </c>
      <c r="K3264" s="6">
        <v>4675</v>
      </c>
      <c r="L3264" s="7" t="s">
        <v>1100</v>
      </c>
      <c r="M3264" s="8">
        <v>701593</v>
      </c>
      <c r="N3264" s="8" t="str">
        <f t="shared" si="251"/>
        <v>PEN</v>
      </c>
      <c r="O3264" s="13"/>
      <c r="P3264" s="13">
        <v>214</v>
      </c>
      <c r="Q3264" s="3">
        <f t="shared" si="252"/>
        <v>214</v>
      </c>
      <c r="R3264" s="3">
        <f t="shared" si="253"/>
        <v>0</v>
      </c>
      <c r="S3264" s="3">
        <f t="shared" si="254"/>
        <v>9254.9099999999726</v>
      </c>
      <c r="T3264" s="24" t="s">
        <v>1081</v>
      </c>
      <c r="U3264" s="24"/>
      <c r="V3264" s="70"/>
      <c r="W3264" s="25">
        <f>IFERROR(VLOOKUP(BCP_Soles[[#This Row],[DESTINATARIO]],CHOOSE({1,2},Clientes_Proveedores[Razon Social],Clientes_Proveedores[Ruc / Dni]),2,0),"")</f>
        <v>20558226979</v>
      </c>
      <c r="X3264" s="25"/>
      <c r="Y3264" s="25"/>
      <c r="Z3264" s="25"/>
      <c r="AA3264" s="101"/>
      <c r="AB3264" s="3" t="str">
        <f>IF(BCP_Soles[[#This Row],[FECHA]]&gt;0,TEXT(BCP_Soles[[#This Row],[FECHA]],"mmmm"),0)</f>
        <v>Agosto</v>
      </c>
    </row>
    <row r="3265" spans="2:28" ht="24" x14ac:dyDescent="0.3">
      <c r="B3265" s="2">
        <f>IF(BCP_Soles[[#This Row],[TIPO DE R.]]="R",COUNTIFS($D$4:$D3264,"R")+1,"")</f>
        <v>2256</v>
      </c>
      <c r="C3265" s="19" t="str">
        <f t="shared" si="250"/>
        <v>B-BCP - Soles</v>
      </c>
      <c r="D3265" s="3" t="s">
        <v>1074</v>
      </c>
      <c r="E3265" s="14">
        <v>45889</v>
      </c>
      <c r="F3265" s="5" t="s">
        <v>3883</v>
      </c>
      <c r="G3265" s="5" t="s">
        <v>1079</v>
      </c>
      <c r="H3265" s="6" t="s">
        <v>925</v>
      </c>
      <c r="I3265" s="6"/>
      <c r="J3265" s="6"/>
      <c r="K3265" s="6"/>
      <c r="L3265" s="7" t="s">
        <v>3954</v>
      </c>
      <c r="M3265" s="8">
        <v>1015180</v>
      </c>
      <c r="N3265" s="8" t="str">
        <f t="shared" si="251"/>
        <v>PEN</v>
      </c>
      <c r="O3265" s="13"/>
      <c r="P3265" s="13">
        <v>434.24</v>
      </c>
      <c r="Q3265" s="3">
        <f t="shared" si="252"/>
        <v>0</v>
      </c>
      <c r="R3265" s="3">
        <f t="shared" si="253"/>
        <v>434.24</v>
      </c>
      <c r="S3265" s="3">
        <f t="shared" si="254"/>
        <v>8820.6699999999728</v>
      </c>
      <c r="T3265" s="24"/>
      <c r="U3265" s="24"/>
      <c r="V3265" s="70" t="s">
        <v>3955</v>
      </c>
      <c r="W3265" s="25">
        <f>IFERROR(VLOOKUP(BCP_Soles[[#This Row],[DESTINATARIO]],CHOOSE({1,2},Clientes_Proveedores[Razon Social],Clientes_Proveedores[Ruc / Dni]),2,0),"")</f>
        <v>20455823880</v>
      </c>
      <c r="X3265" s="25"/>
      <c r="Y3265" s="25"/>
      <c r="Z3265" s="25"/>
      <c r="AA3265" s="101"/>
      <c r="AB3265" s="3" t="str">
        <f>IF(BCP_Soles[[#This Row],[FECHA]]&gt;0,TEXT(BCP_Soles[[#This Row],[FECHA]],"mmmm"),0)</f>
        <v>Agosto</v>
      </c>
    </row>
    <row r="3266" spans="2:28" ht="24" x14ac:dyDescent="0.3">
      <c r="B3266" s="2">
        <f>IF(BCP_Soles[[#This Row],[TIPO DE R.]]="R",COUNTIFS($D$4:$D3265,"R")+1,"")</f>
        <v>2257</v>
      </c>
      <c r="C3266" s="19" t="str">
        <f t="shared" si="250"/>
        <v>B-BCP - Soles</v>
      </c>
      <c r="D3266" s="3" t="s">
        <v>1074</v>
      </c>
      <c r="E3266" s="14">
        <v>45889</v>
      </c>
      <c r="F3266" s="5" t="s">
        <v>1082</v>
      </c>
      <c r="G3266" s="5" t="s">
        <v>1079</v>
      </c>
      <c r="H3266" s="6" t="s">
        <v>798</v>
      </c>
      <c r="I3266" s="6" t="s">
        <v>87</v>
      </c>
      <c r="J3266" s="6">
        <v>1</v>
      </c>
      <c r="K3266" s="6">
        <v>582025</v>
      </c>
      <c r="L3266" s="7" t="s">
        <v>3956</v>
      </c>
      <c r="M3266" s="8">
        <v>1013388</v>
      </c>
      <c r="N3266" s="8" t="str">
        <f t="shared" si="251"/>
        <v>PEN</v>
      </c>
      <c r="O3266" s="13"/>
      <c r="P3266" s="13">
        <v>238</v>
      </c>
      <c r="Q3266" s="3">
        <f t="shared" si="252"/>
        <v>0</v>
      </c>
      <c r="R3266" s="3">
        <f t="shared" si="253"/>
        <v>238</v>
      </c>
      <c r="S3266" s="3">
        <f t="shared" si="254"/>
        <v>8582.6699999999728</v>
      </c>
      <c r="T3266" s="24" t="s">
        <v>1081</v>
      </c>
      <c r="U3266" s="24" t="s">
        <v>1081</v>
      </c>
      <c r="V3266" s="70" t="s">
        <v>3957</v>
      </c>
      <c r="W3266" s="25">
        <f>IFERROR(VLOOKUP(BCP_Soles[[#This Row],[DESTINATARIO]],CHOOSE({1,2},Clientes_Proveedores[Razon Social],Clientes_Proveedores[Ruc / Dni]),2,0),"")</f>
        <v>70666331</v>
      </c>
      <c r="X3266" s="25"/>
      <c r="Y3266" s="25"/>
      <c r="Z3266" s="25"/>
      <c r="AA3266" s="101"/>
      <c r="AB3266" s="3" t="str">
        <f>IF(BCP_Soles[[#This Row],[FECHA]]&gt;0,TEXT(BCP_Soles[[#This Row],[FECHA]],"mmmm"),0)</f>
        <v>Agosto</v>
      </c>
    </row>
    <row r="3267" spans="2:28" ht="24" x14ac:dyDescent="0.3">
      <c r="B3267" s="2">
        <f>IF(BCP_Soles[[#This Row],[TIPO DE R.]]="R",COUNTIFS($D$4:$D3266,"R")+1,"")</f>
        <v>2258</v>
      </c>
      <c r="C3267" s="19" t="str">
        <f t="shared" si="250"/>
        <v>B-BCP - Soles</v>
      </c>
      <c r="D3267" s="3" t="s">
        <v>1074</v>
      </c>
      <c r="E3267" s="14">
        <v>45889</v>
      </c>
      <c r="F3267" s="5" t="s">
        <v>1082</v>
      </c>
      <c r="G3267" s="5" t="s">
        <v>1079</v>
      </c>
      <c r="H3267" s="6" t="s">
        <v>925</v>
      </c>
      <c r="I3267" s="6"/>
      <c r="J3267" s="6"/>
      <c r="K3267" s="6"/>
      <c r="L3267" s="7" t="s">
        <v>3958</v>
      </c>
      <c r="M3267" s="8">
        <v>1015674</v>
      </c>
      <c r="N3267" s="8" t="str">
        <f t="shared" si="251"/>
        <v>PEN</v>
      </c>
      <c r="O3267" s="13"/>
      <c r="P3267" s="13">
        <v>434.24</v>
      </c>
      <c r="Q3267" s="3">
        <f t="shared" si="252"/>
        <v>0</v>
      </c>
      <c r="R3267" s="3">
        <f t="shared" si="253"/>
        <v>434.24</v>
      </c>
      <c r="S3267" s="3">
        <f t="shared" si="254"/>
        <v>8148.429999999973</v>
      </c>
      <c r="T3267" s="24"/>
      <c r="U3267" s="24"/>
      <c r="V3267" s="70" t="s">
        <v>3959</v>
      </c>
      <c r="W3267" s="25">
        <f>IFERROR(VLOOKUP(BCP_Soles[[#This Row],[DESTINATARIO]],CHOOSE({1,2},Clientes_Proveedores[Razon Social],Clientes_Proveedores[Ruc / Dni]),2,0),"")</f>
        <v>20455823880</v>
      </c>
      <c r="X3267" s="25"/>
      <c r="Y3267" s="25"/>
      <c r="Z3267" s="25"/>
      <c r="AA3267" s="101"/>
      <c r="AB3267" s="3" t="str">
        <f>IF(BCP_Soles[[#This Row],[FECHA]]&gt;0,TEXT(BCP_Soles[[#This Row],[FECHA]],"mmmm"),0)</f>
        <v>Agosto</v>
      </c>
    </row>
    <row r="3268" spans="2:28" ht="24" x14ac:dyDescent="0.3">
      <c r="B3268" s="2">
        <f>IF(BCP_Soles[[#This Row],[TIPO DE R.]]="R",COUNTIFS($D$4:$D3267,"R")+1,"")</f>
        <v>2259</v>
      </c>
      <c r="C3268" s="19" t="str">
        <f t="shared" si="250"/>
        <v>B-BCP - Soles</v>
      </c>
      <c r="D3268" s="3" t="s">
        <v>1074</v>
      </c>
      <c r="E3268" s="14">
        <v>45889</v>
      </c>
      <c r="F3268" s="5" t="s">
        <v>1082</v>
      </c>
      <c r="G3268" s="5" t="s">
        <v>1079</v>
      </c>
      <c r="H3268" s="6" t="s">
        <v>517</v>
      </c>
      <c r="I3268" s="6"/>
      <c r="J3268" s="6"/>
      <c r="K3268" s="6"/>
      <c r="L3268" s="7" t="s">
        <v>3960</v>
      </c>
      <c r="M3268" s="8">
        <v>4016078</v>
      </c>
      <c r="N3268" s="8" t="str">
        <f t="shared" si="251"/>
        <v>PEN</v>
      </c>
      <c r="O3268" s="13"/>
      <c r="P3268" s="13">
        <v>1852.78</v>
      </c>
      <c r="Q3268" s="3">
        <f t="shared" si="252"/>
        <v>0</v>
      </c>
      <c r="R3268" s="3">
        <f t="shared" si="253"/>
        <v>1852.78</v>
      </c>
      <c r="S3268" s="3">
        <f t="shared" si="254"/>
        <v>6295.6499999999733</v>
      </c>
      <c r="T3268" s="24"/>
      <c r="U3268" s="24"/>
      <c r="V3268" s="70" t="s">
        <v>3961</v>
      </c>
      <c r="W3268" s="25">
        <f>IFERROR(VLOOKUP(BCP_Soles[[#This Row],[DESTINATARIO]],CHOOSE({1,2},Clientes_Proveedores[Razon Social],Clientes_Proveedores[Ruc / Dni]),2,0),"")</f>
        <v>20608970909</v>
      </c>
      <c r="X3268" s="25"/>
      <c r="Y3268" s="25"/>
      <c r="Z3268" s="25"/>
      <c r="AA3268" s="101"/>
      <c r="AB3268" s="3" t="str">
        <f>IF(BCP_Soles[[#This Row],[FECHA]]&gt;0,TEXT(BCP_Soles[[#This Row],[FECHA]],"mmmm"),0)</f>
        <v>Agosto</v>
      </c>
    </row>
    <row r="3269" spans="2:28" ht="24" x14ac:dyDescent="0.3">
      <c r="B3269" s="2" t="str">
        <f>IF(BCP_Soles[[#This Row],[TIPO DE R.]]="R",COUNTIFS($D$4:$D3268,"R")+1,"")</f>
        <v/>
      </c>
      <c r="C3269" s="19" t="str">
        <f t="shared" ref="C3269:C3332" si="255">"B-BCP - Soles"</f>
        <v>B-BCP - Soles</v>
      </c>
      <c r="D3269" s="3" t="s">
        <v>1101</v>
      </c>
      <c r="E3269" s="14">
        <v>45889</v>
      </c>
      <c r="F3269" s="5" t="s">
        <v>1082</v>
      </c>
      <c r="G3269" s="5"/>
      <c r="H3269" s="6" t="s">
        <v>517</v>
      </c>
      <c r="I3269" s="6" t="s">
        <v>14</v>
      </c>
      <c r="J3269" s="6"/>
      <c r="K3269" s="6"/>
      <c r="L3269" s="7" t="s">
        <v>3960</v>
      </c>
      <c r="M3269" s="8">
        <v>4016078</v>
      </c>
      <c r="N3269" s="8" t="str">
        <f t="shared" ref="N3269:N3332" si="256">"PEN"</f>
        <v>PEN</v>
      </c>
      <c r="O3269" s="13">
        <v>1840.08</v>
      </c>
      <c r="P3269" s="13"/>
      <c r="Q3269" s="3">
        <f t="shared" ref="Q3269:Q3332" si="257">+IF(OR($G3269="SALDO",$G3269="INGRESO"),$P3269,0)</f>
        <v>0</v>
      </c>
      <c r="R3269" s="3">
        <f t="shared" ref="R3269:R3332" si="258">+IF($G3269="EGRESO",$P3269,0)</f>
        <v>0</v>
      </c>
      <c r="S3269" s="3">
        <f t="shared" ref="S3269:S3332" si="259">IFERROR(IF(G3269="SALDO",Q3269,S3268+Q3269-R3269),0)</f>
        <v>6295.6499999999733</v>
      </c>
      <c r="T3269" s="24"/>
      <c r="U3269" s="24"/>
      <c r="V3269" s="70"/>
      <c r="W3269" s="25">
        <f>IFERROR(VLOOKUP(BCP_Soles[[#This Row],[DESTINATARIO]],CHOOSE({1,2},Clientes_Proveedores[Razon Social],Clientes_Proveedores[Ruc / Dni]),2,0),"")</f>
        <v>20608970909</v>
      </c>
      <c r="X3269" s="25"/>
      <c r="Y3269" s="25"/>
      <c r="Z3269" s="25"/>
      <c r="AA3269" s="101"/>
      <c r="AB3269" s="3" t="str">
        <f>IF(BCP_Soles[[#This Row],[FECHA]]&gt;0,TEXT(BCP_Soles[[#This Row],[FECHA]],"mmmm"),0)</f>
        <v>Agosto</v>
      </c>
    </row>
    <row r="3270" spans="2:28" ht="24" x14ac:dyDescent="0.3">
      <c r="B3270" s="2" t="str">
        <f>IF(BCP_Soles[[#This Row],[TIPO DE R.]]="R",COUNTIFS($D$4:$D3269,"R")+1,"")</f>
        <v/>
      </c>
      <c r="C3270" s="19" t="str">
        <f t="shared" si="255"/>
        <v>B-BCP - Soles</v>
      </c>
      <c r="D3270" s="3" t="s">
        <v>1101</v>
      </c>
      <c r="E3270" s="14">
        <v>45889</v>
      </c>
      <c r="F3270" s="5" t="s">
        <v>1082</v>
      </c>
      <c r="G3270" s="5"/>
      <c r="H3270" s="6" t="s">
        <v>1001</v>
      </c>
      <c r="I3270" s="6" t="s">
        <v>14</v>
      </c>
      <c r="J3270" s="6" t="s">
        <v>3128</v>
      </c>
      <c r="K3270" s="6">
        <v>36153787</v>
      </c>
      <c r="L3270" s="7" t="s">
        <v>3960</v>
      </c>
      <c r="M3270" s="8">
        <v>4016078</v>
      </c>
      <c r="N3270" s="8" t="str">
        <f t="shared" si="256"/>
        <v>PEN</v>
      </c>
      <c r="O3270" s="13">
        <v>12.7</v>
      </c>
      <c r="P3270" s="13"/>
      <c r="Q3270" s="3">
        <f t="shared" si="257"/>
        <v>0</v>
      </c>
      <c r="R3270" s="3">
        <f t="shared" si="258"/>
        <v>0</v>
      </c>
      <c r="S3270" s="3">
        <f t="shared" si="259"/>
        <v>6295.6499999999733</v>
      </c>
      <c r="T3270" s="24" t="s">
        <v>1081</v>
      </c>
      <c r="U3270" s="24"/>
      <c r="V3270" s="70"/>
      <c r="W3270" s="25">
        <f>IFERROR(VLOOKUP(BCP_Soles[[#This Row],[DESTINATARIO]],CHOOSE({1,2},Clientes_Proveedores[Razon Social],Clientes_Proveedores[Ruc / Dni]),2,0),"")</f>
        <v>20100047218</v>
      </c>
      <c r="X3270" s="25"/>
      <c r="Y3270" s="25"/>
      <c r="Z3270" s="25"/>
      <c r="AA3270" s="101"/>
      <c r="AB3270" s="3" t="str">
        <f>IF(BCP_Soles[[#This Row],[FECHA]]&gt;0,TEXT(BCP_Soles[[#This Row],[FECHA]],"mmmm"),0)</f>
        <v>Agosto</v>
      </c>
    </row>
    <row r="3271" spans="2:28" ht="24" x14ac:dyDescent="0.3">
      <c r="B3271" s="2">
        <f>IF(BCP_Soles[[#This Row],[TIPO DE R.]]="R",COUNTIFS($D$4:$D3270,"R")+1,"")</f>
        <v>2260</v>
      </c>
      <c r="C3271" s="19" t="str">
        <f t="shared" si="255"/>
        <v>B-BCP - Soles</v>
      </c>
      <c r="D3271" s="3" t="s">
        <v>1074</v>
      </c>
      <c r="E3271" s="14">
        <v>45889</v>
      </c>
      <c r="F3271" s="5" t="s">
        <v>1082</v>
      </c>
      <c r="G3271" s="5" t="s">
        <v>1079</v>
      </c>
      <c r="H3271" s="6" t="s">
        <v>511</v>
      </c>
      <c r="I3271" s="6" t="s">
        <v>14</v>
      </c>
      <c r="J3271" s="6" t="s">
        <v>1121</v>
      </c>
      <c r="K3271" s="6">
        <v>692</v>
      </c>
      <c r="L3271" s="7" t="s">
        <v>3962</v>
      </c>
      <c r="M3271" s="8">
        <v>1219263</v>
      </c>
      <c r="N3271" s="8" t="str">
        <f t="shared" si="256"/>
        <v>PEN</v>
      </c>
      <c r="O3271" s="13"/>
      <c r="P3271" s="13">
        <v>623</v>
      </c>
      <c r="Q3271" s="3">
        <f t="shared" si="257"/>
        <v>0</v>
      </c>
      <c r="R3271" s="3">
        <f t="shared" si="258"/>
        <v>623</v>
      </c>
      <c r="S3271" s="3">
        <f t="shared" si="259"/>
        <v>5672.6499999999733</v>
      </c>
      <c r="T3271" s="24" t="s">
        <v>1081</v>
      </c>
      <c r="U3271" s="24" t="s">
        <v>1081</v>
      </c>
      <c r="V3271" s="70" t="s">
        <v>3963</v>
      </c>
      <c r="W3271" s="25">
        <f>IFERROR(VLOOKUP(BCP_Soles[[#This Row],[DESTINATARIO]],CHOOSE({1,2},Clientes_Proveedores[Razon Social],Clientes_Proveedores[Ruc / Dni]),2,0),"")</f>
        <v>20608686747</v>
      </c>
      <c r="X3271" s="25"/>
      <c r="Y3271" s="25"/>
      <c r="Z3271" s="25"/>
      <c r="AA3271" s="101"/>
      <c r="AB3271" s="3" t="str">
        <f>IF(BCP_Soles[[#This Row],[FECHA]]&gt;0,TEXT(BCP_Soles[[#This Row],[FECHA]],"mmmm"),0)</f>
        <v>Agosto</v>
      </c>
    </row>
    <row r="3272" spans="2:28" x14ac:dyDescent="0.3">
      <c r="B3272" s="2">
        <f>IF(BCP_Soles[[#This Row],[TIPO DE R.]]="R",COUNTIFS($D$4:$D3271,"R")+1,"")</f>
        <v>2261</v>
      </c>
      <c r="C3272" s="19" t="str">
        <f t="shared" si="255"/>
        <v>B-BCP - Soles</v>
      </c>
      <c r="D3272" s="3" t="s">
        <v>1074</v>
      </c>
      <c r="E3272" s="14">
        <v>45889</v>
      </c>
      <c r="F3272" s="5" t="s">
        <v>1082</v>
      </c>
      <c r="G3272" s="5" t="s">
        <v>1079</v>
      </c>
      <c r="H3272" s="6" t="s">
        <v>461</v>
      </c>
      <c r="I3272" s="6" t="s">
        <v>14</v>
      </c>
      <c r="J3272" s="6" t="s">
        <v>1121</v>
      </c>
      <c r="K3272" s="6">
        <v>1522</v>
      </c>
      <c r="L3272" s="7" t="s">
        <v>3964</v>
      </c>
      <c r="M3272" s="8">
        <v>1216812</v>
      </c>
      <c r="N3272" s="8" t="str">
        <f t="shared" si="256"/>
        <v>PEN</v>
      </c>
      <c r="O3272" s="13"/>
      <c r="P3272" s="13">
        <v>500</v>
      </c>
      <c r="Q3272" s="3">
        <f t="shared" si="257"/>
        <v>0</v>
      </c>
      <c r="R3272" s="3">
        <f t="shared" si="258"/>
        <v>500</v>
      </c>
      <c r="S3272" s="3">
        <f t="shared" si="259"/>
        <v>5172.6499999999733</v>
      </c>
      <c r="T3272" s="24" t="s">
        <v>1081</v>
      </c>
      <c r="U3272" s="24" t="s">
        <v>1081</v>
      </c>
      <c r="V3272" s="70" t="s">
        <v>3965</v>
      </c>
      <c r="W3272" s="25">
        <f>IFERROR(VLOOKUP(BCP_Soles[[#This Row],[DESTINATARIO]],CHOOSE({1,2},Clientes_Proveedores[Razon Social],Clientes_Proveedores[Ruc / Dni]),2,0),"")</f>
        <v>20603912838</v>
      </c>
      <c r="X3272" s="25"/>
      <c r="Y3272" s="25"/>
      <c r="Z3272" s="25"/>
      <c r="AA3272" s="101"/>
      <c r="AB3272" s="3" t="str">
        <f>IF(BCP_Soles[[#This Row],[FECHA]]&gt;0,TEXT(BCP_Soles[[#This Row],[FECHA]],"mmmm"),0)</f>
        <v>Agosto</v>
      </c>
    </row>
    <row r="3273" spans="2:28" x14ac:dyDescent="0.3">
      <c r="B3273" s="2">
        <f>IF(BCP_Soles[[#This Row],[TIPO DE R.]]="R",COUNTIFS($D$4:$D3272,"R")+1,"")</f>
        <v>2262</v>
      </c>
      <c r="C3273" s="19" t="str">
        <f t="shared" si="255"/>
        <v>B-BCP - Soles</v>
      </c>
      <c r="D3273" s="3" t="s">
        <v>1074</v>
      </c>
      <c r="E3273" s="14">
        <v>45889</v>
      </c>
      <c r="F3273" s="5" t="s">
        <v>2898</v>
      </c>
      <c r="G3273" s="5" t="s">
        <v>1079</v>
      </c>
      <c r="H3273" s="6"/>
      <c r="I3273" s="6"/>
      <c r="J3273" s="6"/>
      <c r="K3273" s="6"/>
      <c r="L3273" s="7" t="s">
        <v>3966</v>
      </c>
      <c r="M3273" s="8">
        <v>1006250</v>
      </c>
      <c r="N3273" s="8" t="str">
        <f t="shared" si="256"/>
        <v>PEN</v>
      </c>
      <c r="O3273" s="13"/>
      <c r="P3273" s="13">
        <v>80</v>
      </c>
      <c r="Q3273" s="3">
        <f t="shared" si="257"/>
        <v>0</v>
      </c>
      <c r="R3273" s="3">
        <f t="shared" si="258"/>
        <v>80</v>
      </c>
      <c r="S3273" s="3">
        <f t="shared" si="259"/>
        <v>5092.6499999999733</v>
      </c>
      <c r="T3273" s="24"/>
      <c r="U3273" s="24"/>
      <c r="V3273" s="70"/>
      <c r="W3273" s="25" t="str">
        <f>IFERROR(VLOOKUP(BCP_Soles[[#This Row],[DESTINATARIO]],CHOOSE({1,2},Clientes_Proveedores[Razon Social],Clientes_Proveedores[Ruc / Dni]),2,0),"")</f>
        <v/>
      </c>
      <c r="X3273" s="25"/>
      <c r="Y3273" s="25"/>
      <c r="Z3273" s="25"/>
      <c r="AA3273" s="101"/>
      <c r="AB3273" s="3" t="str">
        <f>IF(BCP_Soles[[#This Row],[FECHA]]&gt;0,TEXT(BCP_Soles[[#This Row],[FECHA]],"mmmm"),0)</f>
        <v>Agosto</v>
      </c>
    </row>
    <row r="3274" spans="2:28" ht="24" x14ac:dyDescent="0.3">
      <c r="B3274" s="2">
        <f>IF(BCP_Soles[[#This Row],[TIPO DE R.]]="R",COUNTIFS($D$4:$D3273,"R")+1,"")</f>
        <v>2263</v>
      </c>
      <c r="C3274" s="19" t="str">
        <f t="shared" si="255"/>
        <v>B-BCP - Soles</v>
      </c>
      <c r="D3274" s="3" t="s">
        <v>1074</v>
      </c>
      <c r="E3274" s="14">
        <v>45889</v>
      </c>
      <c r="F3274" s="5" t="s">
        <v>1078</v>
      </c>
      <c r="G3274" s="5" t="s">
        <v>1079</v>
      </c>
      <c r="H3274" s="6" t="s">
        <v>1001</v>
      </c>
      <c r="I3274" s="6" t="s">
        <v>14</v>
      </c>
      <c r="J3274" s="6" t="s">
        <v>3128</v>
      </c>
      <c r="K3274" s="6">
        <v>36147787</v>
      </c>
      <c r="L3274" s="7" t="s">
        <v>3300</v>
      </c>
      <c r="M3274" s="8">
        <v>417</v>
      </c>
      <c r="N3274" s="8" t="str">
        <f t="shared" si="256"/>
        <v>PEN</v>
      </c>
      <c r="O3274" s="13"/>
      <c r="P3274" s="13">
        <v>3.5</v>
      </c>
      <c r="Q3274" s="3">
        <f t="shared" si="257"/>
        <v>0</v>
      </c>
      <c r="R3274" s="3">
        <f t="shared" si="258"/>
        <v>3.5</v>
      </c>
      <c r="S3274" s="3">
        <f t="shared" si="259"/>
        <v>5089.1499999999733</v>
      </c>
      <c r="T3274" s="24" t="s">
        <v>1081</v>
      </c>
      <c r="U3274" s="24" t="s">
        <v>1081</v>
      </c>
      <c r="V3274" s="70"/>
      <c r="W3274" s="25">
        <f>IFERROR(VLOOKUP(BCP_Soles[[#This Row],[DESTINATARIO]],CHOOSE({1,2},Clientes_Proveedores[Razon Social],Clientes_Proveedores[Ruc / Dni]),2,0),"")</f>
        <v>20100047218</v>
      </c>
      <c r="X3274" s="25"/>
      <c r="Y3274" s="25"/>
      <c r="Z3274" s="25"/>
      <c r="AA3274" s="101"/>
      <c r="AB3274" s="3" t="str">
        <f>IF(BCP_Soles[[#This Row],[FECHA]]&gt;0,TEXT(BCP_Soles[[#This Row],[FECHA]],"mmmm"),0)</f>
        <v>Agosto</v>
      </c>
    </row>
    <row r="3275" spans="2:28" x14ac:dyDescent="0.3">
      <c r="B3275" s="2">
        <f>IF(BCP_Soles[[#This Row],[TIPO DE R.]]="R",COUNTIFS($D$4:$D3274,"R")+1,"")</f>
        <v>2264</v>
      </c>
      <c r="C3275" s="19" t="str">
        <f t="shared" si="255"/>
        <v>B-BCP - Soles</v>
      </c>
      <c r="D3275" s="3" t="s">
        <v>1074</v>
      </c>
      <c r="E3275" s="14">
        <v>45889</v>
      </c>
      <c r="F3275" s="5"/>
      <c r="G3275" s="5" t="s">
        <v>1079</v>
      </c>
      <c r="H3275" s="6"/>
      <c r="I3275" s="6"/>
      <c r="J3275" s="6"/>
      <c r="K3275" s="6"/>
      <c r="L3275" s="7" t="s">
        <v>2868</v>
      </c>
      <c r="M3275" s="8"/>
      <c r="N3275" s="8" t="str">
        <f t="shared" si="256"/>
        <v>PEN</v>
      </c>
      <c r="O3275" s="13"/>
      <c r="P3275" s="13">
        <v>0.05</v>
      </c>
      <c r="Q3275" s="3">
        <f t="shared" si="257"/>
        <v>0</v>
      </c>
      <c r="R3275" s="3">
        <f t="shared" si="258"/>
        <v>0.05</v>
      </c>
      <c r="S3275" s="3">
        <f t="shared" si="259"/>
        <v>5089.0999999999731</v>
      </c>
      <c r="T3275" s="24"/>
      <c r="U3275" s="24"/>
      <c r="V3275" s="70"/>
      <c r="W3275" s="25" t="str">
        <f>IFERROR(VLOOKUP(BCP_Soles[[#This Row],[DESTINATARIO]],CHOOSE({1,2},Clientes_Proveedores[Razon Social],Clientes_Proveedores[Ruc / Dni]),2,0),"")</f>
        <v/>
      </c>
      <c r="X3275" s="25"/>
      <c r="Y3275" s="25"/>
      <c r="Z3275" s="25"/>
      <c r="AA3275" s="101"/>
      <c r="AB3275" s="3" t="str">
        <f>IF(BCP_Soles[[#This Row],[FECHA]]&gt;0,TEXT(BCP_Soles[[#This Row],[FECHA]],"mmmm"),0)</f>
        <v>Agosto</v>
      </c>
    </row>
    <row r="3276" spans="2:28" x14ac:dyDescent="0.3">
      <c r="B3276" s="2">
        <f>IF(BCP_Soles[[#This Row],[TIPO DE R.]]="R",COUNTIFS($D$4:$D3275,"R")+1,"")</f>
        <v>2265</v>
      </c>
      <c r="C3276" s="19" t="str">
        <f t="shared" si="255"/>
        <v>B-BCP - Soles</v>
      </c>
      <c r="D3276" s="3" t="s">
        <v>1074</v>
      </c>
      <c r="E3276" s="14">
        <v>45890</v>
      </c>
      <c r="F3276" s="5"/>
      <c r="G3276" s="5" t="s">
        <v>1087</v>
      </c>
      <c r="H3276" s="6" t="s">
        <v>368</v>
      </c>
      <c r="I3276" s="6"/>
      <c r="J3276" s="6"/>
      <c r="K3276" s="6"/>
      <c r="L3276" s="7" t="s">
        <v>1100</v>
      </c>
      <c r="M3276" s="8">
        <v>1828616</v>
      </c>
      <c r="N3276" s="8" t="str">
        <f t="shared" si="256"/>
        <v>PEN</v>
      </c>
      <c r="O3276" s="13"/>
      <c r="P3276" s="13">
        <v>205.2</v>
      </c>
      <c r="Q3276" s="3">
        <f t="shared" si="257"/>
        <v>205.2</v>
      </c>
      <c r="R3276" s="3">
        <f t="shared" si="258"/>
        <v>0</v>
      </c>
      <c r="S3276" s="3">
        <f t="shared" si="259"/>
        <v>5294.2999999999729</v>
      </c>
      <c r="T3276" s="24"/>
      <c r="U3276" s="24"/>
      <c r="V3276" s="70"/>
      <c r="W3276" s="25">
        <f>IFERROR(VLOOKUP(BCP_Soles[[#This Row],[DESTINATARIO]],CHOOSE({1,2},Clientes_Proveedores[Razon Social],Clientes_Proveedores[Ruc / Dni]),2,0),"")</f>
        <v>20558226979</v>
      </c>
      <c r="X3276" s="25"/>
      <c r="Y3276" s="25"/>
      <c r="Z3276" s="25"/>
      <c r="AA3276" s="101"/>
      <c r="AB3276" s="3" t="str">
        <f>IF(BCP_Soles[[#This Row],[FECHA]]&gt;0,TEXT(BCP_Soles[[#This Row],[FECHA]],"mmmm"),0)</f>
        <v>Agosto</v>
      </c>
    </row>
    <row r="3277" spans="2:28" x14ac:dyDescent="0.3">
      <c r="B3277" s="2">
        <f>IF(BCP_Soles[[#This Row],[TIPO DE R.]]="R",COUNTIFS($D$4:$D3276,"R")+1,"")</f>
        <v>2266</v>
      </c>
      <c r="C3277" s="19" t="str">
        <f t="shared" si="255"/>
        <v>B-BCP - Soles</v>
      </c>
      <c r="D3277" s="3" t="s">
        <v>1074</v>
      </c>
      <c r="E3277" s="14">
        <v>45890</v>
      </c>
      <c r="F3277" s="5" t="s">
        <v>139</v>
      </c>
      <c r="G3277" s="5" t="s">
        <v>1087</v>
      </c>
      <c r="H3277" s="6" t="s">
        <v>368</v>
      </c>
      <c r="I3277" s="6" t="s">
        <v>14</v>
      </c>
      <c r="J3277" s="6" t="s">
        <v>1521</v>
      </c>
      <c r="K3277" s="6">
        <v>169</v>
      </c>
      <c r="L3277" s="7" t="s">
        <v>3967</v>
      </c>
      <c r="M3277" s="8">
        <v>2218</v>
      </c>
      <c r="N3277" s="8" t="str">
        <f t="shared" si="256"/>
        <v>PEN</v>
      </c>
      <c r="O3277" s="13"/>
      <c r="P3277" s="13">
        <v>2025.27</v>
      </c>
      <c r="Q3277" s="3">
        <f t="shared" si="257"/>
        <v>2025.27</v>
      </c>
      <c r="R3277" s="3">
        <f t="shared" si="258"/>
        <v>0</v>
      </c>
      <c r="S3277" s="3">
        <f t="shared" si="259"/>
        <v>7319.5699999999724</v>
      </c>
      <c r="T3277" s="24" t="s">
        <v>1081</v>
      </c>
      <c r="U3277" s="24" t="s">
        <v>1081</v>
      </c>
      <c r="V3277" s="70"/>
      <c r="W3277" s="25">
        <f>IFERROR(VLOOKUP(BCP_Soles[[#This Row],[DESTINATARIO]],CHOOSE({1,2},Clientes_Proveedores[Razon Social],Clientes_Proveedores[Ruc / Dni]),2,0),"")</f>
        <v>20558226979</v>
      </c>
      <c r="X3277" s="25"/>
      <c r="Y3277" s="25"/>
      <c r="Z3277" s="25"/>
      <c r="AA3277" s="101"/>
      <c r="AB3277" s="3" t="str">
        <f>IF(BCP_Soles[[#This Row],[FECHA]]&gt;0,TEXT(BCP_Soles[[#This Row],[FECHA]],"mmmm"),0)</f>
        <v>Agosto</v>
      </c>
    </row>
    <row r="3278" spans="2:28" x14ac:dyDescent="0.3">
      <c r="B3278" s="2">
        <f>IF(BCP_Soles[[#This Row],[TIPO DE R.]]="R",COUNTIFS($D$4:$D3277,"R")+1,"")</f>
        <v>2267</v>
      </c>
      <c r="C3278" s="19" t="str">
        <f t="shared" si="255"/>
        <v>B-BCP - Soles</v>
      </c>
      <c r="D3278" s="3" t="s">
        <v>1074</v>
      </c>
      <c r="E3278" s="14">
        <v>45890</v>
      </c>
      <c r="F3278" s="5"/>
      <c r="G3278" s="5" t="s">
        <v>1087</v>
      </c>
      <c r="H3278" s="6"/>
      <c r="I3278" s="6"/>
      <c r="J3278" s="6"/>
      <c r="K3278" s="6"/>
      <c r="L3278" s="7" t="s">
        <v>3915</v>
      </c>
      <c r="M3278" s="8">
        <v>2256751</v>
      </c>
      <c r="N3278" s="8" t="str">
        <f t="shared" si="256"/>
        <v>PEN</v>
      </c>
      <c r="O3278" s="13"/>
      <c r="P3278" s="13">
        <v>1920</v>
      </c>
      <c r="Q3278" s="3">
        <f t="shared" si="257"/>
        <v>1920</v>
      </c>
      <c r="R3278" s="3">
        <f t="shared" si="258"/>
        <v>0</v>
      </c>
      <c r="S3278" s="3">
        <f t="shared" si="259"/>
        <v>9239.5699999999724</v>
      </c>
      <c r="T3278" s="24"/>
      <c r="U3278" s="24"/>
      <c r="V3278" s="70"/>
      <c r="W3278" s="25" t="str">
        <f>IFERROR(VLOOKUP(BCP_Soles[[#This Row],[DESTINATARIO]],CHOOSE({1,2},Clientes_Proveedores[Razon Social],Clientes_Proveedores[Ruc / Dni]),2,0),"")</f>
        <v/>
      </c>
      <c r="X3278" s="25"/>
      <c r="Y3278" s="25"/>
      <c r="Z3278" s="25"/>
      <c r="AA3278" s="101"/>
      <c r="AB3278" s="3" t="str">
        <f>IF(BCP_Soles[[#This Row],[FECHA]]&gt;0,TEXT(BCP_Soles[[#This Row],[FECHA]],"mmmm"),0)</f>
        <v>Agosto</v>
      </c>
    </row>
    <row r="3279" spans="2:28" ht="24" x14ac:dyDescent="0.3">
      <c r="B3279" s="2">
        <f>IF(BCP_Soles[[#This Row],[TIPO DE R.]]="R",COUNTIFS($D$4:$D3278,"R")+1,"")</f>
        <v>2268</v>
      </c>
      <c r="C3279" s="19" t="str">
        <f t="shared" si="255"/>
        <v>B-BCP - Soles</v>
      </c>
      <c r="D3279" s="3" t="s">
        <v>1074</v>
      </c>
      <c r="E3279" s="14">
        <v>45890</v>
      </c>
      <c r="F3279" s="5" t="s">
        <v>1082</v>
      </c>
      <c r="G3279" s="5" t="s">
        <v>1079</v>
      </c>
      <c r="H3279" s="6" t="s">
        <v>938</v>
      </c>
      <c r="I3279" s="6" t="s">
        <v>87</v>
      </c>
      <c r="J3279" s="6">
        <v>1</v>
      </c>
      <c r="K3279" s="6">
        <v>592025</v>
      </c>
      <c r="L3279" s="7" t="s">
        <v>3968</v>
      </c>
      <c r="M3279" s="8">
        <v>1136926</v>
      </c>
      <c r="N3279" s="8" t="str">
        <f t="shared" si="256"/>
        <v>PEN</v>
      </c>
      <c r="O3279" s="13"/>
      <c r="P3279" s="13">
        <v>319</v>
      </c>
      <c r="Q3279" s="3">
        <f t="shared" si="257"/>
        <v>0</v>
      </c>
      <c r="R3279" s="3">
        <f t="shared" si="258"/>
        <v>319</v>
      </c>
      <c r="S3279" s="3">
        <f t="shared" si="259"/>
        <v>8920.5699999999724</v>
      </c>
      <c r="T3279" s="24" t="s">
        <v>1081</v>
      </c>
      <c r="U3279" s="24" t="s">
        <v>1081</v>
      </c>
      <c r="V3279" s="70" t="s">
        <v>7901</v>
      </c>
      <c r="W3279" s="25">
        <f>IFERROR(VLOOKUP(BCP_Soles[[#This Row],[DESTINATARIO]],CHOOSE({1,2},Clientes_Proveedores[Razon Social],Clientes_Proveedores[Ruc / Dni]),2,0),"")</f>
        <v>71334789</v>
      </c>
      <c r="X3279" s="25"/>
      <c r="Y3279" s="25"/>
      <c r="Z3279" s="25"/>
      <c r="AA3279" s="101"/>
      <c r="AB3279" s="3" t="str">
        <f>IF(BCP_Soles[[#This Row],[FECHA]]&gt;0,TEXT(BCP_Soles[[#This Row],[FECHA]],"mmmm"),0)</f>
        <v>Agosto</v>
      </c>
    </row>
    <row r="3280" spans="2:28" x14ac:dyDescent="0.3">
      <c r="B3280" s="2">
        <f>IF(BCP_Soles[[#This Row],[TIPO DE R.]]="R",COUNTIFS($D$4:$D3279,"R")+1,"")</f>
        <v>2269</v>
      </c>
      <c r="C3280" s="19" t="str">
        <f t="shared" si="255"/>
        <v>B-BCP - Soles</v>
      </c>
      <c r="D3280" s="3" t="s">
        <v>1074</v>
      </c>
      <c r="E3280" s="14">
        <v>45890</v>
      </c>
      <c r="F3280" s="5" t="s">
        <v>1082</v>
      </c>
      <c r="G3280" s="5" t="s">
        <v>1079</v>
      </c>
      <c r="H3280" s="6" t="s">
        <v>638</v>
      </c>
      <c r="I3280" s="6"/>
      <c r="J3280" s="6"/>
      <c r="K3280" s="6"/>
      <c r="L3280" s="7" t="s">
        <v>3969</v>
      </c>
      <c r="M3280" s="8">
        <v>4818029</v>
      </c>
      <c r="N3280" s="8" t="str">
        <f t="shared" si="256"/>
        <v>PEN</v>
      </c>
      <c r="O3280" s="13"/>
      <c r="P3280" s="13">
        <v>1085.5999999999999</v>
      </c>
      <c r="Q3280" s="3">
        <f t="shared" si="257"/>
        <v>0</v>
      </c>
      <c r="R3280" s="3">
        <f t="shared" si="258"/>
        <v>1085.5999999999999</v>
      </c>
      <c r="S3280" s="3">
        <f t="shared" si="259"/>
        <v>7834.9699999999721</v>
      </c>
      <c r="T3280" s="24" t="s">
        <v>1081</v>
      </c>
      <c r="U3280" s="24" t="s">
        <v>1081</v>
      </c>
      <c r="V3280" s="70" t="s">
        <v>7900</v>
      </c>
      <c r="W3280" s="25">
        <f>IFERROR(VLOOKUP(BCP_Soles[[#This Row],[DESTINATARIO]],CHOOSE({1,2},Clientes_Proveedores[Razon Social],Clientes_Proveedores[Ruc / Dni]),2,0),"")</f>
        <v>0</v>
      </c>
      <c r="X3280" s="25"/>
      <c r="Y3280" s="25"/>
      <c r="Z3280" s="25"/>
      <c r="AA3280" s="101"/>
      <c r="AB3280" s="3" t="str">
        <f>IF(BCP_Soles[[#This Row],[FECHA]]&gt;0,TEXT(BCP_Soles[[#This Row],[FECHA]],"mmmm"),0)</f>
        <v>Agosto</v>
      </c>
    </row>
    <row r="3281" spans="2:28" x14ac:dyDescent="0.3">
      <c r="B3281" s="2" t="str">
        <f>IF(BCP_Soles[[#This Row],[TIPO DE R.]]="R",COUNTIFS($D$4:$D3280,"R")+1,"")</f>
        <v/>
      </c>
      <c r="C3281" s="19" t="str">
        <f t="shared" si="255"/>
        <v>B-BCP - Soles</v>
      </c>
      <c r="D3281" s="3" t="s">
        <v>1101</v>
      </c>
      <c r="E3281" s="14">
        <v>45890</v>
      </c>
      <c r="F3281" s="5" t="s">
        <v>1082</v>
      </c>
      <c r="G3281" s="5"/>
      <c r="H3281" s="6" t="s">
        <v>465</v>
      </c>
      <c r="I3281" s="6" t="s">
        <v>14</v>
      </c>
      <c r="J3281" s="6" t="s">
        <v>1121</v>
      </c>
      <c r="K3281" s="6">
        <v>4107</v>
      </c>
      <c r="L3281" s="7" t="s">
        <v>3969</v>
      </c>
      <c r="M3281" s="8">
        <v>4818029</v>
      </c>
      <c r="N3281" s="8" t="str">
        <f t="shared" si="256"/>
        <v>PEN</v>
      </c>
      <c r="O3281" s="13">
        <v>519.20000000000005</v>
      </c>
      <c r="P3281" s="13"/>
      <c r="Q3281" s="3">
        <f t="shared" si="257"/>
        <v>0</v>
      </c>
      <c r="R3281" s="3">
        <f t="shared" si="258"/>
        <v>0</v>
      </c>
      <c r="S3281" s="3">
        <f t="shared" si="259"/>
        <v>7834.9699999999721</v>
      </c>
      <c r="T3281" s="24" t="s">
        <v>1081</v>
      </c>
      <c r="U3281" s="24" t="s">
        <v>1081</v>
      </c>
      <c r="V3281" s="70" t="s">
        <v>7900</v>
      </c>
      <c r="W3281" s="25">
        <f>IFERROR(VLOOKUP(BCP_Soles[[#This Row],[DESTINATARIO]],CHOOSE({1,2},Clientes_Proveedores[Razon Social],Clientes_Proveedores[Ruc / Dni]),2,0),"")</f>
        <v>20603974817</v>
      </c>
      <c r="X3281" s="25"/>
      <c r="Y3281" s="25"/>
      <c r="Z3281" s="25"/>
      <c r="AA3281" s="101"/>
      <c r="AB3281" s="3" t="str">
        <f>IF(BCP_Soles[[#This Row],[FECHA]]&gt;0,TEXT(BCP_Soles[[#This Row],[FECHA]],"mmmm"),0)</f>
        <v>Agosto</v>
      </c>
    </row>
    <row r="3282" spans="2:28" x14ac:dyDescent="0.3">
      <c r="B3282" s="2" t="str">
        <f>IF(BCP_Soles[[#This Row],[TIPO DE R.]]="R",COUNTIFS($D$4:$D3281,"R")+1,"")</f>
        <v/>
      </c>
      <c r="C3282" s="19" t="str">
        <f t="shared" si="255"/>
        <v>B-BCP - Soles</v>
      </c>
      <c r="D3282" s="3" t="s">
        <v>1101</v>
      </c>
      <c r="E3282" s="14">
        <v>45890</v>
      </c>
      <c r="F3282" s="5" t="s">
        <v>1082</v>
      </c>
      <c r="G3282" s="5"/>
      <c r="H3282" s="6" t="s">
        <v>281</v>
      </c>
      <c r="I3282" s="6" t="s">
        <v>14</v>
      </c>
      <c r="J3282" s="6" t="s">
        <v>1121</v>
      </c>
      <c r="K3282" s="6">
        <v>490</v>
      </c>
      <c r="L3282" s="7" t="s">
        <v>3969</v>
      </c>
      <c r="M3282" s="8">
        <v>4818029</v>
      </c>
      <c r="N3282" s="8" t="str">
        <f t="shared" si="256"/>
        <v>PEN</v>
      </c>
      <c r="O3282" s="13">
        <v>354</v>
      </c>
      <c r="P3282" s="13"/>
      <c r="Q3282" s="3">
        <f t="shared" si="257"/>
        <v>0</v>
      </c>
      <c r="R3282" s="3">
        <f t="shared" si="258"/>
        <v>0</v>
      </c>
      <c r="S3282" s="3">
        <f t="shared" si="259"/>
        <v>7834.9699999999721</v>
      </c>
      <c r="T3282" s="24" t="s">
        <v>1081</v>
      </c>
      <c r="U3282" s="24" t="s">
        <v>1081</v>
      </c>
      <c r="V3282" s="70" t="s">
        <v>7900</v>
      </c>
      <c r="W3282" s="25">
        <f>IFERROR(VLOOKUP(BCP_Soles[[#This Row],[DESTINATARIO]],CHOOSE({1,2},Clientes_Proveedores[Razon Social],Clientes_Proveedores[Ruc / Dni]),2,0),"")</f>
        <v>20498380931</v>
      </c>
      <c r="X3282" s="25"/>
      <c r="Y3282" s="25"/>
      <c r="Z3282" s="25"/>
      <c r="AA3282" s="101"/>
      <c r="AB3282" s="3" t="str">
        <f>IF(BCP_Soles[[#This Row],[FECHA]]&gt;0,TEXT(BCP_Soles[[#This Row],[FECHA]],"mmmm"),0)</f>
        <v>Agosto</v>
      </c>
    </row>
    <row r="3283" spans="2:28" ht="24" x14ac:dyDescent="0.3">
      <c r="B3283" s="2" t="str">
        <f>IF(BCP_Soles[[#This Row],[TIPO DE R.]]="R",COUNTIFS($D$4:$D3282,"R")+1,"")</f>
        <v/>
      </c>
      <c r="C3283" s="19" t="str">
        <f t="shared" si="255"/>
        <v>B-BCP - Soles</v>
      </c>
      <c r="D3283" s="3" t="s">
        <v>1101</v>
      </c>
      <c r="E3283" s="14">
        <v>45890</v>
      </c>
      <c r="F3283" s="5" t="s">
        <v>1082</v>
      </c>
      <c r="G3283" s="5"/>
      <c r="H3283" s="6" t="s">
        <v>536</v>
      </c>
      <c r="I3283" s="6" t="s">
        <v>14</v>
      </c>
      <c r="J3283" s="6" t="s">
        <v>1121</v>
      </c>
      <c r="K3283" s="6">
        <v>2470</v>
      </c>
      <c r="L3283" s="7" t="s">
        <v>3969</v>
      </c>
      <c r="M3283" s="8">
        <v>4818029</v>
      </c>
      <c r="N3283" s="8" t="str">
        <f t="shared" si="256"/>
        <v>PEN</v>
      </c>
      <c r="O3283" s="13">
        <v>70.8</v>
      </c>
      <c r="P3283" s="13"/>
      <c r="Q3283" s="3">
        <f t="shared" si="257"/>
        <v>0</v>
      </c>
      <c r="R3283" s="3">
        <f t="shared" si="258"/>
        <v>0</v>
      </c>
      <c r="S3283" s="3">
        <f t="shared" si="259"/>
        <v>7834.9699999999721</v>
      </c>
      <c r="T3283" s="24" t="s">
        <v>1081</v>
      </c>
      <c r="U3283" s="24" t="s">
        <v>1081</v>
      </c>
      <c r="V3283" s="70" t="s">
        <v>7900</v>
      </c>
      <c r="W3283" s="25">
        <f>IFERROR(VLOOKUP(BCP_Soles[[#This Row],[DESTINATARIO]],CHOOSE({1,2},Clientes_Proveedores[Razon Social],Clientes_Proveedores[Ruc / Dni]),2,0),"")</f>
        <v>20609764261</v>
      </c>
      <c r="X3283" s="25"/>
      <c r="Y3283" s="25"/>
      <c r="Z3283" s="25"/>
      <c r="AA3283" s="101"/>
      <c r="AB3283" s="3" t="str">
        <f>IF(BCP_Soles[[#This Row],[FECHA]]&gt;0,TEXT(BCP_Soles[[#This Row],[FECHA]],"mmmm"),0)</f>
        <v>Agosto</v>
      </c>
    </row>
    <row r="3284" spans="2:28" ht="24" x14ac:dyDescent="0.3">
      <c r="B3284" s="2" t="str">
        <f>IF(BCP_Soles[[#This Row],[TIPO DE R.]]="R",COUNTIFS($D$4:$D3283,"R")+1,"")</f>
        <v/>
      </c>
      <c r="C3284" s="19" t="str">
        <f t="shared" si="255"/>
        <v>B-BCP - Soles</v>
      </c>
      <c r="D3284" s="3" t="s">
        <v>1101</v>
      </c>
      <c r="E3284" s="14">
        <v>45890</v>
      </c>
      <c r="F3284" s="5" t="s">
        <v>1082</v>
      </c>
      <c r="G3284" s="5"/>
      <c r="H3284" s="6" t="s">
        <v>536</v>
      </c>
      <c r="I3284" s="6" t="s">
        <v>14</v>
      </c>
      <c r="J3284" s="6" t="s">
        <v>1121</v>
      </c>
      <c r="K3284" s="6">
        <v>2471</v>
      </c>
      <c r="L3284" s="7" t="s">
        <v>3969</v>
      </c>
      <c r="M3284" s="8">
        <v>4818029</v>
      </c>
      <c r="N3284" s="8" t="str">
        <f t="shared" si="256"/>
        <v>PEN</v>
      </c>
      <c r="O3284" s="13">
        <v>70.8</v>
      </c>
      <c r="P3284" s="13"/>
      <c r="Q3284" s="3">
        <f t="shared" si="257"/>
        <v>0</v>
      </c>
      <c r="R3284" s="3">
        <f t="shared" si="258"/>
        <v>0</v>
      </c>
      <c r="S3284" s="3">
        <f t="shared" si="259"/>
        <v>7834.9699999999721</v>
      </c>
      <c r="T3284" s="24" t="s">
        <v>1081</v>
      </c>
      <c r="U3284" s="24" t="s">
        <v>1081</v>
      </c>
      <c r="V3284" s="70" t="s">
        <v>7900</v>
      </c>
      <c r="W3284" s="25">
        <f>IFERROR(VLOOKUP(BCP_Soles[[#This Row],[DESTINATARIO]],CHOOSE({1,2},Clientes_Proveedores[Razon Social],Clientes_Proveedores[Ruc / Dni]),2,0),"")</f>
        <v>20609764261</v>
      </c>
      <c r="X3284" s="25"/>
      <c r="Y3284" s="25"/>
      <c r="Z3284" s="25"/>
      <c r="AA3284" s="101"/>
      <c r="AB3284" s="3" t="str">
        <f>IF(BCP_Soles[[#This Row],[FECHA]]&gt;0,TEXT(BCP_Soles[[#This Row],[FECHA]],"mmmm"),0)</f>
        <v>Agosto</v>
      </c>
    </row>
    <row r="3285" spans="2:28" ht="24" x14ac:dyDescent="0.3">
      <c r="B3285" s="2" t="str">
        <f>IF(BCP_Soles[[#This Row],[TIPO DE R.]]="R",COUNTIFS($D$4:$D3284,"R")+1,"")</f>
        <v/>
      </c>
      <c r="C3285" s="19" t="str">
        <f t="shared" si="255"/>
        <v>B-BCP - Soles</v>
      </c>
      <c r="D3285" s="3" t="s">
        <v>1101</v>
      </c>
      <c r="E3285" s="14">
        <v>45890</v>
      </c>
      <c r="F3285" s="5" t="s">
        <v>1082</v>
      </c>
      <c r="G3285" s="5"/>
      <c r="H3285" s="6" t="s">
        <v>536</v>
      </c>
      <c r="I3285" s="6" t="s">
        <v>14</v>
      </c>
      <c r="J3285" s="6" t="s">
        <v>1121</v>
      </c>
      <c r="K3285" s="6">
        <v>2463</v>
      </c>
      <c r="L3285" s="7" t="s">
        <v>3969</v>
      </c>
      <c r="M3285" s="8">
        <v>4818029</v>
      </c>
      <c r="N3285" s="8" t="str">
        <f t="shared" si="256"/>
        <v>PEN</v>
      </c>
      <c r="O3285" s="13">
        <v>70.8</v>
      </c>
      <c r="P3285" s="13"/>
      <c r="Q3285" s="3">
        <f t="shared" si="257"/>
        <v>0</v>
      </c>
      <c r="R3285" s="3">
        <f t="shared" si="258"/>
        <v>0</v>
      </c>
      <c r="S3285" s="3">
        <f t="shared" si="259"/>
        <v>7834.9699999999721</v>
      </c>
      <c r="T3285" s="24" t="s">
        <v>1081</v>
      </c>
      <c r="U3285" s="24" t="s">
        <v>1081</v>
      </c>
      <c r="V3285" s="70" t="s">
        <v>7900</v>
      </c>
      <c r="W3285" s="25">
        <f>IFERROR(VLOOKUP(BCP_Soles[[#This Row],[DESTINATARIO]],CHOOSE({1,2},Clientes_Proveedores[Razon Social],Clientes_Proveedores[Ruc / Dni]),2,0),"")</f>
        <v>20609764261</v>
      </c>
      <c r="X3285" s="25"/>
      <c r="Y3285" s="25"/>
      <c r="Z3285" s="25"/>
      <c r="AA3285" s="101"/>
      <c r="AB3285" s="3" t="str">
        <f>IF(BCP_Soles[[#This Row],[FECHA]]&gt;0,TEXT(BCP_Soles[[#This Row],[FECHA]],"mmmm"),0)</f>
        <v>Agosto</v>
      </c>
    </row>
    <row r="3286" spans="2:28" ht="36" x14ac:dyDescent="0.3">
      <c r="B3286" s="2">
        <f>IF(BCP_Soles[[#This Row],[TIPO DE R.]]="R",COUNTIFS($D$4:$D3285,"R")+1,"")</f>
        <v>2270</v>
      </c>
      <c r="C3286" s="19" t="str">
        <f t="shared" si="255"/>
        <v>B-BCP - Soles</v>
      </c>
      <c r="D3286" s="3" t="s">
        <v>1074</v>
      </c>
      <c r="E3286" s="14">
        <v>45890</v>
      </c>
      <c r="F3286" s="5" t="s">
        <v>1082</v>
      </c>
      <c r="G3286" s="5" t="s">
        <v>1079</v>
      </c>
      <c r="H3286" s="6" t="s">
        <v>966</v>
      </c>
      <c r="I3286" s="6"/>
      <c r="J3286" s="6"/>
      <c r="K3286" s="6"/>
      <c r="L3286" s="7" t="s">
        <v>3970</v>
      </c>
      <c r="M3286" s="8">
        <v>1137920</v>
      </c>
      <c r="N3286" s="8" t="str">
        <f t="shared" si="256"/>
        <v>PEN</v>
      </c>
      <c r="O3286" s="13"/>
      <c r="P3286" s="13">
        <v>105</v>
      </c>
      <c r="Q3286" s="3">
        <f t="shared" si="257"/>
        <v>0</v>
      </c>
      <c r="R3286" s="3">
        <f t="shared" si="258"/>
        <v>105</v>
      </c>
      <c r="S3286" s="3">
        <f t="shared" si="259"/>
        <v>7729.9699999999721</v>
      </c>
      <c r="T3286" s="24"/>
      <c r="U3286" s="24"/>
      <c r="V3286" s="69"/>
      <c r="W3286" s="25">
        <f>IFERROR(VLOOKUP(BCP_Soles[[#This Row],[DESTINATARIO]],CHOOSE({1,2},Clientes_Proveedores[Razon Social],Clientes_Proveedores[Ruc / Dni]),2,0),"")</f>
        <v>20601369622</v>
      </c>
      <c r="X3286" s="25"/>
      <c r="Y3286" s="25"/>
      <c r="Z3286" s="25"/>
      <c r="AA3286" s="101"/>
      <c r="AB3286" s="3" t="str">
        <f>IF(BCP_Soles[[#This Row],[FECHA]]&gt;0,TEXT(BCP_Soles[[#This Row],[FECHA]],"mmmm"),0)</f>
        <v>Agosto</v>
      </c>
    </row>
    <row r="3287" spans="2:28" x14ac:dyDescent="0.3">
      <c r="B3287" s="2">
        <f>IF(BCP_Soles[[#This Row],[TIPO DE R.]]="R",COUNTIFS($D$4:$D3286,"R")+1,"")</f>
        <v>2271</v>
      </c>
      <c r="C3287" s="19" t="str">
        <f t="shared" si="255"/>
        <v>B-BCP - Soles</v>
      </c>
      <c r="D3287" s="3" t="s">
        <v>1074</v>
      </c>
      <c r="E3287" s="14">
        <v>45890</v>
      </c>
      <c r="F3287" s="5" t="s">
        <v>3883</v>
      </c>
      <c r="G3287" s="5" t="s">
        <v>1079</v>
      </c>
      <c r="H3287" s="6" t="s">
        <v>517</v>
      </c>
      <c r="I3287" s="6"/>
      <c r="J3287" s="6"/>
      <c r="K3287" s="6"/>
      <c r="L3287" s="7" t="s">
        <v>3971</v>
      </c>
      <c r="M3287" s="8">
        <v>4010463</v>
      </c>
      <c r="N3287" s="8" t="str">
        <f t="shared" si="256"/>
        <v>PEN</v>
      </c>
      <c r="O3287" s="13"/>
      <c r="P3287" s="13">
        <v>247.04</v>
      </c>
      <c r="Q3287" s="3">
        <f t="shared" si="257"/>
        <v>0</v>
      </c>
      <c r="R3287" s="3">
        <f t="shared" si="258"/>
        <v>247.04</v>
      </c>
      <c r="S3287" s="3">
        <f t="shared" si="259"/>
        <v>7482.9299999999721</v>
      </c>
      <c r="T3287" s="24"/>
      <c r="U3287" s="24"/>
      <c r="V3287" s="69"/>
      <c r="W3287" s="25">
        <f>IFERROR(VLOOKUP(BCP_Soles[[#This Row],[DESTINATARIO]],CHOOSE({1,2},Clientes_Proveedores[Razon Social],Clientes_Proveedores[Ruc / Dni]),2,0),"")</f>
        <v>20608970909</v>
      </c>
      <c r="X3287" s="25"/>
      <c r="Y3287" s="25"/>
      <c r="Z3287" s="25"/>
      <c r="AA3287" s="101"/>
      <c r="AB3287" s="3" t="str">
        <f>IF(BCP_Soles[[#This Row],[FECHA]]&gt;0,TEXT(BCP_Soles[[#This Row],[FECHA]],"mmmm"),0)</f>
        <v>Agosto</v>
      </c>
    </row>
    <row r="3288" spans="2:28" x14ac:dyDescent="0.3">
      <c r="B3288" s="2" t="str">
        <f>IF(BCP_Soles[[#This Row],[TIPO DE R.]]="R",COUNTIFS($D$4:$D3287,"R")+1,"")</f>
        <v/>
      </c>
      <c r="C3288" s="19" t="str">
        <f t="shared" si="255"/>
        <v>B-BCP - Soles</v>
      </c>
      <c r="D3288" s="3" t="s">
        <v>1101</v>
      </c>
      <c r="E3288" s="14">
        <v>45890</v>
      </c>
      <c r="F3288" s="5" t="s">
        <v>3883</v>
      </c>
      <c r="G3288" s="5"/>
      <c r="H3288" s="6" t="s">
        <v>517</v>
      </c>
      <c r="I3288" s="6" t="s">
        <v>14</v>
      </c>
      <c r="J3288" s="6" t="s">
        <v>1121</v>
      </c>
      <c r="K3288" s="6">
        <v>1271</v>
      </c>
      <c r="L3288" s="7" t="s">
        <v>3971</v>
      </c>
      <c r="M3288" s="8">
        <v>4010463</v>
      </c>
      <c r="N3288" s="8" t="str">
        <f t="shared" si="256"/>
        <v>PEN</v>
      </c>
      <c r="O3288" s="13">
        <v>90.86</v>
      </c>
      <c r="P3288" s="13"/>
      <c r="Q3288" s="3">
        <f t="shared" si="257"/>
        <v>0</v>
      </c>
      <c r="R3288" s="3">
        <f t="shared" si="258"/>
        <v>0</v>
      </c>
      <c r="S3288" s="3">
        <f t="shared" si="259"/>
        <v>7482.9299999999721</v>
      </c>
      <c r="T3288" s="24"/>
      <c r="U3288" s="24"/>
      <c r="V3288" s="69"/>
      <c r="W3288" s="25">
        <f>IFERROR(VLOOKUP(BCP_Soles[[#This Row],[DESTINATARIO]],CHOOSE({1,2},Clientes_Proveedores[Razon Social],Clientes_Proveedores[Ruc / Dni]),2,0),"")</f>
        <v>20608970909</v>
      </c>
      <c r="X3288" s="25"/>
      <c r="Y3288" s="25"/>
      <c r="Z3288" s="25"/>
      <c r="AA3288" s="101"/>
      <c r="AB3288" s="3" t="str">
        <f>IF(BCP_Soles[[#This Row],[FECHA]]&gt;0,TEXT(BCP_Soles[[#This Row],[FECHA]],"mmmm"),0)</f>
        <v>Agosto</v>
      </c>
    </row>
    <row r="3289" spans="2:28" x14ac:dyDescent="0.3">
      <c r="B3289" s="2" t="str">
        <f>IF(BCP_Soles[[#This Row],[TIPO DE R.]]="R",COUNTIFS($D$4:$D3288,"R")+1,"")</f>
        <v/>
      </c>
      <c r="C3289" s="19" t="str">
        <f t="shared" si="255"/>
        <v>B-BCP - Soles</v>
      </c>
      <c r="D3289" s="3" t="s">
        <v>1101</v>
      </c>
      <c r="E3289" s="14">
        <v>45890</v>
      </c>
      <c r="F3289" s="5" t="s">
        <v>3883</v>
      </c>
      <c r="G3289" s="5"/>
      <c r="H3289" s="6" t="s">
        <v>517</v>
      </c>
      <c r="I3289" s="6" t="s">
        <v>14</v>
      </c>
      <c r="J3289" s="6" t="s">
        <v>1121</v>
      </c>
      <c r="K3289" s="6">
        <v>1272</v>
      </c>
      <c r="L3289" s="7" t="s">
        <v>3971</v>
      </c>
      <c r="M3289" s="8">
        <v>4010463</v>
      </c>
      <c r="N3289" s="8" t="str">
        <f t="shared" si="256"/>
        <v>PEN</v>
      </c>
      <c r="O3289" s="13">
        <v>86.42</v>
      </c>
      <c r="P3289" s="13"/>
      <c r="Q3289" s="3">
        <f t="shared" si="257"/>
        <v>0</v>
      </c>
      <c r="R3289" s="3">
        <f t="shared" si="258"/>
        <v>0</v>
      </c>
      <c r="S3289" s="3">
        <f t="shared" si="259"/>
        <v>7482.9299999999721</v>
      </c>
      <c r="T3289" s="24"/>
      <c r="U3289" s="24"/>
      <c r="V3289" s="69"/>
      <c r="W3289" s="25">
        <f>IFERROR(VLOOKUP(BCP_Soles[[#This Row],[DESTINATARIO]],CHOOSE({1,2},Clientes_Proveedores[Razon Social],Clientes_Proveedores[Ruc / Dni]),2,0),"")</f>
        <v>20608970909</v>
      </c>
      <c r="X3289" s="25"/>
      <c r="Y3289" s="25"/>
      <c r="Z3289" s="25"/>
      <c r="AA3289" s="101"/>
      <c r="AB3289" s="3" t="str">
        <f>IF(BCP_Soles[[#This Row],[FECHA]]&gt;0,TEXT(BCP_Soles[[#This Row],[FECHA]],"mmmm"),0)</f>
        <v>Agosto</v>
      </c>
    </row>
    <row r="3290" spans="2:28" x14ac:dyDescent="0.3">
      <c r="B3290" s="2" t="str">
        <f>IF(BCP_Soles[[#This Row],[TIPO DE R.]]="R",COUNTIFS($D$4:$D3289,"R")+1,"")</f>
        <v/>
      </c>
      <c r="C3290" s="19" t="str">
        <f t="shared" si="255"/>
        <v>B-BCP - Soles</v>
      </c>
      <c r="D3290" s="3" t="s">
        <v>1101</v>
      </c>
      <c r="E3290" s="14">
        <v>45890</v>
      </c>
      <c r="F3290" s="5" t="s">
        <v>3883</v>
      </c>
      <c r="G3290" s="5"/>
      <c r="H3290" s="6" t="s">
        <v>517</v>
      </c>
      <c r="I3290" s="6" t="s">
        <v>14</v>
      </c>
      <c r="J3290" s="6" t="s">
        <v>1121</v>
      </c>
      <c r="K3290" s="6">
        <v>1273</v>
      </c>
      <c r="L3290" s="7" t="s">
        <v>3971</v>
      </c>
      <c r="M3290" s="8">
        <v>4010463</v>
      </c>
      <c r="N3290" s="8" t="str">
        <f t="shared" si="256"/>
        <v>PEN</v>
      </c>
      <c r="O3290" s="13">
        <v>50.39</v>
      </c>
      <c r="P3290" s="13"/>
      <c r="Q3290" s="3">
        <f t="shared" si="257"/>
        <v>0</v>
      </c>
      <c r="R3290" s="3">
        <f t="shared" si="258"/>
        <v>0</v>
      </c>
      <c r="S3290" s="3">
        <f t="shared" si="259"/>
        <v>7482.9299999999721</v>
      </c>
      <c r="T3290" s="24"/>
      <c r="U3290" s="24"/>
      <c r="V3290" s="69"/>
      <c r="W3290" s="25">
        <f>IFERROR(VLOOKUP(BCP_Soles[[#This Row],[DESTINATARIO]],CHOOSE({1,2},Clientes_Proveedores[Razon Social],Clientes_Proveedores[Ruc / Dni]),2,0),"")</f>
        <v>20608970909</v>
      </c>
      <c r="X3290" s="25"/>
      <c r="Y3290" s="25"/>
      <c r="Z3290" s="25"/>
      <c r="AA3290" s="101"/>
      <c r="AB3290" s="3" t="str">
        <f>IF(BCP_Soles[[#This Row],[FECHA]]&gt;0,TEXT(BCP_Soles[[#This Row],[FECHA]],"mmmm"),0)</f>
        <v>Agosto</v>
      </c>
    </row>
    <row r="3291" spans="2:28" x14ac:dyDescent="0.3">
      <c r="B3291" s="2" t="str">
        <f>IF(BCP_Soles[[#This Row],[TIPO DE R.]]="R",COUNTIFS($D$4:$D3290,"R")+1,"")</f>
        <v/>
      </c>
      <c r="C3291" s="19" t="str">
        <f t="shared" si="255"/>
        <v>B-BCP - Soles</v>
      </c>
      <c r="D3291" s="3" t="s">
        <v>1101</v>
      </c>
      <c r="E3291" s="14">
        <v>45890</v>
      </c>
      <c r="F3291" s="5" t="s">
        <v>3883</v>
      </c>
      <c r="G3291" s="5"/>
      <c r="H3291" s="6" t="s">
        <v>517</v>
      </c>
      <c r="I3291" s="6" t="s">
        <v>14</v>
      </c>
      <c r="J3291" s="6" t="s">
        <v>1121</v>
      </c>
      <c r="K3291" s="6">
        <v>1274</v>
      </c>
      <c r="L3291" s="7" t="s">
        <v>3971</v>
      </c>
      <c r="M3291" s="8">
        <v>4010463</v>
      </c>
      <c r="N3291" s="8" t="str">
        <f t="shared" si="256"/>
        <v>PEN</v>
      </c>
      <c r="O3291" s="13">
        <v>8.8699999999999992</v>
      </c>
      <c r="P3291" s="13"/>
      <c r="Q3291" s="3">
        <f t="shared" si="257"/>
        <v>0</v>
      </c>
      <c r="R3291" s="3">
        <f t="shared" si="258"/>
        <v>0</v>
      </c>
      <c r="S3291" s="3">
        <f t="shared" si="259"/>
        <v>7482.9299999999721</v>
      </c>
      <c r="T3291" s="24"/>
      <c r="U3291" s="24"/>
      <c r="V3291" s="69"/>
      <c r="W3291" s="25">
        <f>IFERROR(VLOOKUP(BCP_Soles[[#This Row],[DESTINATARIO]],CHOOSE({1,2},Clientes_Proveedores[Razon Social],Clientes_Proveedores[Ruc / Dni]),2,0),"")</f>
        <v>20608970909</v>
      </c>
      <c r="X3291" s="25"/>
      <c r="Y3291" s="25"/>
      <c r="Z3291" s="25"/>
      <c r="AA3291" s="101"/>
      <c r="AB3291" s="3" t="str">
        <f>IF(BCP_Soles[[#This Row],[FECHA]]&gt;0,TEXT(BCP_Soles[[#This Row],[FECHA]],"mmmm"),0)</f>
        <v>Agosto</v>
      </c>
    </row>
    <row r="3292" spans="2:28" ht="24" x14ac:dyDescent="0.3">
      <c r="B3292" s="2" t="str">
        <f>IF(BCP_Soles[[#This Row],[TIPO DE R.]]="R",COUNTIFS($D$4:$D3291,"R")+1,"")</f>
        <v/>
      </c>
      <c r="C3292" s="19" t="str">
        <f t="shared" si="255"/>
        <v>B-BCP - Soles</v>
      </c>
      <c r="D3292" s="3" t="s">
        <v>1101</v>
      </c>
      <c r="E3292" s="14">
        <v>45890</v>
      </c>
      <c r="F3292" s="5" t="s">
        <v>3883</v>
      </c>
      <c r="G3292" s="5"/>
      <c r="H3292" s="6" t="s">
        <v>1001</v>
      </c>
      <c r="I3292" s="6" t="s">
        <v>14</v>
      </c>
      <c r="J3292" s="6" t="s">
        <v>3128</v>
      </c>
      <c r="K3292" s="6">
        <v>36182178</v>
      </c>
      <c r="L3292" s="7" t="s">
        <v>3971</v>
      </c>
      <c r="M3292" s="8">
        <v>4010463</v>
      </c>
      <c r="N3292" s="8" t="str">
        <f t="shared" si="256"/>
        <v>PEN</v>
      </c>
      <c r="O3292" s="13">
        <v>10.5</v>
      </c>
      <c r="P3292" s="13"/>
      <c r="Q3292" s="3">
        <f t="shared" si="257"/>
        <v>0</v>
      </c>
      <c r="R3292" s="3">
        <f t="shared" si="258"/>
        <v>0</v>
      </c>
      <c r="S3292" s="3">
        <f t="shared" si="259"/>
        <v>7482.9299999999721</v>
      </c>
      <c r="T3292" s="24" t="s">
        <v>1081</v>
      </c>
      <c r="U3292" s="24"/>
      <c r="V3292" s="69"/>
      <c r="W3292" s="25">
        <f>IFERROR(VLOOKUP(BCP_Soles[[#This Row],[DESTINATARIO]],CHOOSE({1,2},Clientes_Proveedores[Razon Social],Clientes_Proveedores[Ruc / Dni]),2,0),"")</f>
        <v>20100047218</v>
      </c>
      <c r="X3292" s="25"/>
      <c r="Y3292" s="25"/>
      <c r="Z3292" s="25"/>
      <c r="AA3292" s="101"/>
      <c r="AB3292" s="3" t="str">
        <f>IF(BCP_Soles[[#This Row],[FECHA]]&gt;0,TEXT(BCP_Soles[[#This Row],[FECHA]],"mmmm"),0)</f>
        <v>Agosto</v>
      </c>
    </row>
    <row r="3293" spans="2:28" x14ac:dyDescent="0.3">
      <c r="B3293" s="2">
        <f>IF(BCP_Soles[[#This Row],[TIPO DE R.]]="R",COUNTIFS($D$4:$D3292,"R")+1,"")</f>
        <v>2272</v>
      </c>
      <c r="C3293" s="19" t="str">
        <f t="shared" si="255"/>
        <v>B-BCP - Soles</v>
      </c>
      <c r="D3293" s="3" t="s">
        <v>1074</v>
      </c>
      <c r="E3293" s="14">
        <v>45890</v>
      </c>
      <c r="F3293" s="5" t="s">
        <v>1082</v>
      </c>
      <c r="G3293" s="5" t="s">
        <v>1079</v>
      </c>
      <c r="H3293" s="6" t="s">
        <v>638</v>
      </c>
      <c r="I3293" s="6"/>
      <c r="J3293" s="6"/>
      <c r="K3293" s="6"/>
      <c r="L3293" s="7" t="s">
        <v>3972</v>
      </c>
      <c r="M3293" s="8">
        <v>4888942</v>
      </c>
      <c r="N3293" s="8" t="str">
        <f t="shared" si="256"/>
        <v>PEN</v>
      </c>
      <c r="O3293" s="13"/>
      <c r="P3293" s="13">
        <v>2195.1</v>
      </c>
      <c r="Q3293" s="3">
        <f t="shared" si="257"/>
        <v>0</v>
      </c>
      <c r="R3293" s="3">
        <f t="shared" si="258"/>
        <v>2195.1</v>
      </c>
      <c r="S3293" s="3">
        <f t="shared" si="259"/>
        <v>5287.8299999999726</v>
      </c>
      <c r="T3293" s="24" t="s">
        <v>1081</v>
      </c>
      <c r="U3293" s="24" t="s">
        <v>1081</v>
      </c>
      <c r="V3293" s="70" t="s">
        <v>7899</v>
      </c>
      <c r="W3293" s="25">
        <f>IFERROR(VLOOKUP(BCP_Soles[[#This Row],[DESTINATARIO]],CHOOSE({1,2},Clientes_Proveedores[Razon Social],Clientes_Proveedores[Ruc / Dni]),2,0),"")</f>
        <v>0</v>
      </c>
      <c r="X3293" s="25"/>
      <c r="Y3293" s="25"/>
      <c r="Z3293" s="25"/>
      <c r="AA3293" s="101"/>
      <c r="AB3293" s="3" t="str">
        <f>IF(BCP_Soles[[#This Row],[FECHA]]&gt;0,TEXT(BCP_Soles[[#This Row],[FECHA]],"mmmm"),0)</f>
        <v>Agosto</v>
      </c>
    </row>
    <row r="3294" spans="2:28" ht="24" x14ac:dyDescent="0.3">
      <c r="B3294" s="2" t="str">
        <f>IF(BCP_Soles[[#This Row],[TIPO DE R.]]="R",COUNTIFS($D$4:$D3293,"R")+1,"")</f>
        <v/>
      </c>
      <c r="C3294" s="19" t="str">
        <f t="shared" si="255"/>
        <v>B-BCP - Soles</v>
      </c>
      <c r="D3294" s="3" t="s">
        <v>1101</v>
      </c>
      <c r="E3294" s="14">
        <v>45890</v>
      </c>
      <c r="F3294" s="5" t="s">
        <v>1082</v>
      </c>
      <c r="G3294" s="5"/>
      <c r="H3294" s="6" t="s">
        <v>108</v>
      </c>
      <c r="I3294" s="6" t="s">
        <v>14</v>
      </c>
      <c r="J3294" s="6" t="s">
        <v>1121</v>
      </c>
      <c r="K3294" s="6">
        <v>5270</v>
      </c>
      <c r="L3294" s="7" t="s">
        <v>3972</v>
      </c>
      <c r="M3294" s="8">
        <v>4888942</v>
      </c>
      <c r="N3294" s="8" t="str">
        <f t="shared" si="256"/>
        <v>PEN</v>
      </c>
      <c r="O3294" s="13">
        <v>59</v>
      </c>
      <c r="P3294" s="13"/>
      <c r="Q3294" s="3">
        <f t="shared" si="257"/>
        <v>0</v>
      </c>
      <c r="R3294" s="3">
        <f t="shared" si="258"/>
        <v>0</v>
      </c>
      <c r="S3294" s="3">
        <f t="shared" si="259"/>
        <v>5287.8299999999726</v>
      </c>
      <c r="T3294" s="24" t="s">
        <v>1081</v>
      </c>
      <c r="U3294" s="24" t="s">
        <v>1081</v>
      </c>
      <c r="V3294" s="70" t="s">
        <v>7899</v>
      </c>
      <c r="W3294" s="25">
        <f>IFERROR(VLOOKUP(BCP_Soles[[#This Row],[DESTINATARIO]],CHOOSE({1,2},Clientes_Proveedores[Razon Social],Clientes_Proveedores[Ruc / Dni]),2,0),"")</f>
        <v>10425371652</v>
      </c>
      <c r="X3294" s="25"/>
      <c r="Y3294" s="25"/>
      <c r="Z3294" s="25"/>
      <c r="AA3294" s="101"/>
      <c r="AB3294" s="3" t="str">
        <f>IF(BCP_Soles[[#This Row],[FECHA]]&gt;0,TEXT(BCP_Soles[[#This Row],[FECHA]],"mmmm"),0)</f>
        <v>Agosto</v>
      </c>
    </row>
    <row r="3295" spans="2:28" ht="24" x14ac:dyDescent="0.3">
      <c r="B3295" s="2" t="str">
        <f>IF(BCP_Soles[[#This Row],[TIPO DE R.]]="R",COUNTIFS($D$4:$D3294,"R")+1,"")</f>
        <v/>
      </c>
      <c r="C3295" s="19" t="str">
        <f t="shared" si="255"/>
        <v>B-BCP - Soles</v>
      </c>
      <c r="D3295" s="3" t="s">
        <v>1101</v>
      </c>
      <c r="E3295" s="14">
        <v>45890</v>
      </c>
      <c r="F3295" s="5" t="s">
        <v>1082</v>
      </c>
      <c r="G3295" s="5"/>
      <c r="H3295" s="6" t="s">
        <v>536</v>
      </c>
      <c r="I3295" s="6" t="s">
        <v>14</v>
      </c>
      <c r="J3295" s="6" t="s">
        <v>1121</v>
      </c>
      <c r="K3295" s="6">
        <v>2468</v>
      </c>
      <c r="L3295" s="7" t="s">
        <v>3972</v>
      </c>
      <c r="M3295" s="8">
        <v>4888942</v>
      </c>
      <c r="N3295" s="8" t="str">
        <f t="shared" si="256"/>
        <v>PEN</v>
      </c>
      <c r="O3295" s="13">
        <v>94.4</v>
      </c>
      <c r="P3295" s="13"/>
      <c r="Q3295" s="3">
        <f t="shared" si="257"/>
        <v>0</v>
      </c>
      <c r="R3295" s="3">
        <f t="shared" si="258"/>
        <v>0</v>
      </c>
      <c r="S3295" s="3">
        <f t="shared" si="259"/>
        <v>5287.8299999999726</v>
      </c>
      <c r="T3295" s="24" t="s">
        <v>1081</v>
      </c>
      <c r="U3295" s="24" t="s">
        <v>1081</v>
      </c>
      <c r="V3295" s="70" t="s">
        <v>7899</v>
      </c>
      <c r="W3295" s="25">
        <f>IFERROR(VLOOKUP(BCP_Soles[[#This Row],[DESTINATARIO]],CHOOSE({1,2},Clientes_Proveedores[Razon Social],Clientes_Proveedores[Ruc / Dni]),2,0),"")</f>
        <v>20609764261</v>
      </c>
      <c r="X3295" s="25"/>
      <c r="Y3295" s="25"/>
      <c r="Z3295" s="25"/>
      <c r="AA3295" s="101"/>
      <c r="AB3295" s="3" t="str">
        <f>IF(BCP_Soles[[#This Row],[FECHA]]&gt;0,TEXT(BCP_Soles[[#This Row],[FECHA]],"mmmm"),0)</f>
        <v>Agosto</v>
      </c>
    </row>
    <row r="3296" spans="2:28" ht="36" x14ac:dyDescent="0.3">
      <c r="B3296" s="2" t="str">
        <f>IF(BCP_Soles[[#This Row],[TIPO DE R.]]="R",COUNTIFS($D$4:$D3295,"R")+1,"")</f>
        <v/>
      </c>
      <c r="C3296" s="19" t="str">
        <f t="shared" si="255"/>
        <v>B-BCP - Soles</v>
      </c>
      <c r="D3296" s="3" t="s">
        <v>1101</v>
      </c>
      <c r="E3296" s="14">
        <v>45890</v>
      </c>
      <c r="F3296" s="5" t="s">
        <v>1082</v>
      </c>
      <c r="G3296" s="5"/>
      <c r="H3296" s="6" t="s">
        <v>565</v>
      </c>
      <c r="I3296" s="6" t="s">
        <v>14</v>
      </c>
      <c r="J3296" s="6" t="s">
        <v>1119</v>
      </c>
      <c r="K3296" s="6">
        <v>8006</v>
      </c>
      <c r="L3296" s="7" t="s">
        <v>3972</v>
      </c>
      <c r="M3296" s="8">
        <v>4888942</v>
      </c>
      <c r="N3296" s="8" t="str">
        <f t="shared" si="256"/>
        <v>PEN</v>
      </c>
      <c r="O3296" s="13">
        <v>1012.5</v>
      </c>
      <c r="P3296" s="13"/>
      <c r="Q3296" s="3">
        <f t="shared" si="257"/>
        <v>0</v>
      </c>
      <c r="R3296" s="3">
        <f t="shared" si="258"/>
        <v>0</v>
      </c>
      <c r="S3296" s="3">
        <f t="shared" si="259"/>
        <v>5287.8299999999726</v>
      </c>
      <c r="T3296" s="24" t="s">
        <v>1081</v>
      </c>
      <c r="U3296" s="24" t="s">
        <v>1081</v>
      </c>
      <c r="V3296" s="70" t="s">
        <v>7899</v>
      </c>
      <c r="W3296" s="25">
        <f>IFERROR(VLOOKUP(BCP_Soles[[#This Row],[DESTINATARIO]],CHOOSE({1,2},Clientes_Proveedores[Razon Social],Clientes_Proveedores[Ruc / Dni]),2,0),"")</f>
        <v>20454819137</v>
      </c>
      <c r="X3296" s="25"/>
      <c r="Y3296" s="25"/>
      <c r="Z3296" s="25"/>
      <c r="AA3296" s="101"/>
      <c r="AB3296" s="3" t="str">
        <f>IF(BCP_Soles[[#This Row],[FECHA]]&gt;0,TEXT(BCP_Soles[[#This Row],[FECHA]],"mmmm"),0)</f>
        <v>Agosto</v>
      </c>
    </row>
    <row r="3297" spans="2:28" ht="24" x14ac:dyDescent="0.3">
      <c r="B3297" s="2" t="str">
        <f>IF(BCP_Soles[[#This Row],[TIPO DE R.]]="R",COUNTIFS($D$4:$D3296,"R")+1,"")</f>
        <v/>
      </c>
      <c r="C3297" s="19" t="str">
        <f t="shared" si="255"/>
        <v>B-BCP - Soles</v>
      </c>
      <c r="D3297" s="3" t="s">
        <v>1101</v>
      </c>
      <c r="E3297" s="14">
        <v>45890</v>
      </c>
      <c r="F3297" s="5" t="s">
        <v>1082</v>
      </c>
      <c r="G3297" s="5"/>
      <c r="H3297" s="6" t="s">
        <v>609</v>
      </c>
      <c r="I3297" s="6" t="s">
        <v>14</v>
      </c>
      <c r="J3297" s="6" t="s">
        <v>1121</v>
      </c>
      <c r="K3297" s="6">
        <v>59</v>
      </c>
      <c r="L3297" s="7" t="s">
        <v>3972</v>
      </c>
      <c r="M3297" s="8">
        <v>4888942</v>
      </c>
      <c r="N3297" s="8" t="str">
        <f t="shared" si="256"/>
        <v>PEN</v>
      </c>
      <c r="O3297" s="13">
        <v>510</v>
      </c>
      <c r="P3297" s="13"/>
      <c r="Q3297" s="3">
        <f t="shared" si="257"/>
        <v>0</v>
      </c>
      <c r="R3297" s="3">
        <f t="shared" si="258"/>
        <v>0</v>
      </c>
      <c r="S3297" s="3">
        <f t="shared" si="259"/>
        <v>5287.8299999999726</v>
      </c>
      <c r="T3297" s="24" t="s">
        <v>1081</v>
      </c>
      <c r="U3297" s="24" t="s">
        <v>1081</v>
      </c>
      <c r="V3297" s="70" t="s">
        <v>7899</v>
      </c>
      <c r="W3297" s="25">
        <f>IFERROR(VLOOKUP(BCP_Soles[[#This Row],[DESTINATARIO]],CHOOSE({1,2},Clientes_Proveedores[Razon Social],Clientes_Proveedores[Ruc / Dni]),2,0),"")</f>
        <v>10410687491</v>
      </c>
      <c r="X3297" s="25"/>
      <c r="Y3297" s="25"/>
      <c r="Z3297" s="25"/>
      <c r="AA3297" s="101"/>
      <c r="AB3297" s="3" t="str">
        <f>IF(BCP_Soles[[#This Row],[FECHA]]&gt;0,TEXT(BCP_Soles[[#This Row],[FECHA]],"mmmm"),0)</f>
        <v>Agosto</v>
      </c>
    </row>
    <row r="3298" spans="2:28" ht="24" x14ac:dyDescent="0.3">
      <c r="B3298" s="2" t="str">
        <f>IF(BCP_Soles[[#This Row],[TIPO DE R.]]="R",COUNTIFS($D$4:$D3297,"R")+1,"")</f>
        <v/>
      </c>
      <c r="C3298" s="19" t="str">
        <f t="shared" si="255"/>
        <v>B-BCP - Soles</v>
      </c>
      <c r="D3298" s="3" t="s">
        <v>1101</v>
      </c>
      <c r="E3298" s="14">
        <v>45890</v>
      </c>
      <c r="F3298" s="5" t="s">
        <v>1082</v>
      </c>
      <c r="G3298" s="5"/>
      <c r="H3298" s="6" t="s">
        <v>536</v>
      </c>
      <c r="I3298" s="6" t="s">
        <v>14</v>
      </c>
      <c r="J3298" s="6" t="s">
        <v>1121</v>
      </c>
      <c r="K3298" s="6">
        <v>2461</v>
      </c>
      <c r="L3298" s="7" t="s">
        <v>3972</v>
      </c>
      <c r="M3298" s="8">
        <v>4888942</v>
      </c>
      <c r="N3298" s="8" t="str">
        <f t="shared" si="256"/>
        <v>PEN</v>
      </c>
      <c r="O3298" s="13">
        <v>141.6</v>
      </c>
      <c r="P3298" s="13"/>
      <c r="Q3298" s="3">
        <f t="shared" si="257"/>
        <v>0</v>
      </c>
      <c r="R3298" s="3">
        <f t="shared" si="258"/>
        <v>0</v>
      </c>
      <c r="S3298" s="3">
        <f t="shared" si="259"/>
        <v>5287.8299999999726</v>
      </c>
      <c r="T3298" s="24" t="s">
        <v>1081</v>
      </c>
      <c r="U3298" s="24" t="s">
        <v>1081</v>
      </c>
      <c r="V3298" s="70" t="s">
        <v>7899</v>
      </c>
      <c r="W3298" s="25">
        <f>IFERROR(VLOOKUP(BCP_Soles[[#This Row],[DESTINATARIO]],CHOOSE({1,2},Clientes_Proveedores[Razon Social],Clientes_Proveedores[Ruc / Dni]),2,0),"")</f>
        <v>20609764261</v>
      </c>
      <c r="X3298" s="25"/>
      <c r="Y3298" s="25"/>
      <c r="Z3298" s="25"/>
      <c r="AA3298" s="101"/>
      <c r="AB3298" s="3" t="str">
        <f>IF(BCP_Soles[[#This Row],[FECHA]]&gt;0,TEXT(BCP_Soles[[#This Row],[FECHA]],"mmmm"),0)</f>
        <v>Agosto</v>
      </c>
    </row>
    <row r="3299" spans="2:28" ht="24" x14ac:dyDescent="0.3">
      <c r="B3299" s="2" t="str">
        <f>IF(BCP_Soles[[#This Row],[TIPO DE R.]]="R",COUNTIFS($D$4:$D3298,"R")+1,"")</f>
        <v/>
      </c>
      <c r="C3299" s="19" t="str">
        <f t="shared" si="255"/>
        <v>B-BCP - Soles</v>
      </c>
      <c r="D3299" s="3" t="s">
        <v>1101</v>
      </c>
      <c r="E3299" s="14">
        <v>45890</v>
      </c>
      <c r="F3299" s="5" t="s">
        <v>1082</v>
      </c>
      <c r="G3299" s="5"/>
      <c r="H3299" s="6" t="s">
        <v>536</v>
      </c>
      <c r="I3299" s="6" t="s">
        <v>14</v>
      </c>
      <c r="J3299" s="6" t="s">
        <v>1121</v>
      </c>
      <c r="K3299" s="6">
        <v>2460</v>
      </c>
      <c r="L3299" s="7" t="s">
        <v>3972</v>
      </c>
      <c r="M3299" s="8">
        <v>4888942</v>
      </c>
      <c r="N3299" s="8" t="str">
        <f t="shared" si="256"/>
        <v>PEN</v>
      </c>
      <c r="O3299" s="13">
        <v>106.2</v>
      </c>
      <c r="P3299" s="13"/>
      <c r="Q3299" s="3">
        <f t="shared" si="257"/>
        <v>0</v>
      </c>
      <c r="R3299" s="3">
        <f t="shared" si="258"/>
        <v>0</v>
      </c>
      <c r="S3299" s="3">
        <f t="shared" si="259"/>
        <v>5287.8299999999726</v>
      </c>
      <c r="T3299" s="24" t="s">
        <v>1081</v>
      </c>
      <c r="U3299" s="24" t="s">
        <v>1081</v>
      </c>
      <c r="V3299" s="70" t="s">
        <v>7899</v>
      </c>
      <c r="W3299" s="25">
        <f>IFERROR(VLOOKUP(BCP_Soles[[#This Row],[DESTINATARIO]],CHOOSE({1,2},Clientes_Proveedores[Razon Social],Clientes_Proveedores[Ruc / Dni]),2,0),"")</f>
        <v>20609764261</v>
      </c>
      <c r="X3299" s="25"/>
      <c r="Y3299" s="25"/>
      <c r="Z3299" s="25"/>
      <c r="AA3299" s="101"/>
      <c r="AB3299" s="3" t="str">
        <f>IF(BCP_Soles[[#This Row],[FECHA]]&gt;0,TEXT(BCP_Soles[[#This Row],[FECHA]],"mmmm"),0)</f>
        <v>Agosto</v>
      </c>
    </row>
    <row r="3300" spans="2:28" ht="24" x14ac:dyDescent="0.3">
      <c r="B3300" s="2" t="str">
        <f>IF(BCP_Soles[[#This Row],[TIPO DE R.]]="R",COUNTIFS($D$4:$D3299,"R")+1,"")</f>
        <v/>
      </c>
      <c r="C3300" s="19" t="str">
        <f t="shared" si="255"/>
        <v>B-BCP - Soles</v>
      </c>
      <c r="D3300" s="3" t="s">
        <v>1101</v>
      </c>
      <c r="E3300" s="14">
        <v>45890</v>
      </c>
      <c r="F3300" s="5" t="s">
        <v>1082</v>
      </c>
      <c r="G3300" s="5"/>
      <c r="H3300" s="6" t="s">
        <v>536</v>
      </c>
      <c r="I3300" s="6" t="s">
        <v>14</v>
      </c>
      <c r="J3300" s="6" t="s">
        <v>1121</v>
      </c>
      <c r="K3300" s="6">
        <v>2462</v>
      </c>
      <c r="L3300" s="7" t="s">
        <v>3972</v>
      </c>
      <c r="M3300" s="8">
        <v>4888942</v>
      </c>
      <c r="N3300" s="8" t="str">
        <f t="shared" si="256"/>
        <v>PEN</v>
      </c>
      <c r="O3300" s="13">
        <v>70.8</v>
      </c>
      <c r="P3300" s="13"/>
      <c r="Q3300" s="3">
        <f t="shared" si="257"/>
        <v>0</v>
      </c>
      <c r="R3300" s="3">
        <f t="shared" si="258"/>
        <v>0</v>
      </c>
      <c r="S3300" s="3">
        <f t="shared" si="259"/>
        <v>5287.8299999999726</v>
      </c>
      <c r="T3300" s="24" t="s">
        <v>1081</v>
      </c>
      <c r="U3300" s="24" t="s">
        <v>1081</v>
      </c>
      <c r="V3300" s="70" t="s">
        <v>7899</v>
      </c>
      <c r="W3300" s="25">
        <f>IFERROR(VLOOKUP(BCP_Soles[[#This Row],[DESTINATARIO]],CHOOSE({1,2},Clientes_Proveedores[Razon Social],Clientes_Proveedores[Ruc / Dni]),2,0),"")</f>
        <v>20609764261</v>
      </c>
      <c r="X3300" s="25"/>
      <c r="Y3300" s="25"/>
      <c r="Z3300" s="25"/>
      <c r="AA3300" s="101"/>
      <c r="AB3300" s="3" t="str">
        <f>IF(BCP_Soles[[#This Row],[FECHA]]&gt;0,TEXT(BCP_Soles[[#This Row],[FECHA]],"mmmm"),0)</f>
        <v>Agosto</v>
      </c>
    </row>
    <row r="3301" spans="2:28" x14ac:dyDescent="0.3">
      <c r="B3301" s="2" t="str">
        <f>IF(BCP_Soles[[#This Row],[TIPO DE R.]]="R",COUNTIFS($D$4:$D3300,"R")+1,"")</f>
        <v/>
      </c>
      <c r="C3301" s="19" t="str">
        <f t="shared" si="255"/>
        <v>B-BCP - Soles</v>
      </c>
      <c r="D3301" s="3" t="s">
        <v>1101</v>
      </c>
      <c r="E3301" s="14">
        <v>45890</v>
      </c>
      <c r="F3301" s="5" t="s">
        <v>1082</v>
      </c>
      <c r="G3301" s="5"/>
      <c r="H3301" s="6" t="s">
        <v>465</v>
      </c>
      <c r="I3301" s="6" t="s">
        <v>14</v>
      </c>
      <c r="J3301" s="6" t="s">
        <v>1121</v>
      </c>
      <c r="K3301" s="6">
        <v>4037</v>
      </c>
      <c r="L3301" s="7" t="s">
        <v>3972</v>
      </c>
      <c r="M3301" s="8">
        <v>4888942</v>
      </c>
      <c r="N3301" s="8" t="str">
        <f t="shared" si="256"/>
        <v>PEN</v>
      </c>
      <c r="O3301" s="13">
        <v>200.6</v>
      </c>
      <c r="P3301" s="13"/>
      <c r="Q3301" s="3">
        <f t="shared" si="257"/>
        <v>0</v>
      </c>
      <c r="R3301" s="3">
        <f t="shared" si="258"/>
        <v>0</v>
      </c>
      <c r="S3301" s="3">
        <f t="shared" si="259"/>
        <v>5287.8299999999726</v>
      </c>
      <c r="T3301" s="24" t="s">
        <v>1081</v>
      </c>
      <c r="U3301" s="24" t="s">
        <v>1081</v>
      </c>
      <c r="V3301" s="70" t="s">
        <v>7899</v>
      </c>
      <c r="W3301" s="25">
        <f>IFERROR(VLOOKUP(BCP_Soles[[#This Row],[DESTINATARIO]],CHOOSE({1,2},Clientes_Proveedores[Razon Social],Clientes_Proveedores[Ruc / Dni]),2,0),"")</f>
        <v>20603974817</v>
      </c>
      <c r="X3301" s="25"/>
      <c r="Y3301" s="25"/>
      <c r="Z3301" s="25"/>
      <c r="AA3301" s="101"/>
      <c r="AB3301" s="3" t="str">
        <f>IF(BCP_Soles[[#This Row],[FECHA]]&gt;0,TEXT(BCP_Soles[[#This Row],[FECHA]],"mmmm"),0)</f>
        <v>Agosto</v>
      </c>
    </row>
    <row r="3302" spans="2:28" x14ac:dyDescent="0.3">
      <c r="B3302" s="2">
        <f>IF(BCP_Soles[[#This Row],[TIPO DE R.]]="R",COUNTIFS($D$4:$D3301,"R")+1,"")</f>
        <v>2273</v>
      </c>
      <c r="C3302" s="19" t="str">
        <f t="shared" si="255"/>
        <v>B-BCP - Soles</v>
      </c>
      <c r="D3302" s="3" t="s">
        <v>1074</v>
      </c>
      <c r="E3302" s="14">
        <v>45890</v>
      </c>
      <c r="F3302" s="5" t="s">
        <v>2898</v>
      </c>
      <c r="G3302" s="5" t="s">
        <v>1079</v>
      </c>
      <c r="H3302" s="6"/>
      <c r="I3302" s="6"/>
      <c r="J3302" s="6"/>
      <c r="K3302" s="6"/>
      <c r="L3302" s="7" t="s">
        <v>3973</v>
      </c>
      <c r="M3302" s="8">
        <v>1002082</v>
      </c>
      <c r="N3302" s="8" t="str">
        <f t="shared" si="256"/>
        <v>PEN</v>
      </c>
      <c r="O3302" s="13"/>
      <c r="P3302" s="13">
        <v>1909</v>
      </c>
      <c r="Q3302" s="3">
        <f t="shared" si="257"/>
        <v>0</v>
      </c>
      <c r="R3302" s="3">
        <f t="shared" si="258"/>
        <v>1909</v>
      </c>
      <c r="S3302" s="3">
        <f t="shared" si="259"/>
        <v>3378.8299999999726</v>
      </c>
      <c r="T3302" s="24"/>
      <c r="U3302" s="24"/>
      <c r="V3302" s="69"/>
      <c r="W3302" s="25" t="str">
        <f>IFERROR(VLOOKUP(BCP_Soles[[#This Row],[DESTINATARIO]],CHOOSE({1,2},Clientes_Proveedores[Razon Social],Clientes_Proveedores[Ruc / Dni]),2,0),"")</f>
        <v/>
      </c>
      <c r="X3302" s="25"/>
      <c r="Y3302" s="25"/>
      <c r="Z3302" s="25"/>
      <c r="AA3302" s="101"/>
      <c r="AB3302" s="3" t="str">
        <f>IF(BCP_Soles[[#This Row],[FECHA]]&gt;0,TEXT(BCP_Soles[[#This Row],[FECHA]],"mmmm"),0)</f>
        <v>Agosto</v>
      </c>
    </row>
    <row r="3303" spans="2:28" ht="24" x14ac:dyDescent="0.3">
      <c r="B3303" s="2">
        <f>IF(BCP_Soles[[#This Row],[TIPO DE R.]]="R",COUNTIFS($D$4:$D3302,"R")+1,"")</f>
        <v>2274</v>
      </c>
      <c r="C3303" s="19" t="str">
        <f t="shared" si="255"/>
        <v>B-BCP - Soles</v>
      </c>
      <c r="D3303" s="3" t="s">
        <v>1074</v>
      </c>
      <c r="E3303" s="14">
        <v>45890</v>
      </c>
      <c r="F3303" s="5" t="s">
        <v>1078</v>
      </c>
      <c r="G3303" s="5" t="s">
        <v>1079</v>
      </c>
      <c r="H3303" s="6" t="s">
        <v>1001</v>
      </c>
      <c r="I3303" s="6" t="s">
        <v>14</v>
      </c>
      <c r="J3303" s="6" t="s">
        <v>3128</v>
      </c>
      <c r="K3303" s="6">
        <v>36178159</v>
      </c>
      <c r="L3303" s="7" t="s">
        <v>3300</v>
      </c>
      <c r="M3303" s="8">
        <v>426</v>
      </c>
      <c r="N3303" s="8" t="str">
        <f t="shared" si="256"/>
        <v>PEN</v>
      </c>
      <c r="O3303" s="13"/>
      <c r="P3303" s="13">
        <v>10</v>
      </c>
      <c r="Q3303" s="3">
        <f t="shared" si="257"/>
        <v>0</v>
      </c>
      <c r="R3303" s="3">
        <f t="shared" si="258"/>
        <v>10</v>
      </c>
      <c r="S3303" s="3">
        <f t="shared" si="259"/>
        <v>3368.8299999999726</v>
      </c>
      <c r="T3303" s="24" t="s">
        <v>1081</v>
      </c>
      <c r="U3303" s="24" t="s">
        <v>1081</v>
      </c>
      <c r="V3303" s="69"/>
      <c r="W3303" s="25">
        <f>IFERROR(VLOOKUP(BCP_Soles[[#This Row],[DESTINATARIO]],CHOOSE({1,2},Clientes_Proveedores[Razon Social],Clientes_Proveedores[Ruc / Dni]),2,0),"")</f>
        <v>20100047218</v>
      </c>
      <c r="X3303" s="25"/>
      <c r="Y3303" s="25"/>
      <c r="Z3303" s="25"/>
      <c r="AA3303" s="101"/>
      <c r="AB3303" s="3" t="str">
        <f>IF(BCP_Soles[[#This Row],[FECHA]]&gt;0,TEXT(BCP_Soles[[#This Row],[FECHA]],"mmmm"),0)</f>
        <v>Agosto</v>
      </c>
    </row>
    <row r="3304" spans="2:28" x14ac:dyDescent="0.3">
      <c r="B3304" s="2">
        <f>IF(BCP_Soles[[#This Row],[TIPO DE R.]]="R",COUNTIFS($D$4:$D3303,"R")+1,"")</f>
        <v>2275</v>
      </c>
      <c r="C3304" s="19" t="str">
        <f t="shared" si="255"/>
        <v>B-BCP - Soles</v>
      </c>
      <c r="D3304" s="3" t="s">
        <v>1074</v>
      </c>
      <c r="E3304" s="14">
        <v>45890</v>
      </c>
      <c r="F3304" s="5" t="s">
        <v>1078</v>
      </c>
      <c r="G3304" s="5" t="s">
        <v>1079</v>
      </c>
      <c r="H3304" s="6"/>
      <c r="I3304" s="6"/>
      <c r="J3304" s="6"/>
      <c r="K3304" s="6"/>
      <c r="L3304" s="7" t="s">
        <v>2868</v>
      </c>
      <c r="M3304" s="8"/>
      <c r="N3304" s="8" t="str">
        <f t="shared" si="256"/>
        <v>PEN</v>
      </c>
      <c r="O3304" s="13"/>
      <c r="P3304" s="13">
        <v>0.35</v>
      </c>
      <c r="Q3304" s="3">
        <f t="shared" si="257"/>
        <v>0</v>
      </c>
      <c r="R3304" s="3">
        <f t="shared" si="258"/>
        <v>0.35</v>
      </c>
      <c r="S3304" s="3">
        <f t="shared" si="259"/>
        <v>3368.4799999999727</v>
      </c>
      <c r="T3304" s="24"/>
      <c r="U3304" s="24"/>
      <c r="V3304" s="69"/>
      <c r="W3304" s="25" t="str">
        <f>IFERROR(VLOOKUP(BCP_Soles[[#This Row],[DESTINATARIO]],CHOOSE({1,2},Clientes_Proveedores[Razon Social],Clientes_Proveedores[Ruc / Dni]),2,0),"")</f>
        <v/>
      </c>
      <c r="X3304" s="25"/>
      <c r="Y3304" s="25"/>
      <c r="Z3304" s="25"/>
      <c r="AA3304" s="101"/>
      <c r="AB3304" s="3" t="str">
        <f>IF(BCP_Soles[[#This Row],[FECHA]]&gt;0,TEXT(BCP_Soles[[#This Row],[FECHA]],"mmmm"),0)</f>
        <v>Agosto</v>
      </c>
    </row>
    <row r="3305" spans="2:28" x14ac:dyDescent="0.3">
      <c r="B3305" s="2">
        <f>IF(BCP_Soles[[#This Row],[TIPO DE R.]]="R",COUNTIFS($D$4:$D3304,"R")+1,"")</f>
        <v>2276</v>
      </c>
      <c r="C3305" s="19" t="str">
        <f t="shared" si="255"/>
        <v>B-BCP - Soles</v>
      </c>
      <c r="D3305" s="3" t="s">
        <v>1074</v>
      </c>
      <c r="E3305" s="14">
        <v>45891</v>
      </c>
      <c r="F3305" s="5"/>
      <c r="G3305" s="5" t="s">
        <v>1087</v>
      </c>
      <c r="H3305" s="6" t="s">
        <v>368</v>
      </c>
      <c r="I3305" s="6"/>
      <c r="J3305" s="6"/>
      <c r="K3305" s="6"/>
      <c r="L3305" s="7" t="s">
        <v>3974</v>
      </c>
      <c r="M3305" s="8">
        <v>2094314</v>
      </c>
      <c r="N3305" s="8" t="str">
        <f t="shared" si="256"/>
        <v>PEN</v>
      </c>
      <c r="O3305" s="13"/>
      <c r="P3305" s="13">
        <v>2300</v>
      </c>
      <c r="Q3305" s="3">
        <f t="shared" si="257"/>
        <v>2300</v>
      </c>
      <c r="R3305" s="3">
        <f t="shared" si="258"/>
        <v>0</v>
      </c>
      <c r="S3305" s="3">
        <f t="shared" si="259"/>
        <v>5668.4799999999723</v>
      </c>
      <c r="T3305" s="24"/>
      <c r="U3305" s="24"/>
      <c r="V3305" s="69"/>
      <c r="W3305" s="25">
        <f>IFERROR(VLOOKUP(BCP_Soles[[#This Row],[DESTINATARIO]],CHOOSE({1,2},Clientes_Proveedores[Razon Social],Clientes_Proveedores[Ruc / Dni]),2,0),"")</f>
        <v>20558226979</v>
      </c>
      <c r="X3305" s="25"/>
      <c r="Y3305" s="25"/>
      <c r="Z3305" s="25"/>
      <c r="AA3305" s="101"/>
      <c r="AB3305" s="3" t="str">
        <f>IF(BCP_Soles[[#This Row],[FECHA]]&gt;0,TEXT(BCP_Soles[[#This Row],[FECHA]],"mmmm"),0)</f>
        <v>Agosto</v>
      </c>
    </row>
    <row r="3306" spans="2:28" ht="36" x14ac:dyDescent="0.3">
      <c r="B3306" s="2">
        <f>IF(BCP_Soles[[#This Row],[TIPO DE R.]]="R",COUNTIFS($D$4:$D3305,"R")+1,"")</f>
        <v>2277</v>
      </c>
      <c r="C3306" s="19" t="str">
        <f t="shared" si="255"/>
        <v>B-BCP - Soles</v>
      </c>
      <c r="D3306" s="3" t="s">
        <v>1074</v>
      </c>
      <c r="E3306" s="14">
        <v>45891</v>
      </c>
      <c r="F3306" s="5" t="s">
        <v>497</v>
      </c>
      <c r="G3306" s="5" t="s">
        <v>1087</v>
      </c>
      <c r="H3306" s="6" t="s">
        <v>368</v>
      </c>
      <c r="I3306" s="6"/>
      <c r="J3306" s="6"/>
      <c r="K3306" s="6"/>
      <c r="L3306" s="7" t="s">
        <v>3824</v>
      </c>
      <c r="M3306" s="8">
        <v>5364545</v>
      </c>
      <c r="N3306" s="8" t="str">
        <f t="shared" si="256"/>
        <v>PEN</v>
      </c>
      <c r="O3306" s="13"/>
      <c r="P3306" s="13">
        <v>2827.01</v>
      </c>
      <c r="Q3306" s="3">
        <f t="shared" si="257"/>
        <v>2827.01</v>
      </c>
      <c r="R3306" s="3">
        <f t="shared" si="258"/>
        <v>0</v>
      </c>
      <c r="S3306" s="3">
        <f t="shared" si="259"/>
        <v>8495.4899999999725</v>
      </c>
      <c r="T3306" s="24" t="s">
        <v>1081</v>
      </c>
      <c r="U3306" s="24" t="s">
        <v>1081</v>
      </c>
      <c r="V3306" s="69"/>
      <c r="W3306" s="25">
        <f>IFERROR(VLOOKUP(BCP_Soles[[#This Row],[DESTINATARIO]],CHOOSE({1,2},Clientes_Proveedores[Razon Social],Clientes_Proveedores[Ruc / Dni]),2,0),"")</f>
        <v>20558226979</v>
      </c>
      <c r="X3306" s="25"/>
      <c r="Y3306" s="25"/>
      <c r="Z3306" s="25"/>
      <c r="AA3306" s="101"/>
      <c r="AB3306" s="3" t="str">
        <f>IF(BCP_Soles[[#This Row],[FECHA]]&gt;0,TEXT(BCP_Soles[[#This Row],[FECHA]],"mmmm"),0)</f>
        <v>Agosto</v>
      </c>
    </row>
    <row r="3307" spans="2:28" ht="36" x14ac:dyDescent="0.3">
      <c r="B3307" s="2" t="str">
        <f>IF(BCP_Soles[[#This Row],[TIPO DE R.]]="R",COUNTIFS($D$4:$D3306,"R")+1,"")</f>
        <v/>
      </c>
      <c r="C3307" s="19" t="str">
        <f t="shared" si="255"/>
        <v>B-BCP - Soles</v>
      </c>
      <c r="D3307" s="3" t="s">
        <v>1101</v>
      </c>
      <c r="E3307" s="14">
        <v>45891</v>
      </c>
      <c r="F3307" s="5"/>
      <c r="G3307" s="5"/>
      <c r="H3307" s="6" t="s">
        <v>497</v>
      </c>
      <c r="I3307" s="6" t="s">
        <v>14</v>
      </c>
      <c r="J3307" s="6" t="s">
        <v>3091</v>
      </c>
      <c r="K3307" s="6">
        <v>56</v>
      </c>
      <c r="L3307" s="7" t="s">
        <v>3824</v>
      </c>
      <c r="M3307" s="8">
        <v>5364545</v>
      </c>
      <c r="N3307" s="8" t="str">
        <f t="shared" si="256"/>
        <v>PEN</v>
      </c>
      <c r="O3307" s="13">
        <v>1040.19</v>
      </c>
      <c r="P3307" s="13"/>
      <c r="Q3307" s="3">
        <f t="shared" si="257"/>
        <v>0</v>
      </c>
      <c r="R3307" s="3">
        <f t="shared" si="258"/>
        <v>0</v>
      </c>
      <c r="S3307" s="3">
        <f t="shared" si="259"/>
        <v>8495.4899999999725</v>
      </c>
      <c r="T3307" s="24" t="s">
        <v>1081</v>
      </c>
      <c r="U3307" s="24" t="s">
        <v>1081</v>
      </c>
      <c r="V3307" s="69"/>
      <c r="W3307" s="25">
        <f>IFERROR(VLOOKUP(BCP_Soles[[#This Row],[DESTINATARIO]],CHOOSE({1,2},Clientes_Proveedores[Razon Social],Clientes_Proveedores[Ruc / Dni]),2,0),"")</f>
        <v>20607388416</v>
      </c>
      <c r="X3307" s="25"/>
      <c r="Y3307" s="25"/>
      <c r="Z3307" s="25"/>
      <c r="AA3307" s="101"/>
      <c r="AB3307" s="3" t="str">
        <f>IF(BCP_Soles[[#This Row],[FECHA]]&gt;0,TEXT(BCP_Soles[[#This Row],[FECHA]],"mmmm"),0)</f>
        <v>Agosto</v>
      </c>
    </row>
    <row r="3308" spans="2:28" ht="36" x14ac:dyDescent="0.3">
      <c r="B3308" s="2" t="str">
        <f>IF(BCP_Soles[[#This Row],[TIPO DE R.]]="R",COUNTIFS($D$4:$D3307,"R")+1,"")</f>
        <v/>
      </c>
      <c r="C3308" s="19" t="str">
        <f t="shared" si="255"/>
        <v>B-BCP - Soles</v>
      </c>
      <c r="D3308" s="3" t="s">
        <v>1101</v>
      </c>
      <c r="E3308" s="14">
        <v>45891</v>
      </c>
      <c r="F3308" s="5"/>
      <c r="G3308" s="5"/>
      <c r="H3308" s="6" t="s">
        <v>497</v>
      </c>
      <c r="I3308" s="6" t="s">
        <v>14</v>
      </c>
      <c r="J3308" s="6" t="s">
        <v>3091</v>
      </c>
      <c r="K3308" s="6">
        <v>58</v>
      </c>
      <c r="L3308" s="7" t="s">
        <v>3824</v>
      </c>
      <c r="M3308" s="8">
        <v>5364545</v>
      </c>
      <c r="N3308" s="8" t="str">
        <f t="shared" si="256"/>
        <v>PEN</v>
      </c>
      <c r="O3308" s="13">
        <v>1786.82</v>
      </c>
      <c r="P3308" s="13"/>
      <c r="Q3308" s="3">
        <f t="shared" si="257"/>
        <v>0</v>
      </c>
      <c r="R3308" s="3">
        <f t="shared" si="258"/>
        <v>0</v>
      </c>
      <c r="S3308" s="3">
        <f t="shared" si="259"/>
        <v>8495.4899999999725</v>
      </c>
      <c r="T3308" s="24" t="s">
        <v>1081</v>
      </c>
      <c r="U3308" s="24" t="s">
        <v>1081</v>
      </c>
      <c r="V3308" s="69"/>
      <c r="W3308" s="25">
        <f>IFERROR(VLOOKUP(BCP_Soles[[#This Row],[DESTINATARIO]],CHOOSE({1,2},Clientes_Proveedores[Razon Social],Clientes_Proveedores[Ruc / Dni]),2,0),"")</f>
        <v>20607388416</v>
      </c>
      <c r="X3308" s="25"/>
      <c r="Y3308" s="25"/>
      <c r="Z3308" s="25"/>
      <c r="AA3308" s="101"/>
      <c r="AB3308" s="3" t="str">
        <f>IF(BCP_Soles[[#This Row],[FECHA]]&gt;0,TEXT(BCP_Soles[[#This Row],[FECHA]],"mmmm"),0)</f>
        <v>Agosto</v>
      </c>
    </row>
    <row r="3309" spans="2:28" x14ac:dyDescent="0.3">
      <c r="B3309" s="2">
        <f>IF(BCP_Soles[[#This Row],[TIPO DE R.]]="R",COUNTIFS($D$4:$D3308,"R")+1,"")</f>
        <v>2278</v>
      </c>
      <c r="C3309" s="19" t="str">
        <f t="shared" si="255"/>
        <v>B-BCP - Soles</v>
      </c>
      <c r="D3309" s="3" t="s">
        <v>1074</v>
      </c>
      <c r="E3309" s="14">
        <v>45891</v>
      </c>
      <c r="F3309" s="5" t="s">
        <v>382</v>
      </c>
      <c r="G3309" s="5" t="s">
        <v>1087</v>
      </c>
      <c r="H3309" s="6" t="s">
        <v>368</v>
      </c>
      <c r="I3309" s="6" t="s">
        <v>63</v>
      </c>
      <c r="J3309" s="6">
        <v>1</v>
      </c>
      <c r="K3309" s="6">
        <v>4694</v>
      </c>
      <c r="L3309" s="7" t="s">
        <v>1100</v>
      </c>
      <c r="M3309" s="8">
        <v>2376204</v>
      </c>
      <c r="N3309" s="8" t="str">
        <f t="shared" si="256"/>
        <v>PEN</v>
      </c>
      <c r="O3309" s="13"/>
      <c r="P3309" s="13">
        <v>760</v>
      </c>
      <c r="Q3309" s="3">
        <f t="shared" si="257"/>
        <v>760</v>
      </c>
      <c r="R3309" s="3">
        <f t="shared" si="258"/>
        <v>0</v>
      </c>
      <c r="S3309" s="3">
        <f t="shared" si="259"/>
        <v>9255.4899999999725</v>
      </c>
      <c r="T3309" s="24" t="s">
        <v>1081</v>
      </c>
      <c r="U3309" s="24"/>
      <c r="V3309" s="69"/>
      <c r="W3309" s="25">
        <f>IFERROR(VLOOKUP(BCP_Soles[[#This Row],[DESTINATARIO]],CHOOSE({1,2},Clientes_Proveedores[Razon Social],Clientes_Proveedores[Ruc / Dni]),2,0),"")</f>
        <v>20558226979</v>
      </c>
      <c r="X3309" s="25"/>
      <c r="Y3309" s="25"/>
      <c r="Z3309" s="25"/>
      <c r="AA3309" s="101"/>
      <c r="AB3309" s="3" t="str">
        <f>IF(BCP_Soles[[#This Row],[FECHA]]&gt;0,TEXT(BCP_Soles[[#This Row],[FECHA]],"mmmm"),0)</f>
        <v>Agosto</v>
      </c>
    </row>
    <row r="3310" spans="2:28" ht="24" x14ac:dyDescent="0.3">
      <c r="B3310" s="2">
        <f>IF(BCP_Soles[[#This Row],[TIPO DE R.]]="R",COUNTIFS($D$4:$D3309,"R")+1,"")</f>
        <v>2279</v>
      </c>
      <c r="C3310" s="19" t="str">
        <f t="shared" si="255"/>
        <v>B-BCP - Soles</v>
      </c>
      <c r="D3310" s="3" t="s">
        <v>1074</v>
      </c>
      <c r="E3310" s="14">
        <v>45891</v>
      </c>
      <c r="F3310" s="5" t="s">
        <v>3816</v>
      </c>
      <c r="G3310" s="5" t="s">
        <v>1087</v>
      </c>
      <c r="H3310" s="6" t="s">
        <v>368</v>
      </c>
      <c r="I3310" s="6" t="s">
        <v>63</v>
      </c>
      <c r="J3310" s="6">
        <v>1</v>
      </c>
      <c r="K3310" s="6">
        <v>4587</v>
      </c>
      <c r="L3310" s="7" t="s">
        <v>1100</v>
      </c>
      <c r="M3310" s="8">
        <v>2312750</v>
      </c>
      <c r="N3310" s="8" t="str">
        <f t="shared" si="256"/>
        <v>PEN</v>
      </c>
      <c r="O3310" s="13"/>
      <c r="P3310" s="13">
        <v>500</v>
      </c>
      <c r="Q3310" s="3">
        <f t="shared" si="257"/>
        <v>500</v>
      </c>
      <c r="R3310" s="3">
        <f t="shared" si="258"/>
        <v>0</v>
      </c>
      <c r="S3310" s="3">
        <f t="shared" si="259"/>
        <v>9755.4899999999725</v>
      </c>
      <c r="T3310" s="24" t="s">
        <v>1081</v>
      </c>
      <c r="U3310" s="24"/>
      <c r="V3310" s="69"/>
      <c r="W3310" s="25">
        <f>IFERROR(VLOOKUP(BCP_Soles[[#This Row],[DESTINATARIO]],CHOOSE({1,2},Clientes_Proveedores[Razon Social],Clientes_Proveedores[Ruc / Dni]),2,0),"")</f>
        <v>20558226979</v>
      </c>
      <c r="X3310" s="25"/>
      <c r="Y3310" s="25"/>
      <c r="Z3310" s="25"/>
      <c r="AA3310" s="101"/>
      <c r="AB3310" s="3" t="str">
        <f>IF(BCP_Soles[[#This Row],[FECHA]]&gt;0,TEXT(BCP_Soles[[#This Row],[FECHA]],"mmmm"),0)</f>
        <v>Agosto</v>
      </c>
    </row>
    <row r="3311" spans="2:28" x14ac:dyDescent="0.3">
      <c r="B3311" s="2">
        <f>IF(BCP_Soles[[#This Row],[TIPO DE R.]]="R",COUNTIFS($D$4:$D3310,"R")+1,"")</f>
        <v>2280</v>
      </c>
      <c r="C3311" s="19" t="str">
        <f t="shared" si="255"/>
        <v>B-BCP - Soles</v>
      </c>
      <c r="D3311" s="3" t="s">
        <v>1074</v>
      </c>
      <c r="E3311" s="14">
        <v>45891</v>
      </c>
      <c r="F3311" s="5" t="s">
        <v>3975</v>
      </c>
      <c r="G3311" s="5" t="s">
        <v>1087</v>
      </c>
      <c r="H3311" s="6" t="s">
        <v>368</v>
      </c>
      <c r="I3311" s="6"/>
      <c r="J3311" s="6"/>
      <c r="K3311" s="6"/>
      <c r="L3311" s="7" t="s">
        <v>3976</v>
      </c>
      <c r="M3311" s="8"/>
      <c r="N3311" s="8" t="str">
        <f t="shared" si="256"/>
        <v>PEN</v>
      </c>
      <c r="O3311" s="13"/>
      <c r="P3311" s="13">
        <v>113.6</v>
      </c>
      <c r="Q3311" s="3">
        <f t="shared" si="257"/>
        <v>113.6</v>
      </c>
      <c r="R3311" s="3">
        <f t="shared" si="258"/>
        <v>0</v>
      </c>
      <c r="S3311" s="3">
        <f t="shared" si="259"/>
        <v>9869.0899999999729</v>
      </c>
      <c r="T3311" s="24"/>
      <c r="U3311" s="24"/>
      <c r="V3311" s="69"/>
      <c r="W3311" s="25">
        <f>IFERROR(VLOOKUP(BCP_Soles[[#This Row],[DESTINATARIO]],CHOOSE({1,2},Clientes_Proveedores[Razon Social],Clientes_Proveedores[Ruc / Dni]),2,0),"")</f>
        <v>20558226979</v>
      </c>
      <c r="X3311" s="25"/>
      <c r="Y3311" s="25"/>
      <c r="Z3311" s="25"/>
      <c r="AA3311" s="101"/>
      <c r="AB3311" s="3" t="str">
        <f>IF(BCP_Soles[[#This Row],[FECHA]]&gt;0,TEXT(BCP_Soles[[#This Row],[FECHA]],"mmmm"),0)</f>
        <v>Agosto</v>
      </c>
    </row>
    <row r="3312" spans="2:28" x14ac:dyDescent="0.3">
      <c r="B3312" s="2">
        <f>IF(BCP_Soles[[#This Row],[TIPO DE R.]]="R",COUNTIFS($D$4:$D3311,"R")+1,"")</f>
        <v>2281</v>
      </c>
      <c r="C3312" s="19" t="str">
        <f t="shared" si="255"/>
        <v>B-BCP - Soles</v>
      </c>
      <c r="D3312" s="3" t="s">
        <v>1074</v>
      </c>
      <c r="E3312" s="14">
        <v>45891</v>
      </c>
      <c r="F3312" s="5" t="s">
        <v>3883</v>
      </c>
      <c r="G3312" s="5" t="s">
        <v>1079</v>
      </c>
      <c r="H3312" s="6"/>
      <c r="I3312" s="6"/>
      <c r="J3312" s="6"/>
      <c r="K3312" s="6"/>
      <c r="L3312" s="7" t="s">
        <v>3977</v>
      </c>
      <c r="M3312" s="8">
        <v>1113121</v>
      </c>
      <c r="N3312" s="8" t="str">
        <f t="shared" si="256"/>
        <v>PEN</v>
      </c>
      <c r="O3312" s="13"/>
      <c r="P3312" s="13">
        <v>1920</v>
      </c>
      <c r="Q3312" s="3">
        <f t="shared" si="257"/>
        <v>0</v>
      </c>
      <c r="R3312" s="3">
        <f t="shared" si="258"/>
        <v>1920</v>
      </c>
      <c r="S3312" s="3">
        <f t="shared" si="259"/>
        <v>7949.0899999999729</v>
      </c>
      <c r="T3312" s="24"/>
      <c r="U3312" s="24"/>
      <c r="V3312" s="69"/>
      <c r="W3312" s="25" t="str">
        <f>IFERROR(VLOOKUP(BCP_Soles[[#This Row],[DESTINATARIO]],CHOOSE({1,2},Clientes_Proveedores[Razon Social],Clientes_Proveedores[Ruc / Dni]),2,0),"")</f>
        <v/>
      </c>
      <c r="X3312" s="25"/>
      <c r="Y3312" s="25"/>
      <c r="Z3312" s="25"/>
      <c r="AA3312" s="101"/>
      <c r="AB3312" s="3" t="str">
        <f>IF(BCP_Soles[[#This Row],[FECHA]]&gt;0,TEXT(BCP_Soles[[#This Row],[FECHA]],"mmmm"),0)</f>
        <v>Agosto</v>
      </c>
    </row>
    <row r="3313" spans="2:28" x14ac:dyDescent="0.3">
      <c r="B3313" s="2">
        <f>IF(BCP_Soles[[#This Row],[TIPO DE R.]]="R",COUNTIFS($D$4:$D3312,"R")+1,"")</f>
        <v>2282</v>
      </c>
      <c r="C3313" s="19" t="str">
        <f t="shared" si="255"/>
        <v>B-BCP - Soles</v>
      </c>
      <c r="D3313" s="3" t="s">
        <v>1074</v>
      </c>
      <c r="E3313" s="14">
        <v>45891</v>
      </c>
      <c r="F3313" s="5" t="s">
        <v>3883</v>
      </c>
      <c r="G3313" s="5" t="s">
        <v>1079</v>
      </c>
      <c r="H3313" s="6" t="s">
        <v>211</v>
      </c>
      <c r="I3313" s="6"/>
      <c r="J3313" s="6"/>
      <c r="K3313" s="6"/>
      <c r="L3313" s="7" t="s">
        <v>3978</v>
      </c>
      <c r="M3313" s="8">
        <v>1239506</v>
      </c>
      <c r="N3313" s="8" t="str">
        <f t="shared" si="256"/>
        <v>PEN</v>
      </c>
      <c r="O3313" s="13"/>
      <c r="P3313" s="13">
        <v>603.99</v>
      </c>
      <c r="Q3313" s="3">
        <f t="shared" si="257"/>
        <v>0</v>
      </c>
      <c r="R3313" s="3">
        <f t="shared" si="258"/>
        <v>603.99</v>
      </c>
      <c r="S3313" s="3">
        <f t="shared" si="259"/>
        <v>7345.0999999999731</v>
      </c>
      <c r="T3313" s="24"/>
      <c r="U3313" s="24"/>
      <c r="V3313" s="69"/>
      <c r="W3313" s="25">
        <f>IFERROR(VLOOKUP(BCP_Soles[[#This Row],[DESTINATARIO]],CHOOSE({1,2},Clientes_Proveedores[Razon Social],Clientes_Proveedores[Ruc / Dni]),2,0),"")</f>
        <v>20413815071</v>
      </c>
      <c r="X3313" s="25"/>
      <c r="Y3313" s="25"/>
      <c r="Z3313" s="25"/>
      <c r="AA3313" s="101"/>
      <c r="AB3313" s="3" t="str">
        <f>IF(BCP_Soles[[#This Row],[FECHA]]&gt;0,TEXT(BCP_Soles[[#This Row],[FECHA]],"mmmm"),0)</f>
        <v>Agosto</v>
      </c>
    </row>
    <row r="3314" spans="2:28" x14ac:dyDescent="0.3">
      <c r="B3314" s="2">
        <f>IF(BCP_Soles[[#This Row],[TIPO DE R.]]="R",COUNTIFS($D$4:$D3313,"R")+1,"")</f>
        <v>2283</v>
      </c>
      <c r="C3314" s="19" t="str">
        <f t="shared" si="255"/>
        <v>B-BCP - Soles</v>
      </c>
      <c r="D3314" s="3" t="s">
        <v>1074</v>
      </c>
      <c r="E3314" s="14">
        <v>45891</v>
      </c>
      <c r="F3314" s="5" t="s">
        <v>1082</v>
      </c>
      <c r="G3314" s="5" t="s">
        <v>1079</v>
      </c>
      <c r="H3314" s="6" t="s">
        <v>637</v>
      </c>
      <c r="I3314" s="6"/>
      <c r="J3314" s="6"/>
      <c r="K3314" s="6"/>
      <c r="L3314" s="7" t="s">
        <v>3907</v>
      </c>
      <c r="M3314" s="8">
        <v>238054</v>
      </c>
      <c r="N3314" s="8" t="str">
        <f t="shared" si="256"/>
        <v>PEN</v>
      </c>
      <c r="O3314" s="13"/>
      <c r="P3314" s="13">
        <v>2271.15</v>
      </c>
      <c r="Q3314" s="3">
        <f t="shared" si="257"/>
        <v>0</v>
      </c>
      <c r="R3314" s="3">
        <f t="shared" si="258"/>
        <v>2271.15</v>
      </c>
      <c r="S3314" s="3">
        <f t="shared" si="259"/>
        <v>5073.9499999999734</v>
      </c>
      <c r="T3314" s="24" t="s">
        <v>1081</v>
      </c>
      <c r="U3314" s="24" t="s">
        <v>1081</v>
      </c>
      <c r="V3314" s="70" t="s">
        <v>7898</v>
      </c>
      <c r="W3314" s="25">
        <f>IFERROR(VLOOKUP(BCP_Soles[[#This Row],[DESTINATARIO]],CHOOSE({1,2},Clientes_Proveedores[Razon Social],Clientes_Proveedores[Ruc / Dni]),2,0),"")</f>
        <v>20127765279</v>
      </c>
      <c r="X3314" s="25"/>
      <c r="Y3314" s="25"/>
      <c r="Z3314" s="25"/>
      <c r="AA3314" s="101"/>
      <c r="AB3314" s="3" t="str">
        <f>IF(BCP_Soles[[#This Row],[FECHA]]&gt;0,TEXT(BCP_Soles[[#This Row],[FECHA]],"mmmm"),0)</f>
        <v>Agosto</v>
      </c>
    </row>
    <row r="3315" spans="2:28" x14ac:dyDescent="0.3">
      <c r="B3315" s="2" t="str">
        <f>IF(BCP_Soles[[#This Row],[TIPO DE R.]]="R",COUNTIFS($D$4:$D3314,"R")+1,"")</f>
        <v/>
      </c>
      <c r="C3315" s="19" t="str">
        <f t="shared" si="255"/>
        <v>B-BCP - Soles</v>
      </c>
      <c r="D3315" s="3" t="s">
        <v>1101</v>
      </c>
      <c r="E3315" s="14">
        <v>45891</v>
      </c>
      <c r="F3315" s="5" t="s">
        <v>1082</v>
      </c>
      <c r="G3315" s="5"/>
      <c r="H3315" s="6" t="s">
        <v>637</v>
      </c>
      <c r="I3315" s="6" t="s">
        <v>14</v>
      </c>
      <c r="J3315" s="6" t="s">
        <v>1122</v>
      </c>
      <c r="K3315" s="6">
        <v>178193</v>
      </c>
      <c r="L3315" s="7" t="s">
        <v>3907</v>
      </c>
      <c r="M3315" s="8">
        <v>238054</v>
      </c>
      <c r="N3315" s="8" t="str">
        <f t="shared" si="256"/>
        <v>PEN</v>
      </c>
      <c r="O3315" s="13">
        <v>1231.77</v>
      </c>
      <c r="P3315" s="13"/>
      <c r="Q3315" s="3">
        <f t="shared" si="257"/>
        <v>0</v>
      </c>
      <c r="R3315" s="3">
        <f t="shared" si="258"/>
        <v>0</v>
      </c>
      <c r="S3315" s="3">
        <f t="shared" si="259"/>
        <v>5073.9499999999734</v>
      </c>
      <c r="T3315" s="24" t="s">
        <v>1081</v>
      </c>
      <c r="U3315" s="24" t="s">
        <v>1081</v>
      </c>
      <c r="V3315" s="70" t="s">
        <v>7898</v>
      </c>
      <c r="W3315" s="25">
        <f>IFERROR(VLOOKUP(BCP_Soles[[#This Row],[DESTINATARIO]],CHOOSE({1,2},Clientes_Proveedores[Razon Social],Clientes_Proveedores[Ruc / Dni]),2,0),"")</f>
        <v>20127765279</v>
      </c>
      <c r="X3315" s="25"/>
      <c r="Y3315" s="25"/>
      <c r="Z3315" s="25"/>
      <c r="AA3315" s="101"/>
      <c r="AB3315" s="3" t="str">
        <f>IF(BCP_Soles[[#This Row],[FECHA]]&gt;0,TEXT(BCP_Soles[[#This Row],[FECHA]],"mmmm"),0)</f>
        <v>Agosto</v>
      </c>
    </row>
    <row r="3316" spans="2:28" x14ac:dyDescent="0.3">
      <c r="B3316" s="2" t="str">
        <f>IF(BCP_Soles[[#This Row],[TIPO DE R.]]="R",COUNTIFS($D$4:$D3315,"R")+1,"")</f>
        <v/>
      </c>
      <c r="C3316" s="19" t="str">
        <f t="shared" si="255"/>
        <v>B-BCP - Soles</v>
      </c>
      <c r="D3316" s="3" t="s">
        <v>1101</v>
      </c>
      <c r="E3316" s="14">
        <v>45891</v>
      </c>
      <c r="F3316" s="5" t="s">
        <v>1082</v>
      </c>
      <c r="G3316" s="5"/>
      <c r="H3316" s="6" t="s">
        <v>637</v>
      </c>
      <c r="I3316" s="6" t="s">
        <v>14</v>
      </c>
      <c r="J3316" s="6" t="s">
        <v>1453</v>
      </c>
      <c r="K3316" s="6">
        <v>153202</v>
      </c>
      <c r="L3316" s="7" t="s">
        <v>3907</v>
      </c>
      <c r="M3316" s="8">
        <v>238054</v>
      </c>
      <c r="N3316" s="8" t="str">
        <f t="shared" si="256"/>
        <v>PEN</v>
      </c>
      <c r="O3316" s="13">
        <v>1039.3800000000001</v>
      </c>
      <c r="P3316" s="13"/>
      <c r="Q3316" s="3">
        <f t="shared" si="257"/>
        <v>0</v>
      </c>
      <c r="R3316" s="3">
        <f t="shared" si="258"/>
        <v>0</v>
      </c>
      <c r="S3316" s="3">
        <f t="shared" si="259"/>
        <v>5073.9499999999734</v>
      </c>
      <c r="T3316" s="24" t="s">
        <v>1081</v>
      </c>
      <c r="U3316" s="24" t="s">
        <v>1081</v>
      </c>
      <c r="V3316" s="70" t="s">
        <v>7898</v>
      </c>
      <c r="W3316" s="25">
        <f>IFERROR(VLOOKUP(BCP_Soles[[#This Row],[DESTINATARIO]],CHOOSE({1,2},Clientes_Proveedores[Razon Social],Clientes_Proveedores[Ruc / Dni]),2,0),"")</f>
        <v>20127765279</v>
      </c>
      <c r="X3316" s="25"/>
      <c r="Y3316" s="25"/>
      <c r="Z3316" s="25"/>
      <c r="AA3316" s="101"/>
      <c r="AB3316" s="3" t="str">
        <f>IF(BCP_Soles[[#This Row],[FECHA]]&gt;0,TEXT(BCP_Soles[[#This Row],[FECHA]],"mmmm"),0)</f>
        <v>Agosto</v>
      </c>
    </row>
    <row r="3317" spans="2:28" ht="36" x14ac:dyDescent="0.3">
      <c r="B3317" s="2">
        <f>IF(BCP_Soles[[#This Row],[TIPO DE R.]]="R",COUNTIFS($D$4:$D3316,"R")+1,"")</f>
        <v>2284</v>
      </c>
      <c r="C3317" s="19" t="str">
        <f t="shared" si="255"/>
        <v>B-BCP - Soles</v>
      </c>
      <c r="D3317" s="3" t="s">
        <v>1074</v>
      </c>
      <c r="E3317" s="14">
        <v>45891</v>
      </c>
      <c r="F3317" s="5" t="s">
        <v>1082</v>
      </c>
      <c r="G3317" s="5" t="s">
        <v>1079</v>
      </c>
      <c r="H3317" s="6" t="s">
        <v>530</v>
      </c>
      <c r="I3317" s="6" t="s">
        <v>14</v>
      </c>
      <c r="J3317" s="6" t="s">
        <v>1121</v>
      </c>
      <c r="K3317" s="6">
        <v>486</v>
      </c>
      <c r="L3317" s="7" t="s">
        <v>3979</v>
      </c>
      <c r="M3317" s="8">
        <v>1239017</v>
      </c>
      <c r="N3317" s="8" t="str">
        <f t="shared" si="256"/>
        <v>PEN</v>
      </c>
      <c r="O3317" s="13"/>
      <c r="P3317" s="13">
        <v>70.680000000000007</v>
      </c>
      <c r="Q3317" s="3">
        <f t="shared" si="257"/>
        <v>0</v>
      </c>
      <c r="R3317" s="3">
        <f t="shared" si="258"/>
        <v>70.680000000000007</v>
      </c>
      <c r="S3317" s="3">
        <f t="shared" si="259"/>
        <v>5003.2699999999732</v>
      </c>
      <c r="T3317" s="24" t="s">
        <v>1081</v>
      </c>
      <c r="U3317" s="24" t="s">
        <v>1081</v>
      </c>
      <c r="V3317" s="70" t="s">
        <v>7897</v>
      </c>
      <c r="W3317" s="25">
        <f>IFERROR(VLOOKUP(BCP_Soles[[#This Row],[DESTINATARIO]],CHOOSE({1,2},Clientes_Proveedores[Razon Social],Clientes_Proveedores[Ruc / Dni]),2,0),"")</f>
        <v>20609368773</v>
      </c>
      <c r="X3317" s="25"/>
      <c r="Y3317" s="25"/>
      <c r="Z3317" s="25"/>
      <c r="AA3317" s="101"/>
      <c r="AB3317" s="3" t="str">
        <f>IF(BCP_Soles[[#This Row],[FECHA]]&gt;0,TEXT(BCP_Soles[[#This Row],[FECHA]],"mmmm"),0)</f>
        <v>Agosto</v>
      </c>
    </row>
    <row r="3318" spans="2:28" ht="48" x14ac:dyDescent="0.3">
      <c r="B3318" s="2">
        <f>IF(BCP_Soles[[#This Row],[TIPO DE R.]]="R",COUNTIFS($D$4:$D3317,"R")+1,"")</f>
        <v>2285</v>
      </c>
      <c r="C3318" s="19" t="str">
        <f t="shared" si="255"/>
        <v>B-BCP - Soles</v>
      </c>
      <c r="D3318" s="3" t="s">
        <v>1074</v>
      </c>
      <c r="E3318" s="14">
        <v>45891</v>
      </c>
      <c r="F3318" s="5" t="s">
        <v>1082</v>
      </c>
      <c r="G3318" s="5" t="s">
        <v>1079</v>
      </c>
      <c r="H3318" s="6" t="s">
        <v>431</v>
      </c>
      <c r="I3318" s="6"/>
      <c r="J3318" s="6"/>
      <c r="K3318" s="6"/>
      <c r="L3318" s="7" t="s">
        <v>3980</v>
      </c>
      <c r="M3318" s="8">
        <v>1236073</v>
      </c>
      <c r="N3318" s="8" t="str">
        <f t="shared" si="256"/>
        <v>PEN</v>
      </c>
      <c r="O3318" s="13"/>
      <c r="P3318" s="13">
        <v>220</v>
      </c>
      <c r="Q3318" s="3">
        <f t="shared" si="257"/>
        <v>0</v>
      </c>
      <c r="R3318" s="3">
        <f t="shared" si="258"/>
        <v>220</v>
      </c>
      <c r="S3318" s="3">
        <f t="shared" si="259"/>
        <v>4783.2699999999732</v>
      </c>
      <c r="T3318" s="24" t="s">
        <v>1081</v>
      </c>
      <c r="U3318" s="24" t="s">
        <v>1081</v>
      </c>
      <c r="V3318" s="69"/>
      <c r="W3318" s="25">
        <f>IFERROR(VLOOKUP(BCP_Soles[[#This Row],[DESTINATARIO]],CHOOSE({1,2},Clientes_Proveedores[Razon Social],Clientes_Proveedores[Ruc / Dni]),2,0),"")</f>
        <v>20602484425</v>
      </c>
      <c r="X3318" s="25"/>
      <c r="Y3318" s="25"/>
      <c r="Z3318" s="25"/>
      <c r="AA3318" s="101"/>
      <c r="AB3318" s="3" t="str">
        <f>IF(BCP_Soles[[#This Row],[FECHA]]&gt;0,TEXT(BCP_Soles[[#This Row],[FECHA]],"mmmm"),0)</f>
        <v>Agosto</v>
      </c>
    </row>
    <row r="3319" spans="2:28" ht="48" x14ac:dyDescent="0.3">
      <c r="B3319" s="2" t="str">
        <f>IF(BCP_Soles[[#This Row],[TIPO DE R.]]="R",COUNTIFS($D$4:$D3318,"R")+1,"")</f>
        <v/>
      </c>
      <c r="C3319" s="19" t="str">
        <f t="shared" si="255"/>
        <v>B-BCP - Soles</v>
      </c>
      <c r="D3319" s="3" t="s">
        <v>1101</v>
      </c>
      <c r="E3319" s="14">
        <v>45891</v>
      </c>
      <c r="F3319" s="5" t="s">
        <v>1082</v>
      </c>
      <c r="G3319" s="5"/>
      <c r="H3319" s="6" t="s">
        <v>431</v>
      </c>
      <c r="I3319" s="6" t="s">
        <v>14</v>
      </c>
      <c r="J3319" s="6" t="s">
        <v>1119</v>
      </c>
      <c r="K3319" s="6">
        <v>37491</v>
      </c>
      <c r="L3319" s="7" t="s">
        <v>3980</v>
      </c>
      <c r="M3319" s="8">
        <v>1236073</v>
      </c>
      <c r="N3319" s="8" t="str">
        <f t="shared" si="256"/>
        <v>PEN</v>
      </c>
      <c r="O3319" s="13">
        <v>120</v>
      </c>
      <c r="P3319" s="13"/>
      <c r="Q3319" s="3">
        <f t="shared" si="257"/>
        <v>0</v>
      </c>
      <c r="R3319" s="3">
        <f t="shared" si="258"/>
        <v>0</v>
      </c>
      <c r="S3319" s="3">
        <f t="shared" si="259"/>
        <v>4783.2699999999732</v>
      </c>
      <c r="T3319" s="24" t="s">
        <v>1081</v>
      </c>
      <c r="U3319" s="24" t="s">
        <v>1081</v>
      </c>
      <c r="V3319" s="69"/>
      <c r="W3319" s="25">
        <f>IFERROR(VLOOKUP(BCP_Soles[[#This Row],[DESTINATARIO]],CHOOSE({1,2},Clientes_Proveedores[Razon Social],Clientes_Proveedores[Ruc / Dni]),2,0),"")</f>
        <v>20602484425</v>
      </c>
      <c r="X3319" s="25"/>
      <c r="Y3319" s="25"/>
      <c r="Z3319" s="25"/>
      <c r="AA3319" s="101"/>
      <c r="AB3319" s="3" t="str">
        <f>IF(BCP_Soles[[#This Row],[FECHA]]&gt;0,TEXT(BCP_Soles[[#This Row],[FECHA]],"mmmm"),0)</f>
        <v>Agosto</v>
      </c>
    </row>
    <row r="3320" spans="2:28" ht="48" x14ac:dyDescent="0.3">
      <c r="B3320" s="2" t="str">
        <f>IF(BCP_Soles[[#This Row],[TIPO DE R.]]="R",COUNTIFS($D$4:$D3319,"R")+1,"")</f>
        <v/>
      </c>
      <c r="C3320" s="19" t="str">
        <f t="shared" si="255"/>
        <v>B-BCP - Soles</v>
      </c>
      <c r="D3320" s="3" t="s">
        <v>1101</v>
      </c>
      <c r="E3320" s="14">
        <v>45891</v>
      </c>
      <c r="F3320" s="5" t="s">
        <v>1082</v>
      </c>
      <c r="G3320" s="5"/>
      <c r="H3320" s="6" t="s">
        <v>431</v>
      </c>
      <c r="I3320" s="6" t="s">
        <v>14</v>
      </c>
      <c r="J3320" s="6" t="s">
        <v>1119</v>
      </c>
      <c r="K3320" s="6">
        <v>37490</v>
      </c>
      <c r="L3320" s="7" t="s">
        <v>3980</v>
      </c>
      <c r="M3320" s="8">
        <v>1236073</v>
      </c>
      <c r="N3320" s="8" t="str">
        <f t="shared" si="256"/>
        <v>PEN</v>
      </c>
      <c r="O3320" s="13">
        <v>100</v>
      </c>
      <c r="P3320" s="13"/>
      <c r="Q3320" s="3">
        <f t="shared" si="257"/>
        <v>0</v>
      </c>
      <c r="R3320" s="3">
        <f t="shared" si="258"/>
        <v>0</v>
      </c>
      <c r="S3320" s="3">
        <f t="shared" si="259"/>
        <v>4783.2699999999732</v>
      </c>
      <c r="T3320" s="24" t="s">
        <v>1081</v>
      </c>
      <c r="U3320" s="24" t="s">
        <v>1081</v>
      </c>
      <c r="V3320" s="69"/>
      <c r="W3320" s="25">
        <f>IFERROR(VLOOKUP(BCP_Soles[[#This Row],[DESTINATARIO]],CHOOSE({1,2},Clientes_Proveedores[Razon Social],Clientes_Proveedores[Ruc / Dni]),2,0),"")</f>
        <v>20602484425</v>
      </c>
      <c r="X3320" s="25"/>
      <c r="Y3320" s="25"/>
      <c r="Z3320" s="25"/>
      <c r="AA3320" s="101"/>
      <c r="AB3320" s="3" t="str">
        <f>IF(BCP_Soles[[#This Row],[FECHA]]&gt;0,TEXT(BCP_Soles[[#This Row],[FECHA]],"mmmm"),0)</f>
        <v>Agosto</v>
      </c>
    </row>
    <row r="3321" spans="2:28" ht="24" x14ac:dyDescent="0.3">
      <c r="B3321" s="2">
        <f>IF(BCP_Soles[[#This Row],[TIPO DE R.]]="R",COUNTIFS($D$4:$D3320,"R")+1,"")</f>
        <v>2286</v>
      </c>
      <c r="C3321" s="19" t="str">
        <f t="shared" si="255"/>
        <v>B-BCP - Soles</v>
      </c>
      <c r="D3321" s="3" t="s">
        <v>1074</v>
      </c>
      <c r="E3321" s="14">
        <v>45891</v>
      </c>
      <c r="F3321" s="5" t="s">
        <v>1082</v>
      </c>
      <c r="G3321" s="5" t="s">
        <v>1079</v>
      </c>
      <c r="H3321" s="6" t="s">
        <v>614</v>
      </c>
      <c r="I3321" s="6" t="s">
        <v>14</v>
      </c>
      <c r="J3321" s="6" t="s">
        <v>1121</v>
      </c>
      <c r="K3321" s="6">
        <v>542</v>
      </c>
      <c r="L3321" s="7" t="s">
        <v>3981</v>
      </c>
      <c r="M3321" s="8">
        <v>1238053</v>
      </c>
      <c r="N3321" s="8" t="str">
        <f t="shared" si="256"/>
        <v>PEN</v>
      </c>
      <c r="O3321" s="13"/>
      <c r="P3321" s="13">
        <v>480</v>
      </c>
      <c r="Q3321" s="3">
        <f t="shared" si="257"/>
        <v>0</v>
      </c>
      <c r="R3321" s="3">
        <f t="shared" si="258"/>
        <v>480</v>
      </c>
      <c r="S3321" s="3">
        <f t="shared" si="259"/>
        <v>4303.2699999999732</v>
      </c>
      <c r="T3321" s="24" t="s">
        <v>1081</v>
      </c>
      <c r="U3321" s="24" t="s">
        <v>1081</v>
      </c>
      <c r="V3321" s="70" t="s">
        <v>7896</v>
      </c>
      <c r="W3321" s="25">
        <f>IFERROR(VLOOKUP(BCP_Soles[[#This Row],[DESTINATARIO]],CHOOSE({1,2},Clientes_Proveedores[Razon Social],Clientes_Proveedores[Ruc / Dni]),2,0),"")</f>
        <v>10439205666</v>
      </c>
      <c r="X3321" s="25"/>
      <c r="Y3321" s="25"/>
      <c r="Z3321" s="25"/>
      <c r="AA3321" s="101"/>
      <c r="AB3321" s="3" t="str">
        <f>IF(BCP_Soles[[#This Row],[FECHA]]&gt;0,TEXT(BCP_Soles[[#This Row],[FECHA]],"mmmm"),0)</f>
        <v>Agosto</v>
      </c>
    </row>
    <row r="3322" spans="2:28" x14ac:dyDescent="0.3">
      <c r="B3322" s="2">
        <f>IF(BCP_Soles[[#This Row],[TIPO DE R.]]="R",COUNTIFS($D$4:$D3321,"R")+1,"")</f>
        <v>2287</v>
      </c>
      <c r="C3322" s="19" t="str">
        <f t="shared" si="255"/>
        <v>B-BCP - Soles</v>
      </c>
      <c r="D3322" s="3" t="s">
        <v>1074</v>
      </c>
      <c r="E3322" s="14">
        <v>45891</v>
      </c>
      <c r="F3322" s="5" t="s">
        <v>1078</v>
      </c>
      <c r="G3322" s="5" t="s">
        <v>1079</v>
      </c>
      <c r="H3322" s="6"/>
      <c r="I3322" s="6"/>
      <c r="J3322" s="6"/>
      <c r="K3322" s="6"/>
      <c r="L3322" s="7" t="s">
        <v>2868</v>
      </c>
      <c r="M3322" s="8"/>
      <c r="N3322" s="8" t="str">
        <f t="shared" si="256"/>
        <v>PEN</v>
      </c>
      <c r="O3322" s="13"/>
      <c r="P3322" s="13">
        <v>0.25</v>
      </c>
      <c r="Q3322" s="3">
        <f t="shared" si="257"/>
        <v>0</v>
      </c>
      <c r="R3322" s="3">
        <f t="shared" si="258"/>
        <v>0.25</v>
      </c>
      <c r="S3322" s="3">
        <f t="shared" si="259"/>
        <v>4303.0199999999732</v>
      </c>
      <c r="T3322" s="24"/>
      <c r="U3322" s="24"/>
      <c r="V3322" s="69"/>
      <c r="W3322" s="25" t="str">
        <f>IFERROR(VLOOKUP(BCP_Soles[[#This Row],[DESTINATARIO]],CHOOSE({1,2},Clientes_Proveedores[Razon Social],Clientes_Proveedores[Ruc / Dni]),2,0),"")</f>
        <v/>
      </c>
      <c r="X3322" s="25"/>
      <c r="Y3322" s="25"/>
      <c r="Z3322" s="25"/>
      <c r="AA3322" s="101"/>
      <c r="AB3322" s="3" t="str">
        <f>IF(BCP_Soles[[#This Row],[FECHA]]&gt;0,TEXT(BCP_Soles[[#This Row],[FECHA]],"mmmm"),0)</f>
        <v>Agosto</v>
      </c>
    </row>
    <row r="3323" spans="2:28" ht="36" x14ac:dyDescent="0.3">
      <c r="B3323" s="2">
        <f>IF(BCP_Soles[[#This Row],[TIPO DE R.]]="R",COUNTIFS($D$4:$D3322,"R")+1,"")</f>
        <v>2288</v>
      </c>
      <c r="C3323" s="19" t="str">
        <f t="shared" si="255"/>
        <v>B-BCP - Soles</v>
      </c>
      <c r="D3323" s="3" t="s">
        <v>1074</v>
      </c>
      <c r="E3323" s="14">
        <v>45894</v>
      </c>
      <c r="F3323" s="5" t="s">
        <v>602</v>
      </c>
      <c r="G3323" s="5" t="s">
        <v>1087</v>
      </c>
      <c r="H3323" s="6" t="s">
        <v>368</v>
      </c>
      <c r="I3323" s="6" t="s">
        <v>14</v>
      </c>
      <c r="J3323" s="6" t="s">
        <v>3010</v>
      </c>
      <c r="K3323" s="6">
        <v>119</v>
      </c>
      <c r="L3323" s="7" t="s">
        <v>1100</v>
      </c>
      <c r="M3323" s="8">
        <v>667269</v>
      </c>
      <c r="N3323" s="8" t="str">
        <f t="shared" si="256"/>
        <v>PEN</v>
      </c>
      <c r="O3323" s="13"/>
      <c r="P3323" s="13">
        <v>696.2</v>
      </c>
      <c r="Q3323" s="3">
        <f t="shared" si="257"/>
        <v>696.2</v>
      </c>
      <c r="R3323" s="3">
        <f t="shared" si="258"/>
        <v>0</v>
      </c>
      <c r="S3323" s="3">
        <f t="shared" si="259"/>
        <v>4999.219999999973</v>
      </c>
      <c r="T3323" s="24" t="s">
        <v>1081</v>
      </c>
      <c r="U3323" s="24" t="s">
        <v>1081</v>
      </c>
      <c r="V3323" s="69"/>
      <c r="W3323" s="25">
        <f>IFERROR(VLOOKUP(BCP_Soles[[#This Row],[DESTINATARIO]],CHOOSE({1,2},Clientes_Proveedores[Razon Social],Clientes_Proveedores[Ruc / Dni]),2,0),"")</f>
        <v>20558226979</v>
      </c>
      <c r="X3323" s="25"/>
      <c r="Y3323" s="25"/>
      <c r="Z3323" s="25"/>
      <c r="AA3323" s="101"/>
      <c r="AB3323" s="3" t="str">
        <f>IF(BCP_Soles[[#This Row],[FECHA]]&gt;0,TEXT(BCP_Soles[[#This Row],[FECHA]],"mmmm"),0)</f>
        <v>Agosto</v>
      </c>
    </row>
    <row r="3324" spans="2:28" ht="36" x14ac:dyDescent="0.3">
      <c r="B3324" s="2">
        <f>IF(BCP_Soles[[#This Row],[TIPO DE R.]]="R",COUNTIFS($D$4:$D3323,"R")+1,"")</f>
        <v>2289</v>
      </c>
      <c r="C3324" s="19" t="str">
        <f t="shared" si="255"/>
        <v>B-BCP - Soles</v>
      </c>
      <c r="D3324" s="3" t="s">
        <v>1074</v>
      </c>
      <c r="E3324" s="14">
        <v>45894</v>
      </c>
      <c r="F3324" s="5" t="s">
        <v>459</v>
      </c>
      <c r="G3324" s="5" t="s">
        <v>1087</v>
      </c>
      <c r="H3324" s="6" t="s">
        <v>368</v>
      </c>
      <c r="I3324" s="6" t="s">
        <v>14</v>
      </c>
      <c r="J3324" s="6" t="s">
        <v>1521</v>
      </c>
      <c r="K3324" s="6">
        <v>206</v>
      </c>
      <c r="L3324" s="7" t="s">
        <v>2852</v>
      </c>
      <c r="M3324" s="8">
        <v>2121485</v>
      </c>
      <c r="N3324" s="8" t="str">
        <f t="shared" si="256"/>
        <v>PEN</v>
      </c>
      <c r="O3324" s="13"/>
      <c r="P3324" s="13">
        <v>8325.89</v>
      </c>
      <c r="Q3324" s="3">
        <f t="shared" si="257"/>
        <v>8325.89</v>
      </c>
      <c r="R3324" s="3">
        <f t="shared" si="258"/>
        <v>0</v>
      </c>
      <c r="S3324" s="3">
        <f t="shared" si="259"/>
        <v>13325.109999999971</v>
      </c>
      <c r="T3324" s="24" t="s">
        <v>1081</v>
      </c>
      <c r="U3324" s="24" t="s">
        <v>1081</v>
      </c>
      <c r="V3324" s="69"/>
      <c r="W3324" s="25">
        <f>IFERROR(VLOOKUP(BCP_Soles[[#This Row],[DESTINATARIO]],CHOOSE({1,2},Clientes_Proveedores[Razon Social],Clientes_Proveedores[Ruc / Dni]),2,0),"")</f>
        <v>20558226979</v>
      </c>
      <c r="X3324" s="25"/>
      <c r="Y3324" s="25"/>
      <c r="Z3324" s="25"/>
      <c r="AA3324" s="101"/>
      <c r="AB3324" s="3" t="str">
        <f>IF(BCP_Soles[[#This Row],[FECHA]]&gt;0,TEXT(BCP_Soles[[#This Row],[FECHA]],"mmmm"),0)</f>
        <v>Agosto</v>
      </c>
    </row>
    <row r="3325" spans="2:28" ht="24" x14ac:dyDescent="0.3">
      <c r="B3325" s="2">
        <f>IF(BCP_Soles[[#This Row],[TIPO DE R.]]="R",COUNTIFS($D$4:$D3324,"R")+1,"")</f>
        <v>2290</v>
      </c>
      <c r="C3325" s="19" t="str">
        <f t="shared" si="255"/>
        <v>B-BCP - Soles</v>
      </c>
      <c r="D3325" s="3" t="s">
        <v>1074</v>
      </c>
      <c r="E3325" s="14">
        <v>45894</v>
      </c>
      <c r="F3325" s="5" t="s">
        <v>608</v>
      </c>
      <c r="G3325" s="5" t="s">
        <v>1087</v>
      </c>
      <c r="H3325" s="6" t="s">
        <v>368</v>
      </c>
      <c r="I3325" s="6" t="s">
        <v>14</v>
      </c>
      <c r="J3325" s="6" t="s">
        <v>1521</v>
      </c>
      <c r="K3325" s="6">
        <v>202</v>
      </c>
      <c r="L3325" s="7" t="s">
        <v>3982</v>
      </c>
      <c r="M3325" s="8">
        <v>6356820</v>
      </c>
      <c r="N3325" s="8" t="str">
        <f t="shared" si="256"/>
        <v>PEN</v>
      </c>
      <c r="O3325" s="13"/>
      <c r="P3325" s="13">
        <v>696.11</v>
      </c>
      <c r="Q3325" s="3">
        <f t="shared" si="257"/>
        <v>696.11</v>
      </c>
      <c r="R3325" s="3">
        <f t="shared" si="258"/>
        <v>0</v>
      </c>
      <c r="S3325" s="3">
        <f t="shared" si="259"/>
        <v>14021.219999999972</v>
      </c>
      <c r="T3325" s="24" t="s">
        <v>1081</v>
      </c>
      <c r="U3325" s="24" t="s">
        <v>1081</v>
      </c>
      <c r="V3325" s="69"/>
      <c r="W3325" s="25">
        <f>IFERROR(VLOOKUP(BCP_Soles[[#This Row],[DESTINATARIO]],CHOOSE({1,2},Clientes_Proveedores[Razon Social],Clientes_Proveedores[Ruc / Dni]),2,0),"")</f>
        <v>20558226979</v>
      </c>
      <c r="X3325" s="25"/>
      <c r="Y3325" s="25"/>
      <c r="Z3325" s="25"/>
      <c r="AA3325" s="101"/>
      <c r="AB3325" s="3" t="str">
        <f>IF(BCP_Soles[[#This Row],[FECHA]]&gt;0,TEXT(BCP_Soles[[#This Row],[FECHA]],"mmmm"),0)</f>
        <v>Agosto</v>
      </c>
    </row>
    <row r="3326" spans="2:28" x14ac:dyDescent="0.3">
      <c r="B3326" s="2">
        <f>IF(BCP_Soles[[#This Row],[TIPO DE R.]]="R",COUNTIFS($D$4:$D3325,"R")+1,"")</f>
        <v>2291</v>
      </c>
      <c r="C3326" s="19" t="str">
        <f t="shared" si="255"/>
        <v>B-BCP - Soles</v>
      </c>
      <c r="D3326" s="3" t="s">
        <v>1074</v>
      </c>
      <c r="E3326" s="14">
        <v>45894</v>
      </c>
      <c r="F3326" s="5" t="s">
        <v>1082</v>
      </c>
      <c r="G3326" s="5" t="s">
        <v>1079</v>
      </c>
      <c r="H3326" s="6" t="s">
        <v>211</v>
      </c>
      <c r="I3326" s="6"/>
      <c r="J3326" s="6"/>
      <c r="K3326" s="6"/>
      <c r="L3326" s="7" t="s">
        <v>3983</v>
      </c>
      <c r="M3326" s="8">
        <v>1091377</v>
      </c>
      <c r="N3326" s="8" t="str">
        <f t="shared" si="256"/>
        <v>PEN</v>
      </c>
      <c r="O3326" s="13"/>
      <c r="P3326" s="13">
        <v>603.98</v>
      </c>
      <c r="Q3326" s="3">
        <f t="shared" si="257"/>
        <v>0</v>
      </c>
      <c r="R3326" s="3">
        <f t="shared" si="258"/>
        <v>603.98</v>
      </c>
      <c r="S3326" s="3">
        <f t="shared" si="259"/>
        <v>13417.239999999972</v>
      </c>
      <c r="T3326" s="24"/>
      <c r="U3326" s="24"/>
      <c r="V3326" s="69"/>
      <c r="W3326" s="25">
        <f>IFERROR(VLOOKUP(BCP_Soles[[#This Row],[DESTINATARIO]],CHOOSE({1,2},Clientes_Proveedores[Razon Social],Clientes_Proveedores[Ruc / Dni]),2,0),"")</f>
        <v>20413815071</v>
      </c>
      <c r="X3326" s="25"/>
      <c r="Y3326" s="25"/>
      <c r="Z3326" s="25"/>
      <c r="AA3326" s="101"/>
      <c r="AB3326" s="3" t="str">
        <f>IF(BCP_Soles[[#This Row],[FECHA]]&gt;0,TEXT(BCP_Soles[[#This Row],[FECHA]],"mmmm"),0)</f>
        <v>Agosto</v>
      </c>
    </row>
    <row r="3327" spans="2:28" ht="24" x14ac:dyDescent="0.3">
      <c r="B3327" s="2">
        <f>IF(BCP_Soles[[#This Row],[TIPO DE R.]]="R",COUNTIFS($D$4:$D3326,"R")+1,"")</f>
        <v>2292</v>
      </c>
      <c r="C3327" s="19" t="str">
        <f t="shared" si="255"/>
        <v>B-BCP - Soles</v>
      </c>
      <c r="D3327" s="3" t="s">
        <v>1074</v>
      </c>
      <c r="E3327" s="14">
        <v>45894</v>
      </c>
      <c r="F3327" s="5" t="s">
        <v>1082</v>
      </c>
      <c r="G3327" s="5" t="s">
        <v>1079</v>
      </c>
      <c r="H3327" s="6" t="s">
        <v>271</v>
      </c>
      <c r="I3327" s="6" t="s">
        <v>14</v>
      </c>
      <c r="J3327" s="6" t="s">
        <v>1119</v>
      </c>
      <c r="K3327" s="6">
        <v>8608</v>
      </c>
      <c r="L3327" s="7" t="s">
        <v>3984</v>
      </c>
      <c r="M3327" s="8">
        <v>1091851</v>
      </c>
      <c r="N3327" s="8" t="str">
        <f t="shared" si="256"/>
        <v>PEN</v>
      </c>
      <c r="O3327" s="13"/>
      <c r="P3327" s="13">
        <v>686</v>
      </c>
      <c r="Q3327" s="3">
        <f t="shared" si="257"/>
        <v>0</v>
      </c>
      <c r="R3327" s="3">
        <f t="shared" si="258"/>
        <v>686</v>
      </c>
      <c r="S3327" s="3">
        <f t="shared" si="259"/>
        <v>12731.239999999972</v>
      </c>
      <c r="T3327" s="24" t="s">
        <v>1081</v>
      </c>
      <c r="U3327" s="24" t="s">
        <v>1081</v>
      </c>
      <c r="V3327" s="70" t="s">
        <v>7896</v>
      </c>
      <c r="W3327" s="25">
        <f>IFERROR(VLOOKUP(BCP_Soles[[#This Row],[DESTINATARIO]],CHOOSE({1,2},Clientes_Proveedores[Razon Social],Clientes_Proveedores[Ruc / Dni]),2,0),"")</f>
        <v>20498041567</v>
      </c>
      <c r="X3327" s="25"/>
      <c r="Y3327" s="25"/>
      <c r="Z3327" s="25"/>
      <c r="AA3327" s="101"/>
      <c r="AB3327" s="3" t="str">
        <f>IF(BCP_Soles[[#This Row],[FECHA]]&gt;0,TEXT(BCP_Soles[[#This Row],[FECHA]],"mmmm"),0)</f>
        <v>Agosto</v>
      </c>
    </row>
    <row r="3328" spans="2:28" x14ac:dyDescent="0.3">
      <c r="B3328" s="2">
        <f>IF(BCP_Soles[[#This Row],[TIPO DE R.]]="R",COUNTIFS($D$4:$D3327,"R")+1,"")</f>
        <v>2293</v>
      </c>
      <c r="C3328" s="19" t="str">
        <f t="shared" si="255"/>
        <v>B-BCP - Soles</v>
      </c>
      <c r="D3328" s="3" t="s">
        <v>1074</v>
      </c>
      <c r="E3328" s="14">
        <v>45894</v>
      </c>
      <c r="F3328" s="5" t="s">
        <v>1082</v>
      </c>
      <c r="G3328" s="5" t="s">
        <v>1079</v>
      </c>
      <c r="H3328" s="6" t="s">
        <v>638</v>
      </c>
      <c r="I3328" s="6"/>
      <c r="J3328" s="6"/>
      <c r="K3328" s="6"/>
      <c r="L3328" s="7" t="s">
        <v>3985</v>
      </c>
      <c r="M3328" s="8">
        <v>6324877</v>
      </c>
      <c r="N3328" s="8" t="str">
        <f t="shared" si="256"/>
        <v>PEN</v>
      </c>
      <c r="O3328" s="13"/>
      <c r="P3328" s="13">
        <v>1003</v>
      </c>
      <c r="Q3328" s="3">
        <f t="shared" si="257"/>
        <v>0</v>
      </c>
      <c r="R3328" s="3">
        <f t="shared" si="258"/>
        <v>1003</v>
      </c>
      <c r="S3328" s="3">
        <f t="shared" si="259"/>
        <v>11728.239999999972</v>
      </c>
      <c r="T3328" s="24" t="s">
        <v>1081</v>
      </c>
      <c r="U3328" s="24" t="s">
        <v>1081</v>
      </c>
      <c r="V3328" s="70" t="s">
        <v>7895</v>
      </c>
      <c r="W3328" s="25">
        <f>IFERROR(VLOOKUP(BCP_Soles[[#This Row],[DESTINATARIO]],CHOOSE({1,2},Clientes_Proveedores[Razon Social],Clientes_Proveedores[Ruc / Dni]),2,0),"")</f>
        <v>0</v>
      </c>
      <c r="X3328" s="25"/>
      <c r="Y3328" s="25"/>
      <c r="Z3328" s="25"/>
      <c r="AA3328" s="101"/>
      <c r="AB3328" s="3" t="str">
        <f>IF(BCP_Soles[[#This Row],[FECHA]]&gt;0,TEXT(BCP_Soles[[#This Row],[FECHA]],"mmmm"),0)</f>
        <v>Agosto</v>
      </c>
    </row>
    <row r="3329" spans="2:28" x14ac:dyDescent="0.3">
      <c r="B3329" s="2" t="str">
        <f>IF(BCP_Soles[[#This Row],[TIPO DE R.]]="R",COUNTIFS($D$4:$D3328,"R")+1,"")</f>
        <v/>
      </c>
      <c r="C3329" s="19" t="str">
        <f t="shared" si="255"/>
        <v>B-BCP - Soles</v>
      </c>
      <c r="D3329" s="3" t="s">
        <v>1101</v>
      </c>
      <c r="E3329" s="14">
        <v>45894</v>
      </c>
      <c r="F3329" s="5" t="s">
        <v>1082</v>
      </c>
      <c r="G3329" s="5"/>
      <c r="H3329" s="6" t="s">
        <v>465</v>
      </c>
      <c r="I3329" s="6" t="s">
        <v>14</v>
      </c>
      <c r="J3329" s="6" t="s">
        <v>1121</v>
      </c>
      <c r="K3329" s="6">
        <v>3959</v>
      </c>
      <c r="L3329" s="7" t="s">
        <v>3985</v>
      </c>
      <c r="M3329" s="8">
        <v>6324877</v>
      </c>
      <c r="N3329" s="8" t="str">
        <f t="shared" si="256"/>
        <v>PEN</v>
      </c>
      <c r="O3329" s="13">
        <v>651.95000000000005</v>
      </c>
      <c r="P3329" s="13"/>
      <c r="Q3329" s="3">
        <f t="shared" si="257"/>
        <v>0</v>
      </c>
      <c r="R3329" s="3">
        <f t="shared" si="258"/>
        <v>0</v>
      </c>
      <c r="S3329" s="3">
        <f t="shared" si="259"/>
        <v>11728.239999999972</v>
      </c>
      <c r="T3329" s="24" t="s">
        <v>1081</v>
      </c>
      <c r="U3329" s="24" t="s">
        <v>1081</v>
      </c>
      <c r="V3329" s="70" t="s">
        <v>7895</v>
      </c>
      <c r="W3329" s="25">
        <f>IFERROR(VLOOKUP(BCP_Soles[[#This Row],[DESTINATARIO]],CHOOSE({1,2},Clientes_Proveedores[Razon Social],Clientes_Proveedores[Ruc / Dni]),2,0),"")</f>
        <v>20603974817</v>
      </c>
      <c r="X3329" s="25"/>
      <c r="Y3329" s="25"/>
      <c r="Z3329" s="25"/>
      <c r="AA3329" s="101"/>
      <c r="AB3329" s="3" t="str">
        <f>IF(BCP_Soles[[#This Row],[FECHA]]&gt;0,TEXT(BCP_Soles[[#This Row],[FECHA]],"mmmm"),0)</f>
        <v>Agosto</v>
      </c>
    </row>
    <row r="3330" spans="2:28" x14ac:dyDescent="0.3">
      <c r="B3330" s="2" t="str">
        <f>IF(BCP_Soles[[#This Row],[TIPO DE R.]]="R",COUNTIFS($D$4:$D3329,"R")+1,"")</f>
        <v/>
      </c>
      <c r="C3330" s="19" t="str">
        <f t="shared" si="255"/>
        <v>B-BCP - Soles</v>
      </c>
      <c r="D3330" s="3" t="s">
        <v>1101</v>
      </c>
      <c r="E3330" s="14">
        <v>45894</v>
      </c>
      <c r="F3330" s="5" t="s">
        <v>1082</v>
      </c>
      <c r="G3330" s="5"/>
      <c r="H3330" s="6" t="s">
        <v>465</v>
      </c>
      <c r="I3330" s="6" t="s">
        <v>14</v>
      </c>
      <c r="J3330" s="6" t="s">
        <v>1121</v>
      </c>
      <c r="K3330" s="6">
        <v>3913</v>
      </c>
      <c r="L3330" s="7" t="s">
        <v>3985</v>
      </c>
      <c r="M3330" s="8">
        <v>6324877</v>
      </c>
      <c r="N3330" s="8" t="str">
        <f t="shared" si="256"/>
        <v>PEN</v>
      </c>
      <c r="O3330" s="13">
        <v>351.05</v>
      </c>
      <c r="P3330" s="13"/>
      <c r="Q3330" s="3">
        <f t="shared" si="257"/>
        <v>0</v>
      </c>
      <c r="R3330" s="3">
        <f t="shared" si="258"/>
        <v>0</v>
      </c>
      <c r="S3330" s="3">
        <f t="shared" si="259"/>
        <v>11728.239999999972</v>
      </c>
      <c r="T3330" s="24" t="s">
        <v>1081</v>
      </c>
      <c r="U3330" s="24" t="s">
        <v>1081</v>
      </c>
      <c r="V3330" s="70" t="s">
        <v>7895</v>
      </c>
      <c r="W3330" s="25">
        <f>IFERROR(VLOOKUP(BCP_Soles[[#This Row],[DESTINATARIO]],CHOOSE({1,2},Clientes_Proveedores[Razon Social],Clientes_Proveedores[Ruc / Dni]),2,0),"")</f>
        <v>20603974817</v>
      </c>
      <c r="X3330" s="25"/>
      <c r="Y3330" s="25"/>
      <c r="Z3330" s="25"/>
      <c r="AA3330" s="101"/>
      <c r="AB3330" s="3" t="str">
        <f>IF(BCP_Soles[[#This Row],[FECHA]]&gt;0,TEXT(BCP_Soles[[#This Row],[FECHA]],"mmmm"),0)</f>
        <v>Agosto</v>
      </c>
    </row>
    <row r="3331" spans="2:28" x14ac:dyDescent="0.3">
      <c r="B3331" s="2">
        <f>IF(BCP_Soles[[#This Row],[TIPO DE R.]]="R",COUNTIFS($D$4:$D3330,"R")+1,"")</f>
        <v>2294</v>
      </c>
      <c r="C3331" s="19" t="str">
        <f t="shared" si="255"/>
        <v>B-BCP - Soles</v>
      </c>
      <c r="D3331" s="3" t="s">
        <v>1074</v>
      </c>
      <c r="E3331" s="14">
        <v>45894</v>
      </c>
      <c r="F3331" s="5" t="s">
        <v>1082</v>
      </c>
      <c r="G3331" s="5" t="s">
        <v>1079</v>
      </c>
      <c r="H3331" s="6" t="s">
        <v>638</v>
      </c>
      <c r="I3331" s="6"/>
      <c r="J3331" s="6"/>
      <c r="K3331" s="6"/>
      <c r="L3331" s="7" t="s">
        <v>3986</v>
      </c>
      <c r="M3331" s="8">
        <v>6324899</v>
      </c>
      <c r="N3331" s="8" t="str">
        <f t="shared" si="256"/>
        <v>PEN</v>
      </c>
      <c r="O3331" s="13"/>
      <c r="P3331" s="13">
        <v>4956.55</v>
      </c>
      <c r="Q3331" s="3">
        <f t="shared" si="257"/>
        <v>0</v>
      </c>
      <c r="R3331" s="3">
        <f t="shared" si="258"/>
        <v>4956.55</v>
      </c>
      <c r="S3331" s="3">
        <f t="shared" si="259"/>
        <v>6771.6899999999723</v>
      </c>
      <c r="T3331" s="24" t="s">
        <v>1081</v>
      </c>
      <c r="U3331" s="24" t="s">
        <v>1081</v>
      </c>
      <c r="V3331" s="70" t="s">
        <v>7893</v>
      </c>
      <c r="W3331" s="25">
        <f>IFERROR(VLOOKUP(BCP_Soles[[#This Row],[DESTINATARIO]],CHOOSE({1,2},Clientes_Proveedores[Razon Social],Clientes_Proveedores[Ruc / Dni]),2,0),"")</f>
        <v>0</v>
      </c>
      <c r="X3331" s="25"/>
      <c r="Y3331" s="25"/>
      <c r="Z3331" s="25"/>
      <c r="AA3331" s="101"/>
      <c r="AB3331" s="3" t="str">
        <f>IF(BCP_Soles[[#This Row],[FECHA]]&gt;0,TEXT(BCP_Soles[[#This Row],[FECHA]],"mmmm"),0)</f>
        <v>Agosto</v>
      </c>
    </row>
    <row r="3332" spans="2:28" ht="36" x14ac:dyDescent="0.3">
      <c r="B3332" s="2" t="str">
        <f>IF(BCP_Soles[[#This Row],[TIPO DE R.]]="R",COUNTIFS($D$4:$D3331,"R")+1,"")</f>
        <v/>
      </c>
      <c r="C3332" s="19" t="str">
        <f t="shared" si="255"/>
        <v>B-BCP - Soles</v>
      </c>
      <c r="D3332" s="3" t="s">
        <v>1101</v>
      </c>
      <c r="E3332" s="14">
        <v>45894</v>
      </c>
      <c r="F3332" s="5" t="s">
        <v>1082</v>
      </c>
      <c r="G3332" s="5"/>
      <c r="H3332" s="6" t="s">
        <v>220</v>
      </c>
      <c r="I3332" s="6" t="s">
        <v>14</v>
      </c>
      <c r="J3332" s="6" t="s">
        <v>1148</v>
      </c>
      <c r="K3332" s="6">
        <v>1869</v>
      </c>
      <c r="L3332" s="7" t="s">
        <v>3986</v>
      </c>
      <c r="M3332" s="8">
        <v>6324899</v>
      </c>
      <c r="N3332" s="8" t="str">
        <f t="shared" si="256"/>
        <v>PEN</v>
      </c>
      <c r="O3332" s="13">
        <v>1344</v>
      </c>
      <c r="P3332" s="13"/>
      <c r="Q3332" s="3">
        <f t="shared" si="257"/>
        <v>0</v>
      </c>
      <c r="R3332" s="3">
        <f t="shared" si="258"/>
        <v>0</v>
      </c>
      <c r="S3332" s="3">
        <f t="shared" si="259"/>
        <v>6771.6899999999723</v>
      </c>
      <c r="T3332" s="24" t="s">
        <v>1081</v>
      </c>
      <c r="U3332" s="24" t="s">
        <v>1081</v>
      </c>
      <c r="V3332" s="70" t="s">
        <v>7893</v>
      </c>
      <c r="W3332" s="25">
        <f>IFERROR(VLOOKUP(BCP_Soles[[#This Row],[DESTINATARIO]],CHOOSE({1,2},Clientes_Proveedores[Razon Social],Clientes_Proveedores[Ruc / Dni]),2,0),"")</f>
        <v>20429640939</v>
      </c>
      <c r="X3332" s="25"/>
      <c r="Y3332" s="25"/>
      <c r="Z3332" s="25"/>
      <c r="AA3332" s="101"/>
      <c r="AB3332" s="3" t="str">
        <f>IF(BCP_Soles[[#This Row],[FECHA]]&gt;0,TEXT(BCP_Soles[[#This Row],[FECHA]],"mmmm"),0)</f>
        <v>Agosto</v>
      </c>
    </row>
    <row r="3333" spans="2:28" x14ac:dyDescent="0.3">
      <c r="B3333" s="2" t="str">
        <f>IF(BCP_Soles[[#This Row],[TIPO DE R.]]="R",COUNTIFS($D$4:$D3332,"R")+1,"")</f>
        <v/>
      </c>
      <c r="C3333" s="19" t="str">
        <f t="shared" ref="C3333:C3396" si="260">"B-BCP - Soles"</f>
        <v>B-BCP - Soles</v>
      </c>
      <c r="D3333" s="3" t="s">
        <v>1101</v>
      </c>
      <c r="E3333" s="14">
        <v>45894</v>
      </c>
      <c r="F3333" s="5" t="s">
        <v>1082</v>
      </c>
      <c r="G3333" s="5"/>
      <c r="H3333" s="6" t="s">
        <v>465</v>
      </c>
      <c r="I3333" s="6" t="s">
        <v>14</v>
      </c>
      <c r="J3333" s="6" t="s">
        <v>1121</v>
      </c>
      <c r="K3333" s="6">
        <v>4108</v>
      </c>
      <c r="L3333" s="7" t="s">
        <v>3986</v>
      </c>
      <c r="M3333" s="8">
        <v>6324899</v>
      </c>
      <c r="N3333" s="8" t="str">
        <f t="shared" ref="N3333:N3396" si="261">"PEN"</f>
        <v>PEN</v>
      </c>
      <c r="O3333" s="13">
        <v>651.95000000000005</v>
      </c>
      <c r="P3333" s="13"/>
      <c r="Q3333" s="3">
        <f t="shared" ref="Q3333:Q3396" si="262">+IF(OR($G3333="SALDO",$G3333="INGRESO"),$P3333,0)</f>
        <v>0</v>
      </c>
      <c r="R3333" s="3">
        <f t="shared" ref="R3333:R3396" si="263">+IF($G3333="EGRESO",$P3333,0)</f>
        <v>0</v>
      </c>
      <c r="S3333" s="3">
        <f t="shared" ref="S3333:S3396" si="264">IFERROR(IF(G3333="SALDO",Q3333,S3332+Q3333-R3333),0)</f>
        <v>6771.6899999999723</v>
      </c>
      <c r="T3333" s="24" t="s">
        <v>1081</v>
      </c>
      <c r="U3333" s="24" t="s">
        <v>1081</v>
      </c>
      <c r="V3333" s="70" t="s">
        <v>7893</v>
      </c>
      <c r="W3333" s="25">
        <f>IFERROR(VLOOKUP(BCP_Soles[[#This Row],[DESTINATARIO]],CHOOSE({1,2},Clientes_Proveedores[Razon Social],Clientes_Proveedores[Ruc / Dni]),2,0),"")</f>
        <v>20603974817</v>
      </c>
      <c r="X3333" s="25"/>
      <c r="Y3333" s="25"/>
      <c r="Z3333" s="25"/>
      <c r="AA3333" s="101"/>
      <c r="AB3333" s="3" t="str">
        <f>IF(BCP_Soles[[#This Row],[FECHA]]&gt;0,TEXT(BCP_Soles[[#This Row],[FECHA]],"mmmm"),0)</f>
        <v>Agosto</v>
      </c>
    </row>
    <row r="3334" spans="2:28" x14ac:dyDescent="0.3">
      <c r="B3334" s="2" t="str">
        <f>IF(BCP_Soles[[#This Row],[TIPO DE R.]]="R",COUNTIFS($D$4:$D3333,"R")+1,"")</f>
        <v/>
      </c>
      <c r="C3334" s="19" t="str">
        <f t="shared" si="260"/>
        <v>B-BCP - Soles</v>
      </c>
      <c r="D3334" s="3" t="s">
        <v>1101</v>
      </c>
      <c r="E3334" s="14">
        <v>45894</v>
      </c>
      <c r="F3334" s="5" t="s">
        <v>1082</v>
      </c>
      <c r="G3334" s="5"/>
      <c r="H3334" s="6" t="s">
        <v>465</v>
      </c>
      <c r="I3334" s="6" t="s">
        <v>14</v>
      </c>
      <c r="J3334" s="6" t="s">
        <v>1121</v>
      </c>
      <c r="K3334" s="6">
        <v>4095</v>
      </c>
      <c r="L3334" s="7" t="s">
        <v>3986</v>
      </c>
      <c r="M3334" s="8">
        <v>6324899</v>
      </c>
      <c r="N3334" s="8" t="str">
        <f t="shared" si="261"/>
        <v>PEN</v>
      </c>
      <c r="O3334" s="13">
        <v>451.35</v>
      </c>
      <c r="P3334" s="13"/>
      <c r="Q3334" s="3">
        <f t="shared" si="262"/>
        <v>0</v>
      </c>
      <c r="R3334" s="3">
        <f t="shared" si="263"/>
        <v>0</v>
      </c>
      <c r="S3334" s="3">
        <f t="shared" si="264"/>
        <v>6771.6899999999723</v>
      </c>
      <c r="T3334" s="24" t="s">
        <v>1081</v>
      </c>
      <c r="U3334" s="24" t="s">
        <v>1081</v>
      </c>
      <c r="V3334" s="70" t="s">
        <v>7893</v>
      </c>
      <c r="W3334" s="25">
        <f>IFERROR(VLOOKUP(BCP_Soles[[#This Row],[DESTINATARIO]],CHOOSE({1,2},Clientes_Proveedores[Razon Social],Clientes_Proveedores[Ruc / Dni]),2,0),"")</f>
        <v>20603974817</v>
      </c>
      <c r="X3334" s="25"/>
      <c r="Y3334" s="25"/>
      <c r="Z3334" s="25"/>
      <c r="AA3334" s="101"/>
      <c r="AB3334" s="3" t="str">
        <f>IF(BCP_Soles[[#This Row],[FECHA]]&gt;0,TEXT(BCP_Soles[[#This Row],[FECHA]],"mmmm"),0)</f>
        <v>Agosto</v>
      </c>
    </row>
    <row r="3335" spans="2:28" x14ac:dyDescent="0.3">
      <c r="B3335" s="2" t="str">
        <f>IF(BCP_Soles[[#This Row],[TIPO DE R.]]="R",COUNTIFS($D$4:$D3334,"R")+1,"")</f>
        <v/>
      </c>
      <c r="C3335" s="19" t="str">
        <f t="shared" si="260"/>
        <v>B-BCP - Soles</v>
      </c>
      <c r="D3335" s="3" t="s">
        <v>1101</v>
      </c>
      <c r="E3335" s="14">
        <v>45894</v>
      </c>
      <c r="F3335" s="5" t="s">
        <v>1082</v>
      </c>
      <c r="G3335" s="5"/>
      <c r="H3335" s="6" t="s">
        <v>465</v>
      </c>
      <c r="I3335" s="6" t="s">
        <v>14</v>
      </c>
      <c r="J3335" s="6" t="s">
        <v>1121</v>
      </c>
      <c r="K3335" s="6">
        <v>4125</v>
      </c>
      <c r="L3335" s="7" t="s">
        <v>3986</v>
      </c>
      <c r="M3335" s="8">
        <v>6324899</v>
      </c>
      <c r="N3335" s="8" t="str">
        <f t="shared" si="261"/>
        <v>PEN</v>
      </c>
      <c r="O3335" s="13">
        <v>300.89999999999998</v>
      </c>
      <c r="P3335" s="13"/>
      <c r="Q3335" s="3">
        <f t="shared" si="262"/>
        <v>0</v>
      </c>
      <c r="R3335" s="3">
        <f t="shared" si="263"/>
        <v>0</v>
      </c>
      <c r="S3335" s="3">
        <f t="shared" si="264"/>
        <v>6771.6899999999723</v>
      </c>
      <c r="T3335" s="24" t="s">
        <v>1081</v>
      </c>
      <c r="U3335" s="24" t="s">
        <v>1081</v>
      </c>
      <c r="V3335" s="70" t="s">
        <v>7893</v>
      </c>
      <c r="W3335" s="25">
        <f>IFERROR(VLOOKUP(BCP_Soles[[#This Row],[DESTINATARIO]],CHOOSE({1,2},Clientes_Proveedores[Razon Social],Clientes_Proveedores[Ruc / Dni]),2,0),"")</f>
        <v>20603974817</v>
      </c>
      <c r="X3335" s="25"/>
      <c r="Y3335" s="25"/>
      <c r="Z3335" s="25"/>
      <c r="AA3335" s="101"/>
      <c r="AB3335" s="3" t="str">
        <f>IF(BCP_Soles[[#This Row],[FECHA]]&gt;0,TEXT(BCP_Soles[[#This Row],[FECHA]],"mmmm"),0)</f>
        <v>Agosto</v>
      </c>
    </row>
    <row r="3336" spans="2:28" x14ac:dyDescent="0.3">
      <c r="B3336" s="2" t="str">
        <f>IF(BCP_Soles[[#This Row],[TIPO DE R.]]="R",COUNTIFS($D$4:$D3335,"R")+1,"")</f>
        <v/>
      </c>
      <c r="C3336" s="19" t="str">
        <f t="shared" si="260"/>
        <v>B-BCP - Soles</v>
      </c>
      <c r="D3336" s="3" t="s">
        <v>1101</v>
      </c>
      <c r="E3336" s="14">
        <v>45894</v>
      </c>
      <c r="F3336" s="5" t="s">
        <v>1082</v>
      </c>
      <c r="G3336" s="5"/>
      <c r="H3336" s="6" t="s">
        <v>465</v>
      </c>
      <c r="I3336" s="6" t="s">
        <v>14</v>
      </c>
      <c r="J3336" s="6" t="s">
        <v>1121</v>
      </c>
      <c r="K3336" s="6">
        <v>4113</v>
      </c>
      <c r="L3336" s="7" t="s">
        <v>3986</v>
      </c>
      <c r="M3336" s="8">
        <v>6324899</v>
      </c>
      <c r="N3336" s="8" t="str">
        <f t="shared" si="261"/>
        <v>PEN</v>
      </c>
      <c r="O3336" s="13">
        <v>401.2</v>
      </c>
      <c r="P3336" s="13"/>
      <c r="Q3336" s="3">
        <f t="shared" si="262"/>
        <v>0</v>
      </c>
      <c r="R3336" s="3">
        <f t="shared" si="263"/>
        <v>0</v>
      </c>
      <c r="S3336" s="3">
        <f t="shared" si="264"/>
        <v>6771.6899999999723</v>
      </c>
      <c r="T3336" s="24" t="s">
        <v>1081</v>
      </c>
      <c r="U3336" s="24" t="s">
        <v>1081</v>
      </c>
      <c r="V3336" s="70" t="s">
        <v>7893</v>
      </c>
      <c r="W3336" s="25">
        <f>IFERROR(VLOOKUP(BCP_Soles[[#This Row],[DESTINATARIO]],CHOOSE({1,2},Clientes_Proveedores[Razon Social],Clientes_Proveedores[Ruc / Dni]),2,0),"")</f>
        <v>20603974817</v>
      </c>
      <c r="X3336" s="25"/>
      <c r="Y3336" s="25"/>
      <c r="Z3336" s="25"/>
      <c r="AA3336" s="101"/>
      <c r="AB3336" s="3" t="str">
        <f>IF(BCP_Soles[[#This Row],[FECHA]]&gt;0,TEXT(BCP_Soles[[#This Row],[FECHA]],"mmmm"),0)</f>
        <v>Agosto</v>
      </c>
    </row>
    <row r="3337" spans="2:28" x14ac:dyDescent="0.3">
      <c r="B3337" s="2" t="str">
        <f>IF(BCP_Soles[[#This Row],[TIPO DE R.]]="R",COUNTIFS($D$4:$D3336,"R")+1,"")</f>
        <v/>
      </c>
      <c r="C3337" s="19" t="str">
        <f t="shared" si="260"/>
        <v>B-BCP - Soles</v>
      </c>
      <c r="D3337" s="3" t="s">
        <v>1101</v>
      </c>
      <c r="E3337" s="14">
        <v>45894</v>
      </c>
      <c r="F3337" s="5" t="s">
        <v>1082</v>
      </c>
      <c r="G3337" s="5"/>
      <c r="H3337" s="6" t="s">
        <v>465</v>
      </c>
      <c r="I3337" s="6" t="s">
        <v>14</v>
      </c>
      <c r="J3337" s="6" t="s">
        <v>1121</v>
      </c>
      <c r="K3337" s="6">
        <v>4114</v>
      </c>
      <c r="L3337" s="7" t="s">
        <v>3986</v>
      </c>
      <c r="M3337" s="8">
        <v>6324899</v>
      </c>
      <c r="N3337" s="8" t="str">
        <f t="shared" si="261"/>
        <v>PEN</v>
      </c>
      <c r="O3337" s="13">
        <v>300.89999999999998</v>
      </c>
      <c r="P3337" s="13"/>
      <c r="Q3337" s="3">
        <f t="shared" si="262"/>
        <v>0</v>
      </c>
      <c r="R3337" s="3">
        <f t="shared" si="263"/>
        <v>0</v>
      </c>
      <c r="S3337" s="3">
        <f t="shared" si="264"/>
        <v>6771.6899999999723</v>
      </c>
      <c r="T3337" s="24" t="s">
        <v>1081</v>
      </c>
      <c r="U3337" s="24" t="s">
        <v>1081</v>
      </c>
      <c r="V3337" s="70" t="s">
        <v>7893</v>
      </c>
      <c r="W3337" s="25">
        <f>IFERROR(VLOOKUP(BCP_Soles[[#This Row],[DESTINATARIO]],CHOOSE({1,2},Clientes_Proveedores[Razon Social],Clientes_Proveedores[Ruc / Dni]),2,0),"")</f>
        <v>20603974817</v>
      </c>
      <c r="X3337" s="25"/>
      <c r="Y3337" s="25"/>
      <c r="Z3337" s="25"/>
      <c r="AA3337" s="101"/>
      <c r="AB3337" s="3" t="str">
        <f>IF(BCP_Soles[[#This Row],[FECHA]]&gt;0,TEXT(BCP_Soles[[#This Row],[FECHA]],"mmmm"),0)</f>
        <v>Agosto</v>
      </c>
    </row>
    <row r="3338" spans="2:28" x14ac:dyDescent="0.3">
      <c r="B3338" s="2" t="str">
        <f>IF(BCP_Soles[[#This Row],[TIPO DE R.]]="R",COUNTIFS($D$4:$D3337,"R")+1,"")</f>
        <v/>
      </c>
      <c r="C3338" s="19" t="str">
        <f t="shared" si="260"/>
        <v>B-BCP - Soles</v>
      </c>
      <c r="D3338" s="3" t="s">
        <v>1101</v>
      </c>
      <c r="E3338" s="14">
        <v>45894</v>
      </c>
      <c r="F3338" s="5" t="s">
        <v>1082</v>
      </c>
      <c r="G3338" s="5"/>
      <c r="H3338" s="6" t="s">
        <v>465</v>
      </c>
      <c r="I3338" s="6" t="s">
        <v>14</v>
      </c>
      <c r="J3338" s="6" t="s">
        <v>1121</v>
      </c>
      <c r="K3338" s="6">
        <v>4094</v>
      </c>
      <c r="L3338" s="7" t="s">
        <v>3986</v>
      </c>
      <c r="M3338" s="8">
        <v>6324899</v>
      </c>
      <c r="N3338" s="8" t="str">
        <f t="shared" si="261"/>
        <v>PEN</v>
      </c>
      <c r="O3338" s="13">
        <v>401.2</v>
      </c>
      <c r="P3338" s="13"/>
      <c r="Q3338" s="3">
        <f t="shared" si="262"/>
        <v>0</v>
      </c>
      <c r="R3338" s="3">
        <f t="shared" si="263"/>
        <v>0</v>
      </c>
      <c r="S3338" s="3">
        <f t="shared" si="264"/>
        <v>6771.6899999999723</v>
      </c>
      <c r="T3338" s="24" t="s">
        <v>1081</v>
      </c>
      <c r="U3338" s="24" t="s">
        <v>1081</v>
      </c>
      <c r="V3338" s="70" t="s">
        <v>7893</v>
      </c>
      <c r="W3338" s="25">
        <f>IFERROR(VLOOKUP(BCP_Soles[[#This Row],[DESTINATARIO]],CHOOSE({1,2},Clientes_Proveedores[Razon Social],Clientes_Proveedores[Ruc / Dni]),2,0),"")</f>
        <v>20603974817</v>
      </c>
      <c r="X3338" s="25"/>
      <c r="Y3338" s="25"/>
      <c r="Z3338" s="25"/>
      <c r="AA3338" s="101"/>
      <c r="AB3338" s="3" t="str">
        <f>IF(BCP_Soles[[#This Row],[FECHA]]&gt;0,TEXT(BCP_Soles[[#This Row],[FECHA]],"mmmm"),0)</f>
        <v>Agosto</v>
      </c>
    </row>
    <row r="3339" spans="2:28" ht="36" x14ac:dyDescent="0.3">
      <c r="B3339" s="2" t="str">
        <f>IF(BCP_Soles[[#This Row],[TIPO DE R.]]="R",COUNTIFS($D$4:$D3338,"R")+1,"")</f>
        <v/>
      </c>
      <c r="C3339" s="19" t="str">
        <f t="shared" si="260"/>
        <v>B-BCP - Soles</v>
      </c>
      <c r="D3339" s="3" t="s">
        <v>1101</v>
      </c>
      <c r="E3339" s="14">
        <v>45894</v>
      </c>
      <c r="F3339" s="5" t="s">
        <v>1082</v>
      </c>
      <c r="G3339" s="5"/>
      <c r="H3339" s="6" t="s">
        <v>258</v>
      </c>
      <c r="I3339" s="6" t="s">
        <v>14</v>
      </c>
      <c r="J3339" s="6" t="s">
        <v>1121</v>
      </c>
      <c r="K3339" s="6">
        <v>2877</v>
      </c>
      <c r="L3339" s="7" t="s">
        <v>3986</v>
      </c>
      <c r="M3339" s="8">
        <v>6324899</v>
      </c>
      <c r="N3339" s="8" t="str">
        <f t="shared" si="261"/>
        <v>PEN</v>
      </c>
      <c r="O3339" s="13">
        <v>164</v>
      </c>
      <c r="P3339" s="13"/>
      <c r="Q3339" s="3">
        <f t="shared" si="262"/>
        <v>0</v>
      </c>
      <c r="R3339" s="3">
        <f t="shared" si="263"/>
        <v>0</v>
      </c>
      <c r="S3339" s="3">
        <f t="shared" si="264"/>
        <v>6771.6899999999723</v>
      </c>
      <c r="T3339" s="24" t="s">
        <v>1081</v>
      </c>
      <c r="U3339" s="24" t="s">
        <v>1081</v>
      </c>
      <c r="V3339" s="70" t="s">
        <v>7893</v>
      </c>
      <c r="W3339" s="25">
        <f>IFERROR(VLOOKUP(BCP_Soles[[#This Row],[DESTINATARIO]],CHOOSE({1,2},Clientes_Proveedores[Razon Social],Clientes_Proveedores[Ruc / Dni]),2,0),"")</f>
        <v>20456565353</v>
      </c>
      <c r="X3339" s="25"/>
      <c r="Y3339" s="25"/>
      <c r="Z3339" s="25"/>
      <c r="AA3339" s="101"/>
      <c r="AB3339" s="3" t="str">
        <f>IF(BCP_Soles[[#This Row],[FECHA]]&gt;0,TEXT(BCP_Soles[[#This Row],[FECHA]],"mmmm"),0)</f>
        <v>Agosto</v>
      </c>
    </row>
    <row r="3340" spans="2:28" ht="24" x14ac:dyDescent="0.3">
      <c r="B3340" s="2" t="str">
        <f>IF(BCP_Soles[[#This Row],[TIPO DE R.]]="R",COUNTIFS($D$4:$D3339,"R")+1,"")</f>
        <v/>
      </c>
      <c r="C3340" s="19" t="str">
        <f t="shared" si="260"/>
        <v>B-BCP - Soles</v>
      </c>
      <c r="D3340" s="3" t="s">
        <v>1101</v>
      </c>
      <c r="E3340" s="14">
        <v>45894</v>
      </c>
      <c r="F3340" s="5" t="s">
        <v>1082</v>
      </c>
      <c r="G3340" s="5"/>
      <c r="H3340" s="6" t="s">
        <v>536</v>
      </c>
      <c r="I3340" s="6" t="s">
        <v>14</v>
      </c>
      <c r="J3340" s="6" t="s">
        <v>1121</v>
      </c>
      <c r="K3340" s="6">
        <v>2469</v>
      </c>
      <c r="L3340" s="7" t="s">
        <v>3986</v>
      </c>
      <c r="M3340" s="8">
        <v>6324899</v>
      </c>
      <c r="N3340" s="8" t="str">
        <f t="shared" si="261"/>
        <v>PEN</v>
      </c>
      <c r="O3340" s="13">
        <v>188.8</v>
      </c>
      <c r="P3340" s="13"/>
      <c r="Q3340" s="3">
        <f t="shared" si="262"/>
        <v>0</v>
      </c>
      <c r="R3340" s="3">
        <f t="shared" si="263"/>
        <v>0</v>
      </c>
      <c r="S3340" s="3">
        <f t="shared" si="264"/>
        <v>6771.6899999999723</v>
      </c>
      <c r="T3340" s="24" t="s">
        <v>1081</v>
      </c>
      <c r="U3340" s="24" t="s">
        <v>1081</v>
      </c>
      <c r="V3340" s="70" t="s">
        <v>7893</v>
      </c>
      <c r="W3340" s="25">
        <f>IFERROR(VLOOKUP(BCP_Soles[[#This Row],[DESTINATARIO]],CHOOSE({1,2},Clientes_Proveedores[Razon Social],Clientes_Proveedores[Ruc / Dni]),2,0),"")</f>
        <v>20609764261</v>
      </c>
      <c r="X3340" s="25"/>
      <c r="Y3340" s="25"/>
      <c r="Z3340" s="25"/>
      <c r="AA3340" s="101"/>
      <c r="AB3340" s="3" t="str">
        <f>IF(BCP_Soles[[#This Row],[FECHA]]&gt;0,TEXT(BCP_Soles[[#This Row],[FECHA]],"mmmm"),0)</f>
        <v>Agosto</v>
      </c>
    </row>
    <row r="3341" spans="2:28" x14ac:dyDescent="0.3">
      <c r="B3341" s="2" t="str">
        <f>IF(BCP_Soles[[#This Row],[TIPO DE R.]]="R",COUNTIFS($D$4:$D3340,"R")+1,"")</f>
        <v/>
      </c>
      <c r="C3341" s="19" t="str">
        <f t="shared" si="260"/>
        <v>B-BCP - Soles</v>
      </c>
      <c r="D3341" s="3" t="s">
        <v>1101</v>
      </c>
      <c r="E3341" s="14">
        <v>45894</v>
      </c>
      <c r="F3341" s="5" t="s">
        <v>1082</v>
      </c>
      <c r="G3341" s="5"/>
      <c r="H3341" s="6" t="s">
        <v>465</v>
      </c>
      <c r="I3341" s="6" t="s">
        <v>14</v>
      </c>
      <c r="J3341" s="6" t="s">
        <v>1121</v>
      </c>
      <c r="K3341" s="6">
        <v>4105</v>
      </c>
      <c r="L3341" s="7" t="s">
        <v>3986</v>
      </c>
      <c r="M3341" s="8">
        <v>6324899</v>
      </c>
      <c r="N3341" s="8" t="str">
        <f t="shared" si="261"/>
        <v>PEN</v>
      </c>
      <c r="O3341" s="13">
        <v>551.65</v>
      </c>
      <c r="P3341" s="13"/>
      <c r="Q3341" s="3">
        <f t="shared" si="262"/>
        <v>0</v>
      </c>
      <c r="R3341" s="3">
        <f t="shared" si="263"/>
        <v>0</v>
      </c>
      <c r="S3341" s="3">
        <f t="shared" si="264"/>
        <v>6771.6899999999723</v>
      </c>
      <c r="T3341" s="24" t="s">
        <v>1081</v>
      </c>
      <c r="U3341" s="24" t="s">
        <v>1081</v>
      </c>
      <c r="V3341" s="70" t="s">
        <v>7893</v>
      </c>
      <c r="W3341" s="25">
        <f>IFERROR(VLOOKUP(BCP_Soles[[#This Row],[DESTINATARIO]],CHOOSE({1,2},Clientes_Proveedores[Razon Social],Clientes_Proveedores[Ruc / Dni]),2,0),"")</f>
        <v>20603974817</v>
      </c>
      <c r="X3341" s="25"/>
      <c r="Y3341" s="25"/>
      <c r="Z3341" s="25"/>
      <c r="AA3341" s="101"/>
      <c r="AB3341" s="3" t="str">
        <f>IF(BCP_Soles[[#This Row],[FECHA]]&gt;0,TEXT(BCP_Soles[[#This Row],[FECHA]],"mmmm"),0)</f>
        <v>Agosto</v>
      </c>
    </row>
    <row r="3342" spans="2:28" x14ac:dyDescent="0.3">
      <c r="B3342" s="2" t="str">
        <f>IF(BCP_Soles[[#This Row],[TIPO DE R.]]="R",COUNTIFS($D$4:$D3341,"R")+1,"")</f>
        <v/>
      </c>
      <c r="C3342" s="19" t="str">
        <f t="shared" si="260"/>
        <v>B-BCP - Soles</v>
      </c>
      <c r="D3342" s="3" t="s">
        <v>1101</v>
      </c>
      <c r="E3342" s="14">
        <v>45894</v>
      </c>
      <c r="F3342" s="5" t="s">
        <v>1082</v>
      </c>
      <c r="G3342" s="5"/>
      <c r="H3342" s="6" t="s">
        <v>465</v>
      </c>
      <c r="I3342" s="6" t="s">
        <v>14</v>
      </c>
      <c r="J3342" s="6" t="s">
        <v>1121</v>
      </c>
      <c r="K3342" s="6">
        <v>4096</v>
      </c>
      <c r="L3342" s="7" t="s">
        <v>3986</v>
      </c>
      <c r="M3342" s="8">
        <v>6324899</v>
      </c>
      <c r="N3342" s="8" t="str">
        <f t="shared" si="261"/>
        <v>PEN</v>
      </c>
      <c r="O3342" s="13">
        <v>200.6</v>
      </c>
      <c r="P3342" s="13"/>
      <c r="Q3342" s="3">
        <f t="shared" si="262"/>
        <v>0</v>
      </c>
      <c r="R3342" s="3">
        <f t="shared" si="263"/>
        <v>0</v>
      </c>
      <c r="S3342" s="3">
        <f t="shared" si="264"/>
        <v>6771.6899999999723</v>
      </c>
      <c r="T3342" s="24" t="s">
        <v>1081</v>
      </c>
      <c r="U3342" s="24" t="s">
        <v>1081</v>
      </c>
      <c r="V3342" s="70" t="s">
        <v>7893</v>
      </c>
      <c r="W3342" s="25">
        <f>IFERROR(VLOOKUP(BCP_Soles[[#This Row],[DESTINATARIO]],CHOOSE({1,2},Clientes_Proveedores[Razon Social],Clientes_Proveedores[Ruc / Dni]),2,0),"")</f>
        <v>20603974817</v>
      </c>
      <c r="X3342" s="25"/>
      <c r="Y3342" s="25"/>
      <c r="Z3342" s="25"/>
      <c r="AA3342" s="101"/>
      <c r="AB3342" s="3" t="str">
        <f>IF(BCP_Soles[[#This Row],[FECHA]]&gt;0,TEXT(BCP_Soles[[#This Row],[FECHA]],"mmmm"),0)</f>
        <v>Agosto</v>
      </c>
    </row>
    <row r="3343" spans="2:28" x14ac:dyDescent="0.3">
      <c r="B3343" s="2">
        <f>IF(BCP_Soles[[#This Row],[TIPO DE R.]]="R",COUNTIFS($D$4:$D3342,"R")+1,"")</f>
        <v>2295</v>
      </c>
      <c r="C3343" s="19" t="str">
        <f t="shared" si="260"/>
        <v>B-BCP - Soles</v>
      </c>
      <c r="D3343" s="3" t="s">
        <v>1074</v>
      </c>
      <c r="E3343" s="14">
        <v>45894</v>
      </c>
      <c r="F3343" s="5" t="s">
        <v>1082</v>
      </c>
      <c r="G3343" s="5" t="s">
        <v>1079</v>
      </c>
      <c r="H3343" s="6" t="s">
        <v>436</v>
      </c>
      <c r="I3343" s="6" t="s">
        <v>14</v>
      </c>
      <c r="J3343" s="6" t="s">
        <v>1578</v>
      </c>
      <c r="K3343" s="6">
        <v>1563</v>
      </c>
      <c r="L3343" s="7" t="s">
        <v>3987</v>
      </c>
      <c r="M3343" s="8">
        <v>1208619</v>
      </c>
      <c r="N3343" s="8" t="str">
        <f t="shared" si="261"/>
        <v>PEN</v>
      </c>
      <c r="O3343" s="13"/>
      <c r="P3343" s="13">
        <v>1000</v>
      </c>
      <c r="Q3343" s="3">
        <f t="shared" si="262"/>
        <v>0</v>
      </c>
      <c r="R3343" s="3">
        <f t="shared" si="263"/>
        <v>1000</v>
      </c>
      <c r="S3343" s="3">
        <f t="shared" si="264"/>
        <v>5771.6899999999723</v>
      </c>
      <c r="T3343" s="24" t="s">
        <v>1081</v>
      </c>
      <c r="U3343" s="24" t="s">
        <v>1081</v>
      </c>
      <c r="V3343" s="70" t="s">
        <v>7892</v>
      </c>
      <c r="W3343" s="25">
        <f>IFERROR(VLOOKUP(BCP_Soles[[#This Row],[DESTINATARIO]],CHOOSE({1,2},Clientes_Proveedores[Razon Social],Clientes_Proveedores[Ruc / Dni]),2,0),"")</f>
        <v>20602751326</v>
      </c>
      <c r="X3343" s="25"/>
      <c r="Y3343" s="25"/>
      <c r="Z3343" s="25"/>
      <c r="AA3343" s="101"/>
      <c r="AB3343" s="3" t="str">
        <f>IF(BCP_Soles[[#This Row],[FECHA]]&gt;0,TEXT(BCP_Soles[[#This Row],[FECHA]],"mmmm"),0)</f>
        <v>Agosto</v>
      </c>
    </row>
    <row r="3344" spans="2:28" x14ac:dyDescent="0.3">
      <c r="B3344" s="2">
        <f>IF(BCP_Soles[[#This Row],[TIPO DE R.]]="R",COUNTIFS($D$4:$D3343,"R")+1,"")</f>
        <v>2296</v>
      </c>
      <c r="C3344" s="19" t="str">
        <f t="shared" si="260"/>
        <v>B-BCP - Soles</v>
      </c>
      <c r="D3344" s="3" t="s">
        <v>1074</v>
      </c>
      <c r="E3344" s="14">
        <v>45894</v>
      </c>
      <c r="F3344" s="5" t="s">
        <v>1082</v>
      </c>
      <c r="G3344" s="5" t="s">
        <v>1079</v>
      </c>
      <c r="H3344" s="6" t="s">
        <v>446</v>
      </c>
      <c r="I3344" s="6" t="s">
        <v>14</v>
      </c>
      <c r="J3344" s="6" t="s">
        <v>1121</v>
      </c>
      <c r="K3344" s="6">
        <v>756</v>
      </c>
      <c r="L3344" s="7" t="s">
        <v>3988</v>
      </c>
      <c r="M3344" s="8">
        <v>1210537</v>
      </c>
      <c r="N3344" s="8" t="str">
        <f t="shared" si="261"/>
        <v>PEN</v>
      </c>
      <c r="O3344" s="13"/>
      <c r="P3344" s="13">
        <v>60</v>
      </c>
      <c r="Q3344" s="3">
        <f t="shared" si="262"/>
        <v>0</v>
      </c>
      <c r="R3344" s="3">
        <f t="shared" si="263"/>
        <v>60</v>
      </c>
      <c r="S3344" s="3">
        <f t="shared" si="264"/>
        <v>5711.6899999999723</v>
      </c>
      <c r="T3344" s="24" t="s">
        <v>1081</v>
      </c>
      <c r="U3344" s="24" t="s">
        <v>1081</v>
      </c>
      <c r="V3344" s="70" t="s">
        <v>7891</v>
      </c>
      <c r="W3344" s="25">
        <f>IFERROR(VLOOKUP(BCP_Soles[[#This Row],[DESTINATARIO]],CHOOSE({1,2},Clientes_Proveedores[Razon Social],Clientes_Proveedores[Ruc / Dni]),2,0),"")</f>
        <v>20603001461</v>
      </c>
      <c r="X3344" s="25"/>
      <c r="Y3344" s="25"/>
      <c r="Z3344" s="25"/>
      <c r="AA3344" s="101"/>
      <c r="AB3344" s="3" t="str">
        <f>IF(BCP_Soles[[#This Row],[FECHA]]&gt;0,TEXT(BCP_Soles[[#This Row],[FECHA]],"mmmm"),0)</f>
        <v>Agosto</v>
      </c>
    </row>
    <row r="3345" spans="2:28" ht="24" x14ac:dyDescent="0.3">
      <c r="B3345" s="2">
        <f>IF(BCP_Soles[[#This Row],[TIPO DE R.]]="R",COUNTIFS($D$4:$D3344,"R")+1,"")</f>
        <v>2297</v>
      </c>
      <c r="C3345" s="19" t="str">
        <f t="shared" si="260"/>
        <v>B-BCP - Soles</v>
      </c>
      <c r="D3345" s="3" t="s">
        <v>1074</v>
      </c>
      <c r="E3345" s="14">
        <v>45894</v>
      </c>
      <c r="F3345" s="5" t="s">
        <v>1082</v>
      </c>
      <c r="G3345" s="5" t="s">
        <v>1079</v>
      </c>
      <c r="H3345" s="6" t="s">
        <v>650</v>
      </c>
      <c r="I3345" s="6" t="s">
        <v>52</v>
      </c>
      <c r="J3345" s="6" t="s">
        <v>1399</v>
      </c>
      <c r="K3345" s="6">
        <v>559624262</v>
      </c>
      <c r="L3345" s="7" t="s">
        <v>3989</v>
      </c>
      <c r="M3345" s="8">
        <v>209597</v>
      </c>
      <c r="N3345" s="8" t="str">
        <f t="shared" si="261"/>
        <v>PEN</v>
      </c>
      <c r="O3345" s="13"/>
      <c r="P3345" s="13">
        <v>2155.41</v>
      </c>
      <c r="Q3345" s="3">
        <f t="shared" si="262"/>
        <v>0</v>
      </c>
      <c r="R3345" s="3">
        <f t="shared" si="263"/>
        <v>2155.41</v>
      </c>
      <c r="S3345" s="3">
        <f t="shared" si="264"/>
        <v>3556.2799999999725</v>
      </c>
      <c r="T3345" s="24" t="s">
        <v>1081</v>
      </c>
      <c r="U3345" s="24"/>
      <c r="V3345" s="70" t="s">
        <v>7890</v>
      </c>
      <c r="W3345" s="25">
        <f>IFERROR(VLOOKUP(BCP_Soles[[#This Row],[DESTINATARIO]],CHOOSE({1,2},Clientes_Proveedores[Razon Social],Clientes_Proveedores[Ruc / Dni]),2,0),"")</f>
        <v>20467534026</v>
      </c>
      <c r="X3345" s="25"/>
      <c r="Y3345" s="25"/>
      <c r="Z3345" s="25"/>
      <c r="AA3345" s="101"/>
      <c r="AB3345" s="3" t="str">
        <f>IF(BCP_Soles[[#This Row],[FECHA]]&gt;0,TEXT(BCP_Soles[[#This Row],[FECHA]],"mmmm"),0)</f>
        <v>Agosto</v>
      </c>
    </row>
    <row r="3346" spans="2:28" x14ac:dyDescent="0.3">
      <c r="B3346" s="2">
        <f>IF(BCP_Soles[[#This Row],[TIPO DE R.]]="R",COUNTIFS($D$4:$D3345,"R")+1,"")</f>
        <v>2298</v>
      </c>
      <c r="C3346" s="19" t="str">
        <f t="shared" si="260"/>
        <v>B-BCP - Soles</v>
      </c>
      <c r="D3346" s="3" t="s">
        <v>1074</v>
      </c>
      <c r="E3346" s="14">
        <v>45894</v>
      </c>
      <c r="F3346" s="5" t="s">
        <v>1078</v>
      </c>
      <c r="G3346" s="5" t="s">
        <v>1079</v>
      </c>
      <c r="H3346" s="6"/>
      <c r="I3346" s="6"/>
      <c r="J3346" s="6"/>
      <c r="K3346" s="6"/>
      <c r="L3346" s="7" t="s">
        <v>2868</v>
      </c>
      <c r="M3346" s="8"/>
      <c r="N3346" s="8" t="str">
        <f t="shared" si="261"/>
        <v>PEN</v>
      </c>
      <c r="O3346" s="13"/>
      <c r="P3346" s="13">
        <v>0.8</v>
      </c>
      <c r="Q3346" s="3">
        <f t="shared" si="262"/>
        <v>0</v>
      </c>
      <c r="R3346" s="3">
        <f t="shared" si="263"/>
        <v>0.8</v>
      </c>
      <c r="S3346" s="3">
        <f t="shared" si="264"/>
        <v>3555.4799999999723</v>
      </c>
      <c r="T3346" s="24"/>
      <c r="U3346" s="24"/>
      <c r="V3346" s="69"/>
      <c r="W3346" s="25" t="str">
        <f>IFERROR(VLOOKUP(BCP_Soles[[#This Row],[DESTINATARIO]],CHOOSE({1,2},Clientes_Proveedores[Razon Social],Clientes_Proveedores[Ruc / Dni]),2,0),"")</f>
        <v/>
      </c>
      <c r="X3346" s="25"/>
      <c r="Y3346" s="25"/>
      <c r="Z3346" s="25"/>
      <c r="AA3346" s="101"/>
      <c r="AB3346" s="3" t="str">
        <f>IF(BCP_Soles[[#This Row],[FECHA]]&gt;0,TEXT(BCP_Soles[[#This Row],[FECHA]],"mmmm"),0)</f>
        <v>Agosto</v>
      </c>
    </row>
    <row r="3347" spans="2:28" ht="24" x14ac:dyDescent="0.3">
      <c r="B3347" s="2">
        <f>IF(BCP_Soles[[#This Row],[TIPO DE R.]]="R",COUNTIFS($D$4:$D3346,"R")+1,"")</f>
        <v>2299</v>
      </c>
      <c r="C3347" s="19" t="str">
        <f t="shared" si="260"/>
        <v>B-BCP - Soles</v>
      </c>
      <c r="D3347" s="3" t="s">
        <v>1074</v>
      </c>
      <c r="E3347" s="188">
        <v>45895</v>
      </c>
      <c r="F3347" s="5" t="s">
        <v>1488</v>
      </c>
      <c r="G3347" s="5" t="s">
        <v>1087</v>
      </c>
      <c r="H3347" s="6" t="s">
        <v>368</v>
      </c>
      <c r="I3347" s="6" t="s">
        <v>63</v>
      </c>
      <c r="J3347" s="6">
        <v>1</v>
      </c>
      <c r="K3347" s="6">
        <v>4699</v>
      </c>
      <c r="L3347" s="7" t="s">
        <v>1100</v>
      </c>
      <c r="M3347" s="8">
        <v>822951</v>
      </c>
      <c r="N3347" s="8" t="str">
        <f t="shared" si="261"/>
        <v>PEN</v>
      </c>
      <c r="O3347" s="13"/>
      <c r="P3347" s="13">
        <v>265</v>
      </c>
      <c r="Q3347" s="3">
        <f t="shared" si="262"/>
        <v>265</v>
      </c>
      <c r="R3347" s="3">
        <f t="shared" si="263"/>
        <v>0</v>
      </c>
      <c r="S3347" s="3">
        <f t="shared" si="264"/>
        <v>3820.4799999999723</v>
      </c>
      <c r="T3347" s="24" t="s">
        <v>1081</v>
      </c>
      <c r="U3347" s="24"/>
      <c r="V3347" s="69"/>
      <c r="W3347" s="25">
        <f>IFERROR(VLOOKUP(BCP_Soles[[#This Row],[DESTINATARIO]],CHOOSE({1,2},Clientes_Proveedores[Razon Social],Clientes_Proveedores[Ruc / Dni]),2,0),"")</f>
        <v>20558226979</v>
      </c>
      <c r="X3347" s="25"/>
      <c r="Y3347" s="25"/>
      <c r="Z3347" s="25"/>
      <c r="AA3347" s="101"/>
      <c r="AB3347" s="3" t="str">
        <f>IF(BCP_Soles[[#This Row],[FECHA]]&gt;0,TEXT(BCP_Soles[[#This Row],[FECHA]],"mmmm"),0)</f>
        <v>Agosto</v>
      </c>
    </row>
    <row r="3348" spans="2:28" ht="24" x14ac:dyDescent="0.3">
      <c r="B3348" s="2">
        <f>IF(BCP_Soles[[#This Row],[TIPO DE R.]]="R",COUNTIFS($D$4:$D3347,"R")+1,"")</f>
        <v>2300</v>
      </c>
      <c r="C3348" s="19" t="str">
        <f t="shared" si="260"/>
        <v>B-BCP - Soles</v>
      </c>
      <c r="D3348" s="3" t="s">
        <v>1074</v>
      </c>
      <c r="E3348" s="188">
        <v>45895</v>
      </c>
      <c r="F3348" s="5" t="s">
        <v>3154</v>
      </c>
      <c r="G3348" s="5" t="s">
        <v>1087</v>
      </c>
      <c r="H3348" s="6" t="s">
        <v>368</v>
      </c>
      <c r="I3348" s="6" t="s">
        <v>63</v>
      </c>
      <c r="J3348" s="6">
        <v>1</v>
      </c>
      <c r="K3348" s="6">
        <v>4648</v>
      </c>
      <c r="L3348" s="7" t="s">
        <v>2120</v>
      </c>
      <c r="M3348" s="8">
        <v>2003930</v>
      </c>
      <c r="N3348" s="8" t="str">
        <f t="shared" si="261"/>
        <v>PEN</v>
      </c>
      <c r="O3348" s="13"/>
      <c r="P3348" s="13">
        <v>9400</v>
      </c>
      <c r="Q3348" s="3">
        <f t="shared" si="262"/>
        <v>9400</v>
      </c>
      <c r="R3348" s="3">
        <f t="shared" si="263"/>
        <v>0</v>
      </c>
      <c r="S3348" s="3">
        <f t="shared" si="264"/>
        <v>13220.479999999972</v>
      </c>
      <c r="T3348" s="24" t="s">
        <v>1081</v>
      </c>
      <c r="U3348" s="24"/>
      <c r="V3348" s="69"/>
      <c r="W3348" s="25">
        <f>IFERROR(VLOOKUP(BCP_Soles[[#This Row],[DESTINATARIO]],CHOOSE({1,2},Clientes_Proveedores[Razon Social],Clientes_Proveedores[Ruc / Dni]),2,0),"")</f>
        <v>20558226979</v>
      </c>
      <c r="X3348" s="25"/>
      <c r="Y3348" s="25"/>
      <c r="Z3348" s="25"/>
      <c r="AA3348" s="101"/>
      <c r="AB3348" s="3" t="str">
        <f>IF(BCP_Soles[[#This Row],[FECHA]]&gt;0,TEXT(BCP_Soles[[#This Row],[FECHA]],"mmmm"),0)</f>
        <v>Agosto</v>
      </c>
    </row>
    <row r="3349" spans="2:28" x14ac:dyDescent="0.3">
      <c r="B3349" s="2">
        <f>IF(BCP_Soles[[#This Row],[TIPO DE R.]]="R",COUNTIFS($D$4:$D3348,"R")+1,"")</f>
        <v>2301</v>
      </c>
      <c r="C3349" s="19" t="str">
        <f t="shared" si="260"/>
        <v>B-BCP - Soles</v>
      </c>
      <c r="D3349" s="3" t="s">
        <v>1074</v>
      </c>
      <c r="E3349" s="188">
        <v>45895</v>
      </c>
      <c r="F3349" s="5"/>
      <c r="G3349" s="5" t="s">
        <v>1087</v>
      </c>
      <c r="H3349" s="6" t="s">
        <v>368</v>
      </c>
      <c r="I3349" s="6"/>
      <c r="J3349" s="6"/>
      <c r="K3349" s="6"/>
      <c r="L3349" s="7" t="s">
        <v>1100</v>
      </c>
      <c r="M3349" s="8">
        <v>3232429</v>
      </c>
      <c r="N3349" s="8" t="str">
        <f t="shared" si="261"/>
        <v>PEN</v>
      </c>
      <c r="O3349" s="13"/>
      <c r="P3349" s="13">
        <v>3700</v>
      </c>
      <c r="Q3349" s="3">
        <f t="shared" si="262"/>
        <v>3700</v>
      </c>
      <c r="R3349" s="3">
        <f t="shared" si="263"/>
        <v>0</v>
      </c>
      <c r="S3349" s="3">
        <f t="shared" si="264"/>
        <v>16920.479999999974</v>
      </c>
      <c r="T3349" s="24" t="s">
        <v>1081</v>
      </c>
      <c r="U3349" s="24"/>
      <c r="V3349" s="69"/>
      <c r="W3349" s="25">
        <f>IFERROR(VLOOKUP(BCP_Soles[[#This Row],[DESTINATARIO]],CHOOSE({1,2},Clientes_Proveedores[Razon Social],Clientes_Proveedores[Ruc / Dni]),2,0),"")</f>
        <v>20558226979</v>
      </c>
      <c r="X3349" s="25"/>
      <c r="Y3349" s="25"/>
      <c r="Z3349" s="25"/>
      <c r="AA3349" s="101"/>
      <c r="AB3349" s="3" t="str">
        <f>IF(BCP_Soles[[#This Row],[FECHA]]&gt;0,TEXT(BCP_Soles[[#This Row],[FECHA]],"mmmm"),0)</f>
        <v>Agosto</v>
      </c>
    </row>
    <row r="3350" spans="2:28" ht="24" x14ac:dyDescent="0.3">
      <c r="B3350" s="2" t="str">
        <f>IF(BCP_Soles[[#This Row],[TIPO DE R.]]="R",COUNTIFS($D$4:$D3349,"R")+1,"")</f>
        <v/>
      </c>
      <c r="C3350" s="19" t="str">
        <f t="shared" si="260"/>
        <v>B-BCP - Soles</v>
      </c>
      <c r="D3350" s="3" t="s">
        <v>1101</v>
      </c>
      <c r="E3350" s="188">
        <v>45895</v>
      </c>
      <c r="F3350" s="5" t="s">
        <v>252</v>
      </c>
      <c r="G3350" s="5"/>
      <c r="H3350" s="6"/>
      <c r="I3350" s="6" t="s">
        <v>63</v>
      </c>
      <c r="J3350" s="6">
        <v>1</v>
      </c>
      <c r="K3350" s="6">
        <v>4691</v>
      </c>
      <c r="L3350" s="7" t="s">
        <v>1100</v>
      </c>
      <c r="M3350" s="8">
        <v>3232429</v>
      </c>
      <c r="N3350" s="8" t="str">
        <f t="shared" si="261"/>
        <v>PEN</v>
      </c>
      <c r="O3350" s="13">
        <v>1034</v>
      </c>
      <c r="P3350" s="13"/>
      <c r="Q3350" s="3">
        <f t="shared" si="262"/>
        <v>0</v>
      </c>
      <c r="R3350" s="3">
        <f t="shared" si="263"/>
        <v>0</v>
      </c>
      <c r="S3350" s="3">
        <f t="shared" si="264"/>
        <v>16920.479999999974</v>
      </c>
      <c r="T3350" s="24" t="s">
        <v>1081</v>
      </c>
      <c r="U3350" s="24"/>
      <c r="V3350" s="69"/>
      <c r="W3350" s="25" t="str">
        <f>IFERROR(VLOOKUP(BCP_Soles[[#This Row],[DESTINATARIO]],CHOOSE({1,2},Clientes_Proveedores[Razon Social],Clientes_Proveedores[Ruc / Dni]),2,0),"")</f>
        <v/>
      </c>
      <c r="X3350" s="25"/>
      <c r="Y3350" s="25"/>
      <c r="Z3350" s="25"/>
      <c r="AA3350" s="101"/>
      <c r="AB3350" s="3" t="str">
        <f>IF(BCP_Soles[[#This Row],[FECHA]]&gt;0,TEXT(BCP_Soles[[#This Row],[FECHA]],"mmmm"),0)</f>
        <v>Agosto</v>
      </c>
    </row>
    <row r="3351" spans="2:28" ht="24" x14ac:dyDescent="0.3">
      <c r="B3351" s="2" t="str">
        <f>IF(BCP_Soles[[#This Row],[TIPO DE R.]]="R",COUNTIFS($D$4:$D3350,"R")+1,"")</f>
        <v/>
      </c>
      <c r="C3351" s="19" t="str">
        <f t="shared" si="260"/>
        <v>B-BCP - Soles</v>
      </c>
      <c r="D3351" s="3" t="s">
        <v>1101</v>
      </c>
      <c r="E3351" s="188">
        <v>45895</v>
      </c>
      <c r="F3351" s="5" t="s">
        <v>252</v>
      </c>
      <c r="G3351" s="5"/>
      <c r="H3351" s="6"/>
      <c r="I3351" s="6" t="s">
        <v>63</v>
      </c>
      <c r="J3351" s="6">
        <v>1</v>
      </c>
      <c r="K3351" s="6">
        <v>4703</v>
      </c>
      <c r="L3351" s="7" t="s">
        <v>1100</v>
      </c>
      <c r="M3351" s="8">
        <v>3232429</v>
      </c>
      <c r="N3351" s="8" t="str">
        <f t="shared" si="261"/>
        <v>PEN</v>
      </c>
      <c r="O3351" s="13">
        <v>2666</v>
      </c>
      <c r="P3351" s="13"/>
      <c r="Q3351" s="3">
        <f t="shared" si="262"/>
        <v>0</v>
      </c>
      <c r="R3351" s="3">
        <f t="shared" si="263"/>
        <v>0</v>
      </c>
      <c r="S3351" s="3">
        <f t="shared" si="264"/>
        <v>16920.479999999974</v>
      </c>
      <c r="T3351" s="24" t="s">
        <v>1081</v>
      </c>
      <c r="U3351" s="24"/>
      <c r="V3351" s="69"/>
      <c r="W3351" s="25" t="str">
        <f>IFERROR(VLOOKUP(BCP_Soles[[#This Row],[DESTINATARIO]],CHOOSE({1,2},Clientes_Proveedores[Razon Social],Clientes_Proveedores[Ruc / Dni]),2,0),"")</f>
        <v/>
      </c>
      <c r="X3351" s="25"/>
      <c r="Y3351" s="25"/>
      <c r="Z3351" s="25"/>
      <c r="AA3351" s="101"/>
      <c r="AB3351" s="3" t="str">
        <f>IF(BCP_Soles[[#This Row],[FECHA]]&gt;0,TEXT(BCP_Soles[[#This Row],[FECHA]],"mmmm"),0)</f>
        <v>Agosto</v>
      </c>
    </row>
    <row r="3352" spans="2:28" ht="24" x14ac:dyDescent="0.3">
      <c r="B3352" s="2">
        <f>IF(BCP_Soles[[#This Row],[TIPO DE R.]]="R",COUNTIFS($D$4:$D3351,"R")+1,"")</f>
        <v>2302</v>
      </c>
      <c r="C3352" s="19" t="str">
        <f t="shared" si="260"/>
        <v>B-BCP - Soles</v>
      </c>
      <c r="D3352" s="3" t="s">
        <v>1074</v>
      </c>
      <c r="E3352" s="188">
        <v>45895</v>
      </c>
      <c r="F3352" s="5" t="s">
        <v>2906</v>
      </c>
      <c r="G3352" s="5" t="s">
        <v>1087</v>
      </c>
      <c r="H3352" s="6" t="s">
        <v>368</v>
      </c>
      <c r="I3352" s="6" t="s">
        <v>63</v>
      </c>
      <c r="J3352" s="6">
        <v>1</v>
      </c>
      <c r="K3352" s="6">
        <v>4643</v>
      </c>
      <c r="L3352" s="7" t="s">
        <v>7908</v>
      </c>
      <c r="M3352" s="8">
        <v>22331</v>
      </c>
      <c r="N3352" s="8" t="str">
        <f t="shared" si="261"/>
        <v>PEN</v>
      </c>
      <c r="O3352" s="13"/>
      <c r="P3352" s="13">
        <v>2000</v>
      </c>
      <c r="Q3352" s="3">
        <f t="shared" si="262"/>
        <v>2000</v>
      </c>
      <c r="R3352" s="3">
        <f t="shared" si="263"/>
        <v>0</v>
      </c>
      <c r="S3352" s="3">
        <f t="shared" si="264"/>
        <v>18920.479999999974</v>
      </c>
      <c r="T3352" s="24" t="s">
        <v>1081</v>
      </c>
      <c r="U3352" s="24"/>
      <c r="V3352" s="69"/>
      <c r="W3352" s="25">
        <f>IFERROR(VLOOKUP(BCP_Soles[[#This Row],[DESTINATARIO]],CHOOSE({1,2},Clientes_Proveedores[Razon Social],Clientes_Proveedores[Ruc / Dni]),2,0),"")</f>
        <v>20558226979</v>
      </c>
      <c r="X3352" s="25"/>
      <c r="Y3352" s="25"/>
      <c r="Z3352" s="25"/>
      <c r="AA3352" s="101"/>
      <c r="AB3352" s="3" t="str">
        <f>IF(BCP_Soles[[#This Row],[FECHA]]&gt;0,TEXT(BCP_Soles[[#This Row],[FECHA]],"mmmm"),0)</f>
        <v>Agosto</v>
      </c>
    </row>
    <row r="3353" spans="2:28" ht="36" x14ac:dyDescent="0.3">
      <c r="B3353" s="2">
        <f>IF(BCP_Soles[[#This Row],[TIPO DE R.]]="R",COUNTIFS($D$4:$D3352,"R")+1,"")</f>
        <v>2303</v>
      </c>
      <c r="C3353" s="19" t="str">
        <f t="shared" si="260"/>
        <v>B-BCP - Soles</v>
      </c>
      <c r="D3353" s="3" t="s">
        <v>1074</v>
      </c>
      <c r="E3353" s="188">
        <v>45895</v>
      </c>
      <c r="F3353" s="5" t="s">
        <v>204</v>
      </c>
      <c r="G3353" s="5" t="s">
        <v>1087</v>
      </c>
      <c r="H3353" s="6" t="s">
        <v>368</v>
      </c>
      <c r="I3353" s="6" t="s">
        <v>14</v>
      </c>
      <c r="J3353" s="6" t="s">
        <v>3010</v>
      </c>
      <c r="K3353" s="6">
        <v>120</v>
      </c>
      <c r="L3353" s="7" t="s">
        <v>7909</v>
      </c>
      <c r="M3353" s="8">
        <v>6598504</v>
      </c>
      <c r="N3353" s="8" t="str">
        <f t="shared" si="261"/>
        <v>PEN</v>
      </c>
      <c r="O3353" s="13"/>
      <c r="P3353" s="13">
        <v>19969.560000000001</v>
      </c>
      <c r="Q3353" s="3">
        <f t="shared" si="262"/>
        <v>19969.560000000001</v>
      </c>
      <c r="R3353" s="3">
        <f t="shared" si="263"/>
        <v>0</v>
      </c>
      <c r="S3353" s="3">
        <f t="shared" si="264"/>
        <v>38890.039999999979</v>
      </c>
      <c r="T3353" s="24" t="s">
        <v>1081</v>
      </c>
      <c r="U3353" s="24" t="s">
        <v>1081</v>
      </c>
      <c r="V3353" s="69"/>
      <c r="W3353" s="25">
        <f>IFERROR(VLOOKUP(BCP_Soles[[#This Row],[DESTINATARIO]],CHOOSE({1,2},Clientes_Proveedores[Razon Social],Clientes_Proveedores[Ruc / Dni]),2,0),"")</f>
        <v>20558226979</v>
      </c>
      <c r="X3353" s="25"/>
      <c r="Y3353" s="25"/>
      <c r="Z3353" s="25"/>
      <c r="AA3353" s="101"/>
      <c r="AB3353" s="3" t="str">
        <f>IF(BCP_Soles[[#This Row],[FECHA]]&gt;0,TEXT(BCP_Soles[[#This Row],[FECHA]],"mmmm"),0)</f>
        <v>Agosto</v>
      </c>
    </row>
    <row r="3354" spans="2:28" x14ac:dyDescent="0.3">
      <c r="B3354" s="187">
        <f>IF(BCP_Soles[[#This Row],[TIPO DE R.]]="R",COUNTIFS($D$4:$D3353,"R")+1,"")</f>
        <v>2304</v>
      </c>
      <c r="C3354" s="19" t="str">
        <f t="shared" si="260"/>
        <v>B-BCP - Soles</v>
      </c>
      <c r="D3354" s="3" t="s">
        <v>1074</v>
      </c>
      <c r="E3354" s="188">
        <v>45895</v>
      </c>
      <c r="F3354" s="5" t="s">
        <v>1082</v>
      </c>
      <c r="G3354" s="189" t="s">
        <v>1079</v>
      </c>
      <c r="H3354" s="6" t="s">
        <v>638</v>
      </c>
      <c r="I3354" s="6"/>
      <c r="J3354" s="6"/>
      <c r="K3354" s="6"/>
      <c r="L3354" s="7" t="s">
        <v>7885</v>
      </c>
      <c r="M3354" s="190">
        <v>6597704</v>
      </c>
      <c r="N3354" s="190" t="str">
        <f t="shared" si="261"/>
        <v>PEN</v>
      </c>
      <c r="O3354" s="13"/>
      <c r="P3354" s="191">
        <v>7229.59</v>
      </c>
      <c r="Q3354" s="192">
        <f t="shared" si="262"/>
        <v>0</v>
      </c>
      <c r="R3354" s="192">
        <f t="shared" si="263"/>
        <v>7229.59</v>
      </c>
      <c r="S3354" s="192">
        <f t="shared" si="264"/>
        <v>31660.449999999979</v>
      </c>
      <c r="T3354" s="24" t="s">
        <v>1081</v>
      </c>
      <c r="U3354" s="24" t="s">
        <v>1081</v>
      </c>
      <c r="V3354" s="70" t="s">
        <v>7889</v>
      </c>
      <c r="W3354" s="25">
        <f>IFERROR(VLOOKUP(BCP_Soles[[#This Row],[DESTINATARIO]],CHOOSE({1,2},Clientes_Proveedores[Razon Social],Clientes_Proveedores[Ruc / Dni]),2,0),"")</f>
        <v>0</v>
      </c>
      <c r="X3354" s="25"/>
      <c r="Y3354" s="25"/>
      <c r="Z3354" s="25"/>
      <c r="AA3354" s="101"/>
      <c r="AB3354" s="192" t="str">
        <f>IF(BCP_Soles[[#This Row],[FECHA]]&gt;0,TEXT(BCP_Soles[[#This Row],[FECHA]],"mmmm"),0)</f>
        <v>Agosto</v>
      </c>
    </row>
    <row r="3355" spans="2:28" ht="24" x14ac:dyDescent="0.3">
      <c r="B3355" s="187" t="str">
        <f>IF(BCP_Soles[[#This Row],[TIPO DE R.]]="R",COUNTIFS($D$4:$D3354,"R")+1,"")</f>
        <v/>
      </c>
      <c r="C3355" s="19" t="str">
        <f t="shared" si="260"/>
        <v>B-BCP - Soles</v>
      </c>
      <c r="D3355" s="3" t="s">
        <v>1101</v>
      </c>
      <c r="E3355" s="188">
        <v>45895</v>
      </c>
      <c r="F3355" s="5" t="s">
        <v>1082</v>
      </c>
      <c r="G3355" s="189"/>
      <c r="H3355" s="6" t="s">
        <v>108</v>
      </c>
      <c r="I3355" s="6" t="s">
        <v>14</v>
      </c>
      <c r="J3355" s="6" t="s">
        <v>1121</v>
      </c>
      <c r="K3355" s="6">
        <v>5283</v>
      </c>
      <c r="L3355" s="7" t="s">
        <v>7885</v>
      </c>
      <c r="M3355" s="190">
        <v>6597704</v>
      </c>
      <c r="N3355" s="190" t="str">
        <f t="shared" si="261"/>
        <v>PEN</v>
      </c>
      <c r="O3355" s="13">
        <v>59</v>
      </c>
      <c r="P3355" s="191"/>
      <c r="Q3355" s="192">
        <f t="shared" si="262"/>
        <v>0</v>
      </c>
      <c r="R3355" s="192">
        <f t="shared" si="263"/>
        <v>0</v>
      </c>
      <c r="S3355" s="192">
        <f t="shared" si="264"/>
        <v>31660.449999999979</v>
      </c>
      <c r="T3355" s="24" t="s">
        <v>1081</v>
      </c>
      <c r="U3355" s="24" t="s">
        <v>1081</v>
      </c>
      <c r="V3355" s="70" t="s">
        <v>7889</v>
      </c>
      <c r="W3355" s="25">
        <f>IFERROR(VLOOKUP(BCP_Soles[[#This Row],[DESTINATARIO]],CHOOSE({1,2},Clientes_Proveedores[Razon Social],Clientes_Proveedores[Ruc / Dni]),2,0),"")</f>
        <v>10425371652</v>
      </c>
      <c r="X3355" s="25"/>
      <c r="Y3355" s="25"/>
      <c r="Z3355" s="25"/>
      <c r="AA3355" s="101"/>
      <c r="AB3355" s="192" t="str">
        <f>IF(BCP_Soles[[#This Row],[FECHA]]&gt;0,TEXT(BCP_Soles[[#This Row],[FECHA]],"mmmm"),0)</f>
        <v>Agosto</v>
      </c>
    </row>
    <row r="3356" spans="2:28" x14ac:dyDescent="0.3">
      <c r="B3356" s="187" t="str">
        <f>IF(BCP_Soles[[#This Row],[TIPO DE R.]]="R",COUNTIFS($D$4:$D3355,"R")+1,"")</f>
        <v/>
      </c>
      <c r="C3356" s="19" t="str">
        <f t="shared" si="260"/>
        <v>B-BCP - Soles</v>
      </c>
      <c r="D3356" s="3" t="s">
        <v>1101</v>
      </c>
      <c r="E3356" s="188">
        <v>45895</v>
      </c>
      <c r="F3356" s="5" t="s">
        <v>1082</v>
      </c>
      <c r="G3356" s="189"/>
      <c r="H3356" s="6" t="s">
        <v>436</v>
      </c>
      <c r="I3356" s="6" t="s">
        <v>14</v>
      </c>
      <c r="J3356" s="6" t="s">
        <v>1578</v>
      </c>
      <c r="K3356" s="6">
        <v>1563</v>
      </c>
      <c r="L3356" s="7" t="s">
        <v>7885</v>
      </c>
      <c r="M3356" s="190">
        <v>6597704</v>
      </c>
      <c r="N3356" s="190" t="str">
        <f t="shared" si="261"/>
        <v>PEN</v>
      </c>
      <c r="O3356" s="13">
        <v>1001.91</v>
      </c>
      <c r="P3356" s="191"/>
      <c r="Q3356" s="192">
        <f t="shared" si="262"/>
        <v>0</v>
      </c>
      <c r="R3356" s="192">
        <f t="shared" si="263"/>
        <v>0</v>
      </c>
      <c r="S3356" s="192">
        <f t="shared" si="264"/>
        <v>31660.449999999979</v>
      </c>
      <c r="T3356" s="24" t="s">
        <v>1081</v>
      </c>
      <c r="U3356" s="24" t="s">
        <v>1081</v>
      </c>
      <c r="V3356" s="70" t="s">
        <v>7889</v>
      </c>
      <c r="W3356" s="25">
        <f>IFERROR(VLOOKUP(BCP_Soles[[#This Row],[DESTINATARIO]],CHOOSE({1,2},Clientes_Proveedores[Razon Social],Clientes_Proveedores[Ruc / Dni]),2,0),"")</f>
        <v>20602751326</v>
      </c>
      <c r="X3356" s="25"/>
      <c r="Y3356" s="25"/>
      <c r="Z3356" s="25"/>
      <c r="AA3356" s="101"/>
      <c r="AB3356" s="192" t="str">
        <f>IF(BCP_Soles[[#This Row],[FECHA]]&gt;0,TEXT(BCP_Soles[[#This Row],[FECHA]],"mmmm"),0)</f>
        <v>Agosto</v>
      </c>
    </row>
    <row r="3357" spans="2:28" ht="24" x14ac:dyDescent="0.3">
      <c r="B3357" s="187" t="str">
        <f>IF(BCP_Soles[[#This Row],[TIPO DE R.]]="R",COUNTIFS($D$4:$D3356,"R")+1,"")</f>
        <v/>
      </c>
      <c r="C3357" s="19" t="str">
        <f t="shared" si="260"/>
        <v>B-BCP - Soles</v>
      </c>
      <c r="D3357" s="3" t="s">
        <v>1101</v>
      </c>
      <c r="E3357" s="188">
        <v>45895</v>
      </c>
      <c r="F3357" s="5" t="s">
        <v>1082</v>
      </c>
      <c r="G3357" s="189"/>
      <c r="H3357" s="6" t="s">
        <v>108</v>
      </c>
      <c r="I3357" s="6" t="s">
        <v>14</v>
      </c>
      <c r="J3357" s="6" t="s">
        <v>1121</v>
      </c>
      <c r="K3357" s="6">
        <v>5287</v>
      </c>
      <c r="L3357" s="7" t="s">
        <v>7885</v>
      </c>
      <c r="M3357" s="190">
        <v>6597704</v>
      </c>
      <c r="N3357" s="190" t="str">
        <f t="shared" si="261"/>
        <v>PEN</v>
      </c>
      <c r="O3357" s="13">
        <v>59</v>
      </c>
      <c r="P3357" s="191"/>
      <c r="Q3357" s="192">
        <f t="shared" si="262"/>
        <v>0</v>
      </c>
      <c r="R3357" s="192">
        <f t="shared" si="263"/>
        <v>0</v>
      </c>
      <c r="S3357" s="192">
        <f t="shared" si="264"/>
        <v>31660.449999999979</v>
      </c>
      <c r="T3357" s="24" t="s">
        <v>1081</v>
      </c>
      <c r="U3357" s="24" t="s">
        <v>1081</v>
      </c>
      <c r="V3357" s="70" t="s">
        <v>7889</v>
      </c>
      <c r="W3357" s="25">
        <f>IFERROR(VLOOKUP(BCP_Soles[[#This Row],[DESTINATARIO]],CHOOSE({1,2},Clientes_Proveedores[Razon Social],Clientes_Proveedores[Ruc / Dni]),2,0),"")</f>
        <v>10425371652</v>
      </c>
      <c r="X3357" s="25"/>
      <c r="Y3357" s="25"/>
      <c r="Z3357" s="25"/>
      <c r="AA3357" s="101"/>
      <c r="AB3357" s="192" t="str">
        <f>IF(BCP_Soles[[#This Row],[FECHA]]&gt;0,TEXT(BCP_Soles[[#This Row],[FECHA]],"mmmm"),0)</f>
        <v>Agosto</v>
      </c>
    </row>
    <row r="3358" spans="2:28" ht="24" x14ac:dyDescent="0.3">
      <c r="B3358" s="187" t="str">
        <f>IF(BCP_Soles[[#This Row],[TIPO DE R.]]="R",COUNTIFS($D$4:$D3357,"R")+1,"")</f>
        <v/>
      </c>
      <c r="C3358" s="19" t="str">
        <f t="shared" si="260"/>
        <v>B-BCP - Soles</v>
      </c>
      <c r="D3358" s="3" t="s">
        <v>1101</v>
      </c>
      <c r="E3358" s="188">
        <v>45895</v>
      </c>
      <c r="F3358" s="5" t="s">
        <v>1082</v>
      </c>
      <c r="G3358" s="189"/>
      <c r="H3358" s="6" t="s">
        <v>16</v>
      </c>
      <c r="I3358" s="6" t="s">
        <v>14</v>
      </c>
      <c r="J3358" s="6" t="s">
        <v>1121</v>
      </c>
      <c r="K3358" s="6">
        <v>598</v>
      </c>
      <c r="L3358" s="7" t="s">
        <v>7885</v>
      </c>
      <c r="M3358" s="190">
        <v>6597704</v>
      </c>
      <c r="N3358" s="190" t="str">
        <f t="shared" si="261"/>
        <v>PEN</v>
      </c>
      <c r="O3358" s="13">
        <v>1699</v>
      </c>
      <c r="P3358" s="191"/>
      <c r="Q3358" s="192">
        <f t="shared" si="262"/>
        <v>0</v>
      </c>
      <c r="R3358" s="192">
        <f t="shared" si="263"/>
        <v>0</v>
      </c>
      <c r="S3358" s="192">
        <f t="shared" si="264"/>
        <v>31660.449999999979</v>
      </c>
      <c r="T3358" s="24" t="s">
        <v>1081</v>
      </c>
      <c r="U3358" s="24" t="s">
        <v>1081</v>
      </c>
      <c r="V3358" s="70" t="s">
        <v>7889</v>
      </c>
      <c r="W3358" s="25">
        <f>IFERROR(VLOOKUP(BCP_Soles[[#This Row],[DESTINATARIO]],CHOOSE({1,2},Clientes_Proveedores[Razon Social],Clientes_Proveedores[Ruc / Dni]),2,0),"")</f>
        <v>10211014194</v>
      </c>
      <c r="X3358" s="25"/>
      <c r="Y3358" s="25"/>
      <c r="Z3358" s="25"/>
      <c r="AA3358" s="101"/>
      <c r="AB3358" s="192" t="str">
        <f>IF(BCP_Soles[[#This Row],[FECHA]]&gt;0,TEXT(BCP_Soles[[#This Row],[FECHA]],"mmmm"),0)</f>
        <v>Agosto</v>
      </c>
    </row>
    <row r="3359" spans="2:28" ht="24" x14ac:dyDescent="0.3">
      <c r="B3359" s="187" t="str">
        <f>IF(BCP_Soles[[#This Row],[TIPO DE R.]]="R",COUNTIFS($D$4:$D3358,"R")+1,"")</f>
        <v/>
      </c>
      <c r="C3359" s="19" t="str">
        <f t="shared" si="260"/>
        <v>B-BCP - Soles</v>
      </c>
      <c r="D3359" s="3" t="s">
        <v>1101</v>
      </c>
      <c r="E3359" s="188">
        <v>45895</v>
      </c>
      <c r="F3359" s="5" t="s">
        <v>1082</v>
      </c>
      <c r="G3359" s="189"/>
      <c r="H3359" s="6" t="s">
        <v>496</v>
      </c>
      <c r="I3359" s="6" t="s">
        <v>14</v>
      </c>
      <c r="J3359" s="6" t="s">
        <v>1121</v>
      </c>
      <c r="K3359" s="6">
        <v>350</v>
      </c>
      <c r="L3359" s="7" t="s">
        <v>7885</v>
      </c>
      <c r="M3359" s="190">
        <v>6597704</v>
      </c>
      <c r="N3359" s="190" t="str">
        <f t="shared" si="261"/>
        <v>PEN</v>
      </c>
      <c r="O3359" s="13">
        <v>480</v>
      </c>
      <c r="P3359" s="191"/>
      <c r="Q3359" s="192">
        <f t="shared" si="262"/>
        <v>0</v>
      </c>
      <c r="R3359" s="192">
        <f t="shared" si="263"/>
        <v>0</v>
      </c>
      <c r="S3359" s="192">
        <f t="shared" si="264"/>
        <v>31660.449999999979</v>
      </c>
      <c r="T3359" s="24" t="s">
        <v>1081</v>
      </c>
      <c r="U3359" s="24" t="s">
        <v>1081</v>
      </c>
      <c r="V3359" s="70" t="s">
        <v>7889</v>
      </c>
      <c r="W3359" s="25">
        <f>IFERROR(VLOOKUP(BCP_Soles[[#This Row],[DESTINATARIO]],CHOOSE({1,2},Clientes_Proveedores[Razon Social],Clientes_Proveedores[Ruc / Dni]),2,0),"")</f>
        <v>20606866861</v>
      </c>
      <c r="X3359" s="25"/>
      <c r="Y3359" s="25"/>
      <c r="Z3359" s="25"/>
      <c r="AA3359" s="101"/>
      <c r="AB3359" s="192" t="str">
        <f>IF(BCP_Soles[[#This Row],[FECHA]]&gt;0,TEXT(BCP_Soles[[#This Row],[FECHA]],"mmmm"),0)</f>
        <v>Agosto</v>
      </c>
    </row>
    <row r="3360" spans="2:28" x14ac:dyDescent="0.3">
      <c r="B3360" s="187" t="str">
        <f>IF(BCP_Soles[[#This Row],[TIPO DE R.]]="R",COUNTIFS($D$4:$D3359,"R")+1,"")</f>
        <v/>
      </c>
      <c r="C3360" s="19" t="str">
        <f t="shared" si="260"/>
        <v>B-BCP - Soles</v>
      </c>
      <c r="D3360" s="3" t="s">
        <v>1101</v>
      </c>
      <c r="E3360" s="188">
        <v>45895</v>
      </c>
      <c r="F3360" s="5" t="s">
        <v>1082</v>
      </c>
      <c r="G3360" s="189"/>
      <c r="H3360" s="6" t="s">
        <v>465</v>
      </c>
      <c r="I3360" s="6" t="s">
        <v>14</v>
      </c>
      <c r="J3360" s="6" t="s">
        <v>1121</v>
      </c>
      <c r="K3360" s="6">
        <v>4134</v>
      </c>
      <c r="L3360" s="7" t="s">
        <v>7885</v>
      </c>
      <c r="M3360" s="190">
        <v>6597704</v>
      </c>
      <c r="N3360" s="190" t="str">
        <f t="shared" si="261"/>
        <v>PEN</v>
      </c>
      <c r="O3360" s="13">
        <v>351.05</v>
      </c>
      <c r="P3360" s="191"/>
      <c r="Q3360" s="192">
        <f t="shared" si="262"/>
        <v>0</v>
      </c>
      <c r="R3360" s="192">
        <f t="shared" si="263"/>
        <v>0</v>
      </c>
      <c r="S3360" s="192">
        <f t="shared" si="264"/>
        <v>31660.449999999979</v>
      </c>
      <c r="T3360" s="24" t="s">
        <v>1081</v>
      </c>
      <c r="U3360" s="24" t="s">
        <v>1081</v>
      </c>
      <c r="V3360" s="70" t="s">
        <v>7889</v>
      </c>
      <c r="W3360" s="25">
        <f>IFERROR(VLOOKUP(BCP_Soles[[#This Row],[DESTINATARIO]],CHOOSE({1,2},Clientes_Proveedores[Razon Social],Clientes_Proveedores[Ruc / Dni]),2,0),"")</f>
        <v>20603974817</v>
      </c>
      <c r="X3360" s="25"/>
      <c r="Y3360" s="25"/>
      <c r="Z3360" s="25"/>
      <c r="AA3360" s="101"/>
      <c r="AB3360" s="192" t="str">
        <f>IF(BCP_Soles[[#This Row],[FECHA]]&gt;0,TEXT(BCP_Soles[[#This Row],[FECHA]],"mmmm"),0)</f>
        <v>Agosto</v>
      </c>
    </row>
    <row r="3361" spans="2:28" ht="24" x14ac:dyDescent="0.3">
      <c r="B3361" s="187" t="str">
        <f>IF(BCP_Soles[[#This Row],[TIPO DE R.]]="R",COUNTIFS($D$4:$D3360,"R")+1,"")</f>
        <v/>
      </c>
      <c r="C3361" s="19" t="str">
        <f t="shared" si="260"/>
        <v>B-BCP - Soles</v>
      </c>
      <c r="D3361" s="3" t="s">
        <v>1101</v>
      </c>
      <c r="E3361" s="188">
        <v>45895</v>
      </c>
      <c r="F3361" s="5" t="s">
        <v>1082</v>
      </c>
      <c r="G3361" s="189"/>
      <c r="H3361" s="6" t="s">
        <v>105</v>
      </c>
      <c r="I3361" s="6" t="s">
        <v>14</v>
      </c>
      <c r="J3361" s="6" t="s">
        <v>1121</v>
      </c>
      <c r="K3361" s="6">
        <v>318</v>
      </c>
      <c r="L3361" s="7" t="s">
        <v>7885</v>
      </c>
      <c r="M3361" s="190">
        <v>6597704</v>
      </c>
      <c r="N3361" s="190" t="str">
        <f t="shared" si="261"/>
        <v>PEN</v>
      </c>
      <c r="O3361" s="13">
        <v>1149.2</v>
      </c>
      <c r="P3361" s="191"/>
      <c r="Q3361" s="192">
        <f t="shared" si="262"/>
        <v>0</v>
      </c>
      <c r="R3361" s="192">
        <f t="shared" si="263"/>
        <v>0</v>
      </c>
      <c r="S3361" s="192">
        <f t="shared" si="264"/>
        <v>31660.449999999979</v>
      </c>
      <c r="T3361" s="24" t="s">
        <v>1081</v>
      </c>
      <c r="U3361" s="24" t="s">
        <v>1081</v>
      </c>
      <c r="V3361" s="70" t="s">
        <v>7889</v>
      </c>
      <c r="W3361" s="25">
        <f>IFERROR(VLOOKUP(BCP_Soles[[#This Row],[DESTINATARIO]],CHOOSE({1,2},Clientes_Proveedores[Razon Social],Clientes_Proveedores[Ruc / Dni]),2,0),"")</f>
        <v>10416031679</v>
      </c>
      <c r="X3361" s="25"/>
      <c r="Y3361" s="25"/>
      <c r="Z3361" s="25"/>
      <c r="AA3361" s="101"/>
      <c r="AB3361" s="192" t="str">
        <f>IF(BCP_Soles[[#This Row],[FECHA]]&gt;0,TEXT(BCP_Soles[[#This Row],[FECHA]],"mmmm"),0)</f>
        <v>Agosto</v>
      </c>
    </row>
    <row r="3362" spans="2:28" ht="24" x14ac:dyDescent="0.3">
      <c r="B3362" s="187" t="str">
        <f>IF(BCP_Soles[[#This Row],[TIPO DE R.]]="R",COUNTIFS($D$4:$D3361,"R")+1,"")</f>
        <v/>
      </c>
      <c r="C3362" s="19" t="str">
        <f t="shared" si="260"/>
        <v>B-BCP - Soles</v>
      </c>
      <c r="D3362" s="3" t="s">
        <v>1101</v>
      </c>
      <c r="E3362" s="188">
        <v>45895</v>
      </c>
      <c r="F3362" s="5" t="s">
        <v>1082</v>
      </c>
      <c r="G3362" s="189"/>
      <c r="H3362" s="6" t="s">
        <v>105</v>
      </c>
      <c r="I3362" s="6" t="s">
        <v>14</v>
      </c>
      <c r="J3362" s="6" t="s">
        <v>1121</v>
      </c>
      <c r="K3362" s="6">
        <v>311</v>
      </c>
      <c r="L3362" s="7" t="s">
        <v>7885</v>
      </c>
      <c r="M3362" s="190">
        <v>6597704</v>
      </c>
      <c r="N3362" s="190" t="str">
        <f t="shared" si="261"/>
        <v>PEN</v>
      </c>
      <c r="O3362" s="13">
        <v>98</v>
      </c>
      <c r="P3362" s="191"/>
      <c r="Q3362" s="192">
        <f t="shared" si="262"/>
        <v>0</v>
      </c>
      <c r="R3362" s="192">
        <f t="shared" si="263"/>
        <v>0</v>
      </c>
      <c r="S3362" s="192">
        <f t="shared" si="264"/>
        <v>31660.449999999979</v>
      </c>
      <c r="T3362" s="24" t="s">
        <v>1081</v>
      </c>
      <c r="U3362" s="24" t="s">
        <v>1081</v>
      </c>
      <c r="V3362" s="70" t="s">
        <v>7889</v>
      </c>
      <c r="W3362" s="25">
        <f>IFERROR(VLOOKUP(BCP_Soles[[#This Row],[DESTINATARIO]],CHOOSE({1,2},Clientes_Proveedores[Razon Social],Clientes_Proveedores[Ruc / Dni]),2,0),"")</f>
        <v>10416031679</v>
      </c>
      <c r="X3362" s="25"/>
      <c r="Y3362" s="25"/>
      <c r="Z3362" s="25"/>
      <c r="AA3362" s="101"/>
      <c r="AB3362" s="192" t="str">
        <f>IF(BCP_Soles[[#This Row],[FECHA]]&gt;0,TEXT(BCP_Soles[[#This Row],[FECHA]],"mmmm"),0)</f>
        <v>Agosto</v>
      </c>
    </row>
    <row r="3363" spans="2:28" x14ac:dyDescent="0.3">
      <c r="B3363" s="187" t="str">
        <f>IF(BCP_Soles[[#This Row],[TIPO DE R.]]="R",COUNTIFS($D$4:$D3362,"R")+1,"")</f>
        <v/>
      </c>
      <c r="C3363" s="19" t="str">
        <f t="shared" si="260"/>
        <v>B-BCP - Soles</v>
      </c>
      <c r="D3363" s="3" t="s">
        <v>1101</v>
      </c>
      <c r="E3363" s="188">
        <v>45895</v>
      </c>
      <c r="F3363" s="5" t="s">
        <v>1082</v>
      </c>
      <c r="G3363" s="189"/>
      <c r="H3363" s="6" t="s">
        <v>229</v>
      </c>
      <c r="I3363" s="6" t="s">
        <v>14</v>
      </c>
      <c r="J3363" s="6" t="s">
        <v>1429</v>
      </c>
      <c r="K3363" s="6">
        <v>1717</v>
      </c>
      <c r="L3363" s="7" t="s">
        <v>7885</v>
      </c>
      <c r="M3363" s="190">
        <v>6597704</v>
      </c>
      <c r="N3363" s="190" t="str">
        <f t="shared" si="261"/>
        <v>PEN</v>
      </c>
      <c r="O3363" s="13">
        <v>1348.21</v>
      </c>
      <c r="P3363" s="191"/>
      <c r="Q3363" s="192">
        <f t="shared" si="262"/>
        <v>0</v>
      </c>
      <c r="R3363" s="192">
        <f t="shared" si="263"/>
        <v>0</v>
      </c>
      <c r="S3363" s="192">
        <f t="shared" si="264"/>
        <v>31660.449999999979</v>
      </c>
      <c r="T3363" s="24" t="s">
        <v>1081</v>
      </c>
      <c r="U3363" s="24" t="s">
        <v>1081</v>
      </c>
      <c r="V3363" s="70" t="s">
        <v>7889</v>
      </c>
      <c r="W3363" s="25">
        <f>IFERROR(VLOOKUP(BCP_Soles[[#This Row],[DESTINATARIO]],CHOOSE({1,2},Clientes_Proveedores[Razon Social],Clientes_Proveedores[Ruc / Dni]),2,0),"")</f>
        <v>20454186002</v>
      </c>
      <c r="X3363" s="25"/>
      <c r="Y3363" s="25"/>
      <c r="Z3363" s="25"/>
      <c r="AA3363" s="101"/>
      <c r="AB3363" s="192" t="str">
        <f>IF(BCP_Soles[[#This Row],[FECHA]]&gt;0,TEXT(BCP_Soles[[#This Row],[FECHA]],"mmmm"),0)</f>
        <v>Agosto</v>
      </c>
    </row>
    <row r="3364" spans="2:28" x14ac:dyDescent="0.3">
      <c r="B3364" s="187" t="str">
        <f>IF(BCP_Soles[[#This Row],[TIPO DE R.]]="R",COUNTIFS($D$4:$D3363,"R")+1,"")</f>
        <v/>
      </c>
      <c r="C3364" s="19" t="str">
        <f t="shared" si="260"/>
        <v>B-BCP - Soles</v>
      </c>
      <c r="D3364" s="3" t="s">
        <v>1101</v>
      </c>
      <c r="E3364" s="188">
        <v>45895</v>
      </c>
      <c r="F3364" s="5" t="s">
        <v>1082</v>
      </c>
      <c r="G3364" s="189"/>
      <c r="H3364" s="6" t="s">
        <v>229</v>
      </c>
      <c r="I3364" s="6" t="s">
        <v>14</v>
      </c>
      <c r="J3364" s="6" t="s">
        <v>1429</v>
      </c>
      <c r="K3364" s="6">
        <v>1720</v>
      </c>
      <c r="L3364" s="7" t="s">
        <v>7885</v>
      </c>
      <c r="M3364" s="190">
        <v>6597704</v>
      </c>
      <c r="N3364" s="190" t="str">
        <f t="shared" si="261"/>
        <v>PEN</v>
      </c>
      <c r="O3364" s="13">
        <v>144.1</v>
      </c>
      <c r="P3364" s="191"/>
      <c r="Q3364" s="192">
        <f t="shared" si="262"/>
        <v>0</v>
      </c>
      <c r="R3364" s="192">
        <f t="shared" si="263"/>
        <v>0</v>
      </c>
      <c r="S3364" s="192">
        <f t="shared" si="264"/>
        <v>31660.449999999979</v>
      </c>
      <c r="T3364" s="24" t="s">
        <v>1081</v>
      </c>
      <c r="U3364" s="24" t="s">
        <v>1081</v>
      </c>
      <c r="V3364" s="70" t="s">
        <v>7889</v>
      </c>
      <c r="W3364" s="25">
        <f>IFERROR(VLOOKUP(BCP_Soles[[#This Row],[DESTINATARIO]],CHOOSE({1,2},Clientes_Proveedores[Razon Social],Clientes_Proveedores[Ruc / Dni]),2,0),"")</f>
        <v>20454186002</v>
      </c>
      <c r="X3364" s="25"/>
      <c r="Y3364" s="25"/>
      <c r="Z3364" s="25"/>
      <c r="AA3364" s="101"/>
      <c r="AB3364" s="192" t="str">
        <f>IF(BCP_Soles[[#This Row],[FECHA]]&gt;0,TEXT(BCP_Soles[[#This Row],[FECHA]],"mmmm"),0)</f>
        <v>Agosto</v>
      </c>
    </row>
    <row r="3365" spans="2:28" x14ac:dyDescent="0.3">
      <c r="B3365" s="187" t="str">
        <f>IF(BCP_Soles[[#This Row],[TIPO DE R.]]="R",COUNTIFS($D$4:$D3364,"R")+1,"")</f>
        <v/>
      </c>
      <c r="C3365" s="19" t="str">
        <f t="shared" si="260"/>
        <v>B-BCP - Soles</v>
      </c>
      <c r="D3365" s="3" t="s">
        <v>1101</v>
      </c>
      <c r="E3365" s="188">
        <v>45895</v>
      </c>
      <c r="F3365" s="5" t="s">
        <v>1082</v>
      </c>
      <c r="G3365" s="189"/>
      <c r="H3365" s="6" t="s">
        <v>229</v>
      </c>
      <c r="I3365" s="6" t="s">
        <v>14</v>
      </c>
      <c r="J3365" s="6" t="s">
        <v>1429</v>
      </c>
      <c r="K3365" s="6">
        <v>1718</v>
      </c>
      <c r="L3365" s="7" t="s">
        <v>7885</v>
      </c>
      <c r="M3365" s="190">
        <v>6597704</v>
      </c>
      <c r="N3365" s="190" t="str">
        <f t="shared" si="261"/>
        <v>PEN</v>
      </c>
      <c r="O3365" s="13">
        <v>369</v>
      </c>
      <c r="P3365" s="191"/>
      <c r="Q3365" s="192">
        <f t="shared" si="262"/>
        <v>0</v>
      </c>
      <c r="R3365" s="192">
        <f t="shared" si="263"/>
        <v>0</v>
      </c>
      <c r="S3365" s="192">
        <f t="shared" si="264"/>
        <v>31660.449999999979</v>
      </c>
      <c r="T3365" s="24" t="s">
        <v>1081</v>
      </c>
      <c r="U3365" s="24" t="s">
        <v>1081</v>
      </c>
      <c r="V3365" s="70" t="s">
        <v>7889</v>
      </c>
      <c r="W3365" s="25">
        <f>IFERROR(VLOOKUP(BCP_Soles[[#This Row],[DESTINATARIO]],CHOOSE({1,2},Clientes_Proveedores[Razon Social],Clientes_Proveedores[Ruc / Dni]),2,0),"")</f>
        <v>20454186002</v>
      </c>
      <c r="X3365" s="25"/>
      <c r="Y3365" s="25"/>
      <c r="Z3365" s="25"/>
      <c r="AA3365" s="101"/>
      <c r="AB3365" s="192" t="str">
        <f>IF(BCP_Soles[[#This Row],[FECHA]]&gt;0,TEXT(BCP_Soles[[#This Row],[FECHA]],"mmmm"),0)</f>
        <v>Agosto</v>
      </c>
    </row>
    <row r="3366" spans="2:28" x14ac:dyDescent="0.3">
      <c r="B3366" s="187" t="str">
        <f>IF(BCP_Soles[[#This Row],[TIPO DE R.]]="R",COUNTIFS($D$4:$D3365,"R")+1,"")</f>
        <v/>
      </c>
      <c r="C3366" s="19" t="str">
        <f t="shared" si="260"/>
        <v>B-BCP - Soles</v>
      </c>
      <c r="D3366" s="3" t="s">
        <v>1101</v>
      </c>
      <c r="E3366" s="188">
        <v>45895</v>
      </c>
      <c r="F3366" s="5" t="s">
        <v>1082</v>
      </c>
      <c r="G3366" s="189"/>
      <c r="H3366" s="6" t="s">
        <v>229</v>
      </c>
      <c r="I3366" s="6" t="s">
        <v>14</v>
      </c>
      <c r="J3366" s="6" t="s">
        <v>1429</v>
      </c>
      <c r="K3366" s="6">
        <v>1719</v>
      </c>
      <c r="L3366" s="7" t="s">
        <v>7885</v>
      </c>
      <c r="M3366" s="190">
        <v>6597704</v>
      </c>
      <c r="N3366" s="190" t="str">
        <f t="shared" si="261"/>
        <v>PEN</v>
      </c>
      <c r="O3366" s="13">
        <v>471.12</v>
      </c>
      <c r="P3366" s="191"/>
      <c r="Q3366" s="192">
        <f t="shared" si="262"/>
        <v>0</v>
      </c>
      <c r="R3366" s="192">
        <f t="shared" si="263"/>
        <v>0</v>
      </c>
      <c r="S3366" s="192">
        <f t="shared" si="264"/>
        <v>31660.449999999979</v>
      </c>
      <c r="T3366" s="24" t="s">
        <v>1081</v>
      </c>
      <c r="U3366" s="24" t="s">
        <v>1081</v>
      </c>
      <c r="V3366" s="70" t="s">
        <v>7889</v>
      </c>
      <c r="W3366" s="25">
        <f>IFERROR(VLOOKUP(BCP_Soles[[#This Row],[DESTINATARIO]],CHOOSE({1,2},Clientes_Proveedores[Razon Social],Clientes_Proveedores[Ruc / Dni]),2,0),"")</f>
        <v>20454186002</v>
      </c>
      <c r="X3366" s="25"/>
      <c r="Y3366" s="25"/>
      <c r="Z3366" s="25"/>
      <c r="AA3366" s="101"/>
      <c r="AB3366" s="192" t="str">
        <f>IF(BCP_Soles[[#This Row],[FECHA]]&gt;0,TEXT(BCP_Soles[[#This Row],[FECHA]],"mmmm"),0)</f>
        <v>Agosto</v>
      </c>
    </row>
    <row r="3367" spans="2:28" ht="24" x14ac:dyDescent="0.3">
      <c r="B3367" s="2">
        <f>IF(BCP_Soles[[#This Row],[TIPO DE R.]]="R",COUNTIFS($D$4:$D3366,"R")+1,"")</f>
        <v>2305</v>
      </c>
      <c r="C3367" s="19" t="str">
        <f t="shared" si="260"/>
        <v>B-BCP - Soles</v>
      </c>
      <c r="D3367" s="3" t="s">
        <v>1074</v>
      </c>
      <c r="E3367" s="14">
        <v>45895</v>
      </c>
      <c r="F3367" s="5" t="s">
        <v>1082</v>
      </c>
      <c r="G3367" s="5" t="s">
        <v>1079</v>
      </c>
      <c r="H3367" s="6" t="s">
        <v>731</v>
      </c>
      <c r="I3367" s="6" t="s">
        <v>87</v>
      </c>
      <c r="J3367" s="6">
        <v>1</v>
      </c>
      <c r="K3367" s="6">
        <v>612025</v>
      </c>
      <c r="L3367" s="7" t="s">
        <v>7905</v>
      </c>
      <c r="M3367" s="8">
        <v>1213483</v>
      </c>
      <c r="N3367" s="8" t="str">
        <f t="shared" si="261"/>
        <v>PEN</v>
      </c>
      <c r="O3367" s="13"/>
      <c r="P3367" s="13">
        <v>345</v>
      </c>
      <c r="Q3367" s="3">
        <f t="shared" si="262"/>
        <v>0</v>
      </c>
      <c r="R3367" s="3">
        <f t="shared" si="263"/>
        <v>345</v>
      </c>
      <c r="S3367" s="3">
        <f t="shared" si="264"/>
        <v>31315.449999999979</v>
      </c>
      <c r="T3367" s="24" t="s">
        <v>1081</v>
      </c>
      <c r="U3367" s="24" t="s">
        <v>1081</v>
      </c>
      <c r="V3367" s="69"/>
      <c r="W3367" s="25">
        <f>IFERROR(VLOOKUP(BCP_Soles[[#This Row],[DESTINATARIO]],CHOOSE({1,2},Clientes_Proveedores[Razon Social],Clientes_Proveedores[Ruc / Dni]),2,0),"")</f>
        <v>72169020</v>
      </c>
      <c r="X3367" s="25"/>
      <c r="Y3367" s="25"/>
      <c r="Z3367" s="25"/>
      <c r="AA3367" s="101"/>
      <c r="AB3367" s="3" t="str">
        <f>IF(BCP_Soles[[#This Row],[FECHA]]&gt;0,TEXT(BCP_Soles[[#This Row],[FECHA]],"mmmm"),0)</f>
        <v>Agosto</v>
      </c>
    </row>
    <row r="3368" spans="2:28" x14ac:dyDescent="0.3">
      <c r="B3368" s="2">
        <f>IF(BCP_Soles[[#This Row],[TIPO DE R.]]="R",COUNTIFS($D$4:$D3367,"R")+1,"")</f>
        <v>2306</v>
      </c>
      <c r="C3368" s="19" t="str">
        <f t="shared" si="260"/>
        <v>B-BCP - Soles</v>
      </c>
      <c r="D3368" s="3" t="s">
        <v>1074</v>
      </c>
      <c r="E3368" s="14">
        <v>45895</v>
      </c>
      <c r="F3368" s="5" t="s">
        <v>1082</v>
      </c>
      <c r="G3368" s="5" t="s">
        <v>1079</v>
      </c>
      <c r="H3368" s="6" t="s">
        <v>368</v>
      </c>
      <c r="I3368" s="6"/>
      <c r="J3368" s="6"/>
      <c r="K3368" s="6"/>
      <c r="L3368" s="7" t="s">
        <v>7906</v>
      </c>
      <c r="M3368" s="8">
        <v>1213438</v>
      </c>
      <c r="N3368" s="8" t="str">
        <f t="shared" si="261"/>
        <v>PEN</v>
      </c>
      <c r="O3368" s="13"/>
      <c r="P3368" s="13">
        <v>6500</v>
      </c>
      <c r="Q3368" s="3">
        <f t="shared" si="262"/>
        <v>0</v>
      </c>
      <c r="R3368" s="3">
        <f t="shared" si="263"/>
        <v>6500</v>
      </c>
      <c r="S3368" s="3">
        <f t="shared" si="264"/>
        <v>24815.449999999979</v>
      </c>
      <c r="T3368" s="24"/>
      <c r="U3368" s="24"/>
      <c r="V3368" s="69"/>
      <c r="W3368" s="25">
        <f>IFERROR(VLOOKUP(BCP_Soles[[#This Row],[DESTINATARIO]],CHOOSE({1,2},Clientes_Proveedores[Razon Social],Clientes_Proveedores[Ruc / Dni]),2,0),"")</f>
        <v>20558226979</v>
      </c>
      <c r="X3368" s="25"/>
      <c r="Y3368" s="25"/>
      <c r="Z3368" s="25"/>
      <c r="AA3368" s="101"/>
      <c r="AB3368" s="3" t="str">
        <f>IF(BCP_Soles[[#This Row],[FECHA]]&gt;0,TEXT(BCP_Soles[[#This Row],[FECHA]],"mmmm"),0)</f>
        <v>Agosto</v>
      </c>
    </row>
    <row r="3369" spans="2:28" x14ac:dyDescent="0.3">
      <c r="B3369" s="2">
        <f>IF(BCP_Soles[[#This Row],[TIPO DE R.]]="R",COUNTIFS($D$4:$D3368,"R")+1,"")</f>
        <v>2307</v>
      </c>
      <c r="C3369" s="19" t="str">
        <f t="shared" si="260"/>
        <v>B-BCP - Soles</v>
      </c>
      <c r="D3369" s="3" t="s">
        <v>1074</v>
      </c>
      <c r="E3369" s="14">
        <v>45895</v>
      </c>
      <c r="F3369" s="5" t="s">
        <v>1082</v>
      </c>
      <c r="G3369" s="5" t="s">
        <v>1079</v>
      </c>
      <c r="H3369" s="6" t="s">
        <v>637</v>
      </c>
      <c r="I3369" s="6"/>
      <c r="J3369" s="6"/>
      <c r="K3369" s="6"/>
      <c r="L3369" s="7" t="s">
        <v>3268</v>
      </c>
      <c r="M3369" s="8">
        <v>214454</v>
      </c>
      <c r="N3369" s="8" t="str">
        <f t="shared" si="261"/>
        <v>PEN</v>
      </c>
      <c r="O3369" s="13"/>
      <c r="P3369" s="13">
        <v>3024.7</v>
      </c>
      <c r="Q3369" s="3">
        <f t="shared" si="262"/>
        <v>0</v>
      </c>
      <c r="R3369" s="3">
        <f t="shared" si="263"/>
        <v>3024.7</v>
      </c>
      <c r="S3369" s="3">
        <f t="shared" si="264"/>
        <v>21790.749999999978</v>
      </c>
      <c r="T3369" s="24"/>
      <c r="U3369" s="24"/>
      <c r="V3369" s="70" t="s">
        <v>8030</v>
      </c>
      <c r="W3369" s="25">
        <f>IFERROR(VLOOKUP(BCP_Soles[[#This Row],[DESTINATARIO]],CHOOSE({1,2},Clientes_Proveedores[Razon Social],Clientes_Proveedores[Ruc / Dni]),2,0),"")</f>
        <v>20127765279</v>
      </c>
      <c r="X3369" s="25"/>
      <c r="Y3369" s="25"/>
      <c r="Z3369" s="25"/>
      <c r="AA3369" s="101"/>
      <c r="AB3369" s="3" t="str">
        <f>IF(BCP_Soles[[#This Row],[FECHA]]&gt;0,TEXT(BCP_Soles[[#This Row],[FECHA]],"mmmm"),0)</f>
        <v>Agosto</v>
      </c>
    </row>
    <row r="3370" spans="2:28" ht="24" x14ac:dyDescent="0.3">
      <c r="B3370" s="2">
        <f>IF(BCP_Soles[[#This Row],[TIPO DE R.]]="R",COUNTIFS($D$4:$D3369,"R")+1,"")</f>
        <v>2308</v>
      </c>
      <c r="C3370" s="19" t="str">
        <f t="shared" si="260"/>
        <v>B-BCP - Soles</v>
      </c>
      <c r="D3370" s="3" t="s">
        <v>1074</v>
      </c>
      <c r="E3370" s="14">
        <v>45895</v>
      </c>
      <c r="F3370" s="5" t="s">
        <v>1078</v>
      </c>
      <c r="G3370" s="5" t="s">
        <v>1079</v>
      </c>
      <c r="H3370" s="6" t="s">
        <v>1001</v>
      </c>
      <c r="I3370" s="6"/>
      <c r="J3370" s="6"/>
      <c r="K3370" s="6"/>
      <c r="L3370" s="7" t="s">
        <v>7907</v>
      </c>
      <c r="M3370" s="8">
        <v>6597730</v>
      </c>
      <c r="N3370" s="8" t="str">
        <f t="shared" si="261"/>
        <v>PEN</v>
      </c>
      <c r="O3370" s="13"/>
      <c r="P3370" s="13">
        <v>10</v>
      </c>
      <c r="Q3370" s="3">
        <f t="shared" si="262"/>
        <v>0</v>
      </c>
      <c r="R3370" s="3">
        <f t="shared" si="263"/>
        <v>10</v>
      </c>
      <c r="S3370" s="3">
        <f t="shared" si="264"/>
        <v>21780.749999999978</v>
      </c>
      <c r="T3370" s="24"/>
      <c r="U3370" s="24"/>
      <c r="V3370" s="69"/>
      <c r="W3370" s="25">
        <f>IFERROR(VLOOKUP(BCP_Soles[[#This Row],[DESTINATARIO]],CHOOSE({1,2},Clientes_Proveedores[Razon Social],Clientes_Proveedores[Ruc / Dni]),2,0),"")</f>
        <v>20100047218</v>
      </c>
      <c r="X3370" s="25"/>
      <c r="Y3370" s="25"/>
      <c r="Z3370" s="25"/>
      <c r="AA3370" s="101"/>
      <c r="AB3370" s="3" t="str">
        <f>IF(BCP_Soles[[#This Row],[FECHA]]&gt;0,TEXT(BCP_Soles[[#This Row],[FECHA]],"mmmm"),0)</f>
        <v>Agosto</v>
      </c>
    </row>
    <row r="3371" spans="2:28" x14ac:dyDescent="0.3">
      <c r="B3371" s="195">
        <f>IF(BCP_Soles[[#This Row],[TIPO DE R.]]="R",COUNTIFS($D$4:$D3370,"R")+1,"")</f>
        <v>2309</v>
      </c>
      <c r="C3371" s="19" t="str">
        <f t="shared" si="260"/>
        <v>B-BCP - Soles</v>
      </c>
      <c r="D3371" s="3" t="s">
        <v>1074</v>
      </c>
      <c r="E3371" s="196">
        <v>45895</v>
      </c>
      <c r="F3371" s="5" t="s">
        <v>1078</v>
      </c>
      <c r="G3371" s="197" t="s">
        <v>1079</v>
      </c>
      <c r="H3371" s="6"/>
      <c r="I3371" s="6"/>
      <c r="J3371" s="6"/>
      <c r="K3371" s="6"/>
      <c r="L3371" s="198" t="s">
        <v>2868</v>
      </c>
      <c r="M3371" s="199"/>
      <c r="N3371" s="199" t="str">
        <f t="shared" si="261"/>
        <v>PEN</v>
      </c>
      <c r="O3371" s="13"/>
      <c r="P3371" s="200">
        <v>2.15</v>
      </c>
      <c r="Q3371" s="201">
        <f t="shared" si="262"/>
        <v>0</v>
      </c>
      <c r="R3371" s="201">
        <f t="shared" si="263"/>
        <v>2.15</v>
      </c>
      <c r="S3371" s="3">
        <f t="shared" si="264"/>
        <v>21778.599999999977</v>
      </c>
      <c r="T3371" s="202"/>
      <c r="U3371" s="202"/>
      <c r="V3371" s="69"/>
      <c r="W3371" s="25" t="str">
        <f>IFERROR(VLOOKUP(BCP_Soles[[#This Row],[DESTINATARIO]],CHOOSE({1,2},Clientes_Proveedores[Razon Social],Clientes_Proveedores[Ruc / Dni]),2,0),"")</f>
        <v/>
      </c>
      <c r="X3371" s="25"/>
      <c r="Y3371" s="25"/>
      <c r="Z3371" s="25"/>
      <c r="AA3371" s="101"/>
      <c r="AB3371" s="201" t="str">
        <f>IF(BCP_Soles[[#This Row],[FECHA]]&gt;0,TEXT(BCP_Soles[[#This Row],[FECHA]],"mmmm"),0)</f>
        <v>Agosto</v>
      </c>
    </row>
    <row r="3372" spans="2:28" ht="36" x14ac:dyDescent="0.3">
      <c r="B3372" s="195">
        <f>IF(BCP_Soles[[#This Row],[TIPO DE R.]]="R",COUNTIFS($D$4:$D3371,"R")+1,"")</f>
        <v>2310</v>
      </c>
      <c r="C3372" s="19" t="str">
        <f t="shared" si="260"/>
        <v>B-BCP - Soles</v>
      </c>
      <c r="D3372" s="3" t="s">
        <v>1074</v>
      </c>
      <c r="E3372" s="196">
        <v>45896</v>
      </c>
      <c r="F3372" s="5" t="s">
        <v>1368</v>
      </c>
      <c r="G3372" s="197" t="s">
        <v>1087</v>
      </c>
      <c r="H3372" s="6" t="s">
        <v>368</v>
      </c>
      <c r="I3372" s="6" t="s">
        <v>63</v>
      </c>
      <c r="J3372" s="6">
        <v>2</v>
      </c>
      <c r="K3372" s="6">
        <v>825</v>
      </c>
      <c r="L3372" s="7" t="s">
        <v>1100</v>
      </c>
      <c r="M3372" s="199">
        <v>1000006</v>
      </c>
      <c r="N3372" s="199" t="str">
        <f t="shared" si="261"/>
        <v>PEN</v>
      </c>
      <c r="O3372" s="13"/>
      <c r="P3372" s="200">
        <v>268</v>
      </c>
      <c r="Q3372" s="201">
        <f t="shared" si="262"/>
        <v>268</v>
      </c>
      <c r="R3372" s="201">
        <f t="shared" si="263"/>
        <v>0</v>
      </c>
      <c r="S3372" s="3">
        <f t="shared" si="264"/>
        <v>22046.599999999977</v>
      </c>
      <c r="T3372" s="24" t="s">
        <v>1081</v>
      </c>
      <c r="U3372" s="202"/>
      <c r="V3372" s="69"/>
      <c r="W3372" s="25">
        <f>IFERROR(VLOOKUP(BCP_Soles[[#This Row],[DESTINATARIO]],CHOOSE({1,2},Clientes_Proveedores[Razon Social],Clientes_Proveedores[Ruc / Dni]),2,0),"")</f>
        <v>20558226979</v>
      </c>
      <c r="X3372" s="25"/>
      <c r="Y3372" s="25"/>
      <c r="Z3372" s="25"/>
      <c r="AA3372" s="101"/>
      <c r="AB3372" s="201" t="str">
        <f>IF(BCP_Soles[[#This Row],[FECHA]]&gt;0,TEXT(BCP_Soles[[#This Row],[FECHA]],"mmmm"),0)</f>
        <v>Agosto</v>
      </c>
    </row>
    <row r="3373" spans="2:28" x14ac:dyDescent="0.3">
      <c r="B3373" s="195">
        <f>IF(BCP_Soles[[#This Row],[TIPO DE R.]]="R",COUNTIFS($D$4:$D3372,"R")+1,"")</f>
        <v>2311</v>
      </c>
      <c r="C3373" s="19" t="str">
        <f t="shared" si="260"/>
        <v>B-BCP - Soles</v>
      </c>
      <c r="D3373" s="3" t="s">
        <v>1074</v>
      </c>
      <c r="E3373" s="196">
        <v>45896</v>
      </c>
      <c r="F3373" s="5"/>
      <c r="G3373" s="197" t="s">
        <v>1087</v>
      </c>
      <c r="H3373" s="6" t="s">
        <v>368</v>
      </c>
      <c r="I3373" s="6"/>
      <c r="J3373" s="6"/>
      <c r="K3373" s="6"/>
      <c r="L3373" s="7" t="s">
        <v>7938</v>
      </c>
      <c r="M3373" s="199">
        <v>6008817</v>
      </c>
      <c r="N3373" s="199" t="str">
        <f t="shared" si="261"/>
        <v>PEN</v>
      </c>
      <c r="O3373" s="13"/>
      <c r="P3373" s="200">
        <v>2752.33</v>
      </c>
      <c r="Q3373" s="201">
        <f t="shared" si="262"/>
        <v>2752.33</v>
      </c>
      <c r="R3373" s="201">
        <f t="shared" si="263"/>
        <v>0</v>
      </c>
      <c r="S3373" s="3">
        <f t="shared" si="264"/>
        <v>24798.929999999978</v>
      </c>
      <c r="T3373" s="202"/>
      <c r="U3373" s="202"/>
      <c r="V3373" s="69"/>
      <c r="W3373" s="25">
        <f>IFERROR(VLOOKUP(BCP_Soles[[#This Row],[DESTINATARIO]],CHOOSE({1,2},Clientes_Proveedores[Razon Social],Clientes_Proveedores[Ruc / Dni]),2,0),"")</f>
        <v>20558226979</v>
      </c>
      <c r="X3373" s="25"/>
      <c r="Y3373" s="25"/>
      <c r="Z3373" s="25"/>
      <c r="AA3373" s="101"/>
      <c r="AB3373" s="201" t="str">
        <f>IF(BCP_Soles[[#This Row],[FECHA]]&gt;0,TEXT(BCP_Soles[[#This Row],[FECHA]],"mmmm"),0)</f>
        <v>Agosto</v>
      </c>
    </row>
    <row r="3374" spans="2:28" ht="24" x14ac:dyDescent="0.3">
      <c r="B3374" s="195">
        <f>IF(BCP_Soles[[#This Row],[TIPO DE R.]]="R",COUNTIFS($D$4:$D3373,"R")+1,"")</f>
        <v>2312</v>
      </c>
      <c r="C3374" s="19" t="str">
        <f t="shared" si="260"/>
        <v>B-BCP - Soles</v>
      </c>
      <c r="D3374" s="3" t="s">
        <v>1074</v>
      </c>
      <c r="E3374" s="196">
        <v>45896</v>
      </c>
      <c r="F3374" s="5" t="s">
        <v>1745</v>
      </c>
      <c r="G3374" s="197" t="s">
        <v>1087</v>
      </c>
      <c r="H3374" s="6" t="s">
        <v>368</v>
      </c>
      <c r="I3374" s="6" t="s">
        <v>63</v>
      </c>
      <c r="J3374" s="6">
        <v>1</v>
      </c>
      <c r="K3374" s="6">
        <v>4708</v>
      </c>
      <c r="L3374" s="7" t="s">
        <v>1100</v>
      </c>
      <c r="M3374" s="199">
        <v>2619706</v>
      </c>
      <c r="N3374" s="199" t="str">
        <f t="shared" si="261"/>
        <v>PEN</v>
      </c>
      <c r="O3374" s="13"/>
      <c r="P3374" s="200">
        <v>438</v>
      </c>
      <c r="Q3374" s="201">
        <f t="shared" si="262"/>
        <v>438</v>
      </c>
      <c r="R3374" s="201">
        <f t="shared" si="263"/>
        <v>0</v>
      </c>
      <c r="S3374" s="3">
        <f t="shared" si="264"/>
        <v>25236.929999999978</v>
      </c>
      <c r="T3374" s="24" t="s">
        <v>1081</v>
      </c>
      <c r="U3374" s="202"/>
      <c r="V3374" s="69"/>
      <c r="W3374" s="25">
        <f>IFERROR(VLOOKUP(BCP_Soles[[#This Row],[DESTINATARIO]],CHOOSE({1,2},Clientes_Proveedores[Razon Social],Clientes_Proveedores[Ruc / Dni]),2,0),"")</f>
        <v>20558226979</v>
      </c>
      <c r="X3374" s="25"/>
      <c r="Y3374" s="25"/>
      <c r="Z3374" s="25"/>
      <c r="AA3374" s="101"/>
      <c r="AB3374" s="201" t="str">
        <f>IF(BCP_Soles[[#This Row],[FECHA]]&gt;0,TEXT(BCP_Soles[[#This Row],[FECHA]],"mmmm"),0)</f>
        <v>Agosto</v>
      </c>
    </row>
    <row r="3375" spans="2:28" ht="24" x14ac:dyDescent="0.3">
      <c r="B3375" s="195">
        <f>IF(BCP_Soles[[#This Row],[TIPO DE R.]]="R",COUNTIFS($D$4:$D3374,"R")+1,"")</f>
        <v>2313</v>
      </c>
      <c r="C3375" s="19" t="str">
        <f t="shared" si="260"/>
        <v>B-BCP - Soles</v>
      </c>
      <c r="D3375" s="3" t="s">
        <v>1074</v>
      </c>
      <c r="E3375" s="196">
        <v>45896</v>
      </c>
      <c r="F3375" s="5" t="s">
        <v>1745</v>
      </c>
      <c r="G3375" s="197" t="s">
        <v>1087</v>
      </c>
      <c r="H3375" s="6" t="s">
        <v>368</v>
      </c>
      <c r="I3375" s="6" t="s">
        <v>63</v>
      </c>
      <c r="J3375" s="6">
        <v>1</v>
      </c>
      <c r="K3375" s="6">
        <v>4707</v>
      </c>
      <c r="L3375" s="7" t="s">
        <v>1100</v>
      </c>
      <c r="M3375" s="199">
        <v>2610919</v>
      </c>
      <c r="N3375" s="199" t="str">
        <f t="shared" si="261"/>
        <v>PEN</v>
      </c>
      <c r="O3375" s="13"/>
      <c r="P3375" s="200">
        <v>560</v>
      </c>
      <c r="Q3375" s="201">
        <f t="shared" si="262"/>
        <v>560</v>
      </c>
      <c r="R3375" s="201">
        <f t="shared" si="263"/>
        <v>0</v>
      </c>
      <c r="S3375" s="3">
        <f t="shared" si="264"/>
        <v>25796.929999999978</v>
      </c>
      <c r="T3375" s="24" t="s">
        <v>1081</v>
      </c>
      <c r="U3375" s="202"/>
      <c r="V3375" s="69"/>
      <c r="W3375" s="25">
        <f>IFERROR(VLOOKUP(BCP_Soles[[#This Row],[DESTINATARIO]],CHOOSE({1,2},Clientes_Proveedores[Razon Social],Clientes_Proveedores[Ruc / Dni]),2,0),"")</f>
        <v>20558226979</v>
      </c>
      <c r="X3375" s="25"/>
      <c r="Y3375" s="25"/>
      <c r="Z3375" s="25"/>
      <c r="AA3375" s="101"/>
      <c r="AB3375" s="201" t="str">
        <f>IF(BCP_Soles[[#This Row],[FECHA]]&gt;0,TEXT(BCP_Soles[[#This Row],[FECHA]],"mmmm"),0)</f>
        <v>Agosto</v>
      </c>
    </row>
    <row r="3376" spans="2:28" ht="24" x14ac:dyDescent="0.3">
      <c r="B3376" s="195">
        <f>IF(BCP_Soles[[#This Row],[TIPO DE R.]]="R",COUNTIFS($D$4:$D3375,"R")+1,"")</f>
        <v>2314</v>
      </c>
      <c r="C3376" s="19" t="str">
        <f t="shared" si="260"/>
        <v>B-BCP - Soles</v>
      </c>
      <c r="D3376" s="3" t="s">
        <v>1074</v>
      </c>
      <c r="E3376" s="196">
        <v>45896</v>
      </c>
      <c r="F3376" s="5" t="s">
        <v>405</v>
      </c>
      <c r="G3376" s="197" t="s">
        <v>1087</v>
      </c>
      <c r="H3376" s="6" t="s">
        <v>368</v>
      </c>
      <c r="I3376" s="6" t="s">
        <v>14</v>
      </c>
      <c r="J3376" s="6" t="s">
        <v>3091</v>
      </c>
      <c r="K3376" s="6">
        <v>60</v>
      </c>
      <c r="L3376" s="7" t="s">
        <v>1100</v>
      </c>
      <c r="M3376" s="199">
        <v>2033827</v>
      </c>
      <c r="N3376" s="199" t="str">
        <f t="shared" si="261"/>
        <v>PEN</v>
      </c>
      <c r="O3376" s="13"/>
      <c r="P3376" s="200">
        <v>989.49</v>
      </c>
      <c r="Q3376" s="201">
        <f t="shared" si="262"/>
        <v>989.49</v>
      </c>
      <c r="R3376" s="201">
        <f t="shared" si="263"/>
        <v>0</v>
      </c>
      <c r="S3376" s="3">
        <f t="shared" si="264"/>
        <v>26786.41999999998</v>
      </c>
      <c r="T3376" s="24" t="s">
        <v>1081</v>
      </c>
      <c r="U3376" s="24" t="s">
        <v>1081</v>
      </c>
      <c r="V3376" s="69"/>
      <c r="W3376" s="25">
        <f>IFERROR(VLOOKUP(BCP_Soles[[#This Row],[DESTINATARIO]],CHOOSE({1,2},Clientes_Proveedores[Razon Social],Clientes_Proveedores[Ruc / Dni]),2,0),"")</f>
        <v>20558226979</v>
      </c>
      <c r="X3376" s="25"/>
      <c r="Y3376" s="25"/>
      <c r="Z3376" s="25"/>
      <c r="AA3376" s="101"/>
      <c r="AB3376" s="201" t="str">
        <f>IF(BCP_Soles[[#This Row],[FECHA]]&gt;0,TEXT(BCP_Soles[[#This Row],[FECHA]],"mmmm"),0)</f>
        <v>Agosto</v>
      </c>
    </row>
    <row r="3377" spans="2:28" ht="24" x14ac:dyDescent="0.3">
      <c r="B3377" s="195">
        <f>IF(BCP_Soles[[#This Row],[TIPO DE R.]]="R",COUNTIFS($D$4:$D3376,"R")+1,"")</f>
        <v>2315</v>
      </c>
      <c r="C3377" s="19" t="str">
        <f t="shared" si="260"/>
        <v>B-BCP - Soles</v>
      </c>
      <c r="D3377" s="3" t="s">
        <v>1074</v>
      </c>
      <c r="E3377" s="196">
        <v>45896</v>
      </c>
      <c r="F3377" s="5" t="s">
        <v>6116</v>
      </c>
      <c r="G3377" s="197" t="s">
        <v>1087</v>
      </c>
      <c r="H3377" s="6" t="s">
        <v>368</v>
      </c>
      <c r="I3377" s="6" t="s">
        <v>63</v>
      </c>
      <c r="J3377" s="6">
        <v>1</v>
      </c>
      <c r="K3377" s="6">
        <v>4710</v>
      </c>
      <c r="L3377" s="7" t="s">
        <v>1100</v>
      </c>
      <c r="M3377" s="199">
        <v>3127851</v>
      </c>
      <c r="N3377" s="199" t="str">
        <f t="shared" si="261"/>
        <v>PEN</v>
      </c>
      <c r="O3377" s="13"/>
      <c r="P3377" s="200">
        <v>680</v>
      </c>
      <c r="Q3377" s="201">
        <f t="shared" si="262"/>
        <v>680</v>
      </c>
      <c r="R3377" s="201">
        <f t="shared" si="263"/>
        <v>0</v>
      </c>
      <c r="S3377" s="3">
        <f t="shared" si="264"/>
        <v>27466.41999999998</v>
      </c>
      <c r="T3377" s="24" t="s">
        <v>1081</v>
      </c>
      <c r="U3377" s="202"/>
      <c r="V3377" s="69"/>
      <c r="W3377" s="25">
        <f>IFERROR(VLOOKUP(BCP_Soles[[#This Row],[DESTINATARIO]],CHOOSE({1,2},Clientes_Proveedores[Razon Social],Clientes_Proveedores[Ruc / Dni]),2,0),"")</f>
        <v>20558226979</v>
      </c>
      <c r="X3377" s="25"/>
      <c r="Y3377" s="25"/>
      <c r="Z3377" s="25"/>
      <c r="AA3377" s="101"/>
      <c r="AB3377" s="201" t="str">
        <f>IF(BCP_Soles[[#This Row],[FECHA]]&gt;0,TEXT(BCP_Soles[[#This Row],[FECHA]],"mmmm"),0)</f>
        <v>Agosto</v>
      </c>
    </row>
    <row r="3378" spans="2:28" x14ac:dyDescent="0.3">
      <c r="B3378" s="195">
        <f>IF(BCP_Soles[[#This Row],[TIPO DE R.]]="R",COUNTIFS($D$4:$D3377,"R")+1,"")</f>
        <v>2316</v>
      </c>
      <c r="C3378" s="19" t="str">
        <f t="shared" si="260"/>
        <v>B-BCP - Soles</v>
      </c>
      <c r="D3378" s="3" t="s">
        <v>1074</v>
      </c>
      <c r="E3378" s="196">
        <v>45896</v>
      </c>
      <c r="F3378" s="5"/>
      <c r="G3378" s="197" t="s">
        <v>1087</v>
      </c>
      <c r="H3378" s="6" t="s">
        <v>368</v>
      </c>
      <c r="I3378" s="6"/>
      <c r="J3378" s="6"/>
      <c r="K3378" s="6"/>
      <c r="L3378" s="7" t="s">
        <v>4111</v>
      </c>
      <c r="M3378" s="199"/>
      <c r="N3378" s="199" t="str">
        <f t="shared" si="261"/>
        <v>PEN</v>
      </c>
      <c r="O3378" s="13"/>
      <c r="P3378" s="200">
        <v>260.02</v>
      </c>
      <c r="Q3378" s="201">
        <f t="shared" si="262"/>
        <v>260.02</v>
      </c>
      <c r="R3378" s="201">
        <f t="shared" si="263"/>
        <v>0</v>
      </c>
      <c r="S3378" s="3">
        <f t="shared" si="264"/>
        <v>27726.439999999981</v>
      </c>
      <c r="T3378" s="24"/>
      <c r="U3378" s="202"/>
      <c r="V3378" s="69"/>
      <c r="W3378" s="25">
        <f>IFERROR(VLOOKUP(BCP_Soles[[#This Row],[DESTINATARIO]],CHOOSE({1,2},Clientes_Proveedores[Razon Social],Clientes_Proveedores[Ruc / Dni]),2,0),"")</f>
        <v>20558226979</v>
      </c>
      <c r="X3378" s="25"/>
      <c r="Y3378" s="25"/>
      <c r="Z3378" s="25"/>
      <c r="AA3378" s="101"/>
      <c r="AB3378" s="201" t="str">
        <f>IF(BCP_Soles[[#This Row],[FECHA]]&gt;0,TEXT(BCP_Soles[[#This Row],[FECHA]],"mmmm"),0)</f>
        <v>Agosto</v>
      </c>
    </row>
    <row r="3379" spans="2:28" ht="48" x14ac:dyDescent="0.3">
      <c r="B3379" s="195">
        <f>IF(BCP_Soles[[#This Row],[TIPO DE R.]]="R",COUNTIFS($D$4:$D3378,"R")+1,"")</f>
        <v>2317</v>
      </c>
      <c r="C3379" s="19" t="str">
        <f t="shared" si="260"/>
        <v>B-BCP - Soles</v>
      </c>
      <c r="D3379" s="3" t="s">
        <v>1074</v>
      </c>
      <c r="E3379" s="196">
        <v>45896</v>
      </c>
      <c r="F3379" s="5" t="s">
        <v>1082</v>
      </c>
      <c r="G3379" s="197" t="s">
        <v>1079</v>
      </c>
      <c r="H3379" s="6" t="s">
        <v>444</v>
      </c>
      <c r="I3379" s="6"/>
      <c r="J3379" s="6"/>
      <c r="K3379" s="6"/>
      <c r="L3379" s="7" t="s">
        <v>7939</v>
      </c>
      <c r="M3379" s="199">
        <v>1011286</v>
      </c>
      <c r="N3379" s="199" t="str">
        <f t="shared" si="261"/>
        <v>PEN</v>
      </c>
      <c r="O3379" s="13"/>
      <c r="P3379" s="200">
        <v>200.01</v>
      </c>
      <c r="Q3379" s="201">
        <f t="shared" si="262"/>
        <v>0</v>
      </c>
      <c r="R3379" s="201">
        <f t="shared" si="263"/>
        <v>200.01</v>
      </c>
      <c r="S3379" s="201">
        <f t="shared" si="264"/>
        <v>27526.429999999982</v>
      </c>
      <c r="T3379" s="202"/>
      <c r="U3379" s="202"/>
      <c r="V3379" s="70" t="s">
        <v>8028</v>
      </c>
      <c r="W3379" s="25">
        <f>IFERROR(VLOOKUP(BCP_Soles[[#This Row],[DESTINATARIO]],CHOOSE({1,2},Clientes_Proveedores[Razon Social],Clientes_Proveedores[Ruc / Dni]),2,0),"")</f>
        <v>20602978274</v>
      </c>
      <c r="X3379" s="25"/>
      <c r="Y3379" s="25"/>
      <c r="Z3379" s="25"/>
      <c r="AA3379" s="101"/>
      <c r="AB3379" s="201" t="str">
        <f>IF(BCP_Soles[[#This Row],[FECHA]]&gt;0,TEXT(BCP_Soles[[#This Row],[FECHA]],"mmmm"),0)</f>
        <v>Agosto</v>
      </c>
    </row>
    <row r="3380" spans="2:28" ht="48" x14ac:dyDescent="0.3">
      <c r="B3380" s="195">
        <f>IF(BCP_Soles[[#This Row],[TIPO DE R.]]="R",COUNTIFS($D$4:$D3379,"R")+1,"")</f>
        <v>2318</v>
      </c>
      <c r="C3380" s="19" t="str">
        <f t="shared" si="260"/>
        <v>B-BCP - Soles</v>
      </c>
      <c r="D3380" s="3" t="s">
        <v>1074</v>
      </c>
      <c r="E3380" s="196">
        <v>45896</v>
      </c>
      <c r="F3380" s="5" t="s">
        <v>1082</v>
      </c>
      <c r="G3380" s="197" t="s">
        <v>1079</v>
      </c>
      <c r="H3380" s="6" t="s">
        <v>444</v>
      </c>
      <c r="I3380" s="6"/>
      <c r="J3380" s="6"/>
      <c r="K3380" s="6"/>
      <c r="L3380" s="7" t="s">
        <v>7940</v>
      </c>
      <c r="M3380" s="199">
        <v>1009289</v>
      </c>
      <c r="N3380" s="199" t="str">
        <f t="shared" si="261"/>
        <v>PEN</v>
      </c>
      <c r="O3380" s="13"/>
      <c r="P3380" s="200">
        <v>259.01</v>
      </c>
      <c r="Q3380" s="201">
        <f t="shared" si="262"/>
        <v>0</v>
      </c>
      <c r="R3380" s="201">
        <f t="shared" si="263"/>
        <v>259.01</v>
      </c>
      <c r="S3380" s="201">
        <f t="shared" si="264"/>
        <v>27267.419999999984</v>
      </c>
      <c r="T3380" s="202"/>
      <c r="U3380" s="202"/>
      <c r="V3380" s="70" t="s">
        <v>8029</v>
      </c>
      <c r="W3380" s="25">
        <f>IFERROR(VLOOKUP(BCP_Soles[[#This Row],[DESTINATARIO]],CHOOSE({1,2},Clientes_Proveedores[Razon Social],Clientes_Proveedores[Ruc / Dni]),2,0),"")</f>
        <v>20602978274</v>
      </c>
      <c r="X3380" s="25"/>
      <c r="Y3380" s="25"/>
      <c r="Z3380" s="25"/>
      <c r="AA3380" s="101"/>
      <c r="AB3380" s="201" t="str">
        <f>IF(BCP_Soles[[#This Row],[FECHA]]&gt;0,TEXT(BCP_Soles[[#This Row],[FECHA]],"mmmm"),0)</f>
        <v>Agosto</v>
      </c>
    </row>
    <row r="3381" spans="2:28" ht="24" x14ac:dyDescent="0.3">
      <c r="B3381" s="2">
        <f>IF(BCP_Soles[[#This Row],[TIPO DE R.]]="R",COUNTIFS($D$4:$D3380,"R")+1,"")</f>
        <v>2319</v>
      </c>
      <c r="C3381" s="19" t="str">
        <f t="shared" si="260"/>
        <v>B-BCP - Soles</v>
      </c>
      <c r="D3381" s="3" t="s">
        <v>1074</v>
      </c>
      <c r="E3381" s="14">
        <v>45896</v>
      </c>
      <c r="F3381" s="5" t="s">
        <v>1082</v>
      </c>
      <c r="G3381" s="5" t="s">
        <v>1079</v>
      </c>
      <c r="H3381" s="6" t="s">
        <v>836</v>
      </c>
      <c r="I3381" s="6"/>
      <c r="J3381" s="6"/>
      <c r="K3381" s="6"/>
      <c r="L3381" s="7" t="s">
        <v>7913</v>
      </c>
      <c r="M3381" s="8">
        <v>1094423</v>
      </c>
      <c r="N3381" s="8" t="str">
        <f t="shared" si="261"/>
        <v>PEN</v>
      </c>
      <c r="O3381" s="13"/>
      <c r="P3381" s="13">
        <v>900</v>
      </c>
      <c r="Q3381" s="3">
        <f t="shared" si="262"/>
        <v>0</v>
      </c>
      <c r="R3381" s="3">
        <f t="shared" si="263"/>
        <v>900</v>
      </c>
      <c r="S3381" s="3">
        <f t="shared" si="264"/>
        <v>26367.419999999984</v>
      </c>
      <c r="T3381" s="24"/>
      <c r="U3381" s="24"/>
      <c r="V3381" s="69"/>
      <c r="W3381" s="25">
        <f>IFERROR(VLOOKUP(BCP_Soles[[#This Row],[DESTINATARIO]],CHOOSE({1,2},Clientes_Proveedores[Razon Social],Clientes_Proveedores[Ruc / Dni]),2,0),"")</f>
        <v>72144092</v>
      </c>
      <c r="X3381" s="25"/>
      <c r="Y3381" s="25"/>
      <c r="Z3381" s="25"/>
      <c r="AA3381" s="101"/>
      <c r="AB3381" s="3" t="str">
        <f>IF(BCP_Soles[[#This Row],[FECHA]]&gt;0,TEXT(BCP_Soles[[#This Row],[FECHA]],"mmmm"),0)</f>
        <v>Agosto</v>
      </c>
    </row>
    <row r="3382" spans="2:28" ht="24" x14ac:dyDescent="0.3">
      <c r="B3382" s="195">
        <f>IF(BCP_Soles[[#This Row],[TIPO DE R.]]="R",COUNTIFS($D$4:$D3381,"R")+1,"")</f>
        <v>2320</v>
      </c>
      <c r="C3382" s="19" t="str">
        <f t="shared" si="260"/>
        <v>B-BCP - Soles</v>
      </c>
      <c r="D3382" s="3" t="s">
        <v>1074</v>
      </c>
      <c r="E3382" s="196">
        <v>45896</v>
      </c>
      <c r="F3382" s="5" t="s">
        <v>1082</v>
      </c>
      <c r="G3382" s="5" t="s">
        <v>1079</v>
      </c>
      <c r="H3382" s="6" t="s">
        <v>7946</v>
      </c>
      <c r="I3382" s="6"/>
      <c r="J3382" s="6"/>
      <c r="K3382" s="6"/>
      <c r="L3382" s="198" t="s">
        <v>7945</v>
      </c>
      <c r="M3382" s="199">
        <v>1119844</v>
      </c>
      <c r="N3382" s="199" t="str">
        <f t="shared" si="261"/>
        <v>PEN</v>
      </c>
      <c r="O3382" s="13"/>
      <c r="P3382" s="200">
        <v>377.6</v>
      </c>
      <c r="Q3382" s="201">
        <f t="shared" si="262"/>
        <v>0</v>
      </c>
      <c r="R3382" s="201">
        <f t="shared" si="263"/>
        <v>377.6</v>
      </c>
      <c r="S3382" s="201">
        <f t="shared" si="264"/>
        <v>25989.819999999985</v>
      </c>
      <c r="T3382" s="202"/>
      <c r="U3382" s="202"/>
      <c r="V3382" s="70" t="s">
        <v>8027</v>
      </c>
      <c r="W3382" s="25">
        <f>IFERROR(VLOOKUP(BCP_Soles[[#This Row],[DESTINATARIO]],CHOOSE({1,2},Clientes_Proveedores[Razon Social],Clientes_Proveedores[Ruc / Dni]),2,0),"")</f>
        <v>10207191685</v>
      </c>
      <c r="X3382" s="25"/>
      <c r="Y3382" s="25"/>
      <c r="Z3382" s="25"/>
      <c r="AA3382" s="101"/>
      <c r="AB3382" s="201" t="str">
        <f>IF(BCP_Soles[[#This Row],[FECHA]]&gt;0,TEXT(BCP_Soles[[#This Row],[FECHA]],"mmmm"),0)</f>
        <v>Agosto</v>
      </c>
    </row>
    <row r="3383" spans="2:28" ht="24" x14ac:dyDescent="0.3">
      <c r="B3383" s="195">
        <f>IF(BCP_Soles[[#This Row],[TIPO DE R.]]="R",COUNTIFS($D$4:$D3382,"R")+1,"")</f>
        <v>2321</v>
      </c>
      <c r="C3383" s="19" t="str">
        <f t="shared" si="260"/>
        <v>B-BCP - Soles</v>
      </c>
      <c r="D3383" s="3" t="s">
        <v>1074</v>
      </c>
      <c r="E3383" s="196">
        <v>45896</v>
      </c>
      <c r="F3383" s="5" t="s">
        <v>1082</v>
      </c>
      <c r="G3383" s="197" t="s">
        <v>1079</v>
      </c>
      <c r="H3383" s="6" t="s">
        <v>725</v>
      </c>
      <c r="I3383" s="6"/>
      <c r="J3383" s="6"/>
      <c r="K3383" s="6"/>
      <c r="L3383" s="198" t="s">
        <v>7948</v>
      </c>
      <c r="M3383" s="199">
        <v>1218915</v>
      </c>
      <c r="N3383" s="199" t="str">
        <f t="shared" si="261"/>
        <v>PEN</v>
      </c>
      <c r="O3383" s="13"/>
      <c r="P3383" s="200">
        <v>217.12</v>
      </c>
      <c r="Q3383" s="201">
        <f t="shared" si="262"/>
        <v>0</v>
      </c>
      <c r="R3383" s="201">
        <f t="shared" si="263"/>
        <v>217.12</v>
      </c>
      <c r="S3383" s="201">
        <f t="shared" si="264"/>
        <v>25772.699999999986</v>
      </c>
      <c r="T3383" s="202"/>
      <c r="U3383" s="202"/>
      <c r="V3383" s="70" t="s">
        <v>8026</v>
      </c>
      <c r="W3383" s="25">
        <f>IFERROR(VLOOKUP(BCP_Soles[[#This Row],[DESTINATARIO]],CHOOSE({1,2},Clientes_Proveedores[Razon Social],Clientes_Proveedores[Ruc / Dni]),2,0),"")</f>
        <v>20611593920</v>
      </c>
      <c r="X3383" s="25"/>
      <c r="Y3383" s="25"/>
      <c r="Z3383" s="25"/>
      <c r="AA3383" s="101"/>
      <c r="AB3383" s="201" t="str">
        <f>IF(BCP_Soles[[#This Row],[FECHA]]&gt;0,TEXT(BCP_Soles[[#This Row],[FECHA]],"mmmm"),0)</f>
        <v>Agosto</v>
      </c>
    </row>
    <row r="3384" spans="2:28" ht="24" x14ac:dyDescent="0.3">
      <c r="B3384" s="195">
        <f>IF(BCP_Soles[[#This Row],[TIPO DE R.]]="R",COUNTIFS($D$4:$D3383,"R")+1,"")</f>
        <v>2322</v>
      </c>
      <c r="C3384" s="19" t="str">
        <f t="shared" si="260"/>
        <v>B-BCP - Soles</v>
      </c>
      <c r="D3384" s="3" t="s">
        <v>1074</v>
      </c>
      <c r="E3384" s="196">
        <v>45896</v>
      </c>
      <c r="F3384" s="5" t="s">
        <v>1082</v>
      </c>
      <c r="G3384" s="197" t="s">
        <v>1079</v>
      </c>
      <c r="H3384" s="6" t="s">
        <v>440</v>
      </c>
      <c r="I3384" s="6"/>
      <c r="J3384" s="6"/>
      <c r="K3384" s="6"/>
      <c r="L3384" s="198" t="s">
        <v>7949</v>
      </c>
      <c r="M3384" s="199">
        <v>1219908</v>
      </c>
      <c r="N3384" s="199" t="str">
        <f t="shared" si="261"/>
        <v>PEN</v>
      </c>
      <c r="O3384" s="13"/>
      <c r="P3384" s="200">
        <v>565</v>
      </c>
      <c r="Q3384" s="201">
        <f t="shared" si="262"/>
        <v>0</v>
      </c>
      <c r="R3384" s="201">
        <f t="shared" si="263"/>
        <v>565</v>
      </c>
      <c r="S3384" s="201">
        <f t="shared" si="264"/>
        <v>25207.699999999986</v>
      </c>
      <c r="T3384" s="202"/>
      <c r="U3384" s="202"/>
      <c r="V3384" s="70" t="s">
        <v>8025</v>
      </c>
      <c r="W3384" s="25">
        <f>IFERROR(VLOOKUP(BCP_Soles[[#This Row],[DESTINATARIO]],CHOOSE({1,2},Clientes_Proveedores[Razon Social],Clientes_Proveedores[Ruc / Dni]),2,0),"")</f>
        <v>20602810497</v>
      </c>
      <c r="X3384" s="25"/>
      <c r="Y3384" s="25"/>
      <c r="Z3384" s="25"/>
      <c r="AA3384" s="101"/>
      <c r="AB3384" s="201" t="str">
        <f>IF(BCP_Soles[[#This Row],[FECHA]]&gt;0,TEXT(BCP_Soles[[#This Row],[FECHA]],"mmmm"),0)</f>
        <v>Agosto</v>
      </c>
    </row>
    <row r="3385" spans="2:28" ht="24" x14ac:dyDescent="0.3">
      <c r="B3385" s="195">
        <f>IF(BCP_Soles[[#This Row],[TIPO DE R.]]="R",COUNTIFS($D$4:$D3384,"R")+1,"")</f>
        <v>2323</v>
      </c>
      <c r="C3385" s="19" t="str">
        <f t="shared" si="260"/>
        <v>B-BCP - Soles</v>
      </c>
      <c r="D3385" s="3" t="s">
        <v>1074</v>
      </c>
      <c r="E3385" s="196">
        <v>45896</v>
      </c>
      <c r="F3385" s="5" t="s">
        <v>1082</v>
      </c>
      <c r="G3385" s="197" t="s">
        <v>1079</v>
      </c>
      <c r="H3385" s="6" t="s">
        <v>276</v>
      </c>
      <c r="I3385" s="6" t="s">
        <v>14</v>
      </c>
      <c r="J3385" s="6" t="s">
        <v>1121</v>
      </c>
      <c r="K3385" s="6">
        <v>744</v>
      </c>
      <c r="L3385" s="198" t="s">
        <v>7951</v>
      </c>
      <c r="M3385" s="199">
        <v>1217939</v>
      </c>
      <c r="N3385" s="199" t="str">
        <f t="shared" si="261"/>
        <v>PEN</v>
      </c>
      <c r="O3385" s="13"/>
      <c r="P3385" s="200">
        <v>265.5</v>
      </c>
      <c r="Q3385" s="201">
        <f t="shared" si="262"/>
        <v>0</v>
      </c>
      <c r="R3385" s="201">
        <f t="shared" si="263"/>
        <v>265.5</v>
      </c>
      <c r="S3385" s="201">
        <f t="shared" si="264"/>
        <v>24942.199999999986</v>
      </c>
      <c r="T3385" s="24" t="s">
        <v>1081</v>
      </c>
      <c r="U3385" s="24" t="s">
        <v>1081</v>
      </c>
      <c r="V3385" s="70" t="s">
        <v>8024</v>
      </c>
      <c r="W3385" s="25">
        <f>IFERROR(VLOOKUP(BCP_Soles[[#This Row],[DESTINATARIO]],CHOOSE({1,2},Clientes_Proveedores[Razon Social],Clientes_Proveedores[Ruc / Dni]),2,0),"")</f>
        <v>20498218831</v>
      </c>
      <c r="X3385" s="25"/>
      <c r="Y3385" s="25"/>
      <c r="Z3385" s="25"/>
      <c r="AA3385" s="101"/>
      <c r="AB3385" s="201" t="str">
        <f>IF(BCP_Soles[[#This Row],[FECHA]]&gt;0,TEXT(BCP_Soles[[#This Row],[FECHA]],"mmmm"),0)</f>
        <v>Agosto</v>
      </c>
    </row>
    <row r="3386" spans="2:28" x14ac:dyDescent="0.3">
      <c r="B3386" s="195">
        <f>IF(BCP_Soles[[#This Row],[TIPO DE R.]]="R",COUNTIFS($D$4:$D3385,"R")+1,"")</f>
        <v>2324</v>
      </c>
      <c r="C3386" s="19" t="str">
        <f t="shared" si="260"/>
        <v>B-BCP - Soles</v>
      </c>
      <c r="D3386" s="3" t="s">
        <v>1074</v>
      </c>
      <c r="E3386" s="196">
        <v>45896</v>
      </c>
      <c r="F3386" s="197"/>
      <c r="G3386" s="197" t="s">
        <v>1079</v>
      </c>
      <c r="H3386" s="6"/>
      <c r="I3386" s="6"/>
      <c r="J3386" s="6"/>
      <c r="K3386" s="6"/>
      <c r="L3386" s="198" t="s">
        <v>2868</v>
      </c>
      <c r="M3386" s="199"/>
      <c r="N3386" s="199" t="str">
        <f t="shared" si="261"/>
        <v>PEN</v>
      </c>
      <c r="O3386" s="13"/>
      <c r="P3386" s="200">
        <v>0.1</v>
      </c>
      <c r="Q3386" s="201">
        <f t="shared" si="262"/>
        <v>0</v>
      </c>
      <c r="R3386" s="201">
        <f t="shared" si="263"/>
        <v>0.1</v>
      </c>
      <c r="S3386" s="201">
        <f t="shared" si="264"/>
        <v>24942.099999999988</v>
      </c>
      <c r="T3386" s="202"/>
      <c r="U3386" s="202"/>
      <c r="V3386" s="69"/>
      <c r="W3386" s="25" t="str">
        <f>IFERROR(VLOOKUP(BCP_Soles[[#This Row],[DESTINATARIO]],CHOOSE({1,2},Clientes_Proveedores[Razon Social],Clientes_Proveedores[Ruc / Dni]),2,0),"")</f>
        <v/>
      </c>
      <c r="X3386" s="25"/>
      <c r="Y3386" s="25"/>
      <c r="Z3386" s="25"/>
      <c r="AA3386" s="101"/>
      <c r="AB3386" s="201" t="str">
        <f>IF(BCP_Soles[[#This Row],[FECHA]]&gt;0,TEXT(BCP_Soles[[#This Row],[FECHA]],"mmmm"),0)</f>
        <v>Agosto</v>
      </c>
    </row>
    <row r="3387" spans="2:28" x14ac:dyDescent="0.3">
      <c r="B3387" s="195">
        <f>IF(BCP_Soles[[#This Row],[TIPO DE R.]]="R",COUNTIFS($D$4:$D3386,"R")+1,"")</f>
        <v>2325</v>
      </c>
      <c r="C3387" s="19" t="str">
        <f t="shared" si="260"/>
        <v>B-BCP - Soles</v>
      </c>
      <c r="D3387" s="3" t="s">
        <v>1074</v>
      </c>
      <c r="E3387" s="196">
        <v>45897</v>
      </c>
      <c r="F3387" s="197"/>
      <c r="G3387" s="197" t="s">
        <v>1087</v>
      </c>
      <c r="H3387" s="6" t="s">
        <v>368</v>
      </c>
      <c r="I3387" s="6"/>
      <c r="J3387" s="6"/>
      <c r="K3387" s="6"/>
      <c r="L3387" s="205" t="s">
        <v>7979</v>
      </c>
      <c r="M3387" s="199">
        <v>8165</v>
      </c>
      <c r="N3387" s="199" t="str">
        <f t="shared" si="261"/>
        <v>PEN</v>
      </c>
      <c r="O3387" s="13"/>
      <c r="P3387" s="200">
        <v>2100</v>
      </c>
      <c r="Q3387" s="201">
        <f t="shared" si="262"/>
        <v>2100</v>
      </c>
      <c r="R3387" s="201">
        <f t="shared" si="263"/>
        <v>0</v>
      </c>
      <c r="S3387" s="201">
        <f t="shared" si="264"/>
        <v>27042.099999999988</v>
      </c>
      <c r="T3387" s="24" t="s">
        <v>1081</v>
      </c>
      <c r="U3387" s="202"/>
      <c r="V3387" s="69"/>
      <c r="W3387" s="25">
        <f>IFERROR(VLOOKUP(BCP_Soles[[#This Row],[DESTINATARIO]],CHOOSE({1,2},Clientes_Proveedores[Razon Social],Clientes_Proveedores[Ruc / Dni]),2,0),"")</f>
        <v>20558226979</v>
      </c>
      <c r="X3387" s="25"/>
      <c r="Y3387" s="25"/>
      <c r="Z3387" s="25"/>
      <c r="AA3387" s="101"/>
      <c r="AB3387" s="201" t="str">
        <f>IF(BCP_Soles[[#This Row],[FECHA]]&gt;0,TEXT(BCP_Soles[[#This Row],[FECHA]],"mmmm"),0)</f>
        <v>Agosto</v>
      </c>
    </row>
    <row r="3388" spans="2:28" ht="24" x14ac:dyDescent="0.3">
      <c r="B3388" s="195" t="str">
        <f>IF(BCP_Soles[[#This Row],[TIPO DE R.]]="R",COUNTIFS($D$4:$D3387,"R")+1,"")</f>
        <v/>
      </c>
      <c r="C3388" s="19" t="str">
        <f t="shared" si="260"/>
        <v>B-BCP - Soles</v>
      </c>
      <c r="D3388" s="3" t="s">
        <v>1101</v>
      </c>
      <c r="E3388" s="196">
        <v>45897</v>
      </c>
      <c r="F3388" s="5" t="s">
        <v>6116</v>
      </c>
      <c r="G3388" s="197"/>
      <c r="H3388" s="6"/>
      <c r="I3388" s="6" t="s">
        <v>63</v>
      </c>
      <c r="J3388" s="6">
        <v>1</v>
      </c>
      <c r="K3388" s="6">
        <v>4710</v>
      </c>
      <c r="L3388" s="205" t="s">
        <v>7979</v>
      </c>
      <c r="M3388" s="199">
        <v>8165</v>
      </c>
      <c r="N3388" s="199" t="str">
        <f t="shared" si="261"/>
        <v>PEN</v>
      </c>
      <c r="O3388" s="13">
        <v>100</v>
      </c>
      <c r="P3388" s="200"/>
      <c r="Q3388" s="201">
        <f t="shared" si="262"/>
        <v>0</v>
      </c>
      <c r="R3388" s="201">
        <f t="shared" si="263"/>
        <v>0</v>
      </c>
      <c r="S3388" s="201">
        <f t="shared" si="264"/>
        <v>27042.099999999988</v>
      </c>
      <c r="T3388" s="24" t="s">
        <v>1081</v>
      </c>
      <c r="U3388" s="202"/>
      <c r="V3388" s="69"/>
      <c r="W3388" s="25" t="str">
        <f>IFERROR(VLOOKUP(BCP_Soles[[#This Row],[DESTINATARIO]],CHOOSE({1,2},Clientes_Proveedores[Razon Social],Clientes_Proveedores[Ruc / Dni]),2,0),"")</f>
        <v/>
      </c>
      <c r="X3388" s="25"/>
      <c r="Y3388" s="25"/>
      <c r="Z3388" s="25"/>
      <c r="AA3388" s="101"/>
      <c r="AB3388" s="201" t="str">
        <f>IF(BCP_Soles[[#This Row],[FECHA]]&gt;0,TEXT(BCP_Soles[[#This Row],[FECHA]],"mmmm"),0)</f>
        <v>Agosto</v>
      </c>
    </row>
    <row r="3389" spans="2:28" ht="24" x14ac:dyDescent="0.3">
      <c r="B3389" s="195" t="str">
        <f>IF(BCP_Soles[[#This Row],[TIPO DE R.]]="R",COUNTIFS($D$4:$D3388,"R")+1,"")</f>
        <v/>
      </c>
      <c r="C3389" s="19" t="str">
        <f t="shared" si="260"/>
        <v>B-BCP - Soles</v>
      </c>
      <c r="D3389" s="3" t="s">
        <v>1101</v>
      </c>
      <c r="E3389" s="196">
        <v>45897</v>
      </c>
      <c r="F3389" s="5" t="s">
        <v>1562</v>
      </c>
      <c r="G3389" s="197"/>
      <c r="H3389" s="6"/>
      <c r="I3389" s="6" t="s">
        <v>63</v>
      </c>
      <c r="J3389" s="6">
        <v>1</v>
      </c>
      <c r="K3389" s="6">
        <v>4711</v>
      </c>
      <c r="L3389" s="205" t="s">
        <v>7979</v>
      </c>
      <c r="M3389" s="199">
        <v>8165</v>
      </c>
      <c r="N3389" s="199" t="str">
        <f t="shared" si="261"/>
        <v>PEN</v>
      </c>
      <c r="O3389" s="13">
        <v>2000</v>
      </c>
      <c r="P3389" s="200"/>
      <c r="Q3389" s="201">
        <f t="shared" si="262"/>
        <v>0</v>
      </c>
      <c r="R3389" s="201">
        <f t="shared" si="263"/>
        <v>0</v>
      </c>
      <c r="S3389" s="201">
        <f t="shared" si="264"/>
        <v>27042.099999999988</v>
      </c>
      <c r="T3389" s="24" t="s">
        <v>1081</v>
      </c>
      <c r="U3389" s="202"/>
      <c r="V3389" s="69"/>
      <c r="W3389" s="25" t="str">
        <f>IFERROR(VLOOKUP(BCP_Soles[[#This Row],[DESTINATARIO]],CHOOSE({1,2},Clientes_Proveedores[Razon Social],Clientes_Proveedores[Ruc / Dni]),2,0),"")</f>
        <v/>
      </c>
      <c r="X3389" s="25"/>
      <c r="Y3389" s="25"/>
      <c r="Z3389" s="25"/>
      <c r="AA3389" s="101"/>
      <c r="AB3389" s="201" t="str">
        <f>IF(BCP_Soles[[#This Row],[FECHA]]&gt;0,TEXT(BCP_Soles[[#This Row],[FECHA]],"mmmm"),0)</f>
        <v>Agosto</v>
      </c>
    </row>
    <row r="3390" spans="2:28" x14ac:dyDescent="0.3">
      <c r="B3390" s="195">
        <f>IF(BCP_Soles[[#This Row],[TIPO DE R.]]="R",COUNTIFS($D$4:$D3389,"R")+1,"")</f>
        <v>2326</v>
      </c>
      <c r="C3390" s="19" t="str">
        <f t="shared" si="260"/>
        <v>B-BCP - Soles</v>
      </c>
      <c r="D3390" s="3" t="s">
        <v>1074</v>
      </c>
      <c r="E3390" s="196">
        <v>45897</v>
      </c>
      <c r="F3390" s="197"/>
      <c r="G3390" s="197" t="s">
        <v>1087</v>
      </c>
      <c r="H3390" s="6" t="s">
        <v>368</v>
      </c>
      <c r="I3390" s="6"/>
      <c r="J3390" s="6"/>
      <c r="K3390" s="6"/>
      <c r="L3390" s="205" t="s">
        <v>1100</v>
      </c>
      <c r="M3390" s="199">
        <v>3147278</v>
      </c>
      <c r="N3390" s="199" t="str">
        <f t="shared" si="261"/>
        <v>PEN</v>
      </c>
      <c r="O3390" s="13"/>
      <c r="P3390" s="200">
        <v>3331.1</v>
      </c>
      <c r="Q3390" s="201">
        <f t="shared" si="262"/>
        <v>3331.1</v>
      </c>
      <c r="R3390" s="201">
        <f t="shared" si="263"/>
        <v>0</v>
      </c>
      <c r="S3390" s="201">
        <f t="shared" si="264"/>
        <v>30373.199999999986</v>
      </c>
      <c r="T3390" s="24"/>
      <c r="U3390" s="202"/>
      <c r="V3390" s="69"/>
      <c r="W3390" s="25">
        <f>IFERROR(VLOOKUP(BCP_Soles[[#This Row],[DESTINATARIO]],CHOOSE({1,2},Clientes_Proveedores[Razon Social],Clientes_Proveedores[Ruc / Dni]),2,0),"")</f>
        <v>20558226979</v>
      </c>
      <c r="X3390" s="25"/>
      <c r="Y3390" s="25"/>
      <c r="Z3390" s="25"/>
      <c r="AA3390" s="101"/>
      <c r="AB3390" s="201" t="str">
        <f>IF(BCP_Soles[[#This Row],[FECHA]]&gt;0,TEXT(BCP_Soles[[#This Row],[FECHA]],"mmmm"),0)</f>
        <v>Agosto</v>
      </c>
    </row>
    <row r="3391" spans="2:28" ht="24" x14ac:dyDescent="0.3">
      <c r="B3391" s="195" t="str">
        <f>IF(BCP_Soles[[#This Row],[TIPO DE R.]]="R",COUNTIFS($D$4:$D3390,"R")+1,"")</f>
        <v/>
      </c>
      <c r="C3391" s="19" t="str">
        <f t="shared" si="260"/>
        <v>B-BCP - Soles</v>
      </c>
      <c r="D3391" s="3" t="s">
        <v>1101</v>
      </c>
      <c r="E3391" s="196">
        <v>45897</v>
      </c>
      <c r="F3391" s="5" t="s">
        <v>1609</v>
      </c>
      <c r="G3391" s="197"/>
      <c r="H3391" s="6"/>
      <c r="I3391" s="6" t="s">
        <v>63</v>
      </c>
      <c r="J3391" s="6">
        <v>1</v>
      </c>
      <c r="K3391" s="6"/>
      <c r="L3391" s="205" t="s">
        <v>1100</v>
      </c>
      <c r="M3391" s="199">
        <v>3147278</v>
      </c>
      <c r="N3391" s="199" t="str">
        <f t="shared" si="261"/>
        <v>PEN</v>
      </c>
      <c r="O3391" s="13">
        <v>2887.5</v>
      </c>
      <c r="P3391" s="200"/>
      <c r="Q3391" s="201">
        <f t="shared" si="262"/>
        <v>0</v>
      </c>
      <c r="R3391" s="201">
        <f t="shared" si="263"/>
        <v>0</v>
      </c>
      <c r="S3391" s="201">
        <f t="shared" si="264"/>
        <v>30373.199999999986</v>
      </c>
      <c r="T3391" s="24"/>
      <c r="U3391" s="202"/>
      <c r="V3391" s="69"/>
      <c r="W3391" s="25" t="str">
        <f>IFERROR(VLOOKUP(BCP_Soles[[#This Row],[DESTINATARIO]],CHOOSE({1,2},Clientes_Proveedores[Razon Social],Clientes_Proveedores[Ruc / Dni]),2,0),"")</f>
        <v/>
      </c>
      <c r="X3391" s="25"/>
      <c r="Y3391" s="25"/>
      <c r="Z3391" s="25"/>
      <c r="AA3391" s="101"/>
      <c r="AB3391" s="201" t="str">
        <f>IF(BCP_Soles[[#This Row],[FECHA]]&gt;0,TEXT(BCP_Soles[[#This Row],[FECHA]],"mmmm"),0)</f>
        <v>Agosto</v>
      </c>
    </row>
    <row r="3392" spans="2:28" ht="24" x14ac:dyDescent="0.3">
      <c r="B3392" s="195" t="str">
        <f>IF(BCP_Soles[[#This Row],[TIPO DE R.]]="R",COUNTIFS($D$4:$D3391,"R")+1,"")</f>
        <v/>
      </c>
      <c r="C3392" s="19" t="str">
        <f t="shared" si="260"/>
        <v>B-BCP - Soles</v>
      </c>
      <c r="D3392" s="3" t="s">
        <v>1101</v>
      </c>
      <c r="E3392" s="196">
        <v>45897</v>
      </c>
      <c r="F3392" s="5" t="s">
        <v>1609</v>
      </c>
      <c r="G3392" s="197"/>
      <c r="H3392" s="6"/>
      <c r="I3392" s="6" t="s">
        <v>63</v>
      </c>
      <c r="J3392" s="6">
        <v>1</v>
      </c>
      <c r="K3392" s="6"/>
      <c r="L3392" s="205" t="s">
        <v>1100</v>
      </c>
      <c r="M3392" s="199">
        <v>3147278</v>
      </c>
      <c r="N3392" s="199" t="str">
        <f t="shared" si="261"/>
        <v>PEN</v>
      </c>
      <c r="O3392" s="13">
        <v>453.6</v>
      </c>
      <c r="P3392" s="200"/>
      <c r="Q3392" s="201">
        <f t="shared" si="262"/>
        <v>0</v>
      </c>
      <c r="R3392" s="201">
        <f t="shared" si="263"/>
        <v>0</v>
      </c>
      <c r="S3392" s="201">
        <f t="shared" si="264"/>
        <v>30373.199999999986</v>
      </c>
      <c r="T3392" s="24"/>
      <c r="U3392" s="202"/>
      <c r="V3392" s="69"/>
      <c r="W3392" s="25" t="str">
        <f>IFERROR(VLOOKUP(BCP_Soles[[#This Row],[DESTINATARIO]],CHOOSE({1,2},Clientes_Proveedores[Razon Social],Clientes_Proveedores[Ruc / Dni]),2,0),"")</f>
        <v/>
      </c>
      <c r="X3392" s="25"/>
      <c r="Y3392" s="25"/>
      <c r="Z3392" s="25"/>
      <c r="AA3392" s="101"/>
      <c r="AB3392" s="201" t="str">
        <f>IF(BCP_Soles[[#This Row],[FECHA]]&gt;0,TEXT(BCP_Soles[[#This Row],[FECHA]],"mmmm"),0)</f>
        <v>Agosto</v>
      </c>
    </row>
    <row r="3393" spans="2:28" ht="24" x14ac:dyDescent="0.3">
      <c r="B3393" s="2">
        <f>IF(BCP_Soles[[#This Row],[TIPO DE R.]]="R",COUNTIFS($D$4:$D3392,"R")+1,"")</f>
        <v>2327</v>
      </c>
      <c r="C3393" s="19" t="str">
        <f t="shared" si="260"/>
        <v>B-BCP - Soles</v>
      </c>
      <c r="D3393" s="3" t="s">
        <v>1074</v>
      </c>
      <c r="E3393" s="14">
        <v>45897</v>
      </c>
      <c r="F3393" s="5" t="s">
        <v>1082</v>
      </c>
      <c r="G3393" s="5" t="s">
        <v>1079</v>
      </c>
      <c r="H3393" s="6" t="s">
        <v>836</v>
      </c>
      <c r="I3393" s="6"/>
      <c r="J3393" s="6"/>
      <c r="K3393" s="6"/>
      <c r="L3393" s="7" t="s">
        <v>7968</v>
      </c>
      <c r="M3393" s="8">
        <v>1159393</v>
      </c>
      <c r="N3393" s="8" t="str">
        <f t="shared" si="261"/>
        <v>PEN</v>
      </c>
      <c r="O3393" s="13"/>
      <c r="P3393" s="13">
        <v>1300</v>
      </c>
      <c r="Q3393" s="3">
        <f t="shared" si="262"/>
        <v>0</v>
      </c>
      <c r="R3393" s="3">
        <f t="shared" si="263"/>
        <v>1300</v>
      </c>
      <c r="S3393" s="201">
        <f t="shared" si="264"/>
        <v>29073.199999999986</v>
      </c>
      <c r="T3393" s="24"/>
      <c r="U3393" s="24"/>
      <c r="V3393" s="69"/>
      <c r="W3393" s="25">
        <f>IFERROR(VLOOKUP(BCP_Soles[[#This Row],[DESTINATARIO]],CHOOSE({1,2},Clientes_Proveedores[Razon Social],Clientes_Proveedores[Ruc / Dni]),2,0),"")</f>
        <v>72144092</v>
      </c>
      <c r="X3393" s="25"/>
      <c r="Y3393" s="25"/>
      <c r="Z3393" s="25"/>
      <c r="AA3393" s="101"/>
      <c r="AB3393" s="3" t="str">
        <f>IF(BCP_Soles[[#This Row],[FECHA]]&gt;0,TEXT(BCP_Soles[[#This Row],[FECHA]],"mmmm"),0)</f>
        <v>Agosto</v>
      </c>
    </row>
    <row r="3394" spans="2:28" ht="36" x14ac:dyDescent="0.3">
      <c r="B3394" s="2">
        <f>IF(BCP_Soles[[#This Row],[TIPO DE R.]]="R",COUNTIFS($D$4:$D3393,"R")+1,"")</f>
        <v>2328</v>
      </c>
      <c r="C3394" s="19" t="str">
        <f t="shared" si="260"/>
        <v>B-BCP - Soles</v>
      </c>
      <c r="D3394" s="3" t="s">
        <v>1074</v>
      </c>
      <c r="E3394" s="14">
        <v>45897</v>
      </c>
      <c r="F3394" s="5" t="s">
        <v>1082</v>
      </c>
      <c r="G3394" s="5" t="s">
        <v>1079</v>
      </c>
      <c r="H3394" s="6" t="s">
        <v>889</v>
      </c>
      <c r="I3394" s="6"/>
      <c r="J3394" s="6"/>
      <c r="K3394" s="6"/>
      <c r="L3394" s="7" t="s">
        <v>7969</v>
      </c>
      <c r="M3394" s="8">
        <v>1124412</v>
      </c>
      <c r="N3394" s="8" t="str">
        <f t="shared" si="261"/>
        <v>PEN</v>
      </c>
      <c r="O3394" s="13"/>
      <c r="P3394" s="13">
        <v>1500</v>
      </c>
      <c r="Q3394" s="3">
        <f t="shared" si="262"/>
        <v>0</v>
      </c>
      <c r="R3394" s="3">
        <f t="shared" si="263"/>
        <v>1500</v>
      </c>
      <c r="S3394" s="201">
        <f t="shared" si="264"/>
        <v>27573.199999999986</v>
      </c>
      <c r="T3394" s="24"/>
      <c r="U3394" s="24"/>
      <c r="V3394" s="69"/>
      <c r="W3394" s="25">
        <f>IFERROR(VLOOKUP(BCP_Soles[[#This Row],[DESTINATARIO]],CHOOSE({1,2},Clientes_Proveedores[Razon Social],Clientes_Proveedores[Ruc / Dni]),2,0),"")</f>
        <v>71311214</v>
      </c>
      <c r="X3394" s="25"/>
      <c r="Y3394" s="25"/>
      <c r="Z3394" s="25"/>
      <c r="AA3394" s="101"/>
      <c r="AB3394" s="3" t="str">
        <f>IF(BCP_Soles[[#This Row],[FECHA]]&gt;0,TEXT(BCP_Soles[[#This Row],[FECHA]],"mmmm"),0)</f>
        <v>Agosto</v>
      </c>
    </row>
    <row r="3395" spans="2:28" ht="24" x14ac:dyDescent="0.3">
      <c r="B3395" s="2">
        <f>IF(BCP_Soles[[#This Row],[TIPO DE R.]]="R",COUNTIFS($D$4:$D3394,"R")+1,"")</f>
        <v>2329</v>
      </c>
      <c r="C3395" s="19" t="str">
        <f t="shared" si="260"/>
        <v>B-BCP - Soles</v>
      </c>
      <c r="D3395" s="3" t="s">
        <v>1074</v>
      </c>
      <c r="E3395" s="14">
        <v>45897</v>
      </c>
      <c r="F3395" s="5" t="s">
        <v>1082</v>
      </c>
      <c r="G3395" s="5" t="s">
        <v>1079</v>
      </c>
      <c r="H3395" s="6" t="s">
        <v>650</v>
      </c>
      <c r="I3395" s="6" t="s">
        <v>14</v>
      </c>
      <c r="J3395" s="6" t="s">
        <v>1395</v>
      </c>
      <c r="K3395" s="6">
        <v>309951</v>
      </c>
      <c r="L3395" s="7" t="s">
        <v>7971</v>
      </c>
      <c r="M3395" s="8">
        <v>126858</v>
      </c>
      <c r="N3395" s="8" t="str">
        <f t="shared" si="261"/>
        <v>PEN</v>
      </c>
      <c r="O3395" s="13"/>
      <c r="P3395" s="13">
        <v>12.57</v>
      </c>
      <c r="Q3395" s="3">
        <f t="shared" si="262"/>
        <v>0</v>
      </c>
      <c r="R3395" s="3">
        <f t="shared" si="263"/>
        <v>12.57</v>
      </c>
      <c r="S3395" s="201">
        <f t="shared" si="264"/>
        <v>27560.629999999986</v>
      </c>
      <c r="T3395" s="24" t="s">
        <v>1081</v>
      </c>
      <c r="U3395" s="24" t="s">
        <v>1081</v>
      </c>
      <c r="V3395" s="70" t="s">
        <v>8023</v>
      </c>
      <c r="W3395" s="25">
        <f>IFERROR(VLOOKUP(BCP_Soles[[#This Row],[DESTINATARIO]],CHOOSE({1,2},Clientes_Proveedores[Razon Social],Clientes_Proveedores[Ruc / Dni]),2,0),"")</f>
        <v>20467534026</v>
      </c>
      <c r="X3395" s="25"/>
      <c r="Y3395" s="25"/>
      <c r="Z3395" s="25"/>
      <c r="AA3395" s="101"/>
      <c r="AB3395" s="3" t="str">
        <f>IF(BCP_Soles[[#This Row],[FECHA]]&gt;0,TEXT(BCP_Soles[[#This Row],[FECHA]],"mmmm"),0)</f>
        <v>Agosto</v>
      </c>
    </row>
    <row r="3396" spans="2:28" ht="24" x14ac:dyDescent="0.3">
      <c r="B3396" s="2">
        <f>IF(BCP_Soles[[#This Row],[TIPO DE R.]]="R",COUNTIFS($D$4:$D3395,"R")+1,"")</f>
        <v>2330</v>
      </c>
      <c r="C3396" s="19" t="str">
        <f t="shared" si="260"/>
        <v>B-BCP - Soles</v>
      </c>
      <c r="D3396" s="3" t="s">
        <v>1074</v>
      </c>
      <c r="E3396" s="14">
        <v>45897</v>
      </c>
      <c r="F3396" s="5" t="s">
        <v>1082</v>
      </c>
      <c r="G3396" s="5" t="s">
        <v>1079</v>
      </c>
      <c r="H3396" s="6" t="s">
        <v>650</v>
      </c>
      <c r="I3396" s="6" t="s">
        <v>14</v>
      </c>
      <c r="J3396" s="6" t="s">
        <v>1395</v>
      </c>
      <c r="K3396" s="6">
        <v>309950</v>
      </c>
      <c r="L3396" s="7" t="s">
        <v>7972</v>
      </c>
      <c r="M3396" s="8">
        <v>127358</v>
      </c>
      <c r="N3396" s="8" t="str">
        <f t="shared" si="261"/>
        <v>PEN</v>
      </c>
      <c r="O3396" s="13"/>
      <c r="P3396" s="13">
        <v>623.04</v>
      </c>
      <c r="Q3396" s="3">
        <f t="shared" si="262"/>
        <v>0</v>
      </c>
      <c r="R3396" s="3">
        <f t="shared" si="263"/>
        <v>623.04</v>
      </c>
      <c r="S3396" s="201">
        <f t="shared" si="264"/>
        <v>26937.589999999986</v>
      </c>
      <c r="T3396" s="24" t="s">
        <v>1081</v>
      </c>
      <c r="U3396" s="24" t="s">
        <v>1081</v>
      </c>
      <c r="V3396" s="70" t="s">
        <v>8022</v>
      </c>
      <c r="W3396" s="25">
        <f>IFERROR(VLOOKUP(BCP_Soles[[#This Row],[DESTINATARIO]],CHOOSE({1,2},Clientes_Proveedores[Razon Social],Clientes_Proveedores[Ruc / Dni]),2,0),"")</f>
        <v>20467534026</v>
      </c>
      <c r="X3396" s="25"/>
      <c r="Y3396" s="25"/>
      <c r="Z3396" s="25"/>
      <c r="AA3396" s="101"/>
      <c r="AB3396" s="3" t="str">
        <f>IF(BCP_Soles[[#This Row],[FECHA]]&gt;0,TEXT(BCP_Soles[[#This Row],[FECHA]],"mmmm"),0)</f>
        <v>Agosto</v>
      </c>
    </row>
    <row r="3397" spans="2:28" ht="24" x14ac:dyDescent="0.3">
      <c r="B3397" s="2">
        <f>IF(BCP_Soles[[#This Row],[TIPO DE R.]]="R",COUNTIFS($D$4:$D3396,"R")+1,"")</f>
        <v>2331</v>
      </c>
      <c r="C3397" s="19" t="str">
        <f t="shared" ref="C3397:C3438" si="265">"B-BCP - Soles"</f>
        <v>B-BCP - Soles</v>
      </c>
      <c r="D3397" s="3" t="s">
        <v>1074</v>
      </c>
      <c r="E3397" s="14">
        <v>45897</v>
      </c>
      <c r="F3397" s="5" t="s">
        <v>1082</v>
      </c>
      <c r="G3397" s="5" t="s">
        <v>1079</v>
      </c>
      <c r="H3397" s="6" t="s">
        <v>647</v>
      </c>
      <c r="I3397" s="6" t="s">
        <v>52</v>
      </c>
      <c r="J3397" s="6" t="s">
        <v>2212</v>
      </c>
      <c r="K3397" s="6">
        <v>73504685</v>
      </c>
      <c r="L3397" s="7" t="s">
        <v>7973</v>
      </c>
      <c r="M3397" s="8">
        <v>4124892</v>
      </c>
      <c r="N3397" s="8" t="str">
        <f t="shared" ref="N3397:N3438" si="266">"PEN"</f>
        <v>PEN</v>
      </c>
      <c r="O3397" s="13"/>
      <c r="P3397" s="13">
        <v>142.9</v>
      </c>
      <c r="Q3397" s="3">
        <f t="shared" ref="Q3397:Q3438" si="267">+IF(OR($G3397="SALDO",$G3397="INGRESO"),$P3397,0)</f>
        <v>0</v>
      </c>
      <c r="R3397" s="3">
        <f t="shared" ref="R3397:R3438" si="268">+IF($G3397="EGRESO",$P3397,0)</f>
        <v>142.9</v>
      </c>
      <c r="S3397" s="201">
        <f t="shared" ref="S3397:S3429" si="269">IFERROR(IF(G3397="SALDO",Q3397,S3396+Q3397-R3397),0)</f>
        <v>26794.689999999984</v>
      </c>
      <c r="T3397" s="24" t="s">
        <v>1081</v>
      </c>
      <c r="U3397" s="24" t="s">
        <v>1081</v>
      </c>
      <c r="V3397" s="70" t="s">
        <v>8021</v>
      </c>
      <c r="W3397" s="25">
        <f>IFERROR(VLOOKUP(BCP_Soles[[#This Row],[DESTINATARIO]],CHOOSE({1,2},Clientes_Proveedores[Razon Social],Clientes_Proveedores[Ruc / Dni]),2,0),"")</f>
        <v>20100017491</v>
      </c>
      <c r="X3397" s="25"/>
      <c r="Y3397" s="25"/>
      <c r="Z3397" s="25"/>
      <c r="AA3397" s="101"/>
      <c r="AB3397" s="3" t="str">
        <f>IF(BCP_Soles[[#This Row],[FECHA]]&gt;0,TEXT(BCP_Soles[[#This Row],[FECHA]],"mmmm"),0)</f>
        <v>Agosto</v>
      </c>
    </row>
    <row r="3398" spans="2:28" x14ac:dyDescent="0.3">
      <c r="B3398" s="2">
        <f>IF(BCP_Soles[[#This Row],[TIPO DE R.]]="R",COUNTIFS($D$4:$D3397,"R")+1,"")</f>
        <v>2332</v>
      </c>
      <c r="C3398" s="19" t="str">
        <f t="shared" si="265"/>
        <v>B-BCP - Soles</v>
      </c>
      <c r="D3398" s="3" t="s">
        <v>1074</v>
      </c>
      <c r="E3398" s="14">
        <v>45897</v>
      </c>
      <c r="F3398" s="5" t="s">
        <v>1082</v>
      </c>
      <c r="G3398" s="5" t="s">
        <v>1079</v>
      </c>
      <c r="H3398" s="6" t="s">
        <v>590</v>
      </c>
      <c r="I3398" s="6"/>
      <c r="J3398" s="6"/>
      <c r="K3398" s="6"/>
      <c r="L3398" s="7" t="s">
        <v>1585</v>
      </c>
      <c r="M3398" s="8">
        <v>126373</v>
      </c>
      <c r="N3398" s="8" t="str">
        <f t="shared" si="266"/>
        <v>PEN</v>
      </c>
      <c r="O3398" s="13"/>
      <c r="P3398" s="13">
        <v>120.36</v>
      </c>
      <c r="Q3398" s="3">
        <f t="shared" si="267"/>
        <v>0</v>
      </c>
      <c r="R3398" s="3">
        <f t="shared" si="268"/>
        <v>120.36</v>
      </c>
      <c r="S3398" s="201">
        <f t="shared" si="269"/>
        <v>26674.329999999984</v>
      </c>
      <c r="T3398" s="24"/>
      <c r="U3398" s="24"/>
      <c r="V3398" s="70" t="s">
        <v>8020</v>
      </c>
      <c r="W3398" s="25">
        <f>IFERROR(VLOOKUP(BCP_Soles[[#This Row],[DESTINATARIO]],CHOOSE({1,2},Clientes_Proveedores[Razon Social],Clientes_Proveedores[Ruc / Dni]),2,0),"")</f>
        <v>20265681299</v>
      </c>
      <c r="X3398" s="25"/>
      <c r="Y3398" s="25"/>
      <c r="Z3398" s="25"/>
      <c r="AA3398" s="101"/>
      <c r="AB3398" s="3" t="str">
        <f>IF(BCP_Soles[[#This Row],[FECHA]]&gt;0,TEXT(BCP_Soles[[#This Row],[FECHA]],"mmmm"),0)</f>
        <v>Agosto</v>
      </c>
    </row>
    <row r="3399" spans="2:28" x14ac:dyDescent="0.3">
      <c r="B3399" s="2">
        <f>IF(BCP_Soles[[#This Row],[TIPO DE R.]]="R",COUNTIFS($D$4:$D3398,"R")+1,"")</f>
        <v>2333</v>
      </c>
      <c r="C3399" s="19" t="str">
        <f t="shared" si="265"/>
        <v>B-BCP - Soles</v>
      </c>
      <c r="D3399" s="3" t="s">
        <v>1074</v>
      </c>
      <c r="E3399" s="14">
        <v>45897</v>
      </c>
      <c r="F3399" s="5" t="s">
        <v>1082</v>
      </c>
      <c r="G3399" s="5" t="s">
        <v>1079</v>
      </c>
      <c r="H3399" s="6" t="s">
        <v>139</v>
      </c>
      <c r="I3399" s="6" t="s">
        <v>14</v>
      </c>
      <c r="J3399" s="6" t="s">
        <v>1953</v>
      </c>
      <c r="K3399" s="6">
        <v>6798</v>
      </c>
      <c r="L3399" s="7" t="s">
        <v>1954</v>
      </c>
      <c r="M3399" s="8">
        <v>237397</v>
      </c>
      <c r="N3399" s="8" t="str">
        <f t="shared" si="266"/>
        <v>PEN</v>
      </c>
      <c r="O3399" s="13"/>
      <c r="P3399" s="13">
        <v>154.6</v>
      </c>
      <c r="Q3399" s="3">
        <f t="shared" si="267"/>
        <v>0</v>
      </c>
      <c r="R3399" s="3">
        <f>+IF($G3399="EGRESO",$P3399,0)</f>
        <v>154.6</v>
      </c>
      <c r="S3399" s="201">
        <f t="shared" si="269"/>
        <v>26519.729999999985</v>
      </c>
      <c r="T3399" s="24" t="s">
        <v>1081</v>
      </c>
      <c r="U3399" s="24" t="s">
        <v>1081</v>
      </c>
      <c r="V3399" s="70" t="s">
        <v>8019</v>
      </c>
      <c r="W3399" s="25">
        <f>IFERROR(VLOOKUP(BCP_Soles[[#This Row],[DESTINATARIO]],CHOOSE({1,2},Clientes_Proveedores[Razon Social],Clientes_Proveedores[Ruc / Dni]),2,0),"")</f>
        <v>20100055237</v>
      </c>
      <c r="X3399" s="25"/>
      <c r="Y3399" s="25"/>
      <c r="Z3399" s="25"/>
      <c r="AA3399" s="101"/>
      <c r="AB3399" s="3" t="str">
        <f>IF(BCP_Soles[[#This Row],[FECHA]]&gt;0,TEXT(BCP_Soles[[#This Row],[FECHA]],"mmmm"),0)</f>
        <v>Agosto</v>
      </c>
    </row>
    <row r="3400" spans="2:28" x14ac:dyDescent="0.3">
      <c r="B3400" s="2">
        <f>IF(BCP_Soles[[#This Row],[TIPO DE R.]]="R",COUNTIFS($D$4:$D3399,"R")+1,"")</f>
        <v>2334</v>
      </c>
      <c r="C3400" s="19" t="str">
        <f t="shared" si="265"/>
        <v>B-BCP - Soles</v>
      </c>
      <c r="D3400" s="3" t="s">
        <v>1074</v>
      </c>
      <c r="E3400" s="14">
        <v>45897</v>
      </c>
      <c r="F3400" s="5" t="s">
        <v>1082</v>
      </c>
      <c r="G3400" s="5" t="s">
        <v>1079</v>
      </c>
      <c r="H3400" s="6" t="s">
        <v>139</v>
      </c>
      <c r="I3400" s="6" t="s">
        <v>14</v>
      </c>
      <c r="J3400" s="6" t="s">
        <v>1953</v>
      </c>
      <c r="K3400" s="6">
        <v>6802</v>
      </c>
      <c r="L3400" s="7" t="s">
        <v>1954</v>
      </c>
      <c r="M3400" s="8">
        <v>237396</v>
      </c>
      <c r="N3400" s="8" t="str">
        <f t="shared" si="266"/>
        <v>PEN</v>
      </c>
      <c r="O3400" s="13"/>
      <c r="P3400" s="13">
        <v>121.37</v>
      </c>
      <c r="Q3400" s="3">
        <f t="shared" si="267"/>
        <v>0</v>
      </c>
      <c r="R3400" s="3">
        <f t="shared" si="268"/>
        <v>121.37</v>
      </c>
      <c r="S3400" s="201">
        <f t="shared" si="269"/>
        <v>26398.359999999986</v>
      </c>
      <c r="T3400" s="24" t="s">
        <v>1081</v>
      </c>
      <c r="U3400" s="24" t="s">
        <v>1081</v>
      </c>
      <c r="V3400" s="70" t="s">
        <v>8018</v>
      </c>
      <c r="W3400" s="25">
        <f>IFERROR(VLOOKUP(BCP_Soles[[#This Row],[DESTINATARIO]],CHOOSE({1,2},Clientes_Proveedores[Razon Social],Clientes_Proveedores[Ruc / Dni]),2,0),"")</f>
        <v>20100055237</v>
      </c>
      <c r="X3400" s="25"/>
      <c r="Y3400" s="25"/>
      <c r="Z3400" s="25"/>
      <c r="AA3400" s="101"/>
      <c r="AB3400" s="3" t="str">
        <f>IF(BCP_Soles[[#This Row],[FECHA]]&gt;0,TEXT(BCP_Soles[[#This Row],[FECHA]],"mmmm"),0)</f>
        <v>Agosto</v>
      </c>
    </row>
    <row r="3401" spans="2:28" x14ac:dyDescent="0.3">
      <c r="B3401" s="2">
        <f>IF(BCP_Soles[[#This Row],[TIPO DE R.]]="R",COUNTIFS($D$4:$D3400,"R")+1,"")</f>
        <v>2335</v>
      </c>
      <c r="C3401" s="19" t="str">
        <f t="shared" si="265"/>
        <v>B-BCP - Soles</v>
      </c>
      <c r="D3401" s="3" t="s">
        <v>1074</v>
      </c>
      <c r="E3401" s="14">
        <v>45897</v>
      </c>
      <c r="F3401" s="5" t="s">
        <v>1082</v>
      </c>
      <c r="G3401" s="5" t="s">
        <v>1079</v>
      </c>
      <c r="H3401" s="6" t="s">
        <v>139</v>
      </c>
      <c r="I3401" s="6" t="s">
        <v>14</v>
      </c>
      <c r="J3401" s="6" t="s">
        <v>1953</v>
      </c>
      <c r="K3401" s="6">
        <v>6800</v>
      </c>
      <c r="L3401" s="7" t="s">
        <v>1954</v>
      </c>
      <c r="M3401" s="8">
        <v>237886</v>
      </c>
      <c r="N3401" s="8" t="str">
        <f t="shared" si="266"/>
        <v>PEN</v>
      </c>
      <c r="O3401" s="13"/>
      <c r="P3401" s="13">
        <v>388.66</v>
      </c>
      <c r="Q3401" s="3">
        <f t="shared" si="267"/>
        <v>0</v>
      </c>
      <c r="R3401" s="3">
        <f t="shared" si="268"/>
        <v>388.66</v>
      </c>
      <c r="S3401" s="201">
        <f t="shared" si="269"/>
        <v>26009.699999999986</v>
      </c>
      <c r="T3401" s="24" t="s">
        <v>1081</v>
      </c>
      <c r="U3401" s="24" t="s">
        <v>1081</v>
      </c>
      <c r="V3401" s="70" t="s">
        <v>8017</v>
      </c>
      <c r="W3401" s="25">
        <f>IFERROR(VLOOKUP(BCP_Soles[[#This Row],[DESTINATARIO]],CHOOSE({1,2},Clientes_Proveedores[Razon Social],Clientes_Proveedores[Ruc / Dni]),2,0),"")</f>
        <v>20100055237</v>
      </c>
      <c r="X3401" s="25"/>
      <c r="Y3401" s="25"/>
      <c r="Z3401" s="25"/>
      <c r="AA3401" s="101"/>
      <c r="AB3401" s="3" t="str">
        <f>IF(BCP_Soles[[#This Row],[FECHA]]&gt;0,TEXT(BCP_Soles[[#This Row],[FECHA]],"mmmm"),0)</f>
        <v>Agosto</v>
      </c>
    </row>
    <row r="3402" spans="2:28" x14ac:dyDescent="0.3">
      <c r="B3402" s="2">
        <f>IF(BCP_Soles[[#This Row],[TIPO DE R.]]="R",COUNTIFS($D$4:$D3401,"R")+1,"")</f>
        <v>2336</v>
      </c>
      <c r="C3402" s="19" t="str">
        <f t="shared" si="265"/>
        <v>B-BCP - Soles</v>
      </c>
      <c r="D3402" s="3" t="s">
        <v>1074</v>
      </c>
      <c r="E3402" s="14">
        <v>45897</v>
      </c>
      <c r="F3402" s="5" t="s">
        <v>1082</v>
      </c>
      <c r="G3402" s="5" t="s">
        <v>1079</v>
      </c>
      <c r="H3402" s="6" t="s">
        <v>139</v>
      </c>
      <c r="I3402" s="6" t="s">
        <v>14</v>
      </c>
      <c r="J3402" s="6" t="s">
        <v>1953</v>
      </c>
      <c r="K3402" s="6">
        <v>6801</v>
      </c>
      <c r="L3402" s="7" t="s">
        <v>1954</v>
      </c>
      <c r="M3402" s="8">
        <v>236916</v>
      </c>
      <c r="N3402" s="8" t="str">
        <f t="shared" si="266"/>
        <v>PEN</v>
      </c>
      <c r="O3402" s="13"/>
      <c r="P3402" s="13">
        <v>258.44</v>
      </c>
      <c r="Q3402" s="3">
        <f t="shared" si="267"/>
        <v>0</v>
      </c>
      <c r="R3402" s="3">
        <f t="shared" si="268"/>
        <v>258.44</v>
      </c>
      <c r="S3402" s="201">
        <f t="shared" si="269"/>
        <v>25751.259999999987</v>
      </c>
      <c r="T3402" s="24" t="s">
        <v>1081</v>
      </c>
      <c r="U3402" s="24" t="s">
        <v>1081</v>
      </c>
      <c r="V3402" s="70" t="s">
        <v>8016</v>
      </c>
      <c r="W3402" s="25">
        <f>IFERROR(VLOOKUP(BCP_Soles[[#This Row],[DESTINATARIO]],CHOOSE({1,2},Clientes_Proveedores[Razon Social],Clientes_Proveedores[Ruc / Dni]),2,0),"")</f>
        <v>20100055237</v>
      </c>
      <c r="X3402" s="25"/>
      <c r="Y3402" s="25"/>
      <c r="Z3402" s="25"/>
      <c r="AA3402" s="101"/>
      <c r="AB3402" s="3" t="str">
        <f>IF(BCP_Soles[[#This Row],[FECHA]]&gt;0,TEXT(BCP_Soles[[#This Row],[FECHA]],"mmmm"),0)</f>
        <v>Agosto</v>
      </c>
    </row>
    <row r="3403" spans="2:28" x14ac:dyDescent="0.3">
      <c r="B3403" s="2">
        <f>IF(BCP_Soles[[#This Row],[TIPO DE R.]]="R",COUNTIFS($D$4:$D3402,"R")+1,"")</f>
        <v>2337</v>
      </c>
      <c r="C3403" s="19" t="str">
        <f t="shared" si="265"/>
        <v>B-BCP - Soles</v>
      </c>
      <c r="D3403" s="3" t="s">
        <v>1074</v>
      </c>
      <c r="E3403" s="14">
        <v>45897</v>
      </c>
      <c r="F3403" s="5" t="s">
        <v>1082</v>
      </c>
      <c r="G3403" s="5" t="s">
        <v>1079</v>
      </c>
      <c r="H3403" s="6" t="s">
        <v>139</v>
      </c>
      <c r="I3403" s="6" t="s">
        <v>14</v>
      </c>
      <c r="J3403" s="6" t="s">
        <v>1953</v>
      </c>
      <c r="K3403" s="6">
        <v>6799</v>
      </c>
      <c r="L3403" s="7" t="s">
        <v>1954</v>
      </c>
      <c r="M3403" s="8">
        <v>237885</v>
      </c>
      <c r="N3403" s="8" t="str">
        <f t="shared" si="266"/>
        <v>PEN</v>
      </c>
      <c r="O3403" s="13"/>
      <c r="P3403" s="13">
        <v>5.73</v>
      </c>
      <c r="Q3403" s="3">
        <f t="shared" si="267"/>
        <v>0</v>
      </c>
      <c r="R3403" s="3">
        <f t="shared" si="268"/>
        <v>5.73</v>
      </c>
      <c r="S3403" s="201">
        <f t="shared" si="269"/>
        <v>25745.529999999988</v>
      </c>
      <c r="T3403" s="24" t="s">
        <v>1081</v>
      </c>
      <c r="U3403" s="24" t="s">
        <v>1081</v>
      </c>
      <c r="V3403" s="70" t="s">
        <v>8015</v>
      </c>
      <c r="W3403" s="25">
        <f>IFERROR(VLOOKUP(BCP_Soles[[#This Row],[DESTINATARIO]],CHOOSE({1,2},Clientes_Proveedores[Razon Social],Clientes_Proveedores[Ruc / Dni]),2,0),"")</f>
        <v>20100055237</v>
      </c>
      <c r="X3403" s="25"/>
      <c r="Y3403" s="25"/>
      <c r="Z3403" s="25"/>
      <c r="AA3403" s="101"/>
      <c r="AB3403" s="3" t="str">
        <f>IF(BCP_Soles[[#This Row],[FECHA]]&gt;0,TEXT(BCP_Soles[[#This Row],[FECHA]],"mmmm"),0)</f>
        <v>Agosto</v>
      </c>
    </row>
    <row r="3404" spans="2:28" x14ac:dyDescent="0.3">
      <c r="B3404" s="2">
        <f>IF(BCP_Soles[[#This Row],[TIPO DE R.]]="R",COUNTIFS($D$4:$D3403,"R")+1,"")</f>
        <v>2338</v>
      </c>
      <c r="C3404" s="19" t="str">
        <f t="shared" si="265"/>
        <v>B-BCP - Soles</v>
      </c>
      <c r="D3404" s="3" t="s">
        <v>1074</v>
      </c>
      <c r="E3404" s="14">
        <v>45897</v>
      </c>
      <c r="F3404" s="5" t="s">
        <v>1082</v>
      </c>
      <c r="G3404" s="5" t="s">
        <v>1079</v>
      </c>
      <c r="H3404" s="6" t="s">
        <v>139</v>
      </c>
      <c r="I3404" s="6" t="s">
        <v>14</v>
      </c>
      <c r="J3404" s="6" t="s">
        <v>1953</v>
      </c>
      <c r="K3404" s="6">
        <v>6803</v>
      </c>
      <c r="L3404" s="7" t="s">
        <v>1954</v>
      </c>
      <c r="M3404" s="8">
        <v>238857</v>
      </c>
      <c r="N3404" s="8" t="str">
        <f t="shared" si="266"/>
        <v>PEN</v>
      </c>
      <c r="O3404" s="13"/>
      <c r="P3404" s="13">
        <v>37.840000000000003</v>
      </c>
      <c r="Q3404" s="3">
        <f t="shared" si="267"/>
        <v>0</v>
      </c>
      <c r="R3404" s="3">
        <f t="shared" si="268"/>
        <v>37.840000000000003</v>
      </c>
      <c r="S3404" s="201">
        <f t="shared" si="269"/>
        <v>25707.689999999988</v>
      </c>
      <c r="T3404" s="24" t="s">
        <v>1081</v>
      </c>
      <c r="U3404" s="24" t="s">
        <v>1081</v>
      </c>
      <c r="V3404" s="70" t="s">
        <v>8014</v>
      </c>
      <c r="W3404" s="25">
        <f>IFERROR(VLOOKUP(BCP_Soles[[#This Row],[DESTINATARIO]],CHOOSE({1,2},Clientes_Proveedores[Razon Social],Clientes_Proveedores[Ruc / Dni]),2,0),"")</f>
        <v>20100055237</v>
      </c>
      <c r="X3404" s="25"/>
      <c r="Y3404" s="25"/>
      <c r="Z3404" s="25"/>
      <c r="AA3404" s="101"/>
      <c r="AB3404" s="3" t="str">
        <f>IF(BCP_Soles[[#This Row],[FECHA]]&gt;0,TEXT(BCP_Soles[[#This Row],[FECHA]],"mmmm"),0)</f>
        <v>Agosto</v>
      </c>
    </row>
    <row r="3405" spans="2:28" x14ac:dyDescent="0.3">
      <c r="B3405" s="2">
        <f>IF(BCP_Soles[[#This Row],[TIPO DE R.]]="R",COUNTIFS($D$4:$D3404,"R")+1,"")</f>
        <v>2339</v>
      </c>
      <c r="C3405" s="19" t="str">
        <f t="shared" si="265"/>
        <v>B-BCP - Soles</v>
      </c>
      <c r="D3405" s="3" t="s">
        <v>1074</v>
      </c>
      <c r="E3405" s="14">
        <v>45897</v>
      </c>
      <c r="F3405" s="5" t="s">
        <v>1082</v>
      </c>
      <c r="G3405" s="5" t="s">
        <v>1079</v>
      </c>
      <c r="H3405" s="6" t="s">
        <v>139</v>
      </c>
      <c r="I3405" s="6" t="s">
        <v>14</v>
      </c>
      <c r="J3405" s="6" t="s">
        <v>1953</v>
      </c>
      <c r="K3405" s="6">
        <v>6804</v>
      </c>
      <c r="L3405" s="7" t="s">
        <v>1954</v>
      </c>
      <c r="M3405" s="8">
        <v>237395</v>
      </c>
      <c r="N3405" s="8" t="str">
        <f t="shared" si="266"/>
        <v>PEN</v>
      </c>
      <c r="O3405" s="13"/>
      <c r="P3405" s="13">
        <v>694.56</v>
      </c>
      <c r="Q3405" s="3">
        <f t="shared" si="267"/>
        <v>0</v>
      </c>
      <c r="R3405" s="3">
        <f t="shared" si="268"/>
        <v>694.56</v>
      </c>
      <c r="S3405" s="201">
        <f t="shared" si="269"/>
        <v>25013.129999999986</v>
      </c>
      <c r="T3405" s="24" t="s">
        <v>1081</v>
      </c>
      <c r="U3405" s="24" t="s">
        <v>1081</v>
      </c>
      <c r="V3405" s="70" t="s">
        <v>8012</v>
      </c>
      <c r="W3405" s="25">
        <f>IFERROR(VLOOKUP(BCP_Soles[[#This Row],[DESTINATARIO]],CHOOSE({1,2},Clientes_Proveedores[Razon Social],Clientes_Proveedores[Ruc / Dni]),2,0),"")</f>
        <v>20100055237</v>
      </c>
      <c r="X3405" s="25"/>
      <c r="Y3405" s="25"/>
      <c r="Z3405" s="25"/>
      <c r="AA3405" s="101"/>
      <c r="AB3405" s="3" t="str">
        <f>IF(BCP_Soles[[#This Row],[FECHA]]&gt;0,TEXT(BCP_Soles[[#This Row],[FECHA]],"mmmm"),0)</f>
        <v>Agosto</v>
      </c>
    </row>
    <row r="3406" spans="2:28" x14ac:dyDescent="0.3">
      <c r="B3406" s="2">
        <f>IF(BCP_Soles[[#This Row],[TIPO DE R.]]="R",COUNTIFS($D$4:$D3405,"R")+1,"")</f>
        <v>2340</v>
      </c>
      <c r="C3406" s="19" t="str">
        <f t="shared" si="265"/>
        <v>B-BCP - Soles</v>
      </c>
      <c r="D3406" s="3" t="s">
        <v>1074</v>
      </c>
      <c r="E3406" s="14">
        <v>45897</v>
      </c>
      <c r="F3406" s="5" t="s">
        <v>1082</v>
      </c>
      <c r="G3406" s="5" t="s">
        <v>1079</v>
      </c>
      <c r="H3406" s="6" t="s">
        <v>139</v>
      </c>
      <c r="I3406" s="6" t="s">
        <v>14</v>
      </c>
      <c r="J3406" s="6" t="s">
        <v>1953</v>
      </c>
      <c r="K3406" s="6">
        <v>6811</v>
      </c>
      <c r="L3406" s="7" t="s">
        <v>1954</v>
      </c>
      <c r="M3406" s="8">
        <v>236427</v>
      </c>
      <c r="N3406" s="8" t="str">
        <f t="shared" si="266"/>
        <v>PEN</v>
      </c>
      <c r="O3406" s="13"/>
      <c r="P3406" s="13">
        <v>53.72</v>
      </c>
      <c r="Q3406" s="3">
        <f t="shared" si="267"/>
        <v>0</v>
      </c>
      <c r="R3406" s="3">
        <f t="shared" si="268"/>
        <v>53.72</v>
      </c>
      <c r="S3406" s="201">
        <f t="shared" si="269"/>
        <v>24959.409999999985</v>
      </c>
      <c r="T3406" s="24" t="s">
        <v>1081</v>
      </c>
      <c r="U3406" s="24" t="s">
        <v>1081</v>
      </c>
      <c r="V3406" s="70" t="s">
        <v>8011</v>
      </c>
      <c r="W3406" s="25">
        <f>IFERROR(VLOOKUP(BCP_Soles[[#This Row],[DESTINATARIO]],CHOOSE({1,2},Clientes_Proveedores[Razon Social],Clientes_Proveedores[Ruc / Dni]),2,0),"")</f>
        <v>20100055237</v>
      </c>
      <c r="X3406" s="25"/>
      <c r="Y3406" s="25"/>
      <c r="Z3406" s="25"/>
      <c r="AA3406" s="101"/>
      <c r="AB3406" s="3" t="str">
        <f>IF(BCP_Soles[[#This Row],[FECHA]]&gt;0,TEXT(BCP_Soles[[#This Row],[FECHA]],"mmmm"),0)</f>
        <v>Agosto</v>
      </c>
    </row>
    <row r="3407" spans="2:28" x14ac:dyDescent="0.3">
      <c r="B3407" s="2">
        <f>IF(BCP_Soles[[#This Row],[TIPO DE R.]]="R",COUNTIFS($D$4:$D3406,"R")+1,"")</f>
        <v>2341</v>
      </c>
      <c r="C3407" s="19" t="str">
        <f t="shared" si="265"/>
        <v>B-BCP - Soles</v>
      </c>
      <c r="D3407" s="3" t="s">
        <v>1074</v>
      </c>
      <c r="E3407" s="14">
        <v>45897</v>
      </c>
      <c r="F3407" s="5" t="s">
        <v>1082</v>
      </c>
      <c r="G3407" s="5" t="s">
        <v>1079</v>
      </c>
      <c r="H3407" s="6" t="s">
        <v>139</v>
      </c>
      <c r="I3407" s="6" t="s">
        <v>14</v>
      </c>
      <c r="J3407" s="6" t="s">
        <v>1953</v>
      </c>
      <c r="K3407" s="6">
        <v>6813</v>
      </c>
      <c r="L3407" s="7" t="s">
        <v>1954</v>
      </c>
      <c r="M3407" s="8">
        <v>239304</v>
      </c>
      <c r="N3407" s="8" t="str">
        <f t="shared" si="266"/>
        <v>PEN</v>
      </c>
      <c r="O3407" s="13"/>
      <c r="P3407" s="13">
        <v>20.010000000000002</v>
      </c>
      <c r="Q3407" s="3">
        <f t="shared" si="267"/>
        <v>0</v>
      </c>
      <c r="R3407" s="3">
        <f t="shared" si="268"/>
        <v>20.010000000000002</v>
      </c>
      <c r="S3407" s="201">
        <f t="shared" si="269"/>
        <v>24939.399999999987</v>
      </c>
      <c r="T3407" s="24" t="s">
        <v>1081</v>
      </c>
      <c r="U3407" s="24" t="s">
        <v>1081</v>
      </c>
      <c r="V3407" s="70" t="s">
        <v>8010</v>
      </c>
      <c r="W3407" s="25">
        <f>IFERROR(VLOOKUP(BCP_Soles[[#This Row],[DESTINATARIO]],CHOOSE({1,2},Clientes_Proveedores[Razon Social],Clientes_Proveedores[Ruc / Dni]),2,0),"")</f>
        <v>20100055237</v>
      </c>
      <c r="X3407" s="25"/>
      <c r="Y3407" s="25"/>
      <c r="Z3407" s="25"/>
      <c r="AA3407" s="101"/>
      <c r="AB3407" s="3" t="str">
        <f>IF(BCP_Soles[[#This Row],[FECHA]]&gt;0,TEXT(BCP_Soles[[#This Row],[FECHA]],"mmmm"),0)</f>
        <v>Agosto</v>
      </c>
    </row>
    <row r="3408" spans="2:28" x14ac:dyDescent="0.3">
      <c r="B3408" s="2">
        <f>IF(BCP_Soles[[#This Row],[TIPO DE R.]]="R",COUNTIFS($D$4:$D3407,"R")+1,"")</f>
        <v>2342</v>
      </c>
      <c r="C3408" s="19" t="str">
        <f t="shared" si="265"/>
        <v>B-BCP - Soles</v>
      </c>
      <c r="D3408" s="3" t="s">
        <v>1074</v>
      </c>
      <c r="E3408" s="14">
        <v>45897</v>
      </c>
      <c r="F3408" s="5" t="s">
        <v>1082</v>
      </c>
      <c r="G3408" s="5" t="s">
        <v>1079</v>
      </c>
      <c r="H3408" s="6" t="s">
        <v>139</v>
      </c>
      <c r="I3408" s="6" t="s">
        <v>14</v>
      </c>
      <c r="J3408" s="6" t="s">
        <v>1953</v>
      </c>
      <c r="K3408" s="6">
        <v>6812</v>
      </c>
      <c r="L3408" s="7" t="s">
        <v>1954</v>
      </c>
      <c r="M3408" s="8">
        <v>239796</v>
      </c>
      <c r="N3408" s="8" t="str">
        <f t="shared" si="266"/>
        <v>PEN</v>
      </c>
      <c r="O3408" s="13"/>
      <c r="P3408" s="13">
        <v>523.96</v>
      </c>
      <c r="Q3408" s="3">
        <f t="shared" si="267"/>
        <v>0</v>
      </c>
      <c r="R3408" s="3">
        <f t="shared" si="268"/>
        <v>523.96</v>
      </c>
      <c r="S3408" s="201">
        <f t="shared" si="269"/>
        <v>24415.439999999988</v>
      </c>
      <c r="T3408" s="24" t="s">
        <v>1081</v>
      </c>
      <c r="U3408" s="24" t="s">
        <v>1081</v>
      </c>
      <c r="V3408" s="70" t="s">
        <v>8009</v>
      </c>
      <c r="W3408" s="25">
        <f>IFERROR(VLOOKUP(BCP_Soles[[#This Row],[DESTINATARIO]],CHOOSE({1,2},Clientes_Proveedores[Razon Social],Clientes_Proveedores[Ruc / Dni]),2,0),"")</f>
        <v>20100055237</v>
      </c>
      <c r="X3408" s="25"/>
      <c r="Y3408" s="25"/>
      <c r="Z3408" s="25"/>
      <c r="AA3408" s="101"/>
      <c r="AB3408" s="3" t="str">
        <f>IF(BCP_Soles[[#This Row],[FECHA]]&gt;0,TEXT(BCP_Soles[[#This Row],[FECHA]],"mmmm"),0)</f>
        <v>Agosto</v>
      </c>
    </row>
    <row r="3409" spans="2:28" x14ac:dyDescent="0.3">
      <c r="B3409" s="2">
        <f>IF(BCP_Soles[[#This Row],[TIPO DE R.]]="R",COUNTIFS($D$4:$D3408,"R")+1,"")</f>
        <v>2343</v>
      </c>
      <c r="C3409" s="19" t="str">
        <f t="shared" si="265"/>
        <v>B-BCP - Soles</v>
      </c>
      <c r="D3409" s="3" t="s">
        <v>1074</v>
      </c>
      <c r="E3409" s="14">
        <v>45897</v>
      </c>
      <c r="F3409" s="5" t="s">
        <v>1082</v>
      </c>
      <c r="G3409" s="5" t="s">
        <v>1079</v>
      </c>
      <c r="H3409" s="6" t="s">
        <v>139</v>
      </c>
      <c r="I3409" s="6" t="s">
        <v>14</v>
      </c>
      <c r="J3409" s="6" t="s">
        <v>1953</v>
      </c>
      <c r="K3409" s="6">
        <v>6808</v>
      </c>
      <c r="L3409" s="7" t="s">
        <v>1954</v>
      </c>
      <c r="M3409" s="8">
        <v>238376</v>
      </c>
      <c r="N3409" s="8" t="str">
        <f t="shared" si="266"/>
        <v>PEN</v>
      </c>
      <c r="O3409" s="13"/>
      <c r="P3409" s="13">
        <v>65.459999999999994</v>
      </c>
      <c r="Q3409" s="3">
        <f t="shared" si="267"/>
        <v>0</v>
      </c>
      <c r="R3409" s="3">
        <f t="shared" si="268"/>
        <v>65.459999999999994</v>
      </c>
      <c r="S3409" s="201">
        <f t="shared" si="269"/>
        <v>24349.979999999989</v>
      </c>
      <c r="T3409" s="24" t="s">
        <v>1081</v>
      </c>
      <c r="U3409" s="24" t="s">
        <v>1081</v>
      </c>
      <c r="V3409" s="70" t="s">
        <v>8008</v>
      </c>
      <c r="W3409" s="25">
        <f>IFERROR(VLOOKUP(BCP_Soles[[#This Row],[DESTINATARIO]],CHOOSE({1,2},Clientes_Proveedores[Razon Social],Clientes_Proveedores[Ruc / Dni]),2,0),"")</f>
        <v>20100055237</v>
      </c>
      <c r="X3409" s="25"/>
      <c r="Y3409" s="25"/>
      <c r="Z3409" s="25"/>
      <c r="AA3409" s="101"/>
      <c r="AB3409" s="3" t="str">
        <f>IF(BCP_Soles[[#This Row],[FECHA]]&gt;0,TEXT(BCP_Soles[[#This Row],[FECHA]],"mmmm"),0)</f>
        <v>Agosto</v>
      </c>
    </row>
    <row r="3410" spans="2:28" x14ac:dyDescent="0.3">
      <c r="B3410" s="2">
        <f>IF(BCP_Soles[[#This Row],[TIPO DE R.]]="R",COUNTIFS($D$4:$D3409,"R")+1,"")</f>
        <v>2344</v>
      </c>
      <c r="C3410" s="19" t="str">
        <f t="shared" si="265"/>
        <v>B-BCP - Soles</v>
      </c>
      <c r="D3410" s="3" t="s">
        <v>1074</v>
      </c>
      <c r="E3410" s="14">
        <v>45897</v>
      </c>
      <c r="F3410" s="5" t="s">
        <v>1082</v>
      </c>
      <c r="G3410" s="5" t="s">
        <v>1079</v>
      </c>
      <c r="H3410" s="6" t="s">
        <v>139</v>
      </c>
      <c r="I3410" s="6" t="s">
        <v>14</v>
      </c>
      <c r="J3410" s="6" t="s">
        <v>1953</v>
      </c>
      <c r="K3410" s="6">
        <v>6810</v>
      </c>
      <c r="L3410" s="7" t="s">
        <v>1954</v>
      </c>
      <c r="M3410" s="8">
        <v>238377</v>
      </c>
      <c r="N3410" s="8" t="str">
        <f t="shared" si="266"/>
        <v>PEN</v>
      </c>
      <c r="O3410" s="13"/>
      <c r="P3410" s="13">
        <v>52.36</v>
      </c>
      <c r="Q3410" s="3">
        <f t="shared" si="267"/>
        <v>0</v>
      </c>
      <c r="R3410" s="3">
        <f t="shared" si="268"/>
        <v>52.36</v>
      </c>
      <c r="S3410" s="201">
        <f t="shared" si="269"/>
        <v>24297.619999999988</v>
      </c>
      <c r="T3410" s="24" t="s">
        <v>1081</v>
      </c>
      <c r="U3410" s="24" t="s">
        <v>1081</v>
      </c>
      <c r="V3410" s="70" t="s">
        <v>8007</v>
      </c>
      <c r="W3410" s="25">
        <f>IFERROR(VLOOKUP(BCP_Soles[[#This Row],[DESTINATARIO]],CHOOSE({1,2},Clientes_Proveedores[Razon Social],Clientes_Proveedores[Ruc / Dni]),2,0),"")</f>
        <v>20100055237</v>
      </c>
      <c r="X3410" s="25"/>
      <c r="Y3410" s="25"/>
      <c r="Z3410" s="25"/>
      <c r="AA3410" s="101"/>
      <c r="AB3410" s="3" t="str">
        <f>IF(BCP_Soles[[#This Row],[FECHA]]&gt;0,TEXT(BCP_Soles[[#This Row],[FECHA]],"mmmm"),0)</f>
        <v>Agosto</v>
      </c>
    </row>
    <row r="3411" spans="2:28" x14ac:dyDescent="0.3">
      <c r="B3411" s="2">
        <f>IF(BCP_Soles[[#This Row],[TIPO DE R.]]="R",COUNTIFS($D$4:$D3410,"R")+1,"")</f>
        <v>2345</v>
      </c>
      <c r="C3411" s="19" t="str">
        <f t="shared" si="265"/>
        <v>B-BCP - Soles</v>
      </c>
      <c r="D3411" s="3" t="s">
        <v>1074</v>
      </c>
      <c r="E3411" s="14">
        <v>45897</v>
      </c>
      <c r="F3411" s="5" t="s">
        <v>1082</v>
      </c>
      <c r="G3411" s="5" t="s">
        <v>1079</v>
      </c>
      <c r="H3411" s="6" t="s">
        <v>139</v>
      </c>
      <c r="I3411" s="6" t="s">
        <v>14</v>
      </c>
      <c r="J3411" s="6" t="s">
        <v>1953</v>
      </c>
      <c r="K3411" s="6">
        <v>6809</v>
      </c>
      <c r="L3411" s="7" t="s">
        <v>1954</v>
      </c>
      <c r="M3411" s="8">
        <v>239795</v>
      </c>
      <c r="N3411" s="8" t="str">
        <f t="shared" si="266"/>
        <v>PEN</v>
      </c>
      <c r="O3411" s="13"/>
      <c r="P3411" s="13">
        <v>63.34</v>
      </c>
      <c r="Q3411" s="3">
        <f t="shared" si="267"/>
        <v>0</v>
      </c>
      <c r="R3411" s="3">
        <f t="shared" si="268"/>
        <v>63.34</v>
      </c>
      <c r="S3411" s="201">
        <f t="shared" si="269"/>
        <v>24234.279999999988</v>
      </c>
      <c r="T3411" s="24" t="s">
        <v>1081</v>
      </c>
      <c r="U3411" s="24" t="s">
        <v>1081</v>
      </c>
      <c r="V3411" s="70" t="s">
        <v>8006</v>
      </c>
      <c r="W3411" s="25">
        <f>IFERROR(VLOOKUP(BCP_Soles[[#This Row],[DESTINATARIO]],CHOOSE({1,2},Clientes_Proveedores[Razon Social],Clientes_Proveedores[Ruc / Dni]),2,0),"")</f>
        <v>20100055237</v>
      </c>
      <c r="X3411" s="25"/>
      <c r="Y3411" s="25"/>
      <c r="Z3411" s="25"/>
      <c r="AA3411" s="101"/>
      <c r="AB3411" s="3" t="str">
        <f>IF(BCP_Soles[[#This Row],[FECHA]]&gt;0,TEXT(BCP_Soles[[#This Row],[FECHA]],"mmmm"),0)</f>
        <v>Agosto</v>
      </c>
    </row>
    <row r="3412" spans="2:28" x14ac:dyDescent="0.3">
      <c r="B3412" s="2">
        <f>IF(BCP_Soles[[#This Row],[TIPO DE R.]]="R",COUNTIFS($D$4:$D3411,"R")+1,"")</f>
        <v>2346</v>
      </c>
      <c r="C3412" s="19" t="str">
        <f t="shared" si="265"/>
        <v>B-BCP - Soles</v>
      </c>
      <c r="D3412" s="3" t="s">
        <v>1074</v>
      </c>
      <c r="E3412" s="14">
        <v>45897</v>
      </c>
      <c r="F3412" s="5" t="s">
        <v>1082</v>
      </c>
      <c r="G3412" s="5" t="s">
        <v>1079</v>
      </c>
      <c r="H3412" s="6" t="s">
        <v>139</v>
      </c>
      <c r="I3412" s="6" t="s">
        <v>14</v>
      </c>
      <c r="J3412" s="6" t="s">
        <v>1953</v>
      </c>
      <c r="K3412" s="6">
        <v>6807</v>
      </c>
      <c r="L3412" s="7" t="s">
        <v>1954</v>
      </c>
      <c r="M3412" s="8">
        <v>239303</v>
      </c>
      <c r="N3412" s="8" t="str">
        <f t="shared" si="266"/>
        <v>PEN</v>
      </c>
      <c r="O3412" s="13"/>
      <c r="P3412" s="13">
        <v>1.77</v>
      </c>
      <c r="Q3412" s="3">
        <f t="shared" si="267"/>
        <v>0</v>
      </c>
      <c r="R3412" s="3">
        <f t="shared" si="268"/>
        <v>1.77</v>
      </c>
      <c r="S3412" s="201">
        <f t="shared" si="269"/>
        <v>24232.509999999987</v>
      </c>
      <c r="T3412" s="24" t="s">
        <v>1081</v>
      </c>
      <c r="U3412" s="24" t="s">
        <v>1081</v>
      </c>
      <c r="V3412" s="70" t="s">
        <v>8005</v>
      </c>
      <c r="W3412" s="25">
        <f>IFERROR(VLOOKUP(BCP_Soles[[#This Row],[DESTINATARIO]],CHOOSE({1,2},Clientes_Proveedores[Razon Social],Clientes_Proveedores[Ruc / Dni]),2,0),"")</f>
        <v>20100055237</v>
      </c>
      <c r="X3412" s="25"/>
      <c r="Y3412" s="25"/>
      <c r="Z3412" s="25"/>
      <c r="AA3412" s="101"/>
      <c r="AB3412" s="3" t="str">
        <f>IF(BCP_Soles[[#This Row],[FECHA]]&gt;0,TEXT(BCP_Soles[[#This Row],[FECHA]],"mmmm"),0)</f>
        <v>Agosto</v>
      </c>
    </row>
    <row r="3413" spans="2:28" x14ac:dyDescent="0.3">
      <c r="B3413" s="2">
        <f>IF(BCP_Soles[[#This Row],[TIPO DE R.]]="R",COUNTIFS($D$4:$D3412,"R")+1,"")</f>
        <v>2347</v>
      </c>
      <c r="C3413" s="19" t="str">
        <f t="shared" si="265"/>
        <v>B-BCP - Soles</v>
      </c>
      <c r="D3413" s="3" t="s">
        <v>1074</v>
      </c>
      <c r="E3413" s="14">
        <v>45897</v>
      </c>
      <c r="F3413" s="5" t="s">
        <v>1082</v>
      </c>
      <c r="G3413" s="5" t="s">
        <v>1079</v>
      </c>
      <c r="H3413" s="6" t="s">
        <v>139</v>
      </c>
      <c r="I3413" s="6" t="s">
        <v>14</v>
      </c>
      <c r="J3413" s="6" t="s">
        <v>1953</v>
      </c>
      <c r="K3413" s="6">
        <v>6806</v>
      </c>
      <c r="L3413" s="7" t="s">
        <v>1954</v>
      </c>
      <c r="M3413" s="8">
        <v>236428</v>
      </c>
      <c r="N3413" s="8" t="str">
        <f t="shared" si="266"/>
        <v>PEN</v>
      </c>
      <c r="O3413" s="13"/>
      <c r="P3413" s="13">
        <v>84.71</v>
      </c>
      <c r="Q3413" s="3">
        <f t="shared" si="267"/>
        <v>0</v>
      </c>
      <c r="R3413" s="3">
        <f t="shared" si="268"/>
        <v>84.71</v>
      </c>
      <c r="S3413" s="201">
        <f t="shared" si="269"/>
        <v>24147.799999999988</v>
      </c>
      <c r="T3413" s="24" t="s">
        <v>1081</v>
      </c>
      <c r="U3413" s="24" t="s">
        <v>1081</v>
      </c>
      <c r="V3413" s="70" t="s">
        <v>8004</v>
      </c>
      <c r="W3413" s="25">
        <f>IFERROR(VLOOKUP(BCP_Soles[[#This Row],[DESTINATARIO]],CHOOSE({1,2},Clientes_Proveedores[Razon Social],Clientes_Proveedores[Ruc / Dni]),2,0),"")</f>
        <v>20100055237</v>
      </c>
      <c r="X3413" s="25"/>
      <c r="Y3413" s="25"/>
      <c r="Z3413" s="25"/>
      <c r="AA3413" s="101"/>
      <c r="AB3413" s="3" t="str">
        <f>IF(BCP_Soles[[#This Row],[FECHA]]&gt;0,TEXT(BCP_Soles[[#This Row],[FECHA]],"mmmm"),0)</f>
        <v>Agosto</v>
      </c>
    </row>
    <row r="3414" spans="2:28" x14ac:dyDescent="0.3">
      <c r="B3414" s="2">
        <f>IF(BCP_Soles[[#This Row],[TIPO DE R.]]="R",COUNTIFS($D$4:$D3413,"R")+1,"")</f>
        <v>2348</v>
      </c>
      <c r="C3414" s="19" t="str">
        <f t="shared" si="265"/>
        <v>B-BCP - Soles</v>
      </c>
      <c r="D3414" s="3" t="s">
        <v>1074</v>
      </c>
      <c r="E3414" s="14">
        <v>45897</v>
      </c>
      <c r="F3414" s="5" t="s">
        <v>1082</v>
      </c>
      <c r="G3414" s="5" t="s">
        <v>1079</v>
      </c>
      <c r="H3414" s="6" t="s">
        <v>139</v>
      </c>
      <c r="I3414" s="6" t="s">
        <v>14</v>
      </c>
      <c r="J3414" s="6" t="s">
        <v>1953</v>
      </c>
      <c r="K3414" s="6">
        <v>6805</v>
      </c>
      <c r="L3414" s="7" t="s">
        <v>1954</v>
      </c>
      <c r="M3414" s="8">
        <v>236429</v>
      </c>
      <c r="N3414" s="8" t="str">
        <f t="shared" si="266"/>
        <v>PEN</v>
      </c>
      <c r="O3414" s="13"/>
      <c r="P3414" s="13">
        <v>42.74</v>
      </c>
      <c r="Q3414" s="3">
        <f t="shared" si="267"/>
        <v>0</v>
      </c>
      <c r="R3414" s="3">
        <f t="shared" si="268"/>
        <v>42.74</v>
      </c>
      <c r="S3414" s="201">
        <f t="shared" si="269"/>
        <v>24105.059999999987</v>
      </c>
      <c r="T3414" s="24" t="s">
        <v>1081</v>
      </c>
      <c r="U3414" s="24" t="s">
        <v>1081</v>
      </c>
      <c r="V3414" s="70" t="s">
        <v>8003</v>
      </c>
      <c r="W3414" s="25">
        <f>IFERROR(VLOOKUP(BCP_Soles[[#This Row],[DESTINATARIO]],CHOOSE({1,2},Clientes_Proveedores[Razon Social],Clientes_Proveedores[Ruc / Dni]),2,0),"")</f>
        <v>20100055237</v>
      </c>
      <c r="X3414" s="25"/>
      <c r="Y3414" s="25"/>
      <c r="Z3414" s="25"/>
      <c r="AA3414" s="101"/>
      <c r="AB3414" s="3" t="str">
        <f>IF(BCP_Soles[[#This Row],[FECHA]]&gt;0,TEXT(BCP_Soles[[#This Row],[FECHA]],"mmmm"),0)</f>
        <v>Agosto</v>
      </c>
    </row>
    <row r="3415" spans="2:28" ht="24" x14ac:dyDescent="0.3">
      <c r="B3415" s="2">
        <f>IF(BCP_Soles[[#This Row],[TIPO DE R.]]="R",COUNTIFS($D$4:$D3414,"R")+1,"")</f>
        <v>2349</v>
      </c>
      <c r="C3415" s="19" t="str">
        <f t="shared" si="265"/>
        <v>B-BCP - Soles</v>
      </c>
      <c r="D3415" s="3" t="s">
        <v>1074</v>
      </c>
      <c r="E3415" s="14">
        <v>45897</v>
      </c>
      <c r="F3415" s="5" t="s">
        <v>1082</v>
      </c>
      <c r="G3415" s="5" t="s">
        <v>1079</v>
      </c>
      <c r="H3415" s="6" t="s">
        <v>192</v>
      </c>
      <c r="I3415" s="6"/>
      <c r="J3415" s="6"/>
      <c r="K3415" s="6"/>
      <c r="L3415" s="7" t="s">
        <v>7975</v>
      </c>
      <c r="M3415" s="8">
        <v>1238858</v>
      </c>
      <c r="N3415" s="8" t="str">
        <f t="shared" si="266"/>
        <v>PEN</v>
      </c>
      <c r="O3415" s="13"/>
      <c r="P3415" s="13">
        <v>3000</v>
      </c>
      <c r="Q3415" s="3">
        <f t="shared" si="267"/>
        <v>0</v>
      </c>
      <c r="R3415" s="3">
        <f t="shared" si="268"/>
        <v>3000</v>
      </c>
      <c r="S3415" s="201">
        <f t="shared" si="269"/>
        <v>21105.059999999987</v>
      </c>
      <c r="T3415" s="24"/>
      <c r="U3415" s="24"/>
      <c r="V3415" s="70" t="s">
        <v>8002</v>
      </c>
      <c r="W3415" s="25">
        <f>IFERROR(VLOOKUP(BCP_Soles[[#This Row],[DESTINATARIO]],CHOOSE({1,2},Clientes_Proveedores[Razon Social],Clientes_Proveedores[Ruc / Dni]),2,0),"")</f>
        <v>20302891452</v>
      </c>
      <c r="X3415" s="25"/>
      <c r="Y3415" s="25"/>
      <c r="Z3415" s="25"/>
      <c r="AA3415" s="101"/>
      <c r="AB3415" s="3" t="str">
        <f>IF(BCP_Soles[[#This Row],[FECHA]]&gt;0,TEXT(BCP_Soles[[#This Row],[FECHA]],"mmmm"),0)</f>
        <v>Agosto</v>
      </c>
    </row>
    <row r="3416" spans="2:28" ht="24" x14ac:dyDescent="0.3">
      <c r="B3416" s="2">
        <f>IF(BCP_Soles[[#This Row],[TIPO DE R.]]="R",COUNTIFS($D$4:$D3415,"R")+1,"")</f>
        <v>2350</v>
      </c>
      <c r="C3416" s="19" t="str">
        <f t="shared" si="265"/>
        <v>B-BCP - Soles</v>
      </c>
      <c r="D3416" s="3" t="s">
        <v>1074</v>
      </c>
      <c r="E3416" s="14">
        <v>45897</v>
      </c>
      <c r="F3416" s="5" t="s">
        <v>1082</v>
      </c>
      <c r="G3416" s="5" t="s">
        <v>1079</v>
      </c>
      <c r="H3416" s="6" t="s">
        <v>7936</v>
      </c>
      <c r="I3416" s="6" t="s">
        <v>14</v>
      </c>
      <c r="J3416" s="6" t="s">
        <v>1121</v>
      </c>
      <c r="K3416" s="6">
        <v>48</v>
      </c>
      <c r="L3416" s="7" t="s">
        <v>7977</v>
      </c>
      <c r="M3416" s="8">
        <v>1239797</v>
      </c>
      <c r="N3416" s="8" t="str">
        <f t="shared" si="266"/>
        <v>PEN</v>
      </c>
      <c r="O3416" s="13"/>
      <c r="P3416" s="13">
        <v>1056</v>
      </c>
      <c r="Q3416" s="3">
        <f t="shared" si="267"/>
        <v>0</v>
      </c>
      <c r="R3416" s="3">
        <f t="shared" si="268"/>
        <v>1056</v>
      </c>
      <c r="S3416" s="201">
        <f t="shared" si="269"/>
        <v>20049.059999999987</v>
      </c>
      <c r="T3416" s="24" t="s">
        <v>1081</v>
      </c>
      <c r="U3416" s="24" t="s">
        <v>1081</v>
      </c>
      <c r="V3416" s="70" t="s">
        <v>8001</v>
      </c>
      <c r="W3416" s="25">
        <f>IFERROR(VLOOKUP(BCP_Soles[[#This Row],[DESTINATARIO]],CHOOSE({1,2},Clientes_Proveedores[Razon Social],Clientes_Proveedores[Ruc / Dni]),2,0),"")</f>
        <v>10295579221</v>
      </c>
      <c r="X3416" s="25"/>
      <c r="Y3416" s="25"/>
      <c r="Z3416" s="25"/>
      <c r="AA3416" s="101"/>
      <c r="AB3416" s="3" t="str">
        <f>IF(BCP_Soles[[#This Row],[FECHA]]&gt;0,TEXT(BCP_Soles[[#This Row],[FECHA]],"mmmm"),0)</f>
        <v>Agosto</v>
      </c>
    </row>
    <row r="3417" spans="2:28" x14ac:dyDescent="0.3">
      <c r="B3417" s="2">
        <f>IF(BCP_Soles[[#This Row],[TIPO DE R.]]="R",COUNTIFS($D$4:$D3416,"R")+1,"")</f>
        <v>2351</v>
      </c>
      <c r="C3417" s="19" t="str">
        <f t="shared" si="265"/>
        <v>B-BCP - Soles</v>
      </c>
      <c r="D3417" s="3" t="s">
        <v>1074</v>
      </c>
      <c r="E3417" s="14">
        <v>45897</v>
      </c>
      <c r="F3417" s="5" t="s">
        <v>1082</v>
      </c>
      <c r="G3417" s="5" t="s">
        <v>1079</v>
      </c>
      <c r="H3417" s="6" t="s">
        <v>638</v>
      </c>
      <c r="I3417" s="6"/>
      <c r="J3417" s="6"/>
      <c r="K3417" s="6"/>
      <c r="L3417" s="7" t="s">
        <v>7978</v>
      </c>
      <c r="M3417" s="8">
        <v>7618200</v>
      </c>
      <c r="N3417" s="8" t="str">
        <f t="shared" si="266"/>
        <v>PEN</v>
      </c>
      <c r="O3417" s="13"/>
      <c r="P3417" s="13">
        <v>197.9</v>
      </c>
      <c r="Q3417" s="3">
        <f t="shared" si="267"/>
        <v>0</v>
      </c>
      <c r="R3417" s="3">
        <f t="shared" si="268"/>
        <v>197.9</v>
      </c>
      <c r="S3417" s="201">
        <f t="shared" si="269"/>
        <v>19851.159999999985</v>
      </c>
      <c r="T3417" s="24"/>
      <c r="U3417" s="24"/>
      <c r="V3417" s="70" t="s">
        <v>8000</v>
      </c>
      <c r="W3417" s="25">
        <f>IFERROR(VLOOKUP(BCP_Soles[[#This Row],[DESTINATARIO]],CHOOSE({1,2},Clientes_Proveedores[Razon Social],Clientes_Proveedores[Ruc / Dni]),2,0),"")</f>
        <v>0</v>
      </c>
      <c r="X3417" s="25"/>
      <c r="Y3417" s="25"/>
      <c r="Z3417" s="25"/>
      <c r="AA3417" s="101"/>
      <c r="AB3417" s="3" t="str">
        <f>IF(BCP_Soles[[#This Row],[FECHA]]&gt;0,TEXT(BCP_Soles[[#This Row],[FECHA]],"mmmm"),0)</f>
        <v>Agosto</v>
      </c>
    </row>
    <row r="3418" spans="2:28" x14ac:dyDescent="0.3">
      <c r="B3418" s="206">
        <f>IF(BCP_Soles[[#This Row],[TIPO DE R.]]="R",COUNTIFS($D$4:$D3417,"R")+1,"")</f>
        <v>2352</v>
      </c>
      <c r="C3418" s="19" t="str">
        <f t="shared" si="265"/>
        <v>B-BCP - Soles</v>
      </c>
      <c r="D3418" s="3" t="s">
        <v>1074</v>
      </c>
      <c r="E3418" s="207">
        <v>45897</v>
      </c>
      <c r="F3418" s="208"/>
      <c r="G3418" s="5" t="s">
        <v>1079</v>
      </c>
      <c r="H3418" s="6"/>
      <c r="I3418" s="6"/>
      <c r="J3418" s="6"/>
      <c r="K3418" s="6"/>
      <c r="L3418" s="198" t="s">
        <v>2868</v>
      </c>
      <c r="M3418" s="210"/>
      <c r="N3418" s="210" t="str">
        <f t="shared" si="266"/>
        <v>PEN</v>
      </c>
      <c r="O3418" s="13"/>
      <c r="P3418" s="211">
        <v>0.55000000000000004</v>
      </c>
      <c r="Q3418" s="212">
        <f t="shared" si="267"/>
        <v>0</v>
      </c>
      <c r="R3418" s="212">
        <f t="shared" si="268"/>
        <v>0.55000000000000004</v>
      </c>
      <c r="S3418" s="201">
        <f t="shared" si="269"/>
        <v>19850.609999999986</v>
      </c>
      <c r="T3418" s="213"/>
      <c r="U3418" s="213"/>
      <c r="V3418" s="69"/>
      <c r="W3418" s="25" t="str">
        <f>IFERROR(VLOOKUP(BCP_Soles[[#This Row],[DESTINATARIO]],CHOOSE({1,2},Clientes_Proveedores[Razon Social],Clientes_Proveedores[Ruc / Dni]),2,0),"")</f>
        <v/>
      </c>
      <c r="X3418" s="25"/>
      <c r="Y3418" s="25"/>
      <c r="Z3418" s="25"/>
      <c r="AA3418" s="101"/>
      <c r="AB3418" s="212" t="str">
        <f>IF(BCP_Soles[[#This Row],[FECHA]]&gt;0,TEXT(BCP_Soles[[#This Row],[FECHA]],"mmmm"),0)</f>
        <v>Agosto</v>
      </c>
    </row>
    <row r="3419" spans="2:28" x14ac:dyDescent="0.3">
      <c r="B3419" s="206">
        <f>IF(BCP_Soles[[#This Row],[TIPO DE R.]]="R",COUNTIFS($D$4:$D3418,"R")+1,"")</f>
        <v>2353</v>
      </c>
      <c r="C3419" s="19" t="str">
        <f t="shared" si="265"/>
        <v>B-BCP - Soles</v>
      </c>
      <c r="D3419" s="3" t="s">
        <v>1074</v>
      </c>
      <c r="E3419" s="207">
        <v>45898</v>
      </c>
      <c r="F3419" s="208"/>
      <c r="G3419" s="5" t="s">
        <v>1087</v>
      </c>
      <c r="H3419" s="6" t="s">
        <v>368</v>
      </c>
      <c r="I3419" s="6"/>
      <c r="J3419" s="6"/>
      <c r="K3419" s="6"/>
      <c r="L3419" s="205" t="s">
        <v>1100</v>
      </c>
      <c r="M3419" s="210">
        <v>140553</v>
      </c>
      <c r="N3419" s="210" t="str">
        <f t="shared" si="266"/>
        <v>PEN</v>
      </c>
      <c r="O3419" s="13"/>
      <c r="P3419" s="211">
        <v>3542</v>
      </c>
      <c r="Q3419" s="212">
        <f t="shared" si="267"/>
        <v>3542</v>
      </c>
      <c r="R3419" s="212">
        <f t="shared" si="268"/>
        <v>0</v>
      </c>
      <c r="S3419" s="201">
        <f t="shared" si="269"/>
        <v>23392.609999999986</v>
      </c>
      <c r="T3419" s="213"/>
      <c r="U3419" s="213"/>
      <c r="V3419" s="69"/>
      <c r="W3419" s="25">
        <f>IFERROR(VLOOKUP(BCP_Soles[[#This Row],[DESTINATARIO]],CHOOSE({1,2},Clientes_Proveedores[Razon Social],Clientes_Proveedores[Ruc / Dni]),2,0),"")</f>
        <v>20558226979</v>
      </c>
      <c r="X3419" s="25"/>
      <c r="Y3419" s="25"/>
      <c r="Z3419" s="25"/>
      <c r="AA3419" s="101"/>
      <c r="AB3419" s="212" t="str">
        <f>IF(BCP_Soles[[#This Row],[FECHA]]&gt;0,TEXT(BCP_Soles[[#This Row],[FECHA]],"mmmm"),0)</f>
        <v>Agosto</v>
      </c>
    </row>
    <row r="3420" spans="2:28" ht="24" x14ac:dyDescent="0.3">
      <c r="B3420" s="206">
        <f>IF(BCP_Soles[[#This Row],[TIPO DE R.]]="R",COUNTIFS($D$4:$D3419,"R")+1,"")</f>
        <v>2354</v>
      </c>
      <c r="C3420" s="19" t="str">
        <f t="shared" si="265"/>
        <v>B-BCP - Soles</v>
      </c>
      <c r="D3420" s="3" t="s">
        <v>1074</v>
      </c>
      <c r="E3420" s="207">
        <v>45898</v>
      </c>
      <c r="F3420" s="5" t="s">
        <v>252</v>
      </c>
      <c r="G3420" s="5" t="s">
        <v>1087</v>
      </c>
      <c r="H3420" s="6" t="s">
        <v>368</v>
      </c>
      <c r="I3420" s="6"/>
      <c r="J3420" s="6"/>
      <c r="K3420" s="6"/>
      <c r="L3420" s="205" t="s">
        <v>1100</v>
      </c>
      <c r="M3420" s="210">
        <v>1457606</v>
      </c>
      <c r="N3420" s="210" t="str">
        <f t="shared" si="266"/>
        <v>PEN</v>
      </c>
      <c r="O3420" s="13"/>
      <c r="P3420" s="211">
        <v>8200</v>
      </c>
      <c r="Q3420" s="212">
        <f t="shared" si="267"/>
        <v>8200</v>
      </c>
      <c r="R3420" s="212">
        <f t="shared" si="268"/>
        <v>0</v>
      </c>
      <c r="S3420" s="201">
        <f t="shared" si="269"/>
        <v>31592.609999999986</v>
      </c>
      <c r="T3420" s="24" t="s">
        <v>1081</v>
      </c>
      <c r="U3420" s="213"/>
      <c r="V3420" s="69"/>
      <c r="W3420" s="25">
        <f>IFERROR(VLOOKUP(BCP_Soles[[#This Row],[DESTINATARIO]],CHOOSE({1,2},Clientes_Proveedores[Razon Social],Clientes_Proveedores[Ruc / Dni]),2,0),"")</f>
        <v>20558226979</v>
      </c>
      <c r="X3420" s="25"/>
      <c r="Y3420" s="25"/>
      <c r="Z3420" s="25"/>
      <c r="AA3420" s="101"/>
      <c r="AB3420" s="212" t="str">
        <f>IF(BCP_Soles[[#This Row],[FECHA]]&gt;0,TEXT(BCP_Soles[[#This Row],[FECHA]],"mmmm"),0)</f>
        <v>Agosto</v>
      </c>
    </row>
    <row r="3421" spans="2:28" ht="24" x14ac:dyDescent="0.3">
      <c r="B3421" s="206" t="str">
        <f>IF(BCP_Soles[[#This Row],[TIPO DE R.]]="R",COUNTIFS($D$4:$D3420,"R")+1,"")</f>
        <v/>
      </c>
      <c r="C3421" s="19" t="str">
        <f t="shared" si="265"/>
        <v>B-BCP - Soles</v>
      </c>
      <c r="D3421" s="3" t="s">
        <v>1101</v>
      </c>
      <c r="E3421" s="207">
        <v>45898</v>
      </c>
      <c r="F3421" s="5" t="s">
        <v>252</v>
      </c>
      <c r="G3421" s="5"/>
      <c r="H3421" s="6"/>
      <c r="I3421" s="6" t="s">
        <v>63</v>
      </c>
      <c r="J3421" s="6">
        <v>1</v>
      </c>
      <c r="K3421" s="6">
        <v>4703</v>
      </c>
      <c r="L3421" s="205" t="s">
        <v>1100</v>
      </c>
      <c r="M3421" s="210">
        <v>1457606</v>
      </c>
      <c r="N3421" s="210" t="str">
        <f t="shared" si="266"/>
        <v>PEN</v>
      </c>
      <c r="O3421" s="13">
        <v>6334</v>
      </c>
      <c r="P3421" s="211"/>
      <c r="Q3421" s="212">
        <f t="shared" si="267"/>
        <v>0</v>
      </c>
      <c r="R3421" s="212">
        <f t="shared" si="268"/>
        <v>0</v>
      </c>
      <c r="S3421" s="201">
        <f t="shared" si="269"/>
        <v>31592.609999999986</v>
      </c>
      <c r="T3421" s="24" t="s">
        <v>1081</v>
      </c>
      <c r="U3421" s="213"/>
      <c r="V3421" s="69"/>
      <c r="W3421" s="25" t="str">
        <f>IFERROR(VLOOKUP(BCP_Soles[[#This Row],[DESTINATARIO]],CHOOSE({1,2},Clientes_Proveedores[Razon Social],Clientes_Proveedores[Ruc / Dni]),2,0),"")</f>
        <v/>
      </c>
      <c r="X3421" s="25"/>
      <c r="Y3421" s="25"/>
      <c r="Z3421" s="25"/>
      <c r="AA3421" s="101"/>
      <c r="AB3421" s="212" t="str">
        <f>IF(BCP_Soles[[#This Row],[FECHA]]&gt;0,TEXT(BCP_Soles[[#This Row],[FECHA]],"mmmm"),0)</f>
        <v>Agosto</v>
      </c>
    </row>
    <row r="3422" spans="2:28" ht="24" x14ac:dyDescent="0.3">
      <c r="B3422" s="206" t="str">
        <f>IF(BCP_Soles[[#This Row],[TIPO DE R.]]="R",COUNTIFS($D$4:$D3421,"R")+1,"")</f>
        <v/>
      </c>
      <c r="C3422" s="19" t="str">
        <f t="shared" si="265"/>
        <v>B-BCP - Soles</v>
      </c>
      <c r="D3422" s="3" t="s">
        <v>1101</v>
      </c>
      <c r="E3422" s="207">
        <v>45898</v>
      </c>
      <c r="F3422" s="5" t="s">
        <v>6045</v>
      </c>
      <c r="G3422" s="5"/>
      <c r="H3422" s="6"/>
      <c r="I3422" s="6" t="s">
        <v>63</v>
      </c>
      <c r="J3422" s="6">
        <v>1</v>
      </c>
      <c r="K3422" s="6">
        <v>4705</v>
      </c>
      <c r="L3422" s="205" t="s">
        <v>1100</v>
      </c>
      <c r="M3422" s="210">
        <v>1457606</v>
      </c>
      <c r="N3422" s="210" t="str">
        <f t="shared" si="266"/>
        <v>PEN</v>
      </c>
      <c r="O3422" s="13">
        <v>1866</v>
      </c>
      <c r="P3422" s="211"/>
      <c r="Q3422" s="212">
        <f t="shared" si="267"/>
        <v>0</v>
      </c>
      <c r="R3422" s="212">
        <f t="shared" si="268"/>
        <v>0</v>
      </c>
      <c r="S3422" s="201">
        <f t="shared" si="269"/>
        <v>31592.609999999986</v>
      </c>
      <c r="T3422" s="24" t="s">
        <v>1081</v>
      </c>
      <c r="U3422" s="213"/>
      <c r="V3422" s="69"/>
      <c r="W3422" s="25" t="str">
        <f>IFERROR(VLOOKUP(BCP_Soles[[#This Row],[DESTINATARIO]],CHOOSE({1,2},Clientes_Proveedores[Razon Social],Clientes_Proveedores[Ruc / Dni]),2,0),"")</f>
        <v/>
      </c>
      <c r="X3422" s="25"/>
      <c r="Y3422" s="25"/>
      <c r="Z3422" s="25"/>
      <c r="AA3422" s="101"/>
      <c r="AB3422" s="212" t="str">
        <f>IF(BCP_Soles[[#This Row],[FECHA]]&gt;0,TEXT(BCP_Soles[[#This Row],[FECHA]],"mmmm"),0)</f>
        <v>Agosto</v>
      </c>
    </row>
    <row r="3423" spans="2:28" ht="36" x14ac:dyDescent="0.3">
      <c r="B3423" s="206">
        <f>IF(BCP_Soles[[#This Row],[TIPO DE R.]]="R",COUNTIFS($D$4:$D3422,"R")+1,"")</f>
        <v>2355</v>
      </c>
      <c r="C3423" s="19" t="str">
        <f t="shared" ref="C3423:C3437" si="270">"B-BCP - Soles"</f>
        <v>B-BCP - Soles</v>
      </c>
      <c r="D3423" s="3" t="s">
        <v>1074</v>
      </c>
      <c r="E3423" s="224">
        <v>45898</v>
      </c>
      <c r="F3423" s="5" t="s">
        <v>267</v>
      </c>
      <c r="G3423" s="5" t="s">
        <v>1087</v>
      </c>
      <c r="H3423" s="6" t="s">
        <v>368</v>
      </c>
      <c r="I3423" s="6" t="s">
        <v>14</v>
      </c>
      <c r="J3423" s="6" t="s">
        <v>1521</v>
      </c>
      <c r="K3423" s="6">
        <v>178</v>
      </c>
      <c r="L3423" s="7" t="s">
        <v>7992</v>
      </c>
      <c r="M3423" s="210">
        <v>8660230</v>
      </c>
      <c r="N3423" s="210" t="str">
        <f t="shared" ref="N3423:N3437" si="271">"PEN"</f>
        <v>PEN</v>
      </c>
      <c r="O3423" s="13"/>
      <c r="P3423" s="13">
        <v>1845.66</v>
      </c>
      <c r="Q3423" s="212">
        <f t="shared" ref="Q3423:Q3437" si="272">+IF(OR($G3423="SALDO",$G3423="INGRESO"),$P3423,0)</f>
        <v>1845.66</v>
      </c>
      <c r="R3423" s="212">
        <f t="shared" ref="R3423:R3437" si="273">+IF($G3423="EGRESO",$P3423,0)</f>
        <v>0</v>
      </c>
      <c r="S3423" s="201">
        <f t="shared" si="269"/>
        <v>33438.26999999999</v>
      </c>
      <c r="T3423" s="24" t="s">
        <v>1081</v>
      </c>
      <c r="U3423" s="24" t="s">
        <v>1081</v>
      </c>
      <c r="V3423" s="69"/>
      <c r="W3423" s="25">
        <f>IFERROR(VLOOKUP(BCP_Soles[[#This Row],[DESTINATARIO]],CHOOSE({1,2},Clientes_Proveedores[Razon Social],Clientes_Proveedores[Ruc / Dni]),2,0),"")</f>
        <v>20558226979</v>
      </c>
      <c r="X3423" s="25"/>
      <c r="Y3423" s="25"/>
      <c r="Z3423" s="25"/>
      <c r="AA3423" s="101"/>
      <c r="AB3423" s="212" t="str">
        <f>IF(BCP_Soles[[#This Row],[FECHA]]&gt;0,TEXT(BCP_Soles[[#This Row],[FECHA]],"mmmm"),0)</f>
        <v>Agosto</v>
      </c>
    </row>
    <row r="3424" spans="2:28" ht="36" x14ac:dyDescent="0.3">
      <c r="B3424" s="206">
        <f>IF(BCP_Soles[[#This Row],[TIPO DE R.]]="R",COUNTIFS($D$4:$D3423,"R")+1,"")</f>
        <v>2356</v>
      </c>
      <c r="C3424" s="19" t="str">
        <f t="shared" si="270"/>
        <v>B-BCP - Soles</v>
      </c>
      <c r="D3424" s="3" t="s">
        <v>1074</v>
      </c>
      <c r="E3424" s="224">
        <v>45898</v>
      </c>
      <c r="F3424" s="5" t="s">
        <v>180</v>
      </c>
      <c r="G3424" s="5" t="s">
        <v>1087</v>
      </c>
      <c r="H3424" s="6" t="s">
        <v>368</v>
      </c>
      <c r="I3424" s="6" t="s">
        <v>14</v>
      </c>
      <c r="J3424" s="6" t="s">
        <v>1521</v>
      </c>
      <c r="K3424" s="6">
        <v>204</v>
      </c>
      <c r="L3424" s="7" t="s">
        <v>7993</v>
      </c>
      <c r="M3424" s="210">
        <v>8645558</v>
      </c>
      <c r="N3424" s="210" t="str">
        <f t="shared" si="271"/>
        <v>PEN</v>
      </c>
      <c r="O3424" s="13"/>
      <c r="P3424" s="211">
        <v>2841.48</v>
      </c>
      <c r="Q3424" s="212">
        <f t="shared" si="272"/>
        <v>2841.48</v>
      </c>
      <c r="R3424" s="212">
        <f t="shared" si="273"/>
        <v>0</v>
      </c>
      <c r="S3424" s="201">
        <f t="shared" si="269"/>
        <v>36279.749999999993</v>
      </c>
      <c r="T3424" s="24" t="s">
        <v>1081</v>
      </c>
      <c r="U3424" s="24" t="s">
        <v>1081</v>
      </c>
      <c r="V3424" s="69"/>
      <c r="W3424" s="25">
        <f>IFERROR(VLOOKUP(BCP_Soles[[#This Row],[DESTINATARIO]],CHOOSE({1,2},Clientes_Proveedores[Razon Social],Clientes_Proveedores[Ruc / Dni]),2,0),"")</f>
        <v>20558226979</v>
      </c>
      <c r="X3424" s="25"/>
      <c r="Y3424" s="25"/>
      <c r="Z3424" s="25"/>
      <c r="AA3424" s="101"/>
      <c r="AB3424" s="212" t="str">
        <f>IF(BCP_Soles[[#This Row],[FECHA]]&gt;0,TEXT(BCP_Soles[[#This Row],[FECHA]],"mmmm"),0)</f>
        <v>Agosto</v>
      </c>
    </row>
    <row r="3425" spans="2:28" x14ac:dyDescent="0.3">
      <c r="B3425" s="206">
        <f>IF(BCP_Soles[[#This Row],[TIPO DE R.]]="R",COUNTIFS($D$4:$D3424,"R")+1,"")</f>
        <v>2357</v>
      </c>
      <c r="C3425" s="19" t="str">
        <f t="shared" si="270"/>
        <v>B-BCP - Soles</v>
      </c>
      <c r="D3425" s="3" t="s">
        <v>1074</v>
      </c>
      <c r="E3425" s="224">
        <v>45898</v>
      </c>
      <c r="F3425" s="5" t="s">
        <v>247</v>
      </c>
      <c r="G3425" s="5" t="s">
        <v>1087</v>
      </c>
      <c r="H3425" s="6" t="s">
        <v>368</v>
      </c>
      <c r="I3425" s="6" t="s">
        <v>14</v>
      </c>
      <c r="J3425" s="6" t="s">
        <v>1521</v>
      </c>
      <c r="K3425" s="6">
        <v>135</v>
      </c>
      <c r="L3425" s="7" t="s">
        <v>7994</v>
      </c>
      <c r="M3425" s="210">
        <v>2277693</v>
      </c>
      <c r="N3425" s="210" t="str">
        <f t="shared" si="271"/>
        <v>PEN</v>
      </c>
      <c r="O3425" s="13"/>
      <c r="P3425" s="211">
        <v>2359.4299999999998</v>
      </c>
      <c r="Q3425" s="212">
        <f t="shared" si="272"/>
        <v>2359.4299999999998</v>
      </c>
      <c r="R3425" s="212">
        <f t="shared" si="273"/>
        <v>0</v>
      </c>
      <c r="S3425" s="201">
        <f t="shared" si="269"/>
        <v>38639.179999999993</v>
      </c>
      <c r="T3425" s="24" t="s">
        <v>1081</v>
      </c>
      <c r="U3425" s="24" t="s">
        <v>1081</v>
      </c>
      <c r="V3425" s="69"/>
      <c r="W3425" s="25">
        <f>IFERROR(VLOOKUP(BCP_Soles[[#This Row],[DESTINATARIO]],CHOOSE({1,2},Clientes_Proveedores[Razon Social],Clientes_Proveedores[Ruc / Dni]),2,0),"")</f>
        <v>20558226979</v>
      </c>
      <c r="X3425" s="25"/>
      <c r="Y3425" s="25"/>
      <c r="Z3425" s="25"/>
      <c r="AA3425" s="101"/>
      <c r="AB3425" s="212" t="str">
        <f>IF(BCP_Soles[[#This Row],[FECHA]]&gt;0,TEXT(BCP_Soles[[#This Row],[FECHA]],"mmmm"),0)</f>
        <v>Agosto</v>
      </c>
    </row>
    <row r="3426" spans="2:28" x14ac:dyDescent="0.3">
      <c r="B3426" s="206">
        <f>IF(BCP_Soles[[#This Row],[TIPO DE R.]]="R",COUNTIFS($D$4:$D3425,"R")+1,"")</f>
        <v>2358</v>
      </c>
      <c r="C3426" s="19" t="str">
        <f t="shared" si="270"/>
        <v>B-BCP - Soles</v>
      </c>
      <c r="D3426" s="3" t="s">
        <v>1074</v>
      </c>
      <c r="E3426" s="224">
        <v>45898</v>
      </c>
      <c r="F3426" s="5"/>
      <c r="G3426" s="5" t="s">
        <v>1087</v>
      </c>
      <c r="H3426" s="6" t="s">
        <v>368</v>
      </c>
      <c r="I3426" s="6"/>
      <c r="J3426" s="6"/>
      <c r="K3426" s="6"/>
      <c r="L3426" s="7" t="s">
        <v>7996</v>
      </c>
      <c r="M3426" s="210">
        <v>2399838</v>
      </c>
      <c r="N3426" s="210" t="str">
        <f t="shared" si="271"/>
        <v>PEN</v>
      </c>
      <c r="O3426" s="13"/>
      <c r="P3426" s="211">
        <v>52860</v>
      </c>
      <c r="Q3426" s="212">
        <f t="shared" si="272"/>
        <v>52860</v>
      </c>
      <c r="R3426" s="212">
        <f t="shared" si="273"/>
        <v>0</v>
      </c>
      <c r="S3426" s="201">
        <f t="shared" si="269"/>
        <v>91499.18</v>
      </c>
      <c r="T3426" s="24"/>
      <c r="U3426" s="213"/>
      <c r="V3426" s="69"/>
      <c r="W3426" s="25">
        <f>IFERROR(VLOOKUP(BCP_Soles[[#This Row],[DESTINATARIO]],CHOOSE({1,2},Clientes_Proveedores[Razon Social],Clientes_Proveedores[Ruc / Dni]),2,0),"")</f>
        <v>20558226979</v>
      </c>
      <c r="X3426" s="25"/>
      <c r="Y3426" s="25"/>
      <c r="Z3426" s="25"/>
      <c r="AA3426" s="101"/>
      <c r="AB3426" s="212" t="str">
        <f>IF(BCP_Soles[[#This Row],[FECHA]]&gt;0,TEXT(BCP_Soles[[#This Row],[FECHA]],"mmmm"),0)</f>
        <v>Agosto</v>
      </c>
    </row>
    <row r="3427" spans="2:28" x14ac:dyDescent="0.3">
      <c r="B3427" s="206">
        <f>IF(BCP_Soles[[#This Row],[TIPO DE R.]]="R",COUNTIFS($D$4:$D3426,"R")+1,"")</f>
        <v>2359</v>
      </c>
      <c r="C3427" s="19" t="str">
        <f t="shared" si="270"/>
        <v>B-BCP - Soles</v>
      </c>
      <c r="D3427" s="3" t="s">
        <v>1074</v>
      </c>
      <c r="E3427" s="224">
        <v>45898</v>
      </c>
      <c r="F3427" s="5" t="s">
        <v>494</v>
      </c>
      <c r="G3427" s="5" t="s">
        <v>1087</v>
      </c>
      <c r="H3427" s="6" t="s">
        <v>368</v>
      </c>
      <c r="I3427" s="6" t="s">
        <v>14</v>
      </c>
      <c r="J3427" s="6" t="s">
        <v>3458</v>
      </c>
      <c r="K3427" s="6">
        <v>10</v>
      </c>
      <c r="L3427" s="205" t="s">
        <v>1100</v>
      </c>
      <c r="M3427" s="210">
        <v>5684462</v>
      </c>
      <c r="N3427" s="210" t="str">
        <f t="shared" si="271"/>
        <v>PEN</v>
      </c>
      <c r="O3427" s="13"/>
      <c r="P3427" s="211">
        <v>5192</v>
      </c>
      <c r="Q3427" s="212">
        <f t="shared" si="272"/>
        <v>5192</v>
      </c>
      <c r="R3427" s="212">
        <f t="shared" si="273"/>
        <v>0</v>
      </c>
      <c r="S3427" s="201">
        <f t="shared" si="269"/>
        <v>96691.18</v>
      </c>
      <c r="T3427" s="24" t="s">
        <v>1081</v>
      </c>
      <c r="U3427" s="213"/>
      <c r="V3427" s="69"/>
      <c r="W3427" s="25">
        <f>IFERROR(VLOOKUP(BCP_Soles[[#This Row],[DESTINATARIO]],CHOOSE({1,2},Clientes_Proveedores[Razon Social],Clientes_Proveedores[Ruc / Dni]),2,0),"")</f>
        <v>20558226979</v>
      </c>
      <c r="X3427" s="25"/>
      <c r="Y3427" s="25"/>
      <c r="Z3427" s="25"/>
      <c r="AA3427" s="101"/>
      <c r="AB3427" s="212" t="str">
        <f>IF(BCP_Soles[[#This Row],[FECHA]]&gt;0,TEXT(BCP_Soles[[#This Row],[FECHA]],"mmmm"),0)</f>
        <v>Agosto</v>
      </c>
    </row>
    <row r="3428" spans="2:28" x14ac:dyDescent="0.3">
      <c r="B3428" s="206">
        <f>IF(BCP_Soles[[#This Row],[TIPO DE R.]]="R",COUNTIFS($D$4:$D3427,"R")+1,"")</f>
        <v>2360</v>
      </c>
      <c r="C3428" s="19" t="str">
        <f t="shared" si="270"/>
        <v>B-BCP - Soles</v>
      </c>
      <c r="D3428" s="3" t="s">
        <v>1074</v>
      </c>
      <c r="E3428" s="224">
        <v>45898</v>
      </c>
      <c r="F3428" s="5"/>
      <c r="G3428" s="5" t="s">
        <v>1087</v>
      </c>
      <c r="H3428" s="6" t="s">
        <v>368</v>
      </c>
      <c r="I3428" s="6"/>
      <c r="J3428" s="6"/>
      <c r="K3428" s="6"/>
      <c r="L3428" s="7" t="s">
        <v>7979</v>
      </c>
      <c r="M3428" s="210">
        <v>85014</v>
      </c>
      <c r="N3428" s="210" t="str">
        <f t="shared" si="271"/>
        <v>PEN</v>
      </c>
      <c r="O3428" s="13"/>
      <c r="P3428" s="211">
        <v>5000</v>
      </c>
      <c r="Q3428" s="212">
        <f t="shared" si="272"/>
        <v>5000</v>
      </c>
      <c r="R3428" s="212">
        <f t="shared" si="273"/>
        <v>0</v>
      </c>
      <c r="S3428" s="201">
        <f t="shared" si="269"/>
        <v>101691.18</v>
      </c>
      <c r="T3428" s="24" t="s">
        <v>1081</v>
      </c>
      <c r="U3428" s="213"/>
      <c r="V3428" s="69"/>
      <c r="W3428" s="25">
        <f>IFERROR(VLOOKUP(BCP_Soles[[#This Row],[DESTINATARIO]],CHOOSE({1,2},Clientes_Proveedores[Razon Social],Clientes_Proveedores[Ruc / Dni]),2,0),"")</f>
        <v>20558226979</v>
      </c>
      <c r="X3428" s="25"/>
      <c r="Y3428" s="25"/>
      <c r="Z3428" s="25"/>
      <c r="AA3428" s="101"/>
      <c r="AB3428" s="212" t="str">
        <f>IF(BCP_Soles[[#This Row],[FECHA]]&gt;0,TEXT(BCP_Soles[[#This Row],[FECHA]],"mmmm"),0)</f>
        <v>Agosto</v>
      </c>
    </row>
    <row r="3429" spans="2:28" ht="24" x14ac:dyDescent="0.3">
      <c r="B3429" s="206" t="str">
        <f>IF(BCP_Soles[[#This Row],[TIPO DE R.]]="R",COUNTIFS($D$4:$D3428,"R")+1,"")</f>
        <v/>
      </c>
      <c r="C3429" s="19" t="str">
        <f t="shared" si="270"/>
        <v>B-BCP - Soles</v>
      </c>
      <c r="D3429" s="3" t="s">
        <v>1101</v>
      </c>
      <c r="E3429" s="224">
        <v>45898</v>
      </c>
      <c r="F3429" s="5" t="s">
        <v>252</v>
      </c>
      <c r="G3429" s="5"/>
      <c r="H3429" s="6"/>
      <c r="I3429" s="6" t="s">
        <v>63</v>
      </c>
      <c r="J3429" s="6">
        <v>1</v>
      </c>
      <c r="K3429" s="6">
        <v>4705</v>
      </c>
      <c r="L3429" s="7" t="s">
        <v>7979</v>
      </c>
      <c r="M3429" s="210">
        <v>85014</v>
      </c>
      <c r="N3429" s="210" t="str">
        <f t="shared" si="271"/>
        <v>PEN</v>
      </c>
      <c r="O3429" s="13">
        <v>634</v>
      </c>
      <c r="P3429" s="211"/>
      <c r="Q3429" s="212">
        <f t="shared" si="272"/>
        <v>0</v>
      </c>
      <c r="R3429" s="212">
        <f t="shared" si="273"/>
        <v>0</v>
      </c>
      <c r="S3429" s="201">
        <f t="shared" si="269"/>
        <v>101691.18</v>
      </c>
      <c r="T3429" s="24" t="s">
        <v>1081</v>
      </c>
      <c r="U3429" s="213"/>
      <c r="V3429" s="69"/>
      <c r="W3429" s="25" t="str">
        <f>IFERROR(VLOOKUP(BCP_Soles[[#This Row],[DESTINATARIO]],CHOOSE({1,2},Clientes_Proveedores[Razon Social],Clientes_Proveedores[Ruc / Dni]),2,0),"")</f>
        <v/>
      </c>
      <c r="X3429" s="25"/>
      <c r="Y3429" s="25"/>
      <c r="Z3429" s="25"/>
      <c r="AA3429" s="101"/>
      <c r="AB3429" s="212" t="str">
        <f>IF(BCP_Soles[[#This Row],[FECHA]]&gt;0,TEXT(BCP_Soles[[#This Row],[FECHA]],"mmmm"),0)</f>
        <v>Agosto</v>
      </c>
    </row>
    <row r="3430" spans="2:28" ht="24" x14ac:dyDescent="0.3">
      <c r="B3430" s="206" t="str">
        <f>IF(BCP_Soles[[#This Row],[TIPO DE R.]]="R",COUNTIFS($D$4:$D3429,"R")+1,"")</f>
        <v/>
      </c>
      <c r="C3430" s="19" t="str">
        <f t="shared" si="270"/>
        <v>B-BCP - Soles</v>
      </c>
      <c r="D3430" s="3" t="s">
        <v>1101</v>
      </c>
      <c r="E3430" s="224">
        <v>45898</v>
      </c>
      <c r="F3430" s="5" t="s">
        <v>252</v>
      </c>
      <c r="G3430" s="5"/>
      <c r="H3430" s="6"/>
      <c r="I3430" s="6" t="s">
        <v>63</v>
      </c>
      <c r="J3430" s="6">
        <v>1</v>
      </c>
      <c r="K3430" s="6">
        <v>4706</v>
      </c>
      <c r="L3430" s="7" t="s">
        <v>7979</v>
      </c>
      <c r="M3430" s="210">
        <v>85014</v>
      </c>
      <c r="N3430" s="210" t="str">
        <f t="shared" si="271"/>
        <v>PEN</v>
      </c>
      <c r="O3430" s="13">
        <v>4366</v>
      </c>
      <c r="P3430" s="211"/>
      <c r="Q3430" s="212">
        <f t="shared" si="272"/>
        <v>0</v>
      </c>
      <c r="R3430" s="212">
        <f t="shared" si="273"/>
        <v>0</v>
      </c>
      <c r="S3430" s="201">
        <f t="shared" ref="S3430:S3431" si="274">IFERROR(IF(G3430="SALDO",Q3430,S3429+Q3430-R3430),0)</f>
        <v>101691.18</v>
      </c>
      <c r="T3430" s="24" t="s">
        <v>1081</v>
      </c>
      <c r="U3430" s="213"/>
      <c r="V3430" s="69"/>
      <c r="W3430" s="25" t="str">
        <f>IFERROR(VLOOKUP(BCP_Soles[[#This Row],[DESTINATARIO]],CHOOSE({1,2},Clientes_Proveedores[Razon Social],Clientes_Proveedores[Ruc / Dni]),2,0),"")</f>
        <v/>
      </c>
      <c r="X3430" s="25"/>
      <c r="Y3430" s="25"/>
      <c r="Z3430" s="25"/>
      <c r="AA3430" s="101"/>
      <c r="AB3430" s="212" t="str">
        <f>IF(BCP_Soles[[#This Row],[FECHA]]&gt;0,TEXT(BCP_Soles[[#This Row],[FECHA]],"mmmm"),0)</f>
        <v>Agosto</v>
      </c>
    </row>
    <row r="3431" spans="2:28" x14ac:dyDescent="0.3">
      <c r="B3431" s="206">
        <f>IF(BCP_Soles[[#This Row],[TIPO DE R.]]="R",COUNTIFS($D$4:$D3430,"R")+1,"")</f>
        <v>2361</v>
      </c>
      <c r="C3431" s="19" t="str">
        <f t="shared" si="270"/>
        <v>B-BCP - Soles</v>
      </c>
      <c r="D3431" s="3" t="s">
        <v>1074</v>
      </c>
      <c r="E3431" s="224">
        <v>45898</v>
      </c>
      <c r="F3431" s="5" t="s">
        <v>494</v>
      </c>
      <c r="G3431" s="5" t="s">
        <v>1087</v>
      </c>
      <c r="H3431" s="6" t="s">
        <v>368</v>
      </c>
      <c r="I3431" s="6" t="s">
        <v>14</v>
      </c>
      <c r="J3431" s="6" t="s">
        <v>3458</v>
      </c>
      <c r="K3431" s="6">
        <v>12</v>
      </c>
      <c r="L3431" s="205" t="s">
        <v>1100</v>
      </c>
      <c r="M3431" s="210">
        <v>5757655</v>
      </c>
      <c r="N3431" s="210" t="str">
        <f t="shared" si="271"/>
        <v>PEN</v>
      </c>
      <c r="O3431" s="13"/>
      <c r="P3431" s="211">
        <v>3186</v>
      </c>
      <c r="Q3431" s="212">
        <f t="shared" si="272"/>
        <v>3186</v>
      </c>
      <c r="R3431" s="212">
        <f t="shared" si="273"/>
        <v>0</v>
      </c>
      <c r="S3431" s="201">
        <f t="shared" si="274"/>
        <v>104877.18</v>
      </c>
      <c r="T3431" s="24" t="s">
        <v>1081</v>
      </c>
      <c r="U3431" s="213"/>
      <c r="V3431" s="69"/>
      <c r="W3431" s="25">
        <f>IFERROR(VLOOKUP(BCP_Soles[[#This Row],[DESTINATARIO]],CHOOSE({1,2},Clientes_Proveedores[Razon Social],Clientes_Proveedores[Ruc / Dni]),2,0),"")</f>
        <v>20558226979</v>
      </c>
      <c r="X3431" s="25"/>
      <c r="Y3431" s="25"/>
      <c r="Z3431" s="25"/>
      <c r="AA3431" s="101"/>
      <c r="AB3431" s="212" t="str">
        <f>IF(BCP_Soles[[#This Row],[FECHA]]&gt;0,TEXT(BCP_Soles[[#This Row],[FECHA]],"mmmm"),0)</f>
        <v>Agosto</v>
      </c>
    </row>
    <row r="3432" spans="2:28" x14ac:dyDescent="0.3">
      <c r="B3432" s="206">
        <f>IF(BCP_Soles[[#This Row],[TIPO DE R.]]="R",COUNTIFS($D$4:$D3431,"R")+1,"")</f>
        <v>2362</v>
      </c>
      <c r="C3432" s="19" t="str">
        <f t="shared" si="270"/>
        <v>B-BCP - Soles</v>
      </c>
      <c r="D3432" s="3" t="s">
        <v>1074</v>
      </c>
      <c r="E3432" s="224">
        <v>45898</v>
      </c>
      <c r="F3432" s="5" t="s">
        <v>494</v>
      </c>
      <c r="G3432" s="5" t="s">
        <v>1087</v>
      </c>
      <c r="H3432" s="6" t="s">
        <v>368</v>
      </c>
      <c r="I3432" s="6" t="s">
        <v>14</v>
      </c>
      <c r="J3432" s="6" t="s">
        <v>3458</v>
      </c>
      <c r="K3432" s="6">
        <v>11</v>
      </c>
      <c r="L3432" s="205" t="s">
        <v>1100</v>
      </c>
      <c r="M3432" s="210">
        <v>5733620</v>
      </c>
      <c r="N3432" s="210" t="str">
        <f t="shared" si="271"/>
        <v>PEN</v>
      </c>
      <c r="O3432" s="13"/>
      <c r="P3432" s="211">
        <v>2832</v>
      </c>
      <c r="Q3432" s="212">
        <f t="shared" si="272"/>
        <v>2832</v>
      </c>
      <c r="R3432" s="212">
        <f t="shared" si="273"/>
        <v>0</v>
      </c>
      <c r="S3432" s="201">
        <f t="shared" ref="S3432:S3470" si="275">IFERROR(IF(G3432="SALDO",Q3432,S3431+Q3432-R3432),0)</f>
        <v>107709.18</v>
      </c>
      <c r="T3432" s="24" t="s">
        <v>1081</v>
      </c>
      <c r="U3432" s="213"/>
      <c r="V3432" s="69"/>
      <c r="W3432" s="25">
        <f>IFERROR(VLOOKUP(BCP_Soles[[#This Row],[DESTINATARIO]],CHOOSE({1,2},Clientes_Proveedores[Razon Social],Clientes_Proveedores[Ruc / Dni]),2,0),"")</f>
        <v>20558226979</v>
      </c>
      <c r="X3432" s="25"/>
      <c r="Y3432" s="25"/>
      <c r="Z3432" s="25"/>
      <c r="AA3432" s="101"/>
      <c r="AB3432" s="212" t="str">
        <f>IF(BCP_Soles[[#This Row],[FECHA]]&gt;0,TEXT(BCP_Soles[[#This Row],[FECHA]],"mmmm"),0)</f>
        <v>Agosto</v>
      </c>
    </row>
    <row r="3433" spans="2:28" x14ac:dyDescent="0.3">
      <c r="B3433" s="206">
        <f>IF(BCP_Soles[[#This Row],[TIPO DE R.]]="R",COUNTIFS($D$4:$D3432,"R")+1,"")</f>
        <v>2363</v>
      </c>
      <c r="C3433" s="19" t="str">
        <f t="shared" si="270"/>
        <v>B-BCP - Soles</v>
      </c>
      <c r="D3433" s="3" t="s">
        <v>1074</v>
      </c>
      <c r="E3433" s="224">
        <v>45898</v>
      </c>
      <c r="F3433" s="5" t="s">
        <v>494</v>
      </c>
      <c r="G3433" s="5" t="s">
        <v>1087</v>
      </c>
      <c r="H3433" s="6" t="s">
        <v>368</v>
      </c>
      <c r="I3433" s="6" t="s">
        <v>14</v>
      </c>
      <c r="J3433" s="6" t="s">
        <v>3458</v>
      </c>
      <c r="K3433" s="6">
        <v>13</v>
      </c>
      <c r="L3433" s="205" t="s">
        <v>1100</v>
      </c>
      <c r="M3433" s="210">
        <v>5775602</v>
      </c>
      <c r="N3433" s="210" t="str">
        <f t="shared" si="271"/>
        <v>PEN</v>
      </c>
      <c r="O3433" s="13"/>
      <c r="P3433" s="211">
        <v>2655</v>
      </c>
      <c r="Q3433" s="212">
        <f t="shared" si="272"/>
        <v>2655</v>
      </c>
      <c r="R3433" s="212">
        <f t="shared" si="273"/>
        <v>0</v>
      </c>
      <c r="S3433" s="201">
        <f t="shared" si="275"/>
        <v>110364.18</v>
      </c>
      <c r="T3433" s="24" t="s">
        <v>1081</v>
      </c>
      <c r="U3433" s="213"/>
      <c r="V3433" s="69"/>
      <c r="W3433" s="25">
        <f>IFERROR(VLOOKUP(BCP_Soles[[#This Row],[DESTINATARIO]],CHOOSE({1,2},Clientes_Proveedores[Razon Social],Clientes_Proveedores[Ruc / Dni]),2,0),"")</f>
        <v>20558226979</v>
      </c>
      <c r="X3433" s="25"/>
      <c r="Y3433" s="25"/>
      <c r="Z3433" s="25"/>
      <c r="AA3433" s="101"/>
      <c r="AB3433" s="212" t="str">
        <f>IF(BCP_Soles[[#This Row],[FECHA]]&gt;0,TEXT(BCP_Soles[[#This Row],[FECHA]],"mmmm"),0)</f>
        <v>Agosto</v>
      </c>
    </row>
    <row r="3434" spans="2:28" x14ac:dyDescent="0.3">
      <c r="B3434" s="206">
        <f>IF(BCP_Soles[[#This Row],[TIPO DE R.]]="R",COUNTIFS($D$4:$D3433,"R")+1,"")</f>
        <v>2364</v>
      </c>
      <c r="C3434" s="19" t="str">
        <f t="shared" si="270"/>
        <v>B-BCP - Soles</v>
      </c>
      <c r="D3434" s="3" t="s">
        <v>1074</v>
      </c>
      <c r="E3434" s="224">
        <v>45898</v>
      </c>
      <c r="F3434" s="5"/>
      <c r="G3434" s="5" t="s">
        <v>1087</v>
      </c>
      <c r="H3434" s="6" t="s">
        <v>368</v>
      </c>
      <c r="I3434" s="6"/>
      <c r="J3434" s="6"/>
      <c r="K3434" s="6"/>
      <c r="L3434" s="205" t="s">
        <v>1352</v>
      </c>
      <c r="M3434" s="210">
        <v>8734</v>
      </c>
      <c r="N3434" s="210" t="str">
        <f t="shared" si="271"/>
        <v>PEN</v>
      </c>
      <c r="O3434" s="13"/>
      <c r="P3434" s="211">
        <v>2190</v>
      </c>
      <c r="Q3434" s="212">
        <f t="shared" si="272"/>
        <v>2190</v>
      </c>
      <c r="R3434" s="212">
        <f t="shared" si="273"/>
        <v>0</v>
      </c>
      <c r="S3434" s="201">
        <f t="shared" si="275"/>
        <v>112554.18</v>
      </c>
      <c r="T3434" s="24"/>
      <c r="U3434" s="213"/>
      <c r="V3434" s="69"/>
      <c r="W3434" s="25">
        <f>IFERROR(VLOOKUP(BCP_Soles[[#This Row],[DESTINATARIO]],CHOOSE({1,2},Clientes_Proveedores[Razon Social],Clientes_Proveedores[Ruc / Dni]),2,0),"")</f>
        <v>20558226979</v>
      </c>
      <c r="X3434" s="25"/>
      <c r="Y3434" s="25"/>
      <c r="Z3434" s="25"/>
      <c r="AA3434" s="101"/>
      <c r="AB3434" s="212" t="str">
        <f>IF(BCP_Soles[[#This Row],[FECHA]]&gt;0,TEXT(BCP_Soles[[#This Row],[FECHA]],"mmmm"),0)</f>
        <v>Agosto</v>
      </c>
    </row>
    <row r="3435" spans="2:28" x14ac:dyDescent="0.3">
      <c r="B3435" s="206">
        <f>IF(BCP_Soles[[#This Row],[TIPO DE R.]]="R",COUNTIFS($D$4:$D3434,"R")+1,"")</f>
        <v>2365</v>
      </c>
      <c r="C3435" s="19" t="str">
        <f t="shared" si="270"/>
        <v>B-BCP - Soles</v>
      </c>
      <c r="D3435" s="3" t="s">
        <v>1074</v>
      </c>
      <c r="E3435" s="224">
        <v>45898</v>
      </c>
      <c r="F3435" s="5" t="s">
        <v>494</v>
      </c>
      <c r="G3435" s="5" t="s">
        <v>1087</v>
      </c>
      <c r="H3435" s="6" t="s">
        <v>368</v>
      </c>
      <c r="I3435" s="6" t="s">
        <v>14</v>
      </c>
      <c r="J3435" s="6" t="s">
        <v>3458</v>
      </c>
      <c r="K3435" s="6">
        <v>14</v>
      </c>
      <c r="L3435" s="205" t="s">
        <v>1100</v>
      </c>
      <c r="M3435" s="210">
        <v>5770668</v>
      </c>
      <c r="N3435" s="210" t="str">
        <f t="shared" si="271"/>
        <v>PEN</v>
      </c>
      <c r="O3435" s="13"/>
      <c r="P3435" s="211">
        <v>1180</v>
      </c>
      <c r="Q3435" s="212">
        <f t="shared" si="272"/>
        <v>1180</v>
      </c>
      <c r="R3435" s="212">
        <f t="shared" si="273"/>
        <v>0</v>
      </c>
      <c r="S3435" s="201">
        <f t="shared" si="275"/>
        <v>113734.18</v>
      </c>
      <c r="T3435" s="24" t="s">
        <v>1081</v>
      </c>
      <c r="U3435" s="213"/>
      <c r="V3435" s="69"/>
      <c r="W3435" s="25">
        <f>IFERROR(VLOOKUP(BCP_Soles[[#This Row],[DESTINATARIO]],CHOOSE({1,2},Clientes_Proveedores[Razon Social],Clientes_Proveedores[Ruc / Dni]),2,0),"")</f>
        <v>20558226979</v>
      </c>
      <c r="X3435" s="25"/>
      <c r="Y3435" s="25"/>
      <c r="Z3435" s="25"/>
      <c r="AA3435" s="101"/>
      <c r="AB3435" s="212" t="str">
        <f>IF(BCP_Soles[[#This Row],[FECHA]]&gt;0,TEXT(BCP_Soles[[#This Row],[FECHA]],"mmmm"),0)</f>
        <v>Agosto</v>
      </c>
    </row>
    <row r="3436" spans="2:28" x14ac:dyDescent="0.3">
      <c r="B3436" s="206">
        <f>IF(BCP_Soles[[#This Row],[TIPO DE R.]]="R",COUNTIFS($D$4:$D3435,"R")+1,"")</f>
        <v>2366</v>
      </c>
      <c r="C3436" s="19" t="str">
        <f t="shared" si="270"/>
        <v>B-BCP - Soles</v>
      </c>
      <c r="D3436" s="3" t="s">
        <v>1074</v>
      </c>
      <c r="E3436" s="224">
        <v>45898</v>
      </c>
      <c r="F3436" s="5" t="s">
        <v>1251</v>
      </c>
      <c r="G3436" s="5" t="s">
        <v>1087</v>
      </c>
      <c r="H3436" s="6" t="s">
        <v>368</v>
      </c>
      <c r="I3436" s="6"/>
      <c r="J3436" s="6"/>
      <c r="K3436" s="6"/>
      <c r="L3436" s="7" t="s">
        <v>8043</v>
      </c>
      <c r="M3436" s="210">
        <v>4578477</v>
      </c>
      <c r="N3436" s="210" t="str">
        <f t="shared" si="271"/>
        <v>PEN</v>
      </c>
      <c r="O3436" s="13"/>
      <c r="P3436" s="211">
        <v>300</v>
      </c>
      <c r="Q3436" s="212">
        <f t="shared" si="272"/>
        <v>300</v>
      </c>
      <c r="R3436" s="212">
        <f t="shared" si="273"/>
        <v>0</v>
      </c>
      <c r="S3436" s="201">
        <f t="shared" si="275"/>
        <v>114034.18</v>
      </c>
      <c r="T3436" s="24"/>
      <c r="U3436" s="213"/>
      <c r="V3436" s="69"/>
      <c r="W3436" s="25">
        <f>IFERROR(VLOOKUP(BCP_Soles[[#This Row],[DESTINATARIO]],CHOOSE({1,2},Clientes_Proveedores[Razon Social],Clientes_Proveedores[Ruc / Dni]),2,0),"")</f>
        <v>20558226979</v>
      </c>
      <c r="X3436" s="25"/>
      <c r="Y3436" s="25"/>
      <c r="Z3436" s="25"/>
      <c r="AA3436" s="101"/>
      <c r="AB3436" s="212" t="str">
        <f>IF(BCP_Soles[[#This Row],[FECHA]]&gt;0,TEXT(BCP_Soles[[#This Row],[FECHA]],"mmmm"),0)</f>
        <v>Agosto</v>
      </c>
    </row>
    <row r="3437" spans="2:28" x14ac:dyDescent="0.3">
      <c r="B3437" s="206">
        <f>IF(BCP_Soles[[#This Row],[TIPO DE R.]]="R",COUNTIFS($D$4:$D3436,"R")+1,"")</f>
        <v>2367</v>
      </c>
      <c r="C3437" s="19" t="str">
        <f t="shared" si="270"/>
        <v>B-BCP - Soles</v>
      </c>
      <c r="D3437" s="3" t="s">
        <v>1074</v>
      </c>
      <c r="E3437" s="207">
        <v>45898</v>
      </c>
      <c r="F3437" s="5" t="s">
        <v>3556</v>
      </c>
      <c r="G3437" s="5" t="s">
        <v>1079</v>
      </c>
      <c r="H3437" s="6"/>
      <c r="I3437" s="6"/>
      <c r="J3437" s="6"/>
      <c r="K3437" s="6"/>
      <c r="L3437" s="7" t="s">
        <v>7980</v>
      </c>
      <c r="M3437" s="210">
        <v>1001518</v>
      </c>
      <c r="N3437" s="210" t="str">
        <f t="shared" si="271"/>
        <v>PEN</v>
      </c>
      <c r="O3437" s="13"/>
      <c r="P3437" s="211">
        <v>1098</v>
      </c>
      <c r="Q3437" s="212">
        <f t="shared" si="272"/>
        <v>0</v>
      </c>
      <c r="R3437" s="212">
        <f t="shared" si="273"/>
        <v>1098</v>
      </c>
      <c r="S3437" s="201">
        <f t="shared" si="275"/>
        <v>112936.18</v>
      </c>
      <c r="T3437" s="213"/>
      <c r="U3437" s="213"/>
      <c r="V3437" s="69"/>
      <c r="W3437" s="25" t="str">
        <f>IFERROR(VLOOKUP(BCP_Soles[[#This Row],[DESTINATARIO]],CHOOSE({1,2},Clientes_Proveedores[Razon Social],Clientes_Proveedores[Ruc / Dni]),2,0),"")</f>
        <v/>
      </c>
      <c r="X3437" s="25"/>
      <c r="Y3437" s="25"/>
      <c r="Z3437" s="25"/>
      <c r="AA3437" s="101"/>
      <c r="AB3437" s="212" t="str">
        <f>IF(BCP_Soles[[#This Row],[FECHA]]&gt;0,TEXT(BCP_Soles[[#This Row],[FECHA]],"mmmm"),0)</f>
        <v>Agosto</v>
      </c>
    </row>
    <row r="3438" spans="2:28" x14ac:dyDescent="0.3">
      <c r="B3438" s="206">
        <f>IF(BCP_Soles[[#This Row],[TIPO DE R.]]="R",COUNTIFS($D$4:$D3437,"R")+1,"")</f>
        <v>2368</v>
      </c>
      <c r="C3438" s="19" t="str">
        <f t="shared" si="265"/>
        <v>B-BCP - Soles</v>
      </c>
      <c r="D3438" s="3" t="s">
        <v>1074</v>
      </c>
      <c r="E3438" s="207">
        <v>45898</v>
      </c>
      <c r="F3438" s="5" t="s">
        <v>3556</v>
      </c>
      <c r="G3438" s="5" t="s">
        <v>1079</v>
      </c>
      <c r="H3438" s="6"/>
      <c r="I3438" s="6"/>
      <c r="J3438" s="6"/>
      <c r="K3438" s="6"/>
      <c r="L3438" s="7" t="s">
        <v>7981</v>
      </c>
      <c r="M3438" s="210">
        <v>1001599</v>
      </c>
      <c r="N3438" s="210" t="str">
        <f t="shared" si="266"/>
        <v>PEN</v>
      </c>
      <c r="O3438" s="13"/>
      <c r="P3438" s="211">
        <v>866</v>
      </c>
      <c r="Q3438" s="212">
        <f t="shared" si="267"/>
        <v>0</v>
      </c>
      <c r="R3438" s="212">
        <f t="shared" si="268"/>
        <v>866</v>
      </c>
      <c r="S3438" s="201">
        <f t="shared" si="275"/>
        <v>112070.18</v>
      </c>
      <c r="T3438" s="213"/>
      <c r="U3438" s="213"/>
      <c r="V3438" s="69"/>
      <c r="W3438" s="25" t="str">
        <f>IFERROR(VLOOKUP(BCP_Soles[[#This Row],[DESTINATARIO]],CHOOSE({1,2},Clientes_Proveedores[Razon Social],Clientes_Proveedores[Ruc / Dni]),2,0),"")</f>
        <v/>
      </c>
      <c r="X3438" s="25"/>
      <c r="Y3438" s="25"/>
      <c r="Z3438" s="25"/>
      <c r="AA3438" s="101"/>
      <c r="AB3438" s="212" t="str">
        <f>IF(BCP_Soles[[#This Row],[FECHA]]&gt;0,TEXT(BCP_Soles[[#This Row],[FECHA]],"mmmm"),0)</f>
        <v>Agosto</v>
      </c>
    </row>
    <row r="3439" spans="2:28" x14ac:dyDescent="0.3">
      <c r="B3439" s="206">
        <f>IF(BCP_Soles[[#This Row],[TIPO DE R.]]="R",COUNTIFS($D$4:$D3438,"R")+1,"")</f>
        <v>2369</v>
      </c>
      <c r="C3439" s="19" t="str">
        <f t="shared" ref="C3439:C3458" si="276">"B-BCP - Soles"</f>
        <v>B-BCP - Soles</v>
      </c>
      <c r="D3439" s="3" t="s">
        <v>1074</v>
      </c>
      <c r="E3439" s="207">
        <v>45898</v>
      </c>
      <c r="F3439" s="5" t="s">
        <v>2898</v>
      </c>
      <c r="G3439" s="5" t="s">
        <v>1079</v>
      </c>
      <c r="H3439" s="6"/>
      <c r="I3439" s="6"/>
      <c r="J3439" s="6"/>
      <c r="K3439" s="6"/>
      <c r="L3439" s="7" t="s">
        <v>7995</v>
      </c>
      <c r="M3439" s="210">
        <v>1015858</v>
      </c>
      <c r="N3439" s="210" t="str">
        <f t="shared" ref="N3439:N3458" si="277">"PEN"</f>
        <v>PEN</v>
      </c>
      <c r="O3439" s="13"/>
      <c r="P3439" s="211">
        <v>453</v>
      </c>
      <c r="Q3439" s="212">
        <f t="shared" ref="Q3439:Q3458" si="278">+IF(OR($G3439="SALDO",$G3439="INGRESO"),$P3439,0)</f>
        <v>0</v>
      </c>
      <c r="R3439" s="212">
        <f t="shared" ref="R3439:R3458" si="279">+IF($G3439="EGRESO",$P3439,0)</f>
        <v>453</v>
      </c>
      <c r="S3439" s="201">
        <f t="shared" si="275"/>
        <v>111617.18</v>
      </c>
      <c r="T3439" s="232" t="s">
        <v>1081</v>
      </c>
      <c r="U3439" s="232" t="s">
        <v>1081</v>
      </c>
      <c r="V3439" s="69"/>
      <c r="W3439" s="25" t="str">
        <f>IFERROR(VLOOKUP(BCP_Soles[[#This Row],[DESTINATARIO]],CHOOSE({1,2},Clientes_Proveedores[Razon Social],Clientes_Proveedores[Ruc / Dni]),2,0),"")</f>
        <v/>
      </c>
      <c r="X3439" s="25"/>
      <c r="Y3439" s="25"/>
      <c r="Z3439" s="25"/>
      <c r="AA3439" s="101"/>
      <c r="AB3439" s="212" t="str">
        <f>IF(BCP_Soles[[#This Row],[FECHA]]&gt;0,TEXT(BCP_Soles[[#This Row],[FECHA]],"mmmm"),0)</f>
        <v>Agosto</v>
      </c>
    </row>
    <row r="3440" spans="2:28" x14ac:dyDescent="0.3">
      <c r="B3440" s="206" t="str">
        <f>IF(BCP_Soles[[#This Row],[TIPO DE R.]]="R",COUNTIFS($D$4:$D3439,"R")+1,"")</f>
        <v/>
      </c>
      <c r="C3440" s="19" t="str">
        <f t="shared" si="276"/>
        <v>B-BCP - Soles</v>
      </c>
      <c r="D3440" s="3" t="s">
        <v>1101</v>
      </c>
      <c r="E3440" s="207">
        <v>45898</v>
      </c>
      <c r="F3440" s="5" t="s">
        <v>2898</v>
      </c>
      <c r="G3440" s="5"/>
      <c r="H3440" s="6" t="s">
        <v>139</v>
      </c>
      <c r="I3440" s="6" t="s">
        <v>14</v>
      </c>
      <c r="J3440" s="6" t="s">
        <v>1953</v>
      </c>
      <c r="K3440" s="6">
        <v>6805</v>
      </c>
      <c r="L3440" s="7" t="s">
        <v>7995</v>
      </c>
      <c r="M3440" s="210">
        <v>1015858</v>
      </c>
      <c r="N3440" s="210" t="str">
        <f t="shared" si="277"/>
        <v>PEN</v>
      </c>
      <c r="O3440" s="13">
        <v>8</v>
      </c>
      <c r="P3440" s="211"/>
      <c r="Q3440" s="212">
        <f t="shared" si="278"/>
        <v>0</v>
      </c>
      <c r="R3440" s="212">
        <f t="shared" si="279"/>
        <v>0</v>
      </c>
      <c r="S3440" s="201">
        <f t="shared" si="275"/>
        <v>111617.18</v>
      </c>
      <c r="T3440" s="213" t="s">
        <v>1081</v>
      </c>
      <c r="U3440" s="213" t="s">
        <v>1081</v>
      </c>
      <c r="V3440" s="69"/>
      <c r="W3440" s="25">
        <f>IFERROR(VLOOKUP(BCP_Soles[[#This Row],[DESTINATARIO]],CHOOSE({1,2},Clientes_Proveedores[Razon Social],Clientes_Proveedores[Ruc / Dni]),2,0),"")</f>
        <v>20100055237</v>
      </c>
      <c r="X3440" s="25"/>
      <c r="Y3440" s="25"/>
      <c r="Z3440" s="25"/>
      <c r="AA3440" s="101" t="s">
        <v>3385</v>
      </c>
      <c r="AB3440" s="212" t="str">
        <f>IF(BCP_Soles[[#This Row],[FECHA]]&gt;0,TEXT(BCP_Soles[[#This Row],[FECHA]],"mmmm"),0)</f>
        <v>Agosto</v>
      </c>
    </row>
    <row r="3441" spans="2:28" x14ac:dyDescent="0.3">
      <c r="B3441" s="206" t="str">
        <f>IF(BCP_Soles[[#This Row],[TIPO DE R.]]="R",COUNTIFS($D$4:$D3440,"R")+1,"")</f>
        <v/>
      </c>
      <c r="C3441" s="19" t="str">
        <f t="shared" si="276"/>
        <v>B-BCP - Soles</v>
      </c>
      <c r="D3441" s="3" t="s">
        <v>1101</v>
      </c>
      <c r="E3441" s="207">
        <v>45898</v>
      </c>
      <c r="F3441" s="5" t="s">
        <v>2898</v>
      </c>
      <c r="G3441" s="5"/>
      <c r="H3441" s="6" t="s">
        <v>139</v>
      </c>
      <c r="I3441" s="6" t="s">
        <v>14</v>
      </c>
      <c r="J3441" s="6" t="s">
        <v>1953</v>
      </c>
      <c r="K3441" s="6">
        <v>6806</v>
      </c>
      <c r="L3441" s="7" t="s">
        <v>7995</v>
      </c>
      <c r="M3441" s="210">
        <v>1015858</v>
      </c>
      <c r="N3441" s="210" t="str">
        <f t="shared" si="277"/>
        <v>PEN</v>
      </c>
      <c r="O3441" s="13">
        <v>15</v>
      </c>
      <c r="P3441" s="211"/>
      <c r="Q3441" s="212">
        <f t="shared" si="278"/>
        <v>0</v>
      </c>
      <c r="R3441" s="212">
        <f t="shared" si="279"/>
        <v>0</v>
      </c>
      <c r="S3441" s="201">
        <f t="shared" si="275"/>
        <v>111617.18</v>
      </c>
      <c r="T3441" s="213" t="s">
        <v>1081</v>
      </c>
      <c r="U3441" s="213" t="s">
        <v>1081</v>
      </c>
      <c r="V3441" s="69"/>
      <c r="W3441" s="25">
        <f>IFERROR(VLOOKUP(BCP_Soles[[#This Row],[DESTINATARIO]],CHOOSE({1,2},Clientes_Proveedores[Razon Social],Clientes_Proveedores[Ruc / Dni]),2,0),"")</f>
        <v>20100055237</v>
      </c>
      <c r="X3441" s="25"/>
      <c r="Y3441" s="25"/>
      <c r="Z3441" s="25"/>
      <c r="AA3441" s="101" t="s">
        <v>3385</v>
      </c>
      <c r="AB3441" s="212" t="str">
        <f>IF(BCP_Soles[[#This Row],[FECHA]]&gt;0,TEXT(BCP_Soles[[#This Row],[FECHA]],"mmmm"),0)</f>
        <v>Agosto</v>
      </c>
    </row>
    <row r="3442" spans="2:28" x14ac:dyDescent="0.3">
      <c r="B3442" s="206" t="str">
        <f>IF(BCP_Soles[[#This Row],[TIPO DE R.]]="R",COUNTIFS($D$4:$D3441,"R")+1,"")</f>
        <v/>
      </c>
      <c r="C3442" s="19" t="str">
        <f t="shared" si="276"/>
        <v>B-BCP - Soles</v>
      </c>
      <c r="D3442" s="3" t="s">
        <v>1101</v>
      </c>
      <c r="E3442" s="207">
        <v>45898</v>
      </c>
      <c r="F3442" s="5" t="s">
        <v>2898</v>
      </c>
      <c r="G3442" s="5"/>
      <c r="H3442" s="6" t="s">
        <v>139</v>
      </c>
      <c r="I3442" s="6" t="s">
        <v>14</v>
      </c>
      <c r="J3442" s="6" t="s">
        <v>1953</v>
      </c>
      <c r="K3442" s="6">
        <v>6809</v>
      </c>
      <c r="L3442" s="7" t="s">
        <v>7995</v>
      </c>
      <c r="M3442" s="210">
        <v>1015858</v>
      </c>
      <c r="N3442" s="210" t="str">
        <f t="shared" si="277"/>
        <v>PEN</v>
      </c>
      <c r="O3442" s="13">
        <v>11</v>
      </c>
      <c r="P3442" s="211"/>
      <c r="Q3442" s="212">
        <f t="shared" si="278"/>
        <v>0</v>
      </c>
      <c r="R3442" s="212">
        <f t="shared" si="279"/>
        <v>0</v>
      </c>
      <c r="S3442" s="201">
        <f t="shared" si="275"/>
        <v>111617.18</v>
      </c>
      <c r="T3442" s="213" t="s">
        <v>1081</v>
      </c>
      <c r="U3442" s="213" t="s">
        <v>1081</v>
      </c>
      <c r="V3442" s="69"/>
      <c r="W3442" s="25">
        <f>IFERROR(VLOOKUP(BCP_Soles[[#This Row],[DESTINATARIO]],CHOOSE({1,2},Clientes_Proveedores[Razon Social],Clientes_Proveedores[Ruc / Dni]),2,0),"")</f>
        <v>20100055237</v>
      </c>
      <c r="X3442" s="25"/>
      <c r="Y3442" s="25"/>
      <c r="Z3442" s="25"/>
      <c r="AA3442" s="101" t="s">
        <v>3385</v>
      </c>
      <c r="AB3442" s="212" t="str">
        <f>IF(BCP_Soles[[#This Row],[FECHA]]&gt;0,TEXT(BCP_Soles[[#This Row],[FECHA]],"mmmm"),0)</f>
        <v>Agosto</v>
      </c>
    </row>
    <row r="3443" spans="2:28" x14ac:dyDescent="0.3">
      <c r="B3443" s="206" t="str">
        <f>IF(BCP_Soles[[#This Row],[TIPO DE R.]]="R",COUNTIFS($D$4:$D3442,"R")+1,"")</f>
        <v/>
      </c>
      <c r="C3443" s="19" t="str">
        <f t="shared" si="276"/>
        <v>B-BCP - Soles</v>
      </c>
      <c r="D3443" s="3" t="s">
        <v>1101</v>
      </c>
      <c r="E3443" s="207">
        <v>45898</v>
      </c>
      <c r="F3443" s="5" t="s">
        <v>2898</v>
      </c>
      <c r="G3443" s="5"/>
      <c r="H3443" s="6" t="s">
        <v>139</v>
      </c>
      <c r="I3443" s="6" t="s">
        <v>14</v>
      </c>
      <c r="J3443" s="6" t="s">
        <v>1953</v>
      </c>
      <c r="K3443" s="6">
        <v>6810</v>
      </c>
      <c r="L3443" s="7" t="s">
        <v>7995</v>
      </c>
      <c r="M3443" s="210">
        <v>1015858</v>
      </c>
      <c r="N3443" s="210" t="str">
        <f t="shared" si="277"/>
        <v>PEN</v>
      </c>
      <c r="O3443" s="13">
        <v>9</v>
      </c>
      <c r="P3443" s="211"/>
      <c r="Q3443" s="212">
        <f t="shared" si="278"/>
        <v>0</v>
      </c>
      <c r="R3443" s="212">
        <f t="shared" si="279"/>
        <v>0</v>
      </c>
      <c r="S3443" s="201">
        <f t="shared" si="275"/>
        <v>111617.18</v>
      </c>
      <c r="T3443" s="213" t="s">
        <v>1081</v>
      </c>
      <c r="U3443" s="213" t="s">
        <v>1081</v>
      </c>
      <c r="V3443" s="69"/>
      <c r="W3443" s="25">
        <f>IFERROR(VLOOKUP(BCP_Soles[[#This Row],[DESTINATARIO]],CHOOSE({1,2},Clientes_Proveedores[Razon Social],Clientes_Proveedores[Ruc / Dni]),2,0),"")</f>
        <v>20100055237</v>
      </c>
      <c r="X3443" s="25"/>
      <c r="Y3443" s="25"/>
      <c r="Z3443" s="25"/>
      <c r="AA3443" s="101" t="s">
        <v>3385</v>
      </c>
      <c r="AB3443" s="212" t="str">
        <f>IF(BCP_Soles[[#This Row],[FECHA]]&gt;0,TEXT(BCP_Soles[[#This Row],[FECHA]],"mmmm"),0)</f>
        <v>Agosto</v>
      </c>
    </row>
    <row r="3444" spans="2:28" x14ac:dyDescent="0.3">
      <c r="B3444" s="206" t="str">
        <f>IF(BCP_Soles[[#This Row],[TIPO DE R.]]="R",COUNTIFS($D$4:$D3443,"R")+1,"")</f>
        <v/>
      </c>
      <c r="C3444" s="19" t="str">
        <f t="shared" si="276"/>
        <v>B-BCP - Soles</v>
      </c>
      <c r="D3444" s="3" t="s">
        <v>1101</v>
      </c>
      <c r="E3444" s="207">
        <v>45898</v>
      </c>
      <c r="F3444" s="5" t="s">
        <v>2898</v>
      </c>
      <c r="G3444" s="5"/>
      <c r="H3444" s="6" t="s">
        <v>139</v>
      </c>
      <c r="I3444" s="6" t="s">
        <v>14</v>
      </c>
      <c r="J3444" s="6" t="s">
        <v>1953</v>
      </c>
      <c r="K3444" s="6">
        <v>6808</v>
      </c>
      <c r="L3444" s="7" t="s">
        <v>7995</v>
      </c>
      <c r="M3444" s="210">
        <v>1015858</v>
      </c>
      <c r="N3444" s="210" t="str">
        <f t="shared" si="277"/>
        <v>PEN</v>
      </c>
      <c r="O3444" s="13">
        <v>11</v>
      </c>
      <c r="P3444" s="211"/>
      <c r="Q3444" s="212">
        <f t="shared" si="278"/>
        <v>0</v>
      </c>
      <c r="R3444" s="212">
        <f t="shared" si="279"/>
        <v>0</v>
      </c>
      <c r="S3444" s="201">
        <f t="shared" si="275"/>
        <v>111617.18</v>
      </c>
      <c r="T3444" s="213" t="s">
        <v>1081</v>
      </c>
      <c r="U3444" s="213" t="s">
        <v>1081</v>
      </c>
      <c r="V3444" s="69"/>
      <c r="W3444" s="25">
        <f>IFERROR(VLOOKUP(BCP_Soles[[#This Row],[DESTINATARIO]],CHOOSE({1,2},Clientes_Proveedores[Razon Social],Clientes_Proveedores[Ruc / Dni]),2,0),"")</f>
        <v>20100055237</v>
      </c>
      <c r="X3444" s="25"/>
      <c r="Y3444" s="25"/>
      <c r="Z3444" s="25"/>
      <c r="AA3444" s="101" t="s">
        <v>3385</v>
      </c>
      <c r="AB3444" s="212" t="str">
        <f>IF(BCP_Soles[[#This Row],[FECHA]]&gt;0,TEXT(BCP_Soles[[#This Row],[FECHA]],"mmmm"),0)</f>
        <v>Agosto</v>
      </c>
    </row>
    <row r="3445" spans="2:28" x14ac:dyDescent="0.3">
      <c r="B3445" s="206" t="str">
        <f>IF(BCP_Soles[[#This Row],[TIPO DE R.]]="R",COUNTIFS($D$4:$D3444,"R")+1,"")</f>
        <v/>
      </c>
      <c r="C3445" s="19" t="str">
        <f t="shared" si="276"/>
        <v>B-BCP - Soles</v>
      </c>
      <c r="D3445" s="3" t="s">
        <v>1101</v>
      </c>
      <c r="E3445" s="207">
        <v>45898</v>
      </c>
      <c r="F3445" s="5" t="s">
        <v>2898</v>
      </c>
      <c r="G3445" s="5"/>
      <c r="H3445" s="6" t="s">
        <v>139</v>
      </c>
      <c r="I3445" s="6" t="s">
        <v>14</v>
      </c>
      <c r="J3445" s="6" t="s">
        <v>1953</v>
      </c>
      <c r="K3445" s="6">
        <v>6812</v>
      </c>
      <c r="L3445" s="7" t="s">
        <v>7995</v>
      </c>
      <c r="M3445" s="210">
        <v>1015858</v>
      </c>
      <c r="N3445" s="210" t="str">
        <f t="shared" si="277"/>
        <v>PEN</v>
      </c>
      <c r="O3445" s="13">
        <v>92</v>
      </c>
      <c r="P3445" s="211"/>
      <c r="Q3445" s="212">
        <f t="shared" si="278"/>
        <v>0</v>
      </c>
      <c r="R3445" s="212">
        <f t="shared" si="279"/>
        <v>0</v>
      </c>
      <c r="S3445" s="201">
        <f t="shared" si="275"/>
        <v>111617.18</v>
      </c>
      <c r="T3445" s="213" t="s">
        <v>1081</v>
      </c>
      <c r="U3445" s="213" t="s">
        <v>1081</v>
      </c>
      <c r="V3445" s="69"/>
      <c r="W3445" s="25">
        <f>IFERROR(VLOOKUP(BCP_Soles[[#This Row],[DESTINATARIO]],CHOOSE({1,2},Clientes_Proveedores[Razon Social],Clientes_Proveedores[Ruc / Dni]),2,0),"")</f>
        <v>20100055237</v>
      </c>
      <c r="X3445" s="25"/>
      <c r="Y3445" s="25"/>
      <c r="Z3445" s="25"/>
      <c r="AA3445" s="101" t="s">
        <v>3385</v>
      </c>
      <c r="AB3445" s="212" t="str">
        <f>IF(BCP_Soles[[#This Row],[FECHA]]&gt;0,TEXT(BCP_Soles[[#This Row],[FECHA]],"mmmm"),0)</f>
        <v>Agosto</v>
      </c>
    </row>
    <row r="3446" spans="2:28" x14ac:dyDescent="0.3">
      <c r="B3446" s="206" t="str">
        <f>IF(BCP_Soles[[#This Row],[TIPO DE R.]]="R",COUNTIFS($D$4:$D3445,"R")+1,"")</f>
        <v/>
      </c>
      <c r="C3446" s="19" t="str">
        <f t="shared" si="276"/>
        <v>B-BCP - Soles</v>
      </c>
      <c r="D3446" s="3" t="s">
        <v>1101</v>
      </c>
      <c r="E3446" s="207">
        <v>45898</v>
      </c>
      <c r="F3446" s="5" t="s">
        <v>2898</v>
      </c>
      <c r="G3446" s="5"/>
      <c r="H3446" s="6" t="s">
        <v>139</v>
      </c>
      <c r="I3446" s="6" t="s">
        <v>14</v>
      </c>
      <c r="J3446" s="6" t="s">
        <v>1953</v>
      </c>
      <c r="K3446" s="6">
        <v>6813</v>
      </c>
      <c r="L3446" s="7" t="s">
        <v>7995</v>
      </c>
      <c r="M3446" s="210">
        <v>1015858</v>
      </c>
      <c r="N3446" s="210" t="str">
        <f t="shared" si="277"/>
        <v>PEN</v>
      </c>
      <c r="O3446" s="13">
        <v>3</v>
      </c>
      <c r="P3446" s="211"/>
      <c r="Q3446" s="212">
        <f t="shared" si="278"/>
        <v>0</v>
      </c>
      <c r="R3446" s="212">
        <f t="shared" si="279"/>
        <v>0</v>
      </c>
      <c r="S3446" s="201">
        <f t="shared" si="275"/>
        <v>111617.18</v>
      </c>
      <c r="T3446" s="213" t="s">
        <v>1081</v>
      </c>
      <c r="U3446" s="213" t="s">
        <v>1081</v>
      </c>
      <c r="V3446" s="69"/>
      <c r="W3446" s="25">
        <f>IFERROR(VLOOKUP(BCP_Soles[[#This Row],[DESTINATARIO]],CHOOSE({1,2},Clientes_Proveedores[Razon Social],Clientes_Proveedores[Ruc / Dni]),2,0),"")</f>
        <v>20100055237</v>
      </c>
      <c r="X3446" s="25"/>
      <c r="Y3446" s="25"/>
      <c r="Z3446" s="25"/>
      <c r="AA3446" s="101" t="s">
        <v>3385</v>
      </c>
      <c r="AB3446" s="212" t="str">
        <f>IF(BCP_Soles[[#This Row],[FECHA]]&gt;0,TEXT(BCP_Soles[[#This Row],[FECHA]],"mmmm"),0)</f>
        <v>Agosto</v>
      </c>
    </row>
    <row r="3447" spans="2:28" x14ac:dyDescent="0.3">
      <c r="B3447" s="206" t="str">
        <f>IF(BCP_Soles[[#This Row],[TIPO DE R.]]="R",COUNTIFS($D$4:$D3446,"R")+1,"")</f>
        <v/>
      </c>
      <c r="C3447" s="19" t="str">
        <f t="shared" si="276"/>
        <v>B-BCP - Soles</v>
      </c>
      <c r="D3447" s="3" t="s">
        <v>1101</v>
      </c>
      <c r="E3447" s="207">
        <v>45898</v>
      </c>
      <c r="F3447" s="5" t="s">
        <v>2898</v>
      </c>
      <c r="G3447" s="5"/>
      <c r="H3447" s="6" t="s">
        <v>139</v>
      </c>
      <c r="I3447" s="6" t="s">
        <v>14</v>
      </c>
      <c r="J3447" s="6" t="s">
        <v>1953</v>
      </c>
      <c r="K3447" s="6">
        <v>6811</v>
      </c>
      <c r="L3447" s="7" t="s">
        <v>7995</v>
      </c>
      <c r="M3447" s="210">
        <v>1015858</v>
      </c>
      <c r="N3447" s="210" t="str">
        <f t="shared" si="277"/>
        <v>PEN</v>
      </c>
      <c r="O3447" s="13">
        <v>10</v>
      </c>
      <c r="P3447" s="211"/>
      <c r="Q3447" s="212">
        <f t="shared" si="278"/>
        <v>0</v>
      </c>
      <c r="R3447" s="212">
        <f t="shared" si="279"/>
        <v>0</v>
      </c>
      <c r="S3447" s="201">
        <f t="shared" si="275"/>
        <v>111617.18</v>
      </c>
      <c r="T3447" s="213" t="s">
        <v>1081</v>
      </c>
      <c r="U3447" s="213" t="s">
        <v>1081</v>
      </c>
      <c r="V3447" s="69"/>
      <c r="W3447" s="25">
        <f>IFERROR(VLOOKUP(BCP_Soles[[#This Row],[DESTINATARIO]],CHOOSE({1,2},Clientes_Proveedores[Razon Social],Clientes_Proveedores[Ruc / Dni]),2,0),"")</f>
        <v>20100055237</v>
      </c>
      <c r="X3447" s="25"/>
      <c r="Y3447" s="25"/>
      <c r="Z3447" s="25"/>
      <c r="AA3447" s="101" t="s">
        <v>3385</v>
      </c>
      <c r="AB3447" s="212" t="str">
        <f>IF(BCP_Soles[[#This Row],[FECHA]]&gt;0,TEXT(BCP_Soles[[#This Row],[FECHA]],"mmmm"),0)</f>
        <v>Agosto</v>
      </c>
    </row>
    <row r="3448" spans="2:28" x14ac:dyDescent="0.3">
      <c r="B3448" s="206" t="str">
        <f>IF(BCP_Soles[[#This Row],[TIPO DE R.]]="R",COUNTIFS($D$4:$D3447,"R")+1,"")</f>
        <v/>
      </c>
      <c r="C3448" s="19" t="str">
        <f t="shared" si="276"/>
        <v>B-BCP - Soles</v>
      </c>
      <c r="D3448" s="3" t="s">
        <v>1101</v>
      </c>
      <c r="E3448" s="207">
        <v>45898</v>
      </c>
      <c r="F3448" s="5" t="s">
        <v>2898</v>
      </c>
      <c r="G3448" s="5"/>
      <c r="H3448" s="6" t="s">
        <v>139</v>
      </c>
      <c r="I3448" s="6" t="s">
        <v>14</v>
      </c>
      <c r="J3448" s="6" t="s">
        <v>1953</v>
      </c>
      <c r="K3448" s="6">
        <v>6804</v>
      </c>
      <c r="L3448" s="7" t="s">
        <v>7995</v>
      </c>
      <c r="M3448" s="210">
        <v>1015858</v>
      </c>
      <c r="N3448" s="210" t="str">
        <f t="shared" si="277"/>
        <v>PEN</v>
      </c>
      <c r="O3448" s="13">
        <v>122</v>
      </c>
      <c r="P3448" s="211"/>
      <c r="Q3448" s="212">
        <f t="shared" si="278"/>
        <v>0</v>
      </c>
      <c r="R3448" s="212">
        <f t="shared" si="279"/>
        <v>0</v>
      </c>
      <c r="S3448" s="201">
        <f t="shared" si="275"/>
        <v>111617.18</v>
      </c>
      <c r="T3448" s="213" t="s">
        <v>1081</v>
      </c>
      <c r="U3448" s="213" t="s">
        <v>1081</v>
      </c>
      <c r="V3448" s="69"/>
      <c r="W3448" s="25">
        <f>IFERROR(VLOOKUP(BCP_Soles[[#This Row],[DESTINATARIO]],CHOOSE({1,2},Clientes_Proveedores[Razon Social],Clientes_Proveedores[Ruc / Dni]),2,0),"")</f>
        <v>20100055237</v>
      </c>
      <c r="X3448" s="25"/>
      <c r="Y3448" s="25"/>
      <c r="Z3448" s="25"/>
      <c r="AA3448" s="101" t="s">
        <v>3385</v>
      </c>
      <c r="AB3448" s="212" t="str">
        <f>IF(BCP_Soles[[#This Row],[FECHA]]&gt;0,TEXT(BCP_Soles[[#This Row],[FECHA]],"mmmm"),0)</f>
        <v>Agosto</v>
      </c>
    </row>
    <row r="3449" spans="2:28" x14ac:dyDescent="0.3">
      <c r="B3449" s="206" t="str">
        <f>IF(BCP_Soles[[#This Row],[TIPO DE R.]]="R",COUNTIFS($D$4:$D3448,"R")+1,"")</f>
        <v/>
      </c>
      <c r="C3449" s="19" t="str">
        <f t="shared" si="276"/>
        <v>B-BCP - Soles</v>
      </c>
      <c r="D3449" s="3" t="s">
        <v>1101</v>
      </c>
      <c r="E3449" s="207">
        <v>45898</v>
      </c>
      <c r="F3449" s="5" t="s">
        <v>2898</v>
      </c>
      <c r="G3449" s="5"/>
      <c r="H3449" s="6" t="s">
        <v>139</v>
      </c>
      <c r="I3449" s="6" t="s">
        <v>14</v>
      </c>
      <c r="J3449" s="6" t="s">
        <v>1953</v>
      </c>
      <c r="K3449" s="6">
        <v>6803</v>
      </c>
      <c r="L3449" s="7" t="s">
        <v>7995</v>
      </c>
      <c r="M3449" s="210">
        <v>1015858</v>
      </c>
      <c r="N3449" s="210" t="str">
        <f t="shared" si="277"/>
        <v>PEN</v>
      </c>
      <c r="O3449" s="13">
        <v>7</v>
      </c>
      <c r="P3449" s="211"/>
      <c r="Q3449" s="212">
        <f t="shared" si="278"/>
        <v>0</v>
      </c>
      <c r="R3449" s="212">
        <f t="shared" si="279"/>
        <v>0</v>
      </c>
      <c r="S3449" s="201">
        <f t="shared" si="275"/>
        <v>111617.18</v>
      </c>
      <c r="T3449" s="213" t="s">
        <v>1081</v>
      </c>
      <c r="U3449" s="213" t="s">
        <v>1081</v>
      </c>
      <c r="V3449" s="69"/>
      <c r="W3449" s="25">
        <f>IFERROR(VLOOKUP(BCP_Soles[[#This Row],[DESTINATARIO]],CHOOSE({1,2},Clientes_Proveedores[Razon Social],Clientes_Proveedores[Ruc / Dni]),2,0),"")</f>
        <v>20100055237</v>
      </c>
      <c r="X3449" s="25"/>
      <c r="Y3449" s="25"/>
      <c r="Z3449" s="25"/>
      <c r="AA3449" s="101" t="s">
        <v>3385</v>
      </c>
      <c r="AB3449" s="212" t="str">
        <f>IF(BCP_Soles[[#This Row],[FECHA]]&gt;0,TEXT(BCP_Soles[[#This Row],[FECHA]],"mmmm"),0)</f>
        <v>Agosto</v>
      </c>
    </row>
    <row r="3450" spans="2:28" x14ac:dyDescent="0.3">
      <c r="B3450" s="206" t="str">
        <f>IF(BCP_Soles[[#This Row],[TIPO DE R.]]="R",COUNTIFS($D$4:$D3449,"R")+1,"")</f>
        <v/>
      </c>
      <c r="C3450" s="19" t="str">
        <f t="shared" si="276"/>
        <v>B-BCP - Soles</v>
      </c>
      <c r="D3450" s="3" t="s">
        <v>1101</v>
      </c>
      <c r="E3450" s="207">
        <v>45898</v>
      </c>
      <c r="F3450" s="5" t="s">
        <v>2898</v>
      </c>
      <c r="G3450" s="5"/>
      <c r="H3450" s="6" t="s">
        <v>139</v>
      </c>
      <c r="I3450" s="6" t="s">
        <v>14</v>
      </c>
      <c r="J3450" s="6" t="s">
        <v>1953</v>
      </c>
      <c r="K3450" s="6">
        <v>6799</v>
      </c>
      <c r="L3450" s="7" t="s">
        <v>7995</v>
      </c>
      <c r="M3450" s="210">
        <v>1015858</v>
      </c>
      <c r="N3450" s="210" t="str">
        <f t="shared" si="277"/>
        <v>PEN</v>
      </c>
      <c r="O3450" s="13">
        <v>1</v>
      </c>
      <c r="P3450" s="211"/>
      <c r="Q3450" s="212">
        <f t="shared" si="278"/>
        <v>0</v>
      </c>
      <c r="R3450" s="212">
        <f t="shared" si="279"/>
        <v>0</v>
      </c>
      <c r="S3450" s="201">
        <f t="shared" si="275"/>
        <v>111617.18</v>
      </c>
      <c r="T3450" s="213" t="s">
        <v>1081</v>
      </c>
      <c r="U3450" s="213" t="s">
        <v>1081</v>
      </c>
      <c r="V3450" s="69"/>
      <c r="W3450" s="25">
        <f>IFERROR(VLOOKUP(BCP_Soles[[#This Row],[DESTINATARIO]],CHOOSE({1,2},Clientes_Proveedores[Razon Social],Clientes_Proveedores[Ruc / Dni]),2,0),"")</f>
        <v>20100055237</v>
      </c>
      <c r="X3450" s="25"/>
      <c r="Y3450" s="25"/>
      <c r="Z3450" s="25"/>
      <c r="AA3450" s="101" t="s">
        <v>3385</v>
      </c>
      <c r="AB3450" s="212" t="str">
        <f>IF(BCP_Soles[[#This Row],[FECHA]]&gt;0,TEXT(BCP_Soles[[#This Row],[FECHA]],"mmmm"),0)</f>
        <v>Agosto</v>
      </c>
    </row>
    <row r="3451" spans="2:28" x14ac:dyDescent="0.3">
      <c r="B3451" s="206" t="str">
        <f>IF(BCP_Soles[[#This Row],[TIPO DE R.]]="R",COUNTIFS($D$4:$D3450,"R")+1,"")</f>
        <v/>
      </c>
      <c r="C3451" s="19" t="str">
        <f t="shared" si="276"/>
        <v>B-BCP - Soles</v>
      </c>
      <c r="D3451" s="3" t="s">
        <v>1101</v>
      </c>
      <c r="E3451" s="207">
        <v>45898</v>
      </c>
      <c r="F3451" s="5" t="s">
        <v>2898</v>
      </c>
      <c r="G3451" s="5"/>
      <c r="H3451" s="6" t="s">
        <v>139</v>
      </c>
      <c r="I3451" s="6" t="s">
        <v>14</v>
      </c>
      <c r="J3451" s="6" t="s">
        <v>1953</v>
      </c>
      <c r="K3451" s="6">
        <v>6801</v>
      </c>
      <c r="L3451" s="7" t="s">
        <v>7995</v>
      </c>
      <c r="M3451" s="210">
        <v>1015858</v>
      </c>
      <c r="N3451" s="210" t="str">
        <f t="shared" si="277"/>
        <v>PEN</v>
      </c>
      <c r="O3451" s="13">
        <v>46</v>
      </c>
      <c r="P3451" s="211"/>
      <c r="Q3451" s="212">
        <f t="shared" si="278"/>
        <v>0</v>
      </c>
      <c r="R3451" s="212">
        <f t="shared" si="279"/>
        <v>0</v>
      </c>
      <c r="S3451" s="201">
        <f t="shared" si="275"/>
        <v>111617.18</v>
      </c>
      <c r="T3451" s="213" t="s">
        <v>1081</v>
      </c>
      <c r="U3451" s="213" t="s">
        <v>1081</v>
      </c>
      <c r="V3451" s="69"/>
      <c r="W3451" s="25">
        <f>IFERROR(VLOOKUP(BCP_Soles[[#This Row],[DESTINATARIO]],CHOOSE({1,2},Clientes_Proveedores[Razon Social],Clientes_Proveedores[Ruc / Dni]),2,0),"")</f>
        <v>20100055237</v>
      </c>
      <c r="X3451" s="25"/>
      <c r="Y3451" s="25"/>
      <c r="Z3451" s="25"/>
      <c r="AA3451" s="101" t="s">
        <v>3385</v>
      </c>
      <c r="AB3451" s="212" t="str">
        <f>IF(BCP_Soles[[#This Row],[FECHA]]&gt;0,TEXT(BCP_Soles[[#This Row],[FECHA]],"mmmm"),0)</f>
        <v>Agosto</v>
      </c>
    </row>
    <row r="3452" spans="2:28" x14ac:dyDescent="0.3">
      <c r="B3452" s="206" t="str">
        <f>IF(BCP_Soles[[#This Row],[TIPO DE R.]]="R",COUNTIFS($D$4:$D3451,"R")+1,"")</f>
        <v/>
      </c>
      <c r="C3452" s="19" t="str">
        <f t="shared" si="276"/>
        <v>B-BCP - Soles</v>
      </c>
      <c r="D3452" s="3" t="s">
        <v>1101</v>
      </c>
      <c r="E3452" s="207">
        <v>45898</v>
      </c>
      <c r="F3452" s="5" t="s">
        <v>2898</v>
      </c>
      <c r="G3452" s="5"/>
      <c r="H3452" s="6" t="s">
        <v>139</v>
      </c>
      <c r="I3452" s="6" t="s">
        <v>14</v>
      </c>
      <c r="J3452" s="6" t="s">
        <v>1953</v>
      </c>
      <c r="K3452" s="6">
        <v>6800</v>
      </c>
      <c r="L3452" s="7" t="s">
        <v>7995</v>
      </c>
      <c r="M3452" s="210">
        <v>1015858</v>
      </c>
      <c r="N3452" s="210" t="str">
        <f t="shared" si="277"/>
        <v>PEN</v>
      </c>
      <c r="O3452" s="13">
        <v>69</v>
      </c>
      <c r="P3452" s="211"/>
      <c r="Q3452" s="212">
        <f t="shared" si="278"/>
        <v>0</v>
      </c>
      <c r="R3452" s="212">
        <f t="shared" si="279"/>
        <v>0</v>
      </c>
      <c r="S3452" s="201">
        <f t="shared" si="275"/>
        <v>111617.18</v>
      </c>
      <c r="T3452" s="213" t="s">
        <v>1081</v>
      </c>
      <c r="U3452" s="213" t="s">
        <v>1081</v>
      </c>
      <c r="V3452" s="69"/>
      <c r="W3452" s="25">
        <f>IFERROR(VLOOKUP(BCP_Soles[[#This Row],[DESTINATARIO]],CHOOSE({1,2},Clientes_Proveedores[Razon Social],Clientes_Proveedores[Ruc / Dni]),2,0),"")</f>
        <v>20100055237</v>
      </c>
      <c r="X3452" s="25"/>
      <c r="Y3452" s="25"/>
      <c r="Z3452" s="25"/>
      <c r="AA3452" s="101" t="s">
        <v>3385</v>
      </c>
      <c r="AB3452" s="212" t="str">
        <f>IF(BCP_Soles[[#This Row],[FECHA]]&gt;0,TEXT(BCP_Soles[[#This Row],[FECHA]],"mmmm"),0)</f>
        <v>Agosto</v>
      </c>
    </row>
    <row r="3453" spans="2:28" x14ac:dyDescent="0.3">
      <c r="B3453" s="206" t="str">
        <f>IF(BCP_Soles[[#This Row],[TIPO DE R.]]="R",COUNTIFS($D$4:$D3452,"R")+1,"")</f>
        <v/>
      </c>
      <c r="C3453" s="19" t="str">
        <f t="shared" si="276"/>
        <v>B-BCP - Soles</v>
      </c>
      <c r="D3453" s="3" t="s">
        <v>1101</v>
      </c>
      <c r="E3453" s="207">
        <v>45898</v>
      </c>
      <c r="F3453" s="5" t="s">
        <v>2898</v>
      </c>
      <c r="G3453" s="5"/>
      <c r="H3453" s="6" t="s">
        <v>139</v>
      </c>
      <c r="I3453" s="6" t="s">
        <v>14</v>
      </c>
      <c r="J3453" s="6" t="s">
        <v>1953</v>
      </c>
      <c r="K3453" s="6">
        <v>6802</v>
      </c>
      <c r="L3453" s="7" t="s">
        <v>7995</v>
      </c>
      <c r="M3453" s="210">
        <v>1015858</v>
      </c>
      <c r="N3453" s="210" t="str">
        <f t="shared" si="277"/>
        <v>PEN</v>
      </c>
      <c r="O3453" s="13">
        <v>22</v>
      </c>
      <c r="P3453" s="211"/>
      <c r="Q3453" s="212">
        <f t="shared" si="278"/>
        <v>0</v>
      </c>
      <c r="R3453" s="212">
        <f t="shared" si="279"/>
        <v>0</v>
      </c>
      <c r="S3453" s="201">
        <f t="shared" si="275"/>
        <v>111617.18</v>
      </c>
      <c r="T3453" s="213" t="s">
        <v>1081</v>
      </c>
      <c r="U3453" s="213" t="s">
        <v>1081</v>
      </c>
      <c r="V3453" s="69"/>
      <c r="W3453" s="25">
        <f>IFERROR(VLOOKUP(BCP_Soles[[#This Row],[DESTINATARIO]],CHOOSE({1,2},Clientes_Proveedores[Razon Social],Clientes_Proveedores[Ruc / Dni]),2,0),"")</f>
        <v>20100055237</v>
      </c>
      <c r="X3453" s="25"/>
      <c r="Y3453" s="25"/>
      <c r="Z3453" s="25"/>
      <c r="AA3453" s="101" t="s">
        <v>3385</v>
      </c>
      <c r="AB3453" s="212" t="str">
        <f>IF(BCP_Soles[[#This Row],[FECHA]]&gt;0,TEXT(BCP_Soles[[#This Row],[FECHA]],"mmmm"),0)</f>
        <v>Agosto</v>
      </c>
    </row>
    <row r="3454" spans="2:28" x14ac:dyDescent="0.3">
      <c r="B3454" s="206" t="str">
        <f>IF(BCP_Soles[[#This Row],[TIPO DE R.]]="R",COUNTIFS($D$4:$D3453,"R")+1,"")</f>
        <v/>
      </c>
      <c r="C3454" s="19" t="str">
        <f t="shared" si="276"/>
        <v>B-BCP - Soles</v>
      </c>
      <c r="D3454" s="3" t="s">
        <v>1101</v>
      </c>
      <c r="E3454" s="207">
        <v>45898</v>
      </c>
      <c r="F3454" s="5" t="s">
        <v>2898</v>
      </c>
      <c r="G3454" s="5"/>
      <c r="H3454" s="6" t="s">
        <v>139</v>
      </c>
      <c r="I3454" s="6" t="s">
        <v>14</v>
      </c>
      <c r="J3454" s="6" t="s">
        <v>1953</v>
      </c>
      <c r="K3454" s="6">
        <v>6798</v>
      </c>
      <c r="L3454" s="7" t="s">
        <v>7995</v>
      </c>
      <c r="M3454" s="210">
        <v>1015858</v>
      </c>
      <c r="N3454" s="210" t="str">
        <f t="shared" si="277"/>
        <v>PEN</v>
      </c>
      <c r="O3454" s="13">
        <v>27</v>
      </c>
      <c r="P3454" s="211"/>
      <c r="Q3454" s="212">
        <f t="shared" si="278"/>
        <v>0</v>
      </c>
      <c r="R3454" s="212">
        <f t="shared" si="279"/>
        <v>0</v>
      </c>
      <c r="S3454" s="201">
        <f t="shared" si="275"/>
        <v>111617.18</v>
      </c>
      <c r="T3454" s="213" t="s">
        <v>1081</v>
      </c>
      <c r="U3454" s="213" t="s">
        <v>1081</v>
      </c>
      <c r="V3454" s="69"/>
      <c r="W3454" s="25">
        <f>IFERROR(VLOOKUP(BCP_Soles[[#This Row],[DESTINATARIO]],CHOOSE({1,2},Clientes_Proveedores[Razon Social],Clientes_Proveedores[Ruc / Dni]),2,0),"")</f>
        <v>20100055237</v>
      </c>
      <c r="X3454" s="25"/>
      <c r="Y3454" s="25"/>
      <c r="Z3454" s="25"/>
      <c r="AA3454" s="101" t="s">
        <v>3385</v>
      </c>
      <c r="AB3454" s="212" t="str">
        <f>IF(BCP_Soles[[#This Row],[FECHA]]&gt;0,TEXT(BCP_Soles[[#This Row],[FECHA]],"mmmm"),0)</f>
        <v>Agosto</v>
      </c>
    </row>
    <row r="3455" spans="2:28" ht="24" x14ac:dyDescent="0.3">
      <c r="B3455" s="206">
        <f>IF(BCP_Soles[[#This Row],[TIPO DE R.]]="R",COUNTIFS($D$4:$D3454,"R")+1,"")</f>
        <v>2370</v>
      </c>
      <c r="C3455" s="19" t="str">
        <f t="shared" si="276"/>
        <v>B-BCP - Soles</v>
      </c>
      <c r="D3455" s="3" t="s">
        <v>1074</v>
      </c>
      <c r="E3455" s="207">
        <v>45898</v>
      </c>
      <c r="F3455" s="5"/>
      <c r="G3455" s="5" t="s">
        <v>1079</v>
      </c>
      <c r="H3455" s="6" t="s">
        <v>1001</v>
      </c>
      <c r="I3455" s="6"/>
      <c r="J3455" s="6"/>
      <c r="K3455" s="6"/>
      <c r="L3455" s="7" t="s">
        <v>1141</v>
      </c>
      <c r="M3455" s="210">
        <v>893</v>
      </c>
      <c r="N3455" s="210" t="str">
        <f t="shared" si="277"/>
        <v>PEN</v>
      </c>
      <c r="O3455" s="13"/>
      <c r="P3455" s="211">
        <v>10</v>
      </c>
      <c r="Q3455" s="212">
        <f t="shared" si="278"/>
        <v>0</v>
      </c>
      <c r="R3455" s="212">
        <f t="shared" si="279"/>
        <v>10</v>
      </c>
      <c r="S3455" s="201">
        <f t="shared" si="275"/>
        <v>111607.18</v>
      </c>
      <c r="T3455" s="213"/>
      <c r="U3455" s="213"/>
      <c r="V3455" s="69"/>
      <c r="W3455" s="25">
        <f>IFERROR(VLOOKUP(BCP_Soles[[#This Row],[DESTINATARIO]],CHOOSE({1,2},Clientes_Proveedores[Razon Social],Clientes_Proveedores[Ruc / Dni]),2,0),"")</f>
        <v>20100047218</v>
      </c>
      <c r="X3455" s="25"/>
      <c r="Y3455" s="25"/>
      <c r="Z3455" s="25"/>
      <c r="AA3455" s="101"/>
      <c r="AB3455" s="212" t="str">
        <f>IF(BCP_Soles[[#This Row],[FECHA]]&gt;0,TEXT(BCP_Soles[[#This Row],[FECHA]],"mmmm"),0)</f>
        <v>Agosto</v>
      </c>
    </row>
    <row r="3456" spans="2:28" ht="24" x14ac:dyDescent="0.3">
      <c r="B3456" s="215">
        <f>IF(BCP_Soles[[#This Row],[TIPO DE R.]]="R",COUNTIFS($D$4:$D3455,"R")+1,"")</f>
        <v>2371</v>
      </c>
      <c r="C3456" s="19" t="str">
        <f t="shared" si="276"/>
        <v>B-BCP - Soles</v>
      </c>
      <c r="D3456" s="3" t="s">
        <v>1074</v>
      </c>
      <c r="E3456" s="216">
        <v>45898</v>
      </c>
      <c r="F3456" s="5" t="s">
        <v>1082</v>
      </c>
      <c r="G3456" s="217" t="s">
        <v>1079</v>
      </c>
      <c r="H3456" s="6"/>
      <c r="I3456" s="6"/>
      <c r="J3456" s="6"/>
      <c r="K3456" s="6"/>
      <c r="L3456" s="7" t="s">
        <v>7984</v>
      </c>
      <c r="M3456" s="218">
        <v>1183283</v>
      </c>
      <c r="N3456" s="218" t="str">
        <f t="shared" si="277"/>
        <v>PEN</v>
      </c>
      <c r="O3456" s="13"/>
      <c r="P3456" s="219">
        <v>95</v>
      </c>
      <c r="Q3456" s="220">
        <f t="shared" si="278"/>
        <v>0</v>
      </c>
      <c r="R3456" s="220">
        <f t="shared" si="279"/>
        <v>95</v>
      </c>
      <c r="S3456" s="220">
        <f t="shared" si="275"/>
        <v>111512.18</v>
      </c>
      <c r="T3456" s="221"/>
      <c r="U3456" s="221"/>
      <c r="V3456" s="70" t="s">
        <v>7999</v>
      </c>
      <c r="W3456" s="25" t="str">
        <f>IFERROR(VLOOKUP(BCP_Soles[[#This Row],[DESTINATARIO]],CHOOSE({1,2},Clientes_Proveedores[Razon Social],Clientes_Proveedores[Ruc / Dni]),2,0),"")</f>
        <v/>
      </c>
      <c r="X3456" s="25"/>
      <c r="Y3456" s="25"/>
      <c r="Z3456" s="25"/>
      <c r="AA3456" s="101"/>
      <c r="AB3456" s="220" t="str">
        <f>IF(BCP_Soles[[#This Row],[FECHA]]&gt;0,TEXT(BCP_Soles[[#This Row],[FECHA]],"mmmm"),0)</f>
        <v>Agosto</v>
      </c>
    </row>
    <row r="3457" spans="2:28" x14ac:dyDescent="0.3">
      <c r="B3457" s="2">
        <f>IF(BCP_Soles[[#This Row],[TIPO DE R.]]="R",COUNTIFS($D$4:$D3456,"R")+1,"")</f>
        <v>2372</v>
      </c>
      <c r="C3457" s="19" t="str">
        <f t="shared" si="276"/>
        <v>B-BCP - Soles</v>
      </c>
      <c r="D3457" s="3" t="s">
        <v>1074</v>
      </c>
      <c r="E3457" s="14">
        <v>45898</v>
      </c>
      <c r="F3457" s="5" t="s">
        <v>3883</v>
      </c>
      <c r="G3457" s="5" t="s">
        <v>1079</v>
      </c>
      <c r="H3457" s="6" t="s">
        <v>638</v>
      </c>
      <c r="I3457" s="6"/>
      <c r="J3457" s="6"/>
      <c r="K3457" s="6"/>
      <c r="L3457" s="7" t="s">
        <v>7990</v>
      </c>
      <c r="M3457" s="8">
        <v>8770643</v>
      </c>
      <c r="N3457" s="8" t="str">
        <f t="shared" si="277"/>
        <v>PEN</v>
      </c>
      <c r="O3457" s="13"/>
      <c r="P3457" s="13">
        <v>91297.63</v>
      </c>
      <c r="Q3457" s="3">
        <f t="shared" si="278"/>
        <v>0</v>
      </c>
      <c r="R3457" s="3">
        <f t="shared" si="279"/>
        <v>91297.63</v>
      </c>
      <c r="S3457" s="3">
        <f t="shared" si="275"/>
        <v>20214.549999999988</v>
      </c>
      <c r="T3457" s="24"/>
      <c r="U3457" s="24"/>
      <c r="V3457" s="69"/>
      <c r="W3457" s="25">
        <f>IFERROR(VLOOKUP(BCP_Soles[[#This Row],[DESTINATARIO]],CHOOSE({1,2},Clientes_Proveedores[Razon Social],Clientes_Proveedores[Ruc / Dni]),2,0),"")</f>
        <v>0</v>
      </c>
      <c r="X3457" s="25"/>
      <c r="Y3457" s="25"/>
      <c r="Z3457" s="25"/>
      <c r="AA3457" s="101"/>
      <c r="AB3457" s="3" t="str">
        <f>IF(BCP_Soles[[#This Row],[FECHA]]&gt;0,TEXT(BCP_Soles[[#This Row],[FECHA]],"mmmm"),0)</f>
        <v>Agosto</v>
      </c>
    </row>
    <row r="3458" spans="2:28" x14ac:dyDescent="0.3">
      <c r="B3458" s="225">
        <f>IF(BCP_Soles[[#This Row],[TIPO DE R.]]="R",COUNTIFS($D$4:$D3457,"R")+1,"")</f>
        <v>2373</v>
      </c>
      <c r="C3458" s="19" t="str">
        <f t="shared" si="276"/>
        <v>B-BCP - Soles</v>
      </c>
      <c r="D3458" s="3" t="s">
        <v>1074</v>
      </c>
      <c r="E3458" s="226">
        <v>45898</v>
      </c>
      <c r="F3458" s="227"/>
      <c r="G3458" s="227" t="s">
        <v>1079</v>
      </c>
      <c r="H3458" s="6"/>
      <c r="I3458" s="6"/>
      <c r="J3458" s="6"/>
      <c r="K3458" s="6"/>
      <c r="L3458" s="198" t="s">
        <v>2868</v>
      </c>
      <c r="M3458" s="229"/>
      <c r="N3458" s="229" t="str">
        <f t="shared" si="277"/>
        <v>PEN</v>
      </c>
      <c r="O3458" s="13"/>
      <c r="P3458" s="230">
        <v>6.35</v>
      </c>
      <c r="Q3458" s="231">
        <f t="shared" si="278"/>
        <v>0</v>
      </c>
      <c r="R3458" s="231">
        <f t="shared" si="279"/>
        <v>6.35</v>
      </c>
      <c r="S3458" s="231">
        <f t="shared" si="275"/>
        <v>20208.19999999999</v>
      </c>
      <c r="T3458" s="232"/>
      <c r="U3458" s="232"/>
      <c r="V3458" s="69"/>
      <c r="W3458" s="25" t="str">
        <f>IFERROR(VLOOKUP(BCP_Soles[[#This Row],[DESTINATARIO]],CHOOSE({1,2},Clientes_Proveedores[Razon Social],Clientes_Proveedores[Ruc / Dni]),2,0),"")</f>
        <v/>
      </c>
      <c r="X3458" s="25"/>
      <c r="Y3458" s="25"/>
      <c r="Z3458" s="25"/>
      <c r="AA3458" s="101"/>
      <c r="AB3458" s="231" t="str">
        <f>IF(BCP_Soles[[#This Row],[FECHA]]&gt;0,TEXT(BCP_Soles[[#This Row],[FECHA]],"mmmm"),0)</f>
        <v>Agosto</v>
      </c>
    </row>
    <row r="3459" spans="2:28" x14ac:dyDescent="0.3">
      <c r="B3459" s="225">
        <f>IF(BCP_Soles[[#This Row],[TIPO DE R.]]="R",COUNTIFS($D$4:$D3458,"R")+1,"")</f>
        <v>2374</v>
      </c>
      <c r="C3459" s="19" t="str">
        <f t="shared" ref="C3459:C3469" si="280">"B-BCP - Soles"</f>
        <v>B-BCP - Soles</v>
      </c>
      <c r="D3459" s="3" t="s">
        <v>1074</v>
      </c>
      <c r="E3459" s="226">
        <v>45899</v>
      </c>
      <c r="F3459" s="233" t="s">
        <v>238</v>
      </c>
      <c r="G3459" s="5" t="s">
        <v>1087</v>
      </c>
      <c r="H3459" s="6" t="s">
        <v>368</v>
      </c>
      <c r="I3459" s="6" t="s">
        <v>14</v>
      </c>
      <c r="J3459" s="6" t="s">
        <v>3010</v>
      </c>
      <c r="K3459" s="6">
        <v>122</v>
      </c>
      <c r="L3459" s="228" t="s">
        <v>1170</v>
      </c>
      <c r="M3459" s="229">
        <v>2023814</v>
      </c>
      <c r="N3459" s="229" t="str">
        <f t="shared" ref="N3459:N3469" si="281">"PEN"</f>
        <v>PEN</v>
      </c>
      <c r="O3459" s="13"/>
      <c r="P3459" s="230">
        <v>901.23</v>
      </c>
      <c r="Q3459" s="231">
        <f t="shared" ref="Q3459:Q3469" si="282">+IF(OR($G3459="SALDO",$G3459="INGRESO"),$P3459,0)</f>
        <v>901.23</v>
      </c>
      <c r="R3459" s="231">
        <f t="shared" ref="R3459:R3469" si="283">+IF($G3459="EGRESO",$P3459,0)</f>
        <v>0</v>
      </c>
      <c r="S3459" s="231">
        <f t="shared" si="275"/>
        <v>21109.429999999989</v>
      </c>
      <c r="T3459" s="24" t="s">
        <v>1081</v>
      </c>
      <c r="U3459" s="24" t="s">
        <v>1081</v>
      </c>
      <c r="V3459" s="69"/>
      <c r="W3459" s="25">
        <f>IFERROR(VLOOKUP(BCP_Soles[[#This Row],[DESTINATARIO]],CHOOSE({1,2},Clientes_Proveedores[Razon Social],Clientes_Proveedores[Ruc / Dni]),2,0),"")</f>
        <v>20558226979</v>
      </c>
      <c r="X3459" s="25"/>
      <c r="Y3459" s="25"/>
      <c r="Z3459" s="25"/>
      <c r="AA3459" s="101"/>
      <c r="AB3459" s="231" t="str">
        <f>IF(BCP_Soles[[#This Row],[FECHA]]&gt;0,TEXT(BCP_Soles[[#This Row],[FECHA]],"mmmm"),0)</f>
        <v>Agosto</v>
      </c>
    </row>
    <row r="3460" spans="2:28" x14ac:dyDescent="0.3">
      <c r="B3460" s="225">
        <f>IF(BCP_Soles[[#This Row],[TIPO DE R.]]="R",COUNTIFS($D$4:$D3459,"R")+1,"")</f>
        <v>2375</v>
      </c>
      <c r="C3460" s="19" t="str">
        <f t="shared" si="280"/>
        <v>B-BCP - Soles</v>
      </c>
      <c r="D3460" s="3" t="s">
        <v>1074</v>
      </c>
      <c r="E3460" s="226">
        <v>45899</v>
      </c>
      <c r="F3460" s="233" t="s">
        <v>238</v>
      </c>
      <c r="G3460" s="5" t="s">
        <v>1087</v>
      </c>
      <c r="H3460" s="6" t="s">
        <v>368</v>
      </c>
      <c r="I3460" s="6" t="s">
        <v>14</v>
      </c>
      <c r="J3460" s="6" t="s">
        <v>3010</v>
      </c>
      <c r="K3460" s="6">
        <v>112</v>
      </c>
      <c r="L3460" s="228" t="s">
        <v>1170</v>
      </c>
      <c r="M3460" s="229">
        <v>2017500</v>
      </c>
      <c r="N3460" s="229" t="str">
        <f t="shared" si="281"/>
        <v>PEN</v>
      </c>
      <c r="O3460" s="13"/>
      <c r="P3460" s="230">
        <v>600.23</v>
      </c>
      <c r="Q3460" s="231">
        <f t="shared" si="282"/>
        <v>600.23</v>
      </c>
      <c r="R3460" s="231">
        <f t="shared" si="283"/>
        <v>0</v>
      </c>
      <c r="S3460" s="231">
        <f t="shared" si="275"/>
        <v>21709.659999999989</v>
      </c>
      <c r="T3460" s="24" t="s">
        <v>1081</v>
      </c>
      <c r="U3460" s="24" t="s">
        <v>1081</v>
      </c>
      <c r="V3460" s="69"/>
      <c r="W3460" s="25">
        <f>IFERROR(VLOOKUP(BCP_Soles[[#This Row],[DESTINATARIO]],CHOOSE({1,2},Clientes_Proveedores[Razon Social],Clientes_Proveedores[Ruc / Dni]),2,0),"")</f>
        <v>20558226979</v>
      </c>
      <c r="X3460" s="25"/>
      <c r="Y3460" s="25"/>
      <c r="Z3460" s="25"/>
      <c r="AA3460" s="101"/>
      <c r="AB3460" s="231" t="str">
        <f>IF(BCP_Soles[[#This Row],[FECHA]]&gt;0,TEXT(BCP_Soles[[#This Row],[FECHA]],"mmmm"),0)</f>
        <v>Agosto</v>
      </c>
    </row>
    <row r="3461" spans="2:28" x14ac:dyDescent="0.3">
      <c r="B3461" s="225">
        <f>IF(BCP_Soles[[#This Row],[TIPO DE R.]]="R",COUNTIFS($D$4:$D3460,"R")+1,"")</f>
        <v>2376</v>
      </c>
      <c r="C3461" s="19" t="str">
        <f t="shared" si="280"/>
        <v>B-BCP - Soles</v>
      </c>
      <c r="D3461" s="3" t="s">
        <v>1074</v>
      </c>
      <c r="E3461" s="226">
        <v>45899</v>
      </c>
      <c r="F3461" s="233" t="s">
        <v>238</v>
      </c>
      <c r="G3461" s="5" t="s">
        <v>1087</v>
      </c>
      <c r="H3461" s="6" t="s">
        <v>368</v>
      </c>
      <c r="I3461" s="6" t="s">
        <v>14</v>
      </c>
      <c r="J3461" s="6" t="s">
        <v>3010</v>
      </c>
      <c r="K3461" s="6">
        <v>115</v>
      </c>
      <c r="L3461" s="228" t="s">
        <v>1170</v>
      </c>
      <c r="M3461" s="229">
        <v>2021631</v>
      </c>
      <c r="N3461" s="229" t="str">
        <f t="shared" si="281"/>
        <v>PEN</v>
      </c>
      <c r="O3461" s="13"/>
      <c r="P3461" s="230">
        <v>579.45000000000005</v>
      </c>
      <c r="Q3461" s="231">
        <f t="shared" si="282"/>
        <v>579.45000000000005</v>
      </c>
      <c r="R3461" s="231">
        <f t="shared" si="283"/>
        <v>0</v>
      </c>
      <c r="S3461" s="231">
        <f t="shared" si="275"/>
        <v>22289.10999999999</v>
      </c>
      <c r="T3461" s="24" t="s">
        <v>1081</v>
      </c>
      <c r="U3461" s="24" t="s">
        <v>1081</v>
      </c>
      <c r="V3461" s="69"/>
      <c r="W3461" s="25">
        <f>IFERROR(VLOOKUP(BCP_Soles[[#This Row],[DESTINATARIO]],CHOOSE({1,2},Clientes_Proveedores[Razon Social],Clientes_Proveedores[Ruc / Dni]),2,0),"")</f>
        <v>20558226979</v>
      </c>
      <c r="X3461" s="25"/>
      <c r="Y3461" s="25"/>
      <c r="Z3461" s="25"/>
      <c r="AA3461" s="101"/>
      <c r="AB3461" s="231" t="str">
        <f>IF(BCP_Soles[[#This Row],[FECHA]]&gt;0,TEXT(BCP_Soles[[#This Row],[FECHA]],"mmmm"),0)</f>
        <v>Agosto</v>
      </c>
    </row>
    <row r="3462" spans="2:28" x14ac:dyDescent="0.3">
      <c r="B3462" s="225">
        <f>IF(BCP_Soles[[#This Row],[TIPO DE R.]]="R",COUNTIFS($D$4:$D3461,"R")+1,"")</f>
        <v>2377</v>
      </c>
      <c r="C3462" s="19" t="str">
        <f t="shared" si="280"/>
        <v>B-BCP - Soles</v>
      </c>
      <c r="D3462" s="3" t="s">
        <v>1074</v>
      </c>
      <c r="E3462" s="226">
        <v>45899</v>
      </c>
      <c r="F3462" s="233" t="s">
        <v>238</v>
      </c>
      <c r="G3462" s="5" t="s">
        <v>1087</v>
      </c>
      <c r="H3462" s="6" t="s">
        <v>368</v>
      </c>
      <c r="I3462" s="6" t="s">
        <v>14</v>
      </c>
      <c r="J3462" s="6" t="s">
        <v>3010</v>
      </c>
      <c r="K3462" s="6">
        <v>123</v>
      </c>
      <c r="L3462" s="228" t="s">
        <v>1170</v>
      </c>
      <c r="M3462" s="229">
        <v>2020873</v>
      </c>
      <c r="N3462" s="229" t="str">
        <f t="shared" si="281"/>
        <v>PEN</v>
      </c>
      <c r="O3462" s="13"/>
      <c r="P3462" s="230">
        <v>501.41</v>
      </c>
      <c r="Q3462" s="231">
        <f t="shared" si="282"/>
        <v>501.41</v>
      </c>
      <c r="R3462" s="231">
        <f t="shared" si="283"/>
        <v>0</v>
      </c>
      <c r="S3462" s="231">
        <f t="shared" si="275"/>
        <v>22790.51999999999</v>
      </c>
      <c r="T3462" s="24" t="s">
        <v>1081</v>
      </c>
      <c r="U3462" s="24" t="s">
        <v>1081</v>
      </c>
      <c r="V3462" s="69"/>
      <c r="W3462" s="25">
        <f>IFERROR(VLOOKUP(BCP_Soles[[#This Row],[DESTINATARIO]],CHOOSE({1,2},Clientes_Proveedores[Razon Social],Clientes_Proveedores[Ruc / Dni]),2,0),"")</f>
        <v>20558226979</v>
      </c>
      <c r="X3462" s="25"/>
      <c r="Y3462" s="25"/>
      <c r="Z3462" s="25"/>
      <c r="AA3462" s="101"/>
      <c r="AB3462" s="231" t="str">
        <f>IF(BCP_Soles[[#This Row],[FECHA]]&gt;0,TEXT(BCP_Soles[[#This Row],[FECHA]],"mmmm"),0)</f>
        <v>Agosto</v>
      </c>
    </row>
    <row r="3463" spans="2:28" x14ac:dyDescent="0.3">
      <c r="B3463" s="225">
        <f>IF(BCP_Soles[[#This Row],[TIPO DE R.]]="R",COUNTIFS($D$4:$D3462,"R")+1,"")</f>
        <v>2378</v>
      </c>
      <c r="C3463" s="19" t="str">
        <f t="shared" si="280"/>
        <v>B-BCP - Soles</v>
      </c>
      <c r="D3463" s="3" t="s">
        <v>1074</v>
      </c>
      <c r="E3463" s="226">
        <v>45899</v>
      </c>
      <c r="F3463" s="233" t="s">
        <v>238</v>
      </c>
      <c r="G3463" s="5" t="s">
        <v>1087</v>
      </c>
      <c r="H3463" s="6" t="s">
        <v>368</v>
      </c>
      <c r="I3463" s="6" t="s">
        <v>14</v>
      </c>
      <c r="J3463" s="6" t="s">
        <v>3010</v>
      </c>
      <c r="K3463" s="6">
        <v>116</v>
      </c>
      <c r="L3463" s="228" t="s">
        <v>1170</v>
      </c>
      <c r="M3463" s="229">
        <v>2021204</v>
      </c>
      <c r="N3463" s="229" t="str">
        <f t="shared" si="281"/>
        <v>PEN</v>
      </c>
      <c r="O3463" s="13"/>
      <c r="P3463" s="230">
        <v>397.28</v>
      </c>
      <c r="Q3463" s="231">
        <f t="shared" si="282"/>
        <v>397.28</v>
      </c>
      <c r="R3463" s="231">
        <f t="shared" si="283"/>
        <v>0</v>
      </c>
      <c r="S3463" s="231">
        <f t="shared" si="275"/>
        <v>23187.799999999988</v>
      </c>
      <c r="T3463" s="24" t="s">
        <v>1081</v>
      </c>
      <c r="U3463" s="24" t="s">
        <v>1081</v>
      </c>
      <c r="V3463" s="69"/>
      <c r="W3463" s="25">
        <f>IFERROR(VLOOKUP(BCP_Soles[[#This Row],[DESTINATARIO]],CHOOSE({1,2},Clientes_Proveedores[Razon Social],Clientes_Proveedores[Ruc / Dni]),2,0),"")</f>
        <v>20558226979</v>
      </c>
      <c r="X3463" s="25"/>
      <c r="Y3463" s="25"/>
      <c r="Z3463" s="25"/>
      <c r="AA3463" s="101"/>
      <c r="AB3463" s="231" t="str">
        <f>IF(BCP_Soles[[#This Row],[FECHA]]&gt;0,TEXT(BCP_Soles[[#This Row],[FECHA]],"mmmm"),0)</f>
        <v>Agosto</v>
      </c>
    </row>
    <row r="3464" spans="2:28" x14ac:dyDescent="0.3">
      <c r="B3464" s="225">
        <f>IF(BCP_Soles[[#This Row],[TIPO DE R.]]="R",COUNTIFS($D$4:$D3463,"R")+1,"")</f>
        <v>2379</v>
      </c>
      <c r="C3464" s="19" t="str">
        <f t="shared" si="280"/>
        <v>B-BCP - Soles</v>
      </c>
      <c r="D3464" s="3" t="s">
        <v>1074</v>
      </c>
      <c r="E3464" s="226">
        <v>45899</v>
      </c>
      <c r="F3464" s="233" t="s">
        <v>238</v>
      </c>
      <c r="G3464" s="5" t="s">
        <v>1087</v>
      </c>
      <c r="H3464" s="6" t="s">
        <v>368</v>
      </c>
      <c r="I3464" s="6" t="s">
        <v>14</v>
      </c>
      <c r="J3464" s="6" t="s">
        <v>3010</v>
      </c>
      <c r="K3464" s="6">
        <v>125</v>
      </c>
      <c r="L3464" s="228" t="s">
        <v>1170</v>
      </c>
      <c r="M3464" s="229">
        <v>2020937</v>
      </c>
      <c r="N3464" s="229" t="str">
        <f t="shared" si="281"/>
        <v>PEN</v>
      </c>
      <c r="O3464" s="13"/>
      <c r="P3464" s="230">
        <v>389.43</v>
      </c>
      <c r="Q3464" s="231">
        <f t="shared" si="282"/>
        <v>389.43</v>
      </c>
      <c r="R3464" s="231">
        <f t="shared" si="283"/>
        <v>0</v>
      </c>
      <c r="S3464" s="231">
        <f t="shared" si="275"/>
        <v>23577.229999999989</v>
      </c>
      <c r="T3464" s="24" t="s">
        <v>1081</v>
      </c>
      <c r="U3464" s="24" t="s">
        <v>1081</v>
      </c>
      <c r="V3464" s="69"/>
      <c r="W3464" s="25">
        <f>IFERROR(VLOOKUP(BCP_Soles[[#This Row],[DESTINATARIO]],CHOOSE({1,2},Clientes_Proveedores[Razon Social],Clientes_Proveedores[Ruc / Dni]),2,0),"")</f>
        <v>20558226979</v>
      </c>
      <c r="X3464" s="25"/>
      <c r="Y3464" s="25"/>
      <c r="Z3464" s="25"/>
      <c r="AA3464" s="101"/>
      <c r="AB3464" s="231" t="str">
        <f>IF(BCP_Soles[[#This Row],[FECHA]]&gt;0,TEXT(BCP_Soles[[#This Row],[FECHA]],"mmmm"),0)</f>
        <v>Agosto</v>
      </c>
    </row>
    <row r="3465" spans="2:28" x14ac:dyDescent="0.3">
      <c r="B3465" s="225">
        <f>IF(BCP_Soles[[#This Row],[TIPO DE R.]]="R",COUNTIFS($D$4:$D3464,"R")+1,"")</f>
        <v>2380</v>
      </c>
      <c r="C3465" s="19" t="str">
        <f t="shared" si="280"/>
        <v>B-BCP - Soles</v>
      </c>
      <c r="D3465" s="3" t="s">
        <v>1074</v>
      </c>
      <c r="E3465" s="226">
        <v>45899</v>
      </c>
      <c r="F3465" s="233" t="s">
        <v>238</v>
      </c>
      <c r="G3465" s="5" t="s">
        <v>1087</v>
      </c>
      <c r="H3465" s="6" t="s">
        <v>368</v>
      </c>
      <c r="I3465" s="6" t="s">
        <v>14</v>
      </c>
      <c r="J3465" s="6" t="s">
        <v>3010</v>
      </c>
      <c r="K3465" s="6">
        <v>113</v>
      </c>
      <c r="L3465" s="228" t="s">
        <v>1170</v>
      </c>
      <c r="M3465" s="229">
        <v>2022533</v>
      </c>
      <c r="N3465" s="229" t="str">
        <f t="shared" si="281"/>
        <v>PEN</v>
      </c>
      <c r="O3465" s="13"/>
      <c r="P3465" s="230">
        <v>364.34</v>
      </c>
      <c r="Q3465" s="231">
        <f t="shared" si="282"/>
        <v>364.34</v>
      </c>
      <c r="R3465" s="231">
        <f t="shared" si="283"/>
        <v>0</v>
      </c>
      <c r="S3465" s="231">
        <f t="shared" si="275"/>
        <v>23941.569999999989</v>
      </c>
      <c r="T3465" s="24" t="s">
        <v>1081</v>
      </c>
      <c r="U3465" s="24" t="s">
        <v>1081</v>
      </c>
      <c r="V3465" s="69"/>
      <c r="W3465" s="25">
        <f>IFERROR(VLOOKUP(BCP_Soles[[#This Row],[DESTINATARIO]],CHOOSE({1,2},Clientes_Proveedores[Razon Social],Clientes_Proveedores[Ruc / Dni]),2,0),"")</f>
        <v>20558226979</v>
      </c>
      <c r="X3465" s="25"/>
      <c r="Y3465" s="25"/>
      <c r="Z3465" s="25"/>
      <c r="AA3465" s="101"/>
      <c r="AB3465" s="231" t="str">
        <f>IF(BCP_Soles[[#This Row],[FECHA]]&gt;0,TEXT(BCP_Soles[[#This Row],[FECHA]],"mmmm"),0)</f>
        <v>Agosto</v>
      </c>
    </row>
    <row r="3466" spans="2:28" x14ac:dyDescent="0.3">
      <c r="B3466" s="225">
        <f>IF(BCP_Soles[[#This Row],[TIPO DE R.]]="R",COUNTIFS($D$4:$D3465,"R")+1,"")</f>
        <v>2381</v>
      </c>
      <c r="C3466" s="19" t="str">
        <f t="shared" si="280"/>
        <v>B-BCP - Soles</v>
      </c>
      <c r="D3466" s="3" t="s">
        <v>1074</v>
      </c>
      <c r="E3466" s="226">
        <v>45899</v>
      </c>
      <c r="F3466" s="233" t="s">
        <v>238</v>
      </c>
      <c r="G3466" s="5" t="s">
        <v>1087</v>
      </c>
      <c r="H3466" s="6" t="s">
        <v>368</v>
      </c>
      <c r="I3466" s="6" t="s">
        <v>14</v>
      </c>
      <c r="J3466" s="6" t="s">
        <v>3010</v>
      </c>
      <c r="K3466" s="6">
        <v>124</v>
      </c>
      <c r="L3466" s="228" t="s">
        <v>1170</v>
      </c>
      <c r="M3466" s="229">
        <v>2020414</v>
      </c>
      <c r="N3466" s="229" t="str">
        <f t="shared" si="281"/>
        <v>PEN</v>
      </c>
      <c r="O3466" s="13"/>
      <c r="P3466" s="230">
        <v>307.08</v>
      </c>
      <c r="Q3466" s="231">
        <f t="shared" si="282"/>
        <v>307.08</v>
      </c>
      <c r="R3466" s="231">
        <f t="shared" si="283"/>
        <v>0</v>
      </c>
      <c r="S3466" s="231">
        <f t="shared" si="275"/>
        <v>24248.649999999991</v>
      </c>
      <c r="T3466" s="24" t="s">
        <v>1081</v>
      </c>
      <c r="U3466" s="24" t="s">
        <v>1081</v>
      </c>
      <c r="V3466" s="69"/>
      <c r="W3466" s="25">
        <f>IFERROR(VLOOKUP(BCP_Soles[[#This Row],[DESTINATARIO]],CHOOSE({1,2},Clientes_Proveedores[Razon Social],Clientes_Proveedores[Ruc / Dni]),2,0),"")</f>
        <v>20558226979</v>
      </c>
      <c r="X3466" s="25"/>
      <c r="Y3466" s="25"/>
      <c r="Z3466" s="25"/>
      <c r="AA3466" s="101"/>
      <c r="AB3466" s="231" t="str">
        <f>IF(BCP_Soles[[#This Row],[FECHA]]&gt;0,TEXT(BCP_Soles[[#This Row],[FECHA]],"mmmm"),0)</f>
        <v>Agosto</v>
      </c>
    </row>
    <row r="3467" spans="2:28" x14ac:dyDescent="0.3">
      <c r="B3467" s="225">
        <f>IF(BCP_Soles[[#This Row],[TIPO DE R.]]="R",COUNTIFS($D$4:$D3466,"R")+1,"")</f>
        <v>2382</v>
      </c>
      <c r="C3467" s="19" t="str">
        <f t="shared" si="280"/>
        <v>B-BCP - Soles</v>
      </c>
      <c r="D3467" s="3" t="s">
        <v>1074</v>
      </c>
      <c r="E3467" s="226">
        <v>45899</v>
      </c>
      <c r="F3467" s="233" t="s">
        <v>238</v>
      </c>
      <c r="G3467" s="5" t="s">
        <v>1087</v>
      </c>
      <c r="H3467" s="6" t="s">
        <v>368</v>
      </c>
      <c r="I3467" s="6" t="s">
        <v>14</v>
      </c>
      <c r="J3467" s="6" t="s">
        <v>3010</v>
      </c>
      <c r="K3467" s="6">
        <v>114</v>
      </c>
      <c r="L3467" s="228" t="s">
        <v>1170</v>
      </c>
      <c r="M3467" s="229">
        <v>2023589</v>
      </c>
      <c r="N3467" s="229" t="str">
        <f t="shared" si="281"/>
        <v>PEN</v>
      </c>
      <c r="O3467" s="13"/>
      <c r="P3467" s="230">
        <v>184.71</v>
      </c>
      <c r="Q3467" s="231">
        <f t="shared" si="282"/>
        <v>184.71</v>
      </c>
      <c r="R3467" s="231">
        <f t="shared" si="283"/>
        <v>0</v>
      </c>
      <c r="S3467" s="231">
        <f t="shared" si="275"/>
        <v>24433.35999999999</v>
      </c>
      <c r="T3467" s="24" t="s">
        <v>1081</v>
      </c>
      <c r="U3467" s="24" t="s">
        <v>1081</v>
      </c>
      <c r="V3467" s="69"/>
      <c r="W3467" s="25">
        <f>IFERROR(VLOOKUP(BCP_Soles[[#This Row],[DESTINATARIO]],CHOOSE({1,2},Clientes_Proveedores[Razon Social],Clientes_Proveedores[Ruc / Dni]),2,0),"")</f>
        <v>20558226979</v>
      </c>
      <c r="X3467" s="25"/>
      <c r="Y3467" s="25"/>
      <c r="Z3467" s="25"/>
      <c r="AA3467" s="101"/>
      <c r="AB3467" s="231" t="str">
        <f>IF(BCP_Soles[[#This Row],[FECHA]]&gt;0,TEXT(BCP_Soles[[#This Row],[FECHA]],"mmmm"),0)</f>
        <v>Agosto</v>
      </c>
    </row>
    <row r="3468" spans="2:28" ht="24" x14ac:dyDescent="0.3">
      <c r="B3468" s="225">
        <f>IF(BCP_Soles[[#This Row],[TIPO DE R.]]="R",COUNTIFS($D$4:$D3467,"R")+1,"")</f>
        <v>2383</v>
      </c>
      <c r="C3468" s="19" t="str">
        <f t="shared" si="280"/>
        <v>B-BCP - Soles</v>
      </c>
      <c r="D3468" s="3" t="s">
        <v>1074</v>
      </c>
      <c r="E3468" s="226">
        <v>45899</v>
      </c>
      <c r="F3468" s="227"/>
      <c r="G3468" s="227" t="s">
        <v>1079</v>
      </c>
      <c r="H3468" s="6" t="s">
        <v>1001</v>
      </c>
      <c r="I3468" s="6"/>
      <c r="J3468" s="6"/>
      <c r="K3468" s="6"/>
      <c r="L3468" s="228" t="s">
        <v>1495</v>
      </c>
      <c r="M3468" s="229">
        <v>976418</v>
      </c>
      <c r="N3468" s="229" t="str">
        <f t="shared" si="281"/>
        <v>PEN</v>
      </c>
      <c r="O3468" s="13"/>
      <c r="P3468" s="230">
        <v>5.5</v>
      </c>
      <c r="Q3468" s="231">
        <f t="shared" si="282"/>
        <v>0</v>
      </c>
      <c r="R3468" s="231">
        <f t="shared" si="283"/>
        <v>5.5</v>
      </c>
      <c r="S3468" s="231">
        <f t="shared" si="275"/>
        <v>24427.85999999999</v>
      </c>
      <c r="T3468" s="232"/>
      <c r="U3468" s="232"/>
      <c r="V3468" s="69"/>
      <c r="W3468" s="25">
        <f>IFERROR(VLOOKUP(BCP_Soles[[#This Row],[DESTINATARIO]],CHOOSE({1,2},Clientes_Proveedores[Razon Social],Clientes_Proveedores[Ruc / Dni]),2,0),"")</f>
        <v>20100047218</v>
      </c>
      <c r="X3468" s="25"/>
      <c r="Y3468" s="25"/>
      <c r="Z3468" s="25"/>
      <c r="AA3468" s="101"/>
      <c r="AB3468" s="231" t="str">
        <f>IF(BCP_Soles[[#This Row],[FECHA]]&gt;0,TEXT(BCP_Soles[[#This Row],[FECHA]],"mmmm"),0)</f>
        <v>Agosto</v>
      </c>
    </row>
    <row r="3469" spans="2:28" ht="24" x14ac:dyDescent="0.3">
      <c r="B3469" s="225">
        <f>IF(BCP_Soles[[#This Row],[TIPO DE R.]]="R",COUNTIFS($D$4:$D3468,"R")+1,"")</f>
        <v>2384</v>
      </c>
      <c r="C3469" s="19" t="str">
        <f t="shared" si="280"/>
        <v>B-BCP - Soles</v>
      </c>
      <c r="D3469" s="3" t="s">
        <v>1074</v>
      </c>
      <c r="E3469" s="226">
        <v>45899</v>
      </c>
      <c r="F3469" s="227"/>
      <c r="G3469" s="227" t="s">
        <v>1079</v>
      </c>
      <c r="H3469" s="6" t="s">
        <v>1001</v>
      </c>
      <c r="I3469" s="6"/>
      <c r="J3469" s="6"/>
      <c r="K3469" s="6"/>
      <c r="L3469" s="228" t="s">
        <v>1493</v>
      </c>
      <c r="M3469" s="229">
        <v>0</v>
      </c>
      <c r="N3469" s="229" t="str">
        <f t="shared" si="281"/>
        <v>PEN</v>
      </c>
      <c r="O3469" s="13"/>
      <c r="P3469" s="230">
        <v>35</v>
      </c>
      <c r="Q3469" s="231">
        <f t="shared" si="282"/>
        <v>0</v>
      </c>
      <c r="R3469" s="231">
        <f t="shared" si="283"/>
        <v>35</v>
      </c>
      <c r="S3469" s="231">
        <f t="shared" si="275"/>
        <v>24392.85999999999</v>
      </c>
      <c r="T3469" s="232"/>
      <c r="U3469" s="232"/>
      <c r="V3469" s="69"/>
      <c r="W3469" s="25">
        <f>IFERROR(VLOOKUP(BCP_Soles[[#This Row],[DESTINATARIO]],CHOOSE({1,2},Clientes_Proveedores[Razon Social],Clientes_Proveedores[Ruc / Dni]),2,0),"")</f>
        <v>20100047218</v>
      </c>
      <c r="X3469" s="25"/>
      <c r="Y3469" s="25"/>
      <c r="Z3469" s="25"/>
      <c r="AA3469" s="101"/>
      <c r="AB3469" s="231" t="str">
        <f>IF(BCP_Soles[[#This Row],[FECHA]]&gt;0,TEXT(BCP_Soles[[#This Row],[FECHA]],"mmmm"),0)</f>
        <v>Agosto</v>
      </c>
    </row>
    <row r="3470" spans="2:28" x14ac:dyDescent="0.3">
      <c r="B3470" s="225">
        <f>IF(BCP_Soles[[#This Row],[TIPO DE R.]]="R",COUNTIFS($D$4:$D3469,"R")+1,"")</f>
        <v>2385</v>
      </c>
      <c r="C3470" s="19" t="str">
        <f t="shared" ref="C3470:C3482" si="284">"B-BCP - Soles"</f>
        <v>B-BCP - Soles</v>
      </c>
      <c r="D3470" s="3" t="s">
        <v>1074</v>
      </c>
      <c r="E3470" s="226">
        <v>45901</v>
      </c>
      <c r="F3470" s="227"/>
      <c r="G3470" s="227" t="s">
        <v>1087</v>
      </c>
      <c r="H3470" s="6" t="s">
        <v>368</v>
      </c>
      <c r="I3470" s="6"/>
      <c r="J3470" s="6"/>
      <c r="K3470" s="6"/>
      <c r="L3470" s="7" t="s">
        <v>8042</v>
      </c>
      <c r="M3470" s="229">
        <v>2150313</v>
      </c>
      <c r="N3470" s="229" t="str">
        <f t="shared" ref="N3470:N3482" si="285">"PEN"</f>
        <v>PEN</v>
      </c>
      <c r="O3470" s="13"/>
      <c r="P3470" s="230">
        <v>1091.3399999999999</v>
      </c>
      <c r="Q3470" s="231">
        <f t="shared" ref="Q3470:Q3482" si="286">+IF(OR($G3470="SALDO",$G3470="INGRESO"),$P3470,0)</f>
        <v>1091.3399999999999</v>
      </c>
      <c r="R3470" s="231">
        <f t="shared" ref="R3470:R3482" si="287">+IF($G3470="EGRESO",$P3470,0)</f>
        <v>0</v>
      </c>
      <c r="S3470" s="231">
        <f t="shared" si="275"/>
        <v>25484.19999999999</v>
      </c>
      <c r="T3470" s="232"/>
      <c r="U3470" s="232"/>
      <c r="V3470" s="69"/>
      <c r="W3470" s="25">
        <f>IFERROR(VLOOKUP(BCP_Soles[[#This Row],[DESTINATARIO]],CHOOSE({1,2},Clientes_Proveedores[Razon Social],Clientes_Proveedores[Ruc / Dni]),2,0),"")</f>
        <v>20558226979</v>
      </c>
      <c r="X3470" s="25"/>
      <c r="Y3470" s="25"/>
      <c r="Z3470" s="25"/>
      <c r="AA3470" s="101"/>
      <c r="AB3470" s="231" t="str">
        <f>IF(BCP_Soles[[#This Row],[FECHA]]&gt;0,TEXT(BCP_Soles[[#This Row],[FECHA]],"mmmm"),0)</f>
        <v>Setiembre</v>
      </c>
    </row>
    <row r="3471" spans="2:28" x14ac:dyDescent="0.3">
      <c r="B3471" s="225">
        <f>IF(BCP_Soles[[#This Row],[TIPO DE R.]]="R",COUNTIFS($D$4:$D3470,"R")+1,"")</f>
        <v>2386</v>
      </c>
      <c r="C3471" s="19" t="str">
        <f t="shared" si="284"/>
        <v>B-BCP - Soles</v>
      </c>
      <c r="D3471" s="3" t="s">
        <v>1074</v>
      </c>
      <c r="E3471" s="226">
        <v>45901</v>
      </c>
      <c r="F3471" s="227" t="s">
        <v>278</v>
      </c>
      <c r="G3471" s="227" t="s">
        <v>1087</v>
      </c>
      <c r="H3471" s="6" t="s">
        <v>368</v>
      </c>
      <c r="I3471" s="6" t="s">
        <v>14</v>
      </c>
      <c r="J3471" s="6" t="s">
        <v>3010</v>
      </c>
      <c r="K3471" s="6">
        <v>126</v>
      </c>
      <c r="L3471" s="7" t="s">
        <v>3779</v>
      </c>
      <c r="M3471" s="229">
        <v>2096332</v>
      </c>
      <c r="N3471" s="229" t="str">
        <f t="shared" si="285"/>
        <v>PEN</v>
      </c>
      <c r="O3471" s="13"/>
      <c r="P3471" s="230">
        <v>1305.18</v>
      </c>
      <c r="Q3471" s="231">
        <f t="shared" si="286"/>
        <v>1305.18</v>
      </c>
      <c r="R3471" s="231">
        <f t="shared" si="287"/>
        <v>0</v>
      </c>
      <c r="S3471" s="231">
        <f t="shared" ref="S3471:S3472" si="288">IFERROR(IF(G3471="SALDO",Q3471,S3470+Q3471-R3471),0)</f>
        <v>26789.37999999999</v>
      </c>
      <c r="T3471" s="24" t="s">
        <v>1081</v>
      </c>
      <c r="U3471" s="24" t="s">
        <v>1081</v>
      </c>
      <c r="V3471" s="69"/>
      <c r="W3471" s="25">
        <f>IFERROR(VLOOKUP(BCP_Soles[[#This Row],[DESTINATARIO]],CHOOSE({1,2},Clientes_Proveedores[Razon Social],Clientes_Proveedores[Ruc / Dni]),2,0),"")</f>
        <v>20558226979</v>
      </c>
      <c r="X3471" s="25"/>
      <c r="Y3471" s="25"/>
      <c r="Z3471" s="25"/>
      <c r="AA3471" s="101"/>
      <c r="AB3471" s="231" t="str">
        <f>IF(BCP_Soles[[#This Row],[FECHA]]&gt;0,TEXT(BCP_Soles[[#This Row],[FECHA]],"mmmm"),0)</f>
        <v>Setiembre</v>
      </c>
    </row>
    <row r="3472" spans="2:28" ht="24" x14ac:dyDescent="0.3">
      <c r="B3472" s="2">
        <f>IF(BCP_Soles[[#This Row],[TIPO DE R.]]="R",COUNTIFS($D$4:$D3471,"R")+1,"")</f>
        <v>2387</v>
      </c>
      <c r="C3472" s="19" t="str">
        <f t="shared" si="284"/>
        <v>B-BCP - Soles</v>
      </c>
      <c r="D3472" s="3" t="s">
        <v>1074</v>
      </c>
      <c r="E3472" s="14">
        <v>45901</v>
      </c>
      <c r="F3472" s="5" t="s">
        <v>1082</v>
      </c>
      <c r="G3472" s="5" t="s">
        <v>1079</v>
      </c>
      <c r="H3472" s="6" t="s">
        <v>836</v>
      </c>
      <c r="I3472" s="6"/>
      <c r="J3472" s="6"/>
      <c r="K3472" s="6"/>
      <c r="L3472" s="7" t="s">
        <v>7997</v>
      </c>
      <c r="M3472" s="8">
        <v>1107128</v>
      </c>
      <c r="N3472" s="8" t="str">
        <f t="shared" si="285"/>
        <v>PEN</v>
      </c>
      <c r="O3472" s="13"/>
      <c r="P3472" s="13">
        <v>900</v>
      </c>
      <c r="Q3472" s="3">
        <f t="shared" si="286"/>
        <v>0</v>
      </c>
      <c r="R3472" s="3">
        <f t="shared" si="287"/>
        <v>900</v>
      </c>
      <c r="S3472" s="3">
        <f t="shared" si="288"/>
        <v>25889.37999999999</v>
      </c>
      <c r="T3472" s="24"/>
      <c r="U3472" s="24"/>
      <c r="V3472" s="69"/>
      <c r="W3472" s="25">
        <f>IFERROR(VLOOKUP(BCP_Soles[[#This Row],[DESTINATARIO]],CHOOSE({1,2},Clientes_Proveedores[Razon Social],Clientes_Proveedores[Ruc / Dni]),2,0),"")</f>
        <v>72144092</v>
      </c>
      <c r="X3472" s="25"/>
      <c r="Y3472" s="25"/>
      <c r="Z3472" s="25"/>
      <c r="AA3472" s="101"/>
      <c r="AB3472" s="3" t="str">
        <f>IF(BCP_Soles[[#This Row],[FECHA]]&gt;0,TEXT(BCP_Soles[[#This Row],[FECHA]],"mmmm"),0)</f>
        <v>Setiembre</v>
      </c>
    </row>
    <row r="3473" spans="2:28" ht="24" x14ac:dyDescent="0.3">
      <c r="B3473" s="2">
        <f>IF(BCP_Soles[[#This Row],[TIPO DE R.]]="R",COUNTIFS($D$4:$D3472,"R")+1,"")</f>
        <v>2388</v>
      </c>
      <c r="C3473" s="19" t="str">
        <f t="shared" si="284"/>
        <v>B-BCP - Soles</v>
      </c>
      <c r="D3473" s="3" t="s">
        <v>1074</v>
      </c>
      <c r="E3473" s="14">
        <v>45901</v>
      </c>
      <c r="F3473" s="5" t="s">
        <v>1082</v>
      </c>
      <c r="G3473" s="5" t="s">
        <v>1079</v>
      </c>
      <c r="H3473" s="6" t="s">
        <v>664</v>
      </c>
      <c r="I3473" s="6"/>
      <c r="J3473" s="6"/>
      <c r="K3473" s="6"/>
      <c r="L3473" s="7" t="s">
        <v>7998</v>
      </c>
      <c r="M3473" s="8">
        <v>1105663</v>
      </c>
      <c r="N3473" s="8" t="str">
        <f t="shared" si="285"/>
        <v>PEN</v>
      </c>
      <c r="O3473" s="13"/>
      <c r="P3473" s="13">
        <v>521</v>
      </c>
      <c r="Q3473" s="3">
        <f t="shared" si="286"/>
        <v>0</v>
      </c>
      <c r="R3473" s="3">
        <f t="shared" si="287"/>
        <v>521</v>
      </c>
      <c r="S3473" s="3">
        <f t="shared" ref="S3473:S3482" si="289">IFERROR(IF(G3473="SALDO",Q3473,S3472+Q3473-R3473),0)</f>
        <v>25368.37999999999</v>
      </c>
      <c r="T3473" s="24"/>
      <c r="U3473" s="24"/>
      <c r="V3473" s="69"/>
      <c r="W3473" s="25">
        <f>IFERROR(VLOOKUP(BCP_Soles[[#This Row],[DESTINATARIO]],CHOOSE({1,2},Clientes_Proveedores[Razon Social],Clientes_Proveedores[Ruc / Dni]),2,0),"")</f>
        <v>10402383548</v>
      </c>
      <c r="X3473" s="25"/>
      <c r="Y3473" s="25"/>
      <c r="Z3473" s="25"/>
      <c r="AA3473" s="101"/>
      <c r="AB3473" s="3" t="str">
        <f>IF(BCP_Soles[[#This Row],[FECHA]]&gt;0,TEXT(BCP_Soles[[#This Row],[FECHA]],"mmmm"),0)</f>
        <v>Setiembre</v>
      </c>
    </row>
    <row r="3474" spans="2:28" ht="24" x14ac:dyDescent="0.3">
      <c r="B3474" s="225">
        <f>IF(BCP_Soles[[#This Row],[TIPO DE R.]]="R",COUNTIFS($D$4:$D3473,"R")+1,"")</f>
        <v>2389</v>
      </c>
      <c r="C3474" s="19" t="str">
        <f t="shared" si="284"/>
        <v>B-BCP - Soles</v>
      </c>
      <c r="D3474" s="3" t="s">
        <v>1074</v>
      </c>
      <c r="E3474" s="14">
        <v>45901</v>
      </c>
      <c r="F3474" s="5" t="s">
        <v>1082</v>
      </c>
      <c r="G3474" s="5" t="s">
        <v>1079</v>
      </c>
      <c r="H3474" s="6" t="s">
        <v>468</v>
      </c>
      <c r="I3474" s="6"/>
      <c r="J3474" s="6"/>
      <c r="K3474" s="6"/>
      <c r="L3474" s="228" t="s">
        <v>8031</v>
      </c>
      <c r="M3474" s="229">
        <v>1106637</v>
      </c>
      <c r="N3474" s="229" t="str">
        <f t="shared" si="285"/>
        <v>PEN</v>
      </c>
      <c r="O3474" s="13"/>
      <c r="P3474" s="230">
        <v>787.92</v>
      </c>
      <c r="Q3474" s="231">
        <f t="shared" si="286"/>
        <v>0</v>
      </c>
      <c r="R3474" s="231">
        <f t="shared" si="287"/>
        <v>787.92</v>
      </c>
      <c r="S3474" s="231">
        <f t="shared" si="289"/>
        <v>24580.459999999992</v>
      </c>
      <c r="T3474" s="232"/>
      <c r="U3474" s="232"/>
      <c r="V3474" s="69"/>
      <c r="W3474" s="25">
        <f>IFERROR(VLOOKUP(BCP_Soles[[#This Row],[DESTINATARIO]],CHOOSE({1,2},Clientes_Proveedores[Razon Social],Clientes_Proveedores[Ruc / Dni]),2,0),"")</f>
        <v>20604304831</v>
      </c>
      <c r="X3474" s="25"/>
      <c r="Y3474" s="25"/>
      <c r="Z3474" s="25"/>
      <c r="AA3474" s="101"/>
      <c r="AB3474" s="231" t="str">
        <f>IF(BCP_Soles[[#This Row],[FECHA]]&gt;0,TEXT(BCP_Soles[[#This Row],[FECHA]],"mmmm"),0)</f>
        <v>Setiembre</v>
      </c>
    </row>
    <row r="3475" spans="2:28" x14ac:dyDescent="0.3">
      <c r="B3475" s="225">
        <f>IF(BCP_Soles[[#This Row],[TIPO DE R.]]="R",COUNTIFS($D$4:$D3474,"R")+1,"")</f>
        <v>2390</v>
      </c>
      <c r="C3475" s="19" t="str">
        <f t="shared" si="284"/>
        <v>B-BCP - Soles</v>
      </c>
      <c r="D3475" s="3" t="s">
        <v>1074</v>
      </c>
      <c r="E3475" s="14">
        <v>45901</v>
      </c>
      <c r="F3475" s="5" t="s">
        <v>1082</v>
      </c>
      <c r="G3475" s="5" t="s">
        <v>1079</v>
      </c>
      <c r="H3475" s="6" t="s">
        <v>637</v>
      </c>
      <c r="I3475" s="6"/>
      <c r="J3475" s="6"/>
      <c r="K3475" s="6"/>
      <c r="L3475" s="7" t="s">
        <v>8032</v>
      </c>
      <c r="M3475" s="229">
        <v>107127</v>
      </c>
      <c r="N3475" s="229" t="str">
        <f t="shared" si="285"/>
        <v>PEN</v>
      </c>
      <c r="O3475" s="13"/>
      <c r="P3475" s="230">
        <v>2116.77</v>
      </c>
      <c r="Q3475" s="231">
        <f t="shared" si="286"/>
        <v>0</v>
      </c>
      <c r="R3475" s="231">
        <f t="shared" si="287"/>
        <v>2116.77</v>
      </c>
      <c r="S3475" s="231">
        <f t="shared" si="289"/>
        <v>22463.689999999991</v>
      </c>
      <c r="T3475" s="232"/>
      <c r="U3475" s="232"/>
      <c r="V3475" s="69"/>
      <c r="W3475" s="25">
        <f>IFERROR(VLOOKUP(BCP_Soles[[#This Row],[DESTINATARIO]],CHOOSE({1,2},Clientes_Proveedores[Razon Social],Clientes_Proveedores[Ruc / Dni]),2,0),"")</f>
        <v>20127765279</v>
      </c>
      <c r="X3475" s="25"/>
      <c r="Y3475" s="25"/>
      <c r="Z3475" s="25"/>
      <c r="AA3475" s="101"/>
      <c r="AB3475" s="231" t="str">
        <f>IF(BCP_Soles[[#This Row],[FECHA]]&gt;0,TEXT(BCP_Soles[[#This Row],[FECHA]],"mmmm"),0)</f>
        <v>Setiembre</v>
      </c>
    </row>
    <row r="3476" spans="2:28" x14ac:dyDescent="0.3">
      <c r="B3476" s="225">
        <f>IF(BCP_Soles[[#This Row],[TIPO DE R.]]="R",COUNTIFS($D$4:$D3475,"R")+1,"")</f>
        <v>2391</v>
      </c>
      <c r="C3476" s="19" t="str">
        <f t="shared" si="284"/>
        <v>B-BCP - Soles</v>
      </c>
      <c r="D3476" s="3" t="s">
        <v>1074</v>
      </c>
      <c r="E3476" s="14">
        <v>45901</v>
      </c>
      <c r="F3476" s="5" t="s">
        <v>3883</v>
      </c>
      <c r="G3476" s="5" t="s">
        <v>1079</v>
      </c>
      <c r="H3476" s="6"/>
      <c r="I3476" s="6"/>
      <c r="J3476" s="6"/>
      <c r="K3476" s="6"/>
      <c r="L3476" s="228" t="s">
        <v>8034</v>
      </c>
      <c r="M3476" s="229">
        <v>9516086</v>
      </c>
      <c r="N3476" s="229" t="str">
        <f t="shared" si="285"/>
        <v>PEN</v>
      </c>
      <c r="O3476" s="13"/>
      <c r="P3476" s="230">
        <v>1329.45</v>
      </c>
      <c r="Q3476" s="231">
        <f t="shared" si="286"/>
        <v>0</v>
      </c>
      <c r="R3476" s="231">
        <f t="shared" si="287"/>
        <v>1329.45</v>
      </c>
      <c r="S3476" s="231">
        <f t="shared" si="289"/>
        <v>21134.239999999991</v>
      </c>
      <c r="T3476" s="232"/>
      <c r="U3476" s="232"/>
      <c r="V3476" s="69"/>
      <c r="W3476" s="25" t="str">
        <f>IFERROR(VLOOKUP(BCP_Soles[[#This Row],[DESTINATARIO]],CHOOSE({1,2},Clientes_Proveedores[Razon Social],Clientes_Proveedores[Ruc / Dni]),2,0),"")</f>
        <v/>
      </c>
      <c r="X3476" s="25"/>
      <c r="Y3476" s="25"/>
      <c r="Z3476" s="25"/>
      <c r="AA3476" s="101"/>
      <c r="AB3476" s="231" t="str">
        <f>IF(BCP_Soles[[#This Row],[FECHA]]&gt;0,TEXT(BCP_Soles[[#This Row],[FECHA]],"mmmm"),0)</f>
        <v>Setiembre</v>
      </c>
    </row>
    <row r="3477" spans="2:28" ht="24" x14ac:dyDescent="0.3">
      <c r="B3477" s="2">
        <f>IF(BCP_Soles[[#This Row],[TIPO DE R.]]="R",COUNTIFS($D$4:$D3476,"R")+1,"")</f>
        <v>2392</v>
      </c>
      <c r="C3477" s="19" t="str">
        <f t="shared" si="284"/>
        <v>B-BCP - Soles</v>
      </c>
      <c r="D3477" s="3" t="s">
        <v>1074</v>
      </c>
      <c r="E3477" s="14">
        <v>45901</v>
      </c>
      <c r="F3477" s="5" t="s">
        <v>1082</v>
      </c>
      <c r="G3477" s="5" t="s">
        <v>1079</v>
      </c>
      <c r="H3477" s="6" t="s">
        <v>836</v>
      </c>
      <c r="I3477" s="6"/>
      <c r="J3477" s="6"/>
      <c r="K3477" s="6"/>
      <c r="L3477" s="7" t="s">
        <v>8044</v>
      </c>
      <c r="M3477" s="8">
        <v>1227852</v>
      </c>
      <c r="N3477" s="8" t="str">
        <f t="shared" si="285"/>
        <v>PEN</v>
      </c>
      <c r="O3477" s="13"/>
      <c r="P3477" s="13">
        <v>300</v>
      </c>
      <c r="Q3477" s="3">
        <f t="shared" si="286"/>
        <v>0</v>
      </c>
      <c r="R3477" s="3">
        <f t="shared" si="287"/>
        <v>300</v>
      </c>
      <c r="S3477" s="3">
        <f t="shared" si="289"/>
        <v>20834.239999999991</v>
      </c>
      <c r="T3477" s="24"/>
      <c r="U3477" s="24"/>
      <c r="V3477" s="69"/>
      <c r="W3477" s="25">
        <f>IFERROR(VLOOKUP(BCP_Soles[[#This Row],[DESTINATARIO]],CHOOSE({1,2},Clientes_Proveedores[Razon Social],Clientes_Proveedores[Ruc / Dni]),2,0),"")</f>
        <v>72144092</v>
      </c>
      <c r="X3477" s="25"/>
      <c r="Y3477" s="25"/>
      <c r="Z3477" s="25"/>
      <c r="AA3477" s="101"/>
      <c r="AB3477" s="3" t="str">
        <f>IF(BCP_Soles[[#This Row],[FECHA]]&gt;0,TEXT(BCP_Soles[[#This Row],[FECHA]],"mmmm"),0)</f>
        <v>Setiembre</v>
      </c>
    </row>
    <row r="3478" spans="2:28" ht="24" x14ac:dyDescent="0.3">
      <c r="B3478" s="2">
        <f>IF(BCP_Soles[[#This Row],[TIPO DE R.]]="R",COUNTIFS($D$4:$D3477,"R")+1,"")</f>
        <v>2393</v>
      </c>
      <c r="C3478" s="19" t="str">
        <f t="shared" si="284"/>
        <v>B-BCP - Soles</v>
      </c>
      <c r="D3478" s="3" t="s">
        <v>1074</v>
      </c>
      <c r="E3478" s="14">
        <v>45901</v>
      </c>
      <c r="F3478" s="5" t="s">
        <v>1082</v>
      </c>
      <c r="G3478" s="5" t="s">
        <v>1079</v>
      </c>
      <c r="H3478" s="6" t="s">
        <v>836</v>
      </c>
      <c r="I3478" s="6"/>
      <c r="J3478" s="6"/>
      <c r="K3478" s="6"/>
      <c r="L3478" s="7" t="s">
        <v>8045</v>
      </c>
      <c r="M3478" s="8">
        <v>1224475</v>
      </c>
      <c r="N3478" s="8" t="str">
        <f t="shared" si="285"/>
        <v>PEN</v>
      </c>
      <c r="O3478" s="13"/>
      <c r="P3478" s="13">
        <v>900</v>
      </c>
      <c r="Q3478" s="3">
        <f t="shared" si="286"/>
        <v>0</v>
      </c>
      <c r="R3478" s="3">
        <f t="shared" si="287"/>
        <v>900</v>
      </c>
      <c r="S3478" s="3">
        <f t="shared" si="289"/>
        <v>19934.239999999991</v>
      </c>
      <c r="T3478" s="24"/>
      <c r="U3478" s="24"/>
      <c r="V3478" s="69"/>
      <c r="W3478" s="25">
        <f>IFERROR(VLOOKUP(BCP_Soles[[#This Row],[DESTINATARIO]],CHOOSE({1,2},Clientes_Proveedores[Razon Social],Clientes_Proveedores[Ruc / Dni]),2,0),"")</f>
        <v>72144092</v>
      </c>
      <c r="X3478" s="25"/>
      <c r="Y3478" s="25"/>
      <c r="Z3478" s="25"/>
      <c r="AA3478" s="101"/>
      <c r="AB3478" s="3" t="str">
        <f>IF(BCP_Soles[[#This Row],[FECHA]]&gt;0,TEXT(BCP_Soles[[#This Row],[FECHA]],"mmmm"),0)</f>
        <v>Setiembre</v>
      </c>
    </row>
    <row r="3479" spans="2:28" x14ac:dyDescent="0.3">
      <c r="B3479" s="2">
        <f>IF(BCP_Soles[[#This Row],[TIPO DE R.]]="R",COUNTIFS($D$4:$D3478,"R")+1,"")</f>
        <v>2394</v>
      </c>
      <c r="C3479" s="19" t="str">
        <f t="shared" si="284"/>
        <v>B-BCP - Soles</v>
      </c>
      <c r="D3479" s="3" t="s">
        <v>1074</v>
      </c>
      <c r="E3479" s="14">
        <v>45901</v>
      </c>
      <c r="F3479" s="5" t="s">
        <v>1082</v>
      </c>
      <c r="G3479" s="5" t="s">
        <v>1079</v>
      </c>
      <c r="H3479" s="6" t="s">
        <v>638</v>
      </c>
      <c r="I3479" s="6"/>
      <c r="J3479" s="6"/>
      <c r="K3479" s="6"/>
      <c r="L3479" s="7" t="s">
        <v>8047</v>
      </c>
      <c r="M3479" s="8">
        <v>9653391</v>
      </c>
      <c r="N3479" s="8" t="str">
        <f t="shared" si="285"/>
        <v>PEN</v>
      </c>
      <c r="O3479" s="13"/>
      <c r="P3479" s="13">
        <v>4496.6499999999996</v>
      </c>
      <c r="Q3479" s="3">
        <f t="shared" si="286"/>
        <v>0</v>
      </c>
      <c r="R3479" s="3">
        <f t="shared" si="287"/>
        <v>4496.6499999999996</v>
      </c>
      <c r="S3479" s="3">
        <f t="shared" si="289"/>
        <v>15437.589999999991</v>
      </c>
      <c r="T3479" s="24"/>
      <c r="U3479" s="24"/>
      <c r="V3479" s="69"/>
      <c r="W3479" s="25">
        <f>IFERROR(VLOOKUP(BCP_Soles[[#This Row],[DESTINATARIO]],CHOOSE({1,2},Clientes_Proveedores[Razon Social],Clientes_Proveedores[Ruc / Dni]),2,0),"")</f>
        <v>0</v>
      </c>
      <c r="X3479" s="25"/>
      <c r="Y3479" s="25"/>
      <c r="Z3479" s="25"/>
      <c r="AA3479" s="101"/>
      <c r="AB3479" s="3" t="str">
        <f>IF(BCP_Soles[[#This Row],[FECHA]]&gt;0,TEXT(BCP_Soles[[#This Row],[FECHA]],"mmmm"),0)</f>
        <v>Setiembre</v>
      </c>
    </row>
    <row r="3480" spans="2:28" ht="24" x14ac:dyDescent="0.3">
      <c r="B3480" s="2">
        <f>IF(BCP_Soles[[#This Row],[TIPO DE R.]]="R",COUNTIFS($D$4:$D3479,"R")+1,"")</f>
        <v>2395</v>
      </c>
      <c r="C3480" s="19" t="str">
        <f t="shared" si="284"/>
        <v>B-BCP - Soles</v>
      </c>
      <c r="D3480" s="3" t="s">
        <v>1074</v>
      </c>
      <c r="E3480" s="14">
        <v>45901</v>
      </c>
      <c r="F3480" s="5" t="s">
        <v>1082</v>
      </c>
      <c r="G3480" s="5" t="s">
        <v>1079</v>
      </c>
      <c r="H3480" s="6"/>
      <c r="I3480" s="6"/>
      <c r="J3480" s="6"/>
      <c r="K3480" s="6"/>
      <c r="L3480" s="7" t="s">
        <v>8048</v>
      </c>
      <c r="M3480" s="8">
        <v>225968</v>
      </c>
      <c r="N3480" s="8" t="str">
        <f t="shared" si="285"/>
        <v>PEN</v>
      </c>
      <c r="O3480" s="13"/>
      <c r="P3480" s="13">
        <v>1389.86</v>
      </c>
      <c r="Q3480" s="3">
        <f t="shared" si="286"/>
        <v>0</v>
      </c>
      <c r="R3480" s="3">
        <f t="shared" si="287"/>
        <v>1389.86</v>
      </c>
      <c r="S3480" s="3">
        <f t="shared" si="289"/>
        <v>14047.72999999999</v>
      </c>
      <c r="T3480" s="24"/>
      <c r="U3480" s="24"/>
      <c r="V3480" s="69"/>
      <c r="W3480" s="25" t="str">
        <f>IFERROR(VLOOKUP(BCP_Soles[[#This Row],[DESTINATARIO]],CHOOSE({1,2},Clientes_Proveedores[Razon Social],Clientes_Proveedores[Ruc / Dni]),2,0),"")</f>
        <v/>
      </c>
      <c r="X3480" s="25"/>
      <c r="Y3480" s="25"/>
      <c r="Z3480" s="25"/>
      <c r="AA3480" s="101"/>
      <c r="AB3480" s="3" t="str">
        <f>IF(BCP_Soles[[#This Row],[FECHA]]&gt;0,TEXT(BCP_Soles[[#This Row],[FECHA]],"mmmm"),0)</f>
        <v>Setiembre</v>
      </c>
    </row>
    <row r="3481" spans="2:28" ht="24" x14ac:dyDescent="0.3">
      <c r="B3481" s="2">
        <f>IF(BCP_Soles[[#This Row],[TIPO DE R.]]="R",COUNTIFS($D$4:$D3480,"R")+1,"")</f>
        <v>2396</v>
      </c>
      <c r="C3481" s="19" t="str">
        <f t="shared" si="284"/>
        <v>B-BCP - Soles</v>
      </c>
      <c r="D3481" s="3" t="s">
        <v>1074</v>
      </c>
      <c r="E3481" s="14">
        <v>45901</v>
      </c>
      <c r="F3481" s="5" t="s">
        <v>1082</v>
      </c>
      <c r="G3481" s="5" t="s">
        <v>1079</v>
      </c>
      <c r="H3481" s="6" t="s">
        <v>525</v>
      </c>
      <c r="I3481" s="6"/>
      <c r="J3481" s="6"/>
      <c r="K3481" s="6"/>
      <c r="L3481" s="7" t="s">
        <v>8049</v>
      </c>
      <c r="M3481" s="8">
        <v>1225967</v>
      </c>
      <c r="N3481" s="8" t="str">
        <f t="shared" si="285"/>
        <v>PEN</v>
      </c>
      <c r="O3481" s="13"/>
      <c r="P3481" s="13">
        <v>4158.79</v>
      </c>
      <c r="Q3481" s="3">
        <f t="shared" si="286"/>
        <v>0</v>
      </c>
      <c r="R3481" s="3">
        <f t="shared" si="287"/>
        <v>4158.79</v>
      </c>
      <c r="S3481" s="3">
        <f t="shared" si="289"/>
        <v>9888.9399999999914</v>
      </c>
      <c r="T3481" s="24"/>
      <c r="U3481" s="24"/>
      <c r="V3481" s="69"/>
      <c r="W3481" s="25">
        <f>IFERROR(VLOOKUP(BCP_Soles[[#This Row],[DESTINATARIO]],CHOOSE({1,2},Clientes_Proveedores[Razon Social],Clientes_Proveedores[Ruc / Dni]),2,0),"")</f>
        <v>20609155303</v>
      </c>
      <c r="X3481" s="25"/>
      <c r="Y3481" s="25"/>
      <c r="Z3481" s="25"/>
      <c r="AA3481" s="101"/>
      <c r="AB3481" s="3" t="str">
        <f>IF(BCP_Soles[[#This Row],[FECHA]]&gt;0,TEXT(BCP_Soles[[#This Row],[FECHA]],"mmmm"),0)</f>
        <v>Setiembre</v>
      </c>
    </row>
    <row r="3482" spans="2:28" ht="24" x14ac:dyDescent="0.3">
      <c r="B3482" s="2">
        <f>IF(BCP_Soles[[#This Row],[TIPO DE R.]]="R",COUNTIFS($D$4:$D3481,"R")+1,"")</f>
        <v>2397</v>
      </c>
      <c r="C3482" s="19" t="str">
        <f t="shared" si="284"/>
        <v>B-BCP - Soles</v>
      </c>
      <c r="D3482" s="3" t="s">
        <v>1074</v>
      </c>
      <c r="E3482" s="14">
        <v>45901</v>
      </c>
      <c r="F3482" s="5"/>
      <c r="G3482" s="5" t="s">
        <v>1079</v>
      </c>
      <c r="H3482" s="6" t="s">
        <v>1001</v>
      </c>
      <c r="I3482" s="6"/>
      <c r="J3482" s="6"/>
      <c r="K3482" s="6"/>
      <c r="L3482" s="7" t="s">
        <v>8050</v>
      </c>
      <c r="M3482" s="8">
        <v>9653398</v>
      </c>
      <c r="N3482" s="8" t="str">
        <f t="shared" si="285"/>
        <v>PEN</v>
      </c>
      <c r="O3482" s="13"/>
      <c r="P3482" s="13">
        <v>2.5</v>
      </c>
      <c r="Q3482" s="3">
        <f t="shared" si="286"/>
        <v>0</v>
      </c>
      <c r="R3482" s="3">
        <f t="shared" si="287"/>
        <v>2.5</v>
      </c>
      <c r="S3482" s="3">
        <f t="shared" si="289"/>
        <v>9886.4399999999914</v>
      </c>
      <c r="T3482" s="24"/>
      <c r="U3482" s="24"/>
      <c r="V3482" s="69"/>
      <c r="W3482" s="25">
        <f>IFERROR(VLOOKUP(BCP_Soles[[#This Row],[DESTINATARIO]],CHOOSE({1,2},Clientes_Proveedores[Razon Social],Clientes_Proveedores[Ruc / Dni]),2,0),"")</f>
        <v>20100047218</v>
      </c>
      <c r="X3482" s="25"/>
      <c r="Y3482" s="25"/>
      <c r="Z3482" s="25"/>
      <c r="AA3482" s="101"/>
      <c r="AB3482" s="3" t="str">
        <f>IF(BCP_Soles[[#This Row],[FECHA]]&gt;0,TEXT(BCP_Soles[[#This Row],[FECHA]],"mmmm"),0)</f>
        <v>Setiembre</v>
      </c>
    </row>
  </sheetData>
  <mergeCells count="1">
    <mergeCell ref="B2:AB2"/>
  </mergeCells>
  <conditionalFormatting sqref="B5:AB2198 B2199:U2199 W2199:AB2199 B2200:AB2221 B2222:U2226 W2222:AB2226 B2227:AB2281 B2282:U2297 W2282:AB2297 B2298:AB2330 B2331:U2332 W2331:AB2332 B2333:AB2352 B2353:U2358 W2353:AB2358 B2359:AB2373 B2374:U2375 W2374:AB2375 B2376:AB2378 B2379:U2379 W2379:AB2379 B2380:AB2423 B2424:U2430 W2424:AB2430 B2431:AB2485 B2486:U2486 W2486:AB2486 B2487:AB2508 B2509:U2515 W2509:AB2515 B2516:AB2525 B2526:U2528 W2526:AB2528 B2529:AB2551 B2552:U2557 W2552:AB2557 B2558:AB2577 B2578:U2578 W2578:AB2578 B2579:AB2580 B2581:U2592 W2581:AB2592 B2593:AB2598 B2599:U2599 W2599:AB2599 B2600:AB2615 C2616:AB2620 B2616:B2684 C2621:U2621 W2621:AB2621 C2622:AB2635 C2636:G2684 H2636:AB2687 B2685:G2687 B2688:AB3226 J3227:L3227 N3227:AB3227 B3227:I3241 J3228:AB3241 B3242:AB10650">
    <cfRule type="expression" dxfId="93" priority="1">
      <formula>$U5="OK"</formula>
    </cfRule>
    <cfRule type="expression" dxfId="92" priority="2">
      <formula>$T5="OK"</formula>
    </cfRule>
    <cfRule type="expression" dxfId="91" priority="3">
      <formula>$D5="D"</formula>
    </cfRule>
  </conditionalFormatting>
  <dataValidations count="4">
    <dataValidation type="list" allowBlank="1" showInputMessage="1" showErrorMessage="1" sqref="H5:H118 H3080:H3241 H3042:H3078 H3012:H3034 H2869:H3009 H120:H2600 H2603:H2867 H3245:H3457 H3459:H3482" xr:uid="{1AC5E032-00AA-4889-B65A-ED48781DA5AE}">
      <formula1>Proveedores_Clientes</formula1>
    </dataValidation>
    <dataValidation type="list" allowBlank="1" showInputMessage="1" showErrorMessage="1" sqref="I3081:I3084 I3256:I3279 I3142:I3252 I5:I3016 I3018:I3078 I3128:I3140 I3125:I3126 I3119:I3123 I3111:I3116 I3103:I3109 I3093:I3096 I3086:I3091 I3281:I3308 I3312:I3471" xr:uid="{95B43712-DE95-46F4-A5B7-2C23C877BD94}">
      <formula1>Documentos</formula1>
    </dataValidation>
    <dataValidation type="list" allowBlank="1" showInputMessage="1" showErrorMessage="1" sqref="D5:D3482" xr:uid="{120C61D0-1CFA-448B-A8D5-C7F56DE9C7A2}">
      <formula1>"R,D"</formula1>
    </dataValidation>
    <dataValidation type="list" allowBlank="1" showInputMessage="1" showErrorMessage="1" sqref="G5:G3482" xr:uid="{31D2AA43-C3E9-4052-B0ED-2391FFF909D9}">
      <formula1>"SALDO,INGRESO,EGRESO"</formula1>
    </dataValidation>
  </dataValidations>
  <hyperlinks>
    <hyperlink ref="V2189" r:id="rId1" display="../../../../../../:b:/p/finanzas/EY67ZzsvyXlFo1-Gwr_KBGIB8hmGqRqIJUlGyMNOsUruQw?e=qD4ypq" xr:uid="{AA4F6B8D-5098-43EE-8F71-E8B766293728}"/>
    <hyperlink ref="V2191" r:id="rId2" display="../../../../../../:b:/p/finanzas/EWXcpFaZvLVLqrCfvSTE0rQBsV80XkQ8E3Pej4C3-GCPhA" xr:uid="{7B26DC72-BFA9-43F2-9602-40190855D113}"/>
    <hyperlink ref="V2188" r:id="rId3" display="../../../../../../:b:/p/finanzas/EdSzTolBwEdPgQOUUHPRVqMBduKEeEIrVVoJtCm0BDx7ig" xr:uid="{C945652A-978D-44D8-B9D4-15D7CA934E2F}"/>
    <hyperlink ref="V2190" r:id="rId4" display="../../../../../../:b:/p/finanzas/EaKtCxc45ptAvmc2KLgrfywBREcdMDxwwmlEChyBtRd-iA?e=RGLpPH" xr:uid="{D2E387C7-9E90-4DC2-A55B-206A5A02A433}"/>
    <hyperlink ref="V2192" r:id="rId5" display="../../../../../../:b:/p/finanzas/EauVoXm4HWNJtNtF1vC7KocBtbqbdmStq7h3BLK8I0lqZA?e=R0aJEe" xr:uid="{BFFB0837-19CA-4511-944F-D18A0C95D38B}"/>
    <hyperlink ref="V2195" r:id="rId6" display="../../../../../../:b:/p/finanzas/EefbsmDs0DtLpe3VArWd8LAB75HnjUSHoJbR2J2sbyKCrQ?e=qLra8k" xr:uid="{3E77F9F9-E56F-440F-8D56-218B54E4CD47}"/>
    <hyperlink ref="V2194" r:id="rId7" display="../../../../../../:b:/p/finanzas/ERWXiVevk-pJsFe8IdVUkOwBbjK0GnuU3CnAObPnezGRpQ?e=rnBULw" xr:uid="{682983E8-BE82-4018-8AB0-BD661E6F65B5}"/>
    <hyperlink ref="V2193" r:id="rId8" display="../../../../../../:b:/p/finanzas/EWtUYr4Q2MpCja3xrqKp48IB9A42He78FGywWVlJ4nkYnA?e=aCWnjc" xr:uid="{864655D8-2B46-47F6-A4B3-DED2613DEE84}"/>
    <hyperlink ref="V2187" r:id="rId9" display="../../../../../../:b:/p/finanzas/EV0jVU5nlztCvUM_DP7CNroBp5HRXOpxxz5ldqiPX5VhyA?e=lbrD5Q" xr:uid="{CC4F919E-942D-4520-81BF-45F6AA56EE75}"/>
    <hyperlink ref="V2178" r:id="rId10" display="../../../../../../:b:/p/finanzas/Ee6rpH16T1FAvmhoTJB5VhUBHsfqGbw9O7pKUwh7d7KLrg?e=dby5bD" xr:uid="{02BAAB9E-180C-43E1-A18C-652A99D5E942}"/>
    <hyperlink ref="V2184" r:id="rId11" display="../../../../../../:b:/p/finanzas/EZxv5OVQ1tNGnd71-QlkkJkBWjCO9gA5_Kv7cG1D-2W_xA?e=Uvve89" xr:uid="{12AADBDC-9028-491A-AFAF-C9316FBAF8CC}"/>
    <hyperlink ref="V2181" r:id="rId12" display="../../../../../../:b:/p/finanzas/EW6YD1a87dJEpnLZmBzahEQBA46VX9lxrwh_pD20kP7KYA?e=sGjmri" xr:uid="{92ED4322-B15F-466B-A5F3-EEDDFD1A1F0E}"/>
    <hyperlink ref="V2182" r:id="rId13" display="../../../../../../:b:/p/finanzas/EQqIS89zdYtGmXcnn86nOEcBd5alSI0Vc3hutkhxq7axIQ?e=jjsw1J" xr:uid="{5EECD7DA-8E2E-4B44-B68F-AB56DF7AD2FE}"/>
    <hyperlink ref="V2179" r:id="rId14" display="../../../../../../:b:/p/finanzas/Ec0L7CIEUp9DgoerKp0Hw0gBFZaTunPK-er0u1vlRy4SGw?e=YhaOvH" xr:uid="{29C86B07-CBF3-4A78-ACE8-F0D817F944B5}"/>
    <hyperlink ref="V2183" r:id="rId15" display="../../../../../../:b:/p/finanzas/ESmNK8_zNx9GqBLS6ZqGtoIBOufwmhvKhzP_eYMLSuxeyA?e=phJ8yl" xr:uid="{8FAF296C-A91D-4C31-9AAB-0C6CF5CBADE4}"/>
    <hyperlink ref="V2180" r:id="rId16" display="../../../../../../:b:/p/finanzas/EaUz-ZbFrCdPr_8EL9AU94kBZw9CJtAsM5ZOQ2blkMfK2g?e=b7Jx2P" xr:uid="{63A58E77-19AE-4EB9-A944-BC190A2484F7}"/>
    <hyperlink ref="V2185" r:id="rId17" display="../../../../../../:b:/p/finanzas/EbTwwLA6HqNLgkizPTqTYPsBbmMx3OA9EiU1xhgZ8VBMPQ?e=hOjiLU" xr:uid="{800FF8E9-2B4B-4B48-8F7E-11FE1B884D61}"/>
    <hyperlink ref="V2151" r:id="rId18" display="../../../../../../:b:/p/finanzas/ETnEqIf9Z7pHrDR8DSL6aIQBuzaiFCwEOJubc1bk2N0cCw?e=djRBLb" xr:uid="{DC9E12A1-BDEA-4838-9640-D46E4ACCACD3}"/>
    <hyperlink ref="V2198" r:id="rId19" display="../../../../../../:b:/p/finanzas/ES0rH8vRLqJMnF8PrIfSTsEBZVPRWTusVodt-pnXtdJoIg?e=bMdq0M" xr:uid="{6E38BAC9-D1AA-42F3-A9BC-21743984ECE2}"/>
    <hyperlink ref="V2160" r:id="rId20" display="../../../../../../:b:/p/finanzas/EdxNS69asYlPk5ozvvPqMdYBRbwWr5wLKxPvHHykWd4Vdg?e=rq1tRr" xr:uid="{62470771-A214-4BF0-A938-240B4A680C8B}"/>
    <hyperlink ref="V2147" r:id="rId21" display="../../../../../../:b:/p/finanzas/Ec3kygww8JJHsgxNphz5PF8BRA5F_vPoME2bw1t97LzLow?e=jQ75R4" xr:uid="{84FAF0B5-B23C-4D47-8F64-F71D325F514E}"/>
    <hyperlink ref="V2158" r:id="rId22" display="../../../../../../:b:/p/finanzas/EQJ9pwr9UY5Mh7Gu01lL_fcBNJeYRUaORh6apG7p4louWw?e=0D3Lem" xr:uid="{A32EA56F-23C7-4DEF-88A1-E8843F6B449E}"/>
    <hyperlink ref="V2148" r:id="rId23" display="../../../../../../:b:/p/finanzas/EaF7-8TwnFdDiUMNk10emsYBQhsC8aCNZ9lEgtbp3cS6oQ?e=CJbVcn" xr:uid="{9CAF18DD-BB3A-476F-BFB4-31AB94518516}"/>
    <hyperlink ref="V2159" r:id="rId24" display="../../../../../../:b:/p/finanzas/EZWTm86v0g9DtZoIJ5dveIkBauwgyeRq1e8Suh1Kf2KKMA?e=HOl8wE" xr:uid="{41046180-2E4A-4C20-9722-8046515C8E40}"/>
    <hyperlink ref="V2131" r:id="rId25" display="../../../../../../:b:/p/finanzas/Ebc0pK5-um1CpRRsMJgd8wkBWxootfVpekJ6r5CpbKOUCg?e=0QaAfX" xr:uid="{75E11E4D-A295-4BBE-BDAD-6A5B1F70F8B8}"/>
    <hyperlink ref="V2120" r:id="rId26" display="../../../../../../:b:/p/finanzas/EUODplUEwulJgJ7Nk8vOnTkBaart-xy0-LDeK2yi3tOheQ?e=6m5mbc" xr:uid="{444410E9-0A08-455E-8C61-C2B13047DABD}"/>
    <hyperlink ref="V2119" r:id="rId27" display="../../../../../../:b:/p/finanzas/Ea00an5s7PxHrhJB_qYWR9oBSkkB8pfVnjMRksYI2TV4jQ?e=d0zRTm" xr:uid="{5B2B36E6-6D22-42AF-B527-CE7A51851445}"/>
    <hyperlink ref="V2118" r:id="rId28" display="../../../../../../:b:/p/finanzas/ERPpUcyvtuZPnYcDCeUH-_8BdLV1hUZQgIiwbkvw88DqFQ?e=r0vFsQ" xr:uid="{651B7CDA-3B78-40BC-A848-E678E25B4F05}"/>
    <hyperlink ref="V2124" r:id="rId29" display="../../../../../../:b:/p/finanzas/EW--tf_5thNLoupVZzeDDvMBnxxuTGjljvVuzVhq2C0k-g?e=K5pfqD" xr:uid="{7C1C1994-960D-4895-B9F9-B46A5EB53335}"/>
    <hyperlink ref="V2123" r:id="rId30" display="../../../../../../:b:/p/finanzas/ETyJNMom7shLthTvQMD8Md0BN6OEvHzM0JApdNxoTQ7vkQ?e=hVx25Y" xr:uid="{C949CBD9-8E0F-49AF-A897-DF3EF5D78AD4}"/>
    <hyperlink ref="V2138" r:id="rId31" display="../../../../../../:b:/p/finanzas/EVxlM6NHPidKkvqP3PaalwUBmlEXATxZJrt13C98FBHzdA?e=85ZFvO" xr:uid="{F481A6C4-A9B8-4607-A373-42774189BDF2}"/>
    <hyperlink ref="V2137" r:id="rId32" display="../../../../../../:b:/p/finanzas/EV10YeO6b4RMkLrIOtFrvzkBNhsvBnnnjVZPNLKPIxTonQ?e=ZmxGhR" xr:uid="{1FD90007-F379-4CC5-9588-50D78DC39CEC}"/>
    <hyperlink ref="V2130" r:id="rId33" display="../../../../../../:b:/p/finanzas/ETzqk0qUSpRMhENP8D7zCZ4BvPvUUEHn6yOMY26ZqLMgPg?e=iYHrH2" xr:uid="{AED61390-87DE-4689-953A-236B22E6D02A}"/>
    <hyperlink ref="V2129" r:id="rId34" display="../../../../../../:b:/p/finanzas/EUU4B4OnFMhGrz8MQra5BJUB8vPJPDjxKbgzoWfxsv55Sg?e=LnHQHy" xr:uid="{16174650-A962-48CF-9EAF-0D3F43F56AD9}"/>
    <hyperlink ref="V2128" r:id="rId35" display="../../../../../../:b:/p/finanzas/EdCYmvzZEW1JmdWGStQfIJcB_GyB67wYC4FoREGVZE4DBg?e=LgD0qr" xr:uid="{97D9BD55-929F-4DBB-ABDC-D1C04C369151}"/>
    <hyperlink ref="V2127" r:id="rId36" display="../../../../../../:b:/p/finanzas/EXrmHkIm8t1JoOeMvMHIdycBq0KgLwZGDLh-YzP2LBZBIg?e=bNyf6G" xr:uid="{012CDBC1-8BCD-4ADA-8113-24B687D4DA03}"/>
    <hyperlink ref="V2126" r:id="rId37" display="../../../../../../:b:/p/finanzas/EUG1ETaFgQZJpJa1mb1qVDUBjts8rDWcW-sogiksx2GBFA?e=aXRYVa" xr:uid="{C8A27ECE-4889-4D54-BF29-C54B1B98C030}"/>
    <hyperlink ref="V2125" r:id="rId38" display="../../../../../../:b:/p/finanzas/Eeh1rCkQzXxMouODUqMHgLgB_-wQKa1GcpbPfk5Uakj8HQ?e=PInTIW" xr:uid="{2872D700-60FD-48E4-B7EC-4EA85DC44FD7}"/>
    <hyperlink ref="V2109" r:id="rId39" display="../../../../../../:b:/p/finanzas/EbJJ5GShHs1LtBOsSd1z_YMBv8MYE-3qIeol5ztkEsIjag?e=cnkTKf" xr:uid="{23852517-B3E0-4626-8809-7F01305DEAB9}"/>
    <hyperlink ref="V2104" r:id="rId40" display="../../../../../../:b:/p/finanzas/EbRh632mY3BKvaichqti1u8BBkp9Vc6BdGnQi2QxWI4DBg?e=3IVMfq" xr:uid="{DC31A1DF-DF93-4D43-9D05-45642C66EFAA}"/>
    <hyperlink ref="V2107" r:id="rId41" display="../../../../../../:b:/p/finanzas/EdKlqB9oQghAg1EBmP4LvxABd3I1tCHRyBppQ1pzeu_xKQ?e=7slJmb" xr:uid="{9FC3FD70-A1D4-4F00-8021-CE6A8F562913}"/>
    <hyperlink ref="V2108" r:id="rId42" display="../../../../../../:b:/p/finanzas/EZEfnAmw5KVCjNe5gPazVIcBbmQdzsZRCj4fcbnB7W4u4g?e=7ToF9o" xr:uid="{744AC159-5D40-4465-B68C-0C77D6736E8D}"/>
    <hyperlink ref="V2110" r:id="rId43" display="../../../../../../:b:/p/finanzas/EZO8zEbOa_tMjtCqPQJO2s4BrdkhiYpVnZu83ty21gUbqw?e=a34Mk9" xr:uid="{8AF5B5A4-44BD-4F08-B4D7-F6E00C184E81}"/>
    <hyperlink ref="V2105" r:id="rId44" display="../../../../../../:b:/p/finanzas/ESAjhhvlfuNBi4lyaXoq35MBR11V_FmdiE38jYVMKoDSvQ?e=rbAvWk" xr:uid="{1B592D60-1943-49C8-BCA9-9D1A7F76B100}"/>
    <hyperlink ref="V2106" r:id="rId45" display="../../../../../../:b:/p/finanzas/EZeb2AtzlbNDpRwFUxdqTu4BtaXshS02RRelg-LA6sevmg?e=YeZ7ZC" xr:uid="{7B545610-C93E-4BB8-A1A6-5E1D20D4D191}"/>
    <hyperlink ref="V2082" r:id="rId46" display="../../../../../../:b:/p/finanzas/EY2Jm4ngTLtPndbTCZlrSusBLh9DRXaleHbjHU1ECklzag?e=N1dZoP" xr:uid="{6A16D3A5-590D-40B9-B00F-A0D947911E9E}"/>
    <hyperlink ref="V2086" r:id="rId47" display="../../../../../../:b:/p/finanzas/EaGbfLWHBJhCi7dVoO3mQ38BmffdegdHpe_MTt4uOOYZyA?e=g3Op2T" xr:uid="{096E054C-BE21-44C4-854C-35EE93218FC7}"/>
    <hyperlink ref="V2089" r:id="rId48" display="../../../../../../:b:/p/finanzas/EempEEV4Mb1FhpjyqP64ZR4BNJVfrGqXnYsbM-mBqzNsPg?e=AVegwT" xr:uid="{EEDC8321-D09E-4CFD-AE00-5574999BD86A}"/>
    <hyperlink ref="V2085" r:id="rId49" display="../../../../../../:b:/p/finanzas/EXDijQsWUb1GqHME8Ne4zq4BGS3PCWOBmxzIlYM5I0X-FA?e=2edHCK" xr:uid="{E63AC17C-3D59-4850-AFBA-94AC19B638B5}"/>
    <hyperlink ref="V2067" r:id="rId50" display="../../../../../../:b:/p/finanzas/EYqraFHudJZDurTP5miZ-bABAbM5n_SRqapKSi1HhEF3JQ?e=XE1JY3" xr:uid="{D6597330-11D2-4878-BCA6-BACA7485F36D}"/>
    <hyperlink ref="V2084" r:id="rId51" display="../../../../../../:b:/p/finanzas/ERWxYPzy-2ZOsNskGph2n6kBDaZv6Lr7zYvlACW_f2Pc_A?e=SqC30C" xr:uid="{607392C1-B4AC-4980-99AD-0FD1CF214F78}"/>
    <hyperlink ref="V2091" r:id="rId52" display="../../../../../../:b:/p/finanzas/EWkOTRhkZYBHmZT43bgGFycByg_FZ5swJyGP0qAdXHvKOw?e=I3D4EP" xr:uid="{8C14A17B-04DB-414F-BAF8-D6FF93EE3D6F}"/>
    <hyperlink ref="V2083" r:id="rId53" display="../../../../../../:b:/p/finanzas/ES6LdIRb4itItsanrEKE1wABu5cUDz2KfmwVnqaegos5mw?e=HISbt8" xr:uid="{CC07212B-CFA4-43B1-BF7E-CB82C2DE73D4}"/>
    <hyperlink ref="V2087" r:id="rId54" display="../../../../../../:b:/p/finanzas/EW9wSQBp5uZDuJa4ygPfEXkBVo4DfvfWXyh_X2X8cuaKvw?e=d6Q9gK" xr:uid="{DE8B139C-D85A-489C-88C3-0ED7CB31F34D}"/>
    <hyperlink ref="V2088" r:id="rId55" display="../../../../../../:b:/p/finanzas/EbNIgTLyZ1JAlw8thcV3krkBMo-7pbNi77aKBAghqGLaoA?e=A7Fygu" xr:uid="{9EB5C17C-47BF-49D5-A503-391A2C6DCCB2}"/>
    <hyperlink ref="V2090" r:id="rId56" display="../../../../../../:b:/p/finanzas/EQuCO6bBfbdNqXyfrXsNyMQBTq7OV22Pd0h26QcnAomtBQ?e=q6cmsP" xr:uid="{F588441D-A330-4421-AAC7-868039EBCC3B}"/>
    <hyperlink ref="V2055" r:id="rId57" display="../../../../../../:b:/p/finanzas/Eb_xHWMeOAlDm99EzCQJo2wBzs_95X0UBnI7Nbld3jzrGA?e=edzbIn" xr:uid="{740F576B-58F7-43A5-8114-C8F35A9B5279}"/>
    <hyperlink ref="V2057" r:id="rId58" display="../../../../../../:b:/p/finanzas/Ed5Fp0cM3EVIhltjy_ViXV0BW3acRN3p_G4epvwPQEoPAw?e=ompdpj" xr:uid="{A51C9843-083D-4C5F-A93C-8FA08F998A03}"/>
    <hyperlink ref="V2199" r:id="rId59" display="../../../../:b:/p/finanzas/EcGmKYJiQ8tHgfjtw_DD9bcBVNO_PS5G3gqU0E7mwdBD_g?e=d6XV7B" xr:uid="{046C7660-7403-481E-8F72-739A9C38FDD1}"/>
    <hyperlink ref="V2222" r:id="rId60" display="../../../../:b:/p/finanzas/ERbdF5GttmZMh683fylYiakBmGFXibw5gZoGCBmZ_kphgw?e=dgYWLo" xr:uid="{27992967-E175-4712-A268-3D1D638EDA09}"/>
    <hyperlink ref="V2223" r:id="rId61" display="../../../../:b:/p/finanzas/Ee-cPbzPawVAilD5yQgxxJ0Bff4TaWU8-Okd5W-zOnkdtA?e=oeLney" xr:uid="{284DE116-95CC-4B4C-A3C5-561317A8C316}"/>
    <hyperlink ref="V2224" r:id="rId62" display="../../../../:b:/p/finanzas/EfsREUk6TKlMplXJR0rus_ABlteyTlKLjGiTttAfPWTsRQ?e=WBOHx5" xr:uid="{48A665C6-C591-4CA8-A631-D8F686E55E20}"/>
    <hyperlink ref="V2225" r:id="rId63" display="../../../../:b:/p/finanzas/EXgwMQc5uVtIpLgsvbX8XZ4BkFHxsQn-iPGyycMwQS6dmw?e=xpWO3Q" xr:uid="{66D758DC-FB3E-4DF0-B107-08748D86E47A}"/>
    <hyperlink ref="V2585" r:id="rId64" xr:uid="{D53DA5A0-F26A-47BC-8E33-9948AC37FB2B}"/>
    <hyperlink ref="V2689" r:id="rId65" xr:uid="{638E4C10-EC37-4027-BFAB-39609630582E}"/>
    <hyperlink ref="V2635" r:id="rId66" xr:uid="{4B8B0A6B-2981-4EDE-BBCB-C16BD26C79F1}"/>
    <hyperlink ref="V2632" r:id="rId67" xr:uid="{7A08F5D9-4D19-4262-B75D-665AE746B825}"/>
    <hyperlink ref="V2631" r:id="rId68" xr:uid="{C384DA53-A112-4BE0-A412-07BA88A297CC}"/>
    <hyperlink ref="V2630" r:id="rId69" xr:uid="{5527BB7A-80B7-4549-88E9-A4936BCE469C}"/>
    <hyperlink ref="V2688" r:id="rId70" xr:uid="{32EF4AB1-FEFB-46E1-82C1-B1CA7551B5F9}"/>
    <hyperlink ref="V2621" r:id="rId71" xr:uid="{6C211D6C-E1B0-4037-858D-B6F523B3A237}"/>
    <hyperlink ref="V2620" r:id="rId72" xr:uid="{F66BC511-DAA0-41F1-86DE-4423F8BF6D53}"/>
    <hyperlink ref="V2599" r:id="rId73" xr:uid="{B8F3C58C-AE34-48EC-B841-CE2E0CF657A2}"/>
    <hyperlink ref="V2591" r:id="rId74" xr:uid="{C15A6343-417E-49D2-BD0E-AF13822B66D2}"/>
    <hyperlink ref="V2590" r:id="rId75" xr:uid="{F8ACBEA5-EC7C-4F76-A0B1-AF28C530B2EF}"/>
    <hyperlink ref="V2589" r:id="rId76" xr:uid="{110B3188-5F89-4B68-8F6C-05566A13A6A2}"/>
    <hyperlink ref="V2588" r:id="rId77" xr:uid="{4B7E6B65-BFC3-428D-9D63-6C003348B648}"/>
    <hyperlink ref="V2587" r:id="rId78" xr:uid="{4C706E8D-2857-4705-AC98-DA2BC19CF7EA}"/>
    <hyperlink ref="V2586" r:id="rId79" xr:uid="{8A28B7E0-D2C8-4DEA-A643-B4AA8D45BEE8}"/>
    <hyperlink ref="V2584" r:id="rId80" xr:uid="{B92ABF0D-1D8B-439D-B432-08D01EBCB522}"/>
    <hyperlink ref="V2583" r:id="rId81" xr:uid="{50DE7AE6-024D-473D-B3E9-C9B61E105D58}"/>
    <hyperlink ref="V2582" r:id="rId82" xr:uid="{A872A8B0-CFDE-42BB-9D18-9017D2C3AD6A}"/>
    <hyperlink ref="V2581" r:id="rId83" xr:uid="{EDF92A18-DA70-484E-95BE-3D88F8A3DE4C}"/>
    <hyperlink ref="V2557" r:id="rId84" xr:uid="{B660DEDD-C7FA-4C6C-95B0-7990B5677ADE}"/>
    <hyperlink ref="V2556" r:id="rId85" xr:uid="{C7966C9C-06DB-4B2A-823B-D9CE2F6F8FC6}"/>
    <hyperlink ref="V2555" r:id="rId86" xr:uid="{3D799641-257E-4F2B-9561-B4A33CA8D03F}"/>
    <hyperlink ref="V2554" r:id="rId87" xr:uid="{AA8399D5-735C-4046-BF37-B2AF3E43B391}"/>
    <hyperlink ref="V2553" r:id="rId88" xr:uid="{CE7B4704-DCCC-45E0-B2A4-0773CE9C7105}"/>
    <hyperlink ref="V2552" r:id="rId89" xr:uid="{420ED83C-42C7-48F8-A430-47179597667A}"/>
    <hyperlink ref="V2551" r:id="rId90" xr:uid="{40B51354-2F08-4454-A96A-7B18F105F942}"/>
    <hyperlink ref="V2550" r:id="rId91" xr:uid="{59DC7E56-8094-4533-AC08-4ABDC9A62A79}"/>
    <hyperlink ref="V2529" r:id="rId92" xr:uid="{C014453B-9C69-471F-992C-5ABFDD613C0D}"/>
    <hyperlink ref="V2528" r:id="rId93" xr:uid="{857A3AB6-4C6D-4301-936B-B9F8F2B3294D}"/>
    <hyperlink ref="V2527" r:id="rId94" xr:uid="{2B21AC61-6F76-4DC3-8879-B9CF055CF0F6}"/>
    <hyperlink ref="V2526" r:id="rId95" xr:uid="{3DF2A88B-9824-4CC6-A675-5BF620A68B43}"/>
    <hyperlink ref="V2515" r:id="rId96" xr:uid="{6E6E657C-44B3-481C-8DDE-4B659FBC06F9}"/>
    <hyperlink ref="V2514" r:id="rId97" xr:uid="{FEB5B113-974A-407F-9101-9BF913A9F4DE}"/>
    <hyperlink ref="V2513" r:id="rId98" xr:uid="{FCD1E9A9-58A7-44E9-8B8F-34839ABCF5AE}"/>
    <hyperlink ref="V2430" r:id="rId99" xr:uid="{57F63066-FD2F-4031-B4A0-DEFF9AD69CF7}"/>
    <hyperlink ref="V2429" r:id="rId100" xr:uid="{DF7BB2F6-E02A-422F-B27C-FB275DD93AC1}"/>
    <hyperlink ref="V2428" r:id="rId101" xr:uid="{88CC9BCB-6BF0-4F62-945E-092299F827CB}"/>
    <hyperlink ref="V2427" r:id="rId102" xr:uid="{6637609F-8693-445D-B4C9-1BDDC65B00A8}"/>
    <hyperlink ref="V2426" r:id="rId103" xr:uid="{08AAB3B2-8918-4CA1-82D6-4E01FC68F089}"/>
    <hyperlink ref="V2425" r:id="rId104" xr:uid="{2ED1C3CC-1E4C-4916-869D-F73864FF9B7C}"/>
    <hyperlink ref="V2424" r:id="rId105" xr:uid="{11B04F4E-B5E2-4387-94FF-B9BA81513EFA}"/>
    <hyperlink ref="V2374" r:id="rId106" xr:uid="{E63761E3-A05A-487D-AF3E-24EBA1BD3BEA}"/>
    <hyperlink ref="V2357" r:id="rId107" xr:uid="{D94F727C-F493-44AE-84F4-CC88F1C35033}"/>
    <hyperlink ref="V2356" r:id="rId108" xr:uid="{F6870C55-D228-430B-A295-F6D6728CC582}"/>
    <hyperlink ref="V2355" r:id="rId109" xr:uid="{BE4F4BBE-A7F6-4D67-B87B-FC33C61CA981}"/>
    <hyperlink ref="V2354" r:id="rId110" xr:uid="{79C50779-F747-43D7-9637-23BB1429B547}"/>
    <hyperlink ref="V2353" r:id="rId111" xr:uid="{A45BB4B0-0573-407F-A07F-AFA522368529}"/>
    <hyperlink ref="V2332" r:id="rId112" xr:uid="{AF7B8FFC-056B-48A9-8AAE-BBC1235D216D}"/>
    <hyperlink ref="V2331" r:id="rId113" xr:uid="{D41E296E-221B-477B-A2B9-A9B5F1FB69E3}"/>
    <hyperlink ref="V2297" r:id="rId114" xr:uid="{AFAA8025-607B-43BF-95E8-9FAA3B7CDCB9}"/>
    <hyperlink ref="V2294" r:id="rId115" xr:uid="{F1C0E1C2-9087-44DF-9841-91910360873A}"/>
    <hyperlink ref="V2293" r:id="rId116" xr:uid="{115B8530-255D-409B-8988-17669109092B}"/>
    <hyperlink ref="V2292" r:id="rId117" xr:uid="{E857654E-F7EF-4B3B-A1C3-6118A13BC2C0}"/>
    <hyperlink ref="V2291" r:id="rId118" xr:uid="{F06FE512-1F38-4A72-85EC-C359F68FCB48}"/>
    <hyperlink ref="V2290" r:id="rId119" xr:uid="{88D46CCD-F9A8-4A84-9162-7AF273085CBC}"/>
    <hyperlink ref="V2289" r:id="rId120" xr:uid="{D7AA2517-ED16-459E-BB65-413D32F8A8CF}"/>
    <hyperlink ref="V2288" r:id="rId121" xr:uid="{1B6E8A35-1FB2-4D22-9139-4787841DAAA6}"/>
    <hyperlink ref="V2287" r:id="rId122" xr:uid="{DBD869D0-6E89-4C64-97D6-A2075E728D53}"/>
    <hyperlink ref="V2286" r:id="rId123" xr:uid="{68689F69-2BF5-4712-A4B5-A3D8F9E1AD66}"/>
    <hyperlink ref="V2285" r:id="rId124" xr:uid="{D5705EDC-055F-42F3-8C78-619C45FA1A09}"/>
    <hyperlink ref="V2284" r:id="rId125" xr:uid="{D75AFD97-3319-4CEE-B32F-0BAA93633DBE}"/>
    <hyperlink ref="V2283" r:id="rId126" xr:uid="{E333D6B0-2CCE-4FF4-8BE2-3CE221826010}"/>
    <hyperlink ref="V2282" r:id="rId127" xr:uid="{0D661C1A-426A-4B1B-B217-9E501EDB9469}"/>
    <hyperlink ref="V2685:V2687" r:id="rId128" display="https://gytres-my.sharepoint.com/:b:/p/finanzas/Ec5oXlW6Gp5KpQOSWMO41g4Brs2VY6xGLTI4hxN1bJTEdQ?e=152mmi" xr:uid="{37FF765A-1124-4420-B4A4-E045A0B8DD1F}"/>
    <hyperlink ref="V2592:V2598" r:id="rId129" display="https://gytres-my.sharepoint.com/:b:/p/finanzas/EUbPL0kvHIVLsUCIEkjfL3IBj7BbkkjLB_vpaQkgejhF9Q?e=waao8n" xr:uid="{A9E158C7-500B-4EB8-94D0-211747A1F3E3}"/>
    <hyperlink ref="V2578:V2580" r:id="rId130" display="https://gytres-my.sharepoint.com/:b:/p/finanzas/EV5BdNmkzhRBnVYIG24P05oBsdVZZBSQ9DlxYzJn7v_k6A?e=3Japd3" xr:uid="{F1397C21-4360-4E0F-99CA-A8366E0DE647}"/>
    <hyperlink ref="V2516:V2525" r:id="rId131" display="https://gytres-my.sharepoint.com/:b:/p/finanzas/EeL8nlVepTBBuKxFuwYxC9UB7BxKI6nzIgttnYqGkJ3J1w?e=G36Iyf" xr:uid="{4ACC7E98-E37A-409F-988D-5C8D3219B5B3}"/>
    <hyperlink ref="V2486:V2489" r:id="rId132" display="https://gytres-my.sharepoint.com/:b:/p/finanzas/ES0gS_g60o5PtbkEcgkJrEMBs8sxfIXX4RkvjrZMIW19Xw?e=t1XTJG" xr:uid="{59D90819-C032-43F2-9DE2-921ED8165978}"/>
    <hyperlink ref="V2379:V2392" r:id="rId133" display="https://gytres-my.sharepoint.com/:b:/p/finanzas/EZfm4Higg6hHhLk6BoEoRBgBPhiYVutvzVI63afhuawofg?e=vDA1Hv" xr:uid="{2523EC37-FCDD-4628-9107-31F0509602AD}"/>
    <hyperlink ref="V2375:V2378" r:id="rId134" display="https://gytres-my.sharepoint.com/:b:/p/finanzas/EYowrdMUp8JMtRxv6MFsOwkBoUVfJoBq2DV9rjp1_czrfg?e=1KcUI2" xr:uid="{9FF15421-7D77-47FF-8D5A-85EA9DA8FE7C}"/>
    <hyperlink ref="V2358:V2361" r:id="rId135" display="https://gytres-my.sharepoint.com/:b:/p/finanzas/EX50_h85NVRLmPzGSLQK3QQBLUAFlNRyuX0WCdeHv-f_Yg?e=5kG9e2" xr:uid="{FA056E1D-E38D-4790-8DAB-410259B545CA}"/>
    <hyperlink ref="V2226:V2231" r:id="rId136" display="https://gytres-my.sharepoint.com/:b:/p/finanzas/ERpEVP5YV9tPmb5CYXDdiYkBDa7RzerWnyj4c4CguHOmLQ" xr:uid="{E5D22309-B61D-4F2E-9916-AE442FB3CECF}"/>
    <hyperlink ref="V2392" r:id="rId137" xr:uid="{D50FDC4D-52C6-4AB8-BAA2-2ED3F2C61CE9}"/>
    <hyperlink ref="V2719" r:id="rId138" xr:uid="{89C7D591-6D95-4EA9-9C6D-9E3BE24534B7}"/>
    <hyperlink ref="V2721" r:id="rId139" xr:uid="{1AE917B8-7E41-4069-B438-A58286151D4A}"/>
    <hyperlink ref="V2711" r:id="rId140" xr:uid="{EE681CD8-AC70-44AD-A57C-D44285BECC9D}"/>
    <hyperlink ref="V2712" r:id="rId141" xr:uid="{8663058B-7454-445B-B068-DF0903EBE707}"/>
    <hyperlink ref="V2717" r:id="rId142" xr:uid="{8DF72579-9D3C-404C-A46E-3DF74049985B}"/>
    <hyperlink ref="V2718" r:id="rId143" xr:uid="{4CB90341-187C-4553-9A45-5445064CE51B}"/>
    <hyperlink ref="V2720" r:id="rId144" xr:uid="{A2429910-D800-4AE3-A370-39993B9A5699}"/>
    <hyperlink ref="V2703" r:id="rId145" xr:uid="{138DBC04-DE70-4573-A966-EC7F2703CF26}"/>
    <hyperlink ref="V2706" r:id="rId146" xr:uid="{83EDBC1A-2749-4998-89D4-8011478E183F}"/>
    <hyperlink ref="V2707" r:id="rId147" xr:uid="{D34F80F7-141A-4AF5-BE59-F31974D32A70}"/>
    <hyperlink ref="V2701" r:id="rId148" xr:uid="{C04D72F6-726F-4F15-9449-0220F0AA0D1E}"/>
    <hyperlink ref="V2702" r:id="rId149" xr:uid="{FE2BD144-FA1F-4D96-B72C-8C1E367B804F}"/>
    <hyperlink ref="V2700" r:id="rId150" xr:uid="{2D8E2A03-24E5-4FAC-99DE-12304A3AFD5F}"/>
    <hyperlink ref="V2699" r:id="rId151" xr:uid="{B5ED618B-93A4-4172-8664-D368C6ECC4FA}"/>
    <hyperlink ref="V2698" r:id="rId152" xr:uid="{33388ADB-3838-4D1D-85DF-CF064CCB663E}"/>
    <hyperlink ref="V2697" r:id="rId153" xr:uid="{EDC800DE-0368-46C1-97DE-502305B62EC1}"/>
    <hyperlink ref="V2696" r:id="rId154" xr:uid="{710BD78A-C69A-4EF3-9E17-B92542D66283}"/>
    <hyperlink ref="V2730" r:id="rId155" xr:uid="{56443263-6836-412E-B7BC-AF12DE469BC3}"/>
    <hyperlink ref="V2729" r:id="rId156" xr:uid="{C98931DF-31E3-49B8-BBAF-149FCFF2DFA0}"/>
    <hyperlink ref="V2738" r:id="rId157" xr:uid="{48582E47-EC9E-4B7D-8772-96C48690C480}"/>
    <hyperlink ref="V2728" r:id="rId158" xr:uid="{FE56E179-1906-4EF4-9224-1BCB7375A7CA}"/>
    <hyperlink ref="V2727" r:id="rId159" xr:uid="{7073C76D-917D-4818-90C8-793AB5F807E2}"/>
    <hyperlink ref="V2771" r:id="rId160" xr:uid="{52E3E193-8958-4BEB-AF98-79408633168C}"/>
    <hyperlink ref="V2774" r:id="rId161" xr:uid="{D34FC9BC-75D4-4191-B347-6FF04D3D4E41}"/>
    <hyperlink ref="V2775" r:id="rId162" xr:uid="{6E4E26F5-7964-4D0B-B51D-E6A042FF6FAC}"/>
    <hyperlink ref="V2779" r:id="rId163" xr:uid="{BE828DC5-85C8-4AC7-A5BF-BC0C4D8A06C3}"/>
    <hyperlink ref="V2780" r:id="rId164" xr:uid="{F5C44CC6-9283-4114-9DE4-04E7F8876303}"/>
    <hyperlink ref="V2781" r:id="rId165" xr:uid="{3915878D-3C1A-4FDE-B4CD-402ECBE54E36}"/>
    <hyperlink ref="V2782" r:id="rId166" xr:uid="{8681A3E3-9E1C-47D5-98E6-0CBE09746A85}"/>
    <hyperlink ref="V2778" r:id="rId167" xr:uid="{9AD7B4D6-BED7-401B-B74A-508E8E87ADE3}"/>
    <hyperlink ref="V2777" r:id="rId168" xr:uid="{6558D3CF-B1F3-4C09-AC75-451A822010D4}"/>
    <hyperlink ref="V2776" r:id="rId169" xr:uid="{0A1B1B0D-9E27-46B3-8A2F-29617669F29A}"/>
    <hyperlink ref="V2787" r:id="rId170" xr:uid="{ACEDD286-4F37-4A3A-B8FC-0A9EDE6F20F6}"/>
    <hyperlink ref="V2788" r:id="rId171" xr:uid="{F5D8AD77-8E92-4079-B29E-4F13E1587192}"/>
    <hyperlink ref="V2789" r:id="rId172" xr:uid="{652E67A0-B8B7-4627-8118-247A823F0850}"/>
    <hyperlink ref="V2814" r:id="rId173" xr:uid="{E54D1EFF-78E1-4E04-B12E-B7E6DFC02946}"/>
    <hyperlink ref="V2819" r:id="rId174" xr:uid="{B6354D47-05D9-4C9A-8AC9-D0FBFDA8B006}"/>
    <hyperlink ref="V2826" r:id="rId175" xr:uid="{7038890F-413E-4333-A7DF-059CDA91825A}"/>
    <hyperlink ref="V2827" r:id="rId176" xr:uid="{E309FF17-4793-4BD6-8F14-A488D0F2A469}"/>
    <hyperlink ref="V2820" r:id="rId177" xr:uid="{977468AA-8F88-494B-A64E-149CFD214680}"/>
    <hyperlink ref="V2821" r:id="rId178" xr:uid="{D96CF3A5-E878-4905-BB15-F4E07ADE6AA3}"/>
    <hyperlink ref="V2822" r:id="rId179" xr:uid="{001F49FE-6DE0-4FD4-AC5B-D0D878BB84EA}"/>
    <hyperlink ref="V2823" r:id="rId180" xr:uid="{7152C3D7-CD04-4743-87EE-31E588CBBEC1}"/>
    <hyperlink ref="V2824" r:id="rId181" xr:uid="{A024FE94-A7D5-40FA-BE64-2B3D29D09CCC}"/>
    <hyperlink ref="V2825" r:id="rId182" xr:uid="{8E247A14-9D98-4F89-8523-67B50EF857FF}"/>
    <hyperlink ref="V3026" r:id="rId183" xr:uid="{60902657-FD03-4BAD-B4C3-DFBE026D4E0D}"/>
    <hyperlink ref="V3023" r:id="rId184" xr:uid="{406A1137-4557-4842-BBD2-7ED52FD84FD8}"/>
    <hyperlink ref="V3022" r:id="rId185" xr:uid="{8B1D6F08-F2B6-484D-9471-3B0F1F9189A6}"/>
    <hyperlink ref="V3021" r:id="rId186" xr:uid="{F6A3C41A-ED28-4D7A-AA87-B1B3FAFE0DD5}"/>
    <hyperlink ref="V3020" r:id="rId187" xr:uid="{D27053DF-462F-46AA-8689-DCA58BC609CA}"/>
    <hyperlink ref="V2987" r:id="rId188" xr:uid="{5C528D42-9B52-4361-B572-C3656CED10D5}"/>
    <hyperlink ref="V2981" r:id="rId189" xr:uid="{8CA0AAB9-66F7-4ACA-AA01-4407233C645E}"/>
    <hyperlink ref="V2978" r:id="rId190" xr:uid="{6E89E9CF-AD95-4ED0-A573-9336407606D8}"/>
    <hyperlink ref="V2976" r:id="rId191" xr:uid="{A4D10E6E-0A68-4744-93BB-D0600161D7D3}"/>
    <hyperlink ref="V2975" r:id="rId192" xr:uid="{543B6615-C53A-494E-814E-ED1224CD3422}"/>
    <hyperlink ref="V2972" r:id="rId193" xr:uid="{07E77167-E092-4E8D-8FDF-66C7FE7A7188}"/>
    <hyperlink ref="V2971" r:id="rId194" xr:uid="{082FA200-1B9A-4975-B2EC-29F257A5BC72}"/>
    <hyperlink ref="V2901" r:id="rId195" xr:uid="{848C9AEC-1974-45AE-A078-5B718B509793}"/>
    <hyperlink ref="V2900" r:id="rId196" xr:uid="{279D8EAF-8906-4C49-A369-E5BE10717BF8}"/>
    <hyperlink ref="V2899" r:id="rId197" xr:uid="{C33D91D2-9DA7-4EAA-AB2C-252F80917C89}"/>
    <hyperlink ref="V2898" r:id="rId198" xr:uid="{EDE8DCD2-1734-4E01-B320-7D8FF364AD55}"/>
    <hyperlink ref="V2897" r:id="rId199" xr:uid="{FEAC7767-F104-45FE-BC15-B5E83112CF7C}"/>
    <hyperlink ref="V2896" r:id="rId200" xr:uid="{88F04B13-C8C8-40D2-9B63-EB5D505D1A25}"/>
    <hyperlink ref="V2895" r:id="rId201" xr:uid="{23EBE6B9-3B03-45A2-8779-5996156C435B}"/>
    <hyperlink ref="V2879" r:id="rId202" xr:uid="{877CCDD0-4B60-43A9-AB15-1014E49AB852}"/>
    <hyperlink ref="V2878" r:id="rId203" xr:uid="{7AF749FE-97CE-4A1D-90D1-4E7BAE9EE8E6}"/>
    <hyperlink ref="V2877" r:id="rId204" xr:uid="{9864146E-2167-4D5F-AD09-B9AF58D45526}"/>
    <hyperlink ref="V2876" r:id="rId205" xr:uid="{5B6BD545-DD7E-4A88-AF45-9962E2B2E46D}"/>
    <hyperlink ref="V2839" r:id="rId206" xr:uid="{BA08C84E-096C-4DB7-942F-E8D73018AE40}"/>
    <hyperlink ref="V2838" r:id="rId207" xr:uid="{25CF9B49-A01A-4204-9E63-29450C163542}"/>
    <hyperlink ref="V2837" r:id="rId208" xr:uid="{B6ED55DE-0AC1-439A-8BCE-15EA1FD380F4}"/>
    <hyperlink ref="V2836" r:id="rId209" xr:uid="{6EA3725C-33EB-4A27-962C-CC44BDF69904}"/>
    <hyperlink ref="V3027" r:id="rId210" xr:uid="{60992A97-483D-4EAC-93EF-1D39F27CEA00}"/>
    <hyperlink ref="V3028" r:id="rId211" xr:uid="{1A13ABE2-C3E1-4226-A348-CC8D63678F81}"/>
    <hyperlink ref="V3031" r:id="rId212" xr:uid="{E198AA59-E42A-4D4F-AA4F-61F90C583602}"/>
    <hyperlink ref="V3032" r:id="rId213" xr:uid="{304B3EC1-983B-4837-831C-E26E6FFEE1E8}"/>
    <hyperlink ref="V3033" r:id="rId214" xr:uid="{07B70F76-A115-49E5-AB1B-D10A810437E7}"/>
    <hyperlink ref="V3034" r:id="rId215" xr:uid="{20FE12D7-4D52-4FDE-85CA-ACC7FF528DD4}"/>
    <hyperlink ref="V2840" r:id="rId216" xr:uid="{5AC9BCE6-5AC0-40B4-995E-CD0647C1CCDF}"/>
    <hyperlink ref="V2849" r:id="rId217" xr:uid="{2B077158-6930-4418-A93A-7FDE2DCAB0D7}"/>
    <hyperlink ref="V2850" r:id="rId218" xr:uid="{55EBA848-29DA-45F8-88F8-C3CD42DE8ADF}"/>
    <hyperlink ref="V3042" r:id="rId219" xr:uid="{ACE46C5B-9FF7-4A46-948D-7DF479857B0C}"/>
    <hyperlink ref="V3043" r:id="rId220" xr:uid="{AFF5937F-9C23-456F-B049-6E6D562C0933}"/>
    <hyperlink ref="V3044" r:id="rId221" xr:uid="{3C95CA45-6CDE-4627-9C69-921F59964B27}"/>
    <hyperlink ref="V3045" r:id="rId222" xr:uid="{4B0540F6-0D90-4FAF-B9B5-129665ED27E2}"/>
    <hyperlink ref="V3046" r:id="rId223" xr:uid="{A660AF8A-F5D9-41D6-97CC-AC31B2614478}"/>
    <hyperlink ref="V3047" r:id="rId224" xr:uid="{ED288925-F0D0-4DB3-BC02-B796ADFAF5C6}"/>
    <hyperlink ref="V3078" r:id="rId225" xr:uid="{EEB14340-CE91-44C7-9694-50336E433BC1}"/>
    <hyperlink ref="V3077" r:id="rId226" xr:uid="{926E9F9B-8E6B-4127-AC04-9E3E19218567}"/>
    <hyperlink ref="V3076" r:id="rId227" xr:uid="{4B008E7B-ECA1-45DE-8F2E-951F18945F2D}"/>
    <hyperlink ref="V3095" r:id="rId228" xr:uid="{19EDAC84-839F-46E2-9E4D-C174F22FD57A}"/>
    <hyperlink ref="V3096" r:id="rId229" xr:uid="{EDF81638-4192-4B23-ACDB-10E9B8940972}"/>
    <hyperlink ref="V3107" r:id="rId230" xr:uid="{05D0276B-D1CC-4E6E-A62B-013994C30EE8}"/>
    <hyperlink ref="V3105" r:id="rId231" xr:uid="{C458902F-3516-411F-8CC3-5A3192CD1C1A}"/>
    <hyperlink ref="V3106" r:id="rId232" xr:uid="{2383039C-5DEF-4265-BBDD-5FB773F87DAF}"/>
    <hyperlink ref="V3103" r:id="rId233" xr:uid="{7339B6F3-F9D6-4911-9CA7-3BD9FAD08063}"/>
    <hyperlink ref="V3104" r:id="rId234" xr:uid="{ED2CECB0-250F-41E2-9AF9-D2FF811E7615}"/>
    <hyperlink ref="V3109" r:id="rId235" xr:uid="{70975D82-C299-418E-94E4-0F627C946E97}"/>
    <hyperlink ref="V3110" r:id="rId236" xr:uid="{30C4A050-3372-4BCD-ADF0-9583FDFE66B7}"/>
    <hyperlink ref="V238" r:id="rId237" xr:uid="{419D3241-6D02-40B6-9A03-F61616C3A88D}"/>
    <hyperlink ref="V3116" r:id="rId238" xr:uid="{6C25A299-A2CD-48F1-AFD1-6576BD461BE2}"/>
    <hyperlink ref="V3117" r:id="rId239" xr:uid="{D5CC2AF1-338E-4BEF-A682-1D1A0CAE009F}"/>
    <hyperlink ref="V3118" r:id="rId240" xr:uid="{F2083652-C090-4049-8164-DFE132A62361}"/>
    <hyperlink ref="V3125" r:id="rId241" xr:uid="{1349CB72-D1B5-4EFC-BD5A-E3911ACCF9EC}"/>
    <hyperlink ref="V3126" r:id="rId242" xr:uid="{4EC4E864-50F7-4F2F-9226-DF773322BFBD}"/>
    <hyperlink ref="V3127" r:id="rId243" xr:uid="{C6D9E0C9-C547-44DA-BFD2-87979DD3285C}"/>
    <hyperlink ref="V3136" r:id="rId244" xr:uid="{3D59693A-F48B-45B7-92EC-2BB5CFD463EB}"/>
    <hyperlink ref="V3137" r:id="rId245" xr:uid="{3087DDC0-CDC6-4261-8101-B2AF9AD64426}"/>
    <hyperlink ref="V3140" r:id="rId246" xr:uid="{FBF9A1F4-2C72-40D6-9AE4-1CCA3A9CBDEA}"/>
    <hyperlink ref="V3141" r:id="rId247" xr:uid="{6521DC5B-F7E8-4E41-86CA-516E7714E8D9}"/>
    <hyperlink ref="V3148" r:id="rId248" xr:uid="{9FD4F060-8A18-4821-B5EC-6E738A0DAFE3}"/>
    <hyperlink ref="V3150" r:id="rId249" xr:uid="{B7A27624-F719-4105-9467-98D31968382E}"/>
    <hyperlink ref="V3149" r:id="rId250" xr:uid="{42344A4B-37ED-40C9-A349-D71C9316669F}"/>
    <hyperlink ref="V3156" r:id="rId251" xr:uid="{6D1063C0-A30E-4892-A106-AEF808C8FBBD}"/>
    <hyperlink ref="V3157" r:id="rId252" xr:uid="{F72AE76B-ED37-441D-BD47-A35FDA7D5A92}"/>
    <hyperlink ref="V3159" r:id="rId253" xr:uid="{0246A4F0-D0BE-4D87-BEAE-7C8024DDAAA2}"/>
    <hyperlink ref="V3158" r:id="rId254" xr:uid="{9B6C847A-29A6-4533-BDA5-DB9E96E4786B}"/>
    <hyperlink ref="V3160" r:id="rId255" xr:uid="{A605CAEF-AEF0-414D-A167-1C16FBB79F28}"/>
    <hyperlink ref="V3161" r:id="rId256" xr:uid="{4F9DD07E-31FE-47C6-AF8B-3CF1E5BCA653}"/>
    <hyperlink ref="V3198" r:id="rId257" xr:uid="{CA80950D-AAE7-4556-9C00-2CF39901822A}"/>
    <hyperlink ref="V3199" r:id="rId258" xr:uid="{2910CB78-F82F-4165-886A-6BB5F8EEB96B}"/>
    <hyperlink ref="V3200" r:id="rId259" xr:uid="{F9EC8C7F-EBC7-49EF-86B9-D113C3E32C8D}"/>
    <hyperlink ref="V3201" r:id="rId260" xr:uid="{B569A73C-0EC4-4485-95B3-5EE72A2A5C17}"/>
    <hyperlink ref="V3202" r:id="rId261" xr:uid="{82F2F31E-0636-4482-ABD6-47CF509ED4B4}"/>
    <hyperlink ref="V3208" r:id="rId262" xr:uid="{972DB9B9-FB28-425F-8022-E54524EF294C}"/>
    <hyperlink ref="V3209" r:id="rId263" xr:uid="{C793695A-5E62-4F0D-A4C6-AD703879979E}"/>
    <hyperlink ref="V3210" r:id="rId264" xr:uid="{ACF93D31-8616-42ED-8F55-A4C94A7C74A7}"/>
    <hyperlink ref="V3211" r:id="rId265" xr:uid="{67C166CC-E5C5-4692-9F02-5F55EF265687}"/>
    <hyperlink ref="V3212" r:id="rId266" xr:uid="{04B77FA9-CB7E-4D65-A770-5F4523A8E227}"/>
    <hyperlink ref="V3213" r:id="rId267" xr:uid="{A5759655-DB43-4159-A9B7-23401C5B1761}"/>
    <hyperlink ref="V3214" r:id="rId268" xr:uid="{10067B5C-23D9-4E94-A004-D616217D2F75}"/>
    <hyperlink ref="V3215" r:id="rId269" xr:uid="{864235A9-769F-4D71-AE08-F4DF707E2CB8}"/>
    <hyperlink ref="V3218" r:id="rId270" xr:uid="{6019A68C-92E8-40E9-A8B6-630CBB87B3BD}"/>
    <hyperlink ref="V3221" r:id="rId271" xr:uid="{073FBBDD-E365-4FA8-B8A7-277DFC1DBAF5}"/>
    <hyperlink ref="V3222" r:id="rId272" xr:uid="{F5AA3191-EA2D-4961-8EA6-028548BF606C}"/>
    <hyperlink ref="V3223" r:id="rId273" xr:uid="{69D46CC7-C0D2-4128-A076-AC812D5CF1B1}"/>
    <hyperlink ref="V3216" r:id="rId274" xr:uid="{A42279A3-1E28-4359-8188-B27A6A421079}"/>
    <hyperlink ref="V3217" r:id="rId275" xr:uid="{E71A1EAF-1F3C-4BA8-89F6-A62D5614C5C3}"/>
    <hyperlink ref="V3267" r:id="rId276" xr:uid="{B085B465-3075-4DD1-8EE5-95817265275D}"/>
    <hyperlink ref="V3266" r:id="rId277" xr:uid="{C4A645BB-1B71-423F-BFBD-ED243ECF9A55}"/>
    <hyperlink ref="V3265" r:id="rId278" xr:uid="{40519581-28FA-49FE-89E7-E911E75E1730}"/>
    <hyperlink ref="V3258" r:id="rId279" xr:uid="{957E96BC-7FFE-41E1-9362-19407ED5840D}"/>
    <hyperlink ref="V3257" r:id="rId280" xr:uid="{ABA9ACE7-C022-4349-B9C6-D888ED44ACA5}"/>
    <hyperlink ref="V3256" r:id="rId281" xr:uid="{DB25F345-47B0-41DD-993B-4C6FF9489C52}"/>
    <hyperlink ref="V3253" r:id="rId282" xr:uid="{09528769-333E-4218-9D67-AC1A65ADB1BA}"/>
    <hyperlink ref="V3252" r:id="rId283" xr:uid="{3BD71F3F-FC7A-40E2-941C-E916EE1F1589}"/>
    <hyperlink ref="V3251" r:id="rId284" xr:uid="{899F01EC-6142-4FCD-846E-DC69CA174C89}"/>
    <hyperlink ref="V3250" r:id="rId285" xr:uid="{1B41677C-3B78-4960-9EC8-41E272C53066}"/>
    <hyperlink ref="V3249" r:id="rId286" xr:uid="{00596879-26C3-4F67-B258-05A3A1ACDCA1}"/>
    <hyperlink ref="V3246" r:id="rId287" xr:uid="{6A7EB327-6CEE-42A1-B92B-4AF22F388A93}"/>
    <hyperlink ref="V3241" r:id="rId288" xr:uid="{A581A415-4656-42AD-AA99-86C893C7A971}"/>
    <hyperlink ref="V3240" r:id="rId289" xr:uid="{AB95EA45-3576-413D-95D2-FEF56831073C}"/>
    <hyperlink ref="V3233" r:id="rId290" xr:uid="{29717A60-17E7-4028-939A-39FF29F36C00}"/>
    <hyperlink ref="V3232" r:id="rId291" xr:uid="{E0F42D06-CFDD-4356-B213-EBA2B8BEDCA4}"/>
    <hyperlink ref="V3231" r:id="rId292" xr:uid="{4AF0F744-DA89-49B1-BF1A-203E31C6126C}"/>
    <hyperlink ref="V3230" r:id="rId293" xr:uid="{C2BE84C9-23AA-477C-8EFC-9FC6E6B422DF}"/>
    <hyperlink ref="V3229" r:id="rId294" xr:uid="{B556FDD6-9E79-478E-B977-42FCE682BA3C}"/>
    <hyperlink ref="V3228" r:id="rId295" xr:uid="{318567EB-9222-4594-9701-8C2262596F9A}"/>
    <hyperlink ref="V3254" r:id="rId296" xr:uid="{103EAF7A-6F36-41BA-9EAD-7A5488962214}"/>
    <hyperlink ref="V3255" r:id="rId297" xr:uid="{FB18DA31-27DB-4ECF-B2C2-9A261DAE5084}"/>
    <hyperlink ref="V3237:V3239" r:id="rId298" display="https://gytres-my.sharepoint.com/:b:/p/finanzas/EQ49Yy577w9AnmtloifxmRgBrqEzJlQRoZSTYAtd1wZAgQ?e=ZEpDqj" xr:uid="{BCDF02C8-843D-424C-B4CD-C93DF4A88496}"/>
    <hyperlink ref="V3268" r:id="rId299" xr:uid="{4767DB15-6E95-4A51-B8D0-D6B85CE94600}"/>
    <hyperlink ref="V3271" r:id="rId300" xr:uid="{BDD149AC-788A-42F4-92D2-ADBA5B90F69F}"/>
    <hyperlink ref="V3272" r:id="rId301" xr:uid="{01E8316F-6B41-4F22-AA8D-8EFF8C49BFD5}"/>
    <hyperlink ref="V3345" r:id="rId302" xr:uid="{C1DD229D-FBC2-413C-9F77-20B6E36A96AC}"/>
    <hyperlink ref="V3344" r:id="rId303" xr:uid="{A0A8199B-EE69-453E-82B5-84F69948F2A5}"/>
    <hyperlink ref="V3343" r:id="rId304" xr:uid="{36D4ABFB-29C9-4FA2-883D-BF5F4861A512}"/>
    <hyperlink ref="V3327" r:id="rId305" xr:uid="{C8D8D667-519D-43FF-BE46-32A4DAD0C00D}"/>
    <hyperlink ref="V3321" r:id="rId306" xr:uid="{D668BB05-F1B1-473F-B35D-4088D9EDC88B}"/>
    <hyperlink ref="V3317" r:id="rId307" xr:uid="{77B374BC-3ED1-4279-AF6A-D1979F37C95B}"/>
    <hyperlink ref="V3279" r:id="rId308" xr:uid="{24C617FB-4340-4A66-BACF-75476873B5EC}"/>
    <hyperlink ref="V3354:V3366" r:id="rId309" display="https://gytres-my.sharepoint.com/:b:/p/finanzas/Edbq9zvTMw1BnSFSlMKNpcUBCaRPyBXReUxkHRoveaS7cw?e=bh2eNj" xr:uid="{CE0D167A-FA28-4864-B992-5879B988542D}"/>
    <hyperlink ref="V3456" r:id="rId310" xr:uid="{F8C98031-4804-4C7B-9171-1CD4F064065D}"/>
    <hyperlink ref="V3417" r:id="rId311" xr:uid="{A3B06660-0C88-456C-AFF0-87DC52E7C66C}"/>
    <hyperlink ref="V3416" r:id="rId312" xr:uid="{73A1A45A-9B77-4837-BA70-B1DAC012B7A2}"/>
    <hyperlink ref="V3415" r:id="rId313" xr:uid="{64D1BA46-1B64-4EE2-B60B-26A3B6AE31BB}"/>
    <hyperlink ref="V3414" r:id="rId314" xr:uid="{11D29A82-EA92-4E04-9E79-67484FEA9B8D}"/>
    <hyperlink ref="V3413" r:id="rId315" xr:uid="{AF17002E-09C4-47F7-8364-9F8D767FD5AB}"/>
    <hyperlink ref="V3412" r:id="rId316" xr:uid="{2FE912F2-6D38-45BA-AF23-313544E7CAA2}"/>
    <hyperlink ref="V3411" r:id="rId317" xr:uid="{53BAF15F-0A48-401F-9DF9-15A5A71E68DC}"/>
    <hyperlink ref="V3410" r:id="rId318" xr:uid="{36DDCE14-94EF-4F84-9560-AC8DBD105715}"/>
    <hyperlink ref="V3409" r:id="rId319" xr:uid="{CFD86A31-A970-438A-AB65-0FE0DFBAAB47}"/>
    <hyperlink ref="V3408" r:id="rId320" xr:uid="{3C410F20-8052-49CC-ACE9-8E75C15859FE}"/>
    <hyperlink ref="V3407" r:id="rId321" xr:uid="{554FB62B-7B68-4C99-A0EA-F2A0182F9915}"/>
    <hyperlink ref="V3406" r:id="rId322" xr:uid="{4D3E7BD0-4587-4439-B0D6-EA671A3117C1}"/>
    <hyperlink ref="V3405" r:id="rId323" xr:uid="{DB24AE6E-1E71-4534-9566-29EFA5D9C9A6}"/>
    <hyperlink ref="V3404" r:id="rId324" xr:uid="{6899CFA0-C636-4132-ACE7-DA251004FBB9}"/>
    <hyperlink ref="V3403" r:id="rId325" xr:uid="{C782DCDB-8AD7-48B2-AC0F-42C192740104}"/>
    <hyperlink ref="V3402" r:id="rId326" xr:uid="{C0B809C4-4F88-4BAF-82A2-263B055FE4BD}"/>
    <hyperlink ref="V3401" r:id="rId327" xr:uid="{B30B6999-4CF9-4B0B-B80E-7A3AA2929FC9}"/>
    <hyperlink ref="V3400" r:id="rId328" xr:uid="{052BAAC0-7ED5-4140-A883-309F01E817BC}"/>
    <hyperlink ref="V3399" r:id="rId329" xr:uid="{D8853A93-ECDE-4347-ADAF-EE2A5FA6518B}"/>
    <hyperlink ref="V3398" r:id="rId330" xr:uid="{BC1D52A2-851F-4E4D-B439-37D83F894CA6}"/>
    <hyperlink ref="V3397" r:id="rId331" xr:uid="{3759437A-A342-4837-8426-9463934D204E}"/>
    <hyperlink ref="V3396" r:id="rId332" xr:uid="{504252A5-5652-4ADE-B280-5D4DD8BCE63F}"/>
    <hyperlink ref="V3395" r:id="rId333" xr:uid="{0CEFAA2D-E85E-4CF7-9EBE-F593A58AD83E}"/>
    <hyperlink ref="V3385" r:id="rId334" xr:uid="{EE8AB64E-1AD5-4611-B046-694B600513E5}"/>
    <hyperlink ref="V3384" r:id="rId335" xr:uid="{1F68E777-72B3-48EB-B908-42A854050F1B}"/>
    <hyperlink ref="V3383" r:id="rId336" xr:uid="{B1A2DCF2-F21B-4913-AE4D-81315C450EBB}"/>
    <hyperlink ref="V3382" r:id="rId337" xr:uid="{7F559327-9493-46DE-86D0-B60B34857B57}"/>
    <hyperlink ref="V3379" r:id="rId338" xr:uid="{55B80894-3AA7-48BE-B66A-4C5B886E67C9}"/>
    <hyperlink ref="V3380" r:id="rId339" xr:uid="{215E09C1-7294-4022-82B0-C8285D5A2129}"/>
    <hyperlink ref="V3369" r:id="rId340" xr:uid="{157496BA-FD7C-4F7D-9A04-813799E298CD}"/>
  </hyperlinks>
  <printOptions horizontalCentered="1"/>
  <pageMargins left="0.11811023622047245" right="0.11811023622047245" top="0.35433070866141736" bottom="0.35433070866141736" header="0.31496062992125984" footer="0.31496062992125984"/>
  <pageSetup paperSize="9" scale="51" fitToHeight="0" orientation="landscape" r:id="rId341"/>
  <legacyDrawing r:id="rId342"/>
  <tableParts count="1">
    <tablePart r:id="rId34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27C4-FE09-4089-B56D-AB2B5C5D6E62}">
  <sheetPr codeName="Hoja3">
    <tabColor theme="6"/>
    <pageSetUpPr fitToPage="1"/>
  </sheetPr>
  <dimension ref="B2:AB344"/>
  <sheetViews>
    <sheetView showGridLines="0" topLeftCell="H249" zoomScaleNormal="100" zoomScaleSheetLayoutView="100" workbookViewId="0">
      <selection activeCell="S260" sqref="S260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5.44140625" bestFit="1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style="81" bestFit="1" customWidth="1"/>
    <col min="23" max="26" width="17.109375" customWidth="1" outlineLevel="1"/>
    <col min="27" max="27" width="16.21875" customWidth="1" outlineLevel="1"/>
    <col min="28" max="28" width="16" customWidth="1" outlineLevel="1"/>
  </cols>
  <sheetData>
    <row r="2" spans="2:28" ht="23.4" x14ac:dyDescent="0.3">
      <c r="B2" s="263" t="s">
        <v>3990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16">
        <f>IF(BCP_Dolares[[#This Row],[TIPO DE R.]]="R",COUNTIFS($D$4:$D4,"R")+1,"")</f>
        <v>1</v>
      </c>
      <c r="C5" s="18" t="str">
        <f t="shared" ref="C5:C77" si="0">"B-BCP - Dolares"</f>
        <v>B-BCP - Dolares</v>
      </c>
      <c r="D5" s="13" t="s">
        <v>1074</v>
      </c>
      <c r="E5" s="4">
        <v>45658</v>
      </c>
      <c r="F5" s="5" t="s">
        <v>1075</v>
      </c>
      <c r="G5" s="6" t="s">
        <v>1064</v>
      </c>
      <c r="H5" s="6"/>
      <c r="I5" s="6"/>
      <c r="J5" s="6"/>
      <c r="K5" s="6"/>
      <c r="L5" s="7" t="s">
        <v>1076</v>
      </c>
      <c r="M5" s="8" t="s">
        <v>1077</v>
      </c>
      <c r="N5" s="8" t="str">
        <f t="shared" ref="N5:N77" si="1">"USD"</f>
        <v>USD</v>
      </c>
      <c r="O5" s="13"/>
      <c r="P5" s="13">
        <v>471.82</v>
      </c>
      <c r="Q5" s="13">
        <f t="shared" ref="Q5:Q70" si="2">+IF(OR($G5="SALDO",$G5="INGRESO"),$P5,0)</f>
        <v>471.82</v>
      </c>
      <c r="R5" s="13">
        <f t="shared" ref="R5:R70" si="3">+IF($G5="EGRESO",$P5,0)</f>
        <v>0</v>
      </c>
      <c r="S5" s="13">
        <f t="shared" ref="S5:S70" si="4">IFERROR(IF(G5="SALDO",Q5,S4+Q5-R5),0)</f>
        <v>471.82</v>
      </c>
      <c r="T5" s="28"/>
      <c r="U5" s="28"/>
      <c r="V5" s="79"/>
      <c r="W5" s="3"/>
      <c r="X5" s="3"/>
      <c r="Y5" s="3"/>
      <c r="Z5" s="3"/>
      <c r="AA5" s="3"/>
      <c r="AB5" s="3" t="str">
        <f>IF(BCP_Dolares[[#This Row],[FECHA]]&gt;0,TEXT(BCP_Dolares[[#This Row],[FECHA]],"mmmm"),0)</f>
        <v>Enero</v>
      </c>
    </row>
    <row r="6" spans="2:28" x14ac:dyDescent="0.3">
      <c r="B6" s="2">
        <f>IF(BCP_Dolares[[#This Row],[TIPO DE R.]]="R",COUNTIFS($D$4:$D5,"R")+1,"")</f>
        <v>2</v>
      </c>
      <c r="C6" s="19" t="str">
        <f t="shared" si="0"/>
        <v>B-BCP - Dolares</v>
      </c>
      <c r="D6" s="3" t="s">
        <v>1074</v>
      </c>
      <c r="E6" s="14">
        <v>45660</v>
      </c>
      <c r="F6" s="5" t="s">
        <v>3738</v>
      </c>
      <c r="G6" s="5" t="s">
        <v>1087</v>
      </c>
      <c r="H6" s="6" t="s">
        <v>368</v>
      </c>
      <c r="I6" s="6"/>
      <c r="J6" s="6"/>
      <c r="K6" s="6"/>
      <c r="L6" s="7" t="s">
        <v>3739</v>
      </c>
      <c r="M6" s="8">
        <v>2013740</v>
      </c>
      <c r="N6" s="8" t="str">
        <f t="shared" si="1"/>
        <v>USD</v>
      </c>
      <c r="O6" s="13"/>
      <c r="P6" s="13">
        <v>191.91</v>
      </c>
      <c r="Q6" s="3">
        <f t="shared" si="2"/>
        <v>191.91</v>
      </c>
      <c r="R6" s="3">
        <f t="shared" si="3"/>
        <v>0</v>
      </c>
      <c r="S6" s="3">
        <f t="shared" si="4"/>
        <v>663.73</v>
      </c>
      <c r="T6" s="24" t="s">
        <v>1081</v>
      </c>
      <c r="U6" s="24"/>
      <c r="V6" s="80"/>
      <c r="W6" s="3" t="s">
        <v>368</v>
      </c>
      <c r="X6" s="3"/>
      <c r="Y6" s="3"/>
      <c r="Z6" s="3"/>
      <c r="AA6" s="3"/>
      <c r="AB6" s="3" t="str">
        <f>IF(BCP_Dolares[[#This Row],[FECHA]]&gt;0,TEXT(BCP_Dolares[[#This Row],[FECHA]],"mmmm"),0)</f>
        <v>Enero</v>
      </c>
    </row>
    <row r="7" spans="2:28" ht="24" x14ac:dyDescent="0.3">
      <c r="B7" s="2">
        <f>IF(BCP_Dolares[[#This Row],[TIPO DE R.]]="R",COUNTIFS($D$4:$D6,"R")+1,"")</f>
        <v>3</v>
      </c>
      <c r="C7" s="19" t="str">
        <f t="shared" si="0"/>
        <v>B-BCP - Dolares</v>
      </c>
      <c r="D7" s="3" t="s">
        <v>1074</v>
      </c>
      <c r="E7" s="14">
        <v>45663</v>
      </c>
      <c r="F7" s="5" t="s">
        <v>1082</v>
      </c>
      <c r="G7" s="5" t="s">
        <v>1079</v>
      </c>
      <c r="H7" s="6" t="s">
        <v>191</v>
      </c>
      <c r="I7" s="6" t="s">
        <v>14</v>
      </c>
      <c r="J7" s="6" t="s">
        <v>3010</v>
      </c>
      <c r="K7" s="6">
        <v>28568</v>
      </c>
      <c r="L7" s="7" t="s">
        <v>3991</v>
      </c>
      <c r="M7" s="8">
        <v>1231224</v>
      </c>
      <c r="N7" s="8" t="str">
        <f t="shared" si="1"/>
        <v>USD</v>
      </c>
      <c r="O7" s="13"/>
      <c r="P7" s="13">
        <v>291.88</v>
      </c>
      <c r="Q7" s="3">
        <f t="shared" si="2"/>
        <v>0</v>
      </c>
      <c r="R7" s="3">
        <f t="shared" si="3"/>
        <v>291.88</v>
      </c>
      <c r="S7" s="3">
        <f t="shared" si="4"/>
        <v>371.85</v>
      </c>
      <c r="T7" s="24" t="s">
        <v>1081</v>
      </c>
      <c r="U7" s="24" t="s">
        <v>1081</v>
      </c>
      <c r="V7" s="80"/>
      <c r="W7" s="3" t="s">
        <v>191</v>
      </c>
      <c r="X7" s="3" t="s">
        <v>3992</v>
      </c>
      <c r="Y7" s="3"/>
      <c r="Z7" s="3"/>
      <c r="AA7" s="3"/>
      <c r="AB7" s="3" t="str">
        <f>IF(BCP_Dolares[[#This Row],[FECHA]]&gt;0,TEXT(BCP_Dolares[[#This Row],[FECHA]],"mmmm"),0)</f>
        <v>Enero</v>
      </c>
    </row>
    <row r="8" spans="2:28" ht="48" x14ac:dyDescent="0.3">
      <c r="B8" s="2">
        <f>IF(BCP_Dolares[[#This Row],[TIPO DE R.]]="R",COUNTIFS($D$4:$D7,"R")+1,"")</f>
        <v>4</v>
      </c>
      <c r="C8" s="19" t="str">
        <f t="shared" si="0"/>
        <v>B-BCP - Dolares</v>
      </c>
      <c r="D8" s="3" t="s">
        <v>1074</v>
      </c>
      <c r="E8" s="14">
        <v>45667</v>
      </c>
      <c r="F8" s="5" t="s">
        <v>1082</v>
      </c>
      <c r="G8" s="5" t="s">
        <v>1079</v>
      </c>
      <c r="H8" s="6" t="s">
        <v>354</v>
      </c>
      <c r="I8" s="6" t="s">
        <v>14</v>
      </c>
      <c r="J8" s="6" t="s">
        <v>1119</v>
      </c>
      <c r="K8" s="6">
        <v>299</v>
      </c>
      <c r="L8" s="7" t="s">
        <v>3993</v>
      </c>
      <c r="M8" s="8">
        <v>219116</v>
      </c>
      <c r="N8" s="8" t="str">
        <f t="shared" si="1"/>
        <v>USD</v>
      </c>
      <c r="O8" s="13"/>
      <c r="P8" s="13">
        <v>237.81</v>
      </c>
      <c r="Q8" s="3">
        <f t="shared" si="2"/>
        <v>0</v>
      </c>
      <c r="R8" s="3">
        <f t="shared" si="3"/>
        <v>237.81</v>
      </c>
      <c r="S8" s="3">
        <f t="shared" si="4"/>
        <v>134.04000000000002</v>
      </c>
      <c r="T8" s="24" t="s">
        <v>1081</v>
      </c>
      <c r="U8" s="24" t="s">
        <v>1081</v>
      </c>
      <c r="V8" s="80"/>
      <c r="W8" s="3" t="s">
        <v>354</v>
      </c>
      <c r="X8" s="3" t="s">
        <v>3994</v>
      </c>
      <c r="Y8" s="3"/>
      <c r="Z8" s="3"/>
      <c r="AA8" s="3"/>
      <c r="AB8" s="3" t="str">
        <f>IF(BCP_Dolares[[#This Row],[FECHA]]&gt;0,TEXT(BCP_Dolares[[#This Row],[FECHA]],"mmmm"),0)</f>
        <v>Enero</v>
      </c>
    </row>
    <row r="9" spans="2:28" ht="24" x14ac:dyDescent="0.3">
      <c r="B9" s="2">
        <f>IF(BCP_Dolares[[#This Row],[TIPO DE R.]]="R",COUNTIFS($D$4:$D8,"R")+1,"")</f>
        <v>5</v>
      </c>
      <c r="C9" s="19" t="str">
        <f t="shared" si="0"/>
        <v>B-BCP - Dolares</v>
      </c>
      <c r="D9" s="3" t="s">
        <v>1074</v>
      </c>
      <c r="E9" s="14">
        <v>45667</v>
      </c>
      <c r="F9" s="5" t="s">
        <v>1078</v>
      </c>
      <c r="G9" s="5" t="s">
        <v>1079</v>
      </c>
      <c r="H9" s="6" t="s">
        <v>1001</v>
      </c>
      <c r="I9" s="6" t="s">
        <v>14</v>
      </c>
      <c r="J9" s="6" t="s">
        <v>3128</v>
      </c>
      <c r="K9" s="6">
        <v>28309030</v>
      </c>
      <c r="L9" s="7" t="s">
        <v>3995</v>
      </c>
      <c r="M9" s="8">
        <v>219121</v>
      </c>
      <c r="N9" s="8" t="str">
        <f t="shared" si="1"/>
        <v>USD</v>
      </c>
      <c r="O9" s="13"/>
      <c r="P9" s="13">
        <v>6.32</v>
      </c>
      <c r="Q9" s="3">
        <f t="shared" si="2"/>
        <v>0</v>
      </c>
      <c r="R9" s="3">
        <f t="shared" si="3"/>
        <v>6.32</v>
      </c>
      <c r="S9" s="3">
        <f t="shared" si="4"/>
        <v>127.72000000000003</v>
      </c>
      <c r="T9" s="24"/>
      <c r="U9" s="24" t="s">
        <v>1081</v>
      </c>
      <c r="V9" s="80"/>
      <c r="W9" s="3" t="s">
        <v>1078</v>
      </c>
      <c r="X9" s="3" t="s">
        <v>3996</v>
      </c>
      <c r="Y9" s="3"/>
      <c r="Z9" s="3"/>
      <c r="AA9" s="3"/>
      <c r="AB9" s="3" t="str">
        <f>IF(BCP_Dolares[[#This Row],[FECHA]]&gt;0,TEXT(BCP_Dolares[[#This Row],[FECHA]],"mmmm"),0)</f>
        <v>Enero</v>
      </c>
    </row>
    <row r="10" spans="2:28" x14ac:dyDescent="0.3">
      <c r="B10" s="2">
        <f>IF(BCP_Dolares[[#This Row],[TIPO DE R.]]="R",COUNTIFS($D$4:$D9,"R")+1,"")</f>
        <v>6</v>
      </c>
      <c r="C10" s="19" t="str">
        <f t="shared" si="0"/>
        <v>B-BCP - Dolares</v>
      </c>
      <c r="D10" s="3" t="s">
        <v>1074</v>
      </c>
      <c r="E10" s="14">
        <v>45674</v>
      </c>
      <c r="F10" s="5" t="s">
        <v>368</v>
      </c>
      <c r="G10" s="5" t="s">
        <v>1087</v>
      </c>
      <c r="H10" s="6"/>
      <c r="I10" s="6"/>
      <c r="J10" s="6"/>
      <c r="K10" s="6"/>
      <c r="L10" s="7" t="s">
        <v>3536</v>
      </c>
      <c r="M10" s="8">
        <v>2187910</v>
      </c>
      <c r="N10" s="8" t="str">
        <f t="shared" si="1"/>
        <v>USD</v>
      </c>
      <c r="O10" s="13"/>
      <c r="P10" s="13">
        <v>1267</v>
      </c>
      <c r="Q10" s="3">
        <f t="shared" si="2"/>
        <v>1267</v>
      </c>
      <c r="R10" s="3">
        <f t="shared" si="3"/>
        <v>0</v>
      </c>
      <c r="S10" s="3">
        <f t="shared" si="4"/>
        <v>1394.72</v>
      </c>
      <c r="T10" s="24"/>
      <c r="U10" s="24"/>
      <c r="V10" s="80"/>
      <c r="W10" s="3" t="s">
        <v>368</v>
      </c>
      <c r="X10" s="3"/>
      <c r="Y10" s="3"/>
      <c r="Z10" s="3"/>
      <c r="AA10" s="3"/>
      <c r="AB10" s="3" t="str">
        <f>IF(BCP_Dolares[[#This Row],[FECHA]]&gt;0,TEXT(BCP_Dolares[[#This Row],[FECHA]],"mmmm"),0)</f>
        <v>Enero</v>
      </c>
    </row>
    <row r="11" spans="2:28" ht="24" x14ac:dyDescent="0.3">
      <c r="B11" s="2">
        <f>IF(BCP_Dolares[[#This Row],[TIPO DE R.]]="R",COUNTIFS($D$4:$D10,"R")+1,"")</f>
        <v>7</v>
      </c>
      <c r="C11" s="19" t="str">
        <f t="shared" si="0"/>
        <v>B-BCP - Dolares</v>
      </c>
      <c r="D11" s="3" t="s">
        <v>1074</v>
      </c>
      <c r="E11" s="14">
        <v>45674</v>
      </c>
      <c r="F11" s="5" t="s">
        <v>1082</v>
      </c>
      <c r="G11" s="5" t="s">
        <v>1079</v>
      </c>
      <c r="H11" s="6" t="s">
        <v>719</v>
      </c>
      <c r="I11" s="6" t="s">
        <v>14</v>
      </c>
      <c r="J11" s="6" t="s">
        <v>2789</v>
      </c>
      <c r="K11" s="6">
        <v>140177</v>
      </c>
      <c r="L11" s="7" t="s">
        <v>2790</v>
      </c>
      <c r="M11" s="8">
        <v>206833</v>
      </c>
      <c r="N11" s="8" t="str">
        <f t="shared" si="1"/>
        <v>USD</v>
      </c>
      <c r="O11" s="13"/>
      <c r="P11" s="13">
        <v>1010.25</v>
      </c>
      <c r="Q11" s="3">
        <f t="shared" si="2"/>
        <v>0</v>
      </c>
      <c r="R11" s="3">
        <f t="shared" si="3"/>
        <v>1010.25</v>
      </c>
      <c r="S11" s="3">
        <f t="shared" si="4"/>
        <v>384.47</v>
      </c>
      <c r="T11" s="24"/>
      <c r="U11" s="24"/>
      <c r="V11" s="80"/>
      <c r="W11" s="3" t="s">
        <v>3997</v>
      </c>
      <c r="X11" s="3" t="s">
        <v>3998</v>
      </c>
      <c r="Y11" s="3"/>
      <c r="Z11" s="3"/>
      <c r="AA11" s="3"/>
      <c r="AB11" s="3" t="str">
        <f>IF(BCP_Dolares[[#This Row],[FECHA]]&gt;0,TEXT(BCP_Dolares[[#This Row],[FECHA]],"mmmm"),0)</f>
        <v>Enero</v>
      </c>
    </row>
    <row r="12" spans="2:28" ht="48" x14ac:dyDescent="0.3">
      <c r="B12" s="2">
        <f>IF(BCP_Dolares[[#This Row],[TIPO DE R.]]="R",COUNTIFS($D$4:$D11,"R")+1,"")</f>
        <v>8</v>
      </c>
      <c r="C12" s="19" t="str">
        <f t="shared" si="0"/>
        <v>B-BCP - Dolares</v>
      </c>
      <c r="D12" s="3" t="s">
        <v>1074</v>
      </c>
      <c r="E12" s="14">
        <v>45674</v>
      </c>
      <c r="F12" s="5" t="s">
        <v>1082</v>
      </c>
      <c r="G12" s="5" t="s">
        <v>1079</v>
      </c>
      <c r="H12" s="6" t="s">
        <v>354</v>
      </c>
      <c r="I12" s="6"/>
      <c r="J12" s="6"/>
      <c r="K12" s="6"/>
      <c r="L12" s="7" t="s">
        <v>2944</v>
      </c>
      <c r="M12" s="8">
        <v>4067271</v>
      </c>
      <c r="N12" s="8" t="str">
        <f t="shared" si="1"/>
        <v>USD</v>
      </c>
      <c r="O12" s="13"/>
      <c r="P12" s="13">
        <v>382.32</v>
      </c>
      <c r="Q12" s="3">
        <f t="shared" si="2"/>
        <v>0</v>
      </c>
      <c r="R12" s="3">
        <f t="shared" si="3"/>
        <v>382.32</v>
      </c>
      <c r="S12" s="3">
        <f t="shared" si="4"/>
        <v>2.1500000000000341</v>
      </c>
      <c r="T12" s="24" t="s">
        <v>1081</v>
      </c>
      <c r="U12" s="24" t="s">
        <v>1081</v>
      </c>
      <c r="V12" s="80"/>
      <c r="W12" s="3" t="s">
        <v>354</v>
      </c>
      <c r="X12" s="3" t="s">
        <v>3999</v>
      </c>
      <c r="Y12" s="3" t="s">
        <v>4000</v>
      </c>
      <c r="Z12" s="3"/>
      <c r="AA12" s="3"/>
      <c r="AB12" s="3" t="str">
        <f>IF(BCP_Dolares[[#This Row],[FECHA]]&gt;0,TEXT(BCP_Dolares[[#This Row],[FECHA]],"mmmm"),0)</f>
        <v>Enero</v>
      </c>
    </row>
    <row r="13" spans="2:28" ht="48" x14ac:dyDescent="0.3">
      <c r="B13" s="2" t="str">
        <f>IF(BCP_Dolares[[#This Row],[TIPO DE R.]]="R",COUNTIFS($D$4:$D12,"R")+1,"")</f>
        <v/>
      </c>
      <c r="C13" s="19" t="str">
        <f>"B-BCP - Dolares"</f>
        <v>B-BCP - Dolares</v>
      </c>
      <c r="D13" s="3" t="s">
        <v>1101</v>
      </c>
      <c r="E13" s="14">
        <v>45674</v>
      </c>
      <c r="F13" s="5" t="s">
        <v>1082</v>
      </c>
      <c r="G13" s="5"/>
      <c r="H13" s="6" t="s">
        <v>354</v>
      </c>
      <c r="I13" s="6" t="s">
        <v>14</v>
      </c>
      <c r="J13" s="6" t="s">
        <v>1119</v>
      </c>
      <c r="K13" s="6">
        <v>300</v>
      </c>
      <c r="L13" s="7" t="s">
        <v>2944</v>
      </c>
      <c r="M13" s="8">
        <v>4067271</v>
      </c>
      <c r="N13" s="8" t="str">
        <f>"USD"</f>
        <v>USD</v>
      </c>
      <c r="O13" s="13">
        <v>379</v>
      </c>
      <c r="P13" s="13"/>
      <c r="Q13" s="3">
        <f>+IF(OR($G13="SALDO",$G13="INGRESO"),$P13,0)</f>
        <v>0</v>
      </c>
      <c r="R13" s="3">
        <f>+IF($G13="EGRESO",$P13,0)</f>
        <v>0</v>
      </c>
      <c r="S13" s="3">
        <f>IFERROR(IF(G13="SALDO",Q13,S12+Q13-R13),0)</f>
        <v>2.1500000000000341</v>
      </c>
      <c r="T13" s="24" t="s">
        <v>1081</v>
      </c>
      <c r="U13" s="24" t="s">
        <v>1081</v>
      </c>
      <c r="V13" s="80"/>
      <c r="W13" s="3"/>
      <c r="X13" s="3"/>
      <c r="Y13" s="3"/>
      <c r="Z13" s="3"/>
      <c r="AA13" s="3"/>
      <c r="AB13" s="3" t="str">
        <f>IF(BCP_Dolares[[#This Row],[FECHA]]&gt;0,TEXT(BCP_Dolares[[#This Row],[FECHA]],"mmmm"),0)</f>
        <v>Enero</v>
      </c>
    </row>
    <row r="14" spans="2:28" ht="24" x14ac:dyDescent="0.3">
      <c r="B14" s="2" t="str">
        <f>IF(BCP_Dolares[[#This Row],[TIPO DE R.]]="R",COUNTIFS($D$4:$D13,"R")+1,"")</f>
        <v/>
      </c>
      <c r="C14" s="19" t="str">
        <f>"B-BCP - Dolares"</f>
        <v>B-BCP - Dolares</v>
      </c>
      <c r="D14" s="3" t="s">
        <v>1101</v>
      </c>
      <c r="E14" s="14">
        <v>45674</v>
      </c>
      <c r="F14" s="5" t="s">
        <v>1082</v>
      </c>
      <c r="G14" s="5"/>
      <c r="H14" s="6" t="s">
        <v>1001</v>
      </c>
      <c r="I14" s="6" t="s">
        <v>14</v>
      </c>
      <c r="J14" s="6" t="s">
        <v>3128</v>
      </c>
      <c r="K14" s="6">
        <v>28776558</v>
      </c>
      <c r="L14" s="7" t="s">
        <v>2944</v>
      </c>
      <c r="M14" s="8">
        <v>4067271</v>
      </c>
      <c r="N14" s="8" t="str">
        <f>"USD"</f>
        <v>USD</v>
      </c>
      <c r="O14" s="13">
        <v>3.32</v>
      </c>
      <c r="P14" s="13"/>
      <c r="Q14" s="3">
        <f>+IF(OR($G14="SALDO",$G14="INGRESO"),$P14,0)</f>
        <v>0</v>
      </c>
      <c r="R14" s="3">
        <f>+IF($G14="EGRESO",$P14,0)</f>
        <v>0</v>
      </c>
      <c r="S14" s="3">
        <f t="shared" ref="S14:S15" si="5">IFERROR(IF(G14="SALDO",Q14,S13+Q14-R14),0)</f>
        <v>2.1500000000000341</v>
      </c>
      <c r="T14" s="24" t="s">
        <v>1081</v>
      </c>
      <c r="U14" s="24" t="s">
        <v>1081</v>
      </c>
      <c r="V14" s="80"/>
      <c r="W14" s="3"/>
      <c r="X14" s="3"/>
      <c r="Y14" s="3"/>
      <c r="Z14" s="3"/>
      <c r="AA14" s="3"/>
      <c r="AB14" s="3" t="str">
        <f>IF(BCP_Dolares[[#This Row],[FECHA]]&gt;0,TEXT(BCP_Dolares[[#This Row],[FECHA]],"mmmm"),0)</f>
        <v>Enero</v>
      </c>
    </row>
    <row r="15" spans="2:28" ht="60" x14ac:dyDescent="0.3">
      <c r="B15" s="2">
        <f>IF(BCP_Dolares[[#This Row],[TIPO DE R.]]="R",COUNTIFS($D$4:$D14,"R")+1,"")</f>
        <v>9</v>
      </c>
      <c r="C15" s="19" t="str">
        <f t="shared" si="0"/>
        <v>B-BCP - Dolares</v>
      </c>
      <c r="D15" s="3" t="s">
        <v>1074</v>
      </c>
      <c r="E15" s="14">
        <v>45680</v>
      </c>
      <c r="F15" s="5" t="s">
        <v>147</v>
      </c>
      <c r="G15" s="5" t="s">
        <v>1087</v>
      </c>
      <c r="H15" s="6"/>
      <c r="I15" s="6"/>
      <c r="J15" s="6"/>
      <c r="K15" s="6"/>
      <c r="L15" s="7" t="s">
        <v>4001</v>
      </c>
      <c r="M15" s="8">
        <v>4563397</v>
      </c>
      <c r="N15" s="8" t="str">
        <f t="shared" si="1"/>
        <v>USD</v>
      </c>
      <c r="O15" s="13"/>
      <c r="P15" s="13">
        <v>14360.25</v>
      </c>
      <c r="Q15" s="3">
        <f t="shared" si="2"/>
        <v>14360.25</v>
      </c>
      <c r="R15" s="3">
        <f t="shared" si="3"/>
        <v>0</v>
      </c>
      <c r="S15" s="3">
        <f t="shared" si="5"/>
        <v>14362.4</v>
      </c>
      <c r="T15" s="24" t="s">
        <v>1081</v>
      </c>
      <c r="U15" s="24" t="s">
        <v>1081</v>
      </c>
      <c r="V15" s="80"/>
      <c r="W15" s="3" t="s">
        <v>368</v>
      </c>
      <c r="X15" s="3" t="s">
        <v>4002</v>
      </c>
      <c r="Y15" s="3"/>
      <c r="Z15" s="3"/>
      <c r="AA15" s="3"/>
      <c r="AB15" s="3" t="str">
        <f>IF(BCP_Dolares[[#This Row],[FECHA]]&gt;0,TEXT(BCP_Dolares[[#This Row],[FECHA]],"mmmm"),0)</f>
        <v>Enero</v>
      </c>
    </row>
    <row r="16" spans="2:28" x14ac:dyDescent="0.3">
      <c r="B16" s="2">
        <f>IF(BCP_Dolares[[#This Row],[TIPO DE R.]]="R",COUNTIFS($D$4:$D15,"R")+1,"")</f>
        <v>10</v>
      </c>
      <c r="C16" s="19" t="str">
        <f t="shared" si="0"/>
        <v>B-BCP - Dolares</v>
      </c>
      <c r="D16" s="3" t="s">
        <v>1074</v>
      </c>
      <c r="E16" s="14">
        <v>45680</v>
      </c>
      <c r="F16" s="5" t="s">
        <v>1082</v>
      </c>
      <c r="G16" s="5" t="s">
        <v>1079</v>
      </c>
      <c r="H16" s="6"/>
      <c r="I16" s="6"/>
      <c r="J16" s="6"/>
      <c r="K16" s="6"/>
      <c r="L16" s="7" t="s">
        <v>4003</v>
      </c>
      <c r="M16" s="8">
        <v>4615795</v>
      </c>
      <c r="N16" s="8" t="str">
        <f t="shared" si="1"/>
        <v>USD</v>
      </c>
      <c r="O16" s="13"/>
      <c r="P16" s="13">
        <v>5723.81</v>
      </c>
      <c r="Q16" s="3">
        <f t="shared" si="2"/>
        <v>0</v>
      </c>
      <c r="R16" s="3">
        <f t="shared" si="3"/>
        <v>5723.81</v>
      </c>
      <c r="S16" s="3">
        <f t="shared" si="4"/>
        <v>8638.59</v>
      </c>
      <c r="T16" s="24" t="s">
        <v>1081</v>
      </c>
      <c r="U16" s="24" t="s">
        <v>1081</v>
      </c>
      <c r="V16" s="80"/>
      <c r="W16" s="3" t="s">
        <v>147</v>
      </c>
      <c r="X16" s="3"/>
      <c r="Y16" s="3"/>
      <c r="Z16" s="3"/>
      <c r="AA16" s="3"/>
      <c r="AB16" s="3" t="str">
        <f>IF(BCP_Dolares[[#This Row],[FECHA]]&gt;0,TEXT(BCP_Dolares[[#This Row],[FECHA]],"mmmm"),0)</f>
        <v>Enero</v>
      </c>
    </row>
    <row r="17" spans="2:28" ht="24" x14ac:dyDescent="0.3">
      <c r="B17" s="2" t="str">
        <f>IF(BCP_Dolares[[#This Row],[TIPO DE R.]]="R",COUNTIFS($D$4:$D16,"R")+1,"")</f>
        <v/>
      </c>
      <c r="C17" s="19" t="str">
        <f t="shared" ref="C17:C35" si="6">"B-BCP - Dolares"</f>
        <v>B-BCP - Dolares</v>
      </c>
      <c r="D17" s="3" t="s">
        <v>1101</v>
      </c>
      <c r="E17" s="14">
        <v>45680</v>
      </c>
      <c r="F17" s="5" t="s">
        <v>1082</v>
      </c>
      <c r="G17" s="5"/>
      <c r="H17" s="6" t="s">
        <v>147</v>
      </c>
      <c r="I17" s="6" t="s">
        <v>14</v>
      </c>
      <c r="J17" s="6" t="s">
        <v>1148</v>
      </c>
      <c r="K17" s="6">
        <v>15153</v>
      </c>
      <c r="L17" s="7" t="s">
        <v>4003</v>
      </c>
      <c r="M17" s="8">
        <v>4615795</v>
      </c>
      <c r="N17" s="8" t="str">
        <f t="shared" ref="N17:N35" si="7">"USD"</f>
        <v>USD</v>
      </c>
      <c r="O17" s="13">
        <v>1116.3</v>
      </c>
      <c r="P17" s="13"/>
      <c r="Q17" s="3">
        <f t="shared" si="2"/>
        <v>0</v>
      </c>
      <c r="R17" s="3">
        <f t="shared" si="3"/>
        <v>0</v>
      </c>
      <c r="S17" s="3">
        <f t="shared" si="4"/>
        <v>8638.59</v>
      </c>
      <c r="T17" s="24"/>
      <c r="U17" s="24" t="s">
        <v>1081</v>
      </c>
      <c r="V17" s="80"/>
      <c r="W17" s="3"/>
      <c r="X17" s="3"/>
      <c r="Y17" s="3"/>
      <c r="Z17" s="3"/>
      <c r="AA17" s="3"/>
      <c r="AB17" s="3" t="str">
        <f>IF(BCP_Dolares[[#This Row],[FECHA]]&gt;0,TEXT(BCP_Dolares[[#This Row],[FECHA]],"mmmm"),0)</f>
        <v>Enero</v>
      </c>
    </row>
    <row r="18" spans="2:28" ht="24" x14ac:dyDescent="0.3">
      <c r="B18" s="2" t="str">
        <f>IF(BCP_Dolares[[#This Row],[TIPO DE R.]]="R",COUNTIFS($D$4:$D17,"R")+1,"")</f>
        <v/>
      </c>
      <c r="C18" s="19" t="str">
        <f t="shared" si="6"/>
        <v>B-BCP - Dolares</v>
      </c>
      <c r="D18" s="3" t="s">
        <v>1101</v>
      </c>
      <c r="E18" s="14">
        <v>45680</v>
      </c>
      <c r="F18" s="5" t="s">
        <v>1082</v>
      </c>
      <c r="G18" s="5"/>
      <c r="H18" s="6" t="s">
        <v>147</v>
      </c>
      <c r="I18" s="6" t="s">
        <v>14</v>
      </c>
      <c r="J18" s="6" t="s">
        <v>1148</v>
      </c>
      <c r="K18" s="6">
        <v>15186</v>
      </c>
      <c r="L18" s="7" t="s">
        <v>4003</v>
      </c>
      <c r="M18" s="8">
        <v>4615795</v>
      </c>
      <c r="N18" s="8" t="str">
        <f t="shared" si="7"/>
        <v>USD</v>
      </c>
      <c r="O18" s="13">
        <v>43.24</v>
      </c>
      <c r="P18" s="13"/>
      <c r="Q18" s="3">
        <f t="shared" si="2"/>
        <v>0</v>
      </c>
      <c r="R18" s="3">
        <f t="shared" si="3"/>
        <v>0</v>
      </c>
      <c r="S18" s="3">
        <f t="shared" si="4"/>
        <v>8638.59</v>
      </c>
      <c r="T18" s="24"/>
      <c r="U18" s="24" t="s">
        <v>1081</v>
      </c>
      <c r="V18" s="80"/>
      <c r="W18" s="3"/>
      <c r="X18" s="3"/>
      <c r="Y18" s="3"/>
      <c r="Z18" s="3"/>
      <c r="AA18" s="3"/>
      <c r="AB18" s="3" t="str">
        <f>IF(BCP_Dolares[[#This Row],[FECHA]]&gt;0,TEXT(BCP_Dolares[[#This Row],[FECHA]],"mmmm"),0)</f>
        <v>Enero</v>
      </c>
    </row>
    <row r="19" spans="2:28" ht="24" x14ac:dyDescent="0.3">
      <c r="B19" s="2" t="str">
        <f>IF(BCP_Dolares[[#This Row],[TIPO DE R.]]="R",COUNTIFS($D$4:$D18,"R")+1,"")</f>
        <v/>
      </c>
      <c r="C19" s="19" t="str">
        <f t="shared" si="6"/>
        <v>B-BCP - Dolares</v>
      </c>
      <c r="D19" s="3" t="s">
        <v>1101</v>
      </c>
      <c r="E19" s="14">
        <v>45680</v>
      </c>
      <c r="F19" s="5" t="s">
        <v>1082</v>
      </c>
      <c r="G19" s="5"/>
      <c r="H19" s="6" t="s">
        <v>147</v>
      </c>
      <c r="I19" s="6" t="s">
        <v>14</v>
      </c>
      <c r="J19" s="6" t="s">
        <v>1148</v>
      </c>
      <c r="K19" s="6">
        <v>15149</v>
      </c>
      <c r="L19" s="7" t="s">
        <v>4003</v>
      </c>
      <c r="M19" s="8">
        <v>4615795</v>
      </c>
      <c r="N19" s="8" t="str">
        <f t="shared" si="7"/>
        <v>USD</v>
      </c>
      <c r="O19" s="13">
        <v>46.94</v>
      </c>
      <c r="P19" s="13"/>
      <c r="Q19" s="3">
        <f t="shared" si="2"/>
        <v>0</v>
      </c>
      <c r="R19" s="3">
        <f t="shared" si="3"/>
        <v>0</v>
      </c>
      <c r="S19" s="3">
        <f t="shared" si="4"/>
        <v>8638.59</v>
      </c>
      <c r="T19" s="24"/>
      <c r="U19" s="24" t="s">
        <v>1081</v>
      </c>
      <c r="V19" s="80"/>
      <c r="W19" s="3"/>
      <c r="X19" s="3"/>
      <c r="Y19" s="3"/>
      <c r="Z19" s="3"/>
      <c r="AA19" s="3"/>
      <c r="AB19" s="3" t="str">
        <f>IF(BCP_Dolares[[#This Row],[FECHA]]&gt;0,TEXT(BCP_Dolares[[#This Row],[FECHA]],"mmmm"),0)</f>
        <v>Enero</v>
      </c>
    </row>
    <row r="20" spans="2:28" ht="24" x14ac:dyDescent="0.3">
      <c r="B20" s="2" t="str">
        <f>IF(BCP_Dolares[[#This Row],[TIPO DE R.]]="R",COUNTIFS($D$4:$D19,"R")+1,"")</f>
        <v/>
      </c>
      <c r="C20" s="19" t="str">
        <f t="shared" si="6"/>
        <v>B-BCP - Dolares</v>
      </c>
      <c r="D20" s="3" t="s">
        <v>1101</v>
      </c>
      <c r="E20" s="14">
        <v>45680</v>
      </c>
      <c r="F20" s="5" t="s">
        <v>1082</v>
      </c>
      <c r="G20" s="5"/>
      <c r="H20" s="6" t="s">
        <v>147</v>
      </c>
      <c r="I20" s="6" t="s">
        <v>14</v>
      </c>
      <c r="J20" s="6" t="s">
        <v>1148</v>
      </c>
      <c r="K20" s="6">
        <v>15148</v>
      </c>
      <c r="L20" s="7" t="s">
        <v>4003</v>
      </c>
      <c r="M20" s="8">
        <v>4615795</v>
      </c>
      <c r="N20" s="8" t="str">
        <f t="shared" si="7"/>
        <v>USD</v>
      </c>
      <c r="O20" s="13">
        <v>80.010000000000005</v>
      </c>
      <c r="P20" s="13"/>
      <c r="Q20" s="3">
        <f t="shared" si="2"/>
        <v>0</v>
      </c>
      <c r="R20" s="3">
        <f t="shared" si="3"/>
        <v>0</v>
      </c>
      <c r="S20" s="3">
        <f t="shared" si="4"/>
        <v>8638.59</v>
      </c>
      <c r="T20" s="24"/>
      <c r="U20" s="24" t="s">
        <v>1081</v>
      </c>
      <c r="V20" s="80"/>
      <c r="W20" s="3"/>
      <c r="X20" s="3"/>
      <c r="Y20" s="3"/>
      <c r="Z20" s="3"/>
      <c r="AA20" s="3"/>
      <c r="AB20" s="3" t="str">
        <f>IF(BCP_Dolares[[#This Row],[FECHA]]&gt;0,TEXT(BCP_Dolares[[#This Row],[FECHA]],"mmmm"),0)</f>
        <v>Enero</v>
      </c>
    </row>
    <row r="21" spans="2:28" ht="24" x14ac:dyDescent="0.3">
      <c r="B21" s="2" t="str">
        <f>IF(BCP_Dolares[[#This Row],[TIPO DE R.]]="R",COUNTIFS($D$4:$D20,"R")+1,"")</f>
        <v/>
      </c>
      <c r="C21" s="19" t="str">
        <f t="shared" si="6"/>
        <v>B-BCP - Dolares</v>
      </c>
      <c r="D21" s="3" t="s">
        <v>1101</v>
      </c>
      <c r="E21" s="14">
        <v>45680</v>
      </c>
      <c r="F21" s="5" t="s">
        <v>1082</v>
      </c>
      <c r="G21" s="5"/>
      <c r="H21" s="6" t="s">
        <v>147</v>
      </c>
      <c r="I21" s="6" t="s">
        <v>14</v>
      </c>
      <c r="J21" s="6" t="s">
        <v>1148</v>
      </c>
      <c r="K21" s="6">
        <v>15169</v>
      </c>
      <c r="L21" s="7" t="s">
        <v>4003</v>
      </c>
      <c r="M21" s="8">
        <v>4615795</v>
      </c>
      <c r="N21" s="8" t="str">
        <f t="shared" si="7"/>
        <v>USD</v>
      </c>
      <c r="O21" s="13">
        <v>48.81</v>
      </c>
      <c r="P21" s="13"/>
      <c r="Q21" s="3">
        <f t="shared" si="2"/>
        <v>0</v>
      </c>
      <c r="R21" s="3">
        <f t="shared" si="3"/>
        <v>0</v>
      </c>
      <c r="S21" s="3">
        <f t="shared" si="4"/>
        <v>8638.59</v>
      </c>
      <c r="T21" s="24"/>
      <c r="U21" s="24" t="s">
        <v>1081</v>
      </c>
      <c r="V21" s="80"/>
      <c r="W21" s="3"/>
      <c r="X21" s="3"/>
      <c r="Y21" s="3"/>
      <c r="Z21" s="3"/>
      <c r="AA21" s="3"/>
      <c r="AB21" s="3" t="str">
        <f>IF(BCP_Dolares[[#This Row],[FECHA]]&gt;0,TEXT(BCP_Dolares[[#This Row],[FECHA]],"mmmm"),0)</f>
        <v>Enero</v>
      </c>
    </row>
    <row r="22" spans="2:28" ht="24" x14ac:dyDescent="0.3">
      <c r="B22" s="2" t="str">
        <f>IF(BCP_Dolares[[#This Row],[TIPO DE R.]]="R",COUNTIFS($D$4:$D21,"R")+1,"")</f>
        <v/>
      </c>
      <c r="C22" s="19" t="str">
        <f t="shared" si="6"/>
        <v>B-BCP - Dolares</v>
      </c>
      <c r="D22" s="3" t="s">
        <v>1101</v>
      </c>
      <c r="E22" s="14">
        <v>45680</v>
      </c>
      <c r="F22" s="5" t="s">
        <v>1082</v>
      </c>
      <c r="G22" s="5"/>
      <c r="H22" s="6" t="s">
        <v>147</v>
      </c>
      <c r="I22" s="6" t="s">
        <v>14</v>
      </c>
      <c r="J22" s="6" t="s">
        <v>1148</v>
      </c>
      <c r="K22" s="6">
        <v>15202</v>
      </c>
      <c r="L22" s="7" t="s">
        <v>4003</v>
      </c>
      <c r="M22" s="8">
        <v>4615795</v>
      </c>
      <c r="N22" s="8" t="str">
        <f t="shared" si="7"/>
        <v>USD</v>
      </c>
      <c r="O22" s="13">
        <v>69.790000000000006</v>
      </c>
      <c r="P22" s="13"/>
      <c r="Q22" s="3">
        <f t="shared" si="2"/>
        <v>0</v>
      </c>
      <c r="R22" s="3">
        <f t="shared" si="3"/>
        <v>0</v>
      </c>
      <c r="S22" s="3">
        <f t="shared" si="4"/>
        <v>8638.59</v>
      </c>
      <c r="T22" s="24"/>
      <c r="U22" s="24" t="s">
        <v>1081</v>
      </c>
      <c r="V22" s="80"/>
      <c r="W22" s="3"/>
      <c r="X22" s="3"/>
      <c r="Y22" s="3"/>
      <c r="Z22" s="3"/>
      <c r="AA22" s="3"/>
      <c r="AB22" s="3" t="str">
        <f>IF(BCP_Dolares[[#This Row],[FECHA]]&gt;0,TEXT(BCP_Dolares[[#This Row],[FECHA]],"mmmm"),0)</f>
        <v>Enero</v>
      </c>
    </row>
    <row r="23" spans="2:28" ht="24" x14ac:dyDescent="0.3">
      <c r="B23" s="2" t="str">
        <f>IF(BCP_Dolares[[#This Row],[TIPO DE R.]]="R",COUNTIFS($D$4:$D22,"R")+1,"")</f>
        <v/>
      </c>
      <c r="C23" s="19" t="str">
        <f t="shared" si="6"/>
        <v>B-BCP - Dolares</v>
      </c>
      <c r="D23" s="3" t="s">
        <v>1101</v>
      </c>
      <c r="E23" s="14">
        <v>45680</v>
      </c>
      <c r="F23" s="5" t="s">
        <v>1082</v>
      </c>
      <c r="G23" s="5"/>
      <c r="H23" s="6" t="s">
        <v>147</v>
      </c>
      <c r="I23" s="6" t="s">
        <v>14</v>
      </c>
      <c r="J23" s="6" t="s">
        <v>1148</v>
      </c>
      <c r="K23" s="6">
        <v>15214</v>
      </c>
      <c r="L23" s="7" t="s">
        <v>4003</v>
      </c>
      <c r="M23" s="8">
        <v>4615795</v>
      </c>
      <c r="N23" s="8" t="str">
        <f t="shared" si="7"/>
        <v>USD</v>
      </c>
      <c r="O23" s="13">
        <v>1799.05</v>
      </c>
      <c r="P23" s="13"/>
      <c r="Q23" s="3">
        <f t="shared" si="2"/>
        <v>0</v>
      </c>
      <c r="R23" s="3">
        <f t="shared" si="3"/>
        <v>0</v>
      </c>
      <c r="S23" s="3">
        <f t="shared" si="4"/>
        <v>8638.59</v>
      </c>
      <c r="T23" s="24"/>
      <c r="U23" s="24" t="s">
        <v>1081</v>
      </c>
      <c r="V23" s="80"/>
      <c r="W23" s="3"/>
      <c r="X23" s="3"/>
      <c r="Y23" s="3"/>
      <c r="Z23" s="3"/>
      <c r="AA23" s="3"/>
      <c r="AB23" s="3" t="str">
        <f>IF(BCP_Dolares[[#This Row],[FECHA]]&gt;0,TEXT(BCP_Dolares[[#This Row],[FECHA]],"mmmm"),0)</f>
        <v>Enero</v>
      </c>
    </row>
    <row r="24" spans="2:28" ht="24" x14ac:dyDescent="0.3">
      <c r="B24" s="2" t="str">
        <f>IF(BCP_Dolares[[#This Row],[TIPO DE R.]]="R",COUNTIFS($D$4:$D23,"R")+1,"")</f>
        <v/>
      </c>
      <c r="C24" s="19" t="str">
        <f t="shared" si="6"/>
        <v>B-BCP - Dolares</v>
      </c>
      <c r="D24" s="3" t="s">
        <v>1101</v>
      </c>
      <c r="E24" s="14">
        <v>45680</v>
      </c>
      <c r="F24" s="5" t="s">
        <v>1082</v>
      </c>
      <c r="G24" s="5"/>
      <c r="H24" s="6" t="s">
        <v>147</v>
      </c>
      <c r="I24" s="6" t="s">
        <v>14</v>
      </c>
      <c r="J24" s="6" t="s">
        <v>1148</v>
      </c>
      <c r="K24" s="6">
        <v>15215</v>
      </c>
      <c r="L24" s="7" t="s">
        <v>4003</v>
      </c>
      <c r="M24" s="8">
        <v>4615795</v>
      </c>
      <c r="N24" s="8" t="str">
        <f t="shared" si="7"/>
        <v>USD</v>
      </c>
      <c r="O24" s="13">
        <v>140.93</v>
      </c>
      <c r="P24" s="13"/>
      <c r="Q24" s="3">
        <f t="shared" si="2"/>
        <v>0</v>
      </c>
      <c r="R24" s="3">
        <f t="shared" si="3"/>
        <v>0</v>
      </c>
      <c r="S24" s="3">
        <f t="shared" si="4"/>
        <v>8638.59</v>
      </c>
      <c r="T24" s="24"/>
      <c r="U24" s="24" t="s">
        <v>1081</v>
      </c>
      <c r="V24" s="80"/>
      <c r="W24" s="3"/>
      <c r="X24" s="3"/>
      <c r="Y24" s="3"/>
      <c r="Z24" s="3"/>
      <c r="AA24" s="3"/>
      <c r="AB24" s="3" t="str">
        <f>IF(BCP_Dolares[[#This Row],[FECHA]]&gt;0,TEXT(BCP_Dolares[[#This Row],[FECHA]],"mmmm"),0)</f>
        <v>Enero</v>
      </c>
    </row>
    <row r="25" spans="2:28" ht="24" x14ac:dyDescent="0.3">
      <c r="B25" s="2" t="str">
        <f>IF(BCP_Dolares[[#This Row],[TIPO DE R.]]="R",COUNTIFS($D$4:$D24,"R")+1,"")</f>
        <v/>
      </c>
      <c r="C25" s="19" t="str">
        <f t="shared" si="6"/>
        <v>B-BCP - Dolares</v>
      </c>
      <c r="D25" s="3" t="s">
        <v>1101</v>
      </c>
      <c r="E25" s="14">
        <v>45680</v>
      </c>
      <c r="F25" s="5" t="s">
        <v>1082</v>
      </c>
      <c r="G25" s="5"/>
      <c r="H25" s="6" t="s">
        <v>147</v>
      </c>
      <c r="I25" s="6" t="s">
        <v>14</v>
      </c>
      <c r="J25" s="6" t="s">
        <v>1148</v>
      </c>
      <c r="K25" s="6">
        <v>15222</v>
      </c>
      <c r="L25" s="7" t="s">
        <v>4003</v>
      </c>
      <c r="M25" s="8">
        <v>4615795</v>
      </c>
      <c r="N25" s="8" t="str">
        <f t="shared" si="7"/>
        <v>USD</v>
      </c>
      <c r="O25" s="13">
        <v>1507.93</v>
      </c>
      <c r="P25" s="13"/>
      <c r="Q25" s="3">
        <f t="shared" si="2"/>
        <v>0</v>
      </c>
      <c r="R25" s="3">
        <f t="shared" si="3"/>
        <v>0</v>
      </c>
      <c r="S25" s="3">
        <f t="shared" si="4"/>
        <v>8638.59</v>
      </c>
      <c r="T25" s="24"/>
      <c r="U25" s="24" t="s">
        <v>1081</v>
      </c>
      <c r="V25" s="80"/>
      <c r="W25" s="3"/>
      <c r="X25" s="3"/>
      <c r="Y25" s="3"/>
      <c r="Z25" s="3"/>
      <c r="AA25" s="3"/>
      <c r="AB25" s="3" t="str">
        <f>IF(BCP_Dolares[[#This Row],[FECHA]]&gt;0,TEXT(BCP_Dolares[[#This Row],[FECHA]],"mmmm"),0)</f>
        <v>Enero</v>
      </c>
    </row>
    <row r="26" spans="2:28" ht="24" x14ac:dyDescent="0.3">
      <c r="B26" s="2" t="str">
        <f>IF(BCP_Dolares[[#This Row],[TIPO DE R.]]="R",COUNTIFS($D$4:$D25,"R")+1,"")</f>
        <v/>
      </c>
      <c r="C26" s="19" t="str">
        <f t="shared" si="6"/>
        <v>B-BCP - Dolares</v>
      </c>
      <c r="D26" s="3" t="s">
        <v>1101</v>
      </c>
      <c r="E26" s="14">
        <v>45680</v>
      </c>
      <c r="F26" s="5" t="s">
        <v>1082</v>
      </c>
      <c r="G26" s="5"/>
      <c r="H26" s="6" t="s">
        <v>147</v>
      </c>
      <c r="I26" s="6" t="s">
        <v>14</v>
      </c>
      <c r="J26" s="6" t="s">
        <v>1148</v>
      </c>
      <c r="K26" s="6">
        <v>15199</v>
      </c>
      <c r="L26" s="7" t="s">
        <v>4003</v>
      </c>
      <c r="M26" s="8">
        <v>4615795</v>
      </c>
      <c r="N26" s="8" t="str">
        <f t="shared" si="7"/>
        <v>USD</v>
      </c>
      <c r="O26" s="13">
        <v>75.349999999999994</v>
      </c>
      <c r="P26" s="13"/>
      <c r="Q26" s="3">
        <f t="shared" si="2"/>
        <v>0</v>
      </c>
      <c r="R26" s="3">
        <f t="shared" si="3"/>
        <v>0</v>
      </c>
      <c r="S26" s="3">
        <f t="shared" si="4"/>
        <v>8638.59</v>
      </c>
      <c r="T26" s="24"/>
      <c r="U26" s="24" t="s">
        <v>1081</v>
      </c>
      <c r="V26" s="80"/>
      <c r="W26" s="3"/>
      <c r="X26" s="3"/>
      <c r="Y26" s="3"/>
      <c r="Z26" s="3"/>
      <c r="AA26" s="3"/>
      <c r="AB26" s="3" t="str">
        <f>IF(BCP_Dolares[[#This Row],[FECHA]]&gt;0,TEXT(BCP_Dolares[[#This Row],[FECHA]],"mmmm"),0)</f>
        <v>Enero</v>
      </c>
    </row>
    <row r="27" spans="2:28" ht="24" x14ac:dyDescent="0.3">
      <c r="B27" s="2" t="str">
        <f>IF(BCP_Dolares[[#This Row],[TIPO DE R.]]="R",COUNTIFS($D$4:$D26,"R")+1,"")</f>
        <v/>
      </c>
      <c r="C27" s="19" t="str">
        <f t="shared" si="6"/>
        <v>B-BCP - Dolares</v>
      </c>
      <c r="D27" s="3" t="s">
        <v>1101</v>
      </c>
      <c r="E27" s="14">
        <v>45680</v>
      </c>
      <c r="F27" s="5" t="s">
        <v>1082</v>
      </c>
      <c r="G27" s="5"/>
      <c r="H27" s="6" t="s">
        <v>147</v>
      </c>
      <c r="I27" s="6" t="s">
        <v>14</v>
      </c>
      <c r="J27" s="6" t="s">
        <v>1148</v>
      </c>
      <c r="K27" s="6">
        <v>15200</v>
      </c>
      <c r="L27" s="7" t="s">
        <v>4003</v>
      </c>
      <c r="M27" s="8">
        <v>4615795</v>
      </c>
      <c r="N27" s="8" t="str">
        <f t="shared" si="7"/>
        <v>USD</v>
      </c>
      <c r="O27" s="13">
        <v>75.790000000000006</v>
      </c>
      <c r="P27" s="13"/>
      <c r="Q27" s="3">
        <f t="shared" si="2"/>
        <v>0</v>
      </c>
      <c r="R27" s="3">
        <f t="shared" si="3"/>
        <v>0</v>
      </c>
      <c r="S27" s="3">
        <f t="shared" si="4"/>
        <v>8638.59</v>
      </c>
      <c r="T27" s="24"/>
      <c r="U27" s="24" t="s">
        <v>1081</v>
      </c>
      <c r="V27" s="80"/>
      <c r="W27" s="3"/>
      <c r="X27" s="3"/>
      <c r="Y27" s="3"/>
      <c r="Z27" s="3"/>
      <c r="AA27" s="3"/>
      <c r="AB27" s="3" t="str">
        <f>IF(BCP_Dolares[[#This Row],[FECHA]]&gt;0,TEXT(BCP_Dolares[[#This Row],[FECHA]],"mmmm"),0)</f>
        <v>Enero</v>
      </c>
    </row>
    <row r="28" spans="2:28" ht="24" x14ac:dyDescent="0.3">
      <c r="B28" s="2" t="str">
        <f>IF(BCP_Dolares[[#This Row],[TIPO DE R.]]="R",COUNTIFS($D$4:$D27,"R")+1,"")</f>
        <v/>
      </c>
      <c r="C28" s="19" t="str">
        <f t="shared" si="6"/>
        <v>B-BCP - Dolares</v>
      </c>
      <c r="D28" s="3" t="s">
        <v>1101</v>
      </c>
      <c r="E28" s="14">
        <v>45680</v>
      </c>
      <c r="F28" s="5" t="s">
        <v>1082</v>
      </c>
      <c r="G28" s="5"/>
      <c r="H28" s="6" t="s">
        <v>147</v>
      </c>
      <c r="I28" s="6" t="s">
        <v>14</v>
      </c>
      <c r="J28" s="6" t="s">
        <v>1148</v>
      </c>
      <c r="K28" s="6">
        <v>15225</v>
      </c>
      <c r="L28" s="7" t="s">
        <v>4003</v>
      </c>
      <c r="M28" s="8">
        <v>4615795</v>
      </c>
      <c r="N28" s="8" t="str">
        <f t="shared" si="7"/>
        <v>USD</v>
      </c>
      <c r="O28" s="13">
        <v>107.72</v>
      </c>
      <c r="P28" s="13"/>
      <c r="Q28" s="3">
        <f t="shared" si="2"/>
        <v>0</v>
      </c>
      <c r="R28" s="3">
        <f t="shared" si="3"/>
        <v>0</v>
      </c>
      <c r="S28" s="3">
        <f t="shared" si="4"/>
        <v>8638.59</v>
      </c>
      <c r="T28" s="24"/>
      <c r="U28" s="24" t="s">
        <v>1081</v>
      </c>
      <c r="V28" s="80"/>
      <c r="W28" s="3"/>
      <c r="X28" s="3"/>
      <c r="Y28" s="3"/>
      <c r="Z28" s="3"/>
      <c r="AA28" s="3"/>
      <c r="AB28" s="3" t="str">
        <f>IF(BCP_Dolares[[#This Row],[FECHA]]&gt;0,TEXT(BCP_Dolares[[#This Row],[FECHA]],"mmmm"),0)</f>
        <v>Enero</v>
      </c>
    </row>
    <row r="29" spans="2:28" ht="24" x14ac:dyDescent="0.3">
      <c r="B29" s="2" t="str">
        <f>IF(BCP_Dolares[[#This Row],[TIPO DE R.]]="R",COUNTIFS($D$4:$D28,"R")+1,"")</f>
        <v/>
      </c>
      <c r="C29" s="19" t="str">
        <f t="shared" si="6"/>
        <v>B-BCP - Dolares</v>
      </c>
      <c r="D29" s="3" t="s">
        <v>1101</v>
      </c>
      <c r="E29" s="14">
        <v>45680</v>
      </c>
      <c r="F29" s="5" t="s">
        <v>1082</v>
      </c>
      <c r="G29" s="5"/>
      <c r="H29" s="6" t="s">
        <v>147</v>
      </c>
      <c r="I29" s="6" t="s">
        <v>14</v>
      </c>
      <c r="J29" s="6" t="s">
        <v>1148</v>
      </c>
      <c r="K29" s="6">
        <v>15256</v>
      </c>
      <c r="L29" s="7" t="s">
        <v>4003</v>
      </c>
      <c r="M29" s="8">
        <v>4615795</v>
      </c>
      <c r="N29" s="8" t="str">
        <f t="shared" si="7"/>
        <v>USD</v>
      </c>
      <c r="O29" s="13">
        <v>167.85</v>
      </c>
      <c r="P29" s="13"/>
      <c r="Q29" s="3">
        <f t="shared" si="2"/>
        <v>0</v>
      </c>
      <c r="R29" s="3">
        <f t="shared" si="3"/>
        <v>0</v>
      </c>
      <c r="S29" s="3">
        <f t="shared" si="4"/>
        <v>8638.59</v>
      </c>
      <c r="T29" s="24"/>
      <c r="U29" s="24" t="s">
        <v>1081</v>
      </c>
      <c r="V29" s="80"/>
      <c r="W29" s="3"/>
      <c r="X29" s="3"/>
      <c r="Y29" s="3"/>
      <c r="Z29" s="3"/>
      <c r="AA29" s="3"/>
      <c r="AB29" s="3" t="str">
        <f>IF(BCP_Dolares[[#This Row],[FECHA]]&gt;0,TEXT(BCP_Dolares[[#This Row],[FECHA]],"mmmm"),0)</f>
        <v>Enero</v>
      </c>
    </row>
    <row r="30" spans="2:28" ht="24" x14ac:dyDescent="0.3">
      <c r="B30" s="2" t="str">
        <f>IF(BCP_Dolares[[#This Row],[TIPO DE R.]]="R",COUNTIFS($D$4:$D29,"R")+1,"")</f>
        <v/>
      </c>
      <c r="C30" s="19" t="str">
        <f t="shared" si="6"/>
        <v>B-BCP - Dolares</v>
      </c>
      <c r="D30" s="3" t="s">
        <v>1101</v>
      </c>
      <c r="E30" s="14">
        <v>45680</v>
      </c>
      <c r="F30" s="5" t="s">
        <v>1082</v>
      </c>
      <c r="G30" s="5"/>
      <c r="H30" s="6" t="s">
        <v>147</v>
      </c>
      <c r="I30" s="6" t="s">
        <v>14</v>
      </c>
      <c r="J30" s="6" t="s">
        <v>1148</v>
      </c>
      <c r="K30" s="6">
        <v>15261</v>
      </c>
      <c r="L30" s="7" t="s">
        <v>4003</v>
      </c>
      <c r="M30" s="8">
        <v>4615795</v>
      </c>
      <c r="N30" s="8" t="str">
        <f t="shared" si="7"/>
        <v>USD</v>
      </c>
      <c r="O30" s="13">
        <v>12.02</v>
      </c>
      <c r="P30" s="13"/>
      <c r="Q30" s="3">
        <f t="shared" si="2"/>
        <v>0</v>
      </c>
      <c r="R30" s="3">
        <f t="shared" si="3"/>
        <v>0</v>
      </c>
      <c r="S30" s="3">
        <f t="shared" si="4"/>
        <v>8638.59</v>
      </c>
      <c r="T30" s="24"/>
      <c r="U30" s="24" t="s">
        <v>1081</v>
      </c>
      <c r="V30" s="80"/>
      <c r="W30" s="3"/>
      <c r="X30" s="3"/>
      <c r="Y30" s="3"/>
      <c r="Z30" s="3"/>
      <c r="AA30" s="3"/>
      <c r="AB30" s="3" t="str">
        <f>IF(BCP_Dolares[[#This Row],[FECHA]]&gt;0,TEXT(BCP_Dolares[[#This Row],[FECHA]],"mmmm"),0)</f>
        <v>Enero</v>
      </c>
    </row>
    <row r="31" spans="2:28" ht="24" x14ac:dyDescent="0.3">
      <c r="B31" s="2" t="str">
        <f>IF(BCP_Dolares[[#This Row],[TIPO DE R.]]="R",COUNTIFS($D$4:$D30,"R")+1,"")</f>
        <v/>
      </c>
      <c r="C31" s="19" t="str">
        <f t="shared" si="6"/>
        <v>B-BCP - Dolares</v>
      </c>
      <c r="D31" s="3" t="s">
        <v>1101</v>
      </c>
      <c r="E31" s="14">
        <v>45680</v>
      </c>
      <c r="F31" s="5" t="s">
        <v>1082</v>
      </c>
      <c r="G31" s="5"/>
      <c r="H31" s="6" t="s">
        <v>147</v>
      </c>
      <c r="I31" s="6" t="s">
        <v>14</v>
      </c>
      <c r="J31" s="6" t="s">
        <v>1148</v>
      </c>
      <c r="K31" s="6">
        <v>15232</v>
      </c>
      <c r="L31" s="7" t="s">
        <v>4003</v>
      </c>
      <c r="M31" s="8">
        <v>4615795</v>
      </c>
      <c r="N31" s="8" t="str">
        <f t="shared" si="7"/>
        <v>USD</v>
      </c>
      <c r="O31" s="13">
        <v>49.93</v>
      </c>
      <c r="P31" s="13"/>
      <c r="Q31" s="3">
        <f t="shared" si="2"/>
        <v>0</v>
      </c>
      <c r="R31" s="3">
        <f t="shared" si="3"/>
        <v>0</v>
      </c>
      <c r="S31" s="3">
        <f t="shared" si="4"/>
        <v>8638.59</v>
      </c>
      <c r="T31" s="24"/>
      <c r="U31" s="24" t="s">
        <v>1081</v>
      </c>
      <c r="V31" s="80"/>
      <c r="W31" s="3"/>
      <c r="X31" s="3"/>
      <c r="Y31" s="3"/>
      <c r="Z31" s="3"/>
      <c r="AA31" s="3"/>
      <c r="AB31" s="3" t="str">
        <f>IF(BCP_Dolares[[#This Row],[FECHA]]&gt;0,TEXT(BCP_Dolares[[#This Row],[FECHA]],"mmmm"),0)</f>
        <v>Enero</v>
      </c>
    </row>
    <row r="32" spans="2:28" ht="24" x14ac:dyDescent="0.3">
      <c r="B32" s="2" t="str">
        <f>IF(BCP_Dolares[[#This Row],[TIPO DE R.]]="R",COUNTIFS($D$4:$D31,"R")+1,"")</f>
        <v/>
      </c>
      <c r="C32" s="19" t="str">
        <f t="shared" si="6"/>
        <v>B-BCP - Dolares</v>
      </c>
      <c r="D32" s="3" t="s">
        <v>1101</v>
      </c>
      <c r="E32" s="14">
        <v>45680</v>
      </c>
      <c r="F32" s="5" t="s">
        <v>1082</v>
      </c>
      <c r="G32" s="5"/>
      <c r="H32" s="6" t="s">
        <v>147</v>
      </c>
      <c r="I32" s="6" t="s">
        <v>14</v>
      </c>
      <c r="J32" s="6" t="s">
        <v>1148</v>
      </c>
      <c r="K32" s="6">
        <v>15260</v>
      </c>
      <c r="L32" s="7" t="s">
        <v>4003</v>
      </c>
      <c r="M32" s="8">
        <v>4615795</v>
      </c>
      <c r="N32" s="8" t="str">
        <f t="shared" si="7"/>
        <v>USD</v>
      </c>
      <c r="O32" s="13">
        <v>116.79</v>
      </c>
      <c r="P32" s="13"/>
      <c r="Q32" s="3">
        <f t="shared" si="2"/>
        <v>0</v>
      </c>
      <c r="R32" s="3">
        <f t="shared" si="3"/>
        <v>0</v>
      </c>
      <c r="S32" s="3">
        <f t="shared" si="4"/>
        <v>8638.59</v>
      </c>
      <c r="T32" s="24"/>
      <c r="U32" s="24" t="s">
        <v>1081</v>
      </c>
      <c r="V32" s="80"/>
      <c r="W32" s="3"/>
      <c r="X32" s="3"/>
      <c r="Y32" s="3"/>
      <c r="Z32" s="3"/>
      <c r="AA32" s="3"/>
      <c r="AB32" s="3" t="str">
        <f>IF(BCP_Dolares[[#This Row],[FECHA]]&gt;0,TEXT(BCP_Dolares[[#This Row],[FECHA]],"mmmm"),0)</f>
        <v>Enero</v>
      </c>
    </row>
    <row r="33" spans="2:28" ht="24" x14ac:dyDescent="0.3">
      <c r="B33" s="2" t="str">
        <f>IF(BCP_Dolares[[#This Row],[TIPO DE R.]]="R",COUNTIFS($D$4:$D32,"R")+1,"")</f>
        <v/>
      </c>
      <c r="C33" s="19" t="str">
        <f t="shared" si="6"/>
        <v>B-BCP - Dolares</v>
      </c>
      <c r="D33" s="3" t="s">
        <v>1101</v>
      </c>
      <c r="E33" s="14">
        <v>45680</v>
      </c>
      <c r="F33" s="5" t="s">
        <v>1082</v>
      </c>
      <c r="G33" s="5"/>
      <c r="H33" s="6" t="s">
        <v>147</v>
      </c>
      <c r="I33" s="6" t="s">
        <v>14</v>
      </c>
      <c r="J33" s="6" t="s">
        <v>1148</v>
      </c>
      <c r="K33" s="6">
        <v>15276</v>
      </c>
      <c r="L33" s="7" t="s">
        <v>4003</v>
      </c>
      <c r="M33" s="8">
        <v>4615795</v>
      </c>
      <c r="N33" s="8" t="str">
        <f t="shared" si="7"/>
        <v>USD</v>
      </c>
      <c r="O33" s="13">
        <v>63.79</v>
      </c>
      <c r="P33" s="13"/>
      <c r="Q33" s="3">
        <f t="shared" si="2"/>
        <v>0</v>
      </c>
      <c r="R33" s="3">
        <f t="shared" si="3"/>
        <v>0</v>
      </c>
      <c r="S33" s="3">
        <f t="shared" si="4"/>
        <v>8638.59</v>
      </c>
      <c r="T33" s="24"/>
      <c r="U33" s="24" t="s">
        <v>1081</v>
      </c>
      <c r="V33" s="80"/>
      <c r="W33" s="3"/>
      <c r="X33" s="3"/>
      <c r="Y33" s="3"/>
      <c r="Z33" s="3"/>
      <c r="AA33" s="3"/>
      <c r="AB33" s="3" t="str">
        <f>IF(BCP_Dolares[[#This Row],[FECHA]]&gt;0,TEXT(BCP_Dolares[[#This Row],[FECHA]],"mmmm"),0)</f>
        <v>Enero</v>
      </c>
    </row>
    <row r="34" spans="2:28" ht="24" x14ac:dyDescent="0.3">
      <c r="B34" s="2" t="str">
        <f>IF(BCP_Dolares[[#This Row],[TIPO DE R.]]="R",COUNTIFS($D$4:$D33,"R")+1,"")</f>
        <v/>
      </c>
      <c r="C34" s="19" t="str">
        <f t="shared" si="6"/>
        <v>B-BCP - Dolares</v>
      </c>
      <c r="D34" s="3" t="s">
        <v>1101</v>
      </c>
      <c r="E34" s="14">
        <v>45680</v>
      </c>
      <c r="F34" s="5" t="s">
        <v>1082</v>
      </c>
      <c r="G34" s="5"/>
      <c r="H34" s="6" t="s">
        <v>147</v>
      </c>
      <c r="I34" s="6" t="s">
        <v>14</v>
      </c>
      <c r="J34" s="6" t="s">
        <v>1148</v>
      </c>
      <c r="K34" s="6">
        <v>15281</v>
      </c>
      <c r="L34" s="7" t="s">
        <v>4003</v>
      </c>
      <c r="M34" s="8">
        <v>4615795</v>
      </c>
      <c r="N34" s="8" t="str">
        <f t="shared" si="7"/>
        <v>USD</v>
      </c>
      <c r="O34" s="13">
        <v>94.56</v>
      </c>
      <c r="P34" s="13"/>
      <c r="Q34" s="3">
        <f t="shared" si="2"/>
        <v>0</v>
      </c>
      <c r="R34" s="3">
        <f t="shared" si="3"/>
        <v>0</v>
      </c>
      <c r="S34" s="3">
        <f t="shared" si="4"/>
        <v>8638.59</v>
      </c>
      <c r="T34" s="24"/>
      <c r="U34" s="24" t="s">
        <v>1081</v>
      </c>
      <c r="V34" s="80"/>
      <c r="W34" s="3"/>
      <c r="X34" s="3"/>
      <c r="Y34" s="3"/>
      <c r="Z34" s="3"/>
      <c r="AA34" s="3"/>
      <c r="AB34" s="3" t="str">
        <f>IF(BCP_Dolares[[#This Row],[FECHA]]&gt;0,TEXT(BCP_Dolares[[#This Row],[FECHA]],"mmmm"),0)</f>
        <v>Enero</v>
      </c>
    </row>
    <row r="35" spans="2:28" ht="24" x14ac:dyDescent="0.3">
      <c r="B35" s="2" t="str">
        <f>IF(BCP_Dolares[[#This Row],[TIPO DE R.]]="R",COUNTIFS($D$4:$D34,"R")+1,"")</f>
        <v/>
      </c>
      <c r="C35" s="19" t="str">
        <f t="shared" si="6"/>
        <v>B-BCP - Dolares</v>
      </c>
      <c r="D35" s="3" t="s">
        <v>1101</v>
      </c>
      <c r="E35" s="14">
        <v>45680</v>
      </c>
      <c r="F35" s="5" t="s">
        <v>1082</v>
      </c>
      <c r="G35" s="5"/>
      <c r="H35" s="6" t="s">
        <v>147</v>
      </c>
      <c r="I35" s="6" t="s">
        <v>14</v>
      </c>
      <c r="J35" s="6" t="s">
        <v>1148</v>
      </c>
      <c r="K35" s="6">
        <v>15282</v>
      </c>
      <c r="L35" s="7" t="s">
        <v>4003</v>
      </c>
      <c r="M35" s="8">
        <v>4615795</v>
      </c>
      <c r="N35" s="8" t="str">
        <f t="shared" si="7"/>
        <v>USD</v>
      </c>
      <c r="O35" s="13">
        <v>107.01</v>
      </c>
      <c r="P35" s="13"/>
      <c r="Q35" s="3">
        <f t="shared" si="2"/>
        <v>0</v>
      </c>
      <c r="R35" s="3">
        <f t="shared" si="3"/>
        <v>0</v>
      </c>
      <c r="S35" s="3">
        <f t="shared" si="4"/>
        <v>8638.59</v>
      </c>
      <c r="T35" s="24"/>
      <c r="U35" s="24" t="s">
        <v>1081</v>
      </c>
      <c r="V35" s="80"/>
      <c r="W35" s="3"/>
      <c r="X35" s="3"/>
      <c r="Y35" s="3"/>
      <c r="Z35" s="3"/>
      <c r="AA35" s="3"/>
      <c r="AB35" s="3" t="str">
        <f>IF(BCP_Dolares[[#This Row],[FECHA]]&gt;0,TEXT(BCP_Dolares[[#This Row],[FECHA]],"mmmm"),0)</f>
        <v>Enero</v>
      </c>
    </row>
    <row r="36" spans="2:28" x14ac:dyDescent="0.3">
      <c r="B36" s="2">
        <f>IF(BCP_Dolares[[#This Row],[TIPO DE R.]]="R",COUNTIFS($D$4:$D35,"R")+1,"")</f>
        <v>11</v>
      </c>
      <c r="C36" s="19" t="str">
        <f t="shared" si="0"/>
        <v>B-BCP - Dolares</v>
      </c>
      <c r="D36" s="3" t="s">
        <v>1074</v>
      </c>
      <c r="E36" s="14">
        <v>45680</v>
      </c>
      <c r="F36" s="5" t="s">
        <v>1078</v>
      </c>
      <c r="G36" s="5" t="s">
        <v>1079</v>
      </c>
      <c r="H36" s="6"/>
      <c r="I36" s="6"/>
      <c r="J36" s="6"/>
      <c r="K36" s="6"/>
      <c r="L36" s="7" t="s">
        <v>1080</v>
      </c>
      <c r="M36" s="8"/>
      <c r="N36" s="8" t="str">
        <f t="shared" si="1"/>
        <v>USD</v>
      </c>
      <c r="O36" s="13"/>
      <c r="P36" s="13">
        <v>0.95</v>
      </c>
      <c r="Q36" s="3">
        <f t="shared" si="2"/>
        <v>0</v>
      </c>
      <c r="R36" s="3">
        <f t="shared" si="3"/>
        <v>0.95</v>
      </c>
      <c r="S36" s="3">
        <f t="shared" si="4"/>
        <v>8637.64</v>
      </c>
      <c r="T36" s="24"/>
      <c r="U36" s="24"/>
      <c r="V36" s="80"/>
      <c r="W36" s="3"/>
      <c r="X36" s="3"/>
      <c r="Y36" s="3"/>
      <c r="Z36" s="3"/>
      <c r="AA36" s="3"/>
      <c r="AB36" s="3" t="str">
        <f>IF(BCP_Dolares[[#This Row],[FECHA]]&gt;0,TEXT(BCP_Dolares[[#This Row],[FECHA]],"mmmm"),0)</f>
        <v>Enero</v>
      </c>
    </row>
    <row r="37" spans="2:28" ht="36" x14ac:dyDescent="0.3">
      <c r="B37" s="2">
        <f>IF(BCP_Dolares[[#This Row],[TIPO DE R.]]="R",COUNTIFS($D$4:$D36,"R")+1,"")</f>
        <v>12</v>
      </c>
      <c r="C37" s="19" t="str">
        <f t="shared" si="0"/>
        <v>B-BCP - Dolares</v>
      </c>
      <c r="D37" s="3" t="s">
        <v>1074</v>
      </c>
      <c r="E37" s="14">
        <v>45684</v>
      </c>
      <c r="F37" s="5" t="s">
        <v>1082</v>
      </c>
      <c r="G37" s="5" t="s">
        <v>1079</v>
      </c>
      <c r="H37" s="6" t="s">
        <v>644</v>
      </c>
      <c r="I37" s="6" t="s">
        <v>14</v>
      </c>
      <c r="J37" s="6" t="s">
        <v>1204</v>
      </c>
      <c r="K37" s="6">
        <v>422105</v>
      </c>
      <c r="L37" s="7" t="s">
        <v>4004</v>
      </c>
      <c r="M37" s="8">
        <v>25978</v>
      </c>
      <c r="N37" s="8" t="str">
        <f t="shared" si="1"/>
        <v>USD</v>
      </c>
      <c r="O37" s="13"/>
      <c r="P37" s="13">
        <v>215.22</v>
      </c>
      <c r="Q37" s="3">
        <f t="shared" si="2"/>
        <v>0</v>
      </c>
      <c r="R37" s="3">
        <f t="shared" si="3"/>
        <v>215.22</v>
      </c>
      <c r="S37" s="3">
        <f t="shared" si="4"/>
        <v>8422.42</v>
      </c>
      <c r="T37" s="24"/>
      <c r="U37" s="24" t="s">
        <v>1081</v>
      </c>
      <c r="V37" s="80"/>
      <c r="W37" s="3" t="s">
        <v>4005</v>
      </c>
      <c r="X37" s="3" t="s">
        <v>4006</v>
      </c>
      <c r="Y37" s="3"/>
      <c r="Z37" s="3"/>
      <c r="AA37" s="3"/>
      <c r="AB37" s="3" t="str">
        <f>IF(BCP_Dolares[[#This Row],[FECHA]]&gt;0,TEXT(BCP_Dolares[[#This Row],[FECHA]],"mmmm"),0)</f>
        <v>Enero</v>
      </c>
    </row>
    <row r="38" spans="2:28" ht="24" x14ac:dyDescent="0.3">
      <c r="B38" s="2">
        <f>IF(BCP_Dolares[[#This Row],[TIPO DE R.]]="R",COUNTIFS($D$4:$D37,"R")+1,"")</f>
        <v>13</v>
      </c>
      <c r="C38" s="19" t="str">
        <f t="shared" si="0"/>
        <v>B-BCP - Dolares</v>
      </c>
      <c r="D38" s="3" t="s">
        <v>1074</v>
      </c>
      <c r="E38" s="14">
        <v>45685</v>
      </c>
      <c r="F38" s="5" t="s">
        <v>1078</v>
      </c>
      <c r="G38" s="5" t="s">
        <v>1079</v>
      </c>
      <c r="H38" s="6" t="s">
        <v>1001</v>
      </c>
      <c r="I38" s="6" t="s">
        <v>14</v>
      </c>
      <c r="J38" s="6" t="s">
        <v>1088</v>
      </c>
      <c r="K38" s="6">
        <v>2108430</v>
      </c>
      <c r="L38" s="7" t="s">
        <v>4007</v>
      </c>
      <c r="M38" s="8" t="s">
        <v>4008</v>
      </c>
      <c r="N38" s="8" t="str">
        <f t="shared" si="1"/>
        <v>USD</v>
      </c>
      <c r="O38" s="13"/>
      <c r="P38" s="13">
        <v>12</v>
      </c>
      <c r="Q38" s="3">
        <f t="shared" si="2"/>
        <v>0</v>
      </c>
      <c r="R38" s="3">
        <f t="shared" si="3"/>
        <v>12</v>
      </c>
      <c r="S38" s="3">
        <f t="shared" si="4"/>
        <v>8410.42</v>
      </c>
      <c r="T38" s="24" t="s">
        <v>1081</v>
      </c>
      <c r="U38" s="24" t="s">
        <v>1081</v>
      </c>
      <c r="V38" s="80"/>
      <c r="W38" s="3" t="s">
        <v>1078</v>
      </c>
      <c r="X38" s="3"/>
      <c r="Y38" s="3"/>
      <c r="Z38" s="3"/>
      <c r="AA38" s="3"/>
      <c r="AB38" s="3" t="str">
        <f>IF(BCP_Dolares[[#This Row],[FECHA]]&gt;0,TEXT(BCP_Dolares[[#This Row],[FECHA]],"mmmm"),0)</f>
        <v>Enero</v>
      </c>
    </row>
    <row r="39" spans="2:28" ht="36" x14ac:dyDescent="0.3">
      <c r="B39" s="2">
        <f>IF(BCP_Dolares[[#This Row],[TIPO DE R.]]="R",COUNTIFS($D$4:$D38,"R")+1,"")</f>
        <v>14</v>
      </c>
      <c r="C39" s="19" t="str">
        <f t="shared" si="0"/>
        <v>B-BCP - Dolares</v>
      </c>
      <c r="D39" s="3" t="s">
        <v>1074</v>
      </c>
      <c r="E39" s="14">
        <v>45685</v>
      </c>
      <c r="F39" s="5" t="s">
        <v>1082</v>
      </c>
      <c r="G39" s="5" t="s">
        <v>1079</v>
      </c>
      <c r="H39" s="6"/>
      <c r="I39" s="6"/>
      <c r="J39" s="6"/>
      <c r="K39" s="6"/>
      <c r="L39" s="7" t="s">
        <v>4009</v>
      </c>
      <c r="M39" s="8">
        <v>5999980</v>
      </c>
      <c r="N39" s="8" t="str">
        <f t="shared" si="1"/>
        <v>USD</v>
      </c>
      <c r="O39" s="13"/>
      <c r="P39" s="13">
        <v>236.59</v>
      </c>
      <c r="Q39" s="3">
        <f t="shared" si="2"/>
        <v>0</v>
      </c>
      <c r="R39" s="3">
        <f t="shared" si="3"/>
        <v>236.59</v>
      </c>
      <c r="S39" s="3">
        <f t="shared" si="4"/>
        <v>8173.83</v>
      </c>
      <c r="T39" s="24" t="s">
        <v>1081</v>
      </c>
      <c r="U39" s="24" t="s">
        <v>1081</v>
      </c>
      <c r="V39" s="80"/>
      <c r="W39" s="3" t="s">
        <v>147</v>
      </c>
      <c r="X39" s="3" t="s">
        <v>4010</v>
      </c>
      <c r="Y39" s="3"/>
      <c r="Z39" s="3"/>
      <c r="AA39" s="3"/>
      <c r="AB39" s="3" t="str">
        <f>IF(BCP_Dolares[[#This Row],[FECHA]]&gt;0,TEXT(BCP_Dolares[[#This Row],[FECHA]],"mmmm"),0)</f>
        <v>Enero</v>
      </c>
    </row>
    <row r="40" spans="2:28" ht="24" x14ac:dyDescent="0.3">
      <c r="B40" s="2" t="str">
        <f>IF(BCP_Dolares[[#This Row],[TIPO DE R.]]="R",COUNTIFS($D$4:$D39,"R")+1,"")</f>
        <v/>
      </c>
      <c r="C40" s="19" t="str">
        <f>"B-BCP - Dolares"</f>
        <v>B-BCP - Dolares</v>
      </c>
      <c r="D40" s="3" t="s">
        <v>1101</v>
      </c>
      <c r="E40" s="14">
        <v>45685</v>
      </c>
      <c r="F40" s="5" t="s">
        <v>1082</v>
      </c>
      <c r="G40" s="5"/>
      <c r="H40" s="6" t="s">
        <v>147</v>
      </c>
      <c r="I40" s="6" t="s">
        <v>14</v>
      </c>
      <c r="J40" s="6" t="s">
        <v>1148</v>
      </c>
      <c r="K40" s="6">
        <v>15290</v>
      </c>
      <c r="L40" s="7" t="s">
        <v>4009</v>
      </c>
      <c r="M40" s="8">
        <v>5999980</v>
      </c>
      <c r="N40" s="8" t="str">
        <f>"USD"</f>
        <v>USD</v>
      </c>
      <c r="O40" s="13">
        <v>61.5</v>
      </c>
      <c r="P40" s="13"/>
      <c r="Q40" s="3">
        <f t="shared" si="2"/>
        <v>0</v>
      </c>
      <c r="R40" s="3">
        <f t="shared" si="3"/>
        <v>0</v>
      </c>
      <c r="S40" s="3">
        <f t="shared" si="4"/>
        <v>8173.83</v>
      </c>
      <c r="T40" s="24"/>
      <c r="U40" s="24" t="s">
        <v>1081</v>
      </c>
      <c r="V40" s="80"/>
      <c r="W40" s="3"/>
      <c r="X40" s="3"/>
      <c r="Y40" s="3"/>
      <c r="Z40" s="3"/>
      <c r="AA40" s="3"/>
      <c r="AB40" s="3" t="str">
        <f>IF(BCP_Dolares[[#This Row],[FECHA]]&gt;0,TEXT(BCP_Dolares[[#This Row],[FECHA]],"mmmm"),0)</f>
        <v>Enero</v>
      </c>
    </row>
    <row r="41" spans="2:28" ht="24" x14ac:dyDescent="0.3">
      <c r="B41" s="2" t="str">
        <f>IF(BCP_Dolares[[#This Row],[TIPO DE R.]]="R",COUNTIFS($D$4:$D40,"R")+1,"")</f>
        <v/>
      </c>
      <c r="C41" s="19" t="str">
        <f>"B-BCP - Dolares"</f>
        <v>B-BCP - Dolares</v>
      </c>
      <c r="D41" s="3" t="s">
        <v>1101</v>
      </c>
      <c r="E41" s="14">
        <v>45685</v>
      </c>
      <c r="F41" s="5" t="s">
        <v>1082</v>
      </c>
      <c r="G41" s="5"/>
      <c r="H41" s="6" t="s">
        <v>147</v>
      </c>
      <c r="I41" s="6" t="s">
        <v>14</v>
      </c>
      <c r="J41" s="6" t="s">
        <v>1148</v>
      </c>
      <c r="K41" s="6">
        <v>15294</v>
      </c>
      <c r="L41" s="7" t="s">
        <v>4009</v>
      </c>
      <c r="M41" s="8">
        <v>5999980</v>
      </c>
      <c r="N41" s="8" t="str">
        <f>"USD"</f>
        <v>USD</v>
      </c>
      <c r="O41" s="13">
        <v>85.96</v>
      </c>
      <c r="P41" s="13"/>
      <c r="Q41" s="3">
        <f t="shared" si="2"/>
        <v>0</v>
      </c>
      <c r="R41" s="3">
        <f t="shared" si="3"/>
        <v>0</v>
      </c>
      <c r="S41" s="3">
        <f t="shared" si="4"/>
        <v>8173.83</v>
      </c>
      <c r="T41" s="24"/>
      <c r="U41" s="24" t="s">
        <v>1081</v>
      </c>
      <c r="V41" s="80"/>
      <c r="W41" s="3"/>
      <c r="X41" s="3"/>
      <c r="Y41" s="3"/>
      <c r="Z41" s="3"/>
      <c r="AA41" s="3"/>
      <c r="AB41" s="3" t="str">
        <f>IF(BCP_Dolares[[#This Row],[FECHA]]&gt;0,TEXT(BCP_Dolares[[#This Row],[FECHA]],"mmmm"),0)</f>
        <v>Enero</v>
      </c>
    </row>
    <row r="42" spans="2:28" ht="24" x14ac:dyDescent="0.3">
      <c r="B42" s="2" t="str">
        <f>IF(BCP_Dolares[[#This Row],[TIPO DE R.]]="R",COUNTIFS($D$4:$D41,"R")+1,"")</f>
        <v/>
      </c>
      <c r="C42" s="19" t="str">
        <f>"B-BCP - Dolares"</f>
        <v>B-BCP - Dolares</v>
      </c>
      <c r="D42" s="3" t="s">
        <v>1101</v>
      </c>
      <c r="E42" s="14">
        <v>45685</v>
      </c>
      <c r="F42" s="5" t="s">
        <v>1082</v>
      </c>
      <c r="G42" s="5"/>
      <c r="H42" s="6" t="s">
        <v>147</v>
      </c>
      <c r="I42" s="6" t="s">
        <v>14</v>
      </c>
      <c r="J42" s="6" t="s">
        <v>1148</v>
      </c>
      <c r="K42" s="6">
        <v>15331</v>
      </c>
      <c r="L42" s="7" t="s">
        <v>4009</v>
      </c>
      <c r="M42" s="8">
        <v>5999980</v>
      </c>
      <c r="N42" s="8" t="str">
        <f>"USD"</f>
        <v>USD</v>
      </c>
      <c r="O42" s="13">
        <v>89.13</v>
      </c>
      <c r="P42" s="13"/>
      <c r="Q42" s="3">
        <f t="shared" si="2"/>
        <v>0</v>
      </c>
      <c r="R42" s="3">
        <f t="shared" si="3"/>
        <v>0</v>
      </c>
      <c r="S42" s="3">
        <f t="shared" si="4"/>
        <v>8173.83</v>
      </c>
      <c r="T42" s="24"/>
      <c r="U42" s="24" t="s">
        <v>1081</v>
      </c>
      <c r="V42" s="80"/>
      <c r="W42" s="3"/>
      <c r="X42" s="3"/>
      <c r="Y42" s="3"/>
      <c r="Z42" s="3"/>
      <c r="AA42" s="3"/>
      <c r="AB42" s="3" t="str">
        <f>IF(BCP_Dolares[[#This Row],[FECHA]]&gt;0,TEXT(BCP_Dolares[[#This Row],[FECHA]],"mmmm"),0)</f>
        <v>Enero</v>
      </c>
    </row>
    <row r="43" spans="2:28" x14ac:dyDescent="0.3">
      <c r="B43" s="2">
        <f>IF(BCP_Dolares[[#This Row],[TIPO DE R.]]="R",COUNTIFS($D$4:$D42,"R")+1,"")</f>
        <v>15</v>
      </c>
      <c r="C43" s="19" t="str">
        <f t="shared" si="0"/>
        <v>B-BCP - Dolares</v>
      </c>
      <c r="D43" s="3" t="s">
        <v>1074</v>
      </c>
      <c r="E43" s="14">
        <v>45688</v>
      </c>
      <c r="F43" s="5" t="s">
        <v>1078</v>
      </c>
      <c r="G43" s="5" t="s">
        <v>1079</v>
      </c>
      <c r="H43" s="6"/>
      <c r="I43" s="6"/>
      <c r="J43" s="6"/>
      <c r="K43" s="6"/>
      <c r="L43" s="7" t="s">
        <v>1080</v>
      </c>
      <c r="M43" s="8"/>
      <c r="N43" s="8" t="str">
        <f t="shared" si="1"/>
        <v>USD</v>
      </c>
      <c r="O43" s="13"/>
      <c r="P43" s="13">
        <v>0.25</v>
      </c>
      <c r="Q43" s="3">
        <f t="shared" si="2"/>
        <v>0</v>
      </c>
      <c r="R43" s="3">
        <f t="shared" si="3"/>
        <v>0.25</v>
      </c>
      <c r="S43" s="3">
        <f t="shared" si="4"/>
        <v>8173.58</v>
      </c>
      <c r="T43" s="24"/>
      <c r="U43" s="24"/>
      <c r="V43" s="80"/>
      <c r="W43" s="3"/>
      <c r="X43" s="3"/>
      <c r="Y43" s="3"/>
      <c r="Z43" s="3"/>
      <c r="AA43" s="3"/>
      <c r="AB43" s="3" t="str">
        <f>IF(BCP_Dolares[[#This Row],[FECHA]]&gt;0,TEXT(BCP_Dolares[[#This Row],[FECHA]],"mmmm"),0)</f>
        <v>Enero</v>
      </c>
    </row>
    <row r="44" spans="2:28" ht="24" x14ac:dyDescent="0.3">
      <c r="B44" s="2">
        <f>IF(BCP_Dolares[[#This Row],[TIPO DE R.]]="R",COUNTIFS($D$4:$D43,"R")+1,"")</f>
        <v>16</v>
      </c>
      <c r="C44" s="19" t="str">
        <f t="shared" si="0"/>
        <v>B-BCP - Dolares</v>
      </c>
      <c r="D44" s="3" t="s">
        <v>1074</v>
      </c>
      <c r="E44" s="14">
        <v>45688</v>
      </c>
      <c r="F44" s="5" t="s">
        <v>1078</v>
      </c>
      <c r="G44" s="5" t="s">
        <v>1079</v>
      </c>
      <c r="H44" s="6" t="s">
        <v>1001</v>
      </c>
      <c r="I44" s="6"/>
      <c r="J44" s="6"/>
      <c r="K44" s="6"/>
      <c r="L44" s="7" t="s">
        <v>1493</v>
      </c>
      <c r="M44" s="8" t="s">
        <v>4008</v>
      </c>
      <c r="N44" s="8" t="str">
        <f t="shared" si="1"/>
        <v>USD</v>
      </c>
      <c r="O44" s="13"/>
      <c r="P44" s="13">
        <v>13</v>
      </c>
      <c r="Q44" s="3">
        <f t="shared" si="2"/>
        <v>0</v>
      </c>
      <c r="R44" s="3">
        <f t="shared" si="3"/>
        <v>13</v>
      </c>
      <c r="S44" s="3">
        <f t="shared" si="4"/>
        <v>8160.58</v>
      </c>
      <c r="T44" s="24"/>
      <c r="U44" s="24"/>
      <c r="V44" s="80"/>
      <c r="W44" s="3" t="s">
        <v>1078</v>
      </c>
      <c r="X44" s="3"/>
      <c r="Y44" s="3"/>
      <c r="Z44" s="3"/>
      <c r="AA44" s="3"/>
      <c r="AB44" s="3" t="str">
        <f>IF(BCP_Dolares[[#This Row],[FECHA]]&gt;0,TEXT(BCP_Dolares[[#This Row],[FECHA]],"mmmm"),0)</f>
        <v>Enero</v>
      </c>
    </row>
    <row r="45" spans="2:28" ht="24" x14ac:dyDescent="0.3">
      <c r="B45" s="2">
        <f>IF(BCP_Dolares[[#This Row],[TIPO DE R.]]="R",COUNTIFS($D$4:$D44,"R")+1,"")</f>
        <v>17</v>
      </c>
      <c r="C45" s="19" t="str">
        <f t="shared" si="0"/>
        <v>B-BCP - Dolares</v>
      </c>
      <c r="D45" s="3" t="s">
        <v>1074</v>
      </c>
      <c r="E45" s="14">
        <v>45688</v>
      </c>
      <c r="F45" s="5" t="s">
        <v>1078</v>
      </c>
      <c r="G45" s="5" t="s">
        <v>1079</v>
      </c>
      <c r="H45" s="6" t="s">
        <v>1001</v>
      </c>
      <c r="I45" s="6"/>
      <c r="J45" s="6"/>
      <c r="K45" s="6"/>
      <c r="L45" s="7" t="s">
        <v>1495</v>
      </c>
      <c r="M45" s="8">
        <v>1138525</v>
      </c>
      <c r="N45" s="8" t="str">
        <f t="shared" si="1"/>
        <v>USD</v>
      </c>
      <c r="O45" s="13"/>
      <c r="P45" s="13">
        <v>2</v>
      </c>
      <c r="Q45" s="3">
        <f t="shared" si="2"/>
        <v>0</v>
      </c>
      <c r="R45" s="3">
        <f t="shared" si="3"/>
        <v>2</v>
      </c>
      <c r="S45" s="3">
        <f t="shared" si="4"/>
        <v>8158.58</v>
      </c>
      <c r="T45" s="24"/>
      <c r="U45" s="24"/>
      <c r="V45" s="80"/>
      <c r="W45" s="3" t="s">
        <v>1078</v>
      </c>
      <c r="X45" s="3"/>
      <c r="Y45" s="3"/>
      <c r="Z45" s="3"/>
      <c r="AA45" s="3"/>
      <c r="AB45" s="3" t="str">
        <f>IF(BCP_Dolares[[#This Row],[FECHA]]&gt;0,TEXT(BCP_Dolares[[#This Row],[FECHA]],"mmmm"),0)</f>
        <v>Enero</v>
      </c>
    </row>
    <row r="46" spans="2:28" x14ac:dyDescent="0.3">
      <c r="B46" s="2">
        <f>IF(BCP_Dolares[[#This Row],[TIPO DE R.]]="R",COUNTIFS($D$4:$D45,"R")+1,"")</f>
        <v>18</v>
      </c>
      <c r="C46" s="19" t="str">
        <f t="shared" si="0"/>
        <v>B-BCP - Dolares</v>
      </c>
      <c r="D46" s="3" t="s">
        <v>1074</v>
      </c>
      <c r="E46" s="14">
        <v>45688</v>
      </c>
      <c r="F46" s="5" t="s">
        <v>368</v>
      </c>
      <c r="G46" s="5" t="s">
        <v>1079</v>
      </c>
      <c r="H46" s="6"/>
      <c r="I46" s="6"/>
      <c r="J46" s="6"/>
      <c r="K46" s="6"/>
      <c r="L46" s="7" t="s">
        <v>1505</v>
      </c>
      <c r="M46" s="8">
        <v>1421198</v>
      </c>
      <c r="N46" s="8" t="str">
        <f t="shared" si="1"/>
        <v>USD</v>
      </c>
      <c r="O46" s="13"/>
      <c r="P46" s="13">
        <v>6200</v>
      </c>
      <c r="Q46" s="3">
        <f t="shared" si="2"/>
        <v>0</v>
      </c>
      <c r="R46" s="3">
        <f t="shared" si="3"/>
        <v>6200</v>
      </c>
      <c r="S46" s="3">
        <f t="shared" si="4"/>
        <v>1958.58</v>
      </c>
      <c r="T46" s="24"/>
      <c r="U46" s="24"/>
      <c r="V46" s="80"/>
      <c r="W46" s="3" t="s">
        <v>368</v>
      </c>
      <c r="X46" s="3"/>
      <c r="Y46" s="3"/>
      <c r="Z46" s="3"/>
      <c r="AA46" s="3"/>
      <c r="AB46" s="3" t="str">
        <f>IF(BCP_Dolares[[#This Row],[FECHA]]&gt;0,TEXT(BCP_Dolares[[#This Row],[FECHA]],"mmmm"),0)</f>
        <v>Enero</v>
      </c>
    </row>
    <row r="47" spans="2:28" ht="24" x14ac:dyDescent="0.3">
      <c r="B47" s="2">
        <f>IF(BCP_Dolares[[#This Row],[TIPO DE R.]]="R",COUNTIFS($D$4:$D46,"R")+1,"")</f>
        <v>19</v>
      </c>
      <c r="C47" s="19" t="str">
        <f t="shared" si="0"/>
        <v>B-BCP - Dolares</v>
      </c>
      <c r="D47" s="3" t="s">
        <v>1074</v>
      </c>
      <c r="E47" s="14">
        <v>45688</v>
      </c>
      <c r="F47" s="5" t="s">
        <v>3738</v>
      </c>
      <c r="G47" s="5" t="s">
        <v>1087</v>
      </c>
      <c r="H47" s="6" t="s">
        <v>368</v>
      </c>
      <c r="I47" s="6"/>
      <c r="J47" s="6"/>
      <c r="K47" s="6"/>
      <c r="L47" s="7" t="s">
        <v>3739</v>
      </c>
      <c r="M47" s="8">
        <v>2325594</v>
      </c>
      <c r="N47" s="8" t="str">
        <f t="shared" si="1"/>
        <v>USD</v>
      </c>
      <c r="O47" s="13"/>
      <c r="P47" s="13">
        <v>5677</v>
      </c>
      <c r="Q47" s="3">
        <f t="shared" si="2"/>
        <v>5677</v>
      </c>
      <c r="R47" s="3">
        <f t="shared" si="3"/>
        <v>0</v>
      </c>
      <c r="S47" s="3">
        <f t="shared" si="4"/>
        <v>7635.58</v>
      </c>
      <c r="T47" s="24" t="s">
        <v>1081</v>
      </c>
      <c r="U47" s="24"/>
      <c r="V47" s="80"/>
      <c r="W47" s="3" t="s">
        <v>368</v>
      </c>
      <c r="X47" s="3" t="s">
        <v>4011</v>
      </c>
      <c r="Y47" s="3"/>
      <c r="Z47" s="3"/>
      <c r="AA47" s="3"/>
      <c r="AB47" s="3" t="str">
        <f>IF(BCP_Dolares[[#This Row],[FECHA]]&gt;0,TEXT(BCP_Dolares[[#This Row],[FECHA]],"mmmm"),0)</f>
        <v>Enero</v>
      </c>
    </row>
    <row r="48" spans="2:28" ht="48" x14ac:dyDescent="0.3">
      <c r="B48" s="2">
        <f>IF(BCP_Dolares[[#This Row],[TIPO DE R.]]="R",COUNTIFS($D$4:$D47,"R")+1,"")</f>
        <v>20</v>
      </c>
      <c r="C48" s="19" t="str">
        <f t="shared" si="0"/>
        <v>B-BCP - Dolares</v>
      </c>
      <c r="D48" s="3" t="s">
        <v>1074</v>
      </c>
      <c r="E48" s="14">
        <v>45695</v>
      </c>
      <c r="F48" s="5" t="s">
        <v>1082</v>
      </c>
      <c r="G48" s="5" t="s">
        <v>1079</v>
      </c>
      <c r="H48" s="6"/>
      <c r="I48" s="6"/>
      <c r="J48" s="6"/>
      <c r="K48" s="6"/>
      <c r="L48" s="7" t="s">
        <v>4012</v>
      </c>
      <c r="M48" s="8">
        <v>186782</v>
      </c>
      <c r="N48" s="8" t="str">
        <f t="shared" si="1"/>
        <v>USD</v>
      </c>
      <c r="O48" s="13"/>
      <c r="P48" s="13">
        <v>314.02</v>
      </c>
      <c r="Q48" s="3">
        <f t="shared" si="2"/>
        <v>0</v>
      </c>
      <c r="R48" s="3">
        <f t="shared" si="3"/>
        <v>314.02</v>
      </c>
      <c r="S48" s="3">
        <f t="shared" si="4"/>
        <v>7321.5599999999995</v>
      </c>
      <c r="T48" s="24" t="s">
        <v>1081</v>
      </c>
      <c r="U48" s="24" t="s">
        <v>1081</v>
      </c>
      <c r="V48" s="80"/>
      <c r="W48" s="3" t="s">
        <v>147</v>
      </c>
      <c r="X48" s="3" t="s">
        <v>4013</v>
      </c>
      <c r="Y48" s="3"/>
      <c r="Z48" s="3"/>
      <c r="AA48" s="3"/>
      <c r="AB48" s="3" t="str">
        <f>IF(BCP_Dolares[[#This Row],[FECHA]]&gt;0,TEXT(BCP_Dolares[[#This Row],[FECHA]],"mmmm"),0)</f>
        <v>Febrero</v>
      </c>
    </row>
    <row r="49" spans="2:28" ht="24" x14ac:dyDescent="0.3">
      <c r="B49" s="2" t="str">
        <f>IF(BCP_Dolares[[#This Row],[TIPO DE R.]]="R",COUNTIFS($D$4:$D48,"R")+1,"")</f>
        <v/>
      </c>
      <c r="C49" s="19" t="str">
        <f>"B-BCP - Dolares"</f>
        <v>B-BCP - Dolares</v>
      </c>
      <c r="D49" s="3" t="s">
        <v>1101</v>
      </c>
      <c r="E49" s="14">
        <v>45695</v>
      </c>
      <c r="F49" s="5" t="s">
        <v>1082</v>
      </c>
      <c r="G49" s="5"/>
      <c r="H49" s="6" t="s">
        <v>147</v>
      </c>
      <c r="I49" s="6" t="s">
        <v>14</v>
      </c>
      <c r="J49" s="6" t="s">
        <v>1148</v>
      </c>
      <c r="K49" s="6">
        <v>15364</v>
      </c>
      <c r="L49" s="7" t="s">
        <v>4012</v>
      </c>
      <c r="M49" s="8">
        <v>186782</v>
      </c>
      <c r="N49" s="8" t="str">
        <f>"USD"</f>
        <v>USD</v>
      </c>
      <c r="O49" s="13">
        <v>88.38</v>
      </c>
      <c r="P49" s="13"/>
      <c r="Q49" s="3">
        <f t="shared" si="2"/>
        <v>0</v>
      </c>
      <c r="R49" s="3">
        <f t="shared" si="3"/>
        <v>0</v>
      </c>
      <c r="S49" s="3">
        <f t="shared" si="4"/>
        <v>7321.5599999999995</v>
      </c>
      <c r="T49" s="24"/>
      <c r="U49" s="24" t="s">
        <v>1081</v>
      </c>
      <c r="V49" s="80"/>
      <c r="W49" s="3"/>
      <c r="X49" s="3"/>
      <c r="Y49" s="3"/>
      <c r="Z49" s="3"/>
      <c r="AA49" s="3"/>
      <c r="AB49" s="3" t="str">
        <f>IF(BCP_Dolares[[#This Row],[FECHA]]&gt;0,TEXT(BCP_Dolares[[#This Row],[FECHA]],"mmmm"),0)</f>
        <v>Febrero</v>
      </c>
    </row>
    <row r="50" spans="2:28" ht="24" x14ac:dyDescent="0.3">
      <c r="B50" s="2" t="str">
        <f>IF(BCP_Dolares[[#This Row],[TIPO DE R.]]="R",COUNTIFS($D$4:$D49,"R")+1,"")</f>
        <v/>
      </c>
      <c r="C50" s="19" t="str">
        <f>"B-BCP - Dolares"</f>
        <v>B-BCP - Dolares</v>
      </c>
      <c r="D50" s="3" t="s">
        <v>1101</v>
      </c>
      <c r="E50" s="14">
        <v>45695</v>
      </c>
      <c r="F50" s="5" t="s">
        <v>1082</v>
      </c>
      <c r="G50" s="5"/>
      <c r="H50" s="6" t="s">
        <v>147</v>
      </c>
      <c r="I50" s="6" t="s">
        <v>14</v>
      </c>
      <c r="J50" s="6" t="s">
        <v>1148</v>
      </c>
      <c r="K50" s="6">
        <v>15365</v>
      </c>
      <c r="L50" s="7" t="s">
        <v>4012</v>
      </c>
      <c r="M50" s="8">
        <v>186782</v>
      </c>
      <c r="N50" s="8" t="str">
        <f>"USD"</f>
        <v>USD</v>
      </c>
      <c r="O50" s="13">
        <v>86.08</v>
      </c>
      <c r="P50" s="13"/>
      <c r="Q50" s="3">
        <f t="shared" si="2"/>
        <v>0</v>
      </c>
      <c r="R50" s="3">
        <f t="shared" si="3"/>
        <v>0</v>
      </c>
      <c r="S50" s="3">
        <f t="shared" si="4"/>
        <v>7321.5599999999995</v>
      </c>
      <c r="T50" s="24"/>
      <c r="U50" s="24" t="s">
        <v>1081</v>
      </c>
      <c r="V50" s="80"/>
      <c r="W50" s="3"/>
      <c r="X50" s="3"/>
      <c r="Y50" s="3"/>
      <c r="Z50" s="3"/>
      <c r="AA50" s="3"/>
      <c r="AB50" s="3" t="str">
        <f>IF(BCP_Dolares[[#This Row],[FECHA]]&gt;0,TEXT(BCP_Dolares[[#This Row],[FECHA]],"mmmm"),0)</f>
        <v>Febrero</v>
      </c>
    </row>
    <row r="51" spans="2:28" ht="24" x14ac:dyDescent="0.3">
      <c r="B51" s="2" t="str">
        <f>IF(BCP_Dolares[[#This Row],[TIPO DE R.]]="R",COUNTIFS($D$4:$D50,"R")+1,"")</f>
        <v/>
      </c>
      <c r="C51" s="19" t="str">
        <f>"B-BCP - Dolares"</f>
        <v>B-BCP - Dolares</v>
      </c>
      <c r="D51" s="3" t="s">
        <v>1101</v>
      </c>
      <c r="E51" s="14">
        <v>45695</v>
      </c>
      <c r="F51" s="5" t="s">
        <v>1082</v>
      </c>
      <c r="G51" s="5"/>
      <c r="H51" s="6" t="s">
        <v>147</v>
      </c>
      <c r="I51" s="6" t="s">
        <v>14</v>
      </c>
      <c r="J51" s="6" t="s">
        <v>1148</v>
      </c>
      <c r="K51" s="6">
        <v>15375</v>
      </c>
      <c r="L51" s="7" t="s">
        <v>4012</v>
      </c>
      <c r="M51" s="8">
        <v>186782</v>
      </c>
      <c r="N51" s="8" t="str">
        <f>"USD"</f>
        <v>USD</v>
      </c>
      <c r="O51" s="13">
        <v>78.209999999999994</v>
      </c>
      <c r="P51" s="13"/>
      <c r="Q51" s="3">
        <f t="shared" si="2"/>
        <v>0</v>
      </c>
      <c r="R51" s="3">
        <f t="shared" si="3"/>
        <v>0</v>
      </c>
      <c r="S51" s="3">
        <f t="shared" si="4"/>
        <v>7321.5599999999995</v>
      </c>
      <c r="T51" s="24"/>
      <c r="U51" s="24" t="s">
        <v>1081</v>
      </c>
      <c r="V51" s="80"/>
      <c r="W51" s="3"/>
      <c r="X51" s="3"/>
      <c r="Y51" s="3"/>
      <c r="Z51" s="3"/>
      <c r="AA51" s="3"/>
      <c r="AB51" s="3" t="str">
        <f>IF(BCP_Dolares[[#This Row],[FECHA]]&gt;0,TEXT(BCP_Dolares[[#This Row],[FECHA]],"mmmm"),0)</f>
        <v>Febrero</v>
      </c>
    </row>
    <row r="52" spans="2:28" ht="24" x14ac:dyDescent="0.3">
      <c r="B52" s="2" t="str">
        <f>IF(BCP_Dolares[[#This Row],[TIPO DE R.]]="R",COUNTIFS($D$4:$D51,"R")+1,"")</f>
        <v/>
      </c>
      <c r="C52" s="19" t="str">
        <f>"B-BCP - Dolares"</f>
        <v>B-BCP - Dolares</v>
      </c>
      <c r="D52" s="3" t="s">
        <v>1101</v>
      </c>
      <c r="E52" s="14">
        <v>45695</v>
      </c>
      <c r="F52" s="5" t="s">
        <v>1082</v>
      </c>
      <c r="G52" s="5"/>
      <c r="H52" s="6" t="s">
        <v>147</v>
      </c>
      <c r="I52" s="6" t="s">
        <v>14</v>
      </c>
      <c r="J52" s="6" t="s">
        <v>1148</v>
      </c>
      <c r="K52" s="6">
        <v>15385</v>
      </c>
      <c r="L52" s="7" t="s">
        <v>4012</v>
      </c>
      <c r="M52" s="8">
        <v>186782</v>
      </c>
      <c r="N52" s="8" t="str">
        <f>"USD"</f>
        <v>USD</v>
      </c>
      <c r="O52" s="13">
        <v>61.35</v>
      </c>
      <c r="P52" s="13"/>
      <c r="Q52" s="3">
        <f t="shared" si="2"/>
        <v>0</v>
      </c>
      <c r="R52" s="3">
        <f t="shared" si="3"/>
        <v>0</v>
      </c>
      <c r="S52" s="3">
        <f t="shared" si="4"/>
        <v>7321.5599999999995</v>
      </c>
      <c r="T52" s="24"/>
      <c r="U52" s="24" t="s">
        <v>1081</v>
      </c>
      <c r="V52" s="80"/>
      <c r="W52" s="3"/>
      <c r="X52" s="3"/>
      <c r="Y52" s="3"/>
      <c r="Z52" s="3"/>
      <c r="AA52" s="3"/>
      <c r="AB52" s="3" t="str">
        <f>IF(BCP_Dolares[[#This Row],[FECHA]]&gt;0,TEXT(BCP_Dolares[[#This Row],[FECHA]],"mmmm"),0)</f>
        <v>Febrero</v>
      </c>
    </row>
    <row r="53" spans="2:28" x14ac:dyDescent="0.3">
      <c r="B53" s="2">
        <f>IF(BCP_Dolares[[#This Row],[TIPO DE R.]]="R",COUNTIFS($D$4:$D52,"R")+1,"")</f>
        <v>21</v>
      </c>
      <c r="C53" s="19" t="str">
        <f t="shared" si="0"/>
        <v>B-BCP - Dolares</v>
      </c>
      <c r="D53" s="3" t="s">
        <v>1074</v>
      </c>
      <c r="E53" s="14">
        <v>45700</v>
      </c>
      <c r="F53" s="5" t="s">
        <v>1082</v>
      </c>
      <c r="G53" s="5" t="s">
        <v>1079</v>
      </c>
      <c r="H53" s="6"/>
      <c r="I53" s="6"/>
      <c r="J53" s="6"/>
      <c r="K53" s="6"/>
      <c r="L53" s="7" t="s">
        <v>4014</v>
      </c>
      <c r="M53" s="8">
        <v>1435291</v>
      </c>
      <c r="N53" s="8" t="str">
        <f t="shared" si="1"/>
        <v>USD</v>
      </c>
      <c r="O53" s="13"/>
      <c r="P53" s="13">
        <v>563.41999999999996</v>
      </c>
      <c r="Q53" s="3">
        <f t="shared" si="2"/>
        <v>0</v>
      </c>
      <c r="R53" s="3">
        <f t="shared" si="3"/>
        <v>563.41999999999996</v>
      </c>
      <c r="S53" s="3">
        <f t="shared" si="4"/>
        <v>6758.1399999999994</v>
      </c>
      <c r="T53" s="24" t="s">
        <v>1081</v>
      </c>
      <c r="U53" s="24" t="s">
        <v>1081</v>
      </c>
      <c r="V53" s="80"/>
      <c r="W53" s="3" t="s">
        <v>4015</v>
      </c>
      <c r="X53" s="3"/>
      <c r="Y53" s="3"/>
      <c r="Z53" s="3"/>
      <c r="AA53" s="3"/>
      <c r="AB53" s="3" t="str">
        <f>IF(BCP_Dolares[[#This Row],[FECHA]]&gt;0,TEXT(BCP_Dolares[[#This Row],[FECHA]],"mmmm"),0)</f>
        <v>Febrero</v>
      </c>
    </row>
    <row r="54" spans="2:28" ht="24" x14ac:dyDescent="0.3">
      <c r="B54" s="2" t="str">
        <f>IF(BCP_Dolares[[#This Row],[TIPO DE R.]]="R",COUNTIFS($D$4:$D53,"R")+1,"")</f>
        <v/>
      </c>
      <c r="C54" s="19" t="str">
        <f>"B-BCP - Dolares"</f>
        <v>B-BCP - Dolares</v>
      </c>
      <c r="D54" s="3" t="s">
        <v>1101</v>
      </c>
      <c r="E54" s="14">
        <v>45700</v>
      </c>
      <c r="F54" s="5" t="s">
        <v>1082</v>
      </c>
      <c r="G54" s="5"/>
      <c r="H54" s="6" t="s">
        <v>147</v>
      </c>
      <c r="I54" s="6" t="s">
        <v>14</v>
      </c>
      <c r="J54" s="6" t="s">
        <v>1148</v>
      </c>
      <c r="K54" s="6">
        <v>15401</v>
      </c>
      <c r="L54" s="7" t="s">
        <v>4014</v>
      </c>
      <c r="M54" s="8">
        <v>1435291</v>
      </c>
      <c r="N54" s="8" t="str">
        <f>"USD"</f>
        <v>USD</v>
      </c>
      <c r="O54" s="13">
        <v>39.119999999999997</v>
      </c>
      <c r="P54" s="13"/>
      <c r="Q54" s="3">
        <f t="shared" si="2"/>
        <v>0</v>
      </c>
      <c r="R54" s="3">
        <f t="shared" si="3"/>
        <v>0</v>
      </c>
      <c r="S54" s="3">
        <f t="shared" si="4"/>
        <v>6758.1399999999994</v>
      </c>
      <c r="T54" s="24"/>
      <c r="U54" s="24" t="s">
        <v>1081</v>
      </c>
      <c r="V54" s="80"/>
      <c r="W54" s="3"/>
      <c r="X54" s="3"/>
      <c r="Y54" s="3"/>
      <c r="Z54" s="3"/>
      <c r="AA54" s="3"/>
      <c r="AB54" s="3" t="str">
        <f>IF(BCP_Dolares[[#This Row],[FECHA]]&gt;0,TEXT(BCP_Dolares[[#This Row],[FECHA]],"mmmm"),0)</f>
        <v>Febrero</v>
      </c>
    </row>
    <row r="55" spans="2:28" ht="24" x14ac:dyDescent="0.3">
      <c r="B55" s="2" t="str">
        <f>IF(BCP_Dolares[[#This Row],[TIPO DE R.]]="R",COUNTIFS($D$4:$D54,"R")+1,"")</f>
        <v/>
      </c>
      <c r="C55" s="19" t="str">
        <f>"B-BCP - Dolares"</f>
        <v>B-BCP - Dolares</v>
      </c>
      <c r="D55" s="3" t="s">
        <v>1101</v>
      </c>
      <c r="E55" s="14">
        <v>45700</v>
      </c>
      <c r="F55" s="5" t="s">
        <v>1082</v>
      </c>
      <c r="G55" s="5"/>
      <c r="H55" s="6" t="s">
        <v>147</v>
      </c>
      <c r="I55" s="6" t="s">
        <v>14</v>
      </c>
      <c r="J55" s="6" t="s">
        <v>1148</v>
      </c>
      <c r="K55" s="6">
        <v>15402</v>
      </c>
      <c r="L55" s="7" t="s">
        <v>4014</v>
      </c>
      <c r="M55" s="8">
        <v>1435291</v>
      </c>
      <c r="N55" s="8" t="str">
        <f>"USD"</f>
        <v>USD</v>
      </c>
      <c r="O55" s="13">
        <v>86.56</v>
      </c>
      <c r="P55" s="13"/>
      <c r="Q55" s="3">
        <f t="shared" si="2"/>
        <v>0</v>
      </c>
      <c r="R55" s="3">
        <f t="shared" si="3"/>
        <v>0</v>
      </c>
      <c r="S55" s="3">
        <f t="shared" si="4"/>
        <v>6758.1399999999994</v>
      </c>
      <c r="T55" s="24"/>
      <c r="U55" s="24" t="s">
        <v>1081</v>
      </c>
      <c r="V55" s="80"/>
      <c r="W55" s="3"/>
      <c r="X55" s="3"/>
      <c r="Y55" s="3"/>
      <c r="Z55" s="3"/>
      <c r="AA55" s="3"/>
      <c r="AB55" s="3" t="str">
        <f>IF(BCP_Dolares[[#This Row],[FECHA]]&gt;0,TEXT(BCP_Dolares[[#This Row],[FECHA]],"mmmm"),0)</f>
        <v>Febrero</v>
      </c>
    </row>
    <row r="56" spans="2:28" ht="24" x14ac:dyDescent="0.3">
      <c r="B56" s="2" t="str">
        <f>IF(BCP_Dolares[[#This Row],[TIPO DE R.]]="R",COUNTIFS($D$4:$D55,"R")+1,"")</f>
        <v/>
      </c>
      <c r="C56" s="19" t="str">
        <f>"B-BCP - Dolares"</f>
        <v>B-BCP - Dolares</v>
      </c>
      <c r="D56" s="3" t="s">
        <v>1101</v>
      </c>
      <c r="E56" s="14">
        <v>45700</v>
      </c>
      <c r="F56" s="5" t="s">
        <v>1082</v>
      </c>
      <c r="G56" s="5"/>
      <c r="H56" s="6" t="s">
        <v>147</v>
      </c>
      <c r="I56" s="6" t="s">
        <v>14</v>
      </c>
      <c r="J56" s="6" t="s">
        <v>1148</v>
      </c>
      <c r="K56" s="6">
        <v>15406</v>
      </c>
      <c r="L56" s="7" t="s">
        <v>4014</v>
      </c>
      <c r="M56" s="8">
        <v>1435291</v>
      </c>
      <c r="N56" s="8" t="str">
        <f>"USD"</f>
        <v>USD</v>
      </c>
      <c r="O56" s="13">
        <v>126.39</v>
      </c>
      <c r="P56" s="13"/>
      <c r="Q56" s="3">
        <f t="shared" si="2"/>
        <v>0</v>
      </c>
      <c r="R56" s="3">
        <f t="shared" si="3"/>
        <v>0</v>
      </c>
      <c r="S56" s="3">
        <f t="shared" si="4"/>
        <v>6758.1399999999994</v>
      </c>
      <c r="T56" s="24"/>
      <c r="U56" s="24" t="s">
        <v>1081</v>
      </c>
      <c r="V56" s="80"/>
      <c r="W56" s="3"/>
      <c r="X56" s="3"/>
      <c r="Y56" s="3"/>
      <c r="Z56" s="3"/>
      <c r="AA56" s="3"/>
      <c r="AB56" s="3" t="str">
        <f>IF(BCP_Dolares[[#This Row],[FECHA]]&gt;0,TEXT(BCP_Dolares[[#This Row],[FECHA]],"mmmm"),0)</f>
        <v>Febrero</v>
      </c>
    </row>
    <row r="57" spans="2:28" ht="24" x14ac:dyDescent="0.3">
      <c r="B57" s="2" t="str">
        <f>IF(BCP_Dolares[[#This Row],[TIPO DE R.]]="R",COUNTIFS($D$4:$D56,"R")+1,"")</f>
        <v/>
      </c>
      <c r="C57" s="19" t="str">
        <f>"B-BCP - Dolares"</f>
        <v>B-BCP - Dolares</v>
      </c>
      <c r="D57" s="3" t="s">
        <v>1101</v>
      </c>
      <c r="E57" s="14">
        <v>45700</v>
      </c>
      <c r="F57" s="5" t="s">
        <v>1082</v>
      </c>
      <c r="G57" s="5"/>
      <c r="H57" s="6" t="s">
        <v>147</v>
      </c>
      <c r="I57" s="6" t="s">
        <v>14</v>
      </c>
      <c r="J57" s="6" t="s">
        <v>1148</v>
      </c>
      <c r="K57" s="6">
        <v>15417</v>
      </c>
      <c r="L57" s="7" t="s">
        <v>4014</v>
      </c>
      <c r="M57" s="8">
        <v>1435291</v>
      </c>
      <c r="N57" s="8" t="str">
        <f>"USD"</f>
        <v>USD</v>
      </c>
      <c r="O57" s="13">
        <v>73.41</v>
      </c>
      <c r="P57" s="13"/>
      <c r="Q57" s="3">
        <f t="shared" si="2"/>
        <v>0</v>
      </c>
      <c r="R57" s="3">
        <f t="shared" si="3"/>
        <v>0</v>
      </c>
      <c r="S57" s="3">
        <f t="shared" si="4"/>
        <v>6758.1399999999994</v>
      </c>
      <c r="T57" s="24"/>
      <c r="U57" s="24" t="s">
        <v>1081</v>
      </c>
      <c r="V57" s="80"/>
      <c r="W57" s="3"/>
      <c r="X57" s="3"/>
      <c r="Y57" s="3"/>
      <c r="Z57" s="3"/>
      <c r="AA57" s="3"/>
      <c r="AB57" s="3" t="str">
        <f>IF(BCP_Dolares[[#This Row],[FECHA]]&gt;0,TEXT(BCP_Dolares[[#This Row],[FECHA]],"mmmm"),0)</f>
        <v>Febrero</v>
      </c>
    </row>
    <row r="58" spans="2:28" ht="48" x14ac:dyDescent="0.3">
      <c r="B58" s="2" t="str">
        <f>IF(BCP_Dolares[[#This Row],[TIPO DE R.]]="R",COUNTIFS($D$4:$D57,"R")+1,"")</f>
        <v/>
      </c>
      <c r="C58" s="19" t="str">
        <f>"B-BCP - Dolares"</f>
        <v>B-BCP - Dolares</v>
      </c>
      <c r="D58" s="3" t="s">
        <v>1101</v>
      </c>
      <c r="E58" s="14">
        <v>45700</v>
      </c>
      <c r="F58" s="5" t="s">
        <v>1082</v>
      </c>
      <c r="G58" s="5"/>
      <c r="H58" s="6" t="s">
        <v>354</v>
      </c>
      <c r="I58" s="6" t="s">
        <v>14</v>
      </c>
      <c r="J58" s="6" t="s">
        <v>1119</v>
      </c>
      <c r="K58" s="6">
        <v>307</v>
      </c>
      <c r="L58" s="7" t="s">
        <v>4014</v>
      </c>
      <c r="M58" s="8">
        <v>1435291</v>
      </c>
      <c r="N58" s="8" t="str">
        <f>"USD"</f>
        <v>USD</v>
      </c>
      <c r="O58" s="13">
        <v>237.94</v>
      </c>
      <c r="P58" s="13"/>
      <c r="Q58" s="3">
        <f t="shared" si="2"/>
        <v>0</v>
      </c>
      <c r="R58" s="3">
        <f t="shared" si="3"/>
        <v>0</v>
      </c>
      <c r="S58" s="3">
        <f t="shared" si="4"/>
        <v>6758.1399999999994</v>
      </c>
      <c r="T58" s="24"/>
      <c r="U58" s="24" t="s">
        <v>1081</v>
      </c>
      <c r="V58" s="80"/>
      <c r="W58" s="3"/>
      <c r="X58" s="3"/>
      <c r="Y58" s="3"/>
      <c r="Z58" s="3"/>
      <c r="AA58" s="3"/>
      <c r="AB58" s="3" t="str">
        <f>IF(BCP_Dolares[[#This Row],[FECHA]]&gt;0,TEXT(BCP_Dolares[[#This Row],[FECHA]],"mmmm"),0)</f>
        <v>Febrero</v>
      </c>
    </row>
    <row r="59" spans="2:28" ht="24" x14ac:dyDescent="0.3">
      <c r="B59" s="2">
        <f>IF(BCP_Dolares[[#This Row],[TIPO DE R.]]="R",COUNTIFS($D$4:$D58,"R")+1,"")</f>
        <v>22</v>
      </c>
      <c r="C59" s="19" t="str">
        <f t="shared" si="0"/>
        <v>B-BCP - Dolares</v>
      </c>
      <c r="D59" s="3" t="s">
        <v>1074</v>
      </c>
      <c r="E59" s="14">
        <v>45700</v>
      </c>
      <c r="F59" s="5" t="s">
        <v>1078</v>
      </c>
      <c r="G59" s="5" t="s">
        <v>1079</v>
      </c>
      <c r="H59" s="6" t="s">
        <v>1001</v>
      </c>
      <c r="I59" s="6"/>
      <c r="J59" s="6"/>
      <c r="K59" s="6"/>
      <c r="L59" s="7" t="s">
        <v>4016</v>
      </c>
      <c r="M59" s="8">
        <v>1435297</v>
      </c>
      <c r="N59" s="8" t="str">
        <f t="shared" si="1"/>
        <v>USD</v>
      </c>
      <c r="O59" s="13"/>
      <c r="P59" s="13">
        <v>6.32</v>
      </c>
      <c r="Q59" s="3">
        <f t="shared" si="2"/>
        <v>0</v>
      </c>
      <c r="R59" s="3">
        <f t="shared" si="3"/>
        <v>6.32</v>
      </c>
      <c r="S59" s="3">
        <f t="shared" si="4"/>
        <v>6751.82</v>
      </c>
      <c r="T59" s="24"/>
      <c r="U59" s="24"/>
      <c r="V59" s="80"/>
      <c r="W59" s="3" t="s">
        <v>1078</v>
      </c>
      <c r="X59" s="3"/>
      <c r="Y59" s="3"/>
      <c r="Z59" s="3"/>
      <c r="AA59" s="3"/>
      <c r="AB59" s="3" t="str">
        <f>IF(BCP_Dolares[[#This Row],[FECHA]]&gt;0,TEXT(BCP_Dolares[[#This Row],[FECHA]],"mmmm"),0)</f>
        <v>Febrero</v>
      </c>
    </row>
    <row r="60" spans="2:28" ht="24" x14ac:dyDescent="0.3">
      <c r="B60" s="2">
        <f>IF(BCP_Dolares[[#This Row],[TIPO DE R.]]="R",COUNTIFS($D$4:$D59,"R")+1,"")</f>
        <v>23</v>
      </c>
      <c r="C60" s="19" t="str">
        <f t="shared" si="0"/>
        <v>B-BCP - Dolares</v>
      </c>
      <c r="D60" s="3" t="s">
        <v>1074</v>
      </c>
      <c r="E60" s="14">
        <v>45705</v>
      </c>
      <c r="F60" s="5" t="s">
        <v>3738</v>
      </c>
      <c r="G60" s="5" t="s">
        <v>1087</v>
      </c>
      <c r="H60" s="6" t="s">
        <v>368</v>
      </c>
      <c r="I60" s="6"/>
      <c r="J60" s="6"/>
      <c r="K60" s="6"/>
      <c r="L60" s="7" t="s">
        <v>3739</v>
      </c>
      <c r="M60" s="8">
        <v>2038732</v>
      </c>
      <c r="N60" s="8" t="str">
        <f t="shared" si="1"/>
        <v>USD</v>
      </c>
      <c r="O60" s="13"/>
      <c r="P60" s="13">
        <v>631.41999999999996</v>
      </c>
      <c r="Q60" s="3">
        <f t="shared" si="2"/>
        <v>631.41999999999996</v>
      </c>
      <c r="R60" s="3">
        <f t="shared" si="3"/>
        <v>0</v>
      </c>
      <c r="S60" s="3">
        <f t="shared" si="4"/>
        <v>7383.24</v>
      </c>
      <c r="T60" s="24" t="s">
        <v>1081</v>
      </c>
      <c r="U60" s="24"/>
      <c r="V60" s="80"/>
      <c r="W60" s="3" t="s">
        <v>368</v>
      </c>
      <c r="X60" s="3" t="s">
        <v>4011</v>
      </c>
      <c r="Y60" s="3"/>
      <c r="Z60" s="3"/>
      <c r="AA60" s="3"/>
      <c r="AB60" s="3" t="str">
        <f>IF(BCP_Dolares[[#This Row],[FECHA]]&gt;0,TEXT(BCP_Dolares[[#This Row],[FECHA]],"mmmm"),0)</f>
        <v>Febrero</v>
      </c>
    </row>
    <row r="61" spans="2:28" ht="24" x14ac:dyDescent="0.3">
      <c r="B61" s="2">
        <f>IF(BCP_Dolares[[#This Row],[TIPO DE R.]]="R",COUNTIFS($D$4:$D60,"R")+1,"")</f>
        <v>24</v>
      </c>
      <c r="C61" s="19" t="str">
        <f t="shared" si="0"/>
        <v>B-BCP - Dolares</v>
      </c>
      <c r="D61" s="3" t="s">
        <v>1074</v>
      </c>
      <c r="E61" s="14">
        <v>45707</v>
      </c>
      <c r="F61" s="5" t="s">
        <v>1082</v>
      </c>
      <c r="G61" s="5" t="s">
        <v>1079</v>
      </c>
      <c r="H61" s="6" t="s">
        <v>719</v>
      </c>
      <c r="I61" s="6"/>
      <c r="J61" s="6"/>
      <c r="K61" s="6"/>
      <c r="L61" s="7" t="s">
        <v>2790</v>
      </c>
      <c r="M61" s="8">
        <v>6284</v>
      </c>
      <c r="N61" s="8" t="str">
        <f t="shared" si="1"/>
        <v>USD</v>
      </c>
      <c r="O61" s="13"/>
      <c r="P61" s="13">
        <v>1012.03</v>
      </c>
      <c r="Q61" s="3">
        <f t="shared" si="2"/>
        <v>0</v>
      </c>
      <c r="R61" s="3">
        <f t="shared" si="3"/>
        <v>1012.03</v>
      </c>
      <c r="S61" s="3">
        <f t="shared" si="4"/>
        <v>6371.21</v>
      </c>
      <c r="T61" s="24" t="s">
        <v>1081</v>
      </c>
      <c r="U61" s="24"/>
      <c r="V61" s="80"/>
      <c r="W61" s="3" t="s">
        <v>3997</v>
      </c>
      <c r="X61" s="3" t="s">
        <v>4017</v>
      </c>
      <c r="Y61" s="3"/>
      <c r="Z61" s="3"/>
      <c r="AA61" s="3"/>
      <c r="AB61" s="3" t="str">
        <f>IF(BCP_Dolares[[#This Row],[FECHA]]&gt;0,TEXT(BCP_Dolares[[#This Row],[FECHA]],"mmmm"),0)</f>
        <v>Febrero</v>
      </c>
    </row>
    <row r="62" spans="2:28" ht="24" x14ac:dyDescent="0.3">
      <c r="B62" s="2" t="str">
        <f>IF(BCP_Dolares[[#This Row],[TIPO DE R.]]="R",COUNTIFS($D$4:$D61,"R")+1,"")</f>
        <v/>
      </c>
      <c r="C62" s="19" t="str">
        <f>"B-BCP - Dolares"</f>
        <v>B-BCP - Dolares</v>
      </c>
      <c r="D62" s="3" t="s">
        <v>1101</v>
      </c>
      <c r="E62" s="14">
        <v>45707</v>
      </c>
      <c r="F62" s="5" t="s">
        <v>1082</v>
      </c>
      <c r="G62" s="5"/>
      <c r="H62" s="6" t="s">
        <v>719</v>
      </c>
      <c r="I62" s="6" t="s">
        <v>14</v>
      </c>
      <c r="J62" s="6" t="s">
        <v>2789</v>
      </c>
      <c r="K62" s="6">
        <v>144858</v>
      </c>
      <c r="L62" s="7" t="s">
        <v>2790</v>
      </c>
      <c r="M62" s="8">
        <v>6284</v>
      </c>
      <c r="N62" s="8" t="str">
        <f>"USD"</f>
        <v>USD</v>
      </c>
      <c r="O62" s="13">
        <v>1010.25</v>
      </c>
      <c r="P62" s="13"/>
      <c r="Q62" s="3">
        <f t="shared" si="2"/>
        <v>0</v>
      </c>
      <c r="R62" s="3">
        <f t="shared" si="3"/>
        <v>0</v>
      </c>
      <c r="S62" s="3">
        <f t="shared" si="4"/>
        <v>6371.21</v>
      </c>
      <c r="T62" s="24"/>
      <c r="U62" s="24"/>
      <c r="V62" s="80"/>
      <c r="W62" s="3"/>
      <c r="X62" s="3"/>
      <c r="Y62" s="3"/>
      <c r="Z62" s="3"/>
      <c r="AA62" s="3"/>
      <c r="AB62" s="3" t="str">
        <f>IF(BCP_Dolares[[#This Row],[FECHA]]&gt;0,TEXT(BCP_Dolares[[#This Row],[FECHA]],"mmmm"),0)</f>
        <v>Febrero</v>
      </c>
    </row>
    <row r="63" spans="2:28" ht="24" x14ac:dyDescent="0.3">
      <c r="B63" s="2" t="str">
        <f>IF(BCP_Dolares[[#This Row],[TIPO DE R.]]="R",COUNTIFS($D$4:$D62,"R")+1,"")</f>
        <v/>
      </c>
      <c r="C63" s="19" t="str">
        <f>"B-BCP - Dolares"</f>
        <v>B-BCP - Dolares</v>
      </c>
      <c r="D63" s="3" t="s">
        <v>1101</v>
      </c>
      <c r="E63" s="14">
        <v>45707</v>
      </c>
      <c r="F63" s="5" t="s">
        <v>1082</v>
      </c>
      <c r="G63" s="5"/>
      <c r="H63" s="6" t="s">
        <v>719</v>
      </c>
      <c r="I63" s="6" t="s">
        <v>14</v>
      </c>
      <c r="J63" s="6" t="s">
        <v>2789</v>
      </c>
      <c r="K63" s="6">
        <v>144859</v>
      </c>
      <c r="L63" s="7" t="s">
        <v>2790</v>
      </c>
      <c r="M63" s="8">
        <v>6284</v>
      </c>
      <c r="N63" s="8" t="str">
        <f>"USD"</f>
        <v>USD</v>
      </c>
      <c r="O63" s="13">
        <v>1.78</v>
      </c>
      <c r="P63" s="13"/>
      <c r="Q63" s="3">
        <f t="shared" si="2"/>
        <v>0</v>
      </c>
      <c r="R63" s="3">
        <f t="shared" si="3"/>
        <v>0</v>
      </c>
      <c r="S63" s="3">
        <f t="shared" si="4"/>
        <v>6371.21</v>
      </c>
      <c r="T63" s="24"/>
      <c r="U63" s="24"/>
      <c r="V63" s="80"/>
      <c r="W63" s="3"/>
      <c r="X63" s="3"/>
      <c r="Y63" s="3"/>
      <c r="Z63" s="3"/>
      <c r="AA63" s="3"/>
      <c r="AB63" s="3" t="str">
        <f>IF(BCP_Dolares[[#This Row],[FECHA]]&gt;0,TEXT(BCP_Dolares[[#This Row],[FECHA]],"mmmm"),0)</f>
        <v>Febrero</v>
      </c>
    </row>
    <row r="64" spans="2:28" ht="72" x14ac:dyDescent="0.3">
      <c r="B64" s="2">
        <f>IF(BCP_Dolares[[#This Row],[TIPO DE R.]]="R",COUNTIFS($D$4:$D63,"R")+1,"")</f>
        <v>25</v>
      </c>
      <c r="C64" s="19" t="str">
        <f t="shared" si="0"/>
        <v>B-BCP - Dolares</v>
      </c>
      <c r="D64" s="3" t="s">
        <v>1074</v>
      </c>
      <c r="E64" s="14">
        <v>45713</v>
      </c>
      <c r="F64" s="5" t="s">
        <v>1082</v>
      </c>
      <c r="G64" s="5" t="s">
        <v>1079</v>
      </c>
      <c r="H64" s="6"/>
      <c r="I64" s="6"/>
      <c r="J64" s="6"/>
      <c r="K64" s="6"/>
      <c r="L64" s="7" t="s">
        <v>4018</v>
      </c>
      <c r="M64" s="8">
        <v>5828043</v>
      </c>
      <c r="N64" s="8" t="str">
        <f t="shared" si="1"/>
        <v>USD</v>
      </c>
      <c r="O64" s="13"/>
      <c r="P64" s="13">
        <v>424.45</v>
      </c>
      <c r="Q64" s="3">
        <f t="shared" si="2"/>
        <v>0</v>
      </c>
      <c r="R64" s="3">
        <f t="shared" si="3"/>
        <v>424.45</v>
      </c>
      <c r="S64" s="3">
        <f t="shared" si="4"/>
        <v>5946.76</v>
      </c>
      <c r="T64" s="24" t="s">
        <v>1081</v>
      </c>
      <c r="U64" s="24" t="s">
        <v>1081</v>
      </c>
      <c r="V64" s="80"/>
      <c r="W64" s="3" t="s">
        <v>147</v>
      </c>
      <c r="X64" s="3" t="s">
        <v>4019</v>
      </c>
      <c r="Y64" s="3"/>
      <c r="Z64" s="3"/>
      <c r="AA64" s="3"/>
      <c r="AB64" s="3" t="str">
        <f>IF(BCP_Dolares[[#This Row],[FECHA]]&gt;0,TEXT(BCP_Dolares[[#This Row],[FECHA]],"mmmm"),0)</f>
        <v>Febrero</v>
      </c>
    </row>
    <row r="65" spans="2:28" ht="24" x14ac:dyDescent="0.3">
      <c r="B65" s="2" t="str">
        <f>IF(BCP_Dolares[[#This Row],[TIPO DE R.]]="R",COUNTIFS($D$4:$D64,"R")+1,"")</f>
        <v/>
      </c>
      <c r="C65" s="19" t="str">
        <f t="shared" ref="C65:C70" si="8">"B-BCP - Dolares"</f>
        <v>B-BCP - Dolares</v>
      </c>
      <c r="D65" s="3" t="s">
        <v>1101</v>
      </c>
      <c r="E65" s="14">
        <v>45713</v>
      </c>
      <c r="F65" s="5" t="s">
        <v>1082</v>
      </c>
      <c r="G65" s="5"/>
      <c r="H65" s="6" t="s">
        <v>147</v>
      </c>
      <c r="I65" s="6" t="s">
        <v>14</v>
      </c>
      <c r="J65" s="6" t="s">
        <v>1148</v>
      </c>
      <c r="K65" s="6">
        <v>15425</v>
      </c>
      <c r="L65" s="7" t="s">
        <v>4018</v>
      </c>
      <c r="M65" s="8">
        <v>5828043</v>
      </c>
      <c r="N65" s="8" t="str">
        <f t="shared" ref="N65:N70" si="9">"USD"</f>
        <v>USD</v>
      </c>
      <c r="O65" s="13">
        <v>48.86</v>
      </c>
      <c r="P65" s="13"/>
      <c r="Q65" s="3">
        <f t="shared" si="2"/>
        <v>0</v>
      </c>
      <c r="R65" s="3">
        <f t="shared" si="3"/>
        <v>0</v>
      </c>
      <c r="S65" s="3">
        <f t="shared" si="4"/>
        <v>5946.76</v>
      </c>
      <c r="T65" s="24"/>
      <c r="U65" s="24" t="s">
        <v>1081</v>
      </c>
      <c r="V65" s="80"/>
      <c r="W65" s="3"/>
      <c r="X65" s="3"/>
      <c r="Y65" s="3"/>
      <c r="Z65" s="3"/>
      <c r="AA65" s="3"/>
      <c r="AB65" s="3" t="str">
        <f>IF(BCP_Dolares[[#This Row],[FECHA]]&gt;0,TEXT(BCP_Dolares[[#This Row],[FECHA]],"mmmm"),0)</f>
        <v>Febrero</v>
      </c>
    </row>
    <row r="66" spans="2:28" ht="24" x14ac:dyDescent="0.3">
      <c r="B66" s="2" t="str">
        <f>IF(BCP_Dolares[[#This Row],[TIPO DE R.]]="R",COUNTIFS($D$4:$D65,"R")+1,"")</f>
        <v/>
      </c>
      <c r="C66" s="19" t="str">
        <f t="shared" si="8"/>
        <v>B-BCP - Dolares</v>
      </c>
      <c r="D66" s="3" t="s">
        <v>1101</v>
      </c>
      <c r="E66" s="14">
        <v>45713</v>
      </c>
      <c r="F66" s="5" t="s">
        <v>1082</v>
      </c>
      <c r="G66" s="5"/>
      <c r="H66" s="6" t="s">
        <v>147</v>
      </c>
      <c r="I66" s="6" t="s">
        <v>14</v>
      </c>
      <c r="J66" s="6" t="s">
        <v>1148</v>
      </c>
      <c r="K66" s="6">
        <v>15441</v>
      </c>
      <c r="L66" s="7" t="s">
        <v>4018</v>
      </c>
      <c r="M66" s="8">
        <v>5828043</v>
      </c>
      <c r="N66" s="8" t="str">
        <f t="shared" si="9"/>
        <v>USD</v>
      </c>
      <c r="O66" s="13">
        <v>64.3</v>
      </c>
      <c r="P66" s="13"/>
      <c r="Q66" s="3">
        <f t="shared" si="2"/>
        <v>0</v>
      </c>
      <c r="R66" s="3">
        <f t="shared" si="3"/>
        <v>0</v>
      </c>
      <c r="S66" s="3">
        <f t="shared" si="4"/>
        <v>5946.76</v>
      </c>
      <c r="T66" s="24"/>
      <c r="U66" s="24" t="s">
        <v>1081</v>
      </c>
      <c r="V66" s="80"/>
      <c r="W66" s="3"/>
      <c r="X66" s="3"/>
      <c r="Y66" s="3"/>
      <c r="Z66" s="3"/>
      <c r="AA66" s="3"/>
      <c r="AB66" s="3" t="str">
        <f>IF(BCP_Dolares[[#This Row],[FECHA]]&gt;0,TEXT(BCP_Dolares[[#This Row],[FECHA]],"mmmm"),0)</f>
        <v>Febrero</v>
      </c>
    </row>
    <row r="67" spans="2:28" ht="24" x14ac:dyDescent="0.3">
      <c r="B67" s="2" t="str">
        <f>IF(BCP_Dolares[[#This Row],[TIPO DE R.]]="R",COUNTIFS($D$4:$D66,"R")+1,"")</f>
        <v/>
      </c>
      <c r="C67" s="19" t="str">
        <f t="shared" si="8"/>
        <v>B-BCP - Dolares</v>
      </c>
      <c r="D67" s="3" t="s">
        <v>1101</v>
      </c>
      <c r="E67" s="14">
        <v>45713</v>
      </c>
      <c r="F67" s="5" t="s">
        <v>1082</v>
      </c>
      <c r="G67" s="5"/>
      <c r="H67" s="6" t="s">
        <v>147</v>
      </c>
      <c r="I67" s="6" t="s">
        <v>14</v>
      </c>
      <c r="J67" s="6" t="s">
        <v>1148</v>
      </c>
      <c r="K67" s="6">
        <v>15477</v>
      </c>
      <c r="L67" s="7" t="s">
        <v>4018</v>
      </c>
      <c r="M67" s="8">
        <v>5828043</v>
      </c>
      <c r="N67" s="8" t="str">
        <f t="shared" si="9"/>
        <v>USD</v>
      </c>
      <c r="O67" s="13">
        <v>79.47</v>
      </c>
      <c r="P67" s="13"/>
      <c r="Q67" s="3">
        <f t="shared" si="2"/>
        <v>0</v>
      </c>
      <c r="R67" s="3">
        <f t="shared" si="3"/>
        <v>0</v>
      </c>
      <c r="S67" s="3">
        <f t="shared" si="4"/>
        <v>5946.76</v>
      </c>
      <c r="T67" s="24"/>
      <c r="U67" s="24" t="s">
        <v>1081</v>
      </c>
      <c r="V67" s="80"/>
      <c r="W67" s="3"/>
      <c r="X67" s="3"/>
      <c r="Y67" s="3"/>
      <c r="Z67" s="3"/>
      <c r="AA67" s="3"/>
      <c r="AB67" s="3" t="str">
        <f>IF(BCP_Dolares[[#This Row],[FECHA]]&gt;0,TEXT(BCP_Dolares[[#This Row],[FECHA]],"mmmm"),0)</f>
        <v>Febrero</v>
      </c>
    </row>
    <row r="68" spans="2:28" ht="24" x14ac:dyDescent="0.3">
      <c r="B68" s="2" t="str">
        <f>IF(BCP_Dolares[[#This Row],[TIPO DE R.]]="R",COUNTIFS($D$4:$D67,"R")+1,"")</f>
        <v/>
      </c>
      <c r="C68" s="19" t="str">
        <f t="shared" si="8"/>
        <v>B-BCP - Dolares</v>
      </c>
      <c r="D68" s="3" t="s">
        <v>1101</v>
      </c>
      <c r="E68" s="14">
        <v>45713</v>
      </c>
      <c r="F68" s="5" t="s">
        <v>1082</v>
      </c>
      <c r="G68" s="5"/>
      <c r="H68" s="6" t="s">
        <v>147</v>
      </c>
      <c r="I68" s="6" t="s">
        <v>14</v>
      </c>
      <c r="J68" s="6" t="s">
        <v>1148</v>
      </c>
      <c r="K68" s="61">
        <v>15468</v>
      </c>
      <c r="L68" s="7" t="s">
        <v>4018</v>
      </c>
      <c r="M68" s="8">
        <v>5828043</v>
      </c>
      <c r="N68" s="8" t="str">
        <f t="shared" si="9"/>
        <v>USD</v>
      </c>
      <c r="O68" s="13">
        <v>92.18</v>
      </c>
      <c r="P68" s="13"/>
      <c r="Q68" s="3">
        <f t="shared" si="2"/>
        <v>0</v>
      </c>
      <c r="R68" s="3">
        <f t="shared" si="3"/>
        <v>0</v>
      </c>
      <c r="S68" s="3">
        <f t="shared" si="4"/>
        <v>5946.76</v>
      </c>
      <c r="T68" s="24"/>
      <c r="U68" s="24" t="s">
        <v>1081</v>
      </c>
      <c r="V68" s="80"/>
      <c r="W68" s="3"/>
      <c r="X68" s="3"/>
      <c r="Y68" s="3"/>
      <c r="Z68" s="3"/>
      <c r="AA68" s="3"/>
      <c r="AB68" s="3" t="str">
        <f>IF(BCP_Dolares[[#This Row],[FECHA]]&gt;0,TEXT(BCP_Dolares[[#This Row],[FECHA]],"mmmm"),0)</f>
        <v>Febrero</v>
      </c>
    </row>
    <row r="69" spans="2:28" ht="24" x14ac:dyDescent="0.3">
      <c r="B69" s="2" t="str">
        <f>IF(BCP_Dolares[[#This Row],[TIPO DE R.]]="R",COUNTIFS($D$4:$D68,"R")+1,"")</f>
        <v/>
      </c>
      <c r="C69" s="19" t="str">
        <f t="shared" si="8"/>
        <v>B-BCP - Dolares</v>
      </c>
      <c r="D69" s="3" t="s">
        <v>1101</v>
      </c>
      <c r="E69" s="14">
        <v>45713</v>
      </c>
      <c r="F69" s="5" t="s">
        <v>1082</v>
      </c>
      <c r="G69" s="5"/>
      <c r="H69" s="6" t="s">
        <v>147</v>
      </c>
      <c r="I69" s="6" t="s">
        <v>14</v>
      </c>
      <c r="J69" s="6" t="s">
        <v>1148</v>
      </c>
      <c r="K69" s="6">
        <v>15489</v>
      </c>
      <c r="L69" s="7" t="s">
        <v>4018</v>
      </c>
      <c r="M69" s="8">
        <v>5828043</v>
      </c>
      <c r="N69" s="8" t="str">
        <f t="shared" si="9"/>
        <v>USD</v>
      </c>
      <c r="O69" s="13">
        <v>64.97</v>
      </c>
      <c r="P69" s="13"/>
      <c r="Q69" s="3">
        <f t="shared" si="2"/>
        <v>0</v>
      </c>
      <c r="R69" s="3">
        <f t="shared" si="3"/>
        <v>0</v>
      </c>
      <c r="S69" s="3">
        <f t="shared" si="4"/>
        <v>5946.76</v>
      </c>
      <c r="T69" s="24"/>
      <c r="U69" s="24" t="s">
        <v>1081</v>
      </c>
      <c r="V69" s="80"/>
      <c r="W69" s="3"/>
      <c r="X69" s="3"/>
      <c r="Y69" s="3"/>
      <c r="Z69" s="3"/>
      <c r="AA69" s="3"/>
      <c r="AB69" s="3" t="str">
        <f>IF(BCP_Dolares[[#This Row],[FECHA]]&gt;0,TEXT(BCP_Dolares[[#This Row],[FECHA]],"mmmm"),0)</f>
        <v>Febrero</v>
      </c>
    </row>
    <row r="70" spans="2:28" ht="24" x14ac:dyDescent="0.3">
      <c r="B70" s="2" t="str">
        <f>IF(BCP_Dolares[[#This Row],[TIPO DE R.]]="R",COUNTIFS($D$4:$D69,"R")+1,"")</f>
        <v/>
      </c>
      <c r="C70" s="19" t="str">
        <f t="shared" si="8"/>
        <v>B-BCP - Dolares</v>
      </c>
      <c r="D70" s="3" t="s">
        <v>1101</v>
      </c>
      <c r="E70" s="14">
        <v>45713</v>
      </c>
      <c r="F70" s="5" t="s">
        <v>1082</v>
      </c>
      <c r="G70" s="5"/>
      <c r="H70" s="6" t="s">
        <v>147</v>
      </c>
      <c r="I70" s="6" t="s">
        <v>14</v>
      </c>
      <c r="J70" s="6" t="s">
        <v>1148</v>
      </c>
      <c r="K70" s="6">
        <v>15457</v>
      </c>
      <c r="L70" s="7" t="s">
        <v>4018</v>
      </c>
      <c r="M70" s="8">
        <v>5828043</v>
      </c>
      <c r="N70" s="8" t="str">
        <f t="shared" si="9"/>
        <v>USD</v>
      </c>
      <c r="O70" s="13">
        <v>74.67</v>
      </c>
      <c r="P70" s="13"/>
      <c r="Q70" s="3">
        <f t="shared" si="2"/>
        <v>0</v>
      </c>
      <c r="R70" s="3">
        <f t="shared" si="3"/>
        <v>0</v>
      </c>
      <c r="S70" s="3">
        <f t="shared" si="4"/>
        <v>5946.76</v>
      </c>
      <c r="T70" s="24"/>
      <c r="U70" s="24" t="s">
        <v>1081</v>
      </c>
      <c r="V70" s="80"/>
      <c r="W70" s="3"/>
      <c r="X70" s="3"/>
      <c r="Y70" s="3"/>
      <c r="Z70" s="3"/>
      <c r="AA70" s="3"/>
      <c r="AB70" s="3" t="str">
        <f>IF(BCP_Dolares[[#This Row],[FECHA]]&gt;0,TEXT(BCP_Dolares[[#This Row],[FECHA]],"mmmm"),0)</f>
        <v>Febrero</v>
      </c>
    </row>
    <row r="71" spans="2:28" ht="24" x14ac:dyDescent="0.3">
      <c r="B71" s="2">
        <f>IF(BCP_Dolares[[#This Row],[TIPO DE R.]]="R",COUNTIFS($D$4:$D70,"R")+1,"")</f>
        <v>26</v>
      </c>
      <c r="C71" s="19" t="str">
        <f t="shared" si="0"/>
        <v>B-BCP - Dolares</v>
      </c>
      <c r="D71" s="3" t="s">
        <v>1074</v>
      </c>
      <c r="E71" s="14">
        <v>45713</v>
      </c>
      <c r="F71" s="5" t="s">
        <v>1251</v>
      </c>
      <c r="G71" s="5" t="s">
        <v>1079</v>
      </c>
      <c r="H71" s="6" t="s">
        <v>715</v>
      </c>
      <c r="I71" s="6" t="s">
        <v>14</v>
      </c>
      <c r="J71" s="6" t="s">
        <v>1121</v>
      </c>
      <c r="K71" s="6">
        <v>765</v>
      </c>
      <c r="L71" s="7" t="s">
        <v>4020</v>
      </c>
      <c r="M71" s="8">
        <v>1028227</v>
      </c>
      <c r="N71" s="8" t="str">
        <f t="shared" si="1"/>
        <v>USD</v>
      </c>
      <c r="O71" s="13"/>
      <c r="P71" s="13">
        <v>145</v>
      </c>
      <c r="Q71" s="3">
        <f t="shared" ref="Q71:Q134" si="10">+IF(OR($G71="SALDO",$G71="INGRESO"),$P71,0)</f>
        <v>0</v>
      </c>
      <c r="R71" s="3">
        <f t="shared" ref="R71:R134" si="11">+IF($G71="EGRESO",$P71,0)</f>
        <v>145</v>
      </c>
      <c r="S71" s="3">
        <f t="shared" ref="S71:S134" si="12">IFERROR(IF(G71="SALDO",Q71,S70+Q71-R71),0)</f>
        <v>5801.76</v>
      </c>
      <c r="T71" s="24" t="s">
        <v>1081</v>
      </c>
      <c r="U71" s="24" t="s">
        <v>1081</v>
      </c>
      <c r="V71" s="80"/>
      <c r="W71" s="3" t="s">
        <v>715</v>
      </c>
      <c r="X71" s="3" t="s">
        <v>4021</v>
      </c>
      <c r="Y71" s="3"/>
      <c r="Z71" s="3"/>
      <c r="AA71" s="3"/>
      <c r="AB71" s="3" t="str">
        <f>IF(BCP_Dolares[[#This Row],[FECHA]]&gt;0,TEXT(BCP_Dolares[[#This Row],[FECHA]],"mmmm"),0)</f>
        <v>Febrero</v>
      </c>
    </row>
    <row r="72" spans="2:28" ht="36" x14ac:dyDescent="0.3">
      <c r="B72" s="2">
        <f>IF(BCP_Dolares[[#This Row],[TIPO DE R.]]="R",COUNTIFS($D$4:$D71,"R")+1,"")</f>
        <v>27</v>
      </c>
      <c r="C72" s="19" t="str">
        <f t="shared" si="0"/>
        <v>B-BCP - Dolares</v>
      </c>
      <c r="D72" s="3" t="s">
        <v>1074</v>
      </c>
      <c r="E72" s="14">
        <v>45714</v>
      </c>
      <c r="F72" s="5" t="s">
        <v>1082</v>
      </c>
      <c r="G72" s="5" t="s">
        <v>1079</v>
      </c>
      <c r="H72" s="6" t="s">
        <v>644</v>
      </c>
      <c r="I72" s="6" t="s">
        <v>14</v>
      </c>
      <c r="J72" s="6" t="s">
        <v>1204</v>
      </c>
      <c r="K72" s="6">
        <v>430463</v>
      </c>
      <c r="L72" s="7" t="s">
        <v>4004</v>
      </c>
      <c r="M72" s="8">
        <v>204133</v>
      </c>
      <c r="N72" s="8" t="str">
        <f t="shared" si="1"/>
        <v>USD</v>
      </c>
      <c r="O72" s="13"/>
      <c r="P72" s="13">
        <v>215.22</v>
      </c>
      <c r="Q72" s="3">
        <f t="shared" si="10"/>
        <v>0</v>
      </c>
      <c r="R72" s="3">
        <f t="shared" si="11"/>
        <v>215.22</v>
      </c>
      <c r="S72" s="3">
        <f t="shared" si="12"/>
        <v>5586.54</v>
      </c>
      <c r="T72" s="24"/>
      <c r="U72" s="24" t="s">
        <v>1081</v>
      </c>
      <c r="V72" s="80"/>
      <c r="W72" s="3" t="s">
        <v>4005</v>
      </c>
      <c r="X72" s="3" t="s">
        <v>4022</v>
      </c>
      <c r="Y72" s="3"/>
      <c r="Z72" s="3"/>
      <c r="AA72" s="3"/>
      <c r="AB72" s="3" t="str">
        <f>IF(BCP_Dolares[[#This Row],[FECHA]]&gt;0,TEXT(BCP_Dolares[[#This Row],[FECHA]],"mmmm"),0)</f>
        <v>Febrero</v>
      </c>
    </row>
    <row r="73" spans="2:28" ht="24" x14ac:dyDescent="0.3">
      <c r="B73" s="2">
        <f>IF(BCP_Dolares[[#This Row],[TIPO DE R.]]="R",COUNTIFS($D$4:$D72,"R")+1,"")</f>
        <v>28</v>
      </c>
      <c r="C73" s="19" t="str">
        <f t="shared" si="0"/>
        <v>B-BCP - Dolares</v>
      </c>
      <c r="D73" s="3" t="s">
        <v>1074</v>
      </c>
      <c r="E73" s="14">
        <v>45714</v>
      </c>
      <c r="F73" s="5" t="s">
        <v>1078</v>
      </c>
      <c r="G73" s="5" t="s">
        <v>1079</v>
      </c>
      <c r="H73" s="6" t="s">
        <v>1001</v>
      </c>
      <c r="I73" s="6" t="s">
        <v>14</v>
      </c>
      <c r="J73" s="6" t="s">
        <v>1088</v>
      </c>
      <c r="K73" s="6">
        <v>2187017</v>
      </c>
      <c r="L73" s="7" t="s">
        <v>4023</v>
      </c>
      <c r="M73" s="8">
        <v>350</v>
      </c>
      <c r="N73" s="8" t="str">
        <f t="shared" si="1"/>
        <v>USD</v>
      </c>
      <c r="O73" s="13"/>
      <c r="P73" s="13">
        <v>12</v>
      </c>
      <c r="Q73" s="3">
        <f t="shared" si="10"/>
        <v>0</v>
      </c>
      <c r="R73" s="3">
        <f t="shared" si="11"/>
        <v>12</v>
      </c>
      <c r="S73" s="3">
        <f t="shared" si="12"/>
        <v>5574.54</v>
      </c>
      <c r="T73" s="24" t="s">
        <v>1081</v>
      </c>
      <c r="U73" s="24" t="s">
        <v>1081</v>
      </c>
      <c r="V73" s="80"/>
      <c r="W73" s="3" t="s">
        <v>1078</v>
      </c>
      <c r="X73" s="3"/>
      <c r="Y73" s="3"/>
      <c r="Z73" s="3"/>
      <c r="AA73" s="3"/>
      <c r="AB73" s="3" t="str">
        <f>IF(BCP_Dolares[[#This Row],[FECHA]]&gt;0,TEXT(BCP_Dolares[[#This Row],[FECHA]],"mmmm"),0)</f>
        <v>Febrero</v>
      </c>
    </row>
    <row r="74" spans="2:28" x14ac:dyDescent="0.3">
      <c r="B74" s="2">
        <f>IF(BCP_Dolares[[#This Row],[TIPO DE R.]]="R",COUNTIFS($D$4:$D73,"R")+1,"")</f>
        <v>29</v>
      </c>
      <c r="C74" s="19" t="str">
        <f t="shared" si="0"/>
        <v>B-BCP - Dolares</v>
      </c>
      <c r="D74" s="3" t="s">
        <v>1074</v>
      </c>
      <c r="E74" s="14">
        <v>45715</v>
      </c>
      <c r="F74" s="5" t="s">
        <v>1078</v>
      </c>
      <c r="G74" s="5" t="s">
        <v>1079</v>
      </c>
      <c r="H74" s="6"/>
      <c r="I74" s="6"/>
      <c r="J74" s="6"/>
      <c r="K74" s="6"/>
      <c r="L74" s="7" t="s">
        <v>1080</v>
      </c>
      <c r="M74" s="8"/>
      <c r="N74" s="8" t="str">
        <f t="shared" si="1"/>
        <v>USD</v>
      </c>
      <c r="O74" s="13"/>
      <c r="P74" s="13">
        <v>0.6</v>
      </c>
      <c r="Q74" s="3">
        <f t="shared" si="10"/>
        <v>0</v>
      </c>
      <c r="R74" s="3">
        <f t="shared" si="11"/>
        <v>0.6</v>
      </c>
      <c r="S74" s="3">
        <f t="shared" si="12"/>
        <v>5573.94</v>
      </c>
      <c r="T74" s="24"/>
      <c r="U74" s="24"/>
      <c r="V74" s="80"/>
      <c r="W74" s="3"/>
      <c r="X74" s="3"/>
      <c r="Y74" s="3"/>
      <c r="Z74" s="3"/>
      <c r="AA74" s="3"/>
      <c r="AB74" s="3" t="str">
        <f>IF(BCP_Dolares[[#This Row],[FECHA]]&gt;0,TEXT(BCP_Dolares[[#This Row],[FECHA]],"mmmm"),0)</f>
        <v>Febrero</v>
      </c>
    </row>
    <row r="75" spans="2:28" ht="36" x14ac:dyDescent="0.3">
      <c r="B75" s="2">
        <f>IF(BCP_Dolares[[#This Row],[TIPO DE R.]]="R",COUNTIFS($D$4:$D74,"R")+1,"")</f>
        <v>30</v>
      </c>
      <c r="C75" s="19" t="str">
        <f t="shared" si="0"/>
        <v>B-BCP - Dolares</v>
      </c>
      <c r="D75" s="3" t="s">
        <v>1074</v>
      </c>
      <c r="E75" s="14">
        <v>45715</v>
      </c>
      <c r="F75" s="5" t="s">
        <v>147</v>
      </c>
      <c r="G75" s="5" t="s">
        <v>1087</v>
      </c>
      <c r="H75" s="6"/>
      <c r="I75" s="6"/>
      <c r="J75" s="6"/>
      <c r="K75" s="6"/>
      <c r="L75" s="7" t="s">
        <v>1095</v>
      </c>
      <c r="M75" s="8">
        <v>6702695</v>
      </c>
      <c r="N75" s="8" t="str">
        <f t="shared" si="1"/>
        <v>USD</v>
      </c>
      <c r="O75" s="13"/>
      <c r="P75" s="13">
        <v>12379.93</v>
      </c>
      <c r="Q75" s="3">
        <f t="shared" si="10"/>
        <v>12379.93</v>
      </c>
      <c r="R75" s="3">
        <f t="shared" si="11"/>
        <v>0</v>
      </c>
      <c r="S75" s="3">
        <f t="shared" si="12"/>
        <v>17953.87</v>
      </c>
      <c r="T75" s="24" t="s">
        <v>1081</v>
      </c>
      <c r="U75" s="24"/>
      <c r="V75" s="80"/>
      <c r="W75" s="3" t="s">
        <v>368</v>
      </c>
      <c r="X75" s="3" t="s">
        <v>4024</v>
      </c>
      <c r="Y75" s="3" t="s">
        <v>4000</v>
      </c>
      <c r="Z75" s="3"/>
      <c r="AA75" s="3"/>
      <c r="AB75" s="3" t="str">
        <f>IF(BCP_Dolares[[#This Row],[FECHA]]&gt;0,TEXT(BCP_Dolares[[#This Row],[FECHA]],"mmmm"),0)</f>
        <v>Febrero</v>
      </c>
    </row>
    <row r="76" spans="2:28" ht="24" x14ac:dyDescent="0.3">
      <c r="B76" s="2">
        <f>IF(BCP_Dolares[[#This Row],[TIPO DE R.]]="R",COUNTIFS($D$4:$D75,"R")+1,"")</f>
        <v>31</v>
      </c>
      <c r="C76" s="19" t="str">
        <f t="shared" si="0"/>
        <v>B-BCP - Dolares</v>
      </c>
      <c r="D76" s="3" t="s">
        <v>1074</v>
      </c>
      <c r="E76" s="14">
        <v>45716</v>
      </c>
      <c r="F76" s="5" t="s">
        <v>1078</v>
      </c>
      <c r="G76" s="5" t="s">
        <v>1079</v>
      </c>
      <c r="H76" s="6" t="s">
        <v>1001</v>
      </c>
      <c r="I76" s="6" t="s">
        <v>14</v>
      </c>
      <c r="J76" s="6" t="s">
        <v>3759</v>
      </c>
      <c r="K76" s="6">
        <v>14324654</v>
      </c>
      <c r="L76" s="7" t="s">
        <v>1493</v>
      </c>
      <c r="M76" s="8" t="s">
        <v>4008</v>
      </c>
      <c r="N76" s="8" t="str">
        <f t="shared" si="1"/>
        <v>USD</v>
      </c>
      <c r="O76" s="13"/>
      <c r="P76" s="13">
        <v>13</v>
      </c>
      <c r="Q76" s="3">
        <f t="shared" si="10"/>
        <v>0</v>
      </c>
      <c r="R76" s="3">
        <f t="shared" si="11"/>
        <v>13</v>
      </c>
      <c r="S76" s="3">
        <f t="shared" si="12"/>
        <v>17940.87</v>
      </c>
      <c r="T76" s="24" t="s">
        <v>1081</v>
      </c>
      <c r="U76" s="24" t="s">
        <v>1081</v>
      </c>
      <c r="V76" s="80"/>
      <c r="W76" s="3" t="s">
        <v>1078</v>
      </c>
      <c r="X76" s="3"/>
      <c r="Y76" s="3"/>
      <c r="Z76" s="3"/>
      <c r="AA76" s="3"/>
      <c r="AB76" s="3" t="str">
        <f>IF(BCP_Dolares[[#This Row],[FECHA]]&gt;0,TEXT(BCP_Dolares[[#This Row],[FECHA]],"mmmm"),0)</f>
        <v>Febrero</v>
      </c>
    </row>
    <row r="77" spans="2:28" ht="24" x14ac:dyDescent="0.3">
      <c r="B77" s="2">
        <f>IF(BCP_Dolares[[#This Row],[TIPO DE R.]]="R",COUNTIFS($D$4:$D76,"R")+1,"")</f>
        <v>32</v>
      </c>
      <c r="C77" s="19" t="str">
        <f t="shared" si="0"/>
        <v>B-BCP - Dolares</v>
      </c>
      <c r="D77" s="3" t="s">
        <v>1074</v>
      </c>
      <c r="E77" s="14">
        <v>45716</v>
      </c>
      <c r="F77" s="5" t="s">
        <v>1078</v>
      </c>
      <c r="G77" s="5" t="s">
        <v>1079</v>
      </c>
      <c r="H77" s="6" t="s">
        <v>1001</v>
      </c>
      <c r="I77" s="6" t="s">
        <v>14</v>
      </c>
      <c r="J77" s="6" t="s">
        <v>3759</v>
      </c>
      <c r="K77" s="6">
        <v>14324654</v>
      </c>
      <c r="L77" s="7" t="s">
        <v>1495</v>
      </c>
      <c r="M77" s="8">
        <v>1139824</v>
      </c>
      <c r="N77" s="8" t="str">
        <f t="shared" si="1"/>
        <v>USD</v>
      </c>
      <c r="O77" s="13"/>
      <c r="P77" s="13">
        <v>2</v>
      </c>
      <c r="Q77" s="3">
        <f t="shared" si="10"/>
        <v>0</v>
      </c>
      <c r="R77" s="3">
        <f t="shared" si="11"/>
        <v>2</v>
      </c>
      <c r="S77" s="3">
        <f t="shared" si="12"/>
        <v>17938.87</v>
      </c>
      <c r="T77" s="24" t="s">
        <v>1081</v>
      </c>
      <c r="U77" s="24" t="s">
        <v>1081</v>
      </c>
      <c r="V77" s="80"/>
      <c r="W77" s="3" t="s">
        <v>1078</v>
      </c>
      <c r="X77" s="3"/>
      <c r="Y77" s="3"/>
      <c r="Z77" s="3"/>
      <c r="AA77" s="3"/>
      <c r="AB77" s="3" t="str">
        <f>IF(BCP_Dolares[[#This Row],[FECHA]]&gt;0,TEXT(BCP_Dolares[[#This Row],[FECHA]],"mmmm"),0)</f>
        <v>Febrero</v>
      </c>
    </row>
    <row r="78" spans="2:28" x14ac:dyDescent="0.3">
      <c r="B78" s="23">
        <f>IF(BCP_Dolares[[#This Row],[TIPO DE R.]]="R",COUNTIFS($D$4:$D77,"R")+1,"")</f>
        <v>33</v>
      </c>
      <c r="C78" s="19" t="str">
        <f t="shared" ref="C78:C164" si="13">"B-BCP - Dolares"</f>
        <v>B-BCP - Dolares</v>
      </c>
      <c r="D78" s="3" t="s">
        <v>1074</v>
      </c>
      <c r="E78" s="14">
        <v>45716</v>
      </c>
      <c r="F78" s="5" t="s">
        <v>1082</v>
      </c>
      <c r="G78" s="5" t="s">
        <v>1079</v>
      </c>
      <c r="H78" s="6"/>
      <c r="I78" s="6"/>
      <c r="J78" s="6"/>
      <c r="K78" s="6"/>
      <c r="L78" s="7" t="s">
        <v>4025</v>
      </c>
      <c r="M78" s="8">
        <v>340112</v>
      </c>
      <c r="N78" s="8" t="str">
        <f t="shared" ref="N78:N164" si="14">"USD"</f>
        <v>USD</v>
      </c>
      <c r="O78" s="13"/>
      <c r="P78" s="13">
        <v>98.23</v>
      </c>
      <c r="Q78" s="3">
        <f t="shared" si="10"/>
        <v>0</v>
      </c>
      <c r="R78" s="3">
        <f t="shared" si="11"/>
        <v>98.23</v>
      </c>
      <c r="S78" s="3">
        <f t="shared" si="12"/>
        <v>17840.64</v>
      </c>
      <c r="T78" s="24"/>
      <c r="U78" s="24"/>
      <c r="V78" s="80"/>
      <c r="W78" s="3" t="s">
        <v>4026</v>
      </c>
      <c r="X78" s="3"/>
      <c r="Y78" s="3"/>
      <c r="Z78" s="3"/>
      <c r="AA78" s="3"/>
      <c r="AB78" s="3" t="str">
        <f>IF(BCP_Dolares[[#This Row],[FECHA]]&gt;0,TEXT(BCP_Dolares[[#This Row],[FECHA]],"mmmm"),0)</f>
        <v>Febrero</v>
      </c>
    </row>
    <row r="79" spans="2:28" ht="60" x14ac:dyDescent="0.3">
      <c r="B79" s="2">
        <f>IF(BCP_Dolares[[#This Row],[TIPO DE R.]]="R",COUNTIFS($D$4:$D78,"R")+1,"")</f>
        <v>34</v>
      </c>
      <c r="C79" s="19" t="str">
        <f t="shared" si="13"/>
        <v>B-BCP - Dolares</v>
      </c>
      <c r="D79" s="3" t="s">
        <v>1074</v>
      </c>
      <c r="E79" s="14">
        <v>45719</v>
      </c>
      <c r="F79" s="5" t="s">
        <v>1082</v>
      </c>
      <c r="G79" s="5" t="s">
        <v>1079</v>
      </c>
      <c r="H79" s="6" t="s">
        <v>147</v>
      </c>
      <c r="I79" s="6"/>
      <c r="J79" s="6"/>
      <c r="K79" s="6"/>
      <c r="L79" s="7" t="s">
        <v>4027</v>
      </c>
      <c r="M79" s="8">
        <v>8760601</v>
      </c>
      <c r="N79" s="8" t="str">
        <f t="shared" si="14"/>
        <v>USD</v>
      </c>
      <c r="O79" s="13"/>
      <c r="P79" s="13">
        <v>344.52</v>
      </c>
      <c r="Q79" s="3">
        <f t="shared" si="10"/>
        <v>0</v>
      </c>
      <c r="R79" s="3">
        <f t="shared" si="11"/>
        <v>344.52</v>
      </c>
      <c r="S79" s="3">
        <f t="shared" si="12"/>
        <v>17496.12</v>
      </c>
      <c r="T79" s="24" t="s">
        <v>1081</v>
      </c>
      <c r="U79" s="24" t="s">
        <v>1081</v>
      </c>
      <c r="V79" s="80"/>
      <c r="W79" s="3" t="s">
        <v>147</v>
      </c>
      <c r="X79" s="3" t="s">
        <v>4028</v>
      </c>
      <c r="Y79" s="3"/>
      <c r="Z79" s="3"/>
      <c r="AA79" s="3"/>
      <c r="AB79" s="3" t="str">
        <f>IF(BCP_Dolares[[#This Row],[FECHA]]&gt;0,TEXT(BCP_Dolares[[#This Row],[FECHA]],"mmmm"),0)</f>
        <v>Marzo</v>
      </c>
    </row>
    <row r="80" spans="2:28" ht="24" x14ac:dyDescent="0.3">
      <c r="B80" s="2" t="str">
        <f>IF(BCP_Dolares[[#This Row],[TIPO DE R.]]="R",COUNTIFS($D$4:$D79,"R")+1,"")</f>
        <v/>
      </c>
      <c r="C80" s="19" t="str">
        <f>"B-BCP - Dolares"</f>
        <v>B-BCP - Dolares</v>
      </c>
      <c r="D80" s="3" t="s">
        <v>1101</v>
      </c>
      <c r="E80" s="14">
        <v>45719</v>
      </c>
      <c r="F80" s="5" t="s">
        <v>1082</v>
      </c>
      <c r="G80" s="5"/>
      <c r="H80" s="6" t="s">
        <v>147</v>
      </c>
      <c r="I80" s="6" t="s">
        <v>14</v>
      </c>
      <c r="J80" s="6" t="s">
        <v>1148</v>
      </c>
      <c r="K80" s="6">
        <v>15496</v>
      </c>
      <c r="L80" s="7" t="s">
        <v>4027</v>
      </c>
      <c r="M80" s="8">
        <v>8760601</v>
      </c>
      <c r="N80" s="8" t="str">
        <f>"USD"</f>
        <v>USD</v>
      </c>
      <c r="O80" s="13">
        <v>68.64</v>
      </c>
      <c r="P80" s="13"/>
      <c r="Q80" s="3">
        <f t="shared" si="10"/>
        <v>0</v>
      </c>
      <c r="R80" s="3">
        <f t="shared" si="11"/>
        <v>0</v>
      </c>
      <c r="S80" s="3">
        <f t="shared" si="12"/>
        <v>17496.12</v>
      </c>
      <c r="T80" s="24"/>
      <c r="U80" s="24" t="s">
        <v>1081</v>
      </c>
      <c r="V80" s="80"/>
      <c r="W80" s="3"/>
      <c r="X80" s="3"/>
      <c r="Y80" s="3"/>
      <c r="Z80" s="3"/>
      <c r="AA80" s="3"/>
      <c r="AB80" s="3" t="str">
        <f>IF(BCP_Dolares[[#This Row],[FECHA]]&gt;0,TEXT(BCP_Dolares[[#This Row],[FECHA]],"mmmm"),0)</f>
        <v>Marzo</v>
      </c>
    </row>
    <row r="81" spans="2:28" ht="24" x14ac:dyDescent="0.3">
      <c r="B81" s="2" t="str">
        <f>IF(BCP_Dolares[[#This Row],[TIPO DE R.]]="R",COUNTIFS($D$4:$D80,"R")+1,"")</f>
        <v/>
      </c>
      <c r="C81" s="19" t="str">
        <f>"B-BCP - Dolares"</f>
        <v>B-BCP - Dolares</v>
      </c>
      <c r="D81" s="3" t="s">
        <v>1101</v>
      </c>
      <c r="E81" s="14">
        <v>45719</v>
      </c>
      <c r="F81" s="5" t="s">
        <v>1082</v>
      </c>
      <c r="G81" s="5"/>
      <c r="H81" s="6" t="s">
        <v>147</v>
      </c>
      <c r="I81" s="6" t="s">
        <v>14</v>
      </c>
      <c r="J81" s="6" t="s">
        <v>1148</v>
      </c>
      <c r="K81" s="6">
        <v>15511</v>
      </c>
      <c r="L81" s="7" t="s">
        <v>4027</v>
      </c>
      <c r="M81" s="8">
        <v>8760601</v>
      </c>
      <c r="N81" s="8" t="str">
        <f>"USD"</f>
        <v>USD</v>
      </c>
      <c r="O81" s="13">
        <v>79.48</v>
      </c>
      <c r="P81" s="13"/>
      <c r="Q81" s="3">
        <f t="shared" si="10"/>
        <v>0</v>
      </c>
      <c r="R81" s="3">
        <f t="shared" si="11"/>
        <v>0</v>
      </c>
      <c r="S81" s="3">
        <f t="shared" si="12"/>
        <v>17496.12</v>
      </c>
      <c r="T81" s="24"/>
      <c r="U81" s="24" t="s">
        <v>1081</v>
      </c>
      <c r="V81" s="80"/>
      <c r="W81" s="3"/>
      <c r="X81" s="3"/>
      <c r="Y81" s="3"/>
      <c r="Z81" s="3"/>
      <c r="AA81" s="3"/>
      <c r="AB81" s="3" t="str">
        <f>IF(BCP_Dolares[[#This Row],[FECHA]]&gt;0,TEXT(BCP_Dolares[[#This Row],[FECHA]],"mmmm"),0)</f>
        <v>Marzo</v>
      </c>
    </row>
    <row r="82" spans="2:28" ht="24" x14ac:dyDescent="0.3">
      <c r="B82" s="2" t="str">
        <f>IF(BCP_Dolares[[#This Row],[TIPO DE R.]]="R",COUNTIFS($D$4:$D81,"R")+1,"")</f>
        <v/>
      </c>
      <c r="C82" s="19" t="str">
        <f>"B-BCP - Dolares"</f>
        <v>B-BCP - Dolares</v>
      </c>
      <c r="D82" s="3" t="s">
        <v>1101</v>
      </c>
      <c r="E82" s="14">
        <v>45719</v>
      </c>
      <c r="F82" s="5" t="s">
        <v>1082</v>
      </c>
      <c r="G82" s="5"/>
      <c r="H82" s="6" t="s">
        <v>147</v>
      </c>
      <c r="I82" s="6" t="s">
        <v>14</v>
      </c>
      <c r="J82" s="6" t="s">
        <v>1148</v>
      </c>
      <c r="K82" s="6">
        <v>15512</v>
      </c>
      <c r="L82" s="7" t="s">
        <v>4027</v>
      </c>
      <c r="M82" s="8">
        <v>8760601</v>
      </c>
      <c r="N82" s="8" t="str">
        <f>"USD"</f>
        <v>USD</v>
      </c>
      <c r="O82" s="13">
        <v>65.61</v>
      </c>
      <c r="P82" s="13"/>
      <c r="Q82" s="3">
        <f t="shared" si="10"/>
        <v>0</v>
      </c>
      <c r="R82" s="3">
        <f t="shared" si="11"/>
        <v>0</v>
      </c>
      <c r="S82" s="3">
        <f t="shared" si="12"/>
        <v>17496.12</v>
      </c>
      <c r="T82" s="24"/>
      <c r="U82" s="24" t="s">
        <v>1081</v>
      </c>
      <c r="V82" s="80"/>
      <c r="W82" s="3"/>
      <c r="X82" s="3"/>
      <c r="Y82" s="3"/>
      <c r="Z82" s="3"/>
      <c r="AA82" s="3"/>
      <c r="AB82" s="3" t="str">
        <f>IF(BCP_Dolares[[#This Row],[FECHA]]&gt;0,TEXT(BCP_Dolares[[#This Row],[FECHA]],"mmmm"),0)</f>
        <v>Marzo</v>
      </c>
    </row>
    <row r="83" spans="2:28" ht="24" x14ac:dyDescent="0.3">
      <c r="B83" s="2" t="str">
        <f>IF(BCP_Dolares[[#This Row],[TIPO DE R.]]="R",COUNTIFS($D$4:$D82,"R")+1,"")</f>
        <v/>
      </c>
      <c r="C83" s="19" t="str">
        <f>"B-BCP - Dolares"</f>
        <v>B-BCP - Dolares</v>
      </c>
      <c r="D83" s="3" t="s">
        <v>1101</v>
      </c>
      <c r="E83" s="14">
        <v>45719</v>
      </c>
      <c r="F83" s="5" t="s">
        <v>1082</v>
      </c>
      <c r="G83" s="5"/>
      <c r="H83" s="6" t="s">
        <v>147</v>
      </c>
      <c r="I83" s="6" t="s">
        <v>14</v>
      </c>
      <c r="J83" s="6" t="s">
        <v>1148</v>
      </c>
      <c r="K83" s="6">
        <v>15515</v>
      </c>
      <c r="L83" s="7" t="s">
        <v>4027</v>
      </c>
      <c r="M83" s="8">
        <v>8760601</v>
      </c>
      <c r="N83" s="8" t="str">
        <f>"USD"</f>
        <v>USD</v>
      </c>
      <c r="O83" s="13">
        <v>69.319999999999993</v>
      </c>
      <c r="P83" s="13"/>
      <c r="Q83" s="3">
        <f t="shared" si="10"/>
        <v>0</v>
      </c>
      <c r="R83" s="3">
        <f t="shared" si="11"/>
        <v>0</v>
      </c>
      <c r="S83" s="3">
        <f t="shared" si="12"/>
        <v>17496.12</v>
      </c>
      <c r="T83" s="24"/>
      <c r="U83" s="24" t="s">
        <v>1081</v>
      </c>
      <c r="V83" s="80"/>
      <c r="W83" s="3"/>
      <c r="X83" s="3"/>
      <c r="Y83" s="3"/>
      <c r="Z83" s="3"/>
      <c r="AA83" s="3"/>
      <c r="AB83" s="3" t="str">
        <f>IF(BCP_Dolares[[#This Row],[FECHA]]&gt;0,TEXT(BCP_Dolares[[#This Row],[FECHA]],"mmmm"),0)</f>
        <v>Marzo</v>
      </c>
    </row>
    <row r="84" spans="2:28" ht="24" x14ac:dyDescent="0.3">
      <c r="B84" s="2" t="str">
        <f>IF(BCP_Dolares[[#This Row],[TIPO DE R.]]="R",COUNTIFS($D$4:$D83,"R")+1,"")</f>
        <v/>
      </c>
      <c r="C84" s="19" t="str">
        <f>"B-BCP - Dolares"</f>
        <v>B-BCP - Dolares</v>
      </c>
      <c r="D84" s="3" t="s">
        <v>1101</v>
      </c>
      <c r="E84" s="14">
        <v>45719</v>
      </c>
      <c r="F84" s="5" t="s">
        <v>1082</v>
      </c>
      <c r="G84" s="5"/>
      <c r="H84" s="6" t="s">
        <v>147</v>
      </c>
      <c r="I84" s="6" t="s">
        <v>14</v>
      </c>
      <c r="J84" s="6" t="s">
        <v>1148</v>
      </c>
      <c r="K84" s="6">
        <v>15513</v>
      </c>
      <c r="L84" s="7" t="s">
        <v>4027</v>
      </c>
      <c r="M84" s="8">
        <v>8760601</v>
      </c>
      <c r="N84" s="8" t="str">
        <f>"USD"</f>
        <v>USD</v>
      </c>
      <c r="O84" s="13">
        <v>61.47</v>
      </c>
      <c r="P84" s="13"/>
      <c r="Q84" s="3">
        <f t="shared" si="10"/>
        <v>0</v>
      </c>
      <c r="R84" s="3">
        <f t="shared" si="11"/>
        <v>0</v>
      </c>
      <c r="S84" s="3">
        <f t="shared" si="12"/>
        <v>17496.12</v>
      </c>
      <c r="T84" s="24"/>
      <c r="U84" s="24" t="s">
        <v>1081</v>
      </c>
      <c r="V84" s="80"/>
      <c r="W84" s="3"/>
      <c r="X84" s="3"/>
      <c r="Y84" s="3"/>
      <c r="Z84" s="3"/>
      <c r="AA84" s="3"/>
      <c r="AB84" s="3" t="str">
        <f>IF(BCP_Dolares[[#This Row],[FECHA]]&gt;0,TEXT(BCP_Dolares[[#This Row],[FECHA]],"mmmm"),0)</f>
        <v>Marzo</v>
      </c>
    </row>
    <row r="85" spans="2:28" ht="24" x14ac:dyDescent="0.3">
      <c r="B85" s="2">
        <f>IF(BCP_Dolares[[#This Row],[TIPO DE R.]]="R",COUNTIFS($D$4:$D84,"R")+1,"")</f>
        <v>35</v>
      </c>
      <c r="C85" s="19" t="str">
        <f t="shared" si="13"/>
        <v>B-BCP - Dolares</v>
      </c>
      <c r="D85" s="3" t="s">
        <v>1074</v>
      </c>
      <c r="E85" s="14">
        <v>45721</v>
      </c>
      <c r="F85" s="5" t="s">
        <v>3738</v>
      </c>
      <c r="G85" s="5" t="s">
        <v>1087</v>
      </c>
      <c r="H85" s="6" t="s">
        <v>368</v>
      </c>
      <c r="I85" s="6"/>
      <c r="J85" s="6"/>
      <c r="K85" s="6"/>
      <c r="L85" s="7" t="s">
        <v>3739</v>
      </c>
      <c r="M85" s="8">
        <v>2125246</v>
      </c>
      <c r="N85" s="8" t="str">
        <f t="shared" si="14"/>
        <v>USD</v>
      </c>
      <c r="O85" s="13"/>
      <c r="P85" s="13">
        <v>82.99</v>
      </c>
      <c r="Q85" s="3">
        <f t="shared" si="10"/>
        <v>82.99</v>
      </c>
      <c r="R85" s="3">
        <f t="shared" si="11"/>
        <v>0</v>
      </c>
      <c r="S85" s="3">
        <f t="shared" si="12"/>
        <v>17579.11</v>
      </c>
      <c r="T85" s="24" t="s">
        <v>1081</v>
      </c>
      <c r="U85" s="24"/>
      <c r="V85" s="80"/>
      <c r="W85" s="3" t="s">
        <v>368</v>
      </c>
      <c r="X85" s="3" t="s">
        <v>4011</v>
      </c>
      <c r="Y85" s="3"/>
      <c r="Z85" s="3"/>
      <c r="AA85" s="3"/>
      <c r="AB85" s="3" t="str">
        <f>IF(BCP_Dolares[[#This Row],[FECHA]]&gt;0,TEXT(BCP_Dolares[[#This Row],[FECHA]],"mmmm"),0)</f>
        <v>Marzo</v>
      </c>
    </row>
    <row r="86" spans="2:28" ht="72" x14ac:dyDescent="0.3">
      <c r="B86" s="2">
        <f>IF(BCP_Dolares[[#This Row],[TIPO DE R.]]="R",COUNTIFS($D$4:$D85,"R")+1,"")</f>
        <v>36</v>
      </c>
      <c r="C86" s="19" t="str">
        <f t="shared" si="13"/>
        <v>B-BCP - Dolares</v>
      </c>
      <c r="D86" s="3" t="s">
        <v>1074</v>
      </c>
      <c r="E86" s="14">
        <v>45728</v>
      </c>
      <c r="F86" s="5" t="s">
        <v>1082</v>
      </c>
      <c r="G86" s="5" t="s">
        <v>1079</v>
      </c>
      <c r="H86" s="6"/>
      <c r="I86" s="6"/>
      <c r="J86" s="6"/>
      <c r="K86" s="6"/>
      <c r="L86" s="7" t="s">
        <v>4029</v>
      </c>
      <c r="M86" s="8">
        <v>1567889</v>
      </c>
      <c r="N86" s="8" t="str">
        <f t="shared" si="14"/>
        <v>USD</v>
      </c>
      <c r="O86" s="13"/>
      <c r="P86" s="13">
        <v>5464.11</v>
      </c>
      <c r="Q86" s="3">
        <f t="shared" si="10"/>
        <v>0</v>
      </c>
      <c r="R86" s="3">
        <f t="shared" si="11"/>
        <v>5464.11</v>
      </c>
      <c r="S86" s="3">
        <f t="shared" si="12"/>
        <v>12115</v>
      </c>
      <c r="T86" s="24" t="s">
        <v>1081</v>
      </c>
      <c r="U86" s="24" t="s">
        <v>1081</v>
      </c>
      <c r="V86" s="80"/>
      <c r="W86" s="3" t="s">
        <v>147</v>
      </c>
      <c r="X86" s="3" t="s">
        <v>4030</v>
      </c>
      <c r="Y86" s="3"/>
      <c r="Z86" s="3"/>
      <c r="AA86" s="3"/>
      <c r="AB86" s="3" t="str">
        <f>IF(BCP_Dolares[[#This Row],[FECHA]]&gt;0,TEXT(BCP_Dolares[[#This Row],[FECHA]],"mmmm"),0)</f>
        <v>Marzo</v>
      </c>
    </row>
    <row r="87" spans="2:28" ht="24" x14ac:dyDescent="0.3">
      <c r="B87" s="2" t="str">
        <f>IF(BCP_Dolares[[#This Row],[TIPO DE R.]]="R",COUNTIFS($D$4:$D86,"R")+1,"")</f>
        <v/>
      </c>
      <c r="C87" s="19" t="str">
        <f t="shared" ref="C87:C92" si="15">"B-BCP - Dolares"</f>
        <v>B-BCP - Dolares</v>
      </c>
      <c r="D87" s="3" t="s">
        <v>1101</v>
      </c>
      <c r="E87" s="14">
        <v>45728</v>
      </c>
      <c r="F87" s="5" t="s">
        <v>1082</v>
      </c>
      <c r="G87" s="5"/>
      <c r="H87" s="6" t="s">
        <v>147</v>
      </c>
      <c r="I87" s="6" t="s">
        <v>14</v>
      </c>
      <c r="J87" s="6" t="s">
        <v>1148</v>
      </c>
      <c r="K87" s="6">
        <v>15539</v>
      </c>
      <c r="L87" s="7" t="s">
        <v>4029</v>
      </c>
      <c r="M87" s="8">
        <v>1567889</v>
      </c>
      <c r="N87" s="8" t="str">
        <f t="shared" ref="N87:N92" si="16">"USD"</f>
        <v>USD</v>
      </c>
      <c r="O87" s="13">
        <v>3320.39</v>
      </c>
      <c r="P87" s="13"/>
      <c r="Q87" s="3">
        <f t="shared" si="10"/>
        <v>0</v>
      </c>
      <c r="R87" s="3">
        <f t="shared" si="11"/>
        <v>0</v>
      </c>
      <c r="S87" s="3">
        <f t="shared" si="12"/>
        <v>12115</v>
      </c>
      <c r="T87" s="24"/>
      <c r="U87" s="24" t="s">
        <v>1081</v>
      </c>
      <c r="V87" s="80"/>
      <c r="W87" s="3"/>
      <c r="X87" s="3"/>
      <c r="Y87" s="3"/>
      <c r="Z87" s="3"/>
      <c r="AA87" s="3"/>
      <c r="AB87" s="3" t="str">
        <f>IF(BCP_Dolares[[#This Row],[FECHA]]&gt;0,TEXT(BCP_Dolares[[#This Row],[FECHA]],"mmmm"),0)</f>
        <v>Marzo</v>
      </c>
    </row>
    <row r="88" spans="2:28" ht="24" x14ac:dyDescent="0.3">
      <c r="B88" s="2" t="str">
        <f>IF(BCP_Dolares[[#This Row],[TIPO DE R.]]="R",COUNTIFS($D$4:$D87,"R")+1,"")</f>
        <v/>
      </c>
      <c r="C88" s="19" t="str">
        <f t="shared" si="15"/>
        <v>B-BCP - Dolares</v>
      </c>
      <c r="D88" s="3" t="s">
        <v>1101</v>
      </c>
      <c r="E88" s="14">
        <v>45728</v>
      </c>
      <c r="F88" s="5" t="s">
        <v>1082</v>
      </c>
      <c r="G88" s="5"/>
      <c r="H88" s="6" t="s">
        <v>147</v>
      </c>
      <c r="I88" s="6" t="s">
        <v>14</v>
      </c>
      <c r="J88" s="6" t="s">
        <v>1148</v>
      </c>
      <c r="K88" s="6">
        <v>15540</v>
      </c>
      <c r="L88" s="7" t="s">
        <v>4029</v>
      </c>
      <c r="M88" s="8">
        <v>1567889</v>
      </c>
      <c r="N88" s="8" t="str">
        <f t="shared" si="16"/>
        <v>USD</v>
      </c>
      <c r="O88" s="13">
        <v>1909.25</v>
      </c>
      <c r="P88" s="13"/>
      <c r="Q88" s="3">
        <f t="shared" si="10"/>
        <v>0</v>
      </c>
      <c r="R88" s="3">
        <f t="shared" si="11"/>
        <v>0</v>
      </c>
      <c r="S88" s="3">
        <f t="shared" si="12"/>
        <v>12115</v>
      </c>
      <c r="T88" s="24"/>
      <c r="U88" s="24" t="s">
        <v>1081</v>
      </c>
      <c r="V88" s="80"/>
      <c r="W88" s="3"/>
      <c r="X88" s="3"/>
      <c r="Y88" s="3"/>
      <c r="Z88" s="3"/>
      <c r="AA88" s="3"/>
      <c r="AB88" s="3" t="str">
        <f>IF(BCP_Dolares[[#This Row],[FECHA]]&gt;0,TEXT(BCP_Dolares[[#This Row],[FECHA]],"mmmm"),0)</f>
        <v>Marzo</v>
      </c>
    </row>
    <row r="89" spans="2:28" ht="24" x14ac:dyDescent="0.3">
      <c r="B89" s="2" t="str">
        <f>IF(BCP_Dolares[[#This Row],[TIPO DE R.]]="R",COUNTIFS($D$4:$D88,"R")+1,"")</f>
        <v/>
      </c>
      <c r="C89" s="19" t="str">
        <f t="shared" si="15"/>
        <v>B-BCP - Dolares</v>
      </c>
      <c r="D89" s="3" t="s">
        <v>1101</v>
      </c>
      <c r="E89" s="14">
        <v>45728</v>
      </c>
      <c r="F89" s="5" t="s">
        <v>1082</v>
      </c>
      <c r="G89" s="5"/>
      <c r="H89" s="6" t="s">
        <v>147</v>
      </c>
      <c r="I89" s="6" t="s">
        <v>14</v>
      </c>
      <c r="J89" s="6" t="s">
        <v>1148</v>
      </c>
      <c r="K89" s="6">
        <v>15533</v>
      </c>
      <c r="L89" s="7" t="s">
        <v>4029</v>
      </c>
      <c r="M89" s="8">
        <v>1567889</v>
      </c>
      <c r="N89" s="8" t="str">
        <f t="shared" si="16"/>
        <v>USD</v>
      </c>
      <c r="O89" s="13">
        <v>90.82</v>
      </c>
      <c r="P89" s="13"/>
      <c r="Q89" s="3">
        <f t="shared" si="10"/>
        <v>0</v>
      </c>
      <c r="R89" s="3">
        <f t="shared" si="11"/>
        <v>0</v>
      </c>
      <c r="S89" s="3">
        <f t="shared" si="12"/>
        <v>12115</v>
      </c>
      <c r="T89" s="24"/>
      <c r="U89" s="24" t="s">
        <v>1081</v>
      </c>
      <c r="V89" s="80"/>
      <c r="W89" s="3"/>
      <c r="X89" s="3"/>
      <c r="Y89" s="3"/>
      <c r="Z89" s="3"/>
      <c r="AA89" s="3"/>
      <c r="AB89" s="3" t="str">
        <f>IF(BCP_Dolares[[#This Row],[FECHA]]&gt;0,TEXT(BCP_Dolares[[#This Row],[FECHA]],"mmmm"),0)</f>
        <v>Marzo</v>
      </c>
    </row>
    <row r="90" spans="2:28" ht="24" x14ac:dyDescent="0.3">
      <c r="B90" s="2" t="str">
        <f>IF(BCP_Dolares[[#This Row],[TIPO DE R.]]="R",COUNTIFS($D$4:$D89,"R")+1,"")</f>
        <v/>
      </c>
      <c r="C90" s="19" t="str">
        <f t="shared" si="15"/>
        <v>B-BCP - Dolares</v>
      </c>
      <c r="D90" s="3" t="s">
        <v>1101</v>
      </c>
      <c r="E90" s="14">
        <v>45728</v>
      </c>
      <c r="F90" s="5" t="s">
        <v>1082</v>
      </c>
      <c r="G90" s="5"/>
      <c r="H90" s="6" t="s">
        <v>147</v>
      </c>
      <c r="I90" s="6" t="s">
        <v>14</v>
      </c>
      <c r="J90" s="6" t="s">
        <v>1148</v>
      </c>
      <c r="K90" s="6">
        <v>15544</v>
      </c>
      <c r="L90" s="7" t="s">
        <v>4029</v>
      </c>
      <c r="M90" s="8">
        <v>1567889</v>
      </c>
      <c r="N90" s="8" t="str">
        <f t="shared" si="16"/>
        <v>USD</v>
      </c>
      <c r="O90" s="13">
        <v>39.729999999999997</v>
      </c>
      <c r="P90" s="13"/>
      <c r="Q90" s="3">
        <f t="shared" si="10"/>
        <v>0</v>
      </c>
      <c r="R90" s="3">
        <f t="shared" si="11"/>
        <v>0</v>
      </c>
      <c r="S90" s="3">
        <f t="shared" si="12"/>
        <v>12115</v>
      </c>
      <c r="T90" s="24"/>
      <c r="U90" s="24" t="s">
        <v>1081</v>
      </c>
      <c r="V90" s="80"/>
      <c r="W90" s="3"/>
      <c r="X90" s="3"/>
      <c r="Y90" s="3"/>
      <c r="Z90" s="3"/>
      <c r="AA90" s="3"/>
      <c r="AB90" s="3" t="str">
        <f>IF(BCP_Dolares[[#This Row],[FECHA]]&gt;0,TEXT(BCP_Dolares[[#This Row],[FECHA]],"mmmm"),0)</f>
        <v>Marzo</v>
      </c>
    </row>
    <row r="91" spans="2:28" ht="24" x14ac:dyDescent="0.3">
      <c r="B91" s="2" t="str">
        <f>IF(BCP_Dolares[[#This Row],[TIPO DE R.]]="R",COUNTIFS($D$4:$D90,"R")+1,"")</f>
        <v/>
      </c>
      <c r="C91" s="19" t="str">
        <f t="shared" si="15"/>
        <v>B-BCP - Dolares</v>
      </c>
      <c r="D91" s="3" t="s">
        <v>1101</v>
      </c>
      <c r="E91" s="14">
        <v>45728</v>
      </c>
      <c r="F91" s="5" t="s">
        <v>1082</v>
      </c>
      <c r="G91" s="5"/>
      <c r="H91" s="6" t="s">
        <v>147</v>
      </c>
      <c r="I91" s="6" t="s">
        <v>14</v>
      </c>
      <c r="J91" s="6" t="s">
        <v>1148</v>
      </c>
      <c r="K91" s="6">
        <v>15556</v>
      </c>
      <c r="L91" s="7" t="s">
        <v>4029</v>
      </c>
      <c r="M91" s="8">
        <v>1567889</v>
      </c>
      <c r="N91" s="8" t="str">
        <f t="shared" si="16"/>
        <v>USD</v>
      </c>
      <c r="O91" s="13">
        <v>48.02</v>
      </c>
      <c r="P91" s="13"/>
      <c r="Q91" s="3">
        <f t="shared" si="10"/>
        <v>0</v>
      </c>
      <c r="R91" s="3">
        <f t="shared" si="11"/>
        <v>0</v>
      </c>
      <c r="S91" s="3">
        <f t="shared" si="12"/>
        <v>12115</v>
      </c>
      <c r="T91" s="24"/>
      <c r="U91" s="24" t="s">
        <v>1081</v>
      </c>
      <c r="V91" s="80"/>
      <c r="W91" s="3"/>
      <c r="X91" s="3"/>
      <c r="Y91" s="3"/>
      <c r="Z91" s="3"/>
      <c r="AA91" s="3"/>
      <c r="AB91" s="3" t="str">
        <f>IF(BCP_Dolares[[#This Row],[FECHA]]&gt;0,TEXT(BCP_Dolares[[#This Row],[FECHA]],"mmmm"),0)</f>
        <v>Marzo</v>
      </c>
    </row>
    <row r="92" spans="2:28" ht="24" x14ac:dyDescent="0.3">
      <c r="B92" s="2" t="str">
        <f>IF(BCP_Dolares[[#This Row],[TIPO DE R.]]="R",COUNTIFS($D$4:$D91,"R")+1,"")</f>
        <v/>
      </c>
      <c r="C92" s="19" t="str">
        <f t="shared" si="15"/>
        <v>B-BCP - Dolares</v>
      </c>
      <c r="D92" s="3" t="s">
        <v>1101</v>
      </c>
      <c r="E92" s="14">
        <v>45728</v>
      </c>
      <c r="F92" s="5" t="s">
        <v>1082</v>
      </c>
      <c r="G92" s="5"/>
      <c r="H92" s="6" t="s">
        <v>147</v>
      </c>
      <c r="I92" s="6" t="s">
        <v>14</v>
      </c>
      <c r="J92" s="6" t="s">
        <v>1148</v>
      </c>
      <c r="K92" s="6">
        <v>15557</v>
      </c>
      <c r="L92" s="7" t="s">
        <v>4029</v>
      </c>
      <c r="M92" s="8">
        <v>1567889</v>
      </c>
      <c r="N92" s="8" t="str">
        <f t="shared" si="16"/>
        <v>USD</v>
      </c>
      <c r="O92" s="13">
        <v>55.9</v>
      </c>
      <c r="P92" s="13"/>
      <c r="Q92" s="3">
        <f t="shared" si="10"/>
        <v>0</v>
      </c>
      <c r="R92" s="3">
        <f t="shared" si="11"/>
        <v>0</v>
      </c>
      <c r="S92" s="3">
        <f t="shared" si="12"/>
        <v>12115</v>
      </c>
      <c r="T92" s="24"/>
      <c r="U92" s="24" t="s">
        <v>1081</v>
      </c>
      <c r="V92" s="80"/>
      <c r="W92" s="3"/>
      <c r="X92" s="3"/>
      <c r="Y92" s="3"/>
      <c r="Z92" s="3"/>
      <c r="AA92" s="3"/>
      <c r="AB92" s="3" t="str">
        <f>IF(BCP_Dolares[[#This Row],[FECHA]]&gt;0,TEXT(BCP_Dolares[[#This Row],[FECHA]],"mmmm"),0)</f>
        <v>Marzo</v>
      </c>
    </row>
    <row r="93" spans="2:28" x14ac:dyDescent="0.3">
      <c r="B93" s="2">
        <f>IF(BCP_Dolares[[#This Row],[TIPO DE R.]]="R",COUNTIFS($D$4:$D92,"R")+1,"")</f>
        <v>37</v>
      </c>
      <c r="C93" s="19" t="str">
        <f t="shared" si="13"/>
        <v>B-BCP - Dolares</v>
      </c>
      <c r="D93" s="3" t="s">
        <v>1074</v>
      </c>
      <c r="E93" s="14">
        <v>45728</v>
      </c>
      <c r="F93" s="5" t="s">
        <v>1078</v>
      </c>
      <c r="G93" s="5" t="s">
        <v>1079</v>
      </c>
      <c r="H93" s="6"/>
      <c r="I93" s="6"/>
      <c r="J93" s="6"/>
      <c r="K93" s="6"/>
      <c r="L93" s="7" t="s">
        <v>1080</v>
      </c>
      <c r="M93" s="8"/>
      <c r="N93" s="8" t="str">
        <f t="shared" si="14"/>
        <v>USD</v>
      </c>
      <c r="O93" s="13"/>
      <c r="P93" s="13">
        <v>0.25</v>
      </c>
      <c r="Q93" s="3">
        <f t="shared" si="10"/>
        <v>0</v>
      </c>
      <c r="R93" s="3">
        <f t="shared" si="11"/>
        <v>0.25</v>
      </c>
      <c r="S93" s="3">
        <f t="shared" si="12"/>
        <v>12114.75</v>
      </c>
      <c r="T93" s="24"/>
      <c r="U93" s="24"/>
      <c r="V93" s="80"/>
      <c r="W93" s="3"/>
      <c r="X93" s="3"/>
      <c r="Y93" s="3"/>
      <c r="Z93" s="3"/>
      <c r="AA93" s="3"/>
      <c r="AB93" s="3" t="str">
        <f>IF(BCP_Dolares[[#This Row],[FECHA]]&gt;0,TEXT(BCP_Dolares[[#This Row],[FECHA]],"mmmm"),0)</f>
        <v>Marzo</v>
      </c>
    </row>
    <row r="94" spans="2:28" ht="24" x14ac:dyDescent="0.3">
      <c r="B94" s="2">
        <f>IF(BCP_Dolares[[#This Row],[TIPO DE R.]]="R",COUNTIFS($D$4:$D93,"R")+1,"")</f>
        <v>38</v>
      </c>
      <c r="C94" s="19" t="str">
        <f t="shared" si="13"/>
        <v>B-BCP - Dolares</v>
      </c>
      <c r="D94" s="3" t="s">
        <v>1074</v>
      </c>
      <c r="E94" s="14">
        <v>45733</v>
      </c>
      <c r="F94" s="5" t="s">
        <v>1082</v>
      </c>
      <c r="G94" s="5" t="s">
        <v>1079</v>
      </c>
      <c r="H94" s="6" t="s">
        <v>719</v>
      </c>
      <c r="I94" s="6" t="s">
        <v>14</v>
      </c>
      <c r="J94" s="6" t="s">
        <v>2789</v>
      </c>
      <c r="K94" s="6">
        <v>148881</v>
      </c>
      <c r="L94" s="7" t="s">
        <v>2790</v>
      </c>
      <c r="M94" s="8">
        <v>106615</v>
      </c>
      <c r="N94" s="8" t="str">
        <f t="shared" si="14"/>
        <v>USD</v>
      </c>
      <c r="O94" s="13"/>
      <c r="P94" s="13">
        <v>1010.25</v>
      </c>
      <c r="Q94" s="3">
        <f t="shared" si="10"/>
        <v>0</v>
      </c>
      <c r="R94" s="3">
        <f t="shared" si="11"/>
        <v>1010.25</v>
      </c>
      <c r="S94" s="3">
        <f t="shared" si="12"/>
        <v>11104.5</v>
      </c>
      <c r="T94" s="24" t="s">
        <v>1081</v>
      </c>
      <c r="U94" s="24"/>
      <c r="V94" s="80"/>
      <c r="W94" s="3" t="s">
        <v>3997</v>
      </c>
      <c r="X94" s="3" t="s">
        <v>4031</v>
      </c>
      <c r="Y94" s="3"/>
      <c r="Z94" s="3"/>
      <c r="AA94" s="3"/>
      <c r="AB94" s="3" t="str">
        <f>IF(BCP_Dolares[[#This Row],[FECHA]]&gt;0,TEXT(BCP_Dolares[[#This Row],[FECHA]],"mmmm"),0)</f>
        <v>Marzo</v>
      </c>
    </row>
    <row r="95" spans="2:28" x14ac:dyDescent="0.3">
      <c r="B95" s="2">
        <f>IF(BCP_Dolares[[#This Row],[TIPO DE R.]]="R",COUNTIFS($D$4:$D94,"R")+1,"")</f>
        <v>39</v>
      </c>
      <c r="C95" s="19" t="str">
        <f t="shared" si="13"/>
        <v>B-BCP - Dolares</v>
      </c>
      <c r="D95" s="3" t="s">
        <v>1074</v>
      </c>
      <c r="E95" s="14">
        <v>45735</v>
      </c>
      <c r="F95" s="5" t="s">
        <v>368</v>
      </c>
      <c r="G95" s="5" t="s">
        <v>1079</v>
      </c>
      <c r="H95" s="6"/>
      <c r="I95" s="6"/>
      <c r="J95" s="6"/>
      <c r="K95" s="6"/>
      <c r="L95" s="7" t="s">
        <v>2045</v>
      </c>
      <c r="M95" s="8">
        <v>1146343</v>
      </c>
      <c r="N95" s="8" t="str">
        <f t="shared" si="14"/>
        <v>USD</v>
      </c>
      <c r="O95" s="13"/>
      <c r="P95" s="13">
        <v>10000</v>
      </c>
      <c r="Q95" s="3">
        <f t="shared" si="10"/>
        <v>0</v>
      </c>
      <c r="R95" s="3">
        <f t="shared" si="11"/>
        <v>10000</v>
      </c>
      <c r="S95" s="3">
        <f t="shared" si="12"/>
        <v>1104.5</v>
      </c>
      <c r="T95" s="24"/>
      <c r="U95" s="24"/>
      <c r="V95" s="80"/>
      <c r="W95" s="3" t="s">
        <v>368</v>
      </c>
      <c r="X95" s="3"/>
      <c r="Y95" s="3"/>
      <c r="Z95" s="3"/>
      <c r="AA95" s="3"/>
      <c r="AB95" s="3" t="str">
        <f>IF(BCP_Dolares[[#This Row],[FECHA]]&gt;0,TEXT(BCP_Dolares[[#This Row],[FECHA]],"mmmm"),0)</f>
        <v>Marzo</v>
      </c>
    </row>
    <row r="96" spans="2:28" x14ac:dyDescent="0.3">
      <c r="B96" s="2">
        <f>IF(BCP_Dolares[[#This Row],[TIPO DE R.]]="R",COUNTIFS($D$4:$D95,"R")+1,"")</f>
        <v>40</v>
      </c>
      <c r="C96" s="19" t="str">
        <f t="shared" si="13"/>
        <v>B-BCP - Dolares</v>
      </c>
      <c r="D96" s="3" t="s">
        <v>1074</v>
      </c>
      <c r="E96" s="14">
        <v>45740</v>
      </c>
      <c r="F96" s="5" t="s">
        <v>1078</v>
      </c>
      <c r="G96" s="5" t="s">
        <v>1079</v>
      </c>
      <c r="H96" s="6"/>
      <c r="I96" s="6"/>
      <c r="J96" s="6"/>
      <c r="K96" s="6"/>
      <c r="L96" s="7" t="s">
        <v>1080</v>
      </c>
      <c r="M96" s="8"/>
      <c r="N96" s="8" t="str">
        <f t="shared" si="14"/>
        <v>USD</v>
      </c>
      <c r="O96" s="13"/>
      <c r="P96" s="13">
        <v>0.05</v>
      </c>
      <c r="Q96" s="3">
        <f t="shared" si="10"/>
        <v>0</v>
      </c>
      <c r="R96" s="3">
        <f t="shared" si="11"/>
        <v>0.05</v>
      </c>
      <c r="S96" s="3">
        <f t="shared" si="12"/>
        <v>1104.45</v>
      </c>
      <c r="T96" s="24"/>
      <c r="U96" s="24"/>
      <c r="V96" s="80"/>
      <c r="W96" s="3"/>
      <c r="X96" s="3"/>
      <c r="Y96" s="3"/>
      <c r="Z96" s="3"/>
      <c r="AA96" s="3"/>
      <c r="AB96" s="3" t="str">
        <f>IF(BCP_Dolares[[#This Row],[FECHA]]&gt;0,TEXT(BCP_Dolares[[#This Row],[FECHA]],"mmmm"),0)</f>
        <v>Marzo</v>
      </c>
    </row>
    <row r="97" spans="2:28" x14ac:dyDescent="0.3">
      <c r="B97" s="2">
        <f>IF(BCP_Dolares[[#This Row],[TIPO DE R.]]="R",COUNTIFS($D$4:$D96,"R")+1,"")</f>
        <v>41</v>
      </c>
      <c r="C97" s="19" t="str">
        <f t="shared" si="13"/>
        <v>B-BCP - Dolares</v>
      </c>
      <c r="D97" s="3" t="s">
        <v>1074</v>
      </c>
      <c r="E97" s="14">
        <v>45740</v>
      </c>
      <c r="F97" s="5" t="s">
        <v>1082</v>
      </c>
      <c r="G97" s="5" t="s">
        <v>1079</v>
      </c>
      <c r="H97" s="6"/>
      <c r="I97" s="6"/>
      <c r="J97" s="6"/>
      <c r="K97" s="6"/>
      <c r="L97" s="7" t="s">
        <v>4032</v>
      </c>
      <c r="M97" s="8">
        <v>6064217</v>
      </c>
      <c r="N97" s="8" t="str">
        <f t="shared" si="14"/>
        <v>USD</v>
      </c>
      <c r="O97" s="13"/>
      <c r="P97" s="13">
        <v>1047.5899999999999</v>
      </c>
      <c r="Q97" s="3">
        <f t="shared" si="10"/>
        <v>0</v>
      </c>
      <c r="R97" s="3">
        <f t="shared" si="11"/>
        <v>1047.5899999999999</v>
      </c>
      <c r="S97" s="3">
        <f t="shared" si="12"/>
        <v>56.860000000000127</v>
      </c>
      <c r="T97" s="24" t="s">
        <v>1081</v>
      </c>
      <c r="U97" s="24"/>
      <c r="V97" s="80"/>
      <c r="W97" s="3" t="s">
        <v>4015</v>
      </c>
      <c r="X97" s="3"/>
      <c r="Y97" s="3"/>
      <c r="Z97" s="3"/>
      <c r="AA97" s="3"/>
      <c r="AB97" s="3" t="str">
        <f>IF(BCP_Dolares[[#This Row],[FECHA]]&gt;0,TEXT(BCP_Dolares[[#This Row],[FECHA]],"mmmm"),0)</f>
        <v>Marzo</v>
      </c>
    </row>
    <row r="98" spans="2:28" ht="36" x14ac:dyDescent="0.3">
      <c r="B98" s="2" t="str">
        <f>IF(BCP_Dolares[[#This Row],[TIPO DE R.]]="R",COUNTIFS($D$4:$D97,"R")+1,"")</f>
        <v/>
      </c>
      <c r="C98" s="19" t="str">
        <f t="shared" ref="C98:C108" si="17">"B-BCP - Dolares"</f>
        <v>B-BCP - Dolares</v>
      </c>
      <c r="D98" s="3" t="s">
        <v>1101</v>
      </c>
      <c r="E98" s="14">
        <v>45740</v>
      </c>
      <c r="F98" s="5" t="s">
        <v>1082</v>
      </c>
      <c r="G98" s="5"/>
      <c r="H98" s="6" t="s">
        <v>147</v>
      </c>
      <c r="I98" s="6" t="s">
        <v>14</v>
      </c>
      <c r="J98" s="6" t="s">
        <v>1148</v>
      </c>
      <c r="K98" s="6">
        <v>15564</v>
      </c>
      <c r="L98" s="7" t="s">
        <v>4032</v>
      </c>
      <c r="M98" s="8">
        <v>6064217</v>
      </c>
      <c r="N98" s="8" t="str">
        <f t="shared" ref="N98:N108" si="18">"USD"</f>
        <v>USD</v>
      </c>
      <c r="O98" s="13">
        <v>96.82</v>
      </c>
      <c r="P98" s="13"/>
      <c r="Q98" s="3">
        <f t="shared" si="10"/>
        <v>0</v>
      </c>
      <c r="R98" s="3">
        <f t="shared" si="11"/>
        <v>0</v>
      </c>
      <c r="S98" s="3">
        <f t="shared" si="12"/>
        <v>56.860000000000127</v>
      </c>
      <c r="T98" s="24" t="s">
        <v>1081</v>
      </c>
      <c r="U98" s="24"/>
      <c r="V98" s="80"/>
      <c r="W98" s="3" t="s">
        <v>4033</v>
      </c>
      <c r="X98" s="3"/>
      <c r="Y98" s="3"/>
      <c r="Z98" s="3"/>
      <c r="AA98" s="3"/>
      <c r="AB98" s="3" t="str">
        <f>IF(BCP_Dolares[[#This Row],[FECHA]]&gt;0,TEXT(BCP_Dolares[[#This Row],[FECHA]],"mmmm"),0)</f>
        <v>Marzo</v>
      </c>
    </row>
    <row r="99" spans="2:28" ht="24" x14ac:dyDescent="0.3">
      <c r="B99" s="2" t="str">
        <f>IF(BCP_Dolares[[#This Row],[TIPO DE R.]]="R",COUNTIFS($D$4:$D98,"R")+1,"")</f>
        <v/>
      </c>
      <c r="C99" s="19" t="str">
        <f t="shared" si="17"/>
        <v>B-BCP - Dolares</v>
      </c>
      <c r="D99" s="3" t="s">
        <v>1101</v>
      </c>
      <c r="E99" s="14">
        <v>45740</v>
      </c>
      <c r="F99" s="5" t="s">
        <v>1082</v>
      </c>
      <c r="G99" s="5"/>
      <c r="H99" s="6" t="s">
        <v>147</v>
      </c>
      <c r="I99" s="6" t="s">
        <v>14</v>
      </c>
      <c r="J99" s="6" t="s">
        <v>1148</v>
      </c>
      <c r="K99" s="6">
        <v>15584</v>
      </c>
      <c r="L99" s="7" t="s">
        <v>4032</v>
      </c>
      <c r="M99" s="8">
        <v>6064217</v>
      </c>
      <c r="N99" s="8" t="str">
        <f t="shared" si="18"/>
        <v>USD</v>
      </c>
      <c r="O99" s="13">
        <v>104.2</v>
      </c>
      <c r="P99" s="13"/>
      <c r="Q99" s="3">
        <f t="shared" si="10"/>
        <v>0</v>
      </c>
      <c r="R99" s="3">
        <f t="shared" si="11"/>
        <v>0</v>
      </c>
      <c r="S99" s="3">
        <f t="shared" si="12"/>
        <v>56.860000000000127</v>
      </c>
      <c r="T99" s="24" t="s">
        <v>1081</v>
      </c>
      <c r="U99" s="24"/>
      <c r="V99" s="80"/>
      <c r="W99" s="3"/>
      <c r="X99" s="3"/>
      <c r="Y99" s="3"/>
      <c r="Z99" s="3"/>
      <c r="AA99" s="3"/>
      <c r="AB99" s="3" t="str">
        <f>IF(BCP_Dolares[[#This Row],[FECHA]]&gt;0,TEXT(BCP_Dolares[[#This Row],[FECHA]],"mmmm"),0)</f>
        <v>Marzo</v>
      </c>
    </row>
    <row r="100" spans="2:28" ht="24" x14ac:dyDescent="0.3">
      <c r="B100" s="2" t="str">
        <f>IF(BCP_Dolares[[#This Row],[TIPO DE R.]]="R",COUNTIFS($D$4:$D99,"R")+1,"")</f>
        <v/>
      </c>
      <c r="C100" s="19" t="str">
        <f t="shared" si="17"/>
        <v>B-BCP - Dolares</v>
      </c>
      <c r="D100" s="3" t="s">
        <v>1101</v>
      </c>
      <c r="E100" s="14">
        <v>45740</v>
      </c>
      <c r="F100" s="5" t="s">
        <v>1082</v>
      </c>
      <c r="G100" s="5"/>
      <c r="H100" s="6" t="s">
        <v>147</v>
      </c>
      <c r="I100" s="6" t="s">
        <v>14</v>
      </c>
      <c r="J100" s="6" t="s">
        <v>1148</v>
      </c>
      <c r="K100" s="6">
        <v>15595</v>
      </c>
      <c r="L100" s="7" t="s">
        <v>4032</v>
      </c>
      <c r="M100" s="8">
        <v>6064217</v>
      </c>
      <c r="N100" s="8" t="str">
        <f t="shared" si="18"/>
        <v>USD</v>
      </c>
      <c r="O100" s="13">
        <v>104.16</v>
      </c>
      <c r="P100" s="13"/>
      <c r="Q100" s="3">
        <f t="shared" si="10"/>
        <v>0</v>
      </c>
      <c r="R100" s="3">
        <f t="shared" si="11"/>
        <v>0</v>
      </c>
      <c r="S100" s="3">
        <f t="shared" si="12"/>
        <v>56.860000000000127</v>
      </c>
      <c r="T100" s="24" t="s">
        <v>1081</v>
      </c>
      <c r="U100" s="24"/>
      <c r="V100" s="80"/>
      <c r="W100" s="3"/>
      <c r="X100" s="3"/>
      <c r="Y100" s="3"/>
      <c r="Z100" s="3"/>
      <c r="AA100" s="3"/>
      <c r="AB100" s="3" t="str">
        <f>IF(BCP_Dolares[[#This Row],[FECHA]]&gt;0,TEXT(BCP_Dolares[[#This Row],[FECHA]],"mmmm"),0)</f>
        <v>Marzo</v>
      </c>
    </row>
    <row r="101" spans="2:28" ht="24" x14ac:dyDescent="0.3">
      <c r="B101" s="2" t="str">
        <f>IF(BCP_Dolares[[#This Row],[TIPO DE R.]]="R",COUNTIFS($D$4:$D100,"R")+1,"")</f>
        <v/>
      </c>
      <c r="C101" s="19" t="str">
        <f t="shared" si="17"/>
        <v>B-BCP - Dolares</v>
      </c>
      <c r="D101" s="3" t="s">
        <v>1101</v>
      </c>
      <c r="E101" s="14">
        <v>45740</v>
      </c>
      <c r="F101" s="5" t="s">
        <v>1082</v>
      </c>
      <c r="G101" s="5"/>
      <c r="H101" s="6" t="s">
        <v>147</v>
      </c>
      <c r="I101" s="6" t="s">
        <v>14</v>
      </c>
      <c r="J101" s="6" t="s">
        <v>1148</v>
      </c>
      <c r="K101" s="6">
        <v>15610</v>
      </c>
      <c r="L101" s="7" t="s">
        <v>4032</v>
      </c>
      <c r="M101" s="8">
        <v>6064217</v>
      </c>
      <c r="N101" s="8" t="str">
        <f t="shared" si="18"/>
        <v>USD</v>
      </c>
      <c r="O101" s="13">
        <v>108.91</v>
      </c>
      <c r="P101" s="13"/>
      <c r="Q101" s="3">
        <f t="shared" si="10"/>
        <v>0</v>
      </c>
      <c r="R101" s="3">
        <f t="shared" si="11"/>
        <v>0</v>
      </c>
      <c r="S101" s="3">
        <f t="shared" si="12"/>
        <v>56.860000000000127</v>
      </c>
      <c r="T101" s="24" t="s">
        <v>1081</v>
      </c>
      <c r="U101" s="24"/>
      <c r="V101" s="80"/>
      <c r="W101" s="3"/>
      <c r="X101" s="3"/>
      <c r="Y101" s="3"/>
      <c r="Z101" s="3"/>
      <c r="AA101" s="3"/>
      <c r="AB101" s="3" t="str">
        <f>IF(BCP_Dolares[[#This Row],[FECHA]]&gt;0,TEXT(BCP_Dolares[[#This Row],[FECHA]],"mmmm"),0)</f>
        <v>Marzo</v>
      </c>
    </row>
    <row r="102" spans="2:28" ht="24" x14ac:dyDescent="0.3">
      <c r="B102" s="2" t="str">
        <f>IF(BCP_Dolares[[#This Row],[TIPO DE R.]]="R",COUNTIFS($D$4:$D101,"R")+1,"")</f>
        <v/>
      </c>
      <c r="C102" s="19" t="str">
        <f t="shared" si="17"/>
        <v>B-BCP - Dolares</v>
      </c>
      <c r="D102" s="3" t="s">
        <v>1101</v>
      </c>
      <c r="E102" s="14">
        <v>45740</v>
      </c>
      <c r="F102" s="5" t="s">
        <v>1082</v>
      </c>
      <c r="G102" s="5"/>
      <c r="H102" s="6" t="s">
        <v>147</v>
      </c>
      <c r="I102" s="6" t="s">
        <v>14</v>
      </c>
      <c r="J102" s="6" t="s">
        <v>1148</v>
      </c>
      <c r="K102" s="6">
        <v>15611</v>
      </c>
      <c r="L102" s="7" t="s">
        <v>4032</v>
      </c>
      <c r="M102" s="8">
        <v>6064217</v>
      </c>
      <c r="N102" s="8" t="str">
        <f t="shared" si="18"/>
        <v>USD</v>
      </c>
      <c r="O102" s="13">
        <v>55.38</v>
      </c>
      <c r="P102" s="13"/>
      <c r="Q102" s="3">
        <f t="shared" si="10"/>
        <v>0</v>
      </c>
      <c r="R102" s="3">
        <f t="shared" si="11"/>
        <v>0</v>
      </c>
      <c r="S102" s="3">
        <f t="shared" si="12"/>
        <v>56.860000000000127</v>
      </c>
      <c r="T102" s="24" t="s">
        <v>1081</v>
      </c>
      <c r="U102" s="24"/>
      <c r="V102" s="80"/>
      <c r="W102" s="3"/>
      <c r="X102" s="3"/>
      <c r="Y102" s="3"/>
      <c r="Z102" s="3"/>
      <c r="AA102" s="3"/>
      <c r="AB102" s="3" t="str">
        <f>IF(BCP_Dolares[[#This Row],[FECHA]]&gt;0,TEXT(BCP_Dolares[[#This Row],[FECHA]],"mmmm"),0)</f>
        <v>Marzo</v>
      </c>
    </row>
    <row r="103" spans="2:28" ht="24" x14ac:dyDescent="0.3">
      <c r="B103" s="2" t="str">
        <f>IF(BCP_Dolares[[#This Row],[TIPO DE R.]]="R",COUNTIFS($D$4:$D102,"R")+1,"")</f>
        <v/>
      </c>
      <c r="C103" s="19" t="str">
        <f t="shared" si="17"/>
        <v>B-BCP - Dolares</v>
      </c>
      <c r="D103" s="3" t="s">
        <v>1101</v>
      </c>
      <c r="E103" s="14">
        <v>45740</v>
      </c>
      <c r="F103" s="5" t="s">
        <v>1082</v>
      </c>
      <c r="G103" s="5"/>
      <c r="H103" s="6" t="s">
        <v>147</v>
      </c>
      <c r="I103" s="6" t="s">
        <v>14</v>
      </c>
      <c r="J103" s="6" t="s">
        <v>1148</v>
      </c>
      <c r="K103" s="6">
        <v>15612</v>
      </c>
      <c r="L103" s="7" t="s">
        <v>4032</v>
      </c>
      <c r="M103" s="8">
        <v>6064217</v>
      </c>
      <c r="N103" s="8" t="str">
        <f t="shared" si="18"/>
        <v>USD</v>
      </c>
      <c r="O103" s="13">
        <v>44.53</v>
      </c>
      <c r="P103" s="13"/>
      <c r="Q103" s="3">
        <f t="shared" si="10"/>
        <v>0</v>
      </c>
      <c r="R103" s="3">
        <f t="shared" si="11"/>
        <v>0</v>
      </c>
      <c r="S103" s="3">
        <f t="shared" si="12"/>
        <v>56.860000000000127</v>
      </c>
      <c r="T103" s="24" t="s">
        <v>1081</v>
      </c>
      <c r="U103" s="24"/>
      <c r="V103" s="80"/>
      <c r="W103" s="3"/>
      <c r="X103" s="3"/>
      <c r="Y103" s="3"/>
      <c r="Z103" s="3"/>
      <c r="AA103" s="3"/>
      <c r="AB103" s="3" t="str">
        <f>IF(BCP_Dolares[[#This Row],[FECHA]]&gt;0,TEXT(BCP_Dolares[[#This Row],[FECHA]],"mmmm"),0)</f>
        <v>Marzo</v>
      </c>
    </row>
    <row r="104" spans="2:28" ht="24" x14ac:dyDescent="0.3">
      <c r="B104" s="2" t="str">
        <f>IF(BCP_Dolares[[#This Row],[TIPO DE R.]]="R",COUNTIFS($D$4:$D103,"R")+1,"")</f>
        <v/>
      </c>
      <c r="C104" s="19" t="str">
        <f t="shared" si="17"/>
        <v>B-BCP - Dolares</v>
      </c>
      <c r="D104" s="3" t="s">
        <v>1101</v>
      </c>
      <c r="E104" s="14">
        <v>45740</v>
      </c>
      <c r="F104" s="5" t="s">
        <v>1082</v>
      </c>
      <c r="G104" s="5"/>
      <c r="H104" s="6" t="s">
        <v>147</v>
      </c>
      <c r="I104" s="6" t="s">
        <v>14</v>
      </c>
      <c r="J104" s="6" t="s">
        <v>1148</v>
      </c>
      <c r="K104" s="6">
        <v>15617</v>
      </c>
      <c r="L104" s="7" t="s">
        <v>4032</v>
      </c>
      <c r="M104" s="8">
        <v>6064217</v>
      </c>
      <c r="N104" s="8" t="str">
        <f t="shared" si="18"/>
        <v>USD</v>
      </c>
      <c r="O104" s="13">
        <v>72.209999999999994</v>
      </c>
      <c r="P104" s="13"/>
      <c r="Q104" s="3">
        <f t="shared" si="10"/>
        <v>0</v>
      </c>
      <c r="R104" s="3">
        <f t="shared" si="11"/>
        <v>0</v>
      </c>
      <c r="S104" s="3">
        <f t="shared" si="12"/>
        <v>56.860000000000127</v>
      </c>
      <c r="T104" s="24" t="s">
        <v>1081</v>
      </c>
      <c r="U104" s="24"/>
      <c r="V104" s="80"/>
      <c r="W104" s="3"/>
      <c r="X104" s="3"/>
      <c r="Y104" s="3"/>
      <c r="Z104" s="3"/>
      <c r="AA104" s="3"/>
      <c r="AB104" s="3" t="str">
        <f>IF(BCP_Dolares[[#This Row],[FECHA]]&gt;0,TEXT(BCP_Dolares[[#This Row],[FECHA]],"mmmm"),0)</f>
        <v>Marzo</v>
      </c>
    </row>
    <row r="105" spans="2:28" ht="24" x14ac:dyDescent="0.3">
      <c r="B105" s="2" t="str">
        <f>IF(BCP_Dolares[[#This Row],[TIPO DE R.]]="R",COUNTIFS($D$4:$D104,"R")+1,"")</f>
        <v/>
      </c>
      <c r="C105" s="19" t="str">
        <f t="shared" si="17"/>
        <v>B-BCP - Dolares</v>
      </c>
      <c r="D105" s="3" t="s">
        <v>1101</v>
      </c>
      <c r="E105" s="14">
        <v>45740</v>
      </c>
      <c r="F105" s="5" t="s">
        <v>1082</v>
      </c>
      <c r="G105" s="5"/>
      <c r="H105" s="6" t="s">
        <v>147</v>
      </c>
      <c r="I105" s="6" t="s">
        <v>14</v>
      </c>
      <c r="J105" s="6" t="s">
        <v>1148</v>
      </c>
      <c r="K105" s="6">
        <v>15631</v>
      </c>
      <c r="L105" s="7" t="s">
        <v>4032</v>
      </c>
      <c r="M105" s="8">
        <v>6064217</v>
      </c>
      <c r="N105" s="8" t="str">
        <f t="shared" si="18"/>
        <v>USD</v>
      </c>
      <c r="O105" s="13">
        <v>125.71</v>
      </c>
      <c r="P105" s="13"/>
      <c r="Q105" s="3">
        <f t="shared" si="10"/>
        <v>0</v>
      </c>
      <c r="R105" s="3">
        <f t="shared" si="11"/>
        <v>0</v>
      </c>
      <c r="S105" s="3">
        <f t="shared" si="12"/>
        <v>56.860000000000127</v>
      </c>
      <c r="T105" s="24" t="s">
        <v>1081</v>
      </c>
      <c r="U105" s="24"/>
      <c r="V105" s="80"/>
      <c r="W105" s="3"/>
      <c r="X105" s="3"/>
      <c r="Y105" s="3"/>
      <c r="Z105" s="3"/>
      <c r="AA105" s="3"/>
      <c r="AB105" s="3" t="str">
        <f>IF(BCP_Dolares[[#This Row],[FECHA]]&gt;0,TEXT(BCP_Dolares[[#This Row],[FECHA]],"mmmm"),0)</f>
        <v>Marzo</v>
      </c>
    </row>
    <row r="106" spans="2:28" ht="24" x14ac:dyDescent="0.3">
      <c r="B106" s="2" t="str">
        <f>IF(BCP_Dolares[[#This Row],[TIPO DE R.]]="R",COUNTIFS($D$4:$D105,"R")+1,"")</f>
        <v/>
      </c>
      <c r="C106" s="19" t="str">
        <f t="shared" si="17"/>
        <v>B-BCP - Dolares</v>
      </c>
      <c r="D106" s="3" t="s">
        <v>1101</v>
      </c>
      <c r="E106" s="14">
        <v>45740</v>
      </c>
      <c r="F106" s="5" t="s">
        <v>1082</v>
      </c>
      <c r="G106" s="5"/>
      <c r="H106" s="6" t="s">
        <v>147</v>
      </c>
      <c r="I106" s="6" t="s">
        <v>14</v>
      </c>
      <c r="J106" s="6" t="s">
        <v>1148</v>
      </c>
      <c r="K106" s="6">
        <v>15568</v>
      </c>
      <c r="L106" s="7" t="s">
        <v>4032</v>
      </c>
      <c r="M106" s="8">
        <v>6064217</v>
      </c>
      <c r="N106" s="8" t="str">
        <f t="shared" si="18"/>
        <v>USD</v>
      </c>
      <c r="O106" s="13">
        <v>67.900000000000006</v>
      </c>
      <c r="P106" s="13"/>
      <c r="Q106" s="3">
        <f t="shared" si="10"/>
        <v>0</v>
      </c>
      <c r="R106" s="3">
        <f t="shared" si="11"/>
        <v>0</v>
      </c>
      <c r="S106" s="3">
        <f t="shared" si="12"/>
        <v>56.860000000000127</v>
      </c>
      <c r="T106" s="24" t="s">
        <v>1081</v>
      </c>
      <c r="U106" s="24"/>
      <c r="V106" s="80"/>
      <c r="W106" s="3"/>
      <c r="X106" s="3"/>
      <c r="Y106" s="3"/>
      <c r="Z106" s="3"/>
      <c r="AA106" s="3"/>
      <c r="AB106" s="3" t="str">
        <f>IF(BCP_Dolares[[#This Row],[FECHA]]&gt;0,TEXT(BCP_Dolares[[#This Row],[FECHA]],"mmmm"),0)</f>
        <v>Marzo</v>
      </c>
    </row>
    <row r="107" spans="2:28" ht="24" x14ac:dyDescent="0.3">
      <c r="B107" s="2" t="str">
        <f>IF(BCP_Dolares[[#This Row],[TIPO DE R.]]="R",COUNTIFS($D$4:$D106,"R")+1,"")</f>
        <v/>
      </c>
      <c r="C107" s="19" t="str">
        <f t="shared" si="17"/>
        <v>B-BCP - Dolares</v>
      </c>
      <c r="D107" s="3" t="s">
        <v>1101</v>
      </c>
      <c r="E107" s="14">
        <v>45740</v>
      </c>
      <c r="F107" s="5" t="s">
        <v>1082</v>
      </c>
      <c r="G107" s="5"/>
      <c r="H107" s="6" t="s">
        <v>147</v>
      </c>
      <c r="I107" s="6" t="s">
        <v>14</v>
      </c>
      <c r="J107" s="6" t="s">
        <v>1148</v>
      </c>
      <c r="K107" s="6">
        <v>15582</v>
      </c>
      <c r="L107" s="7" t="s">
        <v>4032</v>
      </c>
      <c r="M107" s="8">
        <v>6064217</v>
      </c>
      <c r="N107" s="8" t="str">
        <f t="shared" si="18"/>
        <v>USD</v>
      </c>
      <c r="O107" s="13">
        <v>30.02</v>
      </c>
      <c r="P107" s="13"/>
      <c r="Q107" s="3">
        <f t="shared" si="10"/>
        <v>0</v>
      </c>
      <c r="R107" s="3">
        <f t="shared" si="11"/>
        <v>0</v>
      </c>
      <c r="S107" s="3">
        <f t="shared" si="12"/>
        <v>56.860000000000127</v>
      </c>
      <c r="T107" s="24" t="s">
        <v>1081</v>
      </c>
      <c r="U107" s="24"/>
      <c r="V107" s="80"/>
      <c r="W107" s="3"/>
      <c r="X107" s="3"/>
      <c r="Y107" s="3"/>
      <c r="Z107" s="3"/>
      <c r="AA107" s="3"/>
      <c r="AB107" s="3" t="str">
        <f>IF(BCP_Dolares[[#This Row],[FECHA]]&gt;0,TEXT(BCP_Dolares[[#This Row],[FECHA]],"mmmm"),0)</f>
        <v>Marzo</v>
      </c>
    </row>
    <row r="108" spans="2:28" ht="48" x14ac:dyDescent="0.3">
      <c r="B108" s="2" t="str">
        <f>IF(BCP_Dolares[[#This Row],[TIPO DE R.]]="R",COUNTIFS($D$4:$D107,"R")+1,"")</f>
        <v/>
      </c>
      <c r="C108" s="19" t="str">
        <f t="shared" si="17"/>
        <v>B-BCP - Dolares</v>
      </c>
      <c r="D108" s="3" t="s">
        <v>1101</v>
      </c>
      <c r="E108" s="14">
        <v>45740</v>
      </c>
      <c r="F108" s="5" t="s">
        <v>1082</v>
      </c>
      <c r="G108" s="5"/>
      <c r="H108" s="6" t="s">
        <v>354</v>
      </c>
      <c r="I108" s="6" t="s">
        <v>14</v>
      </c>
      <c r="J108" s="6" t="s">
        <v>1119</v>
      </c>
      <c r="K108" s="6">
        <v>320</v>
      </c>
      <c r="L108" s="7" t="s">
        <v>4032</v>
      </c>
      <c r="M108" s="8">
        <v>6064217</v>
      </c>
      <c r="N108" s="8" t="str">
        <f t="shared" si="18"/>
        <v>USD</v>
      </c>
      <c r="O108" s="13">
        <v>237.75</v>
      </c>
      <c r="P108" s="13"/>
      <c r="Q108" s="3">
        <f t="shared" si="10"/>
        <v>0</v>
      </c>
      <c r="R108" s="3">
        <f t="shared" si="11"/>
        <v>0</v>
      </c>
      <c r="S108" s="3">
        <f t="shared" si="12"/>
        <v>56.860000000000127</v>
      </c>
      <c r="T108" s="24" t="s">
        <v>1081</v>
      </c>
      <c r="U108" s="24"/>
      <c r="V108" s="80"/>
      <c r="W108" s="3"/>
      <c r="X108" s="3"/>
      <c r="Y108" s="3"/>
      <c r="Z108" s="3"/>
      <c r="AA108" s="3"/>
      <c r="AB108" s="3" t="str">
        <f>IF(BCP_Dolares[[#This Row],[FECHA]]&gt;0,TEXT(BCP_Dolares[[#This Row],[FECHA]],"mmmm"),0)</f>
        <v>Marzo</v>
      </c>
    </row>
    <row r="109" spans="2:28" ht="24" x14ac:dyDescent="0.3">
      <c r="B109" s="2">
        <f>IF(BCP_Dolares[[#This Row],[TIPO DE R.]]="R",COUNTIFS($D$4:$D108,"R")+1,"")</f>
        <v>42</v>
      </c>
      <c r="C109" s="19" t="str">
        <f t="shared" si="13"/>
        <v>B-BCP - Dolares</v>
      </c>
      <c r="D109" s="3" t="s">
        <v>1074</v>
      </c>
      <c r="E109" s="14">
        <v>45740</v>
      </c>
      <c r="F109" s="5" t="s">
        <v>1078</v>
      </c>
      <c r="G109" s="5" t="s">
        <v>1079</v>
      </c>
      <c r="H109" s="6" t="s">
        <v>1001</v>
      </c>
      <c r="I109" s="6" t="s">
        <v>14</v>
      </c>
      <c r="J109" s="6" t="s">
        <v>3128</v>
      </c>
      <c r="K109" s="6">
        <v>30924417</v>
      </c>
      <c r="L109" s="7" t="s">
        <v>4034</v>
      </c>
      <c r="M109" s="8">
        <v>6064248</v>
      </c>
      <c r="N109" s="8" t="str">
        <f t="shared" si="14"/>
        <v>USD</v>
      </c>
      <c r="O109" s="13"/>
      <c r="P109" s="13">
        <v>6.32</v>
      </c>
      <c r="Q109" s="3">
        <f t="shared" si="10"/>
        <v>0</v>
      </c>
      <c r="R109" s="3">
        <f t="shared" si="11"/>
        <v>6.32</v>
      </c>
      <c r="S109" s="3">
        <f t="shared" si="12"/>
        <v>50.540000000000127</v>
      </c>
      <c r="T109" s="24"/>
      <c r="U109" s="24" t="s">
        <v>1081</v>
      </c>
      <c r="V109" s="80"/>
      <c r="W109" s="3" t="s">
        <v>1078</v>
      </c>
      <c r="X109" s="3" t="s">
        <v>4035</v>
      </c>
      <c r="Y109" s="3"/>
      <c r="Z109" s="3"/>
      <c r="AA109" s="3"/>
      <c r="AB109" s="3" t="str">
        <f>IF(BCP_Dolares[[#This Row],[FECHA]]&gt;0,TEXT(BCP_Dolares[[#This Row],[FECHA]],"mmmm"),0)</f>
        <v>Marzo</v>
      </c>
    </row>
    <row r="110" spans="2:28" ht="24" x14ac:dyDescent="0.3">
      <c r="B110" s="2">
        <f>IF(BCP_Dolares[[#This Row],[TIPO DE R.]]="R",COUNTIFS($D$4:$D109,"R")+1,"")</f>
        <v>43</v>
      </c>
      <c r="C110" s="19" t="str">
        <f t="shared" si="13"/>
        <v>B-BCP - Dolares</v>
      </c>
      <c r="D110" s="3" t="s">
        <v>1074</v>
      </c>
      <c r="E110" s="14">
        <v>45742</v>
      </c>
      <c r="F110" s="5" t="s">
        <v>1078</v>
      </c>
      <c r="G110" s="5" t="s">
        <v>1079</v>
      </c>
      <c r="H110" s="6" t="s">
        <v>1001</v>
      </c>
      <c r="I110" s="6" t="s">
        <v>14</v>
      </c>
      <c r="J110" s="6" t="s">
        <v>1088</v>
      </c>
      <c r="K110" s="6">
        <v>2246626</v>
      </c>
      <c r="L110" s="7" t="s">
        <v>4007</v>
      </c>
      <c r="M110" s="8" t="s">
        <v>4008</v>
      </c>
      <c r="N110" s="8" t="str">
        <f t="shared" si="14"/>
        <v>USD</v>
      </c>
      <c r="O110" s="13"/>
      <c r="P110" s="13">
        <v>12</v>
      </c>
      <c r="Q110" s="3">
        <f t="shared" si="10"/>
        <v>0</v>
      </c>
      <c r="R110" s="3">
        <f t="shared" si="11"/>
        <v>12</v>
      </c>
      <c r="S110" s="3">
        <f t="shared" si="12"/>
        <v>38.540000000000127</v>
      </c>
      <c r="T110" s="24" t="s">
        <v>1081</v>
      </c>
      <c r="U110" s="24" t="s">
        <v>1081</v>
      </c>
      <c r="V110" s="80"/>
      <c r="W110" s="3" t="s">
        <v>1078</v>
      </c>
      <c r="X110" s="3"/>
      <c r="Y110" s="3"/>
      <c r="Z110" s="3"/>
      <c r="AA110" s="3"/>
      <c r="AB110" s="3" t="str">
        <f>IF(BCP_Dolares[[#This Row],[FECHA]]&gt;0,TEXT(BCP_Dolares[[#This Row],[FECHA]],"mmmm"),0)</f>
        <v>Marzo</v>
      </c>
    </row>
    <row r="111" spans="2:28" x14ac:dyDescent="0.3">
      <c r="B111" s="2">
        <f>IF(BCP_Dolares[[#This Row],[TIPO DE R.]]="R",COUNTIFS($D$4:$D110,"R")+1,"")</f>
        <v>44</v>
      </c>
      <c r="C111" s="19" t="str">
        <f t="shared" si="13"/>
        <v>B-BCP - Dolares</v>
      </c>
      <c r="D111" s="3" t="s">
        <v>1074</v>
      </c>
      <c r="E111" s="14">
        <v>45743</v>
      </c>
      <c r="F111" s="5" t="s">
        <v>1078</v>
      </c>
      <c r="G111" s="5" t="s">
        <v>1079</v>
      </c>
      <c r="H111" s="6"/>
      <c r="I111" s="6"/>
      <c r="J111" s="6"/>
      <c r="K111" s="6"/>
      <c r="L111" s="7" t="s">
        <v>1080</v>
      </c>
      <c r="M111" s="8"/>
      <c r="N111" s="8" t="str">
        <f t="shared" si="14"/>
        <v>USD</v>
      </c>
      <c r="O111" s="13"/>
      <c r="P111" s="13">
        <v>1</v>
      </c>
      <c r="Q111" s="3">
        <f t="shared" si="10"/>
        <v>0</v>
      </c>
      <c r="R111" s="3">
        <f t="shared" si="11"/>
        <v>1</v>
      </c>
      <c r="S111" s="3">
        <f t="shared" si="12"/>
        <v>37.540000000000127</v>
      </c>
      <c r="T111" s="24"/>
      <c r="U111" s="24"/>
      <c r="V111" s="80"/>
      <c r="W111" s="3"/>
      <c r="X111" s="3"/>
      <c r="Y111" s="3"/>
      <c r="Z111" s="3"/>
      <c r="AA111" s="3"/>
      <c r="AB111" s="3" t="str">
        <f>IF(BCP_Dolares[[#This Row],[FECHA]]&gt;0,TEXT(BCP_Dolares[[#This Row],[FECHA]],"mmmm"),0)</f>
        <v>Marzo</v>
      </c>
    </row>
    <row r="112" spans="2:28" ht="36" x14ac:dyDescent="0.3">
      <c r="B112" s="2">
        <f>IF(BCP_Dolares[[#This Row],[TIPO DE R.]]="R",COUNTIFS($D$4:$D111,"R")+1,"")</f>
        <v>45</v>
      </c>
      <c r="C112" s="19" t="str">
        <f t="shared" si="13"/>
        <v>B-BCP - Dolares</v>
      </c>
      <c r="D112" s="3" t="s">
        <v>1074</v>
      </c>
      <c r="E112" s="14">
        <v>45743</v>
      </c>
      <c r="F112" s="5" t="s">
        <v>147</v>
      </c>
      <c r="G112" s="5" t="s">
        <v>1087</v>
      </c>
      <c r="H112" s="6"/>
      <c r="I112" s="6"/>
      <c r="J112" s="6"/>
      <c r="K112" s="6"/>
      <c r="L112" s="7" t="s">
        <v>1095</v>
      </c>
      <c r="M112" s="8">
        <v>7257437</v>
      </c>
      <c r="N112" s="8" t="str">
        <f t="shared" si="14"/>
        <v>USD</v>
      </c>
      <c r="O112" s="13"/>
      <c r="P112" s="13">
        <v>20618.439999999999</v>
      </c>
      <c r="Q112" s="3">
        <f t="shared" si="10"/>
        <v>20618.439999999999</v>
      </c>
      <c r="R112" s="3">
        <f t="shared" si="11"/>
        <v>0</v>
      </c>
      <c r="S112" s="3">
        <f t="shared" si="12"/>
        <v>20655.98</v>
      </c>
      <c r="T112" s="24" t="s">
        <v>1081</v>
      </c>
      <c r="U112" s="24"/>
      <c r="V112" s="80"/>
      <c r="W112" s="3" t="s">
        <v>368</v>
      </c>
      <c r="X112" s="3" t="s">
        <v>4036</v>
      </c>
      <c r="Y112" s="3" t="s">
        <v>4000</v>
      </c>
      <c r="Z112" s="3"/>
      <c r="AA112" s="3"/>
      <c r="AB112" s="3" t="str">
        <f>IF(BCP_Dolares[[#This Row],[FECHA]]&gt;0,TEXT(BCP_Dolares[[#This Row],[FECHA]],"mmmm"),0)</f>
        <v>Marzo</v>
      </c>
    </row>
    <row r="113" spans="2:28" ht="24" x14ac:dyDescent="0.3">
      <c r="B113" s="2">
        <f>IF(BCP_Dolares[[#This Row],[TIPO DE R.]]="R",COUNTIFS($D$4:$D112,"R")+1,"")</f>
        <v>46</v>
      </c>
      <c r="C113" s="19" t="str">
        <f t="shared" si="13"/>
        <v>B-BCP - Dolares</v>
      </c>
      <c r="D113" s="3" t="s">
        <v>1074</v>
      </c>
      <c r="E113" s="14">
        <v>45744</v>
      </c>
      <c r="F113" s="5" t="s">
        <v>1082</v>
      </c>
      <c r="G113" s="5" t="s">
        <v>1079</v>
      </c>
      <c r="H113" s="6" t="s">
        <v>595</v>
      </c>
      <c r="I113" s="6" t="s">
        <v>14</v>
      </c>
      <c r="J113" s="6" t="s">
        <v>1119</v>
      </c>
      <c r="K113" s="6">
        <v>42854</v>
      </c>
      <c r="L113" s="7" t="s">
        <v>4037</v>
      </c>
      <c r="M113" s="8">
        <v>1286307</v>
      </c>
      <c r="N113" s="8" t="str">
        <f t="shared" si="14"/>
        <v>USD</v>
      </c>
      <c r="O113" s="13"/>
      <c r="P113" s="13">
        <v>541.62</v>
      </c>
      <c r="Q113" s="3">
        <f t="shared" si="10"/>
        <v>0</v>
      </c>
      <c r="R113" s="3">
        <f t="shared" si="11"/>
        <v>541.62</v>
      </c>
      <c r="S113" s="3">
        <f t="shared" si="12"/>
        <v>20114.36</v>
      </c>
      <c r="T113" s="24" t="s">
        <v>1081</v>
      </c>
      <c r="U113" s="24" t="s">
        <v>1081</v>
      </c>
      <c r="V113" s="80"/>
      <c r="W113" s="3" t="s">
        <v>595</v>
      </c>
      <c r="X113" s="3" t="s">
        <v>4038</v>
      </c>
      <c r="Y113" s="3"/>
      <c r="Z113" s="3"/>
      <c r="AA113" s="3"/>
      <c r="AB113" s="3" t="str">
        <f>IF(BCP_Dolares[[#This Row],[FECHA]]&gt;0,TEXT(BCP_Dolares[[#This Row],[FECHA]],"mmmm"),0)</f>
        <v>Marzo</v>
      </c>
    </row>
    <row r="114" spans="2:28" ht="36" x14ac:dyDescent="0.3">
      <c r="B114" s="2">
        <f>IF(BCP_Dolares[[#This Row],[TIPO DE R.]]="R",COUNTIFS($D$4:$D113,"R")+1,"")</f>
        <v>47</v>
      </c>
      <c r="C114" s="19" t="str">
        <f t="shared" si="13"/>
        <v>B-BCP - Dolares</v>
      </c>
      <c r="D114" s="3" t="s">
        <v>1074</v>
      </c>
      <c r="E114" s="14">
        <v>45744</v>
      </c>
      <c r="F114" s="5" t="s">
        <v>1082</v>
      </c>
      <c r="G114" s="5" t="s">
        <v>1079</v>
      </c>
      <c r="H114" s="6" t="s">
        <v>644</v>
      </c>
      <c r="I114" s="6" t="s">
        <v>14</v>
      </c>
      <c r="J114" s="6" t="s">
        <v>1204</v>
      </c>
      <c r="K114" s="6">
        <v>438849</v>
      </c>
      <c r="L114" s="7" t="s">
        <v>4004</v>
      </c>
      <c r="M114" s="8">
        <v>287767</v>
      </c>
      <c r="N114" s="8" t="str">
        <f t="shared" si="14"/>
        <v>USD</v>
      </c>
      <c r="O114" s="13"/>
      <c r="P114" s="13">
        <v>215.22</v>
      </c>
      <c r="Q114" s="3">
        <f t="shared" si="10"/>
        <v>0</v>
      </c>
      <c r="R114" s="3">
        <f t="shared" si="11"/>
        <v>215.22</v>
      </c>
      <c r="S114" s="3">
        <f t="shared" si="12"/>
        <v>19899.14</v>
      </c>
      <c r="T114" s="24" t="s">
        <v>1081</v>
      </c>
      <c r="U114" s="24" t="s">
        <v>1081</v>
      </c>
      <c r="V114" s="80"/>
      <c r="W114" s="3" t="s">
        <v>4005</v>
      </c>
      <c r="X114" s="3" t="s">
        <v>4039</v>
      </c>
      <c r="Y114" s="3"/>
      <c r="Z114" s="3"/>
      <c r="AA114" s="3"/>
      <c r="AB114" s="3" t="str">
        <f>IF(BCP_Dolares[[#This Row],[FECHA]]&gt;0,TEXT(BCP_Dolares[[#This Row],[FECHA]],"mmmm"),0)</f>
        <v>Marzo</v>
      </c>
    </row>
    <row r="115" spans="2:28" ht="24" x14ac:dyDescent="0.3">
      <c r="B115" s="2">
        <f>IF(BCP_Dolares[[#This Row],[TIPO DE R.]]="R",COUNTIFS($D$4:$D114,"R")+1,"")</f>
        <v>48</v>
      </c>
      <c r="C115" s="19" t="str">
        <f t="shared" si="13"/>
        <v>B-BCP - Dolares</v>
      </c>
      <c r="D115" s="3" t="s">
        <v>1074</v>
      </c>
      <c r="E115" s="14">
        <v>45747</v>
      </c>
      <c r="F115" s="5" t="s">
        <v>1078</v>
      </c>
      <c r="G115" s="5" t="s">
        <v>1079</v>
      </c>
      <c r="H115" s="6" t="s">
        <v>1001</v>
      </c>
      <c r="I115" s="6" t="s">
        <v>14</v>
      </c>
      <c r="J115" s="6" t="s">
        <v>3759</v>
      </c>
      <c r="K115" s="6">
        <v>14461881</v>
      </c>
      <c r="L115" s="7" t="s">
        <v>1493</v>
      </c>
      <c r="M115" s="8">
        <v>0</v>
      </c>
      <c r="N115" s="8" t="str">
        <f t="shared" si="14"/>
        <v>USD</v>
      </c>
      <c r="O115" s="13"/>
      <c r="P115" s="13">
        <v>13</v>
      </c>
      <c r="Q115" s="3">
        <f t="shared" si="10"/>
        <v>0</v>
      </c>
      <c r="R115" s="3">
        <f t="shared" si="11"/>
        <v>13</v>
      </c>
      <c r="S115" s="3">
        <f t="shared" si="12"/>
        <v>19886.14</v>
      </c>
      <c r="T115" s="24" t="s">
        <v>1081</v>
      </c>
      <c r="U115" s="24" t="s">
        <v>1081</v>
      </c>
      <c r="V115" s="80"/>
      <c r="W115" s="3" t="s">
        <v>1078</v>
      </c>
      <c r="X115" s="3" t="s">
        <v>4040</v>
      </c>
      <c r="Y115" s="3"/>
      <c r="Z115" s="3"/>
      <c r="AA115" s="3"/>
      <c r="AB115" s="3" t="str">
        <f>IF(BCP_Dolares[[#This Row],[FECHA]]&gt;0,TEXT(BCP_Dolares[[#This Row],[FECHA]],"mmmm"),0)</f>
        <v>Marzo</v>
      </c>
    </row>
    <row r="116" spans="2:28" ht="24" x14ac:dyDescent="0.3">
      <c r="B116" s="2">
        <f>IF(BCP_Dolares[[#This Row],[TIPO DE R.]]="R",COUNTIFS($D$4:$D115,"R")+1,"")</f>
        <v>49</v>
      </c>
      <c r="C116" s="19" t="str">
        <f t="shared" si="13"/>
        <v>B-BCP - Dolares</v>
      </c>
      <c r="D116" s="3" t="s">
        <v>1074</v>
      </c>
      <c r="E116" s="14">
        <v>45747</v>
      </c>
      <c r="F116" s="5" t="s">
        <v>1078</v>
      </c>
      <c r="G116" s="5" t="s">
        <v>1079</v>
      </c>
      <c r="H116" s="6" t="s">
        <v>1001</v>
      </c>
      <c r="I116" s="6" t="s">
        <v>14</v>
      </c>
      <c r="J116" s="6" t="s">
        <v>3759</v>
      </c>
      <c r="K116" s="6">
        <v>14461881</v>
      </c>
      <c r="L116" s="7" t="s">
        <v>1495</v>
      </c>
      <c r="M116" s="8">
        <v>1140988</v>
      </c>
      <c r="N116" s="8" t="str">
        <f t="shared" si="14"/>
        <v>USD</v>
      </c>
      <c r="O116" s="13"/>
      <c r="P116" s="13">
        <v>2</v>
      </c>
      <c r="Q116" s="3">
        <f t="shared" si="10"/>
        <v>0</v>
      </c>
      <c r="R116" s="3">
        <f t="shared" si="11"/>
        <v>2</v>
      </c>
      <c r="S116" s="3">
        <f t="shared" si="12"/>
        <v>19884.14</v>
      </c>
      <c r="T116" s="24" t="s">
        <v>1081</v>
      </c>
      <c r="U116" s="24" t="s">
        <v>1081</v>
      </c>
      <c r="V116" s="80"/>
      <c r="W116" s="3" t="s">
        <v>1078</v>
      </c>
      <c r="X116" s="3" t="s">
        <v>4040</v>
      </c>
      <c r="Y116" s="3"/>
      <c r="Z116" s="3"/>
      <c r="AA116" s="3"/>
      <c r="AB116" s="3" t="str">
        <f>IF(BCP_Dolares[[#This Row],[FECHA]]&gt;0,TEXT(BCP_Dolares[[#This Row],[FECHA]],"mmmm"),0)</f>
        <v>Marzo</v>
      </c>
    </row>
    <row r="117" spans="2:28" x14ac:dyDescent="0.3">
      <c r="B117" s="2">
        <f>IF(BCP_Dolares[[#This Row],[TIPO DE R.]]="R",COUNTIFS($D$4:$D116,"R")+1,"")</f>
        <v>50</v>
      </c>
      <c r="C117" s="19" t="str">
        <f t="shared" si="13"/>
        <v>B-BCP - Dolares</v>
      </c>
      <c r="D117" s="3" t="s">
        <v>1074</v>
      </c>
      <c r="E117" s="14">
        <v>45748</v>
      </c>
      <c r="F117" s="5" t="s">
        <v>1082</v>
      </c>
      <c r="G117" s="5" t="s">
        <v>1079</v>
      </c>
      <c r="H117" s="6"/>
      <c r="I117" s="6"/>
      <c r="J117" s="6"/>
      <c r="K117" s="6"/>
      <c r="L117" s="7" t="s">
        <v>4041</v>
      </c>
      <c r="M117" s="8">
        <v>9583857</v>
      </c>
      <c r="N117" s="8" t="str">
        <f t="shared" si="14"/>
        <v>USD</v>
      </c>
      <c r="O117" s="13"/>
      <c r="P117" s="13">
        <v>2286.75</v>
      </c>
      <c r="Q117" s="3">
        <f t="shared" si="10"/>
        <v>0</v>
      </c>
      <c r="R117" s="3">
        <f t="shared" si="11"/>
        <v>2286.75</v>
      </c>
      <c r="S117" s="3">
        <f t="shared" si="12"/>
        <v>17597.39</v>
      </c>
      <c r="T117" s="24" t="s">
        <v>1081</v>
      </c>
      <c r="U117" s="24" t="s">
        <v>1081</v>
      </c>
      <c r="V117" s="80"/>
      <c r="W117" s="3" t="s">
        <v>147</v>
      </c>
      <c r="X117" s="3"/>
      <c r="Y117" s="3"/>
      <c r="Z117" s="3"/>
      <c r="AA117" s="3"/>
      <c r="AB117" s="3" t="str">
        <f>IF(BCP_Dolares[[#This Row],[FECHA]]&gt;0,TEXT(BCP_Dolares[[#This Row],[FECHA]],"mmmm"),0)</f>
        <v>Abril</v>
      </c>
    </row>
    <row r="118" spans="2:28" ht="24" x14ac:dyDescent="0.3">
      <c r="B118" s="2" t="str">
        <f>IF(BCP_Dolares[[#This Row],[TIPO DE R.]]="R",COUNTIFS($D$4:$D117,"R")+1,"")</f>
        <v/>
      </c>
      <c r="C118" s="19" t="str">
        <f t="shared" ref="C118:C132" si="19">"B-BCP - Dolares"</f>
        <v>B-BCP - Dolares</v>
      </c>
      <c r="D118" s="3" t="s">
        <v>1101</v>
      </c>
      <c r="E118" s="14">
        <v>45748</v>
      </c>
      <c r="F118" s="5" t="s">
        <v>1082</v>
      </c>
      <c r="G118" s="5"/>
      <c r="H118" s="6" t="s">
        <v>147</v>
      </c>
      <c r="I118" s="6" t="s">
        <v>14</v>
      </c>
      <c r="J118" s="6" t="s">
        <v>1148</v>
      </c>
      <c r="K118" s="6">
        <v>15649</v>
      </c>
      <c r="L118" s="7" t="s">
        <v>4041</v>
      </c>
      <c r="M118" s="8">
        <v>9583857</v>
      </c>
      <c r="N118" s="8" t="str">
        <f t="shared" ref="N118:N132" si="20">"USD"</f>
        <v>USD</v>
      </c>
      <c r="O118" s="13">
        <v>95.04</v>
      </c>
      <c r="P118" s="13"/>
      <c r="Q118" s="3">
        <f t="shared" si="10"/>
        <v>0</v>
      </c>
      <c r="R118" s="3">
        <f t="shared" si="11"/>
        <v>0</v>
      </c>
      <c r="S118" s="3">
        <f t="shared" si="12"/>
        <v>17597.39</v>
      </c>
      <c r="T118" s="24"/>
      <c r="U118" s="24" t="s">
        <v>1081</v>
      </c>
      <c r="V118" s="80"/>
      <c r="W118" s="3"/>
      <c r="X118" s="3"/>
      <c r="Y118" s="3"/>
      <c r="Z118" s="3"/>
      <c r="AA118" s="3"/>
      <c r="AB118" s="3" t="str">
        <f>IF(BCP_Dolares[[#This Row],[FECHA]]&gt;0,TEXT(BCP_Dolares[[#This Row],[FECHA]],"mmmm"),0)</f>
        <v>Abril</v>
      </c>
    </row>
    <row r="119" spans="2:28" ht="24" x14ac:dyDescent="0.3">
      <c r="B119" s="2" t="str">
        <f>IF(BCP_Dolares[[#This Row],[TIPO DE R.]]="R",COUNTIFS($D$4:$D118,"R")+1,"")</f>
        <v/>
      </c>
      <c r="C119" s="19" t="str">
        <f t="shared" si="19"/>
        <v>B-BCP - Dolares</v>
      </c>
      <c r="D119" s="3" t="s">
        <v>1101</v>
      </c>
      <c r="E119" s="14">
        <v>45748</v>
      </c>
      <c r="F119" s="5" t="s">
        <v>1082</v>
      </c>
      <c r="G119" s="5"/>
      <c r="H119" s="6" t="s">
        <v>147</v>
      </c>
      <c r="I119" s="6" t="s">
        <v>14</v>
      </c>
      <c r="J119" s="6" t="s">
        <v>1148</v>
      </c>
      <c r="K119" s="6">
        <v>15671</v>
      </c>
      <c r="L119" s="7" t="s">
        <v>4041</v>
      </c>
      <c r="M119" s="8">
        <v>9583857</v>
      </c>
      <c r="N119" s="8" t="str">
        <f t="shared" si="20"/>
        <v>USD</v>
      </c>
      <c r="O119" s="13">
        <v>60.89</v>
      </c>
      <c r="P119" s="13"/>
      <c r="Q119" s="3">
        <f t="shared" si="10"/>
        <v>0</v>
      </c>
      <c r="R119" s="3">
        <f t="shared" si="11"/>
        <v>0</v>
      </c>
      <c r="S119" s="3">
        <f t="shared" si="12"/>
        <v>17597.39</v>
      </c>
      <c r="T119" s="24"/>
      <c r="U119" s="24" t="s">
        <v>1081</v>
      </c>
      <c r="V119" s="80"/>
      <c r="W119" s="3"/>
      <c r="X119" s="3"/>
      <c r="Y119" s="3"/>
      <c r="Z119" s="3"/>
      <c r="AA119" s="3"/>
      <c r="AB119" s="3" t="str">
        <f>IF(BCP_Dolares[[#This Row],[FECHA]]&gt;0,TEXT(BCP_Dolares[[#This Row],[FECHA]],"mmmm"),0)</f>
        <v>Abril</v>
      </c>
    </row>
    <row r="120" spans="2:28" ht="24" x14ac:dyDescent="0.3">
      <c r="B120" s="2" t="str">
        <f>IF(BCP_Dolares[[#This Row],[TIPO DE R.]]="R",COUNTIFS($D$4:$D119,"R")+1,"")</f>
        <v/>
      </c>
      <c r="C120" s="19" t="str">
        <f t="shared" si="19"/>
        <v>B-BCP - Dolares</v>
      </c>
      <c r="D120" s="3" t="s">
        <v>1101</v>
      </c>
      <c r="E120" s="14">
        <v>45748</v>
      </c>
      <c r="F120" s="5" t="s">
        <v>1082</v>
      </c>
      <c r="G120" s="5"/>
      <c r="H120" s="6" t="s">
        <v>147</v>
      </c>
      <c r="I120" s="6" t="s">
        <v>14</v>
      </c>
      <c r="J120" s="6" t="s">
        <v>1148</v>
      </c>
      <c r="K120" s="6">
        <v>15662</v>
      </c>
      <c r="L120" s="7" t="s">
        <v>4041</v>
      </c>
      <c r="M120" s="8">
        <v>9583857</v>
      </c>
      <c r="N120" s="8" t="str">
        <f t="shared" si="20"/>
        <v>USD</v>
      </c>
      <c r="O120" s="13">
        <v>884.63</v>
      </c>
      <c r="P120" s="13"/>
      <c r="Q120" s="3">
        <f t="shared" si="10"/>
        <v>0</v>
      </c>
      <c r="R120" s="3">
        <f t="shared" si="11"/>
        <v>0</v>
      </c>
      <c r="S120" s="3">
        <f t="shared" si="12"/>
        <v>17597.39</v>
      </c>
      <c r="T120" s="24"/>
      <c r="U120" s="24" t="s">
        <v>1081</v>
      </c>
      <c r="V120" s="80"/>
      <c r="W120" s="3"/>
      <c r="X120" s="3"/>
      <c r="Y120" s="3"/>
      <c r="Z120" s="3"/>
      <c r="AA120" s="3"/>
      <c r="AB120" s="3" t="str">
        <f>IF(BCP_Dolares[[#This Row],[FECHA]]&gt;0,TEXT(BCP_Dolares[[#This Row],[FECHA]],"mmmm"),0)</f>
        <v>Abril</v>
      </c>
    </row>
    <row r="121" spans="2:28" ht="24" x14ac:dyDescent="0.3">
      <c r="B121" s="2" t="str">
        <f>IF(BCP_Dolares[[#This Row],[TIPO DE R.]]="R",COUNTIFS($D$4:$D120,"R")+1,"")</f>
        <v/>
      </c>
      <c r="C121" s="19" t="str">
        <f t="shared" si="19"/>
        <v>B-BCP - Dolares</v>
      </c>
      <c r="D121" s="3" t="s">
        <v>1101</v>
      </c>
      <c r="E121" s="14">
        <v>45748</v>
      </c>
      <c r="F121" s="5" t="s">
        <v>1082</v>
      </c>
      <c r="G121" s="5"/>
      <c r="H121" s="6" t="s">
        <v>147</v>
      </c>
      <c r="I121" s="6" t="s">
        <v>14</v>
      </c>
      <c r="J121" s="6" t="s">
        <v>1148</v>
      </c>
      <c r="K121" s="6">
        <v>15661</v>
      </c>
      <c r="L121" s="7" t="s">
        <v>4041</v>
      </c>
      <c r="M121" s="8">
        <v>9583857</v>
      </c>
      <c r="N121" s="8" t="str">
        <f t="shared" si="20"/>
        <v>USD</v>
      </c>
      <c r="O121" s="13">
        <v>477.89</v>
      </c>
      <c r="P121" s="13"/>
      <c r="Q121" s="3">
        <f t="shared" si="10"/>
        <v>0</v>
      </c>
      <c r="R121" s="3">
        <f t="shared" si="11"/>
        <v>0</v>
      </c>
      <c r="S121" s="3">
        <f t="shared" si="12"/>
        <v>17597.39</v>
      </c>
      <c r="T121" s="24"/>
      <c r="U121" s="24" t="s">
        <v>1081</v>
      </c>
      <c r="V121" s="80"/>
      <c r="W121" s="3"/>
      <c r="X121" s="3"/>
      <c r="Y121" s="3"/>
      <c r="Z121" s="3"/>
      <c r="AA121" s="3"/>
      <c r="AB121" s="3" t="str">
        <f>IF(BCP_Dolares[[#This Row],[FECHA]]&gt;0,TEXT(BCP_Dolares[[#This Row],[FECHA]],"mmmm"),0)</f>
        <v>Abril</v>
      </c>
    </row>
    <row r="122" spans="2:28" ht="24" x14ac:dyDescent="0.3">
      <c r="B122" s="2" t="str">
        <f>IF(BCP_Dolares[[#This Row],[TIPO DE R.]]="R",COUNTIFS($D$4:$D121,"R")+1,"")</f>
        <v/>
      </c>
      <c r="C122" s="19" t="str">
        <f t="shared" si="19"/>
        <v>B-BCP - Dolares</v>
      </c>
      <c r="D122" s="3" t="s">
        <v>1101</v>
      </c>
      <c r="E122" s="14">
        <v>45748</v>
      </c>
      <c r="F122" s="5" t="s">
        <v>1082</v>
      </c>
      <c r="G122" s="5"/>
      <c r="H122" s="6" t="s">
        <v>147</v>
      </c>
      <c r="I122" s="6" t="s">
        <v>14</v>
      </c>
      <c r="J122" s="6" t="s">
        <v>1148</v>
      </c>
      <c r="K122" s="6">
        <v>15652</v>
      </c>
      <c r="L122" s="7" t="s">
        <v>4041</v>
      </c>
      <c r="M122" s="8">
        <v>9583857</v>
      </c>
      <c r="N122" s="8" t="str">
        <f t="shared" si="20"/>
        <v>USD</v>
      </c>
      <c r="O122" s="13">
        <v>75.19</v>
      </c>
      <c r="P122" s="13"/>
      <c r="Q122" s="3">
        <f t="shared" si="10"/>
        <v>0</v>
      </c>
      <c r="R122" s="3">
        <f t="shared" si="11"/>
        <v>0</v>
      </c>
      <c r="S122" s="3">
        <f t="shared" si="12"/>
        <v>17597.39</v>
      </c>
      <c r="T122" s="24"/>
      <c r="U122" s="24" t="s">
        <v>1081</v>
      </c>
      <c r="V122" s="80"/>
      <c r="W122" s="3"/>
      <c r="X122" s="3"/>
      <c r="Y122" s="3"/>
      <c r="Z122" s="3"/>
      <c r="AA122" s="3"/>
      <c r="AB122" s="3" t="str">
        <f>IF(BCP_Dolares[[#This Row],[FECHA]]&gt;0,TEXT(BCP_Dolares[[#This Row],[FECHA]],"mmmm"),0)</f>
        <v>Abril</v>
      </c>
    </row>
    <row r="123" spans="2:28" ht="24" x14ac:dyDescent="0.3">
      <c r="B123" s="2" t="str">
        <f>IF(BCP_Dolares[[#This Row],[TIPO DE R.]]="R",COUNTIFS($D$4:$D122,"R")+1,"")</f>
        <v/>
      </c>
      <c r="C123" s="19" t="str">
        <f t="shared" si="19"/>
        <v>B-BCP - Dolares</v>
      </c>
      <c r="D123" s="3" t="s">
        <v>1101</v>
      </c>
      <c r="E123" s="14">
        <v>45748</v>
      </c>
      <c r="F123" s="5" t="s">
        <v>1082</v>
      </c>
      <c r="G123" s="5"/>
      <c r="H123" s="6" t="s">
        <v>147</v>
      </c>
      <c r="I123" s="6" t="s">
        <v>14</v>
      </c>
      <c r="J123" s="6" t="s">
        <v>1148</v>
      </c>
      <c r="K123" s="6">
        <v>15704</v>
      </c>
      <c r="L123" s="7" t="s">
        <v>4041</v>
      </c>
      <c r="M123" s="8">
        <v>9583857</v>
      </c>
      <c r="N123" s="8" t="str">
        <f t="shared" si="20"/>
        <v>USD</v>
      </c>
      <c r="O123" s="13">
        <v>74.510000000000005</v>
      </c>
      <c r="P123" s="13"/>
      <c r="Q123" s="3">
        <f t="shared" si="10"/>
        <v>0</v>
      </c>
      <c r="R123" s="3">
        <f t="shared" si="11"/>
        <v>0</v>
      </c>
      <c r="S123" s="3">
        <f t="shared" si="12"/>
        <v>17597.39</v>
      </c>
      <c r="T123" s="24"/>
      <c r="U123" s="24" t="s">
        <v>1081</v>
      </c>
      <c r="V123" s="80"/>
      <c r="W123" s="3"/>
      <c r="X123" s="3"/>
      <c r="Y123" s="3"/>
      <c r="Z123" s="3"/>
      <c r="AA123" s="3"/>
      <c r="AB123" s="3" t="str">
        <f>IF(BCP_Dolares[[#This Row],[FECHA]]&gt;0,TEXT(BCP_Dolares[[#This Row],[FECHA]],"mmmm"),0)</f>
        <v>Abril</v>
      </c>
    </row>
    <row r="124" spans="2:28" ht="24" x14ac:dyDescent="0.3">
      <c r="B124" s="2" t="str">
        <f>IF(BCP_Dolares[[#This Row],[TIPO DE R.]]="R",COUNTIFS($D$4:$D123,"R")+1,"")</f>
        <v/>
      </c>
      <c r="C124" s="19" t="str">
        <f t="shared" si="19"/>
        <v>B-BCP - Dolares</v>
      </c>
      <c r="D124" s="3" t="s">
        <v>1101</v>
      </c>
      <c r="E124" s="14">
        <v>45748</v>
      </c>
      <c r="F124" s="5" t="s">
        <v>1082</v>
      </c>
      <c r="G124" s="5"/>
      <c r="H124" s="6" t="s">
        <v>147</v>
      </c>
      <c r="I124" s="6" t="s">
        <v>14</v>
      </c>
      <c r="J124" s="6" t="s">
        <v>1148</v>
      </c>
      <c r="K124" s="6">
        <v>15705</v>
      </c>
      <c r="L124" s="7" t="s">
        <v>4041</v>
      </c>
      <c r="M124" s="8">
        <v>9583857</v>
      </c>
      <c r="N124" s="8" t="str">
        <f t="shared" si="20"/>
        <v>USD</v>
      </c>
      <c r="O124" s="13">
        <v>78.930000000000007</v>
      </c>
      <c r="P124" s="13"/>
      <c r="Q124" s="3">
        <f t="shared" si="10"/>
        <v>0</v>
      </c>
      <c r="R124" s="3">
        <f t="shared" si="11"/>
        <v>0</v>
      </c>
      <c r="S124" s="3">
        <f t="shared" si="12"/>
        <v>17597.39</v>
      </c>
      <c r="T124" s="24"/>
      <c r="U124" s="24" t="s">
        <v>1081</v>
      </c>
      <c r="V124" s="80"/>
      <c r="W124" s="3"/>
      <c r="X124" s="3"/>
      <c r="Y124" s="3"/>
      <c r="Z124" s="3"/>
      <c r="AA124" s="3"/>
      <c r="AB124" s="3" t="str">
        <f>IF(BCP_Dolares[[#This Row],[FECHA]]&gt;0,TEXT(BCP_Dolares[[#This Row],[FECHA]],"mmmm"),0)</f>
        <v>Abril</v>
      </c>
    </row>
    <row r="125" spans="2:28" ht="24" x14ac:dyDescent="0.3">
      <c r="B125" s="2" t="str">
        <f>IF(BCP_Dolares[[#This Row],[TIPO DE R.]]="R",COUNTIFS($D$4:$D124,"R")+1,"")</f>
        <v/>
      </c>
      <c r="C125" s="19" t="str">
        <f t="shared" si="19"/>
        <v>B-BCP - Dolares</v>
      </c>
      <c r="D125" s="3" t="s">
        <v>1101</v>
      </c>
      <c r="E125" s="14">
        <v>45748</v>
      </c>
      <c r="F125" s="5" t="s">
        <v>1082</v>
      </c>
      <c r="G125" s="5"/>
      <c r="H125" s="6" t="s">
        <v>147</v>
      </c>
      <c r="I125" s="6" t="s">
        <v>14</v>
      </c>
      <c r="J125" s="6" t="s">
        <v>1148</v>
      </c>
      <c r="K125" s="6">
        <v>15720</v>
      </c>
      <c r="L125" s="7" t="s">
        <v>4041</v>
      </c>
      <c r="M125" s="8">
        <v>9583857</v>
      </c>
      <c r="N125" s="8" t="str">
        <f t="shared" si="20"/>
        <v>USD</v>
      </c>
      <c r="O125" s="13">
        <v>59.68</v>
      </c>
      <c r="P125" s="13"/>
      <c r="Q125" s="3">
        <f t="shared" si="10"/>
        <v>0</v>
      </c>
      <c r="R125" s="3">
        <f t="shared" si="11"/>
        <v>0</v>
      </c>
      <c r="S125" s="3">
        <f t="shared" si="12"/>
        <v>17597.39</v>
      </c>
      <c r="T125" s="24"/>
      <c r="U125" s="24" t="s">
        <v>1081</v>
      </c>
      <c r="V125" s="80"/>
      <c r="W125" s="3"/>
      <c r="X125" s="3"/>
      <c r="Y125" s="3"/>
      <c r="Z125" s="3"/>
      <c r="AA125" s="3"/>
      <c r="AB125" s="3" t="str">
        <f>IF(BCP_Dolares[[#This Row],[FECHA]]&gt;0,TEXT(BCP_Dolares[[#This Row],[FECHA]],"mmmm"),0)</f>
        <v>Abril</v>
      </c>
    </row>
    <row r="126" spans="2:28" ht="24" x14ac:dyDescent="0.3">
      <c r="B126" s="2" t="str">
        <f>IF(BCP_Dolares[[#This Row],[TIPO DE R.]]="R",COUNTIFS($D$4:$D125,"R")+1,"")</f>
        <v/>
      </c>
      <c r="C126" s="19" t="str">
        <f t="shared" si="19"/>
        <v>B-BCP - Dolares</v>
      </c>
      <c r="D126" s="3" t="s">
        <v>1101</v>
      </c>
      <c r="E126" s="14">
        <v>45748</v>
      </c>
      <c r="F126" s="5" t="s">
        <v>1082</v>
      </c>
      <c r="G126" s="5"/>
      <c r="H126" s="6" t="s">
        <v>147</v>
      </c>
      <c r="I126" s="6" t="s">
        <v>14</v>
      </c>
      <c r="J126" s="6" t="s">
        <v>1148</v>
      </c>
      <c r="K126" s="6">
        <v>15708</v>
      </c>
      <c r="L126" s="7" t="s">
        <v>4041</v>
      </c>
      <c r="M126" s="8">
        <v>9583857</v>
      </c>
      <c r="N126" s="8" t="str">
        <f t="shared" si="20"/>
        <v>USD</v>
      </c>
      <c r="O126" s="13">
        <v>46.83</v>
      </c>
      <c r="P126" s="13"/>
      <c r="Q126" s="3">
        <f t="shared" si="10"/>
        <v>0</v>
      </c>
      <c r="R126" s="3">
        <f t="shared" si="11"/>
        <v>0</v>
      </c>
      <c r="S126" s="3">
        <f t="shared" si="12"/>
        <v>17597.39</v>
      </c>
      <c r="T126" s="24"/>
      <c r="U126" s="24" t="s">
        <v>1081</v>
      </c>
      <c r="V126" s="80"/>
      <c r="W126" s="3"/>
      <c r="X126" s="3"/>
      <c r="Y126" s="3"/>
      <c r="Z126" s="3"/>
      <c r="AA126" s="3"/>
      <c r="AB126" s="3" t="str">
        <f>IF(BCP_Dolares[[#This Row],[FECHA]]&gt;0,TEXT(BCP_Dolares[[#This Row],[FECHA]],"mmmm"),0)</f>
        <v>Abril</v>
      </c>
    </row>
    <row r="127" spans="2:28" ht="24" x14ac:dyDescent="0.3">
      <c r="B127" s="2" t="str">
        <f>IF(BCP_Dolares[[#This Row],[TIPO DE R.]]="R",COUNTIFS($D$4:$D126,"R")+1,"")</f>
        <v/>
      </c>
      <c r="C127" s="19" t="str">
        <f t="shared" si="19"/>
        <v>B-BCP - Dolares</v>
      </c>
      <c r="D127" s="3" t="s">
        <v>1101</v>
      </c>
      <c r="E127" s="14">
        <v>45748</v>
      </c>
      <c r="F127" s="5" t="s">
        <v>1082</v>
      </c>
      <c r="G127" s="5"/>
      <c r="H127" s="6" t="s">
        <v>147</v>
      </c>
      <c r="I127" s="6" t="s">
        <v>14</v>
      </c>
      <c r="J127" s="6" t="s">
        <v>1148</v>
      </c>
      <c r="K127" s="6">
        <v>15698</v>
      </c>
      <c r="L127" s="7" t="s">
        <v>4041</v>
      </c>
      <c r="M127" s="8">
        <v>9583857</v>
      </c>
      <c r="N127" s="8" t="str">
        <f t="shared" si="20"/>
        <v>USD</v>
      </c>
      <c r="O127" s="13">
        <v>99.17</v>
      </c>
      <c r="P127" s="13"/>
      <c r="Q127" s="3">
        <f t="shared" si="10"/>
        <v>0</v>
      </c>
      <c r="R127" s="3">
        <f t="shared" si="11"/>
        <v>0</v>
      </c>
      <c r="S127" s="3">
        <f t="shared" si="12"/>
        <v>17597.39</v>
      </c>
      <c r="T127" s="24"/>
      <c r="U127" s="24" t="s">
        <v>1081</v>
      </c>
      <c r="V127" s="80"/>
      <c r="W127" s="3"/>
      <c r="X127" s="3"/>
      <c r="Y127" s="3"/>
      <c r="Z127" s="3"/>
      <c r="AA127" s="3"/>
      <c r="AB127" s="3" t="str">
        <f>IF(BCP_Dolares[[#This Row],[FECHA]]&gt;0,TEXT(BCP_Dolares[[#This Row],[FECHA]],"mmmm"),0)</f>
        <v>Abril</v>
      </c>
    </row>
    <row r="128" spans="2:28" ht="24" x14ac:dyDescent="0.3">
      <c r="B128" s="2" t="str">
        <f>IF(BCP_Dolares[[#This Row],[TIPO DE R.]]="R",COUNTIFS($D$4:$D127,"R")+1,"")</f>
        <v/>
      </c>
      <c r="C128" s="19" t="str">
        <f t="shared" si="19"/>
        <v>B-BCP - Dolares</v>
      </c>
      <c r="D128" s="3" t="s">
        <v>1101</v>
      </c>
      <c r="E128" s="14">
        <v>45748</v>
      </c>
      <c r="F128" s="5" t="s">
        <v>1082</v>
      </c>
      <c r="G128" s="5"/>
      <c r="H128" s="6" t="s">
        <v>147</v>
      </c>
      <c r="I128" s="6" t="s">
        <v>14</v>
      </c>
      <c r="J128" s="6" t="s">
        <v>1148</v>
      </c>
      <c r="K128" s="6">
        <v>15756</v>
      </c>
      <c r="L128" s="7" t="s">
        <v>4041</v>
      </c>
      <c r="M128" s="8">
        <v>9583857</v>
      </c>
      <c r="N128" s="8" t="str">
        <f t="shared" si="20"/>
        <v>USD</v>
      </c>
      <c r="O128" s="13">
        <v>101.19</v>
      </c>
      <c r="P128" s="13"/>
      <c r="Q128" s="3">
        <f t="shared" si="10"/>
        <v>0</v>
      </c>
      <c r="R128" s="3">
        <f t="shared" si="11"/>
        <v>0</v>
      </c>
      <c r="S128" s="3">
        <f t="shared" si="12"/>
        <v>17597.39</v>
      </c>
      <c r="T128" s="24"/>
      <c r="U128" s="24" t="s">
        <v>1081</v>
      </c>
      <c r="V128" s="80"/>
      <c r="W128" s="3"/>
      <c r="X128" s="3"/>
      <c r="Y128" s="3"/>
      <c r="Z128" s="3"/>
      <c r="AA128" s="3"/>
      <c r="AB128" s="3" t="str">
        <f>IF(BCP_Dolares[[#This Row],[FECHA]]&gt;0,TEXT(BCP_Dolares[[#This Row],[FECHA]],"mmmm"),0)</f>
        <v>Abril</v>
      </c>
    </row>
    <row r="129" spans="2:28" ht="24" x14ac:dyDescent="0.3">
      <c r="B129" s="2" t="str">
        <f>IF(BCP_Dolares[[#This Row],[TIPO DE R.]]="R",COUNTIFS($D$4:$D128,"R")+1,"")</f>
        <v/>
      </c>
      <c r="C129" s="19" t="str">
        <f t="shared" si="19"/>
        <v>B-BCP - Dolares</v>
      </c>
      <c r="D129" s="3" t="s">
        <v>1101</v>
      </c>
      <c r="E129" s="14">
        <v>45748</v>
      </c>
      <c r="F129" s="5" t="s">
        <v>1082</v>
      </c>
      <c r="G129" s="5"/>
      <c r="H129" s="6" t="s">
        <v>147</v>
      </c>
      <c r="I129" s="6" t="s">
        <v>14</v>
      </c>
      <c r="J129" s="6" t="s">
        <v>1148</v>
      </c>
      <c r="K129" s="6">
        <v>15732</v>
      </c>
      <c r="L129" s="7" t="s">
        <v>4041</v>
      </c>
      <c r="M129" s="8">
        <v>9583857</v>
      </c>
      <c r="N129" s="8" t="str">
        <f t="shared" si="20"/>
        <v>USD</v>
      </c>
      <c r="O129" s="13">
        <v>53.03</v>
      </c>
      <c r="P129" s="13"/>
      <c r="Q129" s="3">
        <f t="shared" si="10"/>
        <v>0</v>
      </c>
      <c r="R129" s="3">
        <f t="shared" si="11"/>
        <v>0</v>
      </c>
      <c r="S129" s="3">
        <f t="shared" si="12"/>
        <v>17597.39</v>
      </c>
      <c r="T129" s="24"/>
      <c r="U129" s="24" t="s">
        <v>1081</v>
      </c>
      <c r="V129" s="80"/>
      <c r="W129" s="3"/>
      <c r="X129" s="3"/>
      <c r="Y129" s="3"/>
      <c r="Z129" s="3"/>
      <c r="AA129" s="3"/>
      <c r="AB129" s="3" t="str">
        <f>IF(BCP_Dolares[[#This Row],[FECHA]]&gt;0,TEXT(BCP_Dolares[[#This Row],[FECHA]],"mmmm"),0)</f>
        <v>Abril</v>
      </c>
    </row>
    <row r="130" spans="2:28" ht="24" x14ac:dyDescent="0.3">
      <c r="B130" s="2" t="str">
        <f>IF(BCP_Dolares[[#This Row],[TIPO DE R.]]="R",COUNTIFS($D$4:$D129,"R")+1,"")</f>
        <v/>
      </c>
      <c r="C130" s="19" t="str">
        <f t="shared" si="19"/>
        <v>B-BCP - Dolares</v>
      </c>
      <c r="D130" s="3" t="s">
        <v>1101</v>
      </c>
      <c r="E130" s="14">
        <v>45748</v>
      </c>
      <c r="F130" s="5" t="s">
        <v>1082</v>
      </c>
      <c r="G130" s="5"/>
      <c r="H130" s="6" t="s">
        <v>147</v>
      </c>
      <c r="I130" s="6" t="s">
        <v>14</v>
      </c>
      <c r="J130" s="6" t="s">
        <v>1148</v>
      </c>
      <c r="K130" s="6">
        <v>15722</v>
      </c>
      <c r="L130" s="7" t="s">
        <v>4041</v>
      </c>
      <c r="M130" s="8">
        <v>9583857</v>
      </c>
      <c r="N130" s="8" t="str">
        <f t="shared" si="20"/>
        <v>USD</v>
      </c>
      <c r="O130" s="13">
        <v>80.66</v>
      </c>
      <c r="P130" s="13"/>
      <c r="Q130" s="3">
        <f t="shared" si="10"/>
        <v>0</v>
      </c>
      <c r="R130" s="3">
        <f t="shared" si="11"/>
        <v>0</v>
      </c>
      <c r="S130" s="3">
        <f t="shared" si="12"/>
        <v>17597.39</v>
      </c>
      <c r="T130" s="24"/>
      <c r="U130" s="24" t="s">
        <v>1081</v>
      </c>
      <c r="V130" s="80"/>
      <c r="W130" s="3"/>
      <c r="X130" s="3"/>
      <c r="Y130" s="3"/>
      <c r="Z130" s="3"/>
      <c r="AA130" s="3"/>
      <c r="AB130" s="3" t="str">
        <f>IF(BCP_Dolares[[#This Row],[FECHA]]&gt;0,TEXT(BCP_Dolares[[#This Row],[FECHA]],"mmmm"),0)</f>
        <v>Abril</v>
      </c>
    </row>
    <row r="131" spans="2:28" ht="24" x14ac:dyDescent="0.3">
      <c r="B131" s="2" t="str">
        <f>IF(BCP_Dolares[[#This Row],[TIPO DE R.]]="R",COUNTIFS($D$4:$D130,"R")+1,"")</f>
        <v/>
      </c>
      <c r="C131" s="19" t="str">
        <f t="shared" si="19"/>
        <v>B-BCP - Dolares</v>
      </c>
      <c r="D131" s="3" t="s">
        <v>1101</v>
      </c>
      <c r="E131" s="14">
        <v>45748</v>
      </c>
      <c r="F131" s="5" t="s">
        <v>1082</v>
      </c>
      <c r="G131" s="5"/>
      <c r="H131" s="6" t="s">
        <v>147</v>
      </c>
      <c r="I131" s="6" t="s">
        <v>14</v>
      </c>
      <c r="J131" s="6" t="s">
        <v>1148</v>
      </c>
      <c r="K131" s="6">
        <v>15736</v>
      </c>
      <c r="L131" s="7" t="s">
        <v>4041</v>
      </c>
      <c r="M131" s="8">
        <v>9583857</v>
      </c>
      <c r="N131" s="8" t="str">
        <f t="shared" si="20"/>
        <v>USD</v>
      </c>
      <c r="O131" s="13">
        <v>37.79</v>
      </c>
      <c r="P131" s="13"/>
      <c r="Q131" s="3">
        <f t="shared" si="10"/>
        <v>0</v>
      </c>
      <c r="R131" s="3">
        <f t="shared" si="11"/>
        <v>0</v>
      </c>
      <c r="S131" s="3">
        <f t="shared" si="12"/>
        <v>17597.39</v>
      </c>
      <c r="T131" s="24"/>
      <c r="U131" s="24" t="s">
        <v>1081</v>
      </c>
      <c r="V131" s="80"/>
      <c r="W131" s="3"/>
      <c r="X131" s="3"/>
      <c r="Y131" s="3"/>
      <c r="Z131" s="3"/>
      <c r="AA131" s="3"/>
      <c r="AB131" s="3" t="str">
        <f>IF(BCP_Dolares[[#This Row],[FECHA]]&gt;0,TEXT(BCP_Dolares[[#This Row],[FECHA]],"mmmm"),0)</f>
        <v>Abril</v>
      </c>
    </row>
    <row r="132" spans="2:28" ht="24" x14ac:dyDescent="0.3">
      <c r="B132" s="2" t="str">
        <f>IF(BCP_Dolares[[#This Row],[TIPO DE R.]]="R",COUNTIFS($D$4:$D131,"R")+1,"")</f>
        <v/>
      </c>
      <c r="C132" s="19" t="str">
        <f t="shared" si="19"/>
        <v>B-BCP - Dolares</v>
      </c>
      <c r="D132" s="3" t="s">
        <v>1101</v>
      </c>
      <c r="E132" s="14">
        <v>45748</v>
      </c>
      <c r="F132" s="5" t="s">
        <v>1082</v>
      </c>
      <c r="G132" s="5"/>
      <c r="H132" s="6" t="s">
        <v>147</v>
      </c>
      <c r="I132" s="6" t="s">
        <v>14</v>
      </c>
      <c r="J132" s="6" t="s">
        <v>1148</v>
      </c>
      <c r="K132" s="6">
        <v>15746</v>
      </c>
      <c r="L132" s="7" t="s">
        <v>4041</v>
      </c>
      <c r="M132" s="8">
        <v>9583857</v>
      </c>
      <c r="N132" s="8" t="str">
        <f t="shared" si="20"/>
        <v>USD</v>
      </c>
      <c r="O132" s="13">
        <v>61.32</v>
      </c>
      <c r="P132" s="13"/>
      <c r="Q132" s="3">
        <f t="shared" si="10"/>
        <v>0</v>
      </c>
      <c r="R132" s="3">
        <f t="shared" si="11"/>
        <v>0</v>
      </c>
      <c r="S132" s="3">
        <f t="shared" si="12"/>
        <v>17597.39</v>
      </c>
      <c r="T132" s="24"/>
      <c r="U132" s="24" t="s">
        <v>1081</v>
      </c>
      <c r="V132" s="80"/>
      <c r="W132" s="3"/>
      <c r="X132" s="3"/>
      <c r="Y132" s="3"/>
      <c r="Z132" s="3"/>
      <c r="AA132" s="3"/>
      <c r="AB132" s="3" t="str">
        <f>IF(BCP_Dolares[[#This Row],[FECHA]]&gt;0,TEXT(BCP_Dolares[[#This Row],[FECHA]],"mmmm"),0)</f>
        <v>Abril</v>
      </c>
    </row>
    <row r="133" spans="2:28" x14ac:dyDescent="0.3">
      <c r="B133" s="2">
        <f>IF(BCP_Dolares[[#This Row],[TIPO DE R.]]="R",COUNTIFS($D$4:$D132,"R")+1,"")</f>
        <v>51</v>
      </c>
      <c r="C133" s="19" t="str">
        <f t="shared" si="13"/>
        <v>B-BCP - Dolares</v>
      </c>
      <c r="D133" s="3" t="s">
        <v>1074</v>
      </c>
      <c r="E133" s="14">
        <v>45748</v>
      </c>
      <c r="F133" s="5" t="s">
        <v>1078</v>
      </c>
      <c r="G133" s="5" t="s">
        <v>1079</v>
      </c>
      <c r="H133" s="6"/>
      <c r="I133" s="6"/>
      <c r="J133" s="6"/>
      <c r="K133" s="6"/>
      <c r="L133" s="7" t="s">
        <v>1080</v>
      </c>
      <c r="M133" s="8"/>
      <c r="N133" s="8" t="str">
        <f t="shared" si="14"/>
        <v>USD</v>
      </c>
      <c r="O133" s="13"/>
      <c r="P133" s="13">
        <v>0.1</v>
      </c>
      <c r="Q133" s="3">
        <f t="shared" si="10"/>
        <v>0</v>
      </c>
      <c r="R133" s="3">
        <f t="shared" si="11"/>
        <v>0.1</v>
      </c>
      <c r="S133" s="3">
        <f t="shared" si="12"/>
        <v>17597.29</v>
      </c>
      <c r="T133" s="24"/>
      <c r="U133" s="24"/>
      <c r="V133" s="80"/>
      <c r="W133" s="3"/>
      <c r="X133" s="3"/>
      <c r="Y133" s="3"/>
      <c r="Z133" s="3"/>
      <c r="AA133" s="3"/>
      <c r="AB133" s="3" t="str">
        <f>IF(BCP_Dolares[[#This Row],[FECHA]]&gt;0,TEXT(BCP_Dolares[[#This Row],[FECHA]],"mmmm"),0)</f>
        <v>Abril</v>
      </c>
    </row>
    <row r="134" spans="2:28" ht="24" x14ac:dyDescent="0.3">
      <c r="B134" s="2">
        <f>IF(BCP_Dolares[[#This Row],[TIPO DE R.]]="R",COUNTIFS($D$4:$D133,"R")+1,"")</f>
        <v>52</v>
      </c>
      <c r="C134" s="19" t="str">
        <f t="shared" si="13"/>
        <v>B-BCP - Dolares</v>
      </c>
      <c r="D134" s="3" t="s">
        <v>1074</v>
      </c>
      <c r="E134" s="14">
        <v>45755</v>
      </c>
      <c r="F134" s="5" t="s">
        <v>1082</v>
      </c>
      <c r="G134" s="5" t="s">
        <v>1079</v>
      </c>
      <c r="H134" s="6" t="s">
        <v>191</v>
      </c>
      <c r="I134" s="6" t="s">
        <v>14</v>
      </c>
      <c r="J134" s="6" t="s">
        <v>3010</v>
      </c>
      <c r="K134" s="6">
        <v>29771</v>
      </c>
      <c r="L134" s="7" t="s">
        <v>4042</v>
      </c>
      <c r="M134" s="8">
        <v>1005416</v>
      </c>
      <c r="N134" s="8" t="str">
        <f t="shared" si="14"/>
        <v>USD</v>
      </c>
      <c r="O134" s="13"/>
      <c r="P134" s="13">
        <v>94.4</v>
      </c>
      <c r="Q134" s="3">
        <f t="shared" si="10"/>
        <v>0</v>
      </c>
      <c r="R134" s="3">
        <f t="shared" si="11"/>
        <v>94.4</v>
      </c>
      <c r="S134" s="3">
        <f t="shared" si="12"/>
        <v>17502.89</v>
      </c>
      <c r="T134" s="24" t="s">
        <v>1081</v>
      </c>
      <c r="U134" s="24" t="s">
        <v>1081</v>
      </c>
      <c r="V134" s="80"/>
      <c r="W134" s="3" t="s">
        <v>191</v>
      </c>
      <c r="X134" s="3" t="s">
        <v>4043</v>
      </c>
      <c r="Y134" s="3"/>
      <c r="Z134" s="3"/>
      <c r="AA134" s="3"/>
      <c r="AB134" s="3" t="str">
        <f>IF(BCP_Dolares[[#This Row],[FECHA]]&gt;0,TEXT(BCP_Dolares[[#This Row],[FECHA]],"mmmm"),0)</f>
        <v>Abril</v>
      </c>
    </row>
    <row r="135" spans="2:28" ht="24" x14ac:dyDescent="0.3">
      <c r="B135" s="2">
        <f>IF(BCP_Dolares[[#This Row],[TIPO DE R.]]="R",COUNTIFS($D$4:$D134,"R")+1,"")</f>
        <v>53</v>
      </c>
      <c r="C135" s="19" t="str">
        <f t="shared" si="13"/>
        <v>B-BCP - Dolares</v>
      </c>
      <c r="D135" s="3" t="s">
        <v>1074</v>
      </c>
      <c r="E135" s="14">
        <v>45763</v>
      </c>
      <c r="F135" s="5" t="s">
        <v>1082</v>
      </c>
      <c r="G135" s="5" t="s">
        <v>1079</v>
      </c>
      <c r="H135" s="6" t="s">
        <v>719</v>
      </c>
      <c r="I135" s="6" t="s">
        <v>14</v>
      </c>
      <c r="J135" s="6" t="s">
        <v>2789</v>
      </c>
      <c r="K135" s="6">
        <v>155043</v>
      </c>
      <c r="L135" s="7" t="s">
        <v>2790</v>
      </c>
      <c r="M135" s="8">
        <v>120484</v>
      </c>
      <c r="N135" s="8" t="str">
        <f t="shared" si="14"/>
        <v>USD</v>
      </c>
      <c r="O135" s="13"/>
      <c r="P135" s="13">
        <v>1010.25</v>
      </c>
      <c r="Q135" s="3">
        <f t="shared" ref="Q135:Q202" si="21">+IF(OR($G135="SALDO",$G135="INGRESO"),$P135,0)</f>
        <v>0</v>
      </c>
      <c r="R135" s="3">
        <f t="shared" ref="R135:R202" si="22">+IF($G135="EGRESO",$P135,0)</f>
        <v>1010.25</v>
      </c>
      <c r="S135" s="3">
        <f t="shared" ref="S135:S202" si="23">IFERROR(IF(G135="SALDO",Q135,S134+Q135-R135),0)</f>
        <v>16492.64</v>
      </c>
      <c r="T135" s="24" t="s">
        <v>1081</v>
      </c>
      <c r="U135" s="24"/>
      <c r="V135" s="80"/>
      <c r="W135" s="3" t="s">
        <v>3997</v>
      </c>
      <c r="X135" s="3" t="s">
        <v>4044</v>
      </c>
      <c r="Y135" s="3"/>
      <c r="Z135" s="3"/>
      <c r="AA135" s="3"/>
      <c r="AB135" s="3" t="str">
        <f>IF(BCP_Dolares[[#This Row],[FECHA]]&gt;0,TEXT(BCP_Dolares[[#This Row],[FECHA]],"mmmm"),0)</f>
        <v>Abril</v>
      </c>
    </row>
    <row r="136" spans="2:28" x14ac:dyDescent="0.3">
      <c r="B136" s="2">
        <f>IF(BCP_Dolares[[#This Row],[TIPO DE R.]]="R",COUNTIFS($D$4:$D135,"R")+1,"")</f>
        <v>54</v>
      </c>
      <c r="C136" s="19" t="str">
        <f t="shared" si="13"/>
        <v>B-BCP - Dolares</v>
      </c>
      <c r="D136" s="3" t="s">
        <v>1074</v>
      </c>
      <c r="E136" s="14">
        <v>45763</v>
      </c>
      <c r="F136" s="5" t="s">
        <v>1082</v>
      </c>
      <c r="G136" s="5" t="s">
        <v>1079</v>
      </c>
      <c r="H136" s="6"/>
      <c r="I136" s="6"/>
      <c r="J136" s="6"/>
      <c r="K136" s="6"/>
      <c r="L136" s="7" t="s">
        <v>4045</v>
      </c>
      <c r="M136" s="8">
        <v>5154924</v>
      </c>
      <c r="N136" s="8" t="str">
        <f t="shared" si="14"/>
        <v>USD</v>
      </c>
      <c r="O136" s="13"/>
      <c r="P136" s="13">
        <v>556.75</v>
      </c>
      <c r="Q136" s="3">
        <f t="shared" si="21"/>
        <v>0</v>
      </c>
      <c r="R136" s="3">
        <f t="shared" si="22"/>
        <v>556.75</v>
      </c>
      <c r="S136" s="3">
        <f t="shared" si="23"/>
        <v>15935.89</v>
      </c>
      <c r="T136" s="24" t="s">
        <v>1081</v>
      </c>
      <c r="U136" s="24" t="s">
        <v>1081</v>
      </c>
      <c r="V136" s="80"/>
      <c r="W136" s="3" t="s">
        <v>4015</v>
      </c>
      <c r="X136" s="3"/>
      <c r="Y136" s="3"/>
      <c r="Z136" s="3"/>
      <c r="AA136" s="3"/>
      <c r="AB136" s="3" t="str">
        <f>IF(BCP_Dolares[[#This Row],[FECHA]]&gt;0,TEXT(BCP_Dolares[[#This Row],[FECHA]],"mmmm"),0)</f>
        <v>Abril</v>
      </c>
    </row>
    <row r="137" spans="2:28" ht="24" x14ac:dyDescent="0.3">
      <c r="B137" s="2" t="str">
        <f>IF(BCP_Dolares[[#This Row],[TIPO DE R.]]="R",COUNTIFS($D$4:$D136,"R")+1,"")</f>
        <v/>
      </c>
      <c r="C137" s="19" t="str">
        <f t="shared" ref="C137:C142" si="24">"B-BCP - Dolares"</f>
        <v>B-BCP - Dolares</v>
      </c>
      <c r="D137" s="3" t="s">
        <v>1101</v>
      </c>
      <c r="E137" s="14">
        <v>45763</v>
      </c>
      <c r="F137" s="5" t="s">
        <v>1082</v>
      </c>
      <c r="G137" s="5"/>
      <c r="H137" s="6" t="s">
        <v>147</v>
      </c>
      <c r="I137" s="6" t="s">
        <v>14</v>
      </c>
      <c r="J137" s="6" t="s">
        <v>1148</v>
      </c>
      <c r="K137" s="6">
        <v>15744</v>
      </c>
      <c r="L137" s="7" t="s">
        <v>4045</v>
      </c>
      <c r="M137" s="8">
        <v>5154924</v>
      </c>
      <c r="N137" s="8" t="str">
        <f t="shared" ref="N137:N142" si="25">"USD"</f>
        <v>USD</v>
      </c>
      <c r="O137" s="13">
        <v>47.48</v>
      </c>
      <c r="P137" s="13"/>
      <c r="Q137" s="3">
        <f t="shared" si="21"/>
        <v>0</v>
      </c>
      <c r="R137" s="3">
        <f t="shared" si="22"/>
        <v>0</v>
      </c>
      <c r="S137" s="3">
        <f t="shared" si="23"/>
        <v>15935.89</v>
      </c>
      <c r="T137" s="24"/>
      <c r="U137" s="24" t="s">
        <v>1081</v>
      </c>
      <c r="V137" s="80"/>
      <c r="W137" s="3"/>
      <c r="X137" s="3"/>
      <c r="Y137" s="3"/>
      <c r="Z137" s="3"/>
      <c r="AA137" s="3"/>
      <c r="AB137" s="3" t="str">
        <f>IF(BCP_Dolares[[#This Row],[FECHA]]&gt;0,TEXT(BCP_Dolares[[#This Row],[FECHA]],"mmmm"),0)</f>
        <v>Abril</v>
      </c>
    </row>
    <row r="138" spans="2:28" ht="24" x14ac:dyDescent="0.3">
      <c r="B138" s="2" t="str">
        <f>IF(BCP_Dolares[[#This Row],[TIPO DE R.]]="R",COUNTIFS($D$4:$D137,"R")+1,"")</f>
        <v/>
      </c>
      <c r="C138" s="19" t="str">
        <f t="shared" si="24"/>
        <v>B-BCP - Dolares</v>
      </c>
      <c r="D138" s="3" t="s">
        <v>1101</v>
      </c>
      <c r="E138" s="14">
        <v>45763</v>
      </c>
      <c r="F138" s="5" t="s">
        <v>1082</v>
      </c>
      <c r="G138" s="5"/>
      <c r="H138" s="6" t="s">
        <v>147</v>
      </c>
      <c r="I138" s="6" t="s">
        <v>14</v>
      </c>
      <c r="J138" s="6" t="s">
        <v>1148</v>
      </c>
      <c r="K138" s="6">
        <v>15755</v>
      </c>
      <c r="L138" s="7" t="s">
        <v>4045</v>
      </c>
      <c r="M138" s="8">
        <v>5154924</v>
      </c>
      <c r="N138" s="8" t="str">
        <f t="shared" si="25"/>
        <v>USD</v>
      </c>
      <c r="O138" s="13">
        <v>127.71</v>
      </c>
      <c r="P138" s="13"/>
      <c r="Q138" s="3">
        <f t="shared" si="21"/>
        <v>0</v>
      </c>
      <c r="R138" s="3">
        <f t="shared" si="22"/>
        <v>0</v>
      </c>
      <c r="S138" s="3">
        <f t="shared" si="23"/>
        <v>15935.89</v>
      </c>
      <c r="T138" s="24"/>
      <c r="U138" s="24" t="s">
        <v>1081</v>
      </c>
      <c r="V138" s="80"/>
      <c r="W138" s="3"/>
      <c r="X138" s="3"/>
      <c r="Y138" s="3"/>
      <c r="Z138" s="3"/>
      <c r="AA138" s="3"/>
      <c r="AB138" s="3" t="str">
        <f>IF(BCP_Dolares[[#This Row],[FECHA]]&gt;0,TEXT(BCP_Dolares[[#This Row],[FECHA]],"mmmm"),0)</f>
        <v>Abril</v>
      </c>
    </row>
    <row r="139" spans="2:28" ht="24" x14ac:dyDescent="0.3">
      <c r="B139" s="2" t="str">
        <f>IF(BCP_Dolares[[#This Row],[TIPO DE R.]]="R",COUNTIFS($D$4:$D138,"R")+1,"")</f>
        <v/>
      </c>
      <c r="C139" s="19" t="str">
        <f t="shared" si="24"/>
        <v>B-BCP - Dolares</v>
      </c>
      <c r="D139" s="3" t="s">
        <v>1101</v>
      </c>
      <c r="E139" s="14">
        <v>45763</v>
      </c>
      <c r="F139" s="5" t="s">
        <v>1082</v>
      </c>
      <c r="G139" s="5"/>
      <c r="H139" s="6" t="s">
        <v>147</v>
      </c>
      <c r="I139" s="6" t="s">
        <v>14</v>
      </c>
      <c r="J139" s="6" t="s">
        <v>1148</v>
      </c>
      <c r="K139" s="6">
        <v>15774</v>
      </c>
      <c r="L139" s="7" t="s">
        <v>4045</v>
      </c>
      <c r="M139" s="8">
        <v>5154924</v>
      </c>
      <c r="N139" s="8" t="str">
        <f t="shared" si="25"/>
        <v>USD</v>
      </c>
      <c r="O139" s="13">
        <v>39.590000000000003</v>
      </c>
      <c r="P139" s="13"/>
      <c r="Q139" s="3">
        <f t="shared" si="21"/>
        <v>0</v>
      </c>
      <c r="R139" s="3">
        <f t="shared" si="22"/>
        <v>0</v>
      </c>
      <c r="S139" s="3">
        <f t="shared" si="23"/>
        <v>15935.89</v>
      </c>
      <c r="T139" s="24"/>
      <c r="U139" s="24" t="s">
        <v>1081</v>
      </c>
      <c r="V139" s="80"/>
      <c r="W139" s="3"/>
      <c r="X139" s="3"/>
      <c r="Y139" s="3"/>
      <c r="Z139" s="3"/>
      <c r="AA139" s="3"/>
      <c r="AB139" s="3" t="str">
        <f>IF(BCP_Dolares[[#This Row],[FECHA]]&gt;0,TEXT(BCP_Dolares[[#This Row],[FECHA]],"mmmm"),0)</f>
        <v>Abril</v>
      </c>
    </row>
    <row r="140" spans="2:28" ht="24" x14ac:dyDescent="0.3">
      <c r="B140" s="2" t="str">
        <f>IF(BCP_Dolares[[#This Row],[TIPO DE R.]]="R",COUNTIFS($D$4:$D139,"R")+1,"")</f>
        <v/>
      </c>
      <c r="C140" s="19" t="str">
        <f t="shared" si="24"/>
        <v>B-BCP - Dolares</v>
      </c>
      <c r="D140" s="3" t="s">
        <v>1101</v>
      </c>
      <c r="E140" s="14">
        <v>45763</v>
      </c>
      <c r="F140" s="5" t="s">
        <v>1082</v>
      </c>
      <c r="G140" s="5"/>
      <c r="H140" s="6" t="s">
        <v>147</v>
      </c>
      <c r="I140" s="6" t="s">
        <v>14</v>
      </c>
      <c r="J140" s="6" t="s">
        <v>1148</v>
      </c>
      <c r="K140" s="6">
        <v>15775</v>
      </c>
      <c r="L140" s="7" t="s">
        <v>4045</v>
      </c>
      <c r="M140" s="8">
        <v>5154924</v>
      </c>
      <c r="N140" s="8" t="str">
        <f t="shared" si="25"/>
        <v>USD</v>
      </c>
      <c r="O140" s="13">
        <v>66.78</v>
      </c>
      <c r="P140" s="13"/>
      <c r="Q140" s="3">
        <f t="shared" si="21"/>
        <v>0</v>
      </c>
      <c r="R140" s="3">
        <f t="shared" si="22"/>
        <v>0</v>
      </c>
      <c r="S140" s="3">
        <f t="shared" si="23"/>
        <v>15935.89</v>
      </c>
      <c r="T140" s="24"/>
      <c r="U140" s="24" t="s">
        <v>1081</v>
      </c>
      <c r="V140" s="80"/>
      <c r="W140" s="3"/>
      <c r="X140" s="3"/>
      <c r="Y140" s="3"/>
      <c r="Z140" s="3"/>
      <c r="AA140" s="3"/>
      <c r="AB140" s="3" t="str">
        <f>IF(BCP_Dolares[[#This Row],[FECHA]]&gt;0,TEXT(BCP_Dolares[[#This Row],[FECHA]],"mmmm"),0)</f>
        <v>Abril</v>
      </c>
    </row>
    <row r="141" spans="2:28" ht="24" x14ac:dyDescent="0.3">
      <c r="B141" s="2" t="str">
        <f>IF(BCP_Dolares[[#This Row],[TIPO DE R.]]="R",COUNTIFS($D$4:$D140,"R")+1,"")</f>
        <v/>
      </c>
      <c r="C141" s="19" t="str">
        <f t="shared" si="24"/>
        <v>B-BCP - Dolares</v>
      </c>
      <c r="D141" s="3" t="s">
        <v>1101</v>
      </c>
      <c r="E141" s="14">
        <v>45763</v>
      </c>
      <c r="F141" s="5" t="s">
        <v>1082</v>
      </c>
      <c r="G141" s="5"/>
      <c r="H141" s="6" t="s">
        <v>147</v>
      </c>
      <c r="I141" s="6" t="s">
        <v>14</v>
      </c>
      <c r="J141" s="6" t="s">
        <v>1148</v>
      </c>
      <c r="K141" s="6">
        <v>15785</v>
      </c>
      <c r="L141" s="7" t="s">
        <v>4045</v>
      </c>
      <c r="M141" s="8">
        <v>5154924</v>
      </c>
      <c r="N141" s="8" t="str">
        <f t="shared" si="25"/>
        <v>USD</v>
      </c>
      <c r="O141" s="13">
        <v>37.28</v>
      </c>
      <c r="P141" s="13"/>
      <c r="Q141" s="3">
        <f t="shared" si="21"/>
        <v>0</v>
      </c>
      <c r="R141" s="3">
        <f t="shared" si="22"/>
        <v>0</v>
      </c>
      <c r="S141" s="3">
        <f t="shared" si="23"/>
        <v>15935.89</v>
      </c>
      <c r="T141" s="24"/>
      <c r="U141" s="24" t="s">
        <v>1081</v>
      </c>
      <c r="V141" s="80"/>
      <c r="W141" s="3"/>
      <c r="X141" s="3"/>
      <c r="Y141" s="3"/>
      <c r="Z141" s="3"/>
      <c r="AA141" s="3"/>
      <c r="AB141" s="3" t="str">
        <f>IF(BCP_Dolares[[#This Row],[FECHA]]&gt;0,TEXT(BCP_Dolares[[#This Row],[FECHA]],"mmmm"),0)</f>
        <v>Abril</v>
      </c>
    </row>
    <row r="142" spans="2:28" ht="48" x14ac:dyDescent="0.3">
      <c r="B142" s="2" t="str">
        <f>IF(BCP_Dolares[[#This Row],[TIPO DE R.]]="R",COUNTIFS($D$4:$D141,"R")+1,"")</f>
        <v/>
      </c>
      <c r="C142" s="19" t="str">
        <f t="shared" si="24"/>
        <v>B-BCP - Dolares</v>
      </c>
      <c r="D142" s="3" t="s">
        <v>1101</v>
      </c>
      <c r="E142" s="14">
        <v>45763</v>
      </c>
      <c r="F142" s="5" t="s">
        <v>1082</v>
      </c>
      <c r="G142" s="5"/>
      <c r="H142" s="6" t="s">
        <v>354</v>
      </c>
      <c r="I142" s="6" t="s">
        <v>14</v>
      </c>
      <c r="J142" s="6" t="s">
        <v>1119</v>
      </c>
      <c r="K142" s="6">
        <v>330</v>
      </c>
      <c r="L142" s="7" t="s">
        <v>4045</v>
      </c>
      <c r="M142" s="8">
        <v>5154924</v>
      </c>
      <c r="N142" s="8" t="str">
        <f t="shared" si="25"/>
        <v>USD</v>
      </c>
      <c r="O142" s="13">
        <v>237.91</v>
      </c>
      <c r="P142" s="13"/>
      <c r="Q142" s="3">
        <f t="shared" si="21"/>
        <v>0</v>
      </c>
      <c r="R142" s="3">
        <f t="shared" si="22"/>
        <v>0</v>
      </c>
      <c r="S142" s="3">
        <f t="shared" si="23"/>
        <v>15935.89</v>
      </c>
      <c r="T142" s="24"/>
      <c r="U142" s="24" t="s">
        <v>1081</v>
      </c>
      <c r="V142" s="80"/>
      <c r="W142" s="3"/>
      <c r="X142" s="3"/>
      <c r="Y142" s="3"/>
      <c r="Z142" s="3"/>
      <c r="AA142" s="3"/>
      <c r="AB142" s="3" t="str">
        <f>IF(BCP_Dolares[[#This Row],[FECHA]]&gt;0,TEXT(BCP_Dolares[[#This Row],[FECHA]],"mmmm"),0)</f>
        <v>Abril</v>
      </c>
    </row>
    <row r="143" spans="2:28" ht="24" x14ac:dyDescent="0.3">
      <c r="B143" s="2">
        <f>IF(BCP_Dolares[[#This Row],[TIPO DE R.]]="R",COUNTIFS($D$4:$D142,"R")+1,"")</f>
        <v>55</v>
      </c>
      <c r="C143" s="19" t="str">
        <f t="shared" si="13"/>
        <v>B-BCP - Dolares</v>
      </c>
      <c r="D143" s="3" t="s">
        <v>1074</v>
      </c>
      <c r="E143" s="14">
        <v>45763</v>
      </c>
      <c r="F143" s="5" t="s">
        <v>1078</v>
      </c>
      <c r="G143" s="5" t="s">
        <v>1079</v>
      </c>
      <c r="H143" s="6" t="s">
        <v>1001</v>
      </c>
      <c r="I143" s="6" t="s">
        <v>14</v>
      </c>
      <c r="J143" s="6" t="s">
        <v>3128</v>
      </c>
      <c r="K143" s="6">
        <v>31810356</v>
      </c>
      <c r="L143" s="7" t="s">
        <v>4046</v>
      </c>
      <c r="M143" s="8">
        <v>5154935</v>
      </c>
      <c r="N143" s="8" t="str">
        <f t="shared" si="14"/>
        <v>USD</v>
      </c>
      <c r="O143" s="13"/>
      <c r="P143" s="13">
        <v>6.32</v>
      </c>
      <c r="Q143" s="3">
        <f t="shared" si="21"/>
        <v>0</v>
      </c>
      <c r="R143" s="3">
        <f t="shared" si="22"/>
        <v>6.32</v>
      </c>
      <c r="S143" s="3">
        <f t="shared" si="23"/>
        <v>15929.57</v>
      </c>
      <c r="T143" s="24"/>
      <c r="U143" s="24" t="s">
        <v>1081</v>
      </c>
      <c r="V143" s="80"/>
      <c r="W143" s="3" t="s">
        <v>1078</v>
      </c>
      <c r="X143" s="3" t="s">
        <v>4047</v>
      </c>
      <c r="Y143" s="3"/>
      <c r="Z143" s="3"/>
      <c r="AA143" s="3"/>
      <c r="AB143" s="3" t="str">
        <f>IF(BCP_Dolares[[#This Row],[FECHA]]&gt;0,TEXT(BCP_Dolares[[#This Row],[FECHA]],"mmmm"),0)</f>
        <v>Abril</v>
      </c>
    </row>
    <row r="144" spans="2:28" x14ac:dyDescent="0.3">
      <c r="B144" s="2">
        <f>IF(BCP_Dolares[[#This Row],[TIPO DE R.]]="R",COUNTIFS($D$4:$D143,"R")+1,"")</f>
        <v>56</v>
      </c>
      <c r="C144" s="19" t="str">
        <f t="shared" si="13"/>
        <v>B-BCP - Dolares</v>
      </c>
      <c r="D144" s="3" t="s">
        <v>1074</v>
      </c>
      <c r="E144" s="14">
        <v>45765</v>
      </c>
      <c r="F144" s="5" t="s">
        <v>1078</v>
      </c>
      <c r="G144" s="5" t="s">
        <v>1079</v>
      </c>
      <c r="H144" s="6"/>
      <c r="I144" s="6"/>
      <c r="J144" s="6"/>
      <c r="K144" s="6"/>
      <c r="L144" s="7" t="s">
        <v>1080</v>
      </c>
      <c r="M144" s="8"/>
      <c r="N144" s="8" t="str">
        <f t="shared" si="14"/>
        <v>USD</v>
      </c>
      <c r="O144" s="13"/>
      <c r="P144" s="13">
        <v>0.05</v>
      </c>
      <c r="Q144" s="3">
        <f t="shared" si="21"/>
        <v>0</v>
      </c>
      <c r="R144" s="3">
        <f t="shared" si="22"/>
        <v>0.05</v>
      </c>
      <c r="S144" s="3">
        <f t="shared" si="23"/>
        <v>15929.52</v>
      </c>
      <c r="T144" s="24"/>
      <c r="U144" s="24"/>
      <c r="V144" s="80"/>
      <c r="W144" s="3"/>
      <c r="X144" s="3"/>
      <c r="Y144" s="3"/>
      <c r="Z144" s="3"/>
      <c r="AA144" s="3"/>
      <c r="AB144" s="3" t="str">
        <f>IF(BCP_Dolares[[#This Row],[FECHA]]&gt;0,TEXT(BCP_Dolares[[#This Row],[FECHA]],"mmmm"),0)</f>
        <v>Abril</v>
      </c>
    </row>
    <row r="145" spans="2:28" ht="36" x14ac:dyDescent="0.3">
      <c r="B145" s="2">
        <f>IF(BCP_Dolares[[#This Row],[TIPO DE R.]]="R",COUNTIFS($D$4:$D144,"R")+1,"")</f>
        <v>57</v>
      </c>
      <c r="C145" s="19" t="str">
        <f t="shared" si="13"/>
        <v>B-BCP - Dolares</v>
      </c>
      <c r="D145" s="3" t="s">
        <v>1074</v>
      </c>
      <c r="E145" s="14">
        <v>45769</v>
      </c>
      <c r="F145" s="5" t="s">
        <v>1082</v>
      </c>
      <c r="G145" s="5" t="s">
        <v>1079</v>
      </c>
      <c r="H145" s="6" t="s">
        <v>644</v>
      </c>
      <c r="I145" s="6" t="s">
        <v>14</v>
      </c>
      <c r="J145" s="6" t="s">
        <v>1204</v>
      </c>
      <c r="K145" s="6">
        <v>444761</v>
      </c>
      <c r="L145" s="7" t="s">
        <v>4004</v>
      </c>
      <c r="M145" s="8">
        <v>98849</v>
      </c>
      <c r="N145" s="8" t="str">
        <f t="shared" si="14"/>
        <v>USD</v>
      </c>
      <c r="O145" s="13"/>
      <c r="P145" s="13">
        <v>215.22</v>
      </c>
      <c r="Q145" s="3">
        <f t="shared" si="21"/>
        <v>0</v>
      </c>
      <c r="R145" s="3">
        <f t="shared" si="22"/>
        <v>215.22</v>
      </c>
      <c r="S145" s="3">
        <f t="shared" si="23"/>
        <v>15714.300000000001</v>
      </c>
      <c r="T145" s="24" t="s">
        <v>1081</v>
      </c>
      <c r="U145" s="24" t="s">
        <v>1081</v>
      </c>
      <c r="V145" s="80"/>
      <c r="W145" s="3" t="s">
        <v>4005</v>
      </c>
      <c r="X145" s="3" t="s">
        <v>4048</v>
      </c>
      <c r="Y145" s="3"/>
      <c r="Z145" s="3"/>
      <c r="AA145" s="3"/>
      <c r="AB145" s="3" t="str">
        <f>IF(BCP_Dolares[[#This Row],[FECHA]]&gt;0,TEXT(BCP_Dolares[[#This Row],[FECHA]],"mmmm"),0)</f>
        <v>Abril</v>
      </c>
    </row>
    <row r="146" spans="2:28" x14ac:dyDescent="0.3">
      <c r="B146" s="2">
        <f>IF(BCP_Dolares[[#This Row],[TIPO DE R.]]="R",COUNTIFS($D$4:$D145,"R")+1,"")</f>
        <v>58</v>
      </c>
      <c r="C146" s="19" t="str">
        <f t="shared" si="13"/>
        <v>B-BCP - Dolares</v>
      </c>
      <c r="D146" s="3" t="s">
        <v>1074</v>
      </c>
      <c r="E146" s="14">
        <v>45771</v>
      </c>
      <c r="F146" s="5" t="s">
        <v>1078</v>
      </c>
      <c r="G146" s="5" t="s">
        <v>1079</v>
      </c>
      <c r="H146" s="6"/>
      <c r="I146" s="6"/>
      <c r="J146" s="6"/>
      <c r="K146" s="6"/>
      <c r="L146" s="7" t="s">
        <v>1080</v>
      </c>
      <c r="M146" s="8"/>
      <c r="N146" s="8" t="str">
        <f t="shared" si="14"/>
        <v>USD</v>
      </c>
      <c r="O146" s="13"/>
      <c r="P146" s="13">
        <v>0.45</v>
      </c>
      <c r="Q146" s="3">
        <f t="shared" si="21"/>
        <v>0</v>
      </c>
      <c r="R146" s="3">
        <f t="shared" si="22"/>
        <v>0.45</v>
      </c>
      <c r="S146" s="3">
        <f t="shared" si="23"/>
        <v>15713.85</v>
      </c>
      <c r="T146" s="24"/>
      <c r="U146" s="24"/>
      <c r="V146" s="80"/>
      <c r="W146" s="3"/>
      <c r="X146" s="3"/>
      <c r="Y146" s="3"/>
      <c r="Z146" s="3"/>
      <c r="AA146" s="3"/>
      <c r="AB146" s="3" t="str">
        <f>IF(BCP_Dolares[[#This Row],[FECHA]]&gt;0,TEXT(BCP_Dolares[[#This Row],[FECHA]],"mmmm"),0)</f>
        <v>Abril</v>
      </c>
    </row>
    <row r="147" spans="2:28" ht="24" x14ac:dyDescent="0.3">
      <c r="B147" s="2">
        <f>IF(BCP_Dolares[[#This Row],[TIPO DE R.]]="R",COUNTIFS($D$4:$D146,"R")+1,"")</f>
        <v>59</v>
      </c>
      <c r="C147" s="19" t="str">
        <f t="shared" si="13"/>
        <v>B-BCP - Dolares</v>
      </c>
      <c r="D147" s="3" t="s">
        <v>1074</v>
      </c>
      <c r="E147" s="14">
        <v>45771</v>
      </c>
      <c r="F147" s="5" t="s">
        <v>147</v>
      </c>
      <c r="G147" s="5" t="s">
        <v>1087</v>
      </c>
      <c r="H147" s="6" t="s">
        <v>368</v>
      </c>
      <c r="I147" s="6" t="s">
        <v>14</v>
      </c>
      <c r="J147" s="6" t="s">
        <v>1521</v>
      </c>
      <c r="K147" s="6">
        <v>1</v>
      </c>
      <c r="L147" s="7" t="s">
        <v>4049</v>
      </c>
      <c r="M147" s="8">
        <v>7556851</v>
      </c>
      <c r="N147" s="8" t="str">
        <f t="shared" si="14"/>
        <v>USD</v>
      </c>
      <c r="O147" s="13"/>
      <c r="P147" s="13">
        <v>9194.86</v>
      </c>
      <c r="Q147" s="3">
        <f t="shared" si="21"/>
        <v>9194.86</v>
      </c>
      <c r="R147" s="3">
        <f t="shared" si="22"/>
        <v>0</v>
      </c>
      <c r="S147" s="3">
        <f t="shared" si="23"/>
        <v>24908.71</v>
      </c>
      <c r="T147" s="24" t="s">
        <v>1081</v>
      </c>
      <c r="U147" s="24" t="s">
        <v>1081</v>
      </c>
      <c r="V147" s="80"/>
      <c r="W147" s="3" t="s">
        <v>368</v>
      </c>
      <c r="X147" s="3" t="s">
        <v>4050</v>
      </c>
      <c r="Y147" s="3"/>
      <c r="Z147" s="3"/>
      <c r="AA147" s="3"/>
      <c r="AB147" s="3" t="str">
        <f>IF(BCP_Dolares[[#This Row],[FECHA]]&gt;0,TEXT(BCP_Dolares[[#This Row],[FECHA]],"mmmm"),0)</f>
        <v>Abril</v>
      </c>
    </row>
    <row r="148" spans="2:28" x14ac:dyDescent="0.3">
      <c r="B148" s="2">
        <f>IF(BCP_Dolares[[#This Row],[TIPO DE R.]]="R",COUNTIFS($D$4:$D147,"R")+1,"")</f>
        <v>60</v>
      </c>
      <c r="C148" s="19" t="str">
        <f t="shared" si="13"/>
        <v>B-BCP - Dolares</v>
      </c>
      <c r="D148" s="3" t="s">
        <v>1074</v>
      </c>
      <c r="E148" s="14">
        <v>45775</v>
      </c>
      <c r="F148" s="5" t="s">
        <v>1078</v>
      </c>
      <c r="G148" s="5" t="s">
        <v>1079</v>
      </c>
      <c r="H148" s="6"/>
      <c r="I148" s="6"/>
      <c r="J148" s="6"/>
      <c r="K148" s="6"/>
      <c r="L148" s="7" t="s">
        <v>1080</v>
      </c>
      <c r="M148" s="8"/>
      <c r="N148" s="8" t="str">
        <f t="shared" si="14"/>
        <v>USD</v>
      </c>
      <c r="O148" s="13"/>
      <c r="P148" s="13">
        <v>0.05</v>
      </c>
      <c r="Q148" s="3">
        <f t="shared" si="21"/>
        <v>0</v>
      </c>
      <c r="R148" s="3">
        <f t="shared" si="22"/>
        <v>0.05</v>
      </c>
      <c r="S148" s="3">
        <f t="shared" si="23"/>
        <v>24908.66</v>
      </c>
      <c r="T148" s="24"/>
      <c r="U148" s="24"/>
      <c r="V148" s="80"/>
      <c r="W148" s="3"/>
      <c r="X148" s="3"/>
      <c r="Y148" s="3"/>
      <c r="Z148" s="3"/>
      <c r="AA148" s="3"/>
      <c r="AB148" s="3" t="str">
        <f>IF(BCP_Dolares[[#This Row],[FECHA]]&gt;0,TEXT(BCP_Dolares[[#This Row],[FECHA]],"mmmm"),0)</f>
        <v>Abril</v>
      </c>
    </row>
    <row r="149" spans="2:28" x14ac:dyDescent="0.3">
      <c r="B149" s="2">
        <f>IF(BCP_Dolares[[#This Row],[TIPO DE R.]]="R",COUNTIFS($D$4:$D148,"R")+1,"")</f>
        <v>61</v>
      </c>
      <c r="C149" s="19" t="str">
        <f t="shared" si="13"/>
        <v>B-BCP - Dolares</v>
      </c>
      <c r="D149" s="3" t="s">
        <v>1074</v>
      </c>
      <c r="E149" s="14">
        <v>45775</v>
      </c>
      <c r="F149" s="5" t="s">
        <v>1082</v>
      </c>
      <c r="G149" s="5" t="s">
        <v>1079</v>
      </c>
      <c r="H149" s="6"/>
      <c r="I149" s="6"/>
      <c r="J149" s="6"/>
      <c r="K149" s="6"/>
      <c r="L149" s="7" t="s">
        <v>4051</v>
      </c>
      <c r="M149" s="8">
        <v>8732826</v>
      </c>
      <c r="N149" s="8" t="str">
        <f t="shared" si="14"/>
        <v>USD</v>
      </c>
      <c r="O149" s="13"/>
      <c r="P149" s="13">
        <v>1892.15</v>
      </c>
      <c r="Q149" s="3">
        <f t="shared" si="21"/>
        <v>0</v>
      </c>
      <c r="R149" s="3">
        <f t="shared" si="22"/>
        <v>1892.15</v>
      </c>
      <c r="S149" s="3">
        <f t="shared" si="23"/>
        <v>23016.51</v>
      </c>
      <c r="T149" s="24" t="s">
        <v>1081</v>
      </c>
      <c r="U149" s="24" t="s">
        <v>1081</v>
      </c>
      <c r="V149" s="80"/>
      <c r="W149" s="3" t="s">
        <v>147</v>
      </c>
      <c r="X149" s="3"/>
      <c r="Y149" s="3"/>
      <c r="Z149" s="3"/>
      <c r="AA149" s="3"/>
      <c r="AB149" s="3" t="str">
        <f>IF(BCP_Dolares[[#This Row],[FECHA]]&gt;0,TEXT(BCP_Dolares[[#This Row],[FECHA]],"mmmm"),0)</f>
        <v>Abril</v>
      </c>
    </row>
    <row r="150" spans="2:28" ht="24" x14ac:dyDescent="0.3">
      <c r="B150" s="2" t="str">
        <f>IF(BCP_Dolares[[#This Row],[TIPO DE R.]]="R",COUNTIFS($D$4:$D149,"R")+1,"")</f>
        <v/>
      </c>
      <c r="C150" s="19" t="str">
        <f t="shared" ref="C150:C161" si="26">"B-BCP - Dolares"</f>
        <v>B-BCP - Dolares</v>
      </c>
      <c r="D150" s="3" t="s">
        <v>1101</v>
      </c>
      <c r="E150" s="14">
        <v>45775</v>
      </c>
      <c r="F150" s="5" t="s">
        <v>1082</v>
      </c>
      <c r="G150" s="5"/>
      <c r="H150" s="6" t="s">
        <v>147</v>
      </c>
      <c r="I150" s="6" t="s">
        <v>14</v>
      </c>
      <c r="J150" s="6" t="s">
        <v>1148</v>
      </c>
      <c r="K150" s="6">
        <v>15791</v>
      </c>
      <c r="L150" s="7" t="s">
        <v>4051</v>
      </c>
      <c r="M150" s="8">
        <v>8732826</v>
      </c>
      <c r="N150" s="8" t="str">
        <f t="shared" ref="N150:N161" si="27">"USD"</f>
        <v>USD</v>
      </c>
      <c r="O150" s="13">
        <v>34.32</v>
      </c>
      <c r="P150" s="13"/>
      <c r="Q150" s="3">
        <f t="shared" si="21"/>
        <v>0</v>
      </c>
      <c r="R150" s="3">
        <f t="shared" si="22"/>
        <v>0</v>
      </c>
      <c r="S150" s="3">
        <f t="shared" si="23"/>
        <v>23016.51</v>
      </c>
      <c r="T150" s="24"/>
      <c r="U150" s="24" t="s">
        <v>1081</v>
      </c>
      <c r="V150" s="80"/>
      <c r="W150" s="3"/>
      <c r="X150" s="3"/>
      <c r="Y150" s="3"/>
      <c r="Z150" s="3"/>
      <c r="AA150" s="3"/>
      <c r="AB150" s="3" t="str">
        <f>IF(BCP_Dolares[[#This Row],[FECHA]]&gt;0,TEXT(BCP_Dolares[[#This Row],[FECHA]],"mmmm"),0)</f>
        <v>Abril</v>
      </c>
    </row>
    <row r="151" spans="2:28" ht="24" x14ac:dyDescent="0.3">
      <c r="B151" s="2" t="str">
        <f>IF(BCP_Dolares[[#This Row],[TIPO DE R.]]="R",COUNTIFS($D$4:$D150,"R")+1,"")</f>
        <v/>
      </c>
      <c r="C151" s="19" t="str">
        <f t="shared" si="26"/>
        <v>B-BCP - Dolares</v>
      </c>
      <c r="D151" s="3" t="s">
        <v>1101</v>
      </c>
      <c r="E151" s="14">
        <v>45775</v>
      </c>
      <c r="F151" s="5" t="s">
        <v>1082</v>
      </c>
      <c r="G151" s="5"/>
      <c r="H151" s="6" t="s">
        <v>147</v>
      </c>
      <c r="I151" s="6" t="s">
        <v>14</v>
      </c>
      <c r="J151" s="6" t="s">
        <v>1148</v>
      </c>
      <c r="K151" s="6">
        <v>15795</v>
      </c>
      <c r="L151" s="7" t="s">
        <v>4051</v>
      </c>
      <c r="M151" s="8">
        <v>8732826</v>
      </c>
      <c r="N151" s="8" t="str">
        <f t="shared" si="27"/>
        <v>USD</v>
      </c>
      <c r="O151" s="13">
        <v>39.6</v>
      </c>
      <c r="P151" s="13"/>
      <c r="Q151" s="3">
        <f t="shared" si="21"/>
        <v>0</v>
      </c>
      <c r="R151" s="3">
        <f t="shared" si="22"/>
        <v>0</v>
      </c>
      <c r="S151" s="3">
        <f t="shared" si="23"/>
        <v>23016.51</v>
      </c>
      <c r="T151" s="24"/>
      <c r="U151" s="24" t="s">
        <v>1081</v>
      </c>
      <c r="V151" s="80"/>
      <c r="W151" s="3"/>
      <c r="X151" s="3"/>
      <c r="Y151" s="3"/>
      <c r="Z151" s="3"/>
      <c r="AA151" s="3"/>
      <c r="AB151" s="3" t="str">
        <f>IF(BCP_Dolares[[#This Row],[FECHA]]&gt;0,TEXT(BCP_Dolares[[#This Row],[FECHA]],"mmmm"),0)</f>
        <v>Abril</v>
      </c>
    </row>
    <row r="152" spans="2:28" ht="24" x14ac:dyDescent="0.3">
      <c r="B152" s="2" t="str">
        <f>IF(BCP_Dolares[[#This Row],[TIPO DE R.]]="R",COUNTIFS($D$4:$D151,"R")+1,"")</f>
        <v/>
      </c>
      <c r="C152" s="19" t="str">
        <f t="shared" si="26"/>
        <v>B-BCP - Dolares</v>
      </c>
      <c r="D152" s="3" t="s">
        <v>1101</v>
      </c>
      <c r="E152" s="14">
        <v>45775</v>
      </c>
      <c r="F152" s="5" t="s">
        <v>1082</v>
      </c>
      <c r="G152" s="5"/>
      <c r="H152" s="6" t="s">
        <v>147</v>
      </c>
      <c r="I152" s="6" t="s">
        <v>14</v>
      </c>
      <c r="J152" s="6" t="s">
        <v>1148</v>
      </c>
      <c r="K152" s="6">
        <v>15813</v>
      </c>
      <c r="L152" s="7" t="s">
        <v>4051</v>
      </c>
      <c r="M152" s="8">
        <v>8732826</v>
      </c>
      <c r="N152" s="8" t="str">
        <f t="shared" si="27"/>
        <v>USD</v>
      </c>
      <c r="O152" s="13">
        <v>1159.3900000000001</v>
      </c>
      <c r="P152" s="13"/>
      <c r="Q152" s="3">
        <f t="shared" si="21"/>
        <v>0</v>
      </c>
      <c r="R152" s="3">
        <f t="shared" si="22"/>
        <v>0</v>
      </c>
      <c r="S152" s="3">
        <f t="shared" si="23"/>
        <v>23016.51</v>
      </c>
      <c r="T152" s="24"/>
      <c r="U152" s="24" t="s">
        <v>1081</v>
      </c>
      <c r="V152" s="80"/>
      <c r="W152" s="3"/>
      <c r="X152" s="3"/>
      <c r="Y152" s="3"/>
      <c r="Z152" s="3"/>
      <c r="AA152" s="3"/>
      <c r="AB152" s="3" t="str">
        <f>IF(BCP_Dolares[[#This Row],[FECHA]]&gt;0,TEXT(BCP_Dolares[[#This Row],[FECHA]],"mmmm"),0)</f>
        <v>Abril</v>
      </c>
    </row>
    <row r="153" spans="2:28" ht="24" x14ac:dyDescent="0.3">
      <c r="B153" s="2" t="str">
        <f>IF(BCP_Dolares[[#This Row],[TIPO DE R.]]="R",COUNTIFS($D$4:$D152,"R")+1,"")</f>
        <v/>
      </c>
      <c r="C153" s="19" t="str">
        <f t="shared" si="26"/>
        <v>B-BCP - Dolares</v>
      </c>
      <c r="D153" s="3" t="s">
        <v>1101</v>
      </c>
      <c r="E153" s="14">
        <v>45775</v>
      </c>
      <c r="F153" s="5" t="s">
        <v>1082</v>
      </c>
      <c r="G153" s="5"/>
      <c r="H153" s="6" t="s">
        <v>147</v>
      </c>
      <c r="I153" s="6" t="s">
        <v>14</v>
      </c>
      <c r="J153" s="6" t="s">
        <v>1148</v>
      </c>
      <c r="K153" s="6">
        <v>15855</v>
      </c>
      <c r="L153" s="7" t="s">
        <v>4051</v>
      </c>
      <c r="M153" s="8">
        <v>8732826</v>
      </c>
      <c r="N153" s="8" t="str">
        <f t="shared" si="27"/>
        <v>USD</v>
      </c>
      <c r="O153" s="13">
        <v>126.32</v>
      </c>
      <c r="P153" s="13"/>
      <c r="Q153" s="3">
        <f t="shared" si="21"/>
        <v>0</v>
      </c>
      <c r="R153" s="3">
        <f t="shared" si="22"/>
        <v>0</v>
      </c>
      <c r="S153" s="3">
        <f t="shared" si="23"/>
        <v>23016.51</v>
      </c>
      <c r="T153" s="24"/>
      <c r="U153" s="24" t="s">
        <v>1081</v>
      </c>
      <c r="V153" s="80"/>
      <c r="W153" s="3"/>
      <c r="X153" s="3"/>
      <c r="Y153" s="3"/>
      <c r="Z153" s="3"/>
      <c r="AA153" s="3"/>
      <c r="AB153" s="3" t="str">
        <f>IF(BCP_Dolares[[#This Row],[FECHA]]&gt;0,TEXT(BCP_Dolares[[#This Row],[FECHA]],"mmmm"),0)</f>
        <v>Abril</v>
      </c>
    </row>
    <row r="154" spans="2:28" ht="24" x14ac:dyDescent="0.3">
      <c r="B154" s="2" t="str">
        <f>IF(BCP_Dolares[[#This Row],[TIPO DE R.]]="R",COUNTIFS($D$4:$D153,"R")+1,"")</f>
        <v/>
      </c>
      <c r="C154" s="19" t="str">
        <f t="shared" si="26"/>
        <v>B-BCP - Dolares</v>
      </c>
      <c r="D154" s="3" t="s">
        <v>1101</v>
      </c>
      <c r="E154" s="14">
        <v>45775</v>
      </c>
      <c r="F154" s="5" t="s">
        <v>1082</v>
      </c>
      <c r="G154" s="5"/>
      <c r="H154" s="6" t="s">
        <v>147</v>
      </c>
      <c r="I154" s="6" t="s">
        <v>14</v>
      </c>
      <c r="J154" s="6" t="s">
        <v>1148</v>
      </c>
      <c r="K154" s="6">
        <v>15848</v>
      </c>
      <c r="L154" s="7" t="s">
        <v>4051</v>
      </c>
      <c r="M154" s="8">
        <v>8732826</v>
      </c>
      <c r="N154" s="8" t="str">
        <f t="shared" si="27"/>
        <v>USD</v>
      </c>
      <c r="O154" s="13">
        <v>28.37</v>
      </c>
      <c r="P154" s="13"/>
      <c r="Q154" s="3">
        <f t="shared" si="21"/>
        <v>0</v>
      </c>
      <c r="R154" s="3">
        <f t="shared" si="22"/>
        <v>0</v>
      </c>
      <c r="S154" s="3">
        <f t="shared" si="23"/>
        <v>23016.51</v>
      </c>
      <c r="T154" s="24"/>
      <c r="U154" s="24" t="s">
        <v>1081</v>
      </c>
      <c r="V154" s="80"/>
      <c r="W154" s="3"/>
      <c r="X154" s="3"/>
      <c r="Y154" s="3"/>
      <c r="Z154" s="3"/>
      <c r="AA154" s="3"/>
      <c r="AB154" s="3" t="str">
        <f>IF(BCP_Dolares[[#This Row],[FECHA]]&gt;0,TEXT(BCP_Dolares[[#This Row],[FECHA]],"mmmm"),0)</f>
        <v>Abril</v>
      </c>
    </row>
    <row r="155" spans="2:28" ht="24" x14ac:dyDescent="0.3">
      <c r="B155" s="2" t="str">
        <f>IF(BCP_Dolares[[#This Row],[TIPO DE R.]]="R",COUNTIFS($D$4:$D154,"R")+1,"")</f>
        <v/>
      </c>
      <c r="C155" s="19" t="str">
        <f t="shared" si="26"/>
        <v>B-BCP - Dolares</v>
      </c>
      <c r="D155" s="3" t="s">
        <v>1101</v>
      </c>
      <c r="E155" s="14">
        <v>45775</v>
      </c>
      <c r="F155" s="5" t="s">
        <v>1082</v>
      </c>
      <c r="G155" s="5"/>
      <c r="H155" s="6" t="s">
        <v>147</v>
      </c>
      <c r="I155" s="6" t="s">
        <v>14</v>
      </c>
      <c r="J155" s="6" t="s">
        <v>1148</v>
      </c>
      <c r="K155" s="6">
        <v>15866</v>
      </c>
      <c r="L155" s="7" t="s">
        <v>4051</v>
      </c>
      <c r="M155" s="8">
        <v>8732826</v>
      </c>
      <c r="N155" s="8" t="str">
        <f t="shared" si="27"/>
        <v>USD</v>
      </c>
      <c r="O155" s="13">
        <v>130.46</v>
      </c>
      <c r="P155" s="13"/>
      <c r="Q155" s="3">
        <f t="shared" si="21"/>
        <v>0</v>
      </c>
      <c r="R155" s="3">
        <f t="shared" si="22"/>
        <v>0</v>
      </c>
      <c r="S155" s="3">
        <f t="shared" si="23"/>
        <v>23016.51</v>
      </c>
      <c r="T155" s="24"/>
      <c r="U155" s="24" t="s">
        <v>1081</v>
      </c>
      <c r="V155" s="80"/>
      <c r="W155" s="3"/>
      <c r="X155" s="3"/>
      <c r="Y155" s="3"/>
      <c r="Z155" s="3"/>
      <c r="AA155" s="3"/>
      <c r="AB155" s="3" t="str">
        <f>IF(BCP_Dolares[[#This Row],[FECHA]]&gt;0,TEXT(BCP_Dolares[[#This Row],[FECHA]],"mmmm"),0)</f>
        <v>Abril</v>
      </c>
    </row>
    <row r="156" spans="2:28" ht="24" x14ac:dyDescent="0.3">
      <c r="B156" s="2" t="str">
        <f>IF(BCP_Dolares[[#This Row],[TIPO DE R.]]="R",COUNTIFS($D$4:$D155,"R")+1,"")</f>
        <v/>
      </c>
      <c r="C156" s="19" t="str">
        <f t="shared" si="26"/>
        <v>B-BCP - Dolares</v>
      </c>
      <c r="D156" s="3" t="s">
        <v>1101</v>
      </c>
      <c r="E156" s="14">
        <v>45775</v>
      </c>
      <c r="F156" s="5" t="s">
        <v>1082</v>
      </c>
      <c r="G156" s="5"/>
      <c r="H156" s="6" t="s">
        <v>147</v>
      </c>
      <c r="I156" s="6" t="s">
        <v>14</v>
      </c>
      <c r="J156" s="6" t="s">
        <v>1148</v>
      </c>
      <c r="K156" s="6">
        <v>15849</v>
      </c>
      <c r="L156" s="7" t="s">
        <v>4051</v>
      </c>
      <c r="M156" s="8">
        <v>8732826</v>
      </c>
      <c r="N156" s="8" t="str">
        <f t="shared" si="27"/>
        <v>USD</v>
      </c>
      <c r="O156" s="13">
        <v>50.03</v>
      </c>
      <c r="P156" s="13"/>
      <c r="Q156" s="3">
        <f t="shared" si="21"/>
        <v>0</v>
      </c>
      <c r="R156" s="3">
        <f t="shared" si="22"/>
        <v>0</v>
      </c>
      <c r="S156" s="3">
        <f t="shared" si="23"/>
        <v>23016.51</v>
      </c>
      <c r="T156" s="24"/>
      <c r="U156" s="24" t="s">
        <v>1081</v>
      </c>
      <c r="V156" s="80"/>
      <c r="W156" s="3"/>
      <c r="X156" s="3"/>
      <c r="Y156" s="3"/>
      <c r="Z156" s="3"/>
      <c r="AA156" s="3"/>
      <c r="AB156" s="3" t="str">
        <f>IF(BCP_Dolares[[#This Row],[FECHA]]&gt;0,TEXT(BCP_Dolares[[#This Row],[FECHA]],"mmmm"),0)</f>
        <v>Abril</v>
      </c>
    </row>
    <row r="157" spans="2:28" ht="24" x14ac:dyDescent="0.3">
      <c r="B157" s="2" t="str">
        <f>IF(BCP_Dolares[[#This Row],[TIPO DE R.]]="R",COUNTIFS($D$4:$D156,"R")+1,"")</f>
        <v/>
      </c>
      <c r="C157" s="19" t="str">
        <f t="shared" si="26"/>
        <v>B-BCP - Dolares</v>
      </c>
      <c r="D157" s="3" t="s">
        <v>1101</v>
      </c>
      <c r="E157" s="14">
        <v>45775</v>
      </c>
      <c r="F157" s="5" t="s">
        <v>1082</v>
      </c>
      <c r="G157" s="5"/>
      <c r="H157" s="6" t="s">
        <v>147</v>
      </c>
      <c r="I157" s="6" t="s">
        <v>14</v>
      </c>
      <c r="J157" s="6" t="s">
        <v>1148</v>
      </c>
      <c r="K157" s="6">
        <v>15858</v>
      </c>
      <c r="L157" s="7" t="s">
        <v>4051</v>
      </c>
      <c r="M157" s="8">
        <v>8732826</v>
      </c>
      <c r="N157" s="8" t="str">
        <f t="shared" si="27"/>
        <v>USD</v>
      </c>
      <c r="O157" s="13">
        <v>26.95</v>
      </c>
      <c r="P157" s="13"/>
      <c r="Q157" s="3">
        <f t="shared" si="21"/>
        <v>0</v>
      </c>
      <c r="R157" s="3">
        <f t="shared" si="22"/>
        <v>0</v>
      </c>
      <c r="S157" s="3">
        <f t="shared" si="23"/>
        <v>23016.51</v>
      </c>
      <c r="T157" s="24"/>
      <c r="U157" s="24" t="s">
        <v>1081</v>
      </c>
      <c r="V157" s="80"/>
      <c r="W157" s="3"/>
      <c r="X157" s="3"/>
      <c r="Y157" s="3"/>
      <c r="Z157" s="3"/>
      <c r="AA157" s="3"/>
      <c r="AB157" s="3" t="str">
        <f>IF(BCP_Dolares[[#This Row],[FECHA]]&gt;0,TEXT(BCP_Dolares[[#This Row],[FECHA]],"mmmm"),0)</f>
        <v>Abril</v>
      </c>
    </row>
    <row r="158" spans="2:28" ht="24" x14ac:dyDescent="0.3">
      <c r="B158" s="2" t="str">
        <f>IF(BCP_Dolares[[#This Row],[TIPO DE R.]]="R",COUNTIFS($D$4:$D157,"R")+1,"")</f>
        <v/>
      </c>
      <c r="C158" s="19" t="str">
        <f t="shared" si="26"/>
        <v>B-BCP - Dolares</v>
      </c>
      <c r="D158" s="3" t="s">
        <v>1101</v>
      </c>
      <c r="E158" s="14">
        <v>45775</v>
      </c>
      <c r="F158" s="5" t="s">
        <v>1082</v>
      </c>
      <c r="G158" s="5"/>
      <c r="H158" s="6" t="s">
        <v>147</v>
      </c>
      <c r="I158" s="6" t="s">
        <v>14</v>
      </c>
      <c r="J158" s="6" t="s">
        <v>1148</v>
      </c>
      <c r="K158" s="6">
        <v>15811</v>
      </c>
      <c r="L158" s="7" t="s">
        <v>4051</v>
      </c>
      <c r="M158" s="8">
        <v>8732826</v>
      </c>
      <c r="N158" s="8" t="str">
        <f t="shared" si="27"/>
        <v>USD</v>
      </c>
      <c r="O158" s="13">
        <v>12.68</v>
      </c>
      <c r="P158" s="13"/>
      <c r="Q158" s="3">
        <f t="shared" si="21"/>
        <v>0</v>
      </c>
      <c r="R158" s="3">
        <f t="shared" si="22"/>
        <v>0</v>
      </c>
      <c r="S158" s="3">
        <f t="shared" si="23"/>
        <v>23016.51</v>
      </c>
      <c r="T158" s="24"/>
      <c r="U158" s="24" t="s">
        <v>1081</v>
      </c>
      <c r="V158" s="80"/>
      <c r="W158" s="3"/>
      <c r="X158" s="3"/>
      <c r="Y158" s="3"/>
      <c r="Z158" s="3"/>
      <c r="AA158" s="3"/>
      <c r="AB158" s="3" t="str">
        <f>IF(BCP_Dolares[[#This Row],[FECHA]]&gt;0,TEXT(BCP_Dolares[[#This Row],[FECHA]],"mmmm"),0)</f>
        <v>Abril</v>
      </c>
    </row>
    <row r="159" spans="2:28" ht="24" x14ac:dyDescent="0.3">
      <c r="B159" s="2" t="str">
        <f>IF(BCP_Dolares[[#This Row],[TIPO DE R.]]="R",COUNTIFS($D$4:$D158,"R")+1,"")</f>
        <v/>
      </c>
      <c r="C159" s="19" t="str">
        <f t="shared" si="26"/>
        <v>B-BCP - Dolares</v>
      </c>
      <c r="D159" s="3" t="s">
        <v>1101</v>
      </c>
      <c r="E159" s="14">
        <v>45775</v>
      </c>
      <c r="F159" s="5" t="s">
        <v>1082</v>
      </c>
      <c r="G159" s="5"/>
      <c r="H159" s="6" t="s">
        <v>147</v>
      </c>
      <c r="I159" s="6" t="s">
        <v>14</v>
      </c>
      <c r="J159" s="6" t="s">
        <v>1148</v>
      </c>
      <c r="K159" s="6">
        <v>15821</v>
      </c>
      <c r="L159" s="7" t="s">
        <v>4051</v>
      </c>
      <c r="M159" s="8">
        <v>8732826</v>
      </c>
      <c r="N159" s="8" t="str">
        <f t="shared" si="27"/>
        <v>USD</v>
      </c>
      <c r="O159" s="13">
        <v>169.12</v>
      </c>
      <c r="P159" s="13"/>
      <c r="Q159" s="3">
        <f t="shared" si="21"/>
        <v>0</v>
      </c>
      <c r="R159" s="3">
        <f t="shared" si="22"/>
        <v>0</v>
      </c>
      <c r="S159" s="3">
        <f t="shared" si="23"/>
        <v>23016.51</v>
      </c>
      <c r="T159" s="24"/>
      <c r="U159" s="24" t="s">
        <v>1081</v>
      </c>
      <c r="V159" s="80"/>
      <c r="W159" s="3"/>
      <c r="X159" s="3"/>
      <c r="Y159" s="3"/>
      <c r="Z159" s="3"/>
      <c r="AA159" s="3"/>
      <c r="AB159" s="3" t="str">
        <f>IF(BCP_Dolares[[#This Row],[FECHA]]&gt;0,TEXT(BCP_Dolares[[#This Row],[FECHA]],"mmmm"),0)</f>
        <v>Abril</v>
      </c>
    </row>
    <row r="160" spans="2:28" ht="24" x14ac:dyDescent="0.3">
      <c r="B160" s="2" t="str">
        <f>IF(BCP_Dolares[[#This Row],[TIPO DE R.]]="R",COUNTIFS($D$4:$D159,"R")+1,"")</f>
        <v/>
      </c>
      <c r="C160" s="19" t="str">
        <f t="shared" si="26"/>
        <v>B-BCP - Dolares</v>
      </c>
      <c r="D160" s="3" t="s">
        <v>1101</v>
      </c>
      <c r="E160" s="14">
        <v>45775</v>
      </c>
      <c r="F160" s="5" t="s">
        <v>1082</v>
      </c>
      <c r="G160" s="5"/>
      <c r="H160" s="6" t="s">
        <v>147</v>
      </c>
      <c r="I160" s="6" t="s">
        <v>14</v>
      </c>
      <c r="J160" s="6" t="s">
        <v>1148</v>
      </c>
      <c r="K160" s="6">
        <v>15878</v>
      </c>
      <c r="L160" s="7" t="s">
        <v>4051</v>
      </c>
      <c r="M160" s="8">
        <v>8732826</v>
      </c>
      <c r="N160" s="8" t="str">
        <f t="shared" si="27"/>
        <v>USD</v>
      </c>
      <c r="O160" s="13">
        <v>78.22</v>
      </c>
      <c r="P160" s="13"/>
      <c r="Q160" s="3">
        <f t="shared" si="21"/>
        <v>0</v>
      </c>
      <c r="R160" s="3">
        <f t="shared" si="22"/>
        <v>0</v>
      </c>
      <c r="S160" s="3">
        <f t="shared" si="23"/>
        <v>23016.51</v>
      </c>
      <c r="T160" s="24"/>
      <c r="U160" s="24" t="s">
        <v>1081</v>
      </c>
      <c r="V160" s="80"/>
      <c r="W160" s="3"/>
      <c r="X160" s="3"/>
      <c r="Y160" s="3"/>
      <c r="Z160" s="3"/>
      <c r="AA160" s="3"/>
      <c r="AB160" s="3" t="str">
        <f>IF(BCP_Dolares[[#This Row],[FECHA]]&gt;0,TEXT(BCP_Dolares[[#This Row],[FECHA]],"mmmm"),0)</f>
        <v>Abril</v>
      </c>
    </row>
    <row r="161" spans="2:28" ht="24" x14ac:dyDescent="0.3">
      <c r="B161" s="2" t="str">
        <f>IF(BCP_Dolares[[#This Row],[TIPO DE R.]]="R",COUNTIFS($D$4:$D160,"R")+1,"")</f>
        <v/>
      </c>
      <c r="C161" s="19" t="str">
        <f t="shared" si="26"/>
        <v>B-BCP - Dolares</v>
      </c>
      <c r="D161" s="3" t="s">
        <v>1101</v>
      </c>
      <c r="E161" s="14">
        <v>45775</v>
      </c>
      <c r="F161" s="5" t="s">
        <v>1082</v>
      </c>
      <c r="G161" s="5"/>
      <c r="H161" s="6" t="s">
        <v>147</v>
      </c>
      <c r="I161" s="6" t="s">
        <v>14</v>
      </c>
      <c r="J161" s="6" t="s">
        <v>1148</v>
      </c>
      <c r="K161" s="6">
        <v>15873</v>
      </c>
      <c r="L161" s="7" t="s">
        <v>4051</v>
      </c>
      <c r="M161" s="8">
        <v>8732826</v>
      </c>
      <c r="N161" s="8" t="str">
        <f t="shared" si="27"/>
        <v>USD</v>
      </c>
      <c r="O161" s="13">
        <v>36.69</v>
      </c>
      <c r="P161" s="13"/>
      <c r="Q161" s="3">
        <f t="shared" si="21"/>
        <v>0</v>
      </c>
      <c r="R161" s="3">
        <f t="shared" si="22"/>
        <v>0</v>
      </c>
      <c r="S161" s="3">
        <f t="shared" si="23"/>
        <v>23016.51</v>
      </c>
      <c r="T161" s="24"/>
      <c r="U161" s="24" t="s">
        <v>1081</v>
      </c>
      <c r="V161" s="80"/>
      <c r="W161" s="3"/>
      <c r="X161" s="3"/>
      <c r="Y161" s="3"/>
      <c r="Z161" s="3"/>
      <c r="AA161" s="3"/>
      <c r="AB161" s="3" t="str">
        <f>IF(BCP_Dolares[[#This Row],[FECHA]]&gt;0,TEXT(BCP_Dolares[[#This Row],[FECHA]],"mmmm"),0)</f>
        <v>Abril</v>
      </c>
    </row>
    <row r="162" spans="2:28" ht="24" x14ac:dyDescent="0.3">
      <c r="B162" s="2">
        <f>IF(BCP_Dolares[[#This Row],[TIPO DE R.]]="R",COUNTIFS($D$4:$D161,"R")+1,"")</f>
        <v>62</v>
      </c>
      <c r="C162" s="19" t="str">
        <f t="shared" si="13"/>
        <v>B-BCP - Dolares</v>
      </c>
      <c r="D162" s="3" t="s">
        <v>1074</v>
      </c>
      <c r="E162" s="14">
        <v>45775</v>
      </c>
      <c r="F162" s="5" t="s">
        <v>1078</v>
      </c>
      <c r="G162" s="5" t="s">
        <v>1079</v>
      </c>
      <c r="H162" s="6" t="s">
        <v>1001</v>
      </c>
      <c r="I162" s="6"/>
      <c r="J162" s="6"/>
      <c r="K162" s="6"/>
      <c r="L162" s="7" t="s">
        <v>4052</v>
      </c>
      <c r="M162" s="8">
        <v>350</v>
      </c>
      <c r="N162" s="8" t="str">
        <f t="shared" si="14"/>
        <v>USD</v>
      </c>
      <c r="O162" s="13">
        <v>36.69</v>
      </c>
      <c r="P162" s="13">
        <v>12</v>
      </c>
      <c r="Q162" s="3">
        <f t="shared" si="21"/>
        <v>0</v>
      </c>
      <c r="R162" s="3">
        <f t="shared" si="22"/>
        <v>12</v>
      </c>
      <c r="S162" s="3">
        <f t="shared" si="23"/>
        <v>23004.51</v>
      </c>
      <c r="T162" s="24"/>
      <c r="U162" s="24"/>
      <c r="V162" s="80"/>
      <c r="W162" s="3" t="s">
        <v>1078</v>
      </c>
      <c r="X162" s="3"/>
      <c r="Y162" s="3"/>
      <c r="Z162" s="3"/>
      <c r="AA162" s="3"/>
      <c r="AB162" s="3" t="str">
        <f>IF(BCP_Dolares[[#This Row],[FECHA]]&gt;0,TEXT(BCP_Dolares[[#This Row],[FECHA]],"mmmm"),0)</f>
        <v>Abril</v>
      </c>
    </row>
    <row r="163" spans="2:28" x14ac:dyDescent="0.3">
      <c r="B163" s="2">
        <f>IF(BCP_Dolares[[#This Row],[TIPO DE R.]]="R",COUNTIFS($D$4:$D162,"R")+1,"")</f>
        <v>63</v>
      </c>
      <c r="C163" s="19" t="str">
        <f t="shared" si="13"/>
        <v>B-BCP - Dolares</v>
      </c>
      <c r="D163" s="3" t="s">
        <v>1074</v>
      </c>
      <c r="E163" s="14">
        <v>45776</v>
      </c>
      <c r="F163" s="5" t="s">
        <v>1078</v>
      </c>
      <c r="G163" s="5" t="s">
        <v>1079</v>
      </c>
      <c r="H163" s="6"/>
      <c r="I163" s="6"/>
      <c r="J163" s="6"/>
      <c r="K163" s="6"/>
      <c r="L163" s="7" t="s">
        <v>1080</v>
      </c>
      <c r="M163" s="8"/>
      <c r="N163" s="8" t="str">
        <f t="shared" si="14"/>
        <v>USD</v>
      </c>
      <c r="O163" s="13"/>
      <c r="P163" s="13">
        <v>0.15</v>
      </c>
      <c r="Q163" s="3">
        <f t="shared" si="21"/>
        <v>0</v>
      </c>
      <c r="R163" s="3">
        <f t="shared" si="22"/>
        <v>0.15</v>
      </c>
      <c r="S163" s="3">
        <f t="shared" si="23"/>
        <v>23004.359999999997</v>
      </c>
      <c r="T163" s="24"/>
      <c r="U163" s="24"/>
      <c r="V163" s="80"/>
      <c r="W163" s="3"/>
      <c r="X163" s="3"/>
      <c r="Y163" s="3"/>
      <c r="Z163" s="3"/>
      <c r="AA163" s="3"/>
      <c r="AB163" s="3" t="str">
        <f>IF(BCP_Dolares[[#This Row],[FECHA]]&gt;0,TEXT(BCP_Dolares[[#This Row],[FECHA]],"mmmm"),0)</f>
        <v>Abril</v>
      </c>
    </row>
    <row r="164" spans="2:28" ht="24" x14ac:dyDescent="0.3">
      <c r="B164" s="2">
        <f>IF(BCP_Dolares[[#This Row],[TIPO DE R.]]="R",COUNTIFS($D$4:$D163,"R")+1,"")</f>
        <v>64</v>
      </c>
      <c r="C164" s="19" t="str">
        <f t="shared" si="13"/>
        <v>B-BCP - Dolares</v>
      </c>
      <c r="D164" s="3" t="s">
        <v>1074</v>
      </c>
      <c r="E164" s="14">
        <v>45776</v>
      </c>
      <c r="F164" s="5" t="s">
        <v>147</v>
      </c>
      <c r="G164" s="5" t="s">
        <v>1087</v>
      </c>
      <c r="H164" s="6" t="s">
        <v>368</v>
      </c>
      <c r="I164" s="6" t="s">
        <v>14</v>
      </c>
      <c r="J164" s="6" t="s">
        <v>1521</v>
      </c>
      <c r="K164" s="6">
        <v>9</v>
      </c>
      <c r="L164" s="7" t="s">
        <v>4053</v>
      </c>
      <c r="M164" s="8">
        <v>9413173</v>
      </c>
      <c r="N164" s="8" t="str">
        <f t="shared" si="14"/>
        <v>USD</v>
      </c>
      <c r="O164" s="13"/>
      <c r="P164" s="13">
        <v>3391.11</v>
      </c>
      <c r="Q164" s="3">
        <f t="shared" si="21"/>
        <v>3391.11</v>
      </c>
      <c r="R164" s="3">
        <f t="shared" si="22"/>
        <v>0</v>
      </c>
      <c r="S164" s="3">
        <f t="shared" si="23"/>
        <v>26395.469999999998</v>
      </c>
      <c r="T164" s="24" t="s">
        <v>1081</v>
      </c>
      <c r="U164" s="24" t="s">
        <v>1081</v>
      </c>
      <c r="V164" s="80"/>
      <c r="W164" s="3" t="s">
        <v>368</v>
      </c>
      <c r="X164" s="3" t="s">
        <v>4054</v>
      </c>
      <c r="Y164" s="3"/>
      <c r="Z164" s="3"/>
      <c r="AA164" s="3"/>
      <c r="AB164" s="3" t="str">
        <f>IF(BCP_Dolares[[#This Row],[FECHA]]&gt;0,TEXT(BCP_Dolares[[#This Row],[FECHA]],"mmmm"),0)</f>
        <v>Abril</v>
      </c>
    </row>
    <row r="165" spans="2:28" ht="24" x14ac:dyDescent="0.3">
      <c r="B165" s="2">
        <f>IF(BCP_Dolares[[#This Row],[TIPO DE R.]]="R",COUNTIFS($D$4:$D164,"R")+1,"")</f>
        <v>65</v>
      </c>
      <c r="C165" s="19" t="str">
        <f t="shared" ref="C165:C229" si="28">"B-BCP - Dolares"</f>
        <v>B-BCP - Dolares</v>
      </c>
      <c r="D165" s="3" t="s">
        <v>1074</v>
      </c>
      <c r="E165" s="14">
        <v>45777</v>
      </c>
      <c r="F165" s="5" t="s">
        <v>1078</v>
      </c>
      <c r="G165" s="5" t="s">
        <v>1079</v>
      </c>
      <c r="H165" s="6" t="s">
        <v>1001</v>
      </c>
      <c r="I165" s="6"/>
      <c r="J165" s="6"/>
      <c r="K165" s="6"/>
      <c r="L165" s="7" t="s">
        <v>1493</v>
      </c>
      <c r="M165" s="8">
        <v>0</v>
      </c>
      <c r="N165" s="8" t="str">
        <f t="shared" ref="N165:N229" si="29">"USD"</f>
        <v>USD</v>
      </c>
      <c r="O165" s="13"/>
      <c r="P165" s="13">
        <v>13</v>
      </c>
      <c r="Q165" s="3">
        <f t="shared" si="21"/>
        <v>0</v>
      </c>
      <c r="R165" s="3">
        <f t="shared" si="22"/>
        <v>13</v>
      </c>
      <c r="S165" s="3">
        <f t="shared" si="23"/>
        <v>26382.469999999998</v>
      </c>
      <c r="T165" s="24"/>
      <c r="U165" s="24"/>
      <c r="V165" s="80"/>
      <c r="W165" s="3" t="s">
        <v>1078</v>
      </c>
      <c r="X165" s="3"/>
      <c r="Y165" s="3"/>
      <c r="Z165" s="3"/>
      <c r="AA165" s="3"/>
      <c r="AB165" s="3" t="str">
        <f>IF(BCP_Dolares[[#This Row],[FECHA]]&gt;0,TEXT(BCP_Dolares[[#This Row],[FECHA]],"mmmm"),0)</f>
        <v>Abril</v>
      </c>
    </row>
    <row r="166" spans="2:28" ht="24" x14ac:dyDescent="0.3">
      <c r="B166" s="2">
        <f>IF(BCP_Dolares[[#This Row],[TIPO DE R.]]="R",COUNTIFS($D$4:$D165,"R")+1,"")</f>
        <v>66</v>
      </c>
      <c r="C166" s="19" t="str">
        <f t="shared" si="28"/>
        <v>B-BCP - Dolares</v>
      </c>
      <c r="D166" s="3" t="s">
        <v>1074</v>
      </c>
      <c r="E166" s="14">
        <v>45777</v>
      </c>
      <c r="F166" s="5" t="s">
        <v>1078</v>
      </c>
      <c r="G166" s="5" t="s">
        <v>1079</v>
      </c>
      <c r="H166" s="6" t="s">
        <v>1001</v>
      </c>
      <c r="I166" s="6"/>
      <c r="J166" s="6"/>
      <c r="K166" s="6"/>
      <c r="L166" s="7" t="s">
        <v>1495</v>
      </c>
      <c r="M166" s="8">
        <v>1142110</v>
      </c>
      <c r="N166" s="8" t="str">
        <f t="shared" si="29"/>
        <v>USD</v>
      </c>
      <c r="O166" s="13"/>
      <c r="P166" s="13">
        <v>2</v>
      </c>
      <c r="Q166" s="3">
        <f t="shared" si="21"/>
        <v>0</v>
      </c>
      <c r="R166" s="3">
        <f t="shared" si="22"/>
        <v>2</v>
      </c>
      <c r="S166" s="3">
        <f t="shared" si="23"/>
        <v>26380.469999999998</v>
      </c>
      <c r="T166" s="24"/>
      <c r="U166" s="24"/>
      <c r="V166" s="80"/>
      <c r="W166" s="3" t="s">
        <v>1078</v>
      </c>
      <c r="X166" s="3"/>
      <c r="Y166" s="3"/>
      <c r="Z166" s="3"/>
      <c r="AA166" s="3"/>
      <c r="AB166" s="3" t="str">
        <f>IF(BCP_Dolares[[#This Row],[FECHA]]&gt;0,TEXT(BCP_Dolares[[#This Row],[FECHA]],"mmmm"),0)</f>
        <v>Abril</v>
      </c>
    </row>
    <row r="167" spans="2:28" ht="24" x14ac:dyDescent="0.3">
      <c r="B167" s="2">
        <f>IF(BCP_Dolares[[#This Row],[TIPO DE R.]]="R",COUNTIFS($D$4:$D166,"R")+1,"")</f>
        <v>67</v>
      </c>
      <c r="C167" s="19" t="str">
        <f t="shared" si="28"/>
        <v>B-BCP - Dolares</v>
      </c>
      <c r="D167" s="3" t="s">
        <v>1074</v>
      </c>
      <c r="E167" s="14">
        <v>45783</v>
      </c>
      <c r="F167" s="5" t="s">
        <v>1082</v>
      </c>
      <c r="G167" s="5" t="s">
        <v>1079</v>
      </c>
      <c r="H167" s="6" t="s">
        <v>191</v>
      </c>
      <c r="I167" s="6" t="s">
        <v>14</v>
      </c>
      <c r="J167" s="6" t="s">
        <v>4055</v>
      </c>
      <c r="K167" s="6">
        <v>1025</v>
      </c>
      <c r="L167" s="7" t="s">
        <v>4056</v>
      </c>
      <c r="M167" s="8">
        <v>94668</v>
      </c>
      <c r="N167" s="8" t="str">
        <f t="shared" si="29"/>
        <v>USD</v>
      </c>
      <c r="O167" s="13"/>
      <c r="P167" s="13">
        <v>2000</v>
      </c>
      <c r="Q167" s="3">
        <f t="shared" si="21"/>
        <v>0</v>
      </c>
      <c r="R167" s="3">
        <f t="shared" si="22"/>
        <v>2000</v>
      </c>
      <c r="S167" s="3">
        <f t="shared" si="23"/>
        <v>24380.469999999998</v>
      </c>
      <c r="T167" s="24" t="s">
        <v>1081</v>
      </c>
      <c r="U167" s="24" t="s">
        <v>1081</v>
      </c>
      <c r="V167" s="80"/>
      <c r="W167" s="3" t="s">
        <v>191</v>
      </c>
      <c r="X167" s="3" t="s">
        <v>4057</v>
      </c>
      <c r="Y167" s="3"/>
      <c r="Z167" s="3"/>
      <c r="AA167" s="3"/>
      <c r="AB167" s="3" t="str">
        <f>IF(BCP_Dolares[[#This Row],[FECHA]]&gt;0,TEXT(BCP_Dolares[[#This Row],[FECHA]],"mmmm"),0)</f>
        <v>Mayo</v>
      </c>
    </row>
    <row r="168" spans="2:28" ht="24" x14ac:dyDescent="0.3">
      <c r="B168" s="2">
        <f>IF(BCP_Dolares[[#This Row],[TIPO DE R.]]="R",COUNTIFS($D$4:$D167,"R")+1,"")</f>
        <v>68</v>
      </c>
      <c r="C168" s="19" t="str">
        <f t="shared" si="28"/>
        <v>B-BCP - Dolares</v>
      </c>
      <c r="D168" s="3" t="s">
        <v>1074</v>
      </c>
      <c r="E168" s="14">
        <v>45783</v>
      </c>
      <c r="F168" s="5" t="s">
        <v>1082</v>
      </c>
      <c r="G168" s="5" t="s">
        <v>1079</v>
      </c>
      <c r="H168" s="6" t="s">
        <v>191</v>
      </c>
      <c r="I168" s="6"/>
      <c r="J168" s="6"/>
      <c r="K168" s="6"/>
      <c r="L168" s="7" t="s">
        <v>4058</v>
      </c>
      <c r="M168" s="8">
        <v>94178</v>
      </c>
      <c r="N168" s="8" t="str">
        <f t="shared" si="29"/>
        <v>USD</v>
      </c>
      <c r="O168" s="13"/>
      <c r="P168" s="13">
        <v>2000</v>
      </c>
      <c r="Q168" s="3">
        <f t="shared" si="21"/>
        <v>0</v>
      </c>
      <c r="R168" s="3">
        <f t="shared" si="22"/>
        <v>2000</v>
      </c>
      <c r="S168" s="3">
        <f t="shared" si="23"/>
        <v>22380.469999999998</v>
      </c>
      <c r="T168" s="24"/>
      <c r="U168" s="24"/>
      <c r="V168" s="80"/>
      <c r="W168" s="3" t="s">
        <v>191</v>
      </c>
      <c r="X168" s="3"/>
      <c r="Y168" s="3"/>
      <c r="Z168" s="3"/>
      <c r="AA168" s="3"/>
      <c r="AB168" s="3" t="str">
        <f>IF(BCP_Dolares[[#This Row],[FECHA]]&gt;0,TEXT(BCP_Dolares[[#This Row],[FECHA]],"mmmm"),0)</f>
        <v>Mayo</v>
      </c>
    </row>
    <row r="169" spans="2:28" x14ac:dyDescent="0.3">
      <c r="B169" s="2">
        <f>IF(BCP_Dolares[[#This Row],[TIPO DE R.]]="R",COUNTIFS($D$4:$D168,"R")+1,"")</f>
        <v>69</v>
      </c>
      <c r="C169" s="19" t="str">
        <f t="shared" si="28"/>
        <v>B-BCP - Dolares</v>
      </c>
      <c r="D169" s="3" t="s">
        <v>1074</v>
      </c>
      <c r="E169" s="14">
        <v>45783</v>
      </c>
      <c r="F169" s="5" t="s">
        <v>1078</v>
      </c>
      <c r="G169" s="5" t="s">
        <v>1079</v>
      </c>
      <c r="H169" s="6"/>
      <c r="I169" s="6"/>
      <c r="J169" s="6"/>
      <c r="K169" s="6"/>
      <c r="L169" s="7" t="s">
        <v>1080</v>
      </c>
      <c r="M169" s="8"/>
      <c r="N169" s="8" t="str">
        <f t="shared" si="29"/>
        <v>USD</v>
      </c>
      <c r="O169" s="13"/>
      <c r="P169" s="13">
        <v>0.2</v>
      </c>
      <c r="Q169" s="3">
        <f t="shared" si="21"/>
        <v>0</v>
      </c>
      <c r="R169" s="3">
        <f t="shared" si="22"/>
        <v>0.2</v>
      </c>
      <c r="S169" s="3">
        <f t="shared" si="23"/>
        <v>22380.269999999997</v>
      </c>
      <c r="T169" s="24"/>
      <c r="U169" s="24"/>
      <c r="V169" s="80"/>
      <c r="W169" s="3"/>
      <c r="X169" s="3"/>
      <c r="Y169" s="3"/>
      <c r="Z169" s="3"/>
      <c r="AA169" s="3"/>
      <c r="AB169" s="3" t="str">
        <f>IF(BCP_Dolares[[#This Row],[FECHA]]&gt;0,TEXT(BCP_Dolares[[#This Row],[FECHA]],"mmmm"),0)</f>
        <v>Mayo</v>
      </c>
    </row>
    <row r="170" spans="2:28" ht="36" x14ac:dyDescent="0.3">
      <c r="B170" s="2">
        <f>IF(BCP_Dolares[[#This Row],[TIPO DE R.]]="R",COUNTIFS($D$4:$D169,"R")+1,"")</f>
        <v>70</v>
      </c>
      <c r="C170" s="19" t="str">
        <f t="shared" si="28"/>
        <v>B-BCP - Dolares</v>
      </c>
      <c r="D170" s="3" t="s">
        <v>1074</v>
      </c>
      <c r="E170" s="14">
        <v>45785</v>
      </c>
      <c r="F170" s="5" t="s">
        <v>1082</v>
      </c>
      <c r="G170" s="5" t="s">
        <v>1079</v>
      </c>
      <c r="H170" s="6" t="s">
        <v>191</v>
      </c>
      <c r="I170" s="6" t="s">
        <v>14</v>
      </c>
      <c r="J170" s="6" t="s">
        <v>4059</v>
      </c>
      <c r="K170" s="6">
        <v>33903</v>
      </c>
      <c r="L170" s="7" t="s">
        <v>4060</v>
      </c>
      <c r="M170" s="8">
        <v>98957</v>
      </c>
      <c r="N170" s="8" t="str">
        <f t="shared" si="29"/>
        <v>USD</v>
      </c>
      <c r="O170" s="13"/>
      <c r="P170" s="13">
        <v>88.84</v>
      </c>
      <c r="Q170" s="3">
        <f t="shared" si="21"/>
        <v>0</v>
      </c>
      <c r="R170" s="3">
        <f t="shared" si="22"/>
        <v>88.84</v>
      </c>
      <c r="S170" s="3">
        <f t="shared" si="23"/>
        <v>22291.429999999997</v>
      </c>
      <c r="T170" s="24" t="s">
        <v>1081</v>
      </c>
      <c r="U170" s="24" t="s">
        <v>1081</v>
      </c>
      <c r="V170" s="80"/>
      <c r="W170" s="3" t="s">
        <v>191</v>
      </c>
      <c r="X170" s="3" t="s">
        <v>4061</v>
      </c>
      <c r="Y170" s="3"/>
      <c r="Z170" s="3"/>
      <c r="AA170" s="3"/>
      <c r="AB170" s="3" t="str">
        <f>IF(BCP_Dolares[[#This Row],[FECHA]]&gt;0,TEXT(BCP_Dolares[[#This Row],[FECHA]],"mmmm"),0)</f>
        <v>Mayo</v>
      </c>
    </row>
    <row r="171" spans="2:28" ht="36" x14ac:dyDescent="0.3">
      <c r="B171" s="2">
        <f>IF(BCP_Dolares[[#This Row],[TIPO DE R.]]="R",COUNTIFS($D$4:$D170,"R")+1,"")</f>
        <v>71</v>
      </c>
      <c r="C171" s="19" t="str">
        <f t="shared" si="28"/>
        <v>B-BCP - Dolares</v>
      </c>
      <c r="D171" s="3" t="s">
        <v>1074</v>
      </c>
      <c r="E171" s="14">
        <v>45789</v>
      </c>
      <c r="F171" s="5" t="s">
        <v>1082</v>
      </c>
      <c r="G171" s="5" t="s">
        <v>1079</v>
      </c>
      <c r="H171" s="6" t="s">
        <v>644</v>
      </c>
      <c r="I171" s="6" t="s">
        <v>14</v>
      </c>
      <c r="J171" s="6" t="s">
        <v>1204</v>
      </c>
      <c r="K171" s="6">
        <v>450160</v>
      </c>
      <c r="L171" s="7" t="s">
        <v>4004</v>
      </c>
      <c r="M171" s="8">
        <v>100214</v>
      </c>
      <c r="N171" s="8" t="str">
        <f t="shared" si="29"/>
        <v>USD</v>
      </c>
      <c r="O171" s="13"/>
      <c r="P171" s="13">
        <v>102.22</v>
      </c>
      <c r="Q171" s="3">
        <f t="shared" si="21"/>
        <v>0</v>
      </c>
      <c r="R171" s="3">
        <f t="shared" si="22"/>
        <v>102.22</v>
      </c>
      <c r="S171" s="3">
        <f t="shared" si="23"/>
        <v>22189.209999999995</v>
      </c>
      <c r="T171" s="24" t="s">
        <v>1081</v>
      </c>
      <c r="U171" s="24" t="s">
        <v>1081</v>
      </c>
      <c r="V171" s="80"/>
      <c r="W171" s="3" t="s">
        <v>4005</v>
      </c>
      <c r="X171" s="3" t="s">
        <v>4062</v>
      </c>
      <c r="Y171" s="3"/>
      <c r="Z171" s="3"/>
      <c r="AA171" s="3"/>
      <c r="AB171" s="3" t="str">
        <f>IF(BCP_Dolares[[#This Row],[FECHA]]&gt;0,TEXT(BCP_Dolares[[#This Row],[FECHA]],"mmmm"),0)</f>
        <v>Mayo</v>
      </c>
    </row>
    <row r="172" spans="2:28" ht="24" x14ac:dyDescent="0.3">
      <c r="B172" s="2">
        <f>IF(BCP_Dolares[[#This Row],[TIPO DE R.]]="R",COUNTIFS($D$4:$D171,"R")+1,"")</f>
        <v>72</v>
      </c>
      <c r="C172" s="19" t="str">
        <f t="shared" si="28"/>
        <v>B-BCP - Dolares</v>
      </c>
      <c r="D172" s="3" t="s">
        <v>1074</v>
      </c>
      <c r="E172" s="14">
        <v>45793</v>
      </c>
      <c r="F172" s="5" t="s">
        <v>1082</v>
      </c>
      <c r="G172" s="5" t="s">
        <v>1079</v>
      </c>
      <c r="H172" s="6" t="s">
        <v>191</v>
      </c>
      <c r="I172" s="6" t="s">
        <v>14</v>
      </c>
      <c r="J172" s="6" t="s">
        <v>4063</v>
      </c>
      <c r="K172" s="6">
        <v>8148</v>
      </c>
      <c r="L172" s="7" t="s">
        <v>4064</v>
      </c>
      <c r="M172" s="8">
        <v>1270285</v>
      </c>
      <c r="N172" s="8" t="str">
        <f t="shared" si="29"/>
        <v>USD</v>
      </c>
      <c r="O172" s="13"/>
      <c r="P172" s="13">
        <v>84.44</v>
      </c>
      <c r="Q172" s="3">
        <f t="shared" si="21"/>
        <v>0</v>
      </c>
      <c r="R172" s="3">
        <f t="shared" si="22"/>
        <v>84.44</v>
      </c>
      <c r="S172" s="3">
        <f t="shared" si="23"/>
        <v>22104.769999999997</v>
      </c>
      <c r="T172" s="24" t="s">
        <v>1081</v>
      </c>
      <c r="U172" s="24" t="s">
        <v>1081</v>
      </c>
      <c r="V172" s="80"/>
      <c r="W172" s="3" t="s">
        <v>191</v>
      </c>
      <c r="X172" s="3" t="s">
        <v>4065</v>
      </c>
      <c r="Y172" s="3"/>
      <c r="Z172" s="3"/>
      <c r="AA172" s="3"/>
      <c r="AB172" s="3" t="str">
        <f>IF(BCP_Dolares[[#This Row],[FECHA]]&gt;0,TEXT(BCP_Dolares[[#This Row],[FECHA]],"mmmm"),0)</f>
        <v>Mayo</v>
      </c>
    </row>
    <row r="173" spans="2:28" ht="24" x14ac:dyDescent="0.3">
      <c r="B173" s="2">
        <f>IF(BCP_Dolares[[#This Row],[TIPO DE R.]]="R",COUNTIFS($D$4:$D172,"R")+1,"")</f>
        <v>73</v>
      </c>
      <c r="C173" s="19" t="str">
        <f t="shared" si="28"/>
        <v>B-BCP - Dolares</v>
      </c>
      <c r="D173" s="3" t="s">
        <v>1074</v>
      </c>
      <c r="E173" s="14">
        <v>45793</v>
      </c>
      <c r="F173" s="5" t="s">
        <v>1082</v>
      </c>
      <c r="G173" s="5" t="s">
        <v>1079</v>
      </c>
      <c r="H173" s="6" t="s">
        <v>632</v>
      </c>
      <c r="I173" s="6"/>
      <c r="J173" s="6"/>
      <c r="K173" s="6"/>
      <c r="L173" s="7" t="s">
        <v>4066</v>
      </c>
      <c r="M173" s="8">
        <v>4023884</v>
      </c>
      <c r="N173" s="8" t="str">
        <f t="shared" si="29"/>
        <v>USD</v>
      </c>
      <c r="O173" s="13"/>
      <c r="P173" s="13">
        <v>2212.23</v>
      </c>
      <c r="Q173" s="3">
        <f t="shared" si="21"/>
        <v>0</v>
      </c>
      <c r="R173" s="3">
        <f t="shared" si="22"/>
        <v>2212.23</v>
      </c>
      <c r="S173" s="3">
        <f t="shared" si="23"/>
        <v>19892.539999999997</v>
      </c>
      <c r="T173" s="24" t="s">
        <v>1081</v>
      </c>
      <c r="U173" s="24" t="s">
        <v>1081</v>
      </c>
      <c r="V173" s="80"/>
      <c r="W173" s="3" t="s">
        <v>632</v>
      </c>
      <c r="X173" s="3"/>
      <c r="Y173" s="3"/>
      <c r="Z173" s="3"/>
      <c r="AA173" s="3"/>
      <c r="AB173" s="3" t="str">
        <f>IF(BCP_Dolares[[#This Row],[FECHA]]&gt;0,TEXT(BCP_Dolares[[#This Row],[FECHA]],"mmmm"),0)</f>
        <v>Mayo</v>
      </c>
    </row>
    <row r="174" spans="2:28" ht="24" x14ac:dyDescent="0.3">
      <c r="B174" s="2" t="str">
        <f>IF(BCP_Dolares[[#This Row],[TIPO DE R.]]="R",COUNTIFS($D$4:$D173,"R")+1,"")</f>
        <v/>
      </c>
      <c r="C174" s="19" t="str">
        <f>"B-BCP - Dolares"</f>
        <v>B-BCP - Dolares</v>
      </c>
      <c r="D174" s="3" t="s">
        <v>1101</v>
      </c>
      <c r="E174" s="14">
        <v>45793</v>
      </c>
      <c r="F174" s="5"/>
      <c r="G174" s="5"/>
      <c r="H174" s="6" t="s">
        <v>632</v>
      </c>
      <c r="I174" s="6" t="s">
        <v>14</v>
      </c>
      <c r="J174" s="6" t="s">
        <v>1121</v>
      </c>
      <c r="K174" s="6">
        <v>44</v>
      </c>
      <c r="L174" s="7" t="s">
        <v>4066</v>
      </c>
      <c r="M174" s="8">
        <v>4023884</v>
      </c>
      <c r="N174" s="8" t="str">
        <f>"USD"</f>
        <v>USD</v>
      </c>
      <c r="O174" s="13">
        <v>2199.92</v>
      </c>
      <c r="P174" s="13"/>
      <c r="Q174" s="3">
        <f>+IF(OR($G174="SALDO",$G174="INGRESO"),$P174,0)</f>
        <v>0</v>
      </c>
      <c r="R174" s="3">
        <f>+IF($G174="EGRESO",$P174,0)</f>
        <v>0</v>
      </c>
      <c r="S174" s="3">
        <f>IFERROR(IF(G174="SALDO",Q174,S173+Q174-R174),0)</f>
        <v>19892.539999999997</v>
      </c>
      <c r="T174" s="24" t="s">
        <v>1081</v>
      </c>
      <c r="U174" s="24" t="s">
        <v>1081</v>
      </c>
      <c r="V174" s="80"/>
      <c r="W174" s="3"/>
      <c r="X174" s="3"/>
      <c r="Y174" s="3"/>
      <c r="Z174" s="3"/>
      <c r="AA174" s="3"/>
      <c r="AB174" s="3" t="str">
        <f>IF(BCP_Dolares[[#This Row],[FECHA]]&gt;0,TEXT(BCP_Dolares[[#This Row],[FECHA]],"mmmm"),0)</f>
        <v>Mayo</v>
      </c>
    </row>
    <row r="175" spans="2:28" ht="24" x14ac:dyDescent="0.3">
      <c r="B175" s="2" t="str">
        <f>IF(BCP_Dolares[[#This Row],[TIPO DE R.]]="R",COUNTIFS($D$4:$D174,"R")+1,"")</f>
        <v/>
      </c>
      <c r="C175" s="19" t="str">
        <f>"B-BCP - Dolares"</f>
        <v>B-BCP - Dolares</v>
      </c>
      <c r="D175" s="3" t="s">
        <v>1101</v>
      </c>
      <c r="E175" s="14">
        <v>45793</v>
      </c>
      <c r="F175" s="5"/>
      <c r="G175" s="5"/>
      <c r="H175" s="6" t="s">
        <v>1001</v>
      </c>
      <c r="I175" s="6" t="s">
        <v>14</v>
      </c>
      <c r="J175" s="6" t="s">
        <v>3128</v>
      </c>
      <c r="K175" s="6">
        <v>32852206</v>
      </c>
      <c r="L175" s="7" t="s">
        <v>4066</v>
      </c>
      <c r="M175" s="8">
        <v>4023884</v>
      </c>
      <c r="N175" s="8" t="str">
        <f>"USD"</f>
        <v>USD</v>
      </c>
      <c r="O175" s="13">
        <v>12.31</v>
      </c>
      <c r="P175" s="13"/>
      <c r="Q175" s="3">
        <f>+IF(OR($G175="SALDO",$G175="INGRESO"),$P175,0)</f>
        <v>0</v>
      </c>
      <c r="R175" s="3">
        <f>+IF($G175="EGRESO",$P175,0)</f>
        <v>0</v>
      </c>
      <c r="S175" s="3">
        <f>IFERROR(IF(G175="SALDO",Q175,S174+Q175-R175),0)</f>
        <v>19892.539999999997</v>
      </c>
      <c r="T175" s="24" t="s">
        <v>1081</v>
      </c>
      <c r="U175" s="24" t="s">
        <v>1081</v>
      </c>
      <c r="V175" s="80"/>
      <c r="W175" s="3"/>
      <c r="X175" s="3"/>
      <c r="Y175" s="3"/>
      <c r="Z175" s="3"/>
      <c r="AA175" s="3"/>
      <c r="AB175" s="3" t="str">
        <f>IF(BCP_Dolares[[#This Row],[FECHA]]&gt;0,TEXT(BCP_Dolares[[#This Row],[FECHA]],"mmmm"),0)</f>
        <v>Mayo</v>
      </c>
    </row>
    <row r="176" spans="2:28" ht="24" x14ac:dyDescent="0.3">
      <c r="B176" s="2">
        <f>IF(BCP_Dolares[[#This Row],[TIPO DE R.]]="R",COUNTIFS($D$4:$D175,"R")+1,"")</f>
        <v>74</v>
      </c>
      <c r="C176" s="19" t="str">
        <f t="shared" si="28"/>
        <v>B-BCP - Dolares</v>
      </c>
      <c r="D176" s="3" t="s">
        <v>1074</v>
      </c>
      <c r="E176" s="14">
        <v>45793</v>
      </c>
      <c r="F176" s="5" t="s">
        <v>1082</v>
      </c>
      <c r="G176" s="5" t="s">
        <v>1079</v>
      </c>
      <c r="H176" s="6" t="s">
        <v>191</v>
      </c>
      <c r="I176" s="6" t="s">
        <v>14</v>
      </c>
      <c r="J176" s="6" t="s">
        <v>4063</v>
      </c>
      <c r="K176" s="6">
        <v>8148</v>
      </c>
      <c r="L176" s="7" t="s">
        <v>4067</v>
      </c>
      <c r="M176" s="8">
        <v>1007795</v>
      </c>
      <c r="N176" s="8" t="str">
        <f t="shared" si="29"/>
        <v>USD</v>
      </c>
      <c r="O176" s="13"/>
      <c r="P176" s="13">
        <v>111.03</v>
      </c>
      <c r="Q176" s="3">
        <f t="shared" si="21"/>
        <v>0</v>
      </c>
      <c r="R176" s="3">
        <f t="shared" si="22"/>
        <v>111.03</v>
      </c>
      <c r="S176" s="3">
        <f>IFERROR(IF(G176="SALDO",Q176,S175+Q176-R176),0)</f>
        <v>19781.509999999998</v>
      </c>
      <c r="T176" s="24" t="s">
        <v>1081</v>
      </c>
      <c r="U176" s="24" t="s">
        <v>1081</v>
      </c>
      <c r="V176" s="80"/>
      <c r="W176" s="3" t="s">
        <v>191</v>
      </c>
      <c r="X176" s="3" t="s">
        <v>4065</v>
      </c>
      <c r="Y176" s="3"/>
      <c r="Z176" s="3"/>
      <c r="AA176" s="3"/>
      <c r="AB176" s="3" t="str">
        <f>IF(BCP_Dolares[[#This Row],[FECHA]]&gt;0,TEXT(BCP_Dolares[[#This Row],[FECHA]],"mmmm"),0)</f>
        <v>Mayo</v>
      </c>
    </row>
    <row r="177" spans="2:28" x14ac:dyDescent="0.3">
      <c r="B177" s="2">
        <f>IF(BCP_Dolares[[#This Row],[TIPO DE R.]]="R",COUNTIFS($D$4:$D176,"R")+1,"")</f>
        <v>75</v>
      </c>
      <c r="C177" s="19" t="str">
        <f t="shared" si="28"/>
        <v>B-BCP - Dolares</v>
      </c>
      <c r="D177" s="3" t="s">
        <v>1074</v>
      </c>
      <c r="E177" s="14">
        <v>45793</v>
      </c>
      <c r="F177" s="5" t="s">
        <v>1078</v>
      </c>
      <c r="G177" s="5" t="s">
        <v>1079</v>
      </c>
      <c r="H177" s="6"/>
      <c r="I177" s="6"/>
      <c r="J177" s="6"/>
      <c r="K177" s="6"/>
      <c r="L177" s="7" t="s">
        <v>1080</v>
      </c>
      <c r="M177" s="8"/>
      <c r="N177" s="8" t="str">
        <f t="shared" si="29"/>
        <v>USD</v>
      </c>
      <c r="O177" s="13"/>
      <c r="P177" s="13">
        <v>0.1</v>
      </c>
      <c r="Q177" s="3">
        <f t="shared" si="21"/>
        <v>0</v>
      </c>
      <c r="R177" s="3">
        <f t="shared" si="22"/>
        <v>0.1</v>
      </c>
      <c r="S177" s="3">
        <f t="shared" si="23"/>
        <v>19781.41</v>
      </c>
      <c r="T177" s="24"/>
      <c r="U177" s="24"/>
      <c r="V177" s="80"/>
      <c r="W177" s="3"/>
      <c r="X177" s="3"/>
      <c r="Y177" s="3"/>
      <c r="Z177" s="3"/>
      <c r="AA177" s="3"/>
      <c r="AB177" s="3" t="str">
        <f>IF(BCP_Dolares[[#This Row],[FECHA]]&gt;0,TEXT(BCP_Dolares[[#This Row],[FECHA]],"mmmm"),0)</f>
        <v>Mayo</v>
      </c>
    </row>
    <row r="178" spans="2:28" ht="72" x14ac:dyDescent="0.3">
      <c r="B178" s="2">
        <f>IF(BCP_Dolares[[#This Row],[TIPO DE R.]]="R",COUNTIFS($D$4:$D177,"R")+1,"")</f>
        <v>76</v>
      </c>
      <c r="C178" s="19" t="str">
        <f t="shared" si="28"/>
        <v>B-BCP - Dolares</v>
      </c>
      <c r="D178" s="3" t="s">
        <v>1074</v>
      </c>
      <c r="E178" s="14">
        <v>45796</v>
      </c>
      <c r="F178" s="5" t="s">
        <v>1082</v>
      </c>
      <c r="G178" s="5" t="s">
        <v>1079</v>
      </c>
      <c r="H178" s="6" t="s">
        <v>147</v>
      </c>
      <c r="I178" s="6"/>
      <c r="J178" s="6"/>
      <c r="K178" s="6"/>
      <c r="L178" s="7" t="s">
        <v>4068</v>
      </c>
      <c r="M178" s="8">
        <v>7685299</v>
      </c>
      <c r="N178" s="8" t="str">
        <f t="shared" si="29"/>
        <v>USD</v>
      </c>
      <c r="O178" s="13"/>
      <c r="P178" s="13">
        <v>418.01</v>
      </c>
      <c r="Q178" s="3">
        <f t="shared" si="21"/>
        <v>0</v>
      </c>
      <c r="R178" s="3">
        <f t="shared" si="22"/>
        <v>418.01</v>
      </c>
      <c r="S178" s="3">
        <f t="shared" si="23"/>
        <v>19363.400000000001</v>
      </c>
      <c r="T178" s="24" t="s">
        <v>1081</v>
      </c>
      <c r="U178" s="24"/>
      <c r="V178" s="80"/>
      <c r="W178" s="3" t="s">
        <v>147</v>
      </c>
      <c r="X178" s="3" t="s">
        <v>4069</v>
      </c>
      <c r="Y178" s="3"/>
      <c r="Z178" s="3"/>
      <c r="AA178" s="3"/>
      <c r="AB178" s="3" t="str">
        <f>IF(BCP_Dolares[[#This Row],[FECHA]]&gt;0,TEXT(BCP_Dolares[[#This Row],[FECHA]],"mmmm"),0)</f>
        <v>Mayo</v>
      </c>
    </row>
    <row r="179" spans="2:28" ht="24" x14ac:dyDescent="0.3">
      <c r="B179" s="2" t="str">
        <f>IF(BCP_Dolares[[#This Row],[TIPO DE R.]]="R",COUNTIFS($D$4:$D178,"R")+1,"")</f>
        <v/>
      </c>
      <c r="C179" s="19" t="str">
        <f t="shared" ref="C179:C184" si="30">"B-BCP - Dolares"</f>
        <v>B-BCP - Dolares</v>
      </c>
      <c r="D179" s="3" t="s">
        <v>1101</v>
      </c>
      <c r="E179" s="14">
        <v>45796</v>
      </c>
      <c r="F179" s="5" t="s">
        <v>1082</v>
      </c>
      <c r="G179" s="5"/>
      <c r="H179" s="6" t="s">
        <v>147</v>
      </c>
      <c r="I179" s="6" t="s">
        <v>14</v>
      </c>
      <c r="J179" s="6" t="s">
        <v>1148</v>
      </c>
      <c r="K179" s="6">
        <v>15908</v>
      </c>
      <c r="L179" s="7" t="s">
        <v>4068</v>
      </c>
      <c r="M179" s="8">
        <v>7685299</v>
      </c>
      <c r="N179" s="8" t="str">
        <f t="shared" ref="N179:N184" si="31">"USD"</f>
        <v>USD</v>
      </c>
      <c r="O179" s="13">
        <v>66.31</v>
      </c>
      <c r="P179" s="13"/>
      <c r="Q179" s="3">
        <f t="shared" si="21"/>
        <v>0</v>
      </c>
      <c r="R179" s="3">
        <f t="shared" si="22"/>
        <v>0</v>
      </c>
      <c r="S179" s="3">
        <f t="shared" si="23"/>
        <v>19363.400000000001</v>
      </c>
      <c r="T179" s="24" t="s">
        <v>1081</v>
      </c>
      <c r="U179" s="24"/>
      <c r="V179" s="80"/>
      <c r="W179" s="3" t="s">
        <v>4070</v>
      </c>
      <c r="X179" s="3"/>
      <c r="Y179" s="3" t="s">
        <v>4071</v>
      </c>
      <c r="Z179" s="3"/>
      <c r="AA179" s="3"/>
      <c r="AB179" s="3" t="str">
        <f>IF(BCP_Dolares[[#This Row],[FECHA]]&gt;0,TEXT(BCP_Dolares[[#This Row],[FECHA]],"mmmm"),0)</f>
        <v>Mayo</v>
      </c>
    </row>
    <row r="180" spans="2:28" ht="24" x14ac:dyDescent="0.3">
      <c r="B180" s="2" t="str">
        <f>IF(BCP_Dolares[[#This Row],[TIPO DE R.]]="R",COUNTIFS($D$4:$D179,"R")+1,"")</f>
        <v/>
      </c>
      <c r="C180" s="19" t="str">
        <f t="shared" si="30"/>
        <v>B-BCP - Dolares</v>
      </c>
      <c r="D180" s="3" t="s">
        <v>1101</v>
      </c>
      <c r="E180" s="14">
        <v>45796</v>
      </c>
      <c r="F180" s="5" t="s">
        <v>1082</v>
      </c>
      <c r="G180" s="5"/>
      <c r="H180" s="6" t="s">
        <v>147</v>
      </c>
      <c r="I180" s="6" t="s">
        <v>14</v>
      </c>
      <c r="J180" s="6" t="s">
        <v>1148</v>
      </c>
      <c r="K180" s="6">
        <v>15939</v>
      </c>
      <c r="L180" s="7" t="s">
        <v>4068</v>
      </c>
      <c r="M180" s="8">
        <v>7685299</v>
      </c>
      <c r="N180" s="8" t="str">
        <f t="shared" si="31"/>
        <v>USD</v>
      </c>
      <c r="O180" s="13">
        <v>66.150000000000006</v>
      </c>
      <c r="P180" s="13"/>
      <c r="Q180" s="3">
        <f t="shared" si="21"/>
        <v>0</v>
      </c>
      <c r="R180" s="3">
        <f t="shared" si="22"/>
        <v>0</v>
      </c>
      <c r="S180" s="3">
        <f t="shared" si="23"/>
        <v>19363.400000000001</v>
      </c>
      <c r="T180" s="24" t="s">
        <v>1081</v>
      </c>
      <c r="U180" s="24"/>
      <c r="V180" s="80"/>
      <c r="W180" s="3"/>
      <c r="X180" s="3"/>
      <c r="Y180" s="3"/>
      <c r="Z180" s="3"/>
      <c r="AA180" s="3"/>
      <c r="AB180" s="3" t="str">
        <f>IF(BCP_Dolares[[#This Row],[FECHA]]&gt;0,TEXT(BCP_Dolares[[#This Row],[FECHA]],"mmmm"),0)</f>
        <v>Mayo</v>
      </c>
    </row>
    <row r="181" spans="2:28" ht="24" x14ac:dyDescent="0.3">
      <c r="B181" s="2" t="str">
        <f>IF(BCP_Dolares[[#This Row],[TIPO DE R.]]="R",COUNTIFS($D$4:$D180,"R")+1,"")</f>
        <v/>
      </c>
      <c r="C181" s="19" t="str">
        <f t="shared" si="30"/>
        <v>B-BCP - Dolares</v>
      </c>
      <c r="D181" s="3" t="s">
        <v>1101</v>
      </c>
      <c r="E181" s="14">
        <v>45796</v>
      </c>
      <c r="F181" s="5" t="s">
        <v>1082</v>
      </c>
      <c r="G181" s="5"/>
      <c r="H181" s="6" t="s">
        <v>147</v>
      </c>
      <c r="I181" s="6" t="s">
        <v>14</v>
      </c>
      <c r="J181" s="6" t="s">
        <v>1148</v>
      </c>
      <c r="K181" s="6">
        <v>15916</v>
      </c>
      <c r="L181" s="7" t="s">
        <v>4068</v>
      </c>
      <c r="M181" s="8">
        <v>7685299</v>
      </c>
      <c r="N181" s="8" t="str">
        <f t="shared" si="31"/>
        <v>USD</v>
      </c>
      <c r="O181" s="13">
        <v>77.66</v>
      </c>
      <c r="P181" s="13"/>
      <c r="Q181" s="3">
        <f t="shared" si="21"/>
        <v>0</v>
      </c>
      <c r="R181" s="3">
        <f t="shared" si="22"/>
        <v>0</v>
      </c>
      <c r="S181" s="3">
        <f t="shared" si="23"/>
        <v>19363.400000000001</v>
      </c>
      <c r="T181" s="24" t="s">
        <v>1081</v>
      </c>
      <c r="U181" s="24"/>
      <c r="V181" s="80"/>
      <c r="W181" s="3"/>
      <c r="X181" s="3"/>
      <c r="Y181" s="3"/>
      <c r="Z181" s="3"/>
      <c r="AA181" s="3"/>
      <c r="AB181" s="3" t="str">
        <f>IF(BCP_Dolares[[#This Row],[FECHA]]&gt;0,TEXT(BCP_Dolares[[#This Row],[FECHA]],"mmmm"),0)</f>
        <v>Mayo</v>
      </c>
    </row>
    <row r="182" spans="2:28" ht="24" x14ac:dyDescent="0.3">
      <c r="B182" s="2" t="str">
        <f>IF(BCP_Dolares[[#This Row],[TIPO DE R.]]="R",COUNTIFS($D$4:$D181,"R")+1,"")</f>
        <v/>
      </c>
      <c r="C182" s="19" t="str">
        <f t="shared" si="30"/>
        <v>B-BCP - Dolares</v>
      </c>
      <c r="D182" s="3" t="s">
        <v>1101</v>
      </c>
      <c r="E182" s="14">
        <v>45796</v>
      </c>
      <c r="F182" s="5" t="s">
        <v>1082</v>
      </c>
      <c r="G182" s="5"/>
      <c r="H182" s="6" t="s">
        <v>147</v>
      </c>
      <c r="I182" s="6" t="s">
        <v>14</v>
      </c>
      <c r="J182" s="6" t="s">
        <v>1148</v>
      </c>
      <c r="K182" s="6">
        <v>15934</v>
      </c>
      <c r="L182" s="7" t="s">
        <v>4068</v>
      </c>
      <c r="M182" s="8">
        <v>7685299</v>
      </c>
      <c r="N182" s="8" t="str">
        <f t="shared" si="31"/>
        <v>USD</v>
      </c>
      <c r="O182" s="13">
        <v>71.72</v>
      </c>
      <c r="P182" s="13"/>
      <c r="Q182" s="3">
        <f t="shared" si="21"/>
        <v>0</v>
      </c>
      <c r="R182" s="3">
        <f t="shared" si="22"/>
        <v>0</v>
      </c>
      <c r="S182" s="3">
        <f t="shared" si="23"/>
        <v>19363.400000000001</v>
      </c>
      <c r="T182" s="24" t="s">
        <v>1081</v>
      </c>
      <c r="U182" s="24"/>
      <c r="V182" s="80"/>
      <c r="W182" s="3"/>
      <c r="X182" s="3"/>
      <c r="Y182" s="3"/>
      <c r="Z182" s="3"/>
      <c r="AA182" s="3"/>
      <c r="AB182" s="3" t="str">
        <f>IF(BCP_Dolares[[#This Row],[FECHA]]&gt;0,TEXT(BCP_Dolares[[#This Row],[FECHA]],"mmmm"),0)</f>
        <v>Mayo</v>
      </c>
    </row>
    <row r="183" spans="2:28" ht="24" x14ac:dyDescent="0.3">
      <c r="B183" s="2" t="str">
        <f>IF(BCP_Dolares[[#This Row],[TIPO DE R.]]="R",COUNTIFS($D$4:$D182,"R")+1,"")</f>
        <v/>
      </c>
      <c r="C183" s="19" t="str">
        <f t="shared" si="30"/>
        <v>B-BCP - Dolares</v>
      </c>
      <c r="D183" s="3" t="s">
        <v>1101</v>
      </c>
      <c r="E183" s="14">
        <v>45796</v>
      </c>
      <c r="F183" s="5" t="s">
        <v>1082</v>
      </c>
      <c r="G183" s="5"/>
      <c r="H183" s="6" t="s">
        <v>147</v>
      </c>
      <c r="I183" s="6" t="s">
        <v>14</v>
      </c>
      <c r="J183" s="6" t="s">
        <v>1148</v>
      </c>
      <c r="K183" s="6">
        <v>15903</v>
      </c>
      <c r="L183" s="7" t="s">
        <v>4068</v>
      </c>
      <c r="M183" s="8">
        <v>7685299</v>
      </c>
      <c r="N183" s="8" t="str">
        <f t="shared" si="31"/>
        <v>USD</v>
      </c>
      <c r="O183" s="13">
        <v>77.67</v>
      </c>
      <c r="P183" s="13"/>
      <c r="Q183" s="3">
        <f t="shared" si="21"/>
        <v>0</v>
      </c>
      <c r="R183" s="3">
        <f t="shared" si="22"/>
        <v>0</v>
      </c>
      <c r="S183" s="3">
        <f t="shared" si="23"/>
        <v>19363.400000000001</v>
      </c>
      <c r="T183" s="24" t="s">
        <v>1081</v>
      </c>
      <c r="U183" s="24"/>
      <c r="V183" s="80"/>
      <c r="W183" s="3"/>
      <c r="X183" s="3"/>
      <c r="Y183" s="3"/>
      <c r="Z183" s="3"/>
      <c r="AA183" s="3"/>
      <c r="AB183" s="3" t="str">
        <f>IF(BCP_Dolares[[#This Row],[FECHA]]&gt;0,TEXT(BCP_Dolares[[#This Row],[FECHA]],"mmmm"),0)</f>
        <v>Mayo</v>
      </c>
    </row>
    <row r="184" spans="2:28" ht="24" x14ac:dyDescent="0.3">
      <c r="B184" s="2" t="str">
        <f>IF(BCP_Dolares[[#This Row],[TIPO DE R.]]="R",COUNTIFS($D$4:$D183,"R")+1,"")</f>
        <v/>
      </c>
      <c r="C184" s="19" t="str">
        <f t="shared" si="30"/>
        <v>B-BCP - Dolares</v>
      </c>
      <c r="D184" s="3" t="s">
        <v>1101</v>
      </c>
      <c r="E184" s="14">
        <v>45796</v>
      </c>
      <c r="F184" s="5" t="s">
        <v>1082</v>
      </c>
      <c r="G184" s="5"/>
      <c r="H184" s="6" t="s">
        <v>147</v>
      </c>
      <c r="I184" s="6" t="s">
        <v>14</v>
      </c>
      <c r="J184" s="6" t="s">
        <v>1148</v>
      </c>
      <c r="K184" s="6">
        <v>15904</v>
      </c>
      <c r="L184" s="7" t="s">
        <v>4068</v>
      </c>
      <c r="M184" s="8">
        <v>7685299</v>
      </c>
      <c r="N184" s="8" t="str">
        <f t="shared" si="31"/>
        <v>USD</v>
      </c>
      <c r="O184" s="13">
        <v>58.5</v>
      </c>
      <c r="P184" s="13"/>
      <c r="Q184" s="3">
        <f t="shared" si="21"/>
        <v>0</v>
      </c>
      <c r="R184" s="3">
        <f t="shared" si="22"/>
        <v>0</v>
      </c>
      <c r="S184" s="3">
        <f t="shared" si="23"/>
        <v>19363.400000000001</v>
      </c>
      <c r="T184" s="24" t="s">
        <v>1081</v>
      </c>
      <c r="U184" s="24"/>
      <c r="V184" s="80"/>
      <c r="W184" s="3"/>
      <c r="X184" s="3"/>
      <c r="Y184" s="3"/>
      <c r="Z184" s="3"/>
      <c r="AA184" s="3"/>
      <c r="AB184" s="3" t="str">
        <f>IF(BCP_Dolares[[#This Row],[FECHA]]&gt;0,TEXT(BCP_Dolares[[#This Row],[FECHA]],"mmmm"),0)</f>
        <v>Mayo</v>
      </c>
    </row>
    <row r="185" spans="2:28" ht="36" x14ac:dyDescent="0.3">
      <c r="B185" s="2">
        <f>IF(BCP_Dolares[[#This Row],[TIPO DE R.]]="R",COUNTIFS($D$4:$D184,"R")+1,"")</f>
        <v>77</v>
      </c>
      <c r="C185" s="19" t="str">
        <f t="shared" si="28"/>
        <v>B-BCP - Dolares</v>
      </c>
      <c r="D185" s="3" t="s">
        <v>1074</v>
      </c>
      <c r="E185" s="14">
        <v>45797</v>
      </c>
      <c r="F185" s="5" t="s">
        <v>1082</v>
      </c>
      <c r="G185" s="5" t="s">
        <v>1079</v>
      </c>
      <c r="H185" s="6" t="s">
        <v>644</v>
      </c>
      <c r="I185" s="6" t="s">
        <v>14</v>
      </c>
      <c r="J185" s="6" t="s">
        <v>1204</v>
      </c>
      <c r="K185" s="6">
        <v>452571</v>
      </c>
      <c r="L185" s="7" t="s">
        <v>4072</v>
      </c>
      <c r="M185" s="8">
        <v>220344</v>
      </c>
      <c r="N185" s="8" t="str">
        <f t="shared" si="29"/>
        <v>USD</v>
      </c>
      <c r="O185" s="13"/>
      <c r="P185" s="13">
        <v>416.27</v>
      </c>
      <c r="Q185" s="3">
        <f t="shared" si="21"/>
        <v>0</v>
      </c>
      <c r="R185" s="3">
        <f t="shared" si="22"/>
        <v>416.27</v>
      </c>
      <c r="S185" s="3">
        <f t="shared" si="23"/>
        <v>18947.13</v>
      </c>
      <c r="T185" s="24" t="s">
        <v>1081</v>
      </c>
      <c r="U185" s="24" t="s">
        <v>1081</v>
      </c>
      <c r="V185" s="80"/>
      <c r="W185" s="3" t="s">
        <v>4005</v>
      </c>
      <c r="X185" s="3" t="s">
        <v>4073</v>
      </c>
      <c r="Y185" s="3"/>
      <c r="Z185" s="3"/>
      <c r="AA185" s="3"/>
      <c r="AB185" s="3" t="str">
        <f>IF(BCP_Dolares[[#This Row],[FECHA]]&gt;0,TEXT(BCP_Dolares[[#This Row],[FECHA]],"mmmm"),0)</f>
        <v>Mayo</v>
      </c>
    </row>
    <row r="186" spans="2:28" x14ac:dyDescent="0.3">
      <c r="B186" s="2">
        <f>IF(BCP_Dolares[[#This Row],[TIPO DE R.]]="R",COUNTIFS($D$4:$D185,"R")+1,"")</f>
        <v>78</v>
      </c>
      <c r="C186" s="19" t="str">
        <f t="shared" si="28"/>
        <v>B-BCP - Dolares</v>
      </c>
      <c r="D186" s="3" t="s">
        <v>1074</v>
      </c>
      <c r="E186" s="14">
        <v>45800</v>
      </c>
      <c r="F186" s="5" t="s">
        <v>1082</v>
      </c>
      <c r="G186" s="5" t="s">
        <v>1079</v>
      </c>
      <c r="H186" s="6"/>
      <c r="I186" s="6"/>
      <c r="J186" s="6"/>
      <c r="K186" s="6"/>
      <c r="L186" s="7" t="s">
        <v>4074</v>
      </c>
      <c r="M186" s="8">
        <v>9204553</v>
      </c>
      <c r="N186" s="8" t="str">
        <f t="shared" si="29"/>
        <v>USD</v>
      </c>
      <c r="O186" s="13"/>
      <c r="P186" s="13">
        <v>2258.75</v>
      </c>
      <c r="Q186" s="3">
        <f t="shared" si="21"/>
        <v>0</v>
      </c>
      <c r="R186" s="3">
        <f t="shared" si="22"/>
        <v>2258.75</v>
      </c>
      <c r="S186" s="3">
        <f t="shared" si="23"/>
        <v>16688.38</v>
      </c>
      <c r="T186" s="24" t="s">
        <v>1081</v>
      </c>
      <c r="U186" s="24" t="s">
        <v>1081</v>
      </c>
      <c r="V186" s="80"/>
      <c r="W186" s="3" t="s">
        <v>147</v>
      </c>
      <c r="X186" s="3"/>
      <c r="Y186" s="3"/>
      <c r="Z186" s="3"/>
      <c r="AA186" s="3"/>
      <c r="AB186" s="3" t="str">
        <f>IF(BCP_Dolares[[#This Row],[FECHA]]&gt;0,TEXT(BCP_Dolares[[#This Row],[FECHA]],"mmmm"),0)</f>
        <v>Mayo</v>
      </c>
    </row>
    <row r="187" spans="2:28" ht="24" x14ac:dyDescent="0.3">
      <c r="B187" s="2" t="str">
        <f>IF(BCP_Dolares[[#This Row],[TIPO DE R.]]="R",COUNTIFS($D$4:$D186,"R")+1,"")</f>
        <v/>
      </c>
      <c r="C187" s="19" t="str">
        <f t="shared" ref="C187:C196" si="32">"B-BCP - Dolares"</f>
        <v>B-BCP - Dolares</v>
      </c>
      <c r="D187" s="3" t="s">
        <v>1101</v>
      </c>
      <c r="E187" s="14">
        <v>45800</v>
      </c>
      <c r="F187" s="5" t="s">
        <v>1082</v>
      </c>
      <c r="G187" s="5"/>
      <c r="H187" s="6" t="s">
        <v>147</v>
      </c>
      <c r="I187" s="6" t="s">
        <v>14</v>
      </c>
      <c r="J187" s="6" t="s">
        <v>1148</v>
      </c>
      <c r="K187" s="6">
        <v>15949</v>
      </c>
      <c r="L187" s="7" t="s">
        <v>4074</v>
      </c>
      <c r="M187" s="8">
        <v>9204553</v>
      </c>
      <c r="N187" s="8" t="str">
        <f t="shared" ref="N187:N196" si="33">"USD"</f>
        <v>USD</v>
      </c>
      <c r="O187" s="13">
        <v>60.74</v>
      </c>
      <c r="P187" s="13"/>
      <c r="Q187" s="3">
        <f t="shared" si="21"/>
        <v>0</v>
      </c>
      <c r="R187" s="3">
        <f t="shared" si="22"/>
        <v>0</v>
      </c>
      <c r="S187" s="3">
        <f t="shared" si="23"/>
        <v>16688.38</v>
      </c>
      <c r="T187" s="24"/>
      <c r="U187" s="24" t="s">
        <v>1081</v>
      </c>
      <c r="V187" s="80"/>
      <c r="W187" s="3"/>
      <c r="X187" s="3"/>
      <c r="Y187" s="3"/>
      <c r="Z187" s="3"/>
      <c r="AA187" s="3"/>
      <c r="AB187" s="3" t="str">
        <f>IF(BCP_Dolares[[#This Row],[FECHA]]&gt;0,TEXT(BCP_Dolares[[#This Row],[FECHA]],"mmmm"),0)</f>
        <v>Mayo</v>
      </c>
    </row>
    <row r="188" spans="2:28" ht="24" x14ac:dyDescent="0.3">
      <c r="B188" s="2" t="str">
        <f>IF(BCP_Dolares[[#This Row],[TIPO DE R.]]="R",COUNTIFS($D$4:$D187,"R")+1,"")</f>
        <v/>
      </c>
      <c r="C188" s="19" t="str">
        <f t="shared" si="32"/>
        <v>B-BCP - Dolares</v>
      </c>
      <c r="D188" s="3" t="s">
        <v>1101</v>
      </c>
      <c r="E188" s="14">
        <v>45800</v>
      </c>
      <c r="F188" s="5" t="s">
        <v>1082</v>
      </c>
      <c r="G188" s="5"/>
      <c r="H188" s="6" t="s">
        <v>147</v>
      </c>
      <c r="I188" s="6" t="s">
        <v>14</v>
      </c>
      <c r="J188" s="6" t="s">
        <v>1148</v>
      </c>
      <c r="K188" s="6">
        <v>15966</v>
      </c>
      <c r="L188" s="7" t="s">
        <v>4074</v>
      </c>
      <c r="M188" s="8">
        <v>9204553</v>
      </c>
      <c r="N188" s="8" t="str">
        <f t="shared" si="33"/>
        <v>USD</v>
      </c>
      <c r="O188" s="13">
        <v>39.700000000000003</v>
      </c>
      <c r="P188" s="13"/>
      <c r="Q188" s="3">
        <f t="shared" si="21"/>
        <v>0</v>
      </c>
      <c r="R188" s="3">
        <f t="shared" si="22"/>
        <v>0</v>
      </c>
      <c r="S188" s="3">
        <f t="shared" si="23"/>
        <v>16688.38</v>
      </c>
      <c r="T188" s="24"/>
      <c r="U188" s="24" t="s">
        <v>1081</v>
      </c>
      <c r="V188" s="80"/>
      <c r="W188" s="3"/>
      <c r="X188" s="3"/>
      <c r="Y188" s="3"/>
      <c r="Z188" s="3"/>
      <c r="AA188" s="3"/>
      <c r="AB188" s="3" t="str">
        <f>IF(BCP_Dolares[[#This Row],[FECHA]]&gt;0,TEXT(BCP_Dolares[[#This Row],[FECHA]],"mmmm"),0)</f>
        <v>Mayo</v>
      </c>
    </row>
    <row r="189" spans="2:28" ht="24" x14ac:dyDescent="0.3">
      <c r="B189" s="2" t="str">
        <f>IF(BCP_Dolares[[#This Row],[TIPO DE R.]]="R",COUNTIFS($D$4:$D188,"R")+1,"")</f>
        <v/>
      </c>
      <c r="C189" s="19" t="str">
        <f t="shared" si="32"/>
        <v>B-BCP - Dolares</v>
      </c>
      <c r="D189" s="3" t="s">
        <v>1101</v>
      </c>
      <c r="E189" s="14">
        <v>45800</v>
      </c>
      <c r="F189" s="5" t="s">
        <v>1082</v>
      </c>
      <c r="G189" s="5"/>
      <c r="H189" s="6" t="s">
        <v>147</v>
      </c>
      <c r="I189" s="6" t="s">
        <v>14</v>
      </c>
      <c r="J189" s="6" t="s">
        <v>1148</v>
      </c>
      <c r="K189" s="6">
        <v>15945</v>
      </c>
      <c r="L189" s="7" t="s">
        <v>4074</v>
      </c>
      <c r="M189" s="8">
        <v>9204553</v>
      </c>
      <c r="N189" s="8" t="str">
        <f t="shared" si="33"/>
        <v>USD</v>
      </c>
      <c r="O189" s="13">
        <v>51.08</v>
      </c>
      <c r="P189" s="13"/>
      <c r="Q189" s="3">
        <f t="shared" si="21"/>
        <v>0</v>
      </c>
      <c r="R189" s="3">
        <f t="shared" si="22"/>
        <v>0</v>
      </c>
      <c r="S189" s="3">
        <f t="shared" si="23"/>
        <v>16688.38</v>
      </c>
      <c r="T189" s="24"/>
      <c r="U189" s="24" t="s">
        <v>1081</v>
      </c>
      <c r="V189" s="80"/>
      <c r="W189" s="3"/>
      <c r="X189" s="3"/>
      <c r="Y189" s="3"/>
      <c r="Z189" s="3"/>
      <c r="AA189" s="3"/>
      <c r="AB189" s="3" t="str">
        <f>IF(BCP_Dolares[[#This Row],[FECHA]]&gt;0,TEXT(BCP_Dolares[[#This Row],[FECHA]],"mmmm"),0)</f>
        <v>Mayo</v>
      </c>
    </row>
    <row r="190" spans="2:28" ht="24" x14ac:dyDescent="0.3">
      <c r="B190" s="2" t="str">
        <f>IF(BCP_Dolares[[#This Row],[TIPO DE R.]]="R",COUNTIFS($D$4:$D189,"R")+1,"")</f>
        <v/>
      </c>
      <c r="C190" s="19" t="str">
        <f t="shared" si="32"/>
        <v>B-BCP - Dolares</v>
      </c>
      <c r="D190" s="3" t="s">
        <v>1101</v>
      </c>
      <c r="E190" s="14">
        <v>45800</v>
      </c>
      <c r="F190" s="5" t="s">
        <v>1082</v>
      </c>
      <c r="G190" s="5"/>
      <c r="H190" s="6" t="s">
        <v>147</v>
      </c>
      <c r="I190" s="6" t="s">
        <v>14</v>
      </c>
      <c r="J190" s="6" t="s">
        <v>1148</v>
      </c>
      <c r="K190" s="6">
        <v>15944</v>
      </c>
      <c r="L190" s="7" t="s">
        <v>4074</v>
      </c>
      <c r="M190" s="8">
        <v>9204553</v>
      </c>
      <c r="N190" s="8" t="str">
        <f t="shared" si="33"/>
        <v>USD</v>
      </c>
      <c r="O190" s="13">
        <v>51.08</v>
      </c>
      <c r="P190" s="13"/>
      <c r="Q190" s="3">
        <f t="shared" si="21"/>
        <v>0</v>
      </c>
      <c r="R190" s="3">
        <f t="shared" si="22"/>
        <v>0</v>
      </c>
      <c r="S190" s="3">
        <f t="shared" si="23"/>
        <v>16688.38</v>
      </c>
      <c r="T190" s="24"/>
      <c r="U190" s="24" t="s">
        <v>1081</v>
      </c>
      <c r="V190" s="80"/>
      <c r="W190" s="3"/>
      <c r="X190" s="3"/>
      <c r="Y190" s="3"/>
      <c r="Z190" s="3"/>
      <c r="AA190" s="3"/>
      <c r="AB190" s="3" t="str">
        <f>IF(BCP_Dolares[[#This Row],[FECHA]]&gt;0,TEXT(BCP_Dolares[[#This Row],[FECHA]],"mmmm"),0)</f>
        <v>Mayo</v>
      </c>
    </row>
    <row r="191" spans="2:28" ht="24" x14ac:dyDescent="0.3">
      <c r="B191" s="2" t="str">
        <f>IF(BCP_Dolares[[#This Row],[TIPO DE R.]]="R",COUNTIFS($D$4:$D190,"R")+1,"")</f>
        <v/>
      </c>
      <c r="C191" s="19" t="str">
        <f t="shared" si="32"/>
        <v>B-BCP - Dolares</v>
      </c>
      <c r="D191" s="3" t="s">
        <v>1101</v>
      </c>
      <c r="E191" s="14">
        <v>45800</v>
      </c>
      <c r="F191" s="5" t="s">
        <v>1082</v>
      </c>
      <c r="G191" s="5"/>
      <c r="H191" s="6" t="s">
        <v>147</v>
      </c>
      <c r="I191" s="6" t="s">
        <v>14</v>
      </c>
      <c r="J191" s="6" t="s">
        <v>1148</v>
      </c>
      <c r="K191" s="6">
        <v>15962</v>
      </c>
      <c r="L191" s="7" t="s">
        <v>4074</v>
      </c>
      <c r="M191" s="8">
        <v>9204553</v>
      </c>
      <c r="N191" s="8" t="str">
        <f t="shared" si="33"/>
        <v>USD</v>
      </c>
      <c r="O191" s="13">
        <v>68.099999999999994</v>
      </c>
      <c r="P191" s="13"/>
      <c r="Q191" s="3">
        <f t="shared" si="21"/>
        <v>0</v>
      </c>
      <c r="R191" s="3">
        <f t="shared" si="22"/>
        <v>0</v>
      </c>
      <c r="S191" s="3">
        <f t="shared" si="23"/>
        <v>16688.38</v>
      </c>
      <c r="T191" s="24"/>
      <c r="U191" s="24" t="s">
        <v>1081</v>
      </c>
      <c r="V191" s="80"/>
      <c r="W191" s="3"/>
      <c r="X191" s="3"/>
      <c r="Y191" s="3"/>
      <c r="Z191" s="3"/>
      <c r="AA191" s="3"/>
      <c r="AB191" s="3" t="str">
        <f>IF(BCP_Dolares[[#This Row],[FECHA]]&gt;0,TEXT(BCP_Dolares[[#This Row],[FECHA]],"mmmm"),0)</f>
        <v>Mayo</v>
      </c>
    </row>
    <row r="192" spans="2:28" ht="24" x14ac:dyDescent="0.3">
      <c r="B192" s="2" t="str">
        <f>IF(BCP_Dolares[[#This Row],[TIPO DE R.]]="R",COUNTIFS($D$4:$D191,"R")+1,"")</f>
        <v/>
      </c>
      <c r="C192" s="19" t="str">
        <f t="shared" si="32"/>
        <v>B-BCP - Dolares</v>
      </c>
      <c r="D192" s="3" t="s">
        <v>1101</v>
      </c>
      <c r="E192" s="14">
        <v>45800</v>
      </c>
      <c r="F192" s="5" t="s">
        <v>1082</v>
      </c>
      <c r="G192" s="5"/>
      <c r="H192" s="6" t="s">
        <v>147</v>
      </c>
      <c r="I192" s="6" t="s">
        <v>14</v>
      </c>
      <c r="J192" s="6" t="s">
        <v>1148</v>
      </c>
      <c r="K192" s="6">
        <v>15978</v>
      </c>
      <c r="L192" s="7" t="s">
        <v>4074</v>
      </c>
      <c r="M192" s="8">
        <v>9204553</v>
      </c>
      <c r="N192" s="8" t="str">
        <f t="shared" si="33"/>
        <v>USD</v>
      </c>
      <c r="O192" s="13">
        <v>36.22</v>
      </c>
      <c r="P192" s="13"/>
      <c r="Q192" s="3">
        <f t="shared" si="21"/>
        <v>0</v>
      </c>
      <c r="R192" s="3">
        <f t="shared" si="22"/>
        <v>0</v>
      </c>
      <c r="S192" s="3">
        <f t="shared" si="23"/>
        <v>16688.38</v>
      </c>
      <c r="T192" s="24"/>
      <c r="U192" s="24" t="s">
        <v>1081</v>
      </c>
      <c r="V192" s="80"/>
      <c r="W192" s="3"/>
      <c r="X192" s="3"/>
      <c r="Y192" s="3"/>
      <c r="Z192" s="3"/>
      <c r="AA192" s="3"/>
      <c r="AB192" s="3" t="str">
        <f>IF(BCP_Dolares[[#This Row],[FECHA]]&gt;0,TEXT(BCP_Dolares[[#This Row],[FECHA]],"mmmm"),0)</f>
        <v>Mayo</v>
      </c>
    </row>
    <row r="193" spans="2:28" ht="24" x14ac:dyDescent="0.3">
      <c r="B193" s="2" t="str">
        <f>IF(BCP_Dolares[[#This Row],[TIPO DE R.]]="R",COUNTIFS($D$4:$D192,"R")+1,"")</f>
        <v/>
      </c>
      <c r="C193" s="19" t="str">
        <f t="shared" si="32"/>
        <v>B-BCP - Dolares</v>
      </c>
      <c r="D193" s="3" t="s">
        <v>1101</v>
      </c>
      <c r="E193" s="14">
        <v>45800</v>
      </c>
      <c r="F193" s="5" t="s">
        <v>1082</v>
      </c>
      <c r="G193" s="5"/>
      <c r="H193" s="6" t="s">
        <v>147</v>
      </c>
      <c r="I193" s="6" t="s">
        <v>14</v>
      </c>
      <c r="J193" s="6" t="s">
        <v>1148</v>
      </c>
      <c r="K193" s="6">
        <v>16005</v>
      </c>
      <c r="L193" s="7" t="s">
        <v>4074</v>
      </c>
      <c r="M193" s="8">
        <v>9204553</v>
      </c>
      <c r="N193" s="8" t="str">
        <f t="shared" si="33"/>
        <v>USD</v>
      </c>
      <c r="O193" s="13">
        <v>32.51</v>
      </c>
      <c r="P193" s="13"/>
      <c r="Q193" s="3">
        <f t="shared" si="21"/>
        <v>0</v>
      </c>
      <c r="R193" s="3">
        <f t="shared" si="22"/>
        <v>0</v>
      </c>
      <c r="S193" s="3">
        <f t="shared" si="23"/>
        <v>16688.38</v>
      </c>
      <c r="T193" s="24"/>
      <c r="U193" s="24" t="s">
        <v>1081</v>
      </c>
      <c r="V193" s="80"/>
      <c r="W193" s="3"/>
      <c r="X193" s="3"/>
      <c r="Y193" s="3"/>
      <c r="Z193" s="3"/>
      <c r="AA193" s="3"/>
      <c r="AB193" s="3" t="str">
        <f>IF(BCP_Dolares[[#This Row],[FECHA]]&gt;0,TEXT(BCP_Dolares[[#This Row],[FECHA]],"mmmm"),0)</f>
        <v>Mayo</v>
      </c>
    </row>
    <row r="194" spans="2:28" ht="24" x14ac:dyDescent="0.3">
      <c r="B194" s="2" t="str">
        <f>IF(BCP_Dolares[[#This Row],[TIPO DE R.]]="R",COUNTIFS($D$4:$D193,"R")+1,"")</f>
        <v/>
      </c>
      <c r="C194" s="19" t="str">
        <f t="shared" si="32"/>
        <v>B-BCP - Dolares</v>
      </c>
      <c r="D194" s="3" t="s">
        <v>1101</v>
      </c>
      <c r="E194" s="14">
        <v>45800</v>
      </c>
      <c r="F194" s="5" t="s">
        <v>1082</v>
      </c>
      <c r="G194" s="5"/>
      <c r="H194" s="6" t="s">
        <v>147</v>
      </c>
      <c r="I194" s="6" t="s">
        <v>14</v>
      </c>
      <c r="J194" s="6" t="s">
        <v>1148</v>
      </c>
      <c r="K194" s="6">
        <v>16031</v>
      </c>
      <c r="L194" s="7" t="s">
        <v>4074</v>
      </c>
      <c r="M194" s="8">
        <v>9204553</v>
      </c>
      <c r="N194" s="8" t="str">
        <f t="shared" si="33"/>
        <v>USD</v>
      </c>
      <c r="O194" s="13">
        <v>799.91</v>
      </c>
      <c r="P194" s="13"/>
      <c r="Q194" s="3">
        <f t="shared" si="21"/>
        <v>0</v>
      </c>
      <c r="R194" s="3">
        <f t="shared" si="22"/>
        <v>0</v>
      </c>
      <c r="S194" s="3">
        <f t="shared" si="23"/>
        <v>16688.38</v>
      </c>
      <c r="T194" s="24"/>
      <c r="U194" s="24" t="s">
        <v>1081</v>
      </c>
      <c r="V194" s="80"/>
      <c r="W194" s="3"/>
      <c r="X194" s="3"/>
      <c r="Y194" s="3"/>
      <c r="Z194" s="3"/>
      <c r="AA194" s="3"/>
      <c r="AB194" s="3" t="str">
        <f>IF(BCP_Dolares[[#This Row],[FECHA]]&gt;0,TEXT(BCP_Dolares[[#This Row],[FECHA]],"mmmm"),0)</f>
        <v>Mayo</v>
      </c>
    </row>
    <row r="195" spans="2:28" ht="24" x14ac:dyDescent="0.3">
      <c r="B195" s="2" t="str">
        <f>IF(BCP_Dolares[[#This Row],[TIPO DE R.]]="R",COUNTIFS($D$4:$D194,"R")+1,"")</f>
        <v/>
      </c>
      <c r="C195" s="19" t="str">
        <f t="shared" si="32"/>
        <v>B-BCP - Dolares</v>
      </c>
      <c r="D195" s="3" t="s">
        <v>1101</v>
      </c>
      <c r="E195" s="14">
        <v>45800</v>
      </c>
      <c r="F195" s="5" t="s">
        <v>1082</v>
      </c>
      <c r="G195" s="5"/>
      <c r="H195" s="6" t="s">
        <v>147</v>
      </c>
      <c r="I195" s="6" t="s">
        <v>14</v>
      </c>
      <c r="J195" s="6" t="s">
        <v>1148</v>
      </c>
      <c r="K195" s="6">
        <v>15982</v>
      </c>
      <c r="L195" s="7" t="s">
        <v>4074</v>
      </c>
      <c r="M195" s="8">
        <v>9204553</v>
      </c>
      <c r="N195" s="8" t="str">
        <f t="shared" si="33"/>
        <v>USD</v>
      </c>
      <c r="O195" s="13">
        <v>47.49</v>
      </c>
      <c r="P195" s="13"/>
      <c r="Q195" s="3">
        <f t="shared" si="21"/>
        <v>0</v>
      </c>
      <c r="R195" s="3">
        <f t="shared" si="22"/>
        <v>0</v>
      </c>
      <c r="S195" s="3">
        <f t="shared" si="23"/>
        <v>16688.38</v>
      </c>
      <c r="T195" s="24"/>
      <c r="U195" s="24" t="s">
        <v>1081</v>
      </c>
      <c r="V195" s="80"/>
      <c r="W195" s="3"/>
      <c r="X195" s="3"/>
      <c r="Y195" s="3"/>
      <c r="Z195" s="3"/>
      <c r="AA195" s="3"/>
      <c r="AB195" s="3" t="str">
        <f>IF(BCP_Dolares[[#This Row],[FECHA]]&gt;0,TEXT(BCP_Dolares[[#This Row],[FECHA]],"mmmm"),0)</f>
        <v>Mayo</v>
      </c>
    </row>
    <row r="196" spans="2:28" ht="24" x14ac:dyDescent="0.3">
      <c r="B196" s="2" t="str">
        <f>IF(BCP_Dolares[[#This Row],[TIPO DE R.]]="R",COUNTIFS($D$4:$D195,"R")+1,"")</f>
        <v/>
      </c>
      <c r="C196" s="19" t="str">
        <f t="shared" si="32"/>
        <v>B-BCP - Dolares</v>
      </c>
      <c r="D196" s="3" t="s">
        <v>1101</v>
      </c>
      <c r="E196" s="14">
        <v>45800</v>
      </c>
      <c r="F196" s="5" t="s">
        <v>1082</v>
      </c>
      <c r="G196" s="5"/>
      <c r="H196" s="6" t="s">
        <v>147</v>
      </c>
      <c r="I196" s="6" t="s">
        <v>14</v>
      </c>
      <c r="J196" s="6" t="s">
        <v>1148</v>
      </c>
      <c r="K196" s="6">
        <v>16032</v>
      </c>
      <c r="L196" s="7" t="s">
        <v>4074</v>
      </c>
      <c r="M196" s="8">
        <v>9204553</v>
      </c>
      <c r="N196" s="8" t="str">
        <f t="shared" si="33"/>
        <v>USD</v>
      </c>
      <c r="O196" s="13">
        <v>1071.92</v>
      </c>
      <c r="P196" s="13"/>
      <c r="Q196" s="3">
        <f t="shared" si="21"/>
        <v>0</v>
      </c>
      <c r="R196" s="3">
        <f t="shared" si="22"/>
        <v>0</v>
      </c>
      <c r="S196" s="3">
        <f t="shared" si="23"/>
        <v>16688.38</v>
      </c>
      <c r="T196" s="24"/>
      <c r="U196" s="24" t="s">
        <v>1081</v>
      </c>
      <c r="V196" s="80"/>
      <c r="W196" s="3"/>
      <c r="X196" s="3"/>
      <c r="Y196" s="3"/>
      <c r="Z196" s="3"/>
      <c r="AA196" s="3"/>
      <c r="AB196" s="3" t="str">
        <f>IF(BCP_Dolares[[#This Row],[FECHA]]&gt;0,TEXT(BCP_Dolares[[#This Row],[FECHA]],"mmmm"),0)</f>
        <v>Mayo</v>
      </c>
    </row>
    <row r="197" spans="2:28" ht="24" x14ac:dyDescent="0.3">
      <c r="B197" s="2">
        <f>IF(BCP_Dolares[[#This Row],[TIPO DE R.]]="R",COUNTIFS($D$4:$D196,"R")+1,"")</f>
        <v>79</v>
      </c>
      <c r="C197" s="19" t="str">
        <f t="shared" si="28"/>
        <v>B-BCP - Dolares</v>
      </c>
      <c r="D197" s="3" t="s">
        <v>1074</v>
      </c>
      <c r="E197" s="14">
        <v>45800</v>
      </c>
      <c r="F197" s="5" t="s">
        <v>1082</v>
      </c>
      <c r="G197" s="5" t="s">
        <v>1079</v>
      </c>
      <c r="H197" s="6" t="s">
        <v>1020</v>
      </c>
      <c r="I197" s="6" t="s">
        <v>14</v>
      </c>
      <c r="J197" s="6" t="s">
        <v>1119</v>
      </c>
      <c r="K197" s="6">
        <v>340</v>
      </c>
      <c r="L197" s="7" t="s">
        <v>4075</v>
      </c>
      <c r="M197" s="8">
        <v>1120017</v>
      </c>
      <c r="N197" s="8" t="str">
        <f t="shared" si="29"/>
        <v>USD</v>
      </c>
      <c r="O197" s="13"/>
      <c r="P197" s="13">
        <v>11350</v>
      </c>
      <c r="Q197" s="3">
        <f t="shared" si="21"/>
        <v>0</v>
      </c>
      <c r="R197" s="3">
        <f t="shared" si="22"/>
        <v>11350</v>
      </c>
      <c r="S197" s="3">
        <f t="shared" si="23"/>
        <v>5338.380000000001</v>
      </c>
      <c r="T197" s="24" t="s">
        <v>1081</v>
      </c>
      <c r="U197" s="24" t="s">
        <v>1081</v>
      </c>
      <c r="V197" s="80"/>
      <c r="W197" s="3" t="s">
        <v>1020</v>
      </c>
      <c r="X197" s="3"/>
      <c r="Y197" s="3"/>
      <c r="Z197" s="3"/>
      <c r="AA197" s="3"/>
      <c r="AB197" s="3" t="str">
        <f>IF(BCP_Dolares[[#This Row],[FECHA]]&gt;0,TEXT(BCP_Dolares[[#This Row],[FECHA]],"mmmm"),0)</f>
        <v>Mayo</v>
      </c>
    </row>
    <row r="198" spans="2:28" ht="48" x14ac:dyDescent="0.3">
      <c r="B198" s="2">
        <f>IF(BCP_Dolares[[#This Row],[TIPO DE R.]]="R",COUNTIFS($D$4:$D197,"R")+1,"")</f>
        <v>80</v>
      </c>
      <c r="C198" s="19" t="str">
        <f t="shared" si="28"/>
        <v>B-BCP - Dolares</v>
      </c>
      <c r="D198" s="3" t="s">
        <v>1074</v>
      </c>
      <c r="E198" s="14">
        <v>45800</v>
      </c>
      <c r="F198" s="5" t="s">
        <v>1082</v>
      </c>
      <c r="G198" s="5" t="s">
        <v>1079</v>
      </c>
      <c r="H198" s="6" t="s">
        <v>354</v>
      </c>
      <c r="I198" s="6"/>
      <c r="J198" s="6"/>
      <c r="K198" s="6"/>
      <c r="L198" s="7" t="s">
        <v>4076</v>
      </c>
      <c r="M198" s="8">
        <v>4032206</v>
      </c>
      <c r="N198" s="8" t="str">
        <f t="shared" si="29"/>
        <v>USD</v>
      </c>
      <c r="O198" s="13"/>
      <c r="P198" s="13">
        <v>241.16</v>
      </c>
      <c r="Q198" s="3">
        <f t="shared" si="21"/>
        <v>0</v>
      </c>
      <c r="R198" s="3">
        <f t="shared" si="22"/>
        <v>241.16</v>
      </c>
      <c r="S198" s="3">
        <f t="shared" si="23"/>
        <v>5097.2200000000012</v>
      </c>
      <c r="T198" s="24" t="s">
        <v>1081</v>
      </c>
      <c r="U198" s="24" t="s">
        <v>1081</v>
      </c>
      <c r="V198" s="80"/>
      <c r="W198" s="3" t="s">
        <v>4077</v>
      </c>
      <c r="X198" s="3" t="s">
        <v>4078</v>
      </c>
      <c r="Y198" s="3" t="s">
        <v>4071</v>
      </c>
      <c r="Z198" s="3"/>
      <c r="AA198" s="3"/>
      <c r="AB198" s="3" t="str">
        <f>IF(BCP_Dolares[[#This Row],[FECHA]]&gt;0,TEXT(BCP_Dolares[[#This Row],[FECHA]],"mmmm"),0)</f>
        <v>Mayo</v>
      </c>
    </row>
    <row r="199" spans="2:28" ht="48" x14ac:dyDescent="0.3">
      <c r="B199" s="2" t="str">
        <f>IF(BCP_Dolares[[#This Row],[TIPO DE R.]]="R",COUNTIFS($D$4:$D198,"R")+1,"")</f>
        <v/>
      </c>
      <c r="C199" s="19" t="str">
        <f>"B-BCP - Dolares"</f>
        <v>B-BCP - Dolares</v>
      </c>
      <c r="D199" s="3" t="s">
        <v>1101</v>
      </c>
      <c r="E199" s="14">
        <v>45800</v>
      </c>
      <c r="F199" s="5" t="s">
        <v>1082</v>
      </c>
      <c r="G199" s="5"/>
      <c r="H199" s="6" t="s">
        <v>354</v>
      </c>
      <c r="I199" s="6" t="s">
        <v>14</v>
      </c>
      <c r="J199" s="6" t="s">
        <v>1119</v>
      </c>
      <c r="K199" s="6">
        <v>338</v>
      </c>
      <c r="L199" s="7" t="s">
        <v>4076</v>
      </c>
      <c r="M199" s="8">
        <v>4032206</v>
      </c>
      <c r="N199" s="8" t="str">
        <f>"USD"</f>
        <v>USD</v>
      </c>
      <c r="O199" s="13">
        <v>237.84</v>
      </c>
      <c r="P199" s="13"/>
      <c r="Q199" s="3">
        <f>+IF(OR($G199="SALDO",$G199="INGRESO"),$P199,0)</f>
        <v>0</v>
      </c>
      <c r="R199" s="3">
        <f>+IF($G199="EGRESO",$P199,0)</f>
        <v>0</v>
      </c>
      <c r="S199" s="3">
        <f>IFERROR(IF(G199="SALDO",Q199,S198+Q199-R199),0)</f>
        <v>5097.2200000000012</v>
      </c>
      <c r="T199" s="24" t="s">
        <v>1081</v>
      </c>
      <c r="U199" s="24" t="s">
        <v>1081</v>
      </c>
      <c r="V199" s="80"/>
      <c r="W199" s="3"/>
      <c r="X199" s="3"/>
      <c r="Y199" s="3"/>
      <c r="Z199" s="3"/>
      <c r="AA199" s="3"/>
      <c r="AB199" s="3" t="str">
        <f>IF(BCP_Dolares[[#This Row],[FECHA]]&gt;0,TEXT(BCP_Dolares[[#This Row],[FECHA]],"mmmm"),0)</f>
        <v>Mayo</v>
      </c>
    </row>
    <row r="200" spans="2:28" ht="24" x14ac:dyDescent="0.3">
      <c r="B200" s="2" t="str">
        <f>IF(BCP_Dolares[[#This Row],[TIPO DE R.]]="R",COUNTIFS($D$4:$D199,"R")+1,"")</f>
        <v/>
      </c>
      <c r="C200" s="19" t="str">
        <f>"B-BCP - Dolares"</f>
        <v>B-BCP - Dolares</v>
      </c>
      <c r="D200" s="3" t="s">
        <v>1101</v>
      </c>
      <c r="E200" s="14">
        <v>45800</v>
      </c>
      <c r="F200" s="5" t="s">
        <v>1082</v>
      </c>
      <c r="G200" s="5"/>
      <c r="H200" s="6" t="s">
        <v>1001</v>
      </c>
      <c r="I200" s="6" t="s">
        <v>14</v>
      </c>
      <c r="J200" s="6" t="s">
        <v>3128</v>
      </c>
      <c r="K200" s="6">
        <v>33002023</v>
      </c>
      <c r="L200" s="7" t="s">
        <v>4076</v>
      </c>
      <c r="M200" s="8">
        <v>4032206</v>
      </c>
      <c r="N200" s="8" t="str">
        <f>"USD"</f>
        <v>USD</v>
      </c>
      <c r="O200" s="13">
        <v>3.32</v>
      </c>
      <c r="P200" s="13"/>
      <c r="Q200" s="3">
        <f>+IF(OR($G200="SALDO",$G200="INGRESO"),$P200,0)</f>
        <v>0</v>
      </c>
      <c r="R200" s="3">
        <f>+IF($G200="EGRESO",$P200,0)</f>
        <v>0</v>
      </c>
      <c r="S200" s="3">
        <f t="shared" ref="S200:S201" si="34">IFERROR(IF(G200="SALDO",Q200,S199+Q200-R200),0)</f>
        <v>5097.2200000000012</v>
      </c>
      <c r="T200" s="24" t="s">
        <v>1081</v>
      </c>
      <c r="U200" s="24" t="s">
        <v>1081</v>
      </c>
      <c r="V200" s="80"/>
      <c r="W200" s="3"/>
      <c r="X200" s="3"/>
      <c r="Y200" s="3"/>
      <c r="Z200" s="3"/>
      <c r="AA200" s="3"/>
      <c r="AB200" s="3" t="str">
        <f>IF(BCP_Dolares[[#This Row],[FECHA]]&gt;0,TEXT(BCP_Dolares[[#This Row],[FECHA]],"mmmm"),0)</f>
        <v>Mayo</v>
      </c>
    </row>
    <row r="201" spans="2:28" x14ac:dyDescent="0.3">
      <c r="B201" s="2">
        <f>IF(BCP_Dolares[[#This Row],[TIPO DE R.]]="R",COUNTIFS($D$4:$D200,"R")+1,"")</f>
        <v>81</v>
      </c>
      <c r="C201" s="19" t="str">
        <f t="shared" si="28"/>
        <v>B-BCP - Dolares</v>
      </c>
      <c r="D201" s="3" t="s">
        <v>1074</v>
      </c>
      <c r="E201" s="14">
        <v>45800</v>
      </c>
      <c r="F201" s="5" t="s">
        <v>1078</v>
      </c>
      <c r="G201" s="5" t="s">
        <v>1079</v>
      </c>
      <c r="H201" s="6"/>
      <c r="I201" s="6"/>
      <c r="J201" s="6"/>
      <c r="K201" s="6"/>
      <c r="L201" s="7" t="s">
        <v>1080</v>
      </c>
      <c r="M201" s="8"/>
      <c r="N201" s="8" t="str">
        <f t="shared" si="29"/>
        <v>USD</v>
      </c>
      <c r="O201" s="13"/>
      <c r="P201" s="13">
        <v>0.65</v>
      </c>
      <c r="Q201" s="3">
        <f t="shared" si="21"/>
        <v>0</v>
      </c>
      <c r="R201" s="3">
        <f t="shared" si="22"/>
        <v>0.65</v>
      </c>
      <c r="S201" s="3">
        <f t="shared" si="34"/>
        <v>5096.5700000000015</v>
      </c>
      <c r="T201" s="24"/>
      <c r="U201" s="24"/>
      <c r="V201" s="80"/>
      <c r="W201" s="3"/>
      <c r="X201" s="3"/>
      <c r="Y201" s="3"/>
      <c r="Z201" s="3"/>
      <c r="AA201" s="3"/>
      <c r="AB201" s="3" t="str">
        <f>IF(BCP_Dolares[[#This Row],[FECHA]]&gt;0,TEXT(BCP_Dolares[[#This Row],[FECHA]],"mmmm"),0)</f>
        <v>Mayo</v>
      </c>
    </row>
    <row r="202" spans="2:28" x14ac:dyDescent="0.3">
      <c r="B202" s="2">
        <f>IF(BCP_Dolares[[#This Row],[TIPO DE R.]]="R",COUNTIFS($D$4:$D201,"R")+1,"")</f>
        <v>82</v>
      </c>
      <c r="C202" s="19" t="str">
        <f t="shared" si="28"/>
        <v>B-BCP - Dolares</v>
      </c>
      <c r="D202" s="3" t="s">
        <v>1074</v>
      </c>
      <c r="E202" s="14">
        <v>45804</v>
      </c>
      <c r="F202" s="5" t="s">
        <v>368</v>
      </c>
      <c r="G202" s="5" t="s">
        <v>1087</v>
      </c>
      <c r="H202" s="6"/>
      <c r="I202" s="6"/>
      <c r="J202" s="6"/>
      <c r="K202" s="6"/>
      <c r="L202" s="7" t="s">
        <v>4079</v>
      </c>
      <c r="M202" s="8">
        <v>2103431</v>
      </c>
      <c r="N202" s="8" t="str">
        <f t="shared" si="29"/>
        <v>USD</v>
      </c>
      <c r="O202" s="13"/>
      <c r="P202" s="13">
        <v>2900</v>
      </c>
      <c r="Q202" s="3">
        <f t="shared" si="21"/>
        <v>2900</v>
      </c>
      <c r="R202" s="3">
        <f t="shared" si="22"/>
        <v>0</v>
      </c>
      <c r="S202" s="3">
        <f t="shared" si="23"/>
        <v>7996.5700000000015</v>
      </c>
      <c r="T202" s="24"/>
      <c r="U202" s="24"/>
      <c r="V202" s="80"/>
      <c r="W202" s="3" t="s">
        <v>368</v>
      </c>
      <c r="X202" s="3"/>
      <c r="Y202" s="3"/>
      <c r="Z202" s="3"/>
      <c r="AA202" s="3"/>
      <c r="AB202" s="3" t="str">
        <f>IF(BCP_Dolares[[#This Row],[FECHA]]&gt;0,TEXT(BCP_Dolares[[#This Row],[FECHA]],"mmmm"),0)</f>
        <v>Mayo</v>
      </c>
    </row>
    <row r="203" spans="2:28" ht="60" x14ac:dyDescent="0.3">
      <c r="B203" s="2">
        <f>IF(BCP_Dolares[[#This Row],[TIPO DE R.]]="R",COUNTIFS($D$4:$D202,"R")+1,"")</f>
        <v>83</v>
      </c>
      <c r="C203" s="19" t="str">
        <f t="shared" si="28"/>
        <v>B-BCP - Dolares</v>
      </c>
      <c r="D203" s="3" t="s">
        <v>1074</v>
      </c>
      <c r="E203" s="14">
        <v>45804</v>
      </c>
      <c r="F203" s="5" t="s">
        <v>1251</v>
      </c>
      <c r="G203" s="5" t="s">
        <v>1079</v>
      </c>
      <c r="H203" s="6" t="s">
        <v>1019</v>
      </c>
      <c r="I203" s="6"/>
      <c r="J203" s="6"/>
      <c r="K203" s="6"/>
      <c r="L203" s="7" t="s">
        <v>4080</v>
      </c>
      <c r="M203" s="8">
        <v>105822</v>
      </c>
      <c r="N203" s="8" t="str">
        <f t="shared" si="29"/>
        <v>USD</v>
      </c>
      <c r="O203" s="13"/>
      <c r="P203" s="13">
        <v>7795</v>
      </c>
      <c r="Q203" s="3">
        <f t="shared" ref="Q203:Q273" si="35">+IF(OR($G203="SALDO",$G203="INGRESO"),$P203,0)</f>
        <v>0</v>
      </c>
      <c r="R203" s="3">
        <f t="shared" ref="R203:R273" si="36">+IF($G203="EGRESO",$P203,0)</f>
        <v>7795</v>
      </c>
      <c r="S203" s="3">
        <f t="shared" ref="S203:S273" si="37">IFERROR(IF(G203="SALDO",Q203,S202+Q203-R203),0)</f>
        <v>201.57000000000153</v>
      </c>
      <c r="T203" s="24" t="s">
        <v>1081</v>
      </c>
      <c r="U203" s="24" t="s">
        <v>1081</v>
      </c>
      <c r="V203" s="80"/>
      <c r="W203" s="3" t="s">
        <v>4081</v>
      </c>
      <c r="X203" s="3"/>
      <c r="Y203" s="3"/>
      <c r="Z203" s="3"/>
      <c r="AA203" s="3"/>
      <c r="AB203" s="3" t="str">
        <f>IF(BCP_Dolares[[#This Row],[FECHA]]&gt;0,TEXT(BCP_Dolares[[#This Row],[FECHA]],"mmmm"),0)</f>
        <v>Mayo</v>
      </c>
    </row>
    <row r="204" spans="2:28" x14ac:dyDescent="0.3">
      <c r="B204" s="2" t="str">
        <f>IF(BCP_Dolares[[#This Row],[TIPO DE R.]]="R",COUNTIFS($D$4:$D203,"R")+1,"")</f>
        <v/>
      </c>
      <c r="C204" s="19" t="str">
        <f t="shared" ref="C204:C210" si="38">"B-BCP - Dolares"</f>
        <v>B-BCP - Dolares</v>
      </c>
      <c r="D204" s="3" t="s">
        <v>1101</v>
      </c>
      <c r="E204" s="14">
        <v>45804</v>
      </c>
      <c r="F204" s="5" t="s">
        <v>1251</v>
      </c>
      <c r="G204" s="5"/>
      <c r="H204" s="125" t="s">
        <v>1019</v>
      </c>
      <c r="I204" s="6" t="s">
        <v>14</v>
      </c>
      <c r="J204" s="6" t="s">
        <v>1578</v>
      </c>
      <c r="K204" s="6">
        <v>41435</v>
      </c>
      <c r="L204" s="7" t="s">
        <v>4080</v>
      </c>
      <c r="M204" s="8">
        <v>105822</v>
      </c>
      <c r="N204" s="8" t="str">
        <f t="shared" ref="N204:N210" si="39">"USD"</f>
        <v>USD</v>
      </c>
      <c r="O204" s="13">
        <v>1840.8</v>
      </c>
      <c r="P204" s="13"/>
      <c r="Q204" s="3">
        <f t="shared" ref="Q204:Q210" si="40">+IF(OR($G204="SALDO",$G204="INGRESO"),$P204,0)</f>
        <v>0</v>
      </c>
      <c r="R204" s="3">
        <f t="shared" ref="R204:R210" si="41">+IF($G204="EGRESO",$P204,0)</f>
        <v>0</v>
      </c>
      <c r="S204" s="3">
        <f t="shared" ref="S204:S211" si="42">IFERROR(IF(G204="SALDO",Q204,S203+Q204-R204),0)</f>
        <v>201.57000000000153</v>
      </c>
      <c r="T204" s="24" t="s">
        <v>1081</v>
      </c>
      <c r="U204" s="24" t="s">
        <v>1081</v>
      </c>
      <c r="V204" s="80"/>
      <c r="W204" s="3"/>
      <c r="X204" s="3"/>
      <c r="Y204" s="3"/>
      <c r="Z204" s="3"/>
      <c r="AA204" s="3"/>
      <c r="AB204" s="3" t="str">
        <f>IF(BCP_Dolares[[#This Row],[FECHA]]&gt;0,TEXT(BCP_Dolares[[#This Row],[FECHA]],"mmmm"),0)</f>
        <v>Mayo</v>
      </c>
    </row>
    <row r="205" spans="2:28" x14ac:dyDescent="0.3">
      <c r="B205" s="2" t="str">
        <f>IF(BCP_Dolares[[#This Row],[TIPO DE R.]]="R",COUNTIFS($D$4:$D204,"R")+1,"")</f>
        <v/>
      </c>
      <c r="C205" s="19" t="str">
        <f t="shared" si="38"/>
        <v>B-BCP - Dolares</v>
      </c>
      <c r="D205" s="3" t="s">
        <v>1101</v>
      </c>
      <c r="E205" s="14">
        <v>45804</v>
      </c>
      <c r="F205" s="5" t="s">
        <v>1251</v>
      </c>
      <c r="G205" s="5"/>
      <c r="H205" s="125" t="s">
        <v>1019</v>
      </c>
      <c r="I205" s="6" t="s">
        <v>14</v>
      </c>
      <c r="J205" s="6" t="s">
        <v>1578</v>
      </c>
      <c r="K205" s="6">
        <v>41436</v>
      </c>
      <c r="L205" s="7" t="s">
        <v>4080</v>
      </c>
      <c r="M205" s="8">
        <v>105822</v>
      </c>
      <c r="N205" s="8" t="str">
        <f t="shared" si="39"/>
        <v>USD</v>
      </c>
      <c r="O205" s="13">
        <v>757.38</v>
      </c>
      <c r="P205" s="13"/>
      <c r="Q205" s="3">
        <f t="shared" si="40"/>
        <v>0</v>
      </c>
      <c r="R205" s="3">
        <f t="shared" si="41"/>
        <v>0</v>
      </c>
      <c r="S205" s="3">
        <f t="shared" si="42"/>
        <v>201.57000000000153</v>
      </c>
      <c r="T205" s="24" t="s">
        <v>1081</v>
      </c>
      <c r="U205" s="24" t="s">
        <v>1081</v>
      </c>
      <c r="V205" s="80"/>
      <c r="W205" s="3"/>
      <c r="X205" s="3"/>
      <c r="Y205" s="3"/>
      <c r="Z205" s="3"/>
      <c r="AA205" s="3"/>
      <c r="AB205" s="3" t="str">
        <f>IF(BCP_Dolares[[#This Row],[FECHA]]&gt;0,TEXT(BCP_Dolares[[#This Row],[FECHA]],"mmmm"),0)</f>
        <v>Mayo</v>
      </c>
    </row>
    <row r="206" spans="2:28" x14ac:dyDescent="0.3">
      <c r="B206" s="2" t="str">
        <f>IF(BCP_Dolares[[#This Row],[TIPO DE R.]]="R",COUNTIFS($D$4:$D205,"R")+1,"")</f>
        <v/>
      </c>
      <c r="C206" s="19" t="str">
        <f t="shared" si="38"/>
        <v>B-BCP - Dolares</v>
      </c>
      <c r="D206" s="3" t="s">
        <v>1101</v>
      </c>
      <c r="E206" s="14">
        <v>45804</v>
      </c>
      <c r="F206" s="5" t="s">
        <v>1251</v>
      </c>
      <c r="G206" s="5"/>
      <c r="H206" s="125" t="s">
        <v>1019</v>
      </c>
      <c r="I206" s="6" t="s">
        <v>14</v>
      </c>
      <c r="J206" s="6" t="s">
        <v>1578</v>
      </c>
      <c r="K206" s="6">
        <v>41432</v>
      </c>
      <c r="L206" s="7" t="s">
        <v>4080</v>
      </c>
      <c r="M206" s="8">
        <v>105822</v>
      </c>
      <c r="N206" s="8" t="str">
        <f t="shared" si="39"/>
        <v>USD</v>
      </c>
      <c r="O206" s="13">
        <v>1840.8</v>
      </c>
      <c r="P206" s="13"/>
      <c r="Q206" s="3">
        <f t="shared" si="40"/>
        <v>0</v>
      </c>
      <c r="R206" s="3">
        <f t="shared" si="41"/>
        <v>0</v>
      </c>
      <c r="S206" s="3">
        <f t="shared" si="42"/>
        <v>201.57000000000153</v>
      </c>
      <c r="T206" s="24" t="s">
        <v>1081</v>
      </c>
      <c r="U206" s="24" t="s">
        <v>1081</v>
      </c>
      <c r="V206" s="80"/>
      <c r="W206" s="3"/>
      <c r="X206" s="3"/>
      <c r="Y206" s="3"/>
      <c r="Z206" s="3"/>
      <c r="AA206" s="3"/>
      <c r="AB206" s="3" t="str">
        <f>IF(BCP_Dolares[[#This Row],[FECHA]]&gt;0,TEXT(BCP_Dolares[[#This Row],[FECHA]],"mmmm"),0)</f>
        <v>Mayo</v>
      </c>
    </row>
    <row r="207" spans="2:28" x14ac:dyDescent="0.3">
      <c r="B207" s="2" t="str">
        <f>IF(BCP_Dolares[[#This Row],[TIPO DE R.]]="R",COUNTIFS($D$4:$D206,"R")+1,"")</f>
        <v/>
      </c>
      <c r="C207" s="19" t="str">
        <f t="shared" si="38"/>
        <v>B-BCP - Dolares</v>
      </c>
      <c r="D207" s="3" t="s">
        <v>1101</v>
      </c>
      <c r="E207" s="14">
        <v>45804</v>
      </c>
      <c r="F207" s="5" t="s">
        <v>1251</v>
      </c>
      <c r="G207" s="5"/>
      <c r="H207" s="125" t="s">
        <v>1019</v>
      </c>
      <c r="I207" s="6" t="s">
        <v>14</v>
      </c>
      <c r="J207" s="6" t="s">
        <v>1578</v>
      </c>
      <c r="K207" s="6">
        <v>41433</v>
      </c>
      <c r="L207" s="7" t="s">
        <v>4080</v>
      </c>
      <c r="M207" s="8">
        <v>105822</v>
      </c>
      <c r="N207" s="8" t="str">
        <f t="shared" si="39"/>
        <v>USD</v>
      </c>
      <c r="O207" s="13">
        <v>757.38</v>
      </c>
      <c r="P207" s="13"/>
      <c r="Q207" s="3">
        <f t="shared" si="40"/>
        <v>0</v>
      </c>
      <c r="R207" s="3">
        <f t="shared" si="41"/>
        <v>0</v>
      </c>
      <c r="S207" s="3">
        <f t="shared" si="42"/>
        <v>201.57000000000153</v>
      </c>
      <c r="T207" s="24" t="s">
        <v>1081</v>
      </c>
      <c r="U207" s="24" t="s">
        <v>1081</v>
      </c>
      <c r="V207" s="80"/>
      <c r="W207" s="3"/>
      <c r="X207" s="3"/>
      <c r="Y207" s="3"/>
      <c r="Z207" s="3"/>
      <c r="AA207" s="3"/>
      <c r="AB207" s="3" t="str">
        <f>IF(BCP_Dolares[[#This Row],[FECHA]]&gt;0,TEXT(BCP_Dolares[[#This Row],[FECHA]],"mmmm"),0)</f>
        <v>Mayo</v>
      </c>
    </row>
    <row r="208" spans="2:28" x14ac:dyDescent="0.3">
      <c r="B208" s="2" t="str">
        <f>IF(BCP_Dolares[[#This Row],[TIPO DE R.]]="R",COUNTIFS($D$4:$D207,"R")+1,"")</f>
        <v/>
      </c>
      <c r="C208" s="19" t="str">
        <f t="shared" si="38"/>
        <v>B-BCP - Dolares</v>
      </c>
      <c r="D208" s="3" t="s">
        <v>1101</v>
      </c>
      <c r="E208" s="14">
        <v>45804</v>
      </c>
      <c r="F208" s="5" t="s">
        <v>1251</v>
      </c>
      <c r="G208" s="5"/>
      <c r="H208" s="125" t="s">
        <v>1019</v>
      </c>
      <c r="I208" s="6" t="s">
        <v>14</v>
      </c>
      <c r="J208" s="6" t="s">
        <v>1578</v>
      </c>
      <c r="K208" s="6">
        <v>41434</v>
      </c>
      <c r="L208" s="7" t="s">
        <v>4080</v>
      </c>
      <c r="M208" s="8">
        <v>105822</v>
      </c>
      <c r="N208" s="8" t="str">
        <f t="shared" si="39"/>
        <v>USD</v>
      </c>
      <c r="O208" s="13">
        <v>0.46</v>
      </c>
      <c r="P208" s="13"/>
      <c r="Q208" s="3">
        <f t="shared" si="40"/>
        <v>0</v>
      </c>
      <c r="R208" s="3">
        <f t="shared" si="41"/>
        <v>0</v>
      </c>
      <c r="S208" s="3">
        <f t="shared" si="42"/>
        <v>201.57000000000153</v>
      </c>
      <c r="T208" s="24" t="s">
        <v>1081</v>
      </c>
      <c r="U208" s="24" t="s">
        <v>1081</v>
      </c>
      <c r="V208" s="80"/>
      <c r="W208" s="3"/>
      <c r="X208" s="3"/>
      <c r="Y208" s="3"/>
      <c r="Z208" s="3"/>
      <c r="AA208" s="3"/>
      <c r="AB208" s="3" t="str">
        <f>IF(BCP_Dolares[[#This Row],[FECHA]]&gt;0,TEXT(BCP_Dolares[[#This Row],[FECHA]],"mmmm"),0)</f>
        <v>Mayo</v>
      </c>
    </row>
    <row r="209" spans="2:28" x14ac:dyDescent="0.3">
      <c r="B209" s="2" t="str">
        <f>IF(BCP_Dolares[[#This Row],[TIPO DE R.]]="R",COUNTIFS($D$4:$D208,"R")+1,"")</f>
        <v/>
      </c>
      <c r="C209" s="19" t="str">
        <f t="shared" si="38"/>
        <v>B-BCP - Dolares</v>
      </c>
      <c r="D209" s="3" t="s">
        <v>1101</v>
      </c>
      <c r="E209" s="14">
        <v>45804</v>
      </c>
      <c r="F209" s="5" t="s">
        <v>1251</v>
      </c>
      <c r="G209" s="5"/>
      <c r="H209" s="125" t="s">
        <v>1019</v>
      </c>
      <c r="I209" s="6" t="s">
        <v>14</v>
      </c>
      <c r="J209" s="6" t="s">
        <v>1578</v>
      </c>
      <c r="K209" s="6">
        <v>41430</v>
      </c>
      <c r="L209" s="7" t="s">
        <v>4080</v>
      </c>
      <c r="M209" s="8">
        <v>105822</v>
      </c>
      <c r="N209" s="8" t="str">
        <f t="shared" si="39"/>
        <v>USD</v>
      </c>
      <c r="O209" s="13">
        <v>1840.8</v>
      </c>
      <c r="P209" s="13"/>
      <c r="Q209" s="3">
        <f t="shared" si="40"/>
        <v>0</v>
      </c>
      <c r="R209" s="3">
        <f t="shared" si="41"/>
        <v>0</v>
      </c>
      <c r="S209" s="3">
        <f t="shared" si="42"/>
        <v>201.57000000000153</v>
      </c>
      <c r="T209" s="24" t="s">
        <v>1081</v>
      </c>
      <c r="U209" s="24" t="s">
        <v>1081</v>
      </c>
      <c r="V209" s="80"/>
      <c r="W209" s="3"/>
      <c r="X209" s="3"/>
      <c r="Y209" s="3"/>
      <c r="Z209" s="3"/>
      <c r="AA209" s="3"/>
      <c r="AB209" s="3" t="str">
        <f>IF(BCP_Dolares[[#This Row],[FECHA]]&gt;0,TEXT(BCP_Dolares[[#This Row],[FECHA]],"mmmm"),0)</f>
        <v>Mayo</v>
      </c>
    </row>
    <row r="210" spans="2:28" x14ac:dyDescent="0.3">
      <c r="B210" s="2" t="str">
        <f>IF(BCP_Dolares[[#This Row],[TIPO DE R.]]="R",COUNTIFS($D$4:$D209,"R")+1,"")</f>
        <v/>
      </c>
      <c r="C210" s="19" t="str">
        <f t="shared" si="38"/>
        <v>B-BCP - Dolares</v>
      </c>
      <c r="D210" s="3" t="s">
        <v>1101</v>
      </c>
      <c r="E210" s="14">
        <v>45804</v>
      </c>
      <c r="F210" s="5" t="s">
        <v>1251</v>
      </c>
      <c r="G210" s="5"/>
      <c r="H210" s="125" t="s">
        <v>1019</v>
      </c>
      <c r="I210" s="6" t="s">
        <v>14</v>
      </c>
      <c r="J210" s="6" t="s">
        <v>1578</v>
      </c>
      <c r="K210" s="6">
        <v>41431</v>
      </c>
      <c r="L210" s="7" t="s">
        <v>4080</v>
      </c>
      <c r="M210" s="8">
        <v>105822</v>
      </c>
      <c r="N210" s="8" t="str">
        <f t="shared" si="39"/>
        <v>USD</v>
      </c>
      <c r="O210" s="13">
        <v>757.38</v>
      </c>
      <c r="P210" s="13"/>
      <c r="Q210" s="3">
        <f t="shared" si="40"/>
        <v>0</v>
      </c>
      <c r="R210" s="3">
        <f t="shared" si="41"/>
        <v>0</v>
      </c>
      <c r="S210" s="3">
        <f t="shared" si="42"/>
        <v>201.57000000000153</v>
      </c>
      <c r="T210" s="24" t="s">
        <v>1081</v>
      </c>
      <c r="U210" s="24" t="s">
        <v>1081</v>
      </c>
      <c r="V210" s="80"/>
      <c r="W210" s="3"/>
      <c r="X210" s="3"/>
      <c r="Y210" s="3"/>
      <c r="Z210" s="3"/>
      <c r="AA210" s="3"/>
      <c r="AB210" s="3" t="str">
        <f>IF(BCP_Dolares[[#This Row],[FECHA]]&gt;0,TEXT(BCP_Dolares[[#This Row],[FECHA]],"mmmm"),0)</f>
        <v>Mayo</v>
      </c>
    </row>
    <row r="211" spans="2:28" ht="24" x14ac:dyDescent="0.3">
      <c r="B211" s="2">
        <f>IF(BCP_Dolares[[#This Row],[TIPO DE R.]]="R",COUNTIFS($D$4:$D210,"R")+1,"")</f>
        <v>84</v>
      </c>
      <c r="C211" s="19" t="str">
        <f t="shared" si="28"/>
        <v>B-BCP - Dolares</v>
      </c>
      <c r="D211" s="3" t="s">
        <v>1074</v>
      </c>
      <c r="E211" s="14">
        <v>45804</v>
      </c>
      <c r="F211" s="5" t="s">
        <v>1078</v>
      </c>
      <c r="G211" s="5" t="s">
        <v>1079</v>
      </c>
      <c r="H211" s="6" t="s">
        <v>1001</v>
      </c>
      <c r="I211" s="6"/>
      <c r="J211" s="6"/>
      <c r="K211" s="6"/>
      <c r="L211" s="7" t="s">
        <v>4007</v>
      </c>
      <c r="M211" s="8">
        <v>3500</v>
      </c>
      <c r="N211" s="8" t="str">
        <f t="shared" si="29"/>
        <v>USD</v>
      </c>
      <c r="O211" s="13"/>
      <c r="P211" s="13">
        <v>12</v>
      </c>
      <c r="Q211" s="3">
        <f t="shared" si="35"/>
        <v>0</v>
      </c>
      <c r="R211" s="3">
        <f t="shared" si="36"/>
        <v>12</v>
      </c>
      <c r="S211" s="3">
        <f t="shared" si="42"/>
        <v>189.57000000000153</v>
      </c>
      <c r="T211" s="24"/>
      <c r="U211" s="24"/>
      <c r="V211" s="80"/>
      <c r="W211" s="3" t="s">
        <v>1078</v>
      </c>
      <c r="X211" s="3"/>
      <c r="Y211" s="3"/>
      <c r="Z211" s="3"/>
      <c r="AA211" s="3"/>
      <c r="AB211" s="3" t="str">
        <f>IF(BCP_Dolares[[#This Row],[FECHA]]&gt;0,TEXT(BCP_Dolares[[#This Row],[FECHA]],"mmmm"),0)</f>
        <v>Mayo</v>
      </c>
    </row>
    <row r="212" spans="2:28" x14ac:dyDescent="0.3">
      <c r="B212" s="2">
        <f>IF(BCP_Dolares[[#This Row],[TIPO DE R.]]="R",COUNTIFS($D$4:$D211,"R")+1,"")</f>
        <v>85</v>
      </c>
      <c r="C212" s="19" t="str">
        <f t="shared" si="28"/>
        <v>B-BCP - Dolares</v>
      </c>
      <c r="D212" s="3" t="s">
        <v>1074</v>
      </c>
      <c r="E212" s="14">
        <v>45804</v>
      </c>
      <c r="F212" s="5" t="s">
        <v>1078</v>
      </c>
      <c r="G212" s="5" t="s">
        <v>1079</v>
      </c>
      <c r="H212" s="6"/>
      <c r="I212" s="6"/>
      <c r="J212" s="6"/>
      <c r="K212" s="6"/>
      <c r="L212" s="7" t="s">
        <v>2868</v>
      </c>
      <c r="M212" s="8"/>
      <c r="N212" s="8" t="str">
        <f t="shared" si="29"/>
        <v>USD</v>
      </c>
      <c r="O212" s="13"/>
      <c r="P212" s="13">
        <v>0.35</v>
      </c>
      <c r="Q212" s="3">
        <f t="shared" si="35"/>
        <v>0</v>
      </c>
      <c r="R212" s="3">
        <f t="shared" si="36"/>
        <v>0.35</v>
      </c>
      <c r="S212" s="3">
        <f t="shared" si="37"/>
        <v>189.22000000000153</v>
      </c>
      <c r="T212" s="24"/>
      <c r="U212" s="24"/>
      <c r="V212" s="80"/>
      <c r="W212" s="3"/>
      <c r="X212" s="3"/>
      <c r="Y212" s="3"/>
      <c r="Z212" s="3"/>
      <c r="AA212" s="3"/>
      <c r="AB212" s="3" t="str">
        <f>IF(BCP_Dolares[[#This Row],[FECHA]]&gt;0,TEXT(BCP_Dolares[[#This Row],[FECHA]],"mmmm"),0)</f>
        <v>Mayo</v>
      </c>
    </row>
    <row r="213" spans="2:28" ht="24" x14ac:dyDescent="0.3">
      <c r="B213" s="2">
        <f>IF(BCP_Dolares[[#This Row],[TIPO DE R.]]="R",COUNTIFS($D$4:$D212,"R")+1,"")</f>
        <v>86</v>
      </c>
      <c r="C213" s="19" t="str">
        <f t="shared" si="28"/>
        <v>B-BCP - Dolares</v>
      </c>
      <c r="D213" s="3" t="s">
        <v>1074</v>
      </c>
      <c r="E213" s="14">
        <v>45806</v>
      </c>
      <c r="F213" s="5" t="s">
        <v>147</v>
      </c>
      <c r="G213" s="5" t="s">
        <v>1087</v>
      </c>
      <c r="H213" s="6" t="s">
        <v>368</v>
      </c>
      <c r="I213" s="6"/>
      <c r="J213" s="6"/>
      <c r="K213" s="6"/>
      <c r="L213" s="7" t="s">
        <v>1095</v>
      </c>
      <c r="M213" s="8">
        <v>1462171</v>
      </c>
      <c r="N213" s="8" t="str">
        <f t="shared" si="29"/>
        <v>USD</v>
      </c>
      <c r="O213" s="13"/>
      <c r="P213" s="13">
        <v>15184.55</v>
      </c>
      <c r="Q213" s="3">
        <f t="shared" si="35"/>
        <v>15184.55</v>
      </c>
      <c r="R213" s="3">
        <f t="shared" si="36"/>
        <v>0</v>
      </c>
      <c r="S213" s="3">
        <f t="shared" si="37"/>
        <v>15373.77</v>
      </c>
      <c r="T213" s="24" t="s">
        <v>1081</v>
      </c>
      <c r="U213" s="24"/>
      <c r="V213" s="80"/>
      <c r="W213" s="3" t="s">
        <v>368</v>
      </c>
      <c r="X213" s="3" t="s">
        <v>4082</v>
      </c>
      <c r="Y213" s="3" t="s">
        <v>4071</v>
      </c>
      <c r="Z213" s="3"/>
      <c r="AA213" s="3"/>
      <c r="AB213" s="3" t="str">
        <f>IF(BCP_Dolares[[#This Row],[FECHA]]&gt;0,TEXT(BCP_Dolares[[#This Row],[FECHA]],"mmmm"),0)</f>
        <v>Mayo</v>
      </c>
    </row>
    <row r="214" spans="2:28" x14ac:dyDescent="0.3">
      <c r="B214" s="2">
        <f>IF(BCP_Dolares[[#This Row],[TIPO DE R.]]="R",COUNTIFS($D$4:$D213,"R")+1,"")</f>
        <v>87</v>
      </c>
      <c r="C214" s="19" t="str">
        <f t="shared" si="28"/>
        <v>B-BCP - Dolares</v>
      </c>
      <c r="D214" s="3" t="s">
        <v>1074</v>
      </c>
      <c r="E214" s="14">
        <v>45806</v>
      </c>
      <c r="F214" s="5" t="s">
        <v>1082</v>
      </c>
      <c r="G214" s="5" t="s">
        <v>1079</v>
      </c>
      <c r="H214" s="6" t="s">
        <v>147</v>
      </c>
      <c r="I214" s="6" t="s">
        <v>14</v>
      </c>
      <c r="J214" s="6" t="s">
        <v>1148</v>
      </c>
      <c r="K214" s="6">
        <v>15981</v>
      </c>
      <c r="L214" s="7" t="s">
        <v>4083</v>
      </c>
      <c r="M214" s="8">
        <v>1232329</v>
      </c>
      <c r="N214" s="8" t="str">
        <f t="shared" si="29"/>
        <v>USD</v>
      </c>
      <c r="O214" s="13"/>
      <c r="P214" s="13">
        <v>93.84</v>
      </c>
      <c r="Q214" s="3">
        <f t="shared" si="35"/>
        <v>0</v>
      </c>
      <c r="R214" s="3">
        <f t="shared" si="36"/>
        <v>93.84</v>
      </c>
      <c r="S214" s="3">
        <f t="shared" si="37"/>
        <v>15279.93</v>
      </c>
      <c r="T214" s="24" t="s">
        <v>1081</v>
      </c>
      <c r="U214" s="24" t="s">
        <v>1081</v>
      </c>
      <c r="V214" s="80"/>
      <c r="W214" s="3" t="s">
        <v>4084</v>
      </c>
      <c r="X214" s="3" t="s">
        <v>4085</v>
      </c>
      <c r="Y214" s="3"/>
      <c r="Z214" s="3"/>
      <c r="AA214" s="3"/>
      <c r="AB214" s="3" t="str">
        <f>IF(BCP_Dolares[[#This Row],[FECHA]]&gt;0,TEXT(BCP_Dolares[[#This Row],[FECHA]],"mmmm"),0)</f>
        <v>Mayo</v>
      </c>
    </row>
    <row r="215" spans="2:28" ht="24" x14ac:dyDescent="0.3">
      <c r="B215" s="2">
        <f>IF(BCP_Dolares[[#This Row],[TIPO DE R.]]="R",COUNTIFS($D$4:$D214,"R")+1,"")</f>
        <v>88</v>
      </c>
      <c r="C215" s="19" t="str">
        <f t="shared" si="28"/>
        <v>B-BCP - Dolares</v>
      </c>
      <c r="D215" s="3" t="s">
        <v>1074</v>
      </c>
      <c r="E215" s="14">
        <v>45806</v>
      </c>
      <c r="F215" s="5" t="s">
        <v>1082</v>
      </c>
      <c r="G215" s="5" t="s">
        <v>1079</v>
      </c>
      <c r="H215" s="6" t="s">
        <v>716</v>
      </c>
      <c r="I215" s="6"/>
      <c r="J215" s="6"/>
      <c r="K215" s="6"/>
      <c r="L215" s="7" t="s">
        <v>4086</v>
      </c>
      <c r="M215" s="8">
        <v>1240651</v>
      </c>
      <c r="N215" s="8" t="str">
        <f t="shared" si="29"/>
        <v>USD</v>
      </c>
      <c r="O215" s="13"/>
      <c r="P215" s="13">
        <v>520</v>
      </c>
      <c r="Q215" s="3">
        <f t="shared" si="35"/>
        <v>0</v>
      </c>
      <c r="R215" s="3">
        <f t="shared" si="36"/>
        <v>520</v>
      </c>
      <c r="S215" s="3">
        <f t="shared" si="37"/>
        <v>14759.93</v>
      </c>
      <c r="T215" s="24"/>
      <c r="U215" s="24"/>
      <c r="V215" s="80"/>
      <c r="W215" s="3" t="s">
        <v>716</v>
      </c>
      <c r="X215" s="3"/>
      <c r="Y215" s="3"/>
      <c r="Z215" s="3"/>
      <c r="AA215" s="3"/>
      <c r="AB215" s="3" t="str">
        <f>IF(BCP_Dolares[[#This Row],[FECHA]]&gt;0,TEXT(BCP_Dolares[[#This Row],[FECHA]],"mmmm"),0)</f>
        <v>Mayo</v>
      </c>
    </row>
    <row r="216" spans="2:28" x14ac:dyDescent="0.3">
      <c r="B216" s="2">
        <f>IF(BCP_Dolares[[#This Row],[TIPO DE R.]]="R",COUNTIFS($D$4:$D215,"R")+1,"")</f>
        <v>89</v>
      </c>
      <c r="C216" s="19" t="str">
        <f t="shared" si="28"/>
        <v>B-BCP - Dolares</v>
      </c>
      <c r="D216" s="3" t="s">
        <v>1074</v>
      </c>
      <c r="E216" s="14">
        <v>45806</v>
      </c>
      <c r="F216" s="5" t="s">
        <v>1078</v>
      </c>
      <c r="G216" s="5" t="s">
        <v>1079</v>
      </c>
      <c r="H216" s="6"/>
      <c r="I216" s="6"/>
      <c r="J216" s="6"/>
      <c r="K216" s="6"/>
      <c r="L216" s="7" t="s">
        <v>2868</v>
      </c>
      <c r="M216" s="8"/>
      <c r="N216" s="8" t="str">
        <f t="shared" si="29"/>
        <v>USD</v>
      </c>
      <c r="O216" s="13"/>
      <c r="P216" s="13">
        <v>0.75</v>
      </c>
      <c r="Q216" s="3">
        <f t="shared" si="35"/>
        <v>0</v>
      </c>
      <c r="R216" s="3">
        <f t="shared" si="36"/>
        <v>0.75</v>
      </c>
      <c r="S216" s="3">
        <f t="shared" si="37"/>
        <v>14759.18</v>
      </c>
      <c r="T216" s="24"/>
      <c r="U216" s="24"/>
      <c r="V216" s="80"/>
      <c r="W216" s="3"/>
      <c r="X216" s="3"/>
      <c r="Y216" s="3"/>
      <c r="Z216" s="3"/>
      <c r="AA216" s="3"/>
      <c r="AB216" s="3" t="str">
        <f>IF(BCP_Dolares[[#This Row],[FECHA]]&gt;0,TEXT(BCP_Dolares[[#This Row],[FECHA]],"mmmm"),0)</f>
        <v>Mayo</v>
      </c>
    </row>
    <row r="217" spans="2:28" x14ac:dyDescent="0.3">
      <c r="B217" s="2">
        <f>IF(BCP_Dolares[[#This Row],[TIPO DE R.]]="R",COUNTIFS($D$4:$D216,"R")+1,"")</f>
        <v>90</v>
      </c>
      <c r="C217" s="19" t="str">
        <f t="shared" si="28"/>
        <v>B-BCP - Dolares</v>
      </c>
      <c r="D217" s="3" t="s">
        <v>1074</v>
      </c>
      <c r="E217" s="14">
        <v>45807</v>
      </c>
      <c r="F217" s="5" t="s">
        <v>1078</v>
      </c>
      <c r="G217" s="5" t="s">
        <v>1079</v>
      </c>
      <c r="H217" s="6"/>
      <c r="I217" s="6"/>
      <c r="J217" s="6"/>
      <c r="K217" s="6"/>
      <c r="L217" s="7" t="s">
        <v>2868</v>
      </c>
      <c r="M217" s="8"/>
      <c r="N217" s="8" t="str">
        <f t="shared" si="29"/>
        <v>USD</v>
      </c>
      <c r="O217" s="13"/>
      <c r="P217" s="13">
        <v>0.1</v>
      </c>
      <c r="Q217" s="3">
        <f t="shared" si="35"/>
        <v>0</v>
      </c>
      <c r="R217" s="3">
        <f t="shared" si="36"/>
        <v>0.1</v>
      </c>
      <c r="S217" s="3">
        <f t="shared" si="37"/>
        <v>14759.08</v>
      </c>
      <c r="T217" s="24"/>
      <c r="U217" s="24"/>
      <c r="V217" s="80"/>
      <c r="W217" s="3"/>
      <c r="X217" s="3"/>
      <c r="Y217" s="3"/>
      <c r="Z217" s="3"/>
      <c r="AA217" s="3"/>
      <c r="AB217" s="3" t="str">
        <f>IF(BCP_Dolares[[#This Row],[FECHA]]&gt;0,TEXT(BCP_Dolares[[#This Row],[FECHA]],"mmmm"),0)</f>
        <v>Mayo</v>
      </c>
    </row>
    <row r="218" spans="2:28" ht="24" x14ac:dyDescent="0.3">
      <c r="B218" s="2">
        <f>IF(BCP_Dolares[[#This Row],[TIPO DE R.]]="R",COUNTIFS($D$4:$D217,"R")+1,"")</f>
        <v>91</v>
      </c>
      <c r="C218" s="19" t="str">
        <f t="shared" si="28"/>
        <v>B-BCP - Dolares</v>
      </c>
      <c r="D218" s="3" t="s">
        <v>1074</v>
      </c>
      <c r="E218" s="14">
        <v>45807</v>
      </c>
      <c r="F218" s="5" t="s">
        <v>1251</v>
      </c>
      <c r="G218" s="5" t="s">
        <v>1079</v>
      </c>
      <c r="H218" s="6" t="s">
        <v>191</v>
      </c>
      <c r="I218" s="6"/>
      <c r="J218" s="6"/>
      <c r="K218" s="6"/>
      <c r="L218" s="7" t="s">
        <v>4058</v>
      </c>
      <c r="M218" s="8">
        <v>1350245</v>
      </c>
      <c r="N218" s="8" t="str">
        <f t="shared" si="29"/>
        <v>USD</v>
      </c>
      <c r="O218" s="13"/>
      <c r="P218" s="13">
        <v>2500</v>
      </c>
      <c r="Q218" s="3">
        <f t="shared" si="35"/>
        <v>0</v>
      </c>
      <c r="R218" s="3">
        <f t="shared" si="36"/>
        <v>2500</v>
      </c>
      <c r="S218" s="3">
        <f t="shared" si="37"/>
        <v>12259.08</v>
      </c>
      <c r="T218" s="24"/>
      <c r="U218" s="24"/>
      <c r="V218" s="80"/>
      <c r="W218" s="3" t="s">
        <v>191</v>
      </c>
      <c r="X218" s="3"/>
      <c r="Y218" s="3"/>
      <c r="Z218" s="3"/>
      <c r="AA218" s="3"/>
      <c r="AB218" s="3" t="str">
        <f>IF(BCP_Dolares[[#This Row],[FECHA]]&gt;0,TEXT(BCP_Dolares[[#This Row],[FECHA]],"mmmm"),0)</f>
        <v>Mayo</v>
      </c>
    </row>
    <row r="219" spans="2:28" ht="24" x14ac:dyDescent="0.3">
      <c r="B219" s="2">
        <f>IF(BCP_Dolares[[#This Row],[TIPO DE R.]]="R",COUNTIFS($D$4:$D218,"R")+1,"")</f>
        <v>92</v>
      </c>
      <c r="C219" s="19" t="str">
        <f t="shared" si="28"/>
        <v>B-BCP - Dolares</v>
      </c>
      <c r="D219" s="3" t="s">
        <v>1074</v>
      </c>
      <c r="E219" s="14">
        <v>45808</v>
      </c>
      <c r="F219" s="5" t="s">
        <v>1078</v>
      </c>
      <c r="G219" s="5" t="s">
        <v>1079</v>
      </c>
      <c r="H219" s="6" t="s">
        <v>1001</v>
      </c>
      <c r="I219" s="6"/>
      <c r="J219" s="6"/>
      <c r="K219" s="6"/>
      <c r="L219" s="7" t="s">
        <v>1493</v>
      </c>
      <c r="M219" s="8">
        <v>0</v>
      </c>
      <c r="N219" s="8" t="str">
        <f t="shared" si="29"/>
        <v>USD</v>
      </c>
      <c r="O219" s="13"/>
      <c r="P219" s="13">
        <v>13</v>
      </c>
      <c r="Q219" s="3">
        <f t="shared" si="35"/>
        <v>0</v>
      </c>
      <c r="R219" s="3">
        <f t="shared" si="36"/>
        <v>13</v>
      </c>
      <c r="S219" s="3">
        <f t="shared" si="37"/>
        <v>12246.08</v>
      </c>
      <c r="T219" s="24"/>
      <c r="U219" s="24"/>
      <c r="V219" s="80"/>
      <c r="W219" s="3" t="s">
        <v>1078</v>
      </c>
      <c r="X219" s="3"/>
      <c r="Y219" s="3"/>
      <c r="Z219" s="3"/>
      <c r="AA219" s="3"/>
      <c r="AB219" s="3" t="str">
        <f>IF(BCP_Dolares[[#This Row],[FECHA]]&gt;0,TEXT(BCP_Dolares[[#This Row],[FECHA]],"mmmm"),0)</f>
        <v>Mayo</v>
      </c>
    </row>
    <row r="220" spans="2:28" ht="24" x14ac:dyDescent="0.3">
      <c r="B220" s="2">
        <f>IF(BCP_Dolares[[#This Row],[TIPO DE R.]]="R",COUNTIFS($D$4:$D219,"R")+1,"")</f>
        <v>93</v>
      </c>
      <c r="C220" s="19" t="str">
        <f t="shared" si="28"/>
        <v>B-BCP - Dolares</v>
      </c>
      <c r="D220" s="3" t="s">
        <v>1074</v>
      </c>
      <c r="E220" s="14">
        <v>45808</v>
      </c>
      <c r="F220" s="5" t="s">
        <v>1078</v>
      </c>
      <c r="G220" s="5" t="s">
        <v>1079</v>
      </c>
      <c r="H220" s="6" t="s">
        <v>1001</v>
      </c>
      <c r="I220" s="6"/>
      <c r="J220" s="6"/>
      <c r="K220" s="6"/>
      <c r="L220" s="7" t="s">
        <v>1495</v>
      </c>
      <c r="M220" s="8">
        <v>1144274</v>
      </c>
      <c r="N220" s="8" t="str">
        <f t="shared" si="29"/>
        <v>USD</v>
      </c>
      <c r="O220" s="13"/>
      <c r="P220" s="13">
        <v>2</v>
      </c>
      <c r="Q220" s="3">
        <f t="shared" si="35"/>
        <v>0</v>
      </c>
      <c r="R220" s="3">
        <f t="shared" si="36"/>
        <v>2</v>
      </c>
      <c r="S220" s="3">
        <f t="shared" si="37"/>
        <v>12244.08</v>
      </c>
      <c r="T220" s="24"/>
      <c r="U220" s="24"/>
      <c r="V220" s="80"/>
      <c r="W220" s="3" t="s">
        <v>1078</v>
      </c>
      <c r="X220" s="3"/>
      <c r="Y220" s="3"/>
      <c r="Z220" s="3"/>
      <c r="AA220" s="3"/>
      <c r="AB220" s="3" t="str">
        <f>IF(BCP_Dolares[[#This Row],[FECHA]]&gt;0,TEXT(BCP_Dolares[[#This Row],[FECHA]],"mmmm"),0)</f>
        <v>Mayo</v>
      </c>
    </row>
    <row r="221" spans="2:28" ht="36" x14ac:dyDescent="0.3">
      <c r="B221" s="2">
        <f>IF(BCP_Dolares[[#This Row],[TIPO DE R.]]="R",COUNTIFS($D$4:$D220,"R")+1,"")</f>
        <v>94</v>
      </c>
      <c r="C221" s="19" t="str">
        <f t="shared" si="28"/>
        <v>B-BCP - Dolares</v>
      </c>
      <c r="D221" s="3" t="s">
        <v>1074</v>
      </c>
      <c r="E221" s="14">
        <v>45811</v>
      </c>
      <c r="F221" s="5" t="s">
        <v>1082</v>
      </c>
      <c r="G221" s="5" t="s">
        <v>1079</v>
      </c>
      <c r="H221" s="6" t="s">
        <v>644</v>
      </c>
      <c r="I221" s="6" t="s">
        <v>14</v>
      </c>
      <c r="J221" s="6" t="s">
        <v>1204</v>
      </c>
      <c r="K221" s="6">
        <v>456467</v>
      </c>
      <c r="L221" s="7" t="s">
        <v>4072</v>
      </c>
      <c r="M221" s="8">
        <v>217211</v>
      </c>
      <c r="N221" s="8" t="str">
        <f t="shared" si="29"/>
        <v>USD</v>
      </c>
      <c r="O221" s="13"/>
      <c r="P221" s="13">
        <v>102.22</v>
      </c>
      <c r="Q221" s="3">
        <f t="shared" si="35"/>
        <v>0</v>
      </c>
      <c r="R221" s="3">
        <f t="shared" si="36"/>
        <v>102.22</v>
      </c>
      <c r="S221" s="3">
        <f t="shared" si="37"/>
        <v>12141.86</v>
      </c>
      <c r="T221" s="24" t="s">
        <v>1081</v>
      </c>
      <c r="U221" s="24" t="s">
        <v>1081</v>
      </c>
      <c r="V221" s="80"/>
      <c r="W221" s="3" t="s">
        <v>4005</v>
      </c>
      <c r="X221" s="3"/>
      <c r="Y221" s="3"/>
      <c r="Z221" s="3"/>
      <c r="AA221" s="3"/>
      <c r="AB221" s="3" t="str">
        <f>IF(BCP_Dolares[[#This Row],[FECHA]]&gt;0,TEXT(BCP_Dolares[[#This Row],[FECHA]],"mmmm"),0)</f>
        <v>Junio</v>
      </c>
    </row>
    <row r="222" spans="2:28" x14ac:dyDescent="0.3">
      <c r="B222" s="2">
        <f>IF(BCP_Dolares[[#This Row],[TIPO DE R.]]="R",COUNTIFS($D$4:$D221,"R")+1,"")</f>
        <v>95</v>
      </c>
      <c r="C222" s="19" t="str">
        <f t="shared" si="28"/>
        <v>B-BCP - Dolares</v>
      </c>
      <c r="D222" s="3" t="s">
        <v>1074</v>
      </c>
      <c r="E222" s="14">
        <v>45819</v>
      </c>
      <c r="F222" s="5" t="s">
        <v>1075</v>
      </c>
      <c r="G222" s="5" t="s">
        <v>1079</v>
      </c>
      <c r="H222" s="6"/>
      <c r="I222" s="6"/>
      <c r="J222" s="6"/>
      <c r="K222" s="6"/>
      <c r="L222" s="7" t="s">
        <v>4087</v>
      </c>
      <c r="M222" s="8">
        <v>6309370</v>
      </c>
      <c r="N222" s="8" t="str">
        <f t="shared" si="29"/>
        <v>USD</v>
      </c>
      <c r="O222" s="13"/>
      <c r="P222" s="13">
        <v>423.57</v>
      </c>
      <c r="Q222" s="3">
        <f t="shared" si="35"/>
        <v>0</v>
      </c>
      <c r="R222" s="3">
        <f t="shared" si="36"/>
        <v>423.57</v>
      </c>
      <c r="S222" s="3">
        <f t="shared" si="37"/>
        <v>11718.29</v>
      </c>
      <c r="T222" s="24" t="s">
        <v>1081</v>
      </c>
      <c r="U222" s="24" t="s">
        <v>1081</v>
      </c>
      <c r="V222" s="80"/>
      <c r="W222" s="3" t="s">
        <v>4084</v>
      </c>
      <c r="X222" s="3"/>
      <c r="Y222" s="3"/>
      <c r="Z222" s="3"/>
      <c r="AA222" s="3"/>
      <c r="AB222" s="3" t="str">
        <f>IF(BCP_Dolares[[#This Row],[FECHA]]&gt;0,TEXT(BCP_Dolares[[#This Row],[FECHA]],"mmmm"),0)</f>
        <v>Junio</v>
      </c>
    </row>
    <row r="223" spans="2:28" ht="24" x14ac:dyDescent="0.3">
      <c r="B223" s="2" t="str">
        <f>IF(BCP_Dolares[[#This Row],[TIPO DE R.]]="R",COUNTIFS($D$4:$D222,"R")+1,"")</f>
        <v/>
      </c>
      <c r="C223" s="19" t="str">
        <f t="shared" ref="C223:C228" si="43">"B-BCP - Dolares"</f>
        <v>B-BCP - Dolares</v>
      </c>
      <c r="D223" s="3" t="s">
        <v>1101</v>
      </c>
      <c r="E223" s="14">
        <v>45819</v>
      </c>
      <c r="F223" s="5" t="s">
        <v>1075</v>
      </c>
      <c r="G223" s="5"/>
      <c r="H223" s="6" t="s">
        <v>147</v>
      </c>
      <c r="I223" s="6" t="s">
        <v>14</v>
      </c>
      <c r="J223" s="6" t="s">
        <v>1148</v>
      </c>
      <c r="K223" s="6">
        <v>16036</v>
      </c>
      <c r="L223" s="7" t="s">
        <v>4087</v>
      </c>
      <c r="M223" s="8">
        <v>6309370</v>
      </c>
      <c r="N223" s="8" t="str">
        <f t="shared" ref="N223:N228" si="44">"USD"</f>
        <v>USD</v>
      </c>
      <c r="O223" s="13">
        <v>35.49</v>
      </c>
      <c r="P223" s="13"/>
      <c r="Q223" s="3">
        <f t="shared" si="35"/>
        <v>0</v>
      </c>
      <c r="R223" s="3">
        <f t="shared" si="36"/>
        <v>0</v>
      </c>
      <c r="S223" s="3">
        <f t="shared" si="37"/>
        <v>11718.29</v>
      </c>
      <c r="T223" s="24"/>
      <c r="U223" s="24" t="s">
        <v>1081</v>
      </c>
      <c r="V223" s="80"/>
      <c r="W223" s="3"/>
      <c r="X223" s="3"/>
      <c r="Y223" s="3"/>
      <c r="Z223" s="3"/>
      <c r="AA223" s="3"/>
      <c r="AB223" s="3" t="str">
        <f>IF(BCP_Dolares[[#This Row],[FECHA]]&gt;0,TEXT(BCP_Dolares[[#This Row],[FECHA]],"mmmm"),0)</f>
        <v>Junio</v>
      </c>
    </row>
    <row r="224" spans="2:28" ht="24" x14ac:dyDescent="0.3">
      <c r="B224" s="2" t="str">
        <f>IF(BCP_Dolares[[#This Row],[TIPO DE R.]]="R",COUNTIFS($D$4:$D223,"R")+1,"")</f>
        <v/>
      </c>
      <c r="C224" s="19" t="str">
        <f t="shared" si="43"/>
        <v>B-BCP - Dolares</v>
      </c>
      <c r="D224" s="3" t="s">
        <v>1101</v>
      </c>
      <c r="E224" s="14">
        <v>45819</v>
      </c>
      <c r="F224" s="5" t="s">
        <v>1075</v>
      </c>
      <c r="G224" s="5"/>
      <c r="H224" s="6" t="s">
        <v>147</v>
      </c>
      <c r="I224" s="6" t="s">
        <v>14</v>
      </c>
      <c r="J224" s="6" t="s">
        <v>1148</v>
      </c>
      <c r="K224" s="6">
        <v>16062</v>
      </c>
      <c r="L224" s="7" t="s">
        <v>4087</v>
      </c>
      <c r="M224" s="8">
        <v>6309370</v>
      </c>
      <c r="N224" s="8" t="str">
        <f t="shared" si="44"/>
        <v>USD</v>
      </c>
      <c r="O224" s="13">
        <v>79.959999999999994</v>
      </c>
      <c r="P224" s="13"/>
      <c r="Q224" s="3">
        <f t="shared" si="35"/>
        <v>0</v>
      </c>
      <c r="R224" s="3">
        <f t="shared" si="36"/>
        <v>0</v>
      </c>
      <c r="S224" s="3">
        <f t="shared" si="37"/>
        <v>11718.29</v>
      </c>
      <c r="T224" s="24"/>
      <c r="U224" s="24" t="s">
        <v>1081</v>
      </c>
      <c r="V224" s="80"/>
      <c r="W224" s="3"/>
      <c r="X224" s="3"/>
      <c r="Y224" s="3"/>
      <c r="Z224" s="3"/>
      <c r="AA224" s="3"/>
      <c r="AB224" s="3" t="str">
        <f>IF(BCP_Dolares[[#This Row],[FECHA]]&gt;0,TEXT(BCP_Dolares[[#This Row],[FECHA]],"mmmm"),0)</f>
        <v>Junio</v>
      </c>
    </row>
    <row r="225" spans="2:28" ht="24" x14ac:dyDescent="0.3">
      <c r="B225" s="2" t="str">
        <f>IF(BCP_Dolares[[#This Row],[TIPO DE R.]]="R",COUNTIFS($D$4:$D224,"R")+1,"")</f>
        <v/>
      </c>
      <c r="C225" s="19" t="str">
        <f t="shared" si="43"/>
        <v>B-BCP - Dolares</v>
      </c>
      <c r="D225" s="3" t="s">
        <v>1101</v>
      </c>
      <c r="E225" s="14">
        <v>45819</v>
      </c>
      <c r="F225" s="5" t="s">
        <v>1075</v>
      </c>
      <c r="G225" s="5"/>
      <c r="H225" s="6" t="s">
        <v>147</v>
      </c>
      <c r="I225" s="6" t="s">
        <v>14</v>
      </c>
      <c r="J225" s="6" t="s">
        <v>1148</v>
      </c>
      <c r="K225" s="6">
        <v>16063</v>
      </c>
      <c r="L225" s="7" t="s">
        <v>4087</v>
      </c>
      <c r="M225" s="8">
        <v>6309370</v>
      </c>
      <c r="N225" s="8" t="str">
        <f t="shared" si="44"/>
        <v>USD</v>
      </c>
      <c r="O225" s="13">
        <v>60.86</v>
      </c>
      <c r="P225" s="13"/>
      <c r="Q225" s="3">
        <f t="shared" si="35"/>
        <v>0</v>
      </c>
      <c r="R225" s="3">
        <f t="shared" si="36"/>
        <v>0</v>
      </c>
      <c r="S225" s="3">
        <f t="shared" si="37"/>
        <v>11718.29</v>
      </c>
      <c r="T225" s="24"/>
      <c r="U225" s="24" t="s">
        <v>1081</v>
      </c>
      <c r="V225" s="80"/>
      <c r="W225" s="3"/>
      <c r="X225" s="3"/>
      <c r="Y225" s="3"/>
      <c r="Z225" s="3"/>
      <c r="AA225" s="3"/>
      <c r="AB225" s="3" t="str">
        <f>IF(BCP_Dolares[[#This Row],[FECHA]]&gt;0,TEXT(BCP_Dolares[[#This Row],[FECHA]],"mmmm"),0)</f>
        <v>Junio</v>
      </c>
    </row>
    <row r="226" spans="2:28" ht="24" x14ac:dyDescent="0.3">
      <c r="B226" s="2" t="str">
        <f>IF(BCP_Dolares[[#This Row],[TIPO DE R.]]="R",COUNTIFS($D$4:$D225,"R")+1,"")</f>
        <v/>
      </c>
      <c r="C226" s="19" t="str">
        <f t="shared" si="43"/>
        <v>B-BCP - Dolares</v>
      </c>
      <c r="D226" s="3" t="s">
        <v>1101</v>
      </c>
      <c r="E226" s="14">
        <v>45819</v>
      </c>
      <c r="F226" s="5" t="s">
        <v>1075</v>
      </c>
      <c r="G226" s="5"/>
      <c r="H226" s="6" t="s">
        <v>147</v>
      </c>
      <c r="I226" s="6" t="s">
        <v>14</v>
      </c>
      <c r="J226" s="6" t="s">
        <v>1148</v>
      </c>
      <c r="K226" s="6">
        <v>16077</v>
      </c>
      <c r="L226" s="7" t="s">
        <v>4087</v>
      </c>
      <c r="M226" s="8">
        <v>6309370</v>
      </c>
      <c r="N226" s="8" t="str">
        <f t="shared" si="44"/>
        <v>USD</v>
      </c>
      <c r="O226" s="13">
        <v>69.08</v>
      </c>
      <c r="P226" s="13"/>
      <c r="Q226" s="3">
        <f t="shared" si="35"/>
        <v>0</v>
      </c>
      <c r="R226" s="3">
        <f t="shared" si="36"/>
        <v>0</v>
      </c>
      <c r="S226" s="3">
        <f t="shared" si="37"/>
        <v>11718.29</v>
      </c>
      <c r="T226" s="24"/>
      <c r="U226" s="24" t="s">
        <v>1081</v>
      </c>
      <c r="V226" s="80"/>
      <c r="W226" s="3"/>
      <c r="X226" s="3"/>
      <c r="Y226" s="3"/>
      <c r="Z226" s="3"/>
      <c r="AA226" s="3"/>
      <c r="AB226" s="3" t="str">
        <f>IF(BCP_Dolares[[#This Row],[FECHA]]&gt;0,TEXT(BCP_Dolares[[#This Row],[FECHA]],"mmmm"),0)</f>
        <v>Junio</v>
      </c>
    </row>
    <row r="227" spans="2:28" ht="24" x14ac:dyDescent="0.3">
      <c r="B227" s="2" t="str">
        <f>IF(BCP_Dolares[[#This Row],[TIPO DE R.]]="R",COUNTIFS($D$4:$D226,"R")+1,"")</f>
        <v/>
      </c>
      <c r="C227" s="19" t="str">
        <f t="shared" si="43"/>
        <v>B-BCP - Dolares</v>
      </c>
      <c r="D227" s="3" t="s">
        <v>1101</v>
      </c>
      <c r="E227" s="14">
        <v>45819</v>
      </c>
      <c r="F227" s="5" t="s">
        <v>1075</v>
      </c>
      <c r="G227" s="5"/>
      <c r="H227" s="6" t="s">
        <v>147</v>
      </c>
      <c r="I227" s="6" t="s">
        <v>14</v>
      </c>
      <c r="J227" s="6" t="s">
        <v>1148</v>
      </c>
      <c r="K227" s="6">
        <v>16053</v>
      </c>
      <c r="L227" s="7" t="s">
        <v>4087</v>
      </c>
      <c r="M227" s="8">
        <v>6309370</v>
      </c>
      <c r="N227" s="8" t="str">
        <f t="shared" si="44"/>
        <v>USD</v>
      </c>
      <c r="O227" s="13">
        <v>106.04</v>
      </c>
      <c r="P227" s="13"/>
      <c r="Q227" s="3">
        <f t="shared" si="35"/>
        <v>0</v>
      </c>
      <c r="R227" s="3">
        <f t="shared" si="36"/>
        <v>0</v>
      </c>
      <c r="S227" s="3">
        <f t="shared" si="37"/>
        <v>11718.29</v>
      </c>
      <c r="T227" s="24"/>
      <c r="U227" s="24" t="s">
        <v>1081</v>
      </c>
      <c r="V227" s="80"/>
      <c r="W227" s="3"/>
      <c r="X227" s="3"/>
      <c r="Y227" s="3"/>
      <c r="Z227" s="3"/>
      <c r="AA227" s="3"/>
      <c r="AB227" s="3" t="str">
        <f>IF(BCP_Dolares[[#This Row],[FECHA]]&gt;0,TEXT(BCP_Dolares[[#This Row],[FECHA]],"mmmm"),0)</f>
        <v>Junio</v>
      </c>
    </row>
    <row r="228" spans="2:28" ht="24" x14ac:dyDescent="0.3">
      <c r="B228" s="2" t="str">
        <f>IF(BCP_Dolares[[#This Row],[TIPO DE R.]]="R",COUNTIFS($D$4:$D227,"R")+1,"")</f>
        <v/>
      </c>
      <c r="C228" s="19" t="str">
        <f t="shared" si="43"/>
        <v>B-BCP - Dolares</v>
      </c>
      <c r="D228" s="3" t="s">
        <v>1101</v>
      </c>
      <c r="E228" s="14">
        <v>45819</v>
      </c>
      <c r="F228" s="5" t="s">
        <v>1075</v>
      </c>
      <c r="G228" s="5"/>
      <c r="H228" s="6" t="s">
        <v>147</v>
      </c>
      <c r="I228" s="6" t="s">
        <v>14</v>
      </c>
      <c r="J228" s="6" t="s">
        <v>1148</v>
      </c>
      <c r="K228" s="6">
        <v>16043</v>
      </c>
      <c r="L228" s="7" t="s">
        <v>4087</v>
      </c>
      <c r="M228" s="8">
        <v>6309370</v>
      </c>
      <c r="N228" s="8" t="str">
        <f t="shared" si="44"/>
        <v>USD</v>
      </c>
      <c r="O228" s="13">
        <v>72.14</v>
      </c>
      <c r="P228" s="13"/>
      <c r="Q228" s="3">
        <f t="shared" si="35"/>
        <v>0</v>
      </c>
      <c r="R228" s="3">
        <f t="shared" si="36"/>
        <v>0</v>
      </c>
      <c r="S228" s="3">
        <f t="shared" si="37"/>
        <v>11718.29</v>
      </c>
      <c r="T228" s="24"/>
      <c r="U228" s="24" t="s">
        <v>1081</v>
      </c>
      <c r="V228" s="80"/>
      <c r="W228" s="3"/>
      <c r="X228" s="3"/>
      <c r="Y228" s="3"/>
      <c r="Z228" s="3"/>
      <c r="AA228" s="3"/>
      <c r="AB228" s="3" t="str">
        <f>IF(BCP_Dolares[[#This Row],[FECHA]]&gt;0,TEXT(BCP_Dolares[[#This Row],[FECHA]],"mmmm"),0)</f>
        <v>Junio</v>
      </c>
    </row>
    <row r="229" spans="2:28" x14ac:dyDescent="0.3">
      <c r="B229" s="2">
        <f>IF(BCP_Dolares[[#This Row],[TIPO DE R.]]="R",COUNTIFS($D$4:$D228,"R")+1,"")</f>
        <v>96</v>
      </c>
      <c r="C229" s="19" t="str">
        <f t="shared" si="28"/>
        <v>B-BCP - Dolares</v>
      </c>
      <c r="D229" s="3" t="s">
        <v>1074</v>
      </c>
      <c r="E229" s="14">
        <v>45819</v>
      </c>
      <c r="F229" s="5" t="s">
        <v>1075</v>
      </c>
      <c r="G229" s="5" t="s">
        <v>1079</v>
      </c>
      <c r="H229" s="6" t="s">
        <v>147</v>
      </c>
      <c r="I229" s="6" t="s">
        <v>14</v>
      </c>
      <c r="J229" s="6" t="s">
        <v>1148</v>
      </c>
      <c r="K229" s="6">
        <v>15814</v>
      </c>
      <c r="L229" s="7" t="s">
        <v>4088</v>
      </c>
      <c r="M229" s="8">
        <v>6309386</v>
      </c>
      <c r="N229" s="8" t="str">
        <f t="shared" si="29"/>
        <v>USD</v>
      </c>
      <c r="O229" s="13"/>
      <c r="P229" s="13">
        <v>665.63</v>
      </c>
      <c r="Q229" s="3">
        <f t="shared" si="35"/>
        <v>0</v>
      </c>
      <c r="R229" s="3">
        <f t="shared" si="36"/>
        <v>665.63</v>
      </c>
      <c r="S229" s="3">
        <f t="shared" si="37"/>
        <v>11052.660000000002</v>
      </c>
      <c r="T229" s="24" t="s">
        <v>1081</v>
      </c>
      <c r="U229" s="24" t="s">
        <v>1081</v>
      </c>
      <c r="V229" s="80"/>
      <c r="W229" s="3" t="s">
        <v>4084</v>
      </c>
      <c r="X229" s="3"/>
      <c r="Y229" s="3"/>
      <c r="Z229" s="3"/>
      <c r="AA229" s="3"/>
      <c r="AB229" s="3" t="str">
        <f>IF(BCP_Dolares[[#This Row],[FECHA]]&gt;0,TEXT(BCP_Dolares[[#This Row],[FECHA]],"mmmm"),0)</f>
        <v>Junio</v>
      </c>
    </row>
    <row r="230" spans="2:28" ht="24" x14ac:dyDescent="0.3">
      <c r="B230" s="2">
        <f>IF(BCP_Dolares[[#This Row],[TIPO DE R.]]="R",COUNTIFS($D$4:$D229,"R")+1,"")</f>
        <v>97</v>
      </c>
      <c r="C230" s="19" t="str">
        <f t="shared" ref="C230:C256" si="45">"B-BCP - Dolares"</f>
        <v>B-BCP - Dolares</v>
      </c>
      <c r="D230" s="3" t="s">
        <v>1074</v>
      </c>
      <c r="E230" s="14">
        <v>45827</v>
      </c>
      <c r="F230" s="5" t="s">
        <v>1075</v>
      </c>
      <c r="G230" s="5" t="s">
        <v>1079</v>
      </c>
      <c r="H230" s="6" t="s">
        <v>719</v>
      </c>
      <c r="I230" s="6"/>
      <c r="J230" s="6"/>
      <c r="K230" s="6"/>
      <c r="L230" s="7" t="s">
        <v>2790</v>
      </c>
      <c r="M230" s="8">
        <v>107813</v>
      </c>
      <c r="N230" s="8" t="str">
        <f t="shared" ref="N230:N256" si="46">"USD"</f>
        <v>USD</v>
      </c>
      <c r="O230" s="13"/>
      <c r="P230" s="13">
        <v>1012.11</v>
      </c>
      <c r="Q230" s="3">
        <f t="shared" si="35"/>
        <v>0</v>
      </c>
      <c r="R230" s="3">
        <f t="shared" si="36"/>
        <v>1012.11</v>
      </c>
      <c r="S230" s="3">
        <f t="shared" si="37"/>
        <v>10040.550000000001</v>
      </c>
      <c r="T230" s="24" t="s">
        <v>1081</v>
      </c>
      <c r="U230" s="24"/>
      <c r="V230" s="80"/>
      <c r="W230" s="3" t="s">
        <v>3997</v>
      </c>
      <c r="X230" s="3"/>
      <c r="Y230" s="3"/>
      <c r="Z230" s="3"/>
      <c r="AA230" s="3"/>
      <c r="AB230" s="3" t="str">
        <f>IF(BCP_Dolares[[#This Row],[FECHA]]&gt;0,TEXT(BCP_Dolares[[#This Row],[FECHA]],"mmmm"),0)</f>
        <v>Junio</v>
      </c>
    </row>
    <row r="231" spans="2:28" ht="24" x14ac:dyDescent="0.3">
      <c r="B231" s="2" t="str">
        <f>IF(BCP_Dolares[[#This Row],[TIPO DE R.]]="R",COUNTIFS($D$4:$D230,"R")+1,"")</f>
        <v/>
      </c>
      <c r="C231" s="19" t="str">
        <f>"B-BCP - Dolares"</f>
        <v>B-BCP - Dolares</v>
      </c>
      <c r="D231" s="3" t="s">
        <v>1101</v>
      </c>
      <c r="E231" s="14">
        <v>45827</v>
      </c>
      <c r="F231" s="5" t="s">
        <v>1075</v>
      </c>
      <c r="G231" s="5"/>
      <c r="H231" s="6" t="s">
        <v>719</v>
      </c>
      <c r="I231" s="6" t="s">
        <v>14</v>
      </c>
      <c r="J231" s="6" t="s">
        <v>2789</v>
      </c>
      <c r="K231" s="6">
        <v>163340</v>
      </c>
      <c r="L231" s="7" t="s">
        <v>2790</v>
      </c>
      <c r="M231" s="8">
        <v>107813</v>
      </c>
      <c r="N231" s="8" t="str">
        <f>"USD"</f>
        <v>USD</v>
      </c>
      <c r="O231" s="13">
        <v>1010.25</v>
      </c>
      <c r="P231" s="13"/>
      <c r="Q231" s="3">
        <f t="shared" si="35"/>
        <v>0</v>
      </c>
      <c r="R231" s="3">
        <f t="shared" si="36"/>
        <v>0</v>
      </c>
      <c r="S231" s="3">
        <f t="shared" si="37"/>
        <v>10040.550000000001</v>
      </c>
      <c r="T231" s="24" t="s">
        <v>1081</v>
      </c>
      <c r="U231" s="24"/>
      <c r="V231" s="80"/>
      <c r="W231" s="3"/>
      <c r="X231" s="3"/>
      <c r="Y231" s="3"/>
      <c r="Z231" s="3"/>
      <c r="AA231" s="3"/>
      <c r="AB231" s="3" t="str">
        <f>IF(BCP_Dolares[[#This Row],[FECHA]]&gt;0,TEXT(BCP_Dolares[[#This Row],[FECHA]],"mmmm"),0)</f>
        <v>Junio</v>
      </c>
    </row>
    <row r="232" spans="2:28" ht="24" x14ac:dyDescent="0.3">
      <c r="B232" s="2" t="str">
        <f>IF(BCP_Dolares[[#This Row],[TIPO DE R.]]="R",COUNTIFS($D$4:$D231,"R")+1,"")</f>
        <v/>
      </c>
      <c r="C232" s="19" t="str">
        <f>"B-BCP - Dolares"</f>
        <v>B-BCP - Dolares</v>
      </c>
      <c r="D232" s="3" t="s">
        <v>1101</v>
      </c>
      <c r="E232" s="14">
        <v>45827</v>
      </c>
      <c r="F232" s="5" t="s">
        <v>1075</v>
      </c>
      <c r="G232" s="5"/>
      <c r="H232" s="6" t="s">
        <v>719</v>
      </c>
      <c r="I232" s="6" t="s">
        <v>14</v>
      </c>
      <c r="J232" s="6" t="s">
        <v>2789</v>
      </c>
      <c r="K232" s="6">
        <v>163341</v>
      </c>
      <c r="L232" s="7" t="s">
        <v>2790</v>
      </c>
      <c r="M232" s="8">
        <v>107813</v>
      </c>
      <c r="N232" s="8" t="str">
        <f>"USD"</f>
        <v>USD</v>
      </c>
      <c r="O232" s="13">
        <v>1.86</v>
      </c>
      <c r="P232" s="13"/>
      <c r="Q232" s="3">
        <f t="shared" si="35"/>
        <v>0</v>
      </c>
      <c r="R232" s="3">
        <f t="shared" si="36"/>
        <v>0</v>
      </c>
      <c r="S232" s="3">
        <f t="shared" si="37"/>
        <v>10040.550000000001</v>
      </c>
      <c r="T232" s="24" t="s">
        <v>1081</v>
      </c>
      <c r="U232" s="24"/>
      <c r="V232" s="80"/>
      <c r="W232" s="3"/>
      <c r="X232" s="3"/>
      <c r="Y232" s="3"/>
      <c r="Z232" s="3"/>
      <c r="AA232" s="3"/>
      <c r="AB232" s="3" t="str">
        <f>IF(BCP_Dolares[[#This Row],[FECHA]]&gt;0,TEXT(BCP_Dolares[[#This Row],[FECHA]],"mmmm"),0)</f>
        <v>Junio</v>
      </c>
    </row>
    <row r="233" spans="2:28" ht="36" x14ac:dyDescent="0.3">
      <c r="B233" s="2">
        <f>IF(BCP_Dolares[[#This Row],[TIPO DE R.]]="R",COUNTIFS($D$4:$D232,"R")+1,"")</f>
        <v>98</v>
      </c>
      <c r="C233" s="19" t="str">
        <f t="shared" si="45"/>
        <v>B-BCP - Dolares</v>
      </c>
      <c r="D233" s="3" t="s">
        <v>1074</v>
      </c>
      <c r="E233" s="14">
        <v>45827</v>
      </c>
      <c r="F233" s="5" t="s">
        <v>1075</v>
      </c>
      <c r="G233" s="5" t="s">
        <v>1079</v>
      </c>
      <c r="H233" s="6"/>
      <c r="I233" s="6"/>
      <c r="J233" s="6"/>
      <c r="K233" s="6"/>
      <c r="L233" s="7" t="s">
        <v>4089</v>
      </c>
      <c r="M233" s="8">
        <v>9414973</v>
      </c>
      <c r="N233" s="8" t="str">
        <f t="shared" si="46"/>
        <v>USD</v>
      </c>
      <c r="O233" s="13"/>
      <c r="P233" s="13">
        <v>284.77999999999997</v>
      </c>
      <c r="Q233" s="3">
        <f t="shared" si="35"/>
        <v>0</v>
      </c>
      <c r="R233" s="3">
        <f t="shared" si="36"/>
        <v>284.77999999999997</v>
      </c>
      <c r="S233" s="3">
        <f t="shared" si="37"/>
        <v>9755.77</v>
      </c>
      <c r="T233" s="24" t="s">
        <v>1081</v>
      </c>
      <c r="U233" s="24" t="s">
        <v>1081</v>
      </c>
      <c r="V233" s="80"/>
      <c r="W233" s="3" t="s">
        <v>4084</v>
      </c>
      <c r="X233" s="3" t="s">
        <v>4090</v>
      </c>
      <c r="Y233" s="3"/>
      <c r="Z233" s="3"/>
      <c r="AA233" s="3"/>
      <c r="AB233" s="3" t="str">
        <f>IF(BCP_Dolares[[#This Row],[FECHA]]&gt;0,TEXT(BCP_Dolares[[#This Row],[FECHA]],"mmmm"),0)</f>
        <v>Junio</v>
      </c>
    </row>
    <row r="234" spans="2:28" ht="24" x14ac:dyDescent="0.3">
      <c r="B234" s="2" t="str">
        <f>IF(BCP_Dolares[[#This Row],[TIPO DE R.]]="R",COUNTIFS($D$4:$D233,"R")+1,"")</f>
        <v/>
      </c>
      <c r="C234" s="19" t="str">
        <f>"B-BCP - Dolares"</f>
        <v>B-BCP - Dolares</v>
      </c>
      <c r="D234" s="3" t="s">
        <v>1101</v>
      </c>
      <c r="E234" s="14">
        <v>45827</v>
      </c>
      <c r="F234" s="5" t="s">
        <v>1075</v>
      </c>
      <c r="G234" s="5"/>
      <c r="H234" s="6" t="s">
        <v>147</v>
      </c>
      <c r="I234" s="6" t="s">
        <v>14</v>
      </c>
      <c r="J234" s="6" t="s">
        <v>1148</v>
      </c>
      <c r="K234" s="6">
        <v>16109</v>
      </c>
      <c r="L234" s="7" t="s">
        <v>4089</v>
      </c>
      <c r="M234" s="8">
        <v>9414973</v>
      </c>
      <c r="N234" s="8" t="str">
        <f>"USD"</f>
        <v>USD</v>
      </c>
      <c r="O234" s="13">
        <v>114.94</v>
      </c>
      <c r="P234" s="13"/>
      <c r="Q234" s="3">
        <f t="shared" si="35"/>
        <v>0</v>
      </c>
      <c r="R234" s="3">
        <f t="shared" si="36"/>
        <v>0</v>
      </c>
      <c r="S234" s="3">
        <f t="shared" si="37"/>
        <v>9755.77</v>
      </c>
      <c r="T234" s="24"/>
      <c r="U234" s="24" t="s">
        <v>1081</v>
      </c>
      <c r="V234" s="80"/>
      <c r="W234" s="3"/>
      <c r="X234" s="3"/>
      <c r="Y234" s="3"/>
      <c r="Z234" s="3"/>
      <c r="AA234" s="3"/>
      <c r="AB234" s="3" t="str">
        <f>IF(BCP_Dolares[[#This Row],[FECHA]]&gt;0,TEXT(BCP_Dolares[[#This Row],[FECHA]],"mmmm"),0)</f>
        <v>Junio</v>
      </c>
    </row>
    <row r="235" spans="2:28" ht="24" x14ac:dyDescent="0.3">
      <c r="B235" s="2" t="str">
        <f>IF(BCP_Dolares[[#This Row],[TIPO DE R.]]="R",COUNTIFS($D$4:$D234,"R")+1,"")</f>
        <v/>
      </c>
      <c r="C235" s="19" t="str">
        <f>"B-BCP - Dolares"</f>
        <v>B-BCP - Dolares</v>
      </c>
      <c r="D235" s="3" t="s">
        <v>1101</v>
      </c>
      <c r="E235" s="14">
        <v>45827</v>
      </c>
      <c r="F235" s="5" t="s">
        <v>1075</v>
      </c>
      <c r="G235" s="5"/>
      <c r="H235" s="6" t="s">
        <v>147</v>
      </c>
      <c r="I235" s="6" t="s">
        <v>14</v>
      </c>
      <c r="J235" s="6" t="s">
        <v>1148</v>
      </c>
      <c r="K235" s="6">
        <v>16104</v>
      </c>
      <c r="L235" s="7" t="s">
        <v>4089</v>
      </c>
      <c r="M235" s="8">
        <v>9414973</v>
      </c>
      <c r="N235" s="8" t="str">
        <f>"USD"</f>
        <v>USD</v>
      </c>
      <c r="O235" s="13">
        <v>71.09</v>
      </c>
      <c r="P235" s="13"/>
      <c r="Q235" s="3">
        <f t="shared" si="35"/>
        <v>0</v>
      </c>
      <c r="R235" s="3">
        <f t="shared" si="36"/>
        <v>0</v>
      </c>
      <c r="S235" s="3">
        <f t="shared" si="37"/>
        <v>9755.77</v>
      </c>
      <c r="T235" s="24"/>
      <c r="U235" s="24" t="s">
        <v>1081</v>
      </c>
      <c r="V235" s="80"/>
      <c r="W235" s="3"/>
      <c r="X235" s="3"/>
      <c r="Y235" s="3"/>
      <c r="Z235" s="3"/>
      <c r="AA235" s="3"/>
      <c r="AB235" s="3" t="str">
        <f>IF(BCP_Dolares[[#This Row],[FECHA]]&gt;0,TEXT(BCP_Dolares[[#This Row],[FECHA]],"mmmm"),0)</f>
        <v>Junio</v>
      </c>
    </row>
    <row r="236" spans="2:28" ht="24" x14ac:dyDescent="0.3">
      <c r="B236" s="2" t="str">
        <f>IF(BCP_Dolares[[#This Row],[TIPO DE R.]]="R",COUNTIFS($D$4:$D235,"R")+1,"")</f>
        <v/>
      </c>
      <c r="C236" s="19" t="str">
        <f>"B-BCP - Dolares"</f>
        <v>B-BCP - Dolares</v>
      </c>
      <c r="D236" s="3" t="s">
        <v>1101</v>
      </c>
      <c r="E236" s="14">
        <v>45827</v>
      </c>
      <c r="F236" s="5" t="s">
        <v>1075</v>
      </c>
      <c r="G236" s="5"/>
      <c r="H236" s="6" t="s">
        <v>147</v>
      </c>
      <c r="I236" s="6" t="s">
        <v>14</v>
      </c>
      <c r="J236" s="6" t="s">
        <v>1148</v>
      </c>
      <c r="K236" s="6">
        <v>16224</v>
      </c>
      <c r="L236" s="7" t="s">
        <v>4089</v>
      </c>
      <c r="M236" s="8">
        <v>9414973</v>
      </c>
      <c r="N236" s="8" t="str">
        <f>"USD"</f>
        <v>USD</v>
      </c>
      <c r="O236" s="13">
        <v>98.75</v>
      </c>
      <c r="P236" s="13"/>
      <c r="Q236" s="3">
        <f t="shared" si="35"/>
        <v>0</v>
      </c>
      <c r="R236" s="3">
        <f t="shared" si="36"/>
        <v>0</v>
      </c>
      <c r="S236" s="3">
        <f t="shared" si="37"/>
        <v>9755.77</v>
      </c>
      <c r="T236" s="24"/>
      <c r="U236" s="24" t="s">
        <v>1081</v>
      </c>
      <c r="V236" s="80"/>
      <c r="W236" s="3"/>
      <c r="X236" s="3"/>
      <c r="Y236" s="3"/>
      <c r="Z236" s="3"/>
      <c r="AA236" s="3"/>
      <c r="AB236" s="3" t="str">
        <f>IF(BCP_Dolares[[#This Row],[FECHA]]&gt;0,TEXT(BCP_Dolares[[#This Row],[FECHA]],"mmmm"),0)</f>
        <v>Junio</v>
      </c>
    </row>
    <row r="237" spans="2:28" x14ac:dyDescent="0.3">
      <c r="B237" s="2">
        <f>IF(BCP_Dolares[[#This Row],[TIPO DE R.]]="R",COUNTIFS($D$4:$D236,"R")+1,"")</f>
        <v>99</v>
      </c>
      <c r="C237" s="19" t="str">
        <f t="shared" si="45"/>
        <v>B-BCP - Dolares</v>
      </c>
      <c r="D237" s="3" t="s">
        <v>1074</v>
      </c>
      <c r="E237" s="14">
        <v>45827</v>
      </c>
      <c r="F237" s="5" t="s">
        <v>368</v>
      </c>
      <c r="G237" s="5" t="s">
        <v>1087</v>
      </c>
      <c r="H237" s="6"/>
      <c r="I237" s="6"/>
      <c r="J237" s="6"/>
      <c r="K237" s="6"/>
      <c r="L237" s="7" t="s">
        <v>3214</v>
      </c>
      <c r="M237" s="8">
        <v>2226237</v>
      </c>
      <c r="N237" s="8" t="str">
        <f t="shared" si="46"/>
        <v>USD</v>
      </c>
      <c r="O237" s="13"/>
      <c r="P237" s="13">
        <v>25000</v>
      </c>
      <c r="Q237" s="3">
        <f t="shared" si="35"/>
        <v>25000</v>
      </c>
      <c r="R237" s="3">
        <f t="shared" si="36"/>
        <v>0</v>
      </c>
      <c r="S237" s="3">
        <f t="shared" si="37"/>
        <v>34755.770000000004</v>
      </c>
      <c r="T237" s="24"/>
      <c r="U237" s="24"/>
      <c r="V237" s="80"/>
      <c r="W237" s="3"/>
      <c r="X237" s="3"/>
      <c r="Y237" s="3"/>
      <c r="Z237" s="3"/>
      <c r="AA237" s="3"/>
      <c r="AB237" s="3" t="str">
        <f>IF(BCP_Dolares[[#This Row],[FECHA]]&gt;0,TEXT(BCP_Dolares[[#This Row],[FECHA]],"mmmm"),0)</f>
        <v>Junio</v>
      </c>
    </row>
    <row r="238" spans="2:28" x14ac:dyDescent="0.3">
      <c r="B238" s="2">
        <f>IF(BCP_Dolares[[#This Row],[TIPO DE R.]]="R",COUNTIFS($D$4:$D237,"R")+1,"")</f>
        <v>100</v>
      </c>
      <c r="C238" s="19" t="str">
        <f t="shared" si="45"/>
        <v>B-BCP - Dolares</v>
      </c>
      <c r="D238" s="3" t="s">
        <v>1074</v>
      </c>
      <c r="E238" s="14">
        <v>45827</v>
      </c>
      <c r="F238" s="5" t="s">
        <v>368</v>
      </c>
      <c r="G238" s="5" t="s">
        <v>1087</v>
      </c>
      <c r="H238" s="6"/>
      <c r="I238" s="6"/>
      <c r="J238" s="6"/>
      <c r="K238" s="6"/>
      <c r="L238" s="7" t="s">
        <v>3214</v>
      </c>
      <c r="M238" s="8">
        <v>2227887</v>
      </c>
      <c r="N238" s="8" t="str">
        <f t="shared" si="46"/>
        <v>USD</v>
      </c>
      <c r="O238" s="13"/>
      <c r="P238" s="13">
        <v>250</v>
      </c>
      <c r="Q238" s="3">
        <f t="shared" si="35"/>
        <v>250</v>
      </c>
      <c r="R238" s="3">
        <f t="shared" si="36"/>
        <v>0</v>
      </c>
      <c r="S238" s="3">
        <f t="shared" si="37"/>
        <v>35005.770000000004</v>
      </c>
      <c r="T238" s="24"/>
      <c r="U238" s="24"/>
      <c r="V238" s="80"/>
      <c r="W238" s="3"/>
      <c r="X238" s="3"/>
      <c r="Y238" s="3"/>
      <c r="Z238" s="3"/>
      <c r="AA238" s="3"/>
      <c r="AB238" s="3" t="str">
        <f>IF(BCP_Dolares[[#This Row],[FECHA]]&gt;0,TEXT(BCP_Dolares[[#This Row],[FECHA]],"mmmm"),0)</f>
        <v>Junio</v>
      </c>
    </row>
    <row r="239" spans="2:28" ht="36" x14ac:dyDescent="0.3">
      <c r="B239" s="2">
        <f>IF(BCP_Dolares[[#This Row],[TIPO DE R.]]="R",COUNTIFS($D$4:$D238,"R")+1,"")</f>
        <v>101</v>
      </c>
      <c r="C239" s="19" t="str">
        <f t="shared" si="45"/>
        <v>B-BCP - Dolares</v>
      </c>
      <c r="D239" s="3" t="s">
        <v>1074</v>
      </c>
      <c r="E239" s="14">
        <v>45827</v>
      </c>
      <c r="F239" s="5" t="s">
        <v>1075</v>
      </c>
      <c r="G239" s="5" t="s">
        <v>1079</v>
      </c>
      <c r="H239" s="6" t="s">
        <v>191</v>
      </c>
      <c r="I239" s="6" t="s">
        <v>14</v>
      </c>
      <c r="J239" s="6" t="s">
        <v>4055</v>
      </c>
      <c r="K239" s="6">
        <v>1025</v>
      </c>
      <c r="L239" s="7" t="s">
        <v>4091</v>
      </c>
      <c r="M239" s="8">
        <v>1228156</v>
      </c>
      <c r="N239" s="8" t="str">
        <f t="shared" si="46"/>
        <v>USD</v>
      </c>
      <c r="O239" s="13"/>
      <c r="P239" s="13">
        <v>35000</v>
      </c>
      <c r="Q239" s="3">
        <f t="shared" si="35"/>
        <v>0</v>
      </c>
      <c r="R239" s="3">
        <f t="shared" si="36"/>
        <v>35000</v>
      </c>
      <c r="S239" s="3">
        <f t="shared" si="37"/>
        <v>5.7700000000040745</v>
      </c>
      <c r="T239" s="24" t="s">
        <v>1081</v>
      </c>
      <c r="U239" s="24" t="s">
        <v>1081</v>
      </c>
      <c r="V239" s="80"/>
      <c r="W239" s="3" t="s">
        <v>191</v>
      </c>
      <c r="X239" s="3" t="s">
        <v>4057</v>
      </c>
      <c r="Y239" s="3"/>
      <c r="Z239" s="3"/>
      <c r="AA239" s="3"/>
      <c r="AB239" s="3" t="str">
        <f>IF(BCP_Dolares[[#This Row],[FECHA]]&gt;0,TEXT(BCP_Dolares[[#This Row],[FECHA]],"mmmm"),0)</f>
        <v>Junio</v>
      </c>
    </row>
    <row r="240" spans="2:28" x14ac:dyDescent="0.3">
      <c r="B240" s="2">
        <f>IF(BCP_Dolares[[#This Row],[TIPO DE R.]]="R",COUNTIFS($D$4:$D239,"R")+1,"")</f>
        <v>102</v>
      </c>
      <c r="C240" s="19" t="str">
        <f t="shared" si="45"/>
        <v>B-BCP - Dolares</v>
      </c>
      <c r="D240" s="3" t="s">
        <v>1074</v>
      </c>
      <c r="E240" s="14">
        <v>45827</v>
      </c>
      <c r="F240" s="5" t="s">
        <v>1078</v>
      </c>
      <c r="G240" s="5" t="s">
        <v>1079</v>
      </c>
      <c r="H240" s="6"/>
      <c r="I240" s="6"/>
      <c r="J240" s="6"/>
      <c r="K240" s="6"/>
      <c r="L240" s="7" t="s">
        <v>2868</v>
      </c>
      <c r="M240" s="8"/>
      <c r="N240" s="8" t="str">
        <f t="shared" si="46"/>
        <v>USD</v>
      </c>
      <c r="O240" s="13"/>
      <c r="P240" s="13">
        <v>1.8</v>
      </c>
      <c r="Q240" s="3">
        <f t="shared" si="35"/>
        <v>0</v>
      </c>
      <c r="R240" s="3">
        <f t="shared" si="36"/>
        <v>1.8</v>
      </c>
      <c r="S240" s="3">
        <f t="shared" si="37"/>
        <v>3.9700000000040747</v>
      </c>
      <c r="T240" s="24"/>
      <c r="U240" s="24"/>
      <c r="V240" s="80"/>
      <c r="W240" s="3"/>
      <c r="X240" s="3"/>
      <c r="Y240" s="3"/>
      <c r="Z240" s="3"/>
      <c r="AA240" s="3"/>
      <c r="AB240" s="3" t="str">
        <f>IF(BCP_Dolares[[#This Row],[FECHA]]&gt;0,TEXT(BCP_Dolares[[#This Row],[FECHA]],"mmmm"),0)</f>
        <v>Junio</v>
      </c>
    </row>
    <row r="241" spans="2:28" x14ac:dyDescent="0.3">
      <c r="B241" s="2">
        <f>IF(BCP_Dolares[[#This Row],[TIPO DE R.]]="R",COUNTIFS($D$4:$D240,"R")+1,"")</f>
        <v>103</v>
      </c>
      <c r="C241" s="19" t="str">
        <f t="shared" si="45"/>
        <v>B-BCP - Dolares</v>
      </c>
      <c r="D241" s="3" t="s">
        <v>1074</v>
      </c>
      <c r="E241" s="14">
        <v>45833</v>
      </c>
      <c r="F241" s="5"/>
      <c r="G241" s="5" t="s">
        <v>1087</v>
      </c>
      <c r="H241" s="6"/>
      <c r="I241" s="6"/>
      <c r="J241" s="6"/>
      <c r="K241" s="6"/>
      <c r="L241" s="7" t="s">
        <v>3294</v>
      </c>
      <c r="M241" s="8">
        <v>2146809</v>
      </c>
      <c r="N241" s="8" t="str">
        <f t="shared" si="46"/>
        <v>USD</v>
      </c>
      <c r="O241" s="13"/>
      <c r="P241" s="13">
        <v>750</v>
      </c>
      <c r="Q241" s="3">
        <f t="shared" si="35"/>
        <v>750</v>
      </c>
      <c r="R241" s="3">
        <f t="shared" si="36"/>
        <v>0</v>
      </c>
      <c r="S241" s="3">
        <f t="shared" si="37"/>
        <v>753.97000000000412</v>
      </c>
      <c r="T241" s="24"/>
      <c r="U241" s="24"/>
      <c r="V241" s="80"/>
      <c r="W241" s="3"/>
      <c r="X241" s="3"/>
      <c r="Y241" s="3"/>
      <c r="Z241" s="3"/>
      <c r="AA241" s="3"/>
      <c r="AB241" s="3" t="str">
        <f>IF(BCP_Dolares[[#This Row],[FECHA]]&gt;0,TEXT(BCP_Dolares[[#This Row],[FECHA]],"mmmm"),0)</f>
        <v>Junio</v>
      </c>
    </row>
    <row r="242" spans="2:28" x14ac:dyDescent="0.3">
      <c r="B242" s="2">
        <f>IF(BCP_Dolares[[#This Row],[TIPO DE R.]]="R",COUNTIFS($D$4:$D241,"R")+1,"")</f>
        <v>104</v>
      </c>
      <c r="C242" s="19" t="str">
        <f t="shared" si="45"/>
        <v>B-BCP - Dolares</v>
      </c>
      <c r="D242" s="3" t="s">
        <v>1074</v>
      </c>
      <c r="E242" s="14">
        <v>45833</v>
      </c>
      <c r="F242" s="5" t="s">
        <v>1075</v>
      </c>
      <c r="G242" s="5" t="s">
        <v>1079</v>
      </c>
      <c r="H242" s="6"/>
      <c r="I242" s="6"/>
      <c r="J242" s="6"/>
      <c r="K242" s="6"/>
      <c r="L242" s="7" t="s">
        <v>4092</v>
      </c>
      <c r="M242" s="8">
        <v>1483272</v>
      </c>
      <c r="N242" s="8" t="str">
        <f t="shared" si="46"/>
        <v>USD</v>
      </c>
      <c r="O242" s="13"/>
      <c r="P242" s="13">
        <v>699.56</v>
      </c>
      <c r="Q242" s="3">
        <f t="shared" si="35"/>
        <v>0</v>
      </c>
      <c r="R242" s="3">
        <f t="shared" si="36"/>
        <v>699.56</v>
      </c>
      <c r="S242" s="3">
        <f t="shared" si="37"/>
        <v>54.410000000004175</v>
      </c>
      <c r="T242" s="24" t="s">
        <v>1081</v>
      </c>
      <c r="U242" s="24" t="s">
        <v>1081</v>
      </c>
      <c r="V242" s="80"/>
      <c r="W242" s="3" t="s">
        <v>4015</v>
      </c>
      <c r="X242" s="3"/>
      <c r="Y242" s="3"/>
      <c r="Z242" s="3"/>
      <c r="AA242" s="3"/>
      <c r="AB242" s="3" t="str">
        <f>IF(BCP_Dolares[[#This Row],[FECHA]]&gt;0,TEXT(BCP_Dolares[[#This Row],[FECHA]],"mmmm"),0)</f>
        <v>Junio</v>
      </c>
    </row>
    <row r="243" spans="2:28" ht="24" x14ac:dyDescent="0.3">
      <c r="B243" s="2" t="str">
        <f>IF(BCP_Dolares[[#This Row],[TIPO DE R.]]="R",COUNTIFS($D$4:$D242,"R")+1,"")</f>
        <v/>
      </c>
      <c r="C243" s="19" t="str">
        <f t="shared" ref="C243:C250" si="47">"B-BCP - Dolares"</f>
        <v>B-BCP - Dolares</v>
      </c>
      <c r="D243" s="3" t="s">
        <v>1101</v>
      </c>
      <c r="E243" s="14">
        <v>45833</v>
      </c>
      <c r="F243" s="5" t="s">
        <v>1075</v>
      </c>
      <c r="G243" s="5"/>
      <c r="H243" s="6" t="s">
        <v>147</v>
      </c>
      <c r="I243" s="6" t="s">
        <v>14</v>
      </c>
      <c r="J243" s="6" t="s">
        <v>1148</v>
      </c>
      <c r="K243" s="6">
        <v>16134</v>
      </c>
      <c r="L243" s="7" t="s">
        <v>4092</v>
      </c>
      <c r="M243" s="8">
        <v>1483272</v>
      </c>
      <c r="N243" s="8" t="str">
        <f t="shared" ref="N243:N250" si="48">"USD"</f>
        <v>USD</v>
      </c>
      <c r="O243" s="13">
        <v>48.25</v>
      </c>
      <c r="P243" s="13"/>
      <c r="Q243" s="3">
        <f t="shared" si="35"/>
        <v>0</v>
      </c>
      <c r="R243" s="3">
        <f t="shared" si="36"/>
        <v>0</v>
      </c>
      <c r="S243" s="3">
        <f t="shared" si="37"/>
        <v>54.410000000004175</v>
      </c>
      <c r="T243" s="24"/>
      <c r="U243" s="24" t="s">
        <v>1081</v>
      </c>
      <c r="V243" s="80"/>
      <c r="W243" s="3"/>
      <c r="X243" s="3"/>
      <c r="Y243" s="3"/>
      <c r="Z243" s="3"/>
      <c r="AA243" s="3"/>
      <c r="AB243" s="3" t="str">
        <f>IF(BCP_Dolares[[#This Row],[FECHA]]&gt;0,TEXT(BCP_Dolares[[#This Row],[FECHA]],"mmmm"),0)</f>
        <v>Junio</v>
      </c>
    </row>
    <row r="244" spans="2:28" ht="24" x14ac:dyDescent="0.3">
      <c r="B244" s="2" t="str">
        <f>IF(BCP_Dolares[[#This Row],[TIPO DE R.]]="R",COUNTIFS($D$4:$D243,"R")+1,"")</f>
        <v/>
      </c>
      <c r="C244" s="19" t="str">
        <f t="shared" si="47"/>
        <v>B-BCP - Dolares</v>
      </c>
      <c r="D244" s="3" t="s">
        <v>1101</v>
      </c>
      <c r="E244" s="14">
        <v>45833</v>
      </c>
      <c r="F244" s="5" t="s">
        <v>1075</v>
      </c>
      <c r="G244" s="5"/>
      <c r="H244" s="6" t="s">
        <v>147</v>
      </c>
      <c r="I244" s="6" t="s">
        <v>14</v>
      </c>
      <c r="J244" s="6" t="s">
        <v>1148</v>
      </c>
      <c r="K244" s="6">
        <v>16155</v>
      </c>
      <c r="L244" s="7" t="s">
        <v>4092</v>
      </c>
      <c r="M244" s="8">
        <v>1483272</v>
      </c>
      <c r="N244" s="8" t="str">
        <f t="shared" si="48"/>
        <v>USD</v>
      </c>
      <c r="O244" s="13">
        <v>59.45</v>
      </c>
      <c r="P244" s="13"/>
      <c r="Q244" s="3">
        <f t="shared" si="35"/>
        <v>0</v>
      </c>
      <c r="R244" s="3">
        <f t="shared" si="36"/>
        <v>0</v>
      </c>
      <c r="S244" s="3">
        <f t="shared" si="37"/>
        <v>54.410000000004175</v>
      </c>
      <c r="T244" s="24"/>
      <c r="U244" s="24" t="s">
        <v>1081</v>
      </c>
      <c r="V244" s="80"/>
      <c r="W244" s="3"/>
      <c r="X244" s="3"/>
      <c r="Y244" s="3"/>
      <c r="Z244" s="3"/>
      <c r="AA244" s="3"/>
      <c r="AB244" s="3" t="str">
        <f>IF(BCP_Dolares[[#This Row],[FECHA]]&gt;0,TEXT(BCP_Dolares[[#This Row],[FECHA]],"mmmm"),0)</f>
        <v>Junio</v>
      </c>
    </row>
    <row r="245" spans="2:28" ht="24" x14ac:dyDescent="0.3">
      <c r="B245" s="2" t="str">
        <f>IF(BCP_Dolares[[#This Row],[TIPO DE R.]]="R",COUNTIFS($D$4:$D244,"R")+1,"")</f>
        <v/>
      </c>
      <c r="C245" s="19" t="str">
        <f t="shared" si="47"/>
        <v>B-BCP - Dolares</v>
      </c>
      <c r="D245" s="3" t="s">
        <v>1101</v>
      </c>
      <c r="E245" s="14">
        <v>45833</v>
      </c>
      <c r="F245" s="5" t="s">
        <v>1075</v>
      </c>
      <c r="G245" s="5"/>
      <c r="H245" s="6" t="s">
        <v>147</v>
      </c>
      <c r="I245" s="6" t="s">
        <v>14</v>
      </c>
      <c r="J245" s="6" t="s">
        <v>1148</v>
      </c>
      <c r="K245" s="6">
        <v>16146</v>
      </c>
      <c r="L245" s="7" t="s">
        <v>4092</v>
      </c>
      <c r="M245" s="8">
        <v>1483272</v>
      </c>
      <c r="N245" s="8" t="str">
        <f t="shared" si="48"/>
        <v>USD</v>
      </c>
      <c r="O245" s="13">
        <v>46.34</v>
      </c>
      <c r="P245" s="13"/>
      <c r="Q245" s="3">
        <f t="shared" si="35"/>
        <v>0</v>
      </c>
      <c r="R245" s="3">
        <f t="shared" si="36"/>
        <v>0</v>
      </c>
      <c r="S245" s="3">
        <f t="shared" si="37"/>
        <v>54.410000000004175</v>
      </c>
      <c r="T245" s="24"/>
      <c r="U245" s="24" t="s">
        <v>1081</v>
      </c>
      <c r="V245" s="80"/>
      <c r="W245" s="3"/>
      <c r="X245" s="3"/>
      <c r="Y245" s="3"/>
      <c r="Z245" s="3"/>
      <c r="AA245" s="3"/>
      <c r="AB245" s="3" t="str">
        <f>IF(BCP_Dolares[[#This Row],[FECHA]]&gt;0,TEXT(BCP_Dolares[[#This Row],[FECHA]],"mmmm"),0)</f>
        <v>Junio</v>
      </c>
    </row>
    <row r="246" spans="2:28" ht="24" x14ac:dyDescent="0.3">
      <c r="B246" s="2" t="str">
        <f>IF(BCP_Dolares[[#This Row],[TIPO DE R.]]="R",COUNTIFS($D$4:$D245,"R")+1,"")</f>
        <v/>
      </c>
      <c r="C246" s="19" t="str">
        <f t="shared" si="47"/>
        <v>B-BCP - Dolares</v>
      </c>
      <c r="D246" s="3" t="s">
        <v>1101</v>
      </c>
      <c r="E246" s="14">
        <v>45833</v>
      </c>
      <c r="F246" s="5" t="s">
        <v>1075</v>
      </c>
      <c r="G246" s="5"/>
      <c r="H246" s="6" t="s">
        <v>147</v>
      </c>
      <c r="I246" s="6" t="s">
        <v>14</v>
      </c>
      <c r="J246" s="6" t="s">
        <v>1148</v>
      </c>
      <c r="K246" s="6">
        <v>16132</v>
      </c>
      <c r="L246" s="7" t="s">
        <v>4092</v>
      </c>
      <c r="M246" s="8">
        <v>1483272</v>
      </c>
      <c r="N246" s="8" t="str">
        <f t="shared" si="48"/>
        <v>USD</v>
      </c>
      <c r="O246" s="13">
        <v>46.41</v>
      </c>
      <c r="P246" s="13"/>
      <c r="Q246" s="3">
        <f t="shared" si="35"/>
        <v>0</v>
      </c>
      <c r="R246" s="3">
        <f t="shared" si="36"/>
        <v>0</v>
      </c>
      <c r="S246" s="3">
        <f t="shared" si="37"/>
        <v>54.410000000004175</v>
      </c>
      <c r="T246" s="24"/>
      <c r="U246" s="24" t="s">
        <v>1081</v>
      </c>
      <c r="V246" s="80"/>
      <c r="W246" s="3"/>
      <c r="X246" s="3"/>
      <c r="Y246" s="3"/>
      <c r="Z246" s="3"/>
      <c r="AA246" s="3"/>
      <c r="AB246" s="3" t="str">
        <f>IF(BCP_Dolares[[#This Row],[FECHA]]&gt;0,TEXT(BCP_Dolares[[#This Row],[FECHA]],"mmmm"),0)</f>
        <v>Junio</v>
      </c>
    </row>
    <row r="247" spans="2:28" ht="24" x14ac:dyDescent="0.3">
      <c r="B247" s="2" t="str">
        <f>IF(BCP_Dolares[[#This Row],[TIPO DE R.]]="R",COUNTIFS($D$4:$D246,"R")+1,"")</f>
        <v/>
      </c>
      <c r="C247" s="19" t="str">
        <f t="shared" si="47"/>
        <v>B-BCP - Dolares</v>
      </c>
      <c r="D247" s="3" t="s">
        <v>1101</v>
      </c>
      <c r="E247" s="14">
        <v>45833</v>
      </c>
      <c r="F247" s="5" t="s">
        <v>1075</v>
      </c>
      <c r="G247" s="5"/>
      <c r="H247" s="6" t="s">
        <v>147</v>
      </c>
      <c r="I247" s="6" t="s">
        <v>14</v>
      </c>
      <c r="J247" s="6" t="s">
        <v>1148</v>
      </c>
      <c r="K247" s="6">
        <v>16116</v>
      </c>
      <c r="L247" s="7" t="s">
        <v>4092</v>
      </c>
      <c r="M247" s="8">
        <v>1483272</v>
      </c>
      <c r="N247" s="8" t="str">
        <f t="shared" si="48"/>
        <v>USD</v>
      </c>
      <c r="O247" s="13">
        <v>93.24</v>
      </c>
      <c r="P247" s="13"/>
      <c r="Q247" s="3">
        <f t="shared" si="35"/>
        <v>0</v>
      </c>
      <c r="R247" s="3">
        <f t="shared" si="36"/>
        <v>0</v>
      </c>
      <c r="S247" s="3">
        <f t="shared" si="37"/>
        <v>54.410000000004175</v>
      </c>
      <c r="T247" s="24"/>
      <c r="U247" s="24" t="s">
        <v>1081</v>
      </c>
      <c r="V247" s="80"/>
      <c r="W247" s="3"/>
      <c r="X247" s="3"/>
      <c r="Y247" s="3"/>
      <c r="Z247" s="3"/>
      <c r="AA247" s="3"/>
      <c r="AB247" s="3" t="str">
        <f>IF(BCP_Dolares[[#This Row],[FECHA]]&gt;0,TEXT(BCP_Dolares[[#This Row],[FECHA]],"mmmm"),0)</f>
        <v>Junio</v>
      </c>
    </row>
    <row r="248" spans="2:28" ht="24" x14ac:dyDescent="0.3">
      <c r="B248" s="2" t="str">
        <f>IF(BCP_Dolares[[#This Row],[TIPO DE R.]]="R",COUNTIFS($D$4:$D247,"R")+1,"")</f>
        <v/>
      </c>
      <c r="C248" s="19" t="str">
        <f t="shared" si="47"/>
        <v>B-BCP - Dolares</v>
      </c>
      <c r="D248" s="3" t="s">
        <v>1101</v>
      </c>
      <c r="E248" s="14">
        <v>45833</v>
      </c>
      <c r="F248" s="5" t="s">
        <v>1075</v>
      </c>
      <c r="G248" s="5"/>
      <c r="H248" s="6" t="s">
        <v>147</v>
      </c>
      <c r="I248" s="6" t="s">
        <v>14</v>
      </c>
      <c r="J248" s="6" t="s">
        <v>1148</v>
      </c>
      <c r="K248" s="6">
        <v>16171</v>
      </c>
      <c r="L248" s="7" t="s">
        <v>4092</v>
      </c>
      <c r="M248" s="8">
        <v>1483272</v>
      </c>
      <c r="N248" s="8" t="str">
        <f t="shared" si="48"/>
        <v>USD</v>
      </c>
      <c r="O248" s="13">
        <v>107.12</v>
      </c>
      <c r="P248" s="13"/>
      <c r="Q248" s="3">
        <f t="shared" si="35"/>
        <v>0</v>
      </c>
      <c r="R248" s="3">
        <f t="shared" si="36"/>
        <v>0</v>
      </c>
      <c r="S248" s="3">
        <f t="shared" si="37"/>
        <v>54.410000000004175</v>
      </c>
      <c r="T248" s="24"/>
      <c r="U248" s="24" t="s">
        <v>1081</v>
      </c>
      <c r="V248" s="80"/>
      <c r="W248" s="3"/>
      <c r="X248" s="3"/>
      <c r="Y248" s="3"/>
      <c r="Z248" s="3"/>
      <c r="AA248" s="3"/>
      <c r="AB248" s="3" t="str">
        <f>IF(BCP_Dolares[[#This Row],[FECHA]]&gt;0,TEXT(BCP_Dolares[[#This Row],[FECHA]],"mmmm"),0)</f>
        <v>Junio</v>
      </c>
    </row>
    <row r="249" spans="2:28" ht="24" x14ac:dyDescent="0.3">
      <c r="B249" s="2" t="str">
        <f>IF(BCP_Dolares[[#This Row],[TIPO DE R.]]="R",COUNTIFS($D$4:$D248,"R")+1,"")</f>
        <v/>
      </c>
      <c r="C249" s="19" t="str">
        <f t="shared" si="47"/>
        <v>B-BCP - Dolares</v>
      </c>
      <c r="D249" s="3" t="s">
        <v>1101</v>
      </c>
      <c r="E249" s="14">
        <v>45833</v>
      </c>
      <c r="F249" s="5" t="s">
        <v>1075</v>
      </c>
      <c r="G249" s="5"/>
      <c r="H249" s="6" t="s">
        <v>147</v>
      </c>
      <c r="I249" s="6" t="s">
        <v>14</v>
      </c>
      <c r="J249" s="6" t="s">
        <v>1148</v>
      </c>
      <c r="K249" s="6">
        <v>16173</v>
      </c>
      <c r="L249" s="7" t="s">
        <v>4092</v>
      </c>
      <c r="M249" s="8">
        <v>1483272</v>
      </c>
      <c r="N249" s="8" t="str">
        <f t="shared" si="48"/>
        <v>USD</v>
      </c>
      <c r="O249" s="13">
        <v>60.83</v>
      </c>
      <c r="P249" s="13"/>
      <c r="Q249" s="3">
        <f t="shared" si="35"/>
        <v>0</v>
      </c>
      <c r="R249" s="3">
        <f t="shared" si="36"/>
        <v>0</v>
      </c>
      <c r="S249" s="3">
        <f t="shared" si="37"/>
        <v>54.410000000004175</v>
      </c>
      <c r="T249" s="24"/>
      <c r="U249" s="24" t="s">
        <v>1081</v>
      </c>
      <c r="V249" s="80"/>
      <c r="W249" s="3"/>
      <c r="X249" s="3"/>
      <c r="Y249" s="3"/>
      <c r="Z249" s="3"/>
      <c r="AA249" s="3"/>
      <c r="AB249" s="3" t="str">
        <f>IF(BCP_Dolares[[#This Row],[FECHA]]&gt;0,TEXT(BCP_Dolares[[#This Row],[FECHA]],"mmmm"),0)</f>
        <v>Junio</v>
      </c>
    </row>
    <row r="250" spans="2:28" ht="48" x14ac:dyDescent="0.3">
      <c r="B250" s="2" t="str">
        <f>IF(BCP_Dolares[[#This Row],[TIPO DE R.]]="R",COUNTIFS($D$4:$D249,"R")+1,"")</f>
        <v/>
      </c>
      <c r="C250" s="19" t="str">
        <f t="shared" si="47"/>
        <v>B-BCP - Dolares</v>
      </c>
      <c r="D250" s="3" t="s">
        <v>1101</v>
      </c>
      <c r="E250" s="14">
        <v>45833</v>
      </c>
      <c r="F250" s="5" t="s">
        <v>1075</v>
      </c>
      <c r="G250" s="5"/>
      <c r="H250" s="6" t="s">
        <v>354</v>
      </c>
      <c r="I250" s="6" t="s">
        <v>14</v>
      </c>
      <c r="J250" s="6" t="s">
        <v>1119</v>
      </c>
      <c r="K250" s="6">
        <v>347</v>
      </c>
      <c r="L250" s="7" t="s">
        <v>4092</v>
      </c>
      <c r="M250" s="8">
        <v>1483272</v>
      </c>
      <c r="N250" s="8" t="str">
        <f t="shared" si="48"/>
        <v>USD</v>
      </c>
      <c r="O250" s="13">
        <v>237.92</v>
      </c>
      <c r="P250" s="13"/>
      <c r="Q250" s="3">
        <f t="shared" si="35"/>
        <v>0</v>
      </c>
      <c r="R250" s="3">
        <f t="shared" si="36"/>
        <v>0</v>
      </c>
      <c r="S250" s="3">
        <f t="shared" si="37"/>
        <v>54.410000000004175</v>
      </c>
      <c r="T250" s="24"/>
      <c r="U250" s="24" t="s">
        <v>1081</v>
      </c>
      <c r="V250" s="80"/>
      <c r="W250" s="3"/>
      <c r="X250" s="3"/>
      <c r="Y250" s="3"/>
      <c r="Z250" s="3"/>
      <c r="AA250" s="3"/>
      <c r="AB250" s="3" t="str">
        <f>IF(BCP_Dolares[[#This Row],[FECHA]]&gt;0,TEXT(BCP_Dolares[[#This Row],[FECHA]],"mmmm"),0)</f>
        <v>Junio</v>
      </c>
    </row>
    <row r="251" spans="2:28" ht="24" x14ac:dyDescent="0.3">
      <c r="B251" s="2">
        <f>IF(BCP_Dolares[[#This Row],[TIPO DE R.]]="R",COUNTIFS($D$4:$D250,"R")+1,"")</f>
        <v>105</v>
      </c>
      <c r="C251" s="19" t="str">
        <f t="shared" si="45"/>
        <v>B-BCP - Dolares</v>
      </c>
      <c r="D251" s="3" t="s">
        <v>1074</v>
      </c>
      <c r="E251" s="14">
        <v>45833</v>
      </c>
      <c r="F251" s="5"/>
      <c r="G251" s="5" t="s">
        <v>1079</v>
      </c>
      <c r="H251" s="6" t="s">
        <v>1001</v>
      </c>
      <c r="I251" s="6" t="s">
        <v>14</v>
      </c>
      <c r="J251" s="6" t="s">
        <v>3128</v>
      </c>
      <c r="K251" s="6">
        <v>34107608</v>
      </c>
      <c r="L251" s="7" t="s">
        <v>4093</v>
      </c>
      <c r="M251" s="8">
        <v>1483293</v>
      </c>
      <c r="N251" s="8" t="str">
        <f t="shared" si="46"/>
        <v>USD</v>
      </c>
      <c r="O251" s="13"/>
      <c r="P251" s="13">
        <v>6.32</v>
      </c>
      <c r="Q251" s="3">
        <f t="shared" si="35"/>
        <v>0</v>
      </c>
      <c r="R251" s="3">
        <f t="shared" si="36"/>
        <v>6.32</v>
      </c>
      <c r="S251" s="3">
        <f t="shared" si="37"/>
        <v>48.090000000004174</v>
      </c>
      <c r="T251" s="24" t="s">
        <v>1081</v>
      </c>
      <c r="U251" s="24" t="s">
        <v>1081</v>
      </c>
      <c r="V251" s="80"/>
      <c r="W251" s="3" t="s">
        <v>1078</v>
      </c>
      <c r="X251" s="3"/>
      <c r="Y251" s="3"/>
      <c r="Z251" s="3"/>
      <c r="AA251" s="3"/>
      <c r="AB251" s="3" t="str">
        <f>IF(BCP_Dolares[[#This Row],[FECHA]]&gt;0,TEXT(BCP_Dolares[[#This Row],[FECHA]],"mmmm"),0)</f>
        <v>Junio</v>
      </c>
    </row>
    <row r="252" spans="2:28" ht="24" x14ac:dyDescent="0.3">
      <c r="B252" s="2">
        <f>IF(BCP_Dolares[[#This Row],[TIPO DE R.]]="R",COUNTIFS($D$4:$D251,"R")+1,"")</f>
        <v>106</v>
      </c>
      <c r="C252" s="19" t="str">
        <f t="shared" si="45"/>
        <v>B-BCP - Dolares</v>
      </c>
      <c r="D252" s="3" t="s">
        <v>1074</v>
      </c>
      <c r="E252" s="14">
        <v>45834</v>
      </c>
      <c r="F252" s="5" t="s">
        <v>147</v>
      </c>
      <c r="G252" s="5" t="s">
        <v>1087</v>
      </c>
      <c r="H252" s="6" t="s">
        <v>368</v>
      </c>
      <c r="I252" s="6"/>
      <c r="J252" s="6"/>
      <c r="K252" s="3" t="s">
        <v>4094</v>
      </c>
      <c r="L252" s="7" t="s">
        <v>4001</v>
      </c>
      <c r="M252" s="8">
        <v>1748318</v>
      </c>
      <c r="N252" s="8" t="str">
        <f t="shared" si="46"/>
        <v>USD</v>
      </c>
      <c r="O252" s="13"/>
      <c r="P252" s="13">
        <v>14710.24</v>
      </c>
      <c r="Q252" s="3">
        <f t="shared" si="35"/>
        <v>14710.24</v>
      </c>
      <c r="R252" s="3">
        <f t="shared" si="36"/>
        <v>0</v>
      </c>
      <c r="S252" s="3">
        <f t="shared" si="37"/>
        <v>14758.330000000004</v>
      </c>
      <c r="T252" s="24" t="s">
        <v>1081</v>
      </c>
      <c r="U252" s="24" t="s">
        <v>1081</v>
      </c>
      <c r="V252" s="80"/>
      <c r="W252" s="3"/>
      <c r="X252" s="3" t="s">
        <v>4094</v>
      </c>
      <c r="Y252" s="3"/>
      <c r="Z252" s="3"/>
      <c r="AA252" s="3"/>
      <c r="AB252" s="3" t="str">
        <f>IF(BCP_Dolares[[#This Row],[FECHA]]&gt;0,TEXT(BCP_Dolares[[#This Row],[FECHA]],"mmmm"),0)</f>
        <v>Junio</v>
      </c>
    </row>
    <row r="253" spans="2:28" ht="24" x14ac:dyDescent="0.3">
      <c r="B253" s="2">
        <f>IF(BCP_Dolares[[#This Row],[TIPO DE R.]]="R",COUNTIFS($D$4:$D252,"R")+1,"")</f>
        <v>107</v>
      </c>
      <c r="C253" s="19" t="str">
        <f t="shared" si="45"/>
        <v>B-BCP - Dolares</v>
      </c>
      <c r="D253" s="3" t="s">
        <v>1074</v>
      </c>
      <c r="E253" s="14">
        <v>45834</v>
      </c>
      <c r="F253" s="5" t="s">
        <v>1078</v>
      </c>
      <c r="G253" s="5" t="s">
        <v>1079</v>
      </c>
      <c r="H253" s="6" t="s">
        <v>1001</v>
      </c>
      <c r="I253" s="6" t="s">
        <v>14</v>
      </c>
      <c r="J253" s="6" t="s">
        <v>1088</v>
      </c>
      <c r="K253" s="6">
        <v>2393611</v>
      </c>
      <c r="L253" s="7" t="s">
        <v>4095</v>
      </c>
      <c r="M253" s="8">
        <v>350</v>
      </c>
      <c r="N253" s="8" t="str">
        <f t="shared" si="46"/>
        <v>USD</v>
      </c>
      <c r="O253" s="13"/>
      <c r="P253" s="13">
        <v>12</v>
      </c>
      <c r="Q253" s="3">
        <f t="shared" si="35"/>
        <v>0</v>
      </c>
      <c r="R253" s="3">
        <f t="shared" si="36"/>
        <v>12</v>
      </c>
      <c r="S253" s="3">
        <f>IFERROR(IF(G253="SALDO",Q253,S252+Q253-R253),0)</f>
        <v>14746.330000000004</v>
      </c>
      <c r="T253" s="24" t="s">
        <v>1081</v>
      </c>
      <c r="U253" s="24" t="s">
        <v>1081</v>
      </c>
      <c r="V253" s="80"/>
      <c r="W253" s="3"/>
      <c r="X253" s="3"/>
      <c r="Y253" s="3"/>
      <c r="Z253" s="3"/>
      <c r="AA253" s="3"/>
      <c r="AB253" s="3" t="str">
        <f>IF(BCP_Dolares[[#This Row],[FECHA]]&gt;0,TEXT(BCP_Dolares[[#This Row],[FECHA]],"mmmm"),0)</f>
        <v>Junio</v>
      </c>
    </row>
    <row r="254" spans="2:28" x14ac:dyDescent="0.3">
      <c r="B254" s="2">
        <f>IF(BCP_Dolares[[#This Row],[TIPO DE R.]]="R",COUNTIFS($D$4:$D253,"R")+1,"")</f>
        <v>108</v>
      </c>
      <c r="C254" s="19" t="str">
        <f t="shared" si="45"/>
        <v>B-BCP - Dolares</v>
      </c>
      <c r="D254" s="3" t="s">
        <v>1074</v>
      </c>
      <c r="E254" s="14">
        <v>45834</v>
      </c>
      <c r="F254" s="5" t="s">
        <v>1078</v>
      </c>
      <c r="G254" s="5" t="s">
        <v>1079</v>
      </c>
      <c r="H254" s="6"/>
      <c r="I254" s="6"/>
      <c r="J254" s="6"/>
      <c r="K254" s="6"/>
      <c r="L254" s="7" t="s">
        <v>2868</v>
      </c>
      <c r="M254" s="8"/>
      <c r="N254" s="8" t="str">
        <f t="shared" si="46"/>
        <v>USD</v>
      </c>
      <c r="O254" s="13"/>
      <c r="P254" s="13">
        <v>0.7</v>
      </c>
      <c r="Q254" s="3">
        <f t="shared" si="35"/>
        <v>0</v>
      </c>
      <c r="R254" s="3">
        <f t="shared" si="36"/>
        <v>0.7</v>
      </c>
      <c r="S254" s="3">
        <f t="shared" si="37"/>
        <v>14745.630000000003</v>
      </c>
      <c r="T254" s="24"/>
      <c r="U254" s="24"/>
      <c r="V254" s="80"/>
      <c r="W254" s="3"/>
      <c r="X254" s="3"/>
      <c r="Y254" s="3"/>
      <c r="Z254" s="3"/>
      <c r="AA254" s="3"/>
      <c r="AB254" s="3" t="str">
        <f>IF(BCP_Dolares[[#This Row],[FECHA]]&gt;0,TEXT(BCP_Dolares[[#This Row],[FECHA]],"mmmm"),0)</f>
        <v>Junio</v>
      </c>
    </row>
    <row r="255" spans="2:28" ht="24" x14ac:dyDescent="0.3">
      <c r="B255" s="2">
        <f>IF(BCP_Dolares[[#This Row],[TIPO DE R.]]="R",COUNTIFS($D$4:$D254,"R")+1,"")</f>
        <v>109</v>
      </c>
      <c r="C255" s="19" t="str">
        <f t="shared" si="45"/>
        <v>B-BCP - Dolares</v>
      </c>
      <c r="D255" s="3" t="s">
        <v>1074</v>
      </c>
      <c r="E255" s="14">
        <v>45834</v>
      </c>
      <c r="F255" s="5" t="s">
        <v>1075</v>
      </c>
      <c r="G255" s="5" t="s">
        <v>1079</v>
      </c>
      <c r="H255" s="6" t="s">
        <v>632</v>
      </c>
      <c r="I255" s="6" t="s">
        <v>14</v>
      </c>
      <c r="J255" s="6" t="s">
        <v>3386</v>
      </c>
      <c r="K255" s="6">
        <v>12</v>
      </c>
      <c r="L255" s="7" t="s">
        <v>4096</v>
      </c>
      <c r="M255" s="8">
        <v>2512341</v>
      </c>
      <c r="N255" s="8" t="str">
        <f t="shared" si="46"/>
        <v>USD</v>
      </c>
      <c r="O255" s="13"/>
      <c r="P255" s="13">
        <v>1319.91</v>
      </c>
      <c r="Q255" s="3">
        <f t="shared" si="35"/>
        <v>0</v>
      </c>
      <c r="R255" s="3">
        <f t="shared" si="36"/>
        <v>1319.91</v>
      </c>
      <c r="S255" s="3">
        <f t="shared" si="37"/>
        <v>13425.720000000003</v>
      </c>
      <c r="T255" s="24" t="s">
        <v>1081</v>
      </c>
      <c r="U255" s="24" t="s">
        <v>1081</v>
      </c>
      <c r="V255" s="80"/>
      <c r="W255" s="3"/>
      <c r="X255" s="3"/>
      <c r="Y255" s="3"/>
      <c r="Z255" s="3"/>
      <c r="AA255" s="3"/>
      <c r="AB255" s="3" t="str">
        <f>IF(BCP_Dolares[[#This Row],[FECHA]]&gt;0,TEXT(BCP_Dolares[[#This Row],[FECHA]],"mmmm"),0)</f>
        <v>Junio</v>
      </c>
    </row>
    <row r="256" spans="2:28" x14ac:dyDescent="0.3">
      <c r="B256" s="2">
        <f>IF(BCP_Dolares[[#This Row],[TIPO DE R.]]="R",COUNTIFS($D$4:$D255,"R")+1,"")</f>
        <v>110</v>
      </c>
      <c r="C256" s="19" t="str">
        <f t="shared" si="45"/>
        <v>B-BCP - Dolares</v>
      </c>
      <c r="D256" s="3" t="s">
        <v>1074</v>
      </c>
      <c r="E256" s="14">
        <v>45834</v>
      </c>
      <c r="F256" s="5" t="s">
        <v>1075</v>
      </c>
      <c r="G256" s="5" t="s">
        <v>1079</v>
      </c>
      <c r="H256" s="6"/>
      <c r="I256" s="6" t="s">
        <v>14</v>
      </c>
      <c r="J256" s="6" t="s">
        <v>3128</v>
      </c>
      <c r="K256" s="6">
        <v>34165619</v>
      </c>
      <c r="L256" s="7" t="s">
        <v>4097</v>
      </c>
      <c r="M256" s="8">
        <v>2512348</v>
      </c>
      <c r="N256" s="8" t="str">
        <f t="shared" si="46"/>
        <v>USD</v>
      </c>
      <c r="O256" s="13"/>
      <c r="P256" s="13">
        <v>7.91</v>
      </c>
      <c r="Q256" s="3">
        <f t="shared" si="35"/>
        <v>0</v>
      </c>
      <c r="R256" s="3">
        <f t="shared" si="36"/>
        <v>7.91</v>
      </c>
      <c r="S256" s="3">
        <f t="shared" si="37"/>
        <v>13417.810000000003</v>
      </c>
      <c r="T256" s="24" t="s">
        <v>1081</v>
      </c>
      <c r="U256" s="24"/>
      <c r="V256" s="80"/>
      <c r="W256" s="3" t="s">
        <v>1078</v>
      </c>
      <c r="X256" s="3"/>
      <c r="Y256" s="3"/>
      <c r="Z256" s="3"/>
      <c r="AA256" s="3"/>
      <c r="AB256" s="3" t="str">
        <f>IF(BCP_Dolares[[#This Row],[FECHA]]&gt;0,TEXT(BCP_Dolares[[#This Row],[FECHA]],"mmmm"),0)</f>
        <v>Junio</v>
      </c>
    </row>
    <row r="257" spans="2:28" x14ac:dyDescent="0.3">
      <c r="B257" s="2">
        <f>IF(BCP_Dolares[[#This Row],[TIPO DE R.]]="R",COUNTIFS($D$4:$D256,"R")+1,"")</f>
        <v>111</v>
      </c>
      <c r="C257" s="19" t="str">
        <f t="shared" ref="C257:C261" si="49">"B-BCP - Dolares"</f>
        <v>B-BCP - Dolares</v>
      </c>
      <c r="D257" s="3" t="s">
        <v>1074</v>
      </c>
      <c r="E257" s="14">
        <v>45835</v>
      </c>
      <c r="F257" s="5" t="s">
        <v>1078</v>
      </c>
      <c r="G257" s="5" t="s">
        <v>1079</v>
      </c>
      <c r="H257" s="6"/>
      <c r="I257" s="6"/>
      <c r="J257" s="6"/>
      <c r="K257" s="6"/>
      <c r="L257" s="7" t="s">
        <v>2868</v>
      </c>
      <c r="M257" s="8"/>
      <c r="N257" s="8" t="str">
        <f t="shared" ref="N257:N261" si="50">"USD"</f>
        <v>USD</v>
      </c>
      <c r="O257" s="13"/>
      <c r="P257" s="13">
        <v>0.05</v>
      </c>
      <c r="Q257" s="3">
        <f t="shared" si="35"/>
        <v>0</v>
      </c>
      <c r="R257" s="3">
        <f t="shared" si="36"/>
        <v>0.05</v>
      </c>
      <c r="S257" s="3">
        <f t="shared" si="37"/>
        <v>13417.760000000004</v>
      </c>
      <c r="T257" s="24"/>
      <c r="U257" s="24"/>
      <c r="V257" s="80"/>
      <c r="W257" s="3"/>
      <c r="X257" s="3"/>
      <c r="Y257" s="3"/>
      <c r="Z257" s="3"/>
      <c r="AA257" s="3"/>
      <c r="AB257" s="3" t="str">
        <f>IF(BCP_Dolares[[#This Row],[FECHA]]&gt;0,TEXT(BCP_Dolares[[#This Row],[FECHA]],"mmmm"),0)</f>
        <v>Junio</v>
      </c>
    </row>
    <row r="258" spans="2:28" ht="24" x14ac:dyDescent="0.3">
      <c r="B258" s="2">
        <f>IF(BCP_Dolares[[#This Row],[TIPO DE R.]]="R",COUNTIFS($D$4:$D257,"R")+1,"")</f>
        <v>112</v>
      </c>
      <c r="C258" s="19" t="str">
        <f t="shared" si="49"/>
        <v>B-BCP - Dolares</v>
      </c>
      <c r="D258" s="3" t="s">
        <v>1074</v>
      </c>
      <c r="E258" s="14">
        <v>45838</v>
      </c>
      <c r="F258" s="5" t="s">
        <v>1078</v>
      </c>
      <c r="G258" s="5" t="s">
        <v>1079</v>
      </c>
      <c r="H258" s="6" t="s">
        <v>1001</v>
      </c>
      <c r="I258" s="6" t="s">
        <v>14</v>
      </c>
      <c r="J258" s="6" t="s">
        <v>3759</v>
      </c>
      <c r="K258" s="6">
        <v>15662785</v>
      </c>
      <c r="L258" s="7" t="s">
        <v>4098</v>
      </c>
      <c r="M258" s="8">
        <v>1145103</v>
      </c>
      <c r="N258" s="8" t="str">
        <f t="shared" si="50"/>
        <v>USD</v>
      </c>
      <c r="O258" s="13"/>
      <c r="P258" s="13">
        <v>2</v>
      </c>
      <c r="Q258" s="3">
        <f t="shared" si="35"/>
        <v>0</v>
      </c>
      <c r="R258" s="3">
        <f t="shared" si="36"/>
        <v>2</v>
      </c>
      <c r="S258" s="3">
        <f t="shared" si="37"/>
        <v>13415.760000000004</v>
      </c>
      <c r="T258" s="24" t="s">
        <v>1081</v>
      </c>
      <c r="U258" s="24" t="s">
        <v>1081</v>
      </c>
      <c r="V258" s="80"/>
      <c r="W258" s="3"/>
      <c r="X258" s="3"/>
      <c r="Y258" s="3"/>
      <c r="Z258" s="3"/>
      <c r="AA258" s="3"/>
      <c r="AB258" s="3" t="str">
        <f>IF(BCP_Dolares[[#This Row],[FECHA]]&gt;0,TEXT(BCP_Dolares[[#This Row],[FECHA]],"mmmm"),0)</f>
        <v>Junio</v>
      </c>
    </row>
    <row r="259" spans="2:28" ht="24" x14ac:dyDescent="0.3">
      <c r="B259" s="2">
        <f>IF(BCP_Dolares[[#This Row],[TIPO DE R.]]="R",COUNTIFS($D$4:$D258,"R")+1,"")</f>
        <v>113</v>
      </c>
      <c r="C259" s="19" t="str">
        <f t="shared" si="49"/>
        <v>B-BCP - Dolares</v>
      </c>
      <c r="D259" s="3" t="s">
        <v>1074</v>
      </c>
      <c r="E259" s="14">
        <v>45838</v>
      </c>
      <c r="F259" s="5" t="s">
        <v>1078</v>
      </c>
      <c r="G259" s="5" t="s">
        <v>1079</v>
      </c>
      <c r="H259" s="6" t="s">
        <v>1001</v>
      </c>
      <c r="I259" s="6" t="s">
        <v>14</v>
      </c>
      <c r="J259" s="6" t="s">
        <v>3759</v>
      </c>
      <c r="K259" s="6">
        <v>15662785</v>
      </c>
      <c r="L259" s="7" t="s">
        <v>4099</v>
      </c>
      <c r="M259" s="8">
        <v>0</v>
      </c>
      <c r="N259" s="8" t="str">
        <f t="shared" si="50"/>
        <v>USD</v>
      </c>
      <c r="O259" s="13"/>
      <c r="P259" s="13">
        <v>13</v>
      </c>
      <c r="Q259" s="3">
        <f t="shared" si="35"/>
        <v>0</v>
      </c>
      <c r="R259" s="3">
        <f t="shared" si="36"/>
        <v>13</v>
      </c>
      <c r="S259" s="3">
        <f t="shared" si="37"/>
        <v>13402.760000000004</v>
      </c>
      <c r="T259" s="24" t="s">
        <v>1081</v>
      </c>
      <c r="U259" s="24" t="s">
        <v>1081</v>
      </c>
      <c r="V259" s="80"/>
      <c r="W259" s="3"/>
      <c r="X259" s="3"/>
      <c r="Y259" s="3"/>
      <c r="Z259" s="3"/>
      <c r="AA259" s="3"/>
      <c r="AB259" s="3" t="str">
        <f>IF(BCP_Dolares[[#This Row],[FECHA]]&gt;0,TEXT(BCP_Dolares[[#This Row],[FECHA]],"mmmm"),0)</f>
        <v>Junio</v>
      </c>
    </row>
    <row r="260" spans="2:28" x14ac:dyDescent="0.3">
      <c r="B260" s="2">
        <f>IF(BCP_Dolares[[#This Row],[TIPO DE R.]]="R",COUNTIFS($D$4:$D259,"R")+1,"")</f>
        <v>114</v>
      </c>
      <c r="C260" s="19" t="str">
        <f t="shared" si="49"/>
        <v>B-BCP - Dolares</v>
      </c>
      <c r="D260" s="3" t="s">
        <v>1074</v>
      </c>
      <c r="E260" s="14">
        <v>45840</v>
      </c>
      <c r="F260" s="5" t="s">
        <v>3883</v>
      </c>
      <c r="G260" s="5" t="s">
        <v>1079</v>
      </c>
      <c r="H260" s="6" t="s">
        <v>671</v>
      </c>
      <c r="I260" s="6" t="s">
        <v>14</v>
      </c>
      <c r="J260" s="6" t="s">
        <v>1119</v>
      </c>
      <c r="K260" s="6">
        <v>20</v>
      </c>
      <c r="L260" s="7" t="s">
        <v>4100</v>
      </c>
      <c r="M260" s="8">
        <v>483588</v>
      </c>
      <c r="N260" s="8" t="str">
        <f t="shared" si="50"/>
        <v>USD</v>
      </c>
      <c r="O260" s="13"/>
      <c r="P260" s="13">
        <v>290.67</v>
      </c>
      <c r="Q260" s="3">
        <f t="shared" si="35"/>
        <v>0</v>
      </c>
      <c r="R260" s="3">
        <f t="shared" si="36"/>
        <v>290.67</v>
      </c>
      <c r="S260" s="3">
        <f t="shared" si="37"/>
        <v>13112.090000000004</v>
      </c>
      <c r="T260" s="24" t="s">
        <v>1081</v>
      </c>
      <c r="U260" s="24" t="s">
        <v>1081</v>
      </c>
      <c r="V260" s="80"/>
      <c r="W260" s="3"/>
      <c r="X260" s="3"/>
      <c r="Y260" s="3"/>
      <c r="Z260" s="3"/>
      <c r="AA260" s="3"/>
      <c r="AB260" s="3" t="str">
        <f>IF(BCP_Dolares[[#This Row],[FECHA]]&gt;0,TEXT(BCP_Dolares[[#This Row],[FECHA]],"mmmm"),0)</f>
        <v>Julio</v>
      </c>
    </row>
    <row r="261" spans="2:28" ht="24" x14ac:dyDescent="0.3">
      <c r="B261" s="2">
        <f>IF(BCP_Dolares[[#This Row],[TIPO DE R.]]="R",COUNTIFS($D$4:$D260,"R")+1,"")</f>
        <v>115</v>
      </c>
      <c r="C261" s="19" t="str">
        <f t="shared" si="49"/>
        <v>B-BCP - Dolares</v>
      </c>
      <c r="D261" s="3" t="s">
        <v>1074</v>
      </c>
      <c r="E261" s="14">
        <v>45840</v>
      </c>
      <c r="F261" s="5" t="s">
        <v>1078</v>
      </c>
      <c r="G261" s="5" t="s">
        <v>1079</v>
      </c>
      <c r="H261" s="6" t="s">
        <v>1001</v>
      </c>
      <c r="I261" s="6" t="s">
        <v>14</v>
      </c>
      <c r="J261" s="6" t="s">
        <v>3128</v>
      </c>
      <c r="K261" s="6">
        <v>34312266</v>
      </c>
      <c r="L261" s="7" t="s">
        <v>4101</v>
      </c>
      <c r="M261" s="8">
        <v>4835886</v>
      </c>
      <c r="N261" s="8" t="str">
        <f t="shared" si="50"/>
        <v>USD</v>
      </c>
      <c r="O261" s="13"/>
      <c r="P261" s="13">
        <v>6.32</v>
      </c>
      <c r="Q261" s="3">
        <f t="shared" si="35"/>
        <v>0</v>
      </c>
      <c r="R261" s="3">
        <f t="shared" si="36"/>
        <v>6.32</v>
      </c>
      <c r="S261" s="3">
        <f t="shared" si="37"/>
        <v>13105.770000000004</v>
      </c>
      <c r="T261" s="24" t="s">
        <v>1081</v>
      </c>
      <c r="U261" s="24" t="s">
        <v>1081</v>
      </c>
      <c r="V261" s="80"/>
      <c r="W261" s="3"/>
      <c r="X261" s="3"/>
      <c r="Y261" s="3"/>
      <c r="Z261" s="3"/>
      <c r="AA261" s="3"/>
      <c r="AB261" s="3" t="str">
        <f>IF(BCP_Dolares[[#This Row],[FECHA]]&gt;0,TEXT(BCP_Dolares[[#This Row],[FECHA]],"mmmm"),0)</f>
        <v>Julio</v>
      </c>
    </row>
    <row r="262" spans="2:28" x14ac:dyDescent="0.3">
      <c r="B262" s="2">
        <f>IF(BCP_Dolares[[#This Row],[TIPO DE R.]]="R",COUNTIFS($D$4:$D261,"R")+1,"")</f>
        <v>116</v>
      </c>
      <c r="C262" s="19" t="str">
        <f t="shared" ref="C262:C266" si="51">"B-BCP - Dolares"</f>
        <v>B-BCP - Dolares</v>
      </c>
      <c r="D262" s="3" t="s">
        <v>1074</v>
      </c>
      <c r="E262" s="14">
        <v>45845</v>
      </c>
      <c r="F262" s="5" t="s">
        <v>3883</v>
      </c>
      <c r="G262" s="5" t="s">
        <v>1079</v>
      </c>
      <c r="H262" s="6"/>
      <c r="I262" s="6"/>
      <c r="J262" s="6"/>
      <c r="K262" s="6"/>
      <c r="L262" s="7" t="s">
        <v>4102</v>
      </c>
      <c r="M262" s="8">
        <v>1263918</v>
      </c>
      <c r="N262" s="8" t="str">
        <f t="shared" ref="N262:N268" si="52">"USD"</f>
        <v>USD</v>
      </c>
      <c r="O262" s="13"/>
      <c r="P262" s="13">
        <v>2500</v>
      </c>
      <c r="Q262" s="3">
        <f t="shared" si="35"/>
        <v>0</v>
      </c>
      <c r="R262" s="3">
        <f t="shared" si="36"/>
        <v>2500</v>
      </c>
      <c r="S262" s="3">
        <f t="shared" si="37"/>
        <v>10605.770000000004</v>
      </c>
      <c r="T262" s="24"/>
      <c r="U262" s="24"/>
      <c r="V262" s="80"/>
      <c r="W262" s="3"/>
      <c r="X262" s="3"/>
      <c r="Y262" s="3"/>
      <c r="Z262" s="3"/>
      <c r="AA262" s="3"/>
      <c r="AB262" s="3" t="str">
        <f>IF(BCP_Dolares[[#This Row],[FECHA]]&gt;0,TEXT(BCP_Dolares[[#This Row],[FECHA]],"mmmm"),0)</f>
        <v>Julio</v>
      </c>
    </row>
    <row r="263" spans="2:28" ht="24" x14ac:dyDescent="0.3">
      <c r="B263" s="2">
        <f>IF(BCP_Dolares[[#This Row],[TIPO DE R.]]="R",COUNTIFS($D$4:$D262,"R")+1,"")</f>
        <v>117</v>
      </c>
      <c r="C263" s="19" t="str">
        <f t="shared" si="51"/>
        <v>B-BCP - Dolares</v>
      </c>
      <c r="D263" s="3" t="s">
        <v>1074</v>
      </c>
      <c r="E263" s="14">
        <v>45847</v>
      </c>
      <c r="F263" s="5" t="s">
        <v>3883</v>
      </c>
      <c r="G263" s="5" t="s">
        <v>1079</v>
      </c>
      <c r="H263" s="6" t="s">
        <v>683</v>
      </c>
      <c r="I263" s="6" t="s">
        <v>14</v>
      </c>
      <c r="J263" s="6" t="s">
        <v>1204</v>
      </c>
      <c r="K263" s="6">
        <v>466043</v>
      </c>
      <c r="L263" s="7" t="s">
        <v>4103</v>
      </c>
      <c r="M263" s="8">
        <v>74536</v>
      </c>
      <c r="N263" s="8" t="str">
        <f t="shared" si="52"/>
        <v>USD</v>
      </c>
      <c r="O263" s="13"/>
      <c r="P263" s="13">
        <v>416.27</v>
      </c>
      <c r="Q263" s="3">
        <f t="shared" si="35"/>
        <v>0</v>
      </c>
      <c r="R263" s="3">
        <f t="shared" si="36"/>
        <v>416.27</v>
      </c>
      <c r="S263" s="3">
        <f t="shared" si="37"/>
        <v>10189.500000000004</v>
      </c>
      <c r="T263" s="24" t="s">
        <v>1081</v>
      </c>
      <c r="U263" s="24" t="s">
        <v>1081</v>
      </c>
      <c r="V263" s="80"/>
      <c r="W263" s="3"/>
      <c r="X263" s="3"/>
      <c r="Y263" s="3"/>
      <c r="Z263" s="3"/>
      <c r="AA263" s="3"/>
      <c r="AB263" s="3" t="str">
        <f>IF(BCP_Dolares[[#This Row],[FECHA]]&gt;0,TEXT(BCP_Dolares[[#This Row],[FECHA]],"mmmm"),0)</f>
        <v>Julio</v>
      </c>
    </row>
    <row r="264" spans="2:28" ht="24" x14ac:dyDescent="0.3">
      <c r="B264" s="2">
        <f>IF(BCP_Dolares[[#This Row],[TIPO DE R.]]="R",COUNTIFS($D$4:$D263,"R")+1,"")</f>
        <v>118</v>
      </c>
      <c r="C264" s="19" t="str">
        <f t="shared" si="51"/>
        <v>B-BCP - Dolares</v>
      </c>
      <c r="D264" s="3" t="s">
        <v>1074</v>
      </c>
      <c r="E264" s="14">
        <v>45847</v>
      </c>
      <c r="F264" s="5" t="s">
        <v>1082</v>
      </c>
      <c r="G264" s="5" t="s">
        <v>1079</v>
      </c>
      <c r="H264" s="6"/>
      <c r="I264" s="6"/>
      <c r="J264" s="6"/>
      <c r="K264" s="6"/>
      <c r="L264" s="7" t="s">
        <v>4104</v>
      </c>
      <c r="M264" s="8">
        <v>1077572</v>
      </c>
      <c r="N264" s="8" t="str">
        <f t="shared" si="52"/>
        <v>USD</v>
      </c>
      <c r="O264" s="13"/>
      <c r="P264" s="13">
        <v>4200</v>
      </c>
      <c r="Q264" s="3">
        <f t="shared" si="35"/>
        <v>0</v>
      </c>
      <c r="R264" s="3">
        <f t="shared" si="36"/>
        <v>4200</v>
      </c>
      <c r="S264" s="3">
        <f t="shared" si="37"/>
        <v>5989.5000000000036</v>
      </c>
      <c r="T264" s="24"/>
      <c r="U264" s="24"/>
      <c r="V264" s="80"/>
      <c r="W264" s="3" t="s">
        <v>1020</v>
      </c>
      <c r="X264" s="3"/>
      <c r="Y264" s="3"/>
      <c r="Z264" s="3"/>
      <c r="AA264" s="3"/>
      <c r="AB264" s="3" t="str">
        <f>IF(BCP_Dolares[[#This Row],[FECHA]]&gt;0,TEXT(BCP_Dolares[[#This Row],[FECHA]],"mmmm"),0)</f>
        <v>Julio</v>
      </c>
    </row>
    <row r="265" spans="2:28" ht="24" x14ac:dyDescent="0.3">
      <c r="B265" s="2">
        <f>IF(BCP_Dolares[[#This Row],[TIPO DE R.]]="R",COUNTIFS($D$4:$D264,"R")+1,"")</f>
        <v>119</v>
      </c>
      <c r="C265" s="19" t="str">
        <f t="shared" si="51"/>
        <v>B-BCP - Dolares</v>
      </c>
      <c r="D265" s="3" t="s">
        <v>1074</v>
      </c>
      <c r="E265" s="14">
        <v>45847</v>
      </c>
      <c r="F265" s="5" t="s">
        <v>1082</v>
      </c>
      <c r="G265" s="5" t="s">
        <v>1079</v>
      </c>
      <c r="H265" s="6" t="s">
        <v>683</v>
      </c>
      <c r="I265" s="6" t="s">
        <v>14</v>
      </c>
      <c r="J265" s="6" t="s">
        <v>1204</v>
      </c>
      <c r="K265" s="6">
        <v>466228</v>
      </c>
      <c r="L265" s="7" t="s">
        <v>4105</v>
      </c>
      <c r="M265" s="8">
        <v>191938</v>
      </c>
      <c r="N265" s="8" t="str">
        <f t="shared" si="52"/>
        <v>USD</v>
      </c>
      <c r="O265" s="13"/>
      <c r="P265" s="13">
        <v>102.22</v>
      </c>
      <c r="Q265" s="3">
        <f t="shared" si="35"/>
        <v>0</v>
      </c>
      <c r="R265" s="3">
        <f t="shared" si="36"/>
        <v>102.22</v>
      </c>
      <c r="S265" s="3">
        <f t="shared" si="37"/>
        <v>5887.2800000000034</v>
      </c>
      <c r="T265" s="24" t="s">
        <v>1081</v>
      </c>
      <c r="U265" s="24" t="s">
        <v>1081</v>
      </c>
      <c r="V265" s="80"/>
      <c r="W265" s="3"/>
      <c r="X265" s="3"/>
      <c r="Y265" s="3"/>
      <c r="Z265" s="3"/>
      <c r="AA265" s="3"/>
      <c r="AB265" s="3" t="str">
        <f>IF(BCP_Dolares[[#This Row],[FECHA]]&gt;0,TEXT(BCP_Dolares[[#This Row],[FECHA]],"mmmm"),0)</f>
        <v>Julio</v>
      </c>
    </row>
    <row r="266" spans="2:28" x14ac:dyDescent="0.3">
      <c r="B266" s="2">
        <f>IF(BCP_Dolares[[#This Row],[TIPO DE R.]]="R",COUNTIFS($D$4:$D265,"R")+1,"")</f>
        <v>120</v>
      </c>
      <c r="C266" s="19" t="str">
        <f t="shared" si="51"/>
        <v>B-BCP - Dolares</v>
      </c>
      <c r="D266" s="13" t="s">
        <v>1074</v>
      </c>
      <c r="E266" s="14">
        <v>45847</v>
      </c>
      <c r="F266" s="5" t="s">
        <v>1082</v>
      </c>
      <c r="G266" s="5" t="s">
        <v>1079</v>
      </c>
      <c r="H266" s="6"/>
      <c r="I266" s="6"/>
      <c r="J266" s="6"/>
      <c r="K266" s="6"/>
      <c r="L266" s="7" t="s">
        <v>4106</v>
      </c>
      <c r="M266" s="8">
        <v>1188999</v>
      </c>
      <c r="N266" s="8" t="str">
        <f t="shared" si="52"/>
        <v>USD</v>
      </c>
      <c r="O266" s="13"/>
      <c r="P266" s="13">
        <v>500</v>
      </c>
      <c r="Q266" s="3">
        <f t="shared" si="35"/>
        <v>0</v>
      </c>
      <c r="R266" s="3">
        <f t="shared" si="36"/>
        <v>500</v>
      </c>
      <c r="S266" s="3">
        <f t="shared" si="37"/>
        <v>5387.2800000000034</v>
      </c>
      <c r="T266" s="24"/>
      <c r="U266" s="24"/>
      <c r="V266" s="80"/>
      <c r="W266" s="3"/>
      <c r="X266" s="3"/>
      <c r="Y266" s="3"/>
      <c r="Z266" s="3"/>
      <c r="AA266" s="3"/>
      <c r="AB266" s="3" t="str">
        <f>IF(BCP_Dolares[[#This Row],[FECHA]]&gt;0,TEXT(BCP_Dolares[[#This Row],[FECHA]],"mmmm"),0)</f>
        <v>Julio</v>
      </c>
    </row>
    <row r="267" spans="2:28" x14ac:dyDescent="0.3">
      <c r="B267" s="2">
        <f>IF(BCP_Dolares[[#This Row],[TIPO DE R.]]="R",COUNTIFS($D$4:$D266,"R")+1,"")</f>
        <v>121</v>
      </c>
      <c r="C267" s="19" t="str">
        <f t="shared" ref="C267:C276" si="53">"B-BCP - Dolares"</f>
        <v>B-BCP - Dolares</v>
      </c>
      <c r="D267" s="13" t="s">
        <v>1074</v>
      </c>
      <c r="E267" s="14">
        <v>45847</v>
      </c>
      <c r="F267" s="5" t="s">
        <v>1078</v>
      </c>
      <c r="G267" s="5" t="s">
        <v>1079</v>
      </c>
      <c r="H267" s="6" t="s">
        <v>950</v>
      </c>
      <c r="I267" s="6" t="s">
        <v>10</v>
      </c>
      <c r="J267" s="6" t="s">
        <v>4107</v>
      </c>
      <c r="K267" s="6">
        <v>121</v>
      </c>
      <c r="L267" s="7" t="s">
        <v>2868</v>
      </c>
      <c r="M267" s="8"/>
      <c r="N267" s="8" t="str">
        <f>"USD"</f>
        <v>USD</v>
      </c>
      <c r="O267" s="13"/>
      <c r="P267" s="13">
        <v>0.2</v>
      </c>
      <c r="Q267" s="3">
        <f t="shared" si="35"/>
        <v>0</v>
      </c>
      <c r="R267" s="3">
        <f t="shared" si="36"/>
        <v>0.2</v>
      </c>
      <c r="S267" s="3">
        <f t="shared" si="37"/>
        <v>5387.0800000000036</v>
      </c>
      <c r="T267" s="24" t="s">
        <v>1081</v>
      </c>
      <c r="U267" s="24"/>
      <c r="V267" s="80"/>
      <c r="W267" s="3"/>
      <c r="X267" s="3"/>
      <c r="Y267" s="3"/>
      <c r="Z267" s="3"/>
      <c r="AA267" s="3"/>
      <c r="AB267" s="3" t="str">
        <f>IF(BCP_Dolares[[#This Row],[FECHA]]&gt;0,TEXT(BCP_Dolares[[#This Row],[FECHA]],"mmmm"),0)</f>
        <v>Julio</v>
      </c>
    </row>
    <row r="268" spans="2:28" x14ac:dyDescent="0.3">
      <c r="B268" s="2">
        <f>IF(BCP_Dolares[[#This Row],[TIPO DE R.]]="R",COUNTIFS($D$4:$D267,"R")+1,"")</f>
        <v>122</v>
      </c>
      <c r="C268" s="19" t="str">
        <f t="shared" si="53"/>
        <v>B-BCP - Dolares</v>
      </c>
      <c r="D268" s="3" t="s">
        <v>1074</v>
      </c>
      <c r="E268" s="14">
        <v>45848</v>
      </c>
      <c r="F268" s="5" t="s">
        <v>1082</v>
      </c>
      <c r="G268" s="5" t="s">
        <v>1079</v>
      </c>
      <c r="H268" s="6" t="s">
        <v>638</v>
      </c>
      <c r="I268" s="6"/>
      <c r="J268" s="6"/>
      <c r="K268" s="6"/>
      <c r="L268" s="7" t="s">
        <v>4108</v>
      </c>
      <c r="M268" s="8">
        <v>7932989</v>
      </c>
      <c r="N268" s="8" t="str">
        <f t="shared" si="52"/>
        <v>USD</v>
      </c>
      <c r="O268" s="13"/>
      <c r="P268" s="13">
        <v>3001.1</v>
      </c>
      <c r="Q268" s="3">
        <f t="shared" si="35"/>
        <v>0</v>
      </c>
      <c r="R268" s="3">
        <f t="shared" si="36"/>
        <v>3001.1</v>
      </c>
      <c r="S268" s="3">
        <f t="shared" si="37"/>
        <v>2385.9800000000037</v>
      </c>
      <c r="T268" s="24" t="s">
        <v>1081</v>
      </c>
      <c r="U268" s="24" t="s">
        <v>1081</v>
      </c>
      <c r="V268" s="80"/>
      <c r="W268" s="3"/>
      <c r="X268" s="3"/>
      <c r="Y268" s="3"/>
      <c r="Z268" s="3"/>
      <c r="AA268" s="3"/>
      <c r="AB268" s="3" t="str">
        <f>IF(BCP_Dolares[[#This Row],[FECHA]]&gt;0,TEXT(BCP_Dolares[[#This Row],[FECHA]],"mmmm"),0)</f>
        <v>Julio</v>
      </c>
    </row>
    <row r="269" spans="2:28" ht="20.25" customHeight="1" x14ac:dyDescent="0.3">
      <c r="B269" s="2" t="str">
        <f>IF(BCP_Dolares[[#This Row],[TIPO DE R.]]="R",COUNTIFS($D$4:$D268,"R")+1,"")</f>
        <v/>
      </c>
      <c r="C269" s="19" t="str">
        <f t="shared" si="53"/>
        <v>B-BCP - Dolares</v>
      </c>
      <c r="D269" s="3" t="s">
        <v>1101</v>
      </c>
      <c r="E269" s="14">
        <v>45848</v>
      </c>
      <c r="F269" s="5" t="s">
        <v>1082</v>
      </c>
      <c r="G269" s="5"/>
      <c r="H269" s="6" t="s">
        <v>147</v>
      </c>
      <c r="I269" s="6" t="s">
        <v>14</v>
      </c>
      <c r="J269" s="6" t="s">
        <v>1148</v>
      </c>
      <c r="K269" s="6">
        <v>16247</v>
      </c>
      <c r="L269" s="7" t="s">
        <v>4108</v>
      </c>
      <c r="M269" s="8">
        <v>7932989</v>
      </c>
      <c r="N269" s="8" t="str">
        <f t="shared" ref="N269:N276" si="54">"USD"</f>
        <v>USD</v>
      </c>
      <c r="O269" s="13">
        <v>96.19</v>
      </c>
      <c r="P269" s="13"/>
      <c r="Q269" s="3">
        <f t="shared" si="35"/>
        <v>0</v>
      </c>
      <c r="R269" s="3">
        <f t="shared" si="36"/>
        <v>0</v>
      </c>
      <c r="S269" s="3">
        <f t="shared" si="37"/>
        <v>2385.9800000000037</v>
      </c>
      <c r="T269" s="24" t="s">
        <v>1081</v>
      </c>
      <c r="U269" s="24" t="s">
        <v>1081</v>
      </c>
      <c r="V269" s="80"/>
      <c r="W269" s="3"/>
      <c r="X269" s="3"/>
      <c r="Y269" s="3"/>
      <c r="Z269" s="3"/>
      <c r="AA269" s="3"/>
      <c r="AB269" s="3" t="str">
        <f>IF(BCP_Dolares[[#This Row],[FECHA]]&gt;0,TEXT(BCP_Dolares[[#This Row],[FECHA]],"mmmm"),0)</f>
        <v>Julio</v>
      </c>
    </row>
    <row r="270" spans="2:28" ht="20.25" customHeight="1" x14ac:dyDescent="0.3">
      <c r="B270" s="2" t="str">
        <f>IF(BCP_Dolares[[#This Row],[TIPO DE R.]]="R",COUNTIFS($D$4:$D269,"R")+1,"")</f>
        <v/>
      </c>
      <c r="C270" s="19" t="str">
        <f t="shared" si="53"/>
        <v>B-BCP - Dolares</v>
      </c>
      <c r="D270" s="3" t="s">
        <v>1101</v>
      </c>
      <c r="E270" s="14">
        <v>45848</v>
      </c>
      <c r="F270" s="5" t="s">
        <v>1082</v>
      </c>
      <c r="G270" s="5"/>
      <c r="H270" s="6" t="s">
        <v>147</v>
      </c>
      <c r="I270" s="6" t="s">
        <v>14</v>
      </c>
      <c r="J270" s="6" t="s">
        <v>1148</v>
      </c>
      <c r="K270" s="6">
        <v>16242</v>
      </c>
      <c r="L270" s="7" t="s">
        <v>4108</v>
      </c>
      <c r="M270" s="8">
        <v>7932989</v>
      </c>
      <c r="N270" s="8" t="str">
        <f t="shared" si="54"/>
        <v>USD</v>
      </c>
      <c r="O270" s="13">
        <v>50.65</v>
      </c>
      <c r="P270" s="13"/>
      <c r="Q270" s="3">
        <f t="shared" si="35"/>
        <v>0</v>
      </c>
      <c r="R270" s="3">
        <f t="shared" si="36"/>
        <v>0</v>
      </c>
      <c r="S270" s="3">
        <f t="shared" si="37"/>
        <v>2385.9800000000037</v>
      </c>
      <c r="T270" s="24" t="s">
        <v>1081</v>
      </c>
      <c r="U270" s="24" t="s">
        <v>1081</v>
      </c>
      <c r="V270" s="80"/>
      <c r="W270" s="3"/>
      <c r="X270" s="3"/>
      <c r="Y270" s="3"/>
      <c r="Z270" s="3"/>
      <c r="AA270" s="3"/>
      <c r="AB270" s="3" t="str">
        <f>IF(BCP_Dolares[[#This Row],[FECHA]]&gt;0,TEXT(BCP_Dolares[[#This Row],[FECHA]],"mmmm"),0)</f>
        <v>Julio</v>
      </c>
    </row>
    <row r="271" spans="2:28" ht="20.25" customHeight="1" x14ac:dyDescent="0.3">
      <c r="B271" s="2" t="str">
        <f>IF(BCP_Dolares[[#This Row],[TIPO DE R.]]="R",COUNTIFS($D$4:$D270,"R")+1,"")</f>
        <v/>
      </c>
      <c r="C271" s="19" t="str">
        <f t="shared" si="53"/>
        <v>B-BCP - Dolares</v>
      </c>
      <c r="D271" s="3" t="s">
        <v>1101</v>
      </c>
      <c r="E271" s="14">
        <v>45848</v>
      </c>
      <c r="F271" s="5" t="s">
        <v>1082</v>
      </c>
      <c r="G271" s="5"/>
      <c r="H271" s="6" t="s">
        <v>147</v>
      </c>
      <c r="I271" s="6" t="s">
        <v>14</v>
      </c>
      <c r="J271" s="6" t="s">
        <v>1148</v>
      </c>
      <c r="K271" s="6">
        <v>16253</v>
      </c>
      <c r="L271" s="7" t="s">
        <v>4108</v>
      </c>
      <c r="M271" s="8">
        <v>7932989</v>
      </c>
      <c r="N271" s="8" t="str">
        <f t="shared" si="54"/>
        <v>USD</v>
      </c>
      <c r="O271" s="13">
        <v>72.8</v>
      </c>
      <c r="P271" s="13"/>
      <c r="Q271" s="3">
        <f t="shared" si="35"/>
        <v>0</v>
      </c>
      <c r="R271" s="3">
        <f t="shared" si="36"/>
        <v>0</v>
      </c>
      <c r="S271" s="3">
        <f t="shared" si="37"/>
        <v>2385.9800000000037</v>
      </c>
      <c r="T271" s="24" t="s">
        <v>1081</v>
      </c>
      <c r="U271" s="24" t="s">
        <v>1081</v>
      </c>
      <c r="V271" s="80"/>
      <c r="W271" s="3"/>
      <c r="X271" s="3"/>
      <c r="Y271" s="3"/>
      <c r="Z271" s="3"/>
      <c r="AA271" s="3"/>
      <c r="AB271" s="3" t="str">
        <f>IF(BCP_Dolares[[#This Row],[FECHA]]&gt;0,TEXT(BCP_Dolares[[#This Row],[FECHA]],"mmmm"),0)</f>
        <v>Julio</v>
      </c>
    </row>
    <row r="272" spans="2:28" ht="20.25" customHeight="1" x14ac:dyDescent="0.3">
      <c r="B272" s="2" t="str">
        <f>IF(BCP_Dolares[[#This Row],[TIPO DE R.]]="R",COUNTIFS($D$4:$D271,"R")+1,"")</f>
        <v/>
      </c>
      <c r="C272" s="19" t="str">
        <f t="shared" si="53"/>
        <v>B-BCP - Dolares</v>
      </c>
      <c r="D272" s="3" t="s">
        <v>1101</v>
      </c>
      <c r="E272" s="14">
        <v>45848</v>
      </c>
      <c r="F272" s="5" t="s">
        <v>1082</v>
      </c>
      <c r="G272" s="5"/>
      <c r="H272" s="6" t="s">
        <v>147</v>
      </c>
      <c r="I272" s="6" t="s">
        <v>14</v>
      </c>
      <c r="J272" s="6" t="s">
        <v>1148</v>
      </c>
      <c r="K272" s="6">
        <v>16252</v>
      </c>
      <c r="L272" s="7" t="s">
        <v>4108</v>
      </c>
      <c r="M272" s="8">
        <v>7932989</v>
      </c>
      <c r="N272" s="8" t="str">
        <f t="shared" si="54"/>
        <v>USD</v>
      </c>
      <c r="O272" s="13">
        <v>76.5</v>
      </c>
      <c r="P272" s="13"/>
      <c r="Q272" s="3">
        <f t="shared" si="35"/>
        <v>0</v>
      </c>
      <c r="R272" s="3">
        <f t="shared" si="36"/>
        <v>0</v>
      </c>
      <c r="S272" s="3">
        <f t="shared" si="37"/>
        <v>2385.9800000000037</v>
      </c>
      <c r="T272" s="24" t="s">
        <v>1081</v>
      </c>
      <c r="U272" s="24" t="s">
        <v>1081</v>
      </c>
      <c r="V272" s="80"/>
      <c r="W272" s="3"/>
      <c r="X272" s="3"/>
      <c r="Y272" s="3"/>
      <c r="Z272" s="3"/>
      <c r="AA272" s="3"/>
      <c r="AB272" s="3" t="str">
        <f>IF(BCP_Dolares[[#This Row],[FECHA]]&gt;0,TEXT(BCP_Dolares[[#This Row],[FECHA]],"mmmm"),0)</f>
        <v>Julio</v>
      </c>
    </row>
    <row r="273" spans="2:28" ht="20.25" customHeight="1" x14ac:dyDescent="0.3">
      <c r="B273" s="2" t="str">
        <f>IF(BCP_Dolares[[#This Row],[TIPO DE R.]]="R",COUNTIFS($D$4:$D272,"R")+1,"")</f>
        <v/>
      </c>
      <c r="C273" s="19" t="str">
        <f t="shared" si="53"/>
        <v>B-BCP - Dolares</v>
      </c>
      <c r="D273" s="3" t="s">
        <v>1101</v>
      </c>
      <c r="E273" s="14">
        <v>45848</v>
      </c>
      <c r="F273" s="5" t="s">
        <v>1082</v>
      </c>
      <c r="G273" s="5"/>
      <c r="H273" s="6" t="s">
        <v>147</v>
      </c>
      <c r="I273" s="6" t="s">
        <v>14</v>
      </c>
      <c r="J273" s="6" t="s">
        <v>1148</v>
      </c>
      <c r="K273" s="6">
        <v>16181</v>
      </c>
      <c r="L273" s="7" t="s">
        <v>4108</v>
      </c>
      <c r="M273" s="8">
        <v>7932989</v>
      </c>
      <c r="N273" s="8" t="str">
        <f t="shared" si="54"/>
        <v>USD</v>
      </c>
      <c r="O273" s="13">
        <v>847.56</v>
      </c>
      <c r="P273" s="13"/>
      <c r="Q273" s="3">
        <f t="shared" si="35"/>
        <v>0</v>
      </c>
      <c r="R273" s="3">
        <f t="shared" si="36"/>
        <v>0</v>
      </c>
      <c r="S273" s="3">
        <f t="shared" si="37"/>
        <v>2385.9800000000037</v>
      </c>
      <c r="T273" s="24" t="s">
        <v>1081</v>
      </c>
      <c r="U273" s="24" t="s">
        <v>1081</v>
      </c>
      <c r="V273" s="80"/>
      <c r="W273" s="3"/>
      <c r="X273" s="3"/>
      <c r="Y273" s="3"/>
      <c r="Z273" s="3"/>
      <c r="AA273" s="3"/>
      <c r="AB273" s="3" t="str">
        <f>IF(BCP_Dolares[[#This Row],[FECHA]]&gt;0,TEXT(BCP_Dolares[[#This Row],[FECHA]],"mmmm"),0)</f>
        <v>Julio</v>
      </c>
    </row>
    <row r="274" spans="2:28" ht="20.25" customHeight="1" x14ac:dyDescent="0.3">
      <c r="B274" s="2" t="str">
        <f>IF(BCP_Dolares[[#This Row],[TIPO DE R.]]="R",COUNTIFS($D$4:$D273,"R")+1,"")</f>
        <v/>
      </c>
      <c r="C274" s="19" t="str">
        <f t="shared" si="53"/>
        <v>B-BCP - Dolares</v>
      </c>
      <c r="D274" s="3" t="s">
        <v>1101</v>
      </c>
      <c r="E274" s="14">
        <v>45848</v>
      </c>
      <c r="F274" s="5" t="s">
        <v>1082</v>
      </c>
      <c r="G274" s="5"/>
      <c r="H274" s="6" t="s">
        <v>147</v>
      </c>
      <c r="I274" s="6" t="s">
        <v>14</v>
      </c>
      <c r="J274" s="6" t="s">
        <v>1148</v>
      </c>
      <c r="K274" s="6">
        <v>16209</v>
      </c>
      <c r="L274" s="7" t="s">
        <v>4108</v>
      </c>
      <c r="M274" s="8">
        <v>7932989</v>
      </c>
      <c r="N274" s="8" t="str">
        <f t="shared" si="54"/>
        <v>USD</v>
      </c>
      <c r="O274" s="13">
        <v>1794.32</v>
      </c>
      <c r="P274" s="13"/>
      <c r="Q274" s="3">
        <f t="shared" ref="Q274:Q286" si="55">+IF(OR($G274="SALDO",$G274="INGRESO"),$P274,0)</f>
        <v>0</v>
      </c>
      <c r="R274" s="3">
        <f t="shared" ref="R274:R286" si="56">+IF($G274="EGRESO",$P274,0)</f>
        <v>0</v>
      </c>
      <c r="S274" s="3">
        <f t="shared" ref="S274:S286" si="57">IFERROR(IF(G274="SALDO",Q274,S273+Q274-R274),0)</f>
        <v>2385.9800000000037</v>
      </c>
      <c r="T274" s="24" t="s">
        <v>1081</v>
      </c>
      <c r="U274" s="24" t="s">
        <v>1081</v>
      </c>
      <c r="V274" s="80"/>
      <c r="W274" s="3"/>
      <c r="X274" s="3"/>
      <c r="Y274" s="3"/>
      <c r="Z274" s="3"/>
      <c r="AA274" s="3"/>
      <c r="AB274" s="3" t="str">
        <f>IF(BCP_Dolares[[#This Row],[FECHA]]&gt;0,TEXT(BCP_Dolares[[#This Row],[FECHA]],"mmmm"),0)</f>
        <v>Julio</v>
      </c>
    </row>
    <row r="275" spans="2:28" ht="20.25" customHeight="1" x14ac:dyDescent="0.3">
      <c r="B275" s="2" t="str">
        <f>IF(BCP_Dolares[[#This Row],[TIPO DE R.]]="R",COUNTIFS($D$4:$D274,"R")+1,"")</f>
        <v/>
      </c>
      <c r="C275" s="19" t="str">
        <f t="shared" si="53"/>
        <v>B-BCP - Dolares</v>
      </c>
      <c r="D275" s="3" t="s">
        <v>1101</v>
      </c>
      <c r="E275" s="14">
        <v>45848</v>
      </c>
      <c r="F275" s="5" t="s">
        <v>1082</v>
      </c>
      <c r="G275" s="5"/>
      <c r="H275" s="6" t="s">
        <v>147</v>
      </c>
      <c r="I275" s="6" t="s">
        <v>14</v>
      </c>
      <c r="J275" s="6" t="s">
        <v>1148</v>
      </c>
      <c r="K275" s="6">
        <v>16265</v>
      </c>
      <c r="L275" s="7" t="s">
        <v>4108</v>
      </c>
      <c r="M275" s="8">
        <v>7932989</v>
      </c>
      <c r="N275" s="8" t="str">
        <f t="shared" si="54"/>
        <v>USD</v>
      </c>
      <c r="O275" s="13">
        <v>63.08</v>
      </c>
      <c r="P275" s="13"/>
      <c r="Q275" s="3">
        <f t="shared" si="55"/>
        <v>0</v>
      </c>
      <c r="R275" s="3">
        <f t="shared" si="56"/>
        <v>0</v>
      </c>
      <c r="S275" s="3">
        <f t="shared" si="57"/>
        <v>2385.9800000000037</v>
      </c>
      <c r="T275" s="24" t="s">
        <v>1081</v>
      </c>
      <c r="U275" s="24" t="s">
        <v>1081</v>
      </c>
      <c r="V275" s="80"/>
      <c r="W275" s="3"/>
      <c r="X275" s="3"/>
      <c r="Y275" s="3"/>
      <c r="Z275" s="3"/>
      <c r="AA275" s="3"/>
      <c r="AB275" s="3" t="str">
        <f>IF(BCP_Dolares[[#This Row],[FECHA]]&gt;0,TEXT(BCP_Dolares[[#This Row],[FECHA]],"mmmm"),0)</f>
        <v>Julio</v>
      </c>
    </row>
    <row r="276" spans="2:28" x14ac:dyDescent="0.3">
      <c r="B276" s="2">
        <f>IF(BCP_Dolares[[#This Row],[TIPO DE R.]]="R",COUNTIFS($D$4:$D275,"R")+1,"")</f>
        <v>123</v>
      </c>
      <c r="C276" s="19" t="str">
        <f t="shared" si="53"/>
        <v>B-BCP - Dolares</v>
      </c>
      <c r="D276" s="3" t="s">
        <v>1074</v>
      </c>
      <c r="E276" s="14">
        <v>45848</v>
      </c>
      <c r="F276" s="5" t="s">
        <v>1078</v>
      </c>
      <c r="G276" s="5" t="s">
        <v>1079</v>
      </c>
      <c r="H276" s="6" t="s">
        <v>950</v>
      </c>
      <c r="I276" s="6" t="s">
        <v>10</v>
      </c>
      <c r="J276" s="6" t="s">
        <v>4107</v>
      </c>
      <c r="K276" s="6">
        <v>123</v>
      </c>
      <c r="L276" s="7" t="s">
        <v>2868</v>
      </c>
      <c r="M276" s="8"/>
      <c r="N276" s="8" t="str">
        <f t="shared" si="54"/>
        <v>USD</v>
      </c>
      <c r="O276" s="13"/>
      <c r="P276" s="13">
        <v>0.15</v>
      </c>
      <c r="Q276" s="3">
        <f t="shared" si="55"/>
        <v>0</v>
      </c>
      <c r="R276" s="3">
        <f t="shared" si="56"/>
        <v>0.15</v>
      </c>
      <c r="S276" s="3">
        <f t="shared" si="57"/>
        <v>2385.8300000000036</v>
      </c>
      <c r="T276" s="24" t="s">
        <v>1081</v>
      </c>
      <c r="U276" s="24"/>
      <c r="V276" s="80"/>
      <c r="W276" s="3"/>
      <c r="X276" s="3"/>
      <c r="Y276" s="3"/>
      <c r="Z276" s="3"/>
      <c r="AA276" s="3"/>
      <c r="AB276" s="3" t="str">
        <f>IF(BCP_Dolares[[#This Row],[FECHA]]&gt;0,TEXT(BCP_Dolares[[#This Row],[FECHA]],"mmmm"),0)</f>
        <v>Julio</v>
      </c>
    </row>
    <row r="277" spans="2:28" x14ac:dyDescent="0.3">
      <c r="B277" s="2">
        <f>IF(BCP_Dolares[[#This Row],[TIPO DE R.]]="R",COUNTIFS($D$4:$D276,"R")+1,"")</f>
        <v>124</v>
      </c>
      <c r="C277" s="19" t="str">
        <f t="shared" ref="C277:C284" si="58">"B-BCP - Dolares"</f>
        <v>B-BCP - Dolares</v>
      </c>
      <c r="D277" s="3" t="s">
        <v>1074</v>
      </c>
      <c r="E277" s="14">
        <v>45853</v>
      </c>
      <c r="F277" s="5" t="s">
        <v>3738</v>
      </c>
      <c r="G277" s="5" t="s">
        <v>1087</v>
      </c>
      <c r="H277" s="6" t="s">
        <v>368</v>
      </c>
      <c r="I277" s="6" t="s">
        <v>14</v>
      </c>
      <c r="J277" s="6" t="s">
        <v>1521</v>
      </c>
      <c r="K277" s="6">
        <v>134</v>
      </c>
      <c r="L277" s="7" t="s">
        <v>3739</v>
      </c>
      <c r="M277" s="8">
        <v>2282668</v>
      </c>
      <c r="N277" s="8" t="str">
        <f t="shared" ref="N277:N284" si="59">"USD"</f>
        <v>USD</v>
      </c>
      <c r="O277" s="13"/>
      <c r="P277" s="13">
        <v>7768</v>
      </c>
      <c r="Q277" s="3">
        <f t="shared" si="55"/>
        <v>7768</v>
      </c>
      <c r="R277" s="3">
        <f t="shared" si="56"/>
        <v>0</v>
      </c>
      <c r="S277" s="3">
        <f t="shared" si="57"/>
        <v>10153.830000000004</v>
      </c>
      <c r="T277" s="24"/>
      <c r="U277" s="24"/>
      <c r="V277" s="80"/>
      <c r="W277" s="3"/>
      <c r="X277" s="3"/>
      <c r="Y277" s="3"/>
      <c r="Z277" s="3"/>
      <c r="AA277" s="3"/>
      <c r="AB277" s="3" t="str">
        <f>IF(BCP_Dolares[[#This Row],[FECHA]]&gt;0,TEXT(BCP_Dolares[[#This Row],[FECHA]],"mmmm"),0)</f>
        <v>Julio</v>
      </c>
    </row>
    <row r="278" spans="2:28" x14ac:dyDescent="0.3">
      <c r="B278" s="2">
        <f>IF(BCP_Dolares[[#This Row],[TIPO DE R.]]="R",COUNTIFS($D$4:$D277,"R")+1,"")</f>
        <v>125</v>
      </c>
      <c r="C278" s="19" t="str">
        <f t="shared" si="58"/>
        <v>B-BCP - Dolares</v>
      </c>
      <c r="D278" s="3" t="s">
        <v>1074</v>
      </c>
      <c r="E278" s="14">
        <v>45853</v>
      </c>
      <c r="F278" s="5" t="s">
        <v>1082</v>
      </c>
      <c r="G278" s="5" t="s">
        <v>1079</v>
      </c>
      <c r="H278" s="6" t="s">
        <v>638</v>
      </c>
      <c r="I278" s="6"/>
      <c r="J278" s="6"/>
      <c r="K278" s="6"/>
      <c r="L278" s="7" t="s">
        <v>4109</v>
      </c>
      <c r="M278" s="8">
        <v>458759</v>
      </c>
      <c r="N278" s="8" t="str">
        <f t="shared" si="59"/>
        <v>USD</v>
      </c>
      <c r="O278" s="13"/>
      <c r="P278" s="13">
        <v>435.82</v>
      </c>
      <c r="Q278" s="3">
        <f t="shared" si="55"/>
        <v>0</v>
      </c>
      <c r="R278" s="3">
        <f t="shared" si="56"/>
        <v>435.82</v>
      </c>
      <c r="S278" s="3">
        <f t="shared" si="57"/>
        <v>9718.0100000000039</v>
      </c>
      <c r="T278" s="24" t="s">
        <v>1081</v>
      </c>
      <c r="U278" s="24" t="s">
        <v>1081</v>
      </c>
      <c r="V278" s="80"/>
      <c r="W278" s="3"/>
      <c r="X278" s="3"/>
      <c r="Y278" s="3"/>
      <c r="Z278" s="3"/>
      <c r="AA278" s="3"/>
      <c r="AB278" s="3" t="str">
        <f>IF(BCP_Dolares[[#This Row],[FECHA]]&gt;0,TEXT(BCP_Dolares[[#This Row],[FECHA]],"mmmm"),0)</f>
        <v>Julio</v>
      </c>
    </row>
    <row r="279" spans="2:28" ht="24" x14ac:dyDescent="0.3">
      <c r="B279" s="2" t="str">
        <f>IF(BCP_Dolares[[#This Row],[TIPO DE R.]]="R",COUNTIFS($D$4:$D278,"R")+1,"")</f>
        <v/>
      </c>
      <c r="C279" s="19" t="str">
        <f t="shared" si="58"/>
        <v>B-BCP - Dolares</v>
      </c>
      <c r="D279" s="3" t="s">
        <v>1101</v>
      </c>
      <c r="E279" s="14">
        <v>45853</v>
      </c>
      <c r="F279" s="5" t="s">
        <v>1082</v>
      </c>
      <c r="G279" s="5"/>
      <c r="H279" s="6" t="s">
        <v>147</v>
      </c>
      <c r="I279" s="6" t="s">
        <v>14</v>
      </c>
      <c r="J279" s="6" t="s">
        <v>1148</v>
      </c>
      <c r="K279" s="6">
        <v>16283</v>
      </c>
      <c r="L279" s="7" t="s">
        <v>4109</v>
      </c>
      <c r="M279" s="8">
        <v>458759</v>
      </c>
      <c r="N279" s="8" t="str">
        <f t="shared" si="59"/>
        <v>USD</v>
      </c>
      <c r="O279" s="13">
        <v>81.92</v>
      </c>
      <c r="P279" s="13"/>
      <c r="Q279" s="3">
        <f t="shared" si="55"/>
        <v>0</v>
      </c>
      <c r="R279" s="3">
        <f t="shared" si="56"/>
        <v>0</v>
      </c>
      <c r="S279" s="3">
        <f t="shared" si="57"/>
        <v>9718.0100000000039</v>
      </c>
      <c r="T279" s="24" t="s">
        <v>1081</v>
      </c>
      <c r="U279" s="24" t="s">
        <v>1081</v>
      </c>
      <c r="V279" s="80"/>
      <c r="W279" s="3"/>
      <c r="X279" s="3"/>
      <c r="Y279" s="3"/>
      <c r="Z279" s="3"/>
      <c r="AA279" s="3"/>
      <c r="AB279" s="3" t="str">
        <f>IF(BCP_Dolares[[#This Row],[FECHA]]&gt;0,TEXT(BCP_Dolares[[#This Row],[FECHA]],"mmmm"),0)</f>
        <v>Julio</v>
      </c>
    </row>
    <row r="280" spans="2:28" ht="24" x14ac:dyDescent="0.3">
      <c r="B280" s="2" t="str">
        <f>IF(BCP_Dolares[[#This Row],[TIPO DE R.]]="R",COUNTIFS($D$4:$D279,"R")+1,"")</f>
        <v/>
      </c>
      <c r="C280" s="19" t="str">
        <f t="shared" si="58"/>
        <v>B-BCP - Dolares</v>
      </c>
      <c r="D280" s="3" t="s">
        <v>1101</v>
      </c>
      <c r="E280" s="14">
        <v>45853</v>
      </c>
      <c r="F280" s="5" t="s">
        <v>1082</v>
      </c>
      <c r="G280" s="5"/>
      <c r="H280" s="6" t="s">
        <v>147</v>
      </c>
      <c r="I280" s="6" t="s">
        <v>14</v>
      </c>
      <c r="J280" s="6" t="s">
        <v>1148</v>
      </c>
      <c r="K280" s="6">
        <v>16270</v>
      </c>
      <c r="L280" s="7" t="s">
        <v>4109</v>
      </c>
      <c r="M280" s="8">
        <v>458759</v>
      </c>
      <c r="N280" s="8" t="str">
        <f t="shared" si="59"/>
        <v>USD</v>
      </c>
      <c r="O280" s="13">
        <v>51.1</v>
      </c>
      <c r="P280" s="13"/>
      <c r="Q280" s="3">
        <f t="shared" si="55"/>
        <v>0</v>
      </c>
      <c r="R280" s="3">
        <f t="shared" si="56"/>
        <v>0</v>
      </c>
      <c r="S280" s="3">
        <f t="shared" si="57"/>
        <v>9718.0100000000039</v>
      </c>
      <c r="T280" s="24" t="s">
        <v>1081</v>
      </c>
      <c r="U280" s="24" t="s">
        <v>1081</v>
      </c>
      <c r="V280" s="80"/>
      <c r="W280" s="3"/>
      <c r="X280" s="3"/>
      <c r="Y280" s="3"/>
      <c r="Z280" s="3"/>
      <c r="AA280" s="3"/>
      <c r="AB280" s="3" t="str">
        <f>IF(BCP_Dolares[[#This Row],[FECHA]]&gt;0,TEXT(BCP_Dolares[[#This Row],[FECHA]],"mmmm"),0)</f>
        <v>Julio</v>
      </c>
    </row>
    <row r="281" spans="2:28" ht="24" x14ac:dyDescent="0.3">
      <c r="B281" s="2" t="str">
        <f>IF(BCP_Dolares[[#This Row],[TIPO DE R.]]="R",COUNTIFS($D$4:$D280,"R")+1,"")</f>
        <v/>
      </c>
      <c r="C281" s="19" t="str">
        <f t="shared" si="58"/>
        <v>B-BCP - Dolares</v>
      </c>
      <c r="D281" s="3" t="s">
        <v>1101</v>
      </c>
      <c r="E281" s="14">
        <v>45853</v>
      </c>
      <c r="F281" s="5" t="s">
        <v>1082</v>
      </c>
      <c r="G281" s="5"/>
      <c r="H281" s="6" t="s">
        <v>147</v>
      </c>
      <c r="I281" s="6" t="s">
        <v>14</v>
      </c>
      <c r="J281" s="6" t="s">
        <v>1148</v>
      </c>
      <c r="K281" s="6">
        <v>16295</v>
      </c>
      <c r="L281" s="7" t="s">
        <v>4109</v>
      </c>
      <c r="M281" s="8">
        <v>458759</v>
      </c>
      <c r="N281" s="8" t="str">
        <f t="shared" si="59"/>
        <v>USD</v>
      </c>
      <c r="O281" s="13">
        <v>52.91</v>
      </c>
      <c r="P281" s="13"/>
      <c r="Q281" s="3">
        <f t="shared" si="55"/>
        <v>0</v>
      </c>
      <c r="R281" s="3">
        <f t="shared" si="56"/>
        <v>0</v>
      </c>
      <c r="S281" s="3">
        <f t="shared" si="57"/>
        <v>9718.0100000000039</v>
      </c>
      <c r="T281" s="24" t="s">
        <v>1081</v>
      </c>
      <c r="U281" s="24" t="s">
        <v>1081</v>
      </c>
      <c r="V281" s="80"/>
      <c r="W281" s="3"/>
      <c r="X281" s="3"/>
      <c r="Y281" s="3"/>
      <c r="Z281" s="3"/>
      <c r="AA281" s="3"/>
      <c r="AB281" s="3" t="str">
        <f>IF(BCP_Dolares[[#This Row],[FECHA]]&gt;0,TEXT(BCP_Dolares[[#This Row],[FECHA]],"mmmm"),0)</f>
        <v>Julio</v>
      </c>
    </row>
    <row r="282" spans="2:28" ht="24" x14ac:dyDescent="0.3">
      <c r="B282" s="2" t="str">
        <f>IF(BCP_Dolares[[#This Row],[TIPO DE R.]]="R",COUNTIFS($D$4:$D281,"R")+1,"")</f>
        <v/>
      </c>
      <c r="C282" s="19" t="str">
        <f t="shared" si="58"/>
        <v>B-BCP - Dolares</v>
      </c>
      <c r="D282" s="3" t="s">
        <v>1101</v>
      </c>
      <c r="E282" s="14">
        <v>45853</v>
      </c>
      <c r="F282" s="5" t="s">
        <v>1082</v>
      </c>
      <c r="G282" s="5"/>
      <c r="H282" s="6" t="s">
        <v>147</v>
      </c>
      <c r="I282" s="6" t="s">
        <v>14</v>
      </c>
      <c r="J282" s="6" t="s">
        <v>1148</v>
      </c>
      <c r="K282" s="6">
        <v>16298</v>
      </c>
      <c r="L282" s="7" t="s">
        <v>4109</v>
      </c>
      <c r="M282" s="8">
        <v>458759</v>
      </c>
      <c r="N282" s="8" t="str">
        <f t="shared" si="59"/>
        <v>USD</v>
      </c>
      <c r="O282" s="13">
        <v>46.23</v>
      </c>
      <c r="P282" s="13"/>
      <c r="Q282" s="3">
        <f t="shared" si="55"/>
        <v>0</v>
      </c>
      <c r="R282" s="3">
        <f t="shared" si="56"/>
        <v>0</v>
      </c>
      <c r="S282" s="3">
        <f t="shared" si="57"/>
        <v>9718.0100000000039</v>
      </c>
      <c r="T282" s="24" t="s">
        <v>1081</v>
      </c>
      <c r="U282" s="24" t="s">
        <v>1081</v>
      </c>
      <c r="V282" s="80"/>
      <c r="W282" s="3"/>
      <c r="X282" s="3"/>
      <c r="Y282" s="3"/>
      <c r="Z282" s="3"/>
      <c r="AA282" s="3"/>
      <c r="AB282" s="3" t="str">
        <f>IF(BCP_Dolares[[#This Row],[FECHA]]&gt;0,TEXT(BCP_Dolares[[#This Row],[FECHA]],"mmmm"),0)</f>
        <v>Julio</v>
      </c>
    </row>
    <row r="283" spans="2:28" ht="24" x14ac:dyDescent="0.3">
      <c r="B283" s="2" t="str">
        <f>IF(BCP_Dolares[[#This Row],[TIPO DE R.]]="R",COUNTIFS($D$4:$D282,"R")+1,"")</f>
        <v/>
      </c>
      <c r="C283" s="19" t="str">
        <f t="shared" si="58"/>
        <v>B-BCP - Dolares</v>
      </c>
      <c r="D283" s="3" t="s">
        <v>1101</v>
      </c>
      <c r="E283" s="14">
        <v>45853</v>
      </c>
      <c r="F283" s="5" t="s">
        <v>1082</v>
      </c>
      <c r="G283" s="5"/>
      <c r="H283" s="6" t="s">
        <v>147</v>
      </c>
      <c r="I283" s="6" t="s">
        <v>14</v>
      </c>
      <c r="J283" s="6" t="s">
        <v>1148</v>
      </c>
      <c r="K283" s="6">
        <v>16271</v>
      </c>
      <c r="L283" s="7" t="s">
        <v>4109</v>
      </c>
      <c r="M283" s="8">
        <v>458759</v>
      </c>
      <c r="N283" s="8" t="str">
        <f t="shared" si="59"/>
        <v>USD</v>
      </c>
      <c r="O283" s="13">
        <v>96.42</v>
      </c>
      <c r="P283" s="13"/>
      <c r="Q283" s="3">
        <f t="shared" si="55"/>
        <v>0</v>
      </c>
      <c r="R283" s="3">
        <f t="shared" si="56"/>
        <v>0</v>
      </c>
      <c r="S283" s="3">
        <f t="shared" si="57"/>
        <v>9718.0100000000039</v>
      </c>
      <c r="T283" s="24" t="s">
        <v>1081</v>
      </c>
      <c r="U283" s="24" t="s">
        <v>1081</v>
      </c>
      <c r="V283" s="80"/>
      <c r="W283" s="3"/>
      <c r="X283" s="3"/>
      <c r="Y283" s="3"/>
      <c r="Z283" s="3"/>
      <c r="AA283" s="3"/>
      <c r="AB283" s="3" t="str">
        <f>IF(BCP_Dolares[[#This Row],[FECHA]]&gt;0,TEXT(BCP_Dolares[[#This Row],[FECHA]],"mmmm"),0)</f>
        <v>Julio</v>
      </c>
    </row>
    <row r="284" spans="2:28" ht="24" x14ac:dyDescent="0.3">
      <c r="B284" s="2" t="str">
        <f>IF(BCP_Dolares[[#This Row],[TIPO DE R.]]="R",COUNTIFS($D$4:$D283,"R")+1,"")</f>
        <v/>
      </c>
      <c r="C284" s="19" t="str">
        <f t="shared" si="58"/>
        <v>B-BCP - Dolares</v>
      </c>
      <c r="D284" s="3" t="s">
        <v>1101</v>
      </c>
      <c r="E284" s="14">
        <v>45853</v>
      </c>
      <c r="F284" s="5" t="s">
        <v>1082</v>
      </c>
      <c r="G284" s="5"/>
      <c r="H284" s="6" t="s">
        <v>147</v>
      </c>
      <c r="I284" s="6" t="s">
        <v>14</v>
      </c>
      <c r="J284" s="6" t="s">
        <v>1148</v>
      </c>
      <c r="K284" s="6">
        <v>16294</v>
      </c>
      <c r="L284" s="7" t="s">
        <v>4109</v>
      </c>
      <c r="M284" s="8">
        <v>458759</v>
      </c>
      <c r="N284" s="8" t="str">
        <f t="shared" si="59"/>
        <v>USD</v>
      </c>
      <c r="O284" s="13">
        <v>107.24</v>
      </c>
      <c r="P284" s="13"/>
      <c r="Q284" s="3">
        <f t="shared" si="55"/>
        <v>0</v>
      </c>
      <c r="R284" s="3">
        <f t="shared" si="56"/>
        <v>0</v>
      </c>
      <c r="S284" s="3">
        <f t="shared" si="57"/>
        <v>9718.0100000000039</v>
      </c>
      <c r="T284" s="24" t="s">
        <v>1081</v>
      </c>
      <c r="U284" s="24" t="s">
        <v>1081</v>
      </c>
      <c r="V284" s="80"/>
      <c r="W284" s="3"/>
      <c r="X284" s="3"/>
      <c r="Y284" s="3"/>
      <c r="Z284" s="3"/>
      <c r="AA284" s="3"/>
      <c r="AB284" s="3" t="str">
        <f>IF(BCP_Dolares[[#This Row],[FECHA]]&gt;0,TEXT(BCP_Dolares[[#This Row],[FECHA]],"mmmm"),0)</f>
        <v>Julio</v>
      </c>
    </row>
    <row r="285" spans="2:28" x14ac:dyDescent="0.3">
      <c r="B285" s="2">
        <f>IF(BCP_Dolares[[#This Row],[TIPO DE R.]]="R",COUNTIFS($D$4:$D284,"R")+1,"")</f>
        <v>126</v>
      </c>
      <c r="C285" s="19" t="str">
        <f t="shared" ref="C285:C286" si="60">"B-BCP - Dolares"</f>
        <v>B-BCP - Dolares</v>
      </c>
      <c r="D285" s="3" t="s">
        <v>1074</v>
      </c>
      <c r="E285" s="14">
        <v>45853</v>
      </c>
      <c r="F285" s="5"/>
      <c r="G285" s="5" t="s">
        <v>1079</v>
      </c>
      <c r="H285" s="6"/>
      <c r="I285" s="6"/>
      <c r="J285" s="6"/>
      <c r="K285" s="6"/>
      <c r="L285" s="7" t="s">
        <v>4110</v>
      </c>
      <c r="M285" s="8">
        <v>1360480</v>
      </c>
      <c r="N285" s="8" t="str">
        <f t="shared" ref="N285:N286" si="61">"USD"</f>
        <v>USD</v>
      </c>
      <c r="O285" s="13"/>
      <c r="P285" s="13">
        <v>9700</v>
      </c>
      <c r="Q285" s="3">
        <f t="shared" si="55"/>
        <v>0</v>
      </c>
      <c r="R285" s="3">
        <f t="shared" si="56"/>
        <v>9700</v>
      </c>
      <c r="S285" s="3">
        <f t="shared" si="57"/>
        <v>18.010000000003856</v>
      </c>
      <c r="T285" s="24"/>
      <c r="U285" s="24"/>
      <c r="V285" s="80"/>
      <c r="W285" s="3"/>
      <c r="X285" s="3"/>
      <c r="Y285" s="3"/>
      <c r="Z285" s="3"/>
      <c r="AA285" s="3"/>
      <c r="AB285" s="3" t="str">
        <f>IF(BCP_Dolares[[#This Row],[FECHA]]&gt;0,TEXT(BCP_Dolares[[#This Row],[FECHA]],"mmmm"),0)</f>
        <v>Julio</v>
      </c>
    </row>
    <row r="286" spans="2:28" x14ac:dyDescent="0.3">
      <c r="B286" s="2">
        <f>IF(BCP_Dolares[[#This Row],[TIPO DE R.]]="R",COUNTIFS($D$4:$D285,"R")+1,"")</f>
        <v>127</v>
      </c>
      <c r="C286" s="19" t="str">
        <f t="shared" si="60"/>
        <v>B-BCP - Dolares</v>
      </c>
      <c r="D286" s="3" t="s">
        <v>1074</v>
      </c>
      <c r="E286" s="14">
        <v>45853</v>
      </c>
      <c r="F286" s="5" t="s">
        <v>1078</v>
      </c>
      <c r="G286" s="5" t="s">
        <v>1079</v>
      </c>
      <c r="H286" s="6" t="s">
        <v>950</v>
      </c>
      <c r="I286" s="6" t="s">
        <v>10</v>
      </c>
      <c r="J286" s="6" t="s">
        <v>4107</v>
      </c>
      <c r="K286" s="6">
        <v>127</v>
      </c>
      <c r="L286" s="7" t="s">
        <v>2868</v>
      </c>
      <c r="M286" s="8"/>
      <c r="N286" s="8" t="str">
        <f t="shared" si="61"/>
        <v>USD</v>
      </c>
      <c r="O286" s="13"/>
      <c r="P286" s="13">
        <v>0.35</v>
      </c>
      <c r="Q286" s="3">
        <f t="shared" si="55"/>
        <v>0</v>
      </c>
      <c r="R286" s="3">
        <f t="shared" si="56"/>
        <v>0.35</v>
      </c>
      <c r="S286" s="3">
        <f t="shared" si="57"/>
        <v>17.660000000003855</v>
      </c>
      <c r="T286" s="24" t="s">
        <v>1081</v>
      </c>
      <c r="U286" s="24"/>
      <c r="V286" s="80"/>
      <c r="W286" s="3"/>
      <c r="X286" s="3"/>
      <c r="Y286" s="3"/>
      <c r="Z286" s="3"/>
      <c r="AA286" s="3"/>
      <c r="AB286" s="3" t="str">
        <f>IF(BCP_Dolares[[#This Row],[FECHA]]&gt;0,TEXT(BCP_Dolares[[#This Row],[FECHA]],"mmmm"),0)</f>
        <v>Julio</v>
      </c>
    </row>
    <row r="287" spans="2:28" x14ac:dyDescent="0.3">
      <c r="B287" s="2">
        <f>IF(BCP_Dolares[[#This Row],[TIPO DE R.]]="R",COUNTIFS($D$4:$D286,"R")+1,"")</f>
        <v>128</v>
      </c>
      <c r="C287" s="19" t="str">
        <f t="shared" ref="C287:C297" si="62">"B-BCP - Dolares"</f>
        <v>B-BCP - Dolares</v>
      </c>
      <c r="D287" s="3" t="s">
        <v>1074</v>
      </c>
      <c r="E287" s="14">
        <v>45854</v>
      </c>
      <c r="F287" s="5" t="s">
        <v>3738</v>
      </c>
      <c r="G287" s="5" t="s">
        <v>1087</v>
      </c>
      <c r="H287" s="6" t="s">
        <v>368</v>
      </c>
      <c r="I287" s="6" t="s">
        <v>14</v>
      </c>
      <c r="J287" s="6" t="s">
        <v>1521</v>
      </c>
      <c r="K287" s="6">
        <v>134</v>
      </c>
      <c r="L287" s="7" t="s">
        <v>4111</v>
      </c>
      <c r="M287" s="8">
        <v>2185317</v>
      </c>
      <c r="N287" s="8" t="str">
        <f t="shared" ref="N287:N297" si="63">"USD"</f>
        <v>USD</v>
      </c>
      <c r="O287" s="13"/>
      <c r="P287" s="13">
        <v>863.47</v>
      </c>
      <c r="Q287" s="3">
        <f t="shared" ref="Q287:Q297" si="64">+IF(OR($G287="SALDO",$G287="INGRESO"),$P287,0)</f>
        <v>863.47</v>
      </c>
      <c r="R287" s="3">
        <f t="shared" ref="R287:R297" si="65">+IF($G287="EGRESO",$P287,0)</f>
        <v>0</v>
      </c>
      <c r="S287" s="3">
        <f t="shared" ref="S287:S293" si="66">IFERROR(IF(G287="SALDO",Q287,S286+Q287-R287),0)</f>
        <v>881.13000000000386</v>
      </c>
      <c r="T287" s="24"/>
      <c r="U287" s="24"/>
      <c r="V287" s="80"/>
      <c r="W287" s="3"/>
      <c r="X287" s="3"/>
      <c r="Y287" s="3"/>
      <c r="Z287" s="3"/>
      <c r="AA287" s="3"/>
      <c r="AB287" s="3" t="str">
        <f>IF(BCP_Dolares[[#This Row],[FECHA]]&gt;0,TEXT(BCP_Dolares[[#This Row],[FECHA]],"mmmm"),0)</f>
        <v>Julio</v>
      </c>
    </row>
    <row r="288" spans="2:28" x14ac:dyDescent="0.3">
      <c r="B288" s="2">
        <f>IF(BCP_Dolares[[#This Row],[TIPO DE R.]]="R",COUNTIFS($D$4:$D287,"R")+1,"")</f>
        <v>129</v>
      </c>
      <c r="C288" s="19" t="str">
        <f t="shared" si="62"/>
        <v>B-BCP - Dolares</v>
      </c>
      <c r="D288" s="3" t="s">
        <v>1074</v>
      </c>
      <c r="E288" s="14">
        <v>45856</v>
      </c>
      <c r="F288" s="5"/>
      <c r="G288" s="5" t="s">
        <v>1087</v>
      </c>
      <c r="H288" s="6" t="s">
        <v>368</v>
      </c>
      <c r="I288" s="6"/>
      <c r="J288" s="6"/>
      <c r="K288" s="6"/>
      <c r="L288" s="7" t="s">
        <v>4112</v>
      </c>
      <c r="M288" s="8">
        <v>2267708</v>
      </c>
      <c r="N288" s="8" t="str">
        <f t="shared" si="63"/>
        <v>USD</v>
      </c>
      <c r="O288" s="13"/>
      <c r="P288" s="13">
        <v>140</v>
      </c>
      <c r="Q288" s="3">
        <f t="shared" si="64"/>
        <v>140</v>
      </c>
      <c r="R288" s="3">
        <f t="shared" si="65"/>
        <v>0</v>
      </c>
      <c r="S288" s="3">
        <f t="shared" si="66"/>
        <v>1021.1300000000039</v>
      </c>
      <c r="T288" s="24"/>
      <c r="U288" s="24"/>
      <c r="V288" s="80"/>
      <c r="W288" s="3"/>
      <c r="X288" s="3"/>
      <c r="Y288" s="3"/>
      <c r="Z288" s="3"/>
      <c r="AA288" s="3"/>
      <c r="AB288" s="3" t="str">
        <f>IF(BCP_Dolares[[#This Row],[FECHA]]&gt;0,TEXT(BCP_Dolares[[#This Row],[FECHA]],"mmmm"),0)</f>
        <v>Julio</v>
      </c>
    </row>
    <row r="289" spans="2:28" ht="24" x14ac:dyDescent="0.3">
      <c r="B289" s="2">
        <f>IF(BCP_Dolares[[#This Row],[TIPO DE R.]]="R",COUNTIFS($D$4:$D288,"R")+1,"")</f>
        <v>130</v>
      </c>
      <c r="C289" s="19" t="str">
        <f t="shared" si="62"/>
        <v>B-BCP - Dolares</v>
      </c>
      <c r="D289" s="3" t="s">
        <v>1074</v>
      </c>
      <c r="E289" s="14">
        <v>45856</v>
      </c>
      <c r="F289" s="5" t="s">
        <v>1082</v>
      </c>
      <c r="G289" s="5" t="s">
        <v>1079</v>
      </c>
      <c r="H289" s="6" t="s">
        <v>719</v>
      </c>
      <c r="I289" s="6" t="s">
        <v>14</v>
      </c>
      <c r="J289" s="6" t="s">
        <v>2789</v>
      </c>
      <c r="K289" s="6">
        <v>167817</v>
      </c>
      <c r="L289" s="7" t="s">
        <v>4113</v>
      </c>
      <c r="M289" s="8">
        <v>266822</v>
      </c>
      <c r="N289" s="8" t="str">
        <f t="shared" si="63"/>
        <v>USD</v>
      </c>
      <c r="O289" s="13"/>
      <c r="P289" s="13">
        <v>1010.25</v>
      </c>
      <c r="Q289" s="3">
        <f t="shared" si="64"/>
        <v>0</v>
      </c>
      <c r="R289" s="3">
        <f t="shared" si="65"/>
        <v>1010.25</v>
      </c>
      <c r="S289" s="3">
        <f t="shared" si="66"/>
        <v>10.880000000003861</v>
      </c>
      <c r="T289" s="24" t="s">
        <v>1081</v>
      </c>
      <c r="U289" s="24"/>
      <c r="V289" s="70" t="s">
        <v>4114</v>
      </c>
      <c r="W289" s="3"/>
      <c r="X289" s="3"/>
      <c r="Y289" s="3"/>
      <c r="Z289" s="3"/>
      <c r="AA289" s="3"/>
      <c r="AB289" s="3" t="str">
        <f>IF(BCP_Dolares[[#This Row],[FECHA]]&gt;0,TEXT(BCP_Dolares[[#This Row],[FECHA]],"mmmm"),0)</f>
        <v>Julio</v>
      </c>
    </row>
    <row r="290" spans="2:28" x14ac:dyDescent="0.3">
      <c r="B290" s="2">
        <f>IF(BCP_Dolares[[#This Row],[TIPO DE R.]]="R",COUNTIFS($D$4:$D289,"R")+1,"")</f>
        <v>131</v>
      </c>
      <c r="C290" s="19" t="str">
        <f t="shared" si="62"/>
        <v>B-BCP - Dolares</v>
      </c>
      <c r="D290" s="3" t="s">
        <v>1074</v>
      </c>
      <c r="E290" s="14">
        <v>45856</v>
      </c>
      <c r="F290" s="5" t="s">
        <v>1078</v>
      </c>
      <c r="G290" s="5" t="s">
        <v>1079</v>
      </c>
      <c r="H290" s="6" t="s">
        <v>950</v>
      </c>
      <c r="I290" s="6" t="s">
        <v>10</v>
      </c>
      <c r="J290" s="6" t="s">
        <v>4107</v>
      </c>
      <c r="K290" s="6">
        <v>131</v>
      </c>
      <c r="L290" s="7" t="s">
        <v>2868</v>
      </c>
      <c r="M290" s="8"/>
      <c r="N290" s="8" t="str">
        <f t="shared" si="63"/>
        <v>USD</v>
      </c>
      <c r="O290" s="13"/>
      <c r="P290" s="13">
        <v>0.05</v>
      </c>
      <c r="Q290" s="3">
        <f t="shared" si="64"/>
        <v>0</v>
      </c>
      <c r="R290" s="3">
        <f t="shared" si="65"/>
        <v>0.05</v>
      </c>
      <c r="S290" s="3">
        <f t="shared" si="66"/>
        <v>10.83000000000386</v>
      </c>
      <c r="T290" s="24" t="s">
        <v>1081</v>
      </c>
      <c r="U290" s="24"/>
      <c r="V290" s="80"/>
      <c r="W290" s="3"/>
      <c r="X290" s="3"/>
      <c r="Y290" s="3"/>
      <c r="Z290" s="3"/>
      <c r="AA290" s="3"/>
      <c r="AB290" s="3" t="str">
        <f>IF(BCP_Dolares[[#This Row],[FECHA]]&gt;0,TEXT(BCP_Dolares[[#This Row],[FECHA]],"mmmm"),0)</f>
        <v>Julio</v>
      </c>
    </row>
    <row r="291" spans="2:28" x14ac:dyDescent="0.3">
      <c r="B291" s="2">
        <f>IF(BCP_Dolares[[#This Row],[TIPO DE R.]]="R",COUNTIFS($D$4:$D290,"R")+1,"")</f>
        <v>132</v>
      </c>
      <c r="C291" s="19" t="str">
        <f>"B-BCP - Dolares"</f>
        <v>B-BCP - Dolares</v>
      </c>
      <c r="D291" s="3" t="s">
        <v>1074</v>
      </c>
      <c r="E291" s="14">
        <v>45868</v>
      </c>
      <c r="F291" s="5"/>
      <c r="G291" s="5" t="s">
        <v>1087</v>
      </c>
      <c r="H291" s="6" t="s">
        <v>368</v>
      </c>
      <c r="I291" s="6"/>
      <c r="J291" s="6"/>
      <c r="K291" s="6"/>
      <c r="L291" s="7" t="s">
        <v>3536</v>
      </c>
      <c r="M291" s="8">
        <v>2021268</v>
      </c>
      <c r="N291" s="8" t="str">
        <f>"USD"</f>
        <v>USD</v>
      </c>
      <c r="O291" s="13"/>
      <c r="P291" s="13">
        <v>4149.1400000000003</v>
      </c>
      <c r="Q291" s="3">
        <f>+IF(OR($G291="SALDO",$G291="INGRESO"),$P291,0)</f>
        <v>4149.1400000000003</v>
      </c>
      <c r="R291" s="3">
        <f>+IF($G291="EGRESO",$P291,0)</f>
        <v>0</v>
      </c>
      <c r="S291" s="3">
        <f>IFERROR(IF(G291="SALDO",Q291,S290+Q291-R291),0)</f>
        <v>4159.9700000000039</v>
      </c>
      <c r="T291" s="24"/>
      <c r="U291" s="24"/>
      <c r="V291" s="80"/>
      <c r="W291" s="3"/>
      <c r="X291" s="3"/>
      <c r="Y291" s="3"/>
      <c r="Z291" s="3"/>
      <c r="AA291" s="3"/>
      <c r="AB291" s="3" t="str">
        <f>IF(BCP_Dolares[[#This Row],[FECHA]]&gt;0,TEXT(BCP_Dolares[[#This Row],[FECHA]],"mmmm"),0)</f>
        <v>Julio</v>
      </c>
    </row>
    <row r="292" spans="2:28" ht="24" x14ac:dyDescent="0.3">
      <c r="B292" s="2">
        <f>IF(BCP_Dolares[[#This Row],[TIPO DE R.]]="R",COUNTIFS($D$4:$D291,"R")+1,"")</f>
        <v>133</v>
      </c>
      <c r="C292" s="19" t="str">
        <f t="shared" si="62"/>
        <v>B-BCP - Dolares</v>
      </c>
      <c r="D292" s="3" t="s">
        <v>1074</v>
      </c>
      <c r="E292" s="14">
        <v>45868</v>
      </c>
      <c r="F292" s="5" t="s">
        <v>1078</v>
      </c>
      <c r="G292" s="5" t="s">
        <v>1079</v>
      </c>
      <c r="H292" s="6" t="s">
        <v>1001</v>
      </c>
      <c r="I292" s="6" t="s">
        <v>14</v>
      </c>
      <c r="J292" s="6" t="s">
        <v>1088</v>
      </c>
      <c r="K292" s="6">
        <v>2426106</v>
      </c>
      <c r="L292" s="7" t="s">
        <v>4115</v>
      </c>
      <c r="M292" s="8">
        <v>350</v>
      </c>
      <c r="N292" s="8" t="str">
        <f t="shared" si="63"/>
        <v>USD</v>
      </c>
      <c r="O292" s="13"/>
      <c r="P292" s="13">
        <v>5.6</v>
      </c>
      <c r="Q292" s="3">
        <f t="shared" si="64"/>
        <v>0</v>
      </c>
      <c r="R292" s="3">
        <f t="shared" si="65"/>
        <v>5.6</v>
      </c>
      <c r="S292" s="3">
        <f>IFERROR(IF(G292="SALDO",Q292,S291+Q292-R292),0)</f>
        <v>4154.3700000000035</v>
      </c>
      <c r="T292" s="24" t="s">
        <v>1081</v>
      </c>
      <c r="U292" s="24" t="s">
        <v>1081</v>
      </c>
      <c r="V292" s="80"/>
      <c r="W292" s="3"/>
      <c r="X292" s="3"/>
      <c r="Y292" s="3"/>
      <c r="Z292" s="3"/>
      <c r="AA292" s="3"/>
      <c r="AB292" s="3" t="str">
        <f>IF(BCP_Dolares[[#This Row],[FECHA]]&gt;0,TEXT(BCP_Dolares[[#This Row],[FECHA]],"mmmm"),0)</f>
        <v>Julio</v>
      </c>
    </row>
    <row r="293" spans="2:28" x14ac:dyDescent="0.3">
      <c r="B293" s="2">
        <f>IF(BCP_Dolares[[#This Row],[TIPO DE R.]]="R",COUNTIFS($D$4:$D292,"R")+1,"")</f>
        <v>134</v>
      </c>
      <c r="C293" s="19" t="str">
        <f t="shared" si="62"/>
        <v>B-BCP - Dolares</v>
      </c>
      <c r="D293" s="3" t="s">
        <v>1074</v>
      </c>
      <c r="E293" s="14">
        <v>45868</v>
      </c>
      <c r="F293" s="5" t="s">
        <v>1082</v>
      </c>
      <c r="G293" s="5" t="s">
        <v>1079</v>
      </c>
      <c r="H293" s="6" t="s">
        <v>147</v>
      </c>
      <c r="I293" s="6"/>
      <c r="J293" s="6"/>
      <c r="K293" s="6"/>
      <c r="L293" s="7" t="s">
        <v>4116</v>
      </c>
      <c r="M293" s="8">
        <v>5446539</v>
      </c>
      <c r="N293" s="8" t="str">
        <f t="shared" si="63"/>
        <v>USD</v>
      </c>
      <c r="O293" s="13"/>
      <c r="P293" s="13">
        <v>3852.25</v>
      </c>
      <c r="Q293" s="3">
        <f t="shared" si="64"/>
        <v>0</v>
      </c>
      <c r="R293" s="3">
        <f t="shared" si="65"/>
        <v>3852.25</v>
      </c>
      <c r="S293" s="3">
        <f t="shared" si="66"/>
        <v>302.12000000000353</v>
      </c>
      <c r="T293" s="24" t="s">
        <v>1081</v>
      </c>
      <c r="U293" s="24" t="s">
        <v>1081</v>
      </c>
      <c r="V293" s="80"/>
      <c r="W293" s="3"/>
      <c r="X293" s="3"/>
      <c r="Y293" s="3"/>
      <c r="Z293" s="3"/>
      <c r="AA293" s="3"/>
      <c r="AB293" s="3" t="str">
        <f>IF(BCP_Dolares[[#This Row],[FECHA]]&gt;0,TEXT(BCP_Dolares[[#This Row],[FECHA]],"mmmm"),0)</f>
        <v>Julio</v>
      </c>
    </row>
    <row r="294" spans="2:28" ht="24" x14ac:dyDescent="0.3">
      <c r="B294" s="2" t="str">
        <f>IF(BCP_Dolares[[#This Row],[TIPO DE R.]]="R",COUNTIFS($D$4:$D293,"R")+1,"")</f>
        <v/>
      </c>
      <c r="C294" s="19" t="str">
        <f>"B-BCP - Dolares"</f>
        <v>B-BCP - Dolares</v>
      </c>
      <c r="D294" s="3" t="s">
        <v>1101</v>
      </c>
      <c r="E294" s="14">
        <v>45868</v>
      </c>
      <c r="F294" s="5" t="s">
        <v>1082</v>
      </c>
      <c r="G294" s="5"/>
      <c r="H294" s="6" t="s">
        <v>147</v>
      </c>
      <c r="I294" s="6" t="s">
        <v>14</v>
      </c>
      <c r="J294" s="6" t="s">
        <v>1148</v>
      </c>
      <c r="K294" s="6">
        <v>16359</v>
      </c>
      <c r="L294" s="7" t="s">
        <v>4116</v>
      </c>
      <c r="M294" s="8">
        <v>5446539</v>
      </c>
      <c r="N294" s="8" t="str">
        <f>"USD"</f>
        <v>USD</v>
      </c>
      <c r="O294" s="13">
        <v>1493.9</v>
      </c>
      <c r="P294" s="13"/>
      <c r="Q294" s="3">
        <f>+IF(OR($G294="SALDO",$G294="INGRESO"),$P294,0)</f>
        <v>0</v>
      </c>
      <c r="R294" s="3">
        <f>+IF($G294="EGRESO",$P294,0)</f>
        <v>0</v>
      </c>
      <c r="S294" s="3">
        <f>IFERROR(IF(G294="SALDO",Q294,S293+Q294-R294),0)</f>
        <v>302.12000000000353</v>
      </c>
      <c r="T294" s="24" t="s">
        <v>1081</v>
      </c>
      <c r="U294" s="24" t="s">
        <v>1081</v>
      </c>
      <c r="V294" s="80"/>
      <c r="W294" s="3"/>
      <c r="X294" s="3"/>
      <c r="Y294" s="3"/>
      <c r="Z294" s="3"/>
      <c r="AA294" s="3"/>
      <c r="AB294" s="3" t="str">
        <f>IF(BCP_Dolares[[#This Row],[FECHA]]&gt;0,TEXT(BCP_Dolares[[#This Row],[FECHA]],"mmmm"),0)</f>
        <v>Julio</v>
      </c>
    </row>
    <row r="295" spans="2:28" ht="24" x14ac:dyDescent="0.3">
      <c r="B295" s="2" t="str">
        <f>IF(BCP_Dolares[[#This Row],[TIPO DE R.]]="R",COUNTIFS($D$4:$D294,"R")+1,"")</f>
        <v/>
      </c>
      <c r="C295" s="19" t="str">
        <f>"B-BCP - Dolares"</f>
        <v>B-BCP - Dolares</v>
      </c>
      <c r="D295" s="3" t="s">
        <v>1101</v>
      </c>
      <c r="E295" s="14">
        <v>45868</v>
      </c>
      <c r="F295" s="5" t="s">
        <v>1082</v>
      </c>
      <c r="G295" s="5"/>
      <c r="H295" s="6" t="s">
        <v>147</v>
      </c>
      <c r="I295" s="6" t="s">
        <v>14</v>
      </c>
      <c r="J295" s="6" t="s">
        <v>1148</v>
      </c>
      <c r="K295" s="6">
        <v>16358</v>
      </c>
      <c r="L295" s="7" t="s">
        <v>4116</v>
      </c>
      <c r="M295" s="8">
        <v>5446539</v>
      </c>
      <c r="N295" s="8" t="str">
        <f>"USD"</f>
        <v>USD</v>
      </c>
      <c r="O295" s="13">
        <v>2303.06</v>
      </c>
      <c r="P295" s="13"/>
      <c r="Q295" s="3">
        <f>+IF(OR($G295="SALDO",$G295="INGRESO"),$P295,0)</f>
        <v>0</v>
      </c>
      <c r="R295" s="3">
        <f>+IF($G295="EGRESO",$P295,0)</f>
        <v>0</v>
      </c>
      <c r="S295" s="3">
        <f t="shared" ref="S295:S297" si="67">IFERROR(IF(G295="SALDO",Q295,S294+Q295-R295),0)</f>
        <v>302.12000000000353</v>
      </c>
      <c r="T295" s="24" t="s">
        <v>1081</v>
      </c>
      <c r="U295" s="24" t="s">
        <v>1081</v>
      </c>
      <c r="V295" s="80"/>
      <c r="W295" s="3"/>
      <c r="X295" s="3"/>
      <c r="Y295" s="3"/>
      <c r="Z295" s="3"/>
      <c r="AA295" s="3"/>
      <c r="AB295" s="3" t="str">
        <f>IF(BCP_Dolares[[#This Row],[FECHA]]&gt;0,TEXT(BCP_Dolares[[#This Row],[FECHA]],"mmmm"),0)</f>
        <v>Julio</v>
      </c>
    </row>
    <row r="296" spans="2:28" ht="24" x14ac:dyDescent="0.3">
      <c r="B296" s="2" t="str">
        <f>IF(BCP_Dolares[[#This Row],[TIPO DE R.]]="R",COUNTIFS($D$4:$D295,"R")+1,"")</f>
        <v/>
      </c>
      <c r="C296" s="19" t="str">
        <f>"B-BCP - Dolares"</f>
        <v>B-BCP - Dolares</v>
      </c>
      <c r="D296" s="3" t="s">
        <v>1101</v>
      </c>
      <c r="E296" s="14">
        <v>45868</v>
      </c>
      <c r="F296" s="5" t="s">
        <v>1082</v>
      </c>
      <c r="G296" s="5"/>
      <c r="H296" s="6" t="s">
        <v>147</v>
      </c>
      <c r="I296" s="6" t="s">
        <v>14</v>
      </c>
      <c r="J296" s="6" t="s">
        <v>1148</v>
      </c>
      <c r="K296" s="6">
        <v>16383</v>
      </c>
      <c r="L296" s="7" t="s">
        <v>4116</v>
      </c>
      <c r="M296" s="8">
        <v>5446539</v>
      </c>
      <c r="N296" s="8" t="str">
        <f>"USD"</f>
        <v>USD</v>
      </c>
      <c r="O296" s="13">
        <v>55.29</v>
      </c>
      <c r="P296" s="13"/>
      <c r="Q296" s="3">
        <f>+IF(OR($G296="SALDO",$G296="INGRESO"),$P296,0)</f>
        <v>0</v>
      </c>
      <c r="R296" s="3">
        <f>+IF($G296="EGRESO",$P296,0)</f>
        <v>0</v>
      </c>
      <c r="S296" s="3">
        <f t="shared" si="67"/>
        <v>302.12000000000353</v>
      </c>
      <c r="T296" s="24" t="s">
        <v>1081</v>
      </c>
      <c r="U296" s="24" t="s">
        <v>1081</v>
      </c>
      <c r="V296" s="80"/>
      <c r="W296" s="3"/>
      <c r="X296" s="3"/>
      <c r="Y296" s="3"/>
      <c r="Z296" s="3"/>
      <c r="AA296" s="3"/>
      <c r="AB296" s="3" t="str">
        <f>IF(BCP_Dolares[[#This Row],[FECHA]]&gt;0,TEXT(BCP_Dolares[[#This Row],[FECHA]],"mmmm"),0)</f>
        <v>Julio</v>
      </c>
    </row>
    <row r="297" spans="2:28" x14ac:dyDescent="0.3">
      <c r="B297" s="2">
        <f>IF(BCP_Dolares[[#This Row],[TIPO DE R.]]="R",COUNTIFS($D$4:$D296,"R")+1,"")</f>
        <v>135</v>
      </c>
      <c r="C297" s="19" t="str">
        <f t="shared" si="62"/>
        <v>B-BCP - Dolares</v>
      </c>
      <c r="D297" s="3" t="s">
        <v>1074</v>
      </c>
      <c r="E297" s="14">
        <v>45868</v>
      </c>
      <c r="F297" s="5" t="s">
        <v>1082</v>
      </c>
      <c r="G297" s="5" t="s">
        <v>1079</v>
      </c>
      <c r="H297" s="6" t="s">
        <v>147</v>
      </c>
      <c r="I297" s="6"/>
      <c r="J297" s="6"/>
      <c r="K297" s="6"/>
      <c r="L297" s="7" t="s">
        <v>4117</v>
      </c>
      <c r="M297" s="8">
        <v>5446431</v>
      </c>
      <c r="N297" s="8" t="str">
        <f t="shared" si="63"/>
        <v>USD</v>
      </c>
      <c r="O297" s="13"/>
      <c r="P297" s="13">
        <v>225.68</v>
      </c>
      <c r="Q297" s="3">
        <f t="shared" si="64"/>
        <v>0</v>
      </c>
      <c r="R297" s="3">
        <f t="shared" si="65"/>
        <v>225.68</v>
      </c>
      <c r="S297" s="3">
        <f t="shared" si="67"/>
        <v>76.440000000003522</v>
      </c>
      <c r="T297" s="24" t="s">
        <v>1081</v>
      </c>
      <c r="U297" s="24" t="s">
        <v>1081</v>
      </c>
      <c r="V297" s="80"/>
      <c r="W297" s="3"/>
      <c r="X297" s="3"/>
      <c r="Y297" s="3"/>
      <c r="Z297" s="3"/>
      <c r="AA297" s="3"/>
      <c r="AB297" s="3" t="str">
        <f>IF(BCP_Dolares[[#This Row],[FECHA]]&gt;0,TEXT(BCP_Dolares[[#This Row],[FECHA]],"mmmm"),0)</f>
        <v>Julio</v>
      </c>
    </row>
    <row r="298" spans="2:28" ht="24" x14ac:dyDescent="0.3">
      <c r="B298" s="2" t="str">
        <f>IF(BCP_Dolares[[#This Row],[TIPO DE R.]]="R",COUNTIFS($D$4:$D297,"R")+1,"")</f>
        <v/>
      </c>
      <c r="C298" s="19" t="str">
        <f>"B-BCP - Dolares"</f>
        <v>B-BCP - Dolares</v>
      </c>
      <c r="D298" s="3" t="s">
        <v>1101</v>
      </c>
      <c r="E298" s="14">
        <v>45868</v>
      </c>
      <c r="F298" s="5" t="s">
        <v>1082</v>
      </c>
      <c r="G298" s="5"/>
      <c r="H298" s="6" t="s">
        <v>147</v>
      </c>
      <c r="I298" s="6" t="s">
        <v>14</v>
      </c>
      <c r="J298" s="6" t="s">
        <v>1148</v>
      </c>
      <c r="K298" s="6">
        <v>16313</v>
      </c>
      <c r="L298" s="7" t="s">
        <v>4117</v>
      </c>
      <c r="M298" s="8">
        <v>5446431</v>
      </c>
      <c r="N298" s="8" t="str">
        <f>"USD"</f>
        <v>USD</v>
      </c>
      <c r="O298" s="13">
        <v>34.950000000000003</v>
      </c>
      <c r="P298" s="13"/>
      <c r="Q298" s="3">
        <f>+IF(OR($G298="SALDO",$G298="INGRESO"),$P298,0)</f>
        <v>0</v>
      </c>
      <c r="R298" s="3">
        <f>+IF($G298="EGRESO",$P298,0)</f>
        <v>0</v>
      </c>
      <c r="S298" s="3">
        <f>IFERROR(IF(G298="SALDO",Q298,S297+Q298-R298),0)</f>
        <v>76.440000000003522</v>
      </c>
      <c r="T298" s="24" t="s">
        <v>1081</v>
      </c>
      <c r="U298" s="24" t="s">
        <v>1081</v>
      </c>
      <c r="V298" s="80"/>
      <c r="W298" s="3"/>
      <c r="X298" s="3"/>
      <c r="Y298" s="3"/>
      <c r="Z298" s="3"/>
      <c r="AA298" s="3"/>
      <c r="AB298" s="3" t="str">
        <f>IF(BCP_Dolares[[#This Row],[FECHA]]&gt;0,TEXT(BCP_Dolares[[#This Row],[FECHA]],"mmmm"),0)</f>
        <v>Julio</v>
      </c>
    </row>
    <row r="299" spans="2:28" ht="24" x14ac:dyDescent="0.3">
      <c r="B299" s="2" t="str">
        <f>IF(BCP_Dolares[[#This Row],[TIPO DE R.]]="R",COUNTIFS($D$4:$D298,"R")+1,"")</f>
        <v/>
      </c>
      <c r="C299" s="19" t="str">
        <f>"B-BCP - Dolares"</f>
        <v>B-BCP - Dolares</v>
      </c>
      <c r="D299" s="3" t="s">
        <v>1101</v>
      </c>
      <c r="E299" s="14">
        <v>45868</v>
      </c>
      <c r="F299" s="5" t="s">
        <v>1082</v>
      </c>
      <c r="G299" s="5"/>
      <c r="H299" s="6" t="s">
        <v>147</v>
      </c>
      <c r="I299" s="6" t="s">
        <v>14</v>
      </c>
      <c r="J299" s="6" t="s">
        <v>1148</v>
      </c>
      <c r="K299" s="6">
        <v>16320</v>
      </c>
      <c r="L299" s="7" t="s">
        <v>4117</v>
      </c>
      <c r="M299" s="8">
        <v>5446431</v>
      </c>
      <c r="N299" s="8" t="str">
        <f>"USD"</f>
        <v>USD</v>
      </c>
      <c r="O299" s="13">
        <v>85.99</v>
      </c>
      <c r="P299" s="13"/>
      <c r="Q299" s="3">
        <f>+IF(OR($G299="SALDO",$G299="INGRESO"),$P299,0)</f>
        <v>0</v>
      </c>
      <c r="R299" s="3">
        <f>+IF($G299="EGRESO",$P299,0)</f>
        <v>0</v>
      </c>
      <c r="S299" s="3">
        <f t="shared" ref="S299:S302" si="68">IFERROR(IF(G299="SALDO",Q299,S298+Q299-R299),0)</f>
        <v>76.440000000003522</v>
      </c>
      <c r="T299" s="24" t="s">
        <v>1081</v>
      </c>
      <c r="U299" s="24" t="s">
        <v>1081</v>
      </c>
      <c r="V299" s="80"/>
      <c r="W299" s="3"/>
      <c r="X299" s="3"/>
      <c r="Y299" s="3"/>
      <c r="Z299" s="3"/>
      <c r="AA299" s="3"/>
      <c r="AB299" s="3" t="str">
        <f>IF(BCP_Dolares[[#This Row],[FECHA]]&gt;0,TEXT(BCP_Dolares[[#This Row],[FECHA]],"mmmm"),0)</f>
        <v>Julio</v>
      </c>
    </row>
    <row r="300" spans="2:28" ht="24" x14ac:dyDescent="0.3">
      <c r="B300" s="2" t="str">
        <f>IF(BCP_Dolares[[#This Row],[TIPO DE R.]]="R",COUNTIFS($D$4:$D299,"R")+1,"")</f>
        <v/>
      </c>
      <c r="C300" s="19" t="str">
        <f>"B-BCP - Dolares"</f>
        <v>B-BCP - Dolares</v>
      </c>
      <c r="D300" s="3" t="s">
        <v>1101</v>
      </c>
      <c r="E300" s="14">
        <v>45868</v>
      </c>
      <c r="F300" s="5" t="s">
        <v>1082</v>
      </c>
      <c r="G300" s="5"/>
      <c r="H300" s="6" t="s">
        <v>147</v>
      </c>
      <c r="I300" s="6" t="s">
        <v>14</v>
      </c>
      <c r="J300" s="6" t="s">
        <v>1148</v>
      </c>
      <c r="K300" s="6">
        <v>16339</v>
      </c>
      <c r="L300" s="7" t="s">
        <v>4117</v>
      </c>
      <c r="M300" s="8">
        <v>5446431</v>
      </c>
      <c r="N300" s="8" t="str">
        <f>"USD"</f>
        <v>USD</v>
      </c>
      <c r="O300" s="13">
        <v>48.24</v>
      </c>
      <c r="P300" s="13"/>
      <c r="Q300" s="3">
        <f>+IF(OR($G300="SALDO",$G300="INGRESO"),$P300,0)</f>
        <v>0</v>
      </c>
      <c r="R300" s="3">
        <f>+IF($G300="EGRESO",$P300,0)</f>
        <v>0</v>
      </c>
      <c r="S300" s="3">
        <f t="shared" si="68"/>
        <v>76.440000000003522</v>
      </c>
      <c r="T300" s="24" t="s">
        <v>1081</v>
      </c>
      <c r="U300" s="24" t="s">
        <v>1081</v>
      </c>
      <c r="V300" s="80"/>
      <c r="W300" s="3"/>
      <c r="X300" s="3"/>
      <c r="Y300" s="3"/>
      <c r="Z300" s="3"/>
      <c r="AA300" s="3"/>
      <c r="AB300" s="3" t="str">
        <f>IF(BCP_Dolares[[#This Row],[FECHA]]&gt;0,TEXT(BCP_Dolares[[#This Row],[FECHA]],"mmmm"),0)</f>
        <v>Julio</v>
      </c>
    </row>
    <row r="301" spans="2:28" ht="24" x14ac:dyDescent="0.3">
      <c r="B301" s="2" t="str">
        <f>IF(BCP_Dolares[[#This Row],[TIPO DE R.]]="R",COUNTIFS($D$4:$D300,"R")+1,"")</f>
        <v/>
      </c>
      <c r="C301" s="19" t="str">
        <f>"B-BCP - Dolares"</f>
        <v>B-BCP - Dolares</v>
      </c>
      <c r="D301" s="3" t="s">
        <v>1101</v>
      </c>
      <c r="E301" s="14">
        <v>45868</v>
      </c>
      <c r="F301" s="5" t="s">
        <v>1082</v>
      </c>
      <c r="G301" s="5"/>
      <c r="H301" s="6" t="s">
        <v>147</v>
      </c>
      <c r="I301" s="6" t="s">
        <v>14</v>
      </c>
      <c r="J301" s="6" t="s">
        <v>1148</v>
      </c>
      <c r="K301" s="6">
        <v>16328</v>
      </c>
      <c r="L301" s="7" t="s">
        <v>4117</v>
      </c>
      <c r="M301" s="8">
        <v>5446431</v>
      </c>
      <c r="N301" s="8" t="str">
        <f>"USD"</f>
        <v>USD</v>
      </c>
      <c r="O301" s="13">
        <v>56.5</v>
      </c>
      <c r="P301" s="13"/>
      <c r="Q301" s="3">
        <f>+IF(OR($G301="SALDO",$G301="INGRESO"),$P301,0)</f>
        <v>0</v>
      </c>
      <c r="R301" s="3">
        <f>+IF($G301="EGRESO",$P301,0)</f>
        <v>0</v>
      </c>
      <c r="S301" s="3">
        <f t="shared" si="68"/>
        <v>76.440000000003522</v>
      </c>
      <c r="T301" s="24" t="s">
        <v>1081</v>
      </c>
      <c r="U301" s="24" t="s">
        <v>1081</v>
      </c>
      <c r="V301" s="80"/>
      <c r="W301" s="3"/>
      <c r="X301" s="3"/>
      <c r="Y301" s="3"/>
      <c r="Z301" s="3"/>
      <c r="AA301" s="3"/>
      <c r="AB301" s="3" t="str">
        <f>IF(BCP_Dolares[[#This Row],[FECHA]]&gt;0,TEXT(BCP_Dolares[[#This Row],[FECHA]],"mmmm"),0)</f>
        <v>Julio</v>
      </c>
    </row>
    <row r="302" spans="2:28" x14ac:dyDescent="0.3">
      <c r="B302" s="2">
        <f>IF(BCP_Dolares[[#This Row],[TIPO DE R.]]="R",COUNTIFS($D$4:$D301,"R")+1,"")</f>
        <v>136</v>
      </c>
      <c r="C302" s="19" t="str">
        <f t="shared" ref="C302:C307" si="69">"B-BCP - Dolares"</f>
        <v>B-BCP - Dolares</v>
      </c>
      <c r="D302" s="3" t="s">
        <v>1074</v>
      </c>
      <c r="E302" s="14">
        <v>45868</v>
      </c>
      <c r="F302" s="5" t="s">
        <v>1078</v>
      </c>
      <c r="G302" s="5" t="s">
        <v>1079</v>
      </c>
      <c r="H302" s="6" t="s">
        <v>950</v>
      </c>
      <c r="I302" s="6" t="s">
        <v>10</v>
      </c>
      <c r="J302" s="6" t="s">
        <v>4107</v>
      </c>
      <c r="K302" s="6">
        <v>136</v>
      </c>
      <c r="L302" s="7" t="s">
        <v>2868</v>
      </c>
      <c r="M302" s="8"/>
      <c r="N302" s="8" t="str">
        <f t="shared" ref="N302:N307" si="70">"USD"</f>
        <v>USD</v>
      </c>
      <c r="O302" s="13"/>
      <c r="P302" s="13">
        <v>0.15</v>
      </c>
      <c r="Q302" s="3">
        <f t="shared" ref="Q302:Q307" si="71">+IF(OR($G302="SALDO",$G302="INGRESO"),$P302,0)</f>
        <v>0</v>
      </c>
      <c r="R302" s="3">
        <f t="shared" ref="R302:R307" si="72">+IF($G302="EGRESO",$P302,0)</f>
        <v>0.15</v>
      </c>
      <c r="S302" s="3">
        <f t="shared" si="68"/>
        <v>76.290000000003516</v>
      </c>
      <c r="T302" s="24" t="s">
        <v>1081</v>
      </c>
      <c r="U302" s="24"/>
      <c r="V302" s="80"/>
      <c r="W302" s="3"/>
      <c r="X302" s="3"/>
      <c r="Y302" s="3"/>
      <c r="Z302" s="3"/>
      <c r="AA302" s="3"/>
      <c r="AB302" s="3" t="str">
        <f>IF(BCP_Dolares[[#This Row],[FECHA]]&gt;0,TEXT(BCP_Dolares[[#This Row],[FECHA]],"mmmm"),0)</f>
        <v>Julio</v>
      </c>
    </row>
    <row r="303" spans="2:28" ht="24" x14ac:dyDescent="0.3">
      <c r="B303" s="2">
        <f>IF(BCP_Dolares[[#This Row],[TIPO DE R.]]="R",COUNTIFS($D$4:$D302,"R")+1,"")</f>
        <v>137</v>
      </c>
      <c r="C303" s="19" t="str">
        <f t="shared" si="69"/>
        <v>B-BCP - Dolares</v>
      </c>
      <c r="D303" s="3" t="s">
        <v>1074</v>
      </c>
      <c r="E303" s="14">
        <v>45869</v>
      </c>
      <c r="F303" s="5" t="s">
        <v>147</v>
      </c>
      <c r="G303" s="5" t="s">
        <v>1087</v>
      </c>
      <c r="H303" s="6" t="s">
        <v>368</v>
      </c>
      <c r="I303" s="6"/>
      <c r="J303" s="6"/>
      <c r="K303" s="6"/>
      <c r="L303" s="7" t="s">
        <v>4001</v>
      </c>
      <c r="M303" s="8">
        <v>6425528</v>
      </c>
      <c r="N303" s="8" t="str">
        <f t="shared" si="70"/>
        <v>USD</v>
      </c>
      <c r="O303" s="13"/>
      <c r="P303" s="13">
        <v>7637.44</v>
      </c>
      <c r="Q303" s="3">
        <f t="shared" si="71"/>
        <v>7637.44</v>
      </c>
      <c r="R303" s="3">
        <f t="shared" si="72"/>
        <v>0</v>
      </c>
      <c r="S303" s="3">
        <f>IFERROR(IF(G303="SALDO",Q303,S302+Q303-R303),0)</f>
        <v>7713.7300000000032</v>
      </c>
      <c r="T303" s="24" t="s">
        <v>1081</v>
      </c>
      <c r="U303" s="24" t="s">
        <v>1081</v>
      </c>
      <c r="V303" s="80"/>
      <c r="W303" s="3"/>
      <c r="X303" s="3"/>
      <c r="Y303" s="3"/>
      <c r="Z303" s="3"/>
      <c r="AA303" s="3"/>
      <c r="AB303" s="3" t="str">
        <f>IF(BCP_Dolares[[#This Row],[FECHA]]&gt;0,TEXT(BCP_Dolares[[#This Row],[FECHA]],"mmmm"),0)</f>
        <v>Julio</v>
      </c>
    </row>
    <row r="304" spans="2:28" ht="24" x14ac:dyDescent="0.3">
      <c r="B304" s="2" t="str">
        <f>IF(BCP_Dolares[[#This Row],[TIPO DE R.]]="R",COUNTIFS($D$4:$D303,"R")+1,"")</f>
        <v/>
      </c>
      <c r="C304" s="19" t="str">
        <f t="shared" si="69"/>
        <v>B-BCP - Dolares</v>
      </c>
      <c r="D304" s="3" t="s">
        <v>1101</v>
      </c>
      <c r="E304" s="14">
        <v>45869</v>
      </c>
      <c r="F304" s="5" t="s">
        <v>147</v>
      </c>
      <c r="G304" s="5"/>
      <c r="H304" s="6"/>
      <c r="I304" s="6" t="s">
        <v>14</v>
      </c>
      <c r="J304" s="6" t="s">
        <v>1521</v>
      </c>
      <c r="K304" s="6">
        <v>140</v>
      </c>
      <c r="L304" s="7" t="s">
        <v>4001</v>
      </c>
      <c r="M304" s="8">
        <v>6425528</v>
      </c>
      <c r="N304" s="8" t="str">
        <f t="shared" si="70"/>
        <v>USD</v>
      </c>
      <c r="O304" s="13">
        <v>4510.7700000000004</v>
      </c>
      <c r="P304" s="13"/>
      <c r="Q304" s="3">
        <f t="shared" si="71"/>
        <v>0</v>
      </c>
      <c r="R304" s="3">
        <f t="shared" si="72"/>
        <v>0</v>
      </c>
      <c r="S304" s="3">
        <f>IFERROR(IF(G304="SALDO",Q304,S303+Q304-R304),0)</f>
        <v>7713.7300000000032</v>
      </c>
      <c r="T304" s="24" t="s">
        <v>1081</v>
      </c>
      <c r="U304" s="24" t="s">
        <v>1081</v>
      </c>
      <c r="V304" s="80"/>
      <c r="W304" s="3"/>
      <c r="X304" s="3"/>
      <c r="Y304" s="3"/>
      <c r="Z304" s="3"/>
      <c r="AA304" s="3"/>
      <c r="AB304" s="3" t="str">
        <f>IF(BCP_Dolares[[#This Row],[FECHA]]&gt;0,TEXT(BCP_Dolares[[#This Row],[FECHA]],"mmmm"),0)</f>
        <v>Julio</v>
      </c>
    </row>
    <row r="305" spans="2:28" ht="24" x14ac:dyDescent="0.3">
      <c r="B305" s="2" t="str">
        <f>IF(BCP_Dolares[[#This Row],[TIPO DE R.]]="R",COUNTIFS($D$4:$D304,"R")+1,"")</f>
        <v/>
      </c>
      <c r="C305" s="19" t="str">
        <f t="shared" si="69"/>
        <v>B-BCP - Dolares</v>
      </c>
      <c r="D305" s="3" t="s">
        <v>1101</v>
      </c>
      <c r="E305" s="14">
        <v>45869</v>
      </c>
      <c r="F305" s="5" t="s">
        <v>147</v>
      </c>
      <c r="G305" s="5"/>
      <c r="H305" s="6"/>
      <c r="I305" s="6" t="s">
        <v>14</v>
      </c>
      <c r="J305" s="6" t="s">
        <v>1521</v>
      </c>
      <c r="K305" s="6">
        <v>141</v>
      </c>
      <c r="L305" s="7" t="s">
        <v>4001</v>
      </c>
      <c r="M305" s="8">
        <v>6425528</v>
      </c>
      <c r="N305" s="8" t="str">
        <f t="shared" si="70"/>
        <v>USD</v>
      </c>
      <c r="O305" s="13">
        <v>3126.67</v>
      </c>
      <c r="P305" s="13"/>
      <c r="Q305" s="3">
        <f t="shared" si="71"/>
        <v>0</v>
      </c>
      <c r="R305" s="3">
        <f t="shared" si="72"/>
        <v>0</v>
      </c>
      <c r="S305" s="3">
        <f t="shared" ref="S305:S306" si="73">IFERROR(IF(G305="SALDO",Q305,S304+Q305-R305),0)</f>
        <v>7713.7300000000032</v>
      </c>
      <c r="T305" s="24" t="s">
        <v>1081</v>
      </c>
      <c r="U305" s="24" t="s">
        <v>1081</v>
      </c>
      <c r="V305" s="80"/>
      <c r="W305" s="3"/>
      <c r="X305" s="3"/>
      <c r="Y305" s="3"/>
      <c r="Z305" s="3"/>
      <c r="AA305" s="3"/>
      <c r="AB305" s="3" t="str">
        <f>IF(BCP_Dolares[[#This Row],[FECHA]]&gt;0,TEXT(BCP_Dolares[[#This Row],[FECHA]],"mmmm"),0)</f>
        <v>Julio</v>
      </c>
    </row>
    <row r="306" spans="2:28" ht="24" x14ac:dyDescent="0.3">
      <c r="B306" s="2">
        <f>IF(BCP_Dolares[[#This Row],[TIPO DE R.]]="R",COUNTIFS($D$4:$D305,"R")+1,"")</f>
        <v>138</v>
      </c>
      <c r="C306" s="19" t="str">
        <f t="shared" si="69"/>
        <v>B-BCP - Dolares</v>
      </c>
      <c r="D306" s="3" t="s">
        <v>1074</v>
      </c>
      <c r="E306" s="14">
        <v>45869</v>
      </c>
      <c r="F306" s="5"/>
      <c r="G306" s="5" t="s">
        <v>1079</v>
      </c>
      <c r="H306" s="6" t="s">
        <v>4118</v>
      </c>
      <c r="I306" s="6"/>
      <c r="J306" s="6"/>
      <c r="K306" s="6"/>
      <c r="L306" s="7" t="s">
        <v>4119</v>
      </c>
      <c r="M306" s="8">
        <v>1112769</v>
      </c>
      <c r="N306" s="8" t="str">
        <f t="shared" si="70"/>
        <v>USD</v>
      </c>
      <c r="O306" s="13"/>
      <c r="P306" s="13">
        <v>107.46</v>
      </c>
      <c r="Q306" s="3">
        <f t="shared" si="71"/>
        <v>0</v>
      </c>
      <c r="R306" s="3">
        <f t="shared" si="72"/>
        <v>107.46</v>
      </c>
      <c r="S306" s="3">
        <f t="shared" si="73"/>
        <v>7606.2700000000032</v>
      </c>
      <c r="T306" s="24"/>
      <c r="U306" s="24"/>
      <c r="V306" s="80"/>
      <c r="W306" s="3"/>
      <c r="X306" s="3"/>
      <c r="Y306" s="3"/>
      <c r="Z306" s="3"/>
      <c r="AA306" s="3"/>
      <c r="AB306" s="3" t="str">
        <f>IF(BCP_Dolares[[#This Row],[FECHA]]&gt;0,TEXT(BCP_Dolares[[#This Row],[FECHA]],"mmmm"),0)</f>
        <v>Julio</v>
      </c>
    </row>
    <row r="307" spans="2:28" x14ac:dyDescent="0.3">
      <c r="B307" s="2">
        <f>IF(BCP_Dolares[[#This Row],[TIPO DE R.]]="R",COUNTIFS($D$4:$D306,"R")+1,"")</f>
        <v>139</v>
      </c>
      <c r="C307" s="19" t="str">
        <f t="shared" si="69"/>
        <v>B-BCP - Dolares</v>
      </c>
      <c r="D307" s="3" t="s">
        <v>1074</v>
      </c>
      <c r="E307" s="14">
        <v>45869</v>
      </c>
      <c r="F307" s="5" t="s">
        <v>1082</v>
      </c>
      <c r="G307" s="5" t="s">
        <v>1079</v>
      </c>
      <c r="H307" s="6"/>
      <c r="I307" s="6"/>
      <c r="J307" s="6"/>
      <c r="K307" s="6"/>
      <c r="L307" s="7" t="s">
        <v>4120</v>
      </c>
      <c r="M307" s="8"/>
      <c r="N307" s="8" t="str">
        <f t="shared" si="70"/>
        <v>USD</v>
      </c>
      <c r="O307" s="13"/>
      <c r="P307" s="13">
        <v>6200</v>
      </c>
      <c r="Q307" s="3">
        <f t="shared" si="71"/>
        <v>0</v>
      </c>
      <c r="R307" s="3">
        <f t="shared" si="72"/>
        <v>6200</v>
      </c>
      <c r="S307" s="3">
        <f>IFERROR(IF(G307="SALDO",Q307,S306+Q307-R307),0)</f>
        <v>1406.2700000000032</v>
      </c>
      <c r="T307" s="24"/>
      <c r="U307" s="24"/>
      <c r="V307" s="80"/>
      <c r="W307" s="3"/>
      <c r="X307" s="3"/>
      <c r="Y307" s="3"/>
      <c r="Z307" s="3"/>
      <c r="AA307" s="3"/>
      <c r="AB307" s="3" t="str">
        <f>IF(BCP_Dolares[[#This Row],[FECHA]]&gt;0,TEXT(BCP_Dolares[[#This Row],[FECHA]],"mmmm"),0)</f>
        <v>Julio</v>
      </c>
    </row>
    <row r="308" spans="2:28" x14ac:dyDescent="0.3">
      <c r="B308" s="2">
        <f>IF(BCP_Dolares[[#This Row],[TIPO DE R.]]="R",COUNTIFS($D$4:$D307,"R")+1,"")</f>
        <v>140</v>
      </c>
      <c r="C308" s="19" t="str">
        <f t="shared" ref="C308:C310" si="74">"B-BCP - Dolares"</f>
        <v>B-BCP - Dolares</v>
      </c>
      <c r="D308" s="3" t="s">
        <v>1074</v>
      </c>
      <c r="E308" s="14">
        <v>45869</v>
      </c>
      <c r="F308" s="5" t="s">
        <v>1078</v>
      </c>
      <c r="G308" s="5" t="s">
        <v>1079</v>
      </c>
      <c r="H308" s="6" t="s">
        <v>950</v>
      </c>
      <c r="I308" s="6" t="s">
        <v>10</v>
      </c>
      <c r="J308" s="6" t="s">
        <v>4107</v>
      </c>
      <c r="K308" s="6">
        <v>140</v>
      </c>
      <c r="L308" s="7" t="s">
        <v>2868</v>
      </c>
      <c r="M308" s="8"/>
      <c r="N308" s="8" t="str">
        <f t="shared" ref="N308:N310" si="75">"USD"</f>
        <v>USD</v>
      </c>
      <c r="O308" s="13"/>
      <c r="P308" s="13">
        <v>0.35</v>
      </c>
      <c r="Q308" s="3">
        <f t="shared" ref="Q308:Q310" si="76">+IF(OR($G308="SALDO",$G308="INGRESO"),$P308,0)</f>
        <v>0</v>
      </c>
      <c r="R308" s="3">
        <f t="shared" ref="R308:R310" si="77">+IF($G308="EGRESO",$P308,0)</f>
        <v>0.35</v>
      </c>
      <c r="S308" s="3">
        <f t="shared" ref="S308:S310" si="78">IFERROR(IF(G308="SALDO",Q308,S307+Q308-R308),0)</f>
        <v>1405.9200000000033</v>
      </c>
      <c r="T308" s="24" t="s">
        <v>1081</v>
      </c>
      <c r="U308" s="24"/>
      <c r="V308" s="80"/>
      <c r="W308" s="3"/>
      <c r="X308" s="3"/>
      <c r="Y308" s="3"/>
      <c r="Z308" s="3"/>
      <c r="AA308" s="3"/>
      <c r="AB308" s="3" t="str">
        <f>IF(BCP_Dolares[[#This Row],[FECHA]]&gt;0,TEXT(BCP_Dolares[[#This Row],[FECHA]],"mmmm"),0)</f>
        <v>Julio</v>
      </c>
    </row>
    <row r="309" spans="2:28" ht="24" x14ac:dyDescent="0.3">
      <c r="B309" s="2">
        <f>IF(BCP_Dolares[[#This Row],[TIPO DE R.]]="R",COUNTIFS($D$4:$D308,"R")+1,"")</f>
        <v>141</v>
      </c>
      <c r="C309" s="19" t="str">
        <f t="shared" si="74"/>
        <v>B-BCP - Dolares</v>
      </c>
      <c r="D309" s="3" t="s">
        <v>1074</v>
      </c>
      <c r="E309" s="14">
        <v>45869</v>
      </c>
      <c r="F309" s="5" t="s">
        <v>1078</v>
      </c>
      <c r="G309" s="5" t="s">
        <v>1079</v>
      </c>
      <c r="H309" s="6" t="s">
        <v>1001</v>
      </c>
      <c r="I309" s="6" t="s">
        <v>14</v>
      </c>
      <c r="J309" s="6" t="s">
        <v>3759</v>
      </c>
      <c r="K309" s="6">
        <v>16106894</v>
      </c>
      <c r="L309" s="7" t="s">
        <v>1493</v>
      </c>
      <c r="M309" s="8">
        <v>0</v>
      </c>
      <c r="N309" s="8" t="str">
        <f t="shared" si="75"/>
        <v>USD</v>
      </c>
      <c r="O309" s="13"/>
      <c r="P309" s="13">
        <v>13</v>
      </c>
      <c r="Q309" s="3">
        <f t="shared" si="76"/>
        <v>0</v>
      </c>
      <c r="R309" s="3">
        <f t="shared" si="77"/>
        <v>13</v>
      </c>
      <c r="S309" s="3">
        <f t="shared" si="78"/>
        <v>1392.9200000000033</v>
      </c>
      <c r="T309" s="24" t="s">
        <v>1081</v>
      </c>
      <c r="U309" s="24" t="s">
        <v>1081</v>
      </c>
      <c r="V309" s="80"/>
      <c r="W309" s="3"/>
      <c r="X309" s="3"/>
      <c r="Y309" s="3"/>
      <c r="Z309" s="3"/>
      <c r="AA309" s="3"/>
      <c r="AB309" s="3" t="str">
        <f>IF(BCP_Dolares[[#This Row],[FECHA]]&gt;0,TEXT(BCP_Dolares[[#This Row],[FECHA]],"mmmm"),0)</f>
        <v>Julio</v>
      </c>
    </row>
    <row r="310" spans="2:28" ht="24" x14ac:dyDescent="0.3">
      <c r="B310" s="2">
        <f>IF(BCP_Dolares[[#This Row],[TIPO DE R.]]="R",COUNTIFS($D$4:$D309,"R")+1,"")</f>
        <v>142</v>
      </c>
      <c r="C310" s="19" t="str">
        <f t="shared" si="74"/>
        <v>B-BCP - Dolares</v>
      </c>
      <c r="D310" s="3" t="s">
        <v>1074</v>
      </c>
      <c r="E310" s="14">
        <v>45869</v>
      </c>
      <c r="F310" s="5" t="s">
        <v>1078</v>
      </c>
      <c r="G310" s="5" t="s">
        <v>1079</v>
      </c>
      <c r="H310" s="6" t="s">
        <v>1001</v>
      </c>
      <c r="I310" s="6" t="s">
        <v>14</v>
      </c>
      <c r="J310" s="6" t="s">
        <v>3759</v>
      </c>
      <c r="K310" s="6">
        <v>16106894</v>
      </c>
      <c r="L310" s="7" t="s">
        <v>1495</v>
      </c>
      <c r="M310" s="8">
        <v>1147159</v>
      </c>
      <c r="N310" s="8" t="str">
        <f t="shared" si="75"/>
        <v>USD</v>
      </c>
      <c r="O310" s="13"/>
      <c r="P310" s="13">
        <v>2</v>
      </c>
      <c r="Q310" s="3">
        <f t="shared" si="76"/>
        <v>0</v>
      </c>
      <c r="R310" s="3">
        <f t="shared" si="77"/>
        <v>2</v>
      </c>
      <c r="S310" s="3">
        <f t="shared" si="78"/>
        <v>1390.9200000000033</v>
      </c>
      <c r="T310" s="24" t="s">
        <v>1081</v>
      </c>
      <c r="U310" s="24" t="s">
        <v>1081</v>
      </c>
      <c r="V310" s="80"/>
      <c r="W310" s="3"/>
      <c r="X310" s="3"/>
      <c r="Y310" s="3"/>
      <c r="Z310" s="3"/>
      <c r="AA310" s="3"/>
      <c r="AB310" s="3" t="str">
        <f>IF(BCP_Dolares[[#This Row],[FECHA]]&gt;0,TEXT(BCP_Dolares[[#This Row],[FECHA]],"mmmm"),0)</f>
        <v>Julio</v>
      </c>
    </row>
    <row r="311" spans="2:28" x14ac:dyDescent="0.3">
      <c r="B311" s="2">
        <f>IF(BCP_Dolares[[#This Row],[TIPO DE R.]]="R",COUNTIFS($D$4:$D310,"R")+1,"")</f>
        <v>143</v>
      </c>
      <c r="C311" s="19" t="str">
        <f t="shared" ref="C311:C326" si="79">"B-BCP - Dolares"</f>
        <v>B-BCP - Dolares</v>
      </c>
      <c r="D311" s="3" t="s">
        <v>1074</v>
      </c>
      <c r="E311" s="14">
        <v>45870</v>
      </c>
      <c r="F311" s="5" t="s">
        <v>3738</v>
      </c>
      <c r="G311" s="5" t="s">
        <v>1087</v>
      </c>
      <c r="H311" s="6" t="s">
        <v>368</v>
      </c>
      <c r="I311" s="6" t="s">
        <v>14</v>
      </c>
      <c r="J311" s="6" t="s">
        <v>1521</v>
      </c>
      <c r="K311" s="6">
        <v>134</v>
      </c>
      <c r="L311" s="7" t="s">
        <v>4111</v>
      </c>
      <c r="M311" s="8">
        <v>2282101</v>
      </c>
      <c r="N311" s="8" t="str">
        <f t="shared" ref="N311:N326" si="80">"USD"</f>
        <v>USD</v>
      </c>
      <c r="O311" s="13"/>
      <c r="P311" s="13">
        <v>88.11</v>
      </c>
      <c r="Q311" s="3">
        <f t="shared" ref="Q311:Q326" si="81">+IF(OR($G311="SALDO",$G311="INGRESO"),$P311,0)</f>
        <v>88.11</v>
      </c>
      <c r="R311" s="3">
        <f t="shared" ref="R311:R326" si="82">+IF($G311="EGRESO",$P311,0)</f>
        <v>0</v>
      </c>
      <c r="S311" s="3">
        <f t="shared" ref="S311:S326" si="83">IFERROR(IF(G311="SALDO",Q311,S310+Q311-R311),0)</f>
        <v>1479.0300000000032</v>
      </c>
      <c r="T311" s="24"/>
      <c r="U311" s="24"/>
      <c r="V311" s="80"/>
      <c r="W311" s="3"/>
      <c r="X311" s="3"/>
      <c r="Y311" s="3"/>
      <c r="Z311" s="3"/>
      <c r="AA311" s="3"/>
      <c r="AB311" s="3" t="str">
        <f>IF(BCP_Dolares[[#This Row],[FECHA]]&gt;0,TEXT(BCP_Dolares[[#This Row],[FECHA]],"mmmm"),0)</f>
        <v>Agosto</v>
      </c>
    </row>
    <row r="312" spans="2:28" ht="24" x14ac:dyDescent="0.3">
      <c r="B312" s="2">
        <f>IF(BCP_Dolares[[#This Row],[TIPO DE R.]]="R",COUNTIFS($D$4:$D311,"R")+1,"")</f>
        <v>144</v>
      </c>
      <c r="C312" s="19" t="str">
        <f t="shared" si="79"/>
        <v>B-BCP - Dolares</v>
      </c>
      <c r="D312" s="3" t="s">
        <v>1074</v>
      </c>
      <c r="E312" s="14">
        <v>45880</v>
      </c>
      <c r="F312" s="5" t="s">
        <v>1082</v>
      </c>
      <c r="G312" s="5" t="s">
        <v>1079</v>
      </c>
      <c r="H312" s="6" t="s">
        <v>683</v>
      </c>
      <c r="I312" s="6" t="s">
        <v>14</v>
      </c>
      <c r="J312" s="6" t="s">
        <v>1204</v>
      </c>
      <c r="K312" s="6">
        <v>474181</v>
      </c>
      <c r="L312" s="7" t="s">
        <v>4121</v>
      </c>
      <c r="M312" s="8">
        <v>215859</v>
      </c>
      <c r="N312" s="8" t="str">
        <f t="shared" si="80"/>
        <v>USD</v>
      </c>
      <c r="O312" s="13"/>
      <c r="P312" s="13">
        <v>416.27</v>
      </c>
      <c r="Q312" s="3">
        <f t="shared" si="81"/>
        <v>0</v>
      </c>
      <c r="R312" s="3">
        <f t="shared" si="82"/>
        <v>416.27</v>
      </c>
      <c r="S312" s="3">
        <f t="shared" si="83"/>
        <v>1062.7600000000032</v>
      </c>
      <c r="T312" s="24" t="s">
        <v>1081</v>
      </c>
      <c r="U312" s="24" t="s">
        <v>1081</v>
      </c>
      <c r="V312" s="80"/>
      <c r="W312" s="3"/>
      <c r="X312" s="3"/>
      <c r="Y312" s="3"/>
      <c r="Z312" s="3"/>
      <c r="AA312" s="3"/>
      <c r="AB312" s="3" t="str">
        <f>IF(BCP_Dolares[[#This Row],[FECHA]]&gt;0,TEXT(BCP_Dolares[[#This Row],[FECHA]],"mmmm"),0)</f>
        <v>Agosto</v>
      </c>
    </row>
    <row r="313" spans="2:28" ht="24" x14ac:dyDescent="0.3">
      <c r="B313" s="2">
        <f>IF(BCP_Dolares[[#This Row],[TIPO DE R.]]="R",COUNTIFS($D$4:$D312,"R")+1,"")</f>
        <v>145</v>
      </c>
      <c r="C313" s="19" t="str">
        <f t="shared" si="79"/>
        <v>B-BCP - Dolares</v>
      </c>
      <c r="D313" s="3" t="s">
        <v>1074</v>
      </c>
      <c r="E313" s="14">
        <v>45881</v>
      </c>
      <c r="F313" s="5" t="s">
        <v>1082</v>
      </c>
      <c r="G313" s="5" t="s">
        <v>1079</v>
      </c>
      <c r="H313" s="6" t="s">
        <v>683</v>
      </c>
      <c r="I313" s="6" t="s">
        <v>14</v>
      </c>
      <c r="J313" s="6" t="s">
        <v>1204</v>
      </c>
      <c r="K313" s="6">
        <v>474397</v>
      </c>
      <c r="L313" s="7" t="s">
        <v>4122</v>
      </c>
      <c r="M313" s="8">
        <v>102647</v>
      </c>
      <c r="N313" s="8" t="str">
        <f t="shared" si="80"/>
        <v>USD</v>
      </c>
      <c r="O313" s="13"/>
      <c r="P313" s="13">
        <v>102.22</v>
      </c>
      <c r="Q313" s="3">
        <f t="shared" si="81"/>
        <v>0</v>
      </c>
      <c r="R313" s="3">
        <f t="shared" si="82"/>
        <v>102.22</v>
      </c>
      <c r="S313" s="3">
        <f t="shared" si="83"/>
        <v>960.54000000000315</v>
      </c>
      <c r="T313" s="24" t="s">
        <v>1081</v>
      </c>
      <c r="U313" s="24" t="s">
        <v>1081</v>
      </c>
      <c r="V313" s="80"/>
      <c r="W313" s="3"/>
      <c r="X313" s="3"/>
      <c r="Y313" s="3"/>
      <c r="Z313" s="3"/>
      <c r="AA313" s="3"/>
      <c r="AB313" s="3" t="str">
        <f>IF(BCP_Dolares[[#This Row],[FECHA]]&gt;0,TEXT(BCP_Dolares[[#This Row],[FECHA]],"mmmm"),0)</f>
        <v>Agosto</v>
      </c>
    </row>
    <row r="314" spans="2:28" x14ac:dyDescent="0.3">
      <c r="B314" s="2">
        <f>IF(BCP_Dolares[[#This Row],[TIPO DE R.]]="R",COUNTIFS($D$4:$D313,"R")+1,"")</f>
        <v>146</v>
      </c>
      <c r="C314" s="19" t="str">
        <f t="shared" si="79"/>
        <v>B-BCP - Dolares</v>
      </c>
      <c r="D314" s="3" t="s">
        <v>1074</v>
      </c>
      <c r="E314" s="14">
        <v>45882</v>
      </c>
      <c r="F314" s="5" t="s">
        <v>1082</v>
      </c>
      <c r="G314" s="5" t="s">
        <v>1079</v>
      </c>
      <c r="H314" s="6" t="s">
        <v>147</v>
      </c>
      <c r="I314" s="6"/>
      <c r="J314" s="6"/>
      <c r="K314" s="6"/>
      <c r="L314" s="7" t="s">
        <v>4123</v>
      </c>
      <c r="M314" s="8">
        <v>1401621</v>
      </c>
      <c r="N314" s="8" t="str">
        <f t="shared" si="80"/>
        <v>USD</v>
      </c>
      <c r="O314" s="13"/>
      <c r="P314" s="13">
        <v>484.25</v>
      </c>
      <c r="Q314" s="3">
        <f t="shared" si="81"/>
        <v>0</v>
      </c>
      <c r="R314" s="3">
        <f t="shared" si="82"/>
        <v>484.25</v>
      </c>
      <c r="S314" s="3">
        <f t="shared" si="83"/>
        <v>476.29000000000315</v>
      </c>
      <c r="T314" s="24" t="s">
        <v>1081</v>
      </c>
      <c r="U314" s="24" t="s">
        <v>1081</v>
      </c>
      <c r="V314" s="80"/>
      <c r="W314" s="3"/>
      <c r="X314" s="3"/>
      <c r="Y314" s="3"/>
      <c r="Z314" s="3"/>
      <c r="AA314" s="3"/>
      <c r="AB314" s="3" t="str">
        <f>IF(BCP_Dolares[[#This Row],[FECHA]]&gt;0,TEXT(BCP_Dolares[[#This Row],[FECHA]],"mmmm"),0)</f>
        <v>Agosto</v>
      </c>
    </row>
    <row r="315" spans="2:28" ht="24" x14ac:dyDescent="0.3">
      <c r="B315" s="2" t="str">
        <f>IF(BCP_Dolares[[#This Row],[TIPO DE R.]]="R",COUNTIFS($D$4:$D314,"R")+1,"")</f>
        <v/>
      </c>
      <c r="C315" s="19" t="str">
        <f t="shared" ref="C315:C324" si="84">"B-BCP - Dolares"</f>
        <v>B-BCP - Dolares</v>
      </c>
      <c r="D315" s="3" t="s">
        <v>1101</v>
      </c>
      <c r="E315" s="14">
        <v>45882</v>
      </c>
      <c r="F315" s="5"/>
      <c r="G315" s="5"/>
      <c r="H315" s="6" t="s">
        <v>147</v>
      </c>
      <c r="I315" s="6" t="s">
        <v>14</v>
      </c>
      <c r="J315" s="6" t="s">
        <v>1148</v>
      </c>
      <c r="K315" s="6">
        <v>16422</v>
      </c>
      <c r="L315" s="7" t="s">
        <v>4123</v>
      </c>
      <c r="M315" s="8">
        <v>1401621</v>
      </c>
      <c r="N315" s="8" t="str">
        <f t="shared" ref="N315:N324" si="85">"USD"</f>
        <v>USD</v>
      </c>
      <c r="O315" s="13">
        <v>24.54</v>
      </c>
      <c r="P315" s="13"/>
      <c r="Q315" s="3">
        <f t="shared" ref="Q315:Q324" si="86">+IF(OR($G315="SALDO",$G315="INGRESO"),$P315,0)</f>
        <v>0</v>
      </c>
      <c r="R315" s="3">
        <f t="shared" ref="R315:R324" si="87">+IF($G315="EGRESO",$P315,0)</f>
        <v>0</v>
      </c>
      <c r="S315" s="3">
        <f t="shared" ref="S315:S325" si="88">IFERROR(IF(G315="SALDO",Q315,S314+Q315-R315),0)</f>
        <v>476.29000000000315</v>
      </c>
      <c r="T315" s="24" t="s">
        <v>1081</v>
      </c>
      <c r="U315" s="24" t="s">
        <v>1081</v>
      </c>
      <c r="V315" s="80"/>
      <c r="W315" s="3"/>
      <c r="X315" s="3"/>
      <c r="Y315" s="3"/>
      <c r="Z315" s="3"/>
      <c r="AA315" s="3"/>
      <c r="AB315" s="3" t="str">
        <f>IF(BCP_Dolares[[#This Row],[FECHA]]&gt;0,TEXT(BCP_Dolares[[#This Row],[FECHA]],"mmmm"),0)</f>
        <v>Agosto</v>
      </c>
    </row>
    <row r="316" spans="2:28" ht="24" x14ac:dyDescent="0.3">
      <c r="B316" s="2" t="str">
        <f>IF(BCP_Dolares[[#This Row],[TIPO DE R.]]="R",COUNTIFS($D$4:$D315,"R")+1,"")</f>
        <v/>
      </c>
      <c r="C316" s="19" t="str">
        <f t="shared" si="84"/>
        <v>B-BCP - Dolares</v>
      </c>
      <c r="D316" s="3" t="s">
        <v>1101</v>
      </c>
      <c r="E316" s="14">
        <v>45882</v>
      </c>
      <c r="F316" s="5"/>
      <c r="G316" s="5"/>
      <c r="H316" s="6" t="s">
        <v>147</v>
      </c>
      <c r="I316" s="6" t="s">
        <v>14</v>
      </c>
      <c r="J316" s="6" t="s">
        <v>1148</v>
      </c>
      <c r="K316" s="6">
        <v>16454</v>
      </c>
      <c r="L316" s="7" t="s">
        <v>4123</v>
      </c>
      <c r="M316" s="8">
        <v>1401621</v>
      </c>
      <c r="N316" s="8" t="str">
        <f t="shared" si="85"/>
        <v>USD</v>
      </c>
      <c r="O316" s="13">
        <v>58.28</v>
      </c>
      <c r="P316" s="13"/>
      <c r="Q316" s="3">
        <f t="shared" si="86"/>
        <v>0</v>
      </c>
      <c r="R316" s="3">
        <f t="shared" si="87"/>
        <v>0</v>
      </c>
      <c r="S316" s="3">
        <f t="shared" si="88"/>
        <v>476.29000000000315</v>
      </c>
      <c r="T316" s="24" t="s">
        <v>1081</v>
      </c>
      <c r="U316" s="24" t="s">
        <v>1081</v>
      </c>
      <c r="V316" s="80"/>
      <c r="W316" s="3"/>
      <c r="X316" s="3"/>
      <c r="Y316" s="3"/>
      <c r="Z316" s="3"/>
      <c r="AA316" s="3"/>
      <c r="AB316" s="3" t="str">
        <f>IF(BCP_Dolares[[#This Row],[FECHA]]&gt;0,TEXT(BCP_Dolares[[#This Row],[FECHA]],"mmmm"),0)</f>
        <v>Agosto</v>
      </c>
    </row>
    <row r="317" spans="2:28" ht="24" x14ac:dyDescent="0.3">
      <c r="B317" s="2" t="str">
        <f>IF(BCP_Dolares[[#This Row],[TIPO DE R.]]="R",COUNTIFS($D$4:$D316,"R")+1,"")</f>
        <v/>
      </c>
      <c r="C317" s="19" t="str">
        <f t="shared" si="84"/>
        <v>B-BCP - Dolares</v>
      </c>
      <c r="D317" s="3" t="s">
        <v>1101</v>
      </c>
      <c r="E317" s="14">
        <v>45882</v>
      </c>
      <c r="F317" s="5"/>
      <c r="G317" s="5"/>
      <c r="H317" s="6" t="s">
        <v>147</v>
      </c>
      <c r="I317" s="6" t="s">
        <v>14</v>
      </c>
      <c r="J317" s="6" t="s">
        <v>1148</v>
      </c>
      <c r="K317" s="6">
        <v>16470</v>
      </c>
      <c r="L317" s="7" t="s">
        <v>4123</v>
      </c>
      <c r="M317" s="8">
        <v>1401621</v>
      </c>
      <c r="N317" s="8" t="str">
        <f t="shared" si="85"/>
        <v>USD</v>
      </c>
      <c r="O317" s="13">
        <v>37.880000000000003</v>
      </c>
      <c r="P317" s="13"/>
      <c r="Q317" s="3">
        <f t="shared" si="86"/>
        <v>0</v>
      </c>
      <c r="R317" s="3">
        <f t="shared" si="87"/>
        <v>0</v>
      </c>
      <c r="S317" s="3">
        <f t="shared" si="88"/>
        <v>476.29000000000315</v>
      </c>
      <c r="T317" s="24" t="s">
        <v>1081</v>
      </c>
      <c r="U317" s="24" t="s">
        <v>1081</v>
      </c>
      <c r="V317" s="80"/>
      <c r="W317" s="3"/>
      <c r="X317" s="3"/>
      <c r="Y317" s="3"/>
      <c r="Z317" s="3"/>
      <c r="AA317" s="3"/>
      <c r="AB317" s="3" t="str">
        <f>IF(BCP_Dolares[[#This Row],[FECHA]]&gt;0,TEXT(BCP_Dolares[[#This Row],[FECHA]],"mmmm"),0)</f>
        <v>Agosto</v>
      </c>
    </row>
    <row r="318" spans="2:28" ht="24" x14ac:dyDescent="0.3">
      <c r="B318" s="2" t="str">
        <f>IF(BCP_Dolares[[#This Row],[TIPO DE R.]]="R",COUNTIFS($D$4:$D317,"R")+1,"")</f>
        <v/>
      </c>
      <c r="C318" s="19" t="str">
        <f t="shared" si="84"/>
        <v>B-BCP - Dolares</v>
      </c>
      <c r="D318" s="3" t="s">
        <v>1101</v>
      </c>
      <c r="E318" s="14">
        <v>45882</v>
      </c>
      <c r="F318" s="5"/>
      <c r="G318" s="5"/>
      <c r="H318" s="6" t="s">
        <v>147</v>
      </c>
      <c r="I318" s="6" t="s">
        <v>14</v>
      </c>
      <c r="J318" s="6" t="s">
        <v>1148</v>
      </c>
      <c r="K318" s="6">
        <v>16398</v>
      </c>
      <c r="L318" s="7" t="s">
        <v>4123</v>
      </c>
      <c r="M318" s="8">
        <v>1401621</v>
      </c>
      <c r="N318" s="8" t="str">
        <f t="shared" si="85"/>
        <v>USD</v>
      </c>
      <c r="O318" s="13">
        <v>47.47</v>
      </c>
      <c r="P318" s="13"/>
      <c r="Q318" s="3">
        <f t="shared" si="86"/>
        <v>0</v>
      </c>
      <c r="R318" s="3">
        <f t="shared" si="87"/>
        <v>0</v>
      </c>
      <c r="S318" s="3">
        <f t="shared" si="88"/>
        <v>476.29000000000315</v>
      </c>
      <c r="T318" s="24" t="s">
        <v>1081</v>
      </c>
      <c r="U318" s="24" t="s">
        <v>1081</v>
      </c>
      <c r="V318" s="80"/>
      <c r="W318" s="3"/>
      <c r="X318" s="3"/>
      <c r="Y318" s="3"/>
      <c r="Z318" s="3"/>
      <c r="AA318" s="3"/>
      <c r="AB318" s="3" t="str">
        <f>IF(BCP_Dolares[[#This Row],[FECHA]]&gt;0,TEXT(BCP_Dolares[[#This Row],[FECHA]],"mmmm"),0)</f>
        <v>Agosto</v>
      </c>
    </row>
    <row r="319" spans="2:28" ht="24" x14ac:dyDescent="0.3">
      <c r="B319" s="2" t="str">
        <f>IF(BCP_Dolares[[#This Row],[TIPO DE R.]]="R",COUNTIFS($D$4:$D318,"R")+1,"")</f>
        <v/>
      </c>
      <c r="C319" s="19" t="str">
        <f t="shared" si="84"/>
        <v>B-BCP - Dolares</v>
      </c>
      <c r="D319" s="3" t="s">
        <v>1101</v>
      </c>
      <c r="E319" s="14">
        <v>45882</v>
      </c>
      <c r="F319" s="5"/>
      <c r="G319" s="5"/>
      <c r="H319" s="6" t="s">
        <v>147</v>
      </c>
      <c r="I319" s="6" t="s">
        <v>14</v>
      </c>
      <c r="J319" s="6" t="s">
        <v>1148</v>
      </c>
      <c r="K319" s="6">
        <v>16391</v>
      </c>
      <c r="L319" s="7" t="s">
        <v>4123</v>
      </c>
      <c r="M319" s="8">
        <v>1401621</v>
      </c>
      <c r="N319" s="8" t="str">
        <f t="shared" si="85"/>
        <v>USD</v>
      </c>
      <c r="O319" s="13">
        <v>48.21</v>
      </c>
      <c r="P319" s="13"/>
      <c r="Q319" s="3">
        <f t="shared" si="86"/>
        <v>0</v>
      </c>
      <c r="R319" s="3">
        <f t="shared" si="87"/>
        <v>0</v>
      </c>
      <c r="S319" s="3">
        <f t="shared" si="88"/>
        <v>476.29000000000315</v>
      </c>
      <c r="T319" s="24" t="s">
        <v>1081</v>
      </c>
      <c r="U319" s="24" t="s">
        <v>1081</v>
      </c>
      <c r="V319" s="80"/>
      <c r="W319" s="3"/>
      <c r="X319" s="3"/>
      <c r="Y319" s="3"/>
      <c r="Z319" s="3"/>
      <c r="AA319" s="3"/>
      <c r="AB319" s="3" t="str">
        <f>IF(BCP_Dolares[[#This Row],[FECHA]]&gt;0,TEXT(BCP_Dolares[[#This Row],[FECHA]],"mmmm"),0)</f>
        <v>Agosto</v>
      </c>
    </row>
    <row r="320" spans="2:28" ht="24" x14ac:dyDescent="0.3">
      <c r="B320" s="2" t="str">
        <f>IF(BCP_Dolares[[#This Row],[TIPO DE R.]]="R",COUNTIFS($D$4:$D319,"R")+1,"")</f>
        <v/>
      </c>
      <c r="C320" s="19" t="str">
        <f t="shared" si="84"/>
        <v>B-BCP - Dolares</v>
      </c>
      <c r="D320" s="3" t="s">
        <v>1101</v>
      </c>
      <c r="E320" s="14">
        <v>45882</v>
      </c>
      <c r="F320" s="5"/>
      <c r="G320" s="5"/>
      <c r="H320" s="6" t="s">
        <v>147</v>
      </c>
      <c r="I320" s="6" t="s">
        <v>14</v>
      </c>
      <c r="J320" s="6" t="s">
        <v>1148</v>
      </c>
      <c r="K320" s="6">
        <v>16474</v>
      </c>
      <c r="L320" s="7" t="s">
        <v>4123</v>
      </c>
      <c r="M320" s="8">
        <v>1401621</v>
      </c>
      <c r="N320" s="8" t="str">
        <f t="shared" si="85"/>
        <v>USD</v>
      </c>
      <c r="O320" s="13">
        <v>67.5</v>
      </c>
      <c r="P320" s="13"/>
      <c r="Q320" s="3">
        <f t="shared" si="86"/>
        <v>0</v>
      </c>
      <c r="R320" s="3">
        <f t="shared" si="87"/>
        <v>0</v>
      </c>
      <c r="S320" s="3">
        <f t="shared" si="88"/>
        <v>476.29000000000315</v>
      </c>
      <c r="T320" s="24" t="s">
        <v>1081</v>
      </c>
      <c r="U320" s="24" t="s">
        <v>1081</v>
      </c>
      <c r="V320" s="80"/>
      <c r="W320" s="3"/>
      <c r="X320" s="3"/>
      <c r="Y320" s="3"/>
      <c r="Z320" s="3"/>
      <c r="AA320" s="3"/>
      <c r="AB320" s="3" t="str">
        <f>IF(BCP_Dolares[[#This Row],[FECHA]]&gt;0,TEXT(BCP_Dolares[[#This Row],[FECHA]],"mmmm"),0)</f>
        <v>Agosto</v>
      </c>
    </row>
    <row r="321" spans="2:28" ht="24" x14ac:dyDescent="0.3">
      <c r="B321" s="2" t="str">
        <f>IF(BCP_Dolares[[#This Row],[TIPO DE R.]]="R",COUNTIFS($D$4:$D320,"R")+1,"")</f>
        <v/>
      </c>
      <c r="C321" s="19" t="str">
        <f t="shared" si="84"/>
        <v>B-BCP - Dolares</v>
      </c>
      <c r="D321" s="3" t="s">
        <v>1101</v>
      </c>
      <c r="E321" s="14">
        <v>45882</v>
      </c>
      <c r="F321" s="5"/>
      <c r="G321" s="5"/>
      <c r="H321" s="6" t="s">
        <v>147</v>
      </c>
      <c r="I321" s="6" t="s">
        <v>14</v>
      </c>
      <c r="J321" s="6" t="s">
        <v>1148</v>
      </c>
      <c r="K321" s="6">
        <v>16475</v>
      </c>
      <c r="L321" s="7" t="s">
        <v>4123</v>
      </c>
      <c r="M321" s="8">
        <v>1401621</v>
      </c>
      <c r="N321" s="8" t="str">
        <f t="shared" si="85"/>
        <v>USD</v>
      </c>
      <c r="O321" s="13">
        <v>86.07</v>
      </c>
      <c r="P321" s="13"/>
      <c r="Q321" s="3">
        <f t="shared" si="86"/>
        <v>0</v>
      </c>
      <c r="R321" s="3">
        <f t="shared" si="87"/>
        <v>0</v>
      </c>
      <c r="S321" s="3">
        <f t="shared" si="88"/>
        <v>476.29000000000315</v>
      </c>
      <c r="T321" s="24" t="s">
        <v>1081</v>
      </c>
      <c r="U321" s="24" t="s">
        <v>1081</v>
      </c>
      <c r="V321" s="80"/>
      <c r="W321" s="3"/>
      <c r="X321" s="3"/>
      <c r="Y321" s="3"/>
      <c r="Z321" s="3"/>
      <c r="AA321" s="3"/>
      <c r="AB321" s="3" t="str">
        <f>IF(BCP_Dolares[[#This Row],[FECHA]]&gt;0,TEXT(BCP_Dolares[[#This Row],[FECHA]],"mmmm"),0)</f>
        <v>Agosto</v>
      </c>
    </row>
    <row r="322" spans="2:28" ht="24" x14ac:dyDescent="0.3">
      <c r="B322" s="2" t="str">
        <f>IF(BCP_Dolares[[#This Row],[TIPO DE R.]]="R",COUNTIFS($D$4:$D321,"R")+1,"")</f>
        <v/>
      </c>
      <c r="C322" s="19" t="str">
        <f t="shared" si="84"/>
        <v>B-BCP - Dolares</v>
      </c>
      <c r="D322" s="3" t="s">
        <v>1101</v>
      </c>
      <c r="E322" s="14">
        <v>45882</v>
      </c>
      <c r="F322" s="5"/>
      <c r="G322" s="5"/>
      <c r="H322" s="6" t="s">
        <v>147</v>
      </c>
      <c r="I322" s="6" t="s">
        <v>14</v>
      </c>
      <c r="J322" s="6" t="s">
        <v>1148</v>
      </c>
      <c r="K322" s="6">
        <v>16476</v>
      </c>
      <c r="L322" s="7" t="s">
        <v>4123</v>
      </c>
      <c r="M322" s="8">
        <v>1401621</v>
      </c>
      <c r="N322" s="8" t="str">
        <f t="shared" si="85"/>
        <v>USD</v>
      </c>
      <c r="O322" s="13">
        <v>60.84</v>
      </c>
      <c r="P322" s="13"/>
      <c r="Q322" s="3">
        <f t="shared" si="86"/>
        <v>0</v>
      </c>
      <c r="R322" s="3">
        <f t="shared" si="87"/>
        <v>0</v>
      </c>
      <c r="S322" s="3">
        <f t="shared" si="88"/>
        <v>476.29000000000315</v>
      </c>
      <c r="T322" s="24" t="s">
        <v>1081</v>
      </c>
      <c r="U322" s="24" t="s">
        <v>1081</v>
      </c>
      <c r="V322" s="80"/>
      <c r="W322" s="3"/>
      <c r="X322" s="3"/>
      <c r="Y322" s="3"/>
      <c r="Z322" s="3"/>
      <c r="AA322" s="3"/>
      <c r="AB322" s="3" t="str">
        <f>IF(BCP_Dolares[[#This Row],[FECHA]]&gt;0,TEXT(BCP_Dolares[[#This Row],[FECHA]],"mmmm"),0)</f>
        <v>Agosto</v>
      </c>
    </row>
    <row r="323" spans="2:28" ht="24" x14ac:dyDescent="0.3">
      <c r="B323" s="2" t="str">
        <f>IF(BCP_Dolares[[#This Row],[TIPO DE R.]]="R",COUNTIFS($D$4:$D322,"R")+1,"")</f>
        <v/>
      </c>
      <c r="C323" s="19" t="str">
        <f t="shared" si="84"/>
        <v>B-BCP - Dolares</v>
      </c>
      <c r="D323" s="3" t="s">
        <v>1101</v>
      </c>
      <c r="E323" s="14">
        <v>45882</v>
      </c>
      <c r="F323" s="5"/>
      <c r="G323" s="5"/>
      <c r="H323" s="6" t="s">
        <v>147</v>
      </c>
      <c r="I323" s="6" t="s">
        <v>14</v>
      </c>
      <c r="J323" s="6" t="s">
        <v>1148</v>
      </c>
      <c r="K323" s="6">
        <v>16480</v>
      </c>
      <c r="L323" s="7" t="s">
        <v>4123</v>
      </c>
      <c r="M323" s="8">
        <v>1401621</v>
      </c>
      <c r="N323" s="8" t="str">
        <f t="shared" si="85"/>
        <v>USD</v>
      </c>
      <c r="O323" s="13">
        <v>22.26</v>
      </c>
      <c r="P323" s="13"/>
      <c r="Q323" s="3">
        <f t="shared" si="86"/>
        <v>0</v>
      </c>
      <c r="R323" s="3">
        <f t="shared" si="87"/>
        <v>0</v>
      </c>
      <c r="S323" s="3">
        <f t="shared" si="88"/>
        <v>476.29000000000315</v>
      </c>
      <c r="T323" s="24" t="s">
        <v>1081</v>
      </c>
      <c r="U323" s="24" t="s">
        <v>1081</v>
      </c>
      <c r="V323" s="80"/>
      <c r="W323" s="3"/>
      <c r="X323" s="3"/>
      <c r="Y323" s="3"/>
      <c r="Z323" s="3"/>
      <c r="AA323" s="3"/>
      <c r="AB323" s="3" t="str">
        <f>IF(BCP_Dolares[[#This Row],[FECHA]]&gt;0,TEXT(BCP_Dolares[[#This Row],[FECHA]],"mmmm"),0)</f>
        <v>Agosto</v>
      </c>
    </row>
    <row r="324" spans="2:28" ht="24" x14ac:dyDescent="0.3">
      <c r="B324" s="2" t="str">
        <f>IF(BCP_Dolares[[#This Row],[TIPO DE R.]]="R",COUNTIFS($D$4:$D323,"R")+1,"")</f>
        <v/>
      </c>
      <c r="C324" s="19" t="str">
        <f t="shared" si="84"/>
        <v>B-BCP - Dolares</v>
      </c>
      <c r="D324" s="3" t="s">
        <v>1101</v>
      </c>
      <c r="E324" s="14">
        <v>45882</v>
      </c>
      <c r="F324" s="5"/>
      <c r="G324" s="5"/>
      <c r="H324" s="6" t="s">
        <v>147</v>
      </c>
      <c r="I324" s="6" t="s">
        <v>14</v>
      </c>
      <c r="J324" s="6" t="s">
        <v>1148</v>
      </c>
      <c r="K324" s="6">
        <v>16442</v>
      </c>
      <c r="L324" s="7" t="s">
        <v>4123</v>
      </c>
      <c r="M324" s="8">
        <v>1401621</v>
      </c>
      <c r="N324" s="8" t="str">
        <f t="shared" si="85"/>
        <v>USD</v>
      </c>
      <c r="O324" s="13">
        <v>31.2</v>
      </c>
      <c r="P324" s="13"/>
      <c r="Q324" s="3">
        <f t="shared" si="86"/>
        <v>0</v>
      </c>
      <c r="R324" s="3">
        <f t="shared" si="87"/>
        <v>0</v>
      </c>
      <c r="S324" s="3">
        <f t="shared" si="88"/>
        <v>476.29000000000315</v>
      </c>
      <c r="T324" s="24" t="s">
        <v>1081</v>
      </c>
      <c r="U324" s="24" t="s">
        <v>1081</v>
      </c>
      <c r="V324" s="80"/>
      <c r="W324" s="3"/>
      <c r="X324" s="3"/>
      <c r="Y324" s="3"/>
      <c r="Z324" s="3"/>
      <c r="AA324" s="3"/>
      <c r="AB324" s="3" t="str">
        <f>IF(BCP_Dolares[[#This Row],[FECHA]]&gt;0,TEXT(BCP_Dolares[[#This Row],[FECHA]],"mmmm"),0)</f>
        <v>Agosto</v>
      </c>
    </row>
    <row r="325" spans="2:28" x14ac:dyDescent="0.3">
      <c r="B325" s="2">
        <f>IF(BCP_Dolares[[#This Row],[TIPO DE R.]]="R",COUNTIFS($D$4:$D324,"R")+1,"")</f>
        <v>147</v>
      </c>
      <c r="C325" s="19" t="str">
        <f t="shared" si="79"/>
        <v>B-BCP - Dolares</v>
      </c>
      <c r="D325" s="3" t="s">
        <v>1074</v>
      </c>
      <c r="E325" s="14">
        <v>45883</v>
      </c>
      <c r="F325" s="5"/>
      <c r="G325" s="5" t="s">
        <v>1087</v>
      </c>
      <c r="H325" s="6" t="s">
        <v>368</v>
      </c>
      <c r="I325" s="6"/>
      <c r="J325" s="6"/>
      <c r="K325" s="6"/>
      <c r="L325" s="7" t="s">
        <v>4112</v>
      </c>
      <c r="M325" s="8">
        <v>2237723</v>
      </c>
      <c r="N325" s="8" t="str">
        <f t="shared" si="80"/>
        <v>USD</v>
      </c>
      <c r="O325" s="13"/>
      <c r="P325" s="13">
        <v>557.88</v>
      </c>
      <c r="Q325" s="3">
        <f t="shared" si="81"/>
        <v>557.88</v>
      </c>
      <c r="R325" s="3">
        <f t="shared" si="82"/>
        <v>0</v>
      </c>
      <c r="S325" s="3">
        <f t="shared" si="88"/>
        <v>1034.1700000000033</v>
      </c>
      <c r="T325" s="24"/>
      <c r="U325" s="24"/>
      <c r="V325" s="80"/>
      <c r="W325" s="3"/>
      <c r="X325" s="3"/>
      <c r="Y325" s="3"/>
      <c r="Z325" s="3"/>
      <c r="AA325" s="3"/>
      <c r="AB325" s="3" t="str">
        <f>IF(BCP_Dolares[[#This Row],[FECHA]]&gt;0,TEXT(BCP_Dolares[[#This Row],[FECHA]],"mmmm"),0)</f>
        <v>Agosto</v>
      </c>
    </row>
    <row r="326" spans="2:28" ht="24" x14ac:dyDescent="0.3">
      <c r="B326" s="2">
        <f>IF(BCP_Dolares[[#This Row],[TIPO DE R.]]="R",COUNTIFS($D$4:$D325,"R")+1,"")</f>
        <v>148</v>
      </c>
      <c r="C326" s="19" t="str">
        <f t="shared" si="79"/>
        <v>B-BCP - Dolares</v>
      </c>
      <c r="D326" s="3" t="s">
        <v>1074</v>
      </c>
      <c r="E326" s="14">
        <v>45883</v>
      </c>
      <c r="F326" s="5" t="s">
        <v>1082</v>
      </c>
      <c r="G326" s="5" t="s">
        <v>1079</v>
      </c>
      <c r="H326" s="6" t="s">
        <v>719</v>
      </c>
      <c r="I326" s="6" t="s">
        <v>14</v>
      </c>
      <c r="J326" s="6" t="s">
        <v>2789</v>
      </c>
      <c r="K326" s="6">
        <v>172026</v>
      </c>
      <c r="L326" s="7" t="s">
        <v>4124</v>
      </c>
      <c r="M326" s="8">
        <v>242983</v>
      </c>
      <c r="N326" s="8" t="str">
        <f t="shared" si="80"/>
        <v>USD</v>
      </c>
      <c r="O326" s="13"/>
      <c r="P326" s="13">
        <v>1010.25</v>
      </c>
      <c r="Q326" s="3">
        <f t="shared" si="81"/>
        <v>0</v>
      </c>
      <c r="R326" s="3">
        <f t="shared" si="82"/>
        <v>1010.25</v>
      </c>
      <c r="S326" s="3">
        <f t="shared" si="83"/>
        <v>23.920000000003256</v>
      </c>
      <c r="T326" s="24" t="s">
        <v>1081</v>
      </c>
      <c r="U326" s="24"/>
      <c r="V326" s="80"/>
      <c r="W326" s="3"/>
      <c r="X326" s="3"/>
      <c r="Y326" s="3"/>
      <c r="Z326" s="3"/>
      <c r="AA326" s="3"/>
      <c r="AB326" s="3" t="str">
        <f>IF(BCP_Dolares[[#This Row],[FECHA]]&gt;0,TEXT(BCP_Dolares[[#This Row],[FECHA]],"mmmm"),0)</f>
        <v>Agosto</v>
      </c>
    </row>
    <row r="327" spans="2:28" x14ac:dyDescent="0.3">
      <c r="B327" s="2">
        <f>IF(BCP_Dolares[[#This Row],[TIPO DE R.]]="R",COUNTIFS($D$4:$D326,"R")+1,"")</f>
        <v>149</v>
      </c>
      <c r="C327" s="19" t="str">
        <f t="shared" ref="C327:C338" si="89">"B-BCP - Dolares"</f>
        <v>B-BCP - Dolares</v>
      </c>
      <c r="D327" s="3" t="s">
        <v>1074</v>
      </c>
      <c r="E327" s="14">
        <v>45883</v>
      </c>
      <c r="F327" s="5"/>
      <c r="G327" s="5" t="s">
        <v>1079</v>
      </c>
      <c r="H327" s="6"/>
      <c r="I327" s="6"/>
      <c r="J327" s="6"/>
      <c r="K327" s="6"/>
      <c r="L327" s="7" t="s">
        <v>2868</v>
      </c>
      <c r="M327" s="8"/>
      <c r="N327" s="8" t="str">
        <f t="shared" ref="N327:N338" si="90">"USD"</f>
        <v>USD</v>
      </c>
      <c r="O327" s="13"/>
      <c r="P327" s="13">
        <v>0.05</v>
      </c>
      <c r="Q327" s="3">
        <f t="shared" ref="Q327:Q338" si="91">+IF(OR($G327="SALDO",$G327="INGRESO"),$P327,0)</f>
        <v>0</v>
      </c>
      <c r="R327" s="3">
        <f t="shared" ref="R327:R338" si="92">+IF($G327="EGRESO",$P327,0)</f>
        <v>0.05</v>
      </c>
      <c r="S327" s="3">
        <f>IFERROR(IF(G327="SALDO",Q327,S326+Q327-R327),0)</f>
        <v>23.870000000003255</v>
      </c>
      <c r="T327" s="24"/>
      <c r="U327" s="24"/>
      <c r="V327" s="80"/>
      <c r="W327" s="3"/>
      <c r="X327" s="3"/>
      <c r="Y327" s="3"/>
      <c r="Z327" s="3"/>
      <c r="AA327" s="3"/>
      <c r="AB327" s="3" t="str">
        <f>IF(BCP_Dolares[[#This Row],[FECHA]]&gt;0,TEXT(BCP_Dolares[[#This Row],[FECHA]],"mmmm"),0)</f>
        <v>Agosto</v>
      </c>
    </row>
    <row r="328" spans="2:28" x14ac:dyDescent="0.3">
      <c r="B328" s="2">
        <f>IF(BCP_Dolares[[#This Row],[TIPO DE R.]]="R",COUNTIFS($D$4:$D327,"R")+1,"")</f>
        <v>150</v>
      </c>
      <c r="C328" s="19" t="str">
        <f t="shared" si="89"/>
        <v>B-BCP - Dolares</v>
      </c>
      <c r="D328" s="3" t="s">
        <v>1074</v>
      </c>
      <c r="E328" s="14">
        <v>45895</v>
      </c>
      <c r="F328" s="5"/>
      <c r="G328" s="5" t="s">
        <v>1087</v>
      </c>
      <c r="H328" s="6" t="s">
        <v>368</v>
      </c>
      <c r="I328" s="6"/>
      <c r="J328" s="6"/>
      <c r="K328" s="6"/>
      <c r="L328" s="7" t="s">
        <v>4112</v>
      </c>
      <c r="M328" s="8">
        <v>2213438</v>
      </c>
      <c r="N328" s="8" t="str">
        <f t="shared" si="90"/>
        <v>USD</v>
      </c>
      <c r="O328" s="13"/>
      <c r="P328" s="13">
        <v>1828.93</v>
      </c>
      <c r="Q328" s="3">
        <f t="shared" si="91"/>
        <v>1828.93</v>
      </c>
      <c r="R328" s="3">
        <f t="shared" si="92"/>
        <v>0</v>
      </c>
      <c r="S328" s="3">
        <f>IFERROR(IF(G328="SALDO",Q328,S327+Q328-R328),0)</f>
        <v>1852.8000000000034</v>
      </c>
      <c r="T328" s="24"/>
      <c r="U328" s="24"/>
      <c r="V328" s="80"/>
      <c r="W328" s="3"/>
      <c r="X328" s="3"/>
      <c r="Y328" s="3"/>
      <c r="Z328" s="3"/>
      <c r="AA328" s="3"/>
      <c r="AB328" s="3" t="str">
        <f>IF(BCP_Dolares[[#This Row],[FECHA]]&gt;0,TEXT(BCP_Dolares[[#This Row],[FECHA]],"mmmm"),0)</f>
        <v>Agosto</v>
      </c>
    </row>
    <row r="329" spans="2:28" x14ac:dyDescent="0.3">
      <c r="B329" s="2">
        <f>IF(BCP_Dolares[[#This Row],[TIPO DE R.]]="R",COUNTIFS($D$4:$D328,"R")+1,"")</f>
        <v>151</v>
      </c>
      <c r="C329" s="19" t="str">
        <f t="shared" si="89"/>
        <v>B-BCP - Dolares</v>
      </c>
      <c r="D329" s="3" t="s">
        <v>1074</v>
      </c>
      <c r="E329" s="14">
        <v>45895</v>
      </c>
      <c r="F329" s="5" t="s">
        <v>1082</v>
      </c>
      <c r="G329" s="5" t="s">
        <v>1079</v>
      </c>
      <c r="H329" s="6" t="s">
        <v>147</v>
      </c>
      <c r="I329" s="6"/>
      <c r="J329" s="6"/>
      <c r="K329" s="6"/>
      <c r="L329" s="7" t="s">
        <v>7885</v>
      </c>
      <c r="M329" s="8">
        <v>6706493</v>
      </c>
      <c r="N329" s="8" t="str">
        <f t="shared" si="90"/>
        <v>USD</v>
      </c>
      <c r="O329" s="13"/>
      <c r="P329" s="13">
        <v>1833.86</v>
      </c>
      <c r="Q329" s="3">
        <f t="shared" si="91"/>
        <v>0</v>
      </c>
      <c r="R329" s="3">
        <f t="shared" si="92"/>
        <v>1833.86</v>
      </c>
      <c r="S329" s="3">
        <f>IFERROR(IF(G329="SALDO",Q329,S328+Q329-R329),0)</f>
        <v>18.940000000003465</v>
      </c>
      <c r="T329" s="24" t="s">
        <v>1081</v>
      </c>
      <c r="U329" s="24" t="s">
        <v>1081</v>
      </c>
      <c r="V329" s="80"/>
      <c r="W329" s="3"/>
      <c r="X329" s="3"/>
      <c r="Y329" s="3"/>
      <c r="Z329" s="3"/>
      <c r="AA329" s="3"/>
      <c r="AB329" s="3" t="str">
        <f>IF(BCP_Dolares[[#This Row],[FECHA]]&gt;0,TEXT(BCP_Dolares[[#This Row],[FECHA]],"mmmm"),0)</f>
        <v>Agosto</v>
      </c>
    </row>
    <row r="330" spans="2:28" ht="24" x14ac:dyDescent="0.3">
      <c r="B330" s="2" t="str">
        <f>IF(BCP_Dolares[[#This Row],[TIPO DE R.]]="R",COUNTIFS($D$4:$D329,"R")+1,"")</f>
        <v/>
      </c>
      <c r="C330" s="19" t="str">
        <f t="shared" si="89"/>
        <v>B-BCP - Dolares</v>
      </c>
      <c r="D330" s="3" t="s">
        <v>1101</v>
      </c>
      <c r="E330" s="14">
        <v>45895</v>
      </c>
      <c r="F330" s="5" t="s">
        <v>1082</v>
      </c>
      <c r="G330" s="5"/>
      <c r="H330" s="6" t="s">
        <v>147</v>
      </c>
      <c r="I330" s="6" t="s">
        <v>14</v>
      </c>
      <c r="J330" s="6" t="s">
        <v>1148</v>
      </c>
      <c r="K330" s="6">
        <v>16531</v>
      </c>
      <c r="L330" s="7" t="s">
        <v>7885</v>
      </c>
      <c r="M330" s="8">
        <v>6706493</v>
      </c>
      <c r="N330" s="8" t="str">
        <f t="shared" si="90"/>
        <v>USD</v>
      </c>
      <c r="O330" s="13">
        <v>53.06</v>
      </c>
      <c r="P330" s="13"/>
      <c r="Q330" s="3">
        <f t="shared" si="91"/>
        <v>0</v>
      </c>
      <c r="R330" s="3">
        <f t="shared" si="92"/>
        <v>0</v>
      </c>
      <c r="S330" s="3">
        <f>IFERROR(IF(G330="SALDO",Q330,S329+Q330-R330),0)</f>
        <v>18.940000000003465</v>
      </c>
      <c r="T330" s="24" t="s">
        <v>1081</v>
      </c>
      <c r="U330" s="24" t="s">
        <v>1081</v>
      </c>
      <c r="V330" s="80"/>
      <c r="W330" s="3"/>
      <c r="X330" s="3"/>
      <c r="Y330" s="3"/>
      <c r="Z330" s="3"/>
      <c r="AA330" s="3"/>
      <c r="AB330" s="3" t="str">
        <f>IF(BCP_Dolares[[#This Row],[FECHA]]&gt;0,TEXT(BCP_Dolares[[#This Row],[FECHA]],"mmmm"),0)</f>
        <v>Agosto</v>
      </c>
    </row>
    <row r="331" spans="2:28" ht="24" x14ac:dyDescent="0.3">
      <c r="B331" s="2" t="str">
        <f>IF(BCP_Dolares[[#This Row],[TIPO DE R.]]="R",COUNTIFS($D$4:$D330,"R")+1,"")</f>
        <v/>
      </c>
      <c r="C331" s="19" t="str">
        <f t="shared" si="89"/>
        <v>B-BCP - Dolares</v>
      </c>
      <c r="D331" s="3" t="s">
        <v>1101</v>
      </c>
      <c r="E331" s="14">
        <v>45895</v>
      </c>
      <c r="F331" s="5" t="s">
        <v>1082</v>
      </c>
      <c r="G331" s="5"/>
      <c r="H331" s="6" t="s">
        <v>147</v>
      </c>
      <c r="I331" s="6" t="s">
        <v>14</v>
      </c>
      <c r="J331" s="6" t="s">
        <v>1148</v>
      </c>
      <c r="K331" s="6">
        <v>16532</v>
      </c>
      <c r="L331" s="7" t="s">
        <v>7885</v>
      </c>
      <c r="M331" s="8">
        <v>6706493</v>
      </c>
      <c r="N331" s="8" t="str">
        <f t="shared" si="90"/>
        <v>USD</v>
      </c>
      <c r="O331" s="13">
        <v>28.94</v>
      </c>
      <c r="P331" s="13"/>
      <c r="Q331" s="3">
        <f t="shared" si="91"/>
        <v>0</v>
      </c>
      <c r="R331" s="3">
        <f t="shared" si="92"/>
        <v>0</v>
      </c>
      <c r="S331" s="3">
        <f t="shared" ref="S331:S337" si="93">IFERROR(IF(G331="SALDO",Q331,S330+Q331-R331),0)</f>
        <v>18.940000000003465</v>
      </c>
      <c r="T331" s="24" t="s">
        <v>1081</v>
      </c>
      <c r="U331" s="24" t="s">
        <v>1081</v>
      </c>
      <c r="V331" s="80"/>
      <c r="W331" s="3"/>
      <c r="X331" s="3"/>
      <c r="Y331" s="3"/>
      <c r="Z331" s="3"/>
      <c r="AA331" s="3"/>
      <c r="AB331" s="3" t="str">
        <f>IF(BCP_Dolares[[#This Row],[FECHA]]&gt;0,TEXT(BCP_Dolares[[#This Row],[FECHA]],"mmmm"),0)</f>
        <v>Agosto</v>
      </c>
    </row>
    <row r="332" spans="2:28" ht="24" x14ac:dyDescent="0.3">
      <c r="B332" s="2" t="str">
        <f>IF(BCP_Dolares[[#This Row],[TIPO DE R.]]="R",COUNTIFS($D$4:$D331,"R")+1,"")</f>
        <v/>
      </c>
      <c r="C332" s="19" t="str">
        <f t="shared" si="89"/>
        <v>B-BCP - Dolares</v>
      </c>
      <c r="D332" s="3" t="s">
        <v>1101</v>
      </c>
      <c r="E332" s="14">
        <v>45895</v>
      </c>
      <c r="F332" s="5" t="s">
        <v>1082</v>
      </c>
      <c r="G332" s="5"/>
      <c r="H332" s="6" t="s">
        <v>147</v>
      </c>
      <c r="I332" s="6" t="s">
        <v>14</v>
      </c>
      <c r="J332" s="6" t="s">
        <v>1148</v>
      </c>
      <c r="K332" s="6">
        <v>16567</v>
      </c>
      <c r="L332" s="7" t="s">
        <v>7885</v>
      </c>
      <c r="M332" s="8">
        <v>6706493</v>
      </c>
      <c r="N332" s="8" t="str">
        <f t="shared" si="90"/>
        <v>USD</v>
      </c>
      <c r="O332" s="13">
        <v>800.2</v>
      </c>
      <c r="P332" s="13"/>
      <c r="Q332" s="3">
        <f t="shared" si="91"/>
        <v>0</v>
      </c>
      <c r="R332" s="3">
        <f t="shared" si="92"/>
        <v>0</v>
      </c>
      <c r="S332" s="3">
        <f t="shared" si="93"/>
        <v>18.940000000003465</v>
      </c>
      <c r="T332" s="24" t="s">
        <v>1081</v>
      </c>
      <c r="U332" s="24" t="s">
        <v>1081</v>
      </c>
      <c r="V332" s="80"/>
      <c r="W332" s="3"/>
      <c r="X332" s="3"/>
      <c r="Y332" s="3"/>
      <c r="Z332" s="3"/>
      <c r="AA332" s="3"/>
      <c r="AB332" s="3" t="str">
        <f>IF(BCP_Dolares[[#This Row],[FECHA]]&gt;0,TEXT(BCP_Dolares[[#This Row],[FECHA]],"mmmm"),0)</f>
        <v>Agosto</v>
      </c>
    </row>
    <row r="333" spans="2:28" ht="24" x14ac:dyDescent="0.3">
      <c r="B333" s="2" t="str">
        <f>IF(BCP_Dolares[[#This Row],[TIPO DE R.]]="R",COUNTIFS($D$4:$D332,"R")+1,"")</f>
        <v/>
      </c>
      <c r="C333" s="19" t="str">
        <f t="shared" si="89"/>
        <v>B-BCP - Dolares</v>
      </c>
      <c r="D333" s="3" t="s">
        <v>1101</v>
      </c>
      <c r="E333" s="14">
        <v>45895</v>
      </c>
      <c r="F333" s="5" t="s">
        <v>1082</v>
      </c>
      <c r="G333" s="5"/>
      <c r="H333" s="6" t="s">
        <v>147</v>
      </c>
      <c r="I333" s="6" t="s">
        <v>14</v>
      </c>
      <c r="J333" s="6" t="s">
        <v>1148</v>
      </c>
      <c r="K333" s="6">
        <v>16566</v>
      </c>
      <c r="L333" s="7" t="s">
        <v>7885</v>
      </c>
      <c r="M333" s="8">
        <v>6706493</v>
      </c>
      <c r="N333" s="8" t="str">
        <f t="shared" si="90"/>
        <v>USD</v>
      </c>
      <c r="O333" s="13">
        <v>677.29</v>
      </c>
      <c r="P333" s="13"/>
      <c r="Q333" s="3">
        <f t="shared" si="91"/>
        <v>0</v>
      </c>
      <c r="R333" s="3">
        <f t="shared" si="92"/>
        <v>0</v>
      </c>
      <c r="S333" s="3">
        <f t="shared" si="93"/>
        <v>18.940000000003465</v>
      </c>
      <c r="T333" s="24" t="s">
        <v>1081</v>
      </c>
      <c r="U333" s="24" t="s">
        <v>1081</v>
      </c>
      <c r="V333" s="80"/>
      <c r="W333" s="3"/>
      <c r="X333" s="3"/>
      <c r="Y333" s="3"/>
      <c r="Z333" s="3"/>
      <c r="AA333" s="3"/>
      <c r="AB333" s="3" t="str">
        <f>IF(BCP_Dolares[[#This Row],[FECHA]]&gt;0,TEXT(BCP_Dolares[[#This Row],[FECHA]],"mmmm"),0)</f>
        <v>Agosto</v>
      </c>
    </row>
    <row r="334" spans="2:28" ht="24" x14ac:dyDescent="0.3">
      <c r="B334" s="2" t="str">
        <f>IF(BCP_Dolares[[#This Row],[TIPO DE R.]]="R",COUNTIFS($D$4:$D333,"R")+1,"")</f>
        <v/>
      </c>
      <c r="C334" s="19" t="str">
        <f t="shared" si="89"/>
        <v>B-BCP - Dolares</v>
      </c>
      <c r="D334" s="3" t="s">
        <v>1101</v>
      </c>
      <c r="E334" s="14">
        <v>45895</v>
      </c>
      <c r="F334" s="5" t="s">
        <v>1082</v>
      </c>
      <c r="G334" s="5"/>
      <c r="H334" s="6" t="s">
        <v>147</v>
      </c>
      <c r="I334" s="6" t="s">
        <v>14</v>
      </c>
      <c r="J334" s="6" t="s">
        <v>1148</v>
      </c>
      <c r="K334" s="6">
        <v>16500</v>
      </c>
      <c r="L334" s="7" t="s">
        <v>7885</v>
      </c>
      <c r="M334" s="8">
        <v>6706493</v>
      </c>
      <c r="N334" s="8" t="str">
        <f t="shared" si="90"/>
        <v>USD</v>
      </c>
      <c r="O334" s="13">
        <v>90.93</v>
      </c>
      <c r="P334" s="13"/>
      <c r="Q334" s="3">
        <f t="shared" si="91"/>
        <v>0</v>
      </c>
      <c r="R334" s="3">
        <f t="shared" si="92"/>
        <v>0</v>
      </c>
      <c r="S334" s="3">
        <f t="shared" si="93"/>
        <v>18.940000000003465</v>
      </c>
      <c r="T334" s="24" t="s">
        <v>1081</v>
      </c>
      <c r="U334" s="24" t="s">
        <v>1081</v>
      </c>
      <c r="V334" s="80"/>
      <c r="W334" s="3"/>
      <c r="X334" s="3"/>
      <c r="Y334" s="3"/>
      <c r="Z334" s="3"/>
      <c r="AA334" s="3"/>
      <c r="AB334" s="3" t="str">
        <f>IF(BCP_Dolares[[#This Row],[FECHA]]&gt;0,TEXT(BCP_Dolares[[#This Row],[FECHA]],"mmmm"),0)</f>
        <v>Agosto</v>
      </c>
    </row>
    <row r="335" spans="2:28" ht="24" x14ac:dyDescent="0.3">
      <c r="B335" s="2" t="str">
        <f>IF(BCP_Dolares[[#This Row],[TIPO DE R.]]="R",COUNTIFS($D$4:$D334,"R")+1,"")</f>
        <v/>
      </c>
      <c r="C335" s="19" t="str">
        <f t="shared" si="89"/>
        <v>B-BCP - Dolares</v>
      </c>
      <c r="D335" s="3" t="s">
        <v>1101</v>
      </c>
      <c r="E335" s="14">
        <v>45895</v>
      </c>
      <c r="F335" s="5" t="s">
        <v>1082</v>
      </c>
      <c r="G335" s="5"/>
      <c r="H335" s="6" t="s">
        <v>147</v>
      </c>
      <c r="I335" s="6" t="s">
        <v>14</v>
      </c>
      <c r="J335" s="6" t="s">
        <v>1148</v>
      </c>
      <c r="K335" s="6">
        <v>16534</v>
      </c>
      <c r="L335" s="7" t="s">
        <v>7885</v>
      </c>
      <c r="M335" s="8">
        <v>6706493</v>
      </c>
      <c r="N335" s="8" t="str">
        <f t="shared" si="90"/>
        <v>USD</v>
      </c>
      <c r="O335" s="13">
        <v>140.74</v>
      </c>
      <c r="P335" s="13"/>
      <c r="Q335" s="3">
        <f t="shared" si="91"/>
        <v>0</v>
      </c>
      <c r="R335" s="3">
        <f t="shared" si="92"/>
        <v>0</v>
      </c>
      <c r="S335" s="3">
        <f t="shared" si="93"/>
        <v>18.940000000003465</v>
      </c>
      <c r="T335" s="24" t="s">
        <v>1081</v>
      </c>
      <c r="U335" s="24" t="s">
        <v>1081</v>
      </c>
      <c r="V335" s="80"/>
      <c r="W335" s="3"/>
      <c r="X335" s="3"/>
      <c r="Y335" s="3"/>
      <c r="Z335" s="3"/>
      <c r="AA335" s="3"/>
      <c r="AB335" s="3" t="str">
        <f>IF(BCP_Dolares[[#This Row],[FECHA]]&gt;0,TEXT(BCP_Dolares[[#This Row],[FECHA]],"mmmm"),0)</f>
        <v>Agosto</v>
      </c>
    </row>
    <row r="336" spans="2:28" ht="24" x14ac:dyDescent="0.3">
      <c r="B336" s="2" t="str">
        <f>IF(BCP_Dolares[[#This Row],[TIPO DE R.]]="R",COUNTIFS($D$4:$D335,"R")+1,"")</f>
        <v/>
      </c>
      <c r="C336" s="19" t="str">
        <f t="shared" si="89"/>
        <v>B-BCP - Dolares</v>
      </c>
      <c r="D336" s="3" t="s">
        <v>1101</v>
      </c>
      <c r="E336" s="14">
        <v>45895</v>
      </c>
      <c r="F336" s="5" t="s">
        <v>1082</v>
      </c>
      <c r="G336" s="5"/>
      <c r="H336" s="6" t="s">
        <v>147</v>
      </c>
      <c r="I336" s="6" t="s">
        <v>14</v>
      </c>
      <c r="J336" s="6" t="s">
        <v>1148</v>
      </c>
      <c r="K336" s="6">
        <v>16501</v>
      </c>
      <c r="L336" s="7" t="s">
        <v>7885</v>
      </c>
      <c r="M336" s="8">
        <v>6706493</v>
      </c>
      <c r="N336" s="8" t="str">
        <f t="shared" si="90"/>
        <v>USD</v>
      </c>
      <c r="O336" s="13">
        <v>42.7</v>
      </c>
      <c r="P336" s="13"/>
      <c r="Q336" s="3">
        <f t="shared" si="91"/>
        <v>0</v>
      </c>
      <c r="R336" s="3">
        <f t="shared" si="92"/>
        <v>0</v>
      </c>
      <c r="S336" s="3">
        <f t="shared" si="93"/>
        <v>18.940000000003465</v>
      </c>
      <c r="T336" s="24" t="s">
        <v>1081</v>
      </c>
      <c r="U336" s="24" t="s">
        <v>1081</v>
      </c>
      <c r="V336" s="80"/>
      <c r="W336" s="3"/>
      <c r="X336" s="3"/>
      <c r="Y336" s="3"/>
      <c r="Z336" s="3"/>
      <c r="AA336" s="3"/>
      <c r="AB336" s="3" t="str">
        <f>IF(BCP_Dolares[[#This Row],[FECHA]]&gt;0,TEXT(BCP_Dolares[[#This Row],[FECHA]],"mmmm"),0)</f>
        <v>Agosto</v>
      </c>
    </row>
    <row r="337" spans="2:28" x14ac:dyDescent="0.3">
      <c r="B337" s="195">
        <f>IF(BCP_Dolares[[#This Row],[TIPO DE R.]]="R",COUNTIFS($D$4:$D336,"R")+1,"")</f>
        <v>152</v>
      </c>
      <c r="C337" s="19" t="str">
        <f t="shared" si="89"/>
        <v>B-BCP - Dolares</v>
      </c>
      <c r="D337" s="3" t="s">
        <v>1074</v>
      </c>
      <c r="E337" s="196">
        <v>45895</v>
      </c>
      <c r="F337" s="5" t="s">
        <v>1078</v>
      </c>
      <c r="G337" s="197" t="s">
        <v>1079</v>
      </c>
      <c r="H337" s="6"/>
      <c r="I337" s="6"/>
      <c r="J337" s="6"/>
      <c r="K337" s="6"/>
      <c r="L337" s="198" t="s">
        <v>2868</v>
      </c>
      <c r="M337" s="199"/>
      <c r="N337" s="199" t="str">
        <f t="shared" si="90"/>
        <v>USD</v>
      </c>
      <c r="O337" s="13"/>
      <c r="P337" s="200">
        <v>0.05</v>
      </c>
      <c r="Q337" s="201">
        <f t="shared" si="91"/>
        <v>0</v>
      </c>
      <c r="R337" s="201">
        <f t="shared" si="92"/>
        <v>0.05</v>
      </c>
      <c r="S337" s="201">
        <f t="shared" si="93"/>
        <v>18.890000000003464</v>
      </c>
      <c r="T337" s="202"/>
      <c r="U337" s="202"/>
      <c r="V337" s="203"/>
      <c r="W337" s="201"/>
      <c r="X337" s="201"/>
      <c r="Y337" s="201"/>
      <c r="Z337" s="201"/>
      <c r="AA337" s="201"/>
      <c r="AB337" s="201" t="str">
        <f>IF(BCP_Dolares[[#This Row],[FECHA]]&gt;0,TEXT(BCP_Dolares[[#This Row],[FECHA]],"mmmm"),0)</f>
        <v>Agosto</v>
      </c>
    </row>
    <row r="338" spans="2:28" ht="24" x14ac:dyDescent="0.3">
      <c r="B338" s="195">
        <f>IF(BCP_Dolares[[#This Row],[TIPO DE R.]]="R",COUNTIFS($D$4:$D337,"R")+1,"")</f>
        <v>153</v>
      </c>
      <c r="C338" s="19" t="str">
        <f t="shared" si="89"/>
        <v>B-BCP - Dolares</v>
      </c>
      <c r="D338" s="3" t="s">
        <v>1074</v>
      </c>
      <c r="E338" s="196">
        <v>45896</v>
      </c>
      <c r="F338" s="5" t="s">
        <v>1078</v>
      </c>
      <c r="G338" s="197" t="s">
        <v>1079</v>
      </c>
      <c r="H338" s="6" t="s">
        <v>1001</v>
      </c>
      <c r="I338" s="6"/>
      <c r="J338" s="6"/>
      <c r="K338" s="6"/>
      <c r="L338" s="7" t="s">
        <v>7974</v>
      </c>
      <c r="M338" s="199">
        <v>350</v>
      </c>
      <c r="N338" s="199" t="str">
        <f t="shared" si="90"/>
        <v>USD</v>
      </c>
      <c r="O338" s="13"/>
      <c r="P338" s="200">
        <v>12</v>
      </c>
      <c r="Q338" s="201">
        <f t="shared" si="91"/>
        <v>0</v>
      </c>
      <c r="R338" s="201">
        <f t="shared" si="92"/>
        <v>12</v>
      </c>
      <c r="S338" s="201">
        <f>IFERROR(IF(G338="SALDO",Q338,S337+Q338-R338),0)</f>
        <v>6.8900000000034645</v>
      </c>
      <c r="T338" s="202"/>
      <c r="U338" s="202"/>
      <c r="V338" s="203"/>
      <c r="W338" s="201"/>
      <c r="X338" s="201"/>
      <c r="Y338" s="201"/>
      <c r="Z338" s="201"/>
      <c r="AA338" s="201"/>
      <c r="AB338" s="201" t="str">
        <f>IF(BCP_Dolares[[#This Row],[FECHA]]&gt;0,TEXT(BCP_Dolares[[#This Row],[FECHA]],"mmmm"),0)</f>
        <v>Agosto</v>
      </c>
    </row>
    <row r="339" spans="2:28" x14ac:dyDescent="0.3">
      <c r="B339" s="2">
        <f>IF(BCP_Dolares[[#This Row],[TIPO DE R.]]="R",COUNTIFS($D$4:$D338,"R")+1,"")</f>
        <v>154</v>
      </c>
      <c r="C339" s="19" t="str">
        <f t="shared" ref="C339:C344" si="94">"B-BCP - Dolares"</f>
        <v>B-BCP - Dolares</v>
      </c>
      <c r="D339" s="3" t="s">
        <v>1074</v>
      </c>
      <c r="E339" s="14">
        <v>45897</v>
      </c>
      <c r="F339" s="5"/>
      <c r="G339" s="5" t="s">
        <v>1087</v>
      </c>
      <c r="H339" s="6" t="s">
        <v>368</v>
      </c>
      <c r="I339" s="6"/>
      <c r="J339" s="6"/>
      <c r="K339" s="6"/>
      <c r="L339" s="7" t="s">
        <v>4001</v>
      </c>
      <c r="M339" s="8">
        <v>7350771</v>
      </c>
      <c r="N339" s="8" t="str">
        <f t="shared" ref="N339:N344" si="95">"USD"</f>
        <v>USD</v>
      </c>
      <c r="O339" s="13"/>
      <c r="P339" s="13">
        <v>15894.05</v>
      </c>
      <c r="Q339" s="3">
        <f t="shared" ref="Q339:Q344" si="96">+IF(OR($G339="SALDO",$G339="INGRESO"),$P339,0)</f>
        <v>15894.05</v>
      </c>
      <c r="R339" s="3">
        <f t="shared" ref="R339:R344" si="97">+IF($G339="EGRESO",$P339,0)</f>
        <v>0</v>
      </c>
      <c r="S339" s="3">
        <f>IFERROR(IF(G339="SALDO",Q339,S338+Q339-R339),0)</f>
        <v>15900.940000000002</v>
      </c>
      <c r="T339" s="24" t="s">
        <v>1081</v>
      </c>
      <c r="U339" s="24" t="s">
        <v>1081</v>
      </c>
      <c r="V339" s="80"/>
      <c r="W339" s="3"/>
      <c r="X339" s="3"/>
      <c r="Y339" s="3"/>
      <c r="Z339" s="3"/>
      <c r="AA339" s="3"/>
      <c r="AB339" s="3" t="str">
        <f>IF(BCP_Dolares[[#This Row],[FECHA]]&gt;0,TEXT(BCP_Dolares[[#This Row],[FECHA]],"mmmm"),0)</f>
        <v>Agosto</v>
      </c>
    </row>
    <row r="340" spans="2:28" ht="24" x14ac:dyDescent="0.3">
      <c r="B340" s="2" t="str">
        <f>IF(BCP_Dolares[[#This Row],[TIPO DE R.]]="R",COUNTIFS($D$4:$D339,"R")+1,"")</f>
        <v/>
      </c>
      <c r="C340" s="19" t="str">
        <f t="shared" si="94"/>
        <v>B-BCP - Dolares</v>
      </c>
      <c r="D340" s="3" t="s">
        <v>1101</v>
      </c>
      <c r="E340" s="14">
        <v>45897</v>
      </c>
      <c r="F340" s="5" t="s">
        <v>147</v>
      </c>
      <c r="G340" s="5"/>
      <c r="H340" s="6"/>
      <c r="I340" s="6" t="s">
        <v>14</v>
      </c>
      <c r="J340" s="6" t="s">
        <v>1521</v>
      </c>
      <c r="K340" s="6">
        <v>189</v>
      </c>
      <c r="L340" s="7" t="s">
        <v>4001</v>
      </c>
      <c r="M340" s="8">
        <v>7350771</v>
      </c>
      <c r="N340" s="8" t="str">
        <f t="shared" si="95"/>
        <v>USD</v>
      </c>
      <c r="O340" s="13">
        <v>9921.32</v>
      </c>
      <c r="P340" s="13"/>
      <c r="Q340" s="3">
        <f t="shared" si="96"/>
        <v>0</v>
      </c>
      <c r="R340" s="3">
        <f t="shared" si="97"/>
        <v>0</v>
      </c>
      <c r="S340" s="3">
        <f>IFERROR(IF(G340="SALDO",Q340,S339+Q340-R340),0)</f>
        <v>15900.940000000002</v>
      </c>
      <c r="T340" s="24" t="s">
        <v>1081</v>
      </c>
      <c r="U340" s="24" t="s">
        <v>1081</v>
      </c>
      <c r="V340" s="80"/>
      <c r="W340" s="3"/>
      <c r="X340" s="3"/>
      <c r="Y340" s="3"/>
      <c r="Z340" s="3"/>
      <c r="AA340" s="3"/>
      <c r="AB340" s="3" t="str">
        <f>IF(BCP_Dolares[[#This Row],[FECHA]]&gt;0,TEXT(BCP_Dolares[[#This Row],[FECHA]],"mmmm"),0)</f>
        <v>Agosto</v>
      </c>
    </row>
    <row r="341" spans="2:28" ht="24" x14ac:dyDescent="0.3">
      <c r="B341" s="2" t="str">
        <f>IF(BCP_Dolares[[#This Row],[TIPO DE R.]]="R",COUNTIFS($D$4:$D340,"R")+1,"")</f>
        <v/>
      </c>
      <c r="C341" s="19" t="str">
        <f t="shared" si="94"/>
        <v>B-BCP - Dolares</v>
      </c>
      <c r="D341" s="3" t="s">
        <v>1101</v>
      </c>
      <c r="E341" s="14">
        <v>45897</v>
      </c>
      <c r="F341" s="5" t="s">
        <v>147</v>
      </c>
      <c r="G341" s="5"/>
      <c r="H341" s="6"/>
      <c r="I341" s="6" t="s">
        <v>14</v>
      </c>
      <c r="J341" s="6" t="s">
        <v>1521</v>
      </c>
      <c r="K341" s="6">
        <v>190</v>
      </c>
      <c r="L341" s="7" t="s">
        <v>4001</v>
      </c>
      <c r="M341" s="8">
        <v>7350771</v>
      </c>
      <c r="N341" s="8" t="str">
        <f t="shared" si="95"/>
        <v>USD</v>
      </c>
      <c r="O341" s="13">
        <v>5972.73</v>
      </c>
      <c r="P341" s="13"/>
      <c r="Q341" s="3">
        <f t="shared" si="96"/>
        <v>0</v>
      </c>
      <c r="R341" s="3">
        <f t="shared" si="97"/>
        <v>0</v>
      </c>
      <c r="S341" s="3">
        <f t="shared" ref="S341:S342" si="98">IFERROR(IF(G341="SALDO",Q341,S340+Q341-R341),0)</f>
        <v>15900.940000000002</v>
      </c>
      <c r="T341" s="24" t="s">
        <v>1081</v>
      </c>
      <c r="U341" s="24" t="s">
        <v>1081</v>
      </c>
      <c r="V341" s="80"/>
      <c r="W341" s="3"/>
      <c r="X341" s="3"/>
      <c r="Y341" s="3"/>
      <c r="Z341" s="3"/>
      <c r="AA341" s="3"/>
      <c r="AB341" s="3" t="str">
        <f>IF(BCP_Dolares[[#This Row],[FECHA]]&gt;0,TEXT(BCP_Dolares[[#This Row],[FECHA]],"mmmm"),0)</f>
        <v>Agosto</v>
      </c>
    </row>
    <row r="342" spans="2:28" ht="36" x14ac:dyDescent="0.3">
      <c r="B342" s="2">
        <f>IF(BCP_Dolares[[#This Row],[TIPO DE R.]]="R",COUNTIFS($D$4:$D341,"R")+1,"")</f>
        <v>155</v>
      </c>
      <c r="C342" s="19" t="str">
        <f t="shared" si="94"/>
        <v>B-BCP - Dolares</v>
      </c>
      <c r="D342" s="3" t="s">
        <v>1074</v>
      </c>
      <c r="E342" s="14">
        <v>45897</v>
      </c>
      <c r="F342" s="5" t="s">
        <v>1082</v>
      </c>
      <c r="G342" s="5" t="s">
        <v>1079</v>
      </c>
      <c r="H342" s="6" t="s">
        <v>644</v>
      </c>
      <c r="I342" s="6" t="s">
        <v>14</v>
      </c>
      <c r="J342" s="6"/>
      <c r="K342" s="6"/>
      <c r="L342" s="7" t="s">
        <v>7976</v>
      </c>
      <c r="M342" s="8">
        <v>238378</v>
      </c>
      <c r="N342" s="8" t="str">
        <f t="shared" si="95"/>
        <v>USD</v>
      </c>
      <c r="O342" s="13"/>
      <c r="P342" s="13">
        <v>416.27</v>
      </c>
      <c r="Q342" s="3">
        <f t="shared" si="96"/>
        <v>0</v>
      </c>
      <c r="R342" s="3">
        <f t="shared" si="97"/>
        <v>416.27</v>
      </c>
      <c r="S342" s="3">
        <f t="shared" si="98"/>
        <v>15484.670000000002</v>
      </c>
      <c r="T342" s="24"/>
      <c r="U342" s="24"/>
      <c r="V342" s="80"/>
      <c r="W342" s="3"/>
      <c r="X342" s="3"/>
      <c r="Y342" s="3"/>
      <c r="Z342" s="3"/>
      <c r="AA342" s="3"/>
      <c r="AB342" s="3" t="str">
        <f>IF(BCP_Dolares[[#This Row],[FECHA]]&gt;0,TEXT(BCP_Dolares[[#This Row],[FECHA]],"mmmm"),0)</f>
        <v>Agosto</v>
      </c>
    </row>
    <row r="343" spans="2:28" x14ac:dyDescent="0.3">
      <c r="B343" s="2">
        <f>IF(BCP_Dolares[[#This Row],[TIPO DE R.]]="R",COUNTIFS($D$4:$D342,"R")+1,"")</f>
        <v>156</v>
      </c>
      <c r="C343" s="19" t="str">
        <f t="shared" si="94"/>
        <v>B-BCP - Dolares</v>
      </c>
      <c r="D343" s="3" t="s">
        <v>1074</v>
      </c>
      <c r="E343" s="14">
        <v>45897</v>
      </c>
      <c r="F343" s="5"/>
      <c r="G343" s="5" t="s">
        <v>1079</v>
      </c>
      <c r="H343" s="6"/>
      <c r="I343" s="6"/>
      <c r="J343" s="6"/>
      <c r="K343" s="6"/>
      <c r="L343" s="7" t="s">
        <v>2868</v>
      </c>
      <c r="M343" s="8"/>
      <c r="N343" s="8" t="str">
        <f t="shared" si="95"/>
        <v>USD</v>
      </c>
      <c r="O343" s="13"/>
      <c r="P343" s="13">
        <v>0.75</v>
      </c>
      <c r="Q343" s="3">
        <f t="shared" si="96"/>
        <v>0</v>
      </c>
      <c r="R343" s="3">
        <f t="shared" si="97"/>
        <v>0.75</v>
      </c>
      <c r="S343" s="3">
        <f>IFERROR(IF(G343="SALDO",Q343,S342+Q343-R343),0)</f>
        <v>15483.920000000002</v>
      </c>
      <c r="T343" s="24"/>
      <c r="U343" s="24"/>
      <c r="V343" s="80"/>
      <c r="W343" s="3"/>
      <c r="X343" s="3"/>
      <c r="Y343" s="3"/>
      <c r="Z343" s="3"/>
      <c r="AA343" s="3"/>
      <c r="AB343" s="3" t="str">
        <f>IF(BCP_Dolares[[#This Row],[FECHA]]&gt;0,TEXT(BCP_Dolares[[#This Row],[FECHA]],"mmmm"),0)</f>
        <v>Agosto</v>
      </c>
    </row>
    <row r="344" spans="2:28" x14ac:dyDescent="0.3">
      <c r="B344" s="2">
        <f>IF(BCP_Dolares[[#This Row],[TIPO DE R.]]="R",COUNTIFS($D$4:$D343,"R")+1,"")</f>
        <v>157</v>
      </c>
      <c r="C344" s="19" t="str">
        <f t="shared" si="94"/>
        <v>B-BCP - Dolares</v>
      </c>
      <c r="D344" s="3" t="s">
        <v>1074</v>
      </c>
      <c r="E344" s="14">
        <v>45898</v>
      </c>
      <c r="F344" s="5" t="s">
        <v>3883</v>
      </c>
      <c r="G344" s="5" t="s">
        <v>1079</v>
      </c>
      <c r="H344" s="6"/>
      <c r="I344" s="6"/>
      <c r="J344" s="6"/>
      <c r="K344" s="6"/>
      <c r="L344" s="7" t="s">
        <v>7991</v>
      </c>
      <c r="M344" s="8"/>
      <c r="N344" s="8" t="str">
        <f t="shared" si="95"/>
        <v>USD</v>
      </c>
      <c r="O344" s="13"/>
      <c r="P344" s="13">
        <v>15000</v>
      </c>
      <c r="Q344" s="3">
        <f t="shared" si="96"/>
        <v>0</v>
      </c>
      <c r="R344" s="3">
        <f t="shared" si="97"/>
        <v>15000</v>
      </c>
      <c r="S344" s="3">
        <f>IFERROR(IF(G344="SALDO",Q344,S343+Q344-R344),0)</f>
        <v>483.92000000000189</v>
      </c>
      <c r="T344" s="24"/>
      <c r="U344" s="24"/>
      <c r="V344" s="80"/>
      <c r="W344" s="3"/>
      <c r="X344" s="3"/>
      <c r="Y344" s="3"/>
      <c r="Z344" s="3"/>
      <c r="AA344" s="3"/>
      <c r="AB344" s="3" t="str">
        <f>IF(BCP_Dolares[[#This Row],[FECHA]]&gt;0,TEXT(BCP_Dolares[[#This Row],[FECHA]],"mmmm"),0)</f>
        <v>Agosto</v>
      </c>
    </row>
  </sheetData>
  <mergeCells count="1">
    <mergeCell ref="B2:V2"/>
  </mergeCells>
  <conditionalFormatting sqref="B5:U344">
    <cfRule type="expression" dxfId="90" priority="15">
      <formula>$D5="D"</formula>
    </cfRule>
  </conditionalFormatting>
  <conditionalFormatting sqref="B5:AB346 B347:G347 I347:AB347 B348:AB10054">
    <cfRule type="expression" dxfId="89" priority="243">
      <formula>$U5="OK"</formula>
    </cfRule>
    <cfRule type="expression" dxfId="88" priority="244">
      <formula>$T5="OK"</formula>
    </cfRule>
  </conditionalFormatting>
  <conditionalFormatting sqref="H342:H343">
    <cfRule type="expression" dxfId="87" priority="2">
      <formula>$D342="D"</formula>
    </cfRule>
  </conditionalFormatting>
  <conditionalFormatting sqref="L337">
    <cfRule type="expression" dxfId="86" priority="3">
      <formula>$D337="D"</formula>
    </cfRule>
  </conditionalFormatting>
  <conditionalFormatting sqref="L343">
    <cfRule type="expression" dxfId="85" priority="1">
      <formula>$D343="D"</formula>
    </cfRule>
  </conditionalFormatting>
  <dataValidations count="4">
    <dataValidation type="list" allowBlank="1" showInputMessage="1" showErrorMessage="1" sqref="I5:I344" xr:uid="{6A7E9DCA-9DDC-4A57-98F7-0A05A794FDC8}">
      <formula1>Documentos</formula1>
    </dataValidation>
    <dataValidation type="list" allowBlank="1" showInputMessage="1" showErrorMessage="1" sqref="H5:H344" xr:uid="{99EFCFF8-22AA-41B5-944F-463E8CCEBC29}">
      <formula1>Proveedores_Clientes</formula1>
    </dataValidation>
    <dataValidation type="list" allowBlank="1" showInputMessage="1" showErrorMessage="1" sqref="G5:G344" xr:uid="{64497E58-D525-49B8-BC68-5340145E1815}">
      <formula1>"SALDO,INGRESO,EGRESO"</formula1>
    </dataValidation>
    <dataValidation type="list" allowBlank="1" showInputMessage="1" showErrorMessage="1" sqref="D5:D344" xr:uid="{DDF0D167-46A5-4A1A-AB8E-8EFC21445CC8}">
      <formula1>"R,D"</formula1>
    </dataValidation>
  </dataValidations>
  <hyperlinks>
    <hyperlink ref="V289" r:id="rId1" xr:uid="{19E118C8-F560-4630-A979-65BBB8D423CA}"/>
  </hyperlinks>
  <printOptions horizontalCentered="1"/>
  <pageMargins left="0.11811023622047245" right="0.11811023622047245" top="0.35433070866141736" bottom="0.35433070866141736" header="0.31496062992125984" footer="0.31496062992125984"/>
  <pageSetup paperSize="9" scale="37" fitToHeight="0" orientation="landscape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BD83-268E-4F56-9A7B-868E7400B6C6}">
  <sheetPr codeName="Hoja4">
    <tabColor theme="6"/>
    <pageSetUpPr fitToPage="1"/>
  </sheetPr>
  <dimension ref="B2:AB148"/>
  <sheetViews>
    <sheetView showGridLines="0" tabSelected="1" topLeftCell="A129" zoomScaleNormal="100" zoomScaleSheetLayoutView="100" workbookViewId="0">
      <selection activeCell="C150" sqref="C150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6.44140625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bestFit="1" customWidth="1"/>
    <col min="23" max="27" width="17.109375" customWidth="1" outlineLevel="1"/>
    <col min="28" max="28" width="12.88671875" customWidth="1" outlineLevel="1"/>
  </cols>
  <sheetData>
    <row r="2" spans="2:28" ht="23.4" x14ac:dyDescent="0.3">
      <c r="B2" s="263" t="s">
        <v>4125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16">
        <f>IF(Interbank_Soles[[#This Row],[TIPO DE R.]]="R",COUNTIFS($D$4:$D4,"R")+1,"")</f>
        <v>1</v>
      </c>
      <c r="C5" s="18" t="str">
        <f t="shared" ref="C5:C36" si="0">"B-Interbank"</f>
        <v>B-Interbank</v>
      </c>
      <c r="D5" s="13" t="s">
        <v>1074</v>
      </c>
      <c r="E5" s="4">
        <v>45658</v>
      </c>
      <c r="F5" s="5" t="s">
        <v>1075</v>
      </c>
      <c r="G5" s="6" t="s">
        <v>1064</v>
      </c>
      <c r="H5" s="6"/>
      <c r="I5" s="6"/>
      <c r="J5" s="6"/>
      <c r="K5" s="6"/>
      <c r="L5" s="7" t="s">
        <v>1076</v>
      </c>
      <c r="M5" s="8" t="s">
        <v>1077</v>
      </c>
      <c r="N5" s="8" t="str">
        <f t="shared" ref="N5:N36" si="1">"PEN"</f>
        <v>PEN</v>
      </c>
      <c r="O5" s="13"/>
      <c r="P5" s="13">
        <v>6651.98</v>
      </c>
      <c r="Q5" s="13">
        <f t="shared" ref="Q5:Q36" si="2">+IF(OR($G5="SALDO",$G5="INGRESO"),$P5,0)</f>
        <v>6651.98</v>
      </c>
      <c r="R5" s="13">
        <f t="shared" ref="R5:R36" si="3">+IF($G5="EGRESO",$P5,0)</f>
        <v>0</v>
      </c>
      <c r="S5" s="13">
        <f t="shared" ref="S5:S36" si="4">IFERROR(IF(G5="SALDO",Q5,S4+Q5-R5),0)</f>
        <v>6651.98</v>
      </c>
      <c r="T5" s="28"/>
      <c r="U5" s="28"/>
      <c r="V5" s="17"/>
      <c r="W5" s="17"/>
      <c r="X5" s="17"/>
      <c r="Y5" s="17"/>
      <c r="Z5" s="17"/>
      <c r="AA5" s="17"/>
      <c r="AB5" s="13" t="str">
        <f>IF(Interbank_Soles[[#This Row],[FECHA]]&gt;0,TEXT(Interbank_Soles[[#This Row],[FECHA]],"mmmm"),0)</f>
        <v>Enero</v>
      </c>
    </row>
    <row r="6" spans="2:28" ht="48" x14ac:dyDescent="0.3">
      <c r="B6" s="2">
        <f>IF(Interbank_Soles[[#This Row],[TIPO DE R.]]="R",COUNTIFS($D$4:$D5,"R")+1,"")</f>
        <v>2</v>
      </c>
      <c r="C6" s="19" t="str">
        <f t="shared" si="0"/>
        <v>B-Interbank</v>
      </c>
      <c r="D6" s="3" t="s">
        <v>1074</v>
      </c>
      <c r="E6" s="14">
        <v>45659</v>
      </c>
      <c r="F6" s="5" t="s">
        <v>253</v>
      </c>
      <c r="G6" s="5" t="s">
        <v>1087</v>
      </c>
      <c r="H6" s="6"/>
      <c r="I6" s="6"/>
      <c r="J6" s="6"/>
      <c r="K6" s="6"/>
      <c r="L6" s="7" t="s">
        <v>4126</v>
      </c>
      <c r="M6" s="8">
        <v>2737360</v>
      </c>
      <c r="N6" s="8" t="str">
        <f t="shared" si="1"/>
        <v>PEN</v>
      </c>
      <c r="O6" s="13"/>
      <c r="P6" s="13">
        <v>2991.3</v>
      </c>
      <c r="Q6" s="3">
        <f t="shared" si="2"/>
        <v>2991.3</v>
      </c>
      <c r="R6" s="3">
        <f t="shared" si="3"/>
        <v>0</v>
      </c>
      <c r="S6" s="3">
        <f t="shared" si="4"/>
        <v>9643.2799999999988</v>
      </c>
      <c r="T6" s="24" t="s">
        <v>1081</v>
      </c>
      <c r="U6" s="24"/>
      <c r="V6" s="3"/>
      <c r="W6" s="3" t="s">
        <v>368</v>
      </c>
      <c r="X6" s="3" t="s">
        <v>4127</v>
      </c>
      <c r="Y6" s="3"/>
      <c r="Z6" s="3"/>
      <c r="AA6" s="3"/>
      <c r="AB6" s="3" t="str">
        <f>IF(Interbank_Soles[[#This Row],[FECHA]]&gt;0,TEXT(Interbank_Soles[[#This Row],[FECHA]],"mmmm"),0)</f>
        <v>Enero</v>
      </c>
    </row>
    <row r="7" spans="2:28" x14ac:dyDescent="0.3">
      <c r="B7" s="2">
        <f>IF(Interbank_Soles[[#This Row],[TIPO DE R.]]="R",COUNTIFS($D$4:$D6,"R")+1,"")</f>
        <v>3</v>
      </c>
      <c r="C7" s="19" t="str">
        <f t="shared" si="0"/>
        <v>B-Interbank</v>
      </c>
      <c r="D7" s="3" t="s">
        <v>1074</v>
      </c>
      <c r="E7" s="14">
        <v>45659</v>
      </c>
      <c r="F7" s="5"/>
      <c r="G7" s="5" t="s">
        <v>1079</v>
      </c>
      <c r="H7" s="6"/>
      <c r="I7" s="6"/>
      <c r="J7" s="6"/>
      <c r="K7" s="6"/>
      <c r="L7" s="7" t="s">
        <v>4128</v>
      </c>
      <c r="M7" s="8" t="s">
        <v>1077</v>
      </c>
      <c r="N7" s="8" t="str">
        <f t="shared" si="1"/>
        <v>PEN</v>
      </c>
      <c r="O7" s="13"/>
      <c r="P7" s="13">
        <v>0.1</v>
      </c>
      <c r="Q7" s="3">
        <f t="shared" si="2"/>
        <v>0</v>
      </c>
      <c r="R7" s="3">
        <f t="shared" si="3"/>
        <v>0.1</v>
      </c>
      <c r="S7" s="3">
        <f t="shared" si="4"/>
        <v>9643.1799999999985</v>
      </c>
      <c r="T7" s="24"/>
      <c r="U7" s="24"/>
      <c r="V7" s="3"/>
      <c r="W7" s="3"/>
      <c r="X7" s="3"/>
      <c r="Y7" s="3"/>
      <c r="Z7" s="3"/>
      <c r="AA7" s="3"/>
      <c r="AB7" s="3" t="str">
        <f>IF(Interbank_Soles[[#This Row],[FECHA]]&gt;0,TEXT(Interbank_Soles[[#This Row],[FECHA]],"mmmm"),0)</f>
        <v>Enero</v>
      </c>
    </row>
    <row r="8" spans="2:28" x14ac:dyDescent="0.3">
      <c r="B8" s="2">
        <f>IF(Interbank_Soles[[#This Row],[TIPO DE R.]]="R",COUNTIFS($D$4:$D7,"R")+1,"")</f>
        <v>4</v>
      </c>
      <c r="C8" s="19" t="str">
        <f t="shared" si="0"/>
        <v>B-Interbank</v>
      </c>
      <c r="D8" s="3" t="s">
        <v>1074</v>
      </c>
      <c r="E8" s="14">
        <v>45660</v>
      </c>
      <c r="F8" s="5"/>
      <c r="G8" s="5" t="s">
        <v>1079</v>
      </c>
      <c r="H8" s="6"/>
      <c r="I8" s="6"/>
      <c r="J8" s="6"/>
      <c r="K8" s="6"/>
      <c r="L8" s="7" t="s">
        <v>4128</v>
      </c>
      <c r="M8" s="8" t="s">
        <v>1077</v>
      </c>
      <c r="N8" s="8" t="str">
        <f t="shared" si="1"/>
        <v>PEN</v>
      </c>
      <c r="O8" s="13"/>
      <c r="P8" s="13">
        <v>0.3</v>
      </c>
      <c r="Q8" s="3">
        <f t="shared" si="2"/>
        <v>0</v>
      </c>
      <c r="R8" s="3">
        <f t="shared" si="3"/>
        <v>0.3</v>
      </c>
      <c r="S8" s="3">
        <f t="shared" si="4"/>
        <v>9642.8799999999992</v>
      </c>
      <c r="T8" s="24"/>
      <c r="U8" s="24"/>
      <c r="V8" s="3"/>
      <c r="W8" s="3"/>
      <c r="X8" s="3"/>
      <c r="Y8" s="3"/>
      <c r="Z8" s="3"/>
      <c r="AA8" s="3"/>
      <c r="AB8" s="3" t="str">
        <f>IF(Interbank_Soles[[#This Row],[FECHA]]&gt;0,TEXT(Interbank_Soles[[#This Row],[FECHA]],"mmmm"),0)</f>
        <v>Enero</v>
      </c>
    </row>
    <row r="9" spans="2:28" ht="36" x14ac:dyDescent="0.3">
      <c r="B9" s="2">
        <f>IF(Interbank_Soles[[#This Row],[TIPO DE R.]]="R",COUNTIFS($D$4:$D8,"R")+1,"")</f>
        <v>5</v>
      </c>
      <c r="C9" s="19" t="str">
        <f t="shared" si="0"/>
        <v>B-Interbank</v>
      </c>
      <c r="D9" s="3" t="s">
        <v>1074</v>
      </c>
      <c r="E9" s="14">
        <v>45660</v>
      </c>
      <c r="F9" s="5" t="s">
        <v>151</v>
      </c>
      <c r="G9" s="5" t="s">
        <v>1087</v>
      </c>
      <c r="H9" s="6"/>
      <c r="I9" s="6"/>
      <c r="J9" s="6"/>
      <c r="K9" s="6"/>
      <c r="L9" s="7" t="s">
        <v>4129</v>
      </c>
      <c r="M9" s="8">
        <v>8064145</v>
      </c>
      <c r="N9" s="8" t="str">
        <f t="shared" si="1"/>
        <v>PEN</v>
      </c>
      <c r="O9" s="13"/>
      <c r="P9" s="13">
        <v>6366.27</v>
      </c>
      <c r="Q9" s="3">
        <f t="shared" si="2"/>
        <v>6366.27</v>
      </c>
      <c r="R9" s="3">
        <f t="shared" si="3"/>
        <v>0</v>
      </c>
      <c r="S9" s="3">
        <f t="shared" si="4"/>
        <v>16009.15</v>
      </c>
      <c r="T9" s="24" t="s">
        <v>1081</v>
      </c>
      <c r="U9" s="24"/>
      <c r="V9" s="3"/>
      <c r="W9" s="3" t="s">
        <v>368</v>
      </c>
      <c r="X9" s="3" t="s">
        <v>4130</v>
      </c>
      <c r="Y9" s="3"/>
      <c r="Z9" s="3"/>
      <c r="AA9" s="3"/>
      <c r="AB9" s="3" t="str">
        <f>IF(Interbank_Soles[[#This Row],[FECHA]]&gt;0,TEXT(Interbank_Soles[[#This Row],[FECHA]],"mmmm"),0)</f>
        <v>Enero</v>
      </c>
    </row>
    <row r="10" spans="2:28" ht="24" x14ac:dyDescent="0.3">
      <c r="B10" s="2">
        <f>IF(Interbank_Soles[[#This Row],[TIPO DE R.]]="R",COUNTIFS($D$4:$D9,"R")+1,"")</f>
        <v>6</v>
      </c>
      <c r="C10" s="19" t="str">
        <f t="shared" si="0"/>
        <v>B-Interbank</v>
      </c>
      <c r="D10" s="3" t="s">
        <v>1074</v>
      </c>
      <c r="E10" s="14">
        <v>45671</v>
      </c>
      <c r="F10" s="5"/>
      <c r="G10" s="5" t="s">
        <v>1079</v>
      </c>
      <c r="H10" s="6"/>
      <c r="I10" s="6"/>
      <c r="J10" s="6"/>
      <c r="K10" s="6"/>
      <c r="L10" s="7" t="s">
        <v>4131</v>
      </c>
      <c r="M10" s="8">
        <v>877396</v>
      </c>
      <c r="N10" s="8" t="str">
        <f t="shared" si="1"/>
        <v>PEN</v>
      </c>
      <c r="O10" s="13"/>
      <c r="P10" s="13">
        <v>67</v>
      </c>
      <c r="Q10" s="3">
        <f t="shared" si="2"/>
        <v>0</v>
      </c>
      <c r="R10" s="3">
        <f t="shared" si="3"/>
        <v>67</v>
      </c>
      <c r="S10" s="3">
        <f t="shared" si="4"/>
        <v>15942.15</v>
      </c>
      <c r="T10" s="24"/>
      <c r="U10" s="24"/>
      <c r="V10" s="3"/>
      <c r="W10" s="3" t="s">
        <v>4132</v>
      </c>
      <c r="X10" s="3"/>
      <c r="Y10" s="3"/>
      <c r="Z10" s="3"/>
      <c r="AA10" s="3"/>
      <c r="AB10" s="3" t="str">
        <f>IF(Interbank_Soles[[#This Row],[FECHA]]&gt;0,TEXT(Interbank_Soles[[#This Row],[FECHA]],"mmmm"),0)</f>
        <v>Enero</v>
      </c>
    </row>
    <row r="11" spans="2:28" ht="24" x14ac:dyDescent="0.3">
      <c r="B11" s="2">
        <f>IF(Interbank_Soles[[#This Row],[TIPO DE R.]]="R",COUNTIFS($D$4:$D10,"R")+1,"")</f>
        <v>7</v>
      </c>
      <c r="C11" s="19" t="str">
        <f t="shared" si="0"/>
        <v>B-Interbank</v>
      </c>
      <c r="D11" s="3" t="s">
        <v>1074</v>
      </c>
      <c r="E11" s="14">
        <v>45671</v>
      </c>
      <c r="F11" s="5"/>
      <c r="G11" s="5" t="s">
        <v>1079</v>
      </c>
      <c r="H11" s="6"/>
      <c r="I11" s="6"/>
      <c r="J11" s="6"/>
      <c r="K11" s="6"/>
      <c r="L11" s="7" t="s">
        <v>4133</v>
      </c>
      <c r="M11" s="8">
        <v>891028</v>
      </c>
      <c r="N11" s="8" t="str">
        <f t="shared" si="1"/>
        <v>PEN</v>
      </c>
      <c r="O11" s="13"/>
      <c r="P11" s="13">
        <v>56</v>
      </c>
      <c r="Q11" s="3">
        <f t="shared" si="2"/>
        <v>0</v>
      </c>
      <c r="R11" s="3">
        <f t="shared" si="3"/>
        <v>56</v>
      </c>
      <c r="S11" s="3">
        <f t="shared" si="4"/>
        <v>15886.15</v>
      </c>
      <c r="T11" s="24"/>
      <c r="U11" s="24"/>
      <c r="V11" s="3"/>
      <c r="W11" s="3" t="s">
        <v>4132</v>
      </c>
      <c r="X11" s="3"/>
      <c r="Y11" s="3"/>
      <c r="Z11" s="3"/>
      <c r="AA11" s="3"/>
      <c r="AB11" s="3" t="str">
        <f>IF(Interbank_Soles[[#This Row],[FECHA]]&gt;0,TEXT(Interbank_Soles[[#This Row],[FECHA]],"mmmm"),0)</f>
        <v>Enero</v>
      </c>
    </row>
    <row r="12" spans="2:28" ht="24" x14ac:dyDescent="0.3">
      <c r="B12" s="2">
        <f>IF(Interbank_Soles[[#This Row],[TIPO DE R.]]="R",COUNTIFS($D$4:$D11,"R")+1,"")</f>
        <v>8</v>
      </c>
      <c r="C12" s="19" t="str">
        <f t="shared" si="0"/>
        <v>B-Interbank</v>
      </c>
      <c r="D12" s="3" t="s">
        <v>1074</v>
      </c>
      <c r="E12" s="14">
        <v>45671</v>
      </c>
      <c r="F12" s="5"/>
      <c r="G12" s="5" t="s">
        <v>1079</v>
      </c>
      <c r="H12" s="6"/>
      <c r="I12" s="6"/>
      <c r="J12" s="6"/>
      <c r="K12" s="6"/>
      <c r="L12" s="7" t="s">
        <v>4134</v>
      </c>
      <c r="M12" s="8">
        <v>855902</v>
      </c>
      <c r="N12" s="8" t="str">
        <f t="shared" si="1"/>
        <v>PEN</v>
      </c>
      <c r="O12" s="13"/>
      <c r="P12" s="13">
        <v>37.5</v>
      </c>
      <c r="Q12" s="3">
        <f t="shared" si="2"/>
        <v>0</v>
      </c>
      <c r="R12" s="3">
        <f t="shared" si="3"/>
        <v>37.5</v>
      </c>
      <c r="S12" s="3">
        <f t="shared" si="4"/>
        <v>15848.65</v>
      </c>
      <c r="T12" s="24"/>
      <c r="U12" s="24"/>
      <c r="V12" s="3"/>
      <c r="W12" s="3" t="s">
        <v>4132</v>
      </c>
      <c r="X12" s="3"/>
      <c r="Y12" s="3"/>
      <c r="Z12" s="3"/>
      <c r="AA12" s="3"/>
      <c r="AB12" s="3" t="str">
        <f>IF(Interbank_Soles[[#This Row],[FECHA]]&gt;0,TEXT(Interbank_Soles[[#This Row],[FECHA]],"mmmm"),0)</f>
        <v>Enero</v>
      </c>
    </row>
    <row r="13" spans="2:28" ht="24" x14ac:dyDescent="0.3">
      <c r="B13" s="2">
        <f>IF(Interbank_Soles[[#This Row],[TIPO DE R.]]="R",COUNTIFS($D$4:$D12,"R")+1,"")</f>
        <v>9</v>
      </c>
      <c r="C13" s="19" t="str">
        <f t="shared" si="0"/>
        <v>B-Interbank</v>
      </c>
      <c r="D13" s="3" t="s">
        <v>1074</v>
      </c>
      <c r="E13" s="14">
        <v>45671</v>
      </c>
      <c r="F13" s="5"/>
      <c r="G13" s="5" t="s">
        <v>1079</v>
      </c>
      <c r="H13" s="6"/>
      <c r="I13" s="6"/>
      <c r="J13" s="6"/>
      <c r="K13" s="6"/>
      <c r="L13" s="7" t="s">
        <v>4135</v>
      </c>
      <c r="M13" s="8">
        <v>864004</v>
      </c>
      <c r="N13" s="8" t="str">
        <f t="shared" si="1"/>
        <v>PEN</v>
      </c>
      <c r="O13" s="13"/>
      <c r="P13" s="13">
        <v>34</v>
      </c>
      <c r="Q13" s="3">
        <f t="shared" si="2"/>
        <v>0</v>
      </c>
      <c r="R13" s="3">
        <f t="shared" si="3"/>
        <v>34</v>
      </c>
      <c r="S13" s="3">
        <f t="shared" si="4"/>
        <v>15814.65</v>
      </c>
      <c r="T13" s="24"/>
      <c r="U13" s="24"/>
      <c r="V13" s="3"/>
      <c r="W13" s="3" t="s">
        <v>4132</v>
      </c>
      <c r="X13" s="3"/>
      <c r="Y13" s="3"/>
      <c r="Z13" s="3"/>
      <c r="AA13" s="3"/>
      <c r="AB13" s="3" t="str">
        <f>IF(Interbank_Soles[[#This Row],[FECHA]]&gt;0,TEXT(Interbank_Soles[[#This Row],[FECHA]],"mmmm"),0)</f>
        <v>Enero</v>
      </c>
    </row>
    <row r="14" spans="2:28" ht="24" x14ac:dyDescent="0.3">
      <c r="B14" s="2">
        <f>IF(Interbank_Soles[[#This Row],[TIPO DE R.]]="R",COUNTIFS($D$4:$D13,"R")+1,"")</f>
        <v>10</v>
      </c>
      <c r="C14" s="19" t="str">
        <f t="shared" si="0"/>
        <v>B-Interbank</v>
      </c>
      <c r="D14" s="3" t="s">
        <v>1074</v>
      </c>
      <c r="E14" s="14">
        <v>45671</v>
      </c>
      <c r="F14" s="5"/>
      <c r="G14" s="5" t="s">
        <v>1079</v>
      </c>
      <c r="H14" s="6"/>
      <c r="I14" s="6"/>
      <c r="J14" s="6"/>
      <c r="K14" s="6"/>
      <c r="L14" s="7" t="s">
        <v>4136</v>
      </c>
      <c r="M14" s="8">
        <v>872648</v>
      </c>
      <c r="N14" s="8" t="str">
        <f t="shared" si="1"/>
        <v>PEN</v>
      </c>
      <c r="O14" s="13"/>
      <c r="P14" s="13">
        <v>32</v>
      </c>
      <c r="Q14" s="3">
        <f t="shared" si="2"/>
        <v>0</v>
      </c>
      <c r="R14" s="3">
        <f t="shared" si="3"/>
        <v>32</v>
      </c>
      <c r="S14" s="3">
        <f t="shared" si="4"/>
        <v>15782.65</v>
      </c>
      <c r="T14" s="24"/>
      <c r="U14" s="24"/>
      <c r="V14" s="3"/>
      <c r="W14" s="3" t="s">
        <v>4132</v>
      </c>
      <c r="X14" s="3"/>
      <c r="Y14" s="3"/>
      <c r="Z14" s="3"/>
      <c r="AA14" s="3"/>
      <c r="AB14" s="3" t="str">
        <f>IF(Interbank_Soles[[#This Row],[FECHA]]&gt;0,TEXT(Interbank_Soles[[#This Row],[FECHA]],"mmmm"),0)</f>
        <v>Enero</v>
      </c>
    </row>
    <row r="15" spans="2:28" ht="24" x14ac:dyDescent="0.3">
      <c r="B15" s="2">
        <f>IF(Interbank_Soles[[#This Row],[TIPO DE R.]]="R",COUNTIFS($D$4:$D14,"R")+1,"")</f>
        <v>11</v>
      </c>
      <c r="C15" s="19" t="str">
        <f t="shared" si="0"/>
        <v>B-Interbank</v>
      </c>
      <c r="D15" s="3" t="s">
        <v>1074</v>
      </c>
      <c r="E15" s="14">
        <v>45671</v>
      </c>
      <c r="F15" s="5"/>
      <c r="G15" s="5" t="s">
        <v>1079</v>
      </c>
      <c r="H15" s="6"/>
      <c r="I15" s="6"/>
      <c r="J15" s="6"/>
      <c r="K15" s="6"/>
      <c r="L15" s="7" t="s">
        <v>4137</v>
      </c>
      <c r="M15" s="8">
        <v>884297</v>
      </c>
      <c r="N15" s="8" t="str">
        <f t="shared" si="1"/>
        <v>PEN</v>
      </c>
      <c r="O15" s="13"/>
      <c r="P15" s="13">
        <v>31.75</v>
      </c>
      <c r="Q15" s="3">
        <f t="shared" si="2"/>
        <v>0</v>
      </c>
      <c r="R15" s="3">
        <f t="shared" si="3"/>
        <v>31.75</v>
      </c>
      <c r="S15" s="3">
        <f t="shared" si="4"/>
        <v>15750.9</v>
      </c>
      <c r="T15" s="24"/>
      <c r="U15" s="24"/>
      <c r="V15" s="3"/>
      <c r="W15" s="3" t="s">
        <v>4132</v>
      </c>
      <c r="X15" s="3"/>
      <c r="Y15" s="3"/>
      <c r="Z15" s="3"/>
      <c r="AA15" s="3"/>
      <c r="AB15" s="3" t="str">
        <f>IF(Interbank_Soles[[#This Row],[FECHA]]&gt;0,TEXT(Interbank_Soles[[#This Row],[FECHA]],"mmmm"),0)</f>
        <v>Enero</v>
      </c>
    </row>
    <row r="16" spans="2:28" ht="24" x14ac:dyDescent="0.3">
      <c r="B16" s="2">
        <f>IF(Interbank_Soles[[#This Row],[TIPO DE R.]]="R",COUNTIFS($D$4:$D15,"R")+1,"")</f>
        <v>12</v>
      </c>
      <c r="C16" s="19" t="str">
        <f t="shared" si="0"/>
        <v>B-Interbank</v>
      </c>
      <c r="D16" s="3" t="s">
        <v>1074</v>
      </c>
      <c r="E16" s="14">
        <v>45671</v>
      </c>
      <c r="F16" s="5"/>
      <c r="G16" s="5" t="s">
        <v>1079</v>
      </c>
      <c r="H16" s="6"/>
      <c r="I16" s="6"/>
      <c r="J16" s="6"/>
      <c r="K16" s="6"/>
      <c r="L16" s="7" t="s">
        <v>4138</v>
      </c>
      <c r="M16" s="8">
        <v>853195</v>
      </c>
      <c r="N16" s="8" t="str">
        <f t="shared" si="1"/>
        <v>PEN</v>
      </c>
      <c r="O16" s="13"/>
      <c r="P16" s="13">
        <v>31.5</v>
      </c>
      <c r="Q16" s="3">
        <f t="shared" si="2"/>
        <v>0</v>
      </c>
      <c r="R16" s="3">
        <f t="shared" si="3"/>
        <v>31.5</v>
      </c>
      <c r="S16" s="3">
        <f t="shared" si="4"/>
        <v>15719.4</v>
      </c>
      <c r="T16" s="24"/>
      <c r="U16" s="24"/>
      <c r="V16" s="3"/>
      <c r="W16" s="3" t="s">
        <v>4132</v>
      </c>
      <c r="X16" s="3"/>
      <c r="Y16" s="3"/>
      <c r="Z16" s="3"/>
      <c r="AA16" s="3"/>
      <c r="AB16" s="3" t="str">
        <f>IF(Interbank_Soles[[#This Row],[FECHA]]&gt;0,TEXT(Interbank_Soles[[#This Row],[FECHA]],"mmmm"),0)</f>
        <v>Enero</v>
      </c>
    </row>
    <row r="17" spans="2:28" ht="24" x14ac:dyDescent="0.3">
      <c r="B17" s="2">
        <f>IF(Interbank_Soles[[#This Row],[TIPO DE R.]]="R",COUNTIFS($D$4:$D16,"R")+1,"")</f>
        <v>13</v>
      </c>
      <c r="C17" s="19" t="str">
        <f t="shared" si="0"/>
        <v>B-Interbank</v>
      </c>
      <c r="D17" s="3" t="s">
        <v>1074</v>
      </c>
      <c r="E17" s="14">
        <v>45671</v>
      </c>
      <c r="F17" s="5"/>
      <c r="G17" s="5" t="s">
        <v>1079</v>
      </c>
      <c r="H17" s="6"/>
      <c r="I17" s="6"/>
      <c r="J17" s="6"/>
      <c r="K17" s="6"/>
      <c r="L17" s="7" t="s">
        <v>4139</v>
      </c>
      <c r="M17" s="8">
        <v>867065</v>
      </c>
      <c r="N17" s="8" t="str">
        <f t="shared" si="1"/>
        <v>PEN</v>
      </c>
      <c r="O17" s="13"/>
      <c r="P17" s="13">
        <v>29.5</v>
      </c>
      <c r="Q17" s="3">
        <f t="shared" si="2"/>
        <v>0</v>
      </c>
      <c r="R17" s="3">
        <f t="shared" si="3"/>
        <v>29.5</v>
      </c>
      <c r="S17" s="3">
        <f t="shared" si="4"/>
        <v>15689.9</v>
      </c>
      <c r="T17" s="24"/>
      <c r="U17" s="24"/>
      <c r="V17" s="3"/>
      <c r="W17" s="3" t="s">
        <v>4132</v>
      </c>
      <c r="X17" s="3"/>
      <c r="Y17" s="3"/>
      <c r="Z17" s="3"/>
      <c r="AA17" s="3"/>
      <c r="AB17" s="3" t="str">
        <f>IF(Interbank_Soles[[#This Row],[FECHA]]&gt;0,TEXT(Interbank_Soles[[#This Row],[FECHA]],"mmmm"),0)</f>
        <v>Enero</v>
      </c>
    </row>
    <row r="18" spans="2:28" ht="24" x14ac:dyDescent="0.3">
      <c r="B18" s="2">
        <f>IF(Interbank_Soles[[#This Row],[TIPO DE R.]]="R",COUNTIFS($D$4:$D17,"R")+1,"")</f>
        <v>14</v>
      </c>
      <c r="C18" s="19" t="str">
        <f t="shared" si="0"/>
        <v>B-Interbank</v>
      </c>
      <c r="D18" s="3" t="s">
        <v>1074</v>
      </c>
      <c r="E18" s="14">
        <v>45671</v>
      </c>
      <c r="F18" s="5"/>
      <c r="G18" s="5" t="s">
        <v>1079</v>
      </c>
      <c r="H18" s="6"/>
      <c r="I18" s="6"/>
      <c r="J18" s="6"/>
      <c r="K18" s="6"/>
      <c r="L18" s="7" t="s">
        <v>4140</v>
      </c>
      <c r="M18" s="8">
        <v>844661</v>
      </c>
      <c r="N18" s="8" t="str">
        <f t="shared" si="1"/>
        <v>PEN</v>
      </c>
      <c r="O18" s="13"/>
      <c r="P18" s="13">
        <v>29.5</v>
      </c>
      <c r="Q18" s="3">
        <f t="shared" si="2"/>
        <v>0</v>
      </c>
      <c r="R18" s="3">
        <f t="shared" si="3"/>
        <v>29.5</v>
      </c>
      <c r="S18" s="3">
        <f t="shared" si="4"/>
        <v>15660.4</v>
      </c>
      <c r="T18" s="24"/>
      <c r="U18" s="24"/>
      <c r="V18" s="3"/>
      <c r="W18" s="3" t="s">
        <v>4132</v>
      </c>
      <c r="X18" s="3"/>
      <c r="Y18" s="3"/>
      <c r="Z18" s="3"/>
      <c r="AA18" s="3"/>
      <c r="AB18" s="3" t="str">
        <f>IF(Interbank_Soles[[#This Row],[FECHA]]&gt;0,TEXT(Interbank_Soles[[#This Row],[FECHA]],"mmmm"),0)</f>
        <v>Enero</v>
      </c>
    </row>
    <row r="19" spans="2:28" ht="24" x14ac:dyDescent="0.3">
      <c r="B19" s="2">
        <f>IF(Interbank_Soles[[#This Row],[TIPO DE R.]]="R",COUNTIFS($D$4:$D18,"R")+1,"")</f>
        <v>15</v>
      </c>
      <c r="C19" s="19" t="str">
        <f t="shared" si="0"/>
        <v>B-Interbank</v>
      </c>
      <c r="D19" s="3" t="s">
        <v>1074</v>
      </c>
      <c r="E19" s="14">
        <v>45671</v>
      </c>
      <c r="F19" s="5"/>
      <c r="G19" s="5" t="s">
        <v>1079</v>
      </c>
      <c r="H19" s="6"/>
      <c r="I19" s="6"/>
      <c r="J19" s="6"/>
      <c r="K19" s="6"/>
      <c r="L19" s="7" t="s">
        <v>4141</v>
      </c>
      <c r="M19" s="8">
        <v>860082</v>
      </c>
      <c r="N19" s="8" t="str">
        <f t="shared" si="1"/>
        <v>PEN</v>
      </c>
      <c r="O19" s="13"/>
      <c r="P19" s="13">
        <v>29.25</v>
      </c>
      <c r="Q19" s="3">
        <f t="shared" si="2"/>
        <v>0</v>
      </c>
      <c r="R19" s="3">
        <f t="shared" si="3"/>
        <v>29.25</v>
      </c>
      <c r="S19" s="3">
        <f t="shared" si="4"/>
        <v>15631.15</v>
      </c>
      <c r="T19" s="24"/>
      <c r="U19" s="24"/>
      <c r="V19" s="3"/>
      <c r="W19" s="3" t="s">
        <v>4132</v>
      </c>
      <c r="X19" s="3"/>
      <c r="Y19" s="3"/>
      <c r="Z19" s="3"/>
      <c r="AA19" s="3"/>
      <c r="AB19" s="3" t="str">
        <f>IF(Interbank_Soles[[#This Row],[FECHA]]&gt;0,TEXT(Interbank_Soles[[#This Row],[FECHA]],"mmmm"),0)</f>
        <v>Enero</v>
      </c>
    </row>
    <row r="20" spans="2:28" ht="24" x14ac:dyDescent="0.3">
      <c r="B20" s="2">
        <f>IF(Interbank_Soles[[#This Row],[TIPO DE R.]]="R",COUNTIFS($D$4:$D19,"R")+1,"")</f>
        <v>16</v>
      </c>
      <c r="C20" s="19" t="str">
        <f t="shared" si="0"/>
        <v>B-Interbank</v>
      </c>
      <c r="D20" s="3" t="s">
        <v>1074</v>
      </c>
      <c r="E20" s="14">
        <v>45671</v>
      </c>
      <c r="F20" s="5"/>
      <c r="G20" s="5" t="s">
        <v>1079</v>
      </c>
      <c r="H20" s="6"/>
      <c r="I20" s="6"/>
      <c r="J20" s="6"/>
      <c r="K20" s="6"/>
      <c r="L20" s="7" t="s">
        <v>4142</v>
      </c>
      <c r="M20" s="8">
        <v>886982</v>
      </c>
      <c r="N20" s="8" t="str">
        <f t="shared" si="1"/>
        <v>PEN</v>
      </c>
      <c r="O20" s="13"/>
      <c r="P20" s="13">
        <v>29</v>
      </c>
      <c r="Q20" s="3">
        <f t="shared" si="2"/>
        <v>0</v>
      </c>
      <c r="R20" s="3">
        <f t="shared" si="3"/>
        <v>29</v>
      </c>
      <c r="S20" s="3">
        <f t="shared" si="4"/>
        <v>15602.15</v>
      </c>
      <c r="T20" s="24"/>
      <c r="U20" s="24"/>
      <c r="V20" s="3"/>
      <c r="W20" s="3" t="s">
        <v>4132</v>
      </c>
      <c r="X20" s="3"/>
      <c r="Y20" s="3"/>
      <c r="Z20" s="3"/>
      <c r="AA20" s="3"/>
      <c r="AB20" s="3" t="str">
        <f>IF(Interbank_Soles[[#This Row],[FECHA]]&gt;0,TEXT(Interbank_Soles[[#This Row],[FECHA]],"mmmm"),0)</f>
        <v>Enero</v>
      </c>
    </row>
    <row r="21" spans="2:28" ht="24" x14ac:dyDescent="0.3">
      <c r="B21" s="2">
        <f>IF(Interbank_Soles[[#This Row],[TIPO DE R.]]="R",COUNTIFS($D$4:$D20,"R")+1,"")</f>
        <v>17</v>
      </c>
      <c r="C21" s="19" t="str">
        <f t="shared" si="0"/>
        <v>B-Interbank</v>
      </c>
      <c r="D21" s="3" t="s">
        <v>1074</v>
      </c>
      <c r="E21" s="14">
        <v>45671</v>
      </c>
      <c r="F21" s="5"/>
      <c r="G21" s="5" t="s">
        <v>1079</v>
      </c>
      <c r="H21" s="6"/>
      <c r="I21" s="6"/>
      <c r="J21" s="6"/>
      <c r="K21" s="6"/>
      <c r="L21" s="7" t="s">
        <v>4143</v>
      </c>
      <c r="M21" s="8">
        <v>869930</v>
      </c>
      <c r="N21" s="8" t="str">
        <f t="shared" si="1"/>
        <v>PEN</v>
      </c>
      <c r="O21" s="13"/>
      <c r="P21" s="13">
        <v>28.75</v>
      </c>
      <c r="Q21" s="3">
        <f t="shared" si="2"/>
        <v>0</v>
      </c>
      <c r="R21" s="3">
        <f t="shared" si="3"/>
        <v>28.75</v>
      </c>
      <c r="S21" s="3">
        <f t="shared" si="4"/>
        <v>15573.4</v>
      </c>
      <c r="T21" s="24"/>
      <c r="U21" s="24"/>
      <c r="V21" s="3"/>
      <c r="W21" s="3" t="s">
        <v>4132</v>
      </c>
      <c r="X21" s="3"/>
      <c r="Y21" s="3"/>
      <c r="Z21" s="3"/>
      <c r="AA21" s="3"/>
      <c r="AB21" s="3" t="str">
        <f>IF(Interbank_Soles[[#This Row],[FECHA]]&gt;0,TEXT(Interbank_Soles[[#This Row],[FECHA]],"mmmm"),0)</f>
        <v>Enero</v>
      </c>
    </row>
    <row r="22" spans="2:28" ht="24" x14ac:dyDescent="0.3">
      <c r="B22" s="2">
        <f>IF(Interbank_Soles[[#This Row],[TIPO DE R.]]="R",COUNTIFS($D$4:$D21,"R")+1,"")</f>
        <v>18</v>
      </c>
      <c r="C22" s="19" t="str">
        <f t="shared" si="0"/>
        <v>B-Interbank</v>
      </c>
      <c r="D22" s="3" t="s">
        <v>1074</v>
      </c>
      <c r="E22" s="14">
        <v>45671</v>
      </c>
      <c r="F22" s="5"/>
      <c r="G22" s="5" t="s">
        <v>1079</v>
      </c>
      <c r="H22" s="6"/>
      <c r="I22" s="6"/>
      <c r="J22" s="6"/>
      <c r="K22" s="6"/>
      <c r="L22" s="7" t="s">
        <v>4144</v>
      </c>
      <c r="M22" s="8">
        <v>879843</v>
      </c>
      <c r="N22" s="8" t="str">
        <f t="shared" si="1"/>
        <v>PEN</v>
      </c>
      <c r="O22" s="13"/>
      <c r="P22" s="13">
        <v>26.75</v>
      </c>
      <c r="Q22" s="3">
        <f t="shared" si="2"/>
        <v>0</v>
      </c>
      <c r="R22" s="3">
        <f t="shared" si="3"/>
        <v>26.75</v>
      </c>
      <c r="S22" s="3">
        <f t="shared" si="4"/>
        <v>15546.65</v>
      </c>
      <c r="T22" s="24"/>
      <c r="U22" s="24"/>
      <c r="V22" s="3"/>
      <c r="W22" s="3" t="s">
        <v>4132</v>
      </c>
      <c r="X22" s="3"/>
      <c r="Y22" s="3"/>
      <c r="Z22" s="3"/>
      <c r="AA22" s="3"/>
      <c r="AB22" s="3" t="str">
        <f>IF(Interbank_Soles[[#This Row],[FECHA]]&gt;0,TEXT(Interbank_Soles[[#This Row],[FECHA]],"mmmm"),0)</f>
        <v>Enero</v>
      </c>
    </row>
    <row r="23" spans="2:28" ht="24" x14ac:dyDescent="0.3">
      <c r="B23" s="2">
        <f>IF(Interbank_Soles[[#This Row],[TIPO DE R.]]="R",COUNTIFS($D$4:$D22,"R")+1,"")</f>
        <v>19</v>
      </c>
      <c r="C23" s="19" t="str">
        <f t="shared" si="0"/>
        <v>B-Interbank</v>
      </c>
      <c r="D23" s="3" t="s">
        <v>1074</v>
      </c>
      <c r="E23" s="14">
        <v>45671</v>
      </c>
      <c r="F23" s="5"/>
      <c r="G23" s="5" t="s">
        <v>1079</v>
      </c>
      <c r="H23" s="6"/>
      <c r="I23" s="6"/>
      <c r="J23" s="6"/>
      <c r="K23" s="6"/>
      <c r="L23" s="7" t="s">
        <v>4145</v>
      </c>
      <c r="M23" s="8">
        <v>895367</v>
      </c>
      <c r="N23" s="8" t="str">
        <f t="shared" si="1"/>
        <v>PEN</v>
      </c>
      <c r="O23" s="13"/>
      <c r="P23" s="13">
        <v>25</v>
      </c>
      <c r="Q23" s="3">
        <f t="shared" si="2"/>
        <v>0</v>
      </c>
      <c r="R23" s="3">
        <f t="shared" si="3"/>
        <v>25</v>
      </c>
      <c r="S23" s="3">
        <f t="shared" si="4"/>
        <v>15521.65</v>
      </c>
      <c r="T23" s="24"/>
      <c r="U23" s="24"/>
      <c r="V23" s="3"/>
      <c r="W23" s="3" t="s">
        <v>4132</v>
      </c>
      <c r="X23" s="3"/>
      <c r="Y23" s="3"/>
      <c r="Z23" s="3"/>
      <c r="AA23" s="3"/>
      <c r="AB23" s="3" t="str">
        <f>IF(Interbank_Soles[[#This Row],[FECHA]]&gt;0,TEXT(Interbank_Soles[[#This Row],[FECHA]],"mmmm"),0)</f>
        <v>Enero</v>
      </c>
    </row>
    <row r="24" spans="2:28" ht="24" x14ac:dyDescent="0.3">
      <c r="B24" s="2">
        <f>IF(Interbank_Soles[[#This Row],[TIPO DE R.]]="R",COUNTIFS($D$4:$D23,"R")+1,"")</f>
        <v>20</v>
      </c>
      <c r="C24" s="19" t="str">
        <f t="shared" si="0"/>
        <v>B-Interbank</v>
      </c>
      <c r="D24" s="3" t="s">
        <v>1074</v>
      </c>
      <c r="E24" s="14">
        <v>45671</v>
      </c>
      <c r="F24" s="5"/>
      <c r="G24" s="5" t="s">
        <v>1079</v>
      </c>
      <c r="H24" s="6"/>
      <c r="I24" s="6"/>
      <c r="J24" s="6"/>
      <c r="K24" s="6"/>
      <c r="L24" s="7" t="s">
        <v>4146</v>
      </c>
      <c r="M24" s="8">
        <v>875115</v>
      </c>
      <c r="N24" s="8" t="str">
        <f t="shared" si="1"/>
        <v>PEN</v>
      </c>
      <c r="O24" s="13"/>
      <c r="P24" s="13">
        <v>25</v>
      </c>
      <c r="Q24" s="3">
        <f t="shared" si="2"/>
        <v>0</v>
      </c>
      <c r="R24" s="3">
        <f t="shared" si="3"/>
        <v>25</v>
      </c>
      <c r="S24" s="3">
        <f t="shared" si="4"/>
        <v>15496.65</v>
      </c>
      <c r="T24" s="24"/>
      <c r="U24" s="24"/>
      <c r="V24" s="3"/>
      <c r="W24" s="3" t="s">
        <v>4132</v>
      </c>
      <c r="X24" s="3"/>
      <c r="Y24" s="3"/>
      <c r="Z24" s="3"/>
      <c r="AA24" s="3"/>
      <c r="AB24" s="3" t="str">
        <f>IF(Interbank_Soles[[#This Row],[FECHA]]&gt;0,TEXT(Interbank_Soles[[#This Row],[FECHA]],"mmmm"),0)</f>
        <v>Enero</v>
      </c>
    </row>
    <row r="25" spans="2:28" x14ac:dyDescent="0.3">
      <c r="B25" s="2">
        <f>IF(Interbank_Soles[[#This Row],[TIPO DE R.]]="R",COUNTIFS($D$4:$D24,"R")+1,"")</f>
        <v>21</v>
      </c>
      <c r="C25" s="19" t="str">
        <f t="shared" si="0"/>
        <v>B-Interbank</v>
      </c>
      <c r="D25" s="3" t="s">
        <v>1074</v>
      </c>
      <c r="E25" s="14">
        <v>45674</v>
      </c>
      <c r="F25" s="5"/>
      <c r="G25" s="5" t="s">
        <v>1079</v>
      </c>
      <c r="H25" s="6"/>
      <c r="I25" s="6"/>
      <c r="J25" s="6"/>
      <c r="K25" s="6"/>
      <c r="L25" s="7" t="s">
        <v>4147</v>
      </c>
      <c r="M25" s="8" t="s">
        <v>1077</v>
      </c>
      <c r="N25" s="8" t="str">
        <f t="shared" si="1"/>
        <v>PEN</v>
      </c>
      <c r="O25" s="13"/>
      <c r="P25" s="13">
        <v>0.05</v>
      </c>
      <c r="Q25" s="3">
        <f t="shared" si="2"/>
        <v>0</v>
      </c>
      <c r="R25" s="3">
        <f t="shared" si="3"/>
        <v>0.05</v>
      </c>
      <c r="S25" s="3">
        <f t="shared" si="4"/>
        <v>15496.6</v>
      </c>
      <c r="T25" s="24"/>
      <c r="U25" s="24"/>
      <c r="V25" s="3"/>
      <c r="W25" s="3"/>
      <c r="X25" s="3"/>
      <c r="Y25" s="3"/>
      <c r="Z25" s="3"/>
      <c r="AA25" s="3"/>
      <c r="AB25" s="3" t="str">
        <f>IF(Interbank_Soles[[#This Row],[FECHA]]&gt;0,TEXT(Interbank_Soles[[#This Row],[FECHA]],"mmmm"),0)</f>
        <v>Enero</v>
      </c>
    </row>
    <row r="26" spans="2:28" x14ac:dyDescent="0.3">
      <c r="B26" s="2">
        <f>IF(Interbank_Soles[[#This Row],[TIPO DE R.]]="R",COUNTIFS($D$4:$D25,"R")+1,"")</f>
        <v>22</v>
      </c>
      <c r="C26" s="19" t="str">
        <f t="shared" si="0"/>
        <v>B-Interbank</v>
      </c>
      <c r="D26" s="3" t="s">
        <v>1074</v>
      </c>
      <c r="E26" s="14">
        <v>45674</v>
      </c>
      <c r="F26" s="5"/>
      <c r="G26" s="5" t="s">
        <v>1079</v>
      </c>
      <c r="H26" s="6"/>
      <c r="I26" s="6"/>
      <c r="J26" s="6"/>
      <c r="K26" s="6"/>
      <c r="L26" s="7" t="s">
        <v>4148</v>
      </c>
      <c r="M26" s="8">
        <v>919816</v>
      </c>
      <c r="N26" s="8" t="str">
        <f t="shared" si="1"/>
        <v>PEN</v>
      </c>
      <c r="O26" s="13"/>
      <c r="P26" s="13">
        <v>1500</v>
      </c>
      <c r="Q26" s="3">
        <f t="shared" si="2"/>
        <v>0</v>
      </c>
      <c r="R26" s="3">
        <f t="shared" si="3"/>
        <v>1500</v>
      </c>
      <c r="S26" s="3">
        <f t="shared" si="4"/>
        <v>13996.6</v>
      </c>
      <c r="T26" s="24"/>
      <c r="U26" s="24"/>
      <c r="V26" s="3"/>
      <c r="W26" s="3" t="s">
        <v>750</v>
      </c>
      <c r="X26" s="3"/>
      <c r="Y26" s="3"/>
      <c r="Z26" s="3"/>
      <c r="AA26" s="3"/>
      <c r="AB26" s="3" t="str">
        <f>IF(Interbank_Soles[[#This Row],[FECHA]]&gt;0,TEXT(Interbank_Soles[[#This Row],[FECHA]],"mmmm"),0)</f>
        <v>Enero</v>
      </c>
    </row>
    <row r="27" spans="2:28" x14ac:dyDescent="0.3">
      <c r="B27" s="2">
        <f>IF(Interbank_Soles[[#This Row],[TIPO DE R.]]="R",COUNTIFS($D$4:$D26,"R")+1,"")</f>
        <v>23</v>
      </c>
      <c r="C27" s="19" t="str">
        <f t="shared" si="0"/>
        <v>B-Interbank</v>
      </c>
      <c r="D27" s="3" t="s">
        <v>1074</v>
      </c>
      <c r="E27" s="14">
        <v>45678</v>
      </c>
      <c r="F27" s="5"/>
      <c r="G27" s="5" t="s">
        <v>1079</v>
      </c>
      <c r="H27" s="6"/>
      <c r="I27" s="6"/>
      <c r="J27" s="6"/>
      <c r="K27" s="6"/>
      <c r="L27" s="7" t="s">
        <v>4128</v>
      </c>
      <c r="M27" s="8" t="s">
        <v>1077</v>
      </c>
      <c r="N27" s="8" t="str">
        <f t="shared" si="1"/>
        <v>PEN</v>
      </c>
      <c r="O27" s="13"/>
      <c r="P27" s="13">
        <v>0.1</v>
      </c>
      <c r="Q27" s="3">
        <f t="shared" si="2"/>
        <v>0</v>
      </c>
      <c r="R27" s="3">
        <f t="shared" si="3"/>
        <v>0.1</v>
      </c>
      <c r="S27" s="3">
        <f t="shared" si="4"/>
        <v>13996.5</v>
      </c>
      <c r="T27" s="24"/>
      <c r="U27" s="24"/>
      <c r="V27" s="3"/>
      <c r="W27" s="3"/>
      <c r="X27" s="3"/>
      <c r="Y27" s="3"/>
      <c r="Z27" s="3"/>
      <c r="AA27" s="3"/>
      <c r="AB27" s="3" t="str">
        <f>IF(Interbank_Soles[[#This Row],[FECHA]]&gt;0,TEXT(Interbank_Soles[[#This Row],[FECHA]],"mmmm"),0)</f>
        <v>Enero</v>
      </c>
    </row>
    <row r="28" spans="2:28" x14ac:dyDescent="0.3">
      <c r="B28" s="2">
        <f>IF(Interbank_Soles[[#This Row],[TIPO DE R.]]="R",COUNTIFS($D$4:$D27,"R")+1,"")</f>
        <v>24</v>
      </c>
      <c r="C28" s="19" t="str">
        <f t="shared" si="0"/>
        <v>B-Interbank</v>
      </c>
      <c r="D28" s="3" t="s">
        <v>1074</v>
      </c>
      <c r="E28" s="14">
        <v>45678</v>
      </c>
      <c r="F28" s="5"/>
      <c r="G28" s="5" t="s">
        <v>1079</v>
      </c>
      <c r="H28" s="6"/>
      <c r="I28" s="6"/>
      <c r="J28" s="6"/>
      <c r="K28" s="6"/>
      <c r="L28" s="7" t="s">
        <v>4149</v>
      </c>
      <c r="M28" s="8" t="s">
        <v>1077</v>
      </c>
      <c r="N28" s="8" t="str">
        <f t="shared" si="1"/>
        <v>PEN</v>
      </c>
      <c r="O28" s="13"/>
      <c r="P28" s="13">
        <v>2517.15</v>
      </c>
      <c r="Q28" s="3">
        <f t="shared" si="2"/>
        <v>0</v>
      </c>
      <c r="R28" s="3">
        <f t="shared" si="3"/>
        <v>2517.15</v>
      </c>
      <c r="S28" s="3">
        <f t="shared" si="4"/>
        <v>11479.35</v>
      </c>
      <c r="T28" s="24"/>
      <c r="U28" s="24"/>
      <c r="V28" s="3"/>
      <c r="W28" s="3"/>
      <c r="X28" s="3"/>
      <c r="Y28" s="3"/>
      <c r="Z28" s="3"/>
      <c r="AA28" s="3"/>
      <c r="AB28" s="3" t="str">
        <f>IF(Interbank_Soles[[#This Row],[FECHA]]&gt;0,TEXT(Interbank_Soles[[#This Row],[FECHA]],"mmmm"),0)</f>
        <v>Enero</v>
      </c>
    </row>
    <row r="29" spans="2:28" x14ac:dyDescent="0.3">
      <c r="B29" s="2">
        <f>IF(Interbank_Soles[[#This Row],[TIPO DE R.]]="R",COUNTIFS($D$4:$D28,"R")+1,"")</f>
        <v>25</v>
      </c>
      <c r="C29" s="19" t="str">
        <f t="shared" si="0"/>
        <v>B-Interbank</v>
      </c>
      <c r="D29" s="3" t="s">
        <v>1074</v>
      </c>
      <c r="E29" s="14">
        <v>45679</v>
      </c>
      <c r="F29" s="5"/>
      <c r="G29" s="5" t="s">
        <v>1079</v>
      </c>
      <c r="H29" s="6"/>
      <c r="I29" s="6"/>
      <c r="J29" s="6"/>
      <c r="K29" s="6"/>
      <c r="L29" s="7" t="s">
        <v>4150</v>
      </c>
      <c r="M29" s="8" t="s">
        <v>1077</v>
      </c>
      <c r="N29" s="8" t="str">
        <f t="shared" si="1"/>
        <v>PEN</v>
      </c>
      <c r="O29" s="13"/>
      <c r="P29" s="13">
        <v>11004.8</v>
      </c>
      <c r="Q29" s="3">
        <f t="shared" si="2"/>
        <v>0</v>
      </c>
      <c r="R29" s="3">
        <f t="shared" si="3"/>
        <v>11004.8</v>
      </c>
      <c r="S29" s="3">
        <f t="shared" si="4"/>
        <v>474.55000000000109</v>
      </c>
      <c r="T29" s="24"/>
      <c r="U29" s="24"/>
      <c r="V29" s="3"/>
      <c r="W29" s="3"/>
      <c r="X29" s="3"/>
      <c r="Y29" s="3"/>
      <c r="Z29" s="3"/>
      <c r="AA29" s="3"/>
      <c r="AB29" s="3" t="str">
        <f>IF(Interbank_Soles[[#This Row],[FECHA]]&gt;0,TEXT(Interbank_Soles[[#This Row],[FECHA]],"mmmm"),0)</f>
        <v>Enero</v>
      </c>
    </row>
    <row r="30" spans="2:28" ht="36" x14ac:dyDescent="0.3">
      <c r="B30" s="2">
        <f>IF(Interbank_Soles[[#This Row],[TIPO DE R.]]="R",COUNTIFS($D$4:$D29,"R")+1,"")</f>
        <v>26</v>
      </c>
      <c r="C30" s="19" t="str">
        <f t="shared" si="0"/>
        <v>B-Interbank</v>
      </c>
      <c r="D30" s="3" t="s">
        <v>1074</v>
      </c>
      <c r="E30" s="14">
        <v>45680</v>
      </c>
      <c r="F30" s="5" t="s">
        <v>151</v>
      </c>
      <c r="G30" s="5" t="s">
        <v>1087</v>
      </c>
      <c r="H30" s="6"/>
      <c r="I30" s="6"/>
      <c r="J30" s="6"/>
      <c r="K30" s="6"/>
      <c r="L30" s="7" t="s">
        <v>4151</v>
      </c>
      <c r="M30" s="8">
        <v>8052290</v>
      </c>
      <c r="N30" s="8" t="str">
        <f t="shared" si="1"/>
        <v>PEN</v>
      </c>
      <c r="O30" s="13"/>
      <c r="P30" s="13">
        <v>6409.01</v>
      </c>
      <c r="Q30" s="3">
        <f t="shared" si="2"/>
        <v>6409.01</v>
      </c>
      <c r="R30" s="3">
        <f t="shared" si="3"/>
        <v>0</v>
      </c>
      <c r="S30" s="3">
        <f t="shared" si="4"/>
        <v>6883.5600000000013</v>
      </c>
      <c r="T30" s="24" t="s">
        <v>1081</v>
      </c>
      <c r="U30" s="24"/>
      <c r="V30" s="3"/>
      <c r="W30" s="3" t="s">
        <v>368</v>
      </c>
      <c r="X30" s="3" t="s">
        <v>4152</v>
      </c>
      <c r="Y30" s="3" t="s">
        <v>4153</v>
      </c>
      <c r="Z30" s="3"/>
      <c r="AA30" s="3"/>
      <c r="AB30" s="3" t="str">
        <f>IF(Interbank_Soles[[#This Row],[FECHA]]&gt;0,TEXT(Interbank_Soles[[#This Row],[FECHA]],"mmmm"),0)</f>
        <v>Enero</v>
      </c>
    </row>
    <row r="31" spans="2:28" x14ac:dyDescent="0.3">
      <c r="B31" s="2">
        <f>IF(Interbank_Soles[[#This Row],[TIPO DE R.]]="R",COUNTIFS($D$4:$D30,"R")+1,"")</f>
        <v>27</v>
      </c>
      <c r="C31" s="19" t="str">
        <f t="shared" si="0"/>
        <v>B-Interbank</v>
      </c>
      <c r="D31" s="3" t="s">
        <v>1074</v>
      </c>
      <c r="E31" s="14">
        <v>45680</v>
      </c>
      <c r="F31" s="5"/>
      <c r="G31" s="5" t="s">
        <v>1079</v>
      </c>
      <c r="H31" s="6"/>
      <c r="I31" s="6"/>
      <c r="J31" s="6"/>
      <c r="K31" s="6"/>
      <c r="L31" s="7" t="s">
        <v>4128</v>
      </c>
      <c r="M31" s="8" t="s">
        <v>1077</v>
      </c>
      <c r="N31" s="8" t="str">
        <f t="shared" si="1"/>
        <v>PEN</v>
      </c>
      <c r="O31" s="13"/>
      <c r="P31" s="13">
        <v>0.3</v>
      </c>
      <c r="Q31" s="3">
        <f t="shared" si="2"/>
        <v>0</v>
      </c>
      <c r="R31" s="3">
        <f t="shared" si="3"/>
        <v>0.3</v>
      </c>
      <c r="S31" s="3">
        <f t="shared" si="4"/>
        <v>6883.2600000000011</v>
      </c>
      <c r="T31" s="24"/>
      <c r="U31" s="24"/>
      <c r="V31" s="3"/>
      <c r="W31" s="3"/>
      <c r="X31" s="3"/>
      <c r="Y31" s="3"/>
      <c r="Z31" s="3"/>
      <c r="AA31" s="3"/>
      <c r="AB31" s="3" t="str">
        <f>IF(Interbank_Soles[[#This Row],[FECHA]]&gt;0,TEXT(Interbank_Soles[[#This Row],[FECHA]],"mmmm"),0)</f>
        <v>Enero</v>
      </c>
    </row>
    <row r="32" spans="2:28" x14ac:dyDescent="0.3">
      <c r="B32" s="2">
        <f>IF(Interbank_Soles[[#This Row],[TIPO DE R.]]="R",COUNTIFS($D$4:$D31,"R")+1,"")</f>
        <v>28</v>
      </c>
      <c r="C32" s="19" t="str">
        <f t="shared" si="0"/>
        <v>B-Interbank</v>
      </c>
      <c r="D32" s="3" t="s">
        <v>1074</v>
      </c>
      <c r="E32" s="14">
        <v>45684</v>
      </c>
      <c r="F32" s="5"/>
      <c r="G32" s="5" t="s">
        <v>1087</v>
      </c>
      <c r="H32" s="6"/>
      <c r="I32" s="6"/>
      <c r="J32" s="6"/>
      <c r="K32" s="6"/>
      <c r="L32" s="7" t="s">
        <v>4154</v>
      </c>
      <c r="M32" s="8">
        <v>265266</v>
      </c>
      <c r="N32" s="8" t="str">
        <f t="shared" si="1"/>
        <v>PEN</v>
      </c>
      <c r="O32" s="13"/>
      <c r="P32" s="13">
        <v>2517.15</v>
      </c>
      <c r="Q32" s="3">
        <f t="shared" si="2"/>
        <v>2517.15</v>
      </c>
      <c r="R32" s="3">
        <f t="shared" si="3"/>
        <v>0</v>
      </c>
      <c r="S32" s="3">
        <f t="shared" si="4"/>
        <v>9400.4100000000017</v>
      </c>
      <c r="T32" s="24"/>
      <c r="U32" s="24"/>
      <c r="V32" s="3"/>
      <c r="W32" s="3" t="s">
        <v>368</v>
      </c>
      <c r="X32" s="3"/>
      <c r="Y32" s="3"/>
      <c r="Z32" s="3"/>
      <c r="AA32" s="3"/>
      <c r="AB32" s="3" t="str">
        <f>IF(Interbank_Soles[[#This Row],[FECHA]]&gt;0,TEXT(Interbank_Soles[[#This Row],[FECHA]],"mmmm"),0)</f>
        <v>Enero</v>
      </c>
    </row>
    <row r="33" spans="2:28" ht="24" x14ac:dyDescent="0.3">
      <c r="B33" s="2">
        <f>IF(Interbank_Soles[[#This Row],[TIPO DE R.]]="R",COUNTIFS($D$4:$D32,"R")+1,"")</f>
        <v>29</v>
      </c>
      <c r="C33" s="19" t="str">
        <f t="shared" si="0"/>
        <v>B-Interbank</v>
      </c>
      <c r="D33" s="3" t="s">
        <v>1074</v>
      </c>
      <c r="E33" s="14">
        <v>45695</v>
      </c>
      <c r="F33" s="5" t="s">
        <v>167</v>
      </c>
      <c r="G33" s="5" t="s">
        <v>1087</v>
      </c>
      <c r="H33" s="6"/>
      <c r="I33" s="6"/>
      <c r="J33" s="6"/>
      <c r="K33" s="6"/>
      <c r="L33" s="7" t="s">
        <v>4155</v>
      </c>
      <c r="M33" s="8">
        <v>376892</v>
      </c>
      <c r="N33" s="8" t="str">
        <f t="shared" si="1"/>
        <v>PEN</v>
      </c>
      <c r="O33" s="13"/>
      <c r="P33" s="13">
        <v>1874.59</v>
      </c>
      <c r="Q33" s="3">
        <f t="shared" si="2"/>
        <v>1874.59</v>
      </c>
      <c r="R33" s="3">
        <f t="shared" si="3"/>
        <v>0</v>
      </c>
      <c r="S33" s="3">
        <f t="shared" si="4"/>
        <v>11275.000000000002</v>
      </c>
      <c r="T33" s="24" t="s">
        <v>1081</v>
      </c>
      <c r="U33" s="24" t="s">
        <v>1081</v>
      </c>
      <c r="V33" s="3"/>
      <c r="W33" s="3" t="s">
        <v>368</v>
      </c>
      <c r="X33" s="3" t="s">
        <v>4156</v>
      </c>
      <c r="Y33" s="3"/>
      <c r="Z33" s="3"/>
      <c r="AA33" s="3"/>
      <c r="AB33" s="3" t="str">
        <f>IF(Interbank_Soles[[#This Row],[FECHA]]&gt;0,TEXT(Interbank_Soles[[#This Row],[FECHA]],"mmmm"),0)</f>
        <v>Febrero</v>
      </c>
    </row>
    <row r="34" spans="2:28" x14ac:dyDescent="0.3">
      <c r="B34" s="2">
        <f>IF(Interbank_Soles[[#This Row],[TIPO DE R.]]="R",COUNTIFS($D$4:$D33,"R")+1,"")</f>
        <v>30</v>
      </c>
      <c r="C34" s="19" t="str">
        <f t="shared" si="0"/>
        <v>B-Interbank</v>
      </c>
      <c r="D34" s="3" t="s">
        <v>1074</v>
      </c>
      <c r="E34" s="14">
        <v>45695</v>
      </c>
      <c r="F34" s="5"/>
      <c r="G34" s="5" t="s">
        <v>1079</v>
      </c>
      <c r="H34" s="6"/>
      <c r="I34" s="6"/>
      <c r="J34" s="6"/>
      <c r="K34" s="6"/>
      <c r="L34" s="7" t="s">
        <v>4128</v>
      </c>
      <c r="M34" s="8" t="s">
        <v>1077</v>
      </c>
      <c r="N34" s="8" t="str">
        <f t="shared" si="1"/>
        <v>PEN</v>
      </c>
      <c r="O34" s="13"/>
      <c r="P34" s="13">
        <v>0.05</v>
      </c>
      <c r="Q34" s="3">
        <f t="shared" si="2"/>
        <v>0</v>
      </c>
      <c r="R34" s="3">
        <f t="shared" si="3"/>
        <v>0.05</v>
      </c>
      <c r="S34" s="3">
        <f t="shared" si="4"/>
        <v>11274.950000000003</v>
      </c>
      <c r="T34" s="24"/>
      <c r="U34" s="24" t="s">
        <v>1081</v>
      </c>
      <c r="V34" s="3"/>
      <c r="W34" s="3"/>
      <c r="X34" s="3"/>
      <c r="Y34" s="3"/>
      <c r="Z34" s="3"/>
      <c r="AA34" s="3"/>
      <c r="AB34" s="3" t="str">
        <f>IF(Interbank_Soles[[#This Row],[FECHA]]&gt;0,TEXT(Interbank_Soles[[#This Row],[FECHA]],"mmmm"),0)</f>
        <v>Febrero</v>
      </c>
    </row>
    <row r="35" spans="2:28" ht="48" x14ac:dyDescent="0.3">
      <c r="B35" s="2">
        <f>IF(Interbank_Soles[[#This Row],[TIPO DE R.]]="R",COUNTIFS($D$4:$D34,"R")+1,"")</f>
        <v>31</v>
      </c>
      <c r="C35" s="19" t="str">
        <f t="shared" si="0"/>
        <v>B-Interbank</v>
      </c>
      <c r="D35" s="3" t="s">
        <v>1074</v>
      </c>
      <c r="E35" s="14">
        <v>45699</v>
      </c>
      <c r="F35" s="5" t="s">
        <v>253</v>
      </c>
      <c r="G35" s="5" t="s">
        <v>1087</v>
      </c>
      <c r="H35" s="6"/>
      <c r="I35" s="6"/>
      <c r="J35" s="6"/>
      <c r="K35" s="6"/>
      <c r="L35" s="7" t="s">
        <v>4157</v>
      </c>
      <c r="M35" s="8">
        <v>145390</v>
      </c>
      <c r="N35" s="8" t="str">
        <f t="shared" si="1"/>
        <v>PEN</v>
      </c>
      <c r="O35" s="13"/>
      <c r="P35" s="13">
        <v>997.1</v>
      </c>
      <c r="Q35" s="3">
        <f t="shared" si="2"/>
        <v>997.1</v>
      </c>
      <c r="R35" s="3">
        <f t="shared" si="3"/>
        <v>0</v>
      </c>
      <c r="S35" s="3">
        <f t="shared" si="4"/>
        <v>12272.050000000003</v>
      </c>
      <c r="T35" s="24" t="s">
        <v>1081</v>
      </c>
      <c r="U35" s="24" t="s">
        <v>1081</v>
      </c>
      <c r="V35" s="3"/>
      <c r="W35" s="3" t="s">
        <v>368</v>
      </c>
      <c r="X35" s="3" t="s">
        <v>4158</v>
      </c>
      <c r="Y35" s="3"/>
      <c r="Z35" s="3"/>
      <c r="AA35" s="3"/>
      <c r="AB35" s="3" t="str">
        <f>IF(Interbank_Soles[[#This Row],[FECHA]]&gt;0,TEXT(Interbank_Soles[[#This Row],[FECHA]],"mmmm"),0)</f>
        <v>Febrero</v>
      </c>
    </row>
    <row r="36" spans="2:28" ht="48" x14ac:dyDescent="0.3">
      <c r="B36" s="2">
        <f>IF(Interbank_Soles[[#This Row],[TIPO DE R.]]="R",COUNTIFS($D$4:$D35,"R")+1,"")</f>
        <v>32</v>
      </c>
      <c r="C36" s="19" t="str">
        <f t="shared" si="0"/>
        <v>B-Interbank</v>
      </c>
      <c r="D36" s="3" t="s">
        <v>1074</v>
      </c>
      <c r="E36" s="14">
        <v>45699</v>
      </c>
      <c r="F36" s="5" t="s">
        <v>253</v>
      </c>
      <c r="G36" s="5" t="s">
        <v>1087</v>
      </c>
      <c r="H36" s="6"/>
      <c r="I36" s="6"/>
      <c r="J36" s="6"/>
      <c r="K36" s="6"/>
      <c r="L36" s="7" t="s">
        <v>4157</v>
      </c>
      <c r="M36" s="8">
        <v>148023</v>
      </c>
      <c r="N36" s="8" t="str">
        <f t="shared" si="1"/>
        <v>PEN</v>
      </c>
      <c r="O36" s="13"/>
      <c r="P36" s="13">
        <v>1132.8</v>
      </c>
      <c r="Q36" s="3">
        <f t="shared" si="2"/>
        <v>1132.8</v>
      </c>
      <c r="R36" s="3">
        <f t="shared" si="3"/>
        <v>0</v>
      </c>
      <c r="S36" s="3">
        <f t="shared" si="4"/>
        <v>13404.850000000002</v>
      </c>
      <c r="T36" s="24" t="s">
        <v>1081</v>
      </c>
      <c r="U36" s="24" t="s">
        <v>1081</v>
      </c>
      <c r="V36" s="3"/>
      <c r="W36" s="3" t="s">
        <v>368</v>
      </c>
      <c r="X36" s="3" t="s">
        <v>4159</v>
      </c>
      <c r="Y36" s="3"/>
      <c r="Z36" s="3"/>
      <c r="AA36" s="3"/>
      <c r="AB36" s="3" t="str">
        <f>IF(Interbank_Soles[[#This Row],[FECHA]]&gt;0,TEXT(Interbank_Soles[[#This Row],[FECHA]],"mmmm"),0)</f>
        <v>Febrero</v>
      </c>
    </row>
    <row r="37" spans="2:28" x14ac:dyDescent="0.3">
      <c r="B37" s="2">
        <f>IF(Interbank_Soles[[#This Row],[TIPO DE R.]]="R",COUNTIFS($D$4:$D36,"R")+1,"")</f>
        <v>33</v>
      </c>
      <c r="C37" s="19" t="str">
        <f t="shared" ref="C37:C68" si="5">"B-Interbank"</f>
        <v>B-Interbank</v>
      </c>
      <c r="D37" s="3" t="s">
        <v>1074</v>
      </c>
      <c r="E37" s="14">
        <v>45699</v>
      </c>
      <c r="F37" s="5"/>
      <c r="G37" s="5" t="s">
        <v>1079</v>
      </c>
      <c r="H37" s="6"/>
      <c r="I37" s="6"/>
      <c r="J37" s="6"/>
      <c r="K37" s="6"/>
      <c r="L37" s="7" t="s">
        <v>4128</v>
      </c>
      <c r="M37" s="8" t="s">
        <v>1077</v>
      </c>
      <c r="N37" s="8" t="str">
        <f t="shared" ref="N37:N68" si="6">"PEN"</f>
        <v>PEN</v>
      </c>
      <c r="O37" s="13"/>
      <c r="P37" s="13">
        <v>0.05</v>
      </c>
      <c r="Q37" s="3">
        <f t="shared" ref="Q37:Q68" si="7">+IF(OR($G37="SALDO",$G37="INGRESO"),$P37,0)</f>
        <v>0</v>
      </c>
      <c r="R37" s="3">
        <f t="shared" ref="R37:R68" si="8">+IF($G37="EGRESO",$P37,0)</f>
        <v>0.05</v>
      </c>
      <c r="S37" s="3">
        <f t="shared" ref="S37:S68" si="9">IFERROR(IF(G37="SALDO",Q37,S36+Q37-R37),0)</f>
        <v>13404.800000000003</v>
      </c>
      <c r="T37" s="24"/>
      <c r="U37" s="24" t="s">
        <v>1081</v>
      </c>
      <c r="V37" s="3"/>
      <c r="W37" s="3"/>
      <c r="X37" s="3"/>
      <c r="Y37" s="3"/>
      <c r="Z37" s="3"/>
      <c r="AA37" s="3"/>
      <c r="AB37" s="3" t="str">
        <f>IF(Interbank_Soles[[#This Row],[FECHA]]&gt;0,TEXT(Interbank_Soles[[#This Row],[FECHA]],"mmmm"),0)</f>
        <v>Febrero</v>
      </c>
    </row>
    <row r="38" spans="2:28" x14ac:dyDescent="0.3">
      <c r="B38" s="2">
        <f>IF(Interbank_Soles[[#This Row],[TIPO DE R.]]="R",COUNTIFS($D$4:$D37,"R")+1,"")</f>
        <v>34</v>
      </c>
      <c r="C38" s="19" t="str">
        <f t="shared" si="5"/>
        <v>B-Interbank</v>
      </c>
      <c r="D38" s="3" t="s">
        <v>1074</v>
      </c>
      <c r="E38" s="14">
        <v>45702</v>
      </c>
      <c r="F38" s="5"/>
      <c r="G38" s="5" t="s">
        <v>1079</v>
      </c>
      <c r="H38" s="6"/>
      <c r="I38" s="6"/>
      <c r="J38" s="6"/>
      <c r="K38" s="6"/>
      <c r="L38" s="7" t="s">
        <v>4160</v>
      </c>
      <c r="M38" s="8" t="s">
        <v>1077</v>
      </c>
      <c r="N38" s="8" t="str">
        <f t="shared" si="6"/>
        <v>PEN</v>
      </c>
      <c r="O38" s="13"/>
      <c r="P38" s="13">
        <v>0.1</v>
      </c>
      <c r="Q38" s="3">
        <f t="shared" si="7"/>
        <v>0</v>
      </c>
      <c r="R38" s="3">
        <f t="shared" si="8"/>
        <v>0.1</v>
      </c>
      <c r="S38" s="3">
        <f t="shared" si="9"/>
        <v>13404.700000000003</v>
      </c>
      <c r="T38" s="24"/>
      <c r="U38" s="24"/>
      <c r="V38" s="3"/>
      <c r="W38" s="3"/>
      <c r="X38" s="3"/>
      <c r="Y38" s="3"/>
      <c r="Z38" s="3"/>
      <c r="AA38" s="3"/>
      <c r="AB38" s="3" t="str">
        <f>IF(Interbank_Soles[[#This Row],[FECHA]]&gt;0,TEXT(Interbank_Soles[[#This Row],[FECHA]],"mmmm"),0)</f>
        <v>Febrero</v>
      </c>
    </row>
    <row r="39" spans="2:28" x14ac:dyDescent="0.3">
      <c r="B39" s="2">
        <f>IF(Interbank_Soles[[#This Row],[TIPO DE R.]]="R",COUNTIFS($D$4:$D38,"R")+1,"")</f>
        <v>35</v>
      </c>
      <c r="C39" s="19" t="str">
        <f t="shared" si="5"/>
        <v>B-Interbank</v>
      </c>
      <c r="D39" s="3" t="s">
        <v>1074</v>
      </c>
      <c r="E39" s="14">
        <v>45702</v>
      </c>
      <c r="F39" s="5" t="s">
        <v>572</v>
      </c>
      <c r="G39" s="5" t="s">
        <v>1087</v>
      </c>
      <c r="H39" s="6"/>
      <c r="I39" s="6"/>
      <c r="J39" s="6"/>
      <c r="K39" s="6"/>
      <c r="L39" s="7" t="s">
        <v>4161</v>
      </c>
      <c r="M39" s="8">
        <v>892768</v>
      </c>
      <c r="N39" s="8" t="str">
        <f t="shared" si="6"/>
        <v>PEN</v>
      </c>
      <c r="O39" s="13"/>
      <c r="P39" s="13">
        <v>2191.27</v>
      </c>
      <c r="Q39" s="3">
        <f t="shared" si="7"/>
        <v>2191.27</v>
      </c>
      <c r="R39" s="3">
        <f t="shared" si="8"/>
        <v>0</v>
      </c>
      <c r="S39" s="3">
        <f t="shared" si="9"/>
        <v>15595.970000000003</v>
      </c>
      <c r="T39" s="24" t="s">
        <v>1081</v>
      </c>
      <c r="U39" s="24" t="s">
        <v>1081</v>
      </c>
      <c r="V39" s="3"/>
      <c r="W39" s="3" t="s">
        <v>368</v>
      </c>
      <c r="X39" s="3" t="s">
        <v>4162</v>
      </c>
      <c r="Y39" s="3"/>
      <c r="Z39" s="3"/>
      <c r="AA39" s="3"/>
      <c r="AB39" s="3" t="str">
        <f>IF(Interbank_Soles[[#This Row],[FECHA]]&gt;0,TEXT(Interbank_Soles[[#This Row],[FECHA]],"mmmm"),0)</f>
        <v>Febrero</v>
      </c>
    </row>
    <row r="40" spans="2:28" ht="24" x14ac:dyDescent="0.3">
      <c r="B40" s="2">
        <f>IF(Interbank_Soles[[#This Row],[TIPO DE R.]]="R",COUNTIFS($D$4:$D39,"R")+1,"")</f>
        <v>36</v>
      </c>
      <c r="C40" s="19" t="str">
        <f t="shared" si="5"/>
        <v>B-Interbank</v>
      </c>
      <c r="D40" s="3" t="s">
        <v>1074</v>
      </c>
      <c r="E40" s="14">
        <v>45707</v>
      </c>
      <c r="F40" s="5" t="s">
        <v>1082</v>
      </c>
      <c r="G40" s="5" t="s">
        <v>1079</v>
      </c>
      <c r="H40" s="6" t="s">
        <v>307</v>
      </c>
      <c r="I40" s="6" t="s">
        <v>14</v>
      </c>
      <c r="J40" s="6" t="s">
        <v>4163</v>
      </c>
      <c r="K40" s="6">
        <v>14987</v>
      </c>
      <c r="L40" s="7" t="s">
        <v>4164</v>
      </c>
      <c r="M40" s="8">
        <v>315693</v>
      </c>
      <c r="N40" s="8" t="str">
        <f t="shared" si="6"/>
        <v>PEN</v>
      </c>
      <c r="O40" s="13"/>
      <c r="P40" s="13">
        <v>287.92</v>
      </c>
      <c r="Q40" s="3">
        <f t="shared" si="7"/>
        <v>0</v>
      </c>
      <c r="R40" s="3">
        <f t="shared" si="8"/>
        <v>287.92</v>
      </c>
      <c r="S40" s="3">
        <f t="shared" si="9"/>
        <v>15308.050000000003</v>
      </c>
      <c r="T40" s="24" t="s">
        <v>1081</v>
      </c>
      <c r="U40" s="24" t="s">
        <v>1081</v>
      </c>
      <c r="V40" s="3"/>
      <c r="W40" s="3" t="s">
        <v>307</v>
      </c>
      <c r="X40" s="3" t="s">
        <v>4165</v>
      </c>
      <c r="Y40" s="3"/>
      <c r="Z40" s="3"/>
      <c r="AA40" s="3"/>
      <c r="AB40" s="3" t="str">
        <f>IF(Interbank_Soles[[#This Row],[FECHA]]&gt;0,TEXT(Interbank_Soles[[#This Row],[FECHA]],"mmmm"),0)</f>
        <v>Febrero</v>
      </c>
    </row>
    <row r="41" spans="2:28" ht="24" x14ac:dyDescent="0.3">
      <c r="B41" s="2">
        <f>IF(Interbank_Soles[[#This Row],[TIPO DE R.]]="R",COUNTIFS($D$4:$D40,"R")+1,"")</f>
        <v>37</v>
      </c>
      <c r="C41" s="19" t="str">
        <f t="shared" si="5"/>
        <v>B-Interbank</v>
      </c>
      <c r="D41" s="3" t="s">
        <v>1074</v>
      </c>
      <c r="E41" s="14">
        <v>45707</v>
      </c>
      <c r="F41" s="5" t="s">
        <v>1082</v>
      </c>
      <c r="G41" s="5" t="s">
        <v>1079</v>
      </c>
      <c r="H41" s="6" t="s">
        <v>307</v>
      </c>
      <c r="I41" s="6" t="s">
        <v>14</v>
      </c>
      <c r="J41" s="6" t="s">
        <v>4163</v>
      </c>
      <c r="K41" s="6">
        <v>14959</v>
      </c>
      <c r="L41" s="7" t="s">
        <v>4164</v>
      </c>
      <c r="M41" s="8">
        <v>312731</v>
      </c>
      <c r="N41" s="8" t="str">
        <f t="shared" si="6"/>
        <v>PEN</v>
      </c>
      <c r="O41" s="13"/>
      <c r="P41" s="13">
        <v>258.42</v>
      </c>
      <c r="Q41" s="3">
        <f t="shared" si="7"/>
        <v>0</v>
      </c>
      <c r="R41" s="3">
        <f t="shared" si="8"/>
        <v>258.42</v>
      </c>
      <c r="S41" s="3">
        <f t="shared" si="9"/>
        <v>15049.630000000003</v>
      </c>
      <c r="T41" s="24" t="s">
        <v>1081</v>
      </c>
      <c r="U41" s="24" t="s">
        <v>1081</v>
      </c>
      <c r="V41" s="3"/>
      <c r="W41" s="3" t="s">
        <v>307</v>
      </c>
      <c r="X41" s="3" t="s">
        <v>4166</v>
      </c>
      <c r="Y41" s="3"/>
      <c r="Z41" s="3"/>
      <c r="AA41" s="3"/>
      <c r="AB41" s="3" t="str">
        <f>IF(Interbank_Soles[[#This Row],[FECHA]]&gt;0,TEXT(Interbank_Soles[[#This Row],[FECHA]],"mmmm"),0)</f>
        <v>Febrero</v>
      </c>
    </row>
    <row r="42" spans="2:28" ht="36" x14ac:dyDescent="0.3">
      <c r="B42" s="2">
        <f>IF(Interbank_Soles[[#This Row],[TIPO DE R.]]="R",COUNTIFS($D$4:$D41,"R")+1,"")</f>
        <v>38</v>
      </c>
      <c r="C42" s="19" t="str">
        <f t="shared" si="5"/>
        <v>B-Interbank</v>
      </c>
      <c r="D42" s="3" t="s">
        <v>1074</v>
      </c>
      <c r="E42" s="14">
        <v>45707</v>
      </c>
      <c r="F42" s="5" t="s">
        <v>1075</v>
      </c>
      <c r="G42" s="5" t="s">
        <v>1079</v>
      </c>
      <c r="H42" s="6" t="s">
        <v>721</v>
      </c>
      <c r="I42" s="6"/>
      <c r="J42" s="6"/>
      <c r="K42" s="6"/>
      <c r="L42" s="7" t="s">
        <v>4132</v>
      </c>
      <c r="M42" s="8">
        <v>151948</v>
      </c>
      <c r="N42" s="8" t="str">
        <f t="shared" si="6"/>
        <v>PEN</v>
      </c>
      <c r="O42" s="13"/>
      <c r="P42" s="13">
        <v>578.83000000000004</v>
      </c>
      <c r="Q42" s="3">
        <f t="shared" si="7"/>
        <v>0</v>
      </c>
      <c r="R42" s="3">
        <f t="shared" si="8"/>
        <v>578.83000000000004</v>
      </c>
      <c r="S42" s="3">
        <f t="shared" si="9"/>
        <v>14470.800000000003</v>
      </c>
      <c r="T42" s="24"/>
      <c r="U42" s="24"/>
      <c r="V42" s="3"/>
      <c r="W42" s="3" t="s">
        <v>4132</v>
      </c>
      <c r="X42" s="3"/>
      <c r="Y42" s="3"/>
      <c r="Z42" s="3"/>
      <c r="AA42" s="3"/>
      <c r="AB42" s="3" t="str">
        <f>IF(Interbank_Soles[[#This Row],[FECHA]]&gt;0,TEXT(Interbank_Soles[[#This Row],[FECHA]],"mmmm"),0)</f>
        <v>Febrero</v>
      </c>
    </row>
    <row r="43" spans="2:28" ht="36" x14ac:dyDescent="0.3">
      <c r="B43" s="2">
        <f>IF(Interbank_Soles[[#This Row],[TIPO DE R.]]="R",COUNTIFS($D$4:$D42,"R")+1,"")</f>
        <v>39</v>
      </c>
      <c r="C43" s="19" t="str">
        <f t="shared" si="5"/>
        <v>B-Interbank</v>
      </c>
      <c r="D43" s="3" t="s">
        <v>1074</v>
      </c>
      <c r="E43" s="14">
        <v>45707</v>
      </c>
      <c r="F43" s="5" t="s">
        <v>1075</v>
      </c>
      <c r="G43" s="5" t="s">
        <v>1079</v>
      </c>
      <c r="H43" s="6" t="s">
        <v>721</v>
      </c>
      <c r="I43" s="6"/>
      <c r="J43" s="6"/>
      <c r="K43" s="6"/>
      <c r="L43" s="7" t="s">
        <v>4132</v>
      </c>
      <c r="M43" s="8">
        <v>104199</v>
      </c>
      <c r="N43" s="8" t="str">
        <f t="shared" si="6"/>
        <v>PEN</v>
      </c>
      <c r="O43" s="13"/>
      <c r="P43" s="13">
        <v>616</v>
      </c>
      <c r="Q43" s="3">
        <f t="shared" si="7"/>
        <v>0</v>
      </c>
      <c r="R43" s="3">
        <f t="shared" si="8"/>
        <v>616</v>
      </c>
      <c r="S43" s="3">
        <f t="shared" si="9"/>
        <v>13854.800000000003</v>
      </c>
      <c r="T43" s="24"/>
      <c r="U43" s="24"/>
      <c r="V43" s="3"/>
      <c r="W43" s="3" t="s">
        <v>4132</v>
      </c>
      <c r="X43" s="3" t="s">
        <v>4167</v>
      </c>
      <c r="Y43" s="3"/>
      <c r="Z43" s="3"/>
      <c r="AA43" s="3"/>
      <c r="AB43" s="3" t="str">
        <f>IF(Interbank_Soles[[#This Row],[FECHA]]&gt;0,TEXT(Interbank_Soles[[#This Row],[FECHA]],"mmmm"),0)</f>
        <v>Febrero</v>
      </c>
    </row>
    <row r="44" spans="2:28" x14ac:dyDescent="0.3">
      <c r="B44" s="2">
        <f>IF(Interbank_Soles[[#This Row],[TIPO DE R.]]="R",COUNTIFS($D$4:$D43,"R")+1,"")</f>
        <v>40</v>
      </c>
      <c r="C44" s="19" t="str">
        <f t="shared" si="5"/>
        <v>B-Interbank</v>
      </c>
      <c r="D44" s="3" t="s">
        <v>1074</v>
      </c>
      <c r="E44" s="14">
        <v>45708</v>
      </c>
      <c r="F44" s="5" t="s">
        <v>1075</v>
      </c>
      <c r="G44" s="5" t="s">
        <v>1079</v>
      </c>
      <c r="H44" s="6"/>
      <c r="I44" s="6"/>
      <c r="J44" s="6"/>
      <c r="K44" s="6"/>
      <c r="L44" s="7" t="s">
        <v>3394</v>
      </c>
      <c r="M44" s="8"/>
      <c r="N44" s="8" t="str">
        <f t="shared" si="6"/>
        <v>PEN</v>
      </c>
      <c r="O44" s="13"/>
      <c r="P44" s="13">
        <v>13004.8</v>
      </c>
      <c r="Q44" s="3">
        <f t="shared" si="7"/>
        <v>0</v>
      </c>
      <c r="R44" s="3">
        <f t="shared" si="8"/>
        <v>13004.8</v>
      </c>
      <c r="S44" s="3">
        <f t="shared" si="9"/>
        <v>850.00000000000364</v>
      </c>
      <c r="T44" s="24"/>
      <c r="U44" s="24"/>
      <c r="V44" s="3"/>
      <c r="W44" s="3" t="s">
        <v>4168</v>
      </c>
      <c r="X44" s="3"/>
      <c r="Y44" s="3"/>
      <c r="Z44" s="3"/>
      <c r="AA44" s="3"/>
      <c r="AB44" s="3" t="str">
        <f>IF(Interbank_Soles[[#This Row],[FECHA]]&gt;0,TEXT(Interbank_Soles[[#This Row],[FECHA]],"mmmm"),0)</f>
        <v>Febrero</v>
      </c>
    </row>
    <row r="45" spans="2:28" ht="24" x14ac:dyDescent="0.3">
      <c r="B45" s="2">
        <f>IF(Interbank_Soles[[#This Row],[TIPO DE R.]]="R",COUNTIFS($D$4:$D44,"R")+1,"")</f>
        <v>41</v>
      </c>
      <c r="C45" s="19" t="str">
        <f t="shared" si="5"/>
        <v>B-Interbank</v>
      </c>
      <c r="D45" s="3" t="s">
        <v>1074</v>
      </c>
      <c r="E45" s="14">
        <v>45713</v>
      </c>
      <c r="F45" s="5" t="s">
        <v>1082</v>
      </c>
      <c r="G45" s="5" t="s">
        <v>1079</v>
      </c>
      <c r="H45" s="6" t="s">
        <v>307</v>
      </c>
      <c r="I45" s="6" t="s">
        <v>14</v>
      </c>
      <c r="J45" s="6" t="s">
        <v>4163</v>
      </c>
      <c r="K45" s="6">
        <v>15020</v>
      </c>
      <c r="L45" s="7" t="s">
        <v>4164</v>
      </c>
      <c r="M45" s="8">
        <v>896744</v>
      </c>
      <c r="N45" s="8" t="str">
        <f t="shared" si="6"/>
        <v>PEN</v>
      </c>
      <c r="O45" s="13"/>
      <c r="P45" s="13">
        <v>287.92</v>
      </c>
      <c r="Q45" s="3">
        <f t="shared" si="7"/>
        <v>0</v>
      </c>
      <c r="R45" s="3">
        <f t="shared" si="8"/>
        <v>287.92</v>
      </c>
      <c r="S45" s="3">
        <f t="shared" si="9"/>
        <v>562.08000000000357</v>
      </c>
      <c r="T45" s="24" t="s">
        <v>1081</v>
      </c>
      <c r="U45" s="24" t="s">
        <v>1081</v>
      </c>
      <c r="V45" s="3"/>
      <c r="W45" s="3" t="s">
        <v>307</v>
      </c>
      <c r="X45" s="3" t="s">
        <v>4169</v>
      </c>
      <c r="Y45" s="3"/>
      <c r="Z45" s="3"/>
      <c r="AA45" s="3"/>
      <c r="AB45" s="3" t="str">
        <f>IF(Interbank_Soles[[#This Row],[FECHA]]&gt;0,TEXT(Interbank_Soles[[#This Row],[FECHA]],"mmmm"),0)</f>
        <v>Febrero</v>
      </c>
    </row>
    <row r="46" spans="2:28" x14ac:dyDescent="0.3">
      <c r="B46" s="2">
        <f>IF(Interbank_Soles[[#This Row],[TIPO DE R.]]="R",COUNTIFS($D$4:$D45,"R")+1,"")</f>
        <v>42</v>
      </c>
      <c r="C46" s="19" t="str">
        <f t="shared" si="5"/>
        <v>B-Interbank</v>
      </c>
      <c r="D46" s="3" t="s">
        <v>1074</v>
      </c>
      <c r="E46" s="14">
        <v>45722</v>
      </c>
      <c r="F46" s="5"/>
      <c r="G46" s="5" t="s">
        <v>1079</v>
      </c>
      <c r="H46" s="6"/>
      <c r="I46" s="6"/>
      <c r="J46" s="6"/>
      <c r="K46" s="6"/>
      <c r="L46" s="7" t="s">
        <v>4128</v>
      </c>
      <c r="M46" s="8" t="s">
        <v>1077</v>
      </c>
      <c r="N46" s="8" t="str">
        <f t="shared" si="6"/>
        <v>PEN</v>
      </c>
      <c r="O46" s="13"/>
      <c r="P46" s="13">
        <v>0.4</v>
      </c>
      <c r="Q46" s="3">
        <f t="shared" si="7"/>
        <v>0</v>
      </c>
      <c r="R46" s="3">
        <f t="shared" si="8"/>
        <v>0.4</v>
      </c>
      <c r="S46" s="3">
        <f t="shared" si="9"/>
        <v>561.68000000000359</v>
      </c>
      <c r="T46" s="24"/>
      <c r="U46" s="24" t="s">
        <v>1081</v>
      </c>
      <c r="V46" s="3"/>
      <c r="W46" s="3"/>
      <c r="X46" s="3"/>
      <c r="Y46" s="3"/>
      <c r="Z46" s="3"/>
      <c r="AA46" s="3"/>
      <c r="AB46" s="3" t="str">
        <f>IF(Interbank_Soles[[#This Row],[FECHA]]&gt;0,TEXT(Interbank_Soles[[#This Row],[FECHA]],"mmmm"),0)</f>
        <v>Marzo</v>
      </c>
    </row>
    <row r="47" spans="2:28" ht="36" x14ac:dyDescent="0.3">
      <c r="B47" s="2">
        <f>IF(Interbank_Soles[[#This Row],[TIPO DE R.]]="R",COUNTIFS($D$4:$D46,"R")+1,"")</f>
        <v>43</v>
      </c>
      <c r="C47" s="19" t="str">
        <f t="shared" si="5"/>
        <v>B-Interbank</v>
      </c>
      <c r="D47" s="3" t="s">
        <v>1074</v>
      </c>
      <c r="E47" s="14">
        <v>45722</v>
      </c>
      <c r="F47" s="5" t="s">
        <v>151</v>
      </c>
      <c r="G47" s="5" t="s">
        <v>1087</v>
      </c>
      <c r="H47" s="6"/>
      <c r="I47" s="6"/>
      <c r="J47" s="6"/>
      <c r="K47" s="6"/>
      <c r="L47" s="7" t="s">
        <v>4151</v>
      </c>
      <c r="M47" s="8">
        <v>8050067</v>
      </c>
      <c r="N47" s="8" t="str">
        <f t="shared" si="6"/>
        <v>PEN</v>
      </c>
      <c r="O47" s="13"/>
      <c r="P47" s="13">
        <v>8864.7900000000009</v>
      </c>
      <c r="Q47" s="3">
        <f t="shared" si="7"/>
        <v>8864.7900000000009</v>
      </c>
      <c r="R47" s="3">
        <f t="shared" si="8"/>
        <v>0</v>
      </c>
      <c r="S47" s="3">
        <f t="shared" si="9"/>
        <v>9426.4700000000048</v>
      </c>
      <c r="T47" s="24" t="s">
        <v>1081</v>
      </c>
      <c r="U47" s="24" t="s">
        <v>1081</v>
      </c>
      <c r="V47" s="3"/>
      <c r="W47" s="3" t="s">
        <v>368</v>
      </c>
      <c r="X47" s="3" t="s">
        <v>4170</v>
      </c>
      <c r="Y47" s="3"/>
      <c r="Z47" s="3"/>
      <c r="AA47" s="3"/>
      <c r="AB47" s="3" t="str">
        <f>IF(Interbank_Soles[[#This Row],[FECHA]]&gt;0,TEXT(Interbank_Soles[[#This Row],[FECHA]],"mmmm"),0)</f>
        <v>Marzo</v>
      </c>
    </row>
    <row r="48" spans="2:28" ht="24" x14ac:dyDescent="0.3">
      <c r="B48" s="2">
        <f>IF(Interbank_Soles[[#This Row],[TIPO DE R.]]="R",COUNTIFS($D$4:$D47,"R")+1,"")</f>
        <v>44</v>
      </c>
      <c r="C48" s="19" t="str">
        <f t="shared" si="5"/>
        <v>B-Interbank</v>
      </c>
      <c r="D48" s="3" t="s">
        <v>1074</v>
      </c>
      <c r="E48" s="14">
        <v>45726</v>
      </c>
      <c r="F48" s="5" t="s">
        <v>1082</v>
      </c>
      <c r="G48" s="5" t="s">
        <v>1079</v>
      </c>
      <c r="H48" s="6" t="s">
        <v>307</v>
      </c>
      <c r="I48" s="6" t="s">
        <v>14</v>
      </c>
      <c r="J48" s="6" t="s">
        <v>4163</v>
      </c>
      <c r="K48" s="6">
        <v>15113</v>
      </c>
      <c r="L48" s="7" t="s">
        <v>4164</v>
      </c>
      <c r="M48" s="8">
        <v>2231331</v>
      </c>
      <c r="N48" s="8" t="str">
        <f t="shared" si="6"/>
        <v>PEN</v>
      </c>
      <c r="O48" s="13"/>
      <c r="P48" s="13">
        <v>217.12</v>
      </c>
      <c r="Q48" s="3">
        <f t="shared" si="7"/>
        <v>0</v>
      </c>
      <c r="R48" s="3">
        <f t="shared" si="8"/>
        <v>217.12</v>
      </c>
      <c r="S48" s="3">
        <f t="shared" si="9"/>
        <v>9209.350000000004</v>
      </c>
      <c r="T48" s="24" t="s">
        <v>1081</v>
      </c>
      <c r="U48" s="24" t="s">
        <v>1081</v>
      </c>
      <c r="V48" s="3"/>
      <c r="W48" s="3" t="s">
        <v>307</v>
      </c>
      <c r="X48" s="3" t="s">
        <v>4171</v>
      </c>
      <c r="Y48" s="3"/>
      <c r="Z48" s="3"/>
      <c r="AA48" s="3"/>
      <c r="AB48" s="3" t="str">
        <f>IF(Interbank_Soles[[#This Row],[FECHA]]&gt;0,TEXT(Interbank_Soles[[#This Row],[FECHA]],"mmmm"),0)</f>
        <v>Marzo</v>
      </c>
    </row>
    <row r="49" spans="2:28" ht="24" x14ac:dyDescent="0.3">
      <c r="B49" s="2">
        <f>IF(Interbank_Soles[[#This Row],[TIPO DE R.]]="R",COUNTIFS($D$4:$D48,"R")+1,"")</f>
        <v>45</v>
      </c>
      <c r="C49" s="19" t="str">
        <f t="shared" si="5"/>
        <v>B-Interbank</v>
      </c>
      <c r="D49" s="3" t="s">
        <v>1074</v>
      </c>
      <c r="E49" s="14">
        <v>45726</v>
      </c>
      <c r="F49" s="5" t="s">
        <v>1082</v>
      </c>
      <c r="G49" s="5" t="s">
        <v>1079</v>
      </c>
      <c r="H49" s="6" t="s">
        <v>307</v>
      </c>
      <c r="I49" s="6" t="s">
        <v>14</v>
      </c>
      <c r="J49" s="6" t="s">
        <v>4163</v>
      </c>
      <c r="K49" s="6">
        <v>15085</v>
      </c>
      <c r="L49" s="7" t="s">
        <v>4164</v>
      </c>
      <c r="M49" s="8">
        <v>2228059</v>
      </c>
      <c r="N49" s="8" t="str">
        <f t="shared" si="6"/>
        <v>PEN</v>
      </c>
      <c r="O49" s="13"/>
      <c r="P49" s="13">
        <v>258.42</v>
      </c>
      <c r="Q49" s="3">
        <f t="shared" si="7"/>
        <v>0</v>
      </c>
      <c r="R49" s="3">
        <f t="shared" si="8"/>
        <v>258.42</v>
      </c>
      <c r="S49" s="3">
        <f t="shared" si="9"/>
        <v>8950.9300000000039</v>
      </c>
      <c r="T49" s="24" t="s">
        <v>1081</v>
      </c>
      <c r="U49" s="24" t="s">
        <v>1081</v>
      </c>
      <c r="V49" s="3"/>
      <c r="W49" s="3" t="s">
        <v>307</v>
      </c>
      <c r="X49" s="3" t="s">
        <v>4172</v>
      </c>
      <c r="Y49" s="3"/>
      <c r="Z49" s="3"/>
      <c r="AA49" s="3"/>
      <c r="AB49" s="3" t="str">
        <f>IF(Interbank_Soles[[#This Row],[FECHA]]&gt;0,TEXT(Interbank_Soles[[#This Row],[FECHA]],"mmmm"),0)</f>
        <v>Marzo</v>
      </c>
    </row>
    <row r="50" spans="2:28" ht="48" x14ac:dyDescent="0.3">
      <c r="B50" s="2">
        <f>IF(Interbank_Soles[[#This Row],[TIPO DE R.]]="R",COUNTIFS($D$4:$D49,"R")+1,"")</f>
        <v>46</v>
      </c>
      <c r="C50" s="19" t="str">
        <f t="shared" si="5"/>
        <v>B-Interbank</v>
      </c>
      <c r="D50" s="3" t="s">
        <v>1074</v>
      </c>
      <c r="E50" s="14">
        <v>45729</v>
      </c>
      <c r="F50" s="5" t="s">
        <v>253</v>
      </c>
      <c r="G50" s="5" t="s">
        <v>1087</v>
      </c>
      <c r="H50" s="6"/>
      <c r="I50" s="6"/>
      <c r="J50" s="6"/>
      <c r="K50" s="6"/>
      <c r="L50" s="7" t="s">
        <v>4157</v>
      </c>
      <c r="M50" s="8">
        <v>120514</v>
      </c>
      <c r="N50" s="8" t="str">
        <f t="shared" si="6"/>
        <v>PEN</v>
      </c>
      <c r="O50" s="13"/>
      <c r="P50" s="13">
        <v>933.38</v>
      </c>
      <c r="Q50" s="3">
        <f t="shared" si="7"/>
        <v>933.38</v>
      </c>
      <c r="R50" s="3">
        <f t="shared" si="8"/>
        <v>0</v>
      </c>
      <c r="S50" s="3">
        <f t="shared" si="9"/>
        <v>9884.3100000000031</v>
      </c>
      <c r="T50" s="24" t="s">
        <v>1081</v>
      </c>
      <c r="U50" s="24" t="s">
        <v>1081</v>
      </c>
      <c r="V50" s="3"/>
      <c r="W50" s="3" t="s">
        <v>368</v>
      </c>
      <c r="X50" s="3" t="s">
        <v>4173</v>
      </c>
      <c r="Y50" s="3"/>
      <c r="Z50" s="3"/>
      <c r="AA50" s="3"/>
      <c r="AB50" s="3" t="str">
        <f>IF(Interbank_Soles[[#This Row],[FECHA]]&gt;0,TEXT(Interbank_Soles[[#This Row],[FECHA]],"mmmm"),0)</f>
        <v>Marzo</v>
      </c>
    </row>
    <row r="51" spans="2:28" ht="36" x14ac:dyDescent="0.3">
      <c r="B51" s="2">
        <f>IF(Interbank_Soles[[#This Row],[TIPO DE R.]]="R",COUNTIFS($D$4:$D50,"R")+1,"")</f>
        <v>47</v>
      </c>
      <c r="C51" s="19" t="str">
        <f t="shared" si="5"/>
        <v>B-Interbank</v>
      </c>
      <c r="D51" s="3" t="s">
        <v>1074</v>
      </c>
      <c r="E51" s="14">
        <v>45730</v>
      </c>
      <c r="F51" s="5" t="s">
        <v>1158</v>
      </c>
      <c r="G51" s="5" t="s">
        <v>1079</v>
      </c>
      <c r="H51" s="6" t="s">
        <v>721</v>
      </c>
      <c r="I51" s="6"/>
      <c r="J51" s="6"/>
      <c r="K51" s="6"/>
      <c r="L51" s="7" t="s">
        <v>4132</v>
      </c>
      <c r="M51" s="8">
        <v>524871</v>
      </c>
      <c r="N51" s="8" t="str">
        <f t="shared" si="6"/>
        <v>PEN</v>
      </c>
      <c r="O51" s="13"/>
      <c r="P51" s="13">
        <v>222.5</v>
      </c>
      <c r="Q51" s="3">
        <f t="shared" si="7"/>
        <v>0</v>
      </c>
      <c r="R51" s="3">
        <f t="shared" si="8"/>
        <v>222.5</v>
      </c>
      <c r="S51" s="3">
        <f t="shared" si="9"/>
        <v>9661.8100000000031</v>
      </c>
      <c r="T51" s="24"/>
      <c r="U51" s="24"/>
      <c r="V51" s="3"/>
      <c r="W51" s="3" t="s">
        <v>4132</v>
      </c>
      <c r="X51" s="3" t="s">
        <v>4174</v>
      </c>
      <c r="Y51" s="3"/>
      <c r="Z51" s="3"/>
      <c r="AA51" s="3"/>
      <c r="AB51" s="3" t="str">
        <f>IF(Interbank_Soles[[#This Row],[FECHA]]&gt;0,TEXT(Interbank_Soles[[#This Row],[FECHA]],"mmmm"),0)</f>
        <v>Marzo</v>
      </c>
    </row>
    <row r="52" spans="2:28" ht="24" x14ac:dyDescent="0.3">
      <c r="B52" s="2">
        <f>IF(Interbank_Soles[[#This Row],[TIPO DE R.]]="R",COUNTIFS($D$4:$D51,"R")+1,"")</f>
        <v>48</v>
      </c>
      <c r="C52" s="19" t="str">
        <f t="shared" si="5"/>
        <v>B-Interbank</v>
      </c>
      <c r="D52" s="3" t="s">
        <v>1074</v>
      </c>
      <c r="E52" s="14">
        <v>45733</v>
      </c>
      <c r="F52" s="5" t="s">
        <v>1082</v>
      </c>
      <c r="G52" s="5" t="s">
        <v>1079</v>
      </c>
      <c r="H52" s="6" t="s">
        <v>307</v>
      </c>
      <c r="I52" s="6" t="s">
        <v>14</v>
      </c>
      <c r="J52" s="6" t="s">
        <v>4163</v>
      </c>
      <c r="K52" s="6">
        <v>15125</v>
      </c>
      <c r="L52" s="7" t="s">
        <v>4164</v>
      </c>
      <c r="M52" s="8">
        <v>1939737</v>
      </c>
      <c r="N52" s="8" t="str">
        <f t="shared" si="6"/>
        <v>PEN</v>
      </c>
      <c r="O52" s="13"/>
      <c r="P52" s="13">
        <v>258.42</v>
      </c>
      <c r="Q52" s="3">
        <f t="shared" si="7"/>
        <v>0</v>
      </c>
      <c r="R52" s="3">
        <f t="shared" si="8"/>
        <v>258.42</v>
      </c>
      <c r="S52" s="3">
        <f t="shared" si="9"/>
        <v>9403.3900000000031</v>
      </c>
      <c r="T52" s="24" t="s">
        <v>1081</v>
      </c>
      <c r="U52" s="24" t="s">
        <v>1081</v>
      </c>
      <c r="V52" s="3"/>
      <c r="W52" s="3" t="s">
        <v>307</v>
      </c>
      <c r="X52" s="3" t="s">
        <v>4175</v>
      </c>
      <c r="Y52" s="3"/>
      <c r="Z52" s="3"/>
      <c r="AA52" s="3"/>
      <c r="AB52" s="3" t="str">
        <f>IF(Interbank_Soles[[#This Row],[FECHA]]&gt;0,TEXT(Interbank_Soles[[#This Row],[FECHA]],"mmmm"),0)</f>
        <v>Marzo</v>
      </c>
    </row>
    <row r="53" spans="2:28" x14ac:dyDescent="0.3">
      <c r="B53" s="2">
        <f>IF(Interbank_Soles[[#This Row],[TIPO DE R.]]="R",COUNTIFS($D$4:$D52,"R")+1,"")</f>
        <v>49</v>
      </c>
      <c r="C53" s="19" t="str">
        <f t="shared" si="5"/>
        <v>B-Interbank</v>
      </c>
      <c r="D53" s="3" t="s">
        <v>1074</v>
      </c>
      <c r="E53" s="14">
        <v>45736</v>
      </c>
      <c r="F53" s="5"/>
      <c r="G53" s="5" t="s">
        <v>1079</v>
      </c>
      <c r="H53" s="6"/>
      <c r="I53" s="6"/>
      <c r="J53" s="6"/>
      <c r="K53" s="6"/>
      <c r="L53" s="7" t="s">
        <v>4128</v>
      </c>
      <c r="M53" s="8" t="s">
        <v>1077</v>
      </c>
      <c r="N53" s="8" t="str">
        <f t="shared" si="6"/>
        <v>PEN</v>
      </c>
      <c r="O53" s="13"/>
      <c r="P53" s="13">
        <v>0.15</v>
      </c>
      <c r="Q53" s="3">
        <f t="shared" si="7"/>
        <v>0</v>
      </c>
      <c r="R53" s="3">
        <f t="shared" si="8"/>
        <v>0.15</v>
      </c>
      <c r="S53" s="3">
        <f t="shared" si="9"/>
        <v>9403.2400000000034</v>
      </c>
      <c r="T53" s="24"/>
      <c r="U53" s="24" t="s">
        <v>1081</v>
      </c>
      <c r="V53" s="3"/>
      <c r="W53" s="3"/>
      <c r="X53" s="3"/>
      <c r="Y53" s="3"/>
      <c r="Z53" s="3"/>
      <c r="AA53" s="3"/>
      <c r="AB53" s="3" t="str">
        <f>IF(Interbank_Soles[[#This Row],[FECHA]]&gt;0,TEXT(Interbank_Soles[[#This Row],[FECHA]],"mmmm"),0)</f>
        <v>Marzo</v>
      </c>
    </row>
    <row r="54" spans="2:28" x14ac:dyDescent="0.3">
      <c r="B54" s="2">
        <f>IF(Interbank_Soles[[#This Row],[TIPO DE R.]]="R",COUNTIFS($D$4:$D53,"R")+1,"")</f>
        <v>50</v>
      </c>
      <c r="C54" s="19" t="str">
        <f t="shared" si="5"/>
        <v>B-Interbank</v>
      </c>
      <c r="D54" s="3" t="s">
        <v>1074</v>
      </c>
      <c r="E54" s="14">
        <v>45736</v>
      </c>
      <c r="F54" s="5" t="s">
        <v>572</v>
      </c>
      <c r="G54" s="5" t="s">
        <v>1087</v>
      </c>
      <c r="H54" s="6"/>
      <c r="I54" s="6"/>
      <c r="J54" s="6"/>
      <c r="K54" s="6"/>
      <c r="L54" s="7" t="s">
        <v>4176</v>
      </c>
      <c r="M54" s="8">
        <v>675352</v>
      </c>
      <c r="N54" s="8" t="str">
        <f t="shared" si="6"/>
        <v>PEN</v>
      </c>
      <c r="O54" s="13"/>
      <c r="P54" s="13">
        <v>3832.14</v>
      </c>
      <c r="Q54" s="3">
        <f t="shared" si="7"/>
        <v>3832.14</v>
      </c>
      <c r="R54" s="3">
        <f t="shared" si="8"/>
        <v>0</v>
      </c>
      <c r="S54" s="3">
        <f t="shared" si="9"/>
        <v>13235.380000000003</v>
      </c>
      <c r="T54" s="24" t="s">
        <v>1081</v>
      </c>
      <c r="U54" s="24" t="s">
        <v>1081</v>
      </c>
      <c r="V54" s="3"/>
      <c r="W54" s="3" t="s">
        <v>368</v>
      </c>
      <c r="X54" s="3" t="s">
        <v>4177</v>
      </c>
      <c r="Y54" s="3"/>
      <c r="Z54" s="3"/>
      <c r="AA54" s="3"/>
      <c r="AB54" s="3" t="str">
        <f>IF(Interbank_Soles[[#This Row],[FECHA]]&gt;0,TEXT(Interbank_Soles[[#This Row],[FECHA]],"mmmm"),0)</f>
        <v>Marzo</v>
      </c>
    </row>
    <row r="55" spans="2:28" ht="24" x14ac:dyDescent="0.3">
      <c r="B55" s="2">
        <f>IF(Interbank_Soles[[#This Row],[TIPO DE R.]]="R",COUNTIFS($D$4:$D54,"R")+1,"")</f>
        <v>51</v>
      </c>
      <c r="C55" s="19" t="str">
        <f t="shared" si="5"/>
        <v>B-Interbank</v>
      </c>
      <c r="D55" s="3" t="s">
        <v>1074</v>
      </c>
      <c r="E55" s="14">
        <v>45743</v>
      </c>
      <c r="F55" s="5" t="s">
        <v>1082</v>
      </c>
      <c r="G55" s="5" t="s">
        <v>1079</v>
      </c>
      <c r="H55" s="6" t="s">
        <v>307</v>
      </c>
      <c r="I55" s="6" t="s">
        <v>14</v>
      </c>
      <c r="J55" s="6" t="s">
        <v>4163</v>
      </c>
      <c r="K55" s="6">
        <v>15152</v>
      </c>
      <c r="L55" s="7" t="s">
        <v>4164</v>
      </c>
      <c r="M55" s="8">
        <v>685375</v>
      </c>
      <c r="N55" s="8" t="str">
        <f t="shared" si="6"/>
        <v>PEN</v>
      </c>
      <c r="O55" s="13"/>
      <c r="P55" s="13">
        <v>258.42</v>
      </c>
      <c r="Q55" s="3">
        <f t="shared" si="7"/>
        <v>0</v>
      </c>
      <c r="R55" s="3">
        <f t="shared" si="8"/>
        <v>258.42</v>
      </c>
      <c r="S55" s="3">
        <f t="shared" si="9"/>
        <v>12976.960000000003</v>
      </c>
      <c r="T55" s="24" t="s">
        <v>1081</v>
      </c>
      <c r="U55" s="24" t="s">
        <v>1081</v>
      </c>
      <c r="V55" s="3"/>
      <c r="W55" s="3" t="s">
        <v>307</v>
      </c>
      <c r="X55" s="3" t="s">
        <v>4178</v>
      </c>
      <c r="Y55" s="3"/>
      <c r="Z55" s="3"/>
      <c r="AA55" s="3"/>
      <c r="AB55" s="3" t="str">
        <f>IF(Interbank_Soles[[#This Row],[FECHA]]&gt;0,TEXT(Interbank_Soles[[#This Row],[FECHA]],"mmmm"),0)</f>
        <v>Marzo</v>
      </c>
    </row>
    <row r="56" spans="2:28" ht="24" x14ac:dyDescent="0.3">
      <c r="B56" s="2">
        <f>IF(Interbank_Soles[[#This Row],[TIPO DE R.]]="R",COUNTIFS($D$4:$D55,"R")+1,"")</f>
        <v>52</v>
      </c>
      <c r="C56" s="19" t="str">
        <f t="shared" si="5"/>
        <v>B-Interbank</v>
      </c>
      <c r="D56" s="3" t="s">
        <v>1074</v>
      </c>
      <c r="E56" s="14">
        <v>45754</v>
      </c>
      <c r="F56" s="5" t="s">
        <v>1082</v>
      </c>
      <c r="G56" s="5" t="s">
        <v>1079</v>
      </c>
      <c r="H56" s="6" t="s">
        <v>307</v>
      </c>
      <c r="I56" s="6" t="s">
        <v>14</v>
      </c>
      <c r="J56" s="6" t="s">
        <v>4163</v>
      </c>
      <c r="K56" s="6">
        <v>15440</v>
      </c>
      <c r="L56" s="7" t="s">
        <v>4179</v>
      </c>
      <c r="M56" s="8">
        <v>2541172</v>
      </c>
      <c r="N56" s="8" t="str">
        <f t="shared" si="6"/>
        <v>PEN</v>
      </c>
      <c r="O56" s="13"/>
      <c r="P56" s="13">
        <v>536.9</v>
      </c>
      <c r="Q56" s="3">
        <f t="shared" si="7"/>
        <v>0</v>
      </c>
      <c r="R56" s="3">
        <f t="shared" si="8"/>
        <v>536.9</v>
      </c>
      <c r="S56" s="3">
        <f t="shared" si="9"/>
        <v>12440.060000000003</v>
      </c>
      <c r="T56" s="24" t="s">
        <v>1081</v>
      </c>
      <c r="U56" s="24" t="s">
        <v>1081</v>
      </c>
      <c r="V56" s="3"/>
      <c r="W56" s="3" t="s">
        <v>4164</v>
      </c>
      <c r="X56" s="3" t="s">
        <v>4180</v>
      </c>
      <c r="Y56" s="3"/>
      <c r="Z56" s="3"/>
      <c r="AA56" s="3"/>
      <c r="AB56" s="3" t="str">
        <f>IF(Interbank_Soles[[#This Row],[FECHA]]&gt;0,TEXT(Interbank_Soles[[#This Row],[FECHA]],"mmmm"),0)</f>
        <v>Abril</v>
      </c>
    </row>
    <row r="57" spans="2:28" ht="36" x14ac:dyDescent="0.3">
      <c r="B57" s="2">
        <f>IF(Interbank_Soles[[#This Row],[TIPO DE R.]]="R",COUNTIFS($D$4:$D56,"R")+1,"")</f>
        <v>53</v>
      </c>
      <c r="C57" s="19" t="str">
        <f t="shared" si="5"/>
        <v>B-Interbank</v>
      </c>
      <c r="D57" s="3" t="s">
        <v>1074</v>
      </c>
      <c r="E57" s="14">
        <v>45754</v>
      </c>
      <c r="F57" s="5" t="s">
        <v>4157</v>
      </c>
      <c r="G57" s="5" t="s">
        <v>1087</v>
      </c>
      <c r="H57" s="6"/>
      <c r="I57" s="6"/>
      <c r="J57" s="6"/>
      <c r="K57" s="6"/>
      <c r="L57" s="7" t="s">
        <v>4176</v>
      </c>
      <c r="M57" s="8">
        <v>2367950</v>
      </c>
      <c r="N57" s="8" t="str">
        <f t="shared" si="6"/>
        <v>PEN</v>
      </c>
      <c r="O57" s="13"/>
      <c r="P57" s="13">
        <v>933.38</v>
      </c>
      <c r="Q57" s="3">
        <f t="shared" si="7"/>
        <v>933.38</v>
      </c>
      <c r="R57" s="3">
        <f t="shared" si="8"/>
        <v>0</v>
      </c>
      <c r="S57" s="3">
        <f t="shared" si="9"/>
        <v>13373.440000000002</v>
      </c>
      <c r="T57" s="24" t="s">
        <v>1081</v>
      </c>
      <c r="U57" s="24" t="s">
        <v>1081</v>
      </c>
      <c r="V57" s="3"/>
      <c r="W57" s="3" t="s">
        <v>368</v>
      </c>
      <c r="X57" s="3" t="s">
        <v>4181</v>
      </c>
      <c r="Y57" s="3"/>
      <c r="Z57" s="3"/>
      <c r="AA57" s="3"/>
      <c r="AB57" s="3" t="str">
        <f>IF(Interbank_Soles[[#This Row],[FECHA]]&gt;0,TEXT(Interbank_Soles[[#This Row],[FECHA]],"mmmm"),0)</f>
        <v>Abril</v>
      </c>
    </row>
    <row r="58" spans="2:28" ht="36" x14ac:dyDescent="0.3">
      <c r="B58" s="2">
        <f>IF(Interbank_Soles[[#This Row],[TIPO DE R.]]="R",COUNTIFS($D$4:$D57,"R")+1,"")</f>
        <v>54</v>
      </c>
      <c r="C58" s="19" t="str">
        <f t="shared" si="5"/>
        <v>B-Interbank</v>
      </c>
      <c r="D58" s="3" t="s">
        <v>1074</v>
      </c>
      <c r="E58" s="14">
        <v>45755</v>
      </c>
      <c r="F58" s="5" t="s">
        <v>1158</v>
      </c>
      <c r="G58" s="5" t="s">
        <v>1079</v>
      </c>
      <c r="H58" s="6" t="s">
        <v>721</v>
      </c>
      <c r="I58" s="6"/>
      <c r="J58" s="6"/>
      <c r="K58" s="6"/>
      <c r="L58" s="7" t="s">
        <v>4179</v>
      </c>
      <c r="M58" s="8">
        <v>352932</v>
      </c>
      <c r="N58" s="8" t="str">
        <f t="shared" si="6"/>
        <v>PEN</v>
      </c>
      <c r="O58" s="13"/>
      <c r="P58" s="13">
        <v>329.5</v>
      </c>
      <c r="Q58" s="3">
        <f t="shared" si="7"/>
        <v>0</v>
      </c>
      <c r="R58" s="3">
        <f t="shared" si="8"/>
        <v>329.5</v>
      </c>
      <c r="S58" s="3">
        <f t="shared" si="9"/>
        <v>13043.940000000002</v>
      </c>
      <c r="T58" s="24"/>
      <c r="U58" s="24"/>
      <c r="V58" s="3"/>
      <c r="W58" s="3" t="s">
        <v>4132</v>
      </c>
      <c r="X58" s="3" t="s">
        <v>4182</v>
      </c>
      <c r="Y58" s="3"/>
      <c r="Z58" s="3"/>
      <c r="AA58" s="3"/>
      <c r="AB58" s="3" t="str">
        <f>IF(Interbank_Soles[[#This Row],[FECHA]]&gt;0,TEXT(Interbank_Soles[[#This Row],[FECHA]],"mmmm"),0)</f>
        <v>Abril</v>
      </c>
    </row>
    <row r="59" spans="2:28" x14ac:dyDescent="0.3">
      <c r="B59" s="2">
        <f>IF(Interbank_Soles[[#This Row],[TIPO DE R.]]="R",COUNTIFS($D$4:$D58,"R")+1,"")</f>
        <v>55</v>
      </c>
      <c r="C59" s="19" t="str">
        <f t="shared" si="5"/>
        <v>B-Interbank</v>
      </c>
      <c r="D59" s="3" t="s">
        <v>1074</v>
      </c>
      <c r="E59" s="14">
        <v>45756</v>
      </c>
      <c r="F59" s="5" t="s">
        <v>1158</v>
      </c>
      <c r="G59" s="5" t="s">
        <v>1079</v>
      </c>
      <c r="H59" s="6" t="s">
        <v>139</v>
      </c>
      <c r="I59" s="6" t="s">
        <v>14</v>
      </c>
      <c r="J59" s="6" t="s">
        <v>1953</v>
      </c>
      <c r="K59" s="6">
        <v>6207</v>
      </c>
      <c r="L59" s="7" t="s">
        <v>4183</v>
      </c>
      <c r="M59" s="8">
        <v>728936</v>
      </c>
      <c r="N59" s="8" t="str">
        <f t="shared" si="6"/>
        <v>PEN</v>
      </c>
      <c r="O59" s="13"/>
      <c r="P59" s="13">
        <v>215.7</v>
      </c>
      <c r="Q59" s="3">
        <f t="shared" si="7"/>
        <v>0</v>
      </c>
      <c r="R59" s="3">
        <f t="shared" si="8"/>
        <v>215.7</v>
      </c>
      <c r="S59" s="3">
        <f t="shared" si="9"/>
        <v>12828.240000000002</v>
      </c>
      <c r="T59" s="24" t="s">
        <v>1081</v>
      </c>
      <c r="U59" s="24" t="s">
        <v>1081</v>
      </c>
      <c r="V59" s="3"/>
      <c r="W59" s="3" t="s">
        <v>1955</v>
      </c>
      <c r="X59" s="3" t="s">
        <v>4184</v>
      </c>
      <c r="Y59" s="3"/>
      <c r="Z59" s="3"/>
      <c r="AA59" s="3"/>
      <c r="AB59" s="3" t="str">
        <f>IF(Interbank_Soles[[#This Row],[FECHA]]&gt;0,TEXT(Interbank_Soles[[#This Row],[FECHA]],"mmmm"),0)</f>
        <v>Abril</v>
      </c>
    </row>
    <row r="60" spans="2:28" x14ac:dyDescent="0.3">
      <c r="B60" s="2">
        <f>IF(Interbank_Soles[[#This Row],[TIPO DE R.]]="R",COUNTIFS($D$4:$D59,"R")+1,"")</f>
        <v>56</v>
      </c>
      <c r="C60" s="19" t="str">
        <f t="shared" si="5"/>
        <v>B-Interbank</v>
      </c>
      <c r="D60" s="3" t="s">
        <v>1074</v>
      </c>
      <c r="E60" s="14">
        <v>45756</v>
      </c>
      <c r="F60" s="5" t="s">
        <v>1158</v>
      </c>
      <c r="G60" s="5" t="s">
        <v>1079</v>
      </c>
      <c r="H60" s="6" t="s">
        <v>139</v>
      </c>
      <c r="I60" s="6" t="s">
        <v>14</v>
      </c>
      <c r="J60" s="6" t="s">
        <v>1953</v>
      </c>
      <c r="K60" s="6">
        <v>6204</v>
      </c>
      <c r="L60" s="7" t="s">
        <v>4183</v>
      </c>
      <c r="M60" s="8">
        <v>724367</v>
      </c>
      <c r="N60" s="8" t="str">
        <f t="shared" si="6"/>
        <v>PEN</v>
      </c>
      <c r="O60" s="13"/>
      <c r="P60" s="13">
        <v>198.64</v>
      </c>
      <c r="Q60" s="3">
        <f t="shared" si="7"/>
        <v>0</v>
      </c>
      <c r="R60" s="3">
        <f t="shared" si="8"/>
        <v>198.64</v>
      </c>
      <c r="S60" s="3">
        <f t="shared" si="9"/>
        <v>12629.600000000002</v>
      </c>
      <c r="T60" s="24" t="s">
        <v>1081</v>
      </c>
      <c r="U60" s="24" t="s">
        <v>1081</v>
      </c>
      <c r="V60" s="3"/>
      <c r="W60" s="3" t="s">
        <v>1955</v>
      </c>
      <c r="X60" s="3" t="s">
        <v>4185</v>
      </c>
      <c r="Y60" s="3"/>
      <c r="Z60" s="3"/>
      <c r="AA60" s="3"/>
      <c r="AB60" s="3" t="str">
        <f>IF(Interbank_Soles[[#This Row],[FECHA]]&gt;0,TEXT(Interbank_Soles[[#This Row],[FECHA]],"mmmm"),0)</f>
        <v>Abril</v>
      </c>
    </row>
    <row r="61" spans="2:28" x14ac:dyDescent="0.3">
      <c r="B61" s="2">
        <f>IF(Interbank_Soles[[#This Row],[TIPO DE R.]]="R",COUNTIFS($D$4:$D60,"R")+1,"")</f>
        <v>57</v>
      </c>
      <c r="C61" s="19" t="str">
        <f t="shared" si="5"/>
        <v>B-Interbank</v>
      </c>
      <c r="D61" s="3" t="s">
        <v>1074</v>
      </c>
      <c r="E61" s="14">
        <v>45756</v>
      </c>
      <c r="F61" s="5" t="s">
        <v>1158</v>
      </c>
      <c r="G61" s="5" t="s">
        <v>1079</v>
      </c>
      <c r="H61" s="6" t="s">
        <v>139</v>
      </c>
      <c r="I61" s="6" t="s">
        <v>14</v>
      </c>
      <c r="J61" s="6" t="s">
        <v>1953</v>
      </c>
      <c r="K61" s="6">
        <v>6203</v>
      </c>
      <c r="L61" s="7" t="s">
        <v>4183</v>
      </c>
      <c r="M61" s="8">
        <v>725794</v>
      </c>
      <c r="N61" s="8" t="str">
        <f t="shared" si="6"/>
        <v>PEN</v>
      </c>
      <c r="O61" s="13"/>
      <c r="P61" s="13">
        <v>86.95</v>
      </c>
      <c r="Q61" s="3">
        <f t="shared" si="7"/>
        <v>0</v>
      </c>
      <c r="R61" s="3">
        <f t="shared" si="8"/>
        <v>86.95</v>
      </c>
      <c r="S61" s="3">
        <f t="shared" si="9"/>
        <v>12542.650000000001</v>
      </c>
      <c r="T61" s="24" t="s">
        <v>1081</v>
      </c>
      <c r="U61" s="24" t="s">
        <v>1081</v>
      </c>
      <c r="V61" s="3"/>
      <c r="W61" s="3" t="s">
        <v>1955</v>
      </c>
      <c r="X61" s="3" t="s">
        <v>4186</v>
      </c>
      <c r="Y61" s="3"/>
      <c r="Z61" s="3"/>
      <c r="AA61" s="3"/>
      <c r="AB61" s="3" t="str">
        <f>IF(Interbank_Soles[[#This Row],[FECHA]]&gt;0,TEXT(Interbank_Soles[[#This Row],[FECHA]],"mmmm"),0)</f>
        <v>Abril</v>
      </c>
    </row>
    <row r="62" spans="2:28" x14ac:dyDescent="0.3">
      <c r="B62" s="2">
        <f>IF(Interbank_Soles[[#This Row],[TIPO DE R.]]="R",COUNTIFS($D$4:$D61,"R")+1,"")</f>
        <v>58</v>
      </c>
      <c r="C62" s="19" t="str">
        <f t="shared" si="5"/>
        <v>B-Interbank</v>
      </c>
      <c r="D62" s="3" t="s">
        <v>1074</v>
      </c>
      <c r="E62" s="14">
        <v>45756</v>
      </c>
      <c r="F62" s="5" t="s">
        <v>1158</v>
      </c>
      <c r="G62" s="5" t="s">
        <v>1079</v>
      </c>
      <c r="H62" s="6" t="s">
        <v>139</v>
      </c>
      <c r="I62" s="6" t="s">
        <v>14</v>
      </c>
      <c r="J62" s="6" t="s">
        <v>1953</v>
      </c>
      <c r="K62" s="6">
        <v>6206</v>
      </c>
      <c r="L62" s="7" t="s">
        <v>4183</v>
      </c>
      <c r="M62" s="8">
        <v>716703</v>
      </c>
      <c r="N62" s="8" t="str">
        <f t="shared" si="6"/>
        <v>PEN</v>
      </c>
      <c r="O62" s="13"/>
      <c r="P62" s="13">
        <v>12.16</v>
      </c>
      <c r="Q62" s="3">
        <f t="shared" si="7"/>
        <v>0</v>
      </c>
      <c r="R62" s="3">
        <f t="shared" si="8"/>
        <v>12.16</v>
      </c>
      <c r="S62" s="3">
        <f t="shared" si="9"/>
        <v>12530.490000000002</v>
      </c>
      <c r="T62" s="24" t="s">
        <v>1081</v>
      </c>
      <c r="U62" s="24" t="s">
        <v>1081</v>
      </c>
      <c r="V62" s="3"/>
      <c r="W62" s="3" t="s">
        <v>1955</v>
      </c>
      <c r="X62" s="3" t="s">
        <v>4187</v>
      </c>
      <c r="Y62" s="3"/>
      <c r="Z62" s="3"/>
      <c r="AA62" s="3"/>
      <c r="AB62" s="3" t="str">
        <f>IF(Interbank_Soles[[#This Row],[FECHA]]&gt;0,TEXT(Interbank_Soles[[#This Row],[FECHA]],"mmmm"),0)</f>
        <v>Abril</v>
      </c>
    </row>
    <row r="63" spans="2:28" ht="24" x14ac:dyDescent="0.3">
      <c r="B63" s="2">
        <f>IF(Interbank_Soles[[#This Row],[TIPO DE R.]]="R",COUNTIFS($D$4:$D62,"R")+1,"")</f>
        <v>59</v>
      </c>
      <c r="C63" s="19" t="str">
        <f t="shared" si="5"/>
        <v>B-Interbank</v>
      </c>
      <c r="D63" s="3" t="s">
        <v>1074</v>
      </c>
      <c r="E63" s="14">
        <v>45757</v>
      </c>
      <c r="F63" s="5" t="s">
        <v>1082</v>
      </c>
      <c r="G63" s="5" t="s">
        <v>1079</v>
      </c>
      <c r="H63" s="6" t="s">
        <v>517</v>
      </c>
      <c r="I63" s="6" t="s">
        <v>14</v>
      </c>
      <c r="J63" s="6" t="s">
        <v>1121</v>
      </c>
      <c r="K63" s="6">
        <v>1051</v>
      </c>
      <c r="L63" s="7" t="s">
        <v>4150</v>
      </c>
      <c r="M63" s="8" t="s">
        <v>1077</v>
      </c>
      <c r="N63" s="8" t="str">
        <f t="shared" si="6"/>
        <v>PEN</v>
      </c>
      <c r="O63" s="13"/>
      <c r="P63" s="13">
        <v>600.5</v>
      </c>
      <c r="Q63" s="3">
        <f t="shared" si="7"/>
        <v>0</v>
      </c>
      <c r="R63" s="3">
        <f t="shared" si="8"/>
        <v>600.5</v>
      </c>
      <c r="S63" s="3">
        <f t="shared" si="9"/>
        <v>11929.990000000002</v>
      </c>
      <c r="T63" s="24" t="s">
        <v>1081</v>
      </c>
      <c r="U63" s="24" t="s">
        <v>4188</v>
      </c>
      <c r="V63" s="3"/>
      <c r="W63" s="3" t="s">
        <v>517</v>
      </c>
      <c r="X63" s="3" t="s">
        <v>4189</v>
      </c>
      <c r="Y63" s="3"/>
      <c r="Z63" s="3"/>
      <c r="AA63" s="3"/>
      <c r="AB63" s="3" t="str">
        <f>IF(Interbank_Soles[[#This Row],[FECHA]]&gt;0,TEXT(Interbank_Soles[[#This Row],[FECHA]],"mmmm"),0)</f>
        <v>Abril</v>
      </c>
    </row>
    <row r="64" spans="2:28" x14ac:dyDescent="0.3">
      <c r="B64" s="2">
        <f>IF(Interbank_Soles[[#This Row],[TIPO DE R.]]="R",COUNTIFS($D$4:$D63,"R")+1,"")</f>
        <v>60</v>
      </c>
      <c r="C64" s="19" t="str">
        <f t="shared" si="5"/>
        <v>B-Interbank</v>
      </c>
      <c r="D64" s="3" t="s">
        <v>1074</v>
      </c>
      <c r="E64" s="14">
        <v>45757</v>
      </c>
      <c r="F64" s="5"/>
      <c r="G64" s="5" t="s">
        <v>1079</v>
      </c>
      <c r="H64" s="6"/>
      <c r="I64" s="6"/>
      <c r="J64" s="6"/>
      <c r="K64" s="6"/>
      <c r="L64" s="7" t="s">
        <v>4190</v>
      </c>
      <c r="M64" s="8" t="s">
        <v>1077</v>
      </c>
      <c r="N64" s="8" t="str">
        <f t="shared" si="6"/>
        <v>PEN</v>
      </c>
      <c r="O64" s="13"/>
      <c r="P64" s="13">
        <v>0.35</v>
      </c>
      <c r="Q64" s="3">
        <f t="shared" si="7"/>
        <v>0</v>
      </c>
      <c r="R64" s="3">
        <f t="shared" si="8"/>
        <v>0.35</v>
      </c>
      <c r="S64" s="3">
        <f t="shared" si="9"/>
        <v>11929.640000000001</v>
      </c>
      <c r="T64" s="24"/>
      <c r="U64" s="24" t="s">
        <v>1081</v>
      </c>
      <c r="V64" s="3"/>
      <c r="W64" s="3"/>
      <c r="X64" s="3"/>
      <c r="Y64" s="3"/>
      <c r="Z64" s="3"/>
      <c r="AA64" s="3"/>
      <c r="AB64" s="3" t="str">
        <f>IF(Interbank_Soles[[#This Row],[FECHA]]&gt;0,TEXT(Interbank_Soles[[#This Row],[FECHA]],"mmmm"),0)</f>
        <v>Abril</v>
      </c>
    </row>
    <row r="65" spans="2:28" ht="36" x14ac:dyDescent="0.3">
      <c r="B65" s="2">
        <f>IF(Interbank_Soles[[#This Row],[TIPO DE R.]]="R",COUNTIFS($D$4:$D64,"R")+1,"")</f>
        <v>61</v>
      </c>
      <c r="C65" s="19" t="str">
        <f t="shared" si="5"/>
        <v>B-Interbank</v>
      </c>
      <c r="D65" s="3" t="s">
        <v>1074</v>
      </c>
      <c r="E65" s="14">
        <v>45757</v>
      </c>
      <c r="F65" s="5" t="s">
        <v>151</v>
      </c>
      <c r="G65" s="5" t="s">
        <v>1087</v>
      </c>
      <c r="H65" s="6"/>
      <c r="I65" s="6"/>
      <c r="J65" s="6"/>
      <c r="K65" s="6"/>
      <c r="L65" s="7" t="s">
        <v>4191</v>
      </c>
      <c r="M65" s="8">
        <v>8047691</v>
      </c>
      <c r="N65" s="8" t="str">
        <f t="shared" si="6"/>
        <v>PEN</v>
      </c>
      <c r="O65" s="13"/>
      <c r="P65" s="13">
        <v>7550.52</v>
      </c>
      <c r="Q65" s="3">
        <f t="shared" si="7"/>
        <v>7550.52</v>
      </c>
      <c r="R65" s="3">
        <f t="shared" si="8"/>
        <v>0</v>
      </c>
      <c r="S65" s="3">
        <f t="shared" si="9"/>
        <v>19480.160000000003</v>
      </c>
      <c r="T65" s="24" t="s">
        <v>1081</v>
      </c>
      <c r="U65" s="24" t="s">
        <v>1081</v>
      </c>
      <c r="V65" s="3"/>
      <c r="W65" s="3" t="s">
        <v>368</v>
      </c>
      <c r="X65" s="3" t="s">
        <v>4192</v>
      </c>
      <c r="Y65" s="3"/>
      <c r="Z65" s="3"/>
      <c r="AA65" s="3"/>
      <c r="AB65" s="3" t="str">
        <f>IF(Interbank_Soles[[#This Row],[FECHA]]&gt;0,TEXT(Interbank_Soles[[#This Row],[FECHA]],"mmmm"),0)</f>
        <v>Abril</v>
      </c>
    </row>
    <row r="66" spans="2:28" x14ac:dyDescent="0.3">
      <c r="B66" s="2">
        <f>IF(Interbank_Soles[[#This Row],[TIPO DE R.]]="R",COUNTIFS($D$4:$D65,"R")+1,"")</f>
        <v>62</v>
      </c>
      <c r="C66" s="19" t="str">
        <f t="shared" si="5"/>
        <v>B-Interbank</v>
      </c>
      <c r="D66" s="3" t="s">
        <v>1074</v>
      </c>
      <c r="E66" s="14">
        <v>45758</v>
      </c>
      <c r="F66" s="5" t="s">
        <v>1082</v>
      </c>
      <c r="G66" s="5" t="s">
        <v>1079</v>
      </c>
      <c r="H66" s="6" t="s">
        <v>139</v>
      </c>
      <c r="I66" s="6" t="s">
        <v>14</v>
      </c>
      <c r="J66" s="6" t="s">
        <v>1953</v>
      </c>
      <c r="K66" s="6">
        <v>6205</v>
      </c>
      <c r="L66" s="7" t="s">
        <v>4183</v>
      </c>
      <c r="M66" s="8">
        <v>203854</v>
      </c>
      <c r="N66" s="8" t="str">
        <f t="shared" si="6"/>
        <v>PEN</v>
      </c>
      <c r="O66" s="13"/>
      <c r="P66" s="13">
        <v>5.0199999999999996</v>
      </c>
      <c r="Q66" s="3">
        <f t="shared" si="7"/>
        <v>0</v>
      </c>
      <c r="R66" s="3">
        <f t="shared" si="8"/>
        <v>5.0199999999999996</v>
      </c>
      <c r="S66" s="3">
        <f t="shared" si="9"/>
        <v>19475.140000000003</v>
      </c>
      <c r="T66" s="24" t="s">
        <v>1081</v>
      </c>
      <c r="U66" s="24" t="s">
        <v>1081</v>
      </c>
      <c r="V66" s="3"/>
      <c r="W66" s="3" t="s">
        <v>1955</v>
      </c>
      <c r="X66" s="3" t="s">
        <v>4193</v>
      </c>
      <c r="Y66" s="3"/>
      <c r="Z66" s="3"/>
      <c r="AA66" s="3"/>
      <c r="AB66" s="3" t="str">
        <f>IF(Interbank_Soles[[#This Row],[FECHA]]&gt;0,TEXT(Interbank_Soles[[#This Row],[FECHA]],"mmmm"),0)</f>
        <v>Abril</v>
      </c>
    </row>
    <row r="67" spans="2:28" ht="24" x14ac:dyDescent="0.3">
      <c r="B67" s="2">
        <f>IF(Interbank_Soles[[#This Row],[TIPO DE R.]]="R",COUNTIFS($D$4:$D66,"R")+1,"")</f>
        <v>63</v>
      </c>
      <c r="C67" s="19" t="str">
        <f t="shared" si="5"/>
        <v>B-Interbank</v>
      </c>
      <c r="D67" s="3" t="s">
        <v>1074</v>
      </c>
      <c r="E67" s="14">
        <v>45758</v>
      </c>
      <c r="F67" s="5" t="s">
        <v>1082</v>
      </c>
      <c r="G67" s="5" t="s">
        <v>1079</v>
      </c>
      <c r="H67" s="6" t="s">
        <v>307</v>
      </c>
      <c r="I67" s="6" t="s">
        <v>14</v>
      </c>
      <c r="J67" s="6" t="s">
        <v>4163</v>
      </c>
      <c r="K67" s="6">
        <v>15277</v>
      </c>
      <c r="L67" s="7" t="s">
        <v>4164</v>
      </c>
      <c r="M67" s="8">
        <v>244577</v>
      </c>
      <c r="N67" s="8" t="str">
        <f t="shared" si="6"/>
        <v>PEN</v>
      </c>
      <c r="O67" s="13"/>
      <c r="P67" s="13">
        <v>226.56</v>
      </c>
      <c r="Q67" s="3">
        <f t="shared" si="7"/>
        <v>0</v>
      </c>
      <c r="R67" s="3">
        <f t="shared" si="8"/>
        <v>226.56</v>
      </c>
      <c r="S67" s="3">
        <f t="shared" si="9"/>
        <v>19248.580000000002</v>
      </c>
      <c r="T67" s="24" t="s">
        <v>1081</v>
      </c>
      <c r="U67" s="24" t="s">
        <v>1081</v>
      </c>
      <c r="V67" s="3"/>
      <c r="W67" s="3" t="s">
        <v>307</v>
      </c>
      <c r="X67" s="3" t="s">
        <v>4194</v>
      </c>
      <c r="Y67" s="3"/>
      <c r="Z67" s="3"/>
      <c r="AA67" s="3"/>
      <c r="AB67" s="3" t="str">
        <f>IF(Interbank_Soles[[#This Row],[FECHA]]&gt;0,TEXT(Interbank_Soles[[#This Row],[FECHA]],"mmmm"),0)</f>
        <v>Abril</v>
      </c>
    </row>
    <row r="68" spans="2:28" ht="24" x14ac:dyDescent="0.3">
      <c r="B68" s="2">
        <f>IF(Interbank_Soles[[#This Row],[TIPO DE R.]]="R",COUNTIFS($D$4:$D67,"R")+1,"")</f>
        <v>64</v>
      </c>
      <c r="C68" s="19" t="str">
        <f t="shared" si="5"/>
        <v>B-Interbank</v>
      </c>
      <c r="D68" s="3" t="s">
        <v>1074</v>
      </c>
      <c r="E68" s="14">
        <v>45758</v>
      </c>
      <c r="F68" s="5" t="s">
        <v>1082</v>
      </c>
      <c r="G68" s="5" t="s">
        <v>1079</v>
      </c>
      <c r="H68" s="6" t="s">
        <v>307</v>
      </c>
      <c r="I68" s="6" t="s">
        <v>14</v>
      </c>
      <c r="J68" s="6" t="s">
        <v>4163</v>
      </c>
      <c r="K68" s="6">
        <v>15246</v>
      </c>
      <c r="L68" s="7" t="s">
        <v>4164</v>
      </c>
      <c r="M68" s="8">
        <v>242583</v>
      </c>
      <c r="N68" s="8" t="str">
        <f t="shared" si="6"/>
        <v>PEN</v>
      </c>
      <c r="O68" s="13"/>
      <c r="P68" s="13">
        <v>258.42</v>
      </c>
      <c r="Q68" s="3">
        <f t="shared" si="7"/>
        <v>0</v>
      </c>
      <c r="R68" s="3">
        <f t="shared" si="8"/>
        <v>258.42</v>
      </c>
      <c r="S68" s="3">
        <f t="shared" si="9"/>
        <v>18990.160000000003</v>
      </c>
      <c r="T68" s="24" t="s">
        <v>1081</v>
      </c>
      <c r="U68" s="24" t="s">
        <v>1081</v>
      </c>
      <c r="V68" s="3"/>
      <c r="W68" s="3" t="s">
        <v>307</v>
      </c>
      <c r="X68" s="3" t="s">
        <v>4195</v>
      </c>
      <c r="Y68" s="3"/>
      <c r="Z68" s="3"/>
      <c r="AA68" s="3"/>
      <c r="AB68" s="3" t="str">
        <f>IF(Interbank_Soles[[#This Row],[FECHA]]&gt;0,TEXT(Interbank_Soles[[#This Row],[FECHA]],"mmmm"),0)</f>
        <v>Abril</v>
      </c>
    </row>
    <row r="69" spans="2:28" ht="24" x14ac:dyDescent="0.3">
      <c r="B69" s="2">
        <f>IF(Interbank_Soles[[#This Row],[TIPO DE R.]]="R",COUNTIFS($D$4:$D68,"R")+1,"")</f>
        <v>65</v>
      </c>
      <c r="C69" s="19" t="str">
        <f t="shared" ref="C69:C101" si="10">"B-Interbank"</f>
        <v>B-Interbank</v>
      </c>
      <c r="D69" s="3" t="s">
        <v>1074</v>
      </c>
      <c r="E69" s="14">
        <v>45758</v>
      </c>
      <c r="F69" s="5" t="s">
        <v>1082</v>
      </c>
      <c r="G69" s="5" t="s">
        <v>1079</v>
      </c>
      <c r="H69" s="6" t="s">
        <v>307</v>
      </c>
      <c r="I69" s="6" t="s">
        <v>14</v>
      </c>
      <c r="J69" s="6" t="s">
        <v>1248</v>
      </c>
      <c r="K69" s="6">
        <v>10597</v>
      </c>
      <c r="L69" s="7" t="s">
        <v>4164</v>
      </c>
      <c r="M69" s="8">
        <v>239652</v>
      </c>
      <c r="N69" s="8" t="str">
        <f t="shared" ref="N69:N101" si="11">"PEN"</f>
        <v>PEN</v>
      </c>
      <c r="O69" s="13"/>
      <c r="P69" s="13">
        <v>258.42</v>
      </c>
      <c r="Q69" s="3">
        <f t="shared" ref="Q69:Q100" si="12">+IF(OR($G69="SALDO",$G69="INGRESO"),$P69,0)</f>
        <v>0</v>
      </c>
      <c r="R69" s="3">
        <f t="shared" ref="R69:R100" si="13">+IF($G69="EGRESO",$P69,0)</f>
        <v>258.42</v>
      </c>
      <c r="S69" s="3">
        <f t="shared" ref="S69:S100" si="14">IFERROR(IF(G69="SALDO",Q69,S68+Q69-R69),0)</f>
        <v>18731.740000000005</v>
      </c>
      <c r="T69" s="24" t="s">
        <v>1081</v>
      </c>
      <c r="U69" s="24" t="s">
        <v>1081</v>
      </c>
      <c r="V69" s="3"/>
      <c r="W69" s="3" t="s">
        <v>307</v>
      </c>
      <c r="X69" s="3" t="s">
        <v>4196</v>
      </c>
      <c r="Y69" s="3"/>
      <c r="Z69" s="3"/>
      <c r="AA69" s="3"/>
      <c r="AB69" s="3" t="str">
        <f>IF(Interbank_Soles[[#This Row],[FECHA]]&gt;0,TEXT(Interbank_Soles[[#This Row],[FECHA]],"mmmm"),0)</f>
        <v>Abril</v>
      </c>
    </row>
    <row r="70" spans="2:28" ht="24" x14ac:dyDescent="0.3">
      <c r="B70" s="2">
        <f>IF(Interbank_Soles[[#This Row],[TIPO DE R.]]="R",COUNTIFS($D$4:$D69,"R")+1,"")</f>
        <v>66</v>
      </c>
      <c r="C70" s="19" t="str">
        <f t="shared" si="10"/>
        <v>B-Interbank</v>
      </c>
      <c r="D70" s="3" t="s">
        <v>1074</v>
      </c>
      <c r="E70" s="14">
        <v>45769</v>
      </c>
      <c r="F70" s="5" t="s">
        <v>1082</v>
      </c>
      <c r="G70" s="5" t="s">
        <v>1079</v>
      </c>
      <c r="H70" s="6" t="s">
        <v>307</v>
      </c>
      <c r="I70" s="6" t="s">
        <v>14</v>
      </c>
      <c r="J70" s="6" t="s">
        <v>4163</v>
      </c>
      <c r="K70" s="6">
        <v>15384</v>
      </c>
      <c r="L70" s="7" t="s">
        <v>4179</v>
      </c>
      <c r="M70" s="8">
        <v>818534</v>
      </c>
      <c r="N70" s="8" t="str">
        <f t="shared" si="11"/>
        <v>PEN</v>
      </c>
      <c r="O70" s="13"/>
      <c r="P70" s="13">
        <v>733.96</v>
      </c>
      <c r="Q70" s="3">
        <f t="shared" si="12"/>
        <v>0</v>
      </c>
      <c r="R70" s="3">
        <f t="shared" si="13"/>
        <v>733.96</v>
      </c>
      <c r="S70" s="3">
        <f t="shared" si="14"/>
        <v>17997.780000000006</v>
      </c>
      <c r="T70" s="24" t="s">
        <v>1081</v>
      </c>
      <c r="U70" s="24" t="s">
        <v>1081</v>
      </c>
      <c r="V70" s="3"/>
      <c r="W70" s="3" t="s">
        <v>307</v>
      </c>
      <c r="X70" s="3" t="s">
        <v>4197</v>
      </c>
      <c r="Y70" s="3"/>
      <c r="Z70" s="3"/>
      <c r="AA70" s="3"/>
      <c r="AB70" s="3" t="str">
        <f>IF(Interbank_Soles[[#This Row],[FECHA]]&gt;0,TEXT(Interbank_Soles[[#This Row],[FECHA]],"mmmm"),0)</f>
        <v>Abril</v>
      </c>
    </row>
    <row r="71" spans="2:28" ht="24" x14ac:dyDescent="0.3">
      <c r="B71" s="2">
        <f>IF(Interbank_Soles[[#This Row],[TIPO DE R.]]="R",COUNTIFS($D$4:$D70,"R")+1,"")</f>
        <v>67</v>
      </c>
      <c r="C71" s="19" t="str">
        <f t="shared" si="10"/>
        <v>B-Interbank</v>
      </c>
      <c r="D71" s="3" t="s">
        <v>1074</v>
      </c>
      <c r="E71" s="14">
        <v>45769</v>
      </c>
      <c r="F71" s="5" t="s">
        <v>1082</v>
      </c>
      <c r="G71" s="5" t="s">
        <v>1079</v>
      </c>
      <c r="H71" s="6" t="s">
        <v>307</v>
      </c>
      <c r="I71" s="6" t="s">
        <v>14</v>
      </c>
      <c r="J71" s="6" t="s">
        <v>4163</v>
      </c>
      <c r="K71" s="6">
        <v>15313</v>
      </c>
      <c r="L71" s="7" t="s">
        <v>4179</v>
      </c>
      <c r="M71" s="8">
        <v>813199</v>
      </c>
      <c r="N71" s="8" t="str">
        <f t="shared" si="11"/>
        <v>PEN</v>
      </c>
      <c r="O71" s="13"/>
      <c r="P71" s="13">
        <v>349.28</v>
      </c>
      <c r="Q71" s="3">
        <f t="shared" si="12"/>
        <v>0</v>
      </c>
      <c r="R71" s="3">
        <f t="shared" si="13"/>
        <v>349.28</v>
      </c>
      <c r="S71" s="3">
        <f t="shared" si="14"/>
        <v>17648.500000000007</v>
      </c>
      <c r="T71" s="24" t="s">
        <v>1081</v>
      </c>
      <c r="U71" s="24" t="s">
        <v>1081</v>
      </c>
      <c r="V71" s="3"/>
      <c r="W71" s="3" t="s">
        <v>307</v>
      </c>
      <c r="X71" s="3" t="s">
        <v>4198</v>
      </c>
      <c r="Y71" s="3"/>
      <c r="Z71" s="3"/>
      <c r="AA71" s="3"/>
      <c r="AB71" s="3" t="str">
        <f>IF(Interbank_Soles[[#This Row],[FECHA]]&gt;0,TEXT(Interbank_Soles[[#This Row],[FECHA]],"mmmm"),0)</f>
        <v>Abril</v>
      </c>
    </row>
    <row r="72" spans="2:28" ht="24" x14ac:dyDescent="0.3">
      <c r="B72" s="2">
        <f>IF(Interbank_Soles[[#This Row],[TIPO DE R.]]="R",COUNTIFS($D$4:$D71,"R")+1,"")</f>
        <v>68</v>
      </c>
      <c r="C72" s="19" t="str">
        <f t="shared" si="10"/>
        <v>B-Interbank</v>
      </c>
      <c r="D72" s="3" t="s">
        <v>1074</v>
      </c>
      <c r="E72" s="14">
        <v>45769</v>
      </c>
      <c r="F72" s="5" t="s">
        <v>1082</v>
      </c>
      <c r="G72" s="5" t="s">
        <v>1079</v>
      </c>
      <c r="H72" s="6" t="s">
        <v>307</v>
      </c>
      <c r="I72" s="6" t="s">
        <v>14</v>
      </c>
      <c r="J72" s="6" t="s">
        <v>4163</v>
      </c>
      <c r="K72" s="6">
        <v>15335</v>
      </c>
      <c r="L72" s="7" t="s">
        <v>4179</v>
      </c>
      <c r="M72" s="8">
        <v>814873</v>
      </c>
      <c r="N72" s="8" t="str">
        <f t="shared" si="11"/>
        <v>PEN</v>
      </c>
      <c r="O72" s="13"/>
      <c r="P72" s="13">
        <v>226.56</v>
      </c>
      <c r="Q72" s="3">
        <f t="shared" si="12"/>
        <v>0</v>
      </c>
      <c r="R72" s="3">
        <f t="shared" si="13"/>
        <v>226.56</v>
      </c>
      <c r="S72" s="3">
        <f t="shared" si="14"/>
        <v>17421.940000000006</v>
      </c>
      <c r="T72" s="24" t="s">
        <v>1081</v>
      </c>
      <c r="U72" s="24" t="s">
        <v>1081</v>
      </c>
      <c r="V72" s="3"/>
      <c r="W72" s="3" t="s">
        <v>307</v>
      </c>
      <c r="X72" s="3" t="s">
        <v>4199</v>
      </c>
      <c r="Y72" s="3"/>
      <c r="Z72" s="3"/>
      <c r="AA72" s="3"/>
      <c r="AB72" s="3" t="str">
        <f>IF(Interbank_Soles[[#This Row],[FECHA]]&gt;0,TEXT(Interbank_Soles[[#This Row],[FECHA]],"mmmm"),0)</f>
        <v>Abril</v>
      </c>
    </row>
    <row r="73" spans="2:28" ht="24" x14ac:dyDescent="0.3">
      <c r="B73" s="2">
        <f>IF(Interbank_Soles[[#This Row],[TIPO DE R.]]="R",COUNTIFS($D$4:$D72,"R")+1,"")</f>
        <v>69</v>
      </c>
      <c r="C73" s="19" t="str">
        <f t="shared" si="10"/>
        <v>B-Interbank</v>
      </c>
      <c r="D73" s="3" t="s">
        <v>1074</v>
      </c>
      <c r="E73" s="14">
        <v>45769</v>
      </c>
      <c r="F73" s="5" t="s">
        <v>1082</v>
      </c>
      <c r="G73" s="5" t="s">
        <v>1079</v>
      </c>
      <c r="H73" s="6" t="s">
        <v>307</v>
      </c>
      <c r="I73" s="6" t="s">
        <v>14</v>
      </c>
      <c r="J73" s="6" t="s">
        <v>4163</v>
      </c>
      <c r="K73" s="6">
        <v>15341</v>
      </c>
      <c r="L73" s="7" t="s">
        <v>4179</v>
      </c>
      <c r="M73" s="8">
        <v>816705</v>
      </c>
      <c r="N73" s="8" t="str">
        <f t="shared" si="11"/>
        <v>PEN</v>
      </c>
      <c r="O73" s="13"/>
      <c r="P73" s="13">
        <v>162.84</v>
      </c>
      <c r="Q73" s="3">
        <f t="shared" si="12"/>
        <v>0</v>
      </c>
      <c r="R73" s="3">
        <f t="shared" si="13"/>
        <v>162.84</v>
      </c>
      <c r="S73" s="3">
        <f t="shared" si="14"/>
        <v>17259.100000000006</v>
      </c>
      <c r="T73" s="24" t="s">
        <v>1081</v>
      </c>
      <c r="U73" s="24" t="s">
        <v>1081</v>
      </c>
      <c r="V73" s="3"/>
      <c r="W73" s="3" t="s">
        <v>307</v>
      </c>
      <c r="X73" s="3" t="s">
        <v>4200</v>
      </c>
      <c r="Y73" s="3"/>
      <c r="Z73" s="3"/>
      <c r="AA73" s="3"/>
      <c r="AB73" s="3" t="str">
        <f>IF(Interbank_Soles[[#This Row],[FECHA]]&gt;0,TEXT(Interbank_Soles[[#This Row],[FECHA]],"mmmm"),0)</f>
        <v>Abril</v>
      </c>
    </row>
    <row r="74" spans="2:28" x14ac:dyDescent="0.3">
      <c r="B74" s="2">
        <f>IF(Interbank_Soles[[#This Row],[TIPO DE R.]]="R",COUNTIFS($D$4:$D73,"R")+1,"")</f>
        <v>70</v>
      </c>
      <c r="C74" s="19" t="str">
        <f t="shared" si="10"/>
        <v>B-Interbank</v>
      </c>
      <c r="D74" s="3" t="s">
        <v>1074</v>
      </c>
      <c r="E74" s="14">
        <v>45777</v>
      </c>
      <c r="F74" s="5"/>
      <c r="G74" s="5" t="s">
        <v>1079</v>
      </c>
      <c r="H74" s="6"/>
      <c r="I74" s="6"/>
      <c r="J74" s="6"/>
      <c r="K74" s="6"/>
      <c r="L74" s="7" t="s">
        <v>4128</v>
      </c>
      <c r="M74" s="8" t="s">
        <v>1077</v>
      </c>
      <c r="N74" s="8" t="str">
        <f t="shared" si="11"/>
        <v>PEN</v>
      </c>
      <c r="O74" s="13"/>
      <c r="P74" s="13">
        <v>0.25</v>
      </c>
      <c r="Q74" s="3">
        <f t="shared" si="12"/>
        <v>0</v>
      </c>
      <c r="R74" s="3">
        <f t="shared" si="13"/>
        <v>0.25</v>
      </c>
      <c r="S74" s="3">
        <f t="shared" si="14"/>
        <v>17258.850000000006</v>
      </c>
      <c r="T74" s="24"/>
      <c r="U74" s="24" t="s">
        <v>1081</v>
      </c>
      <c r="V74" s="3"/>
      <c r="W74" s="3"/>
      <c r="X74" s="3"/>
      <c r="Y74" s="3"/>
      <c r="Z74" s="3"/>
      <c r="AA74" s="3"/>
      <c r="AB74" s="3" t="str">
        <f>IF(Interbank_Soles[[#This Row],[FECHA]]&gt;0,TEXT(Interbank_Soles[[#This Row],[FECHA]],"mmmm"),0)</f>
        <v>Abril</v>
      </c>
    </row>
    <row r="75" spans="2:28" ht="36" x14ac:dyDescent="0.3">
      <c r="B75" s="2">
        <f>IF(Interbank_Soles[[#This Row],[TIPO DE R.]]="R",COUNTIFS($D$4:$D74,"R")+1,"")</f>
        <v>71</v>
      </c>
      <c r="C75" s="19" t="str">
        <f t="shared" si="10"/>
        <v>B-Interbank</v>
      </c>
      <c r="D75" s="3" t="s">
        <v>1074</v>
      </c>
      <c r="E75" s="14">
        <v>45777</v>
      </c>
      <c r="F75" s="5" t="s">
        <v>151</v>
      </c>
      <c r="G75" s="5" t="s">
        <v>1087</v>
      </c>
      <c r="H75" s="6"/>
      <c r="I75" s="6"/>
      <c r="J75" s="6"/>
      <c r="K75" s="6"/>
      <c r="L75" s="7" t="s">
        <v>4191</v>
      </c>
      <c r="M75" s="8">
        <v>8124270</v>
      </c>
      <c r="N75" s="8" t="str">
        <f t="shared" si="11"/>
        <v>PEN</v>
      </c>
      <c r="O75" s="13"/>
      <c r="P75" s="13">
        <v>5226.4799999999996</v>
      </c>
      <c r="Q75" s="3">
        <f t="shared" si="12"/>
        <v>5226.4799999999996</v>
      </c>
      <c r="R75" s="3">
        <f t="shared" si="13"/>
        <v>0</v>
      </c>
      <c r="S75" s="3">
        <f t="shared" si="14"/>
        <v>22485.330000000005</v>
      </c>
      <c r="T75" s="24" t="s">
        <v>1081</v>
      </c>
      <c r="U75" s="24" t="s">
        <v>1081</v>
      </c>
      <c r="V75" s="3"/>
      <c r="W75" s="3" t="s">
        <v>368</v>
      </c>
      <c r="X75" s="3" t="s">
        <v>4201</v>
      </c>
      <c r="Y75" s="3"/>
      <c r="Z75" s="3"/>
      <c r="AA75" s="3"/>
      <c r="AB75" s="3" t="str">
        <f>IF(Interbank_Soles[[#This Row],[FECHA]]&gt;0,TEXT(Interbank_Soles[[#This Row],[FECHA]],"mmmm"),0)</f>
        <v>Abril</v>
      </c>
    </row>
    <row r="76" spans="2:28" ht="48" x14ac:dyDescent="0.3">
      <c r="B76" s="2">
        <f>IF(Interbank_Soles[[#This Row],[TIPO DE R.]]="R",COUNTIFS($D$4:$D75,"R")+1,"")</f>
        <v>72</v>
      </c>
      <c r="C76" s="19" t="str">
        <f t="shared" si="10"/>
        <v>B-Interbank</v>
      </c>
      <c r="D76" s="3" t="s">
        <v>1074</v>
      </c>
      <c r="E76" s="14">
        <v>45784</v>
      </c>
      <c r="F76" s="5" t="s">
        <v>253</v>
      </c>
      <c r="G76" s="5" t="s">
        <v>1087</v>
      </c>
      <c r="H76" s="6"/>
      <c r="I76" s="6"/>
      <c r="J76" s="6"/>
      <c r="K76" s="6"/>
      <c r="L76" s="7" t="s">
        <v>4176</v>
      </c>
      <c r="M76" s="8">
        <v>714947</v>
      </c>
      <c r="N76" s="8" t="str">
        <f t="shared" si="11"/>
        <v>PEN</v>
      </c>
      <c r="O76" s="13"/>
      <c r="P76" s="13">
        <v>932.2</v>
      </c>
      <c r="Q76" s="3">
        <f t="shared" si="12"/>
        <v>932.2</v>
      </c>
      <c r="R76" s="3">
        <f t="shared" si="13"/>
        <v>0</v>
      </c>
      <c r="S76" s="3">
        <f t="shared" si="14"/>
        <v>23417.530000000006</v>
      </c>
      <c r="T76" s="24" t="s">
        <v>1081</v>
      </c>
      <c r="U76" s="24" t="s">
        <v>1081</v>
      </c>
      <c r="V76" s="3"/>
      <c r="W76" s="3" t="s">
        <v>368</v>
      </c>
      <c r="X76" s="3" t="s">
        <v>4202</v>
      </c>
      <c r="Y76" s="3"/>
      <c r="Z76" s="3"/>
      <c r="AA76" s="3"/>
      <c r="AB76" s="3" t="str">
        <f>IF(Interbank_Soles[[#This Row],[FECHA]]&gt;0,TEXT(Interbank_Soles[[#This Row],[FECHA]],"mmmm"),0)</f>
        <v>Mayo</v>
      </c>
    </row>
    <row r="77" spans="2:28" ht="24" x14ac:dyDescent="0.3">
      <c r="B77" s="2">
        <f>IF(Interbank_Soles[[#This Row],[TIPO DE R.]]="R",COUNTIFS($D$4:$D76,"R")+1,"")</f>
        <v>73</v>
      </c>
      <c r="C77" s="19" t="str">
        <f t="shared" si="10"/>
        <v>B-Interbank</v>
      </c>
      <c r="D77" s="3" t="s">
        <v>1074</v>
      </c>
      <c r="E77" s="14">
        <v>45789</v>
      </c>
      <c r="F77" s="5" t="s">
        <v>1082</v>
      </c>
      <c r="G77" s="5" t="s">
        <v>1079</v>
      </c>
      <c r="H77" s="6" t="s">
        <v>307</v>
      </c>
      <c r="I77" s="6" t="s">
        <v>14</v>
      </c>
      <c r="J77" s="6" t="s">
        <v>4163</v>
      </c>
      <c r="K77" s="6">
        <v>15484</v>
      </c>
      <c r="L77" s="7" t="s">
        <v>4179</v>
      </c>
      <c r="M77" s="8">
        <v>2256078</v>
      </c>
      <c r="N77" s="8" t="str">
        <f t="shared" si="11"/>
        <v>PEN</v>
      </c>
      <c r="O77" s="13"/>
      <c r="P77" s="13">
        <v>226.56</v>
      </c>
      <c r="Q77" s="3">
        <f t="shared" si="12"/>
        <v>0</v>
      </c>
      <c r="R77" s="3">
        <f t="shared" si="13"/>
        <v>226.56</v>
      </c>
      <c r="S77" s="3">
        <f t="shared" si="14"/>
        <v>23190.970000000005</v>
      </c>
      <c r="T77" s="24" t="s">
        <v>1081</v>
      </c>
      <c r="U77" s="24" t="s">
        <v>1081</v>
      </c>
      <c r="V77" s="3"/>
      <c r="W77" s="3" t="s">
        <v>307</v>
      </c>
      <c r="X77" s="3" t="s">
        <v>4203</v>
      </c>
      <c r="Y77" s="3"/>
      <c r="Z77" s="3"/>
      <c r="AA77" s="3"/>
      <c r="AB77" s="3" t="str">
        <f>IF(Interbank_Soles[[#This Row],[FECHA]]&gt;0,TEXT(Interbank_Soles[[#This Row],[FECHA]],"mmmm"),0)</f>
        <v>Mayo</v>
      </c>
    </row>
    <row r="78" spans="2:28" ht="24" x14ac:dyDescent="0.3">
      <c r="B78" s="2">
        <f>IF(Interbank_Soles[[#This Row],[TIPO DE R.]]="R",COUNTIFS($D$4:$D77,"R")+1,"")</f>
        <v>74</v>
      </c>
      <c r="C78" s="19" t="str">
        <f t="shared" si="10"/>
        <v>B-Interbank</v>
      </c>
      <c r="D78" s="3" t="s">
        <v>1074</v>
      </c>
      <c r="E78" s="14">
        <v>45789</v>
      </c>
      <c r="F78" s="5" t="s">
        <v>1082</v>
      </c>
      <c r="G78" s="5" t="s">
        <v>1079</v>
      </c>
      <c r="H78" s="6" t="s">
        <v>307</v>
      </c>
      <c r="I78" s="6" t="s">
        <v>14</v>
      </c>
      <c r="J78" s="6" t="s">
        <v>4163</v>
      </c>
      <c r="K78" s="6">
        <v>15466</v>
      </c>
      <c r="L78" s="7" t="s">
        <v>4179</v>
      </c>
      <c r="M78" s="8">
        <v>2254170</v>
      </c>
      <c r="N78" s="8" t="str">
        <f t="shared" si="11"/>
        <v>PEN</v>
      </c>
      <c r="O78" s="13"/>
      <c r="P78" s="13">
        <v>108.56</v>
      </c>
      <c r="Q78" s="3">
        <f t="shared" si="12"/>
        <v>0</v>
      </c>
      <c r="R78" s="3">
        <f t="shared" si="13"/>
        <v>108.56</v>
      </c>
      <c r="S78" s="3">
        <f t="shared" si="14"/>
        <v>23082.410000000003</v>
      </c>
      <c r="T78" s="24" t="s">
        <v>1081</v>
      </c>
      <c r="U78" s="24" t="s">
        <v>1081</v>
      </c>
      <c r="V78" s="3"/>
      <c r="W78" s="3" t="s">
        <v>307</v>
      </c>
      <c r="X78" s="3" t="s">
        <v>4204</v>
      </c>
      <c r="Y78" s="3"/>
      <c r="Z78" s="3"/>
      <c r="AA78" s="3"/>
      <c r="AB78" s="3" t="str">
        <f>IF(Interbank_Soles[[#This Row],[FECHA]]&gt;0,TEXT(Interbank_Soles[[#This Row],[FECHA]],"mmmm"),0)</f>
        <v>Mayo</v>
      </c>
    </row>
    <row r="79" spans="2:28" x14ac:dyDescent="0.3">
      <c r="B79" s="2">
        <f>IF(Interbank_Soles[[#This Row],[TIPO DE R.]]="R",COUNTIFS($D$4:$D78,"R")+1,"")</f>
        <v>75</v>
      </c>
      <c r="C79" s="19" t="str">
        <f t="shared" si="10"/>
        <v>B-Interbank</v>
      </c>
      <c r="D79" s="3" t="s">
        <v>1074</v>
      </c>
      <c r="E79" s="14">
        <v>45791</v>
      </c>
      <c r="F79" s="5"/>
      <c r="G79" s="5" t="s">
        <v>1079</v>
      </c>
      <c r="H79" s="6"/>
      <c r="I79" s="6"/>
      <c r="J79" s="6"/>
      <c r="K79" s="6"/>
      <c r="L79" s="7" t="s">
        <v>4128</v>
      </c>
      <c r="M79" s="8" t="s">
        <v>1077</v>
      </c>
      <c r="N79" s="8" t="str">
        <f t="shared" si="11"/>
        <v>PEN</v>
      </c>
      <c r="O79" s="13"/>
      <c r="P79" s="13">
        <v>0.25</v>
      </c>
      <c r="Q79" s="3">
        <f t="shared" si="12"/>
        <v>0</v>
      </c>
      <c r="R79" s="3">
        <f t="shared" si="13"/>
        <v>0.25</v>
      </c>
      <c r="S79" s="3">
        <f t="shared" si="14"/>
        <v>23082.160000000003</v>
      </c>
      <c r="T79" s="24"/>
      <c r="U79" s="24" t="s">
        <v>1081</v>
      </c>
      <c r="V79" s="3"/>
      <c r="W79" s="3" t="s">
        <v>4205</v>
      </c>
      <c r="X79" s="3"/>
      <c r="Y79" s="3"/>
      <c r="Z79" s="3"/>
      <c r="AA79" s="3"/>
      <c r="AB79" s="3" t="str">
        <f>IF(Interbank_Soles[[#This Row],[FECHA]]&gt;0,TEXT(Interbank_Soles[[#This Row],[FECHA]],"mmmm"),0)</f>
        <v>Mayo</v>
      </c>
    </row>
    <row r="80" spans="2:28" x14ac:dyDescent="0.3">
      <c r="B80" s="2">
        <f>IF(Interbank_Soles[[#This Row],[TIPO DE R.]]="R",COUNTIFS($D$4:$D79,"R")+1,"")</f>
        <v>76</v>
      </c>
      <c r="C80" s="19" t="str">
        <f t="shared" si="10"/>
        <v>B-Interbank</v>
      </c>
      <c r="D80" s="3" t="s">
        <v>1074</v>
      </c>
      <c r="E80" s="14">
        <v>45791</v>
      </c>
      <c r="F80" s="5"/>
      <c r="G80" s="5" t="s">
        <v>1079</v>
      </c>
      <c r="H80" s="6"/>
      <c r="I80" s="6"/>
      <c r="J80" s="6"/>
      <c r="K80" s="6"/>
      <c r="L80" s="7" t="s">
        <v>4128</v>
      </c>
      <c r="M80" s="8" t="s">
        <v>1077</v>
      </c>
      <c r="N80" s="8" t="str">
        <f t="shared" si="11"/>
        <v>PEN</v>
      </c>
      <c r="O80" s="13"/>
      <c r="P80" s="13">
        <v>0.2</v>
      </c>
      <c r="Q80" s="3">
        <f t="shared" si="12"/>
        <v>0</v>
      </c>
      <c r="R80" s="3">
        <f t="shared" si="13"/>
        <v>0.2</v>
      </c>
      <c r="S80" s="3">
        <f t="shared" si="14"/>
        <v>23081.960000000003</v>
      </c>
      <c r="T80" s="24"/>
      <c r="U80" s="24" t="s">
        <v>1081</v>
      </c>
      <c r="V80" s="3"/>
      <c r="W80" s="3" t="s">
        <v>4206</v>
      </c>
      <c r="X80" s="3"/>
      <c r="Y80" s="3"/>
      <c r="Z80" s="3"/>
      <c r="AA80" s="3"/>
      <c r="AB80" s="3" t="str">
        <f>IF(Interbank_Soles[[#This Row],[FECHA]]&gt;0,TEXT(Interbank_Soles[[#This Row],[FECHA]],"mmmm"),0)</f>
        <v>Mayo</v>
      </c>
    </row>
    <row r="81" spans="2:28" x14ac:dyDescent="0.3">
      <c r="B81" s="2">
        <f>IF(Interbank_Soles[[#This Row],[TIPO DE R.]]="R",COUNTIFS($D$4:$D80,"R")+1,"")</f>
        <v>77</v>
      </c>
      <c r="C81" s="19" t="str">
        <f t="shared" si="10"/>
        <v>B-Interbank</v>
      </c>
      <c r="D81" s="3" t="s">
        <v>1074</v>
      </c>
      <c r="E81" s="14">
        <v>45791</v>
      </c>
      <c r="F81" s="5" t="s">
        <v>572</v>
      </c>
      <c r="G81" s="5" t="s">
        <v>1087</v>
      </c>
      <c r="H81" s="6"/>
      <c r="I81" s="6"/>
      <c r="J81" s="6"/>
      <c r="K81" s="6"/>
      <c r="L81" s="7" t="s">
        <v>4176</v>
      </c>
      <c r="M81" s="8">
        <v>1002150</v>
      </c>
      <c r="N81" s="8" t="str">
        <f t="shared" si="11"/>
        <v>PEN</v>
      </c>
      <c r="O81" s="13"/>
      <c r="P81" s="13">
        <v>5079.09</v>
      </c>
      <c r="Q81" s="3">
        <f t="shared" si="12"/>
        <v>5079.09</v>
      </c>
      <c r="R81" s="3">
        <f t="shared" si="13"/>
        <v>0</v>
      </c>
      <c r="S81" s="3">
        <f t="shared" si="14"/>
        <v>28161.050000000003</v>
      </c>
      <c r="T81" s="24" t="s">
        <v>1081</v>
      </c>
      <c r="U81" s="24" t="s">
        <v>1081</v>
      </c>
      <c r="V81" s="3"/>
      <c r="W81" s="3" t="s">
        <v>368</v>
      </c>
      <c r="X81" s="3" t="s">
        <v>4207</v>
      </c>
      <c r="Y81" s="3"/>
      <c r="Z81" s="3"/>
      <c r="AA81" s="3"/>
      <c r="AB81" s="3" t="str">
        <f>IF(Interbank_Soles[[#This Row],[FECHA]]&gt;0,TEXT(Interbank_Soles[[#This Row],[FECHA]],"mmmm"),0)</f>
        <v>Mayo</v>
      </c>
    </row>
    <row r="82" spans="2:28" x14ac:dyDescent="0.3">
      <c r="B82" s="2">
        <f>IF(Interbank_Soles[[#This Row],[TIPO DE R.]]="R",COUNTIFS($D$4:$D81,"R")+1,"")</f>
        <v>78</v>
      </c>
      <c r="C82" s="19" t="str">
        <f t="shared" si="10"/>
        <v>B-Interbank</v>
      </c>
      <c r="D82" s="3" t="s">
        <v>1074</v>
      </c>
      <c r="E82" s="14">
        <v>45791</v>
      </c>
      <c r="F82" s="5" t="s">
        <v>572</v>
      </c>
      <c r="G82" s="5" t="s">
        <v>1087</v>
      </c>
      <c r="H82" s="6"/>
      <c r="I82" s="6"/>
      <c r="J82" s="6"/>
      <c r="K82" s="6"/>
      <c r="L82" s="7" t="s">
        <v>4176</v>
      </c>
      <c r="M82" s="8">
        <v>1007651</v>
      </c>
      <c r="N82" s="8" t="str">
        <f t="shared" si="11"/>
        <v>PEN</v>
      </c>
      <c r="O82" s="13"/>
      <c r="P82" s="13">
        <v>4312.9399999999996</v>
      </c>
      <c r="Q82" s="3">
        <f t="shared" si="12"/>
        <v>4312.9399999999996</v>
      </c>
      <c r="R82" s="3">
        <f t="shared" si="13"/>
        <v>0</v>
      </c>
      <c r="S82" s="3">
        <f t="shared" si="14"/>
        <v>32473.99</v>
      </c>
      <c r="T82" s="24" t="s">
        <v>1081</v>
      </c>
      <c r="U82" s="24" t="s">
        <v>1081</v>
      </c>
      <c r="V82" s="3"/>
      <c r="W82" s="3" t="s">
        <v>368</v>
      </c>
      <c r="X82" s="3" t="s">
        <v>4208</v>
      </c>
      <c r="Y82" s="3"/>
      <c r="Z82" s="3"/>
      <c r="AA82" s="3"/>
      <c r="AB82" s="3" t="str">
        <f>IF(Interbank_Soles[[#This Row],[FECHA]]&gt;0,TEXT(Interbank_Soles[[#This Row],[FECHA]],"mmmm"),0)</f>
        <v>Mayo</v>
      </c>
    </row>
    <row r="83" spans="2:28" ht="24" x14ac:dyDescent="0.3">
      <c r="B83" s="2">
        <f>IF(Interbank_Soles[[#This Row],[TIPO DE R.]]="R",COUNTIFS($D$4:$D82,"R")+1,"")</f>
        <v>79</v>
      </c>
      <c r="C83" s="19" t="str">
        <f t="shared" si="10"/>
        <v>B-Interbank</v>
      </c>
      <c r="D83" s="3" t="s">
        <v>1074</v>
      </c>
      <c r="E83" s="14">
        <v>45793</v>
      </c>
      <c r="F83" s="5" t="s">
        <v>1082</v>
      </c>
      <c r="G83" s="5" t="s">
        <v>1079</v>
      </c>
      <c r="H83" s="6" t="s">
        <v>307</v>
      </c>
      <c r="I83" s="6" t="s">
        <v>14</v>
      </c>
      <c r="J83" s="6" t="s">
        <v>4163</v>
      </c>
      <c r="K83" s="6">
        <v>15413</v>
      </c>
      <c r="L83" s="7" t="s">
        <v>4179</v>
      </c>
      <c r="M83" s="8">
        <v>905159</v>
      </c>
      <c r="N83" s="8" t="str">
        <f t="shared" si="11"/>
        <v>PEN</v>
      </c>
      <c r="O83" s="13"/>
      <c r="P83" s="13">
        <v>283.2</v>
      </c>
      <c r="Q83" s="3">
        <f t="shared" si="12"/>
        <v>0</v>
      </c>
      <c r="R83" s="3">
        <f t="shared" si="13"/>
        <v>283.2</v>
      </c>
      <c r="S83" s="3">
        <f t="shared" si="14"/>
        <v>32190.79</v>
      </c>
      <c r="T83" s="24" t="s">
        <v>1081</v>
      </c>
      <c r="U83" s="24" t="s">
        <v>1081</v>
      </c>
      <c r="V83" s="3"/>
      <c r="W83" s="3" t="s">
        <v>4164</v>
      </c>
      <c r="X83" s="3" t="s">
        <v>4209</v>
      </c>
      <c r="Y83" s="3"/>
      <c r="Z83" s="3"/>
      <c r="AA83" s="3"/>
      <c r="AB83" s="3" t="str">
        <f>IF(Interbank_Soles[[#This Row],[FECHA]]&gt;0,TEXT(Interbank_Soles[[#This Row],[FECHA]],"mmmm"),0)</f>
        <v>Mayo</v>
      </c>
    </row>
    <row r="84" spans="2:28" x14ac:dyDescent="0.3">
      <c r="B84" s="2">
        <f>IF(Interbank_Soles[[#This Row],[TIPO DE R.]]="R",COUNTIFS($D$4:$D83,"R")+1,"")</f>
        <v>80</v>
      </c>
      <c r="C84" s="19" t="str">
        <f t="shared" si="10"/>
        <v>B-Interbank</v>
      </c>
      <c r="D84" s="3" t="s">
        <v>1074</v>
      </c>
      <c r="E84" s="14">
        <v>45796</v>
      </c>
      <c r="F84" s="5"/>
      <c r="G84" s="5" t="s">
        <v>1079</v>
      </c>
      <c r="H84" s="6"/>
      <c r="I84" s="6"/>
      <c r="J84" s="6"/>
      <c r="K84" s="6"/>
      <c r="L84" s="7" t="s">
        <v>4210</v>
      </c>
      <c r="M84" s="8" t="s">
        <v>1077</v>
      </c>
      <c r="N84" s="8" t="str">
        <f t="shared" si="11"/>
        <v>PEN</v>
      </c>
      <c r="O84" s="13"/>
      <c r="P84" s="13">
        <v>15004.8</v>
      </c>
      <c r="Q84" s="3">
        <f t="shared" si="12"/>
        <v>0</v>
      </c>
      <c r="R84" s="3">
        <f t="shared" si="13"/>
        <v>15004.8</v>
      </c>
      <c r="S84" s="3">
        <f t="shared" si="14"/>
        <v>17185.990000000002</v>
      </c>
      <c r="T84" s="24"/>
      <c r="U84" s="24"/>
      <c r="V84" s="3"/>
      <c r="W84" s="3"/>
      <c r="X84" s="3"/>
      <c r="Y84" s="3"/>
      <c r="Z84" s="3"/>
      <c r="AA84" s="3"/>
      <c r="AB84" s="3" t="str">
        <f>IF(Interbank_Soles[[#This Row],[FECHA]]&gt;0,TEXT(Interbank_Soles[[#This Row],[FECHA]],"mmmm"),0)</f>
        <v>Mayo</v>
      </c>
    </row>
    <row r="85" spans="2:28" ht="24" x14ac:dyDescent="0.3">
      <c r="B85" s="2">
        <f>IF(Interbank_Soles[[#This Row],[TIPO DE R.]]="R",COUNTIFS($D$4:$D84,"R")+1,"")</f>
        <v>81</v>
      </c>
      <c r="C85" s="19" t="str">
        <f t="shared" si="10"/>
        <v>B-Interbank</v>
      </c>
      <c r="D85" s="3" t="s">
        <v>1074</v>
      </c>
      <c r="E85" s="14">
        <v>45797</v>
      </c>
      <c r="F85" s="5" t="s">
        <v>1082</v>
      </c>
      <c r="G85" s="5" t="s">
        <v>1079</v>
      </c>
      <c r="H85" s="6" t="s">
        <v>307</v>
      </c>
      <c r="I85" s="6" t="s">
        <v>14</v>
      </c>
      <c r="J85" s="6" t="s">
        <v>4163</v>
      </c>
      <c r="K85" s="6">
        <v>15547</v>
      </c>
      <c r="L85" s="7" t="s">
        <v>4179</v>
      </c>
      <c r="M85" s="8">
        <v>447193</v>
      </c>
      <c r="N85" s="8" t="str">
        <f t="shared" si="11"/>
        <v>PEN</v>
      </c>
      <c r="O85" s="13"/>
      <c r="P85" s="13">
        <v>283.2</v>
      </c>
      <c r="Q85" s="3">
        <f t="shared" si="12"/>
        <v>0</v>
      </c>
      <c r="R85" s="3">
        <f t="shared" si="13"/>
        <v>283.2</v>
      </c>
      <c r="S85" s="3">
        <f t="shared" si="14"/>
        <v>16902.79</v>
      </c>
      <c r="T85" s="24" t="s">
        <v>1081</v>
      </c>
      <c r="U85" s="24" t="s">
        <v>1081</v>
      </c>
      <c r="V85" s="3"/>
      <c r="W85" s="3" t="s">
        <v>4164</v>
      </c>
      <c r="X85" s="3" t="s">
        <v>4211</v>
      </c>
      <c r="Y85" s="3"/>
      <c r="Z85" s="3"/>
      <c r="AA85" s="3"/>
      <c r="AB85" s="3" t="str">
        <f>IF(Interbank_Soles[[#This Row],[FECHA]]&gt;0,TEXT(Interbank_Soles[[#This Row],[FECHA]],"mmmm"),0)</f>
        <v>Mayo</v>
      </c>
    </row>
    <row r="86" spans="2:28" ht="24" x14ac:dyDescent="0.3">
      <c r="B86" s="2">
        <f>IF(Interbank_Soles[[#This Row],[TIPO DE R.]]="R",COUNTIFS($D$4:$D85,"R")+1,"")</f>
        <v>82</v>
      </c>
      <c r="C86" s="19" t="str">
        <f t="shared" si="10"/>
        <v>B-Interbank</v>
      </c>
      <c r="D86" s="3" t="s">
        <v>1074</v>
      </c>
      <c r="E86" s="14">
        <v>45797</v>
      </c>
      <c r="F86" s="5" t="s">
        <v>1082</v>
      </c>
      <c r="G86" s="5" t="s">
        <v>1079</v>
      </c>
      <c r="H86" s="6" t="s">
        <v>307</v>
      </c>
      <c r="I86" s="6" t="s">
        <v>14</v>
      </c>
      <c r="J86" s="6" t="s">
        <v>4163</v>
      </c>
      <c r="K86" s="6">
        <v>15555</v>
      </c>
      <c r="L86" s="7" t="s">
        <v>4179</v>
      </c>
      <c r="M86" s="8">
        <v>444400</v>
      </c>
      <c r="N86" s="8" t="str">
        <f t="shared" si="11"/>
        <v>PEN</v>
      </c>
      <c r="O86" s="13"/>
      <c r="P86" s="13">
        <v>283.2</v>
      </c>
      <c r="Q86" s="3">
        <f t="shared" si="12"/>
        <v>0</v>
      </c>
      <c r="R86" s="3">
        <f t="shared" si="13"/>
        <v>283.2</v>
      </c>
      <c r="S86" s="3">
        <f t="shared" si="14"/>
        <v>16619.59</v>
      </c>
      <c r="T86" s="24" t="s">
        <v>1081</v>
      </c>
      <c r="U86" s="24" t="s">
        <v>1081</v>
      </c>
      <c r="V86" s="3"/>
      <c r="W86" s="3" t="s">
        <v>4164</v>
      </c>
      <c r="X86" s="3" t="s">
        <v>4212</v>
      </c>
      <c r="Y86" s="3"/>
      <c r="Z86" s="3"/>
      <c r="AA86" s="3"/>
      <c r="AB86" s="3" t="str">
        <f>IF(Interbank_Soles[[#This Row],[FECHA]]&gt;0,TEXT(Interbank_Soles[[#This Row],[FECHA]],"mmmm"),0)</f>
        <v>Mayo</v>
      </c>
    </row>
    <row r="87" spans="2:28" ht="24" x14ac:dyDescent="0.3">
      <c r="B87" s="2">
        <f>IF(Interbank_Soles[[#This Row],[TIPO DE R.]]="R",COUNTIFS($D$4:$D86,"R")+1,"")</f>
        <v>83</v>
      </c>
      <c r="C87" s="19" t="str">
        <f t="shared" si="10"/>
        <v>B-Interbank</v>
      </c>
      <c r="D87" s="3" t="s">
        <v>1074</v>
      </c>
      <c r="E87" s="14">
        <v>45797</v>
      </c>
      <c r="F87" s="5" t="s">
        <v>1082</v>
      </c>
      <c r="G87" s="5" t="s">
        <v>1079</v>
      </c>
      <c r="H87" s="6" t="s">
        <v>307</v>
      </c>
      <c r="I87" s="6" t="s">
        <v>14</v>
      </c>
      <c r="J87" s="6" t="s">
        <v>4163</v>
      </c>
      <c r="K87" s="6">
        <v>15521</v>
      </c>
      <c r="L87" s="7" t="s">
        <v>4179</v>
      </c>
      <c r="M87" s="8">
        <v>441480</v>
      </c>
      <c r="N87" s="8" t="str">
        <f t="shared" si="11"/>
        <v>PEN</v>
      </c>
      <c r="O87" s="13"/>
      <c r="P87" s="13">
        <v>125.08</v>
      </c>
      <c r="Q87" s="3">
        <f t="shared" si="12"/>
        <v>0</v>
      </c>
      <c r="R87" s="3">
        <f t="shared" si="13"/>
        <v>125.08</v>
      </c>
      <c r="S87" s="3">
        <f t="shared" si="14"/>
        <v>16494.509999999998</v>
      </c>
      <c r="T87" s="24" t="s">
        <v>1081</v>
      </c>
      <c r="U87" s="24" t="s">
        <v>1081</v>
      </c>
      <c r="V87" s="3"/>
      <c r="W87" s="3" t="s">
        <v>4164</v>
      </c>
      <c r="X87" s="3" t="s">
        <v>4213</v>
      </c>
      <c r="Y87" s="3"/>
      <c r="Z87" s="3"/>
      <c r="AA87" s="3"/>
      <c r="AB87" s="3" t="str">
        <f>IF(Interbank_Soles[[#This Row],[FECHA]]&gt;0,TEXT(Interbank_Soles[[#This Row],[FECHA]],"mmmm"),0)</f>
        <v>Mayo</v>
      </c>
    </row>
    <row r="88" spans="2:28" x14ac:dyDescent="0.3">
      <c r="B88" s="2">
        <f>IF(Interbank_Soles[[#This Row],[TIPO DE R.]]="R",COUNTIFS($D$4:$D87,"R")+1,"")</f>
        <v>84</v>
      </c>
      <c r="C88" s="19" t="str">
        <f t="shared" si="10"/>
        <v>B-Interbank</v>
      </c>
      <c r="D88" s="3" t="s">
        <v>1074</v>
      </c>
      <c r="E88" s="14">
        <v>45798</v>
      </c>
      <c r="F88" s="5"/>
      <c r="G88" s="5" t="s">
        <v>1079</v>
      </c>
      <c r="H88" s="6"/>
      <c r="I88" s="6"/>
      <c r="J88" s="6"/>
      <c r="K88" s="6"/>
      <c r="L88" s="7"/>
      <c r="M88" s="8" t="s">
        <v>1077</v>
      </c>
      <c r="N88" s="8" t="str">
        <f t="shared" si="11"/>
        <v>PEN</v>
      </c>
      <c r="O88" s="13"/>
      <c r="P88" s="13">
        <v>0.15</v>
      </c>
      <c r="Q88" s="3">
        <f t="shared" si="12"/>
        <v>0</v>
      </c>
      <c r="R88" s="3">
        <f t="shared" si="13"/>
        <v>0.15</v>
      </c>
      <c r="S88" s="3">
        <f t="shared" si="14"/>
        <v>16494.359999999997</v>
      </c>
      <c r="T88" s="24"/>
      <c r="U88" s="24"/>
      <c r="V88" s="3"/>
      <c r="W88" s="3"/>
      <c r="X88" s="3"/>
      <c r="Y88" s="3"/>
      <c r="Z88" s="3"/>
      <c r="AA88" s="3"/>
      <c r="AB88" s="3" t="str">
        <f>IF(Interbank_Soles[[#This Row],[FECHA]]&gt;0,TEXT(Interbank_Soles[[#This Row],[FECHA]],"mmmm"),0)</f>
        <v>Mayo</v>
      </c>
    </row>
    <row r="89" spans="2:28" x14ac:dyDescent="0.3">
      <c r="B89" s="2">
        <f>IF(Interbank_Soles[[#This Row],[TIPO DE R.]]="R",COUNTIFS($D$4:$D88,"R")+1,"")</f>
        <v>85</v>
      </c>
      <c r="C89" s="19" t="str">
        <f t="shared" si="10"/>
        <v>B-Interbank</v>
      </c>
      <c r="D89" s="3" t="s">
        <v>1074</v>
      </c>
      <c r="E89" s="14">
        <v>45798</v>
      </c>
      <c r="F89" s="5"/>
      <c r="G89" s="5" t="s">
        <v>1079</v>
      </c>
      <c r="H89" s="6"/>
      <c r="I89" s="6"/>
      <c r="J89" s="6"/>
      <c r="K89" s="6"/>
      <c r="L89" s="7" t="s">
        <v>4214</v>
      </c>
      <c r="M89" s="8" t="s">
        <v>1077</v>
      </c>
      <c r="N89" s="8" t="str">
        <f t="shared" si="11"/>
        <v>PEN</v>
      </c>
      <c r="O89" s="13"/>
      <c r="P89" s="13">
        <v>0.1</v>
      </c>
      <c r="Q89" s="3">
        <f t="shared" si="12"/>
        <v>0</v>
      </c>
      <c r="R89" s="3">
        <f t="shared" si="13"/>
        <v>0.1</v>
      </c>
      <c r="S89" s="3">
        <f t="shared" si="14"/>
        <v>16494.259999999998</v>
      </c>
      <c r="T89" s="24"/>
      <c r="U89" s="24"/>
      <c r="V89" s="3"/>
      <c r="W89" s="3"/>
      <c r="X89" s="3"/>
      <c r="Y89" s="3"/>
      <c r="Z89" s="3"/>
      <c r="AA89" s="3"/>
      <c r="AB89" s="3" t="str">
        <f>IF(Interbank_Soles[[#This Row],[FECHA]]&gt;0,TEXT(Interbank_Soles[[#This Row],[FECHA]],"mmmm"),0)</f>
        <v>Mayo</v>
      </c>
    </row>
    <row r="90" spans="2:28" ht="48" x14ac:dyDescent="0.3">
      <c r="B90" s="2">
        <f>IF(Interbank_Soles[[#This Row],[TIPO DE R.]]="R",COUNTIFS($D$4:$D89,"R")+1,"")</f>
        <v>86</v>
      </c>
      <c r="C90" s="19" t="str">
        <f t="shared" si="10"/>
        <v>B-Interbank</v>
      </c>
      <c r="D90" s="3" t="s">
        <v>1074</v>
      </c>
      <c r="E90" s="14">
        <v>45798</v>
      </c>
      <c r="F90" s="5" t="s">
        <v>206</v>
      </c>
      <c r="G90" s="5" t="s">
        <v>1087</v>
      </c>
      <c r="H90" s="6"/>
      <c r="I90" s="6"/>
      <c r="J90" s="6"/>
      <c r="K90" s="6"/>
      <c r="L90" s="7" t="s">
        <v>4215</v>
      </c>
      <c r="M90" s="8">
        <v>9001560</v>
      </c>
      <c r="N90" s="8" t="str">
        <f t="shared" si="11"/>
        <v>PEN</v>
      </c>
      <c r="O90" s="13"/>
      <c r="P90" s="13">
        <v>3411.92</v>
      </c>
      <c r="Q90" s="3">
        <f t="shared" si="12"/>
        <v>3411.92</v>
      </c>
      <c r="R90" s="3">
        <f t="shared" si="13"/>
        <v>0</v>
      </c>
      <c r="S90" s="3">
        <f t="shared" si="14"/>
        <v>19906.18</v>
      </c>
      <c r="T90" s="24" t="s">
        <v>1081</v>
      </c>
      <c r="U90" s="24" t="s">
        <v>1081</v>
      </c>
      <c r="V90" s="3"/>
      <c r="W90" s="3" t="s">
        <v>368</v>
      </c>
      <c r="X90" s="3" t="s">
        <v>4216</v>
      </c>
      <c r="Y90" s="3"/>
      <c r="Z90" s="3"/>
      <c r="AA90" s="3"/>
      <c r="AB90" s="3" t="str">
        <f>IF(Interbank_Soles[[#This Row],[FECHA]]&gt;0,TEXT(Interbank_Soles[[#This Row],[FECHA]],"mmmm"),0)</f>
        <v>Mayo</v>
      </c>
    </row>
    <row r="91" spans="2:28" ht="48" x14ac:dyDescent="0.3">
      <c r="B91" s="2">
        <f>IF(Interbank_Soles[[#This Row],[TIPO DE R.]]="R",COUNTIFS($D$4:$D90,"R")+1,"")</f>
        <v>87</v>
      </c>
      <c r="C91" s="19" t="str">
        <f t="shared" si="10"/>
        <v>B-Interbank</v>
      </c>
      <c r="D91" s="3" t="s">
        <v>1074</v>
      </c>
      <c r="E91" s="14">
        <v>45798</v>
      </c>
      <c r="F91" s="5" t="s">
        <v>207</v>
      </c>
      <c r="G91" s="5" t="s">
        <v>1087</v>
      </c>
      <c r="H91" s="6"/>
      <c r="I91" s="6"/>
      <c r="J91" s="6"/>
      <c r="K91" s="6"/>
      <c r="L91" s="7" t="s">
        <v>4217</v>
      </c>
      <c r="M91" s="8">
        <v>1005146</v>
      </c>
      <c r="N91" s="8" t="str">
        <f t="shared" si="11"/>
        <v>PEN</v>
      </c>
      <c r="O91" s="13"/>
      <c r="P91" s="13">
        <v>2756.69</v>
      </c>
      <c r="Q91" s="3">
        <f t="shared" si="12"/>
        <v>2756.69</v>
      </c>
      <c r="R91" s="3">
        <f t="shared" si="13"/>
        <v>0</v>
      </c>
      <c r="S91" s="3">
        <f t="shared" si="14"/>
        <v>22662.87</v>
      </c>
      <c r="T91" s="24" t="s">
        <v>1081</v>
      </c>
      <c r="U91" s="24" t="s">
        <v>1081</v>
      </c>
      <c r="V91" s="3"/>
      <c r="W91" s="3" t="s">
        <v>368</v>
      </c>
      <c r="X91" s="3" t="s">
        <v>4218</v>
      </c>
      <c r="Y91" s="3"/>
      <c r="Z91" s="3"/>
      <c r="AA91" s="3"/>
      <c r="AB91" s="3" t="str">
        <f>IF(Interbank_Soles[[#This Row],[FECHA]]&gt;0,TEXT(Interbank_Soles[[#This Row],[FECHA]],"mmmm"),0)</f>
        <v>Mayo</v>
      </c>
    </row>
    <row r="92" spans="2:28" x14ac:dyDescent="0.3">
      <c r="B92" s="2">
        <f>IF(Interbank_Soles[[#This Row],[TIPO DE R.]]="R",COUNTIFS($D$4:$D91,"R")+1,"")</f>
        <v>88</v>
      </c>
      <c r="C92" s="19" t="str">
        <f t="shared" si="10"/>
        <v>B-Interbank</v>
      </c>
      <c r="D92" s="3" t="s">
        <v>1074</v>
      </c>
      <c r="E92" s="14">
        <v>45799</v>
      </c>
      <c r="F92" s="5"/>
      <c r="G92" s="5" t="s">
        <v>1079</v>
      </c>
      <c r="H92" s="6"/>
      <c r="I92" s="6"/>
      <c r="J92" s="6"/>
      <c r="K92" s="6"/>
      <c r="L92" s="7" t="s">
        <v>4219</v>
      </c>
      <c r="M92" s="8" t="s">
        <v>1077</v>
      </c>
      <c r="N92" s="8" t="str">
        <f t="shared" si="11"/>
        <v>PEN</v>
      </c>
      <c r="O92" s="13"/>
      <c r="P92" s="13">
        <v>20004.8</v>
      </c>
      <c r="Q92" s="3">
        <f t="shared" si="12"/>
        <v>0</v>
      </c>
      <c r="R92" s="3">
        <f t="shared" si="13"/>
        <v>20004.8</v>
      </c>
      <c r="S92" s="3">
        <f t="shared" si="14"/>
        <v>2658.0699999999997</v>
      </c>
      <c r="T92" s="24"/>
      <c r="U92" s="24"/>
      <c r="V92" s="3"/>
      <c r="W92" s="3"/>
      <c r="X92" s="3"/>
      <c r="Y92" s="3"/>
      <c r="Z92" s="3"/>
      <c r="AA92" s="3"/>
      <c r="AB92" s="3" t="str">
        <f>IF(Interbank_Soles[[#This Row],[FECHA]]&gt;0,TEXT(Interbank_Soles[[#This Row],[FECHA]],"mmmm"),0)</f>
        <v>Mayo</v>
      </c>
    </row>
    <row r="93" spans="2:28" ht="36" x14ac:dyDescent="0.3">
      <c r="B93" s="2">
        <f>IF(Interbank_Soles[[#This Row],[TIPO DE R.]]="R",COUNTIFS($D$4:$D92,"R")+1,"")</f>
        <v>89</v>
      </c>
      <c r="C93" s="19" t="str">
        <f t="shared" si="10"/>
        <v>B-Interbank</v>
      </c>
      <c r="D93" s="3" t="s">
        <v>1074</v>
      </c>
      <c r="E93" s="14">
        <v>45804</v>
      </c>
      <c r="F93" s="5" t="s">
        <v>1251</v>
      </c>
      <c r="G93" s="5" t="s">
        <v>1079</v>
      </c>
      <c r="H93" s="6" t="s">
        <v>721</v>
      </c>
      <c r="I93" s="6"/>
      <c r="J93" s="6"/>
      <c r="K93" s="6"/>
      <c r="L93" s="7" t="s">
        <v>4179</v>
      </c>
      <c r="M93" s="8">
        <v>188988</v>
      </c>
      <c r="N93" s="8" t="str">
        <f t="shared" si="11"/>
        <v>PEN</v>
      </c>
      <c r="O93" s="13"/>
      <c r="P93" s="13">
        <v>356.75</v>
      </c>
      <c r="Q93" s="3">
        <f t="shared" si="12"/>
        <v>0</v>
      </c>
      <c r="R93" s="3">
        <f t="shared" si="13"/>
        <v>356.75</v>
      </c>
      <c r="S93" s="3">
        <f t="shared" si="14"/>
        <v>2301.3199999999997</v>
      </c>
      <c r="T93" s="24"/>
      <c r="U93" s="24"/>
      <c r="V93" s="3"/>
      <c r="W93" s="3" t="s">
        <v>4132</v>
      </c>
      <c r="X93" s="3" t="s">
        <v>4220</v>
      </c>
      <c r="Y93" s="3"/>
      <c r="Z93" s="3"/>
      <c r="AA93" s="3"/>
      <c r="AB93" s="3" t="str">
        <f>IF(Interbank_Soles[[#This Row],[FECHA]]&gt;0,TEXT(Interbank_Soles[[#This Row],[FECHA]],"mmmm"),0)</f>
        <v>Mayo</v>
      </c>
    </row>
    <row r="94" spans="2:28" x14ac:dyDescent="0.3">
      <c r="B94" s="2">
        <f>IF(Interbank_Soles[[#This Row],[TIPO DE R.]]="R",COUNTIFS($D$4:$D93,"R")+1,"")</f>
        <v>90</v>
      </c>
      <c r="C94" s="19" t="str">
        <f t="shared" si="10"/>
        <v>B-Interbank</v>
      </c>
      <c r="D94" s="3" t="s">
        <v>1074</v>
      </c>
      <c r="E94" s="14">
        <v>45806</v>
      </c>
      <c r="F94" s="5"/>
      <c r="G94" s="5" t="s">
        <v>1079</v>
      </c>
      <c r="H94" s="6"/>
      <c r="I94" s="6"/>
      <c r="J94" s="6"/>
      <c r="K94" s="6"/>
      <c r="L94" s="7" t="s">
        <v>4128</v>
      </c>
      <c r="M94" s="8" t="s">
        <v>1077</v>
      </c>
      <c r="N94" s="8" t="str">
        <f t="shared" si="11"/>
        <v>PEN</v>
      </c>
      <c r="O94" s="13"/>
      <c r="P94" s="13">
        <v>0.3</v>
      </c>
      <c r="Q94" s="3">
        <f t="shared" si="12"/>
        <v>0</v>
      </c>
      <c r="R94" s="3">
        <f t="shared" si="13"/>
        <v>0.3</v>
      </c>
      <c r="S94" s="3">
        <f t="shared" si="14"/>
        <v>2301.0199999999995</v>
      </c>
      <c r="T94" s="24"/>
      <c r="U94" s="24"/>
      <c r="V94" s="3"/>
      <c r="W94" s="3"/>
      <c r="X94" s="3"/>
      <c r="Y94" s="3"/>
      <c r="Z94" s="3"/>
      <c r="AA94" s="3"/>
      <c r="AB94" s="3" t="str">
        <f>IF(Interbank_Soles[[#This Row],[FECHA]]&gt;0,TEXT(Interbank_Soles[[#This Row],[FECHA]],"mmmm"),0)</f>
        <v>Mayo</v>
      </c>
    </row>
    <row r="95" spans="2:28" ht="36" x14ac:dyDescent="0.3">
      <c r="B95" s="2">
        <f>IF(Interbank_Soles[[#This Row],[TIPO DE R.]]="R",COUNTIFS($D$4:$D94,"R")+1,"")</f>
        <v>91</v>
      </c>
      <c r="C95" s="19" t="str">
        <f t="shared" si="10"/>
        <v>B-Interbank</v>
      </c>
      <c r="D95" s="3" t="s">
        <v>1074</v>
      </c>
      <c r="E95" s="14">
        <v>45806</v>
      </c>
      <c r="F95" s="5" t="s">
        <v>151</v>
      </c>
      <c r="G95" s="5" t="s">
        <v>1087</v>
      </c>
      <c r="H95" s="6" t="s">
        <v>368</v>
      </c>
      <c r="I95" s="6" t="s">
        <v>14</v>
      </c>
      <c r="J95" s="3" t="s">
        <v>4221</v>
      </c>
      <c r="K95" s="6"/>
      <c r="L95" s="7" t="s">
        <v>4191</v>
      </c>
      <c r="M95" s="8">
        <v>8079253</v>
      </c>
      <c r="N95" s="8" t="str">
        <f t="shared" si="11"/>
        <v>PEN</v>
      </c>
      <c r="O95" s="13"/>
      <c r="P95" s="13">
        <v>6716.9</v>
      </c>
      <c r="Q95" s="3">
        <f t="shared" si="12"/>
        <v>6716.9</v>
      </c>
      <c r="R95" s="3">
        <f t="shared" si="13"/>
        <v>0</v>
      </c>
      <c r="S95" s="3">
        <f t="shared" si="14"/>
        <v>9017.9199999999983</v>
      </c>
      <c r="T95" s="24" t="s">
        <v>1081</v>
      </c>
      <c r="U95" s="24" t="s">
        <v>1081</v>
      </c>
      <c r="V95" s="3"/>
      <c r="W95" s="3" t="s">
        <v>368</v>
      </c>
      <c r="X95" s="3" t="s">
        <v>4221</v>
      </c>
      <c r="Y95" s="3"/>
      <c r="Z95" s="3"/>
      <c r="AA95" s="3"/>
      <c r="AB95" s="3" t="str">
        <f>IF(Interbank_Soles[[#This Row],[FECHA]]&gt;0,TEXT(Interbank_Soles[[#This Row],[FECHA]],"mmmm"),0)</f>
        <v>Mayo</v>
      </c>
    </row>
    <row r="96" spans="2:28" ht="24" x14ac:dyDescent="0.3">
      <c r="B96" s="2">
        <f>IF(Interbank_Soles[[#This Row],[TIPO DE R.]]="R",COUNTIFS($D$4:$D95,"R")+1,"")</f>
        <v>92</v>
      </c>
      <c r="C96" s="19" t="str">
        <f t="shared" si="10"/>
        <v>B-Interbank</v>
      </c>
      <c r="D96" s="3" t="s">
        <v>1074</v>
      </c>
      <c r="E96" s="14">
        <v>45826</v>
      </c>
      <c r="F96" s="5"/>
      <c r="G96" s="5" t="s">
        <v>1079</v>
      </c>
      <c r="H96" s="6" t="s">
        <v>307</v>
      </c>
      <c r="I96" s="6" t="s">
        <v>14</v>
      </c>
      <c r="J96" s="6" t="s">
        <v>1248</v>
      </c>
      <c r="K96" s="6">
        <v>10937</v>
      </c>
      <c r="L96" s="7" t="s">
        <v>4164</v>
      </c>
      <c r="M96" s="8">
        <v>290181</v>
      </c>
      <c r="N96" s="8" t="str">
        <f t="shared" si="11"/>
        <v>PEN</v>
      </c>
      <c r="O96" s="13"/>
      <c r="P96" s="13">
        <v>695.6</v>
      </c>
      <c r="Q96" s="3">
        <f t="shared" si="12"/>
        <v>0</v>
      </c>
      <c r="R96" s="3">
        <f t="shared" si="13"/>
        <v>695.6</v>
      </c>
      <c r="S96" s="3">
        <f t="shared" si="14"/>
        <v>8322.3199999999979</v>
      </c>
      <c r="T96" s="24" t="s">
        <v>1081</v>
      </c>
      <c r="U96" s="24" t="s">
        <v>1081</v>
      </c>
      <c r="V96" s="3"/>
      <c r="W96" s="3" t="s">
        <v>4222</v>
      </c>
      <c r="X96" s="3" t="s">
        <v>4223</v>
      </c>
      <c r="Y96" s="3"/>
      <c r="Z96" s="3"/>
      <c r="AA96" s="3"/>
      <c r="AB96" s="3" t="str">
        <f>IF(Interbank_Soles[[#This Row],[FECHA]]&gt;0,TEXT(Interbank_Soles[[#This Row],[FECHA]],"mmmm"),0)</f>
        <v>Junio</v>
      </c>
    </row>
    <row r="97" spans="2:28" x14ac:dyDescent="0.3">
      <c r="B97" s="2">
        <f>IF(Interbank_Soles[[#This Row],[TIPO DE R.]]="R",COUNTIFS($D$4:$D96,"R")+1,"")</f>
        <v>93</v>
      </c>
      <c r="C97" s="19" t="str">
        <f t="shared" si="10"/>
        <v>B-Interbank</v>
      </c>
      <c r="D97" s="3" t="s">
        <v>1074</v>
      </c>
      <c r="E97" s="14">
        <v>45828</v>
      </c>
      <c r="F97" s="5" t="s">
        <v>1251</v>
      </c>
      <c r="G97" s="5" t="s">
        <v>1079</v>
      </c>
      <c r="H97" s="6"/>
      <c r="I97" s="6"/>
      <c r="J97" s="6"/>
      <c r="K97" s="6"/>
      <c r="L97" s="7" t="s">
        <v>3394</v>
      </c>
      <c r="M97" s="8"/>
      <c r="N97" s="8" t="str">
        <f t="shared" si="11"/>
        <v>PEN</v>
      </c>
      <c r="O97" s="13"/>
      <c r="P97" s="13">
        <v>6005.3</v>
      </c>
      <c r="Q97" s="3">
        <f t="shared" si="12"/>
        <v>0</v>
      </c>
      <c r="R97" s="3">
        <f t="shared" si="13"/>
        <v>6005.3</v>
      </c>
      <c r="S97" s="3">
        <f t="shared" si="14"/>
        <v>2317.0199999999977</v>
      </c>
      <c r="T97" s="24"/>
      <c r="U97" s="24"/>
      <c r="V97" s="3"/>
      <c r="W97" s="3" t="s">
        <v>368</v>
      </c>
      <c r="X97" s="3"/>
      <c r="Y97" s="3"/>
      <c r="Z97" s="3"/>
      <c r="AA97" s="3"/>
      <c r="AB97" s="3" t="str">
        <f>IF(Interbank_Soles[[#This Row],[FECHA]]&gt;0,TEXT(Interbank_Soles[[#This Row],[FECHA]],"mmmm"),0)</f>
        <v>Junio</v>
      </c>
    </row>
    <row r="98" spans="2:28" ht="24" x14ac:dyDescent="0.3">
      <c r="B98" s="2">
        <f>IF(Interbank_Soles[[#This Row],[TIPO DE R.]]="R",COUNTIFS($D$4:$D97,"R")+1,"")</f>
        <v>94</v>
      </c>
      <c r="C98" s="19" t="str">
        <f t="shared" si="10"/>
        <v>B-Interbank</v>
      </c>
      <c r="D98" s="3" t="s">
        <v>1074</v>
      </c>
      <c r="E98" s="14">
        <v>45828</v>
      </c>
      <c r="F98" s="5" t="s">
        <v>1251</v>
      </c>
      <c r="G98" s="5" t="s">
        <v>1079</v>
      </c>
      <c r="H98" s="6" t="s">
        <v>307</v>
      </c>
      <c r="I98" s="6" t="s">
        <v>14</v>
      </c>
      <c r="J98" s="6" t="s">
        <v>1248</v>
      </c>
      <c r="K98" s="6">
        <v>11027</v>
      </c>
      <c r="L98" s="7" t="s">
        <v>4224</v>
      </c>
      <c r="M98" s="8">
        <v>951908</v>
      </c>
      <c r="N98" s="8" t="str">
        <f t="shared" si="11"/>
        <v>PEN</v>
      </c>
      <c r="O98" s="13"/>
      <c r="P98" s="13">
        <v>258.42</v>
      </c>
      <c r="Q98" s="3">
        <f t="shared" si="12"/>
        <v>0</v>
      </c>
      <c r="R98" s="3">
        <f t="shared" si="13"/>
        <v>258.42</v>
      </c>
      <c r="S98" s="3">
        <f t="shared" si="14"/>
        <v>2058.5999999999976</v>
      </c>
      <c r="T98" s="24" t="s">
        <v>1081</v>
      </c>
      <c r="U98" s="24" t="s">
        <v>1081</v>
      </c>
      <c r="V98" s="3"/>
      <c r="W98" s="3" t="s">
        <v>4164</v>
      </c>
      <c r="X98" s="3" t="s">
        <v>4225</v>
      </c>
      <c r="Y98" s="3"/>
      <c r="Z98" s="3"/>
      <c r="AA98" s="3"/>
      <c r="AB98" s="3" t="str">
        <f>IF(Interbank_Soles[[#This Row],[FECHA]]&gt;0,TEXT(Interbank_Soles[[#This Row],[FECHA]],"mmmm"),0)</f>
        <v>Junio</v>
      </c>
    </row>
    <row r="99" spans="2:28" ht="48" x14ac:dyDescent="0.3">
      <c r="B99" s="2">
        <f>IF(Interbank_Soles[[#This Row],[TIPO DE R.]]="R",COUNTIFS($D$4:$D98,"R")+1,"")</f>
        <v>95</v>
      </c>
      <c r="C99" s="19" t="str">
        <f t="shared" si="10"/>
        <v>B-Interbank</v>
      </c>
      <c r="D99" s="3" t="s">
        <v>1074</v>
      </c>
      <c r="E99" s="14">
        <v>45832</v>
      </c>
      <c r="F99" s="5" t="s">
        <v>253</v>
      </c>
      <c r="G99" s="5" t="s">
        <v>1087</v>
      </c>
      <c r="H99" s="6" t="s">
        <v>368</v>
      </c>
      <c r="I99" s="6" t="s">
        <v>14</v>
      </c>
      <c r="J99" s="6" t="s">
        <v>1521</v>
      </c>
      <c r="K99" s="6">
        <v>108</v>
      </c>
      <c r="L99" s="7" t="s">
        <v>4157</v>
      </c>
      <c r="M99" s="8">
        <v>178064</v>
      </c>
      <c r="N99" s="8" t="str">
        <f t="shared" si="11"/>
        <v>PEN</v>
      </c>
      <c r="O99" s="13"/>
      <c r="P99" s="13">
        <v>2053.1999999999998</v>
      </c>
      <c r="Q99" s="3">
        <f t="shared" si="12"/>
        <v>2053.1999999999998</v>
      </c>
      <c r="R99" s="3">
        <f t="shared" si="13"/>
        <v>0</v>
      </c>
      <c r="S99" s="3">
        <f t="shared" si="14"/>
        <v>4111.7999999999975</v>
      </c>
      <c r="T99" s="24" t="s">
        <v>1081</v>
      </c>
      <c r="U99" s="24" t="s">
        <v>1081</v>
      </c>
      <c r="V99" s="3"/>
      <c r="W99" s="3" t="s">
        <v>368</v>
      </c>
      <c r="X99" s="3" t="s">
        <v>4226</v>
      </c>
      <c r="Y99" s="3"/>
      <c r="Z99" s="3"/>
      <c r="AA99" s="3"/>
      <c r="AB99" s="3" t="str">
        <f>IF(Interbank_Soles[[#This Row],[FECHA]]&gt;0,TEXT(Interbank_Soles[[#This Row],[FECHA]],"mmmm"),0)</f>
        <v>Junio</v>
      </c>
    </row>
    <row r="100" spans="2:28" x14ac:dyDescent="0.3">
      <c r="B100" s="2">
        <f>IF(Interbank_Soles[[#This Row],[TIPO DE R.]]="R",COUNTIFS($D$4:$D99,"R")+1,"")</f>
        <v>96</v>
      </c>
      <c r="C100" s="19" t="str">
        <f t="shared" si="10"/>
        <v>B-Interbank</v>
      </c>
      <c r="D100" s="3" t="s">
        <v>1074</v>
      </c>
      <c r="E100" s="14">
        <v>45832</v>
      </c>
      <c r="F100" s="5"/>
      <c r="G100" s="5" t="s">
        <v>1079</v>
      </c>
      <c r="H100" s="6"/>
      <c r="I100" s="6"/>
      <c r="J100" s="6"/>
      <c r="K100" s="6"/>
      <c r="L100" s="7" t="s">
        <v>4128</v>
      </c>
      <c r="M100" s="8" t="s">
        <v>1077</v>
      </c>
      <c r="N100" s="8" t="str">
        <f t="shared" si="11"/>
        <v>PEN</v>
      </c>
      <c r="O100" s="13"/>
      <c r="P100" s="13">
        <v>0.1</v>
      </c>
      <c r="Q100" s="3">
        <f t="shared" si="12"/>
        <v>0</v>
      </c>
      <c r="R100" s="3">
        <f t="shared" si="13"/>
        <v>0.1</v>
      </c>
      <c r="S100" s="3">
        <f t="shared" si="14"/>
        <v>4111.6999999999971</v>
      </c>
      <c r="T100" s="24"/>
      <c r="U100" s="24"/>
      <c r="V100" s="3"/>
      <c r="W100" s="3"/>
      <c r="X100" s="3"/>
      <c r="Y100" s="3"/>
      <c r="Z100" s="3"/>
      <c r="AA100" s="3"/>
      <c r="AB100" s="3" t="str">
        <f>IF(Interbank_Soles[[#This Row],[FECHA]]&gt;0,TEXT(Interbank_Soles[[#This Row],[FECHA]],"mmmm"),0)</f>
        <v>Junio</v>
      </c>
    </row>
    <row r="101" spans="2:28" ht="36" x14ac:dyDescent="0.3">
      <c r="B101" s="2">
        <f>IF(Interbank_Soles[[#This Row],[TIPO DE R.]]="R",COUNTIFS($D$4:$D100,"R")+1,"")</f>
        <v>97</v>
      </c>
      <c r="C101" s="19" t="str">
        <f t="shared" si="10"/>
        <v>B-Interbank</v>
      </c>
      <c r="D101" s="3" t="s">
        <v>1074</v>
      </c>
      <c r="E101" s="14">
        <v>45833</v>
      </c>
      <c r="F101" s="5" t="s">
        <v>1251</v>
      </c>
      <c r="G101" s="5" t="s">
        <v>1079</v>
      </c>
      <c r="H101" s="6" t="s">
        <v>442</v>
      </c>
      <c r="I101" s="6" t="s">
        <v>14</v>
      </c>
      <c r="J101" s="6" t="s">
        <v>1121</v>
      </c>
      <c r="K101" s="6">
        <v>253</v>
      </c>
      <c r="L101" s="7" t="s">
        <v>4227</v>
      </c>
      <c r="M101" s="8">
        <v>127614</v>
      </c>
      <c r="N101" s="8" t="str">
        <f t="shared" si="11"/>
        <v>PEN</v>
      </c>
      <c r="O101" s="13"/>
      <c r="P101" s="13">
        <v>632.33000000000004</v>
      </c>
      <c r="Q101" s="3">
        <f t="shared" ref="Q101:Q116" si="15">+IF(OR($G101="SALDO",$G101="INGRESO"),$P101,0)</f>
        <v>0</v>
      </c>
      <c r="R101" s="3">
        <f t="shared" ref="R101:R116" si="16">+IF($G101="EGRESO",$P101,0)</f>
        <v>632.33000000000004</v>
      </c>
      <c r="S101" s="3">
        <f t="shared" ref="S101:S132" si="17">IFERROR(IF(G101="SALDO",Q101,S100+Q101-R101),0)</f>
        <v>3479.3699999999972</v>
      </c>
      <c r="T101" s="24" t="s">
        <v>1081</v>
      </c>
      <c r="U101" s="24" t="s">
        <v>1081</v>
      </c>
      <c r="V101" s="70" t="s">
        <v>4228</v>
      </c>
      <c r="W101" s="3" t="s">
        <v>4229</v>
      </c>
      <c r="X101" s="3" t="s">
        <v>4230</v>
      </c>
      <c r="Y101" s="3"/>
      <c r="Z101" s="3"/>
      <c r="AA101" s="3"/>
      <c r="AB101" s="3" t="str">
        <f>IF(Interbank_Soles[[#This Row],[FECHA]]&gt;0,TEXT(Interbank_Soles[[#This Row],[FECHA]],"mmmm"),0)</f>
        <v>Junio</v>
      </c>
    </row>
    <row r="102" spans="2:28" ht="36" x14ac:dyDescent="0.3">
      <c r="B102" s="2">
        <f>IF(Interbank_Soles[[#This Row],[TIPO DE R.]]="R",COUNTIFS($D$4:$D101,"R")+1,"")</f>
        <v>98</v>
      </c>
      <c r="C102" s="19" t="str">
        <f t="shared" ref="C102:C110" si="18">"B-Interbank"</f>
        <v>B-Interbank</v>
      </c>
      <c r="D102" s="3" t="s">
        <v>1074</v>
      </c>
      <c r="E102" s="14">
        <v>45834</v>
      </c>
      <c r="F102" s="5" t="s">
        <v>151</v>
      </c>
      <c r="G102" s="5" t="s">
        <v>1087</v>
      </c>
      <c r="H102" s="6" t="s">
        <v>368</v>
      </c>
      <c r="I102" s="6"/>
      <c r="J102" s="6"/>
      <c r="K102" s="6"/>
      <c r="L102" s="7" t="s">
        <v>4151</v>
      </c>
      <c r="M102" s="8">
        <v>8077295</v>
      </c>
      <c r="N102" s="8" t="str">
        <f t="shared" ref="N102:N110" si="19">"PEN"</f>
        <v>PEN</v>
      </c>
      <c r="O102" s="13"/>
      <c r="P102" s="13">
        <v>5792.83</v>
      </c>
      <c r="Q102" s="3">
        <f t="shared" si="15"/>
        <v>5792.83</v>
      </c>
      <c r="R102" s="3">
        <f t="shared" si="16"/>
        <v>0</v>
      </c>
      <c r="S102" s="3">
        <f t="shared" si="17"/>
        <v>9272.1999999999971</v>
      </c>
      <c r="T102" s="24" t="s">
        <v>1081</v>
      </c>
      <c r="U102" s="24" t="s">
        <v>1081</v>
      </c>
      <c r="V102" s="3"/>
      <c r="W102" s="3" t="s">
        <v>368</v>
      </c>
      <c r="X102" s="3"/>
      <c r="Y102" s="3"/>
      <c r="Z102" s="3"/>
      <c r="AA102" s="3"/>
      <c r="AB102" s="3" t="str">
        <f>IF(Interbank_Soles[[#This Row],[FECHA]]&gt;0,TEXT(Interbank_Soles[[#This Row],[FECHA]],"mmmm"),0)</f>
        <v>Junio</v>
      </c>
    </row>
    <row r="103" spans="2:28" ht="36" x14ac:dyDescent="0.3">
      <c r="B103" s="2" t="str">
        <f>IF(Interbank_Soles[[#This Row],[TIPO DE R.]]="R",COUNTIFS($D$4:$D102,"R")+1,"")</f>
        <v/>
      </c>
      <c r="C103" s="19" t="str">
        <f>"B-Interbank"</f>
        <v>B-Interbank</v>
      </c>
      <c r="D103" s="3" t="s">
        <v>1101</v>
      </c>
      <c r="E103" s="14">
        <v>45834</v>
      </c>
      <c r="F103" s="5" t="s">
        <v>151</v>
      </c>
      <c r="G103" s="5"/>
      <c r="H103" s="6"/>
      <c r="I103" s="6" t="s">
        <v>14</v>
      </c>
      <c r="J103" s="6" t="s">
        <v>1521</v>
      </c>
      <c r="K103" s="6">
        <v>94</v>
      </c>
      <c r="L103" s="7" t="s">
        <v>4151</v>
      </c>
      <c r="M103" s="8">
        <v>8077295</v>
      </c>
      <c r="N103" s="8" t="str">
        <f>"PEN"</f>
        <v>PEN</v>
      </c>
      <c r="O103" s="13">
        <v>4901.13</v>
      </c>
      <c r="P103" s="13"/>
      <c r="Q103" s="3">
        <f t="shared" si="15"/>
        <v>0</v>
      </c>
      <c r="R103" s="3">
        <f t="shared" si="16"/>
        <v>0</v>
      </c>
      <c r="S103" s="3">
        <f t="shared" si="17"/>
        <v>9272.1999999999971</v>
      </c>
      <c r="T103" s="24" t="s">
        <v>1081</v>
      </c>
      <c r="U103" s="24" t="s">
        <v>1081</v>
      </c>
      <c r="V103" s="3"/>
      <c r="W103" s="3"/>
      <c r="X103" s="3"/>
      <c r="Y103" s="3"/>
      <c r="Z103" s="3"/>
      <c r="AA103" s="3"/>
      <c r="AB103" s="3" t="str">
        <f>IF(Interbank_Soles[[#This Row],[FECHA]]&gt;0,TEXT(Interbank_Soles[[#This Row],[FECHA]],"mmmm"),0)</f>
        <v>Junio</v>
      </c>
    </row>
    <row r="104" spans="2:28" ht="36" x14ac:dyDescent="0.3">
      <c r="B104" s="2" t="str">
        <f>IF(Interbank_Soles[[#This Row],[TIPO DE R.]]="R",COUNTIFS($D$4:$D103,"R")+1,"")</f>
        <v/>
      </c>
      <c r="C104" s="19" t="str">
        <f>"B-Interbank"</f>
        <v>B-Interbank</v>
      </c>
      <c r="D104" s="3" t="s">
        <v>1101</v>
      </c>
      <c r="E104" s="14">
        <v>45834</v>
      </c>
      <c r="F104" s="5" t="s">
        <v>151</v>
      </c>
      <c r="G104" s="5"/>
      <c r="H104" s="6"/>
      <c r="I104" s="6" t="s">
        <v>14</v>
      </c>
      <c r="J104" s="6" t="s">
        <v>1521</v>
      </c>
      <c r="K104" s="6">
        <v>95</v>
      </c>
      <c r="L104" s="7" t="s">
        <v>4151</v>
      </c>
      <c r="M104" s="8">
        <v>8077295</v>
      </c>
      <c r="N104" s="8" t="str">
        <f>"PEN"</f>
        <v>PEN</v>
      </c>
      <c r="O104" s="13">
        <v>256.31</v>
      </c>
      <c r="P104" s="13"/>
      <c r="Q104" s="3">
        <f t="shared" si="15"/>
        <v>0</v>
      </c>
      <c r="R104" s="3">
        <f t="shared" si="16"/>
        <v>0</v>
      </c>
      <c r="S104" s="3">
        <f t="shared" si="17"/>
        <v>9272.1999999999971</v>
      </c>
      <c r="T104" s="24" t="s">
        <v>1081</v>
      </c>
      <c r="U104" s="24" t="s">
        <v>1081</v>
      </c>
      <c r="V104" s="3"/>
      <c r="W104" s="3"/>
      <c r="X104" s="3"/>
      <c r="Y104" s="3"/>
      <c r="Z104" s="3"/>
      <c r="AA104" s="3"/>
      <c r="AB104" s="3" t="str">
        <f>IF(Interbank_Soles[[#This Row],[FECHA]]&gt;0,TEXT(Interbank_Soles[[#This Row],[FECHA]],"mmmm"),0)</f>
        <v>Junio</v>
      </c>
    </row>
    <row r="105" spans="2:28" ht="36" x14ac:dyDescent="0.3">
      <c r="B105" s="2" t="str">
        <f>IF(Interbank_Soles[[#This Row],[TIPO DE R.]]="R",COUNTIFS($D$4:$D104,"R")+1,"")</f>
        <v/>
      </c>
      <c r="C105" s="19" t="str">
        <f>"B-Interbank"</f>
        <v>B-Interbank</v>
      </c>
      <c r="D105" s="3" t="s">
        <v>1101</v>
      </c>
      <c r="E105" s="14">
        <v>45834</v>
      </c>
      <c r="F105" s="5" t="s">
        <v>151</v>
      </c>
      <c r="G105" s="5"/>
      <c r="H105" s="6"/>
      <c r="I105" s="6" t="s">
        <v>14</v>
      </c>
      <c r="J105" s="6" t="s">
        <v>1521</v>
      </c>
      <c r="K105" s="6">
        <v>96</v>
      </c>
      <c r="L105" s="7" t="s">
        <v>4151</v>
      </c>
      <c r="M105" s="8">
        <v>8077295</v>
      </c>
      <c r="N105" s="8" t="str">
        <f>"PEN"</f>
        <v>PEN</v>
      </c>
      <c r="O105" s="13">
        <v>635.39</v>
      </c>
      <c r="P105" s="13"/>
      <c r="Q105" s="3">
        <f t="shared" si="15"/>
        <v>0</v>
      </c>
      <c r="R105" s="3">
        <f t="shared" si="16"/>
        <v>0</v>
      </c>
      <c r="S105" s="3">
        <f t="shared" si="17"/>
        <v>9272.1999999999971</v>
      </c>
      <c r="T105" s="24" t="s">
        <v>1081</v>
      </c>
      <c r="U105" s="24" t="s">
        <v>1081</v>
      </c>
      <c r="V105" s="3"/>
      <c r="W105" s="3"/>
      <c r="X105" s="3"/>
      <c r="Y105" s="3"/>
      <c r="Z105" s="3"/>
      <c r="AA105" s="3"/>
      <c r="AB105" s="3" t="str">
        <f>IF(Interbank_Soles[[#This Row],[FECHA]]&gt;0,TEXT(Interbank_Soles[[#This Row],[FECHA]],"mmmm"),0)</f>
        <v>Junio</v>
      </c>
    </row>
    <row r="106" spans="2:28" x14ac:dyDescent="0.3">
      <c r="B106" s="2">
        <f>IF(Interbank_Soles[[#This Row],[TIPO DE R.]]="R",COUNTIFS($D$4:$D105,"R")+1,"")</f>
        <v>99</v>
      </c>
      <c r="C106" s="19" t="str">
        <f t="shared" si="18"/>
        <v>B-Interbank</v>
      </c>
      <c r="D106" s="3" t="s">
        <v>1074</v>
      </c>
      <c r="E106" s="14">
        <v>45834</v>
      </c>
      <c r="F106" s="5"/>
      <c r="G106" s="5" t="s">
        <v>1079</v>
      </c>
      <c r="H106" s="6"/>
      <c r="I106" s="6"/>
      <c r="J106" s="6"/>
      <c r="K106" s="6"/>
      <c r="L106" s="7" t="s">
        <v>4128</v>
      </c>
      <c r="M106" s="8" t="s">
        <v>1077</v>
      </c>
      <c r="N106" s="8" t="str">
        <f t="shared" si="19"/>
        <v>PEN</v>
      </c>
      <c r="O106" s="13"/>
      <c r="P106" s="13">
        <v>0.25</v>
      </c>
      <c r="Q106" s="3">
        <f t="shared" si="15"/>
        <v>0</v>
      </c>
      <c r="R106" s="3">
        <f t="shared" si="16"/>
        <v>0.25</v>
      </c>
      <c r="S106" s="3">
        <f t="shared" si="17"/>
        <v>9271.9499999999971</v>
      </c>
      <c r="T106" s="24"/>
      <c r="U106" s="24"/>
      <c r="V106" s="3"/>
      <c r="W106" s="3"/>
      <c r="X106" s="3"/>
      <c r="Y106" s="3"/>
      <c r="Z106" s="3"/>
      <c r="AA106" s="3"/>
      <c r="AB106" s="3" t="str">
        <f>IF(Interbank_Soles[[#This Row],[FECHA]]&gt;0,TEXT(Interbank_Soles[[#This Row],[FECHA]],"mmmm"),0)</f>
        <v>Junio</v>
      </c>
    </row>
    <row r="107" spans="2:28" ht="24" x14ac:dyDescent="0.3">
      <c r="B107" s="2">
        <f>IF(Interbank_Soles[[#This Row],[TIPO DE R.]]="R",COUNTIFS($D$4:$D106,"R")+1,"")</f>
        <v>100</v>
      </c>
      <c r="C107" s="19" t="str">
        <f t="shared" si="18"/>
        <v>B-Interbank</v>
      </c>
      <c r="D107" s="3" t="s">
        <v>1074</v>
      </c>
      <c r="E107" s="14">
        <v>45835</v>
      </c>
      <c r="F107" s="5" t="s">
        <v>1251</v>
      </c>
      <c r="G107" s="5" t="s">
        <v>1079</v>
      </c>
      <c r="H107" s="6" t="s">
        <v>993</v>
      </c>
      <c r="I107" s="6" t="s">
        <v>14</v>
      </c>
      <c r="J107" s="6" t="s">
        <v>1121</v>
      </c>
      <c r="K107" s="6">
        <v>1</v>
      </c>
      <c r="L107" s="7" t="s">
        <v>4231</v>
      </c>
      <c r="M107" s="8">
        <v>413055</v>
      </c>
      <c r="N107" s="8" t="str">
        <f t="shared" si="19"/>
        <v>PEN</v>
      </c>
      <c r="O107" s="13"/>
      <c r="P107" s="13">
        <v>5800</v>
      </c>
      <c r="Q107" s="3">
        <f t="shared" si="15"/>
        <v>0</v>
      </c>
      <c r="R107" s="3">
        <f t="shared" si="16"/>
        <v>5800</v>
      </c>
      <c r="S107" s="3">
        <f t="shared" si="17"/>
        <v>3471.9499999999971</v>
      </c>
      <c r="T107" s="24" t="s">
        <v>1081</v>
      </c>
      <c r="U107" s="24" t="s">
        <v>1081</v>
      </c>
      <c r="V107" s="3"/>
      <c r="W107" s="3"/>
      <c r="X107" s="3"/>
      <c r="Y107" s="3"/>
      <c r="Z107" s="3"/>
      <c r="AA107" s="3"/>
      <c r="AB107" s="3" t="str">
        <f>IF(Interbank_Soles[[#This Row],[FECHA]]&gt;0,TEXT(Interbank_Soles[[#This Row],[FECHA]],"mmmm"),0)</f>
        <v>Junio</v>
      </c>
    </row>
    <row r="108" spans="2:28" x14ac:dyDescent="0.3">
      <c r="B108" s="2">
        <f>IF(Interbank_Soles[[#This Row],[TIPO DE R.]]="R",COUNTIFS($D$4:$D107,"R")+1,"")</f>
        <v>101</v>
      </c>
      <c r="C108" s="19" t="str">
        <f t="shared" si="18"/>
        <v>B-Interbank</v>
      </c>
      <c r="D108" s="3" t="s">
        <v>1074</v>
      </c>
      <c r="E108" s="14">
        <v>45835</v>
      </c>
      <c r="F108" s="5"/>
      <c r="G108" s="5" t="s">
        <v>1079</v>
      </c>
      <c r="H108" s="6"/>
      <c r="I108" s="6"/>
      <c r="J108" s="6"/>
      <c r="K108" s="6"/>
      <c r="L108" s="7" t="s">
        <v>4128</v>
      </c>
      <c r="M108" s="8" t="s">
        <v>1077</v>
      </c>
      <c r="N108" s="8" t="str">
        <f t="shared" si="19"/>
        <v>PEN</v>
      </c>
      <c r="O108" s="13"/>
      <c r="P108" s="13">
        <v>0.25</v>
      </c>
      <c r="Q108" s="3">
        <f t="shared" si="15"/>
        <v>0</v>
      </c>
      <c r="R108" s="3">
        <f t="shared" si="16"/>
        <v>0.25</v>
      </c>
      <c r="S108" s="3">
        <f t="shared" si="17"/>
        <v>3471.6999999999971</v>
      </c>
      <c r="T108" s="24"/>
      <c r="U108" s="24"/>
      <c r="V108" s="3"/>
      <c r="W108" s="3"/>
      <c r="X108" s="3"/>
      <c r="Y108" s="3"/>
      <c r="Z108" s="3"/>
      <c r="AA108" s="3"/>
      <c r="AB108" s="3" t="str">
        <f>IF(Interbank_Soles[[#This Row],[FECHA]]&gt;0,TEXT(Interbank_Soles[[#This Row],[FECHA]],"mmmm"),0)</f>
        <v>Junio</v>
      </c>
    </row>
    <row r="109" spans="2:28" ht="24" x14ac:dyDescent="0.3">
      <c r="B109" s="2">
        <f>IF(Interbank_Soles[[#This Row],[TIPO DE R.]]="R",COUNTIFS($D$4:$D108,"R")+1,"")</f>
        <v>102</v>
      </c>
      <c r="C109" s="19" t="str">
        <f t="shared" si="18"/>
        <v>B-Interbank</v>
      </c>
      <c r="D109" s="3" t="s">
        <v>1074</v>
      </c>
      <c r="E109" s="14">
        <v>45840</v>
      </c>
      <c r="F109" s="5" t="s">
        <v>1251</v>
      </c>
      <c r="G109" s="5" t="s">
        <v>1079</v>
      </c>
      <c r="H109" s="6" t="s">
        <v>1012</v>
      </c>
      <c r="I109" s="6" t="s">
        <v>14</v>
      </c>
      <c r="J109" s="6" t="s">
        <v>1121</v>
      </c>
      <c r="K109" s="6">
        <v>148</v>
      </c>
      <c r="L109" s="7" t="s">
        <v>4232</v>
      </c>
      <c r="M109" s="8">
        <v>795473</v>
      </c>
      <c r="N109" s="8" t="str">
        <f t="shared" si="19"/>
        <v>PEN</v>
      </c>
      <c r="O109" s="13"/>
      <c r="P109" s="13">
        <v>147.5</v>
      </c>
      <c r="Q109" s="3">
        <f t="shared" si="15"/>
        <v>0</v>
      </c>
      <c r="R109" s="3">
        <f t="shared" si="16"/>
        <v>147.5</v>
      </c>
      <c r="S109" s="3">
        <f t="shared" si="17"/>
        <v>3324.1999999999971</v>
      </c>
      <c r="T109" s="24"/>
      <c r="U109" s="24"/>
      <c r="V109" s="3"/>
      <c r="W109" s="3"/>
      <c r="X109" s="3"/>
      <c r="Y109" s="3"/>
      <c r="Z109" s="3"/>
      <c r="AA109" s="3"/>
      <c r="AB109" s="3" t="str">
        <f>IF(Interbank_Soles[[#This Row],[FECHA]]&gt;0,TEXT(Interbank_Soles[[#This Row],[FECHA]],"mmmm"),0)</f>
        <v>Julio</v>
      </c>
    </row>
    <row r="110" spans="2:28" x14ac:dyDescent="0.3">
      <c r="B110" s="2">
        <f>IF(Interbank_Soles[[#This Row],[TIPO DE R.]]="R",COUNTIFS($D$4:$D109,"R")+1,"")</f>
        <v>103</v>
      </c>
      <c r="C110" s="19" t="str">
        <f t="shared" si="18"/>
        <v>B-Interbank</v>
      </c>
      <c r="D110" s="3" t="s">
        <v>1074</v>
      </c>
      <c r="E110" s="14">
        <v>45840</v>
      </c>
      <c r="F110" s="5" t="s">
        <v>1251</v>
      </c>
      <c r="G110" s="5" t="s">
        <v>1079</v>
      </c>
      <c r="H110" s="6" t="s">
        <v>368</v>
      </c>
      <c r="I110" s="6"/>
      <c r="J110" s="6"/>
      <c r="K110" s="6"/>
      <c r="L110" s="7" t="s">
        <v>3394</v>
      </c>
      <c r="M110" s="8"/>
      <c r="N110" s="8" t="str">
        <f t="shared" si="19"/>
        <v>PEN</v>
      </c>
      <c r="O110" s="13"/>
      <c r="P110" s="13">
        <v>3005.3</v>
      </c>
      <c r="Q110" s="3">
        <f t="shared" si="15"/>
        <v>0</v>
      </c>
      <c r="R110" s="3">
        <f t="shared" si="16"/>
        <v>3005.3</v>
      </c>
      <c r="S110" s="3">
        <f t="shared" si="17"/>
        <v>318.89999999999691</v>
      </c>
      <c r="T110" s="24"/>
      <c r="U110" s="24"/>
      <c r="V110" s="3"/>
      <c r="W110" s="3"/>
      <c r="X110" s="3"/>
      <c r="Y110" s="3"/>
      <c r="Z110" s="3"/>
      <c r="AA110" s="3"/>
      <c r="AB110" s="3" t="str">
        <f>IF(Interbank_Soles[[#This Row],[FECHA]]&gt;0,TEXT(Interbank_Soles[[#This Row],[FECHA]],"mmmm"),0)</f>
        <v>Julio</v>
      </c>
    </row>
    <row r="111" spans="2:28" x14ac:dyDescent="0.3">
      <c r="B111" s="2" t="str">
        <f>IF(Interbank_Soles[[#This Row],[TIPO DE R.]]="R",COUNTIFS($D$4:$D110,"R")+1,"")</f>
        <v/>
      </c>
      <c r="C111" s="19" t="str">
        <f>"B-Interbank"</f>
        <v>B-Interbank</v>
      </c>
      <c r="D111" s="3" t="s">
        <v>1101</v>
      </c>
      <c r="E111" s="14">
        <v>45840</v>
      </c>
      <c r="F111" s="5" t="s">
        <v>1251</v>
      </c>
      <c r="G111" s="5"/>
      <c r="H111" s="6"/>
      <c r="I111" s="6"/>
      <c r="J111" s="6"/>
      <c r="K111" s="6"/>
      <c r="L111" s="7"/>
      <c r="M111" s="8"/>
      <c r="N111" s="8" t="str">
        <f>"PEN"</f>
        <v>PEN</v>
      </c>
      <c r="O111" s="13"/>
      <c r="P111" s="13"/>
      <c r="Q111" s="3">
        <f>+IF(OR($G111="SALDO",$G111="INGRESO"),$P111,0)</f>
        <v>0</v>
      </c>
      <c r="R111" s="3">
        <f>+IF($G111="EGRESO",$P111,0)</f>
        <v>0</v>
      </c>
      <c r="S111" s="3">
        <f t="shared" si="17"/>
        <v>318.89999999999691</v>
      </c>
      <c r="T111" s="24"/>
      <c r="U111" s="24"/>
      <c r="V111" s="3"/>
      <c r="W111" s="3"/>
      <c r="X111" s="3"/>
      <c r="Y111" s="3"/>
      <c r="Z111" s="3"/>
      <c r="AA111" s="3"/>
      <c r="AB111" s="3" t="str">
        <f>IF(Interbank_Soles[[#This Row],[FECHA]]&gt;0,TEXT(Interbank_Soles[[#This Row],[FECHA]],"mmmm"),0)</f>
        <v>Julio</v>
      </c>
    </row>
    <row r="112" spans="2:28" x14ac:dyDescent="0.3">
      <c r="B112" s="2" t="str">
        <f>IF(Interbank_Soles[[#This Row],[TIPO DE R.]]="R",COUNTIFS($D$4:$D111,"R")+1,"")</f>
        <v/>
      </c>
      <c r="C112" s="19" t="str">
        <f>"B-Interbank"</f>
        <v>B-Interbank</v>
      </c>
      <c r="D112" s="3" t="s">
        <v>1101</v>
      </c>
      <c r="E112" s="14">
        <v>45840</v>
      </c>
      <c r="F112" s="5" t="s">
        <v>1251</v>
      </c>
      <c r="G112" s="5"/>
      <c r="H112" s="6"/>
      <c r="I112" s="6"/>
      <c r="J112" s="6"/>
      <c r="K112" s="6"/>
      <c r="L112" s="7"/>
      <c r="M112" s="8"/>
      <c r="N112" s="8" t="str">
        <f>"PEN"</f>
        <v>PEN</v>
      </c>
      <c r="O112" s="13"/>
      <c r="P112" s="13"/>
      <c r="Q112" s="3">
        <f>+IF(OR($G112="SALDO",$G112="INGRESO"),$P112,0)</f>
        <v>0</v>
      </c>
      <c r="R112" s="3">
        <f>+IF($G112="EGRESO",$P112,0)</f>
        <v>0</v>
      </c>
      <c r="S112" s="3">
        <f t="shared" si="17"/>
        <v>318.89999999999691</v>
      </c>
      <c r="T112" s="24"/>
      <c r="U112" s="24"/>
      <c r="V112" s="3"/>
      <c r="W112" s="3"/>
      <c r="X112" s="3"/>
      <c r="Y112" s="3"/>
      <c r="Z112" s="3"/>
      <c r="AA112" s="3"/>
      <c r="AB112" s="3" t="str">
        <f>IF(Interbank_Soles[[#This Row],[FECHA]]&gt;0,TEXT(Interbank_Soles[[#This Row],[FECHA]],"mmmm"),0)</f>
        <v>Julio</v>
      </c>
    </row>
    <row r="113" spans="2:28" ht="48" x14ac:dyDescent="0.3">
      <c r="B113" s="2">
        <f>IF(Interbank_Soles[[#This Row],[TIPO DE R.]]="R",COUNTIFS($D$4:$D112,"R")+1,"")</f>
        <v>104</v>
      </c>
      <c r="C113" s="19" t="str">
        <f t="shared" ref="C113:C115" si="20">"B-Interbank"</f>
        <v>B-Interbank</v>
      </c>
      <c r="D113" s="3" t="s">
        <v>1074</v>
      </c>
      <c r="E113" s="14">
        <v>45842</v>
      </c>
      <c r="F113" s="5" t="s">
        <v>253</v>
      </c>
      <c r="G113" s="5" t="s">
        <v>1087</v>
      </c>
      <c r="H113" s="6" t="s">
        <v>368</v>
      </c>
      <c r="I113" s="6" t="s">
        <v>14</v>
      </c>
      <c r="J113" s="6" t="s">
        <v>1521</v>
      </c>
      <c r="K113" s="6">
        <v>119</v>
      </c>
      <c r="L113" s="7" t="s">
        <v>4233</v>
      </c>
      <c r="M113" s="8">
        <v>126747</v>
      </c>
      <c r="N113" s="8" t="str">
        <f t="shared" ref="N113:N115" si="21">"PEN"</f>
        <v>PEN</v>
      </c>
      <c r="O113" s="13"/>
      <c r="P113" s="13">
        <v>1003</v>
      </c>
      <c r="Q113" s="3">
        <f t="shared" si="15"/>
        <v>1003</v>
      </c>
      <c r="R113" s="3">
        <f t="shared" si="16"/>
        <v>0</v>
      </c>
      <c r="S113" s="3">
        <f t="shared" si="17"/>
        <v>1321.8999999999969</v>
      </c>
      <c r="T113" s="24" t="s">
        <v>1081</v>
      </c>
      <c r="U113" s="24" t="s">
        <v>1081</v>
      </c>
      <c r="V113" s="3"/>
      <c r="W113" s="3"/>
      <c r="X113" s="3"/>
      <c r="Y113" s="3"/>
      <c r="Z113" s="3"/>
      <c r="AA113" s="3"/>
      <c r="AB113" s="3" t="str">
        <f>IF(Interbank_Soles[[#This Row],[FECHA]]&gt;0,TEXT(Interbank_Soles[[#This Row],[FECHA]],"mmmm"),0)</f>
        <v>Julio</v>
      </c>
    </row>
    <row r="114" spans="2:28" x14ac:dyDescent="0.3">
      <c r="B114" s="2">
        <f>IF(Interbank_Soles[[#This Row],[TIPO DE R.]]="R",COUNTIFS($D$4:$D113,"R")+1,"")</f>
        <v>105</v>
      </c>
      <c r="C114" s="19" t="str">
        <f t="shared" si="20"/>
        <v>B-Interbank</v>
      </c>
      <c r="D114" s="3" t="s">
        <v>1074</v>
      </c>
      <c r="E114" s="14">
        <v>45842</v>
      </c>
      <c r="F114" s="5" t="s">
        <v>4234</v>
      </c>
      <c r="G114" s="5" t="s">
        <v>1079</v>
      </c>
      <c r="H114" s="6" t="s">
        <v>950</v>
      </c>
      <c r="I114" s="6" t="s">
        <v>10</v>
      </c>
      <c r="J114" s="6" t="s">
        <v>4235</v>
      </c>
      <c r="K114" s="6">
        <v>105</v>
      </c>
      <c r="L114" s="7" t="s">
        <v>4236</v>
      </c>
      <c r="M114" s="8"/>
      <c r="N114" s="8" t="str">
        <f t="shared" si="21"/>
        <v>PEN</v>
      </c>
      <c r="O114" s="13"/>
      <c r="P114" s="13">
        <v>0.05</v>
      </c>
      <c r="Q114" s="3">
        <f t="shared" si="15"/>
        <v>0</v>
      </c>
      <c r="R114" s="3">
        <f t="shared" si="16"/>
        <v>0.05</v>
      </c>
      <c r="S114" s="3">
        <f t="shared" si="17"/>
        <v>1321.849999999997</v>
      </c>
      <c r="T114" s="24" t="s">
        <v>1081</v>
      </c>
      <c r="U114" s="24"/>
      <c r="V114" s="3"/>
      <c r="W114" s="3"/>
      <c r="X114" s="3"/>
      <c r="Y114" s="3"/>
      <c r="Z114" s="3"/>
      <c r="AA114" s="3"/>
      <c r="AB114" s="3" t="str">
        <f>IF(Interbank_Soles[[#This Row],[FECHA]]&gt;0,TEXT(Interbank_Soles[[#This Row],[FECHA]],"mmmm"),0)</f>
        <v>Julio</v>
      </c>
    </row>
    <row r="115" spans="2:28" x14ac:dyDescent="0.3">
      <c r="B115" s="2">
        <f>IF(Interbank_Soles[[#This Row],[TIPO DE R.]]="R",COUNTIFS($D$4:$D114,"R")+1,"")</f>
        <v>106</v>
      </c>
      <c r="C115" s="19" t="str">
        <f t="shared" si="20"/>
        <v>B-Interbank</v>
      </c>
      <c r="D115" s="3" t="s">
        <v>1074</v>
      </c>
      <c r="E115" s="14">
        <v>45842</v>
      </c>
      <c r="F115" s="5"/>
      <c r="G115" s="5" t="s">
        <v>1079</v>
      </c>
      <c r="H115" s="6"/>
      <c r="I115" s="6"/>
      <c r="J115" s="6"/>
      <c r="K115" s="6"/>
      <c r="L115" s="7" t="s">
        <v>4237</v>
      </c>
      <c r="M115" s="8">
        <v>248307</v>
      </c>
      <c r="N115" s="8" t="str">
        <f t="shared" si="21"/>
        <v>PEN</v>
      </c>
      <c r="O115" s="13"/>
      <c r="P115" s="13">
        <v>180</v>
      </c>
      <c r="Q115" s="3">
        <f t="shared" si="15"/>
        <v>0</v>
      </c>
      <c r="R115" s="3">
        <f t="shared" si="16"/>
        <v>180</v>
      </c>
      <c r="S115" s="3">
        <f t="shared" si="17"/>
        <v>1141.849999999997</v>
      </c>
      <c r="T115" s="24"/>
      <c r="U115" s="24"/>
      <c r="V115" s="3"/>
      <c r="W115" s="3"/>
      <c r="X115" s="3"/>
      <c r="Y115" s="3"/>
      <c r="Z115" s="3"/>
      <c r="AA115" s="3"/>
      <c r="AB115" s="3" t="str">
        <f>IF(Interbank_Soles[[#This Row],[FECHA]]&gt;0,TEXT(Interbank_Soles[[#This Row],[FECHA]],"mmmm"),0)</f>
        <v>Julio</v>
      </c>
    </row>
    <row r="116" spans="2:28" ht="24" x14ac:dyDescent="0.3">
      <c r="B116" s="2">
        <f>IF(Interbank_Soles[[#This Row],[TIPO DE R.]]="R",COUNTIFS($D$4:$D115,"R")+1,"")</f>
        <v>107</v>
      </c>
      <c r="C116" s="19" t="str">
        <f>"B-Interbank"</f>
        <v>B-Interbank</v>
      </c>
      <c r="D116" s="3" t="s">
        <v>1074</v>
      </c>
      <c r="E116" s="14">
        <v>45849</v>
      </c>
      <c r="F116" s="5" t="s">
        <v>1082</v>
      </c>
      <c r="G116" s="5" t="s">
        <v>1079</v>
      </c>
      <c r="H116" s="6" t="s">
        <v>307</v>
      </c>
      <c r="I116" s="6" t="s">
        <v>14</v>
      </c>
      <c r="J116" s="6" t="s">
        <v>4163</v>
      </c>
      <c r="K116" s="6">
        <v>15923</v>
      </c>
      <c r="L116" s="7" t="s">
        <v>4179</v>
      </c>
      <c r="M116" s="8">
        <v>493382</v>
      </c>
      <c r="N116" s="8" t="str">
        <f>"PEN"</f>
        <v>PEN</v>
      </c>
      <c r="O116" s="13"/>
      <c r="P116" s="13">
        <v>226.56</v>
      </c>
      <c r="Q116" s="3">
        <f t="shared" si="15"/>
        <v>0</v>
      </c>
      <c r="R116" s="3">
        <f t="shared" si="16"/>
        <v>226.56</v>
      </c>
      <c r="S116" s="3">
        <f t="shared" si="17"/>
        <v>915.28999999999701</v>
      </c>
      <c r="T116" s="24" t="s">
        <v>1081</v>
      </c>
      <c r="U116" s="24" t="s">
        <v>1081</v>
      </c>
      <c r="V116" s="3"/>
      <c r="W116" s="3"/>
      <c r="X116" s="3"/>
      <c r="Y116" s="3"/>
      <c r="Z116" s="3"/>
      <c r="AA116" s="3"/>
      <c r="AB116" s="3" t="str">
        <f>IF(Interbank_Soles[[#This Row],[FECHA]]&gt;0,TEXT(Interbank_Soles[[#This Row],[FECHA]],"mmmm"),0)</f>
        <v>Julio</v>
      </c>
    </row>
    <row r="117" spans="2:28" ht="24" x14ac:dyDescent="0.3">
      <c r="B117" s="2">
        <f>IF(Interbank_Soles[[#This Row],[TIPO DE R.]]="R",COUNTIFS($D$4:$D116,"R")+1,"")</f>
        <v>108</v>
      </c>
      <c r="C117" s="19" t="str">
        <f>"B-Interbank"</f>
        <v>B-Interbank</v>
      </c>
      <c r="D117" s="3" t="s">
        <v>1074</v>
      </c>
      <c r="E117" s="14">
        <v>45854</v>
      </c>
      <c r="F117" s="5" t="s">
        <v>1082</v>
      </c>
      <c r="G117" s="5" t="s">
        <v>1079</v>
      </c>
      <c r="H117" s="6" t="s">
        <v>307</v>
      </c>
      <c r="I117" s="6" t="s">
        <v>14</v>
      </c>
      <c r="J117" s="6" t="s">
        <v>4163</v>
      </c>
      <c r="K117" s="6">
        <v>15708</v>
      </c>
      <c r="L117" s="7" t="s">
        <v>4179</v>
      </c>
      <c r="M117" s="8">
        <v>1017500</v>
      </c>
      <c r="N117" s="8" t="str">
        <f>"PEN"</f>
        <v>PEN</v>
      </c>
      <c r="O117" s="13"/>
      <c r="P117" s="13">
        <v>258.42</v>
      </c>
      <c r="Q117" s="3">
        <f>+IF(OR($G117="SALDO",$G117="INGRESO"),$P117,0)</f>
        <v>0</v>
      </c>
      <c r="R117" s="3">
        <f>+IF($G117="EGRESO",$P117,0)</f>
        <v>258.42</v>
      </c>
      <c r="S117" s="3">
        <f t="shared" si="17"/>
        <v>656.86999999999694</v>
      </c>
      <c r="T117" s="24" t="s">
        <v>1081</v>
      </c>
      <c r="U117" s="24" t="s">
        <v>1081</v>
      </c>
      <c r="V117" s="3"/>
      <c r="W117" s="3"/>
      <c r="X117" s="3"/>
      <c r="Y117" s="3"/>
      <c r="Z117" s="3"/>
      <c r="AA117" s="3"/>
      <c r="AB117" s="3" t="str">
        <f>IF(Interbank_Soles[[#This Row],[FECHA]]&gt;0,TEXT(Interbank_Soles[[#This Row],[FECHA]],"mmmm"),0)</f>
        <v>Julio</v>
      </c>
    </row>
    <row r="118" spans="2:28" ht="24" x14ac:dyDescent="0.3">
      <c r="B118" s="2">
        <f>IF(Interbank_Soles[[#This Row],[TIPO DE R.]]="R",COUNTIFS($D$4:$D117,"R")+1,"")</f>
        <v>109</v>
      </c>
      <c r="C118" s="19" t="str">
        <f>"B-Interbank"</f>
        <v>B-Interbank</v>
      </c>
      <c r="D118" s="3" t="s">
        <v>1074</v>
      </c>
      <c r="E118" s="14">
        <v>45859</v>
      </c>
      <c r="F118" s="5" t="s">
        <v>1082</v>
      </c>
      <c r="G118" s="5" t="s">
        <v>1079</v>
      </c>
      <c r="H118" s="6" t="s">
        <v>307</v>
      </c>
      <c r="I118" s="6" t="s">
        <v>14</v>
      </c>
      <c r="J118" s="6" t="s">
        <v>1248</v>
      </c>
      <c r="K118" s="6">
        <v>11241</v>
      </c>
      <c r="L118" s="7" t="s">
        <v>4179</v>
      </c>
      <c r="M118" s="8">
        <v>2643658</v>
      </c>
      <c r="N118" s="8" t="str">
        <f>"PEN"</f>
        <v>PEN</v>
      </c>
      <c r="O118" s="13"/>
      <c r="P118" s="13">
        <v>253.7</v>
      </c>
      <c r="Q118" s="3">
        <f>+IF(OR($G118="SALDO",$G118="INGRESO"),$P118,0)</f>
        <v>0</v>
      </c>
      <c r="R118" s="3">
        <f>+IF($G118="EGRESO",$P118,0)</f>
        <v>253.7</v>
      </c>
      <c r="S118" s="3">
        <f t="shared" si="17"/>
        <v>403.16999999999695</v>
      </c>
      <c r="T118" s="24" t="s">
        <v>1081</v>
      </c>
      <c r="U118" s="24" t="s">
        <v>1081</v>
      </c>
      <c r="V118" s="3"/>
      <c r="W118" s="3"/>
      <c r="X118" s="3"/>
      <c r="Y118" s="3"/>
      <c r="Z118" s="3"/>
      <c r="AA118" s="3"/>
      <c r="AB118" s="3" t="str">
        <f>IF(Interbank_Soles[[#This Row],[FECHA]]&gt;0,TEXT(Interbank_Soles[[#This Row],[FECHA]],"mmmm"),0)</f>
        <v>Julio</v>
      </c>
    </row>
    <row r="119" spans="2:28" x14ac:dyDescent="0.3">
      <c r="B119" s="2">
        <f>IF(Interbank_Soles[[#This Row],[TIPO DE R.]]="R",COUNTIFS($D$4:$D118,"R")+1,"")</f>
        <v>110</v>
      </c>
      <c r="C119" s="19" t="str">
        <f>"B-Interbank"</f>
        <v>B-Interbank</v>
      </c>
      <c r="D119" s="3" t="s">
        <v>1074</v>
      </c>
      <c r="E119" s="14">
        <v>45862</v>
      </c>
      <c r="F119" s="5" t="s">
        <v>1082</v>
      </c>
      <c r="G119" s="5" t="s">
        <v>1079</v>
      </c>
      <c r="H119" s="6" t="s">
        <v>4238</v>
      </c>
      <c r="I119" s="6"/>
      <c r="J119" s="6"/>
      <c r="K119" s="6"/>
      <c r="L119" s="7" t="s">
        <v>4239</v>
      </c>
      <c r="M119" s="8">
        <v>1606101</v>
      </c>
      <c r="N119" s="8" t="str">
        <f>"PEN"</f>
        <v>PEN</v>
      </c>
      <c r="O119" s="13"/>
      <c r="P119" s="13">
        <v>60</v>
      </c>
      <c r="Q119" s="3">
        <f>+IF(OR($G119="SALDO",$G119="INGRESO"),$P119,0)</f>
        <v>0</v>
      </c>
      <c r="R119" s="3">
        <f>+IF($G119="EGRESO",$P119,0)</f>
        <v>60</v>
      </c>
      <c r="S119" s="3">
        <f t="shared" si="17"/>
        <v>343.16999999999695</v>
      </c>
      <c r="T119" s="24"/>
      <c r="U119" s="24"/>
      <c r="V119" s="3"/>
      <c r="W119" s="3"/>
      <c r="X119" s="3"/>
      <c r="Y119" s="3"/>
      <c r="Z119" s="3"/>
      <c r="AA119" s="3"/>
      <c r="AB119" s="3" t="str">
        <f>IF(Interbank_Soles[[#This Row],[FECHA]]&gt;0,TEXT(Interbank_Soles[[#This Row],[FECHA]],"mmmm"),0)</f>
        <v>Julio</v>
      </c>
    </row>
    <row r="120" spans="2:28" ht="36.75" customHeight="1" x14ac:dyDescent="0.3">
      <c r="B120" s="2">
        <f>IF(Interbank_Soles[[#This Row],[TIPO DE R.]]="R",COUNTIFS($D$4:$D119,"R")+1,"")</f>
        <v>111</v>
      </c>
      <c r="C120" s="19" t="str">
        <f t="shared" ref="C120:C124" si="22">"B-Interbank"</f>
        <v>B-Interbank</v>
      </c>
      <c r="D120" s="3" t="s">
        <v>1074</v>
      </c>
      <c r="E120" s="14">
        <v>45869</v>
      </c>
      <c r="F120" s="5" t="s">
        <v>151</v>
      </c>
      <c r="G120" s="5" t="s">
        <v>1087</v>
      </c>
      <c r="H120" s="6" t="s">
        <v>368</v>
      </c>
      <c r="I120" s="6"/>
      <c r="J120" s="6"/>
      <c r="K120" s="6"/>
      <c r="L120" s="7" t="s">
        <v>4191</v>
      </c>
      <c r="M120" s="8">
        <v>8159070</v>
      </c>
      <c r="N120" s="8" t="str">
        <f t="shared" ref="N120:N124" si="23">"PEN"</f>
        <v>PEN</v>
      </c>
      <c r="O120" s="13"/>
      <c r="P120" s="13">
        <v>7010.7</v>
      </c>
      <c r="Q120" s="3">
        <f t="shared" ref="Q120:Q124" si="24">+IF(OR($G120="SALDO",$G120="INGRESO"),$P120,0)</f>
        <v>7010.7</v>
      </c>
      <c r="R120" s="3">
        <f t="shared" ref="R120:R124" si="25">+IF($G120="EGRESO",$P120,0)</f>
        <v>0</v>
      </c>
      <c r="S120" s="3">
        <f t="shared" si="17"/>
        <v>7353.8699999999972</v>
      </c>
      <c r="T120" s="24" t="s">
        <v>1081</v>
      </c>
      <c r="U120" s="24" t="s">
        <v>1081</v>
      </c>
      <c r="V120" s="3"/>
      <c r="W120" s="3"/>
      <c r="X120" s="3"/>
      <c r="Y120" s="3"/>
      <c r="Z120" s="3"/>
      <c r="AA120" s="3"/>
      <c r="AB120" s="3" t="str">
        <f>IF(Interbank_Soles[[#This Row],[FECHA]]&gt;0,TEXT(Interbank_Soles[[#This Row],[FECHA]],"mmmm"),0)</f>
        <v>Julio</v>
      </c>
    </row>
    <row r="121" spans="2:28" ht="36.75" customHeight="1" x14ac:dyDescent="0.3">
      <c r="B121" s="2" t="str">
        <f>IF(Interbank_Soles[[#This Row],[TIPO DE R.]]="R",COUNTIFS($D$4:$D120,"R")+1,"")</f>
        <v/>
      </c>
      <c r="C121" s="19" t="str">
        <f>"B-Interbank"</f>
        <v>B-Interbank</v>
      </c>
      <c r="D121" s="3"/>
      <c r="E121" s="14">
        <v>45869</v>
      </c>
      <c r="F121" s="5" t="s">
        <v>151</v>
      </c>
      <c r="G121" s="5"/>
      <c r="H121" s="6" t="s">
        <v>151</v>
      </c>
      <c r="I121" s="6" t="s">
        <v>14</v>
      </c>
      <c r="J121" s="6" t="s">
        <v>1521</v>
      </c>
      <c r="K121" s="6">
        <v>137</v>
      </c>
      <c r="L121" s="7" t="s">
        <v>4191</v>
      </c>
      <c r="M121" s="8">
        <v>8159070</v>
      </c>
      <c r="N121" s="8" t="str">
        <f>"PEN"</f>
        <v>PEN</v>
      </c>
      <c r="O121" s="13">
        <v>5066.1000000000004</v>
      </c>
      <c r="P121" s="13"/>
      <c r="Q121" s="3">
        <f>+IF(OR($G121="SALDO",$G121="INGRESO"),$P121,0)</f>
        <v>0</v>
      </c>
      <c r="R121" s="3">
        <f>+IF($G121="EGRESO",$P121,0)</f>
        <v>0</v>
      </c>
      <c r="S121" s="3">
        <f t="shared" si="17"/>
        <v>7353.8699999999972</v>
      </c>
      <c r="T121" s="24" t="s">
        <v>1081</v>
      </c>
      <c r="U121" s="24" t="s">
        <v>1081</v>
      </c>
      <c r="V121" s="3"/>
      <c r="W121" s="3"/>
      <c r="X121" s="3"/>
      <c r="Y121" s="3"/>
      <c r="Z121" s="3"/>
      <c r="AA121" s="3"/>
      <c r="AB121" s="3" t="str">
        <f>IF(Interbank_Soles[[#This Row],[FECHA]]&gt;0,TEXT(Interbank_Soles[[#This Row],[FECHA]],"mmmm"),0)</f>
        <v>Julio</v>
      </c>
    </row>
    <row r="122" spans="2:28" ht="36.75" customHeight="1" x14ac:dyDescent="0.3">
      <c r="B122" s="2" t="str">
        <f>IF(Interbank_Soles[[#This Row],[TIPO DE R.]]="R",COUNTIFS($D$4:$D121,"R")+1,"")</f>
        <v/>
      </c>
      <c r="C122" s="19" t="str">
        <f>"B-Interbank"</f>
        <v>B-Interbank</v>
      </c>
      <c r="D122" s="3"/>
      <c r="E122" s="14">
        <v>45869</v>
      </c>
      <c r="F122" s="5" t="s">
        <v>151</v>
      </c>
      <c r="G122" s="5"/>
      <c r="H122" s="6" t="s">
        <v>151</v>
      </c>
      <c r="I122" s="6" t="s">
        <v>14</v>
      </c>
      <c r="J122" s="6" t="s">
        <v>1521</v>
      </c>
      <c r="K122" s="6">
        <v>138</v>
      </c>
      <c r="L122" s="7" t="s">
        <v>4191</v>
      </c>
      <c r="M122" s="8">
        <v>8159070</v>
      </c>
      <c r="N122" s="8" t="str">
        <f>"PEN"</f>
        <v>PEN</v>
      </c>
      <c r="O122" s="13">
        <v>1631.83</v>
      </c>
      <c r="P122" s="13"/>
      <c r="Q122" s="3">
        <f>+IF(OR($G122="SALDO",$G122="INGRESO"),$P122,0)</f>
        <v>0</v>
      </c>
      <c r="R122" s="3">
        <f>+IF($G122="EGRESO",$P122,0)</f>
        <v>0</v>
      </c>
      <c r="S122" s="3">
        <f t="shared" si="17"/>
        <v>7353.8699999999972</v>
      </c>
      <c r="T122" s="24" t="s">
        <v>1081</v>
      </c>
      <c r="U122" s="24" t="s">
        <v>1081</v>
      </c>
      <c r="V122" s="3"/>
      <c r="W122" s="3"/>
      <c r="X122" s="3"/>
      <c r="Y122" s="3"/>
      <c r="Z122" s="3"/>
      <c r="AA122" s="3"/>
      <c r="AB122" s="3" t="str">
        <f>IF(Interbank_Soles[[#This Row],[FECHA]]&gt;0,TEXT(Interbank_Soles[[#This Row],[FECHA]],"mmmm"),0)</f>
        <v>Julio</v>
      </c>
    </row>
    <row r="123" spans="2:28" ht="36.75" customHeight="1" x14ac:dyDescent="0.3">
      <c r="B123" s="2" t="str">
        <f>IF(Interbank_Soles[[#This Row],[TIPO DE R.]]="R",COUNTIFS($D$4:$D122,"R")+1,"")</f>
        <v/>
      </c>
      <c r="C123" s="19" t="str">
        <f>"B-Interbank"</f>
        <v>B-Interbank</v>
      </c>
      <c r="D123" s="3"/>
      <c r="E123" s="14">
        <v>45869</v>
      </c>
      <c r="F123" s="5" t="s">
        <v>151</v>
      </c>
      <c r="G123" s="5"/>
      <c r="H123" s="6" t="s">
        <v>151</v>
      </c>
      <c r="I123" s="6" t="s">
        <v>14</v>
      </c>
      <c r="J123" s="6" t="s">
        <v>1521</v>
      </c>
      <c r="K123" s="6">
        <v>139</v>
      </c>
      <c r="L123" s="7" t="s">
        <v>4191</v>
      </c>
      <c r="M123" s="8">
        <v>8159070</v>
      </c>
      <c r="N123" s="8" t="str">
        <f>"PEN"</f>
        <v>PEN</v>
      </c>
      <c r="O123" s="13">
        <v>312.77</v>
      </c>
      <c r="P123" s="13"/>
      <c r="Q123" s="3">
        <f>+IF(OR($G123="SALDO",$G123="INGRESO"),$P123,0)</f>
        <v>0</v>
      </c>
      <c r="R123" s="3">
        <f>+IF($G123="EGRESO",$P123,0)</f>
        <v>0</v>
      </c>
      <c r="S123" s="3">
        <f t="shared" si="17"/>
        <v>7353.8699999999972</v>
      </c>
      <c r="T123" s="24" t="s">
        <v>1081</v>
      </c>
      <c r="U123" s="24" t="s">
        <v>1081</v>
      </c>
      <c r="V123" s="3"/>
      <c r="W123" s="3"/>
      <c r="X123" s="3"/>
      <c r="Y123" s="3"/>
      <c r="Z123" s="3"/>
      <c r="AA123" s="3"/>
      <c r="AB123" s="3" t="str">
        <f>IF(Interbank_Soles[[#This Row],[FECHA]]&gt;0,TEXT(Interbank_Soles[[#This Row],[FECHA]],"mmmm"),0)</f>
        <v>Julio</v>
      </c>
    </row>
    <row r="124" spans="2:28" x14ac:dyDescent="0.3">
      <c r="B124" s="2">
        <f>IF(Interbank_Soles[[#This Row],[TIPO DE R.]]="R",COUNTIFS($D$4:$D123,"R")+1,"")</f>
        <v>112</v>
      </c>
      <c r="C124" s="19" t="str">
        <f t="shared" si="22"/>
        <v>B-Interbank</v>
      </c>
      <c r="D124" s="3" t="s">
        <v>1074</v>
      </c>
      <c r="E124" s="14">
        <v>45869</v>
      </c>
      <c r="F124" s="5" t="s">
        <v>4234</v>
      </c>
      <c r="G124" s="5" t="s">
        <v>1079</v>
      </c>
      <c r="H124" s="6" t="s">
        <v>950</v>
      </c>
      <c r="I124" s="6" t="s">
        <v>10</v>
      </c>
      <c r="J124" s="6" t="s">
        <v>4235</v>
      </c>
      <c r="K124" s="6">
        <v>112</v>
      </c>
      <c r="L124" s="7" t="s">
        <v>4128</v>
      </c>
      <c r="M124" s="8"/>
      <c r="N124" s="8" t="str">
        <f t="shared" si="23"/>
        <v>PEN</v>
      </c>
      <c r="O124" s="13"/>
      <c r="P124" s="13">
        <v>0.35</v>
      </c>
      <c r="Q124" s="3">
        <f t="shared" si="24"/>
        <v>0</v>
      </c>
      <c r="R124" s="3">
        <f t="shared" si="25"/>
        <v>0.35</v>
      </c>
      <c r="S124" s="3">
        <f t="shared" si="17"/>
        <v>7353.5199999999968</v>
      </c>
      <c r="T124" s="24" t="s">
        <v>1081</v>
      </c>
      <c r="U124" s="24"/>
      <c r="V124" s="3"/>
      <c r="W124" s="3"/>
      <c r="X124" s="3"/>
      <c r="Y124" s="3"/>
      <c r="Z124" s="3"/>
      <c r="AA124" s="3"/>
      <c r="AB124" s="3" t="str">
        <f>IF(Interbank_Soles[[#This Row],[FECHA]]&gt;0,TEXT(Interbank_Soles[[#This Row],[FECHA]],"mmmm"),0)</f>
        <v>Julio</v>
      </c>
    </row>
    <row r="125" spans="2:28" ht="24" x14ac:dyDescent="0.3">
      <c r="B125" s="2">
        <f>IF(Interbank_Soles[[#This Row],[TIPO DE R.]]="R",COUNTIFS($D$4:$D124,"R")+1,"")</f>
        <v>113</v>
      </c>
      <c r="C125" s="19" t="str">
        <f>"B-Interbank"</f>
        <v>B-Interbank</v>
      </c>
      <c r="D125" s="3" t="s">
        <v>1074</v>
      </c>
      <c r="E125" s="14">
        <v>45870</v>
      </c>
      <c r="F125" s="5" t="s">
        <v>1082</v>
      </c>
      <c r="G125" s="5" t="s">
        <v>1079</v>
      </c>
      <c r="H125" s="6" t="s">
        <v>307</v>
      </c>
      <c r="I125" s="6" t="s">
        <v>14</v>
      </c>
      <c r="J125" s="6" t="s">
        <v>4163</v>
      </c>
      <c r="K125" s="6">
        <v>16079</v>
      </c>
      <c r="L125" s="7" t="s">
        <v>4179</v>
      </c>
      <c r="M125" s="8">
        <v>595479</v>
      </c>
      <c r="N125" s="8" t="str">
        <f>"PEN"</f>
        <v>PEN</v>
      </c>
      <c r="O125" s="13"/>
      <c r="P125" s="13">
        <v>217.12</v>
      </c>
      <c r="Q125" s="3">
        <f>+IF(OR($G125="SALDO",$G125="INGRESO"),$P125,0)</f>
        <v>0</v>
      </c>
      <c r="R125" s="3">
        <f>+IF($G125="EGRESO",$P125,0)</f>
        <v>217.12</v>
      </c>
      <c r="S125" s="3">
        <f t="shared" si="17"/>
        <v>7136.3999999999969</v>
      </c>
      <c r="T125" s="24" t="s">
        <v>1081</v>
      </c>
      <c r="U125" s="24" t="s">
        <v>1081</v>
      </c>
      <c r="V125" s="3"/>
      <c r="W125" s="3"/>
      <c r="X125" s="3"/>
      <c r="Y125" s="3"/>
      <c r="Z125" s="3"/>
      <c r="AA125" s="3"/>
      <c r="AB125" s="3" t="str">
        <f>IF(Interbank_Soles[[#This Row],[FECHA]]&gt;0,TEXT(Interbank_Soles[[#This Row],[FECHA]],"mmmm"),0)</f>
        <v>Agosto</v>
      </c>
    </row>
    <row r="126" spans="2:28" ht="24" x14ac:dyDescent="0.3">
      <c r="B126" s="2">
        <f>IF(Interbank_Soles[[#This Row],[TIPO DE R.]]="R",COUNTIFS($D$4:$D125,"R")+1,"")</f>
        <v>114</v>
      </c>
      <c r="C126" s="19" t="str">
        <f t="shared" ref="C126:C127" si="26">"B-Interbank"</f>
        <v>B-Interbank</v>
      </c>
      <c r="D126" s="3" t="s">
        <v>1074</v>
      </c>
      <c r="E126" s="14">
        <v>45870</v>
      </c>
      <c r="F126" s="5" t="s">
        <v>1082</v>
      </c>
      <c r="G126" s="5" t="s">
        <v>1079</v>
      </c>
      <c r="H126" s="6" t="s">
        <v>307</v>
      </c>
      <c r="I126" s="6" t="s">
        <v>14</v>
      </c>
      <c r="J126" s="6" t="s">
        <v>4163</v>
      </c>
      <c r="K126" s="6">
        <v>16028</v>
      </c>
      <c r="L126" s="7" t="s">
        <v>4179</v>
      </c>
      <c r="M126" s="8">
        <v>592907</v>
      </c>
      <c r="N126" s="8" t="str">
        <f t="shared" ref="N126:N127" si="27">"PEN"</f>
        <v>PEN</v>
      </c>
      <c r="O126" s="13"/>
      <c r="P126" s="13">
        <v>226.56</v>
      </c>
      <c r="Q126" s="3">
        <f t="shared" ref="Q126:Q127" si="28">+IF(OR($G126="SALDO",$G126="INGRESO"),$P126,0)</f>
        <v>0</v>
      </c>
      <c r="R126" s="3">
        <f t="shared" ref="R126:R127" si="29">+IF($G126="EGRESO",$P126,0)</f>
        <v>226.56</v>
      </c>
      <c r="S126" s="3">
        <f t="shared" si="17"/>
        <v>6909.8399999999965</v>
      </c>
      <c r="T126" s="24" t="s">
        <v>1081</v>
      </c>
      <c r="U126" s="24" t="s">
        <v>1081</v>
      </c>
      <c r="V126" s="3"/>
      <c r="W126" s="3"/>
      <c r="X126" s="3"/>
      <c r="Y126" s="3"/>
      <c r="Z126" s="3"/>
      <c r="AA126" s="3"/>
      <c r="AB126" s="3" t="str">
        <f>IF(Interbank_Soles[[#This Row],[FECHA]]&gt;0,TEXT(Interbank_Soles[[#This Row],[FECHA]],"mmmm"),0)</f>
        <v>Agosto</v>
      </c>
    </row>
    <row r="127" spans="2:28" ht="24" x14ac:dyDescent="0.3">
      <c r="B127" s="2">
        <f>IF(Interbank_Soles[[#This Row],[TIPO DE R.]]="R",COUNTIFS($D$4:$D126,"R")+1,"")</f>
        <v>115</v>
      </c>
      <c r="C127" s="19" t="str">
        <f t="shared" si="26"/>
        <v>B-Interbank</v>
      </c>
      <c r="D127" s="3" t="s">
        <v>1074</v>
      </c>
      <c r="E127" s="14">
        <v>45870</v>
      </c>
      <c r="F127" s="5" t="s">
        <v>1082</v>
      </c>
      <c r="G127" s="5" t="s">
        <v>1079</v>
      </c>
      <c r="H127" s="6" t="s">
        <v>307</v>
      </c>
      <c r="I127" s="6" t="s">
        <v>14</v>
      </c>
      <c r="J127" s="6" t="s">
        <v>4163</v>
      </c>
      <c r="K127" s="6">
        <v>16047</v>
      </c>
      <c r="L127" s="7" t="s">
        <v>4179</v>
      </c>
      <c r="M127" s="8">
        <v>588806</v>
      </c>
      <c r="N127" s="8" t="str">
        <f t="shared" si="27"/>
        <v>PEN</v>
      </c>
      <c r="O127" s="13"/>
      <c r="P127" s="13">
        <v>125.08</v>
      </c>
      <c r="Q127" s="3">
        <f t="shared" si="28"/>
        <v>0</v>
      </c>
      <c r="R127" s="3">
        <f t="shared" si="29"/>
        <v>125.08</v>
      </c>
      <c r="S127" s="3">
        <f t="shared" si="17"/>
        <v>6784.7599999999966</v>
      </c>
      <c r="T127" s="24" t="s">
        <v>1081</v>
      </c>
      <c r="U127" s="24" t="s">
        <v>1081</v>
      </c>
      <c r="V127" s="3"/>
      <c r="W127" s="3"/>
      <c r="X127" s="3"/>
      <c r="Y127" s="3"/>
      <c r="Z127" s="3"/>
      <c r="AA127" s="3"/>
      <c r="AB127" s="3" t="str">
        <f>IF(Interbank_Soles[[#This Row],[FECHA]]&gt;0,TEXT(Interbank_Soles[[#This Row],[FECHA]],"mmmm"),0)</f>
        <v>Agosto</v>
      </c>
    </row>
    <row r="128" spans="2:28" x14ac:dyDescent="0.3">
      <c r="B128" s="2">
        <f>IF(Interbank_Soles[[#This Row],[TIPO DE R.]]="R",COUNTIFS($D$4:$D127,"R")+1,"")</f>
        <v>116</v>
      </c>
      <c r="C128" s="19" t="str">
        <f t="shared" ref="C128:C134" si="30">"B-Interbank"</f>
        <v>B-Interbank</v>
      </c>
      <c r="D128" s="3" t="s">
        <v>1074</v>
      </c>
      <c r="E128" s="14">
        <v>45874</v>
      </c>
      <c r="F128" s="5" t="s">
        <v>1082</v>
      </c>
      <c r="G128" s="5" t="s">
        <v>1079</v>
      </c>
      <c r="H128" s="6" t="s">
        <v>139</v>
      </c>
      <c r="I128" s="6" t="s">
        <v>14</v>
      </c>
      <c r="J128" s="6" t="s">
        <v>1953</v>
      </c>
      <c r="K128" s="6">
        <v>6664</v>
      </c>
      <c r="L128" s="7" t="s">
        <v>4240</v>
      </c>
      <c r="M128" s="8">
        <v>568021</v>
      </c>
      <c r="N128" s="8" t="str">
        <f t="shared" ref="N128:N134" si="31">"PEN"</f>
        <v>PEN</v>
      </c>
      <c r="O128" s="13"/>
      <c r="P128" s="13">
        <v>8.1999999999999993</v>
      </c>
      <c r="Q128" s="3">
        <f t="shared" ref="Q128:Q134" si="32">+IF(OR($G128="SALDO",$G128="INGRESO"),$P128,0)</f>
        <v>0</v>
      </c>
      <c r="R128" s="3">
        <f t="shared" ref="R128:R134" si="33">+IF($G128="EGRESO",$P128,0)</f>
        <v>8.1999999999999993</v>
      </c>
      <c r="S128" s="3">
        <f t="shared" si="17"/>
        <v>6776.5599999999968</v>
      </c>
      <c r="T128" s="24" t="s">
        <v>1081</v>
      </c>
      <c r="U128" s="24" t="s">
        <v>1081</v>
      </c>
      <c r="V128" s="3"/>
      <c r="W128" s="3"/>
      <c r="X128" s="3"/>
      <c r="Y128" s="3"/>
      <c r="Z128" s="3"/>
      <c r="AA128" s="3"/>
      <c r="AB128" s="3" t="str">
        <f>IF(Interbank_Soles[[#This Row],[FECHA]]&gt;0,TEXT(Interbank_Soles[[#This Row],[FECHA]],"mmmm"),0)</f>
        <v>Agosto</v>
      </c>
    </row>
    <row r="129" spans="2:28" x14ac:dyDescent="0.3">
      <c r="B129" s="2">
        <f>IF(Interbank_Soles[[#This Row],[TIPO DE R.]]="R",COUNTIFS($D$4:$D128,"R")+1,"")</f>
        <v>117</v>
      </c>
      <c r="C129" s="19" t="str">
        <f t="shared" si="30"/>
        <v>B-Interbank</v>
      </c>
      <c r="D129" s="3" t="s">
        <v>1074</v>
      </c>
      <c r="E129" s="14">
        <v>45874</v>
      </c>
      <c r="F129" s="5" t="s">
        <v>1082</v>
      </c>
      <c r="G129" s="5" t="s">
        <v>1079</v>
      </c>
      <c r="H129" s="6" t="s">
        <v>139</v>
      </c>
      <c r="I129" s="6" t="s">
        <v>14</v>
      </c>
      <c r="J129" s="6" t="s">
        <v>1953</v>
      </c>
      <c r="K129" s="6">
        <v>6661</v>
      </c>
      <c r="L129" s="7" t="s">
        <v>4240</v>
      </c>
      <c r="M129" s="8">
        <v>570268</v>
      </c>
      <c r="N129" s="8" t="str">
        <f t="shared" si="31"/>
        <v>PEN</v>
      </c>
      <c r="O129" s="13"/>
      <c r="P129" s="13">
        <v>140.66999999999999</v>
      </c>
      <c r="Q129" s="3">
        <f t="shared" si="32"/>
        <v>0</v>
      </c>
      <c r="R129" s="3">
        <f t="shared" si="33"/>
        <v>140.66999999999999</v>
      </c>
      <c r="S129" s="3">
        <f t="shared" si="17"/>
        <v>6635.8899999999967</v>
      </c>
      <c r="T129" s="24" t="s">
        <v>1081</v>
      </c>
      <c r="U129" s="24" t="s">
        <v>1081</v>
      </c>
      <c r="V129" s="3"/>
      <c r="W129" s="3"/>
      <c r="X129" s="3"/>
      <c r="Y129" s="3"/>
      <c r="Z129" s="3"/>
      <c r="AA129" s="3"/>
      <c r="AB129" s="3" t="str">
        <f>IF(Interbank_Soles[[#This Row],[FECHA]]&gt;0,TEXT(Interbank_Soles[[#This Row],[FECHA]],"mmmm"),0)</f>
        <v>Agosto</v>
      </c>
    </row>
    <row r="130" spans="2:28" x14ac:dyDescent="0.3">
      <c r="B130" s="2">
        <f>IF(Interbank_Soles[[#This Row],[TIPO DE R.]]="R",COUNTIFS($D$4:$D129,"R")+1,"")</f>
        <v>118</v>
      </c>
      <c r="C130" s="19" t="str">
        <f t="shared" si="30"/>
        <v>B-Interbank</v>
      </c>
      <c r="D130" s="3" t="s">
        <v>1074</v>
      </c>
      <c r="E130" s="14">
        <v>45874</v>
      </c>
      <c r="F130" s="5" t="s">
        <v>1082</v>
      </c>
      <c r="G130" s="5" t="s">
        <v>1079</v>
      </c>
      <c r="H130" s="6" t="s">
        <v>139</v>
      </c>
      <c r="I130" s="6" t="s">
        <v>14</v>
      </c>
      <c r="J130" s="6" t="s">
        <v>1953</v>
      </c>
      <c r="K130" s="6">
        <v>6662</v>
      </c>
      <c r="L130" s="7" t="s">
        <v>4240</v>
      </c>
      <c r="M130" s="8">
        <v>571801</v>
      </c>
      <c r="N130" s="8" t="str">
        <f t="shared" si="31"/>
        <v>PEN</v>
      </c>
      <c r="O130" s="13"/>
      <c r="P130" s="13">
        <v>424.14</v>
      </c>
      <c r="Q130" s="3">
        <f t="shared" si="32"/>
        <v>0</v>
      </c>
      <c r="R130" s="3">
        <f t="shared" si="33"/>
        <v>424.14</v>
      </c>
      <c r="S130" s="3">
        <f t="shared" si="17"/>
        <v>6211.7499999999964</v>
      </c>
      <c r="T130" s="24" t="s">
        <v>1081</v>
      </c>
      <c r="U130" s="24" t="s">
        <v>1081</v>
      </c>
      <c r="V130" s="3"/>
      <c r="W130" s="3"/>
      <c r="X130" s="3"/>
      <c r="Y130" s="3"/>
      <c r="Z130" s="3"/>
      <c r="AA130" s="3"/>
      <c r="AB130" s="3" t="str">
        <f>IF(Interbank_Soles[[#This Row],[FECHA]]&gt;0,TEXT(Interbank_Soles[[#This Row],[FECHA]],"mmmm"),0)</f>
        <v>Agosto</v>
      </c>
    </row>
    <row r="131" spans="2:28" x14ac:dyDescent="0.3">
      <c r="B131" s="2">
        <f>IF(Interbank_Soles[[#This Row],[TIPO DE R.]]="R",COUNTIFS($D$4:$D130,"R")+1,"")</f>
        <v>119</v>
      </c>
      <c r="C131" s="19" t="str">
        <f t="shared" si="30"/>
        <v>B-Interbank</v>
      </c>
      <c r="D131" s="3" t="s">
        <v>1074</v>
      </c>
      <c r="E131" s="14">
        <v>45874</v>
      </c>
      <c r="F131" s="5" t="s">
        <v>1082</v>
      </c>
      <c r="G131" s="5" t="s">
        <v>1079</v>
      </c>
      <c r="H131" s="6" t="s">
        <v>139</v>
      </c>
      <c r="I131" s="6" t="s">
        <v>14</v>
      </c>
      <c r="J131" s="6" t="s">
        <v>1953</v>
      </c>
      <c r="K131" s="6">
        <v>6667</v>
      </c>
      <c r="L131" s="7" t="s">
        <v>4240</v>
      </c>
      <c r="M131" s="8">
        <v>573445</v>
      </c>
      <c r="N131" s="8" t="str">
        <f t="shared" si="31"/>
        <v>PEN</v>
      </c>
      <c r="O131" s="13"/>
      <c r="P131" s="13">
        <v>609.44000000000005</v>
      </c>
      <c r="Q131" s="3">
        <f t="shared" si="32"/>
        <v>0</v>
      </c>
      <c r="R131" s="3">
        <f t="shared" si="33"/>
        <v>609.44000000000005</v>
      </c>
      <c r="S131" s="3">
        <f t="shared" si="17"/>
        <v>5602.3099999999959</v>
      </c>
      <c r="T131" s="24" t="s">
        <v>1081</v>
      </c>
      <c r="U131" s="24" t="s">
        <v>1081</v>
      </c>
      <c r="V131" s="3"/>
      <c r="W131" s="3"/>
      <c r="X131" s="3"/>
      <c r="Y131" s="3"/>
      <c r="Z131" s="3"/>
      <c r="AA131" s="3"/>
      <c r="AB131" s="3" t="str">
        <f>IF(Interbank_Soles[[#This Row],[FECHA]]&gt;0,TEXT(Interbank_Soles[[#This Row],[FECHA]],"mmmm"),0)</f>
        <v>Agosto</v>
      </c>
    </row>
    <row r="132" spans="2:28" x14ac:dyDescent="0.3">
      <c r="B132" s="2">
        <f>IF(Interbank_Soles[[#This Row],[TIPO DE R.]]="R",COUNTIFS($D$4:$D131,"R")+1,"")</f>
        <v>120</v>
      </c>
      <c r="C132" s="19" t="str">
        <f t="shared" si="30"/>
        <v>B-Interbank</v>
      </c>
      <c r="D132" s="3" t="s">
        <v>1074</v>
      </c>
      <c r="E132" s="14">
        <v>45874</v>
      </c>
      <c r="F132" s="5" t="s">
        <v>1082</v>
      </c>
      <c r="G132" s="5" t="s">
        <v>1079</v>
      </c>
      <c r="H132" s="6" t="s">
        <v>139</v>
      </c>
      <c r="I132" s="6" t="s">
        <v>14</v>
      </c>
      <c r="J132" s="6" t="s">
        <v>1953</v>
      </c>
      <c r="K132" s="6">
        <v>6666</v>
      </c>
      <c r="L132" s="7" t="s">
        <v>4240</v>
      </c>
      <c r="M132" s="8">
        <v>575009</v>
      </c>
      <c r="N132" s="8" t="str">
        <f t="shared" si="31"/>
        <v>PEN</v>
      </c>
      <c r="O132" s="13"/>
      <c r="P132" s="13">
        <v>52.36</v>
      </c>
      <c r="Q132" s="3">
        <f t="shared" si="32"/>
        <v>0</v>
      </c>
      <c r="R132" s="3">
        <f t="shared" si="33"/>
        <v>52.36</v>
      </c>
      <c r="S132" s="3">
        <f t="shared" si="17"/>
        <v>5549.9499999999962</v>
      </c>
      <c r="T132" s="24" t="s">
        <v>1081</v>
      </c>
      <c r="U132" s="24" t="s">
        <v>1081</v>
      </c>
      <c r="V132" s="3"/>
      <c r="W132" s="3"/>
      <c r="X132" s="3"/>
      <c r="Y132" s="3"/>
      <c r="Z132" s="3"/>
      <c r="AA132" s="3"/>
      <c r="AB132" s="3" t="str">
        <f>IF(Interbank_Soles[[#This Row],[FECHA]]&gt;0,TEXT(Interbank_Soles[[#This Row],[FECHA]],"mmmm"),0)</f>
        <v>Agosto</v>
      </c>
    </row>
    <row r="133" spans="2:28" x14ac:dyDescent="0.3">
      <c r="B133" s="2">
        <f>IF(Interbank_Soles[[#This Row],[TIPO DE R.]]="R",COUNTIFS($D$4:$D132,"R")+1,"")</f>
        <v>121</v>
      </c>
      <c r="C133" s="19" t="str">
        <f t="shared" si="30"/>
        <v>B-Interbank</v>
      </c>
      <c r="D133" s="3" t="s">
        <v>1074</v>
      </c>
      <c r="E133" s="14">
        <v>45874</v>
      </c>
      <c r="F133" s="5" t="s">
        <v>1082</v>
      </c>
      <c r="G133" s="5" t="s">
        <v>1079</v>
      </c>
      <c r="H133" s="6" t="s">
        <v>139</v>
      </c>
      <c r="I133" s="6" t="s">
        <v>14</v>
      </c>
      <c r="J133" s="6" t="s">
        <v>1953</v>
      </c>
      <c r="K133" s="6">
        <v>6663</v>
      </c>
      <c r="L133" s="7" t="s">
        <v>4240</v>
      </c>
      <c r="M133" s="8">
        <v>576372</v>
      </c>
      <c r="N133" s="8" t="str">
        <f t="shared" si="31"/>
        <v>PEN</v>
      </c>
      <c r="O133" s="13"/>
      <c r="P133" s="13">
        <v>12.75</v>
      </c>
      <c r="Q133" s="3">
        <f t="shared" si="32"/>
        <v>0</v>
      </c>
      <c r="R133" s="3">
        <f t="shared" si="33"/>
        <v>12.75</v>
      </c>
      <c r="S133" s="3">
        <f t="shared" ref="S133:S139" si="34">IFERROR(IF(G133="SALDO",Q133,S132+Q133-R133),0)</f>
        <v>5537.1999999999962</v>
      </c>
      <c r="T133" s="24" t="s">
        <v>1081</v>
      </c>
      <c r="U133" s="24" t="s">
        <v>1081</v>
      </c>
      <c r="V133" s="3"/>
      <c r="W133" s="3"/>
      <c r="X133" s="3"/>
      <c r="Y133" s="3"/>
      <c r="Z133" s="3"/>
      <c r="AA133" s="3"/>
      <c r="AB133" s="3" t="str">
        <f>IF(Interbank_Soles[[#This Row],[FECHA]]&gt;0,TEXT(Interbank_Soles[[#This Row],[FECHA]],"mmmm"),0)</f>
        <v>Agosto</v>
      </c>
    </row>
    <row r="134" spans="2:28" x14ac:dyDescent="0.3">
      <c r="B134" s="2">
        <f>IF(Interbank_Soles[[#This Row],[TIPO DE R.]]="R",COUNTIFS($D$4:$D133,"R")+1,"")</f>
        <v>122</v>
      </c>
      <c r="C134" s="19" t="str">
        <f t="shared" si="30"/>
        <v>B-Interbank</v>
      </c>
      <c r="D134" s="3" t="s">
        <v>1074</v>
      </c>
      <c r="E134" s="14">
        <v>45874</v>
      </c>
      <c r="F134" s="5" t="s">
        <v>1082</v>
      </c>
      <c r="G134" s="5" t="s">
        <v>1079</v>
      </c>
      <c r="H134" s="6" t="s">
        <v>139</v>
      </c>
      <c r="I134" s="6" t="s">
        <v>14</v>
      </c>
      <c r="J134" s="6" t="s">
        <v>1953</v>
      </c>
      <c r="K134" s="6">
        <v>6665</v>
      </c>
      <c r="L134" s="7" t="s">
        <v>4240</v>
      </c>
      <c r="M134" s="8">
        <v>577719</v>
      </c>
      <c r="N134" s="8" t="str">
        <f t="shared" si="31"/>
        <v>PEN</v>
      </c>
      <c r="O134" s="13"/>
      <c r="P134" s="13">
        <v>344.92</v>
      </c>
      <c r="Q134" s="3">
        <f t="shared" si="32"/>
        <v>0</v>
      </c>
      <c r="R134" s="3">
        <f t="shared" si="33"/>
        <v>344.92</v>
      </c>
      <c r="S134" s="3">
        <f t="shared" si="34"/>
        <v>5192.2799999999961</v>
      </c>
      <c r="T134" s="24" t="s">
        <v>1081</v>
      </c>
      <c r="U134" s="24" t="s">
        <v>1081</v>
      </c>
      <c r="V134" s="3"/>
      <c r="W134" s="3"/>
      <c r="X134" s="3"/>
      <c r="Y134" s="3"/>
      <c r="Z134" s="3"/>
      <c r="AA134" s="3"/>
      <c r="AB134" s="3" t="str">
        <f>IF(Interbank_Soles[[#This Row],[FECHA]]&gt;0,TEXT(Interbank_Soles[[#This Row],[FECHA]],"mmmm"),0)</f>
        <v>Agosto</v>
      </c>
    </row>
    <row r="135" spans="2:28" x14ac:dyDescent="0.3">
      <c r="B135" s="2">
        <f>IF(Interbank_Soles[[#This Row],[TIPO DE R.]]="R",COUNTIFS($D$4:$D134,"R")+1,"")</f>
        <v>123</v>
      </c>
      <c r="C135" s="19" t="str">
        <f>"B-Interbank"</f>
        <v>B-Interbank</v>
      </c>
      <c r="D135" s="3" t="s">
        <v>1074</v>
      </c>
      <c r="E135" s="14">
        <v>45876</v>
      </c>
      <c r="F135" s="5" t="s">
        <v>1082</v>
      </c>
      <c r="G135" s="5" t="s">
        <v>1079</v>
      </c>
      <c r="H135" s="6" t="s">
        <v>4238</v>
      </c>
      <c r="I135" s="6" t="s">
        <v>14</v>
      </c>
      <c r="J135" s="6" t="s">
        <v>1121</v>
      </c>
      <c r="K135" s="6">
        <v>56</v>
      </c>
      <c r="L135" s="7" t="s">
        <v>4241</v>
      </c>
      <c r="M135" s="8">
        <v>1543487</v>
      </c>
      <c r="N135" s="8" t="str">
        <f>"PEN"</f>
        <v>PEN</v>
      </c>
      <c r="O135" s="13"/>
      <c r="P135" s="13">
        <v>60</v>
      </c>
      <c r="Q135" s="3">
        <f>+IF(OR($G135="SALDO",$G135="INGRESO"),$P135,0)</f>
        <v>0</v>
      </c>
      <c r="R135" s="3">
        <f>+IF($G135="EGRESO",$P135,0)</f>
        <v>60</v>
      </c>
      <c r="S135" s="3">
        <f t="shared" si="34"/>
        <v>5132.2799999999961</v>
      </c>
      <c r="T135" s="24" t="s">
        <v>1081</v>
      </c>
      <c r="U135" s="24"/>
      <c r="V135" s="3"/>
      <c r="W135" s="3"/>
      <c r="X135" s="3"/>
      <c r="Y135" s="3"/>
      <c r="Z135" s="3"/>
      <c r="AA135" s="3"/>
      <c r="AB135" s="3" t="str">
        <f>IF(Interbank_Soles[[#This Row],[FECHA]]&gt;0,TEXT(Interbank_Soles[[#This Row],[FECHA]],"mmmm"),0)</f>
        <v>Agosto</v>
      </c>
    </row>
    <row r="136" spans="2:28" ht="24" x14ac:dyDescent="0.3">
      <c r="B136" s="2">
        <f>IF(Interbank_Soles[[#This Row],[TIPO DE R.]]="R",COUNTIFS($D$4:$D135,"R")+1,"")</f>
        <v>124</v>
      </c>
      <c r="C136" s="19" t="str">
        <f t="shared" ref="C136:C139" si="35">"B-Interbank"</f>
        <v>B-Interbank</v>
      </c>
      <c r="D136" s="3" t="s">
        <v>1074</v>
      </c>
      <c r="E136" s="14">
        <v>45877</v>
      </c>
      <c r="F136" s="5" t="s">
        <v>1082</v>
      </c>
      <c r="G136" s="5" t="s">
        <v>1079</v>
      </c>
      <c r="H136" s="6" t="s">
        <v>307</v>
      </c>
      <c r="I136" s="6" t="s">
        <v>14</v>
      </c>
      <c r="J136" s="6" t="s">
        <v>4163</v>
      </c>
      <c r="K136" s="6">
        <v>16114</v>
      </c>
      <c r="L136" s="7" t="s">
        <v>4179</v>
      </c>
      <c r="M136" s="8">
        <v>551695</v>
      </c>
      <c r="N136" s="8" t="str">
        <f t="shared" ref="N136:N139" si="36">"PEN"</f>
        <v>PEN</v>
      </c>
      <c r="O136" s="13"/>
      <c r="P136" s="13">
        <v>258.42</v>
      </c>
      <c r="Q136" s="3">
        <f t="shared" ref="Q136:Q139" si="37">+IF(OR($G136="SALDO",$G136="INGRESO"),$P136,0)</f>
        <v>0</v>
      </c>
      <c r="R136" s="3">
        <f t="shared" ref="R136:R139" si="38">+IF($G136="EGRESO",$P136,0)</f>
        <v>258.42</v>
      </c>
      <c r="S136" s="3">
        <f t="shared" si="34"/>
        <v>4873.859999999996</v>
      </c>
      <c r="T136" s="24" t="s">
        <v>1081</v>
      </c>
      <c r="U136" s="24" t="s">
        <v>1081</v>
      </c>
      <c r="V136" s="3"/>
      <c r="W136" s="3"/>
      <c r="X136" s="3"/>
      <c r="Y136" s="3"/>
      <c r="Z136" s="3"/>
      <c r="AA136" s="3"/>
      <c r="AB136" s="3" t="str">
        <f>IF(Interbank_Soles[[#This Row],[FECHA]]&gt;0,TEXT(Interbank_Soles[[#This Row],[FECHA]],"mmmm"),0)</f>
        <v>Agosto</v>
      </c>
    </row>
    <row r="137" spans="2:28" ht="24" x14ac:dyDescent="0.3">
      <c r="B137" s="2">
        <f>IF(Interbank_Soles[[#This Row],[TIPO DE R.]]="R",COUNTIFS($D$4:$D136,"R")+1,"")</f>
        <v>125</v>
      </c>
      <c r="C137" s="19" t="str">
        <f t="shared" si="35"/>
        <v>B-Interbank</v>
      </c>
      <c r="D137" s="3" t="s">
        <v>1074</v>
      </c>
      <c r="E137" s="14">
        <v>45877</v>
      </c>
      <c r="F137" s="5" t="s">
        <v>1082</v>
      </c>
      <c r="G137" s="5" t="s">
        <v>1079</v>
      </c>
      <c r="H137" s="6" t="s">
        <v>307</v>
      </c>
      <c r="I137" s="6" t="s">
        <v>14</v>
      </c>
      <c r="J137" s="6" t="s">
        <v>4163</v>
      </c>
      <c r="K137" s="6">
        <v>16136</v>
      </c>
      <c r="L137" s="7" t="s">
        <v>4179</v>
      </c>
      <c r="M137" s="8">
        <v>561680</v>
      </c>
      <c r="N137" s="8" t="str">
        <f t="shared" si="36"/>
        <v>PEN</v>
      </c>
      <c r="O137" s="13"/>
      <c r="P137" s="13">
        <v>253.7</v>
      </c>
      <c r="Q137" s="3">
        <f t="shared" si="37"/>
        <v>0</v>
      </c>
      <c r="R137" s="3">
        <f t="shared" si="38"/>
        <v>253.7</v>
      </c>
      <c r="S137" s="3">
        <f t="shared" si="34"/>
        <v>4620.1599999999962</v>
      </c>
      <c r="T137" s="24" t="s">
        <v>1081</v>
      </c>
      <c r="U137" s="24" t="s">
        <v>1081</v>
      </c>
      <c r="V137" s="3"/>
      <c r="W137" s="3"/>
      <c r="X137" s="3"/>
      <c r="Y137" s="3"/>
      <c r="Z137" s="3"/>
      <c r="AA137" s="3"/>
      <c r="AB137" s="3" t="str">
        <f>IF(Interbank_Soles[[#This Row],[FECHA]]&gt;0,TEXT(Interbank_Soles[[#This Row],[FECHA]],"mmmm"),0)</f>
        <v>Agosto</v>
      </c>
    </row>
    <row r="138" spans="2:28" ht="24" x14ac:dyDescent="0.3">
      <c r="B138" s="2">
        <f>IF(Interbank_Soles[[#This Row],[TIPO DE R.]]="R",COUNTIFS($D$4:$D137,"R")+1,"")</f>
        <v>126</v>
      </c>
      <c r="C138" s="19" t="str">
        <f t="shared" si="35"/>
        <v>B-Interbank</v>
      </c>
      <c r="D138" s="3" t="s">
        <v>1074</v>
      </c>
      <c r="E138" s="14">
        <v>45877</v>
      </c>
      <c r="F138" s="5" t="s">
        <v>1082</v>
      </c>
      <c r="G138" s="5" t="s">
        <v>1079</v>
      </c>
      <c r="H138" s="6" t="s">
        <v>307</v>
      </c>
      <c r="I138" s="6" t="s">
        <v>14</v>
      </c>
      <c r="J138" s="6" t="s">
        <v>4163</v>
      </c>
      <c r="K138" s="6">
        <v>16163</v>
      </c>
      <c r="L138" s="7" t="s">
        <v>4179</v>
      </c>
      <c r="M138" s="8">
        <v>559474</v>
      </c>
      <c r="N138" s="8" t="str">
        <f t="shared" si="36"/>
        <v>PEN</v>
      </c>
      <c r="O138" s="13"/>
      <c r="P138" s="13">
        <v>105.02</v>
      </c>
      <c r="Q138" s="3">
        <f t="shared" si="37"/>
        <v>0</v>
      </c>
      <c r="R138" s="3">
        <f t="shared" si="38"/>
        <v>105.02</v>
      </c>
      <c r="S138" s="3">
        <f t="shared" si="34"/>
        <v>4515.1399999999958</v>
      </c>
      <c r="T138" s="24" t="s">
        <v>1081</v>
      </c>
      <c r="U138" s="24" t="s">
        <v>1081</v>
      </c>
      <c r="V138" s="3"/>
      <c r="W138" s="3"/>
      <c r="X138" s="3"/>
      <c r="Y138" s="3"/>
      <c r="Z138" s="3"/>
      <c r="AA138" s="3"/>
      <c r="AB138" s="3" t="str">
        <f>IF(Interbank_Soles[[#This Row],[FECHA]]&gt;0,TEXT(Interbank_Soles[[#This Row],[FECHA]],"mmmm"),0)</f>
        <v>Agosto</v>
      </c>
    </row>
    <row r="139" spans="2:28" x14ac:dyDescent="0.3">
      <c r="B139" s="2">
        <f>IF(Interbank_Soles[[#This Row],[TIPO DE R.]]="R",COUNTIFS($D$4:$D138,"R")+1,"")</f>
        <v>127</v>
      </c>
      <c r="C139" s="19" t="str">
        <f t="shared" si="35"/>
        <v>B-Interbank</v>
      </c>
      <c r="D139" s="3" t="s">
        <v>1074</v>
      </c>
      <c r="E139" s="14">
        <v>45880</v>
      </c>
      <c r="F139" s="5" t="s">
        <v>1082</v>
      </c>
      <c r="G139" s="5" t="s">
        <v>1079</v>
      </c>
      <c r="H139" s="6" t="s">
        <v>4238</v>
      </c>
      <c r="I139" s="6" t="s">
        <v>14</v>
      </c>
      <c r="J139" s="6" t="s">
        <v>1121</v>
      </c>
      <c r="K139" s="6">
        <v>54</v>
      </c>
      <c r="L139" s="7" t="s">
        <v>4242</v>
      </c>
      <c r="M139" s="8">
        <v>2177556</v>
      </c>
      <c r="N139" s="8" t="str">
        <f t="shared" si="36"/>
        <v>PEN</v>
      </c>
      <c r="O139" s="13"/>
      <c r="P139" s="13">
        <v>60</v>
      </c>
      <c r="Q139" s="3">
        <f t="shared" si="37"/>
        <v>0</v>
      </c>
      <c r="R139" s="3">
        <f t="shared" si="38"/>
        <v>60</v>
      </c>
      <c r="S139" s="3">
        <f t="shared" si="34"/>
        <v>4455.1399999999958</v>
      </c>
      <c r="T139" s="24" t="s">
        <v>1081</v>
      </c>
      <c r="U139" s="24"/>
      <c r="V139" s="3"/>
      <c r="W139" s="3"/>
      <c r="X139" s="3"/>
      <c r="Y139" s="3"/>
      <c r="Z139" s="3"/>
      <c r="AA139" s="3"/>
      <c r="AB139" s="3" t="str">
        <f>IF(Interbank_Soles[[#This Row],[FECHA]]&gt;0,TEXT(Interbank_Soles[[#This Row],[FECHA]],"mmmm"),0)</f>
        <v>Agosto</v>
      </c>
    </row>
    <row r="140" spans="2:28" ht="24" x14ac:dyDescent="0.3">
      <c r="B140" s="2">
        <f>IF(Interbank_Soles[[#This Row],[TIPO DE R.]]="R",COUNTIFS($D$4:$D139,"R")+1,"")</f>
        <v>128</v>
      </c>
      <c r="C140" s="19" t="str">
        <f t="shared" ref="C140:C145" si="39">"B-Interbank"</f>
        <v>B-Interbank</v>
      </c>
      <c r="D140" s="3" t="s">
        <v>1074</v>
      </c>
      <c r="E140" s="14">
        <v>45888</v>
      </c>
      <c r="F140" s="5" t="s">
        <v>1082</v>
      </c>
      <c r="G140" s="5" t="s">
        <v>1079</v>
      </c>
      <c r="H140" s="6" t="s">
        <v>307</v>
      </c>
      <c r="I140" s="6"/>
      <c r="J140" s="6"/>
      <c r="K140" s="6"/>
      <c r="L140" s="7" t="s">
        <v>4179</v>
      </c>
      <c r="M140" s="8">
        <v>256897</v>
      </c>
      <c r="N140" s="8" t="str">
        <f t="shared" ref="N140:N145" si="40">"PEN"</f>
        <v>PEN</v>
      </c>
      <c r="O140" s="13"/>
      <c r="P140" s="13">
        <v>1808.94</v>
      </c>
      <c r="Q140" s="3">
        <f t="shared" ref="Q140:Q145" si="41">+IF(OR($G140="SALDO",$G140="INGRESO"),$P140,0)</f>
        <v>0</v>
      </c>
      <c r="R140" s="3">
        <f t="shared" ref="R140:R145" si="42">+IF($G140="EGRESO",$P140,0)</f>
        <v>1808.94</v>
      </c>
      <c r="S140" s="3">
        <f t="shared" ref="S140:S145" si="43">IFERROR(IF(G140="SALDO",Q140,S139+Q140-R140),0)</f>
        <v>2646.1999999999957</v>
      </c>
      <c r="T140" s="24" t="s">
        <v>1081</v>
      </c>
      <c r="U140" s="24" t="s">
        <v>1081</v>
      </c>
      <c r="V140" s="3"/>
      <c r="W140" s="3"/>
      <c r="X140" s="3"/>
      <c r="Y140" s="3"/>
      <c r="Z140" s="3"/>
      <c r="AA140" s="3"/>
      <c r="AB140" s="3" t="str">
        <f>IF(Interbank_Soles[[#This Row],[FECHA]]&gt;0,TEXT(Interbank_Soles[[#This Row],[FECHA]],"mmmm"),0)</f>
        <v>Agosto</v>
      </c>
    </row>
    <row r="141" spans="2:28" ht="24" x14ac:dyDescent="0.3">
      <c r="B141" s="2" t="str">
        <f>IF(Interbank_Soles[[#This Row],[TIPO DE R.]]="R",COUNTIFS($D$4:$D140,"R")+1,"")</f>
        <v/>
      </c>
      <c r="C141" s="19" t="str">
        <f t="shared" si="39"/>
        <v>B-Interbank</v>
      </c>
      <c r="D141" s="3" t="s">
        <v>1101</v>
      </c>
      <c r="E141" s="14">
        <v>45888</v>
      </c>
      <c r="F141" s="5"/>
      <c r="G141" s="5"/>
      <c r="H141" s="6" t="s">
        <v>307</v>
      </c>
      <c r="I141" s="6" t="s">
        <v>14</v>
      </c>
      <c r="J141" s="6" t="s">
        <v>4163</v>
      </c>
      <c r="K141" s="6">
        <v>16179</v>
      </c>
      <c r="L141" s="7" t="s">
        <v>4179</v>
      </c>
      <c r="M141" s="8">
        <v>256897</v>
      </c>
      <c r="N141" s="8" t="str">
        <f t="shared" si="40"/>
        <v>PEN</v>
      </c>
      <c r="O141" s="13">
        <v>258.42</v>
      </c>
      <c r="P141" s="13"/>
      <c r="Q141" s="3">
        <f t="shared" si="41"/>
        <v>0</v>
      </c>
      <c r="R141" s="3">
        <f t="shared" si="42"/>
        <v>0</v>
      </c>
      <c r="S141" s="3">
        <f t="shared" si="43"/>
        <v>2646.1999999999957</v>
      </c>
      <c r="T141" s="24" t="s">
        <v>1081</v>
      </c>
      <c r="U141" s="24" t="s">
        <v>1081</v>
      </c>
      <c r="V141" s="3"/>
      <c r="W141" s="3"/>
      <c r="X141" s="3"/>
      <c r="Y141" s="3"/>
      <c r="Z141" s="3"/>
      <c r="AA141" s="3"/>
      <c r="AB141" s="3" t="str">
        <f>IF(Interbank_Soles[[#This Row],[FECHA]]&gt;0,TEXT(Interbank_Soles[[#This Row],[FECHA]],"mmmm"),0)</f>
        <v>Agosto</v>
      </c>
    </row>
    <row r="142" spans="2:28" ht="24" x14ac:dyDescent="0.3">
      <c r="B142" s="2" t="str">
        <f>IF(Interbank_Soles[[#This Row],[TIPO DE R.]]="R",COUNTIFS($D$4:$D141,"R")+1,"")</f>
        <v/>
      </c>
      <c r="C142" s="19" t="str">
        <f t="shared" si="39"/>
        <v>B-Interbank</v>
      </c>
      <c r="D142" s="3" t="s">
        <v>1101</v>
      </c>
      <c r="E142" s="14">
        <v>45888</v>
      </c>
      <c r="F142" s="5"/>
      <c r="G142" s="5"/>
      <c r="H142" s="6" t="s">
        <v>307</v>
      </c>
      <c r="I142" s="6" t="s">
        <v>14</v>
      </c>
      <c r="J142" s="6" t="s">
        <v>4163</v>
      </c>
      <c r="K142" s="6">
        <v>16194</v>
      </c>
      <c r="L142" s="7" t="s">
        <v>4179</v>
      </c>
      <c r="M142" s="8">
        <v>256897</v>
      </c>
      <c r="N142" s="8" t="str">
        <f t="shared" si="40"/>
        <v>PEN</v>
      </c>
      <c r="O142" s="13">
        <v>516.84</v>
      </c>
      <c r="P142" s="13"/>
      <c r="Q142" s="3">
        <f t="shared" si="41"/>
        <v>0</v>
      </c>
      <c r="R142" s="3">
        <f t="shared" si="42"/>
        <v>0</v>
      </c>
      <c r="S142" s="3">
        <f t="shared" si="43"/>
        <v>2646.1999999999957</v>
      </c>
      <c r="T142" s="24" t="s">
        <v>1081</v>
      </c>
      <c r="U142" s="24" t="s">
        <v>1081</v>
      </c>
      <c r="V142" s="3"/>
      <c r="W142" s="3"/>
      <c r="X142" s="3"/>
      <c r="Y142" s="3"/>
      <c r="Z142" s="3"/>
      <c r="AA142" s="3"/>
      <c r="AB142" s="3" t="str">
        <f>IF(Interbank_Soles[[#This Row],[FECHA]]&gt;0,TEXT(Interbank_Soles[[#This Row],[FECHA]],"mmmm"),0)</f>
        <v>Agosto</v>
      </c>
    </row>
    <row r="143" spans="2:28" ht="24" x14ac:dyDescent="0.3">
      <c r="B143" s="2" t="str">
        <f>IF(Interbank_Soles[[#This Row],[TIPO DE R.]]="R",COUNTIFS($D$4:$D142,"R")+1,"")</f>
        <v/>
      </c>
      <c r="C143" s="19" t="str">
        <f t="shared" si="39"/>
        <v>B-Interbank</v>
      </c>
      <c r="D143" s="3" t="s">
        <v>1101</v>
      </c>
      <c r="E143" s="14">
        <v>45888</v>
      </c>
      <c r="F143" s="5"/>
      <c r="G143" s="5"/>
      <c r="H143" s="6" t="s">
        <v>307</v>
      </c>
      <c r="I143" s="6" t="s">
        <v>14</v>
      </c>
      <c r="J143" s="6" t="s">
        <v>4163</v>
      </c>
      <c r="K143" s="6">
        <v>16201</v>
      </c>
      <c r="L143" s="7" t="s">
        <v>4179</v>
      </c>
      <c r="M143" s="8">
        <v>256897</v>
      </c>
      <c r="N143" s="8" t="str">
        <f t="shared" si="40"/>
        <v>PEN</v>
      </c>
      <c r="O143" s="13">
        <v>258.42</v>
      </c>
      <c r="P143" s="13"/>
      <c r="Q143" s="3">
        <f t="shared" si="41"/>
        <v>0</v>
      </c>
      <c r="R143" s="3">
        <f t="shared" si="42"/>
        <v>0</v>
      </c>
      <c r="S143" s="3">
        <f t="shared" si="43"/>
        <v>2646.1999999999957</v>
      </c>
      <c r="T143" s="24" t="s">
        <v>1081</v>
      </c>
      <c r="U143" s="24" t="s">
        <v>1081</v>
      </c>
      <c r="V143" s="3"/>
      <c r="W143" s="3"/>
      <c r="X143" s="3"/>
      <c r="Y143" s="3"/>
      <c r="Z143" s="3"/>
      <c r="AA143" s="3"/>
      <c r="AB143" s="3" t="str">
        <f>IF(Interbank_Soles[[#This Row],[FECHA]]&gt;0,TEXT(Interbank_Soles[[#This Row],[FECHA]],"mmmm"),0)</f>
        <v>Agosto</v>
      </c>
    </row>
    <row r="144" spans="2:28" ht="24" x14ac:dyDescent="0.3">
      <c r="B144" s="2" t="str">
        <f>IF(Interbank_Soles[[#This Row],[TIPO DE R.]]="R",COUNTIFS($D$4:$D143,"R")+1,"")</f>
        <v/>
      </c>
      <c r="C144" s="19" t="str">
        <f t="shared" si="39"/>
        <v>B-Interbank</v>
      </c>
      <c r="D144" s="3" t="s">
        <v>1101</v>
      </c>
      <c r="E144" s="14">
        <v>45888</v>
      </c>
      <c r="F144" s="5"/>
      <c r="G144" s="5"/>
      <c r="H144" s="6" t="s">
        <v>307</v>
      </c>
      <c r="I144" s="6" t="s">
        <v>14</v>
      </c>
      <c r="J144" s="6" t="s">
        <v>4163</v>
      </c>
      <c r="K144" s="6">
        <v>16209</v>
      </c>
      <c r="L144" s="7" t="s">
        <v>4179</v>
      </c>
      <c r="M144" s="8">
        <v>256897</v>
      </c>
      <c r="N144" s="8" t="str">
        <f t="shared" si="40"/>
        <v>PEN</v>
      </c>
      <c r="O144" s="13">
        <v>516.84</v>
      </c>
      <c r="P144" s="13"/>
      <c r="Q144" s="3">
        <f t="shared" si="41"/>
        <v>0</v>
      </c>
      <c r="R144" s="3">
        <f t="shared" si="42"/>
        <v>0</v>
      </c>
      <c r="S144" s="3">
        <f t="shared" si="43"/>
        <v>2646.1999999999957</v>
      </c>
      <c r="T144" s="24" t="s">
        <v>1081</v>
      </c>
      <c r="U144" s="24" t="s">
        <v>1081</v>
      </c>
      <c r="V144" s="3"/>
      <c r="W144" s="3"/>
      <c r="X144" s="3"/>
      <c r="Y144" s="3"/>
      <c r="Z144" s="3"/>
      <c r="AA144" s="3"/>
      <c r="AB144" s="3" t="str">
        <f>IF(Interbank_Soles[[#This Row],[FECHA]]&gt;0,TEXT(Interbank_Soles[[#This Row],[FECHA]],"mmmm"),0)</f>
        <v>Agosto</v>
      </c>
    </row>
    <row r="145" spans="2:28" ht="24" x14ac:dyDescent="0.3">
      <c r="B145" s="2" t="str">
        <f>IF(Interbank_Soles[[#This Row],[TIPO DE R.]]="R",COUNTIFS($D$4:$D144,"R")+1,"")</f>
        <v/>
      </c>
      <c r="C145" s="19" t="str">
        <f t="shared" si="39"/>
        <v>B-Interbank</v>
      </c>
      <c r="D145" s="3" t="s">
        <v>1101</v>
      </c>
      <c r="E145" s="14">
        <v>45888</v>
      </c>
      <c r="F145" s="5"/>
      <c r="G145" s="5"/>
      <c r="H145" s="6" t="s">
        <v>307</v>
      </c>
      <c r="I145" s="6" t="s">
        <v>14</v>
      </c>
      <c r="J145" s="6" t="s">
        <v>1248</v>
      </c>
      <c r="K145" s="6">
        <v>11434</v>
      </c>
      <c r="L145" s="7" t="s">
        <v>4179</v>
      </c>
      <c r="M145" s="8">
        <v>256897</v>
      </c>
      <c r="N145" s="8" t="str">
        <f t="shared" si="40"/>
        <v>PEN</v>
      </c>
      <c r="O145" s="13">
        <v>258.42</v>
      </c>
      <c r="P145" s="13"/>
      <c r="Q145" s="3">
        <f t="shared" si="41"/>
        <v>0</v>
      </c>
      <c r="R145" s="3">
        <f t="shared" si="42"/>
        <v>0</v>
      </c>
      <c r="S145" s="3">
        <f t="shared" si="43"/>
        <v>2646.1999999999957</v>
      </c>
      <c r="T145" s="24" t="s">
        <v>1081</v>
      </c>
      <c r="U145" s="24" t="s">
        <v>1081</v>
      </c>
      <c r="V145" s="3"/>
      <c r="W145" s="3"/>
      <c r="X145" s="3"/>
      <c r="Y145" s="3"/>
      <c r="Z145" s="3"/>
      <c r="AA145" s="3"/>
      <c r="AB145" s="3" t="str">
        <f>IF(Interbank_Soles[[#This Row],[FECHA]]&gt;0,TEXT(Interbank_Soles[[#This Row],[FECHA]],"mmmm"),0)</f>
        <v>Agosto</v>
      </c>
    </row>
    <row r="146" spans="2:28" x14ac:dyDescent="0.3">
      <c r="B146" s="2">
        <f>IF(Interbank_Soles[[#This Row],[TIPO DE R.]]="R",COUNTIFS($D$4:$D145,"R")+1,"")</f>
        <v>129</v>
      </c>
      <c r="C146" s="19" t="str">
        <f>"B-Interbank"</f>
        <v>B-Interbank</v>
      </c>
      <c r="D146" s="3" t="s">
        <v>1074</v>
      </c>
      <c r="E146" s="14">
        <v>45888</v>
      </c>
      <c r="F146" s="5"/>
      <c r="G146" s="5" t="s">
        <v>1079</v>
      </c>
      <c r="H146" s="6"/>
      <c r="I146" s="6"/>
      <c r="J146" s="6"/>
      <c r="K146" s="6"/>
      <c r="L146" s="7" t="s">
        <v>4128</v>
      </c>
      <c r="M146" s="8"/>
      <c r="N146" s="8" t="str">
        <f>"PEN"</f>
        <v>PEN</v>
      </c>
      <c r="O146" s="13"/>
      <c r="P146" s="13">
        <v>0.05</v>
      </c>
      <c r="Q146" s="3">
        <f>+IF(OR($G146="SALDO",$G146="INGRESO"),$P146,0)</f>
        <v>0</v>
      </c>
      <c r="R146" s="3">
        <f>+IF($G146="EGRESO",$P146,0)</f>
        <v>0.05</v>
      </c>
      <c r="S146" s="3">
        <f>IFERROR(IF(G146="SALDO",Q146,S145+Q146-R146),0)</f>
        <v>2646.1499999999955</v>
      </c>
      <c r="T146" s="24"/>
      <c r="U146" s="24"/>
      <c r="V146" s="3"/>
      <c r="W146" s="3"/>
      <c r="X146" s="3"/>
      <c r="Y146" s="3"/>
      <c r="Z146" s="3"/>
      <c r="AA146" s="3"/>
      <c r="AB146" s="3" t="str">
        <f>IF(Interbank_Soles[[#This Row],[FECHA]]&gt;0,TEXT(Interbank_Soles[[#This Row],[FECHA]],"mmmm"),0)</f>
        <v>Agosto</v>
      </c>
    </row>
    <row r="147" spans="2:28" x14ac:dyDescent="0.3">
      <c r="B147" s="2">
        <f>IF(Interbank_Soles[[#This Row],[TIPO DE R.]]="R",COUNTIFS($D$4:$D146,"R")+1,"")</f>
        <v>130</v>
      </c>
      <c r="C147" s="19" t="str">
        <f>"B-Interbank"</f>
        <v>B-Interbank</v>
      </c>
      <c r="D147" s="3" t="s">
        <v>1074</v>
      </c>
      <c r="E147" s="14">
        <v>45890</v>
      </c>
      <c r="F147" s="5" t="s">
        <v>1082</v>
      </c>
      <c r="G147" s="5" t="s">
        <v>1079</v>
      </c>
      <c r="H147" s="6" t="s">
        <v>4238</v>
      </c>
      <c r="I147" s="6" t="s">
        <v>14</v>
      </c>
      <c r="J147" s="6" t="s">
        <v>1121</v>
      </c>
      <c r="K147" s="6">
        <v>53</v>
      </c>
      <c r="L147" s="7" t="s">
        <v>4243</v>
      </c>
      <c r="M147" s="8"/>
      <c r="N147" s="8" t="str">
        <f>"PEN"</f>
        <v>PEN</v>
      </c>
      <c r="O147" s="13"/>
      <c r="P147" s="13">
        <v>180</v>
      </c>
      <c r="Q147" s="3">
        <f>+IF(OR($G147="SALDO",$G147="INGRESO"),$P147,0)</f>
        <v>0</v>
      </c>
      <c r="R147" s="3">
        <f>+IF($G147="EGRESO",$P147,0)</f>
        <v>180</v>
      </c>
      <c r="S147" s="3">
        <f>IFERROR(IF(G147="SALDO",Q147,S146+Q147-R147),0)</f>
        <v>2466.1499999999955</v>
      </c>
      <c r="T147" s="24" t="s">
        <v>1081</v>
      </c>
      <c r="U147" s="24"/>
      <c r="V147" s="3"/>
      <c r="W147" s="3"/>
      <c r="X147" s="3"/>
      <c r="Y147" s="3"/>
      <c r="Z147" s="3"/>
      <c r="AA147" s="3"/>
      <c r="AB147" s="3" t="str">
        <f>IF(Interbank_Soles[[#This Row],[FECHA]]&gt;0,TEXT(Interbank_Soles[[#This Row],[FECHA]],"mmmm"),0)</f>
        <v>Agosto</v>
      </c>
    </row>
    <row r="148" spans="2:28" x14ac:dyDescent="0.3">
      <c r="B148" s="2">
        <f>IF(Interbank_Soles[[#This Row],[TIPO DE R.]]="R",COUNTIFS($D$4:$D147,"R")+1,"")</f>
        <v>131</v>
      </c>
      <c r="C148" s="19" t="str">
        <f>"B-Interbank"</f>
        <v>B-Interbank</v>
      </c>
      <c r="D148" s="3" t="s">
        <v>1074</v>
      </c>
      <c r="E148" s="14">
        <v>45891</v>
      </c>
      <c r="F148" s="5"/>
      <c r="G148" s="5" t="s">
        <v>1079</v>
      </c>
      <c r="H148" s="6" t="s">
        <v>368</v>
      </c>
      <c r="I148" s="6"/>
      <c r="J148" s="6"/>
      <c r="K148" s="6"/>
      <c r="L148" s="7" t="s">
        <v>4244</v>
      </c>
      <c r="M148" s="8"/>
      <c r="N148" s="8" t="str">
        <f>"PEN"</f>
        <v>PEN</v>
      </c>
      <c r="O148" s="13"/>
      <c r="P148" s="13">
        <v>2305.3000000000002</v>
      </c>
      <c r="Q148" s="3">
        <f>+IF(OR($G148="SALDO",$G148="INGRESO"),$P148,0)</f>
        <v>0</v>
      </c>
      <c r="R148" s="3">
        <f>+IF($G148="EGRESO",$P148,0)</f>
        <v>2305.3000000000002</v>
      </c>
      <c r="S148" s="3">
        <f>IFERROR(IF(G148="SALDO",Q148,S147+Q148-R148),0)</f>
        <v>160.84999999999536</v>
      </c>
      <c r="T148" s="24"/>
      <c r="U148" s="24"/>
      <c r="V148" s="3"/>
      <c r="W148" s="3"/>
      <c r="X148" s="3"/>
      <c r="Y148" s="3"/>
      <c r="Z148" s="3"/>
      <c r="AA148" s="3"/>
      <c r="AB148" s="3" t="str">
        <f>IF(Interbank_Soles[[#This Row],[FECHA]]&gt;0,TEXT(Interbank_Soles[[#This Row],[FECHA]],"mmmm"),0)</f>
        <v>Agosto</v>
      </c>
    </row>
  </sheetData>
  <mergeCells count="1">
    <mergeCell ref="B2:AB2"/>
  </mergeCells>
  <conditionalFormatting sqref="B5:AB100008">
    <cfRule type="expression" dxfId="84" priority="4">
      <formula>$U5="OK"</formula>
    </cfRule>
  </conditionalFormatting>
  <dataValidations count="4">
    <dataValidation type="list" allowBlank="1" showInputMessage="1" showErrorMessage="1" sqref="H125:H134 H120:H123 H5:H118 H136:H138 H140:H145 H148" xr:uid="{2320E5E2-E392-4416-B576-09D17844BB29}">
      <formula1>Proveedores_Clientes</formula1>
    </dataValidation>
    <dataValidation type="list" allowBlank="1" showInputMessage="1" showErrorMessage="1" sqref="I5:I148" xr:uid="{51C30162-76EA-4893-98A3-7B55F9CF8578}">
      <formula1>Documentos</formula1>
    </dataValidation>
    <dataValidation type="list" allowBlank="1" showInputMessage="1" showErrorMessage="1" sqref="G5:G148" xr:uid="{A308460D-107B-4AD7-980A-E9F949544797}">
      <formula1>"SALDO,INGRESO,EGRESO"</formula1>
    </dataValidation>
    <dataValidation type="list" allowBlank="1" showInputMessage="1" showErrorMessage="1" sqref="D5:D148" xr:uid="{0FD811BE-7AD8-4741-B306-22A09600688E}">
      <formula1>"R,D"</formula1>
    </dataValidation>
  </dataValidations>
  <hyperlinks>
    <hyperlink ref="V101" r:id="rId1" xr:uid="{30CD9888-2305-45E6-B09E-480FAFE357D3}"/>
  </hyperlinks>
  <printOptions horizontalCentered="1"/>
  <pageMargins left="0.11811023622047245" right="0.11811023622047245" top="0.35433070866141736" bottom="0.35433070866141736" header="0.31496062992125984" footer="0.31496062992125984"/>
  <pageSetup paperSize="9" scale="36" fitToHeight="0" orientation="landscape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A78E-7B4C-4062-B660-A7878E45CCFA}">
  <sheetPr codeName="Hoja5">
    <tabColor theme="6"/>
    <pageSetUpPr fitToPage="1"/>
  </sheetPr>
  <dimension ref="B2:AB44"/>
  <sheetViews>
    <sheetView showGridLines="0" topLeftCell="F27" zoomScaleNormal="100" zoomScaleSheetLayoutView="100" workbookViewId="0">
      <selection activeCell="P36" sqref="P36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6.44140625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bestFit="1" customWidth="1"/>
    <col min="23" max="27" width="17.109375" customWidth="1" outlineLevel="1"/>
    <col min="28" max="28" width="12.88671875" customWidth="1" outlineLevel="1"/>
  </cols>
  <sheetData>
    <row r="2" spans="2:28" ht="23.4" x14ac:dyDescent="0.3">
      <c r="B2" s="263" t="s">
        <v>4245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16">
        <f>IF(Bbva_Soles[[#This Row],[TIPO DE R.]]="R",COUNTIFS($D$4:$D4,"R")+1,"")</f>
        <v>1</v>
      </c>
      <c r="C5" s="18" t="str">
        <f t="shared" ref="C5:C38" si="0">"B-BBVA"</f>
        <v>B-BBVA</v>
      </c>
      <c r="D5" s="13" t="s">
        <v>1074</v>
      </c>
      <c r="E5" s="4">
        <v>45658</v>
      </c>
      <c r="F5" s="5" t="s">
        <v>1075</v>
      </c>
      <c r="G5" s="6" t="s">
        <v>1064</v>
      </c>
      <c r="H5" s="6"/>
      <c r="I5" s="6"/>
      <c r="J5" s="6"/>
      <c r="K5" s="6"/>
      <c r="L5" s="7" t="s">
        <v>1076</v>
      </c>
      <c r="M5" s="8" t="s">
        <v>1077</v>
      </c>
      <c r="N5" s="8" t="str">
        <f t="shared" ref="N5:N35" si="1">"PEN"</f>
        <v>PEN</v>
      </c>
      <c r="O5" s="13"/>
      <c r="P5" s="13">
        <v>1197.7</v>
      </c>
      <c r="Q5" s="13">
        <f t="shared" ref="Q5:Q38" si="2">+IF(OR($G5="SALDO",$G5="INGRESO"),$P5,0)</f>
        <v>1197.7</v>
      </c>
      <c r="R5" s="13">
        <f t="shared" ref="R5:R38" si="3">+IF($G5="EGRESO",$P5,0)</f>
        <v>0</v>
      </c>
      <c r="S5" s="13">
        <f>IFERROR(IF(G5="SALDO",Q5,S4+Q5-R5),0)</f>
        <v>1197.7</v>
      </c>
      <c r="T5" s="28" t="s">
        <v>1081</v>
      </c>
      <c r="U5" s="28"/>
      <c r="V5" s="17"/>
      <c r="W5" s="17"/>
      <c r="X5" s="17"/>
      <c r="Y5" s="17"/>
      <c r="Z5" s="17"/>
      <c r="AA5" s="17"/>
      <c r="AB5" s="13" t="str">
        <f>IF(Bbva_Soles[[#This Row],[FECHA]]&gt;0,TEXT(Bbva_Soles[[#This Row],[FECHA]],"mmmm"),0)</f>
        <v>Enero</v>
      </c>
    </row>
    <row r="6" spans="2:28" x14ac:dyDescent="0.3">
      <c r="B6" s="2">
        <f>IF(Bbva_Soles[[#This Row],[TIPO DE R.]]="R",COUNTIFS($D$4:$D5,"R")+1,"")</f>
        <v>2</v>
      </c>
      <c r="C6" s="19" t="str">
        <f t="shared" si="0"/>
        <v>B-BBVA</v>
      </c>
      <c r="D6" s="3" t="s">
        <v>1074</v>
      </c>
      <c r="E6" s="14">
        <v>45666</v>
      </c>
      <c r="F6" s="5" t="s">
        <v>168</v>
      </c>
      <c r="G6" s="5" t="s">
        <v>1087</v>
      </c>
      <c r="H6" s="6"/>
      <c r="I6" s="6"/>
      <c r="J6" s="6"/>
      <c r="K6" s="6"/>
      <c r="L6" s="7" t="s">
        <v>4246</v>
      </c>
      <c r="M6" s="8">
        <v>542</v>
      </c>
      <c r="N6" s="8" t="str">
        <f t="shared" si="1"/>
        <v>PEN</v>
      </c>
      <c r="O6" s="13"/>
      <c r="P6" s="13">
        <v>871.02</v>
      </c>
      <c r="Q6" s="3">
        <f t="shared" si="2"/>
        <v>871.02</v>
      </c>
      <c r="R6" s="3">
        <f t="shared" si="3"/>
        <v>0</v>
      </c>
      <c r="S6" s="3">
        <f t="shared" ref="S6:S41" si="4">IFERROR(IF(G6="SALDO",Q6,S5+Q6-R6),0)</f>
        <v>2068.7200000000003</v>
      </c>
      <c r="T6" s="24" t="s">
        <v>1081</v>
      </c>
      <c r="U6" s="24"/>
      <c r="V6" s="3"/>
      <c r="W6" s="3" t="s">
        <v>1090</v>
      </c>
      <c r="X6" s="3" t="s">
        <v>4247</v>
      </c>
      <c r="Y6" s="3"/>
      <c r="Z6" s="3"/>
      <c r="AA6" s="3"/>
      <c r="AB6" s="3" t="str">
        <f>IF(Bbva_Soles[[#This Row],[FECHA]]&gt;0,TEXT(Bbva_Soles[[#This Row],[FECHA]],"mmmm"),0)</f>
        <v>Enero</v>
      </c>
    </row>
    <row r="7" spans="2:28" x14ac:dyDescent="0.3">
      <c r="B7" s="2">
        <f>IF(Bbva_Soles[[#This Row],[TIPO DE R.]]="R",COUNTIFS($D$4:$D6,"R")+1,"")</f>
        <v>3</v>
      </c>
      <c r="C7" s="19" t="str">
        <f t="shared" si="0"/>
        <v>B-BBVA</v>
      </c>
      <c r="D7" s="3" t="s">
        <v>1074</v>
      </c>
      <c r="E7" s="14">
        <v>45678</v>
      </c>
      <c r="F7" s="5" t="s">
        <v>168</v>
      </c>
      <c r="G7" s="5" t="s">
        <v>1087</v>
      </c>
      <c r="H7" s="6"/>
      <c r="I7" s="6"/>
      <c r="J7" s="6"/>
      <c r="K7" s="6"/>
      <c r="L7" s="7" t="s">
        <v>4246</v>
      </c>
      <c r="M7" s="8">
        <v>543</v>
      </c>
      <c r="N7" s="8" t="str">
        <f t="shared" si="1"/>
        <v>PEN</v>
      </c>
      <c r="O7" s="13"/>
      <c r="P7" s="13">
        <v>1062.8800000000001</v>
      </c>
      <c r="Q7" s="3">
        <f t="shared" si="2"/>
        <v>1062.8800000000001</v>
      </c>
      <c r="R7" s="3">
        <f t="shared" si="3"/>
        <v>0</v>
      </c>
      <c r="S7" s="3">
        <f t="shared" si="4"/>
        <v>3131.6000000000004</v>
      </c>
      <c r="T7" s="24" t="s">
        <v>1081</v>
      </c>
      <c r="U7" s="24" t="s">
        <v>1081</v>
      </c>
      <c r="V7" s="3"/>
      <c r="W7" s="3" t="s">
        <v>1090</v>
      </c>
      <c r="X7" s="3" t="s">
        <v>4248</v>
      </c>
      <c r="Y7" s="3"/>
      <c r="Z7" s="3"/>
      <c r="AA7" s="3"/>
      <c r="AB7" s="3" t="str">
        <f>IF(Bbva_Soles[[#This Row],[FECHA]]&gt;0,TEXT(Bbva_Soles[[#This Row],[FECHA]],"mmmm"),0)</f>
        <v>Enero</v>
      </c>
    </row>
    <row r="8" spans="2:28" x14ac:dyDescent="0.3">
      <c r="B8" s="2">
        <f>IF(Bbva_Soles[[#This Row],[TIPO DE R.]]="R",COUNTIFS($D$4:$D7,"R")+1,"")</f>
        <v>4</v>
      </c>
      <c r="C8" s="19" t="str">
        <f t="shared" si="0"/>
        <v>B-BBVA</v>
      </c>
      <c r="D8" s="3" t="s">
        <v>1074</v>
      </c>
      <c r="E8" s="14">
        <v>45678</v>
      </c>
      <c r="F8" s="5"/>
      <c r="G8" s="5" t="s">
        <v>1079</v>
      </c>
      <c r="H8" s="6"/>
      <c r="I8" s="6"/>
      <c r="J8" s="6"/>
      <c r="K8" s="6"/>
      <c r="L8" s="7" t="s">
        <v>1080</v>
      </c>
      <c r="M8" s="8">
        <v>544</v>
      </c>
      <c r="N8" s="8" t="str">
        <f t="shared" si="1"/>
        <v>PEN</v>
      </c>
      <c r="O8" s="13"/>
      <c r="P8" s="13">
        <v>0.05</v>
      </c>
      <c r="Q8" s="3">
        <f t="shared" si="2"/>
        <v>0</v>
      </c>
      <c r="R8" s="3">
        <f t="shared" si="3"/>
        <v>0.05</v>
      </c>
      <c r="S8" s="3">
        <f t="shared" si="4"/>
        <v>3131.55</v>
      </c>
      <c r="T8" s="24"/>
      <c r="U8" s="24"/>
      <c r="V8" s="3"/>
      <c r="W8" s="3"/>
      <c r="X8" s="3"/>
      <c r="Y8" s="3"/>
      <c r="Z8" s="3"/>
      <c r="AA8" s="3"/>
      <c r="AB8" s="3" t="str">
        <f>IF(Bbva_Soles[[#This Row],[FECHA]]&gt;0,TEXT(Bbva_Soles[[#This Row],[FECHA]],"mmmm"),0)</f>
        <v>Enero</v>
      </c>
    </row>
    <row r="9" spans="2:28" ht="24" x14ac:dyDescent="0.3">
      <c r="B9" s="2">
        <f>IF(Bbva_Soles[[#This Row],[TIPO DE R.]]="R",COUNTIFS($D$4:$D8,"R")+1,"")</f>
        <v>5</v>
      </c>
      <c r="C9" s="19" t="str">
        <f t="shared" si="0"/>
        <v>B-BBVA</v>
      </c>
      <c r="D9" s="3" t="s">
        <v>1074</v>
      </c>
      <c r="E9" s="14">
        <v>45688</v>
      </c>
      <c r="F9" s="5" t="s">
        <v>389</v>
      </c>
      <c r="G9" s="5" t="s">
        <v>1087</v>
      </c>
      <c r="H9" s="6"/>
      <c r="I9" s="6"/>
      <c r="J9" s="6"/>
      <c r="K9" s="6"/>
      <c r="L9" s="7" t="s">
        <v>4249</v>
      </c>
      <c r="M9" s="8">
        <v>545</v>
      </c>
      <c r="N9" s="8" t="str">
        <f t="shared" si="1"/>
        <v>PEN</v>
      </c>
      <c r="O9" s="13"/>
      <c r="P9" s="13">
        <v>536</v>
      </c>
      <c r="Q9" s="3">
        <f t="shared" si="2"/>
        <v>536</v>
      </c>
      <c r="R9" s="3">
        <f t="shared" si="3"/>
        <v>0</v>
      </c>
      <c r="S9" s="3">
        <f t="shared" si="4"/>
        <v>3667.55</v>
      </c>
      <c r="T9" s="24" t="s">
        <v>1081</v>
      </c>
      <c r="U9" s="24"/>
      <c r="V9" s="3"/>
      <c r="W9" s="3" t="s">
        <v>1090</v>
      </c>
      <c r="X9" s="3" t="s">
        <v>4250</v>
      </c>
      <c r="Y9" s="3"/>
      <c r="Z9" s="3"/>
      <c r="AA9" s="3"/>
      <c r="AB9" s="3" t="str">
        <f>IF(Bbva_Soles[[#This Row],[FECHA]]&gt;0,TEXT(Bbva_Soles[[#This Row],[FECHA]],"mmmm"),0)</f>
        <v>Enero</v>
      </c>
    </row>
    <row r="10" spans="2:28" x14ac:dyDescent="0.3">
      <c r="B10" s="2">
        <f>IF(Bbva_Soles[[#This Row],[TIPO DE R.]]="R",COUNTIFS($D$4:$D9,"R")+1,"")</f>
        <v>6</v>
      </c>
      <c r="C10" s="19" t="str">
        <f t="shared" si="0"/>
        <v>B-BBVA</v>
      </c>
      <c r="D10" s="3" t="s">
        <v>1074</v>
      </c>
      <c r="E10" s="14">
        <v>45688</v>
      </c>
      <c r="F10" s="5"/>
      <c r="G10" s="5" t="s">
        <v>1079</v>
      </c>
      <c r="H10" s="6"/>
      <c r="I10" s="6"/>
      <c r="J10" s="6"/>
      <c r="K10" s="6"/>
      <c r="L10" s="7" t="s">
        <v>4251</v>
      </c>
      <c r="M10" s="8">
        <v>546</v>
      </c>
      <c r="N10" s="8" t="str">
        <f t="shared" si="1"/>
        <v>PEN</v>
      </c>
      <c r="O10" s="13"/>
      <c r="P10" s="13">
        <v>30</v>
      </c>
      <c r="Q10" s="3">
        <f t="shared" si="2"/>
        <v>0</v>
      </c>
      <c r="R10" s="3">
        <f t="shared" si="3"/>
        <v>30</v>
      </c>
      <c r="S10" s="3">
        <f t="shared" si="4"/>
        <v>3637.55</v>
      </c>
      <c r="T10" s="24"/>
      <c r="U10" s="24"/>
      <c r="V10" s="3"/>
      <c r="W10" s="3"/>
      <c r="X10" s="3"/>
      <c r="Y10" s="3"/>
      <c r="Z10" s="3"/>
      <c r="AA10" s="3"/>
      <c r="AB10" s="3" t="str">
        <f>IF(Bbva_Soles[[#This Row],[FECHA]]&gt;0,TEXT(Bbva_Soles[[#This Row],[FECHA]],"mmmm"),0)</f>
        <v>Enero</v>
      </c>
    </row>
    <row r="11" spans="2:28" x14ac:dyDescent="0.3">
      <c r="B11" s="2">
        <f>IF(Bbva_Soles[[#This Row],[TIPO DE R.]]="R",COUNTIFS($D$4:$D10,"R")+1,"")</f>
        <v>7</v>
      </c>
      <c r="C11" s="19" t="str">
        <f t="shared" si="0"/>
        <v>B-BBVA</v>
      </c>
      <c r="D11" s="3" t="s">
        <v>1074</v>
      </c>
      <c r="E11" s="14">
        <v>45699</v>
      </c>
      <c r="F11" s="5" t="s">
        <v>4252</v>
      </c>
      <c r="G11" s="5" t="s">
        <v>1079</v>
      </c>
      <c r="H11" s="6"/>
      <c r="I11" s="6"/>
      <c r="J11" s="6"/>
      <c r="K11" s="6"/>
      <c r="L11" s="7" t="s">
        <v>4253</v>
      </c>
      <c r="M11" s="8">
        <v>547</v>
      </c>
      <c r="N11" s="8" t="str">
        <f t="shared" si="1"/>
        <v>PEN</v>
      </c>
      <c r="O11" s="13"/>
      <c r="P11" s="13">
        <v>225</v>
      </c>
      <c r="Q11" s="3">
        <f t="shared" si="2"/>
        <v>0</v>
      </c>
      <c r="R11" s="3">
        <f t="shared" si="3"/>
        <v>225</v>
      </c>
      <c r="S11" s="3">
        <f t="shared" si="4"/>
        <v>3412.55</v>
      </c>
      <c r="T11" s="24"/>
      <c r="U11" s="24"/>
      <c r="V11" s="3"/>
      <c r="W11" s="3"/>
      <c r="X11" s="3" t="s">
        <v>4254</v>
      </c>
      <c r="Y11" s="3"/>
      <c r="Z11" s="3"/>
      <c r="AA11" s="3"/>
      <c r="AB11" s="3" t="str">
        <f>IF(Bbva_Soles[[#This Row],[FECHA]]&gt;0,TEXT(Bbva_Soles[[#This Row],[FECHA]],"mmmm"),0)</f>
        <v>Febrero</v>
      </c>
    </row>
    <row r="12" spans="2:28" x14ac:dyDescent="0.3">
      <c r="B12" s="2">
        <f>IF(Bbva_Soles[[#This Row],[TIPO DE R.]]="R",COUNTIFS($D$4:$D11,"R")+1,"")</f>
        <v>8</v>
      </c>
      <c r="C12" s="19" t="str">
        <f t="shared" si="0"/>
        <v>B-BBVA</v>
      </c>
      <c r="D12" s="3" t="s">
        <v>1074</v>
      </c>
      <c r="E12" s="14">
        <v>45716</v>
      </c>
      <c r="F12" s="5"/>
      <c r="G12" s="5" t="s">
        <v>1079</v>
      </c>
      <c r="H12" s="6"/>
      <c r="I12" s="6"/>
      <c r="J12" s="6"/>
      <c r="K12" s="6"/>
      <c r="L12" s="7" t="s">
        <v>4251</v>
      </c>
      <c r="M12" s="8">
        <v>548</v>
      </c>
      <c r="N12" s="8" t="str">
        <f t="shared" si="1"/>
        <v>PEN</v>
      </c>
      <c r="O12" s="13"/>
      <c r="P12" s="13">
        <v>30</v>
      </c>
      <c r="Q12" s="3">
        <f t="shared" si="2"/>
        <v>0</v>
      </c>
      <c r="R12" s="3">
        <f t="shared" si="3"/>
        <v>30</v>
      </c>
      <c r="S12" s="3">
        <f t="shared" si="4"/>
        <v>3382.55</v>
      </c>
      <c r="T12" s="24" t="s">
        <v>1081</v>
      </c>
      <c r="U12" s="24"/>
      <c r="V12" s="3"/>
      <c r="W12" s="3"/>
      <c r="X12" s="3" t="s">
        <v>4255</v>
      </c>
      <c r="Y12" s="3"/>
      <c r="Z12" s="3"/>
      <c r="AA12" s="3"/>
      <c r="AB12" s="3" t="str">
        <f>IF(Bbva_Soles[[#This Row],[FECHA]]&gt;0,TEXT(Bbva_Soles[[#This Row],[FECHA]],"mmmm"),0)</f>
        <v>Febrero</v>
      </c>
    </row>
    <row r="13" spans="2:28" x14ac:dyDescent="0.3">
      <c r="B13" s="2">
        <f>IF(Bbva_Soles[[#This Row],[TIPO DE R.]]="R",COUNTIFS($D$4:$D12,"R")+1,"")</f>
        <v>9</v>
      </c>
      <c r="C13" s="19" t="str">
        <f t="shared" si="0"/>
        <v>B-BBVA</v>
      </c>
      <c r="D13" s="3" t="s">
        <v>1074</v>
      </c>
      <c r="E13" s="14">
        <v>45747</v>
      </c>
      <c r="F13" s="5"/>
      <c r="G13" s="5" t="s">
        <v>1079</v>
      </c>
      <c r="H13" s="6"/>
      <c r="I13" s="6"/>
      <c r="J13" s="6"/>
      <c r="K13" s="6"/>
      <c r="L13" s="7" t="s">
        <v>4251</v>
      </c>
      <c r="M13" s="8">
        <v>549</v>
      </c>
      <c r="N13" s="8" t="str">
        <f t="shared" si="1"/>
        <v>PEN</v>
      </c>
      <c r="O13" s="13"/>
      <c r="P13" s="13">
        <v>30</v>
      </c>
      <c r="Q13" s="3">
        <f t="shared" si="2"/>
        <v>0</v>
      </c>
      <c r="R13" s="3">
        <f t="shared" si="3"/>
        <v>30</v>
      </c>
      <c r="S13" s="3">
        <f t="shared" si="4"/>
        <v>3352.55</v>
      </c>
      <c r="T13" s="24" t="s">
        <v>1081</v>
      </c>
      <c r="U13" s="24"/>
      <c r="V13" s="3"/>
      <c r="W13" s="3"/>
      <c r="X13" s="3" t="s">
        <v>4256</v>
      </c>
      <c r="Y13" s="3"/>
      <c r="Z13" s="3"/>
      <c r="AA13" s="3"/>
      <c r="AB13" s="3" t="str">
        <f>IF(Bbva_Soles[[#This Row],[FECHA]]&gt;0,TEXT(Bbva_Soles[[#This Row],[FECHA]],"mmmm"),0)</f>
        <v>Marzo</v>
      </c>
    </row>
    <row r="14" spans="2:28" x14ac:dyDescent="0.3">
      <c r="B14" s="2">
        <f>IF(Bbva_Soles[[#This Row],[TIPO DE R.]]="R",COUNTIFS($D$4:$D13,"R")+1,"")</f>
        <v>10</v>
      </c>
      <c r="C14" s="19" t="str">
        <f t="shared" si="0"/>
        <v>B-BBVA</v>
      </c>
      <c r="D14" s="3" t="s">
        <v>1074</v>
      </c>
      <c r="E14" s="14">
        <v>45777</v>
      </c>
      <c r="F14" s="5"/>
      <c r="G14" s="5" t="s">
        <v>1079</v>
      </c>
      <c r="H14" s="6"/>
      <c r="I14" s="6"/>
      <c r="J14" s="6"/>
      <c r="K14" s="6"/>
      <c r="L14" s="7" t="s">
        <v>4251</v>
      </c>
      <c r="M14" s="8" t="s">
        <v>4257</v>
      </c>
      <c r="N14" s="8" t="str">
        <f t="shared" si="1"/>
        <v>PEN</v>
      </c>
      <c r="O14" s="13"/>
      <c r="P14" s="13">
        <v>30</v>
      </c>
      <c r="Q14" s="3">
        <f t="shared" si="2"/>
        <v>0</v>
      </c>
      <c r="R14" s="3">
        <f t="shared" si="3"/>
        <v>30</v>
      </c>
      <c r="S14" s="3">
        <f t="shared" si="4"/>
        <v>3322.55</v>
      </c>
      <c r="T14" s="24" t="s">
        <v>1081</v>
      </c>
      <c r="U14" s="24"/>
      <c r="V14" s="3"/>
      <c r="W14" s="3"/>
      <c r="X14" s="3" t="s">
        <v>4258</v>
      </c>
      <c r="Y14" s="3"/>
      <c r="Z14" s="3"/>
      <c r="AA14" s="3"/>
      <c r="AB14" s="3" t="str">
        <f>IF(Bbva_Soles[[#This Row],[FECHA]]&gt;0,TEXT(Bbva_Soles[[#This Row],[FECHA]],"mmmm"),0)</f>
        <v>Abril</v>
      </c>
    </row>
    <row r="15" spans="2:28" x14ac:dyDescent="0.3">
      <c r="B15" s="2">
        <f>IF(Bbva_Soles[[#This Row],[TIPO DE R.]]="R",COUNTIFS($D$4:$D14,"R")+1,"")</f>
        <v>11</v>
      </c>
      <c r="C15" s="19" t="str">
        <f t="shared" si="0"/>
        <v>B-BBVA</v>
      </c>
      <c r="D15" s="3" t="s">
        <v>1074</v>
      </c>
      <c r="E15" s="14">
        <v>45777</v>
      </c>
      <c r="F15" s="5"/>
      <c r="G15" s="5" t="s">
        <v>1079</v>
      </c>
      <c r="H15" s="6"/>
      <c r="I15" s="6"/>
      <c r="J15" s="6"/>
      <c r="K15" s="6"/>
      <c r="L15" s="7" t="s">
        <v>1080</v>
      </c>
      <c r="M15" s="8">
        <v>551</v>
      </c>
      <c r="N15" s="8" t="str">
        <f t="shared" si="1"/>
        <v>PEN</v>
      </c>
      <c r="O15" s="13"/>
      <c r="P15" s="13">
        <v>1.5</v>
      </c>
      <c r="Q15" s="3">
        <f t="shared" si="2"/>
        <v>0</v>
      </c>
      <c r="R15" s="3">
        <f t="shared" si="3"/>
        <v>1.5</v>
      </c>
      <c r="S15" s="3">
        <f t="shared" si="4"/>
        <v>3321.05</v>
      </c>
      <c r="T15" s="24"/>
      <c r="U15" s="24" t="s">
        <v>1081</v>
      </c>
      <c r="V15" s="3"/>
      <c r="W15" s="3"/>
      <c r="X15" s="3"/>
      <c r="Y15" s="3"/>
      <c r="Z15" s="3"/>
      <c r="AA15" s="3"/>
      <c r="AB15" s="3" t="str">
        <f>IF(Bbva_Soles[[#This Row],[FECHA]]&gt;0,TEXT(Bbva_Soles[[#This Row],[FECHA]],"mmmm"),0)</f>
        <v>Abril</v>
      </c>
    </row>
    <row r="16" spans="2:28" x14ac:dyDescent="0.3">
      <c r="B16" s="2">
        <f>IF(Bbva_Soles[[#This Row],[TIPO DE R.]]="R",COUNTIFS($D$4:$D15,"R")+1,"")</f>
        <v>12</v>
      </c>
      <c r="C16" s="19" t="str">
        <f t="shared" si="0"/>
        <v>B-BBVA</v>
      </c>
      <c r="D16" s="3" t="s">
        <v>1074</v>
      </c>
      <c r="E16" s="14">
        <v>45777</v>
      </c>
      <c r="F16" s="5"/>
      <c r="G16" s="5" t="s">
        <v>1079</v>
      </c>
      <c r="H16" s="6"/>
      <c r="I16" s="6"/>
      <c r="J16" s="6"/>
      <c r="K16" s="6"/>
      <c r="L16" s="7" t="s">
        <v>1080</v>
      </c>
      <c r="M16" s="8">
        <v>553</v>
      </c>
      <c r="N16" s="8" t="str">
        <f t="shared" si="1"/>
        <v>PEN</v>
      </c>
      <c r="O16" s="13"/>
      <c r="P16" s="13">
        <v>1.5</v>
      </c>
      <c r="Q16" s="3">
        <f t="shared" si="2"/>
        <v>0</v>
      </c>
      <c r="R16" s="3">
        <f t="shared" si="3"/>
        <v>1.5</v>
      </c>
      <c r="S16" s="3">
        <f t="shared" si="4"/>
        <v>3319.55</v>
      </c>
      <c r="T16" s="24"/>
      <c r="U16" s="24" t="s">
        <v>1081</v>
      </c>
      <c r="V16" s="3"/>
      <c r="W16" s="3"/>
      <c r="X16" s="3"/>
      <c r="Y16" s="3"/>
      <c r="Z16" s="3"/>
      <c r="AA16" s="3"/>
      <c r="AB16" s="3" t="str">
        <f>IF(Bbva_Soles[[#This Row],[FECHA]]&gt;0,TEXT(Bbva_Soles[[#This Row],[FECHA]],"mmmm"),0)</f>
        <v>Abril</v>
      </c>
    </row>
    <row r="17" spans="2:28" x14ac:dyDescent="0.3">
      <c r="B17" s="2">
        <f>IF(Bbva_Soles[[#This Row],[TIPO DE R.]]="R",COUNTIFS($D$4:$D16,"R")+1,"")</f>
        <v>13</v>
      </c>
      <c r="C17" s="19" t="str">
        <f t="shared" si="0"/>
        <v>B-BBVA</v>
      </c>
      <c r="D17" s="3" t="s">
        <v>1074</v>
      </c>
      <c r="E17" s="14">
        <v>45777</v>
      </c>
      <c r="F17" s="5"/>
      <c r="G17" s="5" t="s">
        <v>1079</v>
      </c>
      <c r="H17" s="6"/>
      <c r="I17" s="6"/>
      <c r="J17" s="6"/>
      <c r="K17" s="6"/>
      <c r="L17" s="7" t="s">
        <v>1080</v>
      </c>
      <c r="M17" s="8">
        <v>555</v>
      </c>
      <c r="N17" s="8" t="str">
        <f t="shared" si="1"/>
        <v>PEN</v>
      </c>
      <c r="O17" s="13"/>
      <c r="P17" s="13">
        <v>0.45</v>
      </c>
      <c r="Q17" s="3">
        <f t="shared" si="2"/>
        <v>0</v>
      </c>
      <c r="R17" s="3">
        <f t="shared" si="3"/>
        <v>0.45</v>
      </c>
      <c r="S17" s="3">
        <f t="shared" si="4"/>
        <v>3319.1000000000004</v>
      </c>
      <c r="T17" s="24"/>
      <c r="U17" s="24" t="s">
        <v>1081</v>
      </c>
      <c r="V17" s="3"/>
      <c r="W17" s="3"/>
      <c r="X17" s="3"/>
      <c r="Y17" s="3"/>
      <c r="Z17" s="3"/>
      <c r="AA17" s="3"/>
      <c r="AB17" s="3" t="str">
        <f>IF(Bbva_Soles[[#This Row],[FECHA]]&gt;0,TEXT(Bbva_Soles[[#This Row],[FECHA]],"mmmm"),0)</f>
        <v>Abril</v>
      </c>
    </row>
    <row r="18" spans="2:28" x14ac:dyDescent="0.3">
      <c r="B18" s="2">
        <f>IF(Bbva_Soles[[#This Row],[TIPO DE R.]]="R",COUNTIFS($D$4:$D17,"R")+1,"")</f>
        <v>14</v>
      </c>
      <c r="C18" s="19" t="str">
        <f t="shared" si="0"/>
        <v>B-BBVA</v>
      </c>
      <c r="D18" s="3" t="s">
        <v>1074</v>
      </c>
      <c r="E18" s="14">
        <v>45777</v>
      </c>
      <c r="F18" s="5"/>
      <c r="G18" s="5" t="s">
        <v>1079</v>
      </c>
      <c r="H18" s="6"/>
      <c r="I18" s="6"/>
      <c r="J18" s="6"/>
      <c r="K18" s="6"/>
      <c r="L18" s="7" t="s">
        <v>1080</v>
      </c>
      <c r="M18" s="8">
        <v>557</v>
      </c>
      <c r="N18" s="8" t="str">
        <f t="shared" si="1"/>
        <v>PEN</v>
      </c>
      <c r="O18" s="13"/>
      <c r="P18" s="13">
        <v>0.05</v>
      </c>
      <c r="Q18" s="3">
        <f t="shared" si="2"/>
        <v>0</v>
      </c>
      <c r="R18" s="3">
        <f t="shared" si="3"/>
        <v>0.05</v>
      </c>
      <c r="S18" s="3">
        <f t="shared" si="4"/>
        <v>3319.05</v>
      </c>
      <c r="T18" s="24"/>
      <c r="U18" s="24" t="s">
        <v>1081</v>
      </c>
      <c r="V18" s="3"/>
      <c r="W18" s="3"/>
      <c r="X18" s="3"/>
      <c r="Y18" s="3"/>
      <c r="Z18" s="3"/>
      <c r="AA18" s="3"/>
      <c r="AB18" s="3" t="str">
        <f>IF(Bbva_Soles[[#This Row],[FECHA]]&gt;0,TEXT(Bbva_Soles[[#This Row],[FECHA]],"mmmm"),0)</f>
        <v>Abril</v>
      </c>
    </row>
    <row r="19" spans="2:28" ht="24" x14ac:dyDescent="0.3">
      <c r="B19" s="2">
        <f>IF(Bbva_Soles[[#This Row],[TIPO DE R.]]="R",COUNTIFS($D$4:$D18,"R")+1,"")</f>
        <v>15</v>
      </c>
      <c r="C19" s="19" t="str">
        <f t="shared" si="0"/>
        <v>B-BBVA</v>
      </c>
      <c r="D19" s="3" t="s">
        <v>1074</v>
      </c>
      <c r="E19" s="14">
        <v>45777</v>
      </c>
      <c r="F19" s="5" t="s">
        <v>543</v>
      </c>
      <c r="G19" s="5" t="s">
        <v>1087</v>
      </c>
      <c r="H19" s="6"/>
      <c r="I19" s="6"/>
      <c r="J19" s="6"/>
      <c r="K19" s="6"/>
      <c r="L19" s="7" t="s">
        <v>4259</v>
      </c>
      <c r="M19" s="8" t="s">
        <v>4260</v>
      </c>
      <c r="N19" s="8" t="str">
        <f t="shared" si="1"/>
        <v>PEN</v>
      </c>
      <c r="O19" s="13"/>
      <c r="P19" s="13">
        <v>622</v>
      </c>
      <c r="Q19" s="3">
        <f t="shared" si="2"/>
        <v>622</v>
      </c>
      <c r="R19" s="3">
        <f t="shared" si="3"/>
        <v>0</v>
      </c>
      <c r="S19" s="3">
        <f t="shared" si="4"/>
        <v>3941.05</v>
      </c>
      <c r="T19" s="24" t="s">
        <v>1081</v>
      </c>
      <c r="U19" s="24" t="s">
        <v>1081</v>
      </c>
      <c r="V19" s="3"/>
      <c r="W19" s="3" t="s">
        <v>1090</v>
      </c>
      <c r="X19" s="3" t="s">
        <v>4261</v>
      </c>
      <c r="Y19" s="3"/>
      <c r="Z19" s="3"/>
      <c r="AA19" s="3"/>
      <c r="AB19" s="3" t="str">
        <f>IF(Bbva_Soles[[#This Row],[FECHA]]&gt;0,TEXT(Bbva_Soles[[#This Row],[FECHA]],"mmmm"),0)</f>
        <v>Abril</v>
      </c>
    </row>
    <row r="20" spans="2:28" ht="24" x14ac:dyDescent="0.3">
      <c r="B20" s="2">
        <f>IF(Bbva_Soles[[#This Row],[TIPO DE R.]]="R",COUNTIFS($D$4:$D19,"R")+1,"")</f>
        <v>16</v>
      </c>
      <c r="C20" s="19" t="str">
        <f t="shared" si="0"/>
        <v>B-BBVA</v>
      </c>
      <c r="D20" s="3" t="s">
        <v>1074</v>
      </c>
      <c r="E20" s="14">
        <v>45777</v>
      </c>
      <c r="F20" s="5" t="s">
        <v>543</v>
      </c>
      <c r="G20" s="5" t="s">
        <v>1087</v>
      </c>
      <c r="H20" s="6"/>
      <c r="I20" s="6"/>
      <c r="J20" s="6"/>
      <c r="K20" s="6"/>
      <c r="L20" s="7" t="s">
        <v>4259</v>
      </c>
      <c r="M20" s="8" t="s">
        <v>4262</v>
      </c>
      <c r="N20" s="8" t="str">
        <f t="shared" si="1"/>
        <v>PEN</v>
      </c>
      <c r="O20" s="13"/>
      <c r="P20" s="13">
        <v>500</v>
      </c>
      <c r="Q20" s="3">
        <f t="shared" si="2"/>
        <v>500</v>
      </c>
      <c r="R20" s="3">
        <f t="shared" si="3"/>
        <v>0</v>
      </c>
      <c r="S20" s="3">
        <f t="shared" si="4"/>
        <v>4441.05</v>
      </c>
      <c r="T20" s="24" t="s">
        <v>1081</v>
      </c>
      <c r="U20" s="24" t="s">
        <v>1081</v>
      </c>
      <c r="V20" s="3"/>
      <c r="W20" s="3" t="s">
        <v>1090</v>
      </c>
      <c r="X20" s="3" t="s">
        <v>4261</v>
      </c>
      <c r="Y20" s="3"/>
      <c r="Z20" s="3"/>
      <c r="AA20" s="3"/>
      <c r="AB20" s="3" t="str">
        <f>IF(Bbva_Soles[[#This Row],[FECHA]]&gt;0,TEXT(Bbva_Soles[[#This Row],[FECHA]],"mmmm"),0)</f>
        <v>Abril</v>
      </c>
    </row>
    <row r="21" spans="2:28" ht="24" x14ac:dyDescent="0.3">
      <c r="B21" s="2">
        <f>IF(Bbva_Soles[[#This Row],[TIPO DE R.]]="R",COUNTIFS($D$4:$D20,"R")+1,"")</f>
        <v>17</v>
      </c>
      <c r="C21" s="19" t="str">
        <f t="shared" si="0"/>
        <v>B-BBVA</v>
      </c>
      <c r="D21" s="3" t="s">
        <v>1074</v>
      </c>
      <c r="E21" s="14">
        <v>45777</v>
      </c>
      <c r="F21" s="5" t="s">
        <v>543</v>
      </c>
      <c r="G21" s="5" t="s">
        <v>1087</v>
      </c>
      <c r="H21" s="6"/>
      <c r="I21" s="6"/>
      <c r="J21" s="6"/>
      <c r="K21" s="6"/>
      <c r="L21" s="7" t="s">
        <v>4259</v>
      </c>
      <c r="M21" s="8" t="s">
        <v>4263</v>
      </c>
      <c r="N21" s="8" t="str">
        <f t="shared" si="1"/>
        <v>PEN</v>
      </c>
      <c r="O21" s="13"/>
      <c r="P21" s="13">
        <v>500</v>
      </c>
      <c r="Q21" s="3">
        <f t="shared" si="2"/>
        <v>500</v>
      </c>
      <c r="R21" s="3">
        <f t="shared" si="3"/>
        <v>0</v>
      </c>
      <c r="S21" s="3">
        <f t="shared" si="4"/>
        <v>4941.05</v>
      </c>
      <c r="T21" s="24" t="s">
        <v>1081</v>
      </c>
      <c r="U21" s="24" t="s">
        <v>1081</v>
      </c>
      <c r="V21" s="3"/>
      <c r="W21" s="3" t="s">
        <v>1090</v>
      </c>
      <c r="X21" s="3" t="s">
        <v>4261</v>
      </c>
      <c r="Y21" s="3"/>
      <c r="Z21" s="3"/>
      <c r="AA21" s="3"/>
      <c r="AB21" s="3" t="str">
        <f>IF(Bbva_Soles[[#This Row],[FECHA]]&gt;0,TEXT(Bbva_Soles[[#This Row],[FECHA]],"mmmm"),0)</f>
        <v>Abril</v>
      </c>
    </row>
    <row r="22" spans="2:28" ht="24" x14ac:dyDescent="0.3">
      <c r="B22" s="2">
        <f>IF(Bbva_Soles[[#This Row],[TIPO DE R.]]="R",COUNTIFS($D$4:$D21,"R")+1,"")</f>
        <v>18</v>
      </c>
      <c r="C22" s="19" t="str">
        <f t="shared" si="0"/>
        <v>B-BBVA</v>
      </c>
      <c r="D22" s="3" t="s">
        <v>1074</v>
      </c>
      <c r="E22" s="14">
        <v>45777</v>
      </c>
      <c r="F22" s="5" t="s">
        <v>543</v>
      </c>
      <c r="G22" s="5" t="s">
        <v>1087</v>
      </c>
      <c r="H22" s="6"/>
      <c r="I22" s="6"/>
      <c r="J22" s="6"/>
      <c r="K22" s="6"/>
      <c r="L22" s="7" t="s">
        <v>4259</v>
      </c>
      <c r="M22" s="8" t="s">
        <v>4264</v>
      </c>
      <c r="N22" s="8" t="str">
        <f t="shared" si="1"/>
        <v>PEN</v>
      </c>
      <c r="O22" s="13"/>
      <c r="P22" s="13">
        <v>500</v>
      </c>
      <c r="Q22" s="3">
        <f t="shared" si="2"/>
        <v>500</v>
      </c>
      <c r="R22" s="3">
        <f t="shared" si="3"/>
        <v>0</v>
      </c>
      <c r="S22" s="3">
        <f t="shared" si="4"/>
        <v>5441.05</v>
      </c>
      <c r="T22" s="24" t="s">
        <v>1081</v>
      </c>
      <c r="U22" s="24" t="s">
        <v>1081</v>
      </c>
      <c r="V22" s="3"/>
      <c r="W22" s="3" t="s">
        <v>1090</v>
      </c>
      <c r="X22" s="3" t="s">
        <v>4261</v>
      </c>
      <c r="Y22" s="3"/>
      <c r="Z22" s="3"/>
      <c r="AA22" s="3"/>
      <c r="AB22" s="3" t="str">
        <f>IF(Bbva_Soles[[#This Row],[FECHA]]&gt;0,TEXT(Bbva_Soles[[#This Row],[FECHA]],"mmmm"),0)</f>
        <v>Abril</v>
      </c>
    </row>
    <row r="23" spans="2:28" ht="24" x14ac:dyDescent="0.3">
      <c r="B23" s="2">
        <f>IF(Bbva_Soles[[#This Row],[TIPO DE R.]]="R",COUNTIFS($D$4:$D22,"R")+1,"")</f>
        <v>19</v>
      </c>
      <c r="C23" s="19" t="str">
        <f t="shared" si="0"/>
        <v>B-BBVA</v>
      </c>
      <c r="D23" s="3" t="s">
        <v>1074</v>
      </c>
      <c r="E23" s="14">
        <v>45777</v>
      </c>
      <c r="F23" s="5" t="s">
        <v>543</v>
      </c>
      <c r="G23" s="5" t="s">
        <v>1087</v>
      </c>
      <c r="H23" s="6"/>
      <c r="I23" s="6"/>
      <c r="J23" s="6"/>
      <c r="K23" s="6"/>
      <c r="L23" s="7" t="s">
        <v>4259</v>
      </c>
      <c r="M23" s="8" t="s">
        <v>4265</v>
      </c>
      <c r="N23" s="8" t="str">
        <f t="shared" si="1"/>
        <v>PEN</v>
      </c>
      <c r="O23" s="13"/>
      <c r="P23" s="13">
        <v>500</v>
      </c>
      <c r="Q23" s="3">
        <f t="shared" si="2"/>
        <v>500</v>
      </c>
      <c r="R23" s="3">
        <f t="shared" si="3"/>
        <v>0</v>
      </c>
      <c r="S23" s="3">
        <f t="shared" si="4"/>
        <v>5941.05</v>
      </c>
      <c r="T23" s="24" t="s">
        <v>1081</v>
      </c>
      <c r="U23" s="24" t="s">
        <v>1081</v>
      </c>
      <c r="V23" s="3"/>
      <c r="W23" s="3" t="s">
        <v>1090</v>
      </c>
      <c r="X23" s="3" t="s">
        <v>4261</v>
      </c>
      <c r="Y23" s="3"/>
      <c r="Z23" s="3"/>
      <c r="AA23" s="3"/>
      <c r="AB23" s="3" t="str">
        <f>IF(Bbva_Soles[[#This Row],[FECHA]]&gt;0,TEXT(Bbva_Soles[[#This Row],[FECHA]],"mmmm"),0)</f>
        <v>Abril</v>
      </c>
    </row>
    <row r="24" spans="2:28" ht="24" x14ac:dyDescent="0.3">
      <c r="B24" s="2">
        <f>IF(Bbva_Soles[[#This Row],[TIPO DE R.]]="R",COUNTIFS($D$4:$D23,"R")+1,"")</f>
        <v>20</v>
      </c>
      <c r="C24" s="19" t="str">
        <f t="shared" si="0"/>
        <v>B-BBVA</v>
      </c>
      <c r="D24" s="3" t="s">
        <v>1074</v>
      </c>
      <c r="E24" s="14">
        <v>45777</v>
      </c>
      <c r="F24" s="5" t="s">
        <v>389</v>
      </c>
      <c r="G24" s="5" t="s">
        <v>1087</v>
      </c>
      <c r="H24" s="6"/>
      <c r="I24" s="6"/>
      <c r="J24" s="6"/>
      <c r="K24" s="6"/>
      <c r="L24" s="7" t="s">
        <v>4249</v>
      </c>
      <c r="M24" s="8" t="s">
        <v>4266</v>
      </c>
      <c r="N24" s="8" t="str">
        <f t="shared" si="1"/>
        <v>PEN</v>
      </c>
      <c r="O24" s="13"/>
      <c r="P24" s="13">
        <v>1582</v>
      </c>
      <c r="Q24" s="3">
        <f t="shared" si="2"/>
        <v>1582</v>
      </c>
      <c r="R24" s="3">
        <f t="shared" si="3"/>
        <v>0</v>
      </c>
      <c r="S24" s="3">
        <f t="shared" si="4"/>
        <v>7523.05</v>
      </c>
      <c r="T24" s="24" t="s">
        <v>1081</v>
      </c>
      <c r="U24" s="24" t="s">
        <v>1081</v>
      </c>
      <c r="V24" s="3"/>
      <c r="W24" s="3" t="s">
        <v>1090</v>
      </c>
      <c r="X24" s="3" t="s">
        <v>4267</v>
      </c>
      <c r="Y24" s="3"/>
      <c r="Z24" s="3"/>
      <c r="AA24" s="3"/>
      <c r="AB24" s="3" t="str">
        <f>IF(Bbva_Soles[[#This Row],[FECHA]]&gt;0,TEXT(Bbva_Soles[[#This Row],[FECHA]],"mmmm"),0)</f>
        <v>Abril</v>
      </c>
    </row>
    <row r="25" spans="2:28" ht="24" x14ac:dyDescent="0.3">
      <c r="B25" s="2">
        <f>IF(Bbva_Soles[[#This Row],[TIPO DE R.]]="R",COUNTIFS($D$4:$D24,"R")+1,"")</f>
        <v>21</v>
      </c>
      <c r="C25" s="19" t="str">
        <f t="shared" si="0"/>
        <v>B-BBVA</v>
      </c>
      <c r="D25" s="3" t="s">
        <v>1074</v>
      </c>
      <c r="E25" s="14">
        <v>45777</v>
      </c>
      <c r="F25" s="5" t="s">
        <v>543</v>
      </c>
      <c r="G25" s="5" t="s">
        <v>1087</v>
      </c>
      <c r="H25" s="6"/>
      <c r="I25" s="6"/>
      <c r="J25" s="6"/>
      <c r="K25" s="6"/>
      <c r="L25" s="7" t="s">
        <v>4268</v>
      </c>
      <c r="M25" s="8" t="s">
        <v>4269</v>
      </c>
      <c r="N25" s="8" t="str">
        <f t="shared" si="1"/>
        <v>PEN</v>
      </c>
      <c r="O25" s="13"/>
      <c r="P25" s="13">
        <v>9700</v>
      </c>
      <c r="Q25" s="3">
        <f t="shared" si="2"/>
        <v>9700</v>
      </c>
      <c r="R25" s="3">
        <f t="shared" si="3"/>
        <v>0</v>
      </c>
      <c r="S25" s="3">
        <f t="shared" si="4"/>
        <v>17223.05</v>
      </c>
      <c r="T25" s="24" t="s">
        <v>1081</v>
      </c>
      <c r="U25" s="24" t="s">
        <v>1081</v>
      </c>
      <c r="V25" s="3"/>
      <c r="W25" s="3" t="s">
        <v>1090</v>
      </c>
      <c r="X25" s="3" t="s">
        <v>4261</v>
      </c>
      <c r="Y25" s="3"/>
      <c r="Z25" s="3"/>
      <c r="AA25" s="3"/>
      <c r="AB25" s="3" t="str">
        <f>IF(Bbva_Soles[[#This Row],[FECHA]]&gt;0,TEXT(Bbva_Soles[[#This Row],[FECHA]],"mmmm"),0)</f>
        <v>Abril</v>
      </c>
    </row>
    <row r="26" spans="2:28" ht="24" x14ac:dyDescent="0.3">
      <c r="B26" s="2">
        <f>IF(Bbva_Soles[[#This Row],[TIPO DE R.]]="R",COUNTIFS($D$4:$D25,"R")+1,"")</f>
        <v>22</v>
      </c>
      <c r="C26" s="19" t="str">
        <f t="shared" si="0"/>
        <v>B-BBVA</v>
      </c>
      <c r="D26" s="3" t="s">
        <v>1074</v>
      </c>
      <c r="E26" s="14">
        <v>45777</v>
      </c>
      <c r="F26" s="5" t="s">
        <v>543</v>
      </c>
      <c r="G26" s="5" t="s">
        <v>1087</v>
      </c>
      <c r="H26" s="6"/>
      <c r="I26" s="6"/>
      <c r="J26" s="6"/>
      <c r="K26" s="6"/>
      <c r="L26" s="7" t="s">
        <v>4268</v>
      </c>
      <c r="M26" s="8" t="s">
        <v>4270</v>
      </c>
      <c r="N26" s="8" t="str">
        <f t="shared" si="1"/>
        <v>PEN</v>
      </c>
      <c r="O26" s="13"/>
      <c r="P26" s="13">
        <v>30000</v>
      </c>
      <c r="Q26" s="3">
        <f t="shared" si="2"/>
        <v>30000</v>
      </c>
      <c r="R26" s="3">
        <f t="shared" si="3"/>
        <v>0</v>
      </c>
      <c r="S26" s="3">
        <f t="shared" si="4"/>
        <v>47223.05</v>
      </c>
      <c r="T26" s="24" t="s">
        <v>1081</v>
      </c>
      <c r="U26" s="24" t="s">
        <v>1081</v>
      </c>
      <c r="V26" s="3"/>
      <c r="W26" s="3" t="s">
        <v>1090</v>
      </c>
      <c r="X26" s="3" t="s">
        <v>4261</v>
      </c>
      <c r="Y26" s="3"/>
      <c r="Z26" s="3"/>
      <c r="AA26" s="3"/>
      <c r="AB26" s="3" t="str">
        <f>IF(Bbva_Soles[[#This Row],[FECHA]]&gt;0,TEXT(Bbva_Soles[[#This Row],[FECHA]],"mmmm"),0)</f>
        <v>Abril</v>
      </c>
    </row>
    <row r="27" spans="2:28" ht="24" x14ac:dyDescent="0.3">
      <c r="B27" s="2">
        <f>IF(Bbva_Soles[[#This Row],[TIPO DE R.]]="R",COUNTIFS($D$4:$D26,"R")+1,"")</f>
        <v>23</v>
      </c>
      <c r="C27" s="19" t="str">
        <f t="shared" si="0"/>
        <v>B-BBVA</v>
      </c>
      <c r="D27" s="3" t="s">
        <v>1074</v>
      </c>
      <c r="E27" s="14">
        <v>45777</v>
      </c>
      <c r="F27" s="5" t="s">
        <v>543</v>
      </c>
      <c r="G27" s="5" t="s">
        <v>1087</v>
      </c>
      <c r="H27" s="6"/>
      <c r="I27" s="6"/>
      <c r="J27" s="6"/>
      <c r="K27" s="6"/>
      <c r="L27" s="7" t="s">
        <v>4268</v>
      </c>
      <c r="M27" s="8" t="s">
        <v>4271</v>
      </c>
      <c r="N27" s="8" t="str">
        <f t="shared" si="1"/>
        <v>PEN</v>
      </c>
      <c r="O27" s="13"/>
      <c r="P27" s="13">
        <v>30000</v>
      </c>
      <c r="Q27" s="3">
        <f t="shared" si="2"/>
        <v>30000</v>
      </c>
      <c r="R27" s="3">
        <f t="shared" si="3"/>
        <v>0</v>
      </c>
      <c r="S27" s="3">
        <f t="shared" si="4"/>
        <v>77223.05</v>
      </c>
      <c r="T27" s="24" t="s">
        <v>1081</v>
      </c>
      <c r="U27" s="24" t="s">
        <v>1081</v>
      </c>
      <c r="V27" s="3"/>
      <c r="W27" s="3" t="s">
        <v>1090</v>
      </c>
      <c r="X27" s="3" t="s">
        <v>4261</v>
      </c>
      <c r="Y27" s="3"/>
      <c r="Z27" s="3"/>
      <c r="AA27" s="3"/>
      <c r="AB27" s="3" t="str">
        <f>IF(Bbva_Soles[[#This Row],[FECHA]]&gt;0,TEXT(Bbva_Soles[[#This Row],[FECHA]],"mmmm"),0)</f>
        <v>Abril</v>
      </c>
    </row>
    <row r="28" spans="2:28" x14ac:dyDescent="0.3">
      <c r="B28" s="2">
        <f>IF(Bbva_Soles[[#This Row],[TIPO DE R.]]="R",COUNTIFS($D$4:$D27,"R")+1,"")</f>
        <v>24</v>
      </c>
      <c r="C28" s="19" t="str">
        <f t="shared" si="0"/>
        <v>B-BBVA</v>
      </c>
      <c r="D28" s="3" t="s">
        <v>1074</v>
      </c>
      <c r="E28" s="14">
        <v>45807</v>
      </c>
      <c r="F28" s="5" t="s">
        <v>4252</v>
      </c>
      <c r="G28" s="5" t="s">
        <v>1079</v>
      </c>
      <c r="H28" s="6"/>
      <c r="I28" s="6"/>
      <c r="J28" s="6"/>
      <c r="K28" s="6"/>
      <c r="L28" s="7" t="s">
        <v>4251</v>
      </c>
      <c r="M28" s="8" t="s">
        <v>4272</v>
      </c>
      <c r="N28" s="8" t="str">
        <f t="shared" si="1"/>
        <v>PEN</v>
      </c>
      <c r="O28" s="13"/>
      <c r="P28" s="13">
        <v>30</v>
      </c>
      <c r="Q28" s="3">
        <f t="shared" si="2"/>
        <v>0</v>
      </c>
      <c r="R28" s="3">
        <f t="shared" si="3"/>
        <v>30</v>
      </c>
      <c r="S28" s="3">
        <f t="shared" si="4"/>
        <v>77193.05</v>
      </c>
      <c r="T28" s="24" t="s">
        <v>1081</v>
      </c>
      <c r="U28" s="24" t="s">
        <v>1081</v>
      </c>
      <c r="V28" s="3"/>
      <c r="W28" s="3"/>
      <c r="X28" s="3" t="s">
        <v>4273</v>
      </c>
      <c r="Y28" s="3"/>
      <c r="Z28" s="3"/>
      <c r="AA28" s="3"/>
      <c r="AB28" s="3" t="str">
        <f>IF(Bbva_Soles[[#This Row],[FECHA]]&gt;0,TEXT(Bbva_Soles[[#This Row],[FECHA]],"mmmm"),0)</f>
        <v>Mayo</v>
      </c>
    </row>
    <row r="29" spans="2:28" x14ac:dyDescent="0.3">
      <c r="B29" s="2">
        <f>IF(Bbva_Soles[[#This Row],[TIPO DE R.]]="R",COUNTIFS($D$4:$D28,"R")+1,"")</f>
        <v>25</v>
      </c>
      <c r="C29" s="19" t="str">
        <f t="shared" si="0"/>
        <v>B-BBVA</v>
      </c>
      <c r="D29" s="3" t="s">
        <v>1074</v>
      </c>
      <c r="E29" s="14">
        <v>45807</v>
      </c>
      <c r="F29" s="5" t="s">
        <v>4274</v>
      </c>
      <c r="G29" s="5" t="s">
        <v>1079</v>
      </c>
      <c r="H29" s="6"/>
      <c r="I29" s="6"/>
      <c r="J29" s="6"/>
      <c r="K29" s="6"/>
      <c r="L29" s="7" t="s">
        <v>4275</v>
      </c>
      <c r="M29" s="8" t="s">
        <v>4276</v>
      </c>
      <c r="N29" s="8" t="str">
        <f t="shared" si="1"/>
        <v>PEN</v>
      </c>
      <c r="O29" s="13"/>
      <c r="P29" s="13">
        <v>40000</v>
      </c>
      <c r="Q29" s="3">
        <f t="shared" si="2"/>
        <v>0</v>
      </c>
      <c r="R29" s="3">
        <f t="shared" si="3"/>
        <v>40000</v>
      </c>
      <c r="S29" s="3">
        <f t="shared" si="4"/>
        <v>37193.050000000003</v>
      </c>
      <c r="T29" s="24"/>
      <c r="U29" s="24"/>
      <c r="V29" s="3"/>
      <c r="W29" s="3"/>
      <c r="X29" s="3"/>
      <c r="Y29" s="3"/>
      <c r="Z29" s="3"/>
      <c r="AA29" s="3"/>
      <c r="AB29" s="3" t="str">
        <f>IF(Bbva_Soles[[#This Row],[FECHA]]&gt;0,TEXT(Bbva_Soles[[#This Row],[FECHA]],"mmmm"),0)</f>
        <v>Mayo</v>
      </c>
    </row>
    <row r="30" spans="2:28" x14ac:dyDescent="0.3">
      <c r="B30" s="2">
        <f>IF(Bbva_Soles[[#This Row],[TIPO DE R.]]="R",COUNTIFS($D$4:$D29,"R")+1,"")</f>
        <v>26</v>
      </c>
      <c r="C30" s="19" t="str">
        <f t="shared" si="0"/>
        <v>B-BBVA</v>
      </c>
      <c r="D30" s="3" t="s">
        <v>1074</v>
      </c>
      <c r="E30" s="14">
        <v>45807</v>
      </c>
      <c r="F30" s="5"/>
      <c r="G30" s="5" t="s">
        <v>1079</v>
      </c>
      <c r="H30" s="6"/>
      <c r="I30" s="6"/>
      <c r="J30" s="6"/>
      <c r="K30" s="6"/>
      <c r="L30" s="7" t="s">
        <v>1080</v>
      </c>
      <c r="M30" s="8">
        <v>570</v>
      </c>
      <c r="N30" s="8" t="str">
        <f t="shared" si="1"/>
        <v>PEN</v>
      </c>
      <c r="O30" s="13"/>
      <c r="P30" s="13">
        <v>2</v>
      </c>
      <c r="Q30" s="3">
        <f t="shared" si="2"/>
        <v>0</v>
      </c>
      <c r="R30" s="3">
        <f t="shared" si="3"/>
        <v>2</v>
      </c>
      <c r="S30" s="3">
        <f t="shared" si="4"/>
        <v>37191.050000000003</v>
      </c>
      <c r="T30" s="24"/>
      <c r="U30" s="24"/>
      <c r="V30" s="3"/>
      <c r="W30" s="3"/>
      <c r="X30" s="3"/>
      <c r="Y30" s="3"/>
      <c r="Z30" s="3"/>
      <c r="AA30" s="3"/>
      <c r="AB30" s="3" t="str">
        <f>IF(Bbva_Soles[[#This Row],[FECHA]]&gt;0,TEXT(Bbva_Soles[[#This Row],[FECHA]],"mmmm"),0)</f>
        <v>Mayo</v>
      </c>
    </row>
    <row r="31" spans="2:28" ht="48" x14ac:dyDescent="0.3">
      <c r="B31" s="2">
        <f>IF(Bbva_Soles[[#This Row],[TIPO DE R.]]="R",COUNTIFS($D$4:$D30,"R")+1,"")</f>
        <v>27</v>
      </c>
      <c r="C31" s="19" t="str">
        <f t="shared" si="0"/>
        <v>B-BBVA</v>
      </c>
      <c r="D31" s="3" t="s">
        <v>1074</v>
      </c>
      <c r="E31" s="14">
        <v>45807</v>
      </c>
      <c r="F31" s="5" t="s">
        <v>311</v>
      </c>
      <c r="G31" s="5" t="s">
        <v>1087</v>
      </c>
      <c r="H31" s="6"/>
      <c r="I31" s="6"/>
      <c r="J31" s="6"/>
      <c r="K31" s="6"/>
      <c r="L31" s="7" t="s">
        <v>4277</v>
      </c>
      <c r="M31" s="8" t="s">
        <v>4278</v>
      </c>
      <c r="N31" s="8" t="str">
        <f t="shared" si="1"/>
        <v>PEN</v>
      </c>
      <c r="O31" s="13"/>
      <c r="P31" s="13">
        <v>1756.95</v>
      </c>
      <c r="Q31" s="3">
        <f t="shared" si="2"/>
        <v>1756.95</v>
      </c>
      <c r="R31" s="3">
        <f t="shared" si="3"/>
        <v>0</v>
      </c>
      <c r="S31" s="3">
        <f t="shared" si="4"/>
        <v>38948</v>
      </c>
      <c r="T31" s="24" t="s">
        <v>1081</v>
      </c>
      <c r="U31" s="24" t="s">
        <v>1081</v>
      </c>
      <c r="V31" s="3"/>
      <c r="W31" s="3" t="s">
        <v>1090</v>
      </c>
      <c r="X31" s="3" t="s">
        <v>4279</v>
      </c>
      <c r="Y31" s="3"/>
      <c r="Z31" s="3"/>
      <c r="AA31" s="3"/>
      <c r="AB31" s="3" t="str">
        <f>IF(Bbva_Soles[[#This Row],[FECHA]]&gt;0,TEXT(Bbva_Soles[[#This Row],[FECHA]],"mmmm"),0)</f>
        <v>Mayo</v>
      </c>
    </row>
    <row r="32" spans="2:28" x14ac:dyDescent="0.3">
      <c r="B32" s="2">
        <f>IF(Bbva_Soles[[#This Row],[TIPO DE R.]]="R",COUNTIFS($D$4:$D31,"R")+1,"")</f>
        <v>28</v>
      </c>
      <c r="C32" s="19" t="str">
        <f t="shared" si="0"/>
        <v>B-BBVA</v>
      </c>
      <c r="D32" s="3" t="s">
        <v>1074</v>
      </c>
      <c r="E32" s="14">
        <v>45807</v>
      </c>
      <c r="F32" s="5"/>
      <c r="G32" s="5" t="s">
        <v>1079</v>
      </c>
      <c r="H32" s="6"/>
      <c r="I32" s="6"/>
      <c r="J32" s="6"/>
      <c r="K32" s="6"/>
      <c r="L32" s="7" t="s">
        <v>1080</v>
      </c>
      <c r="M32" s="8">
        <v>568</v>
      </c>
      <c r="N32" s="8" t="str">
        <f t="shared" si="1"/>
        <v>PEN</v>
      </c>
      <c r="O32" s="13"/>
      <c r="P32" s="13">
        <v>0.05</v>
      </c>
      <c r="Q32" s="3">
        <f t="shared" si="2"/>
        <v>0</v>
      </c>
      <c r="R32" s="3">
        <f t="shared" si="3"/>
        <v>0.05</v>
      </c>
      <c r="S32" s="3">
        <f t="shared" si="4"/>
        <v>38947.949999999997</v>
      </c>
      <c r="T32" s="24"/>
      <c r="U32" s="24"/>
      <c r="V32" s="3"/>
      <c r="W32" s="3"/>
      <c r="X32" s="3"/>
      <c r="Y32" s="3"/>
      <c r="Z32" s="3"/>
      <c r="AA32" s="3"/>
      <c r="AB32" s="3" t="str">
        <f>IF(Bbva_Soles[[#This Row],[FECHA]]&gt;0,TEXT(Bbva_Soles[[#This Row],[FECHA]],"mmmm"),0)</f>
        <v>Mayo</v>
      </c>
    </row>
    <row r="33" spans="2:28" x14ac:dyDescent="0.3">
      <c r="B33" s="2">
        <f>IF(Bbva_Soles[[#This Row],[TIPO DE R.]]="R",COUNTIFS($D$4:$D32,"R")+1,"")</f>
        <v>29</v>
      </c>
      <c r="C33" s="19" t="str">
        <f t="shared" si="0"/>
        <v>B-BBVA</v>
      </c>
      <c r="D33" s="3" t="s">
        <v>1074</v>
      </c>
      <c r="E33" s="14">
        <v>45807</v>
      </c>
      <c r="F33" s="5" t="s">
        <v>197</v>
      </c>
      <c r="G33" s="5" t="s">
        <v>1087</v>
      </c>
      <c r="H33" s="6"/>
      <c r="I33" s="6"/>
      <c r="J33" s="6"/>
      <c r="K33" s="6"/>
      <c r="L33" s="7" t="s">
        <v>4280</v>
      </c>
      <c r="M33" s="8">
        <v>565</v>
      </c>
      <c r="N33" s="8" t="str">
        <f t="shared" si="1"/>
        <v>PEN</v>
      </c>
      <c r="O33" s="13"/>
      <c r="P33" s="13">
        <v>2908.39</v>
      </c>
      <c r="Q33" s="3">
        <f t="shared" si="2"/>
        <v>2908.39</v>
      </c>
      <c r="R33" s="3">
        <f t="shared" si="3"/>
        <v>0</v>
      </c>
      <c r="S33" s="3">
        <f t="shared" si="4"/>
        <v>41856.339999999997</v>
      </c>
      <c r="T33" s="24" t="s">
        <v>1081</v>
      </c>
      <c r="U33" s="24" t="s">
        <v>1081</v>
      </c>
      <c r="V33" s="3"/>
      <c r="W33" s="3" t="s">
        <v>1090</v>
      </c>
      <c r="X33" s="3" t="s">
        <v>4281</v>
      </c>
      <c r="Y33" s="3"/>
      <c r="Z33" s="3"/>
      <c r="AA33" s="3"/>
      <c r="AB33" s="3" t="str">
        <f>IF(Bbva_Soles[[#This Row],[FECHA]]&gt;0,TEXT(Bbva_Soles[[#This Row],[FECHA]],"mmmm"),0)</f>
        <v>Mayo</v>
      </c>
    </row>
    <row r="34" spans="2:28" x14ac:dyDescent="0.3">
      <c r="B34" s="2">
        <f>IF(Bbva_Soles[[#This Row],[TIPO DE R.]]="R",COUNTIFS($D$4:$D33,"R")+1,"")</f>
        <v>30</v>
      </c>
      <c r="C34" s="19" t="str">
        <f t="shared" si="0"/>
        <v>B-BBVA</v>
      </c>
      <c r="D34" s="3" t="s">
        <v>1074</v>
      </c>
      <c r="E34" s="14">
        <v>45807</v>
      </c>
      <c r="F34" s="5"/>
      <c r="G34" s="5" t="s">
        <v>1079</v>
      </c>
      <c r="H34" s="6"/>
      <c r="I34" s="6"/>
      <c r="J34" s="6"/>
      <c r="K34" s="6"/>
      <c r="L34" s="7" t="s">
        <v>1080</v>
      </c>
      <c r="M34" s="8">
        <v>566</v>
      </c>
      <c r="N34" s="8" t="str">
        <f t="shared" si="1"/>
        <v>PEN</v>
      </c>
      <c r="O34" s="13"/>
      <c r="P34" s="13">
        <v>0.1</v>
      </c>
      <c r="Q34" s="3">
        <f t="shared" si="2"/>
        <v>0</v>
      </c>
      <c r="R34" s="3">
        <f t="shared" si="3"/>
        <v>0.1</v>
      </c>
      <c r="S34" s="3">
        <f t="shared" si="4"/>
        <v>41856.239999999998</v>
      </c>
      <c r="T34" s="24"/>
      <c r="U34" s="24"/>
      <c r="V34" s="3"/>
      <c r="W34" s="3"/>
      <c r="X34" s="3"/>
      <c r="Y34" s="3"/>
      <c r="Z34" s="3"/>
      <c r="AA34" s="3"/>
      <c r="AB34" s="3" t="str">
        <f>IF(Bbva_Soles[[#This Row],[FECHA]]&gt;0,TEXT(Bbva_Soles[[#This Row],[FECHA]],"mmmm"),0)</f>
        <v>Mayo</v>
      </c>
    </row>
    <row r="35" spans="2:28" x14ac:dyDescent="0.3">
      <c r="B35" s="2">
        <f>IF(Bbva_Soles[[#This Row],[TIPO DE R.]]="R",COUNTIFS($D$4:$D34,"R")+1,"")</f>
        <v>31</v>
      </c>
      <c r="C35" s="19" t="str">
        <f t="shared" si="0"/>
        <v>B-BBVA</v>
      </c>
      <c r="D35" s="3" t="s">
        <v>1074</v>
      </c>
      <c r="E35" s="14">
        <v>45807</v>
      </c>
      <c r="F35" s="5"/>
      <c r="G35" s="5" t="s">
        <v>1079</v>
      </c>
      <c r="H35" s="6"/>
      <c r="I35" s="6"/>
      <c r="J35" s="6"/>
      <c r="K35" s="6"/>
      <c r="L35" s="7" t="s">
        <v>4282</v>
      </c>
      <c r="M35" s="8">
        <v>564</v>
      </c>
      <c r="N35" s="8" t="str">
        <f t="shared" si="1"/>
        <v>PEN</v>
      </c>
      <c r="O35" s="13"/>
      <c r="P35" s="13">
        <v>20</v>
      </c>
      <c r="Q35" s="3">
        <f t="shared" si="2"/>
        <v>0</v>
      </c>
      <c r="R35" s="3">
        <f t="shared" si="3"/>
        <v>20</v>
      </c>
      <c r="S35" s="3">
        <f t="shared" si="4"/>
        <v>41836.239999999998</v>
      </c>
      <c r="T35" s="24"/>
      <c r="U35" s="24"/>
      <c r="V35" s="3"/>
      <c r="W35" s="3"/>
      <c r="X35" s="3"/>
      <c r="Y35" s="3"/>
      <c r="Z35" s="3"/>
      <c r="AA35" s="3"/>
      <c r="AB35" s="3" t="str">
        <f>IF(Bbva_Soles[[#This Row],[FECHA]]&gt;0,TEXT(Bbva_Soles[[#This Row],[FECHA]],"mmmm"),0)</f>
        <v>Mayo</v>
      </c>
    </row>
    <row r="36" spans="2:28" x14ac:dyDescent="0.3">
      <c r="B36" s="2">
        <f>IF(Bbva_Soles[[#This Row],[TIPO DE R.]]="R",COUNTIFS($D$4:$D35,"R")+1,"")</f>
        <v>32</v>
      </c>
      <c r="C36" s="19" t="str">
        <f t="shared" si="0"/>
        <v>B-BBVA</v>
      </c>
      <c r="D36" s="3" t="s">
        <v>1074</v>
      </c>
      <c r="E36" s="14">
        <v>45821</v>
      </c>
      <c r="F36" s="5" t="s">
        <v>168</v>
      </c>
      <c r="G36" s="5" t="s">
        <v>1087</v>
      </c>
      <c r="H36" s="6" t="s">
        <v>368</v>
      </c>
      <c r="I36" s="6" t="s">
        <v>14</v>
      </c>
      <c r="J36" s="6" t="s">
        <v>1521</v>
      </c>
      <c r="K36" s="6">
        <v>100</v>
      </c>
      <c r="L36" s="7" t="s">
        <v>4246</v>
      </c>
      <c r="M36" s="8">
        <v>572</v>
      </c>
      <c r="N36" s="8" t="str">
        <f t="shared" ref="N36:N38" si="5">"PEN"</f>
        <v>PEN</v>
      </c>
      <c r="O36" s="13"/>
      <c r="P36" s="13">
        <v>871.02</v>
      </c>
      <c r="Q36" s="3">
        <f t="shared" si="2"/>
        <v>871.02</v>
      </c>
      <c r="R36" s="3">
        <f t="shared" si="3"/>
        <v>0</v>
      </c>
      <c r="S36" s="3">
        <f t="shared" si="4"/>
        <v>42707.259999999995</v>
      </c>
      <c r="T36" s="24" t="s">
        <v>1081</v>
      </c>
      <c r="U36" s="24" t="s">
        <v>1081</v>
      </c>
      <c r="V36" s="3"/>
      <c r="W36" s="3" t="s">
        <v>1090</v>
      </c>
      <c r="X36" s="3" t="s">
        <v>4283</v>
      </c>
      <c r="Y36" s="3"/>
      <c r="Z36" s="3"/>
      <c r="AA36" s="3"/>
      <c r="AB36" s="3" t="str">
        <f>IF(Bbva_Soles[[#This Row],[FECHA]]&gt;0,TEXT(Bbva_Soles[[#This Row],[FECHA]],"mmmm"),0)</f>
        <v>Junio</v>
      </c>
    </row>
    <row r="37" spans="2:28" x14ac:dyDescent="0.3">
      <c r="B37" s="2">
        <f>IF(Bbva_Soles[[#This Row],[TIPO DE R.]]="R",COUNTIFS($D$4:$D36,"R")+1,"")</f>
        <v>33</v>
      </c>
      <c r="C37" s="19" t="str">
        <f t="shared" si="0"/>
        <v>B-BBVA</v>
      </c>
      <c r="D37" s="3" t="s">
        <v>1074</v>
      </c>
      <c r="E37" s="14">
        <v>45838</v>
      </c>
      <c r="F37" s="5" t="s">
        <v>4252</v>
      </c>
      <c r="G37" s="5" t="s">
        <v>1079</v>
      </c>
      <c r="H37" s="6"/>
      <c r="I37" s="6"/>
      <c r="J37" s="6"/>
      <c r="K37" s="6"/>
      <c r="L37" s="7" t="s">
        <v>4251</v>
      </c>
      <c r="M37" s="8">
        <v>573</v>
      </c>
      <c r="N37" s="8" t="str">
        <f t="shared" si="5"/>
        <v>PEN</v>
      </c>
      <c r="O37" s="13"/>
      <c r="P37" s="13">
        <v>30</v>
      </c>
      <c r="Q37" s="3">
        <f t="shared" si="2"/>
        <v>0</v>
      </c>
      <c r="R37" s="3">
        <f>+IF($G37="EGRESO",$P37,0)</f>
        <v>30</v>
      </c>
      <c r="S37" s="3">
        <f t="shared" si="4"/>
        <v>42677.259999999995</v>
      </c>
      <c r="T37" s="24"/>
      <c r="U37" s="24"/>
      <c r="V37" s="3"/>
      <c r="W37" s="3"/>
      <c r="X37" s="3" t="s">
        <v>4284</v>
      </c>
      <c r="Y37" s="3"/>
      <c r="Z37" s="3"/>
      <c r="AA37" s="3"/>
      <c r="AB37" s="3" t="str">
        <f>IF(Bbva_Soles[[#This Row],[FECHA]]&gt;0,TEXT(Bbva_Soles[[#This Row],[FECHA]],"mmmm"),0)</f>
        <v>Junio</v>
      </c>
    </row>
    <row r="38" spans="2:28" ht="24" x14ac:dyDescent="0.3">
      <c r="B38" s="2">
        <f>IF(Bbva_Soles[[#This Row],[TIPO DE R.]]="R",COUNTIFS($D$4:$D37,"R")+1,"")</f>
        <v>34</v>
      </c>
      <c r="C38" s="19" t="str">
        <f t="shared" si="0"/>
        <v>B-BBVA</v>
      </c>
      <c r="D38" s="3" t="s">
        <v>1074</v>
      </c>
      <c r="E38" s="14">
        <v>45839</v>
      </c>
      <c r="F38" s="5" t="s">
        <v>4274</v>
      </c>
      <c r="G38" s="5" t="s">
        <v>1079</v>
      </c>
      <c r="H38" s="6" t="s">
        <v>368</v>
      </c>
      <c r="I38" s="6"/>
      <c r="J38" s="6"/>
      <c r="K38" s="6"/>
      <c r="L38" s="7" t="s">
        <v>4285</v>
      </c>
      <c r="M38" s="8">
        <v>574</v>
      </c>
      <c r="N38" s="8" t="str">
        <f t="shared" si="5"/>
        <v>PEN</v>
      </c>
      <c r="O38" s="13"/>
      <c r="P38" s="13">
        <v>40000</v>
      </c>
      <c r="Q38" s="3">
        <f t="shared" si="2"/>
        <v>0</v>
      </c>
      <c r="R38" s="3">
        <f t="shared" si="3"/>
        <v>40000</v>
      </c>
      <c r="S38" s="3">
        <f>IFERROR(IF(G38="SALDO",Q38,S37+Q38-R38),0)</f>
        <v>2677.2599999999948</v>
      </c>
      <c r="T38" s="24" t="s">
        <v>1081</v>
      </c>
      <c r="U38" s="24" t="s">
        <v>1081</v>
      </c>
      <c r="V38" s="3"/>
      <c r="W38" s="3"/>
      <c r="X38" s="3"/>
      <c r="Y38" s="3"/>
      <c r="Z38" s="3"/>
      <c r="AA38" s="3"/>
      <c r="AB38" s="3" t="str">
        <f>IF(Bbva_Soles[[#This Row],[FECHA]]&gt;0,TEXT(Bbva_Soles[[#This Row],[FECHA]],"mmmm"),0)</f>
        <v>Julio</v>
      </c>
    </row>
    <row r="39" spans="2:28" x14ac:dyDescent="0.3">
      <c r="B39" s="2">
        <f>IF(Bbva_Soles[[#This Row],[TIPO DE R.]]="R",COUNTIFS($D$4:$D38,"R")+1,"")</f>
        <v>35</v>
      </c>
      <c r="C39" s="19" t="str">
        <f t="shared" ref="C39:C44" si="6">"B-BBVA"</f>
        <v>B-BBVA</v>
      </c>
      <c r="D39" s="3" t="s">
        <v>1074</v>
      </c>
      <c r="E39" s="14">
        <v>45839</v>
      </c>
      <c r="F39" s="5" t="s">
        <v>4252</v>
      </c>
      <c r="G39" s="5" t="s">
        <v>1079</v>
      </c>
      <c r="H39" s="6" t="s">
        <v>950</v>
      </c>
      <c r="I39" s="6" t="s">
        <v>10</v>
      </c>
      <c r="J39" s="6" t="s">
        <v>4286</v>
      </c>
      <c r="K39" s="6">
        <v>35</v>
      </c>
      <c r="L39" s="7" t="s">
        <v>1080</v>
      </c>
      <c r="M39" s="8">
        <v>575</v>
      </c>
      <c r="N39" s="8" t="str">
        <f t="shared" ref="N39:N44" si="7">"PEN"</f>
        <v>PEN</v>
      </c>
      <c r="O39" s="13"/>
      <c r="P39" s="13">
        <v>2</v>
      </c>
      <c r="Q39" s="3">
        <f t="shared" ref="Q39:Q44" si="8">+IF(OR($G39="SALDO",$G39="INGRESO"),$P39,0)</f>
        <v>0</v>
      </c>
      <c r="R39" s="3">
        <f t="shared" ref="R39:R44" si="9">+IF($G39="EGRESO",$P39,0)</f>
        <v>2</v>
      </c>
      <c r="S39" s="3">
        <f t="shared" si="4"/>
        <v>2675.2599999999948</v>
      </c>
      <c r="T39" s="24" t="s">
        <v>1081</v>
      </c>
      <c r="U39" s="24"/>
      <c r="V39" s="3"/>
      <c r="W39" s="3"/>
      <c r="X39" s="3"/>
      <c r="Y39" s="3"/>
      <c r="Z39" s="3"/>
      <c r="AA39" s="3"/>
      <c r="AB39" s="3" t="str">
        <f>IF(Bbva_Soles[[#This Row],[FECHA]]&gt;0,TEXT(Bbva_Soles[[#This Row],[FECHA]],"mmmm"),0)</f>
        <v>Julio</v>
      </c>
    </row>
    <row r="40" spans="2:28" ht="48" x14ac:dyDescent="0.3">
      <c r="B40" s="2">
        <f>IF(Bbva_Soles[[#This Row],[TIPO DE R.]]="R",COUNTIFS($D$4:$D39,"R")+1,"")</f>
        <v>36</v>
      </c>
      <c r="C40" s="19" t="str">
        <f t="shared" si="6"/>
        <v>B-BBVA</v>
      </c>
      <c r="D40" s="3" t="s">
        <v>1074</v>
      </c>
      <c r="E40" s="14">
        <v>45860</v>
      </c>
      <c r="F40" s="5" t="s">
        <v>348</v>
      </c>
      <c r="G40" s="5" t="s">
        <v>1087</v>
      </c>
      <c r="H40" s="6" t="s">
        <v>368</v>
      </c>
      <c r="I40" s="6" t="s">
        <v>14</v>
      </c>
      <c r="J40" s="6" t="s">
        <v>1521</v>
      </c>
      <c r="K40" s="6">
        <v>174</v>
      </c>
      <c r="L40" s="7" t="s">
        <v>4287</v>
      </c>
      <c r="M40" s="8">
        <v>576</v>
      </c>
      <c r="N40" s="8" t="str">
        <f t="shared" si="7"/>
        <v>PEN</v>
      </c>
      <c r="O40" s="13"/>
      <c r="P40" s="3">
        <v>1370.12</v>
      </c>
      <c r="Q40" s="3">
        <f t="shared" si="8"/>
        <v>1370.12</v>
      </c>
      <c r="R40" s="3">
        <f t="shared" si="9"/>
        <v>0</v>
      </c>
      <c r="S40" s="3">
        <f>IFERROR(IF(G40="SALDO",Q40,S39+Q40-R40),0)</f>
        <v>4045.3799999999947</v>
      </c>
      <c r="T40" s="24" t="s">
        <v>1081</v>
      </c>
      <c r="U40" s="24" t="s">
        <v>1081</v>
      </c>
      <c r="V40" s="3"/>
      <c r="W40" s="3"/>
      <c r="X40" s="3"/>
      <c r="Y40" s="3"/>
      <c r="Z40" s="3"/>
      <c r="AA40" s="3"/>
      <c r="AB40" s="3" t="str">
        <f>IF(Bbva_Soles[[#This Row],[FECHA]]&gt;0,TEXT(Bbva_Soles[[#This Row],[FECHA]],"mmmm"),0)</f>
        <v>Julio</v>
      </c>
    </row>
    <row r="41" spans="2:28" x14ac:dyDescent="0.3">
      <c r="B41" s="2">
        <f>IF(Bbva_Soles[[#This Row],[TIPO DE R.]]="R",COUNTIFS($D$4:$D40,"R")+1,"")</f>
        <v>37</v>
      </c>
      <c r="C41" s="19" t="str">
        <f t="shared" si="6"/>
        <v>B-BBVA</v>
      </c>
      <c r="D41" s="3" t="s">
        <v>1074</v>
      </c>
      <c r="E41" s="14">
        <v>45860</v>
      </c>
      <c r="F41" s="5" t="s">
        <v>4252</v>
      </c>
      <c r="G41" s="5" t="s">
        <v>1079</v>
      </c>
      <c r="H41" s="6" t="s">
        <v>950</v>
      </c>
      <c r="I41" s="6" t="s">
        <v>10</v>
      </c>
      <c r="J41" s="6" t="s">
        <v>4286</v>
      </c>
      <c r="K41" s="6">
        <v>37</v>
      </c>
      <c r="L41" s="7" t="s">
        <v>1080</v>
      </c>
      <c r="M41" s="8">
        <v>577</v>
      </c>
      <c r="N41" s="8" t="str">
        <f t="shared" si="7"/>
        <v>PEN</v>
      </c>
      <c r="O41" s="13"/>
      <c r="P41" s="13">
        <v>0.05</v>
      </c>
      <c r="Q41" s="3">
        <f t="shared" si="8"/>
        <v>0</v>
      </c>
      <c r="R41" s="3">
        <f t="shared" si="9"/>
        <v>0.05</v>
      </c>
      <c r="S41" s="3">
        <f t="shared" si="4"/>
        <v>4045.3299999999945</v>
      </c>
      <c r="T41" s="24" t="s">
        <v>1081</v>
      </c>
      <c r="U41" s="24"/>
      <c r="V41" s="3"/>
      <c r="W41" s="3"/>
      <c r="X41" s="3"/>
      <c r="Y41" s="3"/>
      <c r="Z41" s="3"/>
      <c r="AA41" s="3"/>
      <c r="AB41" s="3" t="str">
        <f>IF(Bbva_Soles[[#This Row],[FECHA]]&gt;0,TEXT(Bbva_Soles[[#This Row],[FECHA]],"mmmm"),0)</f>
        <v>Julio</v>
      </c>
    </row>
    <row r="42" spans="2:28" x14ac:dyDescent="0.3">
      <c r="B42" s="2">
        <f>IF(Bbva_Soles[[#This Row],[TIPO DE R.]]="R",COUNTIFS($D$4:$D41,"R")+1,"")</f>
        <v>38</v>
      </c>
      <c r="C42" s="19" t="str">
        <f t="shared" si="6"/>
        <v>B-BBVA</v>
      </c>
      <c r="D42" s="3" t="s">
        <v>1074</v>
      </c>
      <c r="E42" s="14">
        <v>45869</v>
      </c>
      <c r="F42" s="5" t="s">
        <v>4252</v>
      </c>
      <c r="G42" s="5" t="s">
        <v>1079</v>
      </c>
      <c r="H42" s="6"/>
      <c r="I42" s="6"/>
      <c r="J42" s="6"/>
      <c r="K42" s="6"/>
      <c r="L42" s="7" t="s">
        <v>4251</v>
      </c>
      <c r="M42" s="8">
        <v>578</v>
      </c>
      <c r="N42" s="8" t="str">
        <f t="shared" si="7"/>
        <v>PEN</v>
      </c>
      <c r="O42" s="13"/>
      <c r="P42" s="13">
        <v>30</v>
      </c>
      <c r="Q42" s="3">
        <f t="shared" si="8"/>
        <v>0</v>
      </c>
      <c r="R42" s="3">
        <f t="shared" si="9"/>
        <v>30</v>
      </c>
      <c r="S42" s="3">
        <f>IFERROR(IF(G42="SALDO",Q42,S41+Q42-R42),0)</f>
        <v>4015.3299999999945</v>
      </c>
      <c r="T42" s="24"/>
      <c r="U42" s="24"/>
      <c r="V42" s="3"/>
      <c r="W42" s="3"/>
      <c r="X42" s="3"/>
      <c r="Y42" s="3"/>
      <c r="Z42" s="3"/>
      <c r="AA42" s="3"/>
      <c r="AB42" s="3" t="str">
        <f>IF(Bbva_Soles[[#This Row],[FECHA]]&gt;0,TEXT(Bbva_Soles[[#This Row],[FECHA]],"mmmm"),0)</f>
        <v>Julio</v>
      </c>
    </row>
    <row r="43" spans="2:28" x14ac:dyDescent="0.3">
      <c r="B43" s="2">
        <f>IF(Bbva_Soles[[#This Row],[TIPO DE R.]]="R",COUNTIFS($D$4:$D42,"R")+1,"")</f>
        <v>39</v>
      </c>
      <c r="C43" s="19" t="str">
        <f t="shared" si="6"/>
        <v>B-BBVA</v>
      </c>
      <c r="D43" s="3" t="s">
        <v>1074</v>
      </c>
      <c r="E43" s="14">
        <v>45887</v>
      </c>
      <c r="F43" s="5" t="s">
        <v>168</v>
      </c>
      <c r="G43" s="5" t="s">
        <v>1087</v>
      </c>
      <c r="H43" s="6" t="s">
        <v>368</v>
      </c>
      <c r="I43" s="6" t="s">
        <v>14</v>
      </c>
      <c r="J43" s="6" t="s">
        <v>1521</v>
      </c>
      <c r="K43" s="6">
        <v>186</v>
      </c>
      <c r="L43" s="7" t="s">
        <v>4246</v>
      </c>
      <c r="M43" s="8">
        <v>579</v>
      </c>
      <c r="N43" s="8" t="str">
        <f t="shared" si="7"/>
        <v>PEN</v>
      </c>
      <c r="O43" s="13"/>
      <c r="P43" s="13">
        <v>871.02</v>
      </c>
      <c r="Q43" s="3">
        <f t="shared" si="8"/>
        <v>871.02</v>
      </c>
      <c r="R43" s="3">
        <f t="shared" si="9"/>
        <v>0</v>
      </c>
      <c r="S43" s="3">
        <f>IFERROR(IF(G43="SALDO",Q43,S42+Q43-R43),0)</f>
        <v>4886.3499999999949</v>
      </c>
      <c r="T43" s="24" t="s">
        <v>1081</v>
      </c>
      <c r="U43" s="24" t="s">
        <v>1081</v>
      </c>
      <c r="V43" s="3"/>
      <c r="W43" s="3"/>
      <c r="X43" s="3"/>
      <c r="Y43" s="3"/>
      <c r="Z43" s="3"/>
      <c r="AA43" s="3"/>
      <c r="AB43" s="3" t="str">
        <f>IF(Bbva_Soles[[#This Row],[FECHA]]&gt;0,TEXT(Bbva_Soles[[#This Row],[FECHA]],"mmmm"),0)</f>
        <v>Agosto</v>
      </c>
    </row>
    <row r="44" spans="2:28" x14ac:dyDescent="0.3">
      <c r="B44" s="215">
        <f>IF(Bbva_Soles[[#This Row],[TIPO DE R.]]="R",COUNTIFS($D$4:$D43,"R")+1,"")</f>
        <v>40</v>
      </c>
      <c r="C44" s="19" t="str">
        <f t="shared" si="6"/>
        <v>B-BBVA</v>
      </c>
      <c r="D44" s="3" t="s">
        <v>1074</v>
      </c>
      <c r="E44" s="216">
        <v>45898</v>
      </c>
      <c r="F44" s="217"/>
      <c r="G44" s="217" t="s">
        <v>1087</v>
      </c>
      <c r="H44" s="6" t="s">
        <v>368</v>
      </c>
      <c r="I44" s="6"/>
      <c r="J44" s="6"/>
      <c r="K44" s="6"/>
      <c r="L44" s="7" t="s">
        <v>4249</v>
      </c>
      <c r="M44" s="218">
        <v>580</v>
      </c>
      <c r="N44" s="218" t="str">
        <f t="shared" si="7"/>
        <v>PEN</v>
      </c>
      <c r="O44" s="13"/>
      <c r="P44" s="219">
        <v>1874.1</v>
      </c>
      <c r="Q44" s="220">
        <f t="shared" si="8"/>
        <v>1874.1</v>
      </c>
      <c r="R44" s="220">
        <f t="shared" si="9"/>
        <v>0</v>
      </c>
      <c r="S44" s="220">
        <f>IFERROR(IF(G44="SALDO",Q44,S43+Q44-R44),0)</f>
        <v>6760.4499999999953</v>
      </c>
      <c r="T44" s="221"/>
      <c r="U44" s="221"/>
      <c r="V44" s="220"/>
      <c r="W44" s="3"/>
      <c r="X44" s="3"/>
      <c r="Y44" s="3"/>
      <c r="Z44" s="3"/>
      <c r="AA44" s="3"/>
      <c r="AB44" s="220" t="str">
        <f>IF(Bbva_Soles[[#This Row],[FECHA]]&gt;0,TEXT(Bbva_Soles[[#This Row],[FECHA]],"mmmm"),0)</f>
        <v>Agosto</v>
      </c>
    </row>
  </sheetData>
  <mergeCells count="1">
    <mergeCell ref="B2:AB2"/>
  </mergeCells>
  <conditionalFormatting sqref="B5:U44 AB5:AB44">
    <cfRule type="expression" dxfId="83" priority="2">
      <formula>$D5="D"</formula>
    </cfRule>
  </conditionalFormatting>
  <conditionalFormatting sqref="B5:AB10000">
    <cfRule type="expression" dxfId="82" priority="1">
      <formula>$U5="OK"</formula>
    </cfRule>
  </conditionalFormatting>
  <dataValidations count="4">
    <dataValidation type="list" allowBlank="1" showInputMessage="1" showErrorMessage="1" sqref="I5:I44" xr:uid="{17FFDCC5-888E-4F5E-B931-94E99B2CCE2D}">
      <formula1>Documentos</formula1>
    </dataValidation>
    <dataValidation type="list" allowBlank="1" showInputMessage="1" showErrorMessage="1" sqref="H5:H44" xr:uid="{1B37895A-4067-470B-B99F-BCEDC57F09AD}">
      <formula1>Proveedores_Clientes</formula1>
    </dataValidation>
    <dataValidation type="list" allowBlank="1" showInputMessage="1" showErrorMessage="1" sqref="G5:G44" xr:uid="{C3137924-14C7-4BF8-AA01-70E9143BD39C}">
      <formula1>"SALDO,INGRESO,EGRESO"</formula1>
    </dataValidation>
    <dataValidation type="list" allowBlank="1" showInputMessage="1" showErrorMessage="1" sqref="D5:D44" xr:uid="{382F8886-B8E2-4576-90C8-1D3EE6F0DED1}">
      <formula1>"R,D"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36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B831-98E6-4464-BD8C-A6271E0A76D1}">
  <sheetPr codeName="Hoja6">
    <tabColor theme="6"/>
    <pageSetUpPr fitToPage="1"/>
  </sheetPr>
  <dimension ref="B2:AC733"/>
  <sheetViews>
    <sheetView showGridLines="0" topLeftCell="A569" zoomScaleNormal="100" zoomScaleSheetLayoutView="100" workbookViewId="0">
      <selection activeCell="B731" sqref="B731:C731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6.44140625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customWidth="1" outlineLevel="1"/>
    <col min="9" max="9" width="16" customWidth="1" outlineLevel="1"/>
    <col min="10" max="10" width="10.109375" bestFit="1" customWidth="1"/>
    <col min="11" max="11" width="12.44140625" bestFit="1" customWidth="1"/>
    <col min="12" max="12" width="40.44140625" hidden="1" customWidth="1" outlineLevel="1"/>
    <col min="13" max="13" width="15" bestFit="1" customWidth="1" collapsed="1"/>
    <col min="14" max="14" width="12.44140625" bestFit="1" customWidth="1"/>
    <col min="15" max="15" width="12.109375" customWidth="1" outlineLevel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bestFit="1" customWidth="1"/>
    <col min="23" max="23" width="79.109375" hidden="1" customWidth="1" outlineLevel="1"/>
    <col min="24" max="24" width="17.109375" hidden="1" customWidth="1" outlineLevel="1"/>
    <col min="25" max="25" width="42.77734375" hidden="1" customWidth="1" outlineLevel="1"/>
    <col min="26" max="27" width="17.109375" hidden="1" customWidth="1" outlineLevel="1"/>
    <col min="28" max="28" width="12.88671875" hidden="1" customWidth="1" outlineLevel="1"/>
    <col min="29" max="29" width="11.44140625" collapsed="1"/>
  </cols>
  <sheetData>
    <row r="2" spans="2:28" ht="23.4" x14ac:dyDescent="0.3">
      <c r="B2" s="263" t="s">
        <v>4288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16">
        <f>IF(Banco_Nacion[[#This Row],[TIPO DE R.]]="R",COUNTIFS($D$4:$D4,"R")+1,"")</f>
        <v>1</v>
      </c>
      <c r="C5" s="18" t="str">
        <f t="shared" ref="C5:C68" si="0">"B-Banco de la Nacion"</f>
        <v>B-Banco de la Nacion</v>
      </c>
      <c r="D5" s="13" t="s">
        <v>1074</v>
      </c>
      <c r="E5" s="4">
        <v>45658</v>
      </c>
      <c r="F5" s="5" t="s">
        <v>1075</v>
      </c>
      <c r="G5" s="6" t="s">
        <v>1064</v>
      </c>
      <c r="H5" s="6"/>
      <c r="I5" s="6"/>
      <c r="J5" s="6" t="s">
        <v>4289</v>
      </c>
      <c r="K5" s="6" t="s">
        <v>4289</v>
      </c>
      <c r="L5" s="7" t="s">
        <v>1076</v>
      </c>
      <c r="M5" s="8" t="s">
        <v>1077</v>
      </c>
      <c r="N5" s="8" t="str">
        <f t="shared" ref="N5:N68" si="1">"PEN"</f>
        <v>PEN</v>
      </c>
      <c r="O5" s="13"/>
      <c r="P5" s="13">
        <v>45894.010000000009</v>
      </c>
      <c r="Q5" s="13">
        <f t="shared" ref="Q5:Q68" si="2">+IF(OR($G5="SALDO",$G5="INGRESO"),$P5,0)</f>
        <v>45894.010000000009</v>
      </c>
      <c r="R5" s="13">
        <f t="shared" ref="R5:R68" si="3">+IF($G5="EGRESO",$P5,0)</f>
        <v>0</v>
      </c>
      <c r="S5" s="13">
        <f t="shared" ref="S5:S68" si="4">IFERROR(IF(G5="SALDO",Q5,S4+Q5-R5),0)</f>
        <v>45894.010000000009</v>
      </c>
      <c r="T5" s="28" t="s">
        <v>1081</v>
      </c>
      <c r="U5" s="28" t="s">
        <v>1081</v>
      </c>
      <c r="V5" s="17"/>
      <c r="W5" s="124" t="str">
        <f>IFERROR(VLOOKUP(Banco_Nacion[[#This Row],[RESPONSABLE]],Clientes_Proveedores[[Ruc / Dni]:[Razon Social]],2,0),"")</f>
        <v/>
      </c>
      <c r="X5" s="124" t="str">
        <f>IF(Banco_Nacion[[#This Row],[TIPO DE MOV.]]="INGRESO",Banco_Nacion[[#This Row],[SERIE]]&amp;Banco_Nacion[[#This Row],[NUMERO]]&amp;Banco_Nacion[[#This Row],[RESPONSABLE]]&amp;Banco_Nacion[[#This Row],[MONTO ]],"")</f>
        <v/>
      </c>
      <c r="Y5" s="122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-</v>
      </c>
      <c r="Z5" s="17"/>
      <c r="AA5" s="17"/>
      <c r="AB5" s="28" t="str">
        <f>IF(Banco_Nacion[[#This Row],[FECHA]]&gt;0,TEXT(Banco_Nacion[[#This Row],[FECHA]],"mmmm"),0)</f>
        <v>Enero</v>
      </c>
    </row>
    <row r="6" spans="2:28" x14ac:dyDescent="0.3">
      <c r="B6" s="2">
        <f>IF(Banco_Nacion[[#This Row],[TIPO DE R.]]="R",COUNTIFS($D$4:$D5,"R")+1,"")</f>
        <v>2</v>
      </c>
      <c r="C6" s="19" t="str">
        <f t="shared" si="0"/>
        <v>B-Banco de la Nacion</v>
      </c>
      <c r="D6" s="3" t="s">
        <v>1074</v>
      </c>
      <c r="E6" s="14">
        <v>45659</v>
      </c>
      <c r="F6" s="5">
        <v>20370146994</v>
      </c>
      <c r="G6" s="5" t="s">
        <v>1087</v>
      </c>
      <c r="H6" s="6" t="s">
        <v>368</v>
      </c>
      <c r="I6" s="6" t="s">
        <v>14</v>
      </c>
      <c r="J6" s="6" t="s">
        <v>1097</v>
      </c>
      <c r="K6" s="6">
        <v>165</v>
      </c>
      <c r="L6" s="7" t="s">
        <v>4290</v>
      </c>
      <c r="M6" s="8">
        <v>63467627</v>
      </c>
      <c r="N6" s="8" t="str">
        <f t="shared" si="1"/>
        <v>PEN</v>
      </c>
      <c r="O6" s="13"/>
      <c r="P6" s="13">
        <v>3866</v>
      </c>
      <c r="Q6" s="3">
        <f t="shared" si="2"/>
        <v>3866</v>
      </c>
      <c r="R6" s="3">
        <f t="shared" si="3"/>
        <v>0</v>
      </c>
      <c r="S6" s="3">
        <f t="shared" si="4"/>
        <v>49760.010000000009</v>
      </c>
      <c r="T6" s="24"/>
      <c r="U6" s="24" t="s">
        <v>1081</v>
      </c>
      <c r="V6" s="3"/>
      <c r="W6" s="19" t="str">
        <f>IFERROR(VLOOKUP(Banco_Nacion[[#This Row],[RESPONSABLE]],Clientes_Proveedores[[Ruc / Dni]:[Razon Social]],2,0),"")</f>
        <v>CORPORACION ACEROS AREQUIPA S.A</v>
      </c>
      <c r="X6" s="19" t="str">
        <f>IF(Banco_Nacion[[#This Row],[TIPO DE MOV.]]="INGRESO",Banco_Nacion[[#This Row],[SERIE]]&amp;Banco_Nacion[[#This Row],[NUMERO]]&amp;Banco_Nacion[[#This Row],[RESPONSABLE]]&amp;Banco_Nacion[[#This Row],[MONTO ]],"")</f>
        <v>FE02165203701469943866</v>
      </c>
      <c r="Y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63467627</v>
      </c>
      <c r="Z6" s="3"/>
      <c r="AA6" s="3"/>
      <c r="AB6" s="24" t="str">
        <f>IF(Banco_Nacion[[#This Row],[FECHA]]&gt;0,TEXT(Banco_Nacion[[#This Row],[FECHA]],"mmmm"),0)</f>
        <v>Enero</v>
      </c>
    </row>
    <row r="7" spans="2:28" x14ac:dyDescent="0.3">
      <c r="B7" s="2">
        <f>IF(Banco_Nacion[[#This Row],[TIPO DE R.]]="R",COUNTIFS($D$4:$D6,"R")+1,"")</f>
        <v>3</v>
      </c>
      <c r="C7" s="19" t="str">
        <f t="shared" si="0"/>
        <v>B-Banco de la Nacion</v>
      </c>
      <c r="D7" s="3" t="s">
        <v>1074</v>
      </c>
      <c r="E7" s="14">
        <v>45659</v>
      </c>
      <c r="F7" s="5">
        <v>20523573226</v>
      </c>
      <c r="G7" s="5" t="s">
        <v>1087</v>
      </c>
      <c r="H7" s="6" t="s">
        <v>368</v>
      </c>
      <c r="I7" s="6"/>
      <c r="J7" s="6" t="s">
        <v>1088</v>
      </c>
      <c r="K7" s="6">
        <v>462</v>
      </c>
      <c r="L7" s="7" t="s">
        <v>4290</v>
      </c>
      <c r="M7" s="8">
        <v>63414889</v>
      </c>
      <c r="N7" s="8" t="str">
        <f t="shared" si="1"/>
        <v>PEN</v>
      </c>
      <c r="O7" s="13"/>
      <c r="P7" s="13">
        <v>405</v>
      </c>
      <c r="Q7" s="3">
        <f t="shared" si="2"/>
        <v>405</v>
      </c>
      <c r="R7" s="3">
        <f t="shared" si="3"/>
        <v>0</v>
      </c>
      <c r="S7" s="3">
        <f t="shared" si="4"/>
        <v>50165.010000000009</v>
      </c>
      <c r="T7" s="24"/>
      <c r="U7" s="24" t="s">
        <v>1081</v>
      </c>
      <c r="V7" s="3"/>
      <c r="W7" s="19" t="str">
        <f>IFERROR(VLOOKUP(Banco_Nacion[[#This Row],[RESPONSABLE]],Clientes_Proveedores[[Ruc / Dni]:[Razon Social]],2,0),"")</f>
        <v>CBB PERU S.A.</v>
      </c>
      <c r="X7" s="19" t="str">
        <f>IF(Banco_Nacion[[#This Row],[TIPO DE MOV.]]="INGRESO",Banco_Nacion[[#This Row],[SERIE]]&amp;Banco_Nacion[[#This Row],[NUMERO]]&amp;Banco_Nacion[[#This Row],[RESPONSABLE]]&amp;Banco_Nacion[[#This Row],[MONTO ]],"")</f>
        <v>FE0146220523573226405</v>
      </c>
      <c r="Y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63414889</v>
      </c>
      <c r="Z7" s="3"/>
      <c r="AA7" s="3"/>
      <c r="AB7" s="24" t="str">
        <f>IF(Banco_Nacion[[#This Row],[FECHA]]&gt;0,TEXT(Banco_Nacion[[#This Row],[FECHA]],"mmmm"),0)</f>
        <v>Enero</v>
      </c>
    </row>
    <row r="8" spans="2:28" x14ac:dyDescent="0.3">
      <c r="B8" s="2">
        <f>IF(Banco_Nacion[[#This Row],[TIPO DE R.]]="R",COUNTIFS($D$4:$D7,"R")+1,"")</f>
        <v>4</v>
      </c>
      <c r="C8" s="19" t="str">
        <f t="shared" si="0"/>
        <v>B-Banco de la Nacion</v>
      </c>
      <c r="D8" s="3" t="s">
        <v>1074</v>
      </c>
      <c r="E8" s="14">
        <v>45659</v>
      </c>
      <c r="F8" s="5">
        <v>20523573226</v>
      </c>
      <c r="G8" s="5" t="s">
        <v>1087</v>
      </c>
      <c r="H8" s="6" t="s">
        <v>368</v>
      </c>
      <c r="I8" s="6"/>
      <c r="J8" s="6" t="s">
        <v>1088</v>
      </c>
      <c r="K8" s="6">
        <v>415</v>
      </c>
      <c r="L8" s="7" t="s">
        <v>4290</v>
      </c>
      <c r="M8" s="8">
        <v>63414837</v>
      </c>
      <c r="N8" s="8" t="str">
        <f t="shared" si="1"/>
        <v>PEN</v>
      </c>
      <c r="O8" s="13"/>
      <c r="P8" s="13">
        <v>315</v>
      </c>
      <c r="Q8" s="3">
        <f t="shared" si="2"/>
        <v>315</v>
      </c>
      <c r="R8" s="3">
        <f t="shared" si="3"/>
        <v>0</v>
      </c>
      <c r="S8" s="3">
        <f t="shared" si="4"/>
        <v>50480.010000000009</v>
      </c>
      <c r="T8" s="24"/>
      <c r="U8" s="24" t="s">
        <v>1081</v>
      </c>
      <c r="V8" s="3"/>
      <c r="W8" s="19" t="str">
        <f>IFERROR(VLOOKUP(Banco_Nacion[[#This Row],[RESPONSABLE]],Clientes_Proveedores[[Ruc / Dni]:[Razon Social]],2,0),"")</f>
        <v>CBB PERU S.A.</v>
      </c>
      <c r="X8" s="19" t="str">
        <f>IF(Banco_Nacion[[#This Row],[TIPO DE MOV.]]="INGRESO",Banco_Nacion[[#This Row],[SERIE]]&amp;Banco_Nacion[[#This Row],[NUMERO]]&amp;Banco_Nacion[[#This Row],[RESPONSABLE]]&amp;Banco_Nacion[[#This Row],[MONTO ]],"")</f>
        <v>FE0141520523573226315</v>
      </c>
      <c r="Y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63414837</v>
      </c>
      <c r="Z8" s="3"/>
      <c r="AA8" s="3"/>
      <c r="AB8" s="24" t="str">
        <f>IF(Banco_Nacion[[#This Row],[FECHA]]&gt;0,TEXT(Banco_Nacion[[#This Row],[FECHA]],"mmmm"),0)</f>
        <v>Enero</v>
      </c>
    </row>
    <row r="9" spans="2:28" x14ac:dyDescent="0.3">
      <c r="B9" s="2">
        <f>IF(Banco_Nacion[[#This Row],[TIPO DE R.]]="R",COUNTIFS($D$4:$D8,"R")+1,"")</f>
        <v>5</v>
      </c>
      <c r="C9" s="19" t="str">
        <f t="shared" si="0"/>
        <v>B-Banco de la Nacion</v>
      </c>
      <c r="D9" s="3" t="s">
        <v>1074</v>
      </c>
      <c r="E9" s="14">
        <v>45659</v>
      </c>
      <c r="F9" s="5">
        <v>20455283915</v>
      </c>
      <c r="G9" s="5" t="s">
        <v>1087</v>
      </c>
      <c r="H9" s="6" t="s">
        <v>368</v>
      </c>
      <c r="I9" s="6"/>
      <c r="J9" s="6" t="s">
        <v>1097</v>
      </c>
      <c r="K9" s="6">
        <v>167</v>
      </c>
      <c r="L9" s="7" t="s">
        <v>4290</v>
      </c>
      <c r="M9" s="8">
        <v>63379785</v>
      </c>
      <c r="N9" s="8" t="str">
        <f t="shared" si="1"/>
        <v>PEN</v>
      </c>
      <c r="O9" s="13"/>
      <c r="P9" s="13">
        <v>78</v>
      </c>
      <c r="Q9" s="3">
        <f t="shared" si="2"/>
        <v>78</v>
      </c>
      <c r="R9" s="3">
        <f t="shared" si="3"/>
        <v>0</v>
      </c>
      <c r="S9" s="3">
        <f t="shared" si="4"/>
        <v>50558.010000000009</v>
      </c>
      <c r="T9" s="24"/>
      <c r="U9" s="24" t="s">
        <v>1081</v>
      </c>
      <c r="V9" s="3"/>
      <c r="W9" s="19" t="str">
        <f>IFERROR(VLOOKUP(Banco_Nacion[[#This Row],[RESPONSABLE]],Clientes_Proveedores[[Ruc / Dni]:[Razon Social]],2,0),"")</f>
        <v>EMPRESA CONSERVADORA AMBIENTAL DEL SUR E.I.R.L. - ECA SUR E.I.R.L.</v>
      </c>
      <c r="X9" s="19" t="str">
        <f>IF(Banco_Nacion[[#This Row],[TIPO DE MOV.]]="INGRESO",Banco_Nacion[[#This Row],[SERIE]]&amp;Banco_Nacion[[#This Row],[NUMERO]]&amp;Banco_Nacion[[#This Row],[RESPONSABLE]]&amp;Banco_Nacion[[#This Row],[MONTO ]],"")</f>
        <v>FE021672045528391578</v>
      </c>
      <c r="Y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63379785</v>
      </c>
      <c r="Z9" s="3"/>
      <c r="AA9" s="3"/>
      <c r="AB9" s="24" t="str">
        <f>IF(Banco_Nacion[[#This Row],[FECHA]]&gt;0,TEXT(Banco_Nacion[[#This Row],[FECHA]],"mmmm"),0)</f>
        <v>Enero</v>
      </c>
    </row>
    <row r="10" spans="2:28" x14ac:dyDescent="0.3">
      <c r="B10" s="2">
        <f>IF(Banco_Nacion[[#This Row],[TIPO DE R.]]="R",COUNTIFS($D$4:$D9,"R")+1,"")</f>
        <v>6</v>
      </c>
      <c r="C10" s="19" t="str">
        <f t="shared" si="0"/>
        <v>B-Banco de la Nacion</v>
      </c>
      <c r="D10" s="3" t="s">
        <v>1074</v>
      </c>
      <c r="E10" s="14">
        <v>45659</v>
      </c>
      <c r="F10" s="5">
        <v>20455283915</v>
      </c>
      <c r="G10" s="5" t="s">
        <v>1087</v>
      </c>
      <c r="H10" s="6" t="s">
        <v>368</v>
      </c>
      <c r="I10" s="6"/>
      <c r="J10" s="6" t="s">
        <v>1097</v>
      </c>
      <c r="K10" s="6">
        <v>164</v>
      </c>
      <c r="L10" s="7" t="s">
        <v>4290</v>
      </c>
      <c r="M10" s="8">
        <v>63379784</v>
      </c>
      <c r="N10" s="8" t="str">
        <f t="shared" si="1"/>
        <v>PEN</v>
      </c>
      <c r="O10" s="13"/>
      <c r="P10" s="13">
        <v>61</v>
      </c>
      <c r="Q10" s="3">
        <f t="shared" si="2"/>
        <v>61</v>
      </c>
      <c r="R10" s="3">
        <f t="shared" si="3"/>
        <v>0</v>
      </c>
      <c r="S10" s="3">
        <f t="shared" si="4"/>
        <v>50619.010000000009</v>
      </c>
      <c r="T10" s="24"/>
      <c r="U10" s="24"/>
      <c r="V10" s="3"/>
      <c r="W10" s="19" t="str">
        <f>IFERROR(VLOOKUP(Banco_Nacion[[#This Row],[RESPONSABLE]],Clientes_Proveedores[[Ruc / Dni]:[Razon Social]],2,0),"")</f>
        <v>EMPRESA CONSERVADORA AMBIENTAL DEL SUR E.I.R.L. - ECA SUR E.I.R.L.</v>
      </c>
      <c r="X10" s="19" t="str">
        <f>IF(Banco_Nacion[[#This Row],[TIPO DE MOV.]]="INGRESO",Banco_Nacion[[#This Row],[SERIE]]&amp;Banco_Nacion[[#This Row],[NUMERO]]&amp;Banco_Nacion[[#This Row],[RESPONSABLE]]&amp;Banco_Nacion[[#This Row],[MONTO ]],"")</f>
        <v>FE021642045528391561</v>
      </c>
      <c r="Y1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63379784</v>
      </c>
      <c r="Z10" s="3"/>
      <c r="AA10" s="3"/>
      <c r="AB10" s="24" t="str">
        <f>IF(Banco_Nacion[[#This Row],[FECHA]]&gt;0,TEXT(Banco_Nacion[[#This Row],[FECHA]],"mmmm"),0)</f>
        <v>Enero</v>
      </c>
    </row>
    <row r="11" spans="2:28" x14ac:dyDescent="0.3">
      <c r="B11" s="2">
        <f>IF(Banco_Nacion[[#This Row],[TIPO DE R.]]="R",COUNTIFS($D$4:$D10,"R")+1,"")</f>
        <v>7</v>
      </c>
      <c r="C11" s="19" t="str">
        <f t="shared" si="0"/>
        <v>B-Banco de la Nacion</v>
      </c>
      <c r="D11" s="3" t="s">
        <v>1074</v>
      </c>
      <c r="E11" s="14">
        <v>45659</v>
      </c>
      <c r="F11" s="5">
        <v>20498309713</v>
      </c>
      <c r="G11" s="5" t="s">
        <v>1087</v>
      </c>
      <c r="H11" s="6" t="s">
        <v>368</v>
      </c>
      <c r="I11" s="6"/>
      <c r="J11" s="6" t="s">
        <v>1097</v>
      </c>
      <c r="K11" s="6">
        <v>166</v>
      </c>
      <c r="L11" s="7" t="s">
        <v>4290</v>
      </c>
      <c r="M11" s="8">
        <v>63379674</v>
      </c>
      <c r="N11" s="8" t="str">
        <f t="shared" si="1"/>
        <v>PEN</v>
      </c>
      <c r="O11" s="13"/>
      <c r="P11" s="13">
        <v>7</v>
      </c>
      <c r="Q11" s="3">
        <f t="shared" si="2"/>
        <v>7</v>
      </c>
      <c r="R11" s="3">
        <f t="shared" si="3"/>
        <v>0</v>
      </c>
      <c r="S11" s="3">
        <f t="shared" si="4"/>
        <v>50626.010000000009</v>
      </c>
      <c r="T11" s="24"/>
      <c r="U11" s="24"/>
      <c r="V11" s="3"/>
      <c r="W11" s="19" t="str">
        <f>IFERROR(VLOOKUP(Banco_Nacion[[#This Row],[RESPONSABLE]],Clientes_Proveedores[[Ruc / Dni]:[Razon Social]],2,0),"")</f>
        <v>SCOMAR S.R.L</v>
      </c>
      <c r="X11" s="19" t="str">
        <f>IF(Banco_Nacion[[#This Row],[TIPO DE MOV.]]="INGRESO",Banco_Nacion[[#This Row],[SERIE]]&amp;Banco_Nacion[[#This Row],[NUMERO]]&amp;Banco_Nacion[[#This Row],[RESPONSABLE]]&amp;Banco_Nacion[[#This Row],[MONTO ]],"")</f>
        <v>FE02166204983097137</v>
      </c>
      <c r="Y1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63379674</v>
      </c>
      <c r="Z11" s="3"/>
      <c r="AA11" s="3"/>
      <c r="AB11" s="24" t="str">
        <f>IF(Banco_Nacion[[#This Row],[FECHA]]&gt;0,TEXT(Banco_Nacion[[#This Row],[FECHA]],"mmmm"),0)</f>
        <v>Enero</v>
      </c>
    </row>
    <row r="12" spans="2:28" x14ac:dyDescent="0.3">
      <c r="B12" s="2">
        <f>IF(Banco_Nacion[[#This Row],[TIPO DE R.]]="R",COUNTIFS($D$4:$D11,"R")+1,"")</f>
        <v>8</v>
      </c>
      <c r="C12" s="19" t="str">
        <f t="shared" si="0"/>
        <v>B-Banco de la Nacion</v>
      </c>
      <c r="D12" s="3" t="s">
        <v>1074</v>
      </c>
      <c r="E12" s="14">
        <v>45659</v>
      </c>
      <c r="F12" s="5">
        <v>20455283915</v>
      </c>
      <c r="G12" s="5" t="s">
        <v>1087</v>
      </c>
      <c r="H12" s="6" t="s">
        <v>368</v>
      </c>
      <c r="I12" s="6"/>
      <c r="J12" s="6" t="s">
        <v>1097</v>
      </c>
      <c r="K12" s="6">
        <v>159</v>
      </c>
      <c r="L12" s="7" t="s">
        <v>4290</v>
      </c>
      <c r="M12" s="8">
        <v>63367839</v>
      </c>
      <c r="N12" s="8" t="str">
        <f t="shared" si="1"/>
        <v>PEN</v>
      </c>
      <c r="O12" s="13"/>
      <c r="P12" s="13">
        <v>27</v>
      </c>
      <c r="Q12" s="3">
        <f t="shared" si="2"/>
        <v>27</v>
      </c>
      <c r="R12" s="3">
        <f t="shared" si="3"/>
        <v>0</v>
      </c>
      <c r="S12" s="3">
        <f t="shared" si="4"/>
        <v>50653.010000000009</v>
      </c>
      <c r="T12" s="24"/>
      <c r="U12" s="24"/>
      <c r="V12" s="3"/>
      <c r="W12" s="19" t="str">
        <f>IFERROR(VLOOKUP(Banco_Nacion[[#This Row],[RESPONSABLE]],Clientes_Proveedores[[Ruc / Dni]:[Razon Social]],2,0),"")</f>
        <v>EMPRESA CONSERVADORA AMBIENTAL DEL SUR E.I.R.L. - ECA SUR E.I.R.L.</v>
      </c>
      <c r="X12" s="19" t="str">
        <f>IF(Banco_Nacion[[#This Row],[TIPO DE MOV.]]="INGRESO",Banco_Nacion[[#This Row],[SERIE]]&amp;Banco_Nacion[[#This Row],[NUMERO]]&amp;Banco_Nacion[[#This Row],[RESPONSABLE]]&amp;Banco_Nacion[[#This Row],[MONTO ]],"")</f>
        <v>FE021592045528391527</v>
      </c>
      <c r="Y1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63367839</v>
      </c>
      <c r="Z12" s="3"/>
      <c r="AA12" s="3"/>
      <c r="AB12" s="24" t="str">
        <f>IF(Banco_Nacion[[#This Row],[FECHA]]&gt;0,TEXT(Banco_Nacion[[#This Row],[FECHA]],"mmmm"),0)</f>
        <v>Enero</v>
      </c>
    </row>
    <row r="13" spans="2:28" x14ac:dyDescent="0.3">
      <c r="B13" s="2">
        <f>IF(Banco_Nacion[[#This Row],[TIPO DE R.]]="R",COUNTIFS($D$4:$D12,"R")+1,"")</f>
        <v>9</v>
      </c>
      <c r="C13" s="19" t="str">
        <f t="shared" si="0"/>
        <v>B-Banco de la Nacion</v>
      </c>
      <c r="D13" s="3" t="s">
        <v>1074</v>
      </c>
      <c r="E13" s="14">
        <v>45659</v>
      </c>
      <c r="F13" s="5">
        <v>20455283915</v>
      </c>
      <c r="G13" s="5" t="s">
        <v>1087</v>
      </c>
      <c r="H13" s="6" t="s">
        <v>368</v>
      </c>
      <c r="I13" s="6"/>
      <c r="J13" s="6" t="s">
        <v>1097</v>
      </c>
      <c r="K13" s="6">
        <v>158</v>
      </c>
      <c r="L13" s="7" t="s">
        <v>4290</v>
      </c>
      <c r="M13" s="8">
        <v>63367838</v>
      </c>
      <c r="N13" s="8" t="str">
        <f t="shared" si="1"/>
        <v>PEN</v>
      </c>
      <c r="O13" s="13"/>
      <c r="P13" s="13">
        <v>212</v>
      </c>
      <c r="Q13" s="3">
        <f t="shared" si="2"/>
        <v>212</v>
      </c>
      <c r="R13" s="3">
        <f t="shared" si="3"/>
        <v>0</v>
      </c>
      <c r="S13" s="3">
        <f t="shared" si="4"/>
        <v>50865.010000000009</v>
      </c>
      <c r="T13" s="24"/>
      <c r="U13" s="24"/>
      <c r="V13" s="3"/>
      <c r="W13" s="19" t="str">
        <f>IFERROR(VLOOKUP(Banco_Nacion[[#This Row],[RESPONSABLE]],Clientes_Proveedores[[Ruc / Dni]:[Razon Social]],2,0),"")</f>
        <v>EMPRESA CONSERVADORA AMBIENTAL DEL SUR E.I.R.L. - ECA SUR E.I.R.L.</v>
      </c>
      <c r="X13" s="19" t="str">
        <f>IF(Banco_Nacion[[#This Row],[TIPO DE MOV.]]="INGRESO",Banco_Nacion[[#This Row],[SERIE]]&amp;Banco_Nacion[[#This Row],[NUMERO]]&amp;Banco_Nacion[[#This Row],[RESPONSABLE]]&amp;Banco_Nacion[[#This Row],[MONTO ]],"")</f>
        <v>FE0215820455283915212</v>
      </c>
      <c r="Y1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63367838</v>
      </c>
      <c r="Z13" s="3"/>
      <c r="AA13" s="3"/>
      <c r="AB13" s="24" t="str">
        <f>IF(Banco_Nacion[[#This Row],[FECHA]]&gt;0,TEXT(Banco_Nacion[[#This Row],[FECHA]],"mmmm"),0)</f>
        <v>Enero</v>
      </c>
    </row>
    <row r="14" spans="2:28" x14ac:dyDescent="0.3">
      <c r="B14" s="2">
        <f>IF(Banco_Nacion[[#This Row],[TIPO DE R.]]="R",COUNTIFS($D$4:$D13,"R")+1,"")</f>
        <v>10</v>
      </c>
      <c r="C14" s="19" t="str">
        <f t="shared" si="0"/>
        <v>B-Banco de la Nacion</v>
      </c>
      <c r="D14" s="3" t="s">
        <v>1074</v>
      </c>
      <c r="E14" s="14">
        <v>45659</v>
      </c>
      <c r="F14" s="5">
        <v>20455283915</v>
      </c>
      <c r="G14" s="5" t="s">
        <v>1087</v>
      </c>
      <c r="H14" s="6" t="s">
        <v>368</v>
      </c>
      <c r="I14" s="6"/>
      <c r="J14" s="6" t="s">
        <v>1097</v>
      </c>
      <c r="K14" s="6">
        <v>156</v>
      </c>
      <c r="L14" s="7" t="s">
        <v>4290</v>
      </c>
      <c r="M14" s="8">
        <v>63367837</v>
      </c>
      <c r="N14" s="8" t="str">
        <f t="shared" si="1"/>
        <v>PEN</v>
      </c>
      <c r="O14" s="13"/>
      <c r="P14" s="13">
        <v>246</v>
      </c>
      <c r="Q14" s="3">
        <f t="shared" si="2"/>
        <v>246</v>
      </c>
      <c r="R14" s="3">
        <f t="shared" si="3"/>
        <v>0</v>
      </c>
      <c r="S14" s="3">
        <f t="shared" si="4"/>
        <v>51111.010000000009</v>
      </c>
      <c r="T14" s="24"/>
      <c r="U14" s="24"/>
      <c r="V14" s="3"/>
      <c r="W14" s="19" t="str">
        <f>IFERROR(VLOOKUP(Banco_Nacion[[#This Row],[RESPONSABLE]],Clientes_Proveedores[[Ruc / Dni]:[Razon Social]],2,0),"")</f>
        <v>EMPRESA CONSERVADORA AMBIENTAL DEL SUR E.I.R.L. - ECA SUR E.I.R.L.</v>
      </c>
      <c r="X14" s="19" t="str">
        <f>IF(Banco_Nacion[[#This Row],[TIPO DE MOV.]]="INGRESO",Banco_Nacion[[#This Row],[SERIE]]&amp;Banco_Nacion[[#This Row],[NUMERO]]&amp;Banco_Nacion[[#This Row],[RESPONSABLE]]&amp;Banco_Nacion[[#This Row],[MONTO ]],"")</f>
        <v>FE0215620455283915246</v>
      </c>
      <c r="Y1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63367837</v>
      </c>
      <c r="Z14" s="3"/>
      <c r="AA14" s="3"/>
      <c r="AB14" s="24" t="str">
        <f>IF(Banco_Nacion[[#This Row],[FECHA]]&gt;0,TEXT(Banco_Nacion[[#This Row],[FECHA]],"mmmm"),0)</f>
        <v>Enero</v>
      </c>
    </row>
    <row r="15" spans="2:28" x14ac:dyDescent="0.3">
      <c r="B15" s="2">
        <f>IF(Banco_Nacion[[#This Row],[TIPO DE R.]]="R",COUNTIFS($D$4:$D14,"R")+1,"")</f>
        <v>11</v>
      </c>
      <c r="C15" s="19" t="str">
        <f t="shared" si="0"/>
        <v>B-Banco de la Nacion</v>
      </c>
      <c r="D15" s="3" t="s">
        <v>1074</v>
      </c>
      <c r="E15" s="14">
        <v>45659</v>
      </c>
      <c r="F15" s="5">
        <v>20455283915</v>
      </c>
      <c r="G15" s="5" t="s">
        <v>1087</v>
      </c>
      <c r="H15" s="6" t="s">
        <v>368</v>
      </c>
      <c r="I15" s="6"/>
      <c r="J15" s="6" t="s">
        <v>1097</v>
      </c>
      <c r="K15" s="6">
        <v>149</v>
      </c>
      <c r="L15" s="7" t="s">
        <v>4290</v>
      </c>
      <c r="M15" s="8">
        <v>63367836</v>
      </c>
      <c r="N15" s="8" t="str">
        <f t="shared" si="1"/>
        <v>PEN</v>
      </c>
      <c r="O15" s="13"/>
      <c r="P15" s="13">
        <v>516</v>
      </c>
      <c r="Q15" s="3">
        <f t="shared" si="2"/>
        <v>516</v>
      </c>
      <c r="R15" s="3">
        <f t="shared" si="3"/>
        <v>0</v>
      </c>
      <c r="S15" s="3">
        <f t="shared" si="4"/>
        <v>51627.010000000009</v>
      </c>
      <c r="T15" s="24"/>
      <c r="U15" s="24"/>
      <c r="V15" s="3"/>
      <c r="W15" s="19" t="str">
        <f>IFERROR(VLOOKUP(Banco_Nacion[[#This Row],[RESPONSABLE]],Clientes_Proveedores[[Ruc / Dni]:[Razon Social]],2,0),"")</f>
        <v>EMPRESA CONSERVADORA AMBIENTAL DEL SUR E.I.R.L. - ECA SUR E.I.R.L.</v>
      </c>
      <c r="X15" s="19" t="str">
        <f>IF(Banco_Nacion[[#This Row],[TIPO DE MOV.]]="INGRESO",Banco_Nacion[[#This Row],[SERIE]]&amp;Banco_Nacion[[#This Row],[NUMERO]]&amp;Banco_Nacion[[#This Row],[RESPONSABLE]]&amp;Banco_Nacion[[#This Row],[MONTO ]],"")</f>
        <v>FE0214920455283915516</v>
      </c>
      <c r="Y1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63367836</v>
      </c>
      <c r="Z15" s="3"/>
      <c r="AA15" s="3"/>
      <c r="AB15" s="24" t="str">
        <f>IF(Banco_Nacion[[#This Row],[FECHA]]&gt;0,TEXT(Banco_Nacion[[#This Row],[FECHA]],"mmmm"),0)</f>
        <v>Enero</v>
      </c>
    </row>
    <row r="16" spans="2:28" x14ac:dyDescent="0.3">
      <c r="B16" s="2">
        <f>IF(Banco_Nacion[[#This Row],[TIPO DE R.]]="R",COUNTIFS($D$4:$D15,"R")+1,"")</f>
        <v>12</v>
      </c>
      <c r="C16" s="19" t="str">
        <f t="shared" si="0"/>
        <v>B-Banco de la Nacion</v>
      </c>
      <c r="D16" s="3" t="s">
        <v>1074</v>
      </c>
      <c r="E16" s="14">
        <v>45659</v>
      </c>
      <c r="F16" s="5">
        <v>20100192064</v>
      </c>
      <c r="G16" s="5" t="s">
        <v>1087</v>
      </c>
      <c r="H16" s="6" t="s">
        <v>368</v>
      </c>
      <c r="I16" s="6"/>
      <c r="J16" s="6" t="s">
        <v>1088</v>
      </c>
      <c r="K16" s="6">
        <v>496</v>
      </c>
      <c r="L16" s="7" t="s">
        <v>4290</v>
      </c>
      <c r="M16" s="8">
        <v>63360967</v>
      </c>
      <c r="N16" s="8" t="str">
        <f t="shared" si="1"/>
        <v>PEN</v>
      </c>
      <c r="O16" s="13"/>
      <c r="P16" s="13">
        <v>423</v>
      </c>
      <c r="Q16" s="3">
        <f t="shared" si="2"/>
        <v>423</v>
      </c>
      <c r="R16" s="3">
        <f t="shared" si="3"/>
        <v>0</v>
      </c>
      <c r="S16" s="3">
        <f t="shared" si="4"/>
        <v>52050.010000000009</v>
      </c>
      <c r="T16" s="24"/>
      <c r="U16" s="24"/>
      <c r="V16" s="3"/>
      <c r="W16" s="19" t="str">
        <f>IFERROR(VLOOKUP(Banco_Nacion[[#This Row],[RESPONSABLE]],Clientes_Proveedores[[Ruc / Dni]:[Razon Social]],2,0),"")</f>
        <v>MOLY-COP ADESUR S.A</v>
      </c>
      <c r="X16" s="19" t="str">
        <f>IF(Banco_Nacion[[#This Row],[TIPO DE MOV.]]="INGRESO",Banco_Nacion[[#This Row],[SERIE]]&amp;Banco_Nacion[[#This Row],[NUMERO]]&amp;Banco_Nacion[[#This Row],[RESPONSABLE]]&amp;Banco_Nacion[[#This Row],[MONTO ]],"")</f>
        <v>FE0149620100192064423</v>
      </c>
      <c r="Y1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63360967</v>
      </c>
      <c r="Z16" s="3"/>
      <c r="AA16" s="3"/>
      <c r="AB16" s="24" t="str">
        <f>IF(Banco_Nacion[[#This Row],[FECHA]]&gt;0,TEXT(Banco_Nacion[[#This Row],[FECHA]],"mmmm"),0)</f>
        <v>Enero</v>
      </c>
    </row>
    <row r="17" spans="2:28" x14ac:dyDescent="0.3">
      <c r="B17" s="2">
        <f>IF(Banco_Nacion[[#This Row],[TIPO DE R.]]="R",COUNTIFS($D$4:$D16,"R")+1,"")</f>
        <v>13</v>
      </c>
      <c r="C17" s="19" t="str">
        <f t="shared" si="0"/>
        <v>B-Banco de la Nacion</v>
      </c>
      <c r="D17" s="3" t="s">
        <v>1074</v>
      </c>
      <c r="E17" s="14">
        <v>45659</v>
      </c>
      <c r="F17" s="5">
        <v>20100192064</v>
      </c>
      <c r="G17" s="5" t="s">
        <v>1087</v>
      </c>
      <c r="H17" s="6" t="s">
        <v>368</v>
      </c>
      <c r="I17" s="6"/>
      <c r="J17" s="6" t="s">
        <v>1088</v>
      </c>
      <c r="K17" s="6">
        <v>495</v>
      </c>
      <c r="L17" s="7" t="s">
        <v>4290</v>
      </c>
      <c r="M17" s="8">
        <v>63360966</v>
      </c>
      <c r="N17" s="8" t="str">
        <f t="shared" si="1"/>
        <v>PEN</v>
      </c>
      <c r="O17" s="13"/>
      <c r="P17" s="13">
        <v>424</v>
      </c>
      <c r="Q17" s="3">
        <f t="shared" si="2"/>
        <v>424</v>
      </c>
      <c r="R17" s="3">
        <f t="shared" si="3"/>
        <v>0</v>
      </c>
      <c r="S17" s="3">
        <f t="shared" si="4"/>
        <v>52474.010000000009</v>
      </c>
      <c r="T17" s="24"/>
      <c r="U17" s="24"/>
      <c r="V17" s="3"/>
      <c r="W17" s="19" t="str">
        <f>IFERROR(VLOOKUP(Banco_Nacion[[#This Row],[RESPONSABLE]],Clientes_Proveedores[[Ruc / Dni]:[Razon Social]],2,0),"")</f>
        <v>MOLY-COP ADESUR S.A</v>
      </c>
      <c r="X17" s="19" t="str">
        <f>IF(Banco_Nacion[[#This Row],[TIPO DE MOV.]]="INGRESO",Banco_Nacion[[#This Row],[SERIE]]&amp;Banco_Nacion[[#This Row],[NUMERO]]&amp;Banco_Nacion[[#This Row],[RESPONSABLE]]&amp;Banco_Nacion[[#This Row],[MONTO ]],"")</f>
        <v>FE0149520100192064424</v>
      </c>
      <c r="Y1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63360966</v>
      </c>
      <c r="Z17" s="3"/>
      <c r="AA17" s="3"/>
      <c r="AB17" s="24" t="str">
        <f>IF(Banco_Nacion[[#This Row],[FECHA]]&gt;0,TEXT(Banco_Nacion[[#This Row],[FECHA]],"mmmm"),0)</f>
        <v>Enero</v>
      </c>
    </row>
    <row r="18" spans="2:28" x14ac:dyDescent="0.3">
      <c r="B18" s="2">
        <f>IF(Banco_Nacion[[#This Row],[TIPO DE R.]]="R",COUNTIFS($D$4:$D17,"R")+1,"")</f>
        <v>14</v>
      </c>
      <c r="C18" s="19" t="str">
        <f t="shared" si="0"/>
        <v>B-Banco de la Nacion</v>
      </c>
      <c r="D18" s="3" t="s">
        <v>1074</v>
      </c>
      <c r="E18" s="14">
        <v>45659</v>
      </c>
      <c r="F18" s="5">
        <v>20100192064</v>
      </c>
      <c r="G18" s="5" t="s">
        <v>1087</v>
      </c>
      <c r="H18" s="6" t="s">
        <v>368</v>
      </c>
      <c r="I18" s="6"/>
      <c r="J18" s="6" t="s">
        <v>1088</v>
      </c>
      <c r="K18" s="6">
        <v>474</v>
      </c>
      <c r="L18" s="7" t="s">
        <v>4290</v>
      </c>
      <c r="M18" s="8">
        <v>63360849</v>
      </c>
      <c r="N18" s="8" t="str">
        <f t="shared" si="1"/>
        <v>PEN</v>
      </c>
      <c r="O18" s="13"/>
      <c r="P18" s="13">
        <v>886</v>
      </c>
      <c r="Q18" s="3">
        <f t="shared" si="2"/>
        <v>886</v>
      </c>
      <c r="R18" s="3">
        <f t="shared" si="3"/>
        <v>0</v>
      </c>
      <c r="S18" s="3">
        <f t="shared" si="4"/>
        <v>53360.010000000009</v>
      </c>
      <c r="T18" s="24"/>
      <c r="U18" s="24"/>
      <c r="V18" s="3"/>
      <c r="W18" s="19" t="str">
        <f>IFERROR(VLOOKUP(Banco_Nacion[[#This Row],[RESPONSABLE]],Clientes_Proveedores[[Ruc / Dni]:[Razon Social]],2,0),"")</f>
        <v>MOLY-COP ADESUR S.A</v>
      </c>
      <c r="X18" s="19" t="str">
        <f>IF(Banco_Nacion[[#This Row],[TIPO DE MOV.]]="INGRESO",Banco_Nacion[[#This Row],[SERIE]]&amp;Banco_Nacion[[#This Row],[NUMERO]]&amp;Banco_Nacion[[#This Row],[RESPONSABLE]]&amp;Banco_Nacion[[#This Row],[MONTO ]],"")</f>
        <v>FE0147420100192064886</v>
      </c>
      <c r="Y1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63360849</v>
      </c>
      <c r="Z18" s="3"/>
      <c r="AA18" s="3"/>
      <c r="AB18" s="24" t="str">
        <f>IF(Banco_Nacion[[#This Row],[FECHA]]&gt;0,TEXT(Banco_Nacion[[#This Row],[FECHA]],"mmmm"),0)</f>
        <v>Enero</v>
      </c>
    </row>
    <row r="19" spans="2:28" x14ac:dyDescent="0.3">
      <c r="B19" s="2">
        <f>IF(Banco_Nacion[[#This Row],[TIPO DE R.]]="R",COUNTIFS($D$4:$D18,"R")+1,"")</f>
        <v>15</v>
      </c>
      <c r="C19" s="19" t="str">
        <f t="shared" si="0"/>
        <v>B-Banco de la Nacion</v>
      </c>
      <c r="D19" s="3" t="s">
        <v>1074</v>
      </c>
      <c r="E19" s="14">
        <v>45659</v>
      </c>
      <c r="F19" s="5">
        <v>20100192064</v>
      </c>
      <c r="G19" s="5" t="s">
        <v>1087</v>
      </c>
      <c r="H19" s="6" t="s">
        <v>368</v>
      </c>
      <c r="I19" s="6"/>
      <c r="J19" s="6" t="s">
        <v>1088</v>
      </c>
      <c r="K19" s="6">
        <v>475</v>
      </c>
      <c r="L19" s="7" t="s">
        <v>4290</v>
      </c>
      <c r="M19" s="8">
        <v>63360848</v>
      </c>
      <c r="N19" s="8" t="str">
        <f t="shared" si="1"/>
        <v>PEN</v>
      </c>
      <c r="O19" s="13"/>
      <c r="P19" s="13">
        <v>642</v>
      </c>
      <c r="Q19" s="3">
        <f t="shared" si="2"/>
        <v>642</v>
      </c>
      <c r="R19" s="3">
        <f t="shared" si="3"/>
        <v>0</v>
      </c>
      <c r="S19" s="3">
        <f t="shared" si="4"/>
        <v>54002.010000000009</v>
      </c>
      <c r="T19" s="24"/>
      <c r="U19" s="24"/>
      <c r="V19" s="3"/>
      <c r="W19" s="19" t="str">
        <f>IFERROR(VLOOKUP(Banco_Nacion[[#This Row],[RESPONSABLE]],Clientes_Proveedores[[Ruc / Dni]:[Razon Social]],2,0),"")</f>
        <v>MOLY-COP ADESUR S.A</v>
      </c>
      <c r="X19" s="19" t="str">
        <f>IF(Banco_Nacion[[#This Row],[TIPO DE MOV.]]="INGRESO",Banco_Nacion[[#This Row],[SERIE]]&amp;Banco_Nacion[[#This Row],[NUMERO]]&amp;Banco_Nacion[[#This Row],[RESPONSABLE]]&amp;Banco_Nacion[[#This Row],[MONTO ]],"")</f>
        <v>FE0147520100192064642</v>
      </c>
      <c r="Y1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63360848</v>
      </c>
      <c r="Z19" s="3"/>
      <c r="AA19" s="3"/>
      <c r="AB19" s="24" t="str">
        <f>IF(Banco_Nacion[[#This Row],[FECHA]]&gt;0,TEXT(Banco_Nacion[[#This Row],[FECHA]],"mmmm"),0)</f>
        <v>Enero</v>
      </c>
    </row>
    <row r="20" spans="2:28" x14ac:dyDescent="0.3">
      <c r="B20" s="2">
        <f>IF(Banco_Nacion[[#This Row],[TIPO DE R.]]="R",COUNTIFS($D$4:$D19,"R")+1,"")</f>
        <v>16</v>
      </c>
      <c r="C20" s="19" t="str">
        <f t="shared" si="0"/>
        <v>B-Banco de la Nacion</v>
      </c>
      <c r="D20" s="3" t="s">
        <v>1074</v>
      </c>
      <c r="E20" s="14">
        <v>45659</v>
      </c>
      <c r="F20" s="5">
        <v>20100192064</v>
      </c>
      <c r="G20" s="5" t="s">
        <v>1087</v>
      </c>
      <c r="H20" s="6" t="s">
        <v>368</v>
      </c>
      <c r="I20" s="6"/>
      <c r="J20" s="6" t="s">
        <v>1088</v>
      </c>
      <c r="K20" s="6">
        <v>481</v>
      </c>
      <c r="L20" s="7" t="s">
        <v>4290</v>
      </c>
      <c r="M20" s="8">
        <v>63360847</v>
      </c>
      <c r="N20" s="8" t="str">
        <f t="shared" si="1"/>
        <v>PEN</v>
      </c>
      <c r="O20" s="13"/>
      <c r="P20" s="13">
        <v>109</v>
      </c>
      <c r="Q20" s="3">
        <f t="shared" si="2"/>
        <v>109</v>
      </c>
      <c r="R20" s="3">
        <f t="shared" si="3"/>
        <v>0</v>
      </c>
      <c r="S20" s="3">
        <f t="shared" si="4"/>
        <v>54111.010000000009</v>
      </c>
      <c r="T20" s="24"/>
      <c r="U20" s="24"/>
      <c r="V20" s="3"/>
      <c r="W20" s="19" t="str">
        <f>IFERROR(VLOOKUP(Banco_Nacion[[#This Row],[RESPONSABLE]],Clientes_Proveedores[[Ruc / Dni]:[Razon Social]],2,0),"")</f>
        <v>MOLY-COP ADESUR S.A</v>
      </c>
      <c r="X20" s="19" t="str">
        <f>IF(Banco_Nacion[[#This Row],[TIPO DE MOV.]]="INGRESO",Banco_Nacion[[#This Row],[SERIE]]&amp;Banco_Nacion[[#This Row],[NUMERO]]&amp;Banco_Nacion[[#This Row],[RESPONSABLE]]&amp;Banco_Nacion[[#This Row],[MONTO ]],"")</f>
        <v>FE0148120100192064109</v>
      </c>
      <c r="Y2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63360847</v>
      </c>
      <c r="Z20" s="3"/>
      <c r="AA20" s="3"/>
      <c r="AB20" s="24" t="str">
        <f>IF(Banco_Nacion[[#This Row],[FECHA]]&gt;0,TEXT(Banco_Nacion[[#This Row],[FECHA]],"mmmm"),0)</f>
        <v>Enero</v>
      </c>
    </row>
    <row r="21" spans="2:28" x14ac:dyDescent="0.3">
      <c r="B21" s="2">
        <f>IF(Banco_Nacion[[#This Row],[TIPO DE R.]]="R",COUNTIFS($D$4:$D20,"R")+1,"")</f>
        <v>17</v>
      </c>
      <c r="C21" s="19" t="str">
        <f t="shared" si="0"/>
        <v>B-Banco de la Nacion</v>
      </c>
      <c r="D21" s="3" t="s">
        <v>1074</v>
      </c>
      <c r="E21" s="14">
        <v>45659</v>
      </c>
      <c r="F21" s="5">
        <v>20100192064</v>
      </c>
      <c r="G21" s="5" t="s">
        <v>1087</v>
      </c>
      <c r="H21" s="6" t="s">
        <v>368</v>
      </c>
      <c r="I21" s="6"/>
      <c r="J21" s="6" t="s">
        <v>1088</v>
      </c>
      <c r="K21" s="6">
        <v>482</v>
      </c>
      <c r="L21" s="7" t="s">
        <v>4290</v>
      </c>
      <c r="M21" s="8">
        <v>63360846</v>
      </c>
      <c r="N21" s="8" t="str">
        <f t="shared" si="1"/>
        <v>PEN</v>
      </c>
      <c r="O21" s="13"/>
      <c r="P21" s="13">
        <v>512</v>
      </c>
      <c r="Q21" s="3">
        <f t="shared" si="2"/>
        <v>512</v>
      </c>
      <c r="R21" s="3">
        <f t="shared" si="3"/>
        <v>0</v>
      </c>
      <c r="S21" s="3">
        <f t="shared" si="4"/>
        <v>54623.010000000009</v>
      </c>
      <c r="T21" s="24"/>
      <c r="U21" s="24"/>
      <c r="V21" s="3"/>
      <c r="W21" s="19" t="str">
        <f>IFERROR(VLOOKUP(Banco_Nacion[[#This Row],[RESPONSABLE]],Clientes_Proveedores[[Ruc / Dni]:[Razon Social]],2,0),"")</f>
        <v>MOLY-COP ADESUR S.A</v>
      </c>
      <c r="X21" s="19" t="str">
        <f>IF(Banco_Nacion[[#This Row],[TIPO DE MOV.]]="INGRESO",Banco_Nacion[[#This Row],[SERIE]]&amp;Banco_Nacion[[#This Row],[NUMERO]]&amp;Banco_Nacion[[#This Row],[RESPONSABLE]]&amp;Banco_Nacion[[#This Row],[MONTO ]],"")</f>
        <v>FE0148220100192064512</v>
      </c>
      <c r="Y2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63360846</v>
      </c>
      <c r="Z21" s="3"/>
      <c r="AA21" s="3"/>
      <c r="AB21" s="24" t="str">
        <f>IF(Banco_Nacion[[#This Row],[FECHA]]&gt;0,TEXT(Banco_Nacion[[#This Row],[FECHA]],"mmmm"),0)</f>
        <v>Enero</v>
      </c>
    </row>
    <row r="22" spans="2:28" x14ac:dyDescent="0.3">
      <c r="B22" s="2">
        <f>IF(Banco_Nacion[[#This Row],[TIPO DE R.]]="R",COUNTIFS($D$4:$D21,"R")+1,"")</f>
        <v>18</v>
      </c>
      <c r="C22" s="19" t="str">
        <f t="shared" si="0"/>
        <v>B-Banco de la Nacion</v>
      </c>
      <c r="D22" s="3" t="s">
        <v>1074</v>
      </c>
      <c r="E22" s="14">
        <v>45659</v>
      </c>
      <c r="F22" s="5">
        <v>20100192064</v>
      </c>
      <c r="G22" s="5" t="s">
        <v>1087</v>
      </c>
      <c r="H22" s="6" t="s">
        <v>368</v>
      </c>
      <c r="I22" s="6"/>
      <c r="J22" s="6" t="s">
        <v>1088</v>
      </c>
      <c r="K22" s="6">
        <v>483</v>
      </c>
      <c r="L22" s="7" t="s">
        <v>4290</v>
      </c>
      <c r="M22" s="8">
        <v>63360845</v>
      </c>
      <c r="N22" s="8" t="str">
        <f t="shared" si="1"/>
        <v>PEN</v>
      </c>
      <c r="O22" s="13"/>
      <c r="P22" s="13">
        <v>83</v>
      </c>
      <c r="Q22" s="3">
        <f t="shared" si="2"/>
        <v>83</v>
      </c>
      <c r="R22" s="3">
        <f t="shared" si="3"/>
        <v>0</v>
      </c>
      <c r="S22" s="3">
        <f t="shared" si="4"/>
        <v>54706.010000000009</v>
      </c>
      <c r="T22" s="24"/>
      <c r="U22" s="24"/>
      <c r="V22" s="3"/>
      <c r="W22" s="19" t="str">
        <f>IFERROR(VLOOKUP(Banco_Nacion[[#This Row],[RESPONSABLE]],Clientes_Proveedores[[Ruc / Dni]:[Razon Social]],2,0),"")</f>
        <v>MOLY-COP ADESUR S.A</v>
      </c>
      <c r="X22" s="19" t="str">
        <f>IF(Banco_Nacion[[#This Row],[TIPO DE MOV.]]="INGRESO",Banco_Nacion[[#This Row],[SERIE]]&amp;Banco_Nacion[[#This Row],[NUMERO]]&amp;Banco_Nacion[[#This Row],[RESPONSABLE]]&amp;Banco_Nacion[[#This Row],[MONTO ]],"")</f>
        <v>FE014832010019206483</v>
      </c>
      <c r="Y2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63360845</v>
      </c>
      <c r="Z22" s="3"/>
      <c r="AA22" s="3"/>
      <c r="AB22" s="24" t="str">
        <f>IF(Banco_Nacion[[#This Row],[FECHA]]&gt;0,TEXT(Banco_Nacion[[#This Row],[FECHA]],"mmmm"),0)</f>
        <v>Enero</v>
      </c>
    </row>
    <row r="23" spans="2:28" x14ac:dyDescent="0.3">
      <c r="B23" s="2">
        <f>IF(Banco_Nacion[[#This Row],[TIPO DE R.]]="R",COUNTIFS($D$4:$D22,"R")+1,"")</f>
        <v>19</v>
      </c>
      <c r="C23" s="19" t="str">
        <f t="shared" si="0"/>
        <v>B-Banco de la Nacion</v>
      </c>
      <c r="D23" s="3" t="s">
        <v>1074</v>
      </c>
      <c r="E23" s="14">
        <v>45659</v>
      </c>
      <c r="F23" s="5">
        <v>20603536569</v>
      </c>
      <c r="G23" s="5" t="s">
        <v>1087</v>
      </c>
      <c r="H23" s="6" t="s">
        <v>368</v>
      </c>
      <c r="I23" s="6"/>
      <c r="J23" s="6" t="s">
        <v>1088</v>
      </c>
      <c r="K23" s="6">
        <v>469</v>
      </c>
      <c r="L23" s="7" t="s">
        <v>4290</v>
      </c>
      <c r="M23" s="8">
        <v>63322588</v>
      </c>
      <c r="N23" s="8" t="str">
        <f t="shared" si="1"/>
        <v>PEN</v>
      </c>
      <c r="O23" s="13"/>
      <c r="P23" s="13">
        <v>437</v>
      </c>
      <c r="Q23" s="3">
        <f t="shared" si="2"/>
        <v>437</v>
      </c>
      <c r="R23" s="3">
        <f t="shared" si="3"/>
        <v>0</v>
      </c>
      <c r="S23" s="3">
        <f t="shared" si="4"/>
        <v>55143.010000000009</v>
      </c>
      <c r="T23" s="24"/>
      <c r="U23" s="24"/>
      <c r="V23" s="3"/>
      <c r="W23" s="19" t="str">
        <f>IFERROR(VLOOKUP(Banco_Nacion[[#This Row],[RESPONSABLE]],Clientes_Proveedores[[Ruc / Dni]:[Razon Social]],2,0),"")</f>
        <v>ANTILLA COPPER SOCIEDAD ANONIMA</v>
      </c>
      <c r="X23" s="19" t="str">
        <f>IF(Banco_Nacion[[#This Row],[TIPO DE MOV.]]="INGRESO",Banco_Nacion[[#This Row],[SERIE]]&amp;Banco_Nacion[[#This Row],[NUMERO]]&amp;Banco_Nacion[[#This Row],[RESPONSABLE]]&amp;Banco_Nacion[[#This Row],[MONTO ]],"")</f>
        <v>FE0146920603536569437</v>
      </c>
      <c r="Y2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63322588</v>
      </c>
      <c r="Z23" s="3"/>
      <c r="AA23" s="3"/>
      <c r="AB23" s="24" t="str">
        <f>IF(Banco_Nacion[[#This Row],[FECHA]]&gt;0,TEXT(Banco_Nacion[[#This Row],[FECHA]],"mmmm"),0)</f>
        <v>Enero</v>
      </c>
    </row>
    <row r="24" spans="2:28" x14ac:dyDescent="0.3">
      <c r="B24" s="2">
        <f>IF(Banco_Nacion[[#This Row],[TIPO DE R.]]="R",COUNTIFS($D$4:$D23,"R")+1,"")</f>
        <v>20</v>
      </c>
      <c r="C24" s="19" t="str">
        <f t="shared" si="0"/>
        <v>B-Banco de la Nacion</v>
      </c>
      <c r="D24" s="3" t="s">
        <v>1074</v>
      </c>
      <c r="E24" s="14">
        <v>45659</v>
      </c>
      <c r="F24" s="5">
        <v>20603536569</v>
      </c>
      <c r="G24" s="5" t="s">
        <v>1087</v>
      </c>
      <c r="H24" s="6" t="s">
        <v>368</v>
      </c>
      <c r="I24" s="6"/>
      <c r="J24" s="6" t="s">
        <v>1088</v>
      </c>
      <c r="K24" s="6">
        <v>468</v>
      </c>
      <c r="L24" s="7" t="s">
        <v>4290</v>
      </c>
      <c r="M24" s="8">
        <v>63322485</v>
      </c>
      <c r="N24" s="8" t="str">
        <f t="shared" si="1"/>
        <v>PEN</v>
      </c>
      <c r="O24" s="13"/>
      <c r="P24" s="13">
        <v>963</v>
      </c>
      <c r="Q24" s="3">
        <f t="shared" si="2"/>
        <v>963</v>
      </c>
      <c r="R24" s="3">
        <f t="shared" si="3"/>
        <v>0</v>
      </c>
      <c r="S24" s="3">
        <f t="shared" si="4"/>
        <v>56106.010000000009</v>
      </c>
      <c r="T24" s="24"/>
      <c r="U24" s="24"/>
      <c r="V24" s="3"/>
      <c r="W24" s="19" t="str">
        <f>IFERROR(VLOOKUP(Banco_Nacion[[#This Row],[RESPONSABLE]],Clientes_Proveedores[[Ruc / Dni]:[Razon Social]],2,0),"")</f>
        <v>ANTILLA COPPER SOCIEDAD ANONIMA</v>
      </c>
      <c r="X24" s="19" t="str">
        <f>IF(Banco_Nacion[[#This Row],[TIPO DE MOV.]]="INGRESO",Banco_Nacion[[#This Row],[SERIE]]&amp;Banco_Nacion[[#This Row],[NUMERO]]&amp;Banco_Nacion[[#This Row],[RESPONSABLE]]&amp;Banco_Nacion[[#This Row],[MONTO ]],"")</f>
        <v>FE0146820603536569963</v>
      </c>
      <c r="Y2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63322485</v>
      </c>
      <c r="Z24" s="3"/>
      <c r="AA24" s="3"/>
      <c r="AB24" s="24" t="str">
        <f>IF(Banco_Nacion[[#This Row],[FECHA]]&gt;0,TEXT(Banco_Nacion[[#This Row],[FECHA]],"mmmm"),0)</f>
        <v>Enero</v>
      </c>
    </row>
    <row r="25" spans="2:28" x14ac:dyDescent="0.3">
      <c r="B25" s="2">
        <f>IF(Banco_Nacion[[#This Row],[TIPO DE R.]]="R",COUNTIFS($D$4:$D24,"R")+1,"")</f>
        <v>21</v>
      </c>
      <c r="C25" s="19" t="str">
        <f t="shared" si="0"/>
        <v>B-Banco de la Nacion</v>
      </c>
      <c r="D25" s="3" t="s">
        <v>1074</v>
      </c>
      <c r="E25" s="14">
        <v>45659</v>
      </c>
      <c r="F25" s="5">
        <v>20603536569</v>
      </c>
      <c r="G25" s="5" t="s">
        <v>1087</v>
      </c>
      <c r="H25" s="6" t="s">
        <v>368</v>
      </c>
      <c r="I25" s="6"/>
      <c r="J25" s="6" t="s">
        <v>1088</v>
      </c>
      <c r="K25" s="6">
        <v>494</v>
      </c>
      <c r="L25" s="7" t="s">
        <v>4290</v>
      </c>
      <c r="M25" s="8">
        <v>63322344</v>
      </c>
      <c r="N25" s="8" t="str">
        <f t="shared" si="1"/>
        <v>PEN</v>
      </c>
      <c r="O25" s="13"/>
      <c r="P25" s="13">
        <v>678</v>
      </c>
      <c r="Q25" s="3">
        <f t="shared" si="2"/>
        <v>678</v>
      </c>
      <c r="R25" s="3">
        <f t="shared" si="3"/>
        <v>0</v>
      </c>
      <c r="S25" s="3">
        <f t="shared" si="4"/>
        <v>56784.010000000009</v>
      </c>
      <c r="T25" s="24"/>
      <c r="U25" s="24"/>
      <c r="V25" s="3"/>
      <c r="W25" s="19" t="str">
        <f>IFERROR(VLOOKUP(Banco_Nacion[[#This Row],[RESPONSABLE]],Clientes_Proveedores[[Ruc / Dni]:[Razon Social]],2,0),"")</f>
        <v>ANTILLA COPPER SOCIEDAD ANONIMA</v>
      </c>
      <c r="X25" s="19" t="str">
        <f>IF(Banco_Nacion[[#This Row],[TIPO DE MOV.]]="INGRESO",Banco_Nacion[[#This Row],[SERIE]]&amp;Banco_Nacion[[#This Row],[NUMERO]]&amp;Banco_Nacion[[#This Row],[RESPONSABLE]]&amp;Banco_Nacion[[#This Row],[MONTO ]],"")</f>
        <v>FE0149420603536569678</v>
      </c>
      <c r="Y2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63322344</v>
      </c>
      <c r="Z25" s="3"/>
      <c r="AA25" s="3"/>
      <c r="AB25" s="24" t="str">
        <f>IF(Banco_Nacion[[#This Row],[FECHA]]&gt;0,TEXT(Banco_Nacion[[#This Row],[FECHA]],"mmmm"),0)</f>
        <v>Enero</v>
      </c>
    </row>
    <row r="26" spans="2:28" x14ac:dyDescent="0.3">
      <c r="B26" s="2">
        <f>IF(Banco_Nacion[[#This Row],[TIPO DE R.]]="R",COUNTIFS($D$4:$D25,"R")+1,"")</f>
        <v>22</v>
      </c>
      <c r="C26" s="19" t="str">
        <f t="shared" si="0"/>
        <v>B-Banco de la Nacion</v>
      </c>
      <c r="D26" s="3" t="s">
        <v>1074</v>
      </c>
      <c r="E26" s="14">
        <v>45659</v>
      </c>
      <c r="F26" s="5">
        <v>20141637941</v>
      </c>
      <c r="G26" s="5" t="s">
        <v>1087</v>
      </c>
      <c r="H26" s="6" t="s">
        <v>368</v>
      </c>
      <c r="I26" s="6"/>
      <c r="J26" s="6" t="s">
        <v>1088</v>
      </c>
      <c r="K26" s="6">
        <v>453</v>
      </c>
      <c r="L26" s="7" t="s">
        <v>4290</v>
      </c>
      <c r="M26" s="8">
        <v>63230539</v>
      </c>
      <c r="N26" s="8" t="str">
        <f t="shared" si="1"/>
        <v>PEN</v>
      </c>
      <c r="O26" s="13"/>
      <c r="P26" s="13">
        <v>262</v>
      </c>
      <c r="Q26" s="3">
        <f t="shared" si="2"/>
        <v>262</v>
      </c>
      <c r="R26" s="3">
        <f t="shared" si="3"/>
        <v>0</v>
      </c>
      <c r="S26" s="3">
        <f t="shared" si="4"/>
        <v>57046.010000000009</v>
      </c>
      <c r="T26" s="24"/>
      <c r="U26" s="24"/>
      <c r="V26" s="3"/>
      <c r="W26" s="19" t="str">
        <f>IFERROR(VLOOKUP(Banco_Nacion[[#This Row],[RESPONSABLE]],Clientes_Proveedores[[Ruc / Dni]:[Razon Social]],2,0),"")</f>
        <v>UNIVERSIDAD CATOLICA DE SANTA MARIA</v>
      </c>
      <c r="X26" s="19" t="str">
        <f>IF(Banco_Nacion[[#This Row],[TIPO DE MOV.]]="INGRESO",Banco_Nacion[[#This Row],[SERIE]]&amp;Banco_Nacion[[#This Row],[NUMERO]]&amp;Banco_Nacion[[#This Row],[RESPONSABLE]]&amp;Banco_Nacion[[#This Row],[MONTO ]],"")</f>
        <v>FE0145320141637941262</v>
      </c>
      <c r="Y2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63230539</v>
      </c>
      <c r="Z26" s="3"/>
      <c r="AA26" s="3"/>
      <c r="AB26" s="24" t="str">
        <f>IF(Banco_Nacion[[#This Row],[FECHA]]&gt;0,TEXT(Banco_Nacion[[#This Row],[FECHA]],"mmmm"),0)</f>
        <v>Enero</v>
      </c>
    </row>
    <row r="27" spans="2:28" x14ac:dyDescent="0.3">
      <c r="B27" s="2">
        <f>IF(Banco_Nacion[[#This Row],[TIPO DE R.]]="R",COUNTIFS($D$4:$D26,"R")+1,"")</f>
        <v>23</v>
      </c>
      <c r="C27" s="19" t="str">
        <f t="shared" si="0"/>
        <v>B-Banco de la Nacion</v>
      </c>
      <c r="D27" s="3" t="s">
        <v>1074</v>
      </c>
      <c r="E27" s="14">
        <v>45660</v>
      </c>
      <c r="F27" s="5">
        <v>20419158462</v>
      </c>
      <c r="G27" s="5" t="s">
        <v>1087</v>
      </c>
      <c r="H27" s="6" t="s">
        <v>368</v>
      </c>
      <c r="I27" s="6" t="s">
        <v>14</v>
      </c>
      <c r="J27" s="6" t="s">
        <v>1088</v>
      </c>
      <c r="K27" s="6">
        <v>497</v>
      </c>
      <c r="L27" s="7" t="s">
        <v>4290</v>
      </c>
      <c r="M27" s="8">
        <v>63605573</v>
      </c>
      <c r="N27" s="8" t="str">
        <f t="shared" si="1"/>
        <v>PEN</v>
      </c>
      <c r="O27" s="13"/>
      <c r="P27" s="13">
        <v>368</v>
      </c>
      <c r="Q27" s="3">
        <f t="shared" si="2"/>
        <v>368</v>
      </c>
      <c r="R27" s="3">
        <f t="shared" si="3"/>
        <v>0</v>
      </c>
      <c r="S27" s="3">
        <f t="shared" si="4"/>
        <v>57414.010000000009</v>
      </c>
      <c r="T27" s="24"/>
      <c r="U27" s="24" t="s">
        <v>1081</v>
      </c>
      <c r="V27" s="3"/>
      <c r="W27" s="19" t="str">
        <f>IFERROR(VLOOKUP(Banco_Nacion[[#This Row],[RESPONSABLE]],Clientes_Proveedores[[Ruc / Dni]:[Razon Social]],2,0),"")</f>
        <v>GRANJA RINCONADA DEL SUR S.A.</v>
      </c>
      <c r="X27" s="19" t="str">
        <f>IF(Banco_Nacion[[#This Row],[TIPO DE MOV.]]="INGRESO",Banco_Nacion[[#This Row],[SERIE]]&amp;Banco_Nacion[[#This Row],[NUMERO]]&amp;Banco_Nacion[[#This Row],[RESPONSABLE]]&amp;Banco_Nacion[[#This Row],[MONTO ]],"")</f>
        <v>FE0149720419158462368</v>
      </c>
      <c r="Y2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63605573</v>
      </c>
      <c r="Z27" s="3"/>
      <c r="AA27" s="3"/>
      <c r="AB27" s="24" t="str">
        <f>IF(Banco_Nacion[[#This Row],[FECHA]]&gt;0,TEXT(Banco_Nacion[[#This Row],[FECHA]],"mmmm"),0)</f>
        <v>Enero</v>
      </c>
    </row>
    <row r="28" spans="2:28" x14ac:dyDescent="0.3">
      <c r="B28" s="2">
        <f>IF(Banco_Nacion[[#This Row],[TIPO DE R.]]="R",COUNTIFS($D$4:$D27,"R")+1,"")</f>
        <v>24</v>
      </c>
      <c r="C28" s="19" t="str">
        <f t="shared" si="0"/>
        <v>B-Banco de la Nacion</v>
      </c>
      <c r="D28" s="3" t="s">
        <v>1074</v>
      </c>
      <c r="E28" s="14">
        <v>45660</v>
      </c>
      <c r="F28" s="5">
        <v>20514133931</v>
      </c>
      <c r="G28" s="5" t="s">
        <v>1087</v>
      </c>
      <c r="H28" s="6" t="s">
        <v>368</v>
      </c>
      <c r="I28" s="6" t="s">
        <v>14</v>
      </c>
      <c r="J28" s="6" t="s">
        <v>1092</v>
      </c>
      <c r="K28" s="6">
        <v>112</v>
      </c>
      <c r="L28" s="7" t="s">
        <v>4290</v>
      </c>
      <c r="M28" s="8">
        <v>63572716</v>
      </c>
      <c r="N28" s="8" t="str">
        <f t="shared" si="1"/>
        <v>PEN</v>
      </c>
      <c r="O28" s="13"/>
      <c r="P28" s="13">
        <v>16</v>
      </c>
      <c r="Q28" s="3">
        <f t="shared" si="2"/>
        <v>16</v>
      </c>
      <c r="R28" s="3">
        <f t="shared" si="3"/>
        <v>0</v>
      </c>
      <c r="S28" s="3">
        <f t="shared" si="4"/>
        <v>57430.010000000009</v>
      </c>
      <c r="T28" s="24"/>
      <c r="U28" s="24" t="s">
        <v>1081</v>
      </c>
      <c r="V28" s="3"/>
      <c r="W28" s="19" t="str">
        <f>IFERROR(VLOOKUP(Banco_Nacion[[#This Row],[RESPONSABLE]],Clientes_Proveedores[[Ruc / Dni]:[Razon Social]],2,0),"")</f>
        <v>CORPORACION MEDIOAMBIENTAL AMPCO PERU SOCIEDAD ANONIMA CERRADA
- CM AMPCO PERU S.A.C</v>
      </c>
      <c r="X28" s="19" t="str">
        <f>IF(Banco_Nacion[[#This Row],[TIPO DE MOV.]]="INGRESO",Banco_Nacion[[#This Row],[SERIE]]&amp;Banco_Nacion[[#This Row],[NUMERO]]&amp;Banco_Nacion[[#This Row],[RESPONSABLE]]&amp;Banco_Nacion[[#This Row],[MONTO ]],"")</f>
        <v>FE051122051413393116</v>
      </c>
      <c r="Y2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63572716</v>
      </c>
      <c r="Z28" s="3"/>
      <c r="AA28" s="3"/>
      <c r="AB28" s="24" t="str">
        <f>IF(Banco_Nacion[[#This Row],[FECHA]]&gt;0,TEXT(Banco_Nacion[[#This Row],[FECHA]],"mmmm"),0)</f>
        <v>Enero</v>
      </c>
    </row>
    <row r="29" spans="2:28" x14ac:dyDescent="0.3">
      <c r="B29" s="2">
        <f>IF(Banco_Nacion[[#This Row],[TIPO DE R.]]="R",COUNTIFS($D$4:$D28,"R")+1,"")</f>
        <v>25</v>
      </c>
      <c r="C29" s="19" t="str">
        <f t="shared" si="0"/>
        <v>B-Banco de la Nacion</v>
      </c>
      <c r="D29" s="3" t="s">
        <v>1074</v>
      </c>
      <c r="E29" s="14">
        <v>45660</v>
      </c>
      <c r="F29" s="5">
        <v>20607388416</v>
      </c>
      <c r="G29" s="5" t="s">
        <v>1087</v>
      </c>
      <c r="H29" s="6" t="s">
        <v>368</v>
      </c>
      <c r="I29" s="6" t="s">
        <v>14</v>
      </c>
      <c r="J29" s="6" t="s">
        <v>1092</v>
      </c>
      <c r="K29" s="6">
        <v>110</v>
      </c>
      <c r="L29" s="7" t="s">
        <v>4290</v>
      </c>
      <c r="M29" s="8">
        <v>63552658</v>
      </c>
      <c r="N29" s="8" t="str">
        <f t="shared" si="1"/>
        <v>PEN</v>
      </c>
      <c r="O29" s="13"/>
      <c r="P29" s="13">
        <v>351</v>
      </c>
      <c r="Q29" s="3">
        <f t="shared" si="2"/>
        <v>351</v>
      </c>
      <c r="R29" s="3">
        <f t="shared" si="3"/>
        <v>0</v>
      </c>
      <c r="S29" s="3">
        <f t="shared" si="4"/>
        <v>57781.010000000009</v>
      </c>
      <c r="T29" s="24"/>
      <c r="U29" s="24" t="s">
        <v>1081</v>
      </c>
      <c r="V29" s="3"/>
      <c r="W29" s="19" t="str">
        <f>IFERROR(VLOOKUP(Banco_Nacion[[#This Row],[RESPONSABLE]],Clientes_Proveedores[[Ruc / Dni]:[Razon Social]],2,0),"")</f>
        <v>ALEACIONES FERROSAS Y METALICAS S.A.C.</v>
      </c>
      <c r="X29" s="19" t="str">
        <f>IF(Banco_Nacion[[#This Row],[TIPO DE MOV.]]="INGRESO",Banco_Nacion[[#This Row],[SERIE]]&amp;Banco_Nacion[[#This Row],[NUMERO]]&amp;Banco_Nacion[[#This Row],[RESPONSABLE]]&amp;Banco_Nacion[[#This Row],[MONTO ]],"")</f>
        <v>FE0511020607388416351</v>
      </c>
      <c r="Y2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63552658</v>
      </c>
      <c r="Z29" s="3"/>
      <c r="AA29" s="3"/>
      <c r="AB29" s="24" t="str">
        <f>IF(Banco_Nacion[[#This Row],[FECHA]]&gt;0,TEXT(Banco_Nacion[[#This Row],[FECHA]],"mmmm"),0)</f>
        <v>Enero</v>
      </c>
    </row>
    <row r="30" spans="2:28" x14ac:dyDescent="0.3">
      <c r="B30" s="2">
        <f>IF(Banco_Nacion[[#This Row],[TIPO DE R.]]="R",COUNTIFS($D$4:$D29,"R")+1,"")</f>
        <v>26</v>
      </c>
      <c r="C30" s="19" t="str">
        <f t="shared" si="0"/>
        <v>B-Banco de la Nacion</v>
      </c>
      <c r="D30" s="3" t="s">
        <v>1074</v>
      </c>
      <c r="E30" s="14">
        <v>45660</v>
      </c>
      <c r="F30" s="5">
        <v>20601119600</v>
      </c>
      <c r="G30" s="5" t="s">
        <v>1087</v>
      </c>
      <c r="H30" s="6" t="s">
        <v>368</v>
      </c>
      <c r="I30" s="6"/>
      <c r="J30" s="6" t="s">
        <v>1092</v>
      </c>
      <c r="K30" s="6">
        <v>117</v>
      </c>
      <c r="L30" s="7" t="s">
        <v>4290</v>
      </c>
      <c r="M30" s="8">
        <v>25541718</v>
      </c>
      <c r="N30" s="8" t="str">
        <f t="shared" si="1"/>
        <v>PEN</v>
      </c>
      <c r="O30" s="13"/>
      <c r="P30" s="13">
        <v>299</v>
      </c>
      <c r="Q30" s="3">
        <f t="shared" si="2"/>
        <v>299</v>
      </c>
      <c r="R30" s="3">
        <f t="shared" si="3"/>
        <v>0</v>
      </c>
      <c r="S30" s="3">
        <f t="shared" si="4"/>
        <v>58080.010000000009</v>
      </c>
      <c r="T30" s="24"/>
      <c r="U30" s="24"/>
      <c r="V30" s="3"/>
      <c r="W30" s="19" t="str">
        <f>IFERROR(VLOOKUP(Banco_Nacion[[#This Row],[RESPONSABLE]],Clientes_Proveedores[[Ruc / Dni]:[Razon Social]],2,0),"")</f>
        <v>INVERSIONES W.J.M. S.A.C.</v>
      </c>
      <c r="X30" s="19" t="str">
        <f>IF(Banco_Nacion[[#This Row],[TIPO DE MOV.]]="INGRESO",Banco_Nacion[[#This Row],[SERIE]]&amp;Banco_Nacion[[#This Row],[NUMERO]]&amp;Banco_Nacion[[#This Row],[RESPONSABLE]]&amp;Banco_Nacion[[#This Row],[MONTO ]],"")</f>
        <v>FE0511720601119600299</v>
      </c>
      <c r="Y3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25541718</v>
      </c>
      <c r="Z30" s="3"/>
      <c r="AA30" s="3"/>
      <c r="AB30" s="24" t="str">
        <f>IF(Banco_Nacion[[#This Row],[FECHA]]&gt;0,TEXT(Banco_Nacion[[#This Row],[FECHA]],"mmmm"),0)</f>
        <v>Enero</v>
      </c>
    </row>
    <row r="31" spans="2:28" x14ac:dyDescent="0.3">
      <c r="B31" s="2">
        <f>IF(Banco_Nacion[[#This Row],[TIPO DE R.]]="R",COUNTIFS($D$4:$D30,"R")+1,"")</f>
        <v>27</v>
      </c>
      <c r="C31" s="19" t="str">
        <f t="shared" si="0"/>
        <v>B-Banco de la Nacion</v>
      </c>
      <c r="D31" s="3" t="s">
        <v>1074</v>
      </c>
      <c r="E31" s="14">
        <v>45663</v>
      </c>
      <c r="F31" s="5">
        <v>20100211115</v>
      </c>
      <c r="G31" s="5" t="s">
        <v>1087</v>
      </c>
      <c r="H31" s="6" t="s">
        <v>368</v>
      </c>
      <c r="I31" s="6" t="s">
        <v>14</v>
      </c>
      <c r="J31" s="6" t="s">
        <v>1088</v>
      </c>
      <c r="K31" s="6">
        <v>477</v>
      </c>
      <c r="L31" s="7" t="s">
        <v>4290</v>
      </c>
      <c r="M31" s="8">
        <v>63835551</v>
      </c>
      <c r="N31" s="8" t="str">
        <f t="shared" si="1"/>
        <v>PEN</v>
      </c>
      <c r="O31" s="13"/>
      <c r="P31" s="13">
        <v>288</v>
      </c>
      <c r="Q31" s="3">
        <f t="shared" si="2"/>
        <v>288</v>
      </c>
      <c r="R31" s="3">
        <f t="shared" si="3"/>
        <v>0</v>
      </c>
      <c r="S31" s="3">
        <f t="shared" si="4"/>
        <v>58368.010000000009</v>
      </c>
      <c r="T31" s="24"/>
      <c r="U31" s="24" t="s">
        <v>1081</v>
      </c>
      <c r="V31" s="3"/>
      <c r="W31" s="19" t="str">
        <f>IFERROR(VLOOKUP(Banco_Nacion[[#This Row],[RESPONSABLE]],Clientes_Proveedores[[Ruc / Dni]:[Razon Social]],2,0),"")</f>
        <v>FAB DE CHOCOLATES LA IBERICA S.A.</v>
      </c>
      <c r="X31" s="19" t="str">
        <f>IF(Banco_Nacion[[#This Row],[TIPO DE MOV.]]="INGRESO",Banco_Nacion[[#This Row],[SERIE]]&amp;Banco_Nacion[[#This Row],[NUMERO]]&amp;Banco_Nacion[[#This Row],[RESPONSABLE]]&amp;Banco_Nacion[[#This Row],[MONTO ]],"")</f>
        <v>FE0147720100211115288</v>
      </c>
      <c r="Y3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63835551</v>
      </c>
      <c r="Z31" s="3"/>
      <c r="AA31" s="3"/>
      <c r="AB31" s="24" t="str">
        <f>IF(Banco_Nacion[[#This Row],[FECHA]]&gt;0,TEXT(Banco_Nacion[[#This Row],[FECHA]],"mmmm"),0)</f>
        <v>Enero</v>
      </c>
    </row>
    <row r="32" spans="2:28" x14ac:dyDescent="0.3">
      <c r="B32" s="2">
        <f>IF(Banco_Nacion[[#This Row],[TIPO DE R.]]="R",COUNTIFS($D$4:$D31,"R")+1,"")</f>
        <v>28</v>
      </c>
      <c r="C32" s="19" t="str">
        <f t="shared" si="0"/>
        <v>B-Banco de la Nacion</v>
      </c>
      <c r="D32" s="3" t="s">
        <v>1074</v>
      </c>
      <c r="E32" s="14">
        <v>45663</v>
      </c>
      <c r="F32" s="5">
        <v>20100211115</v>
      </c>
      <c r="G32" s="5" t="s">
        <v>1087</v>
      </c>
      <c r="H32" s="6" t="s">
        <v>368</v>
      </c>
      <c r="I32" s="6" t="s">
        <v>14</v>
      </c>
      <c r="J32" s="6" t="s">
        <v>1088</v>
      </c>
      <c r="K32" s="6">
        <v>478</v>
      </c>
      <c r="L32" s="7" t="s">
        <v>4290</v>
      </c>
      <c r="M32" s="8">
        <v>63835550</v>
      </c>
      <c r="N32" s="8" t="str">
        <f t="shared" si="1"/>
        <v>PEN</v>
      </c>
      <c r="O32" s="13"/>
      <c r="P32" s="13">
        <v>501</v>
      </c>
      <c r="Q32" s="3">
        <f t="shared" si="2"/>
        <v>501</v>
      </c>
      <c r="R32" s="3">
        <f t="shared" si="3"/>
        <v>0</v>
      </c>
      <c r="S32" s="3">
        <f t="shared" si="4"/>
        <v>58869.010000000009</v>
      </c>
      <c r="T32" s="24"/>
      <c r="U32" s="24" t="s">
        <v>1081</v>
      </c>
      <c r="V32" s="3"/>
      <c r="W32" s="19" t="str">
        <f>IFERROR(VLOOKUP(Banco_Nacion[[#This Row],[RESPONSABLE]],Clientes_Proveedores[[Ruc / Dni]:[Razon Social]],2,0),"")</f>
        <v>FAB DE CHOCOLATES LA IBERICA S.A.</v>
      </c>
      <c r="X32" s="19" t="str">
        <f>IF(Banco_Nacion[[#This Row],[TIPO DE MOV.]]="INGRESO",Banco_Nacion[[#This Row],[SERIE]]&amp;Banco_Nacion[[#This Row],[NUMERO]]&amp;Banco_Nacion[[#This Row],[RESPONSABLE]]&amp;Banco_Nacion[[#This Row],[MONTO ]],"")</f>
        <v>FE0147820100211115501</v>
      </c>
      <c r="Y3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63835550</v>
      </c>
      <c r="Z32" s="3"/>
      <c r="AA32" s="3"/>
      <c r="AB32" s="24" t="str">
        <f>IF(Banco_Nacion[[#This Row],[FECHA]]&gt;0,TEXT(Banco_Nacion[[#This Row],[FECHA]],"mmmm"),0)</f>
        <v>Enero</v>
      </c>
    </row>
    <row r="33" spans="2:28" x14ac:dyDescent="0.3">
      <c r="B33" s="2">
        <f>IF(Banco_Nacion[[#This Row],[TIPO DE R.]]="R",COUNTIFS($D$4:$D32,"R")+1,"")</f>
        <v>29</v>
      </c>
      <c r="C33" s="19" t="str">
        <f t="shared" si="0"/>
        <v>B-Banco de la Nacion</v>
      </c>
      <c r="D33" s="3" t="s">
        <v>1074</v>
      </c>
      <c r="E33" s="14">
        <v>45663</v>
      </c>
      <c r="F33" s="5">
        <v>20607388416</v>
      </c>
      <c r="G33" s="5" t="s">
        <v>1087</v>
      </c>
      <c r="H33" s="6" t="s">
        <v>368</v>
      </c>
      <c r="I33" s="6" t="s">
        <v>14</v>
      </c>
      <c r="J33" s="6" t="s">
        <v>1092</v>
      </c>
      <c r="K33" s="6">
        <v>116</v>
      </c>
      <c r="L33" s="7" t="s">
        <v>4290</v>
      </c>
      <c r="M33" s="8">
        <v>63767895</v>
      </c>
      <c r="N33" s="8" t="str">
        <f t="shared" si="1"/>
        <v>PEN</v>
      </c>
      <c r="O33" s="13"/>
      <c r="P33" s="13">
        <v>201</v>
      </c>
      <c r="Q33" s="3">
        <f t="shared" si="2"/>
        <v>201</v>
      </c>
      <c r="R33" s="3">
        <f t="shared" si="3"/>
        <v>0</v>
      </c>
      <c r="S33" s="3">
        <f t="shared" si="4"/>
        <v>59070.010000000009</v>
      </c>
      <c r="T33" s="24"/>
      <c r="U33" s="24" t="s">
        <v>1081</v>
      </c>
      <c r="V33" s="3"/>
      <c r="W33" s="19" t="str">
        <f>IFERROR(VLOOKUP(Banco_Nacion[[#This Row],[RESPONSABLE]],Clientes_Proveedores[[Ruc / Dni]:[Razon Social]],2,0),"")</f>
        <v>ALEACIONES FERROSAS Y METALICAS S.A.C.</v>
      </c>
      <c r="X33" s="19" t="str">
        <f>IF(Banco_Nacion[[#This Row],[TIPO DE MOV.]]="INGRESO",Banco_Nacion[[#This Row],[SERIE]]&amp;Banco_Nacion[[#This Row],[NUMERO]]&amp;Banco_Nacion[[#This Row],[RESPONSABLE]]&amp;Banco_Nacion[[#This Row],[MONTO ]],"")</f>
        <v>FE0511620607388416201</v>
      </c>
      <c r="Y3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63767895</v>
      </c>
      <c r="Z33" s="3"/>
      <c r="AA33" s="3"/>
      <c r="AB33" s="24" t="str">
        <f>IF(Banco_Nacion[[#This Row],[FECHA]]&gt;0,TEXT(Banco_Nacion[[#This Row],[FECHA]],"mmmm"),0)</f>
        <v>Enero</v>
      </c>
    </row>
    <row r="34" spans="2:28" x14ac:dyDescent="0.3">
      <c r="B34" s="2">
        <f>IF(Banco_Nacion[[#This Row],[TIPO DE R.]]="R",COUNTIFS($D$4:$D33,"R")+1,"")</f>
        <v>30</v>
      </c>
      <c r="C34" s="19" t="str">
        <f t="shared" si="0"/>
        <v>B-Banco de la Nacion</v>
      </c>
      <c r="D34" s="3" t="s">
        <v>1074</v>
      </c>
      <c r="E34" s="14">
        <v>45663</v>
      </c>
      <c r="F34" s="5">
        <v>20607388416</v>
      </c>
      <c r="G34" s="5" t="s">
        <v>1087</v>
      </c>
      <c r="H34" s="6" t="s">
        <v>368</v>
      </c>
      <c r="I34" s="6" t="s">
        <v>14</v>
      </c>
      <c r="J34" s="6" t="s">
        <v>1097</v>
      </c>
      <c r="K34" s="6">
        <v>160</v>
      </c>
      <c r="L34" s="7" t="s">
        <v>4290</v>
      </c>
      <c r="M34" s="8">
        <v>63758916</v>
      </c>
      <c r="N34" s="8" t="str">
        <f t="shared" si="1"/>
        <v>PEN</v>
      </c>
      <c r="O34" s="13"/>
      <c r="P34" s="13">
        <v>150</v>
      </c>
      <c r="Q34" s="3">
        <f t="shared" si="2"/>
        <v>150</v>
      </c>
      <c r="R34" s="3">
        <f t="shared" si="3"/>
        <v>0</v>
      </c>
      <c r="S34" s="3">
        <f t="shared" si="4"/>
        <v>59220.010000000009</v>
      </c>
      <c r="T34" s="24"/>
      <c r="U34" s="24" t="s">
        <v>1081</v>
      </c>
      <c r="V34" s="3"/>
      <c r="W34" s="19" t="str">
        <f>IFERROR(VLOOKUP(Banco_Nacion[[#This Row],[RESPONSABLE]],Clientes_Proveedores[[Ruc / Dni]:[Razon Social]],2,0),"")</f>
        <v>ALEACIONES FERROSAS Y METALICAS S.A.C.</v>
      </c>
      <c r="X34" s="19" t="str">
        <f>IF(Banco_Nacion[[#This Row],[TIPO DE MOV.]]="INGRESO",Banco_Nacion[[#This Row],[SERIE]]&amp;Banco_Nacion[[#This Row],[NUMERO]]&amp;Banco_Nacion[[#This Row],[RESPONSABLE]]&amp;Banco_Nacion[[#This Row],[MONTO ]],"")</f>
        <v>FE0216020607388416150</v>
      </c>
      <c r="Y3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63758916</v>
      </c>
      <c r="Z34" s="3"/>
      <c r="AA34" s="3"/>
      <c r="AB34" s="24" t="str">
        <f>IF(Banco_Nacion[[#This Row],[FECHA]]&gt;0,TEXT(Banco_Nacion[[#This Row],[FECHA]],"mmmm"),0)</f>
        <v>Enero</v>
      </c>
    </row>
    <row r="35" spans="2:28" x14ac:dyDescent="0.3">
      <c r="B35" s="2">
        <f>IF(Banco_Nacion[[#This Row],[TIPO DE R.]]="R",COUNTIFS($D$4:$D34,"R")+1,"")</f>
        <v>31</v>
      </c>
      <c r="C35" s="19" t="str">
        <f t="shared" si="0"/>
        <v>B-Banco de la Nacion</v>
      </c>
      <c r="D35" s="3" t="s">
        <v>1074</v>
      </c>
      <c r="E35" s="14">
        <v>45663</v>
      </c>
      <c r="F35" s="5">
        <v>20607388416</v>
      </c>
      <c r="G35" s="5" t="s">
        <v>1087</v>
      </c>
      <c r="H35" s="6" t="s">
        <v>368</v>
      </c>
      <c r="I35" s="6" t="s">
        <v>14</v>
      </c>
      <c r="J35" s="6" t="s">
        <v>1092</v>
      </c>
      <c r="K35" s="6">
        <v>111</v>
      </c>
      <c r="L35" s="7" t="s">
        <v>4290</v>
      </c>
      <c r="M35" s="8">
        <v>63751825</v>
      </c>
      <c r="N35" s="8" t="str">
        <f t="shared" si="1"/>
        <v>PEN</v>
      </c>
      <c r="O35" s="13"/>
      <c r="P35" s="13">
        <v>370</v>
      </c>
      <c r="Q35" s="3">
        <f t="shared" si="2"/>
        <v>370</v>
      </c>
      <c r="R35" s="3">
        <f t="shared" si="3"/>
        <v>0</v>
      </c>
      <c r="S35" s="3">
        <f t="shared" si="4"/>
        <v>59590.010000000009</v>
      </c>
      <c r="T35" s="24"/>
      <c r="U35" s="24" t="s">
        <v>1081</v>
      </c>
      <c r="V35" s="3"/>
      <c r="W35" s="19" t="str">
        <f>IFERROR(VLOOKUP(Banco_Nacion[[#This Row],[RESPONSABLE]],Clientes_Proveedores[[Ruc / Dni]:[Razon Social]],2,0),"")</f>
        <v>ALEACIONES FERROSAS Y METALICAS S.A.C.</v>
      </c>
      <c r="X35" s="19" t="str">
        <f>IF(Banco_Nacion[[#This Row],[TIPO DE MOV.]]="INGRESO",Banco_Nacion[[#This Row],[SERIE]]&amp;Banco_Nacion[[#This Row],[NUMERO]]&amp;Banco_Nacion[[#This Row],[RESPONSABLE]]&amp;Banco_Nacion[[#This Row],[MONTO ]],"")</f>
        <v>FE0511120607388416370</v>
      </c>
      <c r="Y3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63751825</v>
      </c>
      <c r="Z35" s="3"/>
      <c r="AA35" s="3"/>
      <c r="AB35" s="24" t="str">
        <f>IF(Banco_Nacion[[#This Row],[FECHA]]&gt;0,TEXT(Banco_Nacion[[#This Row],[FECHA]],"mmmm"),0)</f>
        <v>Enero</v>
      </c>
    </row>
    <row r="36" spans="2:28" x14ac:dyDescent="0.3">
      <c r="B36" s="2">
        <f>IF(Banco_Nacion[[#This Row],[TIPO DE R.]]="R",COUNTIFS($D$4:$D35,"R")+1,"")</f>
        <v>32</v>
      </c>
      <c r="C36" s="19" t="str">
        <f t="shared" si="0"/>
        <v>B-Banco de la Nacion</v>
      </c>
      <c r="D36" s="3" t="s">
        <v>1074</v>
      </c>
      <c r="E36" s="14">
        <v>45664</v>
      </c>
      <c r="F36" s="5">
        <v>20432552072</v>
      </c>
      <c r="G36" s="5" t="s">
        <v>1087</v>
      </c>
      <c r="H36" s="6" t="s">
        <v>368</v>
      </c>
      <c r="I36" s="6" t="s">
        <v>14</v>
      </c>
      <c r="J36" s="6" t="s">
        <v>1088</v>
      </c>
      <c r="K36" s="6">
        <v>498</v>
      </c>
      <c r="L36" s="7" t="s">
        <v>4290</v>
      </c>
      <c r="M36" s="8">
        <v>63943799</v>
      </c>
      <c r="N36" s="8" t="str">
        <f t="shared" si="1"/>
        <v>PEN</v>
      </c>
      <c r="O36" s="13"/>
      <c r="P36" s="13">
        <v>186</v>
      </c>
      <c r="Q36" s="3">
        <f t="shared" si="2"/>
        <v>186</v>
      </c>
      <c r="R36" s="3">
        <f t="shared" si="3"/>
        <v>0</v>
      </c>
      <c r="S36" s="3">
        <f t="shared" si="4"/>
        <v>59776.010000000009</v>
      </c>
      <c r="T36" s="24"/>
      <c r="U36" s="24" t="s">
        <v>1081</v>
      </c>
      <c r="V36" s="3"/>
      <c r="W36" s="19" t="str">
        <f>IFERROR(VLOOKUP(Banco_Nacion[[#This Row],[RESPONSABLE]],Clientes_Proveedores[[Ruc / Dni]:[Razon Social]],2,0),"")</f>
        <v>CARGO TRANSPORT S.A.C.</v>
      </c>
      <c r="X36" s="19" t="str">
        <f>IF(Banco_Nacion[[#This Row],[TIPO DE MOV.]]="INGRESO",Banco_Nacion[[#This Row],[SERIE]]&amp;Banco_Nacion[[#This Row],[NUMERO]]&amp;Banco_Nacion[[#This Row],[RESPONSABLE]]&amp;Banco_Nacion[[#This Row],[MONTO ]],"")</f>
        <v>FE0149820432552072186</v>
      </c>
      <c r="Y3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63943799</v>
      </c>
      <c r="Z36" s="3"/>
      <c r="AA36" s="3"/>
      <c r="AB36" s="24" t="str">
        <f>IF(Banco_Nacion[[#This Row],[FECHA]]&gt;0,TEXT(Banco_Nacion[[#This Row],[FECHA]],"mmmm"),0)</f>
        <v>Enero</v>
      </c>
    </row>
    <row r="37" spans="2:28" x14ac:dyDescent="0.3">
      <c r="B37" s="2">
        <f>IF(Banco_Nacion[[#This Row],[TIPO DE R.]]="R",COUNTIFS($D$4:$D36,"R")+1,"")</f>
        <v>33</v>
      </c>
      <c r="C37" s="19" t="str">
        <f t="shared" si="0"/>
        <v>B-Banco de la Nacion</v>
      </c>
      <c r="D37" s="3" t="s">
        <v>1074</v>
      </c>
      <c r="E37" s="14">
        <v>45664</v>
      </c>
      <c r="F37" s="5">
        <v>20454186002</v>
      </c>
      <c r="G37" s="5" t="s">
        <v>1087</v>
      </c>
      <c r="H37" s="6" t="s">
        <v>368</v>
      </c>
      <c r="I37" s="6" t="s">
        <v>14</v>
      </c>
      <c r="J37" s="6" t="s">
        <v>1088</v>
      </c>
      <c r="K37" s="6">
        <v>492</v>
      </c>
      <c r="L37" s="7" t="s">
        <v>4290</v>
      </c>
      <c r="M37" s="8">
        <v>63936683</v>
      </c>
      <c r="N37" s="8" t="str">
        <f t="shared" si="1"/>
        <v>PEN</v>
      </c>
      <c r="O37" s="13"/>
      <c r="P37" s="13">
        <v>184</v>
      </c>
      <c r="Q37" s="3">
        <f t="shared" si="2"/>
        <v>184</v>
      </c>
      <c r="R37" s="3">
        <f t="shared" si="3"/>
        <v>0</v>
      </c>
      <c r="S37" s="3">
        <f t="shared" si="4"/>
        <v>59960.010000000009</v>
      </c>
      <c r="T37" s="24"/>
      <c r="U37" s="24" t="s">
        <v>1081</v>
      </c>
      <c r="V37" s="3"/>
      <c r="W37" s="19" t="str">
        <f>IFERROR(VLOOKUP(Banco_Nacion[[#This Row],[RESPONSABLE]],Clientes_Proveedores[[Ruc / Dni]:[Razon Social]],2,0),"")</f>
        <v>ALSUR PERU S.A.C.</v>
      </c>
      <c r="X37" s="19" t="str">
        <f>IF(Banco_Nacion[[#This Row],[TIPO DE MOV.]]="INGRESO",Banco_Nacion[[#This Row],[SERIE]]&amp;Banco_Nacion[[#This Row],[NUMERO]]&amp;Banco_Nacion[[#This Row],[RESPONSABLE]]&amp;Banco_Nacion[[#This Row],[MONTO ]],"")</f>
        <v>FE0149220454186002184</v>
      </c>
      <c r="Y3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63936683</v>
      </c>
      <c r="Z37" s="3"/>
      <c r="AA37" s="3"/>
      <c r="AB37" s="24" t="str">
        <f>IF(Banco_Nacion[[#This Row],[FECHA]]&gt;0,TEXT(Banco_Nacion[[#This Row],[FECHA]],"mmmm"),0)</f>
        <v>Enero</v>
      </c>
    </row>
    <row r="38" spans="2:28" x14ac:dyDescent="0.3">
      <c r="B38" s="2">
        <f>IF(Banco_Nacion[[#This Row],[TIPO DE R.]]="R",COUNTIFS($D$4:$D37,"R")+1,"")</f>
        <v>34</v>
      </c>
      <c r="C38" s="19" t="str">
        <f t="shared" si="0"/>
        <v>B-Banco de la Nacion</v>
      </c>
      <c r="D38" s="3" t="s">
        <v>1074</v>
      </c>
      <c r="E38" s="14">
        <v>45664</v>
      </c>
      <c r="F38" s="5">
        <v>20454186002</v>
      </c>
      <c r="G38" s="5" t="s">
        <v>1087</v>
      </c>
      <c r="H38" s="6" t="s">
        <v>368</v>
      </c>
      <c r="I38" s="6" t="s">
        <v>14</v>
      </c>
      <c r="J38" s="6" t="s">
        <v>1088</v>
      </c>
      <c r="K38" s="6">
        <v>487</v>
      </c>
      <c r="L38" s="7" t="s">
        <v>4290</v>
      </c>
      <c r="M38" s="8">
        <v>63936682</v>
      </c>
      <c r="N38" s="8" t="str">
        <f t="shared" si="1"/>
        <v>PEN</v>
      </c>
      <c r="O38" s="13"/>
      <c r="P38" s="13">
        <v>466</v>
      </c>
      <c r="Q38" s="3">
        <f t="shared" si="2"/>
        <v>466</v>
      </c>
      <c r="R38" s="3">
        <f t="shared" si="3"/>
        <v>0</v>
      </c>
      <c r="S38" s="3">
        <f t="shared" si="4"/>
        <v>60426.010000000009</v>
      </c>
      <c r="T38" s="24"/>
      <c r="U38" s="24" t="s">
        <v>1081</v>
      </c>
      <c r="V38" s="3"/>
      <c r="W38" s="19" t="str">
        <f>IFERROR(VLOOKUP(Banco_Nacion[[#This Row],[RESPONSABLE]],Clientes_Proveedores[[Ruc / Dni]:[Razon Social]],2,0),"")</f>
        <v>ALSUR PERU S.A.C.</v>
      </c>
      <c r="X38" s="19" t="str">
        <f>IF(Banco_Nacion[[#This Row],[TIPO DE MOV.]]="INGRESO",Banco_Nacion[[#This Row],[SERIE]]&amp;Banco_Nacion[[#This Row],[NUMERO]]&amp;Banco_Nacion[[#This Row],[RESPONSABLE]]&amp;Banco_Nacion[[#This Row],[MONTO ]],"")</f>
        <v>FE0148720454186002466</v>
      </c>
      <c r="Y3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63936682</v>
      </c>
      <c r="Z38" s="3"/>
      <c r="AA38" s="3"/>
      <c r="AB38" s="24" t="str">
        <f>IF(Banco_Nacion[[#This Row],[FECHA]]&gt;0,TEXT(Banco_Nacion[[#This Row],[FECHA]],"mmmm"),0)</f>
        <v>Enero</v>
      </c>
    </row>
    <row r="39" spans="2:28" x14ac:dyDescent="0.3">
      <c r="B39" s="2">
        <f>IF(Banco_Nacion[[#This Row],[TIPO DE R.]]="R",COUNTIFS($D$4:$D38,"R")+1,"")</f>
        <v>35</v>
      </c>
      <c r="C39" s="19" t="str">
        <f t="shared" si="0"/>
        <v>B-Banco de la Nacion</v>
      </c>
      <c r="D39" s="3" t="s">
        <v>1074</v>
      </c>
      <c r="E39" s="14">
        <v>45665</v>
      </c>
      <c r="F39" s="5">
        <v>20100383919</v>
      </c>
      <c r="G39" s="5" t="s">
        <v>1087</v>
      </c>
      <c r="H39" s="6" t="s">
        <v>368</v>
      </c>
      <c r="I39" s="6" t="s">
        <v>14</v>
      </c>
      <c r="J39" s="6" t="s">
        <v>1088</v>
      </c>
      <c r="K39" s="6">
        <v>418</v>
      </c>
      <c r="L39" s="7" t="s">
        <v>4290</v>
      </c>
      <c r="M39" s="8">
        <v>64162588</v>
      </c>
      <c r="N39" s="8" t="str">
        <f t="shared" si="1"/>
        <v>PEN</v>
      </c>
      <c r="O39" s="13"/>
      <c r="P39" s="13">
        <v>252</v>
      </c>
      <c r="Q39" s="3">
        <f t="shared" si="2"/>
        <v>252</v>
      </c>
      <c r="R39" s="3">
        <f t="shared" si="3"/>
        <v>0</v>
      </c>
      <c r="S39" s="3">
        <f t="shared" si="4"/>
        <v>60678.010000000009</v>
      </c>
      <c r="T39" s="24"/>
      <c r="U39" s="24" t="s">
        <v>1081</v>
      </c>
      <c r="V39" s="3"/>
      <c r="W39" s="19" t="str">
        <f>IFERROR(VLOOKUP(Banco_Nacion[[#This Row],[RESPONSABLE]],Clientes_Proveedores[[Ruc / Dni]:[Razon Social]],2,0),"")</f>
        <v>STIERLIFT S.A.</v>
      </c>
      <c r="X39" s="19" t="str">
        <f>IF(Banco_Nacion[[#This Row],[TIPO DE MOV.]]="INGRESO",Banco_Nacion[[#This Row],[SERIE]]&amp;Banco_Nacion[[#This Row],[NUMERO]]&amp;Banco_Nacion[[#This Row],[RESPONSABLE]]&amp;Banco_Nacion[[#This Row],[MONTO ]],"")</f>
        <v>FE0141820100383919252</v>
      </c>
      <c r="Y3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64162588</v>
      </c>
      <c r="Z39" s="3"/>
      <c r="AA39" s="3"/>
      <c r="AB39" s="24" t="str">
        <f>IF(Banco_Nacion[[#This Row],[FECHA]]&gt;0,TEXT(Banco_Nacion[[#This Row],[FECHA]],"mmmm"),0)</f>
        <v>Enero</v>
      </c>
    </row>
    <row r="40" spans="2:28" x14ac:dyDescent="0.3">
      <c r="B40" s="2">
        <f>IF(Banco_Nacion[[#This Row],[TIPO DE R.]]="R",COUNTIFS($D$4:$D39,"R")+1,"")</f>
        <v>36</v>
      </c>
      <c r="C40" s="19" t="str">
        <f t="shared" si="0"/>
        <v>B-Banco de la Nacion</v>
      </c>
      <c r="D40" s="3" t="s">
        <v>1074</v>
      </c>
      <c r="E40" s="14">
        <v>45665</v>
      </c>
      <c r="F40" s="5">
        <v>20607388416</v>
      </c>
      <c r="G40" s="5" t="s">
        <v>1087</v>
      </c>
      <c r="H40" s="6" t="s">
        <v>368</v>
      </c>
      <c r="I40" s="6" t="s">
        <v>14</v>
      </c>
      <c r="J40" s="6" t="s">
        <v>1097</v>
      </c>
      <c r="K40" s="6">
        <v>161</v>
      </c>
      <c r="L40" s="7" t="s">
        <v>4290</v>
      </c>
      <c r="M40" s="8">
        <v>64087439</v>
      </c>
      <c r="N40" s="8" t="str">
        <f t="shared" si="1"/>
        <v>PEN</v>
      </c>
      <c r="O40" s="13"/>
      <c r="P40" s="13">
        <v>210</v>
      </c>
      <c r="Q40" s="3">
        <f t="shared" si="2"/>
        <v>210</v>
      </c>
      <c r="R40" s="3">
        <f t="shared" si="3"/>
        <v>0</v>
      </c>
      <c r="S40" s="3">
        <f t="shared" si="4"/>
        <v>60888.010000000009</v>
      </c>
      <c r="T40" s="24"/>
      <c r="U40" s="24" t="s">
        <v>1081</v>
      </c>
      <c r="V40" s="3"/>
      <c r="W40" s="19" t="str">
        <f>IFERROR(VLOOKUP(Banco_Nacion[[#This Row],[RESPONSABLE]],Clientes_Proveedores[[Ruc / Dni]:[Razon Social]],2,0),"")</f>
        <v>ALEACIONES FERROSAS Y METALICAS S.A.C.</v>
      </c>
      <c r="X40" s="19" t="str">
        <f>IF(Banco_Nacion[[#This Row],[TIPO DE MOV.]]="INGRESO",Banco_Nacion[[#This Row],[SERIE]]&amp;Banco_Nacion[[#This Row],[NUMERO]]&amp;Banco_Nacion[[#This Row],[RESPONSABLE]]&amp;Banco_Nacion[[#This Row],[MONTO ]],"")</f>
        <v>FE0216120607388416210</v>
      </c>
      <c r="Y4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64087439</v>
      </c>
      <c r="Z40" s="3"/>
      <c r="AA40" s="3"/>
      <c r="AB40" s="24" t="str">
        <f>IF(Banco_Nacion[[#This Row],[FECHA]]&gt;0,TEXT(Banco_Nacion[[#This Row],[FECHA]],"mmmm"),0)</f>
        <v>Enero</v>
      </c>
    </row>
    <row r="41" spans="2:28" x14ac:dyDescent="0.3">
      <c r="B41" s="2">
        <f>IF(Banco_Nacion[[#This Row],[TIPO DE R.]]="R",COUNTIFS($D$4:$D40,"R")+1,"")</f>
        <v>37</v>
      </c>
      <c r="C41" s="19" t="str">
        <f t="shared" si="0"/>
        <v>B-Banco de la Nacion</v>
      </c>
      <c r="D41" s="3" t="s">
        <v>1074</v>
      </c>
      <c r="E41" s="14">
        <v>45665</v>
      </c>
      <c r="F41" s="5">
        <v>20100235138</v>
      </c>
      <c r="G41" s="5" t="s">
        <v>1087</v>
      </c>
      <c r="H41" s="6" t="s">
        <v>368</v>
      </c>
      <c r="I41" s="6" t="s">
        <v>14</v>
      </c>
      <c r="J41" s="6" t="s">
        <v>1088</v>
      </c>
      <c r="K41" s="6">
        <v>479</v>
      </c>
      <c r="L41" s="7" t="s">
        <v>4290</v>
      </c>
      <c r="M41" s="8">
        <v>64055370</v>
      </c>
      <c r="N41" s="8" t="str">
        <f t="shared" si="1"/>
        <v>PEN</v>
      </c>
      <c r="O41" s="13"/>
      <c r="P41" s="13">
        <v>350</v>
      </c>
      <c r="Q41" s="3">
        <f t="shared" si="2"/>
        <v>350</v>
      </c>
      <c r="R41" s="3">
        <f t="shared" si="3"/>
        <v>0</v>
      </c>
      <c r="S41" s="3">
        <f t="shared" si="4"/>
        <v>61238.010000000009</v>
      </c>
      <c r="T41" s="24"/>
      <c r="U41" s="24" t="s">
        <v>1081</v>
      </c>
      <c r="V41" s="3"/>
      <c r="W41" s="19" t="str">
        <f>IFERROR(VLOOKUP(Banco_Nacion[[#This Row],[RESPONSABLE]],Clientes_Proveedores[[Ruc / Dni]:[Razon Social]],2,0),"")</f>
        <v>METALURGICA QUIMICA S.A.C.</v>
      </c>
      <c r="X41" s="19" t="str">
        <f>IF(Banco_Nacion[[#This Row],[TIPO DE MOV.]]="INGRESO",Banco_Nacion[[#This Row],[SERIE]]&amp;Banco_Nacion[[#This Row],[NUMERO]]&amp;Banco_Nacion[[#This Row],[RESPONSABLE]]&amp;Banco_Nacion[[#This Row],[MONTO ]],"")</f>
        <v>FE0147920100235138350</v>
      </c>
      <c r="Y4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64055370</v>
      </c>
      <c r="Z41" s="3"/>
      <c r="AA41" s="3"/>
      <c r="AB41" s="24" t="str">
        <f>IF(Banco_Nacion[[#This Row],[FECHA]]&gt;0,TEXT(Banco_Nacion[[#This Row],[FECHA]],"mmmm"),0)</f>
        <v>Enero</v>
      </c>
    </row>
    <row r="42" spans="2:28" x14ac:dyDescent="0.3">
      <c r="B42" s="2">
        <f>IF(Banco_Nacion[[#This Row],[TIPO DE R.]]="R",COUNTIFS($D$4:$D41,"R")+1,"")</f>
        <v>38</v>
      </c>
      <c r="C42" s="19" t="str">
        <f t="shared" si="0"/>
        <v>B-Banco de la Nacion</v>
      </c>
      <c r="D42" s="3" t="s">
        <v>1074</v>
      </c>
      <c r="E42" s="14">
        <v>45665</v>
      </c>
      <c r="F42" s="5">
        <v>20539610377</v>
      </c>
      <c r="G42" s="5" t="s">
        <v>1087</v>
      </c>
      <c r="H42" s="6" t="s">
        <v>368</v>
      </c>
      <c r="I42" s="6" t="s">
        <v>14</v>
      </c>
      <c r="J42" s="6" t="s">
        <v>1088</v>
      </c>
      <c r="K42" s="6">
        <v>461</v>
      </c>
      <c r="L42" s="7" t="s">
        <v>4291</v>
      </c>
      <c r="M42" s="8">
        <v>78788888</v>
      </c>
      <c r="N42" s="8" t="str">
        <f t="shared" si="1"/>
        <v>PEN</v>
      </c>
      <c r="O42" s="13"/>
      <c r="P42" s="13">
        <v>283</v>
      </c>
      <c r="Q42" s="3">
        <f t="shared" si="2"/>
        <v>283</v>
      </c>
      <c r="R42" s="3">
        <f t="shared" si="3"/>
        <v>0</v>
      </c>
      <c r="S42" s="3">
        <f t="shared" si="4"/>
        <v>61521.010000000009</v>
      </c>
      <c r="T42" s="24"/>
      <c r="U42" s="24" t="s">
        <v>1081</v>
      </c>
      <c r="V42" s="3"/>
      <c r="W42" s="19" t="str">
        <f>IFERROR(VLOOKUP(Banco_Nacion[[#This Row],[RESPONSABLE]],Clientes_Proveedores[[Ruc / Dni]:[Razon Social]],2,0),"")</f>
        <v>EFIMERA ARQUITECTOS E.I.R.L.</v>
      </c>
      <c r="X42" s="19" t="str">
        <f>IF(Banco_Nacion[[#This Row],[TIPO DE MOV.]]="INGRESO",Banco_Nacion[[#This Row],[SERIE]]&amp;Banco_Nacion[[#This Row],[NUMERO]]&amp;Banco_Nacion[[#This Row],[RESPONSABLE]]&amp;Banco_Nacion[[#This Row],[MONTO ]],"")</f>
        <v>FE0146120539610377283</v>
      </c>
      <c r="Y4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78788888</v>
      </c>
      <c r="Z42" s="3"/>
      <c r="AA42" s="3"/>
      <c r="AB42" s="24" t="str">
        <f>IF(Banco_Nacion[[#This Row],[FECHA]]&gt;0,TEXT(Banco_Nacion[[#This Row],[FECHA]],"mmmm"),0)</f>
        <v>Enero</v>
      </c>
    </row>
    <row r="43" spans="2:28" x14ac:dyDescent="0.3">
      <c r="B43" s="2">
        <f>IF(Banco_Nacion[[#This Row],[TIPO DE R.]]="R",COUNTIFS($D$4:$D42,"R")+1,"")</f>
        <v>39</v>
      </c>
      <c r="C43" s="19" t="str">
        <f t="shared" si="0"/>
        <v>B-Banco de la Nacion</v>
      </c>
      <c r="D43" s="3" t="s">
        <v>1074</v>
      </c>
      <c r="E43" s="14">
        <v>45666</v>
      </c>
      <c r="F43" s="5">
        <v>20121393736</v>
      </c>
      <c r="G43" s="5" t="s">
        <v>1087</v>
      </c>
      <c r="H43" s="6" t="s">
        <v>368</v>
      </c>
      <c r="I43" s="6" t="s">
        <v>14</v>
      </c>
      <c r="J43" s="6" t="s">
        <v>1088</v>
      </c>
      <c r="K43" s="6">
        <v>500</v>
      </c>
      <c r="L43" s="7" t="s">
        <v>4290</v>
      </c>
      <c r="M43" s="8">
        <v>64833646</v>
      </c>
      <c r="N43" s="8" t="str">
        <f t="shared" si="1"/>
        <v>PEN</v>
      </c>
      <c r="O43" s="13"/>
      <c r="P43" s="13">
        <v>145</v>
      </c>
      <c r="Q43" s="3">
        <f t="shared" si="2"/>
        <v>145</v>
      </c>
      <c r="R43" s="3">
        <f t="shared" si="3"/>
        <v>0</v>
      </c>
      <c r="S43" s="3">
        <f t="shared" si="4"/>
        <v>61666.010000000009</v>
      </c>
      <c r="T43" s="24"/>
      <c r="U43" s="24" t="s">
        <v>1081</v>
      </c>
      <c r="V43" s="3"/>
      <c r="W43" s="19" t="str">
        <f>IFERROR(VLOOKUP(Banco_Nacion[[#This Row],[RESPONSABLE]],Clientes_Proveedores[[Ruc / Dni]:[Razon Social]],2,0),"")</f>
        <v>EMPRESA YURA SRL</v>
      </c>
      <c r="X43" s="19" t="str">
        <f>IF(Banco_Nacion[[#This Row],[TIPO DE MOV.]]="INGRESO",Banco_Nacion[[#This Row],[SERIE]]&amp;Banco_Nacion[[#This Row],[NUMERO]]&amp;Banco_Nacion[[#This Row],[RESPONSABLE]]&amp;Banco_Nacion[[#This Row],[MONTO ]],"")</f>
        <v>FE0150020121393736145</v>
      </c>
      <c r="Y4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64833646</v>
      </c>
      <c r="Z43" s="3"/>
      <c r="AA43" s="3"/>
      <c r="AB43" s="24" t="str">
        <f>IF(Banco_Nacion[[#This Row],[FECHA]]&gt;0,TEXT(Banco_Nacion[[#This Row],[FECHA]],"mmmm"),0)</f>
        <v>Enero</v>
      </c>
    </row>
    <row r="44" spans="2:28" x14ac:dyDescent="0.3">
      <c r="B44" s="2">
        <f>IF(Banco_Nacion[[#This Row],[TIPO DE R.]]="R",COUNTIFS($D$4:$D43,"R")+1,"")</f>
        <v>40</v>
      </c>
      <c r="C44" s="19" t="str">
        <f t="shared" si="0"/>
        <v>B-Banco de la Nacion</v>
      </c>
      <c r="D44" s="3" t="s">
        <v>1074</v>
      </c>
      <c r="E44" s="14">
        <v>45666</v>
      </c>
      <c r="F44" s="5">
        <v>20121393736</v>
      </c>
      <c r="G44" s="5" t="s">
        <v>1087</v>
      </c>
      <c r="H44" s="6" t="s">
        <v>368</v>
      </c>
      <c r="I44" s="6" t="s">
        <v>14</v>
      </c>
      <c r="J44" s="6" t="s">
        <v>1088</v>
      </c>
      <c r="K44" s="6">
        <v>493</v>
      </c>
      <c r="L44" s="7" t="s">
        <v>4290</v>
      </c>
      <c r="M44" s="8">
        <v>64833639</v>
      </c>
      <c r="N44" s="8" t="str">
        <f t="shared" si="1"/>
        <v>PEN</v>
      </c>
      <c r="O44" s="13"/>
      <c r="P44" s="13">
        <v>119</v>
      </c>
      <c r="Q44" s="3">
        <f t="shared" si="2"/>
        <v>119</v>
      </c>
      <c r="R44" s="3">
        <f t="shared" si="3"/>
        <v>0</v>
      </c>
      <c r="S44" s="3">
        <f t="shared" si="4"/>
        <v>61785.010000000009</v>
      </c>
      <c r="T44" s="24"/>
      <c r="U44" s="24" t="s">
        <v>1081</v>
      </c>
      <c r="V44" s="3"/>
      <c r="W44" s="19" t="str">
        <f>IFERROR(VLOOKUP(Banco_Nacion[[#This Row],[RESPONSABLE]],Clientes_Proveedores[[Ruc / Dni]:[Razon Social]],2,0),"")</f>
        <v>EMPRESA YURA SRL</v>
      </c>
      <c r="X44" s="19" t="str">
        <f>IF(Banco_Nacion[[#This Row],[TIPO DE MOV.]]="INGRESO",Banco_Nacion[[#This Row],[SERIE]]&amp;Banco_Nacion[[#This Row],[NUMERO]]&amp;Banco_Nacion[[#This Row],[RESPONSABLE]]&amp;Banco_Nacion[[#This Row],[MONTO ]],"")</f>
        <v>FE0149320121393736119</v>
      </c>
      <c r="Y4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64833639</v>
      </c>
      <c r="Z44" s="3"/>
      <c r="AA44" s="3"/>
      <c r="AB44" s="24" t="str">
        <f>IF(Banco_Nacion[[#This Row],[FECHA]]&gt;0,TEXT(Banco_Nacion[[#This Row],[FECHA]],"mmmm"),0)</f>
        <v>Enero</v>
      </c>
    </row>
    <row r="45" spans="2:28" x14ac:dyDescent="0.3">
      <c r="B45" s="2">
        <f>IF(Banco_Nacion[[#This Row],[TIPO DE R.]]="R",COUNTIFS($D$4:$D44,"R")+1,"")</f>
        <v>41</v>
      </c>
      <c r="C45" s="19" t="str">
        <f t="shared" si="0"/>
        <v>B-Banco de la Nacion</v>
      </c>
      <c r="D45" s="3" t="s">
        <v>1074</v>
      </c>
      <c r="E45" s="14">
        <v>45666</v>
      </c>
      <c r="F45" s="5">
        <v>20514133931</v>
      </c>
      <c r="G45" s="5" t="s">
        <v>1087</v>
      </c>
      <c r="H45" s="6" t="s">
        <v>368</v>
      </c>
      <c r="I45" s="6" t="s">
        <v>14</v>
      </c>
      <c r="J45" s="6" t="s">
        <v>1097</v>
      </c>
      <c r="K45" s="6">
        <v>152</v>
      </c>
      <c r="L45" s="7" t="s">
        <v>4290</v>
      </c>
      <c r="M45" s="8">
        <v>64744689</v>
      </c>
      <c r="N45" s="8" t="str">
        <f t="shared" si="1"/>
        <v>PEN</v>
      </c>
      <c r="O45" s="13"/>
      <c r="P45" s="13">
        <v>319</v>
      </c>
      <c r="Q45" s="3">
        <f t="shared" si="2"/>
        <v>319</v>
      </c>
      <c r="R45" s="3">
        <f t="shared" si="3"/>
        <v>0</v>
      </c>
      <c r="S45" s="3">
        <f t="shared" si="4"/>
        <v>62104.010000000009</v>
      </c>
      <c r="T45" s="24"/>
      <c r="U45" s="24" t="s">
        <v>1081</v>
      </c>
      <c r="V45" s="3"/>
      <c r="W45" s="19" t="str">
        <f>IFERROR(VLOOKUP(Banco_Nacion[[#This Row],[RESPONSABLE]],Clientes_Proveedores[[Ruc / Dni]:[Razon Social]],2,0),"")</f>
        <v>CORPORACION MEDIOAMBIENTAL AMPCO PERU SOCIEDAD ANONIMA CERRADA
- CM AMPCO PERU S.A.C</v>
      </c>
      <c r="X45" s="19" t="str">
        <f>IF(Banco_Nacion[[#This Row],[TIPO DE MOV.]]="INGRESO",Banco_Nacion[[#This Row],[SERIE]]&amp;Banco_Nacion[[#This Row],[NUMERO]]&amp;Banco_Nacion[[#This Row],[RESPONSABLE]]&amp;Banco_Nacion[[#This Row],[MONTO ]],"")</f>
        <v>FE0215220514133931319</v>
      </c>
      <c r="Y4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64744689</v>
      </c>
      <c r="Z45" s="3"/>
      <c r="AA45" s="3"/>
      <c r="AB45" s="24" t="str">
        <f>IF(Banco_Nacion[[#This Row],[FECHA]]&gt;0,TEXT(Banco_Nacion[[#This Row],[FECHA]],"mmmm"),0)</f>
        <v>Enero</v>
      </c>
    </row>
    <row r="46" spans="2:28" x14ac:dyDescent="0.3">
      <c r="B46" s="2">
        <f>IF(Banco_Nacion[[#This Row],[TIPO DE R.]]="R",COUNTIFS($D$4:$D45,"R")+1,"")</f>
        <v>42</v>
      </c>
      <c r="C46" s="19" t="str">
        <f t="shared" si="0"/>
        <v>B-Banco de la Nacion</v>
      </c>
      <c r="D46" s="3" t="s">
        <v>1074</v>
      </c>
      <c r="E46" s="14">
        <v>45666</v>
      </c>
      <c r="F46" s="5">
        <v>20100199743</v>
      </c>
      <c r="G46" s="5" t="s">
        <v>1087</v>
      </c>
      <c r="H46" s="6" t="s">
        <v>368</v>
      </c>
      <c r="I46" s="6" t="s">
        <v>14</v>
      </c>
      <c r="J46" s="6" t="s">
        <v>1088</v>
      </c>
      <c r="K46" s="6">
        <v>464</v>
      </c>
      <c r="L46" s="7" t="s">
        <v>4290</v>
      </c>
      <c r="M46" s="8">
        <v>64659335</v>
      </c>
      <c r="N46" s="8" t="str">
        <f t="shared" si="1"/>
        <v>PEN</v>
      </c>
      <c r="O46" s="13"/>
      <c r="P46" s="13">
        <v>288</v>
      </c>
      <c r="Q46" s="3">
        <f t="shared" si="2"/>
        <v>288</v>
      </c>
      <c r="R46" s="3">
        <f t="shared" si="3"/>
        <v>0</v>
      </c>
      <c r="S46" s="3">
        <f t="shared" si="4"/>
        <v>62392.010000000009</v>
      </c>
      <c r="T46" s="24"/>
      <c r="U46" s="24" t="s">
        <v>1081</v>
      </c>
      <c r="V46" s="3"/>
      <c r="W46" s="19" t="str">
        <f>IFERROR(VLOOKUP(Banco_Nacion[[#This Row],[RESPONSABLE]],Clientes_Proveedores[[Ruc / Dni]:[Razon Social]],2,0),"")</f>
        <v>INCA TOPS S.A</v>
      </c>
      <c r="X46" s="19" t="str">
        <f>IF(Banco_Nacion[[#This Row],[TIPO DE MOV.]]="INGRESO",Banco_Nacion[[#This Row],[SERIE]]&amp;Banco_Nacion[[#This Row],[NUMERO]]&amp;Banco_Nacion[[#This Row],[RESPONSABLE]]&amp;Banco_Nacion[[#This Row],[MONTO ]],"")</f>
        <v>FE0146420100199743288</v>
      </c>
      <c r="Y4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64659335</v>
      </c>
      <c r="Z46" s="3"/>
      <c r="AA46" s="3"/>
      <c r="AB46" s="24" t="str">
        <f>IF(Banco_Nacion[[#This Row],[FECHA]]&gt;0,TEXT(Banco_Nacion[[#This Row],[FECHA]],"mmmm"),0)</f>
        <v>Enero</v>
      </c>
    </row>
    <row r="47" spans="2:28" x14ac:dyDescent="0.3">
      <c r="B47" s="2">
        <f>IF(Banco_Nacion[[#This Row],[TIPO DE R.]]="R",COUNTIFS($D$4:$D46,"R")+1,"")</f>
        <v>43</v>
      </c>
      <c r="C47" s="19" t="str">
        <f t="shared" si="0"/>
        <v>B-Banco de la Nacion</v>
      </c>
      <c r="D47" s="3" t="s">
        <v>1074</v>
      </c>
      <c r="E47" s="14">
        <v>45666</v>
      </c>
      <c r="F47" s="5">
        <v>20100199743</v>
      </c>
      <c r="G47" s="5" t="s">
        <v>1087</v>
      </c>
      <c r="H47" s="6" t="s">
        <v>368</v>
      </c>
      <c r="I47" s="6" t="s">
        <v>14</v>
      </c>
      <c r="J47" s="6" t="s">
        <v>1088</v>
      </c>
      <c r="K47" s="6">
        <v>480</v>
      </c>
      <c r="L47" s="7" t="s">
        <v>4290</v>
      </c>
      <c r="M47" s="8">
        <v>64659334</v>
      </c>
      <c r="N47" s="8" t="str">
        <f t="shared" si="1"/>
        <v>PEN</v>
      </c>
      <c r="O47" s="13"/>
      <c r="P47" s="13">
        <v>288</v>
      </c>
      <c r="Q47" s="3">
        <f t="shared" si="2"/>
        <v>288</v>
      </c>
      <c r="R47" s="3">
        <f t="shared" si="3"/>
        <v>0</v>
      </c>
      <c r="S47" s="3">
        <f t="shared" si="4"/>
        <v>62680.010000000009</v>
      </c>
      <c r="T47" s="24"/>
      <c r="U47" s="24" t="s">
        <v>1081</v>
      </c>
      <c r="V47" s="3"/>
      <c r="W47" s="19" t="str">
        <f>IFERROR(VLOOKUP(Banco_Nacion[[#This Row],[RESPONSABLE]],Clientes_Proveedores[[Ruc / Dni]:[Razon Social]],2,0),"")</f>
        <v>INCA TOPS S.A</v>
      </c>
      <c r="X47" s="19" t="str">
        <f>IF(Banco_Nacion[[#This Row],[TIPO DE MOV.]]="INGRESO",Banco_Nacion[[#This Row],[SERIE]]&amp;Banco_Nacion[[#This Row],[NUMERO]]&amp;Banco_Nacion[[#This Row],[RESPONSABLE]]&amp;Banco_Nacion[[#This Row],[MONTO ]],"")</f>
        <v>FE0148020100199743288</v>
      </c>
      <c r="Y4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64659334</v>
      </c>
      <c r="Z47" s="3"/>
      <c r="AA47" s="3"/>
      <c r="AB47" s="24" t="str">
        <f>IF(Banco_Nacion[[#This Row],[FECHA]]&gt;0,TEXT(Banco_Nacion[[#This Row],[FECHA]],"mmmm"),0)</f>
        <v>Enero</v>
      </c>
    </row>
    <row r="48" spans="2:28" x14ac:dyDescent="0.3">
      <c r="B48" s="2">
        <f>IF(Banco_Nacion[[#This Row],[TIPO DE R.]]="R",COUNTIFS($D$4:$D47,"R")+1,"")</f>
        <v>44</v>
      </c>
      <c r="C48" s="19" t="str">
        <f t="shared" si="0"/>
        <v>B-Banco de la Nacion</v>
      </c>
      <c r="D48" s="3" t="s">
        <v>1074</v>
      </c>
      <c r="E48" s="14">
        <v>45666</v>
      </c>
      <c r="F48" s="5">
        <v>20154639293</v>
      </c>
      <c r="G48" s="5" t="s">
        <v>1087</v>
      </c>
      <c r="H48" s="6" t="s">
        <v>368</v>
      </c>
      <c r="I48" s="6" t="s">
        <v>14</v>
      </c>
      <c r="J48" s="6" t="s">
        <v>1088</v>
      </c>
      <c r="K48" s="6">
        <v>484</v>
      </c>
      <c r="L48" s="7" t="s">
        <v>4290</v>
      </c>
      <c r="M48" s="8">
        <v>64537795</v>
      </c>
      <c r="N48" s="8" t="str">
        <f t="shared" si="1"/>
        <v>PEN</v>
      </c>
      <c r="O48" s="13"/>
      <c r="P48" s="13">
        <v>171</v>
      </c>
      <c r="Q48" s="3">
        <f t="shared" si="2"/>
        <v>171</v>
      </c>
      <c r="R48" s="3">
        <f t="shared" si="3"/>
        <v>0</v>
      </c>
      <c r="S48" s="3">
        <f t="shared" si="4"/>
        <v>62851.010000000009</v>
      </c>
      <c r="T48" s="24"/>
      <c r="U48" s="24" t="s">
        <v>1081</v>
      </c>
      <c r="V48" s="3"/>
      <c r="W48" s="19" t="str">
        <f>IFERROR(VLOOKUP(Banco_Nacion[[#This Row],[RESPONSABLE]],Clientes_Proveedores[[Ruc / Dni]:[Razon Social]],2,0),"")</f>
        <v>TECNIFLOW S.A.C.</v>
      </c>
      <c r="X48" s="19" t="str">
        <f>IF(Banco_Nacion[[#This Row],[TIPO DE MOV.]]="INGRESO",Banco_Nacion[[#This Row],[SERIE]]&amp;Banco_Nacion[[#This Row],[NUMERO]]&amp;Banco_Nacion[[#This Row],[RESPONSABLE]]&amp;Banco_Nacion[[#This Row],[MONTO ]],"")</f>
        <v>FE0148420154639293171</v>
      </c>
      <c r="Y4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64537795</v>
      </c>
      <c r="Z48" s="3"/>
      <c r="AA48" s="3"/>
      <c r="AB48" s="24" t="str">
        <f>IF(Banco_Nacion[[#This Row],[FECHA]]&gt;0,TEXT(Banco_Nacion[[#This Row],[FECHA]],"mmmm"),0)</f>
        <v>Enero</v>
      </c>
    </row>
    <row r="49" spans="2:28" x14ac:dyDescent="0.3">
      <c r="B49" s="2">
        <f>IF(Banco_Nacion[[#This Row],[TIPO DE R.]]="R",COUNTIFS($D$4:$D48,"R")+1,"")</f>
        <v>45</v>
      </c>
      <c r="C49" s="19" t="str">
        <f t="shared" si="0"/>
        <v>B-Banco de la Nacion</v>
      </c>
      <c r="D49" s="3" t="s">
        <v>1074</v>
      </c>
      <c r="E49" s="14">
        <v>45666</v>
      </c>
      <c r="F49" s="5">
        <v>20417573705</v>
      </c>
      <c r="G49" s="5" t="s">
        <v>1087</v>
      </c>
      <c r="H49" s="6" t="s">
        <v>368</v>
      </c>
      <c r="I49" s="6" t="s">
        <v>14</v>
      </c>
      <c r="J49" s="6" t="s">
        <v>1088</v>
      </c>
      <c r="K49" s="6">
        <v>448</v>
      </c>
      <c r="L49" s="7" t="s">
        <v>4290</v>
      </c>
      <c r="M49" s="8">
        <v>64520538</v>
      </c>
      <c r="N49" s="8" t="str">
        <f t="shared" si="1"/>
        <v>PEN</v>
      </c>
      <c r="O49" s="13"/>
      <c r="P49" s="13">
        <v>575</v>
      </c>
      <c r="Q49" s="3">
        <f t="shared" si="2"/>
        <v>575</v>
      </c>
      <c r="R49" s="3">
        <f t="shared" si="3"/>
        <v>0</v>
      </c>
      <c r="S49" s="3">
        <f t="shared" si="4"/>
        <v>63426.010000000009</v>
      </c>
      <c r="T49" s="24"/>
      <c r="U49" s="24"/>
      <c r="V49" s="3"/>
      <c r="W49" s="19" t="str">
        <f>IFERROR(VLOOKUP(Banco_Nacion[[#This Row],[RESPONSABLE]],Clientes_Proveedores[[Ruc / Dni]:[Razon Social]],2,0),"")</f>
        <v>TECNO FAST S.A.C.</v>
      </c>
      <c r="X49" s="19" t="str">
        <f>IF(Banco_Nacion[[#This Row],[TIPO DE MOV.]]="INGRESO",Banco_Nacion[[#This Row],[SERIE]]&amp;Banco_Nacion[[#This Row],[NUMERO]]&amp;Banco_Nacion[[#This Row],[RESPONSABLE]]&amp;Banco_Nacion[[#This Row],[MONTO ]],"")</f>
        <v>FE0144820417573705575</v>
      </c>
      <c r="Y4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64520538</v>
      </c>
      <c r="Z49" s="3"/>
      <c r="AA49" s="3"/>
      <c r="AB49" s="24" t="str">
        <f>IF(Banco_Nacion[[#This Row],[FECHA]]&gt;0,TEXT(Banco_Nacion[[#This Row],[FECHA]],"mmmm"),0)</f>
        <v>Enero</v>
      </c>
    </row>
    <row r="50" spans="2:28" x14ac:dyDescent="0.3">
      <c r="B50" s="2">
        <f>IF(Banco_Nacion[[#This Row],[TIPO DE R.]]="R",COUNTIFS($D$4:$D49,"R")+1,"")</f>
        <v>46</v>
      </c>
      <c r="C50" s="19" t="str">
        <f t="shared" si="0"/>
        <v>B-Banco de la Nacion</v>
      </c>
      <c r="D50" s="3" t="s">
        <v>1074</v>
      </c>
      <c r="E50" s="14">
        <v>45666</v>
      </c>
      <c r="F50" s="5">
        <v>20455825742</v>
      </c>
      <c r="G50" s="5" t="s">
        <v>1087</v>
      </c>
      <c r="H50" s="6" t="s">
        <v>368</v>
      </c>
      <c r="I50" s="6" t="s">
        <v>14</v>
      </c>
      <c r="J50" s="6" t="s">
        <v>1088</v>
      </c>
      <c r="K50" s="6">
        <v>411</v>
      </c>
      <c r="L50" s="7" t="s">
        <v>4290</v>
      </c>
      <c r="M50" s="8">
        <v>64438110</v>
      </c>
      <c r="N50" s="8" t="str">
        <f t="shared" si="1"/>
        <v>PEN</v>
      </c>
      <c r="O50" s="13"/>
      <c r="P50" s="13">
        <v>261</v>
      </c>
      <c r="Q50" s="3">
        <f t="shared" si="2"/>
        <v>261</v>
      </c>
      <c r="R50" s="3">
        <f t="shared" si="3"/>
        <v>0</v>
      </c>
      <c r="S50" s="3">
        <f t="shared" si="4"/>
        <v>63687.010000000009</v>
      </c>
      <c r="T50" s="24"/>
      <c r="U50" s="24" t="s">
        <v>1081</v>
      </c>
      <c r="V50" s="3"/>
      <c r="W50" s="19" t="str">
        <f>IFERROR(VLOOKUP(Banco_Nacion[[#This Row],[RESPONSABLE]],Clientes_Proveedores[[Ruc / Dni]:[Razon Social]],2,0),"")</f>
        <v>LIVIGUI PERU S.A.C.</v>
      </c>
      <c r="X50" s="19" t="str">
        <f>IF(Banco_Nacion[[#This Row],[TIPO DE MOV.]]="INGRESO",Banco_Nacion[[#This Row],[SERIE]]&amp;Banco_Nacion[[#This Row],[NUMERO]]&amp;Banco_Nacion[[#This Row],[RESPONSABLE]]&amp;Banco_Nacion[[#This Row],[MONTO ]],"")</f>
        <v>FE0141120455825742261</v>
      </c>
      <c r="Y5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64438110</v>
      </c>
      <c r="Z50" s="3"/>
      <c r="AA50" s="3"/>
      <c r="AB50" s="24" t="str">
        <f>IF(Banco_Nacion[[#This Row],[FECHA]]&gt;0,TEXT(Banco_Nacion[[#This Row],[FECHA]],"mmmm"),0)</f>
        <v>Enero</v>
      </c>
    </row>
    <row r="51" spans="2:28" x14ac:dyDescent="0.3">
      <c r="B51" s="2">
        <f>IF(Banco_Nacion[[#This Row],[TIPO DE R.]]="R",COUNTIFS($D$4:$D50,"R")+1,"")</f>
        <v>47</v>
      </c>
      <c r="C51" s="19" t="str">
        <f t="shared" si="0"/>
        <v>B-Banco de la Nacion</v>
      </c>
      <c r="D51" s="3" t="s">
        <v>1074</v>
      </c>
      <c r="E51" s="14">
        <v>45667</v>
      </c>
      <c r="F51" s="5">
        <v>20370146994</v>
      </c>
      <c r="G51" s="5" t="s">
        <v>1087</v>
      </c>
      <c r="H51" s="6" t="s">
        <v>368</v>
      </c>
      <c r="I51" s="6" t="s">
        <v>14</v>
      </c>
      <c r="J51" s="6" t="s">
        <v>1097</v>
      </c>
      <c r="K51" s="6">
        <v>173</v>
      </c>
      <c r="L51" s="7" t="s">
        <v>4290</v>
      </c>
      <c r="M51" s="8">
        <v>64953621</v>
      </c>
      <c r="N51" s="8" t="str">
        <f t="shared" si="1"/>
        <v>PEN</v>
      </c>
      <c r="O51" s="13"/>
      <c r="P51" s="13">
        <v>134</v>
      </c>
      <c r="Q51" s="3">
        <f t="shared" si="2"/>
        <v>134</v>
      </c>
      <c r="R51" s="3">
        <f t="shared" si="3"/>
        <v>0</v>
      </c>
      <c r="S51" s="3">
        <f t="shared" si="4"/>
        <v>63821.010000000009</v>
      </c>
      <c r="T51" s="24"/>
      <c r="U51" s="24" t="s">
        <v>1081</v>
      </c>
      <c r="V51" s="3"/>
      <c r="W51" s="19" t="str">
        <f>IFERROR(VLOOKUP(Banco_Nacion[[#This Row],[RESPONSABLE]],Clientes_Proveedores[[Ruc / Dni]:[Razon Social]],2,0),"")</f>
        <v>CORPORACION ACEROS AREQUIPA S.A</v>
      </c>
      <c r="X51" s="19" t="str">
        <f>IF(Banco_Nacion[[#This Row],[TIPO DE MOV.]]="INGRESO",Banco_Nacion[[#This Row],[SERIE]]&amp;Banco_Nacion[[#This Row],[NUMERO]]&amp;Banco_Nacion[[#This Row],[RESPONSABLE]]&amp;Banco_Nacion[[#This Row],[MONTO ]],"")</f>
        <v>FE0217320370146994134</v>
      </c>
      <c r="Y5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64953621</v>
      </c>
      <c r="Z51" s="3"/>
      <c r="AA51" s="3"/>
      <c r="AB51" s="24" t="str">
        <f>IF(Banco_Nacion[[#This Row],[FECHA]]&gt;0,TEXT(Banco_Nacion[[#This Row],[FECHA]],"mmmm"),0)</f>
        <v>Enero</v>
      </c>
    </row>
    <row r="52" spans="2:28" x14ac:dyDescent="0.3">
      <c r="B52" s="2">
        <f>IF(Banco_Nacion[[#This Row],[TIPO DE R.]]="R",COUNTIFS($D$4:$D51,"R")+1,"")</f>
        <v>48</v>
      </c>
      <c r="C52" s="19" t="str">
        <f t="shared" si="0"/>
        <v>B-Banco de la Nacion</v>
      </c>
      <c r="D52" s="3" t="s">
        <v>1074</v>
      </c>
      <c r="E52" s="14">
        <v>45667</v>
      </c>
      <c r="F52" s="5">
        <v>20606592494</v>
      </c>
      <c r="G52" s="5" t="s">
        <v>1087</v>
      </c>
      <c r="H52" s="6" t="s">
        <v>368</v>
      </c>
      <c r="I52" s="6" t="s">
        <v>14</v>
      </c>
      <c r="J52" s="6" t="s">
        <v>1097</v>
      </c>
      <c r="K52" s="6">
        <v>151</v>
      </c>
      <c r="L52" s="7" t="s">
        <v>4290</v>
      </c>
      <c r="M52" s="8">
        <v>64905221</v>
      </c>
      <c r="N52" s="8" t="str">
        <f t="shared" si="1"/>
        <v>PEN</v>
      </c>
      <c r="O52" s="13"/>
      <c r="P52" s="13">
        <v>3310</v>
      </c>
      <c r="Q52" s="3">
        <f t="shared" si="2"/>
        <v>3310</v>
      </c>
      <c r="R52" s="3">
        <f t="shared" si="3"/>
        <v>0</v>
      </c>
      <c r="S52" s="3">
        <f t="shared" si="4"/>
        <v>67131.010000000009</v>
      </c>
      <c r="T52" s="24"/>
      <c r="U52" s="24"/>
      <c r="V52" s="3"/>
      <c r="W52" s="19" t="str">
        <f>IFERROR(VLOOKUP(Banco_Nacion[[#This Row],[RESPONSABLE]],Clientes_Proveedores[[Ruc / Dni]:[Razon Social]],2,0),"")</f>
        <v>RESIGRALE S.R.L.</v>
      </c>
      <c r="X52" s="19" t="str">
        <f>IF(Banco_Nacion[[#This Row],[TIPO DE MOV.]]="INGRESO",Banco_Nacion[[#This Row],[SERIE]]&amp;Banco_Nacion[[#This Row],[NUMERO]]&amp;Banco_Nacion[[#This Row],[RESPONSABLE]]&amp;Banco_Nacion[[#This Row],[MONTO ]],"")</f>
        <v>FE02151206065924943310</v>
      </c>
      <c r="Y5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64905221</v>
      </c>
      <c r="Z52" s="3"/>
      <c r="AA52" s="3"/>
      <c r="AB52" s="24" t="str">
        <f>IF(Banco_Nacion[[#This Row],[FECHA]]&gt;0,TEXT(Banco_Nacion[[#This Row],[FECHA]],"mmmm"),0)</f>
        <v>Enero</v>
      </c>
    </row>
    <row r="53" spans="2:28" x14ac:dyDescent="0.3">
      <c r="B53" s="2">
        <f>IF(Banco_Nacion[[#This Row],[TIPO DE R.]]="R",COUNTIFS($D$4:$D52,"R")+1,"")</f>
        <v>49</v>
      </c>
      <c r="C53" s="19" t="str">
        <f t="shared" si="0"/>
        <v>B-Banco de la Nacion</v>
      </c>
      <c r="D53" s="3" t="s">
        <v>1074</v>
      </c>
      <c r="E53" s="14">
        <v>45667</v>
      </c>
      <c r="F53" s="5">
        <v>20161541991</v>
      </c>
      <c r="G53" s="5" t="s">
        <v>1087</v>
      </c>
      <c r="H53" s="6" t="s">
        <v>368</v>
      </c>
      <c r="I53" s="6" t="s">
        <v>14</v>
      </c>
      <c r="J53" s="6" t="s">
        <v>1088</v>
      </c>
      <c r="K53" s="6">
        <v>466</v>
      </c>
      <c r="L53" s="7" t="s">
        <v>4290</v>
      </c>
      <c r="M53" s="8">
        <v>64891501</v>
      </c>
      <c r="N53" s="8" t="str">
        <f t="shared" si="1"/>
        <v>PEN</v>
      </c>
      <c r="O53" s="13"/>
      <c r="P53" s="13">
        <v>148</v>
      </c>
      <c r="Q53" s="3">
        <f t="shared" si="2"/>
        <v>148</v>
      </c>
      <c r="R53" s="3">
        <f t="shared" si="3"/>
        <v>0</v>
      </c>
      <c r="S53" s="3">
        <f t="shared" si="4"/>
        <v>67279.010000000009</v>
      </c>
      <c r="T53" s="24"/>
      <c r="U53" s="24" t="s">
        <v>1081</v>
      </c>
      <c r="V53" s="3"/>
      <c r="W53" s="19" t="str">
        <f>IFERROR(VLOOKUP(Banco_Nacion[[#This Row],[RESPONSABLE]],Clientes_Proveedores[[Ruc / Dni]:[Razon Social]],2,0),"")</f>
        <v>ASOCIACION TECSUP N° 2</v>
      </c>
      <c r="X53" s="19" t="str">
        <f>IF(Banco_Nacion[[#This Row],[TIPO DE MOV.]]="INGRESO",Banco_Nacion[[#This Row],[SERIE]]&amp;Banco_Nacion[[#This Row],[NUMERO]]&amp;Banco_Nacion[[#This Row],[RESPONSABLE]]&amp;Banco_Nacion[[#This Row],[MONTO ]],"")</f>
        <v>FE0146620161541991148</v>
      </c>
      <c r="Y5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64891501</v>
      </c>
      <c r="Z53" s="3"/>
      <c r="AA53" s="3"/>
      <c r="AB53" s="24" t="str">
        <f>IF(Banco_Nacion[[#This Row],[FECHA]]&gt;0,TEXT(Banco_Nacion[[#This Row],[FECHA]],"mmmm"),0)</f>
        <v>Enero</v>
      </c>
    </row>
    <row r="54" spans="2:28" x14ac:dyDescent="0.3">
      <c r="B54" s="2">
        <f>IF(Banco_Nacion[[#This Row],[TIPO DE R.]]="R",COUNTIFS($D$4:$D53,"R")+1,"")</f>
        <v>50</v>
      </c>
      <c r="C54" s="19" t="str">
        <f t="shared" si="0"/>
        <v>B-Banco de la Nacion</v>
      </c>
      <c r="D54" s="3" t="s">
        <v>1074</v>
      </c>
      <c r="E54" s="14">
        <v>45667</v>
      </c>
      <c r="F54" s="5">
        <v>20496535066</v>
      </c>
      <c r="G54" s="5" t="s">
        <v>1087</v>
      </c>
      <c r="H54" s="6" t="s">
        <v>368</v>
      </c>
      <c r="I54" s="6" t="s">
        <v>14</v>
      </c>
      <c r="J54" s="6" t="s">
        <v>1088</v>
      </c>
      <c r="K54" s="6">
        <v>454</v>
      </c>
      <c r="L54" s="7" t="s">
        <v>4290</v>
      </c>
      <c r="M54" s="8">
        <v>25723909</v>
      </c>
      <c r="N54" s="8" t="str">
        <f t="shared" si="1"/>
        <v>PEN</v>
      </c>
      <c r="O54" s="13"/>
      <c r="P54" s="13">
        <v>115</v>
      </c>
      <c r="Q54" s="3">
        <f t="shared" si="2"/>
        <v>115</v>
      </c>
      <c r="R54" s="3">
        <f t="shared" si="3"/>
        <v>0</v>
      </c>
      <c r="S54" s="3">
        <f t="shared" si="4"/>
        <v>67394.010000000009</v>
      </c>
      <c r="T54" s="24"/>
      <c r="U54" s="24" t="s">
        <v>1081</v>
      </c>
      <c r="V54" s="3"/>
      <c r="W54" s="19" t="str">
        <f>IFERROR(VLOOKUP(Banco_Nacion[[#This Row],[RESPONSABLE]],Clientes_Proveedores[[Ruc / Dni]:[Razon Social]],2,0),"")</f>
        <v>CORP.ELECTROMECANICA EN ING.Y CONSTR.SAC</v>
      </c>
      <c r="X54" s="19" t="str">
        <f>IF(Banco_Nacion[[#This Row],[TIPO DE MOV.]]="INGRESO",Banco_Nacion[[#This Row],[SERIE]]&amp;Banco_Nacion[[#This Row],[NUMERO]]&amp;Banco_Nacion[[#This Row],[RESPONSABLE]]&amp;Banco_Nacion[[#This Row],[MONTO ]],"")</f>
        <v>FE0145420496535066115</v>
      </c>
      <c r="Y5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25723909</v>
      </c>
      <c r="Z54" s="3"/>
      <c r="AA54" s="3"/>
      <c r="AB54" s="24" t="str">
        <f>IF(Banco_Nacion[[#This Row],[FECHA]]&gt;0,TEXT(Banco_Nacion[[#This Row],[FECHA]],"mmmm"),0)</f>
        <v>Enero</v>
      </c>
    </row>
    <row r="55" spans="2:28" x14ac:dyDescent="0.3">
      <c r="B55" s="2">
        <f>IF(Banco_Nacion[[#This Row],[TIPO DE R.]]="R",COUNTIFS($D$4:$D54,"R")+1,"")</f>
        <v>51</v>
      </c>
      <c r="C55" s="19" t="str">
        <f t="shared" si="0"/>
        <v>B-Banco de la Nacion</v>
      </c>
      <c r="D55" s="3" t="s">
        <v>1074</v>
      </c>
      <c r="E55" s="14">
        <v>45667</v>
      </c>
      <c r="F55" s="5">
        <v>20496535066</v>
      </c>
      <c r="G55" s="5" t="s">
        <v>1087</v>
      </c>
      <c r="H55" s="6" t="s">
        <v>368</v>
      </c>
      <c r="I55" s="6" t="s">
        <v>14</v>
      </c>
      <c r="J55" s="6" t="s">
        <v>1088</v>
      </c>
      <c r="K55" s="6">
        <v>455</v>
      </c>
      <c r="L55" s="7" t="s">
        <v>4290</v>
      </c>
      <c r="M55" s="8">
        <v>25723906</v>
      </c>
      <c r="N55" s="8" t="str">
        <f t="shared" si="1"/>
        <v>PEN</v>
      </c>
      <c r="O55" s="13"/>
      <c r="P55" s="13">
        <v>106</v>
      </c>
      <c r="Q55" s="3">
        <f t="shared" si="2"/>
        <v>106</v>
      </c>
      <c r="R55" s="3">
        <f t="shared" si="3"/>
        <v>0</v>
      </c>
      <c r="S55" s="3">
        <f t="shared" si="4"/>
        <v>67500.010000000009</v>
      </c>
      <c r="T55" s="24"/>
      <c r="U55" s="24" t="s">
        <v>1081</v>
      </c>
      <c r="V55" s="3"/>
      <c r="W55" s="19" t="str">
        <f>IFERROR(VLOOKUP(Banco_Nacion[[#This Row],[RESPONSABLE]],Clientes_Proveedores[[Ruc / Dni]:[Razon Social]],2,0),"")</f>
        <v>CORP.ELECTROMECANICA EN ING.Y CONSTR.SAC</v>
      </c>
      <c r="X55" s="19" t="str">
        <f>IF(Banco_Nacion[[#This Row],[TIPO DE MOV.]]="INGRESO",Banco_Nacion[[#This Row],[SERIE]]&amp;Banco_Nacion[[#This Row],[NUMERO]]&amp;Banco_Nacion[[#This Row],[RESPONSABLE]]&amp;Banco_Nacion[[#This Row],[MONTO ]],"")</f>
        <v>FE0145520496535066106</v>
      </c>
      <c r="Y5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25723906</v>
      </c>
      <c r="Z55" s="3"/>
      <c r="AA55" s="3"/>
      <c r="AB55" s="24" t="str">
        <f>IF(Banco_Nacion[[#This Row],[FECHA]]&gt;0,TEXT(Banco_Nacion[[#This Row],[FECHA]],"mmmm"),0)</f>
        <v>Enero</v>
      </c>
    </row>
    <row r="56" spans="2:28" x14ac:dyDescent="0.3">
      <c r="B56" s="2">
        <f>IF(Banco_Nacion[[#This Row],[TIPO DE R.]]="R",COUNTIFS($D$4:$D55,"R")+1,"")</f>
        <v>52</v>
      </c>
      <c r="C56" s="19" t="str">
        <f t="shared" si="0"/>
        <v>B-Banco de la Nacion</v>
      </c>
      <c r="D56" s="3" t="s">
        <v>1074</v>
      </c>
      <c r="E56" s="14">
        <v>45667</v>
      </c>
      <c r="F56" s="5">
        <v>20601119600</v>
      </c>
      <c r="G56" s="5" t="s">
        <v>1087</v>
      </c>
      <c r="H56" s="6" t="s">
        <v>368</v>
      </c>
      <c r="I56" s="6" t="s">
        <v>14</v>
      </c>
      <c r="J56" s="6" t="s">
        <v>1092</v>
      </c>
      <c r="K56" s="6">
        <v>45</v>
      </c>
      <c r="L56" s="7" t="s">
        <v>4290</v>
      </c>
      <c r="M56" s="8">
        <v>25687244</v>
      </c>
      <c r="N56" s="8" t="str">
        <f t="shared" si="1"/>
        <v>PEN</v>
      </c>
      <c r="O56" s="13"/>
      <c r="P56" s="13">
        <v>244</v>
      </c>
      <c r="Q56" s="3">
        <f t="shared" si="2"/>
        <v>244</v>
      </c>
      <c r="R56" s="3">
        <f t="shared" si="3"/>
        <v>0</v>
      </c>
      <c r="S56" s="3">
        <f t="shared" si="4"/>
        <v>67744.010000000009</v>
      </c>
      <c r="T56" s="24"/>
      <c r="U56" s="24" t="s">
        <v>1081</v>
      </c>
      <c r="V56" s="3"/>
      <c r="W56" s="19" t="str">
        <f>IFERROR(VLOOKUP(Banco_Nacion[[#This Row],[RESPONSABLE]],Clientes_Proveedores[[Ruc / Dni]:[Razon Social]],2,0),"")</f>
        <v>INVERSIONES W.J.M. S.A.C.</v>
      </c>
      <c r="X56" s="19" t="str">
        <f>IF(Banco_Nacion[[#This Row],[TIPO DE MOV.]]="INGRESO",Banco_Nacion[[#This Row],[SERIE]]&amp;Banco_Nacion[[#This Row],[NUMERO]]&amp;Banco_Nacion[[#This Row],[RESPONSABLE]]&amp;Banco_Nacion[[#This Row],[MONTO ]],"")</f>
        <v>FE054520601119600244</v>
      </c>
      <c r="Y5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25687244</v>
      </c>
      <c r="Z56" s="3"/>
      <c r="AA56" s="3"/>
      <c r="AB56" s="24" t="str">
        <f>IF(Banco_Nacion[[#This Row],[FECHA]]&gt;0,TEXT(Banco_Nacion[[#This Row],[FECHA]],"mmmm"),0)</f>
        <v>Enero</v>
      </c>
    </row>
    <row r="57" spans="2:28" x14ac:dyDescent="0.3">
      <c r="B57" s="2">
        <f>IF(Banco_Nacion[[#This Row],[TIPO DE R.]]="R",COUNTIFS($D$4:$D56,"R")+1,"")</f>
        <v>53</v>
      </c>
      <c r="C57" s="19" t="str">
        <f t="shared" si="0"/>
        <v>B-Banco de la Nacion</v>
      </c>
      <c r="D57" s="3" t="s">
        <v>1074</v>
      </c>
      <c r="E57" s="14">
        <v>45671</v>
      </c>
      <c r="F57" s="5">
        <v>20603536569</v>
      </c>
      <c r="G57" s="5" t="s">
        <v>1087</v>
      </c>
      <c r="H57" s="6" t="s">
        <v>368</v>
      </c>
      <c r="I57" s="6" t="s">
        <v>14</v>
      </c>
      <c r="J57" s="6" t="s">
        <v>1088</v>
      </c>
      <c r="K57" s="6">
        <v>330</v>
      </c>
      <c r="L57" s="7" t="s">
        <v>4290</v>
      </c>
      <c r="M57" s="8">
        <v>65053701</v>
      </c>
      <c r="N57" s="8" t="str">
        <f t="shared" si="1"/>
        <v>PEN</v>
      </c>
      <c r="O57" s="13"/>
      <c r="P57" s="13">
        <v>916</v>
      </c>
      <c r="Q57" s="3">
        <f t="shared" si="2"/>
        <v>916</v>
      </c>
      <c r="R57" s="3">
        <f t="shared" si="3"/>
        <v>0</v>
      </c>
      <c r="S57" s="3">
        <f t="shared" si="4"/>
        <v>68660.010000000009</v>
      </c>
      <c r="T57" s="24"/>
      <c r="U57" s="24" t="s">
        <v>1081</v>
      </c>
      <c r="V57" s="3"/>
      <c r="W57" s="19" t="str">
        <f>IFERROR(VLOOKUP(Banco_Nacion[[#This Row],[RESPONSABLE]],Clientes_Proveedores[[Ruc / Dni]:[Razon Social]],2,0),"")</f>
        <v>ANTILLA COPPER SOCIEDAD ANONIMA</v>
      </c>
      <c r="X57" s="19" t="str">
        <f>IF(Banco_Nacion[[#This Row],[TIPO DE MOV.]]="INGRESO",Banco_Nacion[[#This Row],[SERIE]]&amp;Banco_Nacion[[#This Row],[NUMERO]]&amp;Banco_Nacion[[#This Row],[RESPONSABLE]]&amp;Banco_Nacion[[#This Row],[MONTO ]],"")</f>
        <v>FE0133020603536569916</v>
      </c>
      <c r="Y5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65053701</v>
      </c>
      <c r="Z57" s="3"/>
      <c r="AA57" s="3"/>
      <c r="AB57" s="24" t="str">
        <f>IF(Banco_Nacion[[#This Row],[FECHA]]&gt;0,TEXT(Banco_Nacion[[#This Row],[FECHA]],"mmmm"),0)</f>
        <v>Enero</v>
      </c>
    </row>
    <row r="58" spans="2:28" x14ac:dyDescent="0.3">
      <c r="B58" s="2">
        <f>IF(Banco_Nacion[[#This Row],[TIPO DE R.]]="R",COUNTIFS($D$4:$D57,"R")+1,"")</f>
        <v>54</v>
      </c>
      <c r="C58" s="19" t="str">
        <f t="shared" si="0"/>
        <v>B-Banco de la Nacion</v>
      </c>
      <c r="D58" s="3" t="s">
        <v>1074</v>
      </c>
      <c r="E58" s="14">
        <v>45673</v>
      </c>
      <c r="F58" s="5">
        <v>20553255709</v>
      </c>
      <c r="G58" s="5" t="s">
        <v>1087</v>
      </c>
      <c r="H58" s="6" t="s">
        <v>368</v>
      </c>
      <c r="I58" s="6" t="s">
        <v>14</v>
      </c>
      <c r="J58" s="6" t="s">
        <v>1088</v>
      </c>
      <c r="K58" s="6">
        <v>408</v>
      </c>
      <c r="L58" s="7" t="s">
        <v>4290</v>
      </c>
      <c r="M58" s="8">
        <v>65175942</v>
      </c>
      <c r="N58" s="8" t="str">
        <f t="shared" si="1"/>
        <v>PEN</v>
      </c>
      <c r="O58" s="13"/>
      <c r="P58" s="13">
        <v>83</v>
      </c>
      <c r="Q58" s="3">
        <f t="shared" si="2"/>
        <v>83</v>
      </c>
      <c r="R58" s="3">
        <f t="shared" si="3"/>
        <v>0</v>
      </c>
      <c r="S58" s="3">
        <f t="shared" si="4"/>
        <v>68743.010000000009</v>
      </c>
      <c r="T58" s="24"/>
      <c r="U58" s="24" t="s">
        <v>1081</v>
      </c>
      <c r="V58" s="3"/>
      <c r="W58" s="19" t="str">
        <f>IFERROR(VLOOKUP(Banco_Nacion[[#This Row],[RESPONSABLE]],Clientes_Proveedores[[Ruc / Dni]:[Razon Social]],2,0),"")</f>
        <v>KANAY S.A.C.</v>
      </c>
      <c r="X58" s="19" t="str">
        <f>IF(Banco_Nacion[[#This Row],[TIPO DE MOV.]]="INGRESO",Banco_Nacion[[#This Row],[SERIE]]&amp;Banco_Nacion[[#This Row],[NUMERO]]&amp;Banco_Nacion[[#This Row],[RESPONSABLE]]&amp;Banco_Nacion[[#This Row],[MONTO ]],"")</f>
        <v>FE014082055325570983</v>
      </c>
      <c r="Y5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65175942</v>
      </c>
      <c r="Z58" s="3"/>
      <c r="AA58" s="3"/>
      <c r="AB58" s="24" t="str">
        <f>IF(Banco_Nacion[[#This Row],[FECHA]]&gt;0,TEXT(Banco_Nacion[[#This Row],[FECHA]],"mmmm"),0)</f>
        <v>Enero</v>
      </c>
    </row>
    <row r="59" spans="2:28" x14ac:dyDescent="0.3">
      <c r="B59" s="2">
        <f>IF(Banco_Nacion[[#This Row],[TIPO DE R.]]="R",COUNTIFS($D$4:$D58,"R")+1,"")</f>
        <v>55</v>
      </c>
      <c r="C59" s="19" t="str">
        <f t="shared" si="0"/>
        <v>B-Banco de la Nacion</v>
      </c>
      <c r="D59" s="3" t="s">
        <v>1074</v>
      </c>
      <c r="E59" s="14">
        <v>45677</v>
      </c>
      <c r="F59" s="5">
        <v>20100172543</v>
      </c>
      <c r="G59" s="5" t="s">
        <v>1087</v>
      </c>
      <c r="H59" s="6" t="s">
        <v>368</v>
      </c>
      <c r="I59" s="6" t="s">
        <v>14</v>
      </c>
      <c r="J59" s="6" t="s">
        <v>1088</v>
      </c>
      <c r="K59" s="6">
        <v>502</v>
      </c>
      <c r="L59" s="7" t="s">
        <v>4290</v>
      </c>
      <c r="M59" s="8">
        <v>65334495</v>
      </c>
      <c r="N59" s="8" t="str">
        <f t="shared" si="1"/>
        <v>PEN</v>
      </c>
      <c r="O59" s="13"/>
      <c r="P59" s="13">
        <v>136</v>
      </c>
      <c r="Q59" s="3">
        <f t="shared" si="2"/>
        <v>136</v>
      </c>
      <c r="R59" s="3">
        <f t="shared" si="3"/>
        <v>0</v>
      </c>
      <c r="S59" s="3">
        <f t="shared" si="4"/>
        <v>68879.010000000009</v>
      </c>
      <c r="T59" s="24"/>
      <c r="U59" s="24" t="s">
        <v>1081</v>
      </c>
      <c r="V59" s="3"/>
      <c r="W59" s="19" t="str">
        <f>IFERROR(VLOOKUP(Banco_Nacion[[#This Row],[RESPONSABLE]],Clientes_Proveedores[[Ruc / Dni]:[Razon Social]],2,0),"")</f>
        <v>MOVITECNICA S A</v>
      </c>
      <c r="X59" s="19" t="str">
        <f>IF(Banco_Nacion[[#This Row],[TIPO DE MOV.]]="INGRESO",Banco_Nacion[[#This Row],[SERIE]]&amp;Banco_Nacion[[#This Row],[NUMERO]]&amp;Banco_Nacion[[#This Row],[RESPONSABLE]]&amp;Banco_Nacion[[#This Row],[MONTO ]],"")</f>
        <v>FE0150220100172543136</v>
      </c>
      <c r="Y5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65334495</v>
      </c>
      <c r="Z59" s="3"/>
      <c r="AA59" s="3"/>
      <c r="AB59" s="24" t="str">
        <f>IF(Banco_Nacion[[#This Row],[FECHA]]&gt;0,TEXT(Banco_Nacion[[#This Row],[FECHA]],"mmmm"),0)</f>
        <v>Enero</v>
      </c>
    </row>
    <row r="60" spans="2:28" x14ac:dyDescent="0.3">
      <c r="B60" s="2">
        <f>IF(Banco_Nacion[[#This Row],[TIPO DE R.]]="R",COUNTIFS($D$4:$D59,"R")+1,"")</f>
        <v>56</v>
      </c>
      <c r="C60" s="19" t="str">
        <f t="shared" si="0"/>
        <v>B-Banco de la Nacion</v>
      </c>
      <c r="D60" s="3" t="s">
        <v>1074</v>
      </c>
      <c r="E60" s="14">
        <v>45678</v>
      </c>
      <c r="F60" s="5">
        <v>20370146994</v>
      </c>
      <c r="G60" s="5" t="s">
        <v>1087</v>
      </c>
      <c r="H60" s="6" t="s">
        <v>368</v>
      </c>
      <c r="I60" s="6" t="s">
        <v>14</v>
      </c>
      <c r="J60" s="6" t="s">
        <v>1097</v>
      </c>
      <c r="K60" s="6">
        <v>180</v>
      </c>
      <c r="L60" s="7" t="s">
        <v>4290</v>
      </c>
      <c r="M60" s="8">
        <v>65437646</v>
      </c>
      <c r="N60" s="8" t="str">
        <f t="shared" si="1"/>
        <v>PEN</v>
      </c>
      <c r="O60" s="13"/>
      <c r="P60" s="13">
        <v>685</v>
      </c>
      <c r="Q60" s="3">
        <f t="shared" si="2"/>
        <v>685</v>
      </c>
      <c r="R60" s="3">
        <f t="shared" si="3"/>
        <v>0</v>
      </c>
      <c r="S60" s="3">
        <f t="shared" si="4"/>
        <v>69564.010000000009</v>
      </c>
      <c r="T60" s="24"/>
      <c r="U60" s="24" t="s">
        <v>1081</v>
      </c>
      <c r="V60" s="3"/>
      <c r="W60" s="19" t="str">
        <f>IFERROR(VLOOKUP(Banco_Nacion[[#This Row],[RESPONSABLE]],Clientes_Proveedores[[Ruc / Dni]:[Razon Social]],2,0),"")</f>
        <v>CORPORACION ACEROS AREQUIPA S.A</v>
      </c>
      <c r="X60" s="19" t="str">
        <f>IF(Banco_Nacion[[#This Row],[TIPO DE MOV.]]="INGRESO",Banco_Nacion[[#This Row],[SERIE]]&amp;Banco_Nacion[[#This Row],[NUMERO]]&amp;Banco_Nacion[[#This Row],[RESPONSABLE]]&amp;Banco_Nacion[[#This Row],[MONTO ]],"")</f>
        <v>FE0218020370146994685</v>
      </c>
      <c r="Y6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65437646</v>
      </c>
      <c r="Z60" s="3"/>
      <c r="AA60" s="3"/>
      <c r="AB60" s="24" t="str">
        <f>IF(Banco_Nacion[[#This Row],[FECHA]]&gt;0,TEXT(Banco_Nacion[[#This Row],[FECHA]],"mmmm"),0)</f>
        <v>Enero</v>
      </c>
    </row>
    <row r="61" spans="2:28" x14ac:dyDescent="0.3">
      <c r="B61" s="2">
        <f>IF(Banco_Nacion[[#This Row],[TIPO DE R.]]="R",COUNTIFS($D$4:$D60,"R")+1,"")</f>
        <v>57</v>
      </c>
      <c r="C61" s="19" t="str">
        <f t="shared" si="0"/>
        <v>B-Banco de la Nacion</v>
      </c>
      <c r="D61" s="3" t="s">
        <v>1074</v>
      </c>
      <c r="E61" s="14">
        <v>45678</v>
      </c>
      <c r="F61" s="5">
        <v>20454377011</v>
      </c>
      <c r="G61" s="5" t="s">
        <v>1087</v>
      </c>
      <c r="H61" s="6" t="s">
        <v>368</v>
      </c>
      <c r="I61" s="6" t="s">
        <v>14</v>
      </c>
      <c r="J61" s="6" t="s">
        <v>1088</v>
      </c>
      <c r="K61" s="6">
        <v>172</v>
      </c>
      <c r="L61" s="7" t="s">
        <v>4290</v>
      </c>
      <c r="M61" s="8">
        <v>65395438</v>
      </c>
      <c r="N61" s="8" t="str">
        <f t="shared" si="1"/>
        <v>PEN</v>
      </c>
      <c r="O61" s="13"/>
      <c r="P61" s="13">
        <v>122</v>
      </c>
      <c r="Q61" s="3">
        <f t="shared" si="2"/>
        <v>122</v>
      </c>
      <c r="R61" s="3">
        <f t="shared" si="3"/>
        <v>0</v>
      </c>
      <c r="S61" s="3">
        <f t="shared" si="4"/>
        <v>69686.010000000009</v>
      </c>
      <c r="T61" s="24"/>
      <c r="U61" s="24" t="s">
        <v>1081</v>
      </c>
      <c r="V61" s="3"/>
      <c r="W61" s="19" t="str">
        <f>IFERROR(VLOOKUP(Banco_Nacion[[#This Row],[RESPONSABLE]],Clientes_Proveedores[[Ruc / Dni]:[Razon Social]],2,0),"")</f>
        <v>ROHA CONSTRUCCION Y MINERIA S.A.C.</v>
      </c>
      <c r="X61" s="19" t="str">
        <f>IF(Banco_Nacion[[#This Row],[TIPO DE MOV.]]="INGRESO",Banco_Nacion[[#This Row],[SERIE]]&amp;Banco_Nacion[[#This Row],[NUMERO]]&amp;Banco_Nacion[[#This Row],[RESPONSABLE]]&amp;Banco_Nacion[[#This Row],[MONTO ]],"")</f>
        <v>FE0117220454377011122</v>
      </c>
      <c r="Y6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65395438</v>
      </c>
      <c r="Z61" s="3"/>
      <c r="AA61" s="3"/>
      <c r="AB61" s="24" t="str">
        <f>IF(Banco_Nacion[[#This Row],[FECHA]]&gt;0,TEXT(Banco_Nacion[[#This Row],[FECHA]],"mmmm"),0)</f>
        <v>Enero</v>
      </c>
    </row>
    <row r="62" spans="2:28" x14ac:dyDescent="0.3">
      <c r="B62" s="2">
        <f>IF(Banco_Nacion[[#This Row],[TIPO DE R.]]="R",COUNTIFS($D$4:$D61,"R")+1,"")</f>
        <v>58</v>
      </c>
      <c r="C62" s="19" t="str">
        <f t="shared" si="0"/>
        <v>B-Banco de la Nacion</v>
      </c>
      <c r="D62" s="3" t="s">
        <v>1074</v>
      </c>
      <c r="E62" s="14">
        <v>45678</v>
      </c>
      <c r="F62" s="5">
        <v>20558698048</v>
      </c>
      <c r="G62" s="5" t="s">
        <v>1087</v>
      </c>
      <c r="H62" s="6" t="s">
        <v>368</v>
      </c>
      <c r="I62" s="6" t="s">
        <v>14</v>
      </c>
      <c r="J62" s="6" t="s">
        <v>1097</v>
      </c>
      <c r="K62" s="6">
        <v>168</v>
      </c>
      <c r="L62" s="7" t="s">
        <v>4291</v>
      </c>
      <c r="M62" s="8">
        <v>78788888</v>
      </c>
      <c r="N62" s="8" t="str">
        <f t="shared" si="1"/>
        <v>PEN</v>
      </c>
      <c r="O62" s="13"/>
      <c r="P62" s="13">
        <v>122</v>
      </c>
      <c r="Q62" s="3">
        <f t="shared" si="2"/>
        <v>122</v>
      </c>
      <c r="R62" s="3">
        <f t="shared" si="3"/>
        <v>0</v>
      </c>
      <c r="S62" s="3">
        <f t="shared" si="4"/>
        <v>69808.010000000009</v>
      </c>
      <c r="T62" s="24"/>
      <c r="U62" s="24" t="s">
        <v>1081</v>
      </c>
      <c r="V62" s="3"/>
      <c r="W62" s="19" t="str">
        <f>IFERROR(VLOOKUP(Banco_Nacion[[#This Row],[RESPONSABLE]],Clientes_Proveedores[[Ruc / Dni]:[Razon Social]],2,0),"")</f>
        <v xml:space="preserve">J&amp;R FAST CARGO E.I.R.L. </v>
      </c>
      <c r="X62" s="19" t="str">
        <f>IF(Banco_Nacion[[#This Row],[TIPO DE MOV.]]="INGRESO",Banco_Nacion[[#This Row],[SERIE]]&amp;Banco_Nacion[[#This Row],[NUMERO]]&amp;Banco_Nacion[[#This Row],[RESPONSABLE]]&amp;Banco_Nacion[[#This Row],[MONTO ]],"")</f>
        <v>FE0216820558698048122</v>
      </c>
      <c r="Y6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78788888</v>
      </c>
      <c r="Z62" s="3"/>
      <c r="AA62" s="3"/>
      <c r="AB62" s="24" t="str">
        <f>IF(Banco_Nacion[[#This Row],[FECHA]]&gt;0,TEXT(Banco_Nacion[[#This Row],[FECHA]],"mmmm"),0)</f>
        <v>Enero</v>
      </c>
    </row>
    <row r="63" spans="2:28" x14ac:dyDescent="0.3">
      <c r="B63" s="2">
        <f>IF(Banco_Nacion[[#This Row],[TIPO DE R.]]="R",COUNTIFS($D$4:$D62,"R")+1,"")</f>
        <v>59</v>
      </c>
      <c r="C63" s="19" t="str">
        <f t="shared" si="0"/>
        <v>B-Banco de la Nacion</v>
      </c>
      <c r="D63" s="3" t="s">
        <v>1074</v>
      </c>
      <c r="E63" s="14">
        <v>45679</v>
      </c>
      <c r="F63" s="5">
        <v>20505675836</v>
      </c>
      <c r="G63" s="5" t="s">
        <v>1087</v>
      </c>
      <c r="H63" s="6" t="s">
        <v>368</v>
      </c>
      <c r="I63" s="6" t="s">
        <v>14</v>
      </c>
      <c r="J63" s="6" t="s">
        <v>1088</v>
      </c>
      <c r="K63" s="6">
        <v>486</v>
      </c>
      <c r="L63" s="7" t="s">
        <v>4290</v>
      </c>
      <c r="M63" s="8">
        <v>65475360</v>
      </c>
      <c r="N63" s="8" t="str">
        <f t="shared" si="1"/>
        <v>PEN</v>
      </c>
      <c r="O63" s="13"/>
      <c r="P63" s="13">
        <v>112</v>
      </c>
      <c r="Q63" s="3">
        <f t="shared" si="2"/>
        <v>112</v>
      </c>
      <c r="R63" s="3">
        <f t="shared" si="3"/>
        <v>0</v>
      </c>
      <c r="S63" s="3">
        <f t="shared" si="4"/>
        <v>69920.010000000009</v>
      </c>
      <c r="T63" s="24"/>
      <c r="U63" s="24" t="s">
        <v>1081</v>
      </c>
      <c r="V63" s="3"/>
      <c r="W63" s="19" t="str">
        <f>IFERROR(VLOOKUP(Banco_Nacion[[#This Row],[RESPONSABLE]],Clientes_Proveedores[[Ruc / Dni]:[Razon Social]],2,0),"")</f>
        <v>FLSMIDTH S.A.C.</v>
      </c>
      <c r="X63" s="19" t="str">
        <f>IF(Banco_Nacion[[#This Row],[TIPO DE MOV.]]="INGRESO",Banco_Nacion[[#This Row],[SERIE]]&amp;Banco_Nacion[[#This Row],[NUMERO]]&amp;Banco_Nacion[[#This Row],[RESPONSABLE]]&amp;Banco_Nacion[[#This Row],[MONTO ]],"")</f>
        <v>FE0148620505675836112</v>
      </c>
      <c r="Y6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65475360</v>
      </c>
      <c r="Z63" s="3"/>
      <c r="AA63" s="3"/>
      <c r="AB63" s="24" t="str">
        <f>IF(Banco_Nacion[[#This Row],[FECHA]]&gt;0,TEXT(Banco_Nacion[[#This Row],[FECHA]],"mmmm"),0)</f>
        <v>Enero</v>
      </c>
    </row>
    <row r="64" spans="2:28" x14ac:dyDescent="0.3">
      <c r="B64" s="2">
        <f>IF(Banco_Nacion[[#This Row],[TIPO DE R.]]="R",COUNTIFS($D$4:$D63,"R")+1,"")</f>
        <v>60</v>
      </c>
      <c r="C64" s="19" t="str">
        <f t="shared" si="0"/>
        <v>B-Banco de la Nacion</v>
      </c>
      <c r="D64" s="3" t="s">
        <v>1074</v>
      </c>
      <c r="E64" s="14">
        <v>45679</v>
      </c>
      <c r="F64" s="5"/>
      <c r="G64" s="5" t="s">
        <v>1079</v>
      </c>
      <c r="H64" s="6"/>
      <c r="I64" s="6"/>
      <c r="J64" s="6" t="s">
        <v>4289</v>
      </c>
      <c r="K64" s="6"/>
      <c r="L64" s="7" t="s">
        <v>4292</v>
      </c>
      <c r="M64" s="8">
        <v>78787878</v>
      </c>
      <c r="N64" s="8" t="str">
        <f t="shared" si="1"/>
        <v>PEN</v>
      </c>
      <c r="O64" s="13"/>
      <c r="P64" s="13">
        <v>7603</v>
      </c>
      <c r="Q64" s="3">
        <f t="shared" si="2"/>
        <v>0</v>
      </c>
      <c r="R64" s="3">
        <f t="shared" si="3"/>
        <v>7603</v>
      </c>
      <c r="S64" s="3">
        <f t="shared" si="4"/>
        <v>62317.010000000009</v>
      </c>
      <c r="T64" s="24"/>
      <c r="U64" s="24"/>
      <c r="V64" s="3"/>
      <c r="W64" s="19" t="str">
        <f>IFERROR(VLOOKUP(Banco_Nacion[[#This Row],[RESPONSABLE]],Clientes_Proveedores[[Ruc / Dni]:[Razon Social]],2,0),"")</f>
        <v/>
      </c>
      <c r="X6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4" s="3"/>
      <c r="AA64" s="3"/>
      <c r="AB64" s="24" t="str">
        <f>IF(Banco_Nacion[[#This Row],[FECHA]]&gt;0,TEXT(Banco_Nacion[[#This Row],[FECHA]],"mmmm"),0)</f>
        <v>Enero</v>
      </c>
    </row>
    <row r="65" spans="2:28" x14ac:dyDescent="0.3">
      <c r="B65" s="2">
        <f>IF(Banco_Nacion[[#This Row],[TIPO DE R.]]="R",COUNTIFS($D$4:$D64,"R")+1,"")</f>
        <v>61</v>
      </c>
      <c r="C65" s="19" t="str">
        <f t="shared" si="0"/>
        <v>B-Banco de la Nacion</v>
      </c>
      <c r="D65" s="3" t="s">
        <v>1074</v>
      </c>
      <c r="E65" s="14">
        <v>45679</v>
      </c>
      <c r="F65" s="5"/>
      <c r="G65" s="5" t="s">
        <v>1079</v>
      </c>
      <c r="H65" s="6"/>
      <c r="I65" s="6"/>
      <c r="J65" s="6" t="s">
        <v>4289</v>
      </c>
      <c r="K65" s="6"/>
      <c r="L65" s="7" t="s">
        <v>4292</v>
      </c>
      <c r="M65" s="8">
        <v>78787878</v>
      </c>
      <c r="N65" s="8" t="str">
        <f t="shared" si="1"/>
        <v>PEN</v>
      </c>
      <c r="O65" s="13"/>
      <c r="P65" s="13">
        <v>1968</v>
      </c>
      <c r="Q65" s="3">
        <f t="shared" si="2"/>
        <v>0</v>
      </c>
      <c r="R65" s="3">
        <f t="shared" si="3"/>
        <v>1968</v>
      </c>
      <c r="S65" s="3">
        <f t="shared" si="4"/>
        <v>60349.010000000009</v>
      </c>
      <c r="T65" s="24"/>
      <c r="U65" s="24"/>
      <c r="V65" s="3"/>
      <c r="W65" s="19" t="str">
        <f>IFERROR(VLOOKUP(Banco_Nacion[[#This Row],[RESPONSABLE]],Clientes_Proveedores[[Ruc / Dni]:[Razon Social]],2,0),"")</f>
        <v/>
      </c>
      <c r="X6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5" s="3"/>
      <c r="AA65" s="3"/>
      <c r="AB65" s="24" t="str">
        <f>IF(Banco_Nacion[[#This Row],[FECHA]]&gt;0,TEXT(Banco_Nacion[[#This Row],[FECHA]],"mmmm"),0)</f>
        <v>Enero</v>
      </c>
    </row>
    <row r="66" spans="2:28" x14ac:dyDescent="0.3">
      <c r="B66" s="2">
        <f>IF(Banco_Nacion[[#This Row],[TIPO DE R.]]="R",COUNTIFS($D$4:$D65,"R")+1,"")</f>
        <v>62</v>
      </c>
      <c r="C66" s="19" t="str">
        <f t="shared" si="0"/>
        <v>B-Banco de la Nacion</v>
      </c>
      <c r="D66" s="3" t="s">
        <v>1074</v>
      </c>
      <c r="E66" s="14">
        <v>45679</v>
      </c>
      <c r="F66" s="5"/>
      <c r="G66" s="5" t="s">
        <v>1079</v>
      </c>
      <c r="H66" s="6"/>
      <c r="I66" s="6"/>
      <c r="J66" s="6" t="s">
        <v>4289</v>
      </c>
      <c r="K66" s="6"/>
      <c r="L66" s="7" t="s">
        <v>4292</v>
      </c>
      <c r="M66" s="8">
        <v>78787878</v>
      </c>
      <c r="N66" s="8" t="str">
        <f t="shared" si="1"/>
        <v>PEN</v>
      </c>
      <c r="O66" s="13"/>
      <c r="P66" s="13">
        <v>125</v>
      </c>
      <c r="Q66" s="3">
        <f t="shared" si="2"/>
        <v>0</v>
      </c>
      <c r="R66" s="3">
        <f t="shared" si="3"/>
        <v>125</v>
      </c>
      <c r="S66" s="3">
        <f t="shared" si="4"/>
        <v>60224.010000000009</v>
      </c>
      <c r="T66" s="24"/>
      <c r="U66" s="24"/>
      <c r="V66" s="3"/>
      <c r="W66" s="19" t="str">
        <f>IFERROR(VLOOKUP(Banco_Nacion[[#This Row],[RESPONSABLE]],Clientes_Proveedores[[Ruc / Dni]:[Razon Social]],2,0),"")</f>
        <v/>
      </c>
      <c r="X6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6" s="3"/>
      <c r="AA66" s="3"/>
      <c r="AB66" s="24" t="str">
        <f>IF(Banco_Nacion[[#This Row],[FECHA]]&gt;0,TEXT(Banco_Nacion[[#This Row],[FECHA]],"mmmm"),0)</f>
        <v>Enero</v>
      </c>
    </row>
    <row r="67" spans="2:28" x14ac:dyDescent="0.3">
      <c r="B67" s="2">
        <f>IF(Banco_Nacion[[#This Row],[TIPO DE R.]]="R",COUNTIFS($D$4:$D66,"R")+1,"")</f>
        <v>63</v>
      </c>
      <c r="C67" s="19" t="str">
        <f t="shared" si="0"/>
        <v>B-Banco de la Nacion</v>
      </c>
      <c r="D67" s="3" t="s">
        <v>1074</v>
      </c>
      <c r="E67" s="14">
        <v>45680</v>
      </c>
      <c r="F67" s="5">
        <v>20141637941</v>
      </c>
      <c r="G67" s="5" t="s">
        <v>1087</v>
      </c>
      <c r="H67" s="6" t="s">
        <v>368</v>
      </c>
      <c r="I67" s="6" t="s">
        <v>14</v>
      </c>
      <c r="J67" s="6" t="s">
        <v>1088</v>
      </c>
      <c r="K67" s="6">
        <v>501</v>
      </c>
      <c r="L67" s="7" t="s">
        <v>4290</v>
      </c>
      <c r="M67" s="8">
        <v>65524424</v>
      </c>
      <c r="N67" s="8" t="str">
        <f t="shared" si="1"/>
        <v>PEN</v>
      </c>
      <c r="O67" s="13"/>
      <c r="P67" s="13">
        <v>593</v>
      </c>
      <c r="Q67" s="3">
        <f t="shared" si="2"/>
        <v>593</v>
      </c>
      <c r="R67" s="3">
        <f t="shared" si="3"/>
        <v>0</v>
      </c>
      <c r="S67" s="3">
        <f t="shared" si="4"/>
        <v>60817.010000000009</v>
      </c>
      <c r="T67" s="24"/>
      <c r="U67" s="24" t="s">
        <v>1081</v>
      </c>
      <c r="V67" s="3"/>
      <c r="W67" s="19" t="str">
        <f>IFERROR(VLOOKUP(Banco_Nacion[[#This Row],[RESPONSABLE]],Clientes_Proveedores[[Ruc / Dni]:[Razon Social]],2,0),"")</f>
        <v>UNIVERSIDAD CATOLICA DE SANTA MARIA</v>
      </c>
      <c r="X67" s="19" t="str">
        <f>IF(Banco_Nacion[[#This Row],[TIPO DE MOV.]]="INGRESO",Banco_Nacion[[#This Row],[SERIE]]&amp;Banco_Nacion[[#This Row],[NUMERO]]&amp;Banco_Nacion[[#This Row],[RESPONSABLE]]&amp;Banco_Nacion[[#This Row],[MONTO ]],"")</f>
        <v>FE0150120141637941593</v>
      </c>
      <c r="Y6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65524424</v>
      </c>
      <c r="Z67" s="3"/>
      <c r="AA67" s="3"/>
      <c r="AB67" s="24" t="str">
        <f>IF(Banco_Nacion[[#This Row],[FECHA]]&gt;0,TEXT(Banco_Nacion[[#This Row],[FECHA]],"mmmm"),0)</f>
        <v>Enero</v>
      </c>
    </row>
    <row r="68" spans="2:28" x14ac:dyDescent="0.3">
      <c r="B68" s="2">
        <f>IF(Banco_Nacion[[#This Row],[TIPO DE R.]]="R",COUNTIFS($D$4:$D67,"R")+1,"")</f>
        <v>64</v>
      </c>
      <c r="C68" s="19" t="str">
        <f t="shared" si="0"/>
        <v>B-Banco de la Nacion</v>
      </c>
      <c r="D68" s="3" t="s">
        <v>1074</v>
      </c>
      <c r="E68" s="14">
        <v>45680</v>
      </c>
      <c r="F68" s="5"/>
      <c r="G68" s="5" t="s">
        <v>1079</v>
      </c>
      <c r="H68" s="6"/>
      <c r="I68" s="6"/>
      <c r="J68" s="6" t="s">
        <v>4289</v>
      </c>
      <c r="K68" s="6"/>
      <c r="L68" s="7" t="s">
        <v>4292</v>
      </c>
      <c r="M68" s="8">
        <v>78787878</v>
      </c>
      <c r="N68" s="8" t="str">
        <f t="shared" si="1"/>
        <v>PEN</v>
      </c>
      <c r="O68" s="13"/>
      <c r="P68" s="13">
        <v>4169</v>
      </c>
      <c r="Q68" s="3">
        <f t="shared" si="2"/>
        <v>0</v>
      </c>
      <c r="R68" s="3">
        <f t="shared" si="3"/>
        <v>4169</v>
      </c>
      <c r="S68" s="3">
        <f t="shared" si="4"/>
        <v>56648.010000000009</v>
      </c>
      <c r="T68" s="24"/>
      <c r="U68" s="24"/>
      <c r="V68" s="3"/>
      <c r="W68" s="19" t="str">
        <f>IFERROR(VLOOKUP(Banco_Nacion[[#This Row],[RESPONSABLE]],Clientes_Proveedores[[Ruc / Dni]:[Razon Social]],2,0),"")</f>
        <v/>
      </c>
      <c r="X6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8" s="3"/>
      <c r="AA68" s="3"/>
      <c r="AB68" s="24" t="str">
        <f>IF(Banco_Nacion[[#This Row],[FECHA]]&gt;0,TEXT(Banco_Nacion[[#This Row],[FECHA]],"mmmm"),0)</f>
        <v>Enero</v>
      </c>
    </row>
    <row r="69" spans="2:28" x14ac:dyDescent="0.3">
      <c r="B69" s="2">
        <f>IF(Banco_Nacion[[#This Row],[TIPO DE R.]]="R",COUNTIFS($D$4:$D68,"R")+1,"")</f>
        <v>65</v>
      </c>
      <c r="C69" s="19" t="str">
        <f t="shared" ref="C69:C132" si="5">"B-Banco de la Nacion"</f>
        <v>B-Banco de la Nacion</v>
      </c>
      <c r="D69" s="3" t="s">
        <v>1074</v>
      </c>
      <c r="E69" s="14">
        <v>45684</v>
      </c>
      <c r="F69" s="5">
        <v>20454186002</v>
      </c>
      <c r="G69" s="5" t="s">
        <v>1087</v>
      </c>
      <c r="H69" s="6" t="s">
        <v>368</v>
      </c>
      <c r="I69" s="6" t="s">
        <v>14</v>
      </c>
      <c r="J69" s="6" t="s">
        <v>1088</v>
      </c>
      <c r="K69" s="6">
        <v>523</v>
      </c>
      <c r="L69" s="7" t="s">
        <v>4290</v>
      </c>
      <c r="M69" s="8">
        <v>65724350</v>
      </c>
      <c r="N69" s="8" t="str">
        <f t="shared" ref="N69:N132" si="6">"PEN"</f>
        <v>PEN</v>
      </c>
      <c r="O69" s="13"/>
      <c r="P69" s="13">
        <v>327</v>
      </c>
      <c r="Q69" s="3">
        <f t="shared" ref="Q69:Q132" si="7">+IF(OR($G69="SALDO",$G69="INGRESO"),$P69,0)</f>
        <v>327</v>
      </c>
      <c r="R69" s="3">
        <f t="shared" ref="R69:R132" si="8">+IF($G69="EGRESO",$P69,0)</f>
        <v>0</v>
      </c>
      <c r="S69" s="3">
        <f t="shared" ref="S69:S132" si="9">IFERROR(IF(G69="SALDO",Q69,S68+Q69-R69),0)</f>
        <v>56975.010000000009</v>
      </c>
      <c r="T69" s="24"/>
      <c r="U69" s="24"/>
      <c r="V69" s="3"/>
      <c r="W69" s="19" t="str">
        <f>IFERROR(VLOOKUP(Banco_Nacion[[#This Row],[RESPONSABLE]],Clientes_Proveedores[[Ruc / Dni]:[Razon Social]],2,0),"")</f>
        <v>ALSUR PERU S.A.C.</v>
      </c>
      <c r="X69" s="19" t="str">
        <f>IF(Banco_Nacion[[#This Row],[TIPO DE MOV.]]="INGRESO",Banco_Nacion[[#This Row],[SERIE]]&amp;Banco_Nacion[[#This Row],[NUMERO]]&amp;Banco_Nacion[[#This Row],[RESPONSABLE]]&amp;Banco_Nacion[[#This Row],[MONTO ]],"")</f>
        <v>FE0152320454186002327</v>
      </c>
      <c r="Y6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65724350</v>
      </c>
      <c r="Z69" s="3"/>
      <c r="AA69" s="3"/>
      <c r="AB69" s="24" t="str">
        <f>IF(Banco_Nacion[[#This Row],[FECHA]]&gt;0,TEXT(Banco_Nacion[[#This Row],[FECHA]],"mmmm"),0)</f>
        <v>Enero</v>
      </c>
    </row>
    <row r="70" spans="2:28" x14ac:dyDescent="0.3">
      <c r="B70" s="2">
        <f>IF(Banco_Nacion[[#This Row],[TIPO DE R.]]="R",COUNTIFS($D$4:$D69,"R")+1,"")</f>
        <v>66</v>
      </c>
      <c r="C70" s="19" t="str">
        <f t="shared" si="5"/>
        <v>B-Banco de la Nacion</v>
      </c>
      <c r="D70" s="3" t="s">
        <v>1074</v>
      </c>
      <c r="E70" s="14">
        <v>45684</v>
      </c>
      <c r="F70" s="5">
        <v>20454186002</v>
      </c>
      <c r="G70" s="5" t="s">
        <v>1087</v>
      </c>
      <c r="H70" s="6" t="s">
        <v>368</v>
      </c>
      <c r="I70" s="6" t="s">
        <v>14</v>
      </c>
      <c r="J70" s="6" t="s">
        <v>1088</v>
      </c>
      <c r="K70" s="6">
        <v>522</v>
      </c>
      <c r="L70" s="7" t="s">
        <v>4290</v>
      </c>
      <c r="M70" s="8">
        <v>65724349</v>
      </c>
      <c r="N70" s="8" t="str">
        <f t="shared" si="6"/>
        <v>PEN</v>
      </c>
      <c r="O70" s="13"/>
      <c r="P70" s="13">
        <v>193</v>
      </c>
      <c r="Q70" s="3">
        <f t="shared" si="7"/>
        <v>193</v>
      </c>
      <c r="R70" s="3">
        <f t="shared" si="8"/>
        <v>0</v>
      </c>
      <c r="S70" s="3">
        <f t="shared" si="9"/>
        <v>57168.010000000009</v>
      </c>
      <c r="T70" s="24"/>
      <c r="U70" s="24" t="s">
        <v>1081</v>
      </c>
      <c r="V70" s="3"/>
      <c r="W70" s="19" t="str">
        <f>IFERROR(VLOOKUP(Banco_Nacion[[#This Row],[RESPONSABLE]],Clientes_Proveedores[[Ruc / Dni]:[Razon Social]],2,0),"")</f>
        <v>ALSUR PERU S.A.C.</v>
      </c>
      <c r="X70" s="19" t="str">
        <f>IF(Banco_Nacion[[#This Row],[TIPO DE MOV.]]="INGRESO",Banco_Nacion[[#This Row],[SERIE]]&amp;Banco_Nacion[[#This Row],[NUMERO]]&amp;Banco_Nacion[[#This Row],[RESPONSABLE]]&amp;Banco_Nacion[[#This Row],[MONTO ]],"")</f>
        <v>FE0152220454186002193</v>
      </c>
      <c r="Y7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65724349</v>
      </c>
      <c r="Z70" s="3"/>
      <c r="AA70" s="3"/>
      <c r="AB70" s="24" t="str">
        <f>IF(Banco_Nacion[[#This Row],[FECHA]]&gt;0,TEXT(Banco_Nacion[[#This Row],[FECHA]],"mmmm"),0)</f>
        <v>Enero</v>
      </c>
    </row>
    <row r="71" spans="2:28" x14ac:dyDescent="0.3">
      <c r="B71" s="2">
        <f>IF(Banco_Nacion[[#This Row],[TIPO DE R.]]="R",COUNTIFS($D$4:$D70,"R")+1,"")</f>
        <v>67</v>
      </c>
      <c r="C71" s="19" t="str">
        <f t="shared" si="5"/>
        <v>B-Banco de la Nacion</v>
      </c>
      <c r="D71" s="3" t="s">
        <v>1074</v>
      </c>
      <c r="E71" s="14">
        <v>45684</v>
      </c>
      <c r="F71" s="5">
        <v>20514133931</v>
      </c>
      <c r="G71" s="5" t="s">
        <v>1087</v>
      </c>
      <c r="H71" s="6" t="s">
        <v>368</v>
      </c>
      <c r="I71" s="6" t="s">
        <v>14</v>
      </c>
      <c r="J71" s="6" t="s">
        <v>1092</v>
      </c>
      <c r="K71" s="6">
        <v>119</v>
      </c>
      <c r="L71" s="7" t="s">
        <v>4290</v>
      </c>
      <c r="M71" s="8">
        <v>65722346</v>
      </c>
      <c r="N71" s="8" t="str">
        <f t="shared" si="6"/>
        <v>PEN</v>
      </c>
      <c r="O71" s="13"/>
      <c r="P71" s="13">
        <v>34</v>
      </c>
      <c r="Q71" s="3">
        <f t="shared" si="7"/>
        <v>34</v>
      </c>
      <c r="R71" s="3">
        <f t="shared" si="8"/>
        <v>0</v>
      </c>
      <c r="S71" s="3">
        <f t="shared" si="9"/>
        <v>57202.010000000009</v>
      </c>
      <c r="T71" s="24"/>
      <c r="U71" s="24" t="s">
        <v>1081</v>
      </c>
      <c r="V71" s="3"/>
      <c r="W71" s="19" t="str">
        <f>IFERROR(VLOOKUP(Banco_Nacion[[#This Row],[RESPONSABLE]],Clientes_Proveedores[[Ruc / Dni]:[Razon Social]],2,0),"")</f>
        <v>CORPORACION MEDIOAMBIENTAL AMPCO PERU SOCIEDAD ANONIMA CERRADA
- CM AMPCO PERU S.A.C</v>
      </c>
      <c r="X71" s="19" t="str">
        <f>IF(Banco_Nacion[[#This Row],[TIPO DE MOV.]]="INGRESO",Banco_Nacion[[#This Row],[SERIE]]&amp;Banco_Nacion[[#This Row],[NUMERO]]&amp;Banco_Nacion[[#This Row],[RESPONSABLE]]&amp;Banco_Nacion[[#This Row],[MONTO ]],"")</f>
        <v>FE051192051413393134</v>
      </c>
      <c r="Y7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65722346</v>
      </c>
      <c r="Z71" s="3"/>
      <c r="AA71" s="3"/>
      <c r="AB71" s="24" t="str">
        <f>IF(Banco_Nacion[[#This Row],[FECHA]]&gt;0,TEXT(Banco_Nacion[[#This Row],[FECHA]],"mmmm"),0)</f>
        <v>Enero</v>
      </c>
    </row>
    <row r="72" spans="2:28" x14ac:dyDescent="0.3">
      <c r="B72" s="2">
        <f>IF(Banco_Nacion[[#This Row],[TIPO DE R.]]="R",COUNTIFS($D$4:$D71,"R")+1,"")</f>
        <v>68</v>
      </c>
      <c r="C72" s="19" t="str">
        <f t="shared" si="5"/>
        <v>B-Banco de la Nacion</v>
      </c>
      <c r="D72" s="3" t="s">
        <v>1074</v>
      </c>
      <c r="E72" s="14">
        <v>45685</v>
      </c>
      <c r="F72" s="5">
        <v>20607388416</v>
      </c>
      <c r="G72" s="5" t="s">
        <v>1087</v>
      </c>
      <c r="H72" s="6" t="s">
        <v>368</v>
      </c>
      <c r="I72" s="6" t="s">
        <v>14</v>
      </c>
      <c r="J72" s="6" t="s">
        <v>1092</v>
      </c>
      <c r="K72" s="6">
        <v>123</v>
      </c>
      <c r="L72" s="7" t="s">
        <v>4290</v>
      </c>
      <c r="M72" s="8">
        <v>65774642</v>
      </c>
      <c r="N72" s="8" t="str">
        <f t="shared" si="6"/>
        <v>PEN</v>
      </c>
      <c r="O72" s="13"/>
      <c r="P72" s="13">
        <v>233</v>
      </c>
      <c r="Q72" s="3">
        <f t="shared" si="7"/>
        <v>233</v>
      </c>
      <c r="R72" s="3">
        <f t="shared" si="8"/>
        <v>0</v>
      </c>
      <c r="S72" s="3">
        <f t="shared" si="9"/>
        <v>57435.010000000009</v>
      </c>
      <c r="T72" s="24"/>
      <c r="U72" s="24" t="s">
        <v>1081</v>
      </c>
      <c r="V72" s="3"/>
      <c r="W72" s="19" t="str">
        <f>IFERROR(VLOOKUP(Banco_Nacion[[#This Row],[RESPONSABLE]],Clientes_Proveedores[[Ruc / Dni]:[Razon Social]],2,0),"")</f>
        <v>ALEACIONES FERROSAS Y METALICAS S.A.C.</v>
      </c>
      <c r="X72" s="19" t="str">
        <f>IF(Banco_Nacion[[#This Row],[TIPO DE MOV.]]="INGRESO",Banco_Nacion[[#This Row],[SERIE]]&amp;Banco_Nacion[[#This Row],[NUMERO]]&amp;Banco_Nacion[[#This Row],[RESPONSABLE]]&amp;Banco_Nacion[[#This Row],[MONTO ]],"")</f>
        <v>FE0512320607388416233</v>
      </c>
      <c r="Y7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65774642</v>
      </c>
      <c r="Z72" s="3"/>
      <c r="AA72" s="3"/>
      <c r="AB72" s="24" t="str">
        <f>IF(Banco_Nacion[[#This Row],[FECHA]]&gt;0,TEXT(Banco_Nacion[[#This Row],[FECHA]],"mmmm"),0)</f>
        <v>Enero</v>
      </c>
    </row>
    <row r="73" spans="2:28" x14ac:dyDescent="0.3">
      <c r="B73" s="2">
        <f>IF(Banco_Nacion[[#This Row],[TIPO DE R.]]="R",COUNTIFS($D$4:$D72,"R")+1,"")</f>
        <v>69</v>
      </c>
      <c r="C73" s="19" t="str">
        <f t="shared" si="5"/>
        <v>B-Banco de la Nacion</v>
      </c>
      <c r="D73" s="3" t="s">
        <v>1074</v>
      </c>
      <c r="E73" s="14">
        <v>45685</v>
      </c>
      <c r="F73" s="5">
        <v>20607388416</v>
      </c>
      <c r="G73" s="5" t="s">
        <v>1087</v>
      </c>
      <c r="H73" s="6" t="s">
        <v>368</v>
      </c>
      <c r="I73" s="6" t="s">
        <v>14</v>
      </c>
      <c r="J73" s="6" t="s">
        <v>1092</v>
      </c>
      <c r="K73" s="6">
        <v>122</v>
      </c>
      <c r="L73" s="7" t="s">
        <v>4290</v>
      </c>
      <c r="M73" s="8">
        <v>65774580</v>
      </c>
      <c r="N73" s="8" t="str">
        <f t="shared" si="6"/>
        <v>PEN</v>
      </c>
      <c r="O73" s="13"/>
      <c r="P73" s="13">
        <v>479</v>
      </c>
      <c r="Q73" s="3">
        <f t="shared" si="7"/>
        <v>479</v>
      </c>
      <c r="R73" s="3">
        <f t="shared" si="8"/>
        <v>0</v>
      </c>
      <c r="S73" s="3">
        <f t="shared" si="9"/>
        <v>57914.010000000009</v>
      </c>
      <c r="T73" s="24"/>
      <c r="U73" s="24" t="s">
        <v>1081</v>
      </c>
      <c r="V73" s="3"/>
      <c r="W73" s="19" t="str">
        <f>IFERROR(VLOOKUP(Banco_Nacion[[#This Row],[RESPONSABLE]],Clientes_Proveedores[[Ruc / Dni]:[Razon Social]],2,0),"")</f>
        <v>ALEACIONES FERROSAS Y METALICAS S.A.C.</v>
      </c>
      <c r="X73" s="19" t="str">
        <f>IF(Banco_Nacion[[#This Row],[TIPO DE MOV.]]="INGRESO",Banco_Nacion[[#This Row],[SERIE]]&amp;Banco_Nacion[[#This Row],[NUMERO]]&amp;Banco_Nacion[[#This Row],[RESPONSABLE]]&amp;Banco_Nacion[[#This Row],[MONTO ]],"")</f>
        <v>FE0512220607388416479</v>
      </c>
      <c r="Y7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65774580</v>
      </c>
      <c r="Z73" s="3"/>
      <c r="AA73" s="3"/>
      <c r="AB73" s="24" t="str">
        <f>IF(Banco_Nacion[[#This Row],[FECHA]]&gt;0,TEXT(Banco_Nacion[[#This Row],[FECHA]],"mmmm"),0)</f>
        <v>Enero</v>
      </c>
    </row>
    <row r="74" spans="2:28" x14ac:dyDescent="0.3">
      <c r="B74" s="2">
        <f>IF(Banco_Nacion[[#This Row],[TIPO DE R.]]="R",COUNTIFS($D$4:$D73,"R")+1,"")</f>
        <v>70</v>
      </c>
      <c r="C74" s="19" t="str">
        <f t="shared" si="5"/>
        <v>B-Banco de la Nacion</v>
      </c>
      <c r="D74" s="3" t="s">
        <v>1074</v>
      </c>
      <c r="E74" s="14">
        <v>45685</v>
      </c>
      <c r="F74" s="5">
        <v>20607388416</v>
      </c>
      <c r="G74" s="5" t="s">
        <v>1087</v>
      </c>
      <c r="H74" s="6" t="s">
        <v>368</v>
      </c>
      <c r="I74" s="6" t="s">
        <v>14</v>
      </c>
      <c r="J74" s="6" t="s">
        <v>1092</v>
      </c>
      <c r="K74" s="6">
        <v>121</v>
      </c>
      <c r="L74" s="7" t="s">
        <v>4290</v>
      </c>
      <c r="M74" s="8">
        <v>65774210</v>
      </c>
      <c r="N74" s="8" t="str">
        <f t="shared" si="6"/>
        <v>PEN</v>
      </c>
      <c r="O74" s="13"/>
      <c r="P74" s="13">
        <v>358</v>
      </c>
      <c r="Q74" s="3">
        <f t="shared" si="7"/>
        <v>358</v>
      </c>
      <c r="R74" s="3">
        <f t="shared" si="8"/>
        <v>0</v>
      </c>
      <c r="S74" s="3">
        <f t="shared" si="9"/>
        <v>58272.010000000009</v>
      </c>
      <c r="T74" s="24"/>
      <c r="U74" s="24" t="s">
        <v>1081</v>
      </c>
      <c r="V74" s="3"/>
      <c r="W74" s="19" t="str">
        <f>IFERROR(VLOOKUP(Banco_Nacion[[#This Row],[RESPONSABLE]],Clientes_Proveedores[[Ruc / Dni]:[Razon Social]],2,0),"")</f>
        <v>ALEACIONES FERROSAS Y METALICAS S.A.C.</v>
      </c>
      <c r="X74" s="19" t="str">
        <f>IF(Banco_Nacion[[#This Row],[TIPO DE MOV.]]="INGRESO",Banco_Nacion[[#This Row],[SERIE]]&amp;Banco_Nacion[[#This Row],[NUMERO]]&amp;Banco_Nacion[[#This Row],[RESPONSABLE]]&amp;Banco_Nacion[[#This Row],[MONTO ]],"")</f>
        <v>FE0512120607388416358</v>
      </c>
      <c r="Y7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65774210</v>
      </c>
      <c r="Z74" s="3"/>
      <c r="AA74" s="3"/>
      <c r="AB74" s="24" t="str">
        <f>IF(Banco_Nacion[[#This Row],[FECHA]]&gt;0,TEXT(Banco_Nacion[[#This Row],[FECHA]],"mmmm"),0)</f>
        <v>Enero</v>
      </c>
    </row>
    <row r="75" spans="2:28" x14ac:dyDescent="0.3">
      <c r="B75" s="2">
        <f>IF(Banco_Nacion[[#This Row],[TIPO DE R.]]="R",COUNTIFS($D$4:$D74,"R")+1,"")</f>
        <v>71</v>
      </c>
      <c r="C75" s="19" t="str">
        <f t="shared" si="5"/>
        <v>B-Banco de la Nacion</v>
      </c>
      <c r="D75" s="3" t="s">
        <v>1074</v>
      </c>
      <c r="E75" s="14">
        <v>45685</v>
      </c>
      <c r="F75" s="5">
        <v>20607388416</v>
      </c>
      <c r="G75" s="5" t="s">
        <v>1087</v>
      </c>
      <c r="H75" s="6" t="s">
        <v>368</v>
      </c>
      <c r="I75" s="6" t="s">
        <v>14</v>
      </c>
      <c r="J75" s="6" t="s">
        <v>1092</v>
      </c>
      <c r="K75" s="6">
        <v>120</v>
      </c>
      <c r="L75" s="7" t="s">
        <v>4290</v>
      </c>
      <c r="M75" s="8">
        <v>65773628</v>
      </c>
      <c r="N75" s="8" t="str">
        <f t="shared" si="6"/>
        <v>PEN</v>
      </c>
      <c r="O75" s="13"/>
      <c r="P75" s="13">
        <v>582</v>
      </c>
      <c r="Q75" s="3">
        <f t="shared" si="7"/>
        <v>582</v>
      </c>
      <c r="R75" s="3">
        <f t="shared" si="8"/>
        <v>0</v>
      </c>
      <c r="S75" s="3">
        <f t="shared" si="9"/>
        <v>58854.010000000009</v>
      </c>
      <c r="T75" s="24"/>
      <c r="U75" s="24" t="s">
        <v>1081</v>
      </c>
      <c r="V75" s="3"/>
      <c r="W75" s="19" t="str">
        <f>IFERROR(VLOOKUP(Banco_Nacion[[#This Row],[RESPONSABLE]],Clientes_Proveedores[[Ruc / Dni]:[Razon Social]],2,0),"")</f>
        <v>ALEACIONES FERROSAS Y METALICAS S.A.C.</v>
      </c>
      <c r="X75" s="19" t="str">
        <f>IF(Banco_Nacion[[#This Row],[TIPO DE MOV.]]="INGRESO",Banco_Nacion[[#This Row],[SERIE]]&amp;Banco_Nacion[[#This Row],[NUMERO]]&amp;Banco_Nacion[[#This Row],[RESPONSABLE]]&amp;Banco_Nacion[[#This Row],[MONTO ]],"")</f>
        <v>FE0512020607388416582</v>
      </c>
      <c r="Y7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65773628</v>
      </c>
      <c r="Z75" s="3"/>
      <c r="AA75" s="3"/>
      <c r="AB75" s="24" t="str">
        <f>IF(Banco_Nacion[[#This Row],[FECHA]]&gt;0,TEXT(Banco_Nacion[[#This Row],[FECHA]],"mmmm"),0)</f>
        <v>Enero</v>
      </c>
    </row>
    <row r="76" spans="2:28" x14ac:dyDescent="0.3">
      <c r="B76" s="2">
        <f>IF(Banco_Nacion[[#This Row],[TIPO DE R.]]="R",COUNTIFS($D$4:$D75,"R")+1,"")</f>
        <v>72</v>
      </c>
      <c r="C76" s="19" t="str">
        <f t="shared" si="5"/>
        <v>B-Banco de la Nacion</v>
      </c>
      <c r="D76" s="3" t="s">
        <v>1074</v>
      </c>
      <c r="E76" s="14">
        <v>45685</v>
      </c>
      <c r="F76" s="5">
        <v>20607388416</v>
      </c>
      <c r="G76" s="5" t="s">
        <v>1087</v>
      </c>
      <c r="H76" s="6" t="s">
        <v>368</v>
      </c>
      <c r="I76" s="6" t="s">
        <v>14</v>
      </c>
      <c r="J76" s="6" t="s">
        <v>1092</v>
      </c>
      <c r="K76" s="6">
        <v>118</v>
      </c>
      <c r="L76" s="7" t="s">
        <v>4290</v>
      </c>
      <c r="M76" s="8">
        <v>65773577</v>
      </c>
      <c r="N76" s="8" t="str">
        <f t="shared" si="6"/>
        <v>PEN</v>
      </c>
      <c r="O76" s="13"/>
      <c r="P76" s="13">
        <v>208</v>
      </c>
      <c r="Q76" s="3">
        <f t="shared" si="7"/>
        <v>208</v>
      </c>
      <c r="R76" s="3">
        <f t="shared" si="8"/>
        <v>0</v>
      </c>
      <c r="S76" s="3">
        <f t="shared" si="9"/>
        <v>59062.010000000009</v>
      </c>
      <c r="T76" s="24"/>
      <c r="U76" s="24" t="s">
        <v>1081</v>
      </c>
      <c r="V76" s="3"/>
      <c r="W76" s="19" t="str">
        <f>IFERROR(VLOOKUP(Banco_Nacion[[#This Row],[RESPONSABLE]],Clientes_Proveedores[[Ruc / Dni]:[Razon Social]],2,0),"")</f>
        <v>ALEACIONES FERROSAS Y METALICAS S.A.C.</v>
      </c>
      <c r="X76" s="19" t="str">
        <f>IF(Banco_Nacion[[#This Row],[TIPO DE MOV.]]="INGRESO",Banco_Nacion[[#This Row],[SERIE]]&amp;Banco_Nacion[[#This Row],[NUMERO]]&amp;Banco_Nacion[[#This Row],[RESPONSABLE]]&amp;Banco_Nacion[[#This Row],[MONTO ]],"")</f>
        <v>FE0511820607388416208</v>
      </c>
      <c r="Y7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65773577</v>
      </c>
      <c r="Z76" s="3"/>
      <c r="AA76" s="3"/>
      <c r="AB76" s="24" t="str">
        <f>IF(Banco_Nacion[[#This Row],[FECHA]]&gt;0,TEXT(Banco_Nacion[[#This Row],[FECHA]],"mmmm"),0)</f>
        <v>Enero</v>
      </c>
    </row>
    <row r="77" spans="2:28" x14ac:dyDescent="0.3">
      <c r="B77" s="2">
        <f>IF(Banco_Nacion[[#This Row],[TIPO DE R.]]="R",COUNTIFS($D$4:$D76,"R")+1,"")</f>
        <v>73</v>
      </c>
      <c r="C77" s="19" t="str">
        <f t="shared" si="5"/>
        <v>B-Banco de la Nacion</v>
      </c>
      <c r="D77" s="3" t="s">
        <v>1074</v>
      </c>
      <c r="E77" s="14">
        <v>45685</v>
      </c>
      <c r="F77" s="5">
        <v>20100247730</v>
      </c>
      <c r="G77" s="5" t="s">
        <v>1087</v>
      </c>
      <c r="H77" s="6" t="s">
        <v>368</v>
      </c>
      <c r="I77" s="6" t="s">
        <v>14</v>
      </c>
      <c r="J77" s="6" t="s">
        <v>1088</v>
      </c>
      <c r="K77" s="6">
        <v>524</v>
      </c>
      <c r="L77" s="7" t="s">
        <v>4290</v>
      </c>
      <c r="M77" s="8">
        <v>65767696</v>
      </c>
      <c r="N77" s="8" t="str">
        <f t="shared" si="6"/>
        <v>PEN</v>
      </c>
      <c r="O77" s="13"/>
      <c r="P77" s="13">
        <v>140</v>
      </c>
      <c r="Q77" s="3">
        <f t="shared" si="7"/>
        <v>140</v>
      </c>
      <c r="R77" s="3">
        <f t="shared" si="8"/>
        <v>0</v>
      </c>
      <c r="S77" s="3">
        <f t="shared" si="9"/>
        <v>59202.010000000009</v>
      </c>
      <c r="T77" s="24"/>
      <c r="U77" s="24" t="s">
        <v>1081</v>
      </c>
      <c r="V77" s="3"/>
      <c r="W77" s="19" t="str">
        <f>IFERROR(VLOOKUP(Banco_Nacion[[#This Row],[RESPONSABLE]],Clientes_Proveedores[[Ruc / Dni]:[Razon Social]],2,0),"")</f>
        <v>ALFRED H KNIGHT DEL PERU SOCIEDAD ANONIMA CERRADA-ALFRED H KNIGHT
DEL PERU S.A.C.</v>
      </c>
      <c r="X77" s="19" t="str">
        <f>IF(Banco_Nacion[[#This Row],[TIPO DE MOV.]]="INGRESO",Banco_Nacion[[#This Row],[SERIE]]&amp;Banco_Nacion[[#This Row],[NUMERO]]&amp;Banco_Nacion[[#This Row],[RESPONSABLE]]&amp;Banco_Nacion[[#This Row],[MONTO ]],"")</f>
        <v>FE0152420100247730140</v>
      </c>
      <c r="Y7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65767696</v>
      </c>
      <c r="Z77" s="3"/>
      <c r="AA77" s="3"/>
      <c r="AB77" s="24" t="str">
        <f>IF(Banco_Nacion[[#This Row],[FECHA]]&gt;0,TEXT(Banco_Nacion[[#This Row],[FECHA]],"mmmm"),0)</f>
        <v>Enero</v>
      </c>
    </row>
    <row r="78" spans="2:28" x14ac:dyDescent="0.3">
      <c r="B78" s="2">
        <f>IF(Banco_Nacion[[#This Row],[TIPO DE R.]]="R",COUNTIFS($D$4:$D77,"R")+1,"")</f>
        <v>74</v>
      </c>
      <c r="C78" s="19" t="str">
        <f t="shared" si="5"/>
        <v>B-Banco de la Nacion</v>
      </c>
      <c r="D78" s="3" t="s">
        <v>1074</v>
      </c>
      <c r="E78" s="14">
        <v>45685</v>
      </c>
      <c r="F78" s="5">
        <v>20406350178</v>
      </c>
      <c r="G78" s="5" t="s">
        <v>1087</v>
      </c>
      <c r="H78" s="6" t="s">
        <v>368</v>
      </c>
      <c r="I78" s="6" t="s">
        <v>14</v>
      </c>
      <c r="J78" s="6" t="s">
        <v>4293</v>
      </c>
      <c r="K78" s="6">
        <v>340</v>
      </c>
      <c r="L78" s="7" t="s">
        <v>4290</v>
      </c>
      <c r="M78" s="8">
        <v>65754725</v>
      </c>
      <c r="N78" s="8" t="str">
        <f t="shared" si="6"/>
        <v>PEN</v>
      </c>
      <c r="O78" s="13"/>
      <c r="P78" s="13">
        <v>266</v>
      </c>
      <c r="Q78" s="3">
        <f t="shared" si="7"/>
        <v>266</v>
      </c>
      <c r="R78" s="3">
        <f t="shared" si="8"/>
        <v>0</v>
      </c>
      <c r="S78" s="3">
        <f t="shared" si="9"/>
        <v>59468.010000000009</v>
      </c>
      <c r="T78" s="24"/>
      <c r="U78" s="24"/>
      <c r="V78" s="3"/>
      <c r="W78" s="19" t="str">
        <f>IFERROR(VLOOKUP(Banco_Nacion[[#This Row],[RESPONSABLE]],Clientes_Proveedores[[Ruc / Dni]:[Razon Social]],2,0),"")</f>
        <v>COOPERATIVA MINERA HALCON DE ORO DE ANANEA LIMITADA</v>
      </c>
      <c r="X78" s="19" t="str">
        <f>IF(Banco_Nacion[[#This Row],[TIPO DE MOV.]]="INGRESO",Banco_Nacion[[#This Row],[SERIE]]&amp;Banco_Nacion[[#This Row],[NUMERO]]&amp;Banco_Nacion[[#This Row],[RESPONSABLE]]&amp;Banco_Nacion[[#This Row],[MONTO ]],"")</f>
        <v>FGD134020406350178266</v>
      </c>
      <c r="Y7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65754725</v>
      </c>
      <c r="Z78" s="3"/>
      <c r="AA78" s="3"/>
      <c r="AB78" s="24" t="str">
        <f>IF(Banco_Nacion[[#This Row],[FECHA]]&gt;0,TEXT(Banco_Nacion[[#This Row],[FECHA]],"mmmm"),0)</f>
        <v>Enero</v>
      </c>
    </row>
    <row r="79" spans="2:28" x14ac:dyDescent="0.3">
      <c r="B79" s="2">
        <f>IF(Banco_Nacion[[#This Row],[TIPO DE R.]]="R",COUNTIFS($D$4:$D78,"R")+1,"")</f>
        <v>75</v>
      </c>
      <c r="C79" s="19" t="str">
        <f t="shared" si="5"/>
        <v>B-Banco de la Nacion</v>
      </c>
      <c r="D79" s="3" t="s">
        <v>1074</v>
      </c>
      <c r="E79" s="14">
        <v>45685</v>
      </c>
      <c r="F79" s="5">
        <v>20406350178</v>
      </c>
      <c r="G79" s="5" t="s">
        <v>1087</v>
      </c>
      <c r="H79" s="6" t="s">
        <v>368</v>
      </c>
      <c r="I79" s="6" t="s">
        <v>14</v>
      </c>
      <c r="J79" s="6" t="s">
        <v>4293</v>
      </c>
      <c r="K79" s="6">
        <v>378</v>
      </c>
      <c r="L79" s="7" t="s">
        <v>4290</v>
      </c>
      <c r="M79" s="8">
        <v>65754724</v>
      </c>
      <c r="N79" s="8" t="str">
        <f t="shared" si="6"/>
        <v>PEN</v>
      </c>
      <c r="O79" s="13"/>
      <c r="P79" s="13">
        <v>266</v>
      </c>
      <c r="Q79" s="3">
        <f t="shared" si="7"/>
        <v>266</v>
      </c>
      <c r="R79" s="3">
        <f t="shared" si="8"/>
        <v>0</v>
      </c>
      <c r="S79" s="3">
        <f t="shared" si="9"/>
        <v>59734.010000000009</v>
      </c>
      <c r="T79" s="24"/>
      <c r="U79" s="24" t="s">
        <v>1081</v>
      </c>
      <c r="V79" s="3"/>
      <c r="W79" s="19" t="str">
        <f>IFERROR(VLOOKUP(Banco_Nacion[[#This Row],[RESPONSABLE]],Clientes_Proveedores[[Ruc / Dni]:[Razon Social]],2,0),"")</f>
        <v>COOPERATIVA MINERA HALCON DE ORO DE ANANEA LIMITADA</v>
      </c>
      <c r="X79" s="19" t="str">
        <f>IF(Banco_Nacion[[#This Row],[TIPO DE MOV.]]="INGRESO",Banco_Nacion[[#This Row],[SERIE]]&amp;Banco_Nacion[[#This Row],[NUMERO]]&amp;Banco_Nacion[[#This Row],[RESPONSABLE]]&amp;Banco_Nacion[[#This Row],[MONTO ]],"")</f>
        <v>FGD137820406350178266</v>
      </c>
      <c r="Y7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65754724</v>
      </c>
      <c r="Z79" s="3"/>
      <c r="AA79" s="3"/>
      <c r="AB79" s="24" t="str">
        <f>IF(Banco_Nacion[[#This Row],[FECHA]]&gt;0,TEXT(Banco_Nacion[[#This Row],[FECHA]],"mmmm"),0)</f>
        <v>Enero</v>
      </c>
    </row>
    <row r="80" spans="2:28" x14ac:dyDescent="0.3">
      <c r="B80" s="2">
        <f>IF(Banco_Nacion[[#This Row],[TIPO DE R.]]="R",COUNTIFS($D$4:$D79,"R")+1,"")</f>
        <v>76</v>
      </c>
      <c r="C80" s="19" t="str">
        <f t="shared" si="5"/>
        <v>B-Banco de la Nacion</v>
      </c>
      <c r="D80" s="3" t="s">
        <v>1074</v>
      </c>
      <c r="E80" s="14">
        <v>45687</v>
      </c>
      <c r="F80" s="5">
        <v>20100192064</v>
      </c>
      <c r="G80" s="5" t="s">
        <v>1087</v>
      </c>
      <c r="H80" s="6" t="s">
        <v>368</v>
      </c>
      <c r="I80" s="6" t="s">
        <v>14</v>
      </c>
      <c r="J80" s="6" t="s">
        <v>1088</v>
      </c>
      <c r="K80" s="6">
        <v>531</v>
      </c>
      <c r="L80" s="7" t="s">
        <v>4290</v>
      </c>
      <c r="M80" s="8">
        <v>65893265</v>
      </c>
      <c r="N80" s="8" t="str">
        <f t="shared" si="6"/>
        <v>PEN</v>
      </c>
      <c r="O80" s="13"/>
      <c r="P80" s="13">
        <v>269</v>
      </c>
      <c r="Q80" s="3">
        <f t="shared" si="7"/>
        <v>269</v>
      </c>
      <c r="R80" s="3">
        <f t="shared" si="8"/>
        <v>0</v>
      </c>
      <c r="S80" s="3">
        <f t="shared" si="9"/>
        <v>60003.010000000009</v>
      </c>
      <c r="T80" s="24"/>
      <c r="U80" s="24" t="s">
        <v>1081</v>
      </c>
      <c r="V80" s="3"/>
      <c r="W80" s="19" t="str">
        <f>IFERROR(VLOOKUP(Banco_Nacion[[#This Row],[RESPONSABLE]],Clientes_Proveedores[[Ruc / Dni]:[Razon Social]],2,0),"")</f>
        <v>MOLY-COP ADESUR S.A</v>
      </c>
      <c r="X80" s="19" t="str">
        <f>IF(Banco_Nacion[[#This Row],[TIPO DE MOV.]]="INGRESO",Banco_Nacion[[#This Row],[SERIE]]&amp;Banco_Nacion[[#This Row],[NUMERO]]&amp;Banco_Nacion[[#This Row],[RESPONSABLE]]&amp;Banco_Nacion[[#This Row],[MONTO ]],"")</f>
        <v>FE0153120100192064269</v>
      </c>
      <c r="Y8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65893265</v>
      </c>
      <c r="Z80" s="3"/>
      <c r="AA80" s="3"/>
      <c r="AB80" s="24" t="str">
        <f>IF(Banco_Nacion[[#This Row],[FECHA]]&gt;0,TEXT(Banco_Nacion[[#This Row],[FECHA]],"mmmm"),0)</f>
        <v>Enero</v>
      </c>
    </row>
    <row r="81" spans="2:28" x14ac:dyDescent="0.3">
      <c r="B81" s="2">
        <f>IF(Banco_Nacion[[#This Row],[TIPO DE R.]]="R",COUNTIFS($D$4:$D80,"R")+1,"")</f>
        <v>77</v>
      </c>
      <c r="C81" s="19" t="str">
        <f t="shared" si="5"/>
        <v>B-Banco de la Nacion</v>
      </c>
      <c r="D81" s="3" t="s">
        <v>1074</v>
      </c>
      <c r="E81" s="14">
        <v>45687</v>
      </c>
      <c r="F81" s="5">
        <v>20100192064</v>
      </c>
      <c r="G81" s="5" t="s">
        <v>1087</v>
      </c>
      <c r="H81" s="6" t="s">
        <v>368</v>
      </c>
      <c r="I81" s="6" t="s">
        <v>14</v>
      </c>
      <c r="J81" s="6" t="s">
        <v>1088</v>
      </c>
      <c r="K81" s="6">
        <v>530</v>
      </c>
      <c r="L81" s="7" t="s">
        <v>4290</v>
      </c>
      <c r="M81" s="8">
        <v>65893264</v>
      </c>
      <c r="N81" s="8" t="str">
        <f t="shared" si="6"/>
        <v>PEN</v>
      </c>
      <c r="O81" s="13"/>
      <c r="P81" s="13">
        <v>745</v>
      </c>
      <c r="Q81" s="3">
        <f t="shared" si="7"/>
        <v>745</v>
      </c>
      <c r="R81" s="3">
        <f t="shared" si="8"/>
        <v>0</v>
      </c>
      <c r="S81" s="3">
        <f t="shared" si="9"/>
        <v>60748.010000000009</v>
      </c>
      <c r="T81" s="24"/>
      <c r="U81" s="24" t="s">
        <v>1081</v>
      </c>
      <c r="V81" s="3"/>
      <c r="W81" s="19" t="str">
        <f>IFERROR(VLOOKUP(Banco_Nacion[[#This Row],[RESPONSABLE]],Clientes_Proveedores[[Ruc / Dni]:[Razon Social]],2,0),"")</f>
        <v>MOLY-COP ADESUR S.A</v>
      </c>
      <c r="X81" s="19" t="str">
        <f>IF(Banco_Nacion[[#This Row],[TIPO DE MOV.]]="INGRESO",Banco_Nacion[[#This Row],[SERIE]]&amp;Banco_Nacion[[#This Row],[NUMERO]]&amp;Banco_Nacion[[#This Row],[RESPONSABLE]]&amp;Banco_Nacion[[#This Row],[MONTO ]],"")</f>
        <v>FE0153020100192064745</v>
      </c>
      <c r="Y8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65893264</v>
      </c>
      <c r="Z81" s="3"/>
      <c r="AA81" s="3"/>
      <c r="AB81" s="24" t="str">
        <f>IF(Banco_Nacion[[#This Row],[FECHA]]&gt;0,TEXT(Banco_Nacion[[#This Row],[FECHA]],"mmmm"),0)</f>
        <v>Enero</v>
      </c>
    </row>
    <row r="82" spans="2:28" x14ac:dyDescent="0.3">
      <c r="B82" s="2">
        <f>IF(Banco_Nacion[[#This Row],[TIPO DE R.]]="R",COUNTIFS($D$4:$D81,"R")+1,"")</f>
        <v>78</v>
      </c>
      <c r="C82" s="19" t="str">
        <f t="shared" si="5"/>
        <v>B-Banco de la Nacion</v>
      </c>
      <c r="D82" s="3" t="s">
        <v>1074</v>
      </c>
      <c r="E82" s="14">
        <v>45687</v>
      </c>
      <c r="F82" s="5">
        <v>20505675836</v>
      </c>
      <c r="G82" s="5" t="s">
        <v>1087</v>
      </c>
      <c r="H82" s="6" t="s">
        <v>368</v>
      </c>
      <c r="I82" s="6" t="s">
        <v>14</v>
      </c>
      <c r="J82" s="6" t="s">
        <v>1088</v>
      </c>
      <c r="K82" s="6">
        <v>504</v>
      </c>
      <c r="L82" s="7" t="s">
        <v>4290</v>
      </c>
      <c r="M82" s="8">
        <v>65876749</v>
      </c>
      <c r="N82" s="8" t="str">
        <f t="shared" si="6"/>
        <v>PEN</v>
      </c>
      <c r="O82" s="13"/>
      <c r="P82" s="13">
        <v>919</v>
      </c>
      <c r="Q82" s="3">
        <f t="shared" si="7"/>
        <v>919</v>
      </c>
      <c r="R82" s="3">
        <f t="shared" si="8"/>
        <v>0</v>
      </c>
      <c r="S82" s="3">
        <f t="shared" si="9"/>
        <v>61667.010000000009</v>
      </c>
      <c r="T82" s="24"/>
      <c r="U82" s="24" t="s">
        <v>1081</v>
      </c>
      <c r="V82" s="3"/>
      <c r="W82" s="19" t="str">
        <f>IFERROR(VLOOKUP(Banco_Nacion[[#This Row],[RESPONSABLE]],Clientes_Proveedores[[Ruc / Dni]:[Razon Social]],2,0),"")</f>
        <v>FLSMIDTH S.A.C.</v>
      </c>
      <c r="X82" s="19" t="str">
        <f>IF(Banco_Nacion[[#This Row],[TIPO DE MOV.]]="INGRESO",Banco_Nacion[[#This Row],[SERIE]]&amp;Banco_Nacion[[#This Row],[NUMERO]]&amp;Banco_Nacion[[#This Row],[RESPONSABLE]]&amp;Banco_Nacion[[#This Row],[MONTO ]],"")</f>
        <v>FE0150420505675836919</v>
      </c>
      <c r="Y8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65876749</v>
      </c>
      <c r="Z82" s="3"/>
      <c r="AA82" s="3"/>
      <c r="AB82" s="24" t="str">
        <f>IF(Banco_Nacion[[#This Row],[FECHA]]&gt;0,TEXT(Banco_Nacion[[#This Row],[FECHA]],"mmmm"),0)</f>
        <v>Enero</v>
      </c>
    </row>
    <row r="83" spans="2:28" x14ac:dyDescent="0.3">
      <c r="B83" s="2">
        <f>IF(Banco_Nacion[[#This Row],[TIPO DE R.]]="R",COUNTIFS($D$4:$D82,"R")+1,"")</f>
        <v>79</v>
      </c>
      <c r="C83" s="19" t="str">
        <f t="shared" si="5"/>
        <v>B-Banco de la Nacion</v>
      </c>
      <c r="D83" s="3" t="s">
        <v>1074</v>
      </c>
      <c r="E83" s="14">
        <v>45687</v>
      </c>
      <c r="F83" s="5">
        <v>20505675836</v>
      </c>
      <c r="G83" s="5" t="s">
        <v>1087</v>
      </c>
      <c r="H83" s="6" t="s">
        <v>368</v>
      </c>
      <c r="I83" s="6" t="s">
        <v>14</v>
      </c>
      <c r="J83" s="6" t="s">
        <v>1088</v>
      </c>
      <c r="K83" s="6">
        <v>503</v>
      </c>
      <c r="L83" s="7" t="s">
        <v>4290</v>
      </c>
      <c r="M83" s="8">
        <v>65876748</v>
      </c>
      <c r="N83" s="8" t="str">
        <f t="shared" si="6"/>
        <v>PEN</v>
      </c>
      <c r="O83" s="13"/>
      <c r="P83" s="13">
        <v>1448</v>
      </c>
      <c r="Q83" s="3">
        <f t="shared" si="7"/>
        <v>1448</v>
      </c>
      <c r="R83" s="3">
        <f t="shared" si="8"/>
        <v>0</v>
      </c>
      <c r="S83" s="3">
        <f t="shared" si="9"/>
        <v>63115.010000000009</v>
      </c>
      <c r="T83" s="24"/>
      <c r="U83" s="24" t="s">
        <v>1081</v>
      </c>
      <c r="V83" s="3"/>
      <c r="W83" s="19" t="str">
        <f>IFERROR(VLOOKUP(Banco_Nacion[[#This Row],[RESPONSABLE]],Clientes_Proveedores[[Ruc / Dni]:[Razon Social]],2,0),"")</f>
        <v>FLSMIDTH S.A.C.</v>
      </c>
      <c r="X83" s="19" t="str">
        <f>IF(Banco_Nacion[[#This Row],[TIPO DE MOV.]]="INGRESO",Banco_Nacion[[#This Row],[SERIE]]&amp;Banco_Nacion[[#This Row],[NUMERO]]&amp;Banco_Nacion[[#This Row],[RESPONSABLE]]&amp;Banco_Nacion[[#This Row],[MONTO ]],"")</f>
        <v>FE01503205056758361448</v>
      </c>
      <c r="Y8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65876748</v>
      </c>
      <c r="Z83" s="3"/>
      <c r="AA83" s="3"/>
      <c r="AB83" s="24" t="str">
        <f>IF(Banco_Nacion[[#This Row],[FECHA]]&gt;0,TEXT(Banco_Nacion[[#This Row],[FECHA]],"mmmm"),0)</f>
        <v>Enero</v>
      </c>
    </row>
    <row r="84" spans="2:28" x14ac:dyDescent="0.3">
      <c r="B84" s="2">
        <f>IF(Banco_Nacion[[#This Row],[TIPO DE R.]]="R",COUNTIFS($D$4:$D83,"R")+1,"")</f>
        <v>80</v>
      </c>
      <c r="C84" s="19" t="str">
        <f t="shared" si="5"/>
        <v>B-Banco de la Nacion</v>
      </c>
      <c r="D84" s="3" t="s">
        <v>1074</v>
      </c>
      <c r="E84" s="14">
        <v>45688</v>
      </c>
      <c r="F84" s="5" t="s">
        <v>4289</v>
      </c>
      <c r="G84" s="5" t="s">
        <v>1079</v>
      </c>
      <c r="H84" s="6"/>
      <c r="I84" s="6"/>
      <c r="J84" s="6" t="s">
        <v>4289</v>
      </c>
      <c r="K84" s="6"/>
      <c r="L84" s="7" t="s">
        <v>4292</v>
      </c>
      <c r="M84" s="8">
        <v>78787878</v>
      </c>
      <c r="N84" s="8" t="str">
        <f t="shared" si="6"/>
        <v>PEN</v>
      </c>
      <c r="O84" s="13"/>
      <c r="P84" s="13">
        <v>11234</v>
      </c>
      <c r="Q84" s="3">
        <f t="shared" si="7"/>
        <v>0</v>
      </c>
      <c r="R84" s="3">
        <f t="shared" si="8"/>
        <v>11234</v>
      </c>
      <c r="S84" s="3">
        <f t="shared" si="9"/>
        <v>51881.010000000009</v>
      </c>
      <c r="T84" s="24"/>
      <c r="U84" s="24"/>
      <c r="V84" s="3"/>
      <c r="W84" s="19" t="str">
        <f>IFERROR(VLOOKUP(Banco_Nacion[[#This Row],[RESPONSABLE]],Clientes_Proveedores[[Ruc / Dni]:[Razon Social]],2,0),"")</f>
        <v/>
      </c>
      <c r="X8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8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84" s="3"/>
      <c r="AA84" s="3"/>
      <c r="AB84" s="24" t="str">
        <f>IF(Banco_Nacion[[#This Row],[FECHA]]&gt;0,TEXT(Banco_Nacion[[#This Row],[FECHA]],"mmmm"),0)</f>
        <v>Enero</v>
      </c>
    </row>
    <row r="85" spans="2:28" x14ac:dyDescent="0.3">
      <c r="B85" s="2">
        <f>IF(Banco_Nacion[[#This Row],[TIPO DE R.]]="R",COUNTIFS($D$4:$D84,"R")+1,"")</f>
        <v>81</v>
      </c>
      <c r="C85" s="19" t="str">
        <f t="shared" si="5"/>
        <v>B-Banco de la Nacion</v>
      </c>
      <c r="D85" s="3" t="s">
        <v>1074</v>
      </c>
      <c r="E85" s="14">
        <v>45691</v>
      </c>
      <c r="F85" s="5">
        <v>20605570829</v>
      </c>
      <c r="G85" s="5" t="s">
        <v>1087</v>
      </c>
      <c r="H85" s="6" t="s">
        <v>368</v>
      </c>
      <c r="I85" s="6" t="s">
        <v>14</v>
      </c>
      <c r="J85" s="6" t="s">
        <v>1097</v>
      </c>
      <c r="K85" s="6">
        <v>176</v>
      </c>
      <c r="L85" s="7" t="s">
        <v>4290</v>
      </c>
      <c r="M85" s="8">
        <v>66131103</v>
      </c>
      <c r="N85" s="8" t="str">
        <f t="shared" si="6"/>
        <v>PEN</v>
      </c>
      <c r="O85" s="13"/>
      <c r="P85" s="13">
        <v>140</v>
      </c>
      <c r="Q85" s="3">
        <f t="shared" si="7"/>
        <v>140</v>
      </c>
      <c r="R85" s="3">
        <f t="shared" si="8"/>
        <v>0</v>
      </c>
      <c r="S85" s="3">
        <f t="shared" si="9"/>
        <v>52021.010000000009</v>
      </c>
      <c r="T85" s="24"/>
      <c r="U85" s="24" t="s">
        <v>1081</v>
      </c>
      <c r="V85" s="3"/>
      <c r="W85" s="19" t="str">
        <f>IFERROR(VLOOKUP(Banco_Nacion[[#This Row],[RESPONSABLE]],Clientes_Proveedores[[Ruc / Dni]:[Razon Social]],2,0),"")</f>
        <v>SYNERGO CAP S.A.C.</v>
      </c>
      <c r="X85" s="19" t="str">
        <f>IF(Banco_Nacion[[#This Row],[TIPO DE MOV.]]="INGRESO",Banco_Nacion[[#This Row],[SERIE]]&amp;Banco_Nacion[[#This Row],[NUMERO]]&amp;Banco_Nacion[[#This Row],[RESPONSABLE]]&amp;Banco_Nacion[[#This Row],[MONTO ]],"")</f>
        <v>FE0217620605570829140</v>
      </c>
      <c r="Y8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66131103</v>
      </c>
      <c r="Z85" s="3"/>
      <c r="AA85" s="3"/>
      <c r="AB85" s="24" t="str">
        <f>IF(Banco_Nacion[[#This Row],[FECHA]]&gt;0,TEXT(Banco_Nacion[[#This Row],[FECHA]],"mmmm"),0)</f>
        <v>Febrero</v>
      </c>
    </row>
    <row r="86" spans="2:28" x14ac:dyDescent="0.3">
      <c r="B86" s="2">
        <f>IF(Banco_Nacion[[#This Row],[TIPO DE R.]]="R",COUNTIFS($D$4:$D85,"R")+1,"")</f>
        <v>82</v>
      </c>
      <c r="C86" s="19" t="str">
        <f t="shared" si="5"/>
        <v>B-Banco de la Nacion</v>
      </c>
      <c r="D86" s="3" t="s">
        <v>1074</v>
      </c>
      <c r="E86" s="14">
        <v>45691</v>
      </c>
      <c r="F86" s="5">
        <v>20505675836</v>
      </c>
      <c r="G86" s="5" t="s">
        <v>1087</v>
      </c>
      <c r="H86" s="6" t="s">
        <v>368</v>
      </c>
      <c r="I86" s="6" t="s">
        <v>14</v>
      </c>
      <c r="J86" s="6" t="s">
        <v>1088</v>
      </c>
      <c r="K86" s="6">
        <v>505</v>
      </c>
      <c r="L86" s="7" t="s">
        <v>4290</v>
      </c>
      <c r="M86" s="8">
        <v>66058476</v>
      </c>
      <c r="N86" s="8" t="str">
        <f t="shared" si="6"/>
        <v>PEN</v>
      </c>
      <c r="O86" s="13"/>
      <c r="P86" s="13">
        <v>112</v>
      </c>
      <c r="Q86" s="3">
        <f t="shared" si="7"/>
        <v>112</v>
      </c>
      <c r="R86" s="3">
        <f t="shared" si="8"/>
        <v>0</v>
      </c>
      <c r="S86" s="3">
        <f t="shared" si="9"/>
        <v>52133.010000000009</v>
      </c>
      <c r="T86" s="24"/>
      <c r="U86" s="24" t="s">
        <v>1081</v>
      </c>
      <c r="V86" s="3"/>
      <c r="W86" s="19" t="str">
        <f>IFERROR(VLOOKUP(Banco_Nacion[[#This Row],[RESPONSABLE]],Clientes_Proveedores[[Ruc / Dni]:[Razon Social]],2,0),"")</f>
        <v>FLSMIDTH S.A.C.</v>
      </c>
      <c r="X86" s="19" t="str">
        <f>IF(Banco_Nacion[[#This Row],[TIPO DE MOV.]]="INGRESO",Banco_Nacion[[#This Row],[SERIE]]&amp;Banco_Nacion[[#This Row],[NUMERO]]&amp;Banco_Nacion[[#This Row],[RESPONSABLE]]&amp;Banco_Nacion[[#This Row],[MONTO ]],"")</f>
        <v>FE0150520505675836112</v>
      </c>
      <c r="Y8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66058476</v>
      </c>
      <c r="Z86" s="3"/>
      <c r="AA86" s="3"/>
      <c r="AB86" s="24" t="str">
        <f>IF(Banco_Nacion[[#This Row],[FECHA]]&gt;0,TEXT(Banco_Nacion[[#This Row],[FECHA]],"mmmm"),0)</f>
        <v>Febrero</v>
      </c>
    </row>
    <row r="87" spans="2:28" x14ac:dyDescent="0.3">
      <c r="B87" s="2">
        <f>IF(Banco_Nacion[[#This Row],[TIPO DE R.]]="R",COUNTIFS($D$4:$D86,"R")+1,"")</f>
        <v>83</v>
      </c>
      <c r="C87" s="19" t="str">
        <f t="shared" si="5"/>
        <v>B-Banco de la Nacion</v>
      </c>
      <c r="D87" s="3" t="s">
        <v>1074</v>
      </c>
      <c r="E87" s="14">
        <v>45691</v>
      </c>
      <c r="F87" s="5">
        <v>20455283915</v>
      </c>
      <c r="G87" s="5" t="s">
        <v>1087</v>
      </c>
      <c r="H87" s="6" t="s">
        <v>368</v>
      </c>
      <c r="I87" s="6" t="s">
        <v>14</v>
      </c>
      <c r="J87" s="6" t="s">
        <v>1097</v>
      </c>
      <c r="K87" s="6">
        <v>183</v>
      </c>
      <c r="L87" s="7" t="s">
        <v>4290</v>
      </c>
      <c r="M87" s="8">
        <v>66057686</v>
      </c>
      <c r="N87" s="8" t="str">
        <f t="shared" si="6"/>
        <v>PEN</v>
      </c>
      <c r="O87" s="13"/>
      <c r="P87" s="13">
        <v>544</v>
      </c>
      <c r="Q87" s="3">
        <f t="shared" si="7"/>
        <v>544</v>
      </c>
      <c r="R87" s="3">
        <f t="shared" si="8"/>
        <v>0</v>
      </c>
      <c r="S87" s="3">
        <f t="shared" si="9"/>
        <v>52677.010000000009</v>
      </c>
      <c r="T87" s="24"/>
      <c r="U87" s="24" t="s">
        <v>1081</v>
      </c>
      <c r="V87" s="3"/>
      <c r="W87" s="19" t="str">
        <f>IFERROR(VLOOKUP(Banco_Nacion[[#This Row],[RESPONSABLE]],Clientes_Proveedores[[Ruc / Dni]:[Razon Social]],2,0),"")</f>
        <v>EMPRESA CONSERVADORA AMBIENTAL DEL SUR E.I.R.L. - ECA SUR E.I.R.L.</v>
      </c>
      <c r="X87" s="19" t="str">
        <f>IF(Banco_Nacion[[#This Row],[TIPO DE MOV.]]="INGRESO",Banco_Nacion[[#This Row],[SERIE]]&amp;Banco_Nacion[[#This Row],[NUMERO]]&amp;Banco_Nacion[[#This Row],[RESPONSABLE]]&amp;Banco_Nacion[[#This Row],[MONTO ]],"")</f>
        <v>FE0218320455283915544</v>
      </c>
      <c r="Y8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66057686</v>
      </c>
      <c r="Z87" s="3"/>
      <c r="AA87" s="3"/>
      <c r="AB87" s="24" t="str">
        <f>IF(Banco_Nacion[[#This Row],[FECHA]]&gt;0,TEXT(Banco_Nacion[[#This Row],[FECHA]],"mmmm"),0)</f>
        <v>Febrero</v>
      </c>
    </row>
    <row r="88" spans="2:28" x14ac:dyDescent="0.3">
      <c r="B88" s="2">
        <f>IF(Banco_Nacion[[#This Row],[TIPO DE R.]]="R",COUNTIFS($D$4:$D87,"R")+1,"")</f>
        <v>84</v>
      </c>
      <c r="C88" s="19" t="str">
        <f t="shared" si="5"/>
        <v>B-Banco de la Nacion</v>
      </c>
      <c r="D88" s="3" t="s">
        <v>1074</v>
      </c>
      <c r="E88" s="14">
        <v>45691</v>
      </c>
      <c r="F88" s="5">
        <v>20455283915</v>
      </c>
      <c r="G88" s="5" t="s">
        <v>1087</v>
      </c>
      <c r="H88" s="6" t="s">
        <v>368</v>
      </c>
      <c r="I88" s="6" t="s">
        <v>14</v>
      </c>
      <c r="J88" s="6" t="s">
        <v>1097</v>
      </c>
      <c r="K88" s="6">
        <v>179</v>
      </c>
      <c r="L88" s="7" t="s">
        <v>4290</v>
      </c>
      <c r="M88" s="8">
        <v>66057685</v>
      </c>
      <c r="N88" s="8" t="str">
        <f t="shared" si="6"/>
        <v>PEN</v>
      </c>
      <c r="O88" s="13"/>
      <c r="P88" s="13">
        <v>224</v>
      </c>
      <c r="Q88" s="3">
        <f t="shared" si="7"/>
        <v>224</v>
      </c>
      <c r="R88" s="3">
        <f t="shared" si="8"/>
        <v>0</v>
      </c>
      <c r="S88" s="3">
        <f t="shared" si="9"/>
        <v>52901.010000000009</v>
      </c>
      <c r="T88" s="24"/>
      <c r="U88" s="24" t="s">
        <v>1081</v>
      </c>
      <c r="V88" s="3"/>
      <c r="W88" s="19" t="str">
        <f>IFERROR(VLOOKUP(Banco_Nacion[[#This Row],[RESPONSABLE]],Clientes_Proveedores[[Ruc / Dni]:[Razon Social]],2,0),"")</f>
        <v>EMPRESA CONSERVADORA AMBIENTAL DEL SUR E.I.R.L. - ECA SUR E.I.R.L.</v>
      </c>
      <c r="X88" s="19" t="str">
        <f>IF(Banco_Nacion[[#This Row],[TIPO DE MOV.]]="INGRESO",Banco_Nacion[[#This Row],[SERIE]]&amp;Banco_Nacion[[#This Row],[NUMERO]]&amp;Banco_Nacion[[#This Row],[RESPONSABLE]]&amp;Banco_Nacion[[#This Row],[MONTO ]],"")</f>
        <v>FE0217920455283915224</v>
      </c>
      <c r="Y8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66057685</v>
      </c>
      <c r="Z88" s="3"/>
      <c r="AA88" s="3"/>
      <c r="AB88" s="24" t="str">
        <f>IF(Banco_Nacion[[#This Row],[FECHA]]&gt;0,TEXT(Banco_Nacion[[#This Row],[FECHA]],"mmmm"),0)</f>
        <v>Febrero</v>
      </c>
    </row>
    <row r="89" spans="2:28" x14ac:dyDescent="0.3">
      <c r="B89" s="2">
        <f>IF(Banco_Nacion[[#This Row],[TIPO DE R.]]="R",COUNTIFS($D$4:$D88,"R")+1,"")</f>
        <v>85</v>
      </c>
      <c r="C89" s="19" t="str">
        <f t="shared" si="5"/>
        <v>B-Banco de la Nacion</v>
      </c>
      <c r="D89" s="3" t="s">
        <v>1074</v>
      </c>
      <c r="E89" s="14">
        <v>45691</v>
      </c>
      <c r="F89" s="5">
        <v>20455283915</v>
      </c>
      <c r="G89" s="5" t="s">
        <v>1087</v>
      </c>
      <c r="H89" s="6" t="s">
        <v>368</v>
      </c>
      <c r="I89" s="6" t="s">
        <v>14</v>
      </c>
      <c r="J89" s="6" t="s">
        <v>1097</v>
      </c>
      <c r="K89" s="6">
        <v>178</v>
      </c>
      <c r="L89" s="7" t="s">
        <v>4290</v>
      </c>
      <c r="M89" s="8">
        <v>66057684</v>
      </c>
      <c r="N89" s="8" t="str">
        <f t="shared" si="6"/>
        <v>PEN</v>
      </c>
      <c r="O89" s="13"/>
      <c r="P89" s="13">
        <v>185</v>
      </c>
      <c r="Q89" s="3">
        <f t="shared" si="7"/>
        <v>185</v>
      </c>
      <c r="R89" s="3">
        <f t="shared" si="8"/>
        <v>0</v>
      </c>
      <c r="S89" s="3">
        <f t="shared" si="9"/>
        <v>53086.010000000009</v>
      </c>
      <c r="T89" s="24"/>
      <c r="U89" s="24" t="s">
        <v>1081</v>
      </c>
      <c r="V89" s="3"/>
      <c r="W89" s="19" t="str">
        <f>IFERROR(VLOOKUP(Banco_Nacion[[#This Row],[RESPONSABLE]],Clientes_Proveedores[[Ruc / Dni]:[Razon Social]],2,0),"")</f>
        <v>EMPRESA CONSERVADORA AMBIENTAL DEL SUR E.I.R.L. - ECA SUR E.I.R.L.</v>
      </c>
      <c r="X89" s="19" t="str">
        <f>IF(Banco_Nacion[[#This Row],[TIPO DE MOV.]]="INGRESO",Banco_Nacion[[#This Row],[SERIE]]&amp;Banco_Nacion[[#This Row],[NUMERO]]&amp;Banco_Nacion[[#This Row],[RESPONSABLE]]&amp;Banco_Nacion[[#This Row],[MONTO ]],"")</f>
        <v>FE0217820455283915185</v>
      </c>
      <c r="Y8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66057684</v>
      </c>
      <c r="Z89" s="3"/>
      <c r="AA89" s="3"/>
      <c r="AB89" s="24" t="str">
        <f>IF(Banco_Nacion[[#This Row],[FECHA]]&gt;0,TEXT(Banco_Nacion[[#This Row],[FECHA]],"mmmm"),0)</f>
        <v>Febrero</v>
      </c>
    </row>
    <row r="90" spans="2:28" x14ac:dyDescent="0.3">
      <c r="B90" s="2">
        <f>IF(Banco_Nacion[[#This Row],[TIPO DE R.]]="R",COUNTIFS($D$4:$D89,"R")+1,"")</f>
        <v>86</v>
      </c>
      <c r="C90" s="19" t="str">
        <f t="shared" si="5"/>
        <v>B-Banco de la Nacion</v>
      </c>
      <c r="D90" s="3" t="s">
        <v>1074</v>
      </c>
      <c r="E90" s="14">
        <v>45691</v>
      </c>
      <c r="F90" s="5">
        <v>20455283915</v>
      </c>
      <c r="G90" s="5" t="s">
        <v>1087</v>
      </c>
      <c r="H90" s="6" t="s">
        <v>368</v>
      </c>
      <c r="I90" s="6" t="s">
        <v>14</v>
      </c>
      <c r="J90" s="6" t="s">
        <v>1097</v>
      </c>
      <c r="K90" s="6">
        <v>172</v>
      </c>
      <c r="L90" s="7" t="s">
        <v>4290</v>
      </c>
      <c r="M90" s="8">
        <v>66057683</v>
      </c>
      <c r="N90" s="8" t="str">
        <f t="shared" si="6"/>
        <v>PEN</v>
      </c>
      <c r="O90" s="13"/>
      <c r="P90" s="13">
        <v>98</v>
      </c>
      <c r="Q90" s="3">
        <f t="shared" si="7"/>
        <v>98</v>
      </c>
      <c r="R90" s="3">
        <f t="shared" si="8"/>
        <v>0</v>
      </c>
      <c r="S90" s="3">
        <f t="shared" si="9"/>
        <v>53184.010000000009</v>
      </c>
      <c r="T90" s="24"/>
      <c r="U90" s="24" t="s">
        <v>1081</v>
      </c>
      <c r="V90" s="3"/>
      <c r="W90" s="19" t="str">
        <f>IFERROR(VLOOKUP(Banco_Nacion[[#This Row],[RESPONSABLE]],Clientes_Proveedores[[Ruc / Dni]:[Razon Social]],2,0),"")</f>
        <v>EMPRESA CONSERVADORA AMBIENTAL DEL SUR E.I.R.L. - ECA SUR E.I.R.L.</v>
      </c>
      <c r="X90" s="19" t="str">
        <f>IF(Banco_Nacion[[#This Row],[TIPO DE MOV.]]="INGRESO",Banco_Nacion[[#This Row],[SERIE]]&amp;Banco_Nacion[[#This Row],[NUMERO]]&amp;Banco_Nacion[[#This Row],[RESPONSABLE]]&amp;Banco_Nacion[[#This Row],[MONTO ]],"")</f>
        <v>FE021722045528391598</v>
      </c>
      <c r="Y9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66057683</v>
      </c>
      <c r="Z90" s="3"/>
      <c r="AA90" s="3"/>
      <c r="AB90" s="24" t="str">
        <f>IF(Banco_Nacion[[#This Row],[FECHA]]&gt;0,TEXT(Banco_Nacion[[#This Row],[FECHA]],"mmmm"),0)</f>
        <v>Febrero</v>
      </c>
    </row>
    <row r="91" spans="2:28" x14ac:dyDescent="0.3">
      <c r="B91" s="2">
        <f>IF(Banco_Nacion[[#This Row],[TIPO DE R.]]="R",COUNTIFS($D$4:$D90,"R")+1,"")</f>
        <v>87</v>
      </c>
      <c r="C91" s="19" t="str">
        <f t="shared" si="5"/>
        <v>B-Banco de la Nacion</v>
      </c>
      <c r="D91" s="3" t="s">
        <v>1074</v>
      </c>
      <c r="E91" s="14">
        <v>45691</v>
      </c>
      <c r="F91" s="5">
        <v>20455283915</v>
      </c>
      <c r="G91" s="5" t="s">
        <v>1087</v>
      </c>
      <c r="H91" s="6" t="s">
        <v>368</v>
      </c>
      <c r="I91" s="6" t="s">
        <v>14</v>
      </c>
      <c r="J91" s="6" t="s">
        <v>1097</v>
      </c>
      <c r="K91" s="6">
        <v>169</v>
      </c>
      <c r="L91" s="7" t="s">
        <v>4290</v>
      </c>
      <c r="M91" s="8">
        <v>66057682</v>
      </c>
      <c r="N91" s="8" t="str">
        <f t="shared" si="6"/>
        <v>PEN</v>
      </c>
      <c r="O91" s="13"/>
      <c r="P91" s="13">
        <v>548</v>
      </c>
      <c r="Q91" s="3">
        <f t="shared" si="7"/>
        <v>548</v>
      </c>
      <c r="R91" s="3">
        <f t="shared" si="8"/>
        <v>0</v>
      </c>
      <c r="S91" s="3">
        <f t="shared" si="9"/>
        <v>53732.010000000009</v>
      </c>
      <c r="T91" s="24"/>
      <c r="U91" s="24" t="s">
        <v>1081</v>
      </c>
      <c r="V91" s="3"/>
      <c r="W91" s="19" t="str">
        <f>IFERROR(VLOOKUP(Banco_Nacion[[#This Row],[RESPONSABLE]],Clientes_Proveedores[[Ruc / Dni]:[Razon Social]],2,0),"")</f>
        <v>EMPRESA CONSERVADORA AMBIENTAL DEL SUR E.I.R.L. - ECA SUR E.I.R.L.</v>
      </c>
      <c r="X91" s="19" t="str">
        <f>IF(Banco_Nacion[[#This Row],[TIPO DE MOV.]]="INGRESO",Banco_Nacion[[#This Row],[SERIE]]&amp;Banco_Nacion[[#This Row],[NUMERO]]&amp;Banco_Nacion[[#This Row],[RESPONSABLE]]&amp;Banco_Nacion[[#This Row],[MONTO ]],"")</f>
        <v>FE0216920455283915548</v>
      </c>
      <c r="Y9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66057682</v>
      </c>
      <c r="Z91" s="3"/>
      <c r="AA91" s="3"/>
      <c r="AB91" s="24" t="str">
        <f>IF(Banco_Nacion[[#This Row],[FECHA]]&gt;0,TEXT(Banco_Nacion[[#This Row],[FECHA]],"mmmm"),0)</f>
        <v>Febrero</v>
      </c>
    </row>
    <row r="92" spans="2:28" x14ac:dyDescent="0.3">
      <c r="B92" s="2">
        <f>IF(Banco_Nacion[[#This Row],[TIPO DE R.]]="R",COUNTIFS($D$4:$D91,"R")+1,"")</f>
        <v>88</v>
      </c>
      <c r="C92" s="19" t="str">
        <f t="shared" si="5"/>
        <v>B-Banco de la Nacion</v>
      </c>
      <c r="D92" s="3" t="s">
        <v>1074</v>
      </c>
      <c r="E92" s="14">
        <v>45691</v>
      </c>
      <c r="F92" s="5">
        <v>20603536569</v>
      </c>
      <c r="G92" s="5" t="s">
        <v>1087</v>
      </c>
      <c r="H92" s="6" t="s">
        <v>368</v>
      </c>
      <c r="I92" s="6" t="s">
        <v>14</v>
      </c>
      <c r="J92" s="6" t="s">
        <v>1088</v>
      </c>
      <c r="K92" s="6">
        <v>528</v>
      </c>
      <c r="L92" s="7" t="s">
        <v>4290</v>
      </c>
      <c r="M92" s="8">
        <v>66034250</v>
      </c>
      <c r="N92" s="8" t="str">
        <f t="shared" si="6"/>
        <v>PEN</v>
      </c>
      <c r="O92" s="13"/>
      <c r="P92" s="13">
        <v>577</v>
      </c>
      <c r="Q92" s="3">
        <f t="shared" si="7"/>
        <v>577</v>
      </c>
      <c r="R92" s="3">
        <f t="shared" si="8"/>
        <v>0</v>
      </c>
      <c r="S92" s="3">
        <f t="shared" si="9"/>
        <v>54309.010000000009</v>
      </c>
      <c r="T92" s="24"/>
      <c r="U92" s="24" t="s">
        <v>1081</v>
      </c>
      <c r="V92" s="3"/>
      <c r="W92" s="19" t="str">
        <f>IFERROR(VLOOKUP(Banco_Nacion[[#This Row],[RESPONSABLE]],Clientes_Proveedores[[Ruc / Dni]:[Razon Social]],2,0),"")</f>
        <v>ANTILLA COPPER SOCIEDAD ANONIMA</v>
      </c>
      <c r="X92" s="19" t="str">
        <f>IF(Banco_Nacion[[#This Row],[TIPO DE MOV.]]="INGRESO",Banco_Nacion[[#This Row],[SERIE]]&amp;Banco_Nacion[[#This Row],[NUMERO]]&amp;Banco_Nacion[[#This Row],[RESPONSABLE]]&amp;Banco_Nacion[[#This Row],[MONTO ]],"")</f>
        <v>FE0152820603536569577</v>
      </c>
      <c r="Y9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66034250</v>
      </c>
      <c r="Z92" s="3"/>
      <c r="AA92" s="3"/>
      <c r="AB92" s="24" t="str">
        <f>IF(Banco_Nacion[[#This Row],[FECHA]]&gt;0,TEXT(Banco_Nacion[[#This Row],[FECHA]],"mmmm"),0)</f>
        <v>Febrero</v>
      </c>
    </row>
    <row r="93" spans="2:28" x14ac:dyDescent="0.3">
      <c r="B93" s="2">
        <f>IF(Banco_Nacion[[#This Row],[TIPO DE R.]]="R",COUNTIFS($D$4:$D92,"R")+1,"")</f>
        <v>89</v>
      </c>
      <c r="C93" s="19" t="str">
        <f t="shared" si="5"/>
        <v>B-Banco de la Nacion</v>
      </c>
      <c r="D93" s="3" t="s">
        <v>1074</v>
      </c>
      <c r="E93" s="14">
        <v>45692</v>
      </c>
      <c r="F93" s="5">
        <v>20370146994</v>
      </c>
      <c r="G93" s="5" t="s">
        <v>1087</v>
      </c>
      <c r="H93" s="6" t="s">
        <v>368</v>
      </c>
      <c r="I93" s="6" t="s">
        <v>14</v>
      </c>
      <c r="J93" s="6" t="s">
        <v>1097</v>
      </c>
      <c r="K93" s="6">
        <v>188</v>
      </c>
      <c r="L93" s="7" t="s">
        <v>4290</v>
      </c>
      <c r="M93" s="8">
        <v>66211876</v>
      </c>
      <c r="N93" s="8" t="str">
        <f t="shared" si="6"/>
        <v>PEN</v>
      </c>
      <c r="O93" s="13"/>
      <c r="P93" s="13">
        <v>3589</v>
      </c>
      <c r="Q93" s="3">
        <f t="shared" si="7"/>
        <v>3589</v>
      </c>
      <c r="R93" s="3">
        <f t="shared" si="8"/>
        <v>0</v>
      </c>
      <c r="S93" s="3">
        <f t="shared" si="9"/>
        <v>57898.010000000009</v>
      </c>
      <c r="T93" s="24"/>
      <c r="U93" s="24" t="s">
        <v>1081</v>
      </c>
      <c r="V93" s="3"/>
      <c r="W93" s="19" t="str">
        <f>IFERROR(VLOOKUP(Banco_Nacion[[#This Row],[RESPONSABLE]],Clientes_Proveedores[[Ruc / Dni]:[Razon Social]],2,0),"")</f>
        <v>CORPORACION ACEROS AREQUIPA S.A</v>
      </c>
      <c r="X93" s="19" t="str">
        <f>IF(Banco_Nacion[[#This Row],[TIPO DE MOV.]]="INGRESO",Banco_Nacion[[#This Row],[SERIE]]&amp;Banco_Nacion[[#This Row],[NUMERO]]&amp;Banco_Nacion[[#This Row],[RESPONSABLE]]&amp;Banco_Nacion[[#This Row],[MONTO ]],"")</f>
        <v>FE02188203701469943589</v>
      </c>
      <c r="Y9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66211876</v>
      </c>
      <c r="Z93" s="3"/>
      <c r="AA93" s="3"/>
      <c r="AB93" s="24" t="str">
        <f>IF(Banco_Nacion[[#This Row],[FECHA]]&gt;0,TEXT(Banco_Nacion[[#This Row],[FECHA]],"mmmm"),0)</f>
        <v>Febrero</v>
      </c>
    </row>
    <row r="94" spans="2:28" x14ac:dyDescent="0.3">
      <c r="B94" s="2">
        <f>IF(Banco_Nacion[[#This Row],[TIPO DE R.]]="R",COUNTIFS($D$4:$D93,"R")+1,"")</f>
        <v>90</v>
      </c>
      <c r="C94" s="19" t="str">
        <f t="shared" si="5"/>
        <v>B-Banco de la Nacion</v>
      </c>
      <c r="D94" s="3" t="s">
        <v>1074</v>
      </c>
      <c r="E94" s="14">
        <v>45692</v>
      </c>
      <c r="F94" s="5">
        <v>20100055237</v>
      </c>
      <c r="G94" s="5" t="s">
        <v>1087</v>
      </c>
      <c r="H94" s="6" t="s">
        <v>368</v>
      </c>
      <c r="I94" s="6" t="s">
        <v>14</v>
      </c>
      <c r="J94" s="6" t="s">
        <v>1088</v>
      </c>
      <c r="K94" s="6">
        <v>532</v>
      </c>
      <c r="L94" s="7" t="s">
        <v>4290</v>
      </c>
      <c r="M94" s="8">
        <v>66196043</v>
      </c>
      <c r="N94" s="8" t="str">
        <f t="shared" si="6"/>
        <v>PEN</v>
      </c>
      <c r="O94" s="13"/>
      <c r="P94" s="13">
        <v>70</v>
      </c>
      <c r="Q94" s="3">
        <f t="shared" si="7"/>
        <v>70</v>
      </c>
      <c r="R94" s="3">
        <f t="shared" si="8"/>
        <v>0</v>
      </c>
      <c r="S94" s="3">
        <f t="shared" si="9"/>
        <v>57968.010000000009</v>
      </c>
      <c r="T94" s="24"/>
      <c r="U94" s="24" t="s">
        <v>1081</v>
      </c>
      <c r="V94" s="3"/>
      <c r="W94" s="19" t="str">
        <f>IFERROR(VLOOKUP(Banco_Nacion[[#This Row],[RESPONSABLE]],Clientes_Proveedores[[Ruc / Dni]:[Razon Social]],2,0),"")</f>
        <v>ALICORP SAA</v>
      </c>
      <c r="X94" s="19" t="str">
        <f>IF(Banco_Nacion[[#This Row],[TIPO DE MOV.]]="INGRESO",Banco_Nacion[[#This Row],[SERIE]]&amp;Banco_Nacion[[#This Row],[NUMERO]]&amp;Banco_Nacion[[#This Row],[RESPONSABLE]]&amp;Banco_Nacion[[#This Row],[MONTO ]],"")</f>
        <v>FE015322010005523770</v>
      </c>
      <c r="Y9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66196043</v>
      </c>
      <c r="Z94" s="3"/>
      <c r="AA94" s="3"/>
      <c r="AB94" s="24" t="str">
        <f>IF(Banco_Nacion[[#This Row],[FECHA]]&gt;0,TEXT(Banco_Nacion[[#This Row],[FECHA]],"mmmm"),0)</f>
        <v>Febrero</v>
      </c>
    </row>
    <row r="95" spans="2:28" x14ac:dyDescent="0.3">
      <c r="B95" s="2">
        <f>IF(Banco_Nacion[[#This Row],[TIPO DE R.]]="R",COUNTIFS($D$4:$D94,"R")+1,"")</f>
        <v>91</v>
      </c>
      <c r="C95" s="19" t="str">
        <f t="shared" si="5"/>
        <v>B-Banco de la Nacion</v>
      </c>
      <c r="D95" s="3" t="s">
        <v>1074</v>
      </c>
      <c r="E95" s="14">
        <v>45692</v>
      </c>
      <c r="F95" s="5">
        <v>20521817047</v>
      </c>
      <c r="G95" s="5" t="s">
        <v>1087</v>
      </c>
      <c r="H95" s="6" t="s">
        <v>368</v>
      </c>
      <c r="I95" s="6" t="s">
        <v>14</v>
      </c>
      <c r="J95" s="6" t="s">
        <v>1088</v>
      </c>
      <c r="K95" s="6">
        <v>521</v>
      </c>
      <c r="L95" s="7" t="s">
        <v>4290</v>
      </c>
      <c r="M95" s="8">
        <v>66147197</v>
      </c>
      <c r="N95" s="8" t="str">
        <f t="shared" si="6"/>
        <v>PEN</v>
      </c>
      <c r="O95" s="13"/>
      <c r="P95" s="13">
        <v>483</v>
      </c>
      <c r="Q95" s="3">
        <f t="shared" si="7"/>
        <v>483</v>
      </c>
      <c r="R95" s="3">
        <f t="shared" si="8"/>
        <v>0</v>
      </c>
      <c r="S95" s="3">
        <f t="shared" si="9"/>
        <v>58451.010000000009</v>
      </c>
      <c r="T95" s="24"/>
      <c r="U95" s="24" t="s">
        <v>1081</v>
      </c>
      <c r="V95" s="3"/>
      <c r="W95" s="19" t="str">
        <f>IFERROR(VLOOKUP(Banco_Nacion[[#This Row],[RESPONSABLE]],Clientes_Proveedores[[Ruc / Dni]:[Razon Social]],2,0),"")</f>
        <v>H-E PARTS INTERNATIONAL PERU S.A.C</v>
      </c>
      <c r="X95" s="19" t="str">
        <f>IF(Banco_Nacion[[#This Row],[TIPO DE MOV.]]="INGRESO",Banco_Nacion[[#This Row],[SERIE]]&amp;Banco_Nacion[[#This Row],[NUMERO]]&amp;Banco_Nacion[[#This Row],[RESPONSABLE]]&amp;Banco_Nacion[[#This Row],[MONTO ]],"")</f>
        <v>FE0152120521817047483</v>
      </c>
      <c r="Y9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66147197</v>
      </c>
      <c r="Z95" s="3"/>
      <c r="AA95" s="3"/>
      <c r="AB95" s="24" t="str">
        <f>IF(Banco_Nacion[[#This Row],[FECHA]]&gt;0,TEXT(Banco_Nacion[[#This Row],[FECHA]],"mmmm"),0)</f>
        <v>Febrero</v>
      </c>
    </row>
    <row r="96" spans="2:28" x14ac:dyDescent="0.3">
      <c r="B96" s="2">
        <f>IF(Banco_Nacion[[#This Row],[TIPO DE R.]]="R",COUNTIFS($D$4:$D95,"R")+1,"")</f>
        <v>92</v>
      </c>
      <c r="C96" s="19" t="str">
        <f t="shared" si="5"/>
        <v>B-Banco de la Nacion</v>
      </c>
      <c r="D96" s="3" t="s">
        <v>1074</v>
      </c>
      <c r="E96" s="14">
        <v>45694</v>
      </c>
      <c r="F96" s="5">
        <v>20516903113</v>
      </c>
      <c r="G96" s="5" t="s">
        <v>1087</v>
      </c>
      <c r="H96" s="6" t="s">
        <v>368</v>
      </c>
      <c r="I96" s="6" t="s">
        <v>14</v>
      </c>
      <c r="J96" s="6" t="s">
        <v>1088</v>
      </c>
      <c r="K96" s="6">
        <v>509</v>
      </c>
      <c r="L96" s="7" t="s">
        <v>4290</v>
      </c>
      <c r="M96" s="8">
        <v>66488274</v>
      </c>
      <c r="N96" s="8" t="str">
        <f t="shared" si="6"/>
        <v>PEN</v>
      </c>
      <c r="O96" s="13"/>
      <c r="P96" s="13">
        <v>86</v>
      </c>
      <c r="Q96" s="3">
        <f t="shared" si="7"/>
        <v>86</v>
      </c>
      <c r="R96" s="3">
        <f t="shared" si="8"/>
        <v>0</v>
      </c>
      <c r="S96" s="3">
        <f t="shared" si="9"/>
        <v>58537.010000000009</v>
      </c>
      <c r="T96" s="24"/>
      <c r="U96" s="24"/>
      <c r="V96" s="3"/>
      <c r="W96" s="19" t="str">
        <f>IFERROR(VLOOKUP(Banco_Nacion[[#This Row],[RESPONSABLE]],Clientes_Proveedores[[Ruc / Dni]:[Razon Social]],2,0),"")</f>
        <v>GRUPO DE GESTION C SOCIEDAD ANONIMA - GRUPO DE GESTION C S.A.</v>
      </c>
      <c r="X96" s="19" t="str">
        <f>IF(Banco_Nacion[[#This Row],[TIPO DE MOV.]]="INGRESO",Banco_Nacion[[#This Row],[SERIE]]&amp;Banco_Nacion[[#This Row],[NUMERO]]&amp;Banco_Nacion[[#This Row],[RESPONSABLE]]&amp;Banco_Nacion[[#This Row],[MONTO ]],"")</f>
        <v>FE015092051690311386</v>
      </c>
      <c r="Y9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66488274</v>
      </c>
      <c r="Z96" s="3"/>
      <c r="AA96" s="3"/>
      <c r="AB96" s="24" t="str">
        <f>IF(Banco_Nacion[[#This Row],[FECHA]]&gt;0,TEXT(Banco_Nacion[[#This Row],[FECHA]],"mmmm"),0)</f>
        <v>Febrero</v>
      </c>
    </row>
    <row r="97" spans="2:28" x14ac:dyDescent="0.3">
      <c r="B97" s="2">
        <f>IF(Banco_Nacion[[#This Row],[TIPO DE R.]]="R",COUNTIFS($D$4:$D96,"R")+1,"")</f>
        <v>93</v>
      </c>
      <c r="C97" s="19" t="str">
        <f t="shared" si="5"/>
        <v>B-Banco de la Nacion</v>
      </c>
      <c r="D97" s="3" t="s">
        <v>1074</v>
      </c>
      <c r="E97" s="14">
        <v>45694</v>
      </c>
      <c r="F97" s="5">
        <v>20100192064</v>
      </c>
      <c r="G97" s="5" t="s">
        <v>1087</v>
      </c>
      <c r="H97" s="6" t="s">
        <v>368</v>
      </c>
      <c r="I97" s="6" t="s">
        <v>14</v>
      </c>
      <c r="J97" s="6" t="s">
        <v>1088</v>
      </c>
      <c r="K97" s="6">
        <v>539</v>
      </c>
      <c r="L97" s="7" t="s">
        <v>4290</v>
      </c>
      <c r="M97" s="8">
        <v>66448402</v>
      </c>
      <c r="N97" s="8" t="str">
        <f t="shared" si="6"/>
        <v>PEN</v>
      </c>
      <c r="O97" s="13"/>
      <c r="P97" s="13">
        <v>424</v>
      </c>
      <c r="Q97" s="3">
        <f t="shared" si="7"/>
        <v>424</v>
      </c>
      <c r="R97" s="3">
        <f t="shared" si="8"/>
        <v>0</v>
      </c>
      <c r="S97" s="3">
        <f t="shared" si="9"/>
        <v>58961.010000000009</v>
      </c>
      <c r="T97" s="24"/>
      <c r="U97" s="24" t="s">
        <v>1081</v>
      </c>
      <c r="V97" s="3"/>
      <c r="W97" s="19" t="str">
        <f>IFERROR(VLOOKUP(Banco_Nacion[[#This Row],[RESPONSABLE]],Clientes_Proveedores[[Ruc / Dni]:[Razon Social]],2,0),"")</f>
        <v>MOLY-COP ADESUR S.A</v>
      </c>
      <c r="X97" s="19" t="str">
        <f>IF(Banco_Nacion[[#This Row],[TIPO DE MOV.]]="INGRESO",Banco_Nacion[[#This Row],[SERIE]]&amp;Banco_Nacion[[#This Row],[NUMERO]]&amp;Banco_Nacion[[#This Row],[RESPONSABLE]]&amp;Banco_Nacion[[#This Row],[MONTO ]],"")</f>
        <v>FE0153920100192064424</v>
      </c>
      <c r="Y9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66448402</v>
      </c>
      <c r="Z97" s="3"/>
      <c r="AA97" s="3"/>
      <c r="AB97" s="24" t="str">
        <f>IF(Banco_Nacion[[#This Row],[FECHA]]&gt;0,TEXT(Banco_Nacion[[#This Row],[FECHA]],"mmmm"),0)</f>
        <v>Febrero</v>
      </c>
    </row>
    <row r="98" spans="2:28" x14ac:dyDescent="0.3">
      <c r="B98" s="2">
        <f>IF(Banco_Nacion[[#This Row],[TIPO DE R.]]="R",COUNTIFS($D$4:$D97,"R")+1,"")</f>
        <v>94</v>
      </c>
      <c r="C98" s="19" t="str">
        <f t="shared" si="5"/>
        <v>B-Banco de la Nacion</v>
      </c>
      <c r="D98" s="3" t="s">
        <v>1074</v>
      </c>
      <c r="E98" s="14">
        <v>45694</v>
      </c>
      <c r="F98" s="5">
        <v>20100192064</v>
      </c>
      <c r="G98" s="5" t="s">
        <v>1087</v>
      </c>
      <c r="H98" s="6" t="s">
        <v>368</v>
      </c>
      <c r="I98" s="6" t="s">
        <v>14</v>
      </c>
      <c r="J98" s="6" t="s">
        <v>1088</v>
      </c>
      <c r="K98" s="6">
        <v>535</v>
      </c>
      <c r="L98" s="7" t="s">
        <v>4290</v>
      </c>
      <c r="M98" s="8">
        <v>66448370</v>
      </c>
      <c r="N98" s="8" t="str">
        <f t="shared" si="6"/>
        <v>PEN</v>
      </c>
      <c r="O98" s="13"/>
      <c r="P98" s="13">
        <v>728</v>
      </c>
      <c r="Q98" s="3">
        <f t="shared" si="7"/>
        <v>728</v>
      </c>
      <c r="R98" s="3">
        <f t="shared" si="8"/>
        <v>0</v>
      </c>
      <c r="S98" s="3">
        <f t="shared" si="9"/>
        <v>59689.010000000009</v>
      </c>
      <c r="T98" s="24"/>
      <c r="U98" s="24" t="s">
        <v>1081</v>
      </c>
      <c r="V98" s="3"/>
      <c r="W98" s="19" t="str">
        <f>IFERROR(VLOOKUP(Banco_Nacion[[#This Row],[RESPONSABLE]],Clientes_Proveedores[[Ruc / Dni]:[Razon Social]],2,0),"")</f>
        <v>MOLY-COP ADESUR S.A</v>
      </c>
      <c r="X98" s="19" t="str">
        <f>IF(Banco_Nacion[[#This Row],[TIPO DE MOV.]]="INGRESO",Banco_Nacion[[#This Row],[SERIE]]&amp;Banco_Nacion[[#This Row],[NUMERO]]&amp;Banco_Nacion[[#This Row],[RESPONSABLE]]&amp;Banco_Nacion[[#This Row],[MONTO ]],"")</f>
        <v>FE0153520100192064728</v>
      </c>
      <c r="Y9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66448370</v>
      </c>
      <c r="Z98" s="3"/>
      <c r="AA98" s="3"/>
      <c r="AB98" s="24" t="str">
        <f>IF(Banco_Nacion[[#This Row],[FECHA]]&gt;0,TEXT(Banco_Nacion[[#This Row],[FECHA]],"mmmm"),0)</f>
        <v>Febrero</v>
      </c>
    </row>
    <row r="99" spans="2:28" x14ac:dyDescent="0.3">
      <c r="B99" s="2">
        <f>IF(Banco_Nacion[[#This Row],[TIPO DE R.]]="R",COUNTIFS($D$4:$D98,"R")+1,"")</f>
        <v>95</v>
      </c>
      <c r="C99" s="19" t="str">
        <f t="shared" si="5"/>
        <v>B-Banco de la Nacion</v>
      </c>
      <c r="D99" s="3" t="s">
        <v>1074</v>
      </c>
      <c r="E99" s="14">
        <v>45694</v>
      </c>
      <c r="F99" s="5">
        <v>20100192064</v>
      </c>
      <c r="G99" s="5" t="s">
        <v>1087</v>
      </c>
      <c r="H99" s="6" t="s">
        <v>368</v>
      </c>
      <c r="I99" s="6" t="s">
        <v>14</v>
      </c>
      <c r="J99" s="6" t="s">
        <v>1088</v>
      </c>
      <c r="K99" s="6">
        <v>534</v>
      </c>
      <c r="L99" s="7" t="s">
        <v>4290</v>
      </c>
      <c r="M99" s="8">
        <v>66448369</v>
      </c>
      <c r="N99" s="8" t="str">
        <f t="shared" si="6"/>
        <v>PEN</v>
      </c>
      <c r="O99" s="13"/>
      <c r="P99" s="13">
        <v>1130</v>
      </c>
      <c r="Q99" s="3">
        <f t="shared" si="7"/>
        <v>1130</v>
      </c>
      <c r="R99" s="3">
        <f t="shared" si="8"/>
        <v>0</v>
      </c>
      <c r="S99" s="3">
        <f t="shared" si="9"/>
        <v>60819.010000000009</v>
      </c>
      <c r="T99" s="24"/>
      <c r="U99" s="24" t="s">
        <v>1081</v>
      </c>
      <c r="V99" s="3"/>
      <c r="W99" s="19" t="str">
        <f>IFERROR(VLOOKUP(Banco_Nacion[[#This Row],[RESPONSABLE]],Clientes_Proveedores[[Ruc / Dni]:[Razon Social]],2,0),"")</f>
        <v>MOLY-COP ADESUR S.A</v>
      </c>
      <c r="X99" s="19" t="str">
        <f>IF(Banco_Nacion[[#This Row],[TIPO DE MOV.]]="INGRESO",Banco_Nacion[[#This Row],[SERIE]]&amp;Banco_Nacion[[#This Row],[NUMERO]]&amp;Banco_Nacion[[#This Row],[RESPONSABLE]]&amp;Banco_Nacion[[#This Row],[MONTO ]],"")</f>
        <v>FE01534201001920641130</v>
      </c>
      <c r="Y9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66448369</v>
      </c>
      <c r="Z99" s="3"/>
      <c r="AA99" s="3"/>
      <c r="AB99" s="24" t="str">
        <f>IF(Banco_Nacion[[#This Row],[FECHA]]&gt;0,TEXT(Banco_Nacion[[#This Row],[FECHA]],"mmmm"),0)</f>
        <v>Febrero</v>
      </c>
    </row>
    <row r="100" spans="2:28" x14ac:dyDescent="0.3">
      <c r="B100" s="2">
        <f>IF(Banco_Nacion[[#This Row],[TIPO DE R.]]="R",COUNTIFS($D$4:$D99,"R")+1,"")</f>
        <v>96</v>
      </c>
      <c r="C100" s="19" t="str">
        <f t="shared" si="5"/>
        <v>B-Banco de la Nacion</v>
      </c>
      <c r="D100" s="3" t="s">
        <v>1074</v>
      </c>
      <c r="E100" s="14">
        <v>45694</v>
      </c>
      <c r="F100" s="5">
        <v>20100192064</v>
      </c>
      <c r="G100" s="5" t="s">
        <v>1087</v>
      </c>
      <c r="H100" s="6" t="s">
        <v>368</v>
      </c>
      <c r="I100" s="6" t="s">
        <v>14</v>
      </c>
      <c r="J100" s="6" t="s">
        <v>1088</v>
      </c>
      <c r="K100" s="6">
        <v>533</v>
      </c>
      <c r="L100" s="7" t="s">
        <v>4290</v>
      </c>
      <c r="M100" s="8">
        <v>66448368</v>
      </c>
      <c r="N100" s="8" t="str">
        <f t="shared" si="6"/>
        <v>PEN</v>
      </c>
      <c r="O100" s="13"/>
      <c r="P100" s="13">
        <v>64</v>
      </c>
      <c r="Q100" s="3">
        <f t="shared" si="7"/>
        <v>64</v>
      </c>
      <c r="R100" s="3">
        <f t="shared" si="8"/>
        <v>0</v>
      </c>
      <c r="S100" s="3">
        <f t="shared" si="9"/>
        <v>60883.010000000009</v>
      </c>
      <c r="T100" s="24"/>
      <c r="U100" s="24" t="s">
        <v>1081</v>
      </c>
      <c r="V100" s="3"/>
      <c r="W100" s="19" t="str">
        <f>IFERROR(VLOOKUP(Banco_Nacion[[#This Row],[RESPONSABLE]],Clientes_Proveedores[[Ruc / Dni]:[Razon Social]],2,0),"")</f>
        <v>MOLY-COP ADESUR S.A</v>
      </c>
      <c r="X100" s="19" t="str">
        <f>IF(Banco_Nacion[[#This Row],[TIPO DE MOV.]]="INGRESO",Banco_Nacion[[#This Row],[SERIE]]&amp;Banco_Nacion[[#This Row],[NUMERO]]&amp;Banco_Nacion[[#This Row],[RESPONSABLE]]&amp;Banco_Nacion[[#This Row],[MONTO ]],"")</f>
        <v>FE015332010019206464</v>
      </c>
      <c r="Y10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66448368</v>
      </c>
      <c r="Z100" s="3"/>
      <c r="AA100" s="3"/>
      <c r="AB100" s="24" t="str">
        <f>IF(Banco_Nacion[[#This Row],[FECHA]]&gt;0,TEXT(Banco_Nacion[[#This Row],[FECHA]],"mmmm"),0)</f>
        <v>Febrero</v>
      </c>
    </row>
    <row r="101" spans="2:28" x14ac:dyDescent="0.3">
      <c r="B101" s="2">
        <f>IF(Banco_Nacion[[#This Row],[TIPO DE R.]]="R",COUNTIFS($D$4:$D100,"R")+1,"")</f>
        <v>97</v>
      </c>
      <c r="C101" s="19" t="str">
        <f t="shared" si="5"/>
        <v>B-Banco de la Nacion</v>
      </c>
      <c r="D101" s="3" t="s">
        <v>1074</v>
      </c>
      <c r="E101" s="14">
        <v>45695</v>
      </c>
      <c r="F101" s="5">
        <v>20419158462</v>
      </c>
      <c r="G101" s="5" t="s">
        <v>1087</v>
      </c>
      <c r="H101" s="6" t="s">
        <v>368</v>
      </c>
      <c r="I101" s="6" t="s">
        <v>14</v>
      </c>
      <c r="J101" s="6" t="s">
        <v>1088</v>
      </c>
      <c r="K101" s="6">
        <v>517</v>
      </c>
      <c r="L101" s="7" t="s">
        <v>4290</v>
      </c>
      <c r="M101" s="8">
        <v>66766040</v>
      </c>
      <c r="N101" s="8" t="str">
        <f t="shared" si="6"/>
        <v>PEN</v>
      </c>
      <c r="O101" s="13"/>
      <c r="P101" s="13">
        <v>202</v>
      </c>
      <c r="Q101" s="3">
        <f t="shared" si="7"/>
        <v>202</v>
      </c>
      <c r="R101" s="3">
        <f t="shared" si="8"/>
        <v>0</v>
      </c>
      <c r="S101" s="3">
        <f t="shared" si="9"/>
        <v>61085.010000000009</v>
      </c>
      <c r="T101" s="24"/>
      <c r="U101" s="24" t="s">
        <v>1081</v>
      </c>
      <c r="V101" s="3"/>
      <c r="W101" s="19" t="str">
        <f>IFERROR(VLOOKUP(Banco_Nacion[[#This Row],[RESPONSABLE]],Clientes_Proveedores[[Ruc / Dni]:[Razon Social]],2,0),"")</f>
        <v>GRANJA RINCONADA DEL SUR S.A.</v>
      </c>
      <c r="X101" s="19" t="str">
        <f>IF(Banco_Nacion[[#This Row],[TIPO DE MOV.]]="INGRESO",Banco_Nacion[[#This Row],[SERIE]]&amp;Banco_Nacion[[#This Row],[NUMERO]]&amp;Banco_Nacion[[#This Row],[RESPONSABLE]]&amp;Banco_Nacion[[#This Row],[MONTO ]],"")</f>
        <v>FE0151720419158462202</v>
      </c>
      <c r="Y10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66766040</v>
      </c>
      <c r="Z101" s="3"/>
      <c r="AA101" s="3"/>
      <c r="AB101" s="24" t="str">
        <f>IF(Banco_Nacion[[#This Row],[FECHA]]&gt;0,TEXT(Banco_Nacion[[#This Row],[FECHA]],"mmmm"),0)</f>
        <v>Febrero</v>
      </c>
    </row>
    <row r="102" spans="2:28" x14ac:dyDescent="0.3">
      <c r="B102" s="2">
        <f>IF(Banco_Nacion[[#This Row],[TIPO DE R.]]="R",COUNTIFS($D$4:$D101,"R")+1,"")</f>
        <v>98</v>
      </c>
      <c r="C102" s="19" t="str">
        <f t="shared" si="5"/>
        <v>B-Banco de la Nacion</v>
      </c>
      <c r="D102" s="3" t="s">
        <v>1074</v>
      </c>
      <c r="E102" s="14">
        <v>45695</v>
      </c>
      <c r="F102" s="5">
        <v>20419158462</v>
      </c>
      <c r="G102" s="5" t="s">
        <v>1087</v>
      </c>
      <c r="H102" s="6" t="s">
        <v>368</v>
      </c>
      <c r="I102" s="6" t="s">
        <v>14</v>
      </c>
      <c r="J102" s="6" t="s">
        <v>1088</v>
      </c>
      <c r="K102" s="6">
        <v>518</v>
      </c>
      <c r="L102" s="7" t="s">
        <v>4290</v>
      </c>
      <c r="M102" s="8">
        <v>66766039</v>
      </c>
      <c r="N102" s="8" t="str">
        <f t="shared" si="6"/>
        <v>PEN</v>
      </c>
      <c r="O102" s="13"/>
      <c r="P102" s="13">
        <v>202</v>
      </c>
      <c r="Q102" s="3">
        <f t="shared" si="7"/>
        <v>202</v>
      </c>
      <c r="R102" s="3">
        <f t="shared" si="8"/>
        <v>0</v>
      </c>
      <c r="S102" s="3">
        <f t="shared" si="9"/>
        <v>61287.010000000009</v>
      </c>
      <c r="T102" s="24"/>
      <c r="U102" s="24" t="s">
        <v>1081</v>
      </c>
      <c r="V102" s="3"/>
      <c r="W102" s="19" t="str">
        <f>IFERROR(VLOOKUP(Banco_Nacion[[#This Row],[RESPONSABLE]],Clientes_Proveedores[[Ruc / Dni]:[Razon Social]],2,0),"")</f>
        <v>GRANJA RINCONADA DEL SUR S.A.</v>
      </c>
      <c r="X102" s="19" t="str">
        <f>IF(Banco_Nacion[[#This Row],[TIPO DE MOV.]]="INGRESO",Banco_Nacion[[#This Row],[SERIE]]&amp;Banco_Nacion[[#This Row],[NUMERO]]&amp;Banco_Nacion[[#This Row],[RESPONSABLE]]&amp;Banco_Nacion[[#This Row],[MONTO ]],"")</f>
        <v>FE0151820419158462202</v>
      </c>
      <c r="Y10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66766039</v>
      </c>
      <c r="Z102" s="3"/>
      <c r="AA102" s="3"/>
      <c r="AB102" s="24" t="str">
        <f>IF(Banco_Nacion[[#This Row],[FECHA]]&gt;0,TEXT(Banco_Nacion[[#This Row],[FECHA]],"mmmm"),0)</f>
        <v>Febrero</v>
      </c>
    </row>
    <row r="103" spans="2:28" x14ac:dyDescent="0.3">
      <c r="B103" s="2">
        <f>IF(Banco_Nacion[[#This Row],[TIPO DE R.]]="R",COUNTIFS($D$4:$D102,"R")+1,"")</f>
        <v>99</v>
      </c>
      <c r="C103" s="19" t="str">
        <f t="shared" si="5"/>
        <v>B-Banco de la Nacion</v>
      </c>
      <c r="D103" s="3" t="s">
        <v>1074</v>
      </c>
      <c r="E103" s="14">
        <v>45695</v>
      </c>
      <c r="F103" s="5">
        <v>20419158462</v>
      </c>
      <c r="G103" s="5" t="s">
        <v>1087</v>
      </c>
      <c r="H103" s="6" t="s">
        <v>368</v>
      </c>
      <c r="I103" s="6" t="s">
        <v>14</v>
      </c>
      <c r="J103" s="6" t="s">
        <v>1088</v>
      </c>
      <c r="K103" s="6">
        <v>513</v>
      </c>
      <c r="L103" s="7" t="s">
        <v>4290</v>
      </c>
      <c r="M103" s="8">
        <v>66766038</v>
      </c>
      <c r="N103" s="8" t="str">
        <f t="shared" si="6"/>
        <v>PEN</v>
      </c>
      <c r="O103" s="13"/>
      <c r="P103" s="13">
        <v>408</v>
      </c>
      <c r="Q103" s="3">
        <f t="shared" si="7"/>
        <v>408</v>
      </c>
      <c r="R103" s="3">
        <f t="shared" si="8"/>
        <v>0</v>
      </c>
      <c r="S103" s="3">
        <f t="shared" si="9"/>
        <v>61695.010000000009</v>
      </c>
      <c r="T103" s="24"/>
      <c r="U103" s="24" t="s">
        <v>1081</v>
      </c>
      <c r="V103" s="3"/>
      <c r="W103" s="19" t="str">
        <f>IFERROR(VLOOKUP(Banco_Nacion[[#This Row],[RESPONSABLE]],Clientes_Proveedores[[Ruc / Dni]:[Razon Social]],2,0),"")</f>
        <v>GRANJA RINCONADA DEL SUR S.A.</v>
      </c>
      <c r="X103" s="19" t="str">
        <f>IF(Banco_Nacion[[#This Row],[TIPO DE MOV.]]="INGRESO",Banco_Nacion[[#This Row],[SERIE]]&amp;Banco_Nacion[[#This Row],[NUMERO]]&amp;Banco_Nacion[[#This Row],[RESPONSABLE]]&amp;Banco_Nacion[[#This Row],[MONTO ]],"")</f>
        <v>FE0151320419158462408</v>
      </c>
      <c r="Y10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66766038</v>
      </c>
      <c r="Z103" s="3"/>
      <c r="AA103" s="3"/>
      <c r="AB103" s="24" t="str">
        <f>IF(Banco_Nacion[[#This Row],[FECHA]]&gt;0,TEXT(Banco_Nacion[[#This Row],[FECHA]],"mmmm"),0)</f>
        <v>Febrero</v>
      </c>
    </row>
    <row r="104" spans="2:28" x14ac:dyDescent="0.3">
      <c r="B104" s="2">
        <f>IF(Banco_Nacion[[#This Row],[TIPO DE R.]]="R",COUNTIFS($D$4:$D103,"R")+1,"")</f>
        <v>100</v>
      </c>
      <c r="C104" s="19" t="str">
        <f t="shared" si="5"/>
        <v>B-Banco de la Nacion</v>
      </c>
      <c r="D104" s="3" t="s">
        <v>1074</v>
      </c>
      <c r="E104" s="14">
        <v>45695</v>
      </c>
      <c r="F104" s="5">
        <v>20419158462</v>
      </c>
      <c r="G104" s="5" t="s">
        <v>1087</v>
      </c>
      <c r="H104" s="6" t="s">
        <v>368</v>
      </c>
      <c r="I104" s="6" t="s">
        <v>14</v>
      </c>
      <c r="J104" s="6" t="s">
        <v>1088</v>
      </c>
      <c r="K104" s="6">
        <v>516</v>
      </c>
      <c r="L104" s="7" t="s">
        <v>4290</v>
      </c>
      <c r="M104" s="8">
        <v>66766037</v>
      </c>
      <c r="N104" s="8" t="str">
        <f t="shared" si="6"/>
        <v>PEN</v>
      </c>
      <c r="O104" s="13"/>
      <c r="P104" s="13">
        <v>143</v>
      </c>
      <c r="Q104" s="3">
        <f t="shared" si="7"/>
        <v>143</v>
      </c>
      <c r="R104" s="3">
        <f t="shared" si="8"/>
        <v>0</v>
      </c>
      <c r="S104" s="3">
        <f t="shared" si="9"/>
        <v>61838.010000000009</v>
      </c>
      <c r="T104" s="24"/>
      <c r="U104" s="24" t="s">
        <v>1081</v>
      </c>
      <c r="V104" s="3"/>
      <c r="W104" s="19" t="str">
        <f>IFERROR(VLOOKUP(Banco_Nacion[[#This Row],[RESPONSABLE]],Clientes_Proveedores[[Ruc / Dni]:[Razon Social]],2,0),"")</f>
        <v>GRANJA RINCONADA DEL SUR S.A.</v>
      </c>
      <c r="X104" s="19" t="str">
        <f>IF(Banco_Nacion[[#This Row],[TIPO DE MOV.]]="INGRESO",Banco_Nacion[[#This Row],[SERIE]]&amp;Banco_Nacion[[#This Row],[NUMERO]]&amp;Banco_Nacion[[#This Row],[RESPONSABLE]]&amp;Banco_Nacion[[#This Row],[MONTO ]],"")</f>
        <v>FE0151620419158462143</v>
      </c>
      <c r="Y10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66766037</v>
      </c>
      <c r="Z104" s="3"/>
      <c r="AA104" s="3"/>
      <c r="AB104" s="24" t="str">
        <f>IF(Banco_Nacion[[#This Row],[FECHA]]&gt;0,TEXT(Banco_Nacion[[#This Row],[FECHA]],"mmmm"),0)</f>
        <v>Febrero</v>
      </c>
    </row>
    <row r="105" spans="2:28" x14ac:dyDescent="0.3">
      <c r="B105" s="2">
        <f>IF(Banco_Nacion[[#This Row],[TIPO DE R.]]="R",COUNTIFS($D$4:$D104,"R")+1,"")</f>
        <v>101</v>
      </c>
      <c r="C105" s="19" t="str">
        <f t="shared" si="5"/>
        <v>B-Banco de la Nacion</v>
      </c>
      <c r="D105" s="3" t="s">
        <v>1074</v>
      </c>
      <c r="E105" s="14">
        <v>45695</v>
      </c>
      <c r="F105" s="5">
        <v>20419158462</v>
      </c>
      <c r="G105" s="5" t="s">
        <v>1087</v>
      </c>
      <c r="H105" s="6" t="s">
        <v>368</v>
      </c>
      <c r="I105" s="6" t="s">
        <v>14</v>
      </c>
      <c r="J105" s="6" t="s">
        <v>1088</v>
      </c>
      <c r="K105" s="6">
        <v>514</v>
      </c>
      <c r="L105" s="7" t="s">
        <v>4290</v>
      </c>
      <c r="M105" s="8">
        <v>66766036</v>
      </c>
      <c r="N105" s="8" t="str">
        <f t="shared" si="6"/>
        <v>PEN</v>
      </c>
      <c r="O105" s="13"/>
      <c r="P105" s="13">
        <v>381</v>
      </c>
      <c r="Q105" s="3">
        <f t="shared" si="7"/>
        <v>381</v>
      </c>
      <c r="R105" s="3">
        <f t="shared" si="8"/>
        <v>0</v>
      </c>
      <c r="S105" s="3">
        <f t="shared" si="9"/>
        <v>62219.010000000009</v>
      </c>
      <c r="T105" s="24"/>
      <c r="U105" s="24" t="s">
        <v>1081</v>
      </c>
      <c r="V105" s="3"/>
      <c r="W105" s="19" t="str">
        <f>IFERROR(VLOOKUP(Banco_Nacion[[#This Row],[RESPONSABLE]],Clientes_Proveedores[[Ruc / Dni]:[Razon Social]],2,0),"")</f>
        <v>GRANJA RINCONADA DEL SUR S.A.</v>
      </c>
      <c r="X105" s="19" t="str">
        <f>IF(Banco_Nacion[[#This Row],[TIPO DE MOV.]]="INGRESO",Banco_Nacion[[#This Row],[SERIE]]&amp;Banco_Nacion[[#This Row],[NUMERO]]&amp;Banco_Nacion[[#This Row],[RESPONSABLE]]&amp;Banco_Nacion[[#This Row],[MONTO ]],"")</f>
        <v>FE0151420419158462381</v>
      </c>
      <c r="Y10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66766036</v>
      </c>
      <c r="Z105" s="3"/>
      <c r="AA105" s="3"/>
      <c r="AB105" s="24" t="str">
        <f>IF(Banco_Nacion[[#This Row],[FECHA]]&gt;0,TEXT(Banco_Nacion[[#This Row],[FECHA]],"mmmm"),0)</f>
        <v>Febrero</v>
      </c>
    </row>
    <row r="106" spans="2:28" x14ac:dyDescent="0.3">
      <c r="B106" s="2">
        <f>IF(Banco_Nacion[[#This Row],[TIPO DE R.]]="R",COUNTIFS($D$4:$D105,"R")+1,"")</f>
        <v>102</v>
      </c>
      <c r="C106" s="19" t="str">
        <f t="shared" si="5"/>
        <v>B-Banco de la Nacion</v>
      </c>
      <c r="D106" s="3" t="s">
        <v>1074</v>
      </c>
      <c r="E106" s="14">
        <v>45695</v>
      </c>
      <c r="F106" s="5">
        <v>20419158462</v>
      </c>
      <c r="G106" s="5" t="s">
        <v>1087</v>
      </c>
      <c r="H106" s="6" t="s">
        <v>368</v>
      </c>
      <c r="I106" s="6" t="s">
        <v>14</v>
      </c>
      <c r="J106" s="6" t="s">
        <v>1088</v>
      </c>
      <c r="K106" s="6" t="s">
        <v>4294</v>
      </c>
      <c r="L106" s="7" t="s">
        <v>4290</v>
      </c>
      <c r="M106" s="8">
        <v>66766035</v>
      </c>
      <c r="N106" s="8" t="str">
        <f t="shared" si="6"/>
        <v>PEN</v>
      </c>
      <c r="O106" s="13"/>
      <c r="P106" s="13">
        <v>202</v>
      </c>
      <c r="Q106" s="3">
        <f t="shared" si="7"/>
        <v>202</v>
      </c>
      <c r="R106" s="3">
        <f t="shared" si="8"/>
        <v>0</v>
      </c>
      <c r="S106" s="3">
        <f t="shared" si="9"/>
        <v>62421.010000000009</v>
      </c>
      <c r="T106" s="24"/>
      <c r="U106" s="24" t="s">
        <v>1081</v>
      </c>
      <c r="V106" s="3"/>
      <c r="W106" s="19" t="str">
        <f>IFERROR(VLOOKUP(Banco_Nacion[[#This Row],[RESPONSABLE]],Clientes_Proveedores[[Ruc / Dni]:[Razon Social]],2,0),"")</f>
        <v>GRANJA RINCONADA DEL SUR S.A.</v>
      </c>
      <c r="X106" s="19" t="str">
        <f>IF(Banco_Nacion[[#This Row],[TIPO DE MOV.]]="INGRESO",Banco_Nacion[[#This Row],[SERIE]]&amp;Banco_Nacion[[#This Row],[NUMERO]]&amp;Banco_Nacion[[#This Row],[RESPONSABLE]]&amp;Banco_Nacion[[#This Row],[MONTO ]],"")</f>
        <v>FE0151520419158462202</v>
      </c>
      <c r="Y10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66766035</v>
      </c>
      <c r="Z106" s="3"/>
      <c r="AA106" s="3"/>
      <c r="AB106" s="24" t="str">
        <f>IF(Banco_Nacion[[#This Row],[FECHA]]&gt;0,TEXT(Banco_Nacion[[#This Row],[FECHA]],"mmmm"),0)</f>
        <v>Febrero</v>
      </c>
    </row>
    <row r="107" spans="2:28" x14ac:dyDescent="0.3">
      <c r="B107" s="2">
        <f>IF(Banco_Nacion[[#This Row],[TIPO DE R.]]="R",COUNTIFS($D$4:$D106,"R")+1,"")</f>
        <v>103</v>
      </c>
      <c r="C107" s="19" t="str">
        <f t="shared" si="5"/>
        <v>B-Banco de la Nacion</v>
      </c>
      <c r="D107" s="3" t="s">
        <v>1074</v>
      </c>
      <c r="E107" s="14">
        <v>45695</v>
      </c>
      <c r="F107" s="5">
        <v>20100211115</v>
      </c>
      <c r="G107" s="5" t="s">
        <v>1087</v>
      </c>
      <c r="H107" s="6" t="s">
        <v>368</v>
      </c>
      <c r="I107" s="6" t="s">
        <v>14</v>
      </c>
      <c r="J107" s="6" t="s">
        <v>1088</v>
      </c>
      <c r="K107" s="6">
        <v>537</v>
      </c>
      <c r="L107" s="7" t="s">
        <v>4290</v>
      </c>
      <c r="M107" s="8">
        <v>66666156</v>
      </c>
      <c r="N107" s="8" t="str">
        <f t="shared" si="6"/>
        <v>PEN</v>
      </c>
      <c r="O107" s="13"/>
      <c r="P107" s="13">
        <v>359</v>
      </c>
      <c r="Q107" s="3">
        <f t="shared" si="7"/>
        <v>359</v>
      </c>
      <c r="R107" s="3">
        <f t="shared" si="8"/>
        <v>0</v>
      </c>
      <c r="S107" s="3">
        <f t="shared" si="9"/>
        <v>62780.010000000009</v>
      </c>
      <c r="T107" s="24"/>
      <c r="U107" s="24" t="s">
        <v>1081</v>
      </c>
      <c r="V107" s="3"/>
      <c r="W107" s="19" t="str">
        <f>IFERROR(VLOOKUP(Banco_Nacion[[#This Row],[RESPONSABLE]],Clientes_Proveedores[[Ruc / Dni]:[Razon Social]],2,0),"")</f>
        <v>FAB DE CHOCOLATES LA IBERICA S.A.</v>
      </c>
      <c r="X107" s="19" t="str">
        <f>IF(Banco_Nacion[[#This Row],[TIPO DE MOV.]]="INGRESO",Banco_Nacion[[#This Row],[SERIE]]&amp;Banco_Nacion[[#This Row],[NUMERO]]&amp;Banco_Nacion[[#This Row],[RESPONSABLE]]&amp;Banco_Nacion[[#This Row],[MONTO ]],"")</f>
        <v>FE0153720100211115359</v>
      </c>
      <c r="Y10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66666156</v>
      </c>
      <c r="Z107" s="3"/>
      <c r="AA107" s="3"/>
      <c r="AB107" s="24" t="str">
        <f>IF(Banco_Nacion[[#This Row],[FECHA]]&gt;0,TEXT(Banco_Nacion[[#This Row],[FECHA]],"mmmm"),0)</f>
        <v>Febrero</v>
      </c>
    </row>
    <row r="108" spans="2:28" x14ac:dyDescent="0.3">
      <c r="B108" s="2">
        <f>IF(Banco_Nacion[[#This Row],[TIPO DE R.]]="R",COUNTIFS($D$4:$D107,"R")+1,"")</f>
        <v>104</v>
      </c>
      <c r="C108" s="19" t="str">
        <f t="shared" si="5"/>
        <v>B-Banco de la Nacion</v>
      </c>
      <c r="D108" s="3" t="s">
        <v>1074</v>
      </c>
      <c r="E108" s="14">
        <v>45695</v>
      </c>
      <c r="F108" s="5">
        <v>20100211115</v>
      </c>
      <c r="G108" s="5" t="s">
        <v>1087</v>
      </c>
      <c r="H108" s="6" t="s">
        <v>368</v>
      </c>
      <c r="I108" s="6" t="s">
        <v>14</v>
      </c>
      <c r="J108" s="6" t="s">
        <v>1088</v>
      </c>
      <c r="K108" s="6">
        <v>536</v>
      </c>
      <c r="L108" s="7" t="s">
        <v>4290</v>
      </c>
      <c r="M108" s="8">
        <v>66666155</v>
      </c>
      <c r="N108" s="8" t="str">
        <f t="shared" si="6"/>
        <v>PEN</v>
      </c>
      <c r="O108" s="13"/>
      <c r="P108" s="13">
        <v>835</v>
      </c>
      <c r="Q108" s="3">
        <f t="shared" si="7"/>
        <v>835</v>
      </c>
      <c r="R108" s="3">
        <f t="shared" si="8"/>
        <v>0</v>
      </c>
      <c r="S108" s="3">
        <f t="shared" si="9"/>
        <v>63615.010000000009</v>
      </c>
      <c r="T108" s="24"/>
      <c r="U108" s="24" t="s">
        <v>1081</v>
      </c>
      <c r="V108" s="3"/>
      <c r="W108" s="19" t="str">
        <f>IFERROR(VLOOKUP(Banco_Nacion[[#This Row],[RESPONSABLE]],Clientes_Proveedores[[Ruc / Dni]:[Razon Social]],2,0),"")</f>
        <v>FAB DE CHOCOLATES LA IBERICA S.A.</v>
      </c>
      <c r="X108" s="19" t="str">
        <f>IF(Banco_Nacion[[#This Row],[TIPO DE MOV.]]="INGRESO",Banco_Nacion[[#This Row],[SERIE]]&amp;Banco_Nacion[[#This Row],[NUMERO]]&amp;Banco_Nacion[[#This Row],[RESPONSABLE]]&amp;Banco_Nacion[[#This Row],[MONTO ]],"")</f>
        <v>FE0153620100211115835</v>
      </c>
      <c r="Y10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66666155</v>
      </c>
      <c r="Z108" s="3"/>
      <c r="AA108" s="3"/>
      <c r="AB108" s="24" t="str">
        <f>IF(Banco_Nacion[[#This Row],[FECHA]]&gt;0,TEXT(Banco_Nacion[[#This Row],[FECHA]],"mmmm"),0)</f>
        <v>Febrero</v>
      </c>
    </row>
    <row r="109" spans="2:28" x14ac:dyDescent="0.3">
      <c r="B109" s="2">
        <f>IF(Banco_Nacion[[#This Row],[TIPO DE R.]]="R",COUNTIFS($D$4:$D108,"R")+1,"")</f>
        <v>105</v>
      </c>
      <c r="C109" s="19" t="str">
        <f t="shared" si="5"/>
        <v>B-Banco de la Nacion</v>
      </c>
      <c r="D109" s="3" t="s">
        <v>1074</v>
      </c>
      <c r="E109" s="14">
        <v>45698</v>
      </c>
      <c r="F109" s="5">
        <v>20498311963</v>
      </c>
      <c r="G109" s="5" t="s">
        <v>1087</v>
      </c>
      <c r="H109" s="6" t="s">
        <v>368</v>
      </c>
      <c r="I109" s="6" t="s">
        <v>14</v>
      </c>
      <c r="J109" s="6" t="s">
        <v>1088</v>
      </c>
      <c r="K109" s="6">
        <v>525</v>
      </c>
      <c r="L109" s="7" t="s">
        <v>4290</v>
      </c>
      <c r="M109" s="8">
        <v>67268507</v>
      </c>
      <c r="N109" s="8" t="str">
        <f t="shared" si="6"/>
        <v>PEN</v>
      </c>
      <c r="O109" s="13"/>
      <c r="P109" s="13">
        <v>126</v>
      </c>
      <c r="Q109" s="3">
        <f t="shared" si="7"/>
        <v>126</v>
      </c>
      <c r="R109" s="3">
        <f t="shared" si="8"/>
        <v>0</v>
      </c>
      <c r="S109" s="3">
        <f t="shared" si="9"/>
        <v>63741.010000000009</v>
      </c>
      <c r="T109" s="24"/>
      <c r="U109" s="24" t="s">
        <v>1081</v>
      </c>
      <c r="V109" s="3"/>
      <c r="W109" s="19" t="str">
        <f>IFERROR(VLOOKUP(Banco_Nacion[[#This Row],[RESPONSABLE]],Clientes_Proveedores[[Ruc / Dni]:[Razon Social]],2,0),"")</f>
        <v>TRANSPORTES JIRENA S.A.C.</v>
      </c>
      <c r="X109" s="19" t="str">
        <f>IF(Banco_Nacion[[#This Row],[TIPO DE MOV.]]="INGRESO",Banco_Nacion[[#This Row],[SERIE]]&amp;Banco_Nacion[[#This Row],[NUMERO]]&amp;Banco_Nacion[[#This Row],[RESPONSABLE]]&amp;Banco_Nacion[[#This Row],[MONTO ]],"")</f>
        <v>FE0152520498311963126</v>
      </c>
      <c r="Y10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67268507</v>
      </c>
      <c r="Z109" s="3"/>
      <c r="AA109" s="3"/>
      <c r="AB109" s="24" t="str">
        <f>IF(Banco_Nacion[[#This Row],[FECHA]]&gt;0,TEXT(Banco_Nacion[[#This Row],[FECHA]],"mmmm"),0)</f>
        <v>Febrero</v>
      </c>
    </row>
    <row r="110" spans="2:28" x14ac:dyDescent="0.3">
      <c r="B110" s="2">
        <f>IF(Banco_Nacion[[#This Row],[TIPO DE R.]]="R",COUNTIFS($D$4:$D109,"R")+1,"")</f>
        <v>106</v>
      </c>
      <c r="C110" s="19" t="str">
        <f t="shared" si="5"/>
        <v>B-Banco de la Nacion</v>
      </c>
      <c r="D110" s="3" t="s">
        <v>1074</v>
      </c>
      <c r="E110" s="14">
        <v>45698</v>
      </c>
      <c r="F110" s="5">
        <v>20120858425</v>
      </c>
      <c r="G110" s="5" t="s">
        <v>1087</v>
      </c>
      <c r="H110" s="6" t="s">
        <v>368</v>
      </c>
      <c r="I110" s="6" t="s">
        <v>14</v>
      </c>
      <c r="J110" s="6" t="s">
        <v>1088</v>
      </c>
      <c r="K110" s="6">
        <v>527</v>
      </c>
      <c r="L110" s="7" t="s">
        <v>4290</v>
      </c>
      <c r="M110" s="8">
        <v>67183599</v>
      </c>
      <c r="N110" s="8" t="str">
        <f t="shared" si="6"/>
        <v>PEN</v>
      </c>
      <c r="O110" s="13"/>
      <c r="P110" s="13">
        <v>96</v>
      </c>
      <c r="Q110" s="3">
        <f t="shared" si="7"/>
        <v>96</v>
      </c>
      <c r="R110" s="3">
        <f t="shared" si="8"/>
        <v>0</v>
      </c>
      <c r="S110" s="3">
        <f t="shared" si="9"/>
        <v>63837.010000000009</v>
      </c>
      <c r="T110" s="24"/>
      <c r="U110" s="24" t="s">
        <v>1081</v>
      </c>
      <c r="V110" s="3"/>
      <c r="W110" s="19" t="str">
        <f>IFERROR(VLOOKUP(Banco_Nacion[[#This Row],[RESPONSABLE]],Clientes_Proveedores[[Ruc / Dni]:[Razon Social]],2,0),"")</f>
        <v>POWER S.A.C.</v>
      </c>
      <c r="X110" s="19" t="str">
        <f>IF(Banco_Nacion[[#This Row],[TIPO DE MOV.]]="INGRESO",Banco_Nacion[[#This Row],[SERIE]]&amp;Banco_Nacion[[#This Row],[NUMERO]]&amp;Banco_Nacion[[#This Row],[RESPONSABLE]]&amp;Banco_Nacion[[#This Row],[MONTO ]],"")</f>
        <v>FE015272012085842596</v>
      </c>
      <c r="Y11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67183599</v>
      </c>
      <c r="Z110" s="3"/>
      <c r="AA110" s="3"/>
      <c r="AB110" s="24" t="str">
        <f>IF(Banco_Nacion[[#This Row],[FECHA]]&gt;0,TEXT(Banco_Nacion[[#This Row],[FECHA]],"mmmm"),0)</f>
        <v>Febrero</v>
      </c>
    </row>
    <row r="111" spans="2:28" x14ac:dyDescent="0.3">
      <c r="B111" s="2">
        <f>IF(Banco_Nacion[[#This Row],[TIPO DE R.]]="R",COUNTIFS($D$4:$D110,"R")+1,"")</f>
        <v>107</v>
      </c>
      <c r="C111" s="19" t="str">
        <f t="shared" si="5"/>
        <v>B-Banco de la Nacion</v>
      </c>
      <c r="D111" s="3" t="s">
        <v>1074</v>
      </c>
      <c r="E111" s="14">
        <v>45698</v>
      </c>
      <c r="F111" s="5">
        <v>20120858425</v>
      </c>
      <c r="G111" s="5" t="s">
        <v>1087</v>
      </c>
      <c r="H111" s="6" t="s">
        <v>368</v>
      </c>
      <c r="I111" s="6" t="s">
        <v>14</v>
      </c>
      <c r="J111" s="6" t="s">
        <v>1088</v>
      </c>
      <c r="K111" s="6">
        <v>526</v>
      </c>
      <c r="L111" s="7" t="s">
        <v>4290</v>
      </c>
      <c r="M111" s="8">
        <v>67183598</v>
      </c>
      <c r="N111" s="8" t="str">
        <f t="shared" si="6"/>
        <v>PEN</v>
      </c>
      <c r="O111" s="13"/>
      <c r="P111" s="13">
        <v>159</v>
      </c>
      <c r="Q111" s="3">
        <f t="shared" si="7"/>
        <v>159</v>
      </c>
      <c r="R111" s="3">
        <f t="shared" si="8"/>
        <v>0</v>
      </c>
      <c r="S111" s="3">
        <f t="shared" si="9"/>
        <v>63996.010000000009</v>
      </c>
      <c r="T111" s="24"/>
      <c r="U111" s="24" t="s">
        <v>1081</v>
      </c>
      <c r="V111" s="3"/>
      <c r="W111" s="19" t="str">
        <f>IFERROR(VLOOKUP(Banco_Nacion[[#This Row],[RESPONSABLE]],Clientes_Proveedores[[Ruc / Dni]:[Razon Social]],2,0),"")</f>
        <v>POWER S.A.C.</v>
      </c>
      <c r="X111" s="19" t="str">
        <f>IF(Banco_Nacion[[#This Row],[TIPO DE MOV.]]="INGRESO",Banco_Nacion[[#This Row],[SERIE]]&amp;Banco_Nacion[[#This Row],[NUMERO]]&amp;Banco_Nacion[[#This Row],[RESPONSABLE]]&amp;Banco_Nacion[[#This Row],[MONTO ]],"")</f>
        <v>FE0152620120858425159</v>
      </c>
      <c r="Y11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67183598</v>
      </c>
      <c r="Z111" s="3"/>
      <c r="AA111" s="3"/>
      <c r="AB111" s="24" t="str">
        <f>IF(Banco_Nacion[[#This Row],[FECHA]]&gt;0,TEXT(Banco_Nacion[[#This Row],[FECHA]],"mmmm"),0)</f>
        <v>Febrero</v>
      </c>
    </row>
    <row r="112" spans="2:28" x14ac:dyDescent="0.3">
      <c r="B112" s="2">
        <f>IF(Banco_Nacion[[#This Row],[TIPO DE R.]]="R",COUNTIFS($D$4:$D111,"R")+1,"")</f>
        <v>108</v>
      </c>
      <c r="C112" s="19" t="str">
        <f t="shared" si="5"/>
        <v>B-Banco de la Nacion</v>
      </c>
      <c r="D112" s="3" t="s">
        <v>1074</v>
      </c>
      <c r="E112" s="14">
        <v>45698</v>
      </c>
      <c r="F112" s="5">
        <v>20603087675</v>
      </c>
      <c r="G112" s="5" t="s">
        <v>1087</v>
      </c>
      <c r="H112" s="6" t="s">
        <v>368</v>
      </c>
      <c r="I112" s="6" t="s">
        <v>14</v>
      </c>
      <c r="J112" s="6" t="s">
        <v>1088</v>
      </c>
      <c r="K112" s="6">
        <v>472</v>
      </c>
      <c r="L112" s="7" t="s">
        <v>4290</v>
      </c>
      <c r="M112" s="8">
        <v>67147582</v>
      </c>
      <c r="N112" s="8" t="str">
        <f t="shared" si="6"/>
        <v>PEN</v>
      </c>
      <c r="O112" s="13"/>
      <c r="P112" s="13">
        <v>205</v>
      </c>
      <c r="Q112" s="3">
        <f t="shared" si="7"/>
        <v>205</v>
      </c>
      <c r="R112" s="3">
        <f t="shared" si="8"/>
        <v>0</v>
      </c>
      <c r="S112" s="3">
        <f t="shared" si="9"/>
        <v>64201.010000000009</v>
      </c>
      <c r="T112" s="24"/>
      <c r="U112" s="24" t="s">
        <v>1081</v>
      </c>
      <c r="V112" s="3"/>
      <c r="W112" s="19" t="str">
        <f>IFERROR(VLOOKUP(Banco_Nacion[[#This Row],[RESPONSABLE]],Clientes_Proveedores[[Ruc / Dni]:[Razon Social]],2,0),"")</f>
        <v>CARAL SOLUCIONES ENERGETICAS S.A.C.</v>
      </c>
      <c r="X112" s="19" t="str">
        <f>IF(Banco_Nacion[[#This Row],[TIPO DE MOV.]]="INGRESO",Banco_Nacion[[#This Row],[SERIE]]&amp;Banco_Nacion[[#This Row],[NUMERO]]&amp;Banco_Nacion[[#This Row],[RESPONSABLE]]&amp;Banco_Nacion[[#This Row],[MONTO ]],"")</f>
        <v>FE0147220603087675205</v>
      </c>
      <c r="Y11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67147582</v>
      </c>
      <c r="Z112" s="3"/>
      <c r="AA112" s="3"/>
      <c r="AB112" s="24" t="str">
        <f>IF(Banco_Nacion[[#This Row],[FECHA]]&gt;0,TEXT(Banco_Nacion[[#This Row],[FECHA]],"mmmm"),0)</f>
        <v>Febrero</v>
      </c>
    </row>
    <row r="113" spans="2:28" x14ac:dyDescent="0.3">
      <c r="B113" s="2">
        <f>IF(Banco_Nacion[[#This Row],[TIPO DE R.]]="R",COUNTIFS($D$4:$D112,"R")+1,"")</f>
        <v>109</v>
      </c>
      <c r="C113" s="19" t="str">
        <f t="shared" si="5"/>
        <v>B-Banco de la Nacion</v>
      </c>
      <c r="D113" s="3" t="s">
        <v>1074</v>
      </c>
      <c r="E113" s="14">
        <v>45698</v>
      </c>
      <c r="F113" s="5">
        <v>20462509236</v>
      </c>
      <c r="G113" s="5" t="s">
        <v>1087</v>
      </c>
      <c r="H113" s="6" t="s">
        <v>368</v>
      </c>
      <c r="I113" s="6" t="s">
        <v>14</v>
      </c>
      <c r="J113" s="6" t="s">
        <v>1088</v>
      </c>
      <c r="K113" s="6">
        <v>507</v>
      </c>
      <c r="L113" s="7" t="s">
        <v>4290</v>
      </c>
      <c r="M113" s="8">
        <v>67133428</v>
      </c>
      <c r="N113" s="8" t="str">
        <f t="shared" si="6"/>
        <v>PEN</v>
      </c>
      <c r="O113" s="13"/>
      <c r="P113" s="13">
        <v>307</v>
      </c>
      <c r="Q113" s="3">
        <f t="shared" si="7"/>
        <v>307</v>
      </c>
      <c r="R113" s="3">
        <f t="shared" si="8"/>
        <v>0</v>
      </c>
      <c r="S113" s="3">
        <f t="shared" si="9"/>
        <v>64508.010000000009</v>
      </c>
      <c r="T113" s="24"/>
      <c r="U113" s="24" t="s">
        <v>1081</v>
      </c>
      <c r="V113" s="3"/>
      <c r="W113" s="19" t="str">
        <f>IFERROR(VLOOKUP(Banco_Nacion[[#This Row],[RESPONSABLE]],Clientes_Proveedores[[Ruc / Dni]:[Razon Social]],2,0),"")</f>
        <v>UNIVERSIDAD TECNOLOGICA DEL PERU S.A.C. O UTP S.A.C.</v>
      </c>
      <c r="X113" s="19" t="str">
        <f>IF(Banco_Nacion[[#This Row],[TIPO DE MOV.]]="INGRESO",Banco_Nacion[[#This Row],[SERIE]]&amp;Banco_Nacion[[#This Row],[NUMERO]]&amp;Banco_Nacion[[#This Row],[RESPONSABLE]]&amp;Banco_Nacion[[#This Row],[MONTO ]],"")</f>
        <v>FE0150720462509236307</v>
      </c>
      <c r="Y11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67133428</v>
      </c>
      <c r="Z113" s="3"/>
      <c r="AA113" s="3"/>
      <c r="AB113" s="24" t="str">
        <f>IF(Banco_Nacion[[#This Row],[FECHA]]&gt;0,TEXT(Banco_Nacion[[#This Row],[FECHA]],"mmmm"),0)</f>
        <v>Febrero</v>
      </c>
    </row>
    <row r="114" spans="2:28" x14ac:dyDescent="0.3">
      <c r="B114" s="2">
        <f>IF(Banco_Nacion[[#This Row],[TIPO DE R.]]="R",COUNTIFS($D$4:$D113,"R")+1,"")</f>
        <v>110</v>
      </c>
      <c r="C114" s="19" t="str">
        <f t="shared" si="5"/>
        <v>B-Banco de la Nacion</v>
      </c>
      <c r="D114" s="3" t="s">
        <v>1074</v>
      </c>
      <c r="E114" s="14">
        <v>45698</v>
      </c>
      <c r="F114" s="5">
        <v>20462509236</v>
      </c>
      <c r="G114" s="5" t="s">
        <v>1087</v>
      </c>
      <c r="H114" s="6" t="s">
        <v>368</v>
      </c>
      <c r="I114" s="6" t="s">
        <v>14</v>
      </c>
      <c r="J114" s="6" t="s">
        <v>1088</v>
      </c>
      <c r="K114" s="6">
        <v>508</v>
      </c>
      <c r="L114" s="7" t="s">
        <v>4290</v>
      </c>
      <c r="M114" s="8">
        <v>67133423</v>
      </c>
      <c r="N114" s="8" t="str">
        <f t="shared" si="6"/>
        <v>PEN</v>
      </c>
      <c r="O114" s="13"/>
      <c r="P114" s="13">
        <v>552</v>
      </c>
      <c r="Q114" s="3">
        <f t="shared" si="7"/>
        <v>552</v>
      </c>
      <c r="R114" s="3">
        <f t="shared" si="8"/>
        <v>0</v>
      </c>
      <c r="S114" s="3">
        <f t="shared" si="9"/>
        <v>65060.010000000009</v>
      </c>
      <c r="T114" s="24"/>
      <c r="U114" s="24" t="s">
        <v>1081</v>
      </c>
      <c r="V114" s="3"/>
      <c r="W114" s="19" t="str">
        <f>IFERROR(VLOOKUP(Banco_Nacion[[#This Row],[RESPONSABLE]],Clientes_Proveedores[[Ruc / Dni]:[Razon Social]],2,0),"")</f>
        <v>UNIVERSIDAD TECNOLOGICA DEL PERU S.A.C. O UTP S.A.C.</v>
      </c>
      <c r="X114" s="19" t="str">
        <f>IF(Banco_Nacion[[#This Row],[TIPO DE MOV.]]="INGRESO",Banco_Nacion[[#This Row],[SERIE]]&amp;Banco_Nacion[[#This Row],[NUMERO]]&amp;Banco_Nacion[[#This Row],[RESPONSABLE]]&amp;Banco_Nacion[[#This Row],[MONTO ]],"")</f>
        <v>FE0150820462509236552</v>
      </c>
      <c r="Y11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67133423</v>
      </c>
      <c r="Z114" s="3"/>
      <c r="AA114" s="3"/>
      <c r="AB114" s="24" t="str">
        <f>IF(Banco_Nacion[[#This Row],[FECHA]]&gt;0,TEXT(Banco_Nacion[[#This Row],[FECHA]],"mmmm"),0)</f>
        <v>Febrero</v>
      </c>
    </row>
    <row r="115" spans="2:28" x14ac:dyDescent="0.3">
      <c r="B115" s="2">
        <f>IF(Banco_Nacion[[#This Row],[TIPO DE R.]]="R",COUNTIFS($D$4:$D114,"R")+1,"")</f>
        <v>111</v>
      </c>
      <c r="C115" s="19" t="str">
        <f t="shared" si="5"/>
        <v>B-Banco de la Nacion</v>
      </c>
      <c r="D115" s="3" t="s">
        <v>1074</v>
      </c>
      <c r="E115" s="14">
        <v>45698</v>
      </c>
      <c r="F115" s="5">
        <v>20547132158</v>
      </c>
      <c r="G115" s="5" t="s">
        <v>1087</v>
      </c>
      <c r="H115" s="6" t="s">
        <v>368</v>
      </c>
      <c r="I115" s="6" t="s">
        <v>14</v>
      </c>
      <c r="J115" s="6" t="s">
        <v>1088</v>
      </c>
      <c r="K115" s="6">
        <v>506</v>
      </c>
      <c r="L115" s="7" t="s">
        <v>4290</v>
      </c>
      <c r="M115" s="8">
        <v>67132051</v>
      </c>
      <c r="N115" s="8" t="str">
        <f t="shared" si="6"/>
        <v>PEN</v>
      </c>
      <c r="O115" s="13"/>
      <c r="P115" s="13">
        <v>388</v>
      </c>
      <c r="Q115" s="3">
        <f t="shared" si="7"/>
        <v>388</v>
      </c>
      <c r="R115" s="3">
        <f t="shared" si="8"/>
        <v>0</v>
      </c>
      <c r="S115" s="3">
        <f t="shared" si="9"/>
        <v>65448.010000000009</v>
      </c>
      <c r="T115" s="24"/>
      <c r="U115" s="24" t="s">
        <v>1081</v>
      </c>
      <c r="V115" s="3"/>
      <c r="W115" s="19" t="str">
        <f>IFERROR(VLOOKUP(Banco_Nacion[[#This Row],[RESPONSABLE]],Clientes_Proveedores[[Ruc / Dni]:[Razon Social]],2,0),"")</f>
        <v>DOMINIONPERU SOLUCIONES Y SERVICIOS S.A.C.</v>
      </c>
      <c r="X115" s="19" t="str">
        <f>IF(Banco_Nacion[[#This Row],[TIPO DE MOV.]]="INGRESO",Banco_Nacion[[#This Row],[SERIE]]&amp;Banco_Nacion[[#This Row],[NUMERO]]&amp;Banco_Nacion[[#This Row],[RESPONSABLE]]&amp;Banco_Nacion[[#This Row],[MONTO ]],"")</f>
        <v>FE0150620547132158388</v>
      </c>
      <c r="Y11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67132051</v>
      </c>
      <c r="Z115" s="3"/>
      <c r="AA115" s="3"/>
      <c r="AB115" s="24" t="str">
        <f>IF(Banco_Nacion[[#This Row],[FECHA]]&gt;0,TEXT(Banco_Nacion[[#This Row],[FECHA]],"mmmm"),0)</f>
        <v>Febrero</v>
      </c>
    </row>
    <row r="116" spans="2:28" x14ac:dyDescent="0.3">
      <c r="B116" s="2">
        <f>IF(Banco_Nacion[[#This Row],[TIPO DE R.]]="R",COUNTIFS($D$4:$D115,"R")+1,"")</f>
        <v>112</v>
      </c>
      <c r="C116" s="19" t="str">
        <f t="shared" si="5"/>
        <v>B-Banco de la Nacion</v>
      </c>
      <c r="D116" s="3" t="s">
        <v>1074</v>
      </c>
      <c r="E116" s="14">
        <v>45698</v>
      </c>
      <c r="F116" s="5">
        <v>20455283915</v>
      </c>
      <c r="G116" s="5" t="s">
        <v>1087</v>
      </c>
      <c r="H116" s="6" t="s">
        <v>368</v>
      </c>
      <c r="I116" s="6" t="s">
        <v>14</v>
      </c>
      <c r="J116" s="6" t="s">
        <v>1097</v>
      </c>
      <c r="K116" s="6" t="s">
        <v>4295</v>
      </c>
      <c r="L116" s="7" t="s">
        <v>4290</v>
      </c>
      <c r="M116" s="8">
        <v>67101493</v>
      </c>
      <c r="N116" s="8" t="str">
        <f t="shared" si="6"/>
        <v>PEN</v>
      </c>
      <c r="O116" s="13"/>
      <c r="P116" s="13">
        <v>499</v>
      </c>
      <c r="Q116" s="3">
        <f t="shared" si="7"/>
        <v>499</v>
      </c>
      <c r="R116" s="3">
        <f t="shared" si="8"/>
        <v>0</v>
      </c>
      <c r="S116" s="3">
        <f t="shared" si="9"/>
        <v>65947.010000000009</v>
      </c>
      <c r="T116" s="24"/>
      <c r="U116" s="24" t="s">
        <v>1081</v>
      </c>
      <c r="V116" s="3"/>
      <c r="W116" s="19" t="str">
        <f>IFERROR(VLOOKUP(Banco_Nacion[[#This Row],[RESPONSABLE]],Clientes_Proveedores[[Ruc / Dni]:[Razon Social]],2,0),"")</f>
        <v>EMPRESA CONSERVADORA AMBIENTAL DEL SUR E.I.R.L. - ECA SUR E.I.R.L.</v>
      </c>
      <c r="X116" s="19" t="str">
        <f>IF(Banco_Nacion[[#This Row],[TIPO DE MOV.]]="INGRESO",Banco_Nacion[[#This Row],[SERIE]]&amp;Banco_Nacion[[#This Row],[NUMERO]]&amp;Banco_Nacion[[#This Row],[RESPONSABLE]]&amp;Banco_Nacion[[#This Row],[MONTO ]],"")</f>
        <v>FE0218620455283915499</v>
      </c>
      <c r="Y11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67101493</v>
      </c>
      <c r="Z116" s="3"/>
      <c r="AA116" s="3"/>
      <c r="AB116" s="24" t="str">
        <f>IF(Banco_Nacion[[#This Row],[FECHA]]&gt;0,TEXT(Banco_Nacion[[#This Row],[FECHA]],"mmmm"),0)</f>
        <v>Febrero</v>
      </c>
    </row>
    <row r="117" spans="2:28" x14ac:dyDescent="0.3">
      <c r="B117" s="2">
        <f>IF(Banco_Nacion[[#This Row],[TIPO DE R.]]="R",COUNTIFS($D$4:$D116,"R")+1,"")</f>
        <v>113</v>
      </c>
      <c r="C117" s="19" t="str">
        <f t="shared" si="5"/>
        <v>B-Banco de la Nacion</v>
      </c>
      <c r="D117" s="3" t="s">
        <v>1074</v>
      </c>
      <c r="E117" s="14">
        <v>45699</v>
      </c>
      <c r="F117" s="5">
        <v>20607388416</v>
      </c>
      <c r="G117" s="5" t="s">
        <v>1087</v>
      </c>
      <c r="H117" s="6" t="s">
        <v>368</v>
      </c>
      <c r="I117" s="6" t="s">
        <v>14</v>
      </c>
      <c r="J117" s="6" t="s">
        <v>1097</v>
      </c>
      <c r="K117" s="6">
        <v>187</v>
      </c>
      <c r="L117" s="7" t="s">
        <v>4290</v>
      </c>
      <c r="M117" s="8">
        <v>67608800</v>
      </c>
      <c r="N117" s="8" t="str">
        <f t="shared" si="6"/>
        <v>PEN</v>
      </c>
      <c r="O117" s="13"/>
      <c r="P117" s="13">
        <v>146</v>
      </c>
      <c r="Q117" s="3">
        <f t="shared" si="7"/>
        <v>146</v>
      </c>
      <c r="R117" s="3">
        <f t="shared" si="8"/>
        <v>0</v>
      </c>
      <c r="S117" s="3">
        <f t="shared" si="9"/>
        <v>66093.010000000009</v>
      </c>
      <c r="T117" s="24"/>
      <c r="U117" s="24" t="s">
        <v>1081</v>
      </c>
      <c r="V117" s="3"/>
      <c r="W117" s="19" t="str">
        <f>IFERROR(VLOOKUP(Banco_Nacion[[#This Row],[RESPONSABLE]],Clientes_Proveedores[[Ruc / Dni]:[Razon Social]],2,0),"")</f>
        <v>ALEACIONES FERROSAS Y METALICAS S.A.C.</v>
      </c>
      <c r="X117" s="19" t="str">
        <f>IF(Banco_Nacion[[#This Row],[TIPO DE MOV.]]="INGRESO",Banco_Nacion[[#This Row],[SERIE]]&amp;Banco_Nacion[[#This Row],[NUMERO]]&amp;Banco_Nacion[[#This Row],[RESPONSABLE]]&amp;Banco_Nacion[[#This Row],[MONTO ]],"")</f>
        <v>FE0218720607388416146</v>
      </c>
      <c r="Y11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67608800</v>
      </c>
      <c r="Z117" s="3"/>
      <c r="AA117" s="3"/>
      <c r="AB117" s="24" t="str">
        <f>IF(Banco_Nacion[[#This Row],[FECHA]]&gt;0,TEXT(Banco_Nacion[[#This Row],[FECHA]],"mmmm"),0)</f>
        <v>Febrero</v>
      </c>
    </row>
    <row r="118" spans="2:28" x14ac:dyDescent="0.3">
      <c r="B118" s="2">
        <f>IF(Banco_Nacion[[#This Row],[TIPO DE R.]]="R",COUNTIFS($D$4:$D117,"R")+1,"")</f>
        <v>114</v>
      </c>
      <c r="C118" s="19" t="str">
        <f t="shared" si="5"/>
        <v>B-Banco de la Nacion</v>
      </c>
      <c r="D118" s="3" t="s">
        <v>1074</v>
      </c>
      <c r="E118" s="14">
        <v>45699</v>
      </c>
      <c r="F118" s="5">
        <v>20607388416</v>
      </c>
      <c r="G118" s="5" t="s">
        <v>1087</v>
      </c>
      <c r="H118" s="6" t="s">
        <v>368</v>
      </c>
      <c r="I118" s="6" t="s">
        <v>14</v>
      </c>
      <c r="J118" s="6" t="s">
        <v>1092</v>
      </c>
      <c r="K118" s="6">
        <v>124</v>
      </c>
      <c r="L118" s="7" t="s">
        <v>4290</v>
      </c>
      <c r="M118" s="8">
        <v>67607537</v>
      </c>
      <c r="N118" s="8" t="str">
        <f t="shared" si="6"/>
        <v>PEN</v>
      </c>
      <c r="O118" s="13"/>
      <c r="P118" s="13">
        <v>608</v>
      </c>
      <c r="Q118" s="3">
        <f t="shared" si="7"/>
        <v>608</v>
      </c>
      <c r="R118" s="3">
        <f t="shared" si="8"/>
        <v>0</v>
      </c>
      <c r="S118" s="3">
        <f t="shared" si="9"/>
        <v>66701.010000000009</v>
      </c>
      <c r="T118" s="24"/>
      <c r="U118" s="24" t="s">
        <v>1081</v>
      </c>
      <c r="V118" s="3"/>
      <c r="W118" s="19" t="str">
        <f>IFERROR(VLOOKUP(Banco_Nacion[[#This Row],[RESPONSABLE]],Clientes_Proveedores[[Ruc / Dni]:[Razon Social]],2,0),"")</f>
        <v>ALEACIONES FERROSAS Y METALICAS S.A.C.</v>
      </c>
      <c r="X118" s="19" t="str">
        <f>IF(Banco_Nacion[[#This Row],[TIPO DE MOV.]]="INGRESO",Banco_Nacion[[#This Row],[SERIE]]&amp;Banco_Nacion[[#This Row],[NUMERO]]&amp;Banco_Nacion[[#This Row],[RESPONSABLE]]&amp;Banco_Nacion[[#This Row],[MONTO ]],"")</f>
        <v>FE0512420607388416608</v>
      </c>
      <c r="Y11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67607537</v>
      </c>
      <c r="Z118" s="3"/>
      <c r="AA118" s="3"/>
      <c r="AB118" s="24" t="str">
        <f>IF(Banco_Nacion[[#This Row],[FECHA]]&gt;0,TEXT(Banco_Nacion[[#This Row],[FECHA]],"mmmm"),0)</f>
        <v>Febrero</v>
      </c>
    </row>
    <row r="119" spans="2:28" x14ac:dyDescent="0.3">
      <c r="B119" s="2">
        <f>IF(Banco_Nacion[[#This Row],[TIPO DE R.]]="R",COUNTIFS($D$4:$D118,"R")+1,"")</f>
        <v>115</v>
      </c>
      <c r="C119" s="19" t="str">
        <f t="shared" si="5"/>
        <v>B-Banco de la Nacion</v>
      </c>
      <c r="D119" s="3" t="s">
        <v>1074</v>
      </c>
      <c r="E119" s="14">
        <v>45701</v>
      </c>
      <c r="F119" s="5"/>
      <c r="G119" s="5" t="s">
        <v>1079</v>
      </c>
      <c r="H119" s="6"/>
      <c r="I119" s="6"/>
      <c r="J119" s="6" t="s">
        <v>4289</v>
      </c>
      <c r="K119" s="6"/>
      <c r="L119" s="7" t="s">
        <v>4292</v>
      </c>
      <c r="M119" s="8">
        <v>78787878</v>
      </c>
      <c r="N119" s="8" t="str">
        <f t="shared" si="6"/>
        <v>PEN</v>
      </c>
      <c r="O119" s="13"/>
      <c r="P119" s="13">
        <v>22949</v>
      </c>
      <c r="Q119" s="3">
        <f t="shared" si="7"/>
        <v>0</v>
      </c>
      <c r="R119" s="3">
        <f t="shared" si="8"/>
        <v>22949</v>
      </c>
      <c r="S119" s="3">
        <f t="shared" si="9"/>
        <v>43752.010000000009</v>
      </c>
      <c r="T119" s="24"/>
      <c r="U119" s="24"/>
      <c r="V119" s="3"/>
      <c r="W119" s="19" t="str">
        <f>IFERROR(VLOOKUP(Banco_Nacion[[#This Row],[RESPONSABLE]],Clientes_Proveedores[[Ruc / Dni]:[Razon Social]],2,0),"")</f>
        <v/>
      </c>
      <c r="X11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11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119" s="3"/>
      <c r="AA119" s="3"/>
      <c r="AB119" s="24" t="str">
        <f>IF(Banco_Nacion[[#This Row],[FECHA]]&gt;0,TEXT(Banco_Nacion[[#This Row],[FECHA]],"mmmm"),0)</f>
        <v>Febrero</v>
      </c>
    </row>
    <row r="120" spans="2:28" x14ac:dyDescent="0.3">
      <c r="B120" s="2">
        <f>IF(Banco_Nacion[[#This Row],[TIPO DE R.]]="R",COUNTIFS($D$4:$D119,"R")+1,"")</f>
        <v>116</v>
      </c>
      <c r="C120" s="19" t="str">
        <f t="shared" si="5"/>
        <v>B-Banco de la Nacion</v>
      </c>
      <c r="D120" s="3" t="s">
        <v>1074</v>
      </c>
      <c r="E120" s="14">
        <v>45705</v>
      </c>
      <c r="F120" s="5">
        <v>20498309713</v>
      </c>
      <c r="G120" s="5" t="s">
        <v>1087</v>
      </c>
      <c r="H120" s="6" t="s">
        <v>368</v>
      </c>
      <c r="I120" s="6" t="s">
        <v>14</v>
      </c>
      <c r="J120" s="6" t="s">
        <v>1097</v>
      </c>
      <c r="K120" s="6">
        <v>191</v>
      </c>
      <c r="L120" s="7" t="s">
        <v>4290</v>
      </c>
      <c r="M120" s="8">
        <v>67848471</v>
      </c>
      <c r="N120" s="8" t="str">
        <f t="shared" si="6"/>
        <v>PEN</v>
      </c>
      <c r="O120" s="13"/>
      <c r="P120" s="13">
        <v>178</v>
      </c>
      <c r="Q120" s="3">
        <f t="shared" si="7"/>
        <v>178</v>
      </c>
      <c r="R120" s="3">
        <f t="shared" si="8"/>
        <v>0</v>
      </c>
      <c r="S120" s="3">
        <f t="shared" si="9"/>
        <v>43930.010000000009</v>
      </c>
      <c r="T120" s="24"/>
      <c r="U120" s="24" t="s">
        <v>1081</v>
      </c>
      <c r="V120" s="3"/>
      <c r="W120" s="19" t="str">
        <f>IFERROR(VLOOKUP(Banco_Nacion[[#This Row],[RESPONSABLE]],Clientes_Proveedores[[Ruc / Dni]:[Razon Social]],2,0),"")</f>
        <v>SCOMAR S.R.L</v>
      </c>
      <c r="X120" s="19" t="str">
        <f>IF(Banco_Nacion[[#This Row],[TIPO DE MOV.]]="INGRESO",Banco_Nacion[[#This Row],[SERIE]]&amp;Banco_Nacion[[#This Row],[NUMERO]]&amp;Banco_Nacion[[#This Row],[RESPONSABLE]]&amp;Banco_Nacion[[#This Row],[MONTO ]],"")</f>
        <v>FE0219120498309713178</v>
      </c>
      <c r="Y12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67848471</v>
      </c>
      <c r="Z120" s="3"/>
      <c r="AA120" s="3"/>
      <c r="AB120" s="24" t="str">
        <f>IF(Banco_Nacion[[#This Row],[FECHA]]&gt;0,TEXT(Banco_Nacion[[#This Row],[FECHA]],"mmmm"),0)</f>
        <v>Febrero</v>
      </c>
    </row>
    <row r="121" spans="2:28" x14ac:dyDescent="0.3">
      <c r="B121" s="2">
        <f>IF(Banco_Nacion[[#This Row],[TIPO DE R.]]="R",COUNTIFS($D$4:$D120,"R")+1,"")</f>
        <v>117</v>
      </c>
      <c r="C121" s="19" t="str">
        <f t="shared" si="5"/>
        <v>B-Banco de la Nacion</v>
      </c>
      <c r="D121" s="3" t="s">
        <v>1074</v>
      </c>
      <c r="E121" s="14">
        <v>45706</v>
      </c>
      <c r="F121" s="5">
        <v>20498220062</v>
      </c>
      <c r="G121" s="5" t="s">
        <v>1087</v>
      </c>
      <c r="H121" s="6" t="s">
        <v>368</v>
      </c>
      <c r="I121" s="6" t="s">
        <v>14</v>
      </c>
      <c r="J121" s="6" t="s">
        <v>1097</v>
      </c>
      <c r="K121" s="6">
        <v>192</v>
      </c>
      <c r="L121" s="7" t="s">
        <v>4290</v>
      </c>
      <c r="M121" s="8">
        <v>78788888</v>
      </c>
      <c r="N121" s="8" t="str">
        <f t="shared" si="6"/>
        <v>PEN</v>
      </c>
      <c r="O121" s="13"/>
      <c r="P121" s="13">
        <v>6</v>
      </c>
      <c r="Q121" s="3">
        <f t="shared" si="7"/>
        <v>6</v>
      </c>
      <c r="R121" s="3">
        <f t="shared" si="8"/>
        <v>0</v>
      </c>
      <c r="S121" s="3">
        <f t="shared" si="9"/>
        <v>43936.010000000009</v>
      </c>
      <c r="T121" s="24"/>
      <c r="U121" s="24" t="s">
        <v>1081</v>
      </c>
      <c r="V121" s="3"/>
      <c r="W121" s="19" t="str">
        <f>IFERROR(VLOOKUP(Banco_Nacion[[#This Row],[RESPONSABLE]],Clientes_Proveedores[[Ruc / Dni]:[Razon Social]],2,0),"")</f>
        <v>ELECMIN S.A.C.</v>
      </c>
      <c r="X121" s="19" t="str">
        <f>IF(Banco_Nacion[[#This Row],[TIPO DE MOV.]]="INGRESO",Banco_Nacion[[#This Row],[SERIE]]&amp;Banco_Nacion[[#This Row],[NUMERO]]&amp;Banco_Nacion[[#This Row],[RESPONSABLE]]&amp;Banco_Nacion[[#This Row],[MONTO ]],"")</f>
        <v>FE02192204982200626</v>
      </c>
      <c r="Y12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78788888</v>
      </c>
      <c r="Z121" s="3"/>
      <c r="AA121" s="3"/>
      <c r="AB121" s="24" t="str">
        <f>IF(Banco_Nacion[[#This Row],[FECHA]]&gt;0,TEXT(Banco_Nacion[[#This Row],[FECHA]],"mmmm"),0)</f>
        <v>Febrero</v>
      </c>
    </row>
    <row r="122" spans="2:28" x14ac:dyDescent="0.3">
      <c r="B122" s="2">
        <f>IF(Banco_Nacion[[#This Row],[TIPO DE R.]]="R",COUNTIFS($D$4:$D121,"R")+1,"")</f>
        <v>118</v>
      </c>
      <c r="C122" s="19" t="str">
        <f t="shared" si="5"/>
        <v>B-Banco de la Nacion</v>
      </c>
      <c r="D122" s="3" t="s">
        <v>1074</v>
      </c>
      <c r="E122" s="14">
        <v>45709</v>
      </c>
      <c r="F122" s="5">
        <v>20100055237</v>
      </c>
      <c r="G122" s="5" t="s">
        <v>1087</v>
      </c>
      <c r="H122" s="6" t="s">
        <v>368</v>
      </c>
      <c r="I122" s="6" t="s">
        <v>14</v>
      </c>
      <c r="J122" s="6" t="s">
        <v>1088</v>
      </c>
      <c r="K122" s="6">
        <v>562</v>
      </c>
      <c r="L122" s="7" t="s">
        <v>4290</v>
      </c>
      <c r="M122" s="8">
        <v>68128759</v>
      </c>
      <c r="N122" s="8" t="str">
        <f t="shared" si="6"/>
        <v>PEN</v>
      </c>
      <c r="O122" s="13"/>
      <c r="P122" s="13">
        <v>127</v>
      </c>
      <c r="Q122" s="3">
        <f t="shared" si="7"/>
        <v>127</v>
      </c>
      <c r="R122" s="3">
        <f t="shared" si="8"/>
        <v>0</v>
      </c>
      <c r="S122" s="3">
        <f t="shared" si="9"/>
        <v>44063.010000000009</v>
      </c>
      <c r="T122" s="24"/>
      <c r="U122" s="24" t="s">
        <v>1081</v>
      </c>
      <c r="V122" s="3"/>
      <c r="W122" s="19" t="str">
        <f>IFERROR(VLOOKUP(Banco_Nacion[[#This Row],[RESPONSABLE]],Clientes_Proveedores[[Ruc / Dni]:[Razon Social]],2,0),"")</f>
        <v>ALICORP SAA</v>
      </c>
      <c r="X122" s="19" t="str">
        <f>IF(Banco_Nacion[[#This Row],[TIPO DE MOV.]]="INGRESO",Banco_Nacion[[#This Row],[SERIE]]&amp;Banco_Nacion[[#This Row],[NUMERO]]&amp;Banco_Nacion[[#This Row],[RESPONSABLE]]&amp;Banco_Nacion[[#This Row],[MONTO ]],"")</f>
        <v>FE0156220100055237127</v>
      </c>
      <c r="Y12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68128759</v>
      </c>
      <c r="Z122" s="3"/>
      <c r="AA122" s="3"/>
      <c r="AB122" s="24" t="str">
        <f>IF(Banco_Nacion[[#This Row],[FECHA]]&gt;0,TEXT(Banco_Nacion[[#This Row],[FECHA]],"mmmm"),0)</f>
        <v>Febrero</v>
      </c>
    </row>
    <row r="123" spans="2:28" x14ac:dyDescent="0.3">
      <c r="B123" s="2">
        <f>IF(Banco_Nacion[[#This Row],[TIPO DE R.]]="R",COUNTIFS($D$4:$D122,"R")+1,"")</f>
        <v>119</v>
      </c>
      <c r="C123" s="19" t="str">
        <f t="shared" si="5"/>
        <v>B-Banco de la Nacion</v>
      </c>
      <c r="D123" s="3" t="s">
        <v>1074</v>
      </c>
      <c r="E123" s="14">
        <v>45712</v>
      </c>
      <c r="F123" s="5">
        <v>20454186002</v>
      </c>
      <c r="G123" s="5" t="s">
        <v>1087</v>
      </c>
      <c r="H123" s="6" t="s">
        <v>368</v>
      </c>
      <c r="I123" s="6" t="s">
        <v>14</v>
      </c>
      <c r="J123" s="6" t="s">
        <v>1088</v>
      </c>
      <c r="K123" s="6">
        <v>559</v>
      </c>
      <c r="L123" s="7" t="s">
        <v>4290</v>
      </c>
      <c r="M123" s="8">
        <v>68238348</v>
      </c>
      <c r="N123" s="8" t="str">
        <f t="shared" si="6"/>
        <v>PEN</v>
      </c>
      <c r="O123" s="13"/>
      <c r="P123" s="13">
        <v>566</v>
      </c>
      <c r="Q123" s="3">
        <f t="shared" si="7"/>
        <v>566</v>
      </c>
      <c r="R123" s="3">
        <f t="shared" si="8"/>
        <v>0</v>
      </c>
      <c r="S123" s="3">
        <f t="shared" si="9"/>
        <v>44629.010000000009</v>
      </c>
      <c r="T123" s="24"/>
      <c r="U123" s="24" t="s">
        <v>1081</v>
      </c>
      <c r="V123" s="3"/>
      <c r="W123" s="19" t="str">
        <f>IFERROR(VLOOKUP(Banco_Nacion[[#This Row],[RESPONSABLE]],Clientes_Proveedores[[Ruc / Dni]:[Razon Social]],2,0),"")</f>
        <v>ALSUR PERU S.A.C.</v>
      </c>
      <c r="X123" s="19" t="str">
        <f>IF(Banco_Nacion[[#This Row],[TIPO DE MOV.]]="INGRESO",Banco_Nacion[[#This Row],[SERIE]]&amp;Banco_Nacion[[#This Row],[NUMERO]]&amp;Banco_Nacion[[#This Row],[RESPONSABLE]]&amp;Banco_Nacion[[#This Row],[MONTO ]],"")</f>
        <v>FE0155920454186002566</v>
      </c>
      <c r="Y12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68238348</v>
      </c>
      <c r="Z123" s="3"/>
      <c r="AA123" s="3"/>
      <c r="AB123" s="24" t="str">
        <f>IF(Banco_Nacion[[#This Row],[FECHA]]&gt;0,TEXT(Banco_Nacion[[#This Row],[FECHA]],"mmmm"),0)</f>
        <v>Febrero</v>
      </c>
    </row>
    <row r="124" spans="2:28" x14ac:dyDescent="0.3">
      <c r="B124" s="2">
        <f>IF(Banco_Nacion[[#This Row],[TIPO DE R.]]="R",COUNTIFS($D$4:$D123,"R")+1,"")</f>
        <v>120</v>
      </c>
      <c r="C124" s="19" t="str">
        <f t="shared" si="5"/>
        <v>B-Banco de la Nacion</v>
      </c>
      <c r="D124" s="3" t="s">
        <v>1074</v>
      </c>
      <c r="E124" s="14">
        <v>45712</v>
      </c>
      <c r="F124" s="5">
        <v>20454186002</v>
      </c>
      <c r="G124" s="5" t="s">
        <v>1087</v>
      </c>
      <c r="H124" s="6" t="s">
        <v>368</v>
      </c>
      <c r="I124" s="6" t="s">
        <v>14</v>
      </c>
      <c r="J124" s="6" t="s">
        <v>1088</v>
      </c>
      <c r="K124" s="6">
        <v>567</v>
      </c>
      <c r="L124" s="7" t="s">
        <v>4290</v>
      </c>
      <c r="M124" s="8">
        <v>68238347</v>
      </c>
      <c r="N124" s="8" t="str">
        <f t="shared" si="6"/>
        <v>PEN</v>
      </c>
      <c r="O124" s="13"/>
      <c r="P124" s="13">
        <v>753</v>
      </c>
      <c r="Q124" s="3">
        <f t="shared" si="7"/>
        <v>753</v>
      </c>
      <c r="R124" s="3">
        <f t="shared" si="8"/>
        <v>0</v>
      </c>
      <c r="S124" s="3">
        <f t="shared" si="9"/>
        <v>45382.010000000009</v>
      </c>
      <c r="T124" s="24"/>
      <c r="U124" s="24" t="s">
        <v>1081</v>
      </c>
      <c r="V124" s="3"/>
      <c r="W124" s="19" t="str">
        <f>IFERROR(VLOOKUP(Banco_Nacion[[#This Row],[RESPONSABLE]],Clientes_Proveedores[[Ruc / Dni]:[Razon Social]],2,0),"")</f>
        <v>ALSUR PERU S.A.C.</v>
      </c>
      <c r="X124" s="19" t="str">
        <f>IF(Banco_Nacion[[#This Row],[TIPO DE MOV.]]="INGRESO",Banco_Nacion[[#This Row],[SERIE]]&amp;Banco_Nacion[[#This Row],[NUMERO]]&amp;Banco_Nacion[[#This Row],[RESPONSABLE]]&amp;Banco_Nacion[[#This Row],[MONTO ]],"")</f>
        <v>FE0156720454186002753</v>
      </c>
      <c r="Y12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68238347</v>
      </c>
      <c r="Z124" s="3"/>
      <c r="AA124" s="3"/>
      <c r="AB124" s="24" t="str">
        <f>IF(Banco_Nacion[[#This Row],[FECHA]]&gt;0,TEXT(Banco_Nacion[[#This Row],[FECHA]],"mmmm"),0)</f>
        <v>Febrero</v>
      </c>
    </row>
    <row r="125" spans="2:28" x14ac:dyDescent="0.3">
      <c r="B125" s="2">
        <f>IF(Banco_Nacion[[#This Row],[TIPO DE R.]]="R",COUNTIFS($D$4:$D124,"R")+1,"")</f>
        <v>121</v>
      </c>
      <c r="C125" s="19" t="str">
        <f t="shared" si="5"/>
        <v>B-Banco de la Nacion</v>
      </c>
      <c r="D125" s="3" t="s">
        <v>1074</v>
      </c>
      <c r="E125" s="14">
        <v>45712</v>
      </c>
      <c r="F125" s="5">
        <v>20454186002</v>
      </c>
      <c r="G125" s="5" t="s">
        <v>1087</v>
      </c>
      <c r="H125" s="6" t="s">
        <v>368</v>
      </c>
      <c r="I125" s="6" t="s">
        <v>14</v>
      </c>
      <c r="J125" s="6" t="s">
        <v>1088</v>
      </c>
      <c r="K125" s="6">
        <v>568</v>
      </c>
      <c r="L125" s="7" t="s">
        <v>4290</v>
      </c>
      <c r="M125" s="8">
        <v>68238346</v>
      </c>
      <c r="N125" s="8" t="str">
        <f t="shared" si="6"/>
        <v>PEN</v>
      </c>
      <c r="O125" s="13"/>
      <c r="P125" s="13">
        <v>506</v>
      </c>
      <c r="Q125" s="3">
        <f t="shared" si="7"/>
        <v>506</v>
      </c>
      <c r="R125" s="3">
        <f t="shared" si="8"/>
        <v>0</v>
      </c>
      <c r="S125" s="3">
        <f t="shared" si="9"/>
        <v>45888.010000000009</v>
      </c>
      <c r="T125" s="24"/>
      <c r="U125" s="24" t="s">
        <v>1081</v>
      </c>
      <c r="V125" s="3"/>
      <c r="W125" s="19" t="str">
        <f>IFERROR(VLOOKUP(Banco_Nacion[[#This Row],[RESPONSABLE]],Clientes_Proveedores[[Ruc / Dni]:[Razon Social]],2,0),"")</f>
        <v>ALSUR PERU S.A.C.</v>
      </c>
      <c r="X125" s="19" t="str">
        <f>IF(Banco_Nacion[[#This Row],[TIPO DE MOV.]]="INGRESO",Banco_Nacion[[#This Row],[SERIE]]&amp;Banco_Nacion[[#This Row],[NUMERO]]&amp;Banco_Nacion[[#This Row],[RESPONSABLE]]&amp;Banco_Nacion[[#This Row],[MONTO ]],"")</f>
        <v>FE0156820454186002506</v>
      </c>
      <c r="Y12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68238346</v>
      </c>
      <c r="Z125" s="3"/>
      <c r="AA125" s="3"/>
      <c r="AB125" s="24" t="str">
        <f>IF(Banco_Nacion[[#This Row],[FECHA]]&gt;0,TEXT(Banco_Nacion[[#This Row],[FECHA]],"mmmm"),0)</f>
        <v>Febrero</v>
      </c>
    </row>
    <row r="126" spans="2:28" x14ac:dyDescent="0.3">
      <c r="B126" s="2">
        <f>IF(Banco_Nacion[[#This Row],[TIPO DE R.]]="R",COUNTIFS($D$4:$D125,"R")+1,"")</f>
        <v>122</v>
      </c>
      <c r="C126" s="19" t="str">
        <f t="shared" si="5"/>
        <v>B-Banco de la Nacion</v>
      </c>
      <c r="D126" s="3" t="s">
        <v>1074</v>
      </c>
      <c r="E126" s="14">
        <v>45712</v>
      </c>
      <c r="F126" s="5"/>
      <c r="G126" s="5" t="s">
        <v>1079</v>
      </c>
      <c r="H126" s="6"/>
      <c r="I126" s="6"/>
      <c r="J126" s="6" t="s">
        <v>4289</v>
      </c>
      <c r="K126" s="6"/>
      <c r="L126" s="7" t="s">
        <v>4292</v>
      </c>
      <c r="M126" s="8">
        <v>78787878</v>
      </c>
      <c r="N126" s="8" t="str">
        <f t="shared" si="6"/>
        <v>PEN</v>
      </c>
      <c r="O126" s="13"/>
      <c r="P126" s="13">
        <v>43</v>
      </c>
      <c r="Q126" s="3">
        <f t="shared" si="7"/>
        <v>0</v>
      </c>
      <c r="R126" s="3">
        <f t="shared" si="8"/>
        <v>43</v>
      </c>
      <c r="S126" s="3">
        <f t="shared" si="9"/>
        <v>45845.010000000009</v>
      </c>
      <c r="T126" s="24"/>
      <c r="U126" s="24"/>
      <c r="V126" s="3"/>
      <c r="W126" s="19" t="str">
        <f>IFERROR(VLOOKUP(Banco_Nacion[[#This Row],[RESPONSABLE]],Clientes_Proveedores[[Ruc / Dni]:[Razon Social]],2,0),"")</f>
        <v/>
      </c>
      <c r="X12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12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126" s="3"/>
      <c r="AA126" s="3"/>
      <c r="AB126" s="24" t="str">
        <f>IF(Banco_Nacion[[#This Row],[FECHA]]&gt;0,TEXT(Banco_Nacion[[#This Row],[FECHA]],"mmmm"),0)</f>
        <v>Febrero</v>
      </c>
    </row>
    <row r="127" spans="2:28" x14ac:dyDescent="0.3">
      <c r="B127" s="2">
        <f>IF(Banco_Nacion[[#This Row],[TIPO DE R.]]="R",COUNTIFS($D$4:$D126,"R")+1,"")</f>
        <v>123</v>
      </c>
      <c r="C127" s="19" t="str">
        <f t="shared" si="5"/>
        <v>B-Banco de la Nacion</v>
      </c>
      <c r="D127" s="3" t="s">
        <v>1074</v>
      </c>
      <c r="E127" s="14">
        <v>45712</v>
      </c>
      <c r="F127" s="5" t="s">
        <v>4289</v>
      </c>
      <c r="G127" s="5" t="s">
        <v>1079</v>
      </c>
      <c r="H127" s="6"/>
      <c r="I127" s="6"/>
      <c r="J127" s="6" t="s">
        <v>4289</v>
      </c>
      <c r="K127" s="6"/>
      <c r="L127" s="7" t="s">
        <v>4292</v>
      </c>
      <c r="M127" s="8">
        <v>78787878</v>
      </c>
      <c r="N127" s="8" t="str">
        <f t="shared" si="6"/>
        <v>PEN</v>
      </c>
      <c r="O127" s="13"/>
      <c r="P127" s="13">
        <v>93</v>
      </c>
      <c r="Q127" s="3">
        <f t="shared" si="7"/>
        <v>0</v>
      </c>
      <c r="R127" s="3">
        <f t="shared" si="8"/>
        <v>93</v>
      </c>
      <c r="S127" s="3">
        <f t="shared" si="9"/>
        <v>45752.010000000009</v>
      </c>
      <c r="T127" s="24"/>
      <c r="U127" s="24"/>
      <c r="V127" s="3"/>
      <c r="W127" s="19" t="str">
        <f>IFERROR(VLOOKUP(Banco_Nacion[[#This Row],[RESPONSABLE]],Clientes_Proveedores[[Ruc / Dni]:[Razon Social]],2,0),"")</f>
        <v/>
      </c>
      <c r="X12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12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127" s="3"/>
      <c r="AA127" s="3"/>
      <c r="AB127" s="24" t="str">
        <f>IF(Banco_Nacion[[#This Row],[FECHA]]&gt;0,TEXT(Banco_Nacion[[#This Row],[FECHA]],"mmmm"),0)</f>
        <v>Febrero</v>
      </c>
    </row>
    <row r="128" spans="2:28" x14ac:dyDescent="0.3">
      <c r="B128" s="2">
        <f>IF(Banco_Nacion[[#This Row],[TIPO DE R.]]="R",COUNTIFS($D$4:$D127,"R")+1,"")</f>
        <v>124</v>
      </c>
      <c r="C128" s="19" t="str">
        <f t="shared" si="5"/>
        <v>B-Banco de la Nacion</v>
      </c>
      <c r="D128" s="3" t="s">
        <v>1074</v>
      </c>
      <c r="E128" s="14">
        <v>45712</v>
      </c>
      <c r="F128" s="5"/>
      <c r="G128" s="5" t="s">
        <v>1079</v>
      </c>
      <c r="H128" s="6"/>
      <c r="I128" s="6"/>
      <c r="J128" s="6" t="s">
        <v>4289</v>
      </c>
      <c r="K128" s="6"/>
      <c r="L128" s="7" t="s">
        <v>4292</v>
      </c>
      <c r="M128" s="8">
        <v>78787878</v>
      </c>
      <c r="N128" s="8" t="str">
        <f t="shared" si="6"/>
        <v>PEN</v>
      </c>
      <c r="O128" s="13"/>
      <c r="P128" s="13">
        <v>6919</v>
      </c>
      <c r="Q128" s="3">
        <f t="shared" si="7"/>
        <v>0</v>
      </c>
      <c r="R128" s="3">
        <f t="shared" si="8"/>
        <v>6919</v>
      </c>
      <c r="S128" s="3">
        <f t="shared" si="9"/>
        <v>38833.010000000009</v>
      </c>
      <c r="T128" s="24"/>
      <c r="U128" s="24"/>
      <c r="V128" s="3"/>
      <c r="W128" s="19" t="str">
        <f>IFERROR(VLOOKUP(Banco_Nacion[[#This Row],[RESPONSABLE]],Clientes_Proveedores[[Ruc / Dni]:[Razon Social]],2,0),"")</f>
        <v/>
      </c>
      <c r="X12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12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128" s="3"/>
      <c r="AA128" s="3"/>
      <c r="AB128" s="24" t="str">
        <f>IF(Banco_Nacion[[#This Row],[FECHA]]&gt;0,TEXT(Banco_Nacion[[#This Row],[FECHA]],"mmmm"),0)</f>
        <v>Febrero</v>
      </c>
    </row>
    <row r="129" spans="2:28" x14ac:dyDescent="0.3">
      <c r="B129" s="2">
        <f>IF(Banco_Nacion[[#This Row],[TIPO DE R.]]="R",COUNTIFS($D$4:$D128,"R")+1,"")</f>
        <v>125</v>
      </c>
      <c r="C129" s="19" t="str">
        <f t="shared" si="5"/>
        <v>B-Banco de la Nacion</v>
      </c>
      <c r="D129" s="3" t="s">
        <v>1074</v>
      </c>
      <c r="E129" s="14">
        <v>45712</v>
      </c>
      <c r="F129" s="5" t="s">
        <v>4289</v>
      </c>
      <c r="G129" s="5" t="s">
        <v>1079</v>
      </c>
      <c r="H129" s="6"/>
      <c r="I129" s="6"/>
      <c r="J129" s="6" t="s">
        <v>4289</v>
      </c>
      <c r="K129" s="6"/>
      <c r="L129" s="7" t="s">
        <v>4292</v>
      </c>
      <c r="M129" s="8">
        <v>78787878</v>
      </c>
      <c r="N129" s="8" t="str">
        <f t="shared" si="6"/>
        <v>PEN</v>
      </c>
      <c r="O129" s="13"/>
      <c r="P129" s="13">
        <v>1912</v>
      </c>
      <c r="Q129" s="3">
        <f t="shared" si="7"/>
        <v>0</v>
      </c>
      <c r="R129" s="3">
        <f t="shared" si="8"/>
        <v>1912</v>
      </c>
      <c r="S129" s="3">
        <f t="shared" si="9"/>
        <v>36921.010000000009</v>
      </c>
      <c r="T129" s="24"/>
      <c r="U129" s="24"/>
      <c r="V129" s="3"/>
      <c r="W129" s="19" t="str">
        <f>IFERROR(VLOOKUP(Banco_Nacion[[#This Row],[RESPONSABLE]],Clientes_Proveedores[[Ruc / Dni]:[Razon Social]],2,0),"")</f>
        <v/>
      </c>
      <c r="X12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12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129" s="3"/>
      <c r="AA129" s="3"/>
      <c r="AB129" s="24" t="str">
        <f>IF(Banco_Nacion[[#This Row],[FECHA]]&gt;0,TEXT(Banco_Nacion[[#This Row],[FECHA]],"mmmm"),0)</f>
        <v>Febrero</v>
      </c>
    </row>
    <row r="130" spans="2:28" x14ac:dyDescent="0.3">
      <c r="B130" s="2">
        <f>IF(Banco_Nacion[[#This Row],[TIPO DE R.]]="R",COUNTIFS($D$4:$D129,"R")+1,"")</f>
        <v>126</v>
      </c>
      <c r="C130" s="19" t="str">
        <f t="shared" si="5"/>
        <v>B-Banco de la Nacion</v>
      </c>
      <c r="D130" s="3" t="s">
        <v>1074</v>
      </c>
      <c r="E130" s="14">
        <v>45714</v>
      </c>
      <c r="F130" s="5">
        <v>20603577079</v>
      </c>
      <c r="G130" s="5" t="s">
        <v>1087</v>
      </c>
      <c r="H130" s="6" t="s">
        <v>368</v>
      </c>
      <c r="I130" s="6" t="s">
        <v>14</v>
      </c>
      <c r="J130" s="6" t="s">
        <v>1097</v>
      </c>
      <c r="K130" s="6">
        <v>200</v>
      </c>
      <c r="L130" s="7" t="s">
        <v>4290</v>
      </c>
      <c r="M130" s="8">
        <v>68342667</v>
      </c>
      <c r="N130" s="8" t="str">
        <f t="shared" si="6"/>
        <v>PEN</v>
      </c>
      <c r="O130" s="13"/>
      <c r="P130" s="13">
        <v>2667</v>
      </c>
      <c r="Q130" s="3">
        <f t="shared" si="7"/>
        <v>2667</v>
      </c>
      <c r="R130" s="3">
        <f t="shared" si="8"/>
        <v>0</v>
      </c>
      <c r="S130" s="3">
        <f t="shared" si="9"/>
        <v>39588.010000000009</v>
      </c>
      <c r="T130" s="24"/>
      <c r="U130" s="24"/>
      <c r="V130" s="3"/>
      <c r="W130" s="19" t="str">
        <f>IFERROR(VLOOKUP(Banco_Nacion[[#This Row],[RESPONSABLE]],Clientes_Proveedores[[Ruc / Dni]:[Razon Social]],2,0),"")</f>
        <v>ENVASES CAROLINA S.A.C.</v>
      </c>
      <c r="X130" s="19" t="str">
        <f>IF(Banco_Nacion[[#This Row],[TIPO DE MOV.]]="INGRESO",Banco_Nacion[[#This Row],[SERIE]]&amp;Banco_Nacion[[#This Row],[NUMERO]]&amp;Banco_Nacion[[#This Row],[RESPONSABLE]]&amp;Banco_Nacion[[#This Row],[MONTO ]],"")</f>
        <v>FE02200206035770792667</v>
      </c>
      <c r="Y13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68342667</v>
      </c>
      <c r="Z130" s="3"/>
      <c r="AA130" s="3"/>
      <c r="AB130" s="24" t="str">
        <f>IF(Banco_Nacion[[#This Row],[FECHA]]&gt;0,TEXT(Banco_Nacion[[#This Row],[FECHA]],"mmmm"),0)</f>
        <v>Febrero</v>
      </c>
    </row>
    <row r="131" spans="2:28" x14ac:dyDescent="0.3">
      <c r="B131" s="2">
        <f>IF(Banco_Nacion[[#This Row],[TIPO DE R.]]="R",COUNTIFS($D$4:$D130,"R")+1,"")</f>
        <v>127</v>
      </c>
      <c r="C131" s="19" t="str">
        <f t="shared" si="5"/>
        <v>B-Banco de la Nacion</v>
      </c>
      <c r="D131" s="3" t="s">
        <v>1074</v>
      </c>
      <c r="E131" s="14">
        <v>45714</v>
      </c>
      <c r="F131" s="5">
        <v>20120877055</v>
      </c>
      <c r="G131" s="5" t="s">
        <v>1087</v>
      </c>
      <c r="H131" s="6" t="s">
        <v>368</v>
      </c>
      <c r="I131" s="6" t="s">
        <v>14</v>
      </c>
      <c r="J131" s="6" t="s">
        <v>1097</v>
      </c>
      <c r="K131" s="6">
        <v>196</v>
      </c>
      <c r="L131" s="7" t="s">
        <v>4290</v>
      </c>
      <c r="M131" s="8">
        <v>68342666</v>
      </c>
      <c r="N131" s="8" t="str">
        <f t="shared" si="6"/>
        <v>PEN</v>
      </c>
      <c r="O131" s="13"/>
      <c r="P131" s="13">
        <v>56</v>
      </c>
      <c r="Q131" s="3">
        <f t="shared" si="7"/>
        <v>56</v>
      </c>
      <c r="R131" s="3">
        <f t="shared" si="8"/>
        <v>0</v>
      </c>
      <c r="S131" s="3">
        <f t="shared" si="9"/>
        <v>39644.010000000009</v>
      </c>
      <c r="T131" s="24"/>
      <c r="U131" s="24"/>
      <c r="V131" s="3"/>
      <c r="W131" s="19" t="str">
        <f>IFERROR(VLOOKUP(Banco_Nacion[[#This Row],[RESPONSABLE]],Clientes_Proveedores[[Ruc / Dni]:[Razon Social]],2,0),"")</f>
        <v>LADRILLERA EL DIAMANTE S.A.C.</v>
      </c>
      <c r="X131" s="19" t="str">
        <f>IF(Banco_Nacion[[#This Row],[TIPO DE MOV.]]="INGRESO",Banco_Nacion[[#This Row],[SERIE]]&amp;Banco_Nacion[[#This Row],[NUMERO]]&amp;Banco_Nacion[[#This Row],[RESPONSABLE]]&amp;Banco_Nacion[[#This Row],[MONTO ]],"")</f>
        <v>FE021962012087705556</v>
      </c>
      <c r="Y13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68342666</v>
      </c>
      <c r="Z131" s="3"/>
      <c r="AA131" s="3"/>
      <c r="AB131" s="24" t="str">
        <f>IF(Banco_Nacion[[#This Row],[FECHA]]&gt;0,TEXT(Banco_Nacion[[#This Row],[FECHA]],"mmmm"),0)</f>
        <v>Febrero</v>
      </c>
    </row>
    <row r="132" spans="2:28" x14ac:dyDescent="0.3">
      <c r="B132" s="2">
        <f>IF(Banco_Nacion[[#This Row],[TIPO DE R.]]="R",COUNTIFS($D$4:$D131,"R")+1,"")</f>
        <v>128</v>
      </c>
      <c r="C132" s="19" t="str">
        <f t="shared" si="5"/>
        <v>B-Banco de la Nacion</v>
      </c>
      <c r="D132" s="3" t="s">
        <v>1074</v>
      </c>
      <c r="E132" s="14">
        <v>45714</v>
      </c>
      <c r="F132" s="5">
        <v>20456012427</v>
      </c>
      <c r="G132" s="5" t="s">
        <v>1087</v>
      </c>
      <c r="H132" s="6" t="s">
        <v>368</v>
      </c>
      <c r="I132" s="6" t="s">
        <v>14</v>
      </c>
      <c r="J132" s="6" t="s">
        <v>1088</v>
      </c>
      <c r="K132" s="6">
        <v>545</v>
      </c>
      <c r="L132" s="7" t="s">
        <v>4290</v>
      </c>
      <c r="M132" s="8">
        <v>68342665</v>
      </c>
      <c r="N132" s="8" t="str">
        <f t="shared" si="6"/>
        <v>PEN</v>
      </c>
      <c r="O132" s="13"/>
      <c r="P132" s="13">
        <v>136</v>
      </c>
      <c r="Q132" s="3">
        <f t="shared" si="7"/>
        <v>136</v>
      </c>
      <c r="R132" s="3">
        <f t="shared" si="8"/>
        <v>0</v>
      </c>
      <c r="S132" s="3">
        <f t="shared" si="9"/>
        <v>39780.010000000009</v>
      </c>
      <c r="T132" s="24"/>
      <c r="U132" s="24" t="s">
        <v>1081</v>
      </c>
      <c r="V132" s="3"/>
      <c r="W132" s="19" t="str">
        <f>IFERROR(VLOOKUP(Banco_Nacion[[#This Row],[RESPONSABLE]],Clientes_Proveedores[[Ruc / Dni]:[Razon Social]],2,0),"")</f>
        <v>J. CH. COMERCIALIZADORA DE RESIDUOS SOLIDOS S.R.L.</v>
      </c>
      <c r="X132" s="19" t="str">
        <f>IF(Banco_Nacion[[#This Row],[TIPO DE MOV.]]="INGRESO",Banco_Nacion[[#This Row],[SERIE]]&amp;Banco_Nacion[[#This Row],[NUMERO]]&amp;Banco_Nacion[[#This Row],[RESPONSABLE]]&amp;Banco_Nacion[[#This Row],[MONTO ]],"")</f>
        <v>FE0154520456012427136</v>
      </c>
      <c r="Y13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68342665</v>
      </c>
      <c r="Z132" s="3"/>
      <c r="AA132" s="3"/>
      <c r="AB132" s="24" t="str">
        <f>IF(Banco_Nacion[[#This Row],[FECHA]]&gt;0,TEXT(Banco_Nacion[[#This Row],[FECHA]],"mmmm"),0)</f>
        <v>Febrero</v>
      </c>
    </row>
    <row r="133" spans="2:28" x14ac:dyDescent="0.3">
      <c r="B133" s="2">
        <f>IF(Banco_Nacion[[#This Row],[TIPO DE R.]]="R",COUNTIFS($D$4:$D132,"R")+1,"")</f>
        <v>129</v>
      </c>
      <c r="C133" s="19" t="str">
        <f t="shared" ref="C133:C196" si="10">"B-Banco de la Nacion"</f>
        <v>B-Banco de la Nacion</v>
      </c>
      <c r="D133" s="3" t="s">
        <v>1074</v>
      </c>
      <c r="E133" s="14">
        <v>45714</v>
      </c>
      <c r="F133" s="5">
        <v>20508597208</v>
      </c>
      <c r="G133" s="5" t="s">
        <v>1087</v>
      </c>
      <c r="H133" s="6" t="s">
        <v>368</v>
      </c>
      <c r="I133" s="6" t="s">
        <v>14</v>
      </c>
      <c r="J133" s="6" t="s">
        <v>1097</v>
      </c>
      <c r="K133" s="6">
        <v>184</v>
      </c>
      <c r="L133" s="7" t="s">
        <v>4290</v>
      </c>
      <c r="M133" s="8">
        <v>68342664</v>
      </c>
      <c r="N133" s="8" t="str">
        <f t="shared" ref="N133:N196" si="11">"PEN"</f>
        <v>PEN</v>
      </c>
      <c r="O133" s="13"/>
      <c r="P133" s="13">
        <v>149</v>
      </c>
      <c r="Q133" s="3">
        <f t="shared" ref="Q133:Q196" si="12">+IF(OR($G133="SALDO",$G133="INGRESO"),$P133,0)</f>
        <v>149</v>
      </c>
      <c r="R133" s="3">
        <f t="shared" ref="R133:R196" si="13">+IF($G133="EGRESO",$P133,0)</f>
        <v>0</v>
      </c>
      <c r="S133" s="3">
        <f t="shared" ref="S133:S196" si="14">IFERROR(IF(G133="SALDO",Q133,S132+Q133-R133),0)</f>
        <v>39929.010000000009</v>
      </c>
      <c r="T133" s="24"/>
      <c r="U133" s="24"/>
      <c r="V133" s="3"/>
      <c r="W133" s="19" t="str">
        <f>IFERROR(VLOOKUP(Banco_Nacion[[#This Row],[RESPONSABLE]],Clientes_Proveedores[[Ruc / Dni]:[Razon Social]],2,0),"")</f>
        <v>CORPORACION DINA E HIJOS S.R.L.</v>
      </c>
      <c r="X133" s="19" t="str">
        <f>IF(Banco_Nacion[[#This Row],[TIPO DE MOV.]]="INGRESO",Banco_Nacion[[#This Row],[SERIE]]&amp;Banco_Nacion[[#This Row],[NUMERO]]&amp;Banco_Nacion[[#This Row],[RESPONSABLE]]&amp;Banco_Nacion[[#This Row],[MONTO ]],"")</f>
        <v>FE0218420508597208149</v>
      </c>
      <c r="Y13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68342664</v>
      </c>
      <c r="Z133" s="3"/>
      <c r="AA133" s="3"/>
      <c r="AB133" s="24" t="str">
        <f>IF(Banco_Nacion[[#This Row],[FECHA]]&gt;0,TEXT(Banco_Nacion[[#This Row],[FECHA]],"mmmm"),0)</f>
        <v>Febrero</v>
      </c>
    </row>
    <row r="134" spans="2:28" x14ac:dyDescent="0.3">
      <c r="B134" s="2">
        <f>IF(Banco_Nacion[[#This Row],[TIPO DE R.]]="R",COUNTIFS($D$4:$D133,"R")+1,"")</f>
        <v>130</v>
      </c>
      <c r="C134" s="19" t="str">
        <f t="shared" si="10"/>
        <v>B-Banco de la Nacion</v>
      </c>
      <c r="D134" s="3" t="s">
        <v>1074</v>
      </c>
      <c r="E134" s="14">
        <v>45714</v>
      </c>
      <c r="F134" s="5">
        <v>20508597208</v>
      </c>
      <c r="G134" s="5" t="s">
        <v>1087</v>
      </c>
      <c r="H134" s="6" t="s">
        <v>368</v>
      </c>
      <c r="I134" s="6" t="s">
        <v>14</v>
      </c>
      <c r="J134" s="6" t="s">
        <v>1097</v>
      </c>
      <c r="K134" s="6">
        <v>171</v>
      </c>
      <c r="L134" s="7" t="s">
        <v>4290</v>
      </c>
      <c r="M134" s="8">
        <v>68342663</v>
      </c>
      <c r="N134" s="8" t="str">
        <f t="shared" si="11"/>
        <v>PEN</v>
      </c>
      <c r="O134" s="13"/>
      <c r="P134" s="13">
        <v>266</v>
      </c>
      <c r="Q134" s="3">
        <f t="shared" si="12"/>
        <v>266</v>
      </c>
      <c r="R134" s="3">
        <f t="shared" si="13"/>
        <v>0</v>
      </c>
      <c r="S134" s="3">
        <f t="shared" si="14"/>
        <v>40195.010000000009</v>
      </c>
      <c r="T134" s="24"/>
      <c r="U134" s="24"/>
      <c r="V134" s="3"/>
      <c r="W134" s="19" t="str">
        <f>IFERROR(VLOOKUP(Banco_Nacion[[#This Row],[RESPONSABLE]],Clientes_Proveedores[[Ruc / Dni]:[Razon Social]],2,0),"")</f>
        <v>CORPORACION DINA E HIJOS S.R.L.</v>
      </c>
      <c r="X134" s="19" t="str">
        <f>IF(Banco_Nacion[[#This Row],[TIPO DE MOV.]]="INGRESO",Banco_Nacion[[#This Row],[SERIE]]&amp;Banco_Nacion[[#This Row],[NUMERO]]&amp;Banco_Nacion[[#This Row],[RESPONSABLE]]&amp;Banco_Nacion[[#This Row],[MONTO ]],"")</f>
        <v>FE0217120508597208266</v>
      </c>
      <c r="Y13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68342663</v>
      </c>
      <c r="Z134" s="3"/>
      <c r="AA134" s="3"/>
      <c r="AB134" s="24" t="str">
        <f>IF(Banco_Nacion[[#This Row],[FECHA]]&gt;0,TEXT(Banco_Nacion[[#This Row],[FECHA]],"mmmm"),0)</f>
        <v>Febrero</v>
      </c>
    </row>
    <row r="135" spans="2:28" x14ac:dyDescent="0.3">
      <c r="B135" s="2">
        <f>IF(Banco_Nacion[[#This Row],[TIPO DE R.]]="R",COUNTIFS($D$4:$D134,"R")+1,"")</f>
        <v>131</v>
      </c>
      <c r="C135" s="19" t="str">
        <f t="shared" si="10"/>
        <v>B-Banco de la Nacion</v>
      </c>
      <c r="D135" s="3" t="s">
        <v>1074</v>
      </c>
      <c r="E135" s="14">
        <v>45715</v>
      </c>
      <c r="F135" s="5">
        <v>20523573226</v>
      </c>
      <c r="G135" s="5" t="s">
        <v>1087</v>
      </c>
      <c r="H135" s="6" t="s">
        <v>368</v>
      </c>
      <c r="I135" s="6" t="s">
        <v>14</v>
      </c>
      <c r="J135" s="6" t="s">
        <v>1088</v>
      </c>
      <c r="K135" s="6">
        <v>549</v>
      </c>
      <c r="L135" s="7" t="s">
        <v>4290</v>
      </c>
      <c r="M135" s="8">
        <v>68375973</v>
      </c>
      <c r="N135" s="8" t="str">
        <f t="shared" si="11"/>
        <v>PEN</v>
      </c>
      <c r="O135" s="13"/>
      <c r="P135" s="13">
        <v>376</v>
      </c>
      <c r="Q135" s="3">
        <f t="shared" si="12"/>
        <v>376</v>
      </c>
      <c r="R135" s="3">
        <f t="shared" si="13"/>
        <v>0</v>
      </c>
      <c r="S135" s="3">
        <f t="shared" si="14"/>
        <v>40571.010000000009</v>
      </c>
      <c r="T135" s="24"/>
      <c r="U135" s="24" t="s">
        <v>1081</v>
      </c>
      <c r="V135" s="3"/>
      <c r="W135" s="19" t="str">
        <f>IFERROR(VLOOKUP(Banco_Nacion[[#This Row],[RESPONSABLE]],Clientes_Proveedores[[Ruc / Dni]:[Razon Social]],2,0),"")</f>
        <v>CBB PERU S.A.</v>
      </c>
      <c r="X135" s="19" t="str">
        <f>IF(Banco_Nacion[[#This Row],[TIPO DE MOV.]]="INGRESO",Banco_Nacion[[#This Row],[SERIE]]&amp;Banco_Nacion[[#This Row],[NUMERO]]&amp;Banco_Nacion[[#This Row],[RESPONSABLE]]&amp;Banco_Nacion[[#This Row],[MONTO ]],"")</f>
        <v>FE0154920523573226376</v>
      </c>
      <c r="Y13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68375973</v>
      </c>
      <c r="Z135" s="3"/>
      <c r="AA135" s="3"/>
      <c r="AB135" s="24" t="str">
        <f>IF(Banco_Nacion[[#This Row],[FECHA]]&gt;0,TEXT(Banco_Nacion[[#This Row],[FECHA]],"mmmm"),0)</f>
        <v>Febrero</v>
      </c>
    </row>
    <row r="136" spans="2:28" x14ac:dyDescent="0.3">
      <c r="B136" s="2">
        <f>IF(Banco_Nacion[[#This Row],[TIPO DE R.]]="R",COUNTIFS($D$4:$D135,"R")+1,"")</f>
        <v>132</v>
      </c>
      <c r="C136" s="19" t="str">
        <f t="shared" si="10"/>
        <v>B-Banco de la Nacion</v>
      </c>
      <c r="D136" s="3" t="s">
        <v>1074</v>
      </c>
      <c r="E136" s="14">
        <v>45715</v>
      </c>
      <c r="F136" s="5">
        <v>20523573226</v>
      </c>
      <c r="G136" s="5" t="s">
        <v>1087</v>
      </c>
      <c r="H136" s="6" t="s">
        <v>368</v>
      </c>
      <c r="I136" s="6" t="s">
        <v>14</v>
      </c>
      <c r="J136" s="6" t="s">
        <v>1088</v>
      </c>
      <c r="K136" s="6">
        <v>550</v>
      </c>
      <c r="L136" s="7" t="s">
        <v>4290</v>
      </c>
      <c r="M136" s="8">
        <v>68375972</v>
      </c>
      <c r="N136" s="8" t="str">
        <f t="shared" si="11"/>
        <v>PEN</v>
      </c>
      <c r="O136" s="13"/>
      <c r="P136" s="13">
        <v>344</v>
      </c>
      <c r="Q136" s="3">
        <f t="shared" si="12"/>
        <v>344</v>
      </c>
      <c r="R136" s="3">
        <f t="shared" si="13"/>
        <v>0</v>
      </c>
      <c r="S136" s="3">
        <f t="shared" si="14"/>
        <v>40915.010000000009</v>
      </c>
      <c r="T136" s="24"/>
      <c r="U136" s="24" t="s">
        <v>1081</v>
      </c>
      <c r="V136" s="3"/>
      <c r="W136" s="19" t="str">
        <f>IFERROR(VLOOKUP(Banco_Nacion[[#This Row],[RESPONSABLE]],Clientes_Proveedores[[Ruc / Dni]:[Razon Social]],2,0),"")</f>
        <v>CBB PERU S.A.</v>
      </c>
      <c r="X136" s="19" t="str">
        <f>IF(Banco_Nacion[[#This Row],[TIPO DE MOV.]]="INGRESO",Banco_Nacion[[#This Row],[SERIE]]&amp;Banco_Nacion[[#This Row],[NUMERO]]&amp;Banco_Nacion[[#This Row],[RESPONSABLE]]&amp;Banco_Nacion[[#This Row],[MONTO ]],"")</f>
        <v>FE0155020523573226344</v>
      </c>
      <c r="Y13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68375972</v>
      </c>
      <c r="Z136" s="3"/>
      <c r="AA136" s="3"/>
      <c r="AB136" s="24" t="str">
        <f>IF(Banco_Nacion[[#This Row],[FECHA]]&gt;0,TEXT(Banco_Nacion[[#This Row],[FECHA]],"mmmm"),0)</f>
        <v>Febrero</v>
      </c>
    </row>
    <row r="137" spans="2:28" x14ac:dyDescent="0.3">
      <c r="B137" s="2">
        <f>IF(Banco_Nacion[[#This Row],[TIPO DE R.]]="R",COUNTIFS($D$4:$D136,"R")+1,"")</f>
        <v>133</v>
      </c>
      <c r="C137" s="19" t="str">
        <f t="shared" si="10"/>
        <v>B-Banco de la Nacion</v>
      </c>
      <c r="D137" s="3" t="s">
        <v>1074</v>
      </c>
      <c r="E137" s="14">
        <v>45716</v>
      </c>
      <c r="F137" s="5">
        <v>20141637941</v>
      </c>
      <c r="G137" s="5" t="s">
        <v>1087</v>
      </c>
      <c r="H137" s="6" t="s">
        <v>368</v>
      </c>
      <c r="I137" s="6" t="s">
        <v>14</v>
      </c>
      <c r="J137" s="6" t="s">
        <v>1088</v>
      </c>
      <c r="K137" s="6">
        <v>511</v>
      </c>
      <c r="L137" s="7" t="s">
        <v>4290</v>
      </c>
      <c r="M137" s="8">
        <v>68428996</v>
      </c>
      <c r="N137" s="8" t="str">
        <f t="shared" si="11"/>
        <v>PEN</v>
      </c>
      <c r="O137" s="13"/>
      <c r="P137" s="13">
        <v>421</v>
      </c>
      <c r="Q137" s="3">
        <f t="shared" si="12"/>
        <v>421</v>
      </c>
      <c r="R137" s="3">
        <f t="shared" si="13"/>
        <v>0</v>
      </c>
      <c r="S137" s="3">
        <f t="shared" si="14"/>
        <v>41336.010000000009</v>
      </c>
      <c r="T137" s="24"/>
      <c r="U137" s="24" t="s">
        <v>1081</v>
      </c>
      <c r="V137" s="3"/>
      <c r="W137" s="19" t="str">
        <f>IFERROR(VLOOKUP(Banco_Nacion[[#This Row],[RESPONSABLE]],Clientes_Proveedores[[Ruc / Dni]:[Razon Social]],2,0),"")</f>
        <v>UNIVERSIDAD CATOLICA DE SANTA MARIA</v>
      </c>
      <c r="X137" s="19" t="str">
        <f>IF(Banco_Nacion[[#This Row],[TIPO DE MOV.]]="INGRESO",Banco_Nacion[[#This Row],[SERIE]]&amp;Banco_Nacion[[#This Row],[NUMERO]]&amp;Banco_Nacion[[#This Row],[RESPONSABLE]]&amp;Banco_Nacion[[#This Row],[MONTO ]],"")</f>
        <v>FE0151120141637941421</v>
      </c>
      <c r="Y13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68428996</v>
      </c>
      <c r="Z137" s="3"/>
      <c r="AA137" s="3"/>
      <c r="AB137" s="24" t="str">
        <f>IF(Banco_Nacion[[#This Row],[FECHA]]&gt;0,TEXT(Banco_Nacion[[#This Row],[FECHA]],"mmmm"),0)</f>
        <v>Febrero</v>
      </c>
    </row>
    <row r="138" spans="2:28" x14ac:dyDescent="0.3">
      <c r="B138" s="2">
        <f>IF(Banco_Nacion[[#This Row],[TIPO DE R.]]="R",COUNTIFS($D$4:$D137,"R")+1,"")</f>
        <v>134</v>
      </c>
      <c r="C138" s="19" t="str">
        <f t="shared" si="10"/>
        <v>B-Banco de la Nacion</v>
      </c>
      <c r="D138" s="3" t="s">
        <v>1074</v>
      </c>
      <c r="E138" s="14">
        <v>45716</v>
      </c>
      <c r="F138" s="5">
        <v>20141637941</v>
      </c>
      <c r="G138" s="5" t="s">
        <v>1087</v>
      </c>
      <c r="H138" s="6" t="s">
        <v>368</v>
      </c>
      <c r="I138" s="6" t="s">
        <v>14</v>
      </c>
      <c r="J138" s="6" t="s">
        <v>1088</v>
      </c>
      <c r="K138" s="6">
        <v>512</v>
      </c>
      <c r="L138" s="7" t="s">
        <v>4290</v>
      </c>
      <c r="M138" s="8">
        <v>68428995</v>
      </c>
      <c r="N138" s="8" t="str">
        <f t="shared" si="11"/>
        <v>PEN</v>
      </c>
      <c r="O138" s="13"/>
      <c r="P138" s="13">
        <v>177</v>
      </c>
      <c r="Q138" s="3">
        <f t="shared" si="12"/>
        <v>177</v>
      </c>
      <c r="R138" s="3">
        <f t="shared" si="13"/>
        <v>0</v>
      </c>
      <c r="S138" s="3">
        <f t="shared" si="14"/>
        <v>41513.010000000009</v>
      </c>
      <c r="T138" s="24"/>
      <c r="U138" s="24" t="s">
        <v>1081</v>
      </c>
      <c r="V138" s="3"/>
      <c r="W138" s="19" t="str">
        <f>IFERROR(VLOOKUP(Banco_Nacion[[#This Row],[RESPONSABLE]],Clientes_Proveedores[[Ruc / Dni]:[Razon Social]],2,0),"")</f>
        <v>UNIVERSIDAD CATOLICA DE SANTA MARIA</v>
      </c>
      <c r="X138" s="19" t="str">
        <f>IF(Banco_Nacion[[#This Row],[TIPO DE MOV.]]="INGRESO",Banco_Nacion[[#This Row],[SERIE]]&amp;Banco_Nacion[[#This Row],[NUMERO]]&amp;Banco_Nacion[[#This Row],[RESPONSABLE]]&amp;Banco_Nacion[[#This Row],[MONTO ]],"")</f>
        <v>FE0151220141637941177</v>
      </c>
      <c r="Y13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68428995</v>
      </c>
      <c r="Z138" s="3"/>
      <c r="AA138" s="3"/>
      <c r="AB138" s="24" t="str">
        <f>IF(Banco_Nacion[[#This Row],[FECHA]]&gt;0,TEXT(Banco_Nacion[[#This Row],[FECHA]],"mmmm"),0)</f>
        <v>Febrero</v>
      </c>
    </row>
    <row r="139" spans="2:28" x14ac:dyDescent="0.3">
      <c r="B139" s="2">
        <f>IF(Banco_Nacion[[#This Row],[TIPO DE R.]]="R",COUNTIFS($D$4:$D138,"R")+1,"")</f>
        <v>135</v>
      </c>
      <c r="C139" s="19" t="str">
        <f t="shared" si="10"/>
        <v>B-Banco de la Nacion</v>
      </c>
      <c r="D139" s="3" t="s">
        <v>1074</v>
      </c>
      <c r="E139" s="14">
        <v>45716</v>
      </c>
      <c r="F139" s="5">
        <v>20141637941</v>
      </c>
      <c r="G139" s="5" t="s">
        <v>1087</v>
      </c>
      <c r="H139" s="6" t="s">
        <v>368</v>
      </c>
      <c r="I139" s="6" t="s">
        <v>14</v>
      </c>
      <c r="J139" s="6" t="s">
        <v>1088</v>
      </c>
      <c r="K139" s="6">
        <v>529</v>
      </c>
      <c r="L139" s="7" t="s">
        <v>4290</v>
      </c>
      <c r="M139" s="8">
        <v>68428994</v>
      </c>
      <c r="N139" s="8" t="str">
        <f t="shared" si="11"/>
        <v>PEN</v>
      </c>
      <c r="O139" s="13"/>
      <c r="P139" s="13">
        <v>176</v>
      </c>
      <c r="Q139" s="3">
        <f t="shared" si="12"/>
        <v>176</v>
      </c>
      <c r="R139" s="3">
        <f t="shared" si="13"/>
        <v>0</v>
      </c>
      <c r="S139" s="3">
        <f t="shared" si="14"/>
        <v>41689.010000000009</v>
      </c>
      <c r="T139" s="24"/>
      <c r="U139" s="24" t="s">
        <v>1081</v>
      </c>
      <c r="V139" s="3"/>
      <c r="W139" s="19" t="str">
        <f>IFERROR(VLOOKUP(Banco_Nacion[[#This Row],[RESPONSABLE]],Clientes_Proveedores[[Ruc / Dni]:[Razon Social]],2,0),"")</f>
        <v>UNIVERSIDAD CATOLICA DE SANTA MARIA</v>
      </c>
      <c r="X139" s="19" t="str">
        <f>IF(Banco_Nacion[[#This Row],[TIPO DE MOV.]]="INGRESO",Banco_Nacion[[#This Row],[SERIE]]&amp;Banco_Nacion[[#This Row],[NUMERO]]&amp;Banco_Nacion[[#This Row],[RESPONSABLE]]&amp;Banco_Nacion[[#This Row],[MONTO ]],"")</f>
        <v>FE0152920141637941176</v>
      </c>
      <c r="Y13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68428994</v>
      </c>
      <c r="Z139" s="3"/>
      <c r="AA139" s="3"/>
      <c r="AB139" s="24" t="str">
        <f>IF(Banco_Nacion[[#This Row],[FECHA]]&gt;0,TEXT(Banco_Nacion[[#This Row],[FECHA]],"mmmm"),0)</f>
        <v>Febrero</v>
      </c>
    </row>
    <row r="140" spans="2:28" x14ac:dyDescent="0.3">
      <c r="B140" s="2">
        <f>IF(Banco_Nacion[[#This Row],[TIPO DE R.]]="R",COUNTIFS($D$4:$D139,"R")+1,"")</f>
        <v>136</v>
      </c>
      <c r="C140" s="19" t="str">
        <f t="shared" si="10"/>
        <v>B-Banco de la Nacion</v>
      </c>
      <c r="D140" s="3" t="s">
        <v>1074</v>
      </c>
      <c r="E140" s="14">
        <v>45716</v>
      </c>
      <c r="F140" s="5">
        <v>20603536569</v>
      </c>
      <c r="G140" s="5" t="s">
        <v>1087</v>
      </c>
      <c r="H140" s="6" t="s">
        <v>368</v>
      </c>
      <c r="I140" s="6" t="s">
        <v>14</v>
      </c>
      <c r="J140" s="6" t="s">
        <v>1088</v>
      </c>
      <c r="K140" s="6">
        <v>547</v>
      </c>
      <c r="L140" s="7" t="s">
        <v>4290</v>
      </c>
      <c r="M140" s="8">
        <v>68426885</v>
      </c>
      <c r="N140" s="8" t="str">
        <f t="shared" si="11"/>
        <v>PEN</v>
      </c>
      <c r="O140" s="13"/>
      <c r="P140" s="13">
        <v>563</v>
      </c>
      <c r="Q140" s="3">
        <f t="shared" si="12"/>
        <v>563</v>
      </c>
      <c r="R140" s="3">
        <f t="shared" si="13"/>
        <v>0</v>
      </c>
      <c r="S140" s="3">
        <f t="shared" si="14"/>
        <v>42252.010000000009</v>
      </c>
      <c r="T140" s="24"/>
      <c r="U140" s="24" t="s">
        <v>1081</v>
      </c>
      <c r="V140" s="3"/>
      <c r="W140" s="19" t="str">
        <f>IFERROR(VLOOKUP(Banco_Nacion[[#This Row],[RESPONSABLE]],Clientes_Proveedores[[Ruc / Dni]:[Razon Social]],2,0),"")</f>
        <v>ANTILLA COPPER SOCIEDAD ANONIMA</v>
      </c>
      <c r="X140" s="19" t="str">
        <f>IF(Banco_Nacion[[#This Row],[TIPO DE MOV.]]="INGRESO",Banco_Nacion[[#This Row],[SERIE]]&amp;Banco_Nacion[[#This Row],[NUMERO]]&amp;Banco_Nacion[[#This Row],[RESPONSABLE]]&amp;Banco_Nacion[[#This Row],[MONTO ]],"")</f>
        <v>FE0154720603536569563</v>
      </c>
      <c r="Y14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68426885</v>
      </c>
      <c r="Z140" s="3"/>
      <c r="AA140" s="3"/>
      <c r="AB140" s="24" t="str">
        <f>IF(Banco_Nacion[[#This Row],[FECHA]]&gt;0,TEXT(Banco_Nacion[[#This Row],[FECHA]],"mmmm"),0)</f>
        <v>Febrero</v>
      </c>
    </row>
    <row r="141" spans="2:28" x14ac:dyDescent="0.3">
      <c r="B141" s="2">
        <f>IF(Banco_Nacion[[#This Row],[TIPO DE R.]]="R",COUNTIFS($D$4:$D140,"R")+1,"")</f>
        <v>137</v>
      </c>
      <c r="C141" s="19" t="str">
        <f t="shared" si="10"/>
        <v>B-Banco de la Nacion</v>
      </c>
      <c r="D141" s="3" t="s">
        <v>1074</v>
      </c>
      <c r="E141" s="14">
        <v>45719</v>
      </c>
      <c r="F141" s="5">
        <v>20454186002</v>
      </c>
      <c r="G141" s="5" t="s">
        <v>1087</v>
      </c>
      <c r="H141" s="6" t="s">
        <v>368</v>
      </c>
      <c r="I141" s="6" t="s">
        <v>14</v>
      </c>
      <c r="J141" s="6" t="s">
        <v>1088</v>
      </c>
      <c r="K141" s="6">
        <v>569</v>
      </c>
      <c r="L141" s="7" t="s">
        <v>4290</v>
      </c>
      <c r="M141" s="8">
        <v>68581952</v>
      </c>
      <c r="N141" s="8" t="str">
        <f t="shared" si="11"/>
        <v>PEN</v>
      </c>
      <c r="O141" s="13"/>
      <c r="P141" s="13">
        <v>611</v>
      </c>
      <c r="Q141" s="3">
        <f t="shared" si="12"/>
        <v>611</v>
      </c>
      <c r="R141" s="3">
        <f t="shared" si="13"/>
        <v>0</v>
      </c>
      <c r="S141" s="3">
        <f t="shared" si="14"/>
        <v>42863.010000000009</v>
      </c>
      <c r="T141" s="24"/>
      <c r="U141" s="24" t="s">
        <v>1081</v>
      </c>
      <c r="V141" s="3"/>
      <c r="W141" s="19" t="str">
        <f>IFERROR(VLOOKUP(Banco_Nacion[[#This Row],[RESPONSABLE]],Clientes_Proveedores[[Ruc / Dni]:[Razon Social]],2,0),"")</f>
        <v>ALSUR PERU S.A.C.</v>
      </c>
      <c r="X141" s="19" t="str">
        <f>IF(Banco_Nacion[[#This Row],[TIPO DE MOV.]]="INGRESO",Banco_Nacion[[#This Row],[SERIE]]&amp;Banco_Nacion[[#This Row],[NUMERO]]&amp;Banco_Nacion[[#This Row],[RESPONSABLE]]&amp;Banco_Nacion[[#This Row],[MONTO ]],"")</f>
        <v>FE0156920454186002611</v>
      </c>
      <c r="Y14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68581952</v>
      </c>
      <c r="Z141" s="3"/>
      <c r="AA141" s="3"/>
      <c r="AB141" s="24" t="str">
        <f>IF(Banco_Nacion[[#This Row],[FECHA]]&gt;0,TEXT(Banco_Nacion[[#This Row],[FECHA]],"mmmm"),0)</f>
        <v>Marzo</v>
      </c>
    </row>
    <row r="142" spans="2:28" x14ac:dyDescent="0.3">
      <c r="B142" s="2">
        <f>IF(Banco_Nacion[[#This Row],[TIPO DE R.]]="R",COUNTIFS($D$4:$D141,"R")+1,"")</f>
        <v>138</v>
      </c>
      <c r="C142" s="19" t="str">
        <f t="shared" si="10"/>
        <v>B-Banco de la Nacion</v>
      </c>
      <c r="D142" s="3" t="s">
        <v>1074</v>
      </c>
      <c r="E142" s="14">
        <v>45719</v>
      </c>
      <c r="F142" s="5">
        <v>20607388416</v>
      </c>
      <c r="G142" s="5" t="s">
        <v>1087</v>
      </c>
      <c r="H142" s="6" t="s">
        <v>368</v>
      </c>
      <c r="I142" s="6" t="s">
        <v>14</v>
      </c>
      <c r="J142" s="6" t="s">
        <v>1092</v>
      </c>
      <c r="K142" s="6">
        <v>128</v>
      </c>
      <c r="L142" s="7" t="s">
        <v>4290</v>
      </c>
      <c r="M142" s="8">
        <v>68522152</v>
      </c>
      <c r="N142" s="8" t="str">
        <f t="shared" si="11"/>
        <v>PEN</v>
      </c>
      <c r="O142" s="13"/>
      <c r="P142" s="13">
        <v>159</v>
      </c>
      <c r="Q142" s="3">
        <f t="shared" si="12"/>
        <v>159</v>
      </c>
      <c r="R142" s="3">
        <f t="shared" si="13"/>
        <v>0</v>
      </c>
      <c r="S142" s="3">
        <f t="shared" si="14"/>
        <v>43022.010000000009</v>
      </c>
      <c r="T142" s="24"/>
      <c r="U142" s="24" t="s">
        <v>1081</v>
      </c>
      <c r="V142" s="3"/>
      <c r="W142" s="19" t="str">
        <f>IFERROR(VLOOKUP(Banco_Nacion[[#This Row],[RESPONSABLE]],Clientes_Proveedores[[Ruc / Dni]:[Razon Social]],2,0),"")</f>
        <v>ALEACIONES FERROSAS Y METALICAS S.A.C.</v>
      </c>
      <c r="X142" s="19" t="str">
        <f>IF(Banco_Nacion[[#This Row],[TIPO DE MOV.]]="INGRESO",Banco_Nacion[[#This Row],[SERIE]]&amp;Banco_Nacion[[#This Row],[NUMERO]]&amp;Banco_Nacion[[#This Row],[RESPONSABLE]]&amp;Banco_Nacion[[#This Row],[MONTO ]],"")</f>
        <v>FE0512820607388416159</v>
      </c>
      <c r="Y14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68522152</v>
      </c>
      <c r="Z142" s="3"/>
      <c r="AA142" s="3"/>
      <c r="AB142" s="24" t="str">
        <f>IF(Banco_Nacion[[#This Row],[FECHA]]&gt;0,TEXT(Banco_Nacion[[#This Row],[FECHA]],"mmmm"),0)</f>
        <v>Marzo</v>
      </c>
    </row>
    <row r="143" spans="2:28" x14ac:dyDescent="0.3">
      <c r="B143" s="2">
        <f>IF(Banco_Nacion[[#This Row],[TIPO DE R.]]="R",COUNTIFS($D$4:$D142,"R")+1,"")</f>
        <v>139</v>
      </c>
      <c r="C143" s="19" t="str">
        <f t="shared" si="10"/>
        <v>B-Banco de la Nacion</v>
      </c>
      <c r="D143" s="3" t="s">
        <v>1074</v>
      </c>
      <c r="E143" s="14">
        <v>45719</v>
      </c>
      <c r="F143" s="5">
        <v>20607388416</v>
      </c>
      <c r="G143" s="5" t="s">
        <v>1087</v>
      </c>
      <c r="H143" s="6" t="s">
        <v>368</v>
      </c>
      <c r="I143" s="6" t="s">
        <v>14</v>
      </c>
      <c r="J143" s="6" t="s">
        <v>1092</v>
      </c>
      <c r="K143" s="6">
        <v>127</v>
      </c>
      <c r="L143" s="7" t="s">
        <v>4290</v>
      </c>
      <c r="M143" s="8">
        <v>68522028</v>
      </c>
      <c r="N143" s="8" t="str">
        <f t="shared" si="11"/>
        <v>PEN</v>
      </c>
      <c r="O143" s="13"/>
      <c r="P143" s="13">
        <v>115</v>
      </c>
      <c r="Q143" s="3">
        <f t="shared" si="12"/>
        <v>115</v>
      </c>
      <c r="R143" s="3">
        <f t="shared" si="13"/>
        <v>0</v>
      </c>
      <c r="S143" s="3">
        <f t="shared" si="14"/>
        <v>43137.010000000009</v>
      </c>
      <c r="T143" s="24"/>
      <c r="U143" s="24" t="s">
        <v>1081</v>
      </c>
      <c r="V143" s="3"/>
      <c r="W143" s="19" t="str">
        <f>IFERROR(VLOOKUP(Banco_Nacion[[#This Row],[RESPONSABLE]],Clientes_Proveedores[[Ruc / Dni]:[Razon Social]],2,0),"")</f>
        <v>ALEACIONES FERROSAS Y METALICAS S.A.C.</v>
      </c>
      <c r="X143" s="19" t="str">
        <f>IF(Banco_Nacion[[#This Row],[TIPO DE MOV.]]="INGRESO",Banco_Nacion[[#This Row],[SERIE]]&amp;Banco_Nacion[[#This Row],[NUMERO]]&amp;Banco_Nacion[[#This Row],[RESPONSABLE]]&amp;Banco_Nacion[[#This Row],[MONTO ]],"")</f>
        <v>FE0512720607388416115</v>
      </c>
      <c r="Y14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68522028</v>
      </c>
      <c r="Z143" s="3"/>
      <c r="AA143" s="3"/>
      <c r="AB143" s="24" t="str">
        <f>IF(Banco_Nacion[[#This Row],[FECHA]]&gt;0,TEXT(Banco_Nacion[[#This Row],[FECHA]],"mmmm"),0)</f>
        <v>Marzo</v>
      </c>
    </row>
    <row r="144" spans="2:28" x14ac:dyDescent="0.3">
      <c r="B144" s="2">
        <f>IF(Banco_Nacion[[#This Row],[TIPO DE R.]]="R",COUNTIFS($D$4:$D143,"R")+1,"")</f>
        <v>140</v>
      </c>
      <c r="C144" s="19" t="str">
        <f t="shared" si="10"/>
        <v>B-Banco de la Nacion</v>
      </c>
      <c r="D144" s="3" t="s">
        <v>1074</v>
      </c>
      <c r="E144" s="14">
        <v>45719</v>
      </c>
      <c r="F144" s="5">
        <v>20607388416</v>
      </c>
      <c r="G144" s="5" t="s">
        <v>1087</v>
      </c>
      <c r="H144" s="6" t="s">
        <v>368</v>
      </c>
      <c r="I144" s="6" t="s">
        <v>14</v>
      </c>
      <c r="J144" s="6" t="s">
        <v>1092</v>
      </c>
      <c r="K144" s="6">
        <v>126</v>
      </c>
      <c r="L144" s="7" t="s">
        <v>4290</v>
      </c>
      <c r="M144" s="8">
        <v>68521907</v>
      </c>
      <c r="N144" s="8" t="str">
        <f t="shared" si="11"/>
        <v>PEN</v>
      </c>
      <c r="O144" s="13"/>
      <c r="P144" s="13">
        <v>108</v>
      </c>
      <c r="Q144" s="3">
        <f t="shared" si="12"/>
        <v>108</v>
      </c>
      <c r="R144" s="3">
        <f t="shared" si="13"/>
        <v>0</v>
      </c>
      <c r="S144" s="3">
        <f t="shared" si="14"/>
        <v>43245.010000000009</v>
      </c>
      <c r="T144" s="24"/>
      <c r="U144" s="24" t="s">
        <v>1081</v>
      </c>
      <c r="V144" s="3"/>
      <c r="W144" s="19" t="str">
        <f>IFERROR(VLOOKUP(Banco_Nacion[[#This Row],[RESPONSABLE]],Clientes_Proveedores[[Ruc / Dni]:[Razon Social]],2,0),"")</f>
        <v>ALEACIONES FERROSAS Y METALICAS S.A.C.</v>
      </c>
      <c r="X144" s="19" t="str">
        <f>IF(Banco_Nacion[[#This Row],[TIPO DE MOV.]]="INGRESO",Banco_Nacion[[#This Row],[SERIE]]&amp;Banco_Nacion[[#This Row],[NUMERO]]&amp;Banco_Nacion[[#This Row],[RESPONSABLE]]&amp;Banco_Nacion[[#This Row],[MONTO ]],"")</f>
        <v>FE0512620607388416108</v>
      </c>
      <c r="Y14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68521907</v>
      </c>
      <c r="Z144" s="3"/>
      <c r="AA144" s="3"/>
      <c r="AB144" s="24" t="str">
        <f>IF(Banco_Nacion[[#This Row],[FECHA]]&gt;0,TEXT(Banco_Nacion[[#This Row],[FECHA]],"mmmm"),0)</f>
        <v>Marzo</v>
      </c>
    </row>
    <row r="145" spans="2:28" x14ac:dyDescent="0.3">
      <c r="B145" s="2">
        <f>IF(Banco_Nacion[[#This Row],[TIPO DE R.]]="R",COUNTIFS($D$4:$D144,"R")+1,"")</f>
        <v>141</v>
      </c>
      <c r="C145" s="19" t="str">
        <f t="shared" si="10"/>
        <v>B-Banco de la Nacion</v>
      </c>
      <c r="D145" s="3" t="s">
        <v>1074</v>
      </c>
      <c r="E145" s="14">
        <v>45719</v>
      </c>
      <c r="F145" s="5">
        <v>20607388416</v>
      </c>
      <c r="G145" s="5" t="s">
        <v>1087</v>
      </c>
      <c r="H145" s="6" t="s">
        <v>368</v>
      </c>
      <c r="I145" s="6" t="s">
        <v>14</v>
      </c>
      <c r="J145" s="6" t="s">
        <v>1092</v>
      </c>
      <c r="K145" s="6">
        <v>130</v>
      </c>
      <c r="L145" s="7" t="s">
        <v>4290</v>
      </c>
      <c r="M145" s="8">
        <v>68519638</v>
      </c>
      <c r="N145" s="8" t="str">
        <f t="shared" si="11"/>
        <v>PEN</v>
      </c>
      <c r="O145" s="13"/>
      <c r="P145" s="13">
        <v>132</v>
      </c>
      <c r="Q145" s="3">
        <f t="shared" si="12"/>
        <v>132</v>
      </c>
      <c r="R145" s="3">
        <f t="shared" si="13"/>
        <v>0</v>
      </c>
      <c r="S145" s="3">
        <f t="shared" si="14"/>
        <v>43377.010000000009</v>
      </c>
      <c r="T145" s="24"/>
      <c r="U145" s="24" t="s">
        <v>1081</v>
      </c>
      <c r="V145" s="3"/>
      <c r="W145" s="19" t="str">
        <f>IFERROR(VLOOKUP(Banco_Nacion[[#This Row],[RESPONSABLE]],Clientes_Proveedores[[Ruc / Dni]:[Razon Social]],2,0),"")</f>
        <v>ALEACIONES FERROSAS Y METALICAS S.A.C.</v>
      </c>
      <c r="X145" s="19" t="str">
        <f>IF(Banco_Nacion[[#This Row],[TIPO DE MOV.]]="INGRESO",Banco_Nacion[[#This Row],[SERIE]]&amp;Banco_Nacion[[#This Row],[NUMERO]]&amp;Banco_Nacion[[#This Row],[RESPONSABLE]]&amp;Banco_Nacion[[#This Row],[MONTO ]],"")</f>
        <v>FE0513020607388416132</v>
      </c>
      <c r="Y14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68519638</v>
      </c>
      <c r="Z145" s="3"/>
      <c r="AA145" s="3"/>
      <c r="AB145" s="24" t="str">
        <f>IF(Banco_Nacion[[#This Row],[FECHA]]&gt;0,TEXT(Banco_Nacion[[#This Row],[FECHA]],"mmmm"),0)</f>
        <v>Marzo</v>
      </c>
    </row>
    <row r="146" spans="2:28" x14ac:dyDescent="0.3">
      <c r="B146" s="2">
        <f>IF(Banco_Nacion[[#This Row],[TIPO DE R.]]="R",COUNTIFS($D$4:$D145,"R")+1,"")</f>
        <v>142</v>
      </c>
      <c r="C146" s="19" t="str">
        <f t="shared" si="10"/>
        <v>B-Banco de la Nacion</v>
      </c>
      <c r="D146" s="3" t="s">
        <v>1074</v>
      </c>
      <c r="E146" s="14">
        <v>45719</v>
      </c>
      <c r="F146" s="5">
        <v>20607388416</v>
      </c>
      <c r="G146" s="5" t="s">
        <v>1087</v>
      </c>
      <c r="H146" s="6" t="s">
        <v>368</v>
      </c>
      <c r="I146" s="6" t="s">
        <v>14</v>
      </c>
      <c r="J146" s="6" t="s">
        <v>1092</v>
      </c>
      <c r="K146" s="6">
        <v>125</v>
      </c>
      <c r="L146" s="7" t="s">
        <v>4290</v>
      </c>
      <c r="M146" s="8">
        <v>68516478</v>
      </c>
      <c r="N146" s="8" t="str">
        <f t="shared" si="11"/>
        <v>PEN</v>
      </c>
      <c r="O146" s="13"/>
      <c r="P146" s="13">
        <v>150</v>
      </c>
      <c r="Q146" s="3">
        <f t="shared" si="12"/>
        <v>150</v>
      </c>
      <c r="R146" s="3">
        <f t="shared" si="13"/>
        <v>0</v>
      </c>
      <c r="S146" s="3">
        <f t="shared" si="14"/>
        <v>43527.010000000009</v>
      </c>
      <c r="T146" s="24"/>
      <c r="U146" s="24" t="s">
        <v>1081</v>
      </c>
      <c r="V146" s="3"/>
      <c r="W146" s="19" t="str">
        <f>IFERROR(VLOOKUP(Banco_Nacion[[#This Row],[RESPONSABLE]],Clientes_Proveedores[[Ruc / Dni]:[Razon Social]],2,0),"")</f>
        <v>ALEACIONES FERROSAS Y METALICAS S.A.C.</v>
      </c>
      <c r="X146" s="19" t="str">
        <f>IF(Banco_Nacion[[#This Row],[TIPO DE MOV.]]="INGRESO",Banco_Nacion[[#This Row],[SERIE]]&amp;Banco_Nacion[[#This Row],[NUMERO]]&amp;Banco_Nacion[[#This Row],[RESPONSABLE]]&amp;Banco_Nacion[[#This Row],[MONTO ]],"")</f>
        <v>FE0512520607388416150</v>
      </c>
      <c r="Y14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68516478</v>
      </c>
      <c r="Z146" s="3"/>
      <c r="AA146" s="3"/>
      <c r="AB146" s="24" t="str">
        <f>IF(Banco_Nacion[[#This Row],[FECHA]]&gt;0,TEXT(Banco_Nacion[[#This Row],[FECHA]],"mmmm"),0)</f>
        <v>Marzo</v>
      </c>
    </row>
    <row r="147" spans="2:28" x14ac:dyDescent="0.3">
      <c r="B147" s="2">
        <f>IF(Banco_Nacion[[#This Row],[TIPO DE R.]]="R",COUNTIFS($D$4:$D146,"R")+1,"")</f>
        <v>143</v>
      </c>
      <c r="C147" s="19" t="str">
        <f t="shared" si="10"/>
        <v>B-Banco de la Nacion</v>
      </c>
      <c r="D147" s="3" t="s">
        <v>1074</v>
      </c>
      <c r="E147" s="14">
        <v>45719</v>
      </c>
      <c r="F147" s="5">
        <v>20607388416</v>
      </c>
      <c r="G147" s="5" t="s">
        <v>1087</v>
      </c>
      <c r="H147" s="6" t="s">
        <v>368</v>
      </c>
      <c r="I147" s="6" t="s">
        <v>14</v>
      </c>
      <c r="J147" s="6" t="s">
        <v>1092</v>
      </c>
      <c r="K147" s="6">
        <v>132</v>
      </c>
      <c r="L147" s="7" t="s">
        <v>4290</v>
      </c>
      <c r="M147" s="8">
        <v>68511618</v>
      </c>
      <c r="N147" s="8" t="str">
        <f t="shared" si="11"/>
        <v>PEN</v>
      </c>
      <c r="O147" s="13"/>
      <c r="P147" s="13">
        <v>261</v>
      </c>
      <c r="Q147" s="3">
        <f t="shared" si="12"/>
        <v>261</v>
      </c>
      <c r="R147" s="3">
        <f t="shared" si="13"/>
        <v>0</v>
      </c>
      <c r="S147" s="3">
        <f t="shared" si="14"/>
        <v>43788.010000000009</v>
      </c>
      <c r="T147" s="24"/>
      <c r="U147" s="24" t="s">
        <v>1081</v>
      </c>
      <c r="V147" s="3"/>
      <c r="W147" s="19" t="str">
        <f>IFERROR(VLOOKUP(Banco_Nacion[[#This Row],[RESPONSABLE]],Clientes_Proveedores[[Ruc / Dni]:[Razon Social]],2,0),"")</f>
        <v>ALEACIONES FERROSAS Y METALICAS S.A.C.</v>
      </c>
      <c r="X147" s="19" t="str">
        <f>IF(Banco_Nacion[[#This Row],[TIPO DE MOV.]]="INGRESO",Banco_Nacion[[#This Row],[SERIE]]&amp;Banco_Nacion[[#This Row],[NUMERO]]&amp;Banco_Nacion[[#This Row],[RESPONSABLE]]&amp;Banco_Nacion[[#This Row],[MONTO ]],"")</f>
        <v>FE0513220607388416261</v>
      </c>
      <c r="Y14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68511618</v>
      </c>
      <c r="Z147" s="3"/>
      <c r="AA147" s="3"/>
      <c r="AB147" s="24" t="str">
        <f>IF(Banco_Nacion[[#This Row],[FECHA]]&gt;0,TEXT(Banco_Nacion[[#This Row],[FECHA]],"mmmm"),0)</f>
        <v>Marzo</v>
      </c>
    </row>
    <row r="148" spans="2:28" x14ac:dyDescent="0.3">
      <c r="B148" s="2">
        <f>IF(Banco_Nacion[[#This Row],[TIPO DE R.]]="R",COUNTIFS($D$4:$D147,"R")+1,"")</f>
        <v>144</v>
      </c>
      <c r="C148" s="19" t="str">
        <f t="shared" si="10"/>
        <v>B-Banco de la Nacion</v>
      </c>
      <c r="D148" s="3" t="s">
        <v>1074</v>
      </c>
      <c r="E148" s="14">
        <v>45719</v>
      </c>
      <c r="F148" s="5">
        <v>20607388416</v>
      </c>
      <c r="G148" s="5" t="s">
        <v>1087</v>
      </c>
      <c r="H148" s="6" t="s">
        <v>368</v>
      </c>
      <c r="I148" s="6" t="s">
        <v>14</v>
      </c>
      <c r="J148" s="6" t="s">
        <v>1097</v>
      </c>
      <c r="K148" s="6">
        <v>194</v>
      </c>
      <c r="L148" s="7" t="s">
        <v>4290</v>
      </c>
      <c r="M148" s="8">
        <v>68511584</v>
      </c>
      <c r="N148" s="8" t="str">
        <f t="shared" si="11"/>
        <v>PEN</v>
      </c>
      <c r="O148" s="13"/>
      <c r="P148" s="13">
        <v>331</v>
      </c>
      <c r="Q148" s="3">
        <f t="shared" si="12"/>
        <v>331</v>
      </c>
      <c r="R148" s="3">
        <f t="shared" si="13"/>
        <v>0</v>
      </c>
      <c r="S148" s="3">
        <f t="shared" si="14"/>
        <v>44119.010000000009</v>
      </c>
      <c r="T148" s="24"/>
      <c r="U148" s="24" t="s">
        <v>1081</v>
      </c>
      <c r="V148" s="3"/>
      <c r="W148" s="19" t="str">
        <f>IFERROR(VLOOKUP(Banco_Nacion[[#This Row],[RESPONSABLE]],Clientes_Proveedores[[Ruc / Dni]:[Razon Social]],2,0),"")</f>
        <v>ALEACIONES FERROSAS Y METALICAS S.A.C.</v>
      </c>
      <c r="X148" s="19" t="str">
        <f>IF(Banco_Nacion[[#This Row],[TIPO DE MOV.]]="INGRESO",Banco_Nacion[[#This Row],[SERIE]]&amp;Banco_Nacion[[#This Row],[NUMERO]]&amp;Banco_Nacion[[#This Row],[RESPONSABLE]]&amp;Banco_Nacion[[#This Row],[MONTO ]],"")</f>
        <v>FE0219420607388416331</v>
      </c>
      <c r="Y14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68511584</v>
      </c>
      <c r="Z148" s="3"/>
      <c r="AA148" s="3"/>
      <c r="AB148" s="24" t="str">
        <f>IF(Banco_Nacion[[#This Row],[FECHA]]&gt;0,TEXT(Banco_Nacion[[#This Row],[FECHA]],"mmmm"),0)</f>
        <v>Marzo</v>
      </c>
    </row>
    <row r="149" spans="2:28" x14ac:dyDescent="0.3">
      <c r="B149" s="2">
        <f>IF(Banco_Nacion[[#This Row],[TIPO DE R.]]="R",COUNTIFS($D$4:$D148,"R")+1,"")</f>
        <v>145</v>
      </c>
      <c r="C149" s="19" t="str">
        <f t="shared" si="10"/>
        <v>B-Banco de la Nacion</v>
      </c>
      <c r="D149" s="3" t="s">
        <v>1074</v>
      </c>
      <c r="E149" s="14">
        <v>45720</v>
      </c>
      <c r="F149" s="5">
        <v>20455283915</v>
      </c>
      <c r="G149" s="5" t="s">
        <v>1087</v>
      </c>
      <c r="H149" s="6" t="s">
        <v>368</v>
      </c>
      <c r="I149" s="6" t="s">
        <v>14</v>
      </c>
      <c r="J149" s="6" t="s">
        <v>1097</v>
      </c>
      <c r="K149" s="6">
        <v>201</v>
      </c>
      <c r="L149" s="7" t="s">
        <v>4290</v>
      </c>
      <c r="M149" s="8">
        <v>68618871</v>
      </c>
      <c r="N149" s="8" t="str">
        <f t="shared" si="11"/>
        <v>PEN</v>
      </c>
      <c r="O149" s="13"/>
      <c r="P149" s="13">
        <v>789</v>
      </c>
      <c r="Q149" s="3">
        <f t="shared" si="12"/>
        <v>789</v>
      </c>
      <c r="R149" s="3">
        <f t="shared" si="13"/>
        <v>0</v>
      </c>
      <c r="S149" s="3">
        <f t="shared" si="14"/>
        <v>44908.010000000009</v>
      </c>
      <c r="T149" s="24"/>
      <c r="U149" s="24" t="s">
        <v>1081</v>
      </c>
      <c r="V149" s="3"/>
      <c r="W149" s="19" t="str">
        <f>IFERROR(VLOOKUP(Banco_Nacion[[#This Row],[RESPONSABLE]],Clientes_Proveedores[[Ruc / Dni]:[Razon Social]],2,0),"")</f>
        <v>EMPRESA CONSERVADORA AMBIENTAL DEL SUR E.I.R.L. - ECA SUR E.I.R.L.</v>
      </c>
      <c r="X149" s="19" t="str">
        <f>IF(Banco_Nacion[[#This Row],[TIPO DE MOV.]]="INGRESO",Banco_Nacion[[#This Row],[SERIE]]&amp;Banco_Nacion[[#This Row],[NUMERO]]&amp;Banco_Nacion[[#This Row],[RESPONSABLE]]&amp;Banco_Nacion[[#This Row],[MONTO ]],"")</f>
        <v>FE0220120455283915789</v>
      </c>
      <c r="Y14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68618871</v>
      </c>
      <c r="Z149" s="3"/>
      <c r="AA149" s="3"/>
      <c r="AB149" s="24" t="str">
        <f>IF(Banco_Nacion[[#This Row],[FECHA]]&gt;0,TEXT(Banco_Nacion[[#This Row],[FECHA]],"mmmm"),0)</f>
        <v>Marzo</v>
      </c>
    </row>
    <row r="150" spans="2:28" x14ac:dyDescent="0.3">
      <c r="B150" s="2">
        <f>IF(Banco_Nacion[[#This Row],[TIPO DE R.]]="R",COUNTIFS($D$4:$D149,"R")+1,"")</f>
        <v>146</v>
      </c>
      <c r="C150" s="19" t="str">
        <f t="shared" si="10"/>
        <v>B-Banco de la Nacion</v>
      </c>
      <c r="D150" s="3" t="s">
        <v>1074</v>
      </c>
      <c r="E150" s="14">
        <v>45720</v>
      </c>
      <c r="F150" s="5">
        <v>20455283915</v>
      </c>
      <c r="G150" s="5" t="s">
        <v>1087</v>
      </c>
      <c r="H150" s="6" t="s">
        <v>368</v>
      </c>
      <c r="I150" s="6" t="s">
        <v>14</v>
      </c>
      <c r="J150" s="6" t="s">
        <v>1097</v>
      </c>
      <c r="K150" s="6">
        <v>198</v>
      </c>
      <c r="L150" s="7" t="s">
        <v>4290</v>
      </c>
      <c r="M150" s="8">
        <v>68618870</v>
      </c>
      <c r="N150" s="8" t="str">
        <f t="shared" si="11"/>
        <v>PEN</v>
      </c>
      <c r="O150" s="13"/>
      <c r="P150" s="13">
        <v>492</v>
      </c>
      <c r="Q150" s="3">
        <f t="shared" si="12"/>
        <v>492</v>
      </c>
      <c r="R150" s="3">
        <f t="shared" si="13"/>
        <v>0</v>
      </c>
      <c r="S150" s="3">
        <f t="shared" si="14"/>
        <v>45400.010000000009</v>
      </c>
      <c r="T150" s="24"/>
      <c r="U150" s="24" t="s">
        <v>1081</v>
      </c>
      <c r="V150" s="3"/>
      <c r="W150" s="19" t="str">
        <f>IFERROR(VLOOKUP(Banco_Nacion[[#This Row],[RESPONSABLE]],Clientes_Proveedores[[Ruc / Dni]:[Razon Social]],2,0),"")</f>
        <v>EMPRESA CONSERVADORA AMBIENTAL DEL SUR E.I.R.L. - ECA SUR E.I.R.L.</v>
      </c>
      <c r="X150" s="19" t="str">
        <f>IF(Banco_Nacion[[#This Row],[TIPO DE MOV.]]="INGRESO",Banco_Nacion[[#This Row],[SERIE]]&amp;Banco_Nacion[[#This Row],[NUMERO]]&amp;Banco_Nacion[[#This Row],[RESPONSABLE]]&amp;Banco_Nacion[[#This Row],[MONTO ]],"")</f>
        <v>FE0219820455283915492</v>
      </c>
      <c r="Y15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68618870</v>
      </c>
      <c r="Z150" s="3"/>
      <c r="AA150" s="3"/>
      <c r="AB150" s="24" t="str">
        <f>IF(Banco_Nacion[[#This Row],[FECHA]]&gt;0,TEXT(Banco_Nacion[[#This Row],[FECHA]],"mmmm"),0)</f>
        <v>Marzo</v>
      </c>
    </row>
    <row r="151" spans="2:28" x14ac:dyDescent="0.3">
      <c r="B151" s="2">
        <f>IF(Banco_Nacion[[#This Row],[TIPO DE R.]]="R",COUNTIFS($D$4:$D150,"R")+1,"")</f>
        <v>147</v>
      </c>
      <c r="C151" s="19" t="str">
        <f t="shared" si="10"/>
        <v>B-Banco de la Nacion</v>
      </c>
      <c r="D151" s="3" t="s">
        <v>1074</v>
      </c>
      <c r="E151" s="14">
        <v>45720</v>
      </c>
      <c r="F151" s="5">
        <v>20455283915</v>
      </c>
      <c r="G151" s="5" t="s">
        <v>1087</v>
      </c>
      <c r="H151" s="6" t="s">
        <v>368</v>
      </c>
      <c r="I151" s="6" t="s">
        <v>14</v>
      </c>
      <c r="J151" s="6" t="s">
        <v>1097</v>
      </c>
      <c r="K151" s="6">
        <v>190</v>
      </c>
      <c r="L151" s="7" t="s">
        <v>4290</v>
      </c>
      <c r="M151" s="8">
        <v>68618869</v>
      </c>
      <c r="N151" s="8" t="str">
        <f t="shared" si="11"/>
        <v>PEN</v>
      </c>
      <c r="O151" s="13"/>
      <c r="P151" s="13">
        <v>318</v>
      </c>
      <c r="Q151" s="3">
        <f t="shared" si="12"/>
        <v>318</v>
      </c>
      <c r="R151" s="3">
        <f t="shared" si="13"/>
        <v>0</v>
      </c>
      <c r="S151" s="3">
        <f t="shared" si="14"/>
        <v>45718.010000000009</v>
      </c>
      <c r="T151" s="24"/>
      <c r="U151" s="24" t="s">
        <v>1081</v>
      </c>
      <c r="V151" s="3"/>
      <c r="W151" s="19" t="str">
        <f>IFERROR(VLOOKUP(Banco_Nacion[[#This Row],[RESPONSABLE]],Clientes_Proveedores[[Ruc / Dni]:[Razon Social]],2,0),"")</f>
        <v>EMPRESA CONSERVADORA AMBIENTAL DEL SUR E.I.R.L. - ECA SUR E.I.R.L.</v>
      </c>
      <c r="X151" s="19" t="str">
        <f>IF(Banco_Nacion[[#This Row],[TIPO DE MOV.]]="INGRESO",Banco_Nacion[[#This Row],[SERIE]]&amp;Banco_Nacion[[#This Row],[NUMERO]]&amp;Banco_Nacion[[#This Row],[RESPONSABLE]]&amp;Banco_Nacion[[#This Row],[MONTO ]],"")</f>
        <v>FE0219020455283915318</v>
      </c>
      <c r="Y15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68618869</v>
      </c>
      <c r="Z151" s="3"/>
      <c r="AA151" s="3"/>
      <c r="AB151" s="24" t="str">
        <f>IF(Banco_Nacion[[#This Row],[FECHA]]&gt;0,TEXT(Banco_Nacion[[#This Row],[FECHA]],"mmmm"),0)</f>
        <v>Marzo</v>
      </c>
    </row>
    <row r="152" spans="2:28" x14ac:dyDescent="0.3">
      <c r="B152" s="2">
        <f>IF(Banco_Nacion[[#This Row],[TIPO DE R.]]="R",COUNTIFS($D$4:$D151,"R")+1,"")</f>
        <v>148</v>
      </c>
      <c r="C152" s="19" t="str">
        <f t="shared" si="10"/>
        <v>B-Banco de la Nacion</v>
      </c>
      <c r="D152" s="3" t="s">
        <v>1074</v>
      </c>
      <c r="E152" s="14">
        <v>45721</v>
      </c>
      <c r="F152" s="5">
        <v>20340584237</v>
      </c>
      <c r="G152" s="5" t="s">
        <v>1087</v>
      </c>
      <c r="H152" s="6" t="s">
        <v>368</v>
      </c>
      <c r="I152" s="6" t="s">
        <v>14</v>
      </c>
      <c r="J152" s="6" t="s">
        <v>1088</v>
      </c>
      <c r="K152" s="6">
        <v>560</v>
      </c>
      <c r="L152" s="7" t="s">
        <v>4290</v>
      </c>
      <c r="M152" s="8">
        <v>68753907</v>
      </c>
      <c r="N152" s="8" t="str">
        <f t="shared" si="11"/>
        <v>PEN</v>
      </c>
      <c r="O152" s="13"/>
      <c r="P152" s="13">
        <v>397</v>
      </c>
      <c r="Q152" s="3">
        <f t="shared" si="12"/>
        <v>397</v>
      </c>
      <c r="R152" s="3">
        <f t="shared" si="13"/>
        <v>0</v>
      </c>
      <c r="S152" s="3">
        <f t="shared" si="14"/>
        <v>46115.010000000009</v>
      </c>
      <c r="T152" s="24"/>
      <c r="U152" s="24" t="s">
        <v>1081</v>
      </c>
      <c r="V152" s="3"/>
      <c r="W152" s="19" t="str">
        <f>IFERROR(VLOOKUP(Banco_Nacion[[#This Row],[RESPONSABLE]],Clientes_Proveedores[[Ruc / Dni]:[Razon Social]],2,0),"")</f>
        <v>CAMPOSOL S.A.</v>
      </c>
      <c r="X152" s="19" t="str">
        <f>IF(Banco_Nacion[[#This Row],[TIPO DE MOV.]]="INGRESO",Banco_Nacion[[#This Row],[SERIE]]&amp;Banco_Nacion[[#This Row],[NUMERO]]&amp;Banco_Nacion[[#This Row],[RESPONSABLE]]&amp;Banco_Nacion[[#This Row],[MONTO ]],"")</f>
        <v>FE0156020340584237397</v>
      </c>
      <c r="Y15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68753907</v>
      </c>
      <c r="Z152" s="3"/>
      <c r="AA152" s="3"/>
      <c r="AB152" s="24" t="str">
        <f>IF(Banco_Nacion[[#This Row],[FECHA]]&gt;0,TEXT(Banco_Nacion[[#This Row],[FECHA]],"mmmm"),0)</f>
        <v>Marzo</v>
      </c>
    </row>
    <row r="153" spans="2:28" x14ac:dyDescent="0.3">
      <c r="B153" s="2">
        <f>IF(Banco_Nacion[[#This Row],[TIPO DE R.]]="R",COUNTIFS($D$4:$D152,"R")+1,"")</f>
        <v>149</v>
      </c>
      <c r="C153" s="19" t="str">
        <f t="shared" si="10"/>
        <v>B-Banco de la Nacion</v>
      </c>
      <c r="D153" s="3" t="s">
        <v>1074</v>
      </c>
      <c r="E153" s="14">
        <v>45721</v>
      </c>
      <c r="F153" s="5">
        <v>20607388416</v>
      </c>
      <c r="G153" s="5" t="s">
        <v>1087</v>
      </c>
      <c r="H153" s="6" t="s">
        <v>368</v>
      </c>
      <c r="I153" s="6" t="s">
        <v>14</v>
      </c>
      <c r="J153" s="6" t="s">
        <v>1092</v>
      </c>
      <c r="K153" s="6">
        <v>133</v>
      </c>
      <c r="L153" s="7" t="s">
        <v>4290</v>
      </c>
      <c r="M153" s="8">
        <v>68717688</v>
      </c>
      <c r="N153" s="8" t="str">
        <f t="shared" si="11"/>
        <v>PEN</v>
      </c>
      <c r="O153" s="13"/>
      <c r="P153" s="13">
        <v>177</v>
      </c>
      <c r="Q153" s="3">
        <f t="shared" si="12"/>
        <v>177</v>
      </c>
      <c r="R153" s="3">
        <f t="shared" si="13"/>
        <v>0</v>
      </c>
      <c r="S153" s="3">
        <f t="shared" si="14"/>
        <v>46292.010000000009</v>
      </c>
      <c r="T153" s="24"/>
      <c r="U153" s="24" t="s">
        <v>1081</v>
      </c>
      <c r="V153" s="3"/>
      <c r="W153" s="19" t="str">
        <f>IFERROR(VLOOKUP(Banco_Nacion[[#This Row],[RESPONSABLE]],Clientes_Proveedores[[Ruc / Dni]:[Razon Social]],2,0),"")</f>
        <v>ALEACIONES FERROSAS Y METALICAS S.A.C.</v>
      </c>
      <c r="X153" s="19" t="str">
        <f>IF(Banco_Nacion[[#This Row],[TIPO DE MOV.]]="INGRESO",Banco_Nacion[[#This Row],[SERIE]]&amp;Banco_Nacion[[#This Row],[NUMERO]]&amp;Banco_Nacion[[#This Row],[RESPONSABLE]]&amp;Banco_Nacion[[#This Row],[MONTO ]],"")</f>
        <v>FE0513320607388416177</v>
      </c>
      <c r="Y15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68717688</v>
      </c>
      <c r="Z153" s="3"/>
      <c r="AA153" s="3"/>
      <c r="AB153" s="24" t="str">
        <f>IF(Banco_Nacion[[#This Row],[FECHA]]&gt;0,TEXT(Banco_Nacion[[#This Row],[FECHA]],"mmmm"),0)</f>
        <v>Marzo</v>
      </c>
    </row>
    <row r="154" spans="2:28" x14ac:dyDescent="0.3">
      <c r="B154" s="2">
        <f>IF(Banco_Nacion[[#This Row],[TIPO DE R.]]="R",COUNTIFS($D$4:$D153,"R")+1,"")</f>
        <v>150</v>
      </c>
      <c r="C154" s="19" t="str">
        <f t="shared" si="10"/>
        <v>B-Banco de la Nacion</v>
      </c>
      <c r="D154" s="3" t="s">
        <v>1074</v>
      </c>
      <c r="E154" s="14">
        <v>45722</v>
      </c>
      <c r="F154" s="5"/>
      <c r="G154" s="5" t="s">
        <v>1079</v>
      </c>
      <c r="H154" s="6"/>
      <c r="I154" s="6"/>
      <c r="J154" s="6" t="s">
        <v>4289</v>
      </c>
      <c r="K154" s="6"/>
      <c r="L154" s="7" t="s">
        <v>4292</v>
      </c>
      <c r="M154" s="8">
        <v>78787878</v>
      </c>
      <c r="N154" s="8" t="str">
        <f t="shared" si="11"/>
        <v>PEN</v>
      </c>
      <c r="O154" s="13"/>
      <c r="P154" s="13">
        <v>31595</v>
      </c>
      <c r="Q154" s="3">
        <f t="shared" si="12"/>
        <v>0</v>
      </c>
      <c r="R154" s="3">
        <f t="shared" si="13"/>
        <v>31595</v>
      </c>
      <c r="S154" s="3">
        <f t="shared" si="14"/>
        <v>14697.010000000009</v>
      </c>
      <c r="T154" s="24"/>
      <c r="U154" s="24"/>
      <c r="V154" s="3"/>
      <c r="W154" s="19" t="str">
        <f>IFERROR(VLOOKUP(Banco_Nacion[[#This Row],[RESPONSABLE]],Clientes_Proveedores[[Ruc / Dni]:[Razon Social]],2,0),"")</f>
        <v/>
      </c>
      <c r="X15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15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154" s="3"/>
      <c r="AA154" s="3"/>
      <c r="AB154" s="24" t="str">
        <f>IF(Banco_Nacion[[#This Row],[FECHA]]&gt;0,TEXT(Banco_Nacion[[#This Row],[FECHA]],"mmmm"),0)</f>
        <v>Marzo</v>
      </c>
    </row>
    <row r="155" spans="2:28" x14ac:dyDescent="0.3">
      <c r="B155" s="2">
        <f>IF(Banco_Nacion[[#This Row],[TIPO DE R.]]="R",COUNTIFS($D$4:$D154,"R")+1,"")</f>
        <v>151</v>
      </c>
      <c r="C155" s="19" t="str">
        <f t="shared" si="10"/>
        <v>B-Banco de la Nacion</v>
      </c>
      <c r="D155" s="3" t="s">
        <v>1074</v>
      </c>
      <c r="E155" s="14">
        <v>45722</v>
      </c>
      <c r="F155" s="5"/>
      <c r="G155" s="5" t="s">
        <v>1079</v>
      </c>
      <c r="H155" s="6"/>
      <c r="I155" s="6"/>
      <c r="J155" s="6" t="s">
        <v>4289</v>
      </c>
      <c r="K155" s="6"/>
      <c r="L155" s="7" t="s">
        <v>4292</v>
      </c>
      <c r="M155" s="8">
        <v>78787878</v>
      </c>
      <c r="N155" s="8" t="str">
        <f t="shared" si="11"/>
        <v>PEN</v>
      </c>
      <c r="O155" s="13"/>
      <c r="P155" s="13">
        <v>1903</v>
      </c>
      <c r="Q155" s="3">
        <f t="shared" si="12"/>
        <v>0</v>
      </c>
      <c r="R155" s="3">
        <f t="shared" si="13"/>
        <v>1903</v>
      </c>
      <c r="S155" s="3">
        <f t="shared" si="14"/>
        <v>12794.010000000009</v>
      </c>
      <c r="T155" s="24"/>
      <c r="U155" s="24"/>
      <c r="V155" s="3"/>
      <c r="W155" s="19" t="str">
        <f>IFERROR(VLOOKUP(Banco_Nacion[[#This Row],[RESPONSABLE]],Clientes_Proveedores[[Ruc / Dni]:[Razon Social]],2,0),"")</f>
        <v/>
      </c>
      <c r="X15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15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155" s="3"/>
      <c r="AA155" s="3"/>
      <c r="AB155" s="24" t="str">
        <f>IF(Banco_Nacion[[#This Row],[FECHA]]&gt;0,TEXT(Banco_Nacion[[#This Row],[FECHA]],"mmmm"),0)</f>
        <v>Marzo</v>
      </c>
    </row>
    <row r="156" spans="2:28" x14ac:dyDescent="0.3">
      <c r="B156" s="2">
        <f>IF(Banco_Nacion[[#This Row],[TIPO DE R.]]="R",COUNTIFS($D$4:$D155,"R")+1,"")</f>
        <v>152</v>
      </c>
      <c r="C156" s="19" t="str">
        <f t="shared" si="10"/>
        <v>B-Banco de la Nacion</v>
      </c>
      <c r="D156" s="3" t="s">
        <v>1074</v>
      </c>
      <c r="E156" s="14">
        <v>45722</v>
      </c>
      <c r="F156" s="5">
        <v>20370146994</v>
      </c>
      <c r="G156" s="5" t="s">
        <v>1087</v>
      </c>
      <c r="H156" s="6" t="s">
        <v>368</v>
      </c>
      <c r="I156" s="6" t="s">
        <v>14</v>
      </c>
      <c r="J156" s="6" t="s">
        <v>1097</v>
      </c>
      <c r="K156" s="6">
        <v>205</v>
      </c>
      <c r="L156" s="7" t="s">
        <v>4290</v>
      </c>
      <c r="M156" s="8">
        <v>69057489</v>
      </c>
      <c r="N156" s="8" t="str">
        <f t="shared" si="11"/>
        <v>PEN</v>
      </c>
      <c r="O156" s="13"/>
      <c r="P156" s="13">
        <v>3684</v>
      </c>
      <c r="Q156" s="3">
        <f t="shared" si="12"/>
        <v>3684</v>
      </c>
      <c r="R156" s="3">
        <f t="shared" si="13"/>
        <v>0</v>
      </c>
      <c r="S156" s="3">
        <f t="shared" si="14"/>
        <v>16478.010000000009</v>
      </c>
      <c r="T156" s="24"/>
      <c r="U156" s="24" t="s">
        <v>1081</v>
      </c>
      <c r="V156" s="3"/>
      <c r="W156" s="19" t="str">
        <f>IFERROR(VLOOKUP(Banco_Nacion[[#This Row],[RESPONSABLE]],Clientes_Proveedores[[Ruc / Dni]:[Razon Social]],2,0),"")</f>
        <v>CORPORACION ACEROS AREQUIPA S.A</v>
      </c>
      <c r="X156" s="19" t="str">
        <f>IF(Banco_Nacion[[#This Row],[TIPO DE MOV.]]="INGRESO",Banco_Nacion[[#This Row],[SERIE]]&amp;Banco_Nacion[[#This Row],[NUMERO]]&amp;Banco_Nacion[[#This Row],[RESPONSABLE]]&amp;Banco_Nacion[[#This Row],[MONTO ]],"")</f>
        <v>FE02205203701469943684</v>
      </c>
      <c r="Y15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69057489</v>
      </c>
      <c r="Z156" s="3"/>
      <c r="AA156" s="3"/>
      <c r="AB156" s="24" t="str">
        <f>IF(Banco_Nacion[[#This Row],[FECHA]]&gt;0,TEXT(Banco_Nacion[[#This Row],[FECHA]],"mmmm"),0)</f>
        <v>Marzo</v>
      </c>
    </row>
    <row r="157" spans="2:28" x14ac:dyDescent="0.3">
      <c r="B157" s="2">
        <f>IF(Banco_Nacion[[#This Row],[TIPO DE R.]]="R",COUNTIFS($D$4:$D156,"R")+1,"")</f>
        <v>153</v>
      </c>
      <c r="C157" s="19" t="str">
        <f t="shared" si="10"/>
        <v>B-Banco de la Nacion</v>
      </c>
      <c r="D157" s="3" t="s">
        <v>1074</v>
      </c>
      <c r="E157" s="14">
        <v>45722</v>
      </c>
      <c r="F157" s="5">
        <v>20100192064</v>
      </c>
      <c r="G157" s="5" t="s">
        <v>1087</v>
      </c>
      <c r="H157" s="6" t="s">
        <v>368</v>
      </c>
      <c r="I157" s="6" t="s">
        <v>14</v>
      </c>
      <c r="J157" s="6" t="s">
        <v>1088</v>
      </c>
      <c r="K157" s="6">
        <v>579</v>
      </c>
      <c r="L157" s="7" t="s">
        <v>4290</v>
      </c>
      <c r="M157" s="8">
        <v>69000757</v>
      </c>
      <c r="N157" s="8" t="str">
        <f t="shared" si="11"/>
        <v>PEN</v>
      </c>
      <c r="O157" s="13"/>
      <c r="P157" s="13">
        <v>1863</v>
      </c>
      <c r="Q157" s="3">
        <f t="shared" si="12"/>
        <v>1863</v>
      </c>
      <c r="R157" s="3">
        <f t="shared" si="13"/>
        <v>0</v>
      </c>
      <c r="S157" s="3">
        <f t="shared" si="14"/>
        <v>18341.010000000009</v>
      </c>
      <c r="T157" s="24"/>
      <c r="U157" s="24" t="s">
        <v>1081</v>
      </c>
      <c r="V157" s="3"/>
      <c r="W157" s="19" t="str">
        <f>IFERROR(VLOOKUP(Banco_Nacion[[#This Row],[RESPONSABLE]],Clientes_Proveedores[[Ruc / Dni]:[Razon Social]],2,0),"")</f>
        <v>MOLY-COP ADESUR S.A</v>
      </c>
      <c r="X157" s="19" t="str">
        <f>IF(Banco_Nacion[[#This Row],[TIPO DE MOV.]]="INGRESO",Banco_Nacion[[#This Row],[SERIE]]&amp;Banco_Nacion[[#This Row],[NUMERO]]&amp;Banco_Nacion[[#This Row],[RESPONSABLE]]&amp;Banco_Nacion[[#This Row],[MONTO ]],"")</f>
        <v>FE01579201001920641863</v>
      </c>
      <c r="Y15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69000757</v>
      </c>
      <c r="Z157" s="3"/>
      <c r="AA157" s="3"/>
      <c r="AB157" s="24" t="str">
        <f>IF(Banco_Nacion[[#This Row],[FECHA]]&gt;0,TEXT(Banco_Nacion[[#This Row],[FECHA]],"mmmm"),0)</f>
        <v>Marzo</v>
      </c>
    </row>
    <row r="158" spans="2:28" x14ac:dyDescent="0.3">
      <c r="B158" s="2">
        <f>IF(Banco_Nacion[[#This Row],[TIPO DE R.]]="R",COUNTIFS($D$4:$D157,"R")+1,"")</f>
        <v>154</v>
      </c>
      <c r="C158" s="19" t="str">
        <f t="shared" si="10"/>
        <v>B-Banco de la Nacion</v>
      </c>
      <c r="D158" s="3" t="s">
        <v>1074</v>
      </c>
      <c r="E158" s="14">
        <v>45722</v>
      </c>
      <c r="F158" s="5">
        <v>20100192064</v>
      </c>
      <c r="G158" s="5" t="s">
        <v>1087</v>
      </c>
      <c r="H158" s="6" t="s">
        <v>368</v>
      </c>
      <c r="I158" s="6" t="s">
        <v>14</v>
      </c>
      <c r="J158" s="6" t="s">
        <v>1088</v>
      </c>
      <c r="K158" s="6">
        <v>577</v>
      </c>
      <c r="L158" s="7" t="s">
        <v>4290</v>
      </c>
      <c r="M158" s="8">
        <v>69000732</v>
      </c>
      <c r="N158" s="8" t="str">
        <f t="shared" si="11"/>
        <v>PEN</v>
      </c>
      <c r="O158" s="13"/>
      <c r="P158" s="13">
        <v>671</v>
      </c>
      <c r="Q158" s="3">
        <f t="shared" si="12"/>
        <v>671</v>
      </c>
      <c r="R158" s="3">
        <f t="shared" si="13"/>
        <v>0</v>
      </c>
      <c r="S158" s="3">
        <f t="shared" si="14"/>
        <v>19012.010000000009</v>
      </c>
      <c r="T158" s="24"/>
      <c r="U158" s="24" t="s">
        <v>1081</v>
      </c>
      <c r="V158" s="3"/>
      <c r="W158" s="19" t="str">
        <f>IFERROR(VLOOKUP(Banco_Nacion[[#This Row],[RESPONSABLE]],Clientes_Proveedores[[Ruc / Dni]:[Razon Social]],2,0),"")</f>
        <v>MOLY-COP ADESUR S.A</v>
      </c>
      <c r="X158" s="19" t="str">
        <f>IF(Banco_Nacion[[#This Row],[TIPO DE MOV.]]="INGRESO",Banco_Nacion[[#This Row],[SERIE]]&amp;Banco_Nacion[[#This Row],[NUMERO]]&amp;Banco_Nacion[[#This Row],[RESPONSABLE]]&amp;Banco_Nacion[[#This Row],[MONTO ]],"")</f>
        <v>FE0157720100192064671</v>
      </c>
      <c r="Y15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69000732</v>
      </c>
      <c r="Z158" s="3"/>
      <c r="AA158" s="3"/>
      <c r="AB158" s="24" t="str">
        <f>IF(Banco_Nacion[[#This Row],[FECHA]]&gt;0,TEXT(Banco_Nacion[[#This Row],[FECHA]],"mmmm"),0)</f>
        <v>Marzo</v>
      </c>
    </row>
    <row r="159" spans="2:28" x14ac:dyDescent="0.3">
      <c r="B159" s="2">
        <f>IF(Banco_Nacion[[#This Row],[TIPO DE R.]]="R",COUNTIFS($D$4:$D158,"R")+1,"")</f>
        <v>155</v>
      </c>
      <c r="C159" s="19" t="str">
        <f t="shared" si="10"/>
        <v>B-Banco de la Nacion</v>
      </c>
      <c r="D159" s="3" t="s">
        <v>1074</v>
      </c>
      <c r="E159" s="14">
        <v>45722</v>
      </c>
      <c r="F159" s="5">
        <v>20100192064</v>
      </c>
      <c r="G159" s="5" t="s">
        <v>1087</v>
      </c>
      <c r="H159" s="6" t="s">
        <v>368</v>
      </c>
      <c r="I159" s="6" t="s">
        <v>14</v>
      </c>
      <c r="J159" s="6" t="s">
        <v>1088</v>
      </c>
      <c r="K159" s="6">
        <v>583</v>
      </c>
      <c r="L159" s="7" t="s">
        <v>4290</v>
      </c>
      <c r="M159" s="8">
        <v>69000713</v>
      </c>
      <c r="N159" s="8" t="str">
        <f t="shared" si="11"/>
        <v>PEN</v>
      </c>
      <c r="O159" s="13"/>
      <c r="P159" s="13">
        <v>1294</v>
      </c>
      <c r="Q159" s="3">
        <f t="shared" si="12"/>
        <v>1294</v>
      </c>
      <c r="R159" s="3">
        <f t="shared" si="13"/>
        <v>0</v>
      </c>
      <c r="S159" s="3">
        <f t="shared" si="14"/>
        <v>20306.010000000009</v>
      </c>
      <c r="T159" s="24"/>
      <c r="U159" s="24" t="s">
        <v>1081</v>
      </c>
      <c r="V159" s="3"/>
      <c r="W159" s="19" t="str">
        <f>IFERROR(VLOOKUP(Banco_Nacion[[#This Row],[RESPONSABLE]],Clientes_Proveedores[[Ruc / Dni]:[Razon Social]],2,0),"")</f>
        <v>MOLY-COP ADESUR S.A</v>
      </c>
      <c r="X159" s="19" t="str">
        <f>IF(Banco_Nacion[[#This Row],[TIPO DE MOV.]]="INGRESO",Banco_Nacion[[#This Row],[SERIE]]&amp;Banco_Nacion[[#This Row],[NUMERO]]&amp;Banco_Nacion[[#This Row],[RESPONSABLE]]&amp;Banco_Nacion[[#This Row],[MONTO ]],"")</f>
        <v>FE01583201001920641294</v>
      </c>
      <c r="Y15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69000713</v>
      </c>
      <c r="Z159" s="3"/>
      <c r="AA159" s="3"/>
      <c r="AB159" s="24" t="str">
        <f>IF(Banco_Nacion[[#This Row],[FECHA]]&gt;0,TEXT(Banco_Nacion[[#This Row],[FECHA]],"mmmm"),0)</f>
        <v>Marzo</v>
      </c>
    </row>
    <row r="160" spans="2:28" x14ac:dyDescent="0.3">
      <c r="B160" s="2">
        <f>IF(Banco_Nacion[[#This Row],[TIPO DE R.]]="R",COUNTIFS($D$4:$D159,"R")+1,"")</f>
        <v>156</v>
      </c>
      <c r="C160" s="19" t="str">
        <f t="shared" si="10"/>
        <v>B-Banco de la Nacion</v>
      </c>
      <c r="D160" s="3" t="s">
        <v>1074</v>
      </c>
      <c r="E160" s="14">
        <v>45723</v>
      </c>
      <c r="F160" s="5">
        <v>20558353814</v>
      </c>
      <c r="G160" s="5" t="s">
        <v>1087</v>
      </c>
      <c r="H160" s="6" t="s">
        <v>368</v>
      </c>
      <c r="I160" s="6" t="s">
        <v>14</v>
      </c>
      <c r="J160" s="6" t="s">
        <v>1088</v>
      </c>
      <c r="K160" s="6">
        <v>561</v>
      </c>
      <c r="L160" s="7" t="s">
        <v>4290</v>
      </c>
      <c r="M160" s="8">
        <v>78788888</v>
      </c>
      <c r="N160" s="8" t="str">
        <f t="shared" si="11"/>
        <v>PEN</v>
      </c>
      <c r="O160" s="13"/>
      <c r="P160" s="13">
        <v>596</v>
      </c>
      <c r="Q160" s="3">
        <f t="shared" si="12"/>
        <v>596</v>
      </c>
      <c r="R160" s="3">
        <f t="shared" si="13"/>
        <v>0</v>
      </c>
      <c r="S160" s="3">
        <f t="shared" si="14"/>
        <v>20902.010000000009</v>
      </c>
      <c r="T160" s="24"/>
      <c r="U160" s="24" t="s">
        <v>1081</v>
      </c>
      <c r="V160" s="3"/>
      <c r="W160" s="19" t="str">
        <f>IFERROR(VLOOKUP(Banco_Nacion[[#This Row],[RESPONSABLE]],Clientes_Proveedores[[Ruc / Dni]:[Razon Social]],2,0),"")</f>
        <v>TACONSER E.I.R.L.</v>
      </c>
      <c r="X160" s="19" t="str">
        <f>IF(Banco_Nacion[[#This Row],[TIPO DE MOV.]]="INGRESO",Banco_Nacion[[#This Row],[SERIE]]&amp;Banco_Nacion[[#This Row],[NUMERO]]&amp;Banco_Nacion[[#This Row],[RESPONSABLE]]&amp;Banco_Nacion[[#This Row],[MONTO ]],"")</f>
        <v>FE0156120558353814596</v>
      </c>
      <c r="Y16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78788888</v>
      </c>
      <c r="Z160" s="3"/>
      <c r="AA160" s="3"/>
      <c r="AB160" s="24" t="str">
        <f>IF(Banco_Nacion[[#This Row],[FECHA]]&gt;0,TEXT(Banco_Nacion[[#This Row],[FECHA]],"mmmm"),0)</f>
        <v>Marzo</v>
      </c>
    </row>
    <row r="161" spans="2:28" x14ac:dyDescent="0.3">
      <c r="B161" s="2">
        <f>IF(Banco_Nacion[[#This Row],[TIPO DE R.]]="R",COUNTIFS($D$4:$D160,"R")+1,"")</f>
        <v>157</v>
      </c>
      <c r="C161" s="19" t="str">
        <f t="shared" si="10"/>
        <v>B-Banco de la Nacion</v>
      </c>
      <c r="D161" s="3" t="s">
        <v>1074</v>
      </c>
      <c r="E161" s="14">
        <v>45726</v>
      </c>
      <c r="F161" s="5">
        <v>20454186002</v>
      </c>
      <c r="G161" s="5" t="s">
        <v>1087</v>
      </c>
      <c r="H161" s="6" t="s">
        <v>368</v>
      </c>
      <c r="I161" s="6" t="s">
        <v>14</v>
      </c>
      <c r="J161" s="6" t="s">
        <v>1088</v>
      </c>
      <c r="K161" s="6">
        <v>580</v>
      </c>
      <c r="L161" s="7" t="s">
        <v>4290</v>
      </c>
      <c r="M161" s="8">
        <v>69584940</v>
      </c>
      <c r="N161" s="8" t="str">
        <f t="shared" si="11"/>
        <v>PEN</v>
      </c>
      <c r="O161" s="13"/>
      <c r="P161" s="13">
        <v>808</v>
      </c>
      <c r="Q161" s="3">
        <f t="shared" si="12"/>
        <v>808</v>
      </c>
      <c r="R161" s="3">
        <f t="shared" si="13"/>
        <v>0</v>
      </c>
      <c r="S161" s="3">
        <f t="shared" si="14"/>
        <v>21710.010000000009</v>
      </c>
      <c r="T161" s="24"/>
      <c r="U161" s="24" t="s">
        <v>1081</v>
      </c>
      <c r="V161" s="3"/>
      <c r="W161" s="19" t="str">
        <f>IFERROR(VLOOKUP(Banco_Nacion[[#This Row],[RESPONSABLE]],Clientes_Proveedores[[Ruc / Dni]:[Razon Social]],2,0),"")</f>
        <v>ALSUR PERU S.A.C.</v>
      </c>
      <c r="X161" s="19" t="str">
        <f>IF(Banco_Nacion[[#This Row],[TIPO DE MOV.]]="INGRESO",Banco_Nacion[[#This Row],[SERIE]]&amp;Banco_Nacion[[#This Row],[NUMERO]]&amp;Banco_Nacion[[#This Row],[RESPONSABLE]]&amp;Banco_Nacion[[#This Row],[MONTO ]],"")</f>
        <v>FE0158020454186002808</v>
      </c>
      <c r="Y16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69584940</v>
      </c>
      <c r="Z161" s="3"/>
      <c r="AA161" s="3"/>
      <c r="AB161" s="24" t="str">
        <f>IF(Banco_Nacion[[#This Row],[FECHA]]&gt;0,TEXT(Banco_Nacion[[#This Row],[FECHA]],"mmmm"),0)</f>
        <v>Marzo</v>
      </c>
    </row>
    <row r="162" spans="2:28" x14ac:dyDescent="0.3">
      <c r="B162" s="2">
        <f>IF(Banco_Nacion[[#This Row],[TIPO DE R.]]="R",COUNTIFS($D$4:$D161,"R")+1,"")</f>
        <v>158</v>
      </c>
      <c r="C162" s="19" t="str">
        <f t="shared" si="10"/>
        <v>B-Banco de la Nacion</v>
      </c>
      <c r="D162" s="3" t="s">
        <v>1074</v>
      </c>
      <c r="E162" s="14">
        <v>45726</v>
      </c>
      <c r="F162" s="5">
        <v>20454186002</v>
      </c>
      <c r="G162" s="5" t="s">
        <v>1087</v>
      </c>
      <c r="H162" s="6" t="s">
        <v>368</v>
      </c>
      <c r="I162" s="6" t="s">
        <v>14</v>
      </c>
      <c r="J162" s="6" t="s">
        <v>1088</v>
      </c>
      <c r="K162" s="6">
        <v>581</v>
      </c>
      <c r="L162" s="7" t="s">
        <v>4290</v>
      </c>
      <c r="M162" s="8">
        <v>69584939</v>
      </c>
      <c r="N162" s="8" t="str">
        <f t="shared" si="11"/>
        <v>PEN</v>
      </c>
      <c r="O162" s="13"/>
      <c r="P162" s="13">
        <v>395</v>
      </c>
      <c r="Q162" s="3">
        <f t="shared" si="12"/>
        <v>395</v>
      </c>
      <c r="R162" s="3">
        <f t="shared" si="13"/>
        <v>0</v>
      </c>
      <c r="S162" s="3">
        <f t="shared" si="14"/>
        <v>22105.010000000009</v>
      </c>
      <c r="T162" s="24"/>
      <c r="U162" s="24" t="s">
        <v>1081</v>
      </c>
      <c r="V162" s="3"/>
      <c r="W162" s="19" t="str">
        <f>IFERROR(VLOOKUP(Banco_Nacion[[#This Row],[RESPONSABLE]],Clientes_Proveedores[[Ruc / Dni]:[Razon Social]],2,0),"")</f>
        <v>ALSUR PERU S.A.C.</v>
      </c>
      <c r="X162" s="19" t="str">
        <f>IF(Banco_Nacion[[#This Row],[TIPO DE MOV.]]="INGRESO",Banco_Nacion[[#This Row],[SERIE]]&amp;Banco_Nacion[[#This Row],[NUMERO]]&amp;Banco_Nacion[[#This Row],[RESPONSABLE]]&amp;Banco_Nacion[[#This Row],[MONTO ]],"")</f>
        <v>FE0158120454186002395</v>
      </c>
      <c r="Y16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69584939</v>
      </c>
      <c r="Z162" s="3"/>
      <c r="AA162" s="3"/>
      <c r="AB162" s="24" t="str">
        <f>IF(Banco_Nacion[[#This Row],[FECHA]]&gt;0,TEXT(Banco_Nacion[[#This Row],[FECHA]],"mmmm"),0)</f>
        <v>Marzo</v>
      </c>
    </row>
    <row r="163" spans="2:28" x14ac:dyDescent="0.3">
      <c r="B163" s="2">
        <f>IF(Banco_Nacion[[#This Row],[TIPO DE R.]]="R",COUNTIFS($D$4:$D162,"R")+1,"")</f>
        <v>159</v>
      </c>
      <c r="C163" s="19" t="str">
        <f t="shared" si="10"/>
        <v>B-Banco de la Nacion</v>
      </c>
      <c r="D163" s="3" t="s">
        <v>1074</v>
      </c>
      <c r="E163" s="14">
        <v>45726</v>
      </c>
      <c r="F163" s="5">
        <v>20454186002</v>
      </c>
      <c r="G163" s="5" t="s">
        <v>1087</v>
      </c>
      <c r="H163" s="6" t="s">
        <v>368</v>
      </c>
      <c r="I163" s="6" t="s">
        <v>14</v>
      </c>
      <c r="J163" s="6" t="s">
        <v>1088</v>
      </c>
      <c r="K163" s="6">
        <v>578</v>
      </c>
      <c r="L163" s="7" t="s">
        <v>4290</v>
      </c>
      <c r="M163" s="8">
        <v>69584938</v>
      </c>
      <c r="N163" s="8" t="str">
        <f t="shared" si="11"/>
        <v>PEN</v>
      </c>
      <c r="O163" s="13"/>
      <c r="P163" s="13">
        <v>484</v>
      </c>
      <c r="Q163" s="3">
        <f t="shared" si="12"/>
        <v>484</v>
      </c>
      <c r="R163" s="3">
        <f t="shared" si="13"/>
        <v>0</v>
      </c>
      <c r="S163" s="3">
        <f t="shared" si="14"/>
        <v>22589.010000000009</v>
      </c>
      <c r="T163" s="24"/>
      <c r="U163" s="24" t="s">
        <v>1081</v>
      </c>
      <c r="V163" s="3"/>
      <c r="W163" s="19" t="str">
        <f>IFERROR(VLOOKUP(Banco_Nacion[[#This Row],[RESPONSABLE]],Clientes_Proveedores[[Ruc / Dni]:[Razon Social]],2,0),"")</f>
        <v>ALSUR PERU S.A.C.</v>
      </c>
      <c r="X163" s="19" t="str">
        <f>IF(Banco_Nacion[[#This Row],[TIPO DE MOV.]]="INGRESO",Banco_Nacion[[#This Row],[SERIE]]&amp;Banco_Nacion[[#This Row],[NUMERO]]&amp;Banco_Nacion[[#This Row],[RESPONSABLE]]&amp;Banco_Nacion[[#This Row],[MONTO ]],"")</f>
        <v>FE0157820454186002484</v>
      </c>
      <c r="Y16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69584938</v>
      </c>
      <c r="Z163" s="3"/>
      <c r="AA163" s="3"/>
      <c r="AB163" s="24" t="str">
        <f>IF(Banco_Nacion[[#This Row],[FECHA]]&gt;0,TEXT(Banco_Nacion[[#This Row],[FECHA]],"mmmm"),0)</f>
        <v>Marzo</v>
      </c>
    </row>
    <row r="164" spans="2:28" x14ac:dyDescent="0.3">
      <c r="B164" s="2">
        <f>IF(Banco_Nacion[[#This Row],[TIPO DE R.]]="R",COUNTIFS($D$4:$D163,"R")+1,"")</f>
        <v>160</v>
      </c>
      <c r="C164" s="19" t="str">
        <f t="shared" si="10"/>
        <v>B-Banco de la Nacion</v>
      </c>
      <c r="D164" s="3" t="s">
        <v>1074</v>
      </c>
      <c r="E164" s="14">
        <v>45726</v>
      </c>
      <c r="F164" s="5">
        <v>20514133931</v>
      </c>
      <c r="G164" s="5" t="s">
        <v>1087</v>
      </c>
      <c r="H164" s="6" t="s">
        <v>368</v>
      </c>
      <c r="I164" s="6" t="s">
        <v>14</v>
      </c>
      <c r="J164" s="6" t="s">
        <v>1097</v>
      </c>
      <c r="K164" s="6">
        <v>189</v>
      </c>
      <c r="L164" s="7" t="s">
        <v>4290</v>
      </c>
      <c r="M164" s="8">
        <v>69572534</v>
      </c>
      <c r="N164" s="8" t="str">
        <f t="shared" si="11"/>
        <v>PEN</v>
      </c>
      <c r="O164" s="13"/>
      <c r="P164" s="13">
        <v>30</v>
      </c>
      <c r="Q164" s="3">
        <f t="shared" si="12"/>
        <v>30</v>
      </c>
      <c r="R164" s="3">
        <f t="shared" si="13"/>
        <v>0</v>
      </c>
      <c r="S164" s="3">
        <f t="shared" si="14"/>
        <v>22619.010000000009</v>
      </c>
      <c r="T164" s="24"/>
      <c r="U164" s="24" t="s">
        <v>1081</v>
      </c>
      <c r="V164" s="3"/>
      <c r="W164" s="19" t="str">
        <f>IFERROR(VLOOKUP(Banco_Nacion[[#This Row],[RESPONSABLE]],Clientes_Proveedores[[Ruc / Dni]:[Razon Social]],2,0),"")</f>
        <v>CORPORACION MEDIOAMBIENTAL AMPCO PERU SOCIEDAD ANONIMA CERRADA
- CM AMPCO PERU S.A.C</v>
      </c>
      <c r="X164" s="19" t="str">
        <f>IF(Banco_Nacion[[#This Row],[TIPO DE MOV.]]="INGRESO",Banco_Nacion[[#This Row],[SERIE]]&amp;Banco_Nacion[[#This Row],[NUMERO]]&amp;Banco_Nacion[[#This Row],[RESPONSABLE]]&amp;Banco_Nacion[[#This Row],[MONTO ]],"")</f>
        <v>FE021892051413393130</v>
      </c>
      <c r="Y16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69572534</v>
      </c>
      <c r="Z164" s="3"/>
      <c r="AA164" s="3"/>
      <c r="AB164" s="24" t="str">
        <f>IF(Banco_Nacion[[#This Row],[FECHA]]&gt;0,TEXT(Banco_Nacion[[#This Row],[FECHA]],"mmmm"),0)</f>
        <v>Marzo</v>
      </c>
    </row>
    <row r="165" spans="2:28" x14ac:dyDescent="0.3">
      <c r="B165" s="2">
        <f>IF(Banco_Nacion[[#This Row],[TIPO DE R.]]="R",COUNTIFS($D$4:$D164,"R")+1,"")</f>
        <v>161</v>
      </c>
      <c r="C165" s="19" t="str">
        <f t="shared" si="10"/>
        <v>B-Banco de la Nacion</v>
      </c>
      <c r="D165" s="3" t="s">
        <v>1074</v>
      </c>
      <c r="E165" s="14">
        <v>45726</v>
      </c>
      <c r="F165" s="5">
        <v>20553956324</v>
      </c>
      <c r="G165" s="5" t="s">
        <v>1087</v>
      </c>
      <c r="H165" s="6" t="s">
        <v>368</v>
      </c>
      <c r="I165" s="6" t="s">
        <v>14</v>
      </c>
      <c r="J165" s="6" t="s">
        <v>1088</v>
      </c>
      <c r="K165" s="6">
        <v>546</v>
      </c>
      <c r="L165" s="7" t="s">
        <v>4290</v>
      </c>
      <c r="M165" s="8">
        <v>69496881</v>
      </c>
      <c r="N165" s="8" t="str">
        <f t="shared" si="11"/>
        <v>PEN</v>
      </c>
      <c r="O165" s="13"/>
      <c r="P165" s="13">
        <v>299</v>
      </c>
      <c r="Q165" s="3">
        <f t="shared" si="12"/>
        <v>299</v>
      </c>
      <c r="R165" s="3">
        <f t="shared" si="13"/>
        <v>0</v>
      </c>
      <c r="S165" s="3">
        <f t="shared" si="14"/>
        <v>22918.010000000009</v>
      </c>
      <c r="T165" s="24"/>
      <c r="U165" s="24" t="s">
        <v>1081</v>
      </c>
      <c r="V165" s="3"/>
      <c r="W165" s="19" t="str">
        <f>IFERROR(VLOOKUP(Banco_Nacion[[#This Row],[RESPONSABLE]],Clientes_Proveedores[[Ruc / Dni]:[Razon Social]],2,0),"")</f>
        <v>ALQUIMODUL S.A.C.</v>
      </c>
      <c r="X165" s="19" t="str">
        <f>IF(Banco_Nacion[[#This Row],[TIPO DE MOV.]]="INGRESO",Banco_Nacion[[#This Row],[SERIE]]&amp;Banco_Nacion[[#This Row],[NUMERO]]&amp;Banco_Nacion[[#This Row],[RESPONSABLE]]&amp;Banco_Nacion[[#This Row],[MONTO ]],"")</f>
        <v>FE0154620553956324299</v>
      </c>
      <c r="Y16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69496881</v>
      </c>
      <c r="Z165" s="3"/>
      <c r="AA165" s="3"/>
      <c r="AB165" s="24" t="str">
        <f>IF(Banco_Nacion[[#This Row],[FECHA]]&gt;0,TEXT(Banco_Nacion[[#This Row],[FECHA]],"mmmm"),0)</f>
        <v>Marzo</v>
      </c>
    </row>
    <row r="166" spans="2:28" x14ac:dyDescent="0.3">
      <c r="B166" s="2">
        <f>IF(Banco_Nacion[[#This Row],[TIPO DE R.]]="R",COUNTIFS($D$4:$D165,"R")+1,"")</f>
        <v>162</v>
      </c>
      <c r="C166" s="19" t="str">
        <f t="shared" si="10"/>
        <v>B-Banco de la Nacion</v>
      </c>
      <c r="D166" s="3" t="s">
        <v>1074</v>
      </c>
      <c r="E166" s="14">
        <v>45726</v>
      </c>
      <c r="F166" s="5">
        <v>20120858425</v>
      </c>
      <c r="G166" s="5" t="s">
        <v>1087</v>
      </c>
      <c r="H166" s="6" t="s">
        <v>368</v>
      </c>
      <c r="I166" s="6" t="s">
        <v>14</v>
      </c>
      <c r="J166" s="6" t="s">
        <v>1088</v>
      </c>
      <c r="K166" s="6">
        <v>544</v>
      </c>
      <c r="L166" s="7" t="s">
        <v>4290</v>
      </c>
      <c r="M166" s="8">
        <v>69436084</v>
      </c>
      <c r="N166" s="8" t="str">
        <f t="shared" si="11"/>
        <v>PEN</v>
      </c>
      <c r="O166" s="13"/>
      <c r="P166" s="13">
        <v>172</v>
      </c>
      <c r="Q166" s="3">
        <f t="shared" si="12"/>
        <v>172</v>
      </c>
      <c r="R166" s="3">
        <f t="shared" si="13"/>
        <v>0</v>
      </c>
      <c r="S166" s="3">
        <f t="shared" si="14"/>
        <v>23090.010000000009</v>
      </c>
      <c r="T166" s="24"/>
      <c r="U166" s="24"/>
      <c r="V166" s="3"/>
      <c r="W166" s="19" t="str">
        <f>IFERROR(VLOOKUP(Banco_Nacion[[#This Row],[RESPONSABLE]],Clientes_Proveedores[[Ruc / Dni]:[Razon Social]],2,0),"")</f>
        <v>POWER S.A.C.</v>
      </c>
      <c r="X166" s="19" t="str">
        <f>IF(Banco_Nacion[[#This Row],[TIPO DE MOV.]]="INGRESO",Banco_Nacion[[#This Row],[SERIE]]&amp;Banco_Nacion[[#This Row],[NUMERO]]&amp;Banco_Nacion[[#This Row],[RESPONSABLE]]&amp;Banco_Nacion[[#This Row],[MONTO ]],"")</f>
        <v>FE0154420120858425172</v>
      </c>
      <c r="Y16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69436084</v>
      </c>
      <c r="Z166" s="3"/>
      <c r="AA166" s="3"/>
      <c r="AB166" s="24" t="str">
        <f>IF(Banco_Nacion[[#This Row],[FECHA]]&gt;0,TEXT(Banco_Nacion[[#This Row],[FECHA]],"mmmm"),0)</f>
        <v>Marzo</v>
      </c>
    </row>
    <row r="167" spans="2:28" x14ac:dyDescent="0.3">
      <c r="B167" s="2">
        <f>IF(Banco_Nacion[[#This Row],[TIPO DE R.]]="R",COUNTIFS($D$4:$D166,"R")+1,"")</f>
        <v>163</v>
      </c>
      <c r="C167" s="19" t="str">
        <f t="shared" si="10"/>
        <v>B-Banco de la Nacion</v>
      </c>
      <c r="D167" s="3" t="s">
        <v>1074</v>
      </c>
      <c r="E167" s="14">
        <v>45726</v>
      </c>
      <c r="F167" s="5">
        <v>20120877055</v>
      </c>
      <c r="G167" s="5" t="s">
        <v>1087</v>
      </c>
      <c r="H167" s="6" t="s">
        <v>368</v>
      </c>
      <c r="I167" s="6" t="s">
        <v>14</v>
      </c>
      <c r="J167" s="6" t="s">
        <v>1097</v>
      </c>
      <c r="K167" s="6">
        <v>199</v>
      </c>
      <c r="L167" s="7" t="s">
        <v>4290</v>
      </c>
      <c r="M167" s="8">
        <v>69410255</v>
      </c>
      <c r="N167" s="8" t="str">
        <f t="shared" si="11"/>
        <v>PEN</v>
      </c>
      <c r="O167" s="13"/>
      <c r="P167" s="13">
        <v>64</v>
      </c>
      <c r="Q167" s="3">
        <f t="shared" si="12"/>
        <v>64</v>
      </c>
      <c r="R167" s="3">
        <f t="shared" si="13"/>
        <v>0</v>
      </c>
      <c r="S167" s="3">
        <f t="shared" si="14"/>
        <v>23154.010000000009</v>
      </c>
      <c r="T167" s="24"/>
      <c r="U167" s="24" t="s">
        <v>1081</v>
      </c>
      <c r="V167" s="3"/>
      <c r="W167" s="19" t="str">
        <f>IFERROR(VLOOKUP(Banco_Nacion[[#This Row],[RESPONSABLE]],Clientes_Proveedores[[Ruc / Dni]:[Razon Social]],2,0),"")</f>
        <v>LADRILLERA EL DIAMANTE S.A.C.</v>
      </c>
      <c r="X167" s="19" t="str">
        <f>IF(Banco_Nacion[[#This Row],[TIPO DE MOV.]]="INGRESO",Banco_Nacion[[#This Row],[SERIE]]&amp;Banco_Nacion[[#This Row],[NUMERO]]&amp;Banco_Nacion[[#This Row],[RESPONSABLE]]&amp;Banco_Nacion[[#This Row],[MONTO ]],"")</f>
        <v>FE021992012087705564</v>
      </c>
      <c r="Y16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69410255</v>
      </c>
      <c r="Z167" s="3"/>
      <c r="AA167" s="3"/>
      <c r="AB167" s="24" t="str">
        <f>IF(Banco_Nacion[[#This Row],[FECHA]]&gt;0,TEXT(Banco_Nacion[[#This Row],[FECHA]],"mmmm"),0)</f>
        <v>Marzo</v>
      </c>
    </row>
    <row r="168" spans="2:28" x14ac:dyDescent="0.3">
      <c r="B168" s="2">
        <f>IF(Banco_Nacion[[#This Row],[TIPO DE R.]]="R",COUNTIFS($D$4:$D167,"R")+1,"")</f>
        <v>164</v>
      </c>
      <c r="C168" s="19" t="str">
        <f t="shared" si="10"/>
        <v>B-Banco de la Nacion</v>
      </c>
      <c r="D168" s="3" t="s">
        <v>1074</v>
      </c>
      <c r="E168" s="14">
        <v>45726</v>
      </c>
      <c r="F168" s="5">
        <v>20558203332</v>
      </c>
      <c r="G168" s="5" t="s">
        <v>1087</v>
      </c>
      <c r="H168" s="6" t="s">
        <v>368</v>
      </c>
      <c r="I168" s="6" t="s">
        <v>14</v>
      </c>
      <c r="J168" s="6" t="s">
        <v>1097</v>
      </c>
      <c r="K168" s="6">
        <v>193</v>
      </c>
      <c r="L168" s="7" t="s">
        <v>4290</v>
      </c>
      <c r="M168" s="8">
        <v>69382277</v>
      </c>
      <c r="N168" s="8" t="str">
        <f t="shared" si="11"/>
        <v>PEN</v>
      </c>
      <c r="O168" s="13"/>
      <c r="P168" s="13">
        <v>53</v>
      </c>
      <c r="Q168" s="3">
        <f t="shared" si="12"/>
        <v>53</v>
      </c>
      <c r="R168" s="3">
        <f t="shared" si="13"/>
        <v>0</v>
      </c>
      <c r="S168" s="3">
        <f t="shared" si="14"/>
        <v>23207.010000000009</v>
      </c>
      <c r="T168" s="24"/>
      <c r="U168" s="24" t="s">
        <v>1081</v>
      </c>
      <c r="V168" s="3"/>
      <c r="W168" s="19" t="str">
        <f>IFERROR(VLOOKUP(Banco_Nacion[[#This Row],[RESPONSABLE]],Clientes_Proveedores[[Ruc / Dni]:[Razon Social]],2,0),"")</f>
        <v>ISC INGENIERIA DEL SUR S.A.C.</v>
      </c>
      <c r="X168" s="19" t="str">
        <f>IF(Banco_Nacion[[#This Row],[TIPO DE MOV.]]="INGRESO",Banco_Nacion[[#This Row],[SERIE]]&amp;Banco_Nacion[[#This Row],[NUMERO]]&amp;Banco_Nacion[[#This Row],[RESPONSABLE]]&amp;Banco_Nacion[[#This Row],[MONTO ]],"")</f>
        <v>FE021932055820333253</v>
      </c>
      <c r="Y16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69382277</v>
      </c>
      <c r="Z168" s="3"/>
      <c r="AA168" s="3"/>
      <c r="AB168" s="24" t="str">
        <f>IF(Banco_Nacion[[#This Row],[FECHA]]&gt;0,TEXT(Banco_Nacion[[#This Row],[FECHA]],"mmmm"),0)</f>
        <v>Marzo</v>
      </c>
    </row>
    <row r="169" spans="2:28" x14ac:dyDescent="0.3">
      <c r="B169" s="2">
        <f>IF(Banco_Nacion[[#This Row],[TIPO DE R.]]="R",COUNTIFS($D$4:$D168,"R")+1,"")</f>
        <v>165</v>
      </c>
      <c r="C169" s="19" t="str">
        <f t="shared" si="10"/>
        <v>B-Banco de la Nacion</v>
      </c>
      <c r="D169" s="3" t="s">
        <v>1074</v>
      </c>
      <c r="E169" s="14">
        <v>45726</v>
      </c>
      <c r="F169" s="5">
        <v>20100235138</v>
      </c>
      <c r="G169" s="5" t="s">
        <v>1087</v>
      </c>
      <c r="H169" s="6" t="s">
        <v>368</v>
      </c>
      <c r="I169" s="6" t="s">
        <v>14</v>
      </c>
      <c r="J169" s="6" t="s">
        <v>1088</v>
      </c>
      <c r="K169" s="6">
        <v>565</v>
      </c>
      <c r="L169" s="7" t="s">
        <v>4290</v>
      </c>
      <c r="M169" s="8">
        <v>69381798</v>
      </c>
      <c r="N169" s="8" t="str">
        <f t="shared" si="11"/>
        <v>PEN</v>
      </c>
      <c r="O169" s="13"/>
      <c r="P169" s="13">
        <v>185</v>
      </c>
      <c r="Q169" s="3">
        <f t="shared" si="12"/>
        <v>185</v>
      </c>
      <c r="R169" s="3">
        <f t="shared" si="13"/>
        <v>0</v>
      </c>
      <c r="S169" s="3">
        <f t="shared" si="14"/>
        <v>23392.010000000009</v>
      </c>
      <c r="T169" s="24"/>
      <c r="U169" s="24" t="s">
        <v>1081</v>
      </c>
      <c r="V169" s="3"/>
      <c r="W169" s="19" t="str">
        <f>IFERROR(VLOOKUP(Banco_Nacion[[#This Row],[RESPONSABLE]],Clientes_Proveedores[[Ruc / Dni]:[Razon Social]],2,0),"")</f>
        <v>METALURGICA QUIMICA S.A.C.</v>
      </c>
      <c r="X169" s="19" t="str">
        <f>IF(Banco_Nacion[[#This Row],[TIPO DE MOV.]]="INGRESO",Banco_Nacion[[#This Row],[SERIE]]&amp;Banco_Nacion[[#This Row],[NUMERO]]&amp;Banco_Nacion[[#This Row],[RESPONSABLE]]&amp;Banco_Nacion[[#This Row],[MONTO ]],"")</f>
        <v>FE0156520100235138185</v>
      </c>
      <c r="Y16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69381798</v>
      </c>
      <c r="Z169" s="3"/>
      <c r="AA169" s="3"/>
      <c r="AB169" s="24" t="str">
        <f>IF(Banco_Nacion[[#This Row],[FECHA]]&gt;0,TEXT(Banco_Nacion[[#This Row],[FECHA]],"mmmm"),0)</f>
        <v>Marzo</v>
      </c>
    </row>
    <row r="170" spans="2:28" x14ac:dyDescent="0.3">
      <c r="B170" s="2">
        <f>IF(Banco_Nacion[[#This Row],[TIPO DE R.]]="R",COUNTIFS($D$4:$D169,"R")+1,"")</f>
        <v>166</v>
      </c>
      <c r="C170" s="19" t="str">
        <f t="shared" si="10"/>
        <v>B-Banco de la Nacion</v>
      </c>
      <c r="D170" s="3" t="s">
        <v>1074</v>
      </c>
      <c r="E170" s="14">
        <v>45726</v>
      </c>
      <c r="F170" s="5">
        <v>20100235138</v>
      </c>
      <c r="G170" s="5" t="s">
        <v>1087</v>
      </c>
      <c r="H170" s="6" t="s">
        <v>368</v>
      </c>
      <c r="I170" s="6" t="s">
        <v>14</v>
      </c>
      <c r="J170" s="6" t="s">
        <v>1088</v>
      </c>
      <c r="K170" s="6">
        <v>543</v>
      </c>
      <c r="L170" s="7" t="s">
        <v>4290</v>
      </c>
      <c r="M170" s="8">
        <v>69381797</v>
      </c>
      <c r="N170" s="8" t="str">
        <f t="shared" si="11"/>
        <v>PEN</v>
      </c>
      <c r="O170" s="13"/>
      <c r="P170" s="13">
        <v>291</v>
      </c>
      <c r="Q170" s="3">
        <f t="shared" si="12"/>
        <v>291</v>
      </c>
      <c r="R170" s="3">
        <f t="shared" si="13"/>
        <v>0</v>
      </c>
      <c r="S170" s="3">
        <f t="shared" si="14"/>
        <v>23683.010000000009</v>
      </c>
      <c r="T170" s="24"/>
      <c r="U170" s="24" t="s">
        <v>1081</v>
      </c>
      <c r="V170" s="3"/>
      <c r="W170" s="19" t="str">
        <f>IFERROR(VLOOKUP(Banco_Nacion[[#This Row],[RESPONSABLE]],Clientes_Proveedores[[Ruc / Dni]:[Razon Social]],2,0),"")</f>
        <v>METALURGICA QUIMICA S.A.C.</v>
      </c>
      <c r="X170" s="19" t="str">
        <f>IF(Banco_Nacion[[#This Row],[TIPO DE MOV.]]="INGRESO",Banco_Nacion[[#This Row],[SERIE]]&amp;Banco_Nacion[[#This Row],[NUMERO]]&amp;Banco_Nacion[[#This Row],[RESPONSABLE]]&amp;Banco_Nacion[[#This Row],[MONTO ]],"")</f>
        <v>FE0154320100235138291</v>
      </c>
      <c r="Y17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69381797</v>
      </c>
      <c r="Z170" s="3"/>
      <c r="AA170" s="3"/>
      <c r="AB170" s="24" t="str">
        <f>IF(Banco_Nacion[[#This Row],[FECHA]]&gt;0,TEXT(Banco_Nacion[[#This Row],[FECHA]],"mmmm"),0)</f>
        <v>Marzo</v>
      </c>
    </row>
    <row r="171" spans="2:28" x14ac:dyDescent="0.3">
      <c r="B171" s="2">
        <f>IF(Banco_Nacion[[#This Row],[TIPO DE R.]]="R",COUNTIFS($D$4:$D170,"R")+1,"")</f>
        <v>167</v>
      </c>
      <c r="C171" s="19" t="str">
        <f t="shared" si="10"/>
        <v>B-Banco de la Nacion</v>
      </c>
      <c r="D171" s="3" t="s">
        <v>1074</v>
      </c>
      <c r="E171" s="14">
        <v>45727</v>
      </c>
      <c r="F171" s="5">
        <v>20496535066</v>
      </c>
      <c r="G171" s="5" t="s">
        <v>1087</v>
      </c>
      <c r="H171" s="6" t="s">
        <v>368</v>
      </c>
      <c r="I171" s="6" t="s">
        <v>14</v>
      </c>
      <c r="J171" s="6" t="s">
        <v>1088</v>
      </c>
      <c r="K171" s="6">
        <v>499</v>
      </c>
      <c r="L171" s="7" t="s">
        <v>4290</v>
      </c>
      <c r="M171" s="8">
        <v>69728650</v>
      </c>
      <c r="N171" s="8" t="str">
        <f t="shared" si="11"/>
        <v>PEN</v>
      </c>
      <c r="O171" s="13"/>
      <c r="P171" s="13">
        <v>168</v>
      </c>
      <c r="Q171" s="3">
        <f t="shared" si="12"/>
        <v>168</v>
      </c>
      <c r="R171" s="3">
        <f t="shared" si="13"/>
        <v>0</v>
      </c>
      <c r="S171" s="3">
        <f t="shared" si="14"/>
        <v>23851.010000000009</v>
      </c>
      <c r="T171" s="24"/>
      <c r="U171" s="24" t="s">
        <v>1081</v>
      </c>
      <c r="V171" s="3"/>
      <c r="W171" s="19" t="str">
        <f>IFERROR(VLOOKUP(Banco_Nacion[[#This Row],[RESPONSABLE]],Clientes_Proveedores[[Ruc / Dni]:[Razon Social]],2,0),"")</f>
        <v>CORP.ELECTROMECANICA EN ING.Y CONSTR.SAC</v>
      </c>
      <c r="X171" s="19" t="str">
        <f>IF(Banco_Nacion[[#This Row],[TIPO DE MOV.]]="INGRESO",Banco_Nacion[[#This Row],[SERIE]]&amp;Banco_Nacion[[#This Row],[NUMERO]]&amp;Banco_Nacion[[#This Row],[RESPONSABLE]]&amp;Banco_Nacion[[#This Row],[MONTO ]],"")</f>
        <v>FE0149920496535066168</v>
      </c>
      <c r="Y17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69728650</v>
      </c>
      <c r="Z171" s="3"/>
      <c r="AA171" s="3"/>
      <c r="AB171" s="24" t="str">
        <f>IF(Banco_Nacion[[#This Row],[FECHA]]&gt;0,TEXT(Banco_Nacion[[#This Row],[FECHA]],"mmmm"),0)</f>
        <v>Marzo</v>
      </c>
    </row>
    <row r="172" spans="2:28" x14ac:dyDescent="0.3">
      <c r="B172" s="2">
        <f>IF(Banco_Nacion[[#This Row],[TIPO DE R.]]="R",COUNTIFS($D$4:$D171,"R")+1,"")</f>
        <v>168</v>
      </c>
      <c r="C172" s="19" t="str">
        <f t="shared" si="10"/>
        <v>B-Banco de la Nacion</v>
      </c>
      <c r="D172" s="3" t="s">
        <v>1074</v>
      </c>
      <c r="E172" s="14">
        <v>45728</v>
      </c>
      <c r="F172" s="5">
        <v>20100055237</v>
      </c>
      <c r="G172" s="5" t="s">
        <v>1087</v>
      </c>
      <c r="H172" s="6" t="s">
        <v>368</v>
      </c>
      <c r="I172" s="6" t="s">
        <v>14</v>
      </c>
      <c r="J172" s="6" t="s">
        <v>1088</v>
      </c>
      <c r="K172" s="6">
        <v>591</v>
      </c>
      <c r="L172" s="7" t="s">
        <v>4290</v>
      </c>
      <c r="M172" s="8">
        <v>69885329</v>
      </c>
      <c r="N172" s="8" t="str">
        <f t="shared" si="11"/>
        <v>PEN</v>
      </c>
      <c r="O172" s="13"/>
      <c r="P172" s="13">
        <v>112</v>
      </c>
      <c r="Q172" s="3">
        <f t="shared" si="12"/>
        <v>112</v>
      </c>
      <c r="R172" s="3">
        <f t="shared" si="13"/>
        <v>0</v>
      </c>
      <c r="S172" s="3">
        <f t="shared" si="14"/>
        <v>23963.010000000009</v>
      </c>
      <c r="T172" s="24"/>
      <c r="U172" s="24" t="s">
        <v>1081</v>
      </c>
      <c r="V172" s="3"/>
      <c r="W172" s="19" t="str">
        <f>IFERROR(VLOOKUP(Banco_Nacion[[#This Row],[RESPONSABLE]],Clientes_Proveedores[[Ruc / Dni]:[Razon Social]],2,0),"")</f>
        <v>ALICORP SAA</v>
      </c>
      <c r="X172" s="19" t="str">
        <f>IF(Banco_Nacion[[#This Row],[TIPO DE MOV.]]="INGRESO",Banco_Nacion[[#This Row],[SERIE]]&amp;Banco_Nacion[[#This Row],[NUMERO]]&amp;Banco_Nacion[[#This Row],[RESPONSABLE]]&amp;Banco_Nacion[[#This Row],[MONTO ]],"")</f>
        <v>FE0159120100055237112</v>
      </c>
      <c r="Y17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69885329</v>
      </c>
      <c r="Z172" s="3"/>
      <c r="AA172" s="3"/>
      <c r="AB172" s="24" t="str">
        <f>IF(Banco_Nacion[[#This Row],[FECHA]]&gt;0,TEXT(Banco_Nacion[[#This Row],[FECHA]],"mmmm"),0)</f>
        <v>Marzo</v>
      </c>
    </row>
    <row r="173" spans="2:28" x14ac:dyDescent="0.3">
      <c r="B173" s="2">
        <f>IF(Banco_Nacion[[#This Row],[TIPO DE R.]]="R",COUNTIFS($D$4:$D172,"R")+1,"")</f>
        <v>169</v>
      </c>
      <c r="C173" s="19" t="str">
        <f t="shared" si="10"/>
        <v>B-Banco de la Nacion</v>
      </c>
      <c r="D173" s="3" t="s">
        <v>1074</v>
      </c>
      <c r="E173" s="14">
        <v>45729</v>
      </c>
      <c r="F173" s="5">
        <v>20370146994</v>
      </c>
      <c r="G173" s="5" t="s">
        <v>1087</v>
      </c>
      <c r="H173" s="6" t="s">
        <v>368</v>
      </c>
      <c r="I173" s="6" t="s">
        <v>14</v>
      </c>
      <c r="J173" s="6" t="s">
        <v>1121</v>
      </c>
      <c r="K173" s="6">
        <v>15</v>
      </c>
      <c r="L173" s="7" t="s">
        <v>4290</v>
      </c>
      <c r="M173" s="8">
        <v>69942509</v>
      </c>
      <c r="N173" s="8" t="str">
        <f t="shared" si="11"/>
        <v>PEN</v>
      </c>
      <c r="O173" s="13"/>
      <c r="P173" s="13">
        <v>124</v>
      </c>
      <c r="Q173" s="3">
        <f t="shared" si="12"/>
        <v>124</v>
      </c>
      <c r="R173" s="3">
        <f t="shared" si="13"/>
        <v>0</v>
      </c>
      <c r="S173" s="3">
        <f t="shared" si="14"/>
        <v>24087.010000000009</v>
      </c>
      <c r="T173" s="24"/>
      <c r="U173" s="24" t="s">
        <v>1081</v>
      </c>
      <c r="V173" s="3"/>
      <c r="W173" s="19" t="str">
        <f>IFERROR(VLOOKUP(Banco_Nacion[[#This Row],[RESPONSABLE]],Clientes_Proveedores[[Ruc / Dni]:[Razon Social]],2,0),"")</f>
        <v>CORPORACION ACEROS AREQUIPA S.A</v>
      </c>
      <c r="X173" s="19" t="str">
        <f>IF(Banco_Nacion[[#This Row],[TIPO DE MOV.]]="INGRESO",Banco_Nacion[[#This Row],[SERIE]]&amp;Banco_Nacion[[#This Row],[NUMERO]]&amp;Banco_Nacion[[#This Row],[RESPONSABLE]]&amp;Banco_Nacion[[#This Row],[MONTO ]],"")</f>
        <v>E0011520370146994124</v>
      </c>
      <c r="Y17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69942509</v>
      </c>
      <c r="Z173" s="3"/>
      <c r="AA173" s="3"/>
      <c r="AB173" s="24" t="str">
        <f>IF(Banco_Nacion[[#This Row],[FECHA]]&gt;0,TEXT(Banco_Nacion[[#This Row],[FECHA]],"mmmm"),0)</f>
        <v>Marzo</v>
      </c>
    </row>
    <row r="174" spans="2:28" x14ac:dyDescent="0.3">
      <c r="B174" s="2">
        <f>IF(Banco_Nacion[[#This Row],[TIPO DE R.]]="R",COUNTIFS($D$4:$D173,"R")+1,"")</f>
        <v>170</v>
      </c>
      <c r="C174" s="19" t="str">
        <f t="shared" si="10"/>
        <v>B-Banco de la Nacion</v>
      </c>
      <c r="D174" s="3" t="s">
        <v>1074</v>
      </c>
      <c r="E174" s="14">
        <v>45730</v>
      </c>
      <c r="F174" s="5">
        <v>20133208292</v>
      </c>
      <c r="G174" s="5" t="s">
        <v>1087</v>
      </c>
      <c r="H174" s="6" t="s">
        <v>368</v>
      </c>
      <c r="I174" s="6" t="s">
        <v>14</v>
      </c>
      <c r="J174" s="6" t="s">
        <v>1088</v>
      </c>
      <c r="K174" s="6">
        <v>554</v>
      </c>
      <c r="L174" s="7" t="s">
        <v>4290</v>
      </c>
      <c r="M174" s="8">
        <v>69977993</v>
      </c>
      <c r="N174" s="8" t="str">
        <f t="shared" si="11"/>
        <v>PEN</v>
      </c>
      <c r="O174" s="13"/>
      <c r="P174" s="13">
        <v>1172</v>
      </c>
      <c r="Q174" s="3">
        <f t="shared" si="12"/>
        <v>1172</v>
      </c>
      <c r="R174" s="3">
        <f t="shared" si="13"/>
        <v>0</v>
      </c>
      <c r="S174" s="3">
        <f t="shared" si="14"/>
        <v>25259.010000000009</v>
      </c>
      <c r="T174" s="24"/>
      <c r="U174" s="24" t="s">
        <v>1081</v>
      </c>
      <c r="V174" s="3"/>
      <c r="W174" s="19" t="str">
        <f>IFERROR(VLOOKUP(Banco_Nacion[[#This Row],[RESPONSABLE]],Clientes_Proveedores[[Ruc / Dni]:[Razon Social]],2,0),"")</f>
        <v>COMANDO SOCIEDAD ANONIMA CERRADA</v>
      </c>
      <c r="X174" s="19" t="str">
        <f>IF(Banco_Nacion[[#This Row],[TIPO DE MOV.]]="INGRESO",Banco_Nacion[[#This Row],[SERIE]]&amp;Banco_Nacion[[#This Row],[NUMERO]]&amp;Banco_Nacion[[#This Row],[RESPONSABLE]]&amp;Banco_Nacion[[#This Row],[MONTO ]],"")</f>
        <v>FE01554201332082921172</v>
      </c>
      <c r="Y17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69977993</v>
      </c>
      <c r="Z174" s="3"/>
      <c r="AA174" s="3"/>
      <c r="AB174" s="24" t="str">
        <f>IF(Banco_Nacion[[#This Row],[FECHA]]&gt;0,TEXT(Banco_Nacion[[#This Row],[FECHA]],"mmmm"),0)</f>
        <v>Marzo</v>
      </c>
    </row>
    <row r="175" spans="2:28" x14ac:dyDescent="0.3">
      <c r="B175" s="2">
        <f>IF(Banco_Nacion[[#This Row],[TIPO DE R.]]="R",COUNTIFS($D$4:$D174,"R")+1,"")</f>
        <v>171</v>
      </c>
      <c r="C175" s="19" t="str">
        <f t="shared" si="10"/>
        <v>B-Banco de la Nacion</v>
      </c>
      <c r="D175" s="3" t="s">
        <v>1074</v>
      </c>
      <c r="E175" s="14">
        <v>45733</v>
      </c>
      <c r="F175" s="5">
        <v>20100211115</v>
      </c>
      <c r="G175" s="5" t="s">
        <v>1087</v>
      </c>
      <c r="H175" s="6" t="s">
        <v>368</v>
      </c>
      <c r="I175" s="6" t="s">
        <v>14</v>
      </c>
      <c r="J175" s="6" t="s">
        <v>1088</v>
      </c>
      <c r="K175" s="6">
        <v>588</v>
      </c>
      <c r="L175" s="7" t="s">
        <v>4290</v>
      </c>
      <c r="M175" s="8">
        <v>70026980</v>
      </c>
      <c r="N175" s="8" t="str">
        <f t="shared" si="11"/>
        <v>PEN</v>
      </c>
      <c r="O175" s="13"/>
      <c r="P175" s="13">
        <v>780</v>
      </c>
      <c r="Q175" s="3">
        <f t="shared" si="12"/>
        <v>780</v>
      </c>
      <c r="R175" s="3">
        <f t="shared" si="13"/>
        <v>0</v>
      </c>
      <c r="S175" s="3">
        <f t="shared" si="14"/>
        <v>26039.010000000009</v>
      </c>
      <c r="T175" s="24"/>
      <c r="U175" s="24" t="s">
        <v>1081</v>
      </c>
      <c r="V175" s="3"/>
      <c r="W175" s="19" t="str">
        <f>IFERROR(VLOOKUP(Banco_Nacion[[#This Row],[RESPONSABLE]],Clientes_Proveedores[[Ruc / Dni]:[Razon Social]],2,0),"")</f>
        <v>FAB DE CHOCOLATES LA IBERICA S.A.</v>
      </c>
      <c r="X175" s="19" t="str">
        <f>IF(Banco_Nacion[[#This Row],[TIPO DE MOV.]]="INGRESO",Banco_Nacion[[#This Row],[SERIE]]&amp;Banco_Nacion[[#This Row],[NUMERO]]&amp;Banco_Nacion[[#This Row],[RESPONSABLE]]&amp;Banco_Nacion[[#This Row],[MONTO ]],"")</f>
        <v>FE0158820100211115780</v>
      </c>
      <c r="Y17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70026980</v>
      </c>
      <c r="Z175" s="3"/>
      <c r="AA175" s="3"/>
      <c r="AB175" s="24" t="str">
        <f>IF(Banco_Nacion[[#This Row],[FECHA]]&gt;0,TEXT(Banco_Nacion[[#This Row],[FECHA]],"mmmm"),0)</f>
        <v>Marzo</v>
      </c>
    </row>
    <row r="176" spans="2:28" x14ac:dyDescent="0.3">
      <c r="B176" s="2">
        <f>IF(Banco_Nacion[[#This Row],[TIPO DE R.]]="R",COUNTIFS($D$4:$D175,"R")+1,"")</f>
        <v>172</v>
      </c>
      <c r="C176" s="19" t="str">
        <f t="shared" si="10"/>
        <v>B-Banco de la Nacion</v>
      </c>
      <c r="D176" s="3" t="s">
        <v>1074</v>
      </c>
      <c r="E176" s="14">
        <v>45733</v>
      </c>
      <c r="F176" s="5">
        <v>20100211115</v>
      </c>
      <c r="G176" s="5" t="s">
        <v>1087</v>
      </c>
      <c r="H176" s="6" t="s">
        <v>368</v>
      </c>
      <c r="I176" s="6" t="s">
        <v>14</v>
      </c>
      <c r="J176" s="6" t="s">
        <v>1088</v>
      </c>
      <c r="K176" s="6">
        <v>589</v>
      </c>
      <c r="L176" s="7" t="s">
        <v>4290</v>
      </c>
      <c r="M176" s="8">
        <v>70026979</v>
      </c>
      <c r="N176" s="8" t="str">
        <f t="shared" si="11"/>
        <v>PEN</v>
      </c>
      <c r="O176" s="13"/>
      <c r="P176" s="13">
        <v>188</v>
      </c>
      <c r="Q176" s="3">
        <f t="shared" si="12"/>
        <v>188</v>
      </c>
      <c r="R176" s="3">
        <f t="shared" si="13"/>
        <v>0</v>
      </c>
      <c r="S176" s="3">
        <f t="shared" si="14"/>
        <v>26227.010000000009</v>
      </c>
      <c r="T176" s="24"/>
      <c r="U176" s="24" t="s">
        <v>1081</v>
      </c>
      <c r="V176" s="3"/>
      <c r="W176" s="19" t="str">
        <f>IFERROR(VLOOKUP(Banco_Nacion[[#This Row],[RESPONSABLE]],Clientes_Proveedores[[Ruc / Dni]:[Razon Social]],2,0),"")</f>
        <v>FAB DE CHOCOLATES LA IBERICA S.A.</v>
      </c>
      <c r="X176" s="19" t="str">
        <f>IF(Banco_Nacion[[#This Row],[TIPO DE MOV.]]="INGRESO",Banco_Nacion[[#This Row],[SERIE]]&amp;Banco_Nacion[[#This Row],[NUMERO]]&amp;Banco_Nacion[[#This Row],[RESPONSABLE]]&amp;Banco_Nacion[[#This Row],[MONTO ]],"")</f>
        <v>FE0158920100211115188</v>
      </c>
      <c r="Y17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70026979</v>
      </c>
      <c r="Z176" s="3"/>
      <c r="AA176" s="3"/>
      <c r="AB176" s="24" t="str">
        <f>IF(Banco_Nacion[[#This Row],[FECHA]]&gt;0,TEXT(Banco_Nacion[[#This Row],[FECHA]],"mmmm"),0)</f>
        <v>Marzo</v>
      </c>
    </row>
    <row r="177" spans="2:28" x14ac:dyDescent="0.3">
      <c r="B177" s="2">
        <f>IF(Banco_Nacion[[#This Row],[TIPO DE R.]]="R",COUNTIFS($D$4:$D176,"R")+1,"")</f>
        <v>173</v>
      </c>
      <c r="C177" s="19" t="str">
        <f t="shared" si="10"/>
        <v>B-Banco de la Nacion</v>
      </c>
      <c r="D177" s="3" t="s">
        <v>1074</v>
      </c>
      <c r="E177" s="14">
        <v>45734</v>
      </c>
      <c r="F177" s="5">
        <v>20141637941</v>
      </c>
      <c r="G177" s="5" t="s">
        <v>1087</v>
      </c>
      <c r="H177" s="6" t="s">
        <v>368</v>
      </c>
      <c r="I177" s="6" t="s">
        <v>14</v>
      </c>
      <c r="J177" s="6" t="s">
        <v>1088</v>
      </c>
      <c r="K177" s="6">
        <v>557</v>
      </c>
      <c r="L177" s="7" t="s">
        <v>4290</v>
      </c>
      <c r="M177" s="8">
        <v>70101947</v>
      </c>
      <c r="N177" s="8" t="str">
        <f t="shared" si="11"/>
        <v>PEN</v>
      </c>
      <c r="O177" s="13"/>
      <c r="P177" s="13">
        <v>175</v>
      </c>
      <c r="Q177" s="3">
        <f t="shared" si="12"/>
        <v>175</v>
      </c>
      <c r="R177" s="3">
        <f t="shared" si="13"/>
        <v>0</v>
      </c>
      <c r="S177" s="3">
        <f t="shared" si="14"/>
        <v>26402.010000000009</v>
      </c>
      <c r="T177" s="24"/>
      <c r="U177" s="24" t="s">
        <v>1081</v>
      </c>
      <c r="V177" s="3"/>
      <c r="W177" s="19" t="str">
        <f>IFERROR(VLOOKUP(Banco_Nacion[[#This Row],[RESPONSABLE]],Clientes_Proveedores[[Ruc / Dni]:[Razon Social]],2,0),"")</f>
        <v>UNIVERSIDAD CATOLICA DE SANTA MARIA</v>
      </c>
      <c r="X177" s="19" t="str">
        <f>IF(Banco_Nacion[[#This Row],[TIPO DE MOV.]]="INGRESO",Banco_Nacion[[#This Row],[SERIE]]&amp;Banco_Nacion[[#This Row],[NUMERO]]&amp;Banco_Nacion[[#This Row],[RESPONSABLE]]&amp;Banco_Nacion[[#This Row],[MONTO ]],"")</f>
        <v>FE0155720141637941175</v>
      </c>
      <c r="Y17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70101947</v>
      </c>
      <c r="Z177" s="3"/>
      <c r="AA177" s="3"/>
      <c r="AB177" s="24" t="str">
        <f>IF(Banco_Nacion[[#This Row],[FECHA]]&gt;0,TEXT(Banco_Nacion[[#This Row],[FECHA]],"mmmm"),0)</f>
        <v>Marzo</v>
      </c>
    </row>
    <row r="178" spans="2:28" x14ac:dyDescent="0.3">
      <c r="B178" s="2">
        <f>IF(Banco_Nacion[[#This Row],[TIPO DE R.]]="R",COUNTIFS($D$4:$D177,"R")+1,"")</f>
        <v>174</v>
      </c>
      <c r="C178" s="19" t="str">
        <f t="shared" si="10"/>
        <v>B-Banco de la Nacion</v>
      </c>
      <c r="D178" s="3" t="s">
        <v>1074</v>
      </c>
      <c r="E178" s="14">
        <v>45734</v>
      </c>
      <c r="F178" s="5">
        <v>20498309713</v>
      </c>
      <c r="G178" s="5" t="s">
        <v>1087</v>
      </c>
      <c r="H178" s="6" t="s">
        <v>368</v>
      </c>
      <c r="I178" s="6" t="s">
        <v>14</v>
      </c>
      <c r="J178" s="6" t="s">
        <v>1097</v>
      </c>
      <c r="K178" s="6">
        <v>207</v>
      </c>
      <c r="L178" s="7" t="s">
        <v>4290</v>
      </c>
      <c r="M178" s="8">
        <v>70087956</v>
      </c>
      <c r="N178" s="8" t="str">
        <f t="shared" si="11"/>
        <v>PEN</v>
      </c>
      <c r="O178" s="13"/>
      <c r="P178" s="13">
        <v>118</v>
      </c>
      <c r="Q178" s="3">
        <f t="shared" si="12"/>
        <v>118</v>
      </c>
      <c r="R178" s="3">
        <f t="shared" si="13"/>
        <v>0</v>
      </c>
      <c r="S178" s="3">
        <f t="shared" si="14"/>
        <v>26520.010000000009</v>
      </c>
      <c r="T178" s="24"/>
      <c r="U178" s="24" t="s">
        <v>1081</v>
      </c>
      <c r="V178" s="3"/>
      <c r="W178" s="19" t="str">
        <f>IFERROR(VLOOKUP(Banco_Nacion[[#This Row],[RESPONSABLE]],Clientes_Proveedores[[Ruc / Dni]:[Razon Social]],2,0),"")</f>
        <v>SCOMAR S.R.L</v>
      </c>
      <c r="X178" s="19" t="str">
        <f>IF(Banco_Nacion[[#This Row],[TIPO DE MOV.]]="INGRESO",Banco_Nacion[[#This Row],[SERIE]]&amp;Banco_Nacion[[#This Row],[NUMERO]]&amp;Banco_Nacion[[#This Row],[RESPONSABLE]]&amp;Banco_Nacion[[#This Row],[MONTO ]],"")</f>
        <v>FE0220720498309713118</v>
      </c>
      <c r="Y17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70087956</v>
      </c>
      <c r="Z178" s="3"/>
      <c r="AA178" s="3"/>
      <c r="AB178" s="24" t="str">
        <f>IF(Banco_Nacion[[#This Row],[FECHA]]&gt;0,TEXT(Banco_Nacion[[#This Row],[FECHA]],"mmmm"),0)</f>
        <v>Marzo</v>
      </c>
    </row>
    <row r="179" spans="2:28" x14ac:dyDescent="0.3">
      <c r="B179" s="2">
        <f>IF(Banco_Nacion[[#This Row],[TIPO DE R.]]="R",COUNTIFS($D$4:$D178,"R")+1,"")</f>
        <v>175</v>
      </c>
      <c r="C179" s="19" t="str">
        <f t="shared" si="10"/>
        <v>B-Banco de la Nacion</v>
      </c>
      <c r="D179" s="3" t="s">
        <v>1074</v>
      </c>
      <c r="E179" s="14">
        <v>45734</v>
      </c>
      <c r="F179" s="5">
        <v>20601119600</v>
      </c>
      <c r="G179" s="5" t="s">
        <v>1087</v>
      </c>
      <c r="H179" s="6" t="s">
        <v>368</v>
      </c>
      <c r="I179" s="6" t="s">
        <v>14</v>
      </c>
      <c r="J179" s="6" t="s">
        <v>1121</v>
      </c>
      <c r="K179" s="6">
        <v>23</v>
      </c>
      <c r="L179" s="7" t="s">
        <v>4290</v>
      </c>
      <c r="M179" s="8">
        <v>26246937</v>
      </c>
      <c r="N179" s="8" t="str">
        <f t="shared" si="11"/>
        <v>PEN</v>
      </c>
      <c r="O179" s="13"/>
      <c r="P179" s="13">
        <v>99</v>
      </c>
      <c r="Q179" s="3">
        <f t="shared" si="12"/>
        <v>99</v>
      </c>
      <c r="R179" s="3">
        <f t="shared" si="13"/>
        <v>0</v>
      </c>
      <c r="S179" s="3">
        <f t="shared" si="14"/>
        <v>26619.010000000009</v>
      </c>
      <c r="T179" s="24"/>
      <c r="U179" s="24" t="s">
        <v>1081</v>
      </c>
      <c r="V179" s="3"/>
      <c r="W179" s="19" t="str">
        <f>IFERROR(VLOOKUP(Banco_Nacion[[#This Row],[RESPONSABLE]],Clientes_Proveedores[[Ruc / Dni]:[Razon Social]],2,0),"")</f>
        <v>INVERSIONES W.J.M. S.A.C.</v>
      </c>
      <c r="X179" s="19" t="str">
        <f>IF(Banco_Nacion[[#This Row],[TIPO DE MOV.]]="INGRESO",Banco_Nacion[[#This Row],[SERIE]]&amp;Banco_Nacion[[#This Row],[NUMERO]]&amp;Banco_Nacion[[#This Row],[RESPONSABLE]]&amp;Banco_Nacion[[#This Row],[MONTO ]],"")</f>
        <v>E001232060111960099</v>
      </c>
      <c r="Y17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26246937</v>
      </c>
      <c r="Z179" s="3"/>
      <c r="AA179" s="3"/>
      <c r="AB179" s="24" t="str">
        <f>IF(Banco_Nacion[[#This Row],[FECHA]]&gt;0,TEXT(Banco_Nacion[[#This Row],[FECHA]],"mmmm"),0)</f>
        <v>Marzo</v>
      </c>
    </row>
    <row r="180" spans="2:28" x14ac:dyDescent="0.3">
      <c r="B180" s="2">
        <f>IF(Banco_Nacion[[#This Row],[TIPO DE R.]]="R",COUNTIFS($D$4:$D179,"R")+1,"")</f>
        <v>176</v>
      </c>
      <c r="C180" s="19" t="str">
        <f t="shared" si="10"/>
        <v>B-Banco de la Nacion</v>
      </c>
      <c r="D180" s="3" t="s">
        <v>1074</v>
      </c>
      <c r="E180" s="14">
        <v>45735</v>
      </c>
      <c r="F180" s="5">
        <v>20505675836</v>
      </c>
      <c r="G180" s="5" t="s">
        <v>1087</v>
      </c>
      <c r="H180" s="6" t="s">
        <v>368</v>
      </c>
      <c r="I180" s="6" t="s">
        <v>14</v>
      </c>
      <c r="J180" s="6" t="s">
        <v>1088</v>
      </c>
      <c r="K180" s="6">
        <v>576</v>
      </c>
      <c r="L180" s="7" t="s">
        <v>4290</v>
      </c>
      <c r="M180" s="8">
        <v>70164598</v>
      </c>
      <c r="N180" s="8" t="str">
        <f t="shared" si="11"/>
        <v>PEN</v>
      </c>
      <c r="O180" s="13"/>
      <c r="P180" s="13">
        <v>1554</v>
      </c>
      <c r="Q180" s="3">
        <f t="shared" si="12"/>
        <v>1554</v>
      </c>
      <c r="R180" s="3">
        <f t="shared" si="13"/>
        <v>0</v>
      </c>
      <c r="S180" s="3">
        <f t="shared" si="14"/>
        <v>28173.010000000009</v>
      </c>
      <c r="T180" s="24"/>
      <c r="U180" s="24" t="s">
        <v>1081</v>
      </c>
      <c r="V180" s="3"/>
      <c r="W180" s="19" t="str">
        <f>IFERROR(VLOOKUP(Banco_Nacion[[#This Row],[RESPONSABLE]],Clientes_Proveedores[[Ruc / Dni]:[Razon Social]],2,0),"")</f>
        <v>FLSMIDTH S.A.C.</v>
      </c>
      <c r="X180" s="19" t="str">
        <f>IF(Banco_Nacion[[#This Row],[TIPO DE MOV.]]="INGRESO",Banco_Nacion[[#This Row],[SERIE]]&amp;Banco_Nacion[[#This Row],[NUMERO]]&amp;Banco_Nacion[[#This Row],[RESPONSABLE]]&amp;Banco_Nacion[[#This Row],[MONTO ]],"")</f>
        <v>FE01576205056758361554</v>
      </c>
      <c r="Y18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70164598</v>
      </c>
      <c r="Z180" s="3"/>
      <c r="AA180" s="3"/>
      <c r="AB180" s="24" t="str">
        <f>IF(Banco_Nacion[[#This Row],[FECHA]]&gt;0,TEXT(Banco_Nacion[[#This Row],[FECHA]],"mmmm"),0)</f>
        <v>Marzo</v>
      </c>
    </row>
    <row r="181" spans="2:28" x14ac:dyDescent="0.3">
      <c r="B181" s="2">
        <f>IF(Banco_Nacion[[#This Row],[TIPO DE R.]]="R",COUNTIFS($D$4:$D180,"R")+1,"")</f>
        <v>177</v>
      </c>
      <c r="C181" s="19" t="str">
        <f t="shared" si="10"/>
        <v>B-Banco de la Nacion</v>
      </c>
      <c r="D181" s="3" t="s">
        <v>1074</v>
      </c>
      <c r="E181" s="14">
        <v>45735</v>
      </c>
      <c r="F181" s="5">
        <v>20505675836</v>
      </c>
      <c r="G181" s="5" t="s">
        <v>1087</v>
      </c>
      <c r="H181" s="6" t="s">
        <v>368</v>
      </c>
      <c r="I181" s="6" t="s">
        <v>14</v>
      </c>
      <c r="J181" s="6" t="s">
        <v>1088</v>
      </c>
      <c r="K181" s="6">
        <v>573</v>
      </c>
      <c r="L181" s="7" t="s">
        <v>4290</v>
      </c>
      <c r="M181" s="8">
        <v>70164597</v>
      </c>
      <c r="N181" s="8" t="str">
        <f t="shared" si="11"/>
        <v>PEN</v>
      </c>
      <c r="O181" s="13"/>
      <c r="P181" s="13">
        <v>24</v>
      </c>
      <c r="Q181" s="3">
        <f t="shared" si="12"/>
        <v>24</v>
      </c>
      <c r="R181" s="3">
        <f t="shared" si="13"/>
        <v>0</v>
      </c>
      <c r="S181" s="3">
        <f t="shared" si="14"/>
        <v>28197.010000000009</v>
      </c>
      <c r="T181" s="24"/>
      <c r="U181" s="24" t="s">
        <v>1081</v>
      </c>
      <c r="V181" s="3"/>
      <c r="W181" s="19" t="str">
        <f>IFERROR(VLOOKUP(Banco_Nacion[[#This Row],[RESPONSABLE]],Clientes_Proveedores[[Ruc / Dni]:[Razon Social]],2,0),"")</f>
        <v>FLSMIDTH S.A.C.</v>
      </c>
      <c r="X181" s="19" t="str">
        <f>IF(Banco_Nacion[[#This Row],[TIPO DE MOV.]]="INGRESO",Banco_Nacion[[#This Row],[SERIE]]&amp;Banco_Nacion[[#This Row],[NUMERO]]&amp;Banco_Nacion[[#This Row],[RESPONSABLE]]&amp;Banco_Nacion[[#This Row],[MONTO ]],"")</f>
        <v>FE015732050567583624</v>
      </c>
      <c r="Y18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70164597</v>
      </c>
      <c r="Z181" s="3"/>
      <c r="AA181" s="3"/>
      <c r="AB181" s="24" t="str">
        <f>IF(Banco_Nacion[[#This Row],[FECHA]]&gt;0,TEXT(Banco_Nacion[[#This Row],[FECHA]],"mmmm"),0)</f>
        <v>Marzo</v>
      </c>
    </row>
    <row r="182" spans="2:28" x14ac:dyDescent="0.3">
      <c r="B182" s="2">
        <f>IF(Banco_Nacion[[#This Row],[TIPO DE R.]]="R",COUNTIFS($D$4:$D181,"R")+1,"")</f>
        <v>178</v>
      </c>
      <c r="C182" s="19" t="str">
        <f t="shared" si="10"/>
        <v>B-Banco de la Nacion</v>
      </c>
      <c r="D182" s="3" t="s">
        <v>1074</v>
      </c>
      <c r="E182" s="14">
        <v>45735</v>
      </c>
      <c r="F182" s="5">
        <v>20505675836</v>
      </c>
      <c r="G182" s="5" t="s">
        <v>1087</v>
      </c>
      <c r="H182" s="6" t="s">
        <v>368</v>
      </c>
      <c r="I182" s="6" t="s">
        <v>14</v>
      </c>
      <c r="J182" s="6" t="s">
        <v>1088</v>
      </c>
      <c r="K182" s="6">
        <v>572</v>
      </c>
      <c r="L182" s="7" t="s">
        <v>4290</v>
      </c>
      <c r="M182" s="8">
        <v>70164596</v>
      </c>
      <c r="N182" s="8" t="str">
        <f t="shared" si="11"/>
        <v>PEN</v>
      </c>
      <c r="O182" s="13"/>
      <c r="P182" s="13">
        <v>970</v>
      </c>
      <c r="Q182" s="3">
        <f t="shared" si="12"/>
        <v>970</v>
      </c>
      <c r="R182" s="3">
        <f t="shared" si="13"/>
        <v>0</v>
      </c>
      <c r="S182" s="3">
        <f t="shared" si="14"/>
        <v>29167.010000000009</v>
      </c>
      <c r="T182" s="24"/>
      <c r="U182" s="24" t="s">
        <v>1081</v>
      </c>
      <c r="V182" s="3"/>
      <c r="W182" s="19" t="str">
        <f>IFERROR(VLOOKUP(Banco_Nacion[[#This Row],[RESPONSABLE]],Clientes_Proveedores[[Ruc / Dni]:[Razon Social]],2,0),"")</f>
        <v>FLSMIDTH S.A.C.</v>
      </c>
      <c r="X182" s="19" t="str">
        <f>IF(Banco_Nacion[[#This Row],[TIPO DE MOV.]]="INGRESO",Banco_Nacion[[#This Row],[SERIE]]&amp;Banco_Nacion[[#This Row],[NUMERO]]&amp;Banco_Nacion[[#This Row],[RESPONSABLE]]&amp;Banco_Nacion[[#This Row],[MONTO ]],"")</f>
        <v>FE0157220505675836970</v>
      </c>
      <c r="Y18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70164596</v>
      </c>
      <c r="Z182" s="3"/>
      <c r="AA182" s="3"/>
      <c r="AB182" s="24" t="str">
        <f>IF(Banco_Nacion[[#This Row],[FECHA]]&gt;0,TEXT(Banco_Nacion[[#This Row],[FECHA]],"mmmm"),0)</f>
        <v>Marzo</v>
      </c>
    </row>
    <row r="183" spans="2:28" x14ac:dyDescent="0.3">
      <c r="B183" s="2">
        <f>IF(Banco_Nacion[[#This Row],[TIPO DE R.]]="R",COUNTIFS($D$4:$D182,"R")+1,"")</f>
        <v>179</v>
      </c>
      <c r="C183" s="19" t="str">
        <f t="shared" si="10"/>
        <v>B-Banco de la Nacion</v>
      </c>
      <c r="D183" s="3" t="s">
        <v>1074</v>
      </c>
      <c r="E183" s="14">
        <v>45735</v>
      </c>
      <c r="F183" s="5">
        <v>20505675836</v>
      </c>
      <c r="G183" s="5" t="s">
        <v>1087</v>
      </c>
      <c r="H183" s="6" t="s">
        <v>368</v>
      </c>
      <c r="I183" s="6" t="s">
        <v>14</v>
      </c>
      <c r="J183" s="6" t="s">
        <v>1088</v>
      </c>
      <c r="K183" s="6">
        <v>571</v>
      </c>
      <c r="L183" s="7" t="s">
        <v>4290</v>
      </c>
      <c r="M183" s="8">
        <v>70164595</v>
      </c>
      <c r="N183" s="8" t="str">
        <f t="shared" si="11"/>
        <v>PEN</v>
      </c>
      <c r="O183" s="13"/>
      <c r="P183" s="13">
        <v>3879</v>
      </c>
      <c r="Q183" s="3">
        <f t="shared" si="12"/>
        <v>3879</v>
      </c>
      <c r="R183" s="3">
        <f t="shared" si="13"/>
        <v>0</v>
      </c>
      <c r="S183" s="3">
        <f t="shared" si="14"/>
        <v>33046.010000000009</v>
      </c>
      <c r="T183" s="24"/>
      <c r="U183" s="24" t="s">
        <v>1081</v>
      </c>
      <c r="V183" s="3"/>
      <c r="W183" s="19" t="str">
        <f>IFERROR(VLOOKUP(Banco_Nacion[[#This Row],[RESPONSABLE]],Clientes_Proveedores[[Ruc / Dni]:[Razon Social]],2,0),"")</f>
        <v>FLSMIDTH S.A.C.</v>
      </c>
      <c r="X183" s="19" t="str">
        <f>IF(Banco_Nacion[[#This Row],[TIPO DE MOV.]]="INGRESO",Banco_Nacion[[#This Row],[SERIE]]&amp;Banco_Nacion[[#This Row],[NUMERO]]&amp;Banco_Nacion[[#This Row],[RESPONSABLE]]&amp;Banco_Nacion[[#This Row],[MONTO ]],"")</f>
        <v>FE01571205056758363879</v>
      </c>
      <c r="Y18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70164595</v>
      </c>
      <c r="Z183" s="3"/>
      <c r="AA183" s="3"/>
      <c r="AB183" s="24" t="str">
        <f>IF(Banco_Nacion[[#This Row],[FECHA]]&gt;0,TEXT(Banco_Nacion[[#This Row],[FECHA]],"mmmm"),0)</f>
        <v>Marzo</v>
      </c>
    </row>
    <row r="184" spans="2:28" x14ac:dyDescent="0.3">
      <c r="B184" s="2">
        <f>IF(Banco_Nacion[[#This Row],[TIPO DE R.]]="R",COUNTIFS($D$4:$D183,"R")+1,"")</f>
        <v>180</v>
      </c>
      <c r="C184" s="19" t="str">
        <f t="shared" si="10"/>
        <v>B-Banco de la Nacion</v>
      </c>
      <c r="D184" s="3" t="s">
        <v>1074</v>
      </c>
      <c r="E184" s="14">
        <v>45737</v>
      </c>
      <c r="F184" s="5">
        <v>20601119600</v>
      </c>
      <c r="G184" s="5" t="s">
        <v>1087</v>
      </c>
      <c r="H184" s="6" t="s">
        <v>368</v>
      </c>
      <c r="I184" s="6" t="s">
        <v>14</v>
      </c>
      <c r="J184" s="6" t="s">
        <v>1121</v>
      </c>
      <c r="K184" s="6">
        <v>30</v>
      </c>
      <c r="L184" s="7" t="s">
        <v>4290</v>
      </c>
      <c r="M184" s="8">
        <v>26261191</v>
      </c>
      <c r="N184" s="8" t="str">
        <f t="shared" si="11"/>
        <v>PEN</v>
      </c>
      <c r="O184" s="13"/>
      <c r="P184" s="13">
        <v>303</v>
      </c>
      <c r="Q184" s="3">
        <f t="shared" si="12"/>
        <v>303</v>
      </c>
      <c r="R184" s="3">
        <f t="shared" si="13"/>
        <v>0</v>
      </c>
      <c r="S184" s="3">
        <f t="shared" si="14"/>
        <v>33349.010000000009</v>
      </c>
      <c r="T184" s="24"/>
      <c r="U184" s="24" t="s">
        <v>1081</v>
      </c>
      <c r="V184" s="3"/>
      <c r="W184" s="19" t="str">
        <f>IFERROR(VLOOKUP(Banco_Nacion[[#This Row],[RESPONSABLE]],Clientes_Proveedores[[Ruc / Dni]:[Razon Social]],2,0),"")</f>
        <v>INVERSIONES W.J.M. S.A.C.</v>
      </c>
      <c r="X184" s="19" t="str">
        <f>IF(Banco_Nacion[[#This Row],[TIPO DE MOV.]]="INGRESO",Banco_Nacion[[#This Row],[SERIE]]&amp;Banco_Nacion[[#This Row],[NUMERO]]&amp;Banco_Nacion[[#This Row],[RESPONSABLE]]&amp;Banco_Nacion[[#This Row],[MONTO ]],"")</f>
        <v>E0013020601119600303</v>
      </c>
      <c r="Y18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26261191</v>
      </c>
      <c r="Z184" s="3"/>
      <c r="AA184" s="3"/>
      <c r="AB184" s="24" t="str">
        <f>IF(Banco_Nacion[[#This Row],[FECHA]]&gt;0,TEXT(Banco_Nacion[[#This Row],[FECHA]],"mmmm"),0)</f>
        <v>Marzo</v>
      </c>
    </row>
    <row r="185" spans="2:28" x14ac:dyDescent="0.3">
      <c r="B185" s="2">
        <f>IF(Banco_Nacion[[#This Row],[TIPO DE R.]]="R",COUNTIFS($D$4:$D184,"R")+1,"")</f>
        <v>181</v>
      </c>
      <c r="C185" s="19" t="str">
        <f t="shared" si="10"/>
        <v>B-Banco de la Nacion</v>
      </c>
      <c r="D185" s="3" t="s">
        <v>1074</v>
      </c>
      <c r="E185" s="14">
        <v>45737</v>
      </c>
      <c r="F185" s="5">
        <v>20601119600</v>
      </c>
      <c r="G185" s="5" t="s">
        <v>1087</v>
      </c>
      <c r="H185" s="6" t="s">
        <v>368</v>
      </c>
      <c r="I185" s="6" t="s">
        <v>14</v>
      </c>
      <c r="J185" s="6" t="s">
        <v>1121</v>
      </c>
      <c r="K185" s="6">
        <v>29</v>
      </c>
      <c r="L185" s="7" t="s">
        <v>4290</v>
      </c>
      <c r="M185" s="8">
        <v>26261148</v>
      </c>
      <c r="N185" s="8" t="str">
        <f t="shared" si="11"/>
        <v>PEN</v>
      </c>
      <c r="O185" s="13"/>
      <c r="P185" s="13">
        <v>274</v>
      </c>
      <c r="Q185" s="3">
        <f t="shared" si="12"/>
        <v>274</v>
      </c>
      <c r="R185" s="3">
        <f t="shared" si="13"/>
        <v>0</v>
      </c>
      <c r="S185" s="3">
        <f t="shared" si="14"/>
        <v>33623.010000000009</v>
      </c>
      <c r="T185" s="24"/>
      <c r="U185" s="24" t="s">
        <v>1081</v>
      </c>
      <c r="V185" s="3"/>
      <c r="W185" s="19" t="str">
        <f>IFERROR(VLOOKUP(Banco_Nacion[[#This Row],[RESPONSABLE]],Clientes_Proveedores[[Ruc / Dni]:[Razon Social]],2,0),"")</f>
        <v>INVERSIONES W.J.M. S.A.C.</v>
      </c>
      <c r="X185" s="19" t="str">
        <f>IF(Banco_Nacion[[#This Row],[TIPO DE MOV.]]="INGRESO",Banco_Nacion[[#This Row],[SERIE]]&amp;Banco_Nacion[[#This Row],[NUMERO]]&amp;Banco_Nacion[[#This Row],[RESPONSABLE]]&amp;Banco_Nacion[[#This Row],[MONTO ]],"")</f>
        <v>E0012920601119600274</v>
      </c>
      <c r="Y18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26261148</v>
      </c>
      <c r="Z185" s="3"/>
      <c r="AA185" s="3"/>
      <c r="AB185" s="24" t="str">
        <f>IF(Banco_Nacion[[#This Row],[FECHA]]&gt;0,TEXT(Banco_Nacion[[#This Row],[FECHA]],"mmmm"),0)</f>
        <v>Marzo</v>
      </c>
    </row>
    <row r="186" spans="2:28" x14ac:dyDescent="0.3">
      <c r="B186" s="2">
        <f>IF(Banco_Nacion[[#This Row],[TIPO DE R.]]="R",COUNTIFS($D$4:$D185,"R")+1,"")</f>
        <v>182</v>
      </c>
      <c r="C186" s="19" t="str">
        <f t="shared" si="10"/>
        <v>B-Banco de la Nacion</v>
      </c>
      <c r="D186" s="3" t="s">
        <v>1074</v>
      </c>
      <c r="E186" s="14">
        <v>45740</v>
      </c>
      <c r="F186" s="5">
        <v>20454186002</v>
      </c>
      <c r="G186" s="5" t="s">
        <v>1087</v>
      </c>
      <c r="H186" s="6" t="s">
        <v>368</v>
      </c>
      <c r="I186" s="6" t="s">
        <v>14</v>
      </c>
      <c r="J186" s="6" t="s">
        <v>1121</v>
      </c>
      <c r="K186" s="6">
        <v>18</v>
      </c>
      <c r="L186" s="7" t="s">
        <v>4290</v>
      </c>
      <c r="M186" s="8">
        <v>70451882</v>
      </c>
      <c r="N186" s="8" t="str">
        <f t="shared" si="11"/>
        <v>PEN</v>
      </c>
      <c r="O186" s="13"/>
      <c r="P186" s="13">
        <v>608</v>
      </c>
      <c r="Q186" s="3">
        <f t="shared" si="12"/>
        <v>608</v>
      </c>
      <c r="R186" s="3">
        <f t="shared" si="13"/>
        <v>0</v>
      </c>
      <c r="S186" s="3">
        <f t="shared" si="14"/>
        <v>34231.010000000009</v>
      </c>
      <c r="T186" s="24"/>
      <c r="U186" s="24"/>
      <c r="V186" s="3"/>
      <c r="W186" s="19" t="str">
        <f>IFERROR(VLOOKUP(Banco_Nacion[[#This Row],[RESPONSABLE]],Clientes_Proveedores[[Ruc / Dni]:[Razon Social]],2,0),"")</f>
        <v>ALSUR PERU S.A.C.</v>
      </c>
      <c r="X186" s="19" t="str">
        <f>IF(Banco_Nacion[[#This Row],[TIPO DE MOV.]]="INGRESO",Banco_Nacion[[#This Row],[SERIE]]&amp;Banco_Nacion[[#This Row],[NUMERO]]&amp;Banco_Nacion[[#This Row],[RESPONSABLE]]&amp;Banco_Nacion[[#This Row],[MONTO ]],"")</f>
        <v>E0011820454186002608</v>
      </c>
      <c r="Y18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70451882</v>
      </c>
      <c r="Z186" s="3"/>
      <c r="AA186" s="3"/>
      <c r="AB186" s="24" t="str">
        <f>IF(Banco_Nacion[[#This Row],[FECHA]]&gt;0,TEXT(Banco_Nacion[[#This Row],[FECHA]],"mmmm"),0)</f>
        <v>Marzo</v>
      </c>
    </row>
    <row r="187" spans="2:28" x14ac:dyDescent="0.3">
      <c r="B187" s="2">
        <f>IF(Banco_Nacion[[#This Row],[TIPO DE R.]]="R",COUNTIFS($D$4:$D186,"R")+1,"")</f>
        <v>183</v>
      </c>
      <c r="C187" s="19" t="str">
        <f t="shared" si="10"/>
        <v>B-Banco de la Nacion</v>
      </c>
      <c r="D187" s="3" t="s">
        <v>1074</v>
      </c>
      <c r="E187" s="14">
        <v>45740</v>
      </c>
      <c r="F187" s="5">
        <v>20454186002</v>
      </c>
      <c r="G187" s="5" t="s">
        <v>1087</v>
      </c>
      <c r="H187" s="6" t="s">
        <v>368</v>
      </c>
      <c r="I187" s="6" t="s">
        <v>14</v>
      </c>
      <c r="J187" s="6" t="s">
        <v>1121</v>
      </c>
      <c r="K187" s="6">
        <v>35</v>
      </c>
      <c r="L187" s="7" t="s">
        <v>4290</v>
      </c>
      <c r="M187" s="8">
        <v>70451881</v>
      </c>
      <c r="N187" s="8" t="str">
        <f t="shared" si="11"/>
        <v>PEN</v>
      </c>
      <c r="O187" s="13"/>
      <c r="P187" s="13">
        <v>288</v>
      </c>
      <c r="Q187" s="3">
        <f t="shared" si="12"/>
        <v>288</v>
      </c>
      <c r="R187" s="3">
        <f t="shared" si="13"/>
        <v>0</v>
      </c>
      <c r="S187" s="3">
        <f t="shared" si="14"/>
        <v>34519.010000000009</v>
      </c>
      <c r="T187" s="24"/>
      <c r="U187" s="24" t="s">
        <v>1081</v>
      </c>
      <c r="V187" s="3"/>
      <c r="W187" s="19" t="str">
        <f>IFERROR(VLOOKUP(Banco_Nacion[[#This Row],[RESPONSABLE]],Clientes_Proveedores[[Ruc / Dni]:[Razon Social]],2,0),"")</f>
        <v>ALSUR PERU S.A.C.</v>
      </c>
      <c r="X187" s="19" t="str">
        <f>IF(Banco_Nacion[[#This Row],[TIPO DE MOV.]]="INGRESO",Banco_Nacion[[#This Row],[SERIE]]&amp;Banco_Nacion[[#This Row],[NUMERO]]&amp;Banco_Nacion[[#This Row],[RESPONSABLE]]&amp;Banco_Nacion[[#This Row],[MONTO ]],"")</f>
        <v>E0013520454186002288</v>
      </c>
      <c r="Y18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70451881</v>
      </c>
      <c r="Z187" s="3"/>
      <c r="AA187" s="3"/>
      <c r="AB187" s="24" t="str">
        <f>IF(Banco_Nacion[[#This Row],[FECHA]]&gt;0,TEXT(Banco_Nacion[[#This Row],[FECHA]],"mmmm"),0)</f>
        <v>Marzo</v>
      </c>
    </row>
    <row r="188" spans="2:28" x14ac:dyDescent="0.3">
      <c r="B188" s="2">
        <f>IF(Banco_Nacion[[#This Row],[TIPO DE R.]]="R",COUNTIFS($D$4:$D187,"R")+1,"")</f>
        <v>184</v>
      </c>
      <c r="C188" s="19" t="str">
        <f t="shared" si="10"/>
        <v>B-Banco de la Nacion</v>
      </c>
      <c r="D188" s="3" t="s">
        <v>1074</v>
      </c>
      <c r="E188" s="14">
        <v>45740</v>
      </c>
      <c r="F188" s="5">
        <v>20603577079</v>
      </c>
      <c r="G188" s="5" t="s">
        <v>1087</v>
      </c>
      <c r="H188" s="6" t="s">
        <v>368</v>
      </c>
      <c r="I188" s="6" t="s">
        <v>14</v>
      </c>
      <c r="J188" s="6" t="s">
        <v>1121</v>
      </c>
      <c r="K188" s="6">
        <v>12</v>
      </c>
      <c r="L188" s="7" t="s">
        <v>4290</v>
      </c>
      <c r="M188" s="8">
        <v>70421298</v>
      </c>
      <c r="N188" s="8" t="str">
        <f t="shared" si="11"/>
        <v>PEN</v>
      </c>
      <c r="O188" s="13"/>
      <c r="P188" s="13">
        <v>2220</v>
      </c>
      <c r="Q188" s="3">
        <f t="shared" si="12"/>
        <v>2220</v>
      </c>
      <c r="R188" s="3">
        <f t="shared" si="13"/>
        <v>0</v>
      </c>
      <c r="S188" s="3">
        <f t="shared" si="14"/>
        <v>36739.010000000009</v>
      </c>
      <c r="T188" s="24"/>
      <c r="U188" s="24"/>
      <c r="V188" s="3"/>
      <c r="W188" s="19" t="str">
        <f>IFERROR(VLOOKUP(Banco_Nacion[[#This Row],[RESPONSABLE]],Clientes_Proveedores[[Ruc / Dni]:[Razon Social]],2,0),"")</f>
        <v>ENVASES CAROLINA S.A.C.</v>
      </c>
      <c r="X188" s="19" t="str">
        <f>IF(Banco_Nacion[[#This Row],[TIPO DE MOV.]]="INGRESO",Banco_Nacion[[#This Row],[SERIE]]&amp;Banco_Nacion[[#This Row],[NUMERO]]&amp;Banco_Nacion[[#This Row],[RESPONSABLE]]&amp;Banco_Nacion[[#This Row],[MONTO ]],"")</f>
        <v>E00112206035770792220</v>
      </c>
      <c r="Y18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70421298</v>
      </c>
      <c r="Z188" s="3"/>
      <c r="AA188" s="3"/>
      <c r="AB188" s="24" t="str">
        <f>IF(Banco_Nacion[[#This Row],[FECHA]]&gt;0,TEXT(Banco_Nacion[[#This Row],[FECHA]],"mmmm"),0)</f>
        <v>Marzo</v>
      </c>
    </row>
    <row r="189" spans="2:28" x14ac:dyDescent="0.3">
      <c r="B189" s="2">
        <f>IF(Banco_Nacion[[#This Row],[TIPO DE R.]]="R",COUNTIFS($D$4:$D188,"R")+1,"")</f>
        <v>185</v>
      </c>
      <c r="C189" s="19" t="str">
        <f t="shared" si="10"/>
        <v>B-Banco de la Nacion</v>
      </c>
      <c r="D189" s="3" t="s">
        <v>1074</v>
      </c>
      <c r="E189" s="14">
        <v>45740</v>
      </c>
      <c r="F189" s="5">
        <v>20603577079</v>
      </c>
      <c r="G189" s="5" t="s">
        <v>1087</v>
      </c>
      <c r="H189" s="6" t="s">
        <v>368</v>
      </c>
      <c r="I189" s="6" t="s">
        <v>14</v>
      </c>
      <c r="J189" s="6" t="s">
        <v>1097</v>
      </c>
      <c r="K189" s="6">
        <v>202</v>
      </c>
      <c r="L189" s="7" t="s">
        <v>4290</v>
      </c>
      <c r="M189" s="8">
        <v>70421297</v>
      </c>
      <c r="N189" s="8" t="str">
        <f t="shared" si="11"/>
        <v>PEN</v>
      </c>
      <c r="O189" s="13"/>
      <c r="P189" s="13">
        <v>759</v>
      </c>
      <c r="Q189" s="3">
        <f t="shared" si="12"/>
        <v>759</v>
      </c>
      <c r="R189" s="3">
        <f t="shared" si="13"/>
        <v>0</v>
      </c>
      <c r="S189" s="3">
        <f t="shared" si="14"/>
        <v>37498.010000000009</v>
      </c>
      <c r="T189" s="24"/>
      <c r="U189" s="24"/>
      <c r="V189" s="3"/>
      <c r="W189" s="19" t="str">
        <f>IFERROR(VLOOKUP(Banco_Nacion[[#This Row],[RESPONSABLE]],Clientes_Proveedores[[Ruc / Dni]:[Razon Social]],2,0),"")</f>
        <v>ENVASES CAROLINA S.A.C.</v>
      </c>
      <c r="X189" s="19" t="str">
        <f>IF(Banco_Nacion[[#This Row],[TIPO DE MOV.]]="INGRESO",Banco_Nacion[[#This Row],[SERIE]]&amp;Banco_Nacion[[#This Row],[NUMERO]]&amp;Banco_Nacion[[#This Row],[RESPONSABLE]]&amp;Banco_Nacion[[#This Row],[MONTO ]],"")</f>
        <v>FE0220220603577079759</v>
      </c>
      <c r="Y18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70421297</v>
      </c>
      <c r="Z189" s="3"/>
      <c r="AA189" s="3"/>
      <c r="AB189" s="24" t="str">
        <f>IF(Banco_Nacion[[#This Row],[FECHA]]&gt;0,TEXT(Banco_Nacion[[#This Row],[FECHA]],"mmmm"),0)</f>
        <v>Marzo</v>
      </c>
    </row>
    <row r="190" spans="2:28" x14ac:dyDescent="0.3">
      <c r="B190" s="2">
        <f>IF(Banco_Nacion[[#This Row],[TIPO DE R.]]="R",COUNTIFS($D$4:$D189,"R")+1,"")</f>
        <v>186</v>
      </c>
      <c r="C190" s="19" t="str">
        <f t="shared" si="10"/>
        <v>B-Banco de la Nacion</v>
      </c>
      <c r="D190" s="3" t="s">
        <v>1074</v>
      </c>
      <c r="E190" s="14">
        <v>45740</v>
      </c>
      <c r="F190" s="5">
        <v>20456012427</v>
      </c>
      <c r="G190" s="5" t="s">
        <v>1087</v>
      </c>
      <c r="H190" s="6" t="s">
        <v>368</v>
      </c>
      <c r="I190" s="6" t="s">
        <v>14</v>
      </c>
      <c r="J190" s="6" t="s">
        <v>1088</v>
      </c>
      <c r="K190" s="6">
        <v>582</v>
      </c>
      <c r="L190" s="7" t="s">
        <v>4290</v>
      </c>
      <c r="M190" s="8">
        <v>70421296</v>
      </c>
      <c r="N190" s="8" t="str">
        <f t="shared" si="11"/>
        <v>PEN</v>
      </c>
      <c r="O190" s="13"/>
      <c r="P190" s="13">
        <v>112</v>
      </c>
      <c r="Q190" s="3">
        <f t="shared" si="12"/>
        <v>112</v>
      </c>
      <c r="R190" s="3">
        <f t="shared" si="13"/>
        <v>0</v>
      </c>
      <c r="S190" s="3">
        <f t="shared" si="14"/>
        <v>37610.010000000009</v>
      </c>
      <c r="T190" s="24"/>
      <c r="U190" s="24" t="s">
        <v>1081</v>
      </c>
      <c r="V190" s="3"/>
      <c r="W190" s="19" t="str">
        <f>IFERROR(VLOOKUP(Banco_Nacion[[#This Row],[RESPONSABLE]],Clientes_Proveedores[[Ruc / Dni]:[Razon Social]],2,0),"")</f>
        <v>J. CH. COMERCIALIZADORA DE RESIDUOS SOLIDOS S.R.L.</v>
      </c>
      <c r="X190" s="19" t="str">
        <f>IF(Banco_Nacion[[#This Row],[TIPO DE MOV.]]="INGRESO",Banco_Nacion[[#This Row],[SERIE]]&amp;Banco_Nacion[[#This Row],[NUMERO]]&amp;Banco_Nacion[[#This Row],[RESPONSABLE]]&amp;Banco_Nacion[[#This Row],[MONTO ]],"")</f>
        <v>FE0158220456012427112</v>
      </c>
      <c r="Y19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70421296</v>
      </c>
      <c r="Z190" s="3"/>
      <c r="AA190" s="3"/>
      <c r="AB190" s="24" t="str">
        <f>IF(Banco_Nacion[[#This Row],[FECHA]]&gt;0,TEXT(Banco_Nacion[[#This Row],[FECHA]],"mmmm"),0)</f>
        <v>Marzo</v>
      </c>
    </row>
    <row r="191" spans="2:28" x14ac:dyDescent="0.3">
      <c r="B191" s="2">
        <f>IF(Banco_Nacion[[#This Row],[TIPO DE R.]]="R",COUNTIFS($D$4:$D190,"R")+1,"")</f>
        <v>187</v>
      </c>
      <c r="C191" s="19" t="str">
        <f t="shared" si="10"/>
        <v>B-Banco de la Nacion</v>
      </c>
      <c r="D191" s="3" t="s">
        <v>1074</v>
      </c>
      <c r="E191" s="14">
        <v>45740</v>
      </c>
      <c r="F191" s="5">
        <v>20601045835</v>
      </c>
      <c r="G191" s="5" t="s">
        <v>1087</v>
      </c>
      <c r="H191" s="6" t="s">
        <v>368</v>
      </c>
      <c r="I191" s="6" t="s">
        <v>14</v>
      </c>
      <c r="J191" s="6" t="s">
        <v>1088</v>
      </c>
      <c r="K191" s="6">
        <v>575</v>
      </c>
      <c r="L191" s="7" t="s">
        <v>4290</v>
      </c>
      <c r="M191" s="8">
        <v>70421295</v>
      </c>
      <c r="N191" s="8" t="str">
        <f t="shared" si="11"/>
        <v>PEN</v>
      </c>
      <c r="O191" s="13"/>
      <c r="P191" s="13">
        <v>180</v>
      </c>
      <c r="Q191" s="3">
        <f t="shared" si="12"/>
        <v>180</v>
      </c>
      <c r="R191" s="3">
        <f t="shared" si="13"/>
        <v>0</v>
      </c>
      <c r="S191" s="3">
        <f t="shared" si="14"/>
        <v>37790.010000000009</v>
      </c>
      <c r="T191" s="24"/>
      <c r="U191" s="24"/>
      <c r="V191" s="3"/>
      <c r="W191" s="19" t="str">
        <f>IFERROR(VLOOKUP(Banco_Nacion[[#This Row],[RESPONSABLE]],Clientes_Proveedores[[Ruc / Dni]:[Razon Social]],2,0),"")</f>
        <v>P &amp; P CONSULTORES Y EJECUTORES S.R.L.</v>
      </c>
      <c r="X191" s="19" t="str">
        <f>IF(Banco_Nacion[[#This Row],[TIPO DE MOV.]]="INGRESO",Banco_Nacion[[#This Row],[SERIE]]&amp;Banco_Nacion[[#This Row],[NUMERO]]&amp;Banco_Nacion[[#This Row],[RESPONSABLE]]&amp;Banco_Nacion[[#This Row],[MONTO ]],"")</f>
        <v>FE0157520601045835180</v>
      </c>
      <c r="Y19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70421295</v>
      </c>
      <c r="Z191" s="3"/>
      <c r="AA191" s="3"/>
      <c r="AB191" s="24" t="str">
        <f>IF(Banco_Nacion[[#This Row],[FECHA]]&gt;0,TEXT(Banco_Nacion[[#This Row],[FECHA]],"mmmm"),0)</f>
        <v>Marzo</v>
      </c>
    </row>
    <row r="192" spans="2:28" x14ac:dyDescent="0.3">
      <c r="B192" s="2">
        <f>IF(Banco_Nacion[[#This Row],[TIPO DE R.]]="R",COUNTIFS($D$4:$D191,"R")+1,"")</f>
        <v>188</v>
      </c>
      <c r="C192" s="19" t="str">
        <f t="shared" si="10"/>
        <v>B-Banco de la Nacion</v>
      </c>
      <c r="D192" s="3" t="s">
        <v>1074</v>
      </c>
      <c r="E192" s="14">
        <v>45740</v>
      </c>
      <c r="F192" s="5">
        <v>20456012427</v>
      </c>
      <c r="G192" s="5" t="s">
        <v>1087</v>
      </c>
      <c r="H192" s="6" t="s">
        <v>368</v>
      </c>
      <c r="I192" s="6" t="s">
        <v>14</v>
      </c>
      <c r="J192" s="6" t="s">
        <v>1088</v>
      </c>
      <c r="K192" s="6">
        <v>491</v>
      </c>
      <c r="L192" s="7" t="s">
        <v>4290</v>
      </c>
      <c r="M192" s="8">
        <v>70421294</v>
      </c>
      <c r="N192" s="8" t="str">
        <f t="shared" si="11"/>
        <v>PEN</v>
      </c>
      <c r="O192" s="13"/>
      <c r="P192" s="13">
        <v>359</v>
      </c>
      <c r="Q192" s="3">
        <f t="shared" si="12"/>
        <v>359</v>
      </c>
      <c r="R192" s="3">
        <f t="shared" si="13"/>
        <v>0</v>
      </c>
      <c r="S192" s="3">
        <f t="shared" si="14"/>
        <v>38149.010000000009</v>
      </c>
      <c r="T192" s="24"/>
      <c r="U192" s="24"/>
      <c r="V192" s="3"/>
      <c r="W192" s="19" t="str">
        <f>IFERROR(VLOOKUP(Banco_Nacion[[#This Row],[RESPONSABLE]],Clientes_Proveedores[[Ruc / Dni]:[Razon Social]],2,0),"")</f>
        <v>J. CH. COMERCIALIZADORA DE RESIDUOS SOLIDOS S.R.L.</v>
      </c>
      <c r="X192" s="19" t="str">
        <f>IF(Banco_Nacion[[#This Row],[TIPO DE MOV.]]="INGRESO",Banco_Nacion[[#This Row],[SERIE]]&amp;Banco_Nacion[[#This Row],[NUMERO]]&amp;Banco_Nacion[[#This Row],[RESPONSABLE]]&amp;Banco_Nacion[[#This Row],[MONTO ]],"")</f>
        <v>FE0149120456012427359</v>
      </c>
      <c r="Y19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70421294</v>
      </c>
      <c r="Z192" s="3"/>
      <c r="AA192" s="3"/>
      <c r="AB192" s="24" t="str">
        <f>IF(Banco_Nacion[[#This Row],[FECHA]]&gt;0,TEXT(Banco_Nacion[[#This Row],[FECHA]],"mmmm"),0)</f>
        <v>Marzo</v>
      </c>
    </row>
    <row r="193" spans="2:28" x14ac:dyDescent="0.3">
      <c r="B193" s="2">
        <f>IF(Banco_Nacion[[#This Row],[TIPO DE R.]]="R",COUNTIFS($D$4:$D192,"R")+1,"")</f>
        <v>189</v>
      </c>
      <c r="C193" s="19" t="str">
        <f t="shared" si="10"/>
        <v>B-Banco de la Nacion</v>
      </c>
      <c r="D193" s="3" t="s">
        <v>1074</v>
      </c>
      <c r="E193" s="14">
        <v>45740</v>
      </c>
      <c r="F193" s="5">
        <v>20456012427</v>
      </c>
      <c r="G193" s="5" t="s">
        <v>1087</v>
      </c>
      <c r="H193" s="6" t="s">
        <v>368</v>
      </c>
      <c r="I193" s="6" t="s">
        <v>14</v>
      </c>
      <c r="J193" s="6" t="s">
        <v>1088</v>
      </c>
      <c r="K193" s="6">
        <v>373</v>
      </c>
      <c r="L193" s="7" t="s">
        <v>4290</v>
      </c>
      <c r="M193" s="8">
        <v>70421293</v>
      </c>
      <c r="N193" s="8" t="str">
        <f t="shared" si="11"/>
        <v>PEN</v>
      </c>
      <c r="O193" s="13"/>
      <c r="P193" s="13">
        <v>120</v>
      </c>
      <c r="Q193" s="3">
        <f t="shared" si="12"/>
        <v>120</v>
      </c>
      <c r="R193" s="3">
        <f t="shared" si="13"/>
        <v>0</v>
      </c>
      <c r="S193" s="3">
        <f t="shared" si="14"/>
        <v>38269.010000000009</v>
      </c>
      <c r="T193" s="24"/>
      <c r="U193" s="24"/>
      <c r="V193" s="3"/>
      <c r="W193" s="19" t="str">
        <f>IFERROR(VLOOKUP(Banco_Nacion[[#This Row],[RESPONSABLE]],Clientes_Proveedores[[Ruc / Dni]:[Razon Social]],2,0),"")</f>
        <v>J. CH. COMERCIALIZADORA DE RESIDUOS SOLIDOS S.R.L.</v>
      </c>
      <c r="X193" s="19" t="str">
        <f>IF(Banco_Nacion[[#This Row],[TIPO DE MOV.]]="INGRESO",Banco_Nacion[[#This Row],[SERIE]]&amp;Banco_Nacion[[#This Row],[NUMERO]]&amp;Banco_Nacion[[#This Row],[RESPONSABLE]]&amp;Banco_Nacion[[#This Row],[MONTO ]],"")</f>
        <v>FE0137320456012427120</v>
      </c>
      <c r="Y19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70421293</v>
      </c>
      <c r="Z193" s="3"/>
      <c r="AA193" s="3"/>
      <c r="AB193" s="24" t="str">
        <f>IF(Banco_Nacion[[#This Row],[FECHA]]&gt;0,TEXT(Banco_Nacion[[#This Row],[FECHA]],"mmmm"),0)</f>
        <v>Marzo</v>
      </c>
    </row>
    <row r="194" spans="2:28" x14ac:dyDescent="0.3">
      <c r="B194" s="2">
        <f>IF(Banco_Nacion[[#This Row],[TIPO DE R.]]="R",COUNTIFS($D$4:$D193,"R")+1,"")</f>
        <v>190</v>
      </c>
      <c r="C194" s="19" t="str">
        <f t="shared" si="10"/>
        <v>B-Banco de la Nacion</v>
      </c>
      <c r="D194" s="3" t="s">
        <v>1074</v>
      </c>
      <c r="E194" s="14">
        <v>45740</v>
      </c>
      <c r="F194" s="5"/>
      <c r="G194" s="5" t="s">
        <v>1079</v>
      </c>
      <c r="H194" s="6"/>
      <c r="I194" s="6"/>
      <c r="J194" s="6" t="s">
        <v>4289</v>
      </c>
      <c r="K194" s="6"/>
      <c r="L194" s="7" t="s">
        <v>4292</v>
      </c>
      <c r="M194" s="8">
        <v>78787878</v>
      </c>
      <c r="N194" s="8" t="str">
        <f t="shared" si="11"/>
        <v>PEN</v>
      </c>
      <c r="O194" s="13"/>
      <c r="P194" s="13">
        <v>2717</v>
      </c>
      <c r="Q194" s="3">
        <f t="shared" si="12"/>
        <v>0</v>
      </c>
      <c r="R194" s="3">
        <f t="shared" si="13"/>
        <v>2717</v>
      </c>
      <c r="S194" s="3">
        <f t="shared" si="14"/>
        <v>35552.010000000009</v>
      </c>
      <c r="T194" s="24"/>
      <c r="U194" s="24"/>
      <c r="V194" s="3"/>
      <c r="W194" s="19" t="str">
        <f>IFERROR(VLOOKUP(Banco_Nacion[[#This Row],[RESPONSABLE]],Clientes_Proveedores[[Ruc / Dni]:[Razon Social]],2,0),"")</f>
        <v/>
      </c>
      <c r="X19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19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194" s="3"/>
      <c r="AA194" s="3"/>
      <c r="AB194" s="24" t="str">
        <f>IF(Banco_Nacion[[#This Row],[FECHA]]&gt;0,TEXT(Banco_Nacion[[#This Row],[FECHA]],"mmmm"),0)</f>
        <v>Marzo</v>
      </c>
    </row>
    <row r="195" spans="2:28" x14ac:dyDescent="0.3">
      <c r="B195" s="2">
        <f>IF(Banco_Nacion[[#This Row],[TIPO DE R.]]="R",COUNTIFS($D$4:$D194,"R")+1,"")</f>
        <v>191</v>
      </c>
      <c r="C195" s="19" t="str">
        <f t="shared" si="10"/>
        <v>B-Banco de la Nacion</v>
      </c>
      <c r="D195" s="3" t="s">
        <v>1074</v>
      </c>
      <c r="E195" s="14">
        <v>45740</v>
      </c>
      <c r="F195" s="5" t="s">
        <v>4289</v>
      </c>
      <c r="G195" s="5" t="s">
        <v>1079</v>
      </c>
      <c r="H195" s="6"/>
      <c r="I195" s="6"/>
      <c r="J195" s="6" t="s">
        <v>4289</v>
      </c>
      <c r="K195" s="6"/>
      <c r="L195" s="7" t="s">
        <v>4292</v>
      </c>
      <c r="M195" s="8">
        <v>78787878</v>
      </c>
      <c r="N195" s="8" t="str">
        <f t="shared" si="11"/>
        <v>PEN</v>
      </c>
      <c r="O195" s="13"/>
      <c r="P195" s="13">
        <v>7363</v>
      </c>
      <c r="Q195" s="3">
        <f t="shared" si="12"/>
        <v>0</v>
      </c>
      <c r="R195" s="3">
        <f t="shared" si="13"/>
        <v>7363</v>
      </c>
      <c r="S195" s="3">
        <f t="shared" si="14"/>
        <v>28189.010000000009</v>
      </c>
      <c r="T195" s="24"/>
      <c r="U195" s="24"/>
      <c r="V195" s="3"/>
      <c r="W195" s="19" t="str">
        <f>IFERROR(VLOOKUP(Banco_Nacion[[#This Row],[RESPONSABLE]],Clientes_Proveedores[[Ruc / Dni]:[Razon Social]],2,0),"")</f>
        <v/>
      </c>
      <c r="X19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19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195" s="3"/>
      <c r="AA195" s="3"/>
      <c r="AB195" s="24" t="str">
        <f>IF(Banco_Nacion[[#This Row],[FECHA]]&gt;0,TEXT(Banco_Nacion[[#This Row],[FECHA]],"mmmm"),0)</f>
        <v>Marzo</v>
      </c>
    </row>
    <row r="196" spans="2:28" x14ac:dyDescent="0.3">
      <c r="B196" s="2">
        <f>IF(Banco_Nacion[[#This Row],[TIPO DE R.]]="R",COUNTIFS($D$4:$D195,"R")+1,"")</f>
        <v>192</v>
      </c>
      <c r="C196" s="19" t="str">
        <f t="shared" si="10"/>
        <v>B-Banco de la Nacion</v>
      </c>
      <c r="D196" s="3" t="s">
        <v>1074</v>
      </c>
      <c r="E196" s="14">
        <v>45740</v>
      </c>
      <c r="F196" s="5" t="s">
        <v>4289</v>
      </c>
      <c r="G196" s="5" t="s">
        <v>1079</v>
      </c>
      <c r="H196" s="6"/>
      <c r="I196" s="6"/>
      <c r="J196" s="6" t="s">
        <v>4289</v>
      </c>
      <c r="K196" s="6"/>
      <c r="L196" s="7" t="s">
        <v>4292</v>
      </c>
      <c r="M196" s="8">
        <v>78787878</v>
      </c>
      <c r="N196" s="8" t="str">
        <f t="shared" si="11"/>
        <v>PEN</v>
      </c>
      <c r="O196" s="13"/>
      <c r="P196" s="13">
        <v>93</v>
      </c>
      <c r="Q196" s="3">
        <f t="shared" si="12"/>
        <v>0</v>
      </c>
      <c r="R196" s="3">
        <f t="shared" si="13"/>
        <v>93</v>
      </c>
      <c r="S196" s="3">
        <f t="shared" si="14"/>
        <v>28096.010000000009</v>
      </c>
      <c r="T196" s="24"/>
      <c r="U196" s="24"/>
      <c r="V196" s="3"/>
      <c r="W196" s="19" t="str">
        <f>IFERROR(VLOOKUP(Banco_Nacion[[#This Row],[RESPONSABLE]],Clientes_Proveedores[[Ruc / Dni]:[Razon Social]],2,0),"")</f>
        <v/>
      </c>
      <c r="X19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19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196" s="3"/>
      <c r="AA196" s="3"/>
      <c r="AB196" s="24" t="str">
        <f>IF(Banco_Nacion[[#This Row],[FECHA]]&gt;0,TEXT(Banco_Nacion[[#This Row],[FECHA]],"mmmm"),0)</f>
        <v>Marzo</v>
      </c>
    </row>
    <row r="197" spans="2:28" x14ac:dyDescent="0.3">
      <c r="B197" s="2">
        <f>IF(Banco_Nacion[[#This Row],[TIPO DE R.]]="R",COUNTIFS($D$4:$D196,"R")+1,"")</f>
        <v>193</v>
      </c>
      <c r="C197" s="19" t="str">
        <f t="shared" ref="C197:C260" si="15">"B-Banco de la Nacion"</f>
        <v>B-Banco de la Nacion</v>
      </c>
      <c r="D197" s="3" t="s">
        <v>1074</v>
      </c>
      <c r="E197" s="14">
        <v>45740</v>
      </c>
      <c r="F197" s="5" t="s">
        <v>4289</v>
      </c>
      <c r="G197" s="5" t="s">
        <v>1079</v>
      </c>
      <c r="H197" s="6"/>
      <c r="I197" s="6"/>
      <c r="J197" s="6" t="s">
        <v>4289</v>
      </c>
      <c r="K197" s="6"/>
      <c r="L197" s="7" t="s">
        <v>4292</v>
      </c>
      <c r="M197" s="8">
        <v>78787878</v>
      </c>
      <c r="N197" s="8" t="str">
        <f t="shared" ref="N197:N260" si="16">"PEN"</f>
        <v>PEN</v>
      </c>
      <c r="O197" s="13"/>
      <c r="P197" s="13">
        <v>2284</v>
      </c>
      <c r="Q197" s="3">
        <f t="shared" ref="Q197:Q260" si="17">+IF(OR($G197="SALDO",$G197="INGRESO"),$P197,0)</f>
        <v>0</v>
      </c>
      <c r="R197" s="3">
        <f t="shared" ref="R197:R260" si="18">+IF($G197="EGRESO",$P197,0)</f>
        <v>2284</v>
      </c>
      <c r="S197" s="3">
        <f t="shared" ref="S197:S260" si="19">IFERROR(IF(G197="SALDO",Q197,S196+Q197-R197),0)</f>
        <v>25812.010000000009</v>
      </c>
      <c r="T197" s="24"/>
      <c r="U197" s="24"/>
      <c r="V197" s="3"/>
      <c r="W197" s="19" t="str">
        <f>IFERROR(VLOOKUP(Banco_Nacion[[#This Row],[RESPONSABLE]],Clientes_Proveedores[[Ruc / Dni]:[Razon Social]],2,0),"")</f>
        <v/>
      </c>
      <c r="X19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19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197" s="3"/>
      <c r="AA197" s="3"/>
      <c r="AB197" s="24" t="str">
        <f>IF(Banco_Nacion[[#This Row],[FECHA]]&gt;0,TEXT(Banco_Nacion[[#This Row],[FECHA]],"mmmm"),0)</f>
        <v>Marzo</v>
      </c>
    </row>
    <row r="198" spans="2:28" x14ac:dyDescent="0.3">
      <c r="B198" s="2">
        <f>IF(Banco_Nacion[[#This Row],[TIPO DE R.]]="R",COUNTIFS($D$4:$D197,"R")+1,"")</f>
        <v>194</v>
      </c>
      <c r="C198" s="19" t="str">
        <f t="shared" si="15"/>
        <v>B-Banco de la Nacion</v>
      </c>
      <c r="D198" s="3" t="s">
        <v>1074</v>
      </c>
      <c r="E198" s="14">
        <v>45741</v>
      </c>
      <c r="F198" s="5">
        <v>20603536569</v>
      </c>
      <c r="G198" s="5" t="s">
        <v>1087</v>
      </c>
      <c r="H198" s="6" t="s">
        <v>368</v>
      </c>
      <c r="I198" s="6" t="s">
        <v>14</v>
      </c>
      <c r="J198" s="6" t="s">
        <v>1088</v>
      </c>
      <c r="K198" s="6">
        <v>585</v>
      </c>
      <c r="L198" s="7" t="s">
        <v>4290</v>
      </c>
      <c r="M198" s="8">
        <v>70466438</v>
      </c>
      <c r="N198" s="8" t="str">
        <f t="shared" si="16"/>
        <v>PEN</v>
      </c>
      <c r="O198" s="13"/>
      <c r="P198" s="13">
        <v>936</v>
      </c>
      <c r="Q198" s="3">
        <f t="shared" si="17"/>
        <v>936</v>
      </c>
      <c r="R198" s="3">
        <f t="shared" si="18"/>
        <v>0</v>
      </c>
      <c r="S198" s="3">
        <f t="shared" si="19"/>
        <v>26748.010000000009</v>
      </c>
      <c r="T198" s="24"/>
      <c r="U198" s="24" t="s">
        <v>1081</v>
      </c>
      <c r="V198" s="3"/>
      <c r="W198" s="19" t="str">
        <f>IFERROR(VLOOKUP(Banco_Nacion[[#This Row],[RESPONSABLE]],Clientes_Proveedores[[Ruc / Dni]:[Razon Social]],2,0),"")</f>
        <v>ANTILLA COPPER SOCIEDAD ANONIMA</v>
      </c>
      <c r="X198" s="19" t="str">
        <f>IF(Banco_Nacion[[#This Row],[TIPO DE MOV.]]="INGRESO",Banco_Nacion[[#This Row],[SERIE]]&amp;Banco_Nacion[[#This Row],[NUMERO]]&amp;Banco_Nacion[[#This Row],[RESPONSABLE]]&amp;Banco_Nacion[[#This Row],[MONTO ]],"")</f>
        <v>FE0158520603536569936</v>
      </c>
      <c r="Y19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70466438</v>
      </c>
      <c r="Z198" s="3"/>
      <c r="AA198" s="3"/>
      <c r="AB198" s="24" t="str">
        <f>IF(Banco_Nacion[[#This Row],[FECHA]]&gt;0,TEXT(Banco_Nacion[[#This Row],[FECHA]],"mmmm"),0)</f>
        <v>Marzo</v>
      </c>
    </row>
    <row r="199" spans="2:28" x14ac:dyDescent="0.3">
      <c r="B199" s="2">
        <f>IF(Banco_Nacion[[#This Row],[TIPO DE R.]]="R",COUNTIFS($D$4:$D198,"R")+1,"")</f>
        <v>195</v>
      </c>
      <c r="C199" s="19" t="str">
        <f t="shared" si="15"/>
        <v>B-Banco de la Nacion</v>
      </c>
      <c r="D199" s="3" t="s">
        <v>1074</v>
      </c>
      <c r="E199" s="14">
        <v>45741</v>
      </c>
      <c r="F199" s="5">
        <v>20603536569</v>
      </c>
      <c r="G199" s="5" t="s">
        <v>1087</v>
      </c>
      <c r="H199" s="6" t="s">
        <v>368</v>
      </c>
      <c r="I199" s="6" t="s">
        <v>14</v>
      </c>
      <c r="J199" s="6" t="s">
        <v>1088</v>
      </c>
      <c r="K199" s="6">
        <v>586</v>
      </c>
      <c r="L199" s="7" t="s">
        <v>4290</v>
      </c>
      <c r="M199" s="8">
        <v>70466439</v>
      </c>
      <c r="N199" s="8" t="str">
        <f t="shared" si="16"/>
        <v>PEN</v>
      </c>
      <c r="O199" s="13"/>
      <c r="P199" s="13">
        <v>334</v>
      </c>
      <c r="Q199" s="3">
        <f t="shared" si="17"/>
        <v>334</v>
      </c>
      <c r="R199" s="3">
        <f t="shared" si="18"/>
        <v>0</v>
      </c>
      <c r="S199" s="3">
        <f t="shared" si="19"/>
        <v>27082.010000000009</v>
      </c>
      <c r="T199" s="24"/>
      <c r="U199" s="24" t="s">
        <v>1081</v>
      </c>
      <c r="V199" s="3"/>
      <c r="W199" s="19" t="str">
        <f>IFERROR(VLOOKUP(Banco_Nacion[[#This Row],[RESPONSABLE]],Clientes_Proveedores[[Ruc / Dni]:[Razon Social]],2,0),"")</f>
        <v>ANTILLA COPPER SOCIEDAD ANONIMA</v>
      </c>
      <c r="X199" s="19" t="str">
        <f>IF(Banco_Nacion[[#This Row],[TIPO DE MOV.]]="INGRESO",Banco_Nacion[[#This Row],[SERIE]]&amp;Banco_Nacion[[#This Row],[NUMERO]]&amp;Banco_Nacion[[#This Row],[RESPONSABLE]]&amp;Banco_Nacion[[#This Row],[MONTO ]],"")</f>
        <v>FE0158620603536569334</v>
      </c>
      <c r="Y19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70466439</v>
      </c>
      <c r="Z199" s="3"/>
      <c r="AA199" s="3"/>
      <c r="AB199" s="24" t="str">
        <f>IF(Banco_Nacion[[#This Row],[FECHA]]&gt;0,TEXT(Banco_Nacion[[#This Row],[FECHA]],"mmmm"),0)</f>
        <v>Marzo</v>
      </c>
    </row>
    <row r="200" spans="2:28" x14ac:dyDescent="0.3">
      <c r="B200" s="2">
        <f>IF(Banco_Nacion[[#This Row],[TIPO DE R.]]="R",COUNTIFS($D$4:$D199,"R")+1,"")</f>
        <v>196</v>
      </c>
      <c r="C200" s="19" t="str">
        <f t="shared" si="15"/>
        <v>B-Banco de la Nacion</v>
      </c>
      <c r="D200" s="3" t="s">
        <v>1074</v>
      </c>
      <c r="E200" s="14">
        <v>45743</v>
      </c>
      <c r="F200" s="5">
        <v>20159473148</v>
      </c>
      <c r="G200" s="5" t="s">
        <v>1087</v>
      </c>
      <c r="H200" s="6" t="s">
        <v>368</v>
      </c>
      <c r="I200" s="6" t="s">
        <v>14</v>
      </c>
      <c r="J200" s="6" t="s">
        <v>1121</v>
      </c>
      <c r="K200" s="6">
        <v>50</v>
      </c>
      <c r="L200" s="7" t="s">
        <v>4290</v>
      </c>
      <c r="M200" s="8">
        <v>70677580</v>
      </c>
      <c r="N200" s="8" t="str">
        <f t="shared" si="16"/>
        <v>PEN</v>
      </c>
      <c r="O200" s="13"/>
      <c r="P200" s="13">
        <v>973</v>
      </c>
      <c r="Q200" s="3">
        <f t="shared" si="17"/>
        <v>973</v>
      </c>
      <c r="R200" s="3">
        <f t="shared" si="18"/>
        <v>0</v>
      </c>
      <c r="S200" s="3">
        <f t="shared" si="19"/>
        <v>28055.010000000009</v>
      </c>
      <c r="T200" s="24"/>
      <c r="U200" s="24" t="s">
        <v>1081</v>
      </c>
      <c r="V200" s="3"/>
      <c r="W200" s="19" t="str">
        <f>IFERROR(VLOOKUP(Banco_Nacion[[#This Row],[RESPONSABLE]],Clientes_Proveedores[[Ruc / Dni]:[Razon Social]],2,0),"")</f>
        <v>PESQUERA DIAMANTE S.A.</v>
      </c>
      <c r="X200" s="19" t="str">
        <f>IF(Banco_Nacion[[#This Row],[TIPO DE MOV.]]="INGRESO",Banco_Nacion[[#This Row],[SERIE]]&amp;Banco_Nacion[[#This Row],[NUMERO]]&amp;Banco_Nacion[[#This Row],[RESPONSABLE]]&amp;Banco_Nacion[[#This Row],[MONTO ]],"")</f>
        <v>E0015020159473148973</v>
      </c>
      <c r="Y20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70677580</v>
      </c>
      <c r="Z200" s="3"/>
      <c r="AA200" s="3"/>
      <c r="AB200" s="24" t="str">
        <f>IF(Banco_Nacion[[#This Row],[FECHA]]&gt;0,TEXT(Banco_Nacion[[#This Row],[FECHA]],"mmmm"),0)</f>
        <v>Marzo</v>
      </c>
    </row>
    <row r="201" spans="2:28" x14ac:dyDescent="0.3">
      <c r="B201" s="2">
        <f>IF(Banco_Nacion[[#This Row],[TIPO DE R.]]="R",COUNTIFS($D$4:$D200,"R")+1,"")</f>
        <v>197</v>
      </c>
      <c r="C201" s="19" t="str">
        <f t="shared" si="15"/>
        <v>B-Banco de la Nacion</v>
      </c>
      <c r="D201" s="3" t="s">
        <v>1074</v>
      </c>
      <c r="E201" s="14">
        <v>45747</v>
      </c>
      <c r="F201" s="5">
        <v>20141637941</v>
      </c>
      <c r="G201" s="5" t="s">
        <v>1087</v>
      </c>
      <c r="H201" s="6" t="s">
        <v>368</v>
      </c>
      <c r="I201" s="6" t="s">
        <v>14</v>
      </c>
      <c r="J201" s="6" t="s">
        <v>1088</v>
      </c>
      <c r="K201" s="6">
        <v>587</v>
      </c>
      <c r="L201" s="7" t="s">
        <v>4290</v>
      </c>
      <c r="M201" s="8">
        <v>70828063</v>
      </c>
      <c r="N201" s="8" t="str">
        <f t="shared" si="16"/>
        <v>PEN</v>
      </c>
      <c r="O201" s="13"/>
      <c r="P201" s="13">
        <v>364</v>
      </c>
      <c r="Q201" s="3">
        <f t="shared" si="17"/>
        <v>364</v>
      </c>
      <c r="R201" s="3">
        <f t="shared" si="18"/>
        <v>0</v>
      </c>
      <c r="S201" s="3">
        <f t="shared" si="19"/>
        <v>28419.010000000009</v>
      </c>
      <c r="T201" s="24"/>
      <c r="U201" s="24" t="s">
        <v>1081</v>
      </c>
      <c r="V201" s="3"/>
      <c r="W201" s="19" t="str">
        <f>IFERROR(VLOOKUP(Banco_Nacion[[#This Row],[RESPONSABLE]],Clientes_Proveedores[[Ruc / Dni]:[Razon Social]],2,0),"")</f>
        <v>UNIVERSIDAD CATOLICA DE SANTA MARIA</v>
      </c>
      <c r="X201" s="19" t="str">
        <f>IF(Banco_Nacion[[#This Row],[TIPO DE MOV.]]="INGRESO",Banco_Nacion[[#This Row],[SERIE]]&amp;Banco_Nacion[[#This Row],[NUMERO]]&amp;Banco_Nacion[[#This Row],[RESPONSABLE]]&amp;Banco_Nacion[[#This Row],[MONTO ]],"")</f>
        <v>FE0158720141637941364</v>
      </c>
      <c r="Y20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70828063</v>
      </c>
      <c r="Z201" s="3"/>
      <c r="AA201" s="3"/>
      <c r="AB201" s="24" t="str">
        <f>IF(Banco_Nacion[[#This Row],[FECHA]]&gt;0,TEXT(Banco_Nacion[[#This Row],[FECHA]],"mmmm"),0)</f>
        <v>Marzo</v>
      </c>
    </row>
    <row r="202" spans="2:28" x14ac:dyDescent="0.3">
      <c r="B202" s="2">
        <f>IF(Banco_Nacion[[#This Row],[TIPO DE R.]]="R",COUNTIFS($D$4:$D201,"R")+1,"")</f>
        <v>198</v>
      </c>
      <c r="C202" s="19" t="str">
        <f t="shared" si="15"/>
        <v>B-Banco de la Nacion</v>
      </c>
      <c r="D202" s="3" t="s">
        <v>1074</v>
      </c>
      <c r="E202" s="14">
        <v>45747</v>
      </c>
      <c r="F202" s="5">
        <v>20141637941</v>
      </c>
      <c r="G202" s="5" t="s">
        <v>1087</v>
      </c>
      <c r="H202" s="6" t="s">
        <v>368</v>
      </c>
      <c r="I202" s="6" t="s">
        <v>14</v>
      </c>
      <c r="J202" s="6" t="s">
        <v>1088</v>
      </c>
      <c r="K202" s="6">
        <v>552</v>
      </c>
      <c r="L202" s="7" t="s">
        <v>4290</v>
      </c>
      <c r="M202" s="8">
        <v>70814988</v>
      </c>
      <c r="N202" s="8" t="str">
        <f t="shared" si="16"/>
        <v>PEN</v>
      </c>
      <c r="O202" s="13"/>
      <c r="P202" s="13">
        <v>88</v>
      </c>
      <c r="Q202" s="3">
        <f t="shared" si="17"/>
        <v>88</v>
      </c>
      <c r="R202" s="3">
        <f t="shared" si="18"/>
        <v>0</v>
      </c>
      <c r="S202" s="3">
        <f t="shared" si="19"/>
        <v>28507.010000000009</v>
      </c>
      <c r="T202" s="24"/>
      <c r="U202" s="24" t="s">
        <v>1081</v>
      </c>
      <c r="V202" s="3"/>
      <c r="W202" s="19" t="str">
        <f>IFERROR(VLOOKUP(Banco_Nacion[[#This Row],[RESPONSABLE]],Clientes_Proveedores[[Ruc / Dni]:[Razon Social]],2,0),"")</f>
        <v>UNIVERSIDAD CATOLICA DE SANTA MARIA</v>
      </c>
      <c r="X202" s="19" t="str">
        <f>IF(Banco_Nacion[[#This Row],[TIPO DE MOV.]]="INGRESO",Banco_Nacion[[#This Row],[SERIE]]&amp;Banco_Nacion[[#This Row],[NUMERO]]&amp;Banco_Nacion[[#This Row],[RESPONSABLE]]&amp;Banco_Nacion[[#This Row],[MONTO ]],"")</f>
        <v>FE015522014163794188</v>
      </c>
      <c r="Y20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70814988</v>
      </c>
      <c r="Z202" s="3"/>
      <c r="AA202" s="3"/>
      <c r="AB202" s="24" t="str">
        <f>IF(Banco_Nacion[[#This Row],[FECHA]]&gt;0,TEXT(Banco_Nacion[[#This Row],[FECHA]],"mmmm"),0)</f>
        <v>Marzo</v>
      </c>
    </row>
    <row r="203" spans="2:28" x14ac:dyDescent="0.3">
      <c r="B203" s="2">
        <f>IF(Banco_Nacion[[#This Row],[TIPO DE R.]]="R",COUNTIFS($D$4:$D202,"R")+1,"")</f>
        <v>199</v>
      </c>
      <c r="C203" s="19" t="str">
        <f t="shared" si="15"/>
        <v>B-Banco de la Nacion</v>
      </c>
      <c r="D203" s="3" t="s">
        <v>1074</v>
      </c>
      <c r="E203" s="14">
        <v>45748</v>
      </c>
      <c r="F203" s="5">
        <v>20607388416</v>
      </c>
      <c r="G203" s="5" t="s">
        <v>1087</v>
      </c>
      <c r="H203" s="6" t="s">
        <v>368</v>
      </c>
      <c r="I203" s="6" t="s">
        <v>14</v>
      </c>
      <c r="J203" s="6" t="s">
        <v>1092</v>
      </c>
      <c r="K203" s="6">
        <v>135</v>
      </c>
      <c r="L203" s="7" t="s">
        <v>4290</v>
      </c>
      <c r="M203" s="8">
        <v>71119671</v>
      </c>
      <c r="N203" s="8" t="str">
        <f t="shared" si="16"/>
        <v>PEN</v>
      </c>
      <c r="O203" s="13"/>
      <c r="P203" s="13">
        <v>648</v>
      </c>
      <c r="Q203" s="3">
        <f t="shared" si="17"/>
        <v>648</v>
      </c>
      <c r="R203" s="3">
        <f t="shared" si="18"/>
        <v>0</v>
      </c>
      <c r="S203" s="3">
        <f t="shared" si="19"/>
        <v>29155.010000000009</v>
      </c>
      <c r="T203" s="24"/>
      <c r="U203" s="24" t="s">
        <v>1081</v>
      </c>
      <c r="V203" s="3"/>
      <c r="W203" s="19" t="str">
        <f>IFERROR(VLOOKUP(Banco_Nacion[[#This Row],[RESPONSABLE]],Clientes_Proveedores[[Ruc / Dni]:[Razon Social]],2,0),"")</f>
        <v>ALEACIONES FERROSAS Y METALICAS S.A.C.</v>
      </c>
      <c r="X203" s="19" t="str">
        <f>IF(Banco_Nacion[[#This Row],[TIPO DE MOV.]]="INGRESO",Banco_Nacion[[#This Row],[SERIE]]&amp;Banco_Nacion[[#This Row],[NUMERO]]&amp;Banco_Nacion[[#This Row],[RESPONSABLE]]&amp;Banco_Nacion[[#This Row],[MONTO ]],"")</f>
        <v>FE0513520607388416648</v>
      </c>
      <c r="Y20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71119671</v>
      </c>
      <c r="Z203" s="3"/>
      <c r="AA203" s="3"/>
      <c r="AB203" s="24" t="str">
        <f>IF(Banco_Nacion[[#This Row],[FECHA]]&gt;0,TEXT(Banco_Nacion[[#This Row],[FECHA]],"mmmm"),0)</f>
        <v>Abril</v>
      </c>
    </row>
    <row r="204" spans="2:28" x14ac:dyDescent="0.3">
      <c r="B204" s="2">
        <f>IF(Banco_Nacion[[#This Row],[TIPO DE R.]]="R",COUNTIFS($D$4:$D203,"R")+1,"")</f>
        <v>200</v>
      </c>
      <c r="C204" s="19" t="str">
        <f t="shared" si="15"/>
        <v>B-Banco de la Nacion</v>
      </c>
      <c r="D204" s="3" t="s">
        <v>1074</v>
      </c>
      <c r="E204" s="14">
        <v>45748</v>
      </c>
      <c r="F204" s="5">
        <v>20607388416</v>
      </c>
      <c r="G204" s="5" t="s">
        <v>1087</v>
      </c>
      <c r="H204" s="6" t="s">
        <v>368</v>
      </c>
      <c r="I204" s="6" t="s">
        <v>14</v>
      </c>
      <c r="J204" s="6" t="s">
        <v>1092</v>
      </c>
      <c r="K204" s="6">
        <v>134</v>
      </c>
      <c r="L204" s="7" t="s">
        <v>4290</v>
      </c>
      <c r="M204" s="8">
        <v>71118879</v>
      </c>
      <c r="N204" s="8" t="str">
        <f t="shared" si="16"/>
        <v>PEN</v>
      </c>
      <c r="O204" s="13"/>
      <c r="P204" s="13">
        <v>185</v>
      </c>
      <c r="Q204" s="3">
        <f t="shared" si="17"/>
        <v>185</v>
      </c>
      <c r="R204" s="3">
        <f t="shared" si="18"/>
        <v>0</v>
      </c>
      <c r="S204" s="3">
        <f t="shared" si="19"/>
        <v>29340.010000000009</v>
      </c>
      <c r="T204" s="24"/>
      <c r="U204" s="24" t="s">
        <v>1081</v>
      </c>
      <c r="V204" s="3"/>
      <c r="W204" s="19" t="str">
        <f>IFERROR(VLOOKUP(Banco_Nacion[[#This Row],[RESPONSABLE]],Clientes_Proveedores[[Ruc / Dni]:[Razon Social]],2,0),"")</f>
        <v>ALEACIONES FERROSAS Y METALICAS S.A.C.</v>
      </c>
      <c r="X204" s="19" t="str">
        <f>IF(Banco_Nacion[[#This Row],[TIPO DE MOV.]]="INGRESO",Banco_Nacion[[#This Row],[SERIE]]&amp;Banco_Nacion[[#This Row],[NUMERO]]&amp;Banco_Nacion[[#This Row],[RESPONSABLE]]&amp;Banco_Nacion[[#This Row],[MONTO ]],"")</f>
        <v>FE0513420607388416185</v>
      </c>
      <c r="Y20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71118879</v>
      </c>
      <c r="Z204" s="3"/>
      <c r="AA204" s="3"/>
      <c r="AB204" s="24" t="str">
        <f>IF(Banco_Nacion[[#This Row],[FECHA]]&gt;0,TEXT(Banco_Nacion[[#This Row],[FECHA]],"mmmm"),0)</f>
        <v>Abril</v>
      </c>
    </row>
    <row r="205" spans="2:28" x14ac:dyDescent="0.3">
      <c r="B205" s="2">
        <f>IF(Banco_Nacion[[#This Row],[TIPO DE R.]]="R",COUNTIFS($D$4:$D204,"R")+1,"")</f>
        <v>201</v>
      </c>
      <c r="C205" s="19" t="str">
        <f t="shared" si="15"/>
        <v>B-Banco de la Nacion</v>
      </c>
      <c r="D205" s="3" t="s">
        <v>1074</v>
      </c>
      <c r="E205" s="14">
        <v>45748</v>
      </c>
      <c r="F205" s="5">
        <v>20517355951</v>
      </c>
      <c r="G205" s="5" t="s">
        <v>1087</v>
      </c>
      <c r="H205" s="6" t="s">
        <v>368</v>
      </c>
      <c r="I205" s="6" t="s">
        <v>14</v>
      </c>
      <c r="J205" s="6" t="s">
        <v>1121</v>
      </c>
      <c r="K205" s="6">
        <v>19</v>
      </c>
      <c r="L205" s="7" t="s">
        <v>4290</v>
      </c>
      <c r="M205" s="8">
        <v>71118476</v>
      </c>
      <c r="N205" s="8" t="str">
        <f t="shared" si="16"/>
        <v>PEN</v>
      </c>
      <c r="O205" s="13"/>
      <c r="P205" s="13">
        <v>470</v>
      </c>
      <c r="Q205" s="3">
        <f t="shared" si="17"/>
        <v>470</v>
      </c>
      <c r="R205" s="3">
        <f t="shared" si="18"/>
        <v>0</v>
      </c>
      <c r="S205" s="3">
        <f t="shared" si="19"/>
        <v>29810.010000000009</v>
      </c>
      <c r="T205" s="24"/>
      <c r="U205" s="24" t="s">
        <v>1081</v>
      </c>
      <c r="V205" s="3"/>
      <c r="W205" s="19" t="str">
        <f>IFERROR(VLOOKUP(Banco_Nacion[[#This Row],[RESPONSABLE]],Clientes_Proveedores[[Ruc / Dni]:[Razon Social]],2,0),"")</f>
        <v>MEGA PESCA S.A.</v>
      </c>
      <c r="X205" s="19" t="str">
        <f>IF(Banco_Nacion[[#This Row],[TIPO DE MOV.]]="INGRESO",Banco_Nacion[[#This Row],[SERIE]]&amp;Banco_Nacion[[#This Row],[NUMERO]]&amp;Banco_Nacion[[#This Row],[RESPONSABLE]]&amp;Banco_Nacion[[#This Row],[MONTO ]],"")</f>
        <v>E0011920517355951470</v>
      </c>
      <c r="Y20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71118476</v>
      </c>
      <c r="Z205" s="3"/>
      <c r="AA205" s="3"/>
      <c r="AB205" s="24" t="str">
        <f>IF(Banco_Nacion[[#This Row],[FECHA]]&gt;0,TEXT(Banco_Nacion[[#This Row],[FECHA]],"mmmm"),0)</f>
        <v>Abril</v>
      </c>
    </row>
    <row r="206" spans="2:28" x14ac:dyDescent="0.3">
      <c r="B206" s="2">
        <f>IF(Banco_Nacion[[#This Row],[TIPO DE R.]]="R",COUNTIFS($D$4:$D205,"R")+1,"")</f>
        <v>202</v>
      </c>
      <c r="C206" s="19" t="str">
        <f t="shared" si="15"/>
        <v>B-Banco de la Nacion</v>
      </c>
      <c r="D206" s="3" t="s">
        <v>1074</v>
      </c>
      <c r="E206" s="14">
        <v>45748</v>
      </c>
      <c r="F206" s="5">
        <v>20505675836</v>
      </c>
      <c r="G206" s="5" t="s">
        <v>1087</v>
      </c>
      <c r="H206" s="6" t="s">
        <v>368</v>
      </c>
      <c r="I206" s="6" t="s">
        <v>14</v>
      </c>
      <c r="J206" s="6" t="s">
        <v>1121</v>
      </c>
      <c r="K206" s="6">
        <v>39</v>
      </c>
      <c r="L206" s="7" t="s">
        <v>4290</v>
      </c>
      <c r="M206" s="8">
        <v>71110713</v>
      </c>
      <c r="N206" s="8" t="str">
        <f t="shared" si="16"/>
        <v>PEN</v>
      </c>
      <c r="O206" s="13"/>
      <c r="P206" s="13">
        <v>450</v>
      </c>
      <c r="Q206" s="3">
        <f t="shared" si="17"/>
        <v>450</v>
      </c>
      <c r="R206" s="3">
        <f t="shared" si="18"/>
        <v>0</v>
      </c>
      <c r="S206" s="3">
        <f t="shared" si="19"/>
        <v>30260.010000000009</v>
      </c>
      <c r="T206" s="24"/>
      <c r="U206" s="24" t="s">
        <v>1081</v>
      </c>
      <c r="V206" s="3"/>
      <c r="W206" s="19" t="str">
        <f>IFERROR(VLOOKUP(Banco_Nacion[[#This Row],[RESPONSABLE]],Clientes_Proveedores[[Ruc / Dni]:[Razon Social]],2,0),"")</f>
        <v>FLSMIDTH S.A.C.</v>
      </c>
      <c r="X206" s="19" t="str">
        <f>IF(Banco_Nacion[[#This Row],[TIPO DE MOV.]]="INGRESO",Banco_Nacion[[#This Row],[SERIE]]&amp;Banco_Nacion[[#This Row],[NUMERO]]&amp;Banco_Nacion[[#This Row],[RESPONSABLE]]&amp;Banco_Nacion[[#This Row],[MONTO ]],"")</f>
        <v>E0013920505675836450</v>
      </c>
      <c r="Y20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71110713</v>
      </c>
      <c r="Z206" s="3"/>
      <c r="AA206" s="3"/>
      <c r="AB206" s="24" t="str">
        <f>IF(Banco_Nacion[[#This Row],[FECHA]]&gt;0,TEXT(Banco_Nacion[[#This Row],[FECHA]],"mmmm"),0)</f>
        <v>Abril</v>
      </c>
    </row>
    <row r="207" spans="2:28" x14ac:dyDescent="0.3">
      <c r="B207" s="2">
        <f>IF(Banco_Nacion[[#This Row],[TIPO DE R.]]="R",COUNTIFS($D$4:$D206,"R")+1,"")</f>
        <v>203</v>
      </c>
      <c r="C207" s="19" t="str">
        <f t="shared" si="15"/>
        <v>B-Banco de la Nacion</v>
      </c>
      <c r="D207" s="3" t="s">
        <v>1074</v>
      </c>
      <c r="E207" s="14">
        <v>45748</v>
      </c>
      <c r="F207" s="5">
        <v>20505675836</v>
      </c>
      <c r="G207" s="5" t="s">
        <v>1087</v>
      </c>
      <c r="H207" s="6" t="s">
        <v>368</v>
      </c>
      <c r="I207" s="6" t="s">
        <v>14</v>
      </c>
      <c r="J207" s="6" t="s">
        <v>1121</v>
      </c>
      <c r="K207" s="6">
        <v>38</v>
      </c>
      <c r="L207" s="7" t="s">
        <v>4290</v>
      </c>
      <c r="M207" s="8">
        <v>71110712</v>
      </c>
      <c r="N207" s="8" t="str">
        <f t="shared" si="16"/>
        <v>PEN</v>
      </c>
      <c r="O207" s="13"/>
      <c r="P207" s="13">
        <v>892</v>
      </c>
      <c r="Q207" s="3">
        <f t="shared" si="17"/>
        <v>892</v>
      </c>
      <c r="R207" s="3">
        <f t="shared" si="18"/>
        <v>0</v>
      </c>
      <c r="S207" s="3">
        <f t="shared" si="19"/>
        <v>31152.010000000009</v>
      </c>
      <c r="T207" s="24"/>
      <c r="U207" s="24" t="s">
        <v>1081</v>
      </c>
      <c r="V207" s="3"/>
      <c r="W207" s="19" t="str">
        <f>IFERROR(VLOOKUP(Banco_Nacion[[#This Row],[RESPONSABLE]],Clientes_Proveedores[[Ruc / Dni]:[Razon Social]],2,0),"")</f>
        <v>FLSMIDTH S.A.C.</v>
      </c>
      <c r="X207" s="19" t="str">
        <f>IF(Banco_Nacion[[#This Row],[TIPO DE MOV.]]="INGRESO",Banco_Nacion[[#This Row],[SERIE]]&amp;Banco_Nacion[[#This Row],[NUMERO]]&amp;Banco_Nacion[[#This Row],[RESPONSABLE]]&amp;Banco_Nacion[[#This Row],[MONTO ]],"")</f>
        <v>E0013820505675836892</v>
      </c>
      <c r="Y20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71110712</v>
      </c>
      <c r="Z207" s="3"/>
      <c r="AA207" s="3"/>
      <c r="AB207" s="24" t="str">
        <f>IF(Banco_Nacion[[#This Row],[FECHA]]&gt;0,TEXT(Banco_Nacion[[#This Row],[FECHA]],"mmmm"),0)</f>
        <v>Abril</v>
      </c>
    </row>
    <row r="208" spans="2:28" x14ac:dyDescent="0.3">
      <c r="B208" s="2">
        <f>IF(Banco_Nacion[[#This Row],[TIPO DE R.]]="R",COUNTIFS($D$4:$D207,"R")+1,"")</f>
        <v>204</v>
      </c>
      <c r="C208" s="19" t="str">
        <f t="shared" si="15"/>
        <v>B-Banco de la Nacion</v>
      </c>
      <c r="D208" s="3" t="s">
        <v>1074</v>
      </c>
      <c r="E208" s="14">
        <v>45749</v>
      </c>
      <c r="F208" s="5">
        <v>20455283915</v>
      </c>
      <c r="G208" s="5" t="s">
        <v>1087</v>
      </c>
      <c r="H208" s="6" t="s">
        <v>368</v>
      </c>
      <c r="I208" s="6" t="s">
        <v>14</v>
      </c>
      <c r="J208" s="6" t="s">
        <v>3010</v>
      </c>
      <c r="K208" s="6">
        <v>2</v>
      </c>
      <c r="L208" s="7" t="s">
        <v>4290</v>
      </c>
      <c r="M208" s="8">
        <v>71194275</v>
      </c>
      <c r="N208" s="8" t="str">
        <f t="shared" si="16"/>
        <v>PEN</v>
      </c>
      <c r="O208" s="13"/>
      <c r="P208" s="13">
        <v>324</v>
      </c>
      <c r="Q208" s="3">
        <f t="shared" si="17"/>
        <v>324</v>
      </c>
      <c r="R208" s="3">
        <f t="shared" si="18"/>
        <v>0</v>
      </c>
      <c r="S208" s="3">
        <f t="shared" si="19"/>
        <v>31476.010000000009</v>
      </c>
      <c r="T208" s="24"/>
      <c r="U208" s="24" t="s">
        <v>1081</v>
      </c>
      <c r="V208" s="3"/>
      <c r="W208" s="19" t="str">
        <f>IFERROR(VLOOKUP(Banco_Nacion[[#This Row],[RESPONSABLE]],Clientes_Proveedores[[Ruc / Dni]:[Razon Social]],2,0),"")</f>
        <v>EMPRESA CONSERVADORA AMBIENTAL DEL SUR E.I.R.L. - ECA SUR E.I.R.L.</v>
      </c>
      <c r="X208" s="19" t="str">
        <f>IF(Banco_Nacion[[#This Row],[TIPO DE MOV.]]="INGRESO",Banco_Nacion[[#This Row],[SERIE]]&amp;Banco_Nacion[[#This Row],[NUMERO]]&amp;Banco_Nacion[[#This Row],[RESPONSABLE]]&amp;Banco_Nacion[[#This Row],[MONTO ]],"")</f>
        <v>FF02220455283915324</v>
      </c>
      <c r="Y20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71194275</v>
      </c>
      <c r="Z208" s="3"/>
      <c r="AA208" s="3"/>
      <c r="AB208" s="24" t="str">
        <f>IF(Banco_Nacion[[#This Row],[FECHA]]&gt;0,TEXT(Banco_Nacion[[#This Row],[FECHA]],"mmmm"),0)</f>
        <v>Abril</v>
      </c>
    </row>
    <row r="209" spans="2:28" x14ac:dyDescent="0.3">
      <c r="B209" s="2">
        <f>IF(Banco_Nacion[[#This Row],[TIPO DE R.]]="R",COUNTIFS($D$4:$D208,"R")+1,"")</f>
        <v>205</v>
      </c>
      <c r="C209" s="19" t="str">
        <f t="shared" si="15"/>
        <v>B-Banco de la Nacion</v>
      </c>
      <c r="D209" s="3" t="s">
        <v>1074</v>
      </c>
      <c r="E209" s="14">
        <v>45749</v>
      </c>
      <c r="F209" s="5">
        <v>20455283915</v>
      </c>
      <c r="G209" s="5" t="s">
        <v>1087</v>
      </c>
      <c r="H209" s="6" t="s">
        <v>368</v>
      </c>
      <c r="I209" s="6" t="s">
        <v>14</v>
      </c>
      <c r="J209" s="6" t="s">
        <v>1097</v>
      </c>
      <c r="K209" s="6">
        <v>208</v>
      </c>
      <c r="L209" s="7" t="s">
        <v>4290</v>
      </c>
      <c r="M209" s="8">
        <v>71194274</v>
      </c>
      <c r="N209" s="8" t="str">
        <f t="shared" si="16"/>
        <v>PEN</v>
      </c>
      <c r="O209" s="13"/>
      <c r="P209" s="13">
        <v>308</v>
      </c>
      <c r="Q209" s="3">
        <f t="shared" si="17"/>
        <v>308</v>
      </c>
      <c r="R209" s="3">
        <f t="shared" si="18"/>
        <v>0</v>
      </c>
      <c r="S209" s="3">
        <f t="shared" si="19"/>
        <v>31784.010000000009</v>
      </c>
      <c r="T209" s="24"/>
      <c r="U209" s="24" t="s">
        <v>1081</v>
      </c>
      <c r="V209" s="3"/>
      <c r="W209" s="19" t="str">
        <f>IFERROR(VLOOKUP(Banco_Nacion[[#This Row],[RESPONSABLE]],Clientes_Proveedores[[Ruc / Dni]:[Razon Social]],2,0),"")</f>
        <v>EMPRESA CONSERVADORA AMBIENTAL DEL SUR E.I.R.L. - ECA SUR E.I.R.L.</v>
      </c>
      <c r="X209" s="19" t="str">
        <f>IF(Banco_Nacion[[#This Row],[TIPO DE MOV.]]="INGRESO",Banco_Nacion[[#This Row],[SERIE]]&amp;Banco_Nacion[[#This Row],[NUMERO]]&amp;Banco_Nacion[[#This Row],[RESPONSABLE]]&amp;Banco_Nacion[[#This Row],[MONTO ]],"")</f>
        <v>FE0220820455283915308</v>
      </c>
      <c r="Y20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71194274</v>
      </c>
      <c r="Z209" s="3"/>
      <c r="AA209" s="3"/>
      <c r="AB209" s="24" t="str">
        <f>IF(Banco_Nacion[[#This Row],[FECHA]]&gt;0,TEXT(Banco_Nacion[[#This Row],[FECHA]],"mmmm"),0)</f>
        <v>Abril</v>
      </c>
    </row>
    <row r="210" spans="2:28" x14ac:dyDescent="0.3">
      <c r="B210" s="2">
        <f>IF(Banco_Nacion[[#This Row],[TIPO DE R.]]="R",COUNTIFS($D$4:$D209,"R")+1,"")</f>
        <v>206</v>
      </c>
      <c r="C210" s="19" t="str">
        <f t="shared" si="15"/>
        <v>B-Banco de la Nacion</v>
      </c>
      <c r="D210" s="3" t="s">
        <v>1074</v>
      </c>
      <c r="E210" s="14">
        <v>45749</v>
      </c>
      <c r="F210" s="5">
        <v>20455283915</v>
      </c>
      <c r="G210" s="5" t="s">
        <v>1087</v>
      </c>
      <c r="H210" s="6" t="s">
        <v>368</v>
      </c>
      <c r="I210" s="6" t="s">
        <v>14</v>
      </c>
      <c r="J210" s="6" t="s">
        <v>1121</v>
      </c>
      <c r="K210" s="6">
        <v>44</v>
      </c>
      <c r="L210" s="7" t="s">
        <v>4290</v>
      </c>
      <c r="M210" s="8">
        <v>71194273</v>
      </c>
      <c r="N210" s="8" t="str">
        <f t="shared" si="16"/>
        <v>PEN</v>
      </c>
      <c r="O210" s="13"/>
      <c r="P210" s="13">
        <v>119</v>
      </c>
      <c r="Q210" s="3">
        <f t="shared" si="17"/>
        <v>119</v>
      </c>
      <c r="R210" s="3">
        <f t="shared" si="18"/>
        <v>0</v>
      </c>
      <c r="S210" s="3">
        <f t="shared" si="19"/>
        <v>31903.010000000009</v>
      </c>
      <c r="T210" s="24"/>
      <c r="U210" s="24" t="s">
        <v>1081</v>
      </c>
      <c r="V210" s="3"/>
      <c r="W210" s="19" t="str">
        <f>IFERROR(VLOOKUP(Banco_Nacion[[#This Row],[RESPONSABLE]],Clientes_Proveedores[[Ruc / Dni]:[Razon Social]],2,0),"")</f>
        <v>EMPRESA CONSERVADORA AMBIENTAL DEL SUR E.I.R.L. - ECA SUR E.I.R.L.</v>
      </c>
      <c r="X210" s="19" t="str">
        <f>IF(Banco_Nacion[[#This Row],[TIPO DE MOV.]]="INGRESO",Banco_Nacion[[#This Row],[SERIE]]&amp;Banco_Nacion[[#This Row],[NUMERO]]&amp;Banco_Nacion[[#This Row],[RESPONSABLE]]&amp;Banco_Nacion[[#This Row],[MONTO ]],"")</f>
        <v>E0014420455283915119</v>
      </c>
      <c r="Y21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71194273</v>
      </c>
      <c r="Z210" s="3"/>
      <c r="AA210" s="3"/>
      <c r="AB210" s="24" t="str">
        <f>IF(Banco_Nacion[[#This Row],[FECHA]]&gt;0,TEXT(Banco_Nacion[[#This Row],[FECHA]],"mmmm"),0)</f>
        <v>Abril</v>
      </c>
    </row>
    <row r="211" spans="2:28" x14ac:dyDescent="0.3">
      <c r="B211" s="2">
        <f>IF(Banco_Nacion[[#This Row],[TIPO DE R.]]="R",COUNTIFS($D$4:$D210,"R")+1,"")</f>
        <v>207</v>
      </c>
      <c r="C211" s="19" t="str">
        <f t="shared" si="15"/>
        <v>B-Banco de la Nacion</v>
      </c>
      <c r="D211" s="3" t="s">
        <v>1074</v>
      </c>
      <c r="E211" s="14">
        <v>45749</v>
      </c>
      <c r="F211" s="5">
        <v>20455283915</v>
      </c>
      <c r="G211" s="5" t="s">
        <v>1087</v>
      </c>
      <c r="H211" s="6" t="s">
        <v>368</v>
      </c>
      <c r="I211" s="6" t="s">
        <v>14</v>
      </c>
      <c r="J211" s="6" t="s">
        <v>1121</v>
      </c>
      <c r="K211" s="6">
        <v>43</v>
      </c>
      <c r="L211" s="7" t="s">
        <v>4290</v>
      </c>
      <c r="M211" s="8">
        <v>71194272</v>
      </c>
      <c r="N211" s="8" t="str">
        <f t="shared" si="16"/>
        <v>PEN</v>
      </c>
      <c r="O211" s="13"/>
      <c r="P211" s="13">
        <v>96</v>
      </c>
      <c r="Q211" s="3">
        <f t="shared" si="17"/>
        <v>96</v>
      </c>
      <c r="R211" s="3">
        <f t="shared" si="18"/>
        <v>0</v>
      </c>
      <c r="S211" s="3">
        <f t="shared" si="19"/>
        <v>31999.010000000009</v>
      </c>
      <c r="T211" s="24"/>
      <c r="U211" s="24" t="s">
        <v>1081</v>
      </c>
      <c r="V211" s="3"/>
      <c r="W211" s="19" t="str">
        <f>IFERROR(VLOOKUP(Banco_Nacion[[#This Row],[RESPONSABLE]],Clientes_Proveedores[[Ruc / Dni]:[Razon Social]],2,0),"")</f>
        <v>EMPRESA CONSERVADORA AMBIENTAL DEL SUR E.I.R.L. - ECA SUR E.I.R.L.</v>
      </c>
      <c r="X211" s="19" t="str">
        <f>IF(Banco_Nacion[[#This Row],[TIPO DE MOV.]]="INGRESO",Banco_Nacion[[#This Row],[SERIE]]&amp;Banco_Nacion[[#This Row],[NUMERO]]&amp;Banco_Nacion[[#This Row],[RESPONSABLE]]&amp;Banco_Nacion[[#This Row],[MONTO ]],"")</f>
        <v>E001432045528391596</v>
      </c>
      <c r="Y21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71194272</v>
      </c>
      <c r="Z211" s="3"/>
      <c r="AA211" s="3"/>
      <c r="AB211" s="24" t="str">
        <f>IF(Banco_Nacion[[#This Row],[FECHA]]&gt;0,TEXT(Banco_Nacion[[#This Row],[FECHA]],"mmmm"),0)</f>
        <v>Abril</v>
      </c>
    </row>
    <row r="212" spans="2:28" x14ac:dyDescent="0.3">
      <c r="B212" s="2">
        <f>IF(Banco_Nacion[[#This Row],[TIPO DE R.]]="R",COUNTIFS($D$4:$D211,"R")+1,"")</f>
        <v>208</v>
      </c>
      <c r="C212" s="19" t="str">
        <f t="shared" si="15"/>
        <v>B-Banco de la Nacion</v>
      </c>
      <c r="D212" s="3" t="s">
        <v>1074</v>
      </c>
      <c r="E212" s="14">
        <v>45749</v>
      </c>
      <c r="F212" s="5">
        <v>20455283915</v>
      </c>
      <c r="G212" s="5" t="s">
        <v>1087</v>
      </c>
      <c r="H212" s="6" t="s">
        <v>368</v>
      </c>
      <c r="I212" s="6" t="s">
        <v>14</v>
      </c>
      <c r="J212" s="6" t="s">
        <v>1121</v>
      </c>
      <c r="K212" s="6">
        <v>42</v>
      </c>
      <c r="L212" s="7" t="s">
        <v>4290</v>
      </c>
      <c r="M212" s="8">
        <v>71194271</v>
      </c>
      <c r="N212" s="8" t="str">
        <f t="shared" si="16"/>
        <v>PEN</v>
      </c>
      <c r="O212" s="13"/>
      <c r="P212" s="13">
        <v>38</v>
      </c>
      <c r="Q212" s="3">
        <f t="shared" si="17"/>
        <v>38</v>
      </c>
      <c r="R212" s="3">
        <f t="shared" si="18"/>
        <v>0</v>
      </c>
      <c r="S212" s="3">
        <f t="shared" si="19"/>
        <v>32037.010000000009</v>
      </c>
      <c r="T212" s="24"/>
      <c r="U212" s="24" t="s">
        <v>1081</v>
      </c>
      <c r="V212" s="3"/>
      <c r="W212" s="19" t="str">
        <f>IFERROR(VLOOKUP(Banco_Nacion[[#This Row],[RESPONSABLE]],Clientes_Proveedores[[Ruc / Dni]:[Razon Social]],2,0),"")</f>
        <v>EMPRESA CONSERVADORA AMBIENTAL DEL SUR E.I.R.L. - ECA SUR E.I.R.L.</v>
      </c>
      <c r="X212" s="19" t="str">
        <f>IF(Banco_Nacion[[#This Row],[TIPO DE MOV.]]="INGRESO",Banco_Nacion[[#This Row],[SERIE]]&amp;Banco_Nacion[[#This Row],[NUMERO]]&amp;Banco_Nacion[[#This Row],[RESPONSABLE]]&amp;Banco_Nacion[[#This Row],[MONTO ]],"")</f>
        <v>E001422045528391538</v>
      </c>
      <c r="Y21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71194271</v>
      </c>
      <c r="Z212" s="3"/>
      <c r="AA212" s="3"/>
      <c r="AB212" s="24" t="str">
        <f>IF(Banco_Nacion[[#This Row],[FECHA]]&gt;0,TEXT(Banco_Nacion[[#This Row],[FECHA]],"mmmm"),0)</f>
        <v>Abril</v>
      </c>
    </row>
    <row r="213" spans="2:28" x14ac:dyDescent="0.3">
      <c r="B213" s="2">
        <f>IF(Banco_Nacion[[#This Row],[TIPO DE R.]]="R",COUNTIFS($D$4:$D212,"R")+1,"")</f>
        <v>209</v>
      </c>
      <c r="C213" s="19" t="str">
        <f t="shared" si="15"/>
        <v>B-Banco de la Nacion</v>
      </c>
      <c r="D213" s="3" t="s">
        <v>1074</v>
      </c>
      <c r="E213" s="14">
        <v>45749</v>
      </c>
      <c r="F213" s="5">
        <v>20455283915</v>
      </c>
      <c r="G213" s="5" t="s">
        <v>1087</v>
      </c>
      <c r="H213" s="6" t="s">
        <v>368</v>
      </c>
      <c r="I213" s="6" t="s">
        <v>14</v>
      </c>
      <c r="J213" s="6" t="s">
        <v>1121</v>
      </c>
      <c r="K213" s="6">
        <v>41</v>
      </c>
      <c r="L213" s="7" t="s">
        <v>4290</v>
      </c>
      <c r="M213" s="8">
        <v>71194270</v>
      </c>
      <c r="N213" s="8" t="str">
        <f t="shared" si="16"/>
        <v>PEN</v>
      </c>
      <c r="O213" s="13"/>
      <c r="P213" s="13">
        <v>108</v>
      </c>
      <c r="Q213" s="3">
        <f t="shared" si="17"/>
        <v>108</v>
      </c>
      <c r="R213" s="3">
        <f t="shared" si="18"/>
        <v>0</v>
      </c>
      <c r="S213" s="3">
        <f t="shared" si="19"/>
        <v>32145.010000000009</v>
      </c>
      <c r="T213" s="24"/>
      <c r="U213" s="24" t="s">
        <v>1081</v>
      </c>
      <c r="V213" s="3"/>
      <c r="W213" s="19" t="str">
        <f>IFERROR(VLOOKUP(Banco_Nacion[[#This Row],[RESPONSABLE]],Clientes_Proveedores[[Ruc / Dni]:[Razon Social]],2,0),"")</f>
        <v>EMPRESA CONSERVADORA AMBIENTAL DEL SUR E.I.R.L. - ECA SUR E.I.R.L.</v>
      </c>
      <c r="X213" s="19" t="str">
        <f>IF(Banco_Nacion[[#This Row],[TIPO DE MOV.]]="INGRESO",Banco_Nacion[[#This Row],[SERIE]]&amp;Banco_Nacion[[#This Row],[NUMERO]]&amp;Banco_Nacion[[#This Row],[RESPONSABLE]]&amp;Banco_Nacion[[#This Row],[MONTO ]],"")</f>
        <v>E0014120455283915108</v>
      </c>
      <c r="Y21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71194270</v>
      </c>
      <c r="Z213" s="3"/>
      <c r="AA213" s="3"/>
      <c r="AB213" s="24" t="str">
        <f>IF(Banco_Nacion[[#This Row],[FECHA]]&gt;0,TEXT(Banco_Nacion[[#This Row],[FECHA]],"mmmm"),0)</f>
        <v>Abril</v>
      </c>
    </row>
    <row r="214" spans="2:28" x14ac:dyDescent="0.3">
      <c r="B214" s="2">
        <f>IF(Banco_Nacion[[#This Row],[TIPO DE R.]]="R",COUNTIFS($D$4:$D213,"R")+1,"")</f>
        <v>210</v>
      </c>
      <c r="C214" s="19" t="str">
        <f t="shared" si="15"/>
        <v>B-Banco de la Nacion</v>
      </c>
      <c r="D214" s="3" t="s">
        <v>1074</v>
      </c>
      <c r="E214" s="14">
        <v>45749</v>
      </c>
      <c r="F214" s="5">
        <v>20455283915</v>
      </c>
      <c r="G214" s="5" t="s">
        <v>1087</v>
      </c>
      <c r="H214" s="6" t="s">
        <v>368</v>
      </c>
      <c r="I214" s="6" t="s">
        <v>14</v>
      </c>
      <c r="J214" s="6" t="s">
        <v>1121</v>
      </c>
      <c r="K214" s="6">
        <v>40</v>
      </c>
      <c r="L214" s="7" t="s">
        <v>4290</v>
      </c>
      <c r="M214" s="8">
        <v>71194269</v>
      </c>
      <c r="N214" s="8" t="str">
        <f t="shared" si="16"/>
        <v>PEN</v>
      </c>
      <c r="O214" s="13"/>
      <c r="P214" s="13">
        <v>118</v>
      </c>
      <c r="Q214" s="3">
        <f t="shared" si="17"/>
        <v>118</v>
      </c>
      <c r="R214" s="3">
        <f t="shared" si="18"/>
        <v>0</v>
      </c>
      <c r="S214" s="3">
        <f t="shared" si="19"/>
        <v>32263.010000000009</v>
      </c>
      <c r="T214" s="24"/>
      <c r="U214" s="24" t="s">
        <v>1081</v>
      </c>
      <c r="V214" s="3"/>
      <c r="W214" s="19" t="str">
        <f>IFERROR(VLOOKUP(Banco_Nacion[[#This Row],[RESPONSABLE]],Clientes_Proveedores[[Ruc / Dni]:[Razon Social]],2,0),"")</f>
        <v>EMPRESA CONSERVADORA AMBIENTAL DEL SUR E.I.R.L. - ECA SUR E.I.R.L.</v>
      </c>
      <c r="X214" s="19" t="str">
        <f>IF(Banco_Nacion[[#This Row],[TIPO DE MOV.]]="INGRESO",Banco_Nacion[[#This Row],[SERIE]]&amp;Banco_Nacion[[#This Row],[NUMERO]]&amp;Banco_Nacion[[#This Row],[RESPONSABLE]]&amp;Banco_Nacion[[#This Row],[MONTO ]],"")</f>
        <v>E0014020455283915118</v>
      </c>
      <c r="Y21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71194269</v>
      </c>
      <c r="Z214" s="3"/>
      <c r="AA214" s="3"/>
      <c r="AB214" s="24" t="str">
        <f>IF(Banco_Nacion[[#This Row],[FECHA]]&gt;0,TEXT(Banco_Nacion[[#This Row],[FECHA]],"mmmm"),0)</f>
        <v>Abril</v>
      </c>
    </row>
    <row r="215" spans="2:28" x14ac:dyDescent="0.3">
      <c r="B215" s="2">
        <f>IF(Banco_Nacion[[#This Row],[TIPO DE R.]]="R",COUNTIFS($D$4:$D214,"R")+1,"")</f>
        <v>211</v>
      </c>
      <c r="C215" s="19" t="str">
        <f t="shared" si="15"/>
        <v>B-Banco de la Nacion</v>
      </c>
      <c r="D215" s="3" t="s">
        <v>1074</v>
      </c>
      <c r="E215" s="14">
        <v>45749</v>
      </c>
      <c r="F215" s="5">
        <v>20455283915</v>
      </c>
      <c r="G215" s="5" t="s">
        <v>1087</v>
      </c>
      <c r="H215" s="6" t="s">
        <v>368</v>
      </c>
      <c r="I215" s="6" t="s">
        <v>14</v>
      </c>
      <c r="J215" s="6" t="s">
        <v>1121</v>
      </c>
      <c r="K215" s="6">
        <v>22</v>
      </c>
      <c r="L215" s="7" t="s">
        <v>4290</v>
      </c>
      <c r="M215" s="8">
        <v>71194268</v>
      </c>
      <c r="N215" s="8" t="str">
        <f t="shared" si="16"/>
        <v>PEN</v>
      </c>
      <c r="O215" s="13"/>
      <c r="P215" s="13">
        <v>89</v>
      </c>
      <c r="Q215" s="3">
        <f t="shared" si="17"/>
        <v>89</v>
      </c>
      <c r="R215" s="3">
        <f t="shared" si="18"/>
        <v>0</v>
      </c>
      <c r="S215" s="3">
        <f t="shared" si="19"/>
        <v>32352.010000000009</v>
      </c>
      <c r="T215" s="24"/>
      <c r="U215" s="24" t="s">
        <v>1081</v>
      </c>
      <c r="V215" s="3"/>
      <c r="W215" s="19" t="str">
        <f>IFERROR(VLOOKUP(Banco_Nacion[[#This Row],[RESPONSABLE]],Clientes_Proveedores[[Ruc / Dni]:[Razon Social]],2,0),"")</f>
        <v>EMPRESA CONSERVADORA AMBIENTAL DEL SUR E.I.R.L. - ECA SUR E.I.R.L.</v>
      </c>
      <c r="X215" s="19" t="str">
        <f>IF(Banco_Nacion[[#This Row],[TIPO DE MOV.]]="INGRESO",Banco_Nacion[[#This Row],[SERIE]]&amp;Banco_Nacion[[#This Row],[NUMERO]]&amp;Banco_Nacion[[#This Row],[RESPONSABLE]]&amp;Banco_Nacion[[#This Row],[MONTO ]],"")</f>
        <v>E001222045528391589</v>
      </c>
      <c r="Y21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71194268</v>
      </c>
      <c r="Z215" s="3"/>
      <c r="AA215" s="3"/>
      <c r="AB215" s="24" t="str">
        <f>IF(Banco_Nacion[[#This Row],[FECHA]]&gt;0,TEXT(Banco_Nacion[[#This Row],[FECHA]],"mmmm"),0)</f>
        <v>Abril</v>
      </c>
    </row>
    <row r="216" spans="2:28" x14ac:dyDescent="0.3">
      <c r="B216" s="2">
        <f>IF(Banco_Nacion[[#This Row],[TIPO DE R.]]="R",COUNTIFS($D$4:$D215,"R")+1,"")</f>
        <v>212</v>
      </c>
      <c r="C216" s="19" t="str">
        <f t="shared" si="15"/>
        <v>B-Banco de la Nacion</v>
      </c>
      <c r="D216" s="3" t="s">
        <v>1074</v>
      </c>
      <c r="E216" s="14">
        <v>45749</v>
      </c>
      <c r="F216" s="5">
        <v>20455283915</v>
      </c>
      <c r="G216" s="5" t="s">
        <v>1087</v>
      </c>
      <c r="H216" s="6" t="s">
        <v>368</v>
      </c>
      <c r="I216" s="6" t="s">
        <v>14</v>
      </c>
      <c r="J216" s="6" t="s">
        <v>1121</v>
      </c>
      <c r="K216" s="6">
        <v>21</v>
      </c>
      <c r="L216" s="7" t="s">
        <v>4290</v>
      </c>
      <c r="M216" s="8">
        <v>71194267</v>
      </c>
      <c r="N216" s="8" t="str">
        <f t="shared" si="16"/>
        <v>PEN</v>
      </c>
      <c r="O216" s="13"/>
      <c r="P216" s="13">
        <v>36</v>
      </c>
      <c r="Q216" s="3">
        <f t="shared" si="17"/>
        <v>36</v>
      </c>
      <c r="R216" s="3">
        <f t="shared" si="18"/>
        <v>0</v>
      </c>
      <c r="S216" s="3">
        <f t="shared" si="19"/>
        <v>32388.010000000009</v>
      </c>
      <c r="T216" s="24"/>
      <c r="U216" s="24" t="s">
        <v>1081</v>
      </c>
      <c r="V216" s="3"/>
      <c r="W216" s="19" t="str">
        <f>IFERROR(VLOOKUP(Banco_Nacion[[#This Row],[RESPONSABLE]],Clientes_Proveedores[[Ruc / Dni]:[Razon Social]],2,0),"")</f>
        <v>EMPRESA CONSERVADORA AMBIENTAL DEL SUR E.I.R.L. - ECA SUR E.I.R.L.</v>
      </c>
      <c r="X216" s="19" t="str">
        <f>IF(Banco_Nacion[[#This Row],[TIPO DE MOV.]]="INGRESO",Banco_Nacion[[#This Row],[SERIE]]&amp;Banco_Nacion[[#This Row],[NUMERO]]&amp;Banco_Nacion[[#This Row],[RESPONSABLE]]&amp;Banco_Nacion[[#This Row],[MONTO ]],"")</f>
        <v>E001212045528391536</v>
      </c>
      <c r="Y21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71194267</v>
      </c>
      <c r="Z216" s="3"/>
      <c r="AA216" s="3"/>
      <c r="AB216" s="24" t="str">
        <f>IF(Banco_Nacion[[#This Row],[FECHA]]&gt;0,TEXT(Banco_Nacion[[#This Row],[FECHA]],"mmmm"),0)</f>
        <v>Abril</v>
      </c>
    </row>
    <row r="217" spans="2:28" x14ac:dyDescent="0.3">
      <c r="B217" s="2">
        <f>IF(Banco_Nacion[[#This Row],[TIPO DE R.]]="R",COUNTIFS($D$4:$D216,"R")+1,"")</f>
        <v>213</v>
      </c>
      <c r="C217" s="19" t="str">
        <f t="shared" si="15"/>
        <v>B-Banco de la Nacion</v>
      </c>
      <c r="D217" s="3" t="s">
        <v>1074</v>
      </c>
      <c r="E217" s="14">
        <v>45749</v>
      </c>
      <c r="F217" s="5">
        <v>20455283915</v>
      </c>
      <c r="G217" s="5" t="s">
        <v>1087</v>
      </c>
      <c r="H217" s="6" t="s">
        <v>368</v>
      </c>
      <c r="I217" s="6" t="s">
        <v>14</v>
      </c>
      <c r="J217" s="6" t="s">
        <v>1121</v>
      </c>
      <c r="K217" s="6">
        <v>20</v>
      </c>
      <c r="L217" s="7" t="s">
        <v>4290</v>
      </c>
      <c r="M217" s="8">
        <v>71194266</v>
      </c>
      <c r="N217" s="8" t="str">
        <f t="shared" si="16"/>
        <v>PEN</v>
      </c>
      <c r="O217" s="13"/>
      <c r="P217" s="13">
        <v>205</v>
      </c>
      <c r="Q217" s="3">
        <f t="shared" si="17"/>
        <v>205</v>
      </c>
      <c r="R217" s="3">
        <f t="shared" si="18"/>
        <v>0</v>
      </c>
      <c r="S217" s="3">
        <f t="shared" si="19"/>
        <v>32593.010000000009</v>
      </c>
      <c r="T217" s="24"/>
      <c r="U217" s="24" t="s">
        <v>1081</v>
      </c>
      <c r="V217" s="3"/>
      <c r="W217" s="19" t="str">
        <f>IFERROR(VLOOKUP(Banco_Nacion[[#This Row],[RESPONSABLE]],Clientes_Proveedores[[Ruc / Dni]:[Razon Social]],2,0),"")</f>
        <v>EMPRESA CONSERVADORA AMBIENTAL DEL SUR E.I.R.L. - ECA SUR E.I.R.L.</v>
      </c>
      <c r="X217" s="19" t="str">
        <f>IF(Banco_Nacion[[#This Row],[TIPO DE MOV.]]="INGRESO",Banco_Nacion[[#This Row],[SERIE]]&amp;Banco_Nacion[[#This Row],[NUMERO]]&amp;Banco_Nacion[[#This Row],[RESPONSABLE]]&amp;Banco_Nacion[[#This Row],[MONTO ]],"")</f>
        <v>E0012020455283915205</v>
      </c>
      <c r="Y21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71194266</v>
      </c>
      <c r="Z217" s="3"/>
      <c r="AA217" s="3"/>
      <c r="AB217" s="24" t="str">
        <f>IF(Banco_Nacion[[#This Row],[FECHA]]&gt;0,TEXT(Banco_Nacion[[#This Row],[FECHA]],"mmmm"),0)</f>
        <v>Abril</v>
      </c>
    </row>
    <row r="218" spans="2:28" x14ac:dyDescent="0.3">
      <c r="B218" s="2">
        <f>IF(Banco_Nacion[[#This Row],[TIPO DE R.]]="R",COUNTIFS($D$4:$D217,"R")+1,"")</f>
        <v>214</v>
      </c>
      <c r="C218" s="19" t="str">
        <f t="shared" si="15"/>
        <v>B-Banco de la Nacion</v>
      </c>
      <c r="D218" s="3" t="s">
        <v>1074</v>
      </c>
      <c r="E218" s="14">
        <v>45749</v>
      </c>
      <c r="F218" s="5">
        <v>20607388416</v>
      </c>
      <c r="G218" s="5" t="s">
        <v>1087</v>
      </c>
      <c r="H218" s="6" t="s">
        <v>368</v>
      </c>
      <c r="I218" s="6" t="s">
        <v>14</v>
      </c>
      <c r="J218" s="6" t="s">
        <v>1121</v>
      </c>
      <c r="K218" s="6">
        <v>16</v>
      </c>
      <c r="L218" s="7" t="s">
        <v>4290</v>
      </c>
      <c r="M218" s="8">
        <v>71188683</v>
      </c>
      <c r="N218" s="8" t="str">
        <f t="shared" si="16"/>
        <v>PEN</v>
      </c>
      <c r="O218" s="13"/>
      <c r="P218" s="13">
        <v>218</v>
      </c>
      <c r="Q218" s="3">
        <f t="shared" si="17"/>
        <v>218</v>
      </c>
      <c r="R218" s="3">
        <f t="shared" si="18"/>
        <v>0</v>
      </c>
      <c r="S218" s="3">
        <f t="shared" si="19"/>
        <v>32811.010000000009</v>
      </c>
      <c r="T218" s="24"/>
      <c r="U218" s="24" t="s">
        <v>1081</v>
      </c>
      <c r="V218" s="3"/>
      <c r="W218" s="19" t="str">
        <f>IFERROR(VLOOKUP(Banco_Nacion[[#This Row],[RESPONSABLE]],Clientes_Proveedores[[Ruc / Dni]:[Razon Social]],2,0),"")</f>
        <v>ALEACIONES FERROSAS Y METALICAS S.A.C.</v>
      </c>
      <c r="X218" s="19" t="str">
        <f>IF(Banco_Nacion[[#This Row],[TIPO DE MOV.]]="INGRESO",Banco_Nacion[[#This Row],[SERIE]]&amp;Banco_Nacion[[#This Row],[NUMERO]]&amp;Banco_Nacion[[#This Row],[RESPONSABLE]]&amp;Banco_Nacion[[#This Row],[MONTO ]],"")</f>
        <v>E0011620607388416218</v>
      </c>
      <c r="Y21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71188683</v>
      </c>
      <c r="Z218" s="3"/>
      <c r="AA218" s="3"/>
      <c r="AB218" s="24" t="str">
        <f>IF(Banco_Nacion[[#This Row],[FECHA]]&gt;0,TEXT(Banco_Nacion[[#This Row],[FECHA]],"mmmm"),0)</f>
        <v>Abril</v>
      </c>
    </row>
    <row r="219" spans="2:28" x14ac:dyDescent="0.3">
      <c r="B219" s="2">
        <f>IF(Banco_Nacion[[#This Row],[TIPO DE R.]]="R",COUNTIFS($D$4:$D218,"R")+1,"")</f>
        <v>215</v>
      </c>
      <c r="C219" s="19" t="str">
        <f t="shared" si="15"/>
        <v>B-Banco de la Nacion</v>
      </c>
      <c r="D219" s="3" t="s">
        <v>1074</v>
      </c>
      <c r="E219" s="14">
        <v>45749</v>
      </c>
      <c r="F219" s="5">
        <v>20607388416</v>
      </c>
      <c r="G219" s="5" t="s">
        <v>1087</v>
      </c>
      <c r="H219" s="6" t="s">
        <v>368</v>
      </c>
      <c r="I219" s="6" t="s">
        <v>14</v>
      </c>
      <c r="J219" s="6" t="s">
        <v>1121</v>
      </c>
      <c r="K219" s="6" t="s">
        <v>49</v>
      </c>
      <c r="L219" s="7" t="s">
        <v>4290</v>
      </c>
      <c r="M219" s="8">
        <v>71188386</v>
      </c>
      <c r="N219" s="8" t="str">
        <f t="shared" si="16"/>
        <v>PEN</v>
      </c>
      <c r="O219" s="13"/>
      <c r="P219" s="13">
        <v>127</v>
      </c>
      <c r="Q219" s="3">
        <f t="shared" si="17"/>
        <v>127</v>
      </c>
      <c r="R219" s="3">
        <f t="shared" si="18"/>
        <v>0</v>
      </c>
      <c r="S219" s="3">
        <f t="shared" si="19"/>
        <v>32938.010000000009</v>
      </c>
      <c r="T219" s="24"/>
      <c r="U219" s="24" t="s">
        <v>1081</v>
      </c>
      <c r="V219" s="3"/>
      <c r="W219" s="19" t="str">
        <f>IFERROR(VLOOKUP(Banco_Nacion[[#This Row],[RESPONSABLE]],Clientes_Proveedores[[Ruc / Dni]:[Razon Social]],2,0),"")</f>
        <v>ALEACIONES FERROSAS Y METALICAS S.A.C.</v>
      </c>
      <c r="X219" s="19" t="str">
        <f>IF(Banco_Nacion[[#This Row],[TIPO DE MOV.]]="INGRESO",Banco_Nacion[[#This Row],[SERIE]]&amp;Banco_Nacion[[#This Row],[NUMERO]]&amp;Banco_Nacion[[#This Row],[RESPONSABLE]]&amp;Banco_Nacion[[#This Row],[MONTO ]],"")</f>
        <v>E0011320607388416127</v>
      </c>
      <c r="Y21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71188386</v>
      </c>
      <c r="Z219" s="3"/>
      <c r="AA219" s="3"/>
      <c r="AB219" s="24" t="str">
        <f>IF(Banco_Nacion[[#This Row],[FECHA]]&gt;0,TEXT(Banco_Nacion[[#This Row],[FECHA]],"mmmm"),0)</f>
        <v>Abril</v>
      </c>
    </row>
    <row r="220" spans="2:28" x14ac:dyDescent="0.3">
      <c r="B220" s="2">
        <f>IF(Banco_Nacion[[#This Row],[TIPO DE R.]]="R",COUNTIFS($D$4:$D219,"R")+1,"")</f>
        <v>216</v>
      </c>
      <c r="C220" s="19" t="str">
        <f t="shared" si="15"/>
        <v>B-Banco de la Nacion</v>
      </c>
      <c r="D220" s="3" t="s">
        <v>1074</v>
      </c>
      <c r="E220" s="14">
        <v>45749</v>
      </c>
      <c r="F220" s="5">
        <v>20601119600</v>
      </c>
      <c r="G220" s="5" t="s">
        <v>1087</v>
      </c>
      <c r="H220" s="6" t="s">
        <v>368</v>
      </c>
      <c r="I220" s="6" t="s">
        <v>14</v>
      </c>
      <c r="J220" s="6" t="s">
        <v>1121</v>
      </c>
      <c r="K220" s="6">
        <v>34</v>
      </c>
      <c r="L220" s="7" t="s">
        <v>4290</v>
      </c>
      <c r="M220" s="8">
        <v>26360862</v>
      </c>
      <c r="N220" s="8" t="str">
        <f t="shared" si="16"/>
        <v>PEN</v>
      </c>
      <c r="O220" s="13"/>
      <c r="P220" s="13">
        <v>142</v>
      </c>
      <c r="Q220" s="3">
        <f t="shared" si="17"/>
        <v>142</v>
      </c>
      <c r="R220" s="3">
        <f t="shared" si="18"/>
        <v>0</v>
      </c>
      <c r="S220" s="3">
        <f t="shared" si="19"/>
        <v>33080.010000000009</v>
      </c>
      <c r="T220" s="24"/>
      <c r="U220" s="24" t="s">
        <v>1081</v>
      </c>
      <c r="V220" s="3"/>
      <c r="W220" s="19" t="str">
        <f>IFERROR(VLOOKUP(Banco_Nacion[[#This Row],[RESPONSABLE]],Clientes_Proveedores[[Ruc / Dni]:[Razon Social]],2,0),"")</f>
        <v>INVERSIONES W.J.M. S.A.C.</v>
      </c>
      <c r="X220" s="19" t="str">
        <f>IF(Banco_Nacion[[#This Row],[TIPO DE MOV.]]="INGRESO",Banco_Nacion[[#This Row],[SERIE]]&amp;Banco_Nacion[[#This Row],[NUMERO]]&amp;Banco_Nacion[[#This Row],[RESPONSABLE]]&amp;Banco_Nacion[[#This Row],[MONTO ]],"")</f>
        <v>E0013420601119600142</v>
      </c>
      <c r="Y22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26360862</v>
      </c>
      <c r="Z220" s="3"/>
      <c r="AA220" s="3"/>
      <c r="AB220" s="24" t="str">
        <f>IF(Banco_Nacion[[#This Row],[FECHA]]&gt;0,TEXT(Banco_Nacion[[#This Row],[FECHA]],"mmmm"),0)</f>
        <v>Abril</v>
      </c>
    </row>
    <row r="221" spans="2:28" x14ac:dyDescent="0.3">
      <c r="B221" s="2">
        <f>IF(Banco_Nacion[[#This Row],[TIPO DE R.]]="R",COUNTIFS($D$4:$D220,"R")+1,"")</f>
        <v>217</v>
      </c>
      <c r="C221" s="19" t="str">
        <f t="shared" si="15"/>
        <v>B-Banco de la Nacion</v>
      </c>
      <c r="D221" s="3" t="s">
        <v>1074</v>
      </c>
      <c r="E221" s="14">
        <v>45749</v>
      </c>
      <c r="F221" s="5">
        <v>20601119600</v>
      </c>
      <c r="G221" s="5" t="s">
        <v>1087</v>
      </c>
      <c r="H221" s="6" t="s">
        <v>368</v>
      </c>
      <c r="I221" s="6" t="s">
        <v>14</v>
      </c>
      <c r="J221" s="6" t="s">
        <v>1121</v>
      </c>
      <c r="K221" s="6">
        <v>37</v>
      </c>
      <c r="L221" s="7" t="s">
        <v>4290</v>
      </c>
      <c r="M221" s="8">
        <v>26359654</v>
      </c>
      <c r="N221" s="8" t="str">
        <f t="shared" si="16"/>
        <v>PEN</v>
      </c>
      <c r="O221" s="13"/>
      <c r="P221" s="13">
        <v>79</v>
      </c>
      <c r="Q221" s="3">
        <f t="shared" si="17"/>
        <v>79</v>
      </c>
      <c r="R221" s="3">
        <f t="shared" si="18"/>
        <v>0</v>
      </c>
      <c r="S221" s="3">
        <f t="shared" si="19"/>
        <v>33159.010000000009</v>
      </c>
      <c r="T221" s="24"/>
      <c r="U221" s="24" t="s">
        <v>1081</v>
      </c>
      <c r="V221" s="3"/>
      <c r="W221" s="19" t="str">
        <f>IFERROR(VLOOKUP(Banco_Nacion[[#This Row],[RESPONSABLE]],Clientes_Proveedores[[Ruc / Dni]:[Razon Social]],2,0),"")</f>
        <v>INVERSIONES W.J.M. S.A.C.</v>
      </c>
      <c r="X221" s="19" t="str">
        <f>IF(Banco_Nacion[[#This Row],[TIPO DE MOV.]]="INGRESO",Banco_Nacion[[#This Row],[SERIE]]&amp;Banco_Nacion[[#This Row],[NUMERO]]&amp;Banco_Nacion[[#This Row],[RESPONSABLE]]&amp;Banco_Nacion[[#This Row],[MONTO ]],"")</f>
        <v>E001372060111960079</v>
      </c>
      <c r="Y22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26359654</v>
      </c>
      <c r="Z221" s="3"/>
      <c r="AA221" s="3"/>
      <c r="AB221" s="24" t="str">
        <f>IF(Banco_Nacion[[#This Row],[FECHA]]&gt;0,TEXT(Banco_Nacion[[#This Row],[FECHA]],"mmmm"),0)</f>
        <v>Abril</v>
      </c>
    </row>
    <row r="222" spans="2:28" x14ac:dyDescent="0.3">
      <c r="B222" s="2">
        <f>IF(Banco_Nacion[[#This Row],[TIPO DE R.]]="R",COUNTIFS($D$4:$D221,"R")+1,"")</f>
        <v>218</v>
      </c>
      <c r="C222" s="19" t="str">
        <f t="shared" si="15"/>
        <v>B-Banco de la Nacion</v>
      </c>
      <c r="D222" s="3" t="s">
        <v>1074</v>
      </c>
      <c r="E222" s="14">
        <v>45750</v>
      </c>
      <c r="F222" s="5">
        <v>20481475342</v>
      </c>
      <c r="G222" s="5" t="s">
        <v>1087</v>
      </c>
      <c r="H222" s="6" t="s">
        <v>368</v>
      </c>
      <c r="I222" s="6" t="s">
        <v>14</v>
      </c>
      <c r="J222" s="6" t="s">
        <v>1088</v>
      </c>
      <c r="K222" s="6">
        <v>556</v>
      </c>
      <c r="L222" s="7" t="s">
        <v>4290</v>
      </c>
      <c r="M222" s="8">
        <v>71533121</v>
      </c>
      <c r="N222" s="8" t="str">
        <f t="shared" si="16"/>
        <v>PEN</v>
      </c>
      <c r="O222" s="13"/>
      <c r="P222" s="13">
        <v>331</v>
      </c>
      <c r="Q222" s="3">
        <f t="shared" si="17"/>
        <v>331</v>
      </c>
      <c r="R222" s="3">
        <f t="shared" si="18"/>
        <v>0</v>
      </c>
      <c r="S222" s="3">
        <f t="shared" si="19"/>
        <v>33490.010000000009</v>
      </c>
      <c r="T222" s="24"/>
      <c r="U222" s="24" t="s">
        <v>1081</v>
      </c>
      <c r="V222" s="3"/>
      <c r="W222" s="19" t="str">
        <f>IFERROR(VLOOKUP(Banco_Nacion[[#This Row],[RESPONSABLE]],Clientes_Proveedores[[Ruc / Dni]:[Razon Social]],2,0),"")</f>
        <v>R&amp;C INGENIEROS CONSULTORES Y CONSTRUCTORES SRL</v>
      </c>
      <c r="X222" s="19" t="str">
        <f>IF(Banco_Nacion[[#This Row],[TIPO DE MOV.]]="INGRESO",Banco_Nacion[[#This Row],[SERIE]]&amp;Banco_Nacion[[#This Row],[NUMERO]]&amp;Banco_Nacion[[#This Row],[RESPONSABLE]]&amp;Banco_Nacion[[#This Row],[MONTO ]],"")</f>
        <v>FE0155620481475342331</v>
      </c>
      <c r="Y22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71533121</v>
      </c>
      <c r="Z222" s="3"/>
      <c r="AA222" s="3"/>
      <c r="AB222" s="24" t="str">
        <f>IF(Banco_Nacion[[#This Row],[FECHA]]&gt;0,TEXT(Banco_Nacion[[#This Row],[FECHA]],"mmmm"),0)</f>
        <v>Abril</v>
      </c>
    </row>
    <row r="223" spans="2:28" x14ac:dyDescent="0.3">
      <c r="B223" s="2">
        <f>IF(Banco_Nacion[[#This Row],[TIPO DE R.]]="R",COUNTIFS($D$4:$D222,"R")+1,"")</f>
        <v>219</v>
      </c>
      <c r="C223" s="19" t="str">
        <f t="shared" si="15"/>
        <v>B-Banco de la Nacion</v>
      </c>
      <c r="D223" s="3" t="s">
        <v>1074</v>
      </c>
      <c r="E223" s="14">
        <v>45750</v>
      </c>
      <c r="F223" s="5">
        <v>20100192064</v>
      </c>
      <c r="G223" s="5" t="s">
        <v>1087</v>
      </c>
      <c r="H223" s="6" t="s">
        <v>368</v>
      </c>
      <c r="I223" s="6" t="s">
        <v>14</v>
      </c>
      <c r="J223" s="6" t="s">
        <v>1521</v>
      </c>
      <c r="K223" s="6">
        <v>9</v>
      </c>
      <c r="L223" s="7" t="s">
        <v>4290</v>
      </c>
      <c r="M223" s="8">
        <v>71503555</v>
      </c>
      <c r="N223" s="8" t="str">
        <f t="shared" si="16"/>
        <v>PEN</v>
      </c>
      <c r="O223" s="13"/>
      <c r="P223" s="13">
        <v>516</v>
      </c>
      <c r="Q223" s="3">
        <f t="shared" si="17"/>
        <v>516</v>
      </c>
      <c r="R223" s="3">
        <f t="shared" si="18"/>
        <v>0</v>
      </c>
      <c r="S223" s="3">
        <f t="shared" si="19"/>
        <v>34006.010000000009</v>
      </c>
      <c r="T223" s="24"/>
      <c r="U223" s="24" t="s">
        <v>1081</v>
      </c>
      <c r="V223" s="3"/>
      <c r="W223" s="19" t="str">
        <f>IFERROR(VLOOKUP(Banco_Nacion[[#This Row],[RESPONSABLE]],Clientes_Proveedores[[Ruc / Dni]:[Razon Social]],2,0),"")</f>
        <v>MOLY-COP ADESUR S.A</v>
      </c>
      <c r="X223" s="19" t="str">
        <f>IF(Banco_Nacion[[#This Row],[TIPO DE MOV.]]="INGRESO",Banco_Nacion[[#This Row],[SERIE]]&amp;Banco_Nacion[[#This Row],[NUMERO]]&amp;Banco_Nacion[[#This Row],[RESPONSABLE]]&amp;Banco_Nacion[[#This Row],[MONTO ]],"")</f>
        <v>FF01920100192064516</v>
      </c>
      <c r="Y22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71503555</v>
      </c>
      <c r="Z223" s="3"/>
      <c r="AA223" s="3"/>
      <c r="AB223" s="24" t="str">
        <f>IF(Banco_Nacion[[#This Row],[FECHA]]&gt;0,TEXT(Banco_Nacion[[#This Row],[FECHA]],"mmmm"),0)</f>
        <v>Abril</v>
      </c>
    </row>
    <row r="224" spans="2:28" x14ac:dyDescent="0.3">
      <c r="B224" s="2">
        <f>IF(Banco_Nacion[[#This Row],[TIPO DE R.]]="R",COUNTIFS($D$4:$D223,"R")+1,"")</f>
        <v>220</v>
      </c>
      <c r="C224" s="19" t="str">
        <f t="shared" si="15"/>
        <v>B-Banco de la Nacion</v>
      </c>
      <c r="D224" s="3" t="s">
        <v>1074</v>
      </c>
      <c r="E224" s="14">
        <v>45750</v>
      </c>
      <c r="F224" s="5">
        <v>20100192064</v>
      </c>
      <c r="G224" s="5" t="s">
        <v>1087</v>
      </c>
      <c r="H224" s="6" t="s">
        <v>368</v>
      </c>
      <c r="I224" s="6" t="s">
        <v>14</v>
      </c>
      <c r="J224" s="6" t="s">
        <v>1521</v>
      </c>
      <c r="K224" s="6">
        <v>1</v>
      </c>
      <c r="L224" s="7" t="s">
        <v>4290</v>
      </c>
      <c r="M224" s="8">
        <v>71503385</v>
      </c>
      <c r="N224" s="8" t="str">
        <f t="shared" si="16"/>
        <v>PEN</v>
      </c>
      <c r="O224" s="13"/>
      <c r="P224" s="13">
        <v>1396</v>
      </c>
      <c r="Q224" s="3">
        <f t="shared" si="17"/>
        <v>1396</v>
      </c>
      <c r="R224" s="3">
        <f t="shared" si="18"/>
        <v>0</v>
      </c>
      <c r="S224" s="3">
        <f t="shared" si="19"/>
        <v>35402.010000000009</v>
      </c>
      <c r="T224" s="24"/>
      <c r="U224" s="24" t="s">
        <v>1081</v>
      </c>
      <c r="V224" s="3"/>
      <c r="W224" s="19" t="str">
        <f>IFERROR(VLOOKUP(Banco_Nacion[[#This Row],[RESPONSABLE]],Clientes_Proveedores[[Ruc / Dni]:[Razon Social]],2,0),"")</f>
        <v>MOLY-COP ADESUR S.A</v>
      </c>
      <c r="X224" s="19" t="str">
        <f>IF(Banco_Nacion[[#This Row],[TIPO DE MOV.]]="INGRESO",Banco_Nacion[[#This Row],[SERIE]]&amp;Banco_Nacion[[#This Row],[NUMERO]]&amp;Banco_Nacion[[#This Row],[RESPONSABLE]]&amp;Banco_Nacion[[#This Row],[MONTO ]],"")</f>
        <v>FF011201001920641396</v>
      </c>
      <c r="Y22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71503385</v>
      </c>
      <c r="Z224" s="3"/>
      <c r="AA224" s="3"/>
      <c r="AB224" s="24" t="str">
        <f>IF(Banco_Nacion[[#This Row],[FECHA]]&gt;0,TEXT(Banco_Nacion[[#This Row],[FECHA]],"mmmm"),0)</f>
        <v>Abril</v>
      </c>
    </row>
    <row r="225" spans="2:28" x14ac:dyDescent="0.3">
      <c r="B225" s="2">
        <f>IF(Banco_Nacion[[#This Row],[TIPO DE R.]]="R",COUNTIFS($D$4:$D224,"R")+1,"")</f>
        <v>221</v>
      </c>
      <c r="C225" s="19" t="str">
        <f t="shared" si="15"/>
        <v>B-Banco de la Nacion</v>
      </c>
      <c r="D225" s="3" t="s">
        <v>1074</v>
      </c>
      <c r="E225" s="14">
        <v>45750</v>
      </c>
      <c r="F225" s="5">
        <v>20141637941</v>
      </c>
      <c r="G225" s="5" t="s">
        <v>1087</v>
      </c>
      <c r="H225" s="6" t="s">
        <v>368</v>
      </c>
      <c r="I225" s="6" t="s">
        <v>14</v>
      </c>
      <c r="J225" s="6" t="s">
        <v>1121</v>
      </c>
      <c r="K225" s="6">
        <v>33</v>
      </c>
      <c r="L225" s="7" t="s">
        <v>4290</v>
      </c>
      <c r="M225" s="8">
        <v>71478824</v>
      </c>
      <c r="N225" s="8" t="str">
        <f t="shared" si="16"/>
        <v>PEN</v>
      </c>
      <c r="O225" s="13"/>
      <c r="P225" s="13">
        <v>95</v>
      </c>
      <c r="Q225" s="3">
        <f t="shared" si="17"/>
        <v>95</v>
      </c>
      <c r="R225" s="3">
        <f t="shared" si="18"/>
        <v>0</v>
      </c>
      <c r="S225" s="3">
        <f t="shared" si="19"/>
        <v>35497.010000000009</v>
      </c>
      <c r="T225" s="24"/>
      <c r="U225" s="24" t="s">
        <v>1081</v>
      </c>
      <c r="V225" s="3"/>
      <c r="W225" s="19" t="str">
        <f>IFERROR(VLOOKUP(Banco_Nacion[[#This Row],[RESPONSABLE]],Clientes_Proveedores[[Ruc / Dni]:[Razon Social]],2,0),"")</f>
        <v>UNIVERSIDAD CATOLICA DE SANTA MARIA</v>
      </c>
      <c r="X225" s="19" t="str">
        <f>IF(Banco_Nacion[[#This Row],[TIPO DE MOV.]]="INGRESO",Banco_Nacion[[#This Row],[SERIE]]&amp;Banco_Nacion[[#This Row],[NUMERO]]&amp;Banco_Nacion[[#This Row],[RESPONSABLE]]&amp;Banco_Nacion[[#This Row],[MONTO ]],"")</f>
        <v>E001332014163794195</v>
      </c>
      <c r="Y22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71478824</v>
      </c>
      <c r="Z225" s="3"/>
      <c r="AA225" s="3"/>
      <c r="AB225" s="24" t="str">
        <f>IF(Banco_Nacion[[#This Row],[FECHA]]&gt;0,TEXT(Banco_Nacion[[#This Row],[FECHA]],"mmmm"),0)</f>
        <v>Abril</v>
      </c>
    </row>
    <row r="226" spans="2:28" x14ac:dyDescent="0.3">
      <c r="B226" s="2">
        <f>IF(Banco_Nacion[[#This Row],[TIPO DE R.]]="R",COUNTIFS($D$4:$D225,"R")+1,"")</f>
        <v>222</v>
      </c>
      <c r="C226" s="19" t="str">
        <f t="shared" si="15"/>
        <v>B-Banco de la Nacion</v>
      </c>
      <c r="D226" s="3" t="s">
        <v>1074</v>
      </c>
      <c r="E226" s="14">
        <v>45754</v>
      </c>
      <c r="F226" s="5">
        <v>20370146994</v>
      </c>
      <c r="G226" s="5" t="s">
        <v>1087</v>
      </c>
      <c r="H226" s="6" t="s">
        <v>368</v>
      </c>
      <c r="I226" s="6" t="s">
        <v>14</v>
      </c>
      <c r="J226" s="6" t="s">
        <v>3010</v>
      </c>
      <c r="K226" s="6">
        <v>6</v>
      </c>
      <c r="L226" s="7" t="s">
        <v>4290</v>
      </c>
      <c r="M226" s="8">
        <v>71880293</v>
      </c>
      <c r="N226" s="8" t="str">
        <f t="shared" si="16"/>
        <v>PEN</v>
      </c>
      <c r="O226" s="13"/>
      <c r="P226" s="13">
        <v>3848</v>
      </c>
      <c r="Q226" s="3">
        <f t="shared" si="17"/>
        <v>3848</v>
      </c>
      <c r="R226" s="3">
        <f t="shared" si="18"/>
        <v>0</v>
      </c>
      <c r="S226" s="3">
        <f t="shared" si="19"/>
        <v>39345.010000000009</v>
      </c>
      <c r="T226" s="24"/>
      <c r="U226" s="24" t="s">
        <v>1081</v>
      </c>
      <c r="V226" s="3"/>
      <c r="W226" s="19" t="str">
        <f>IFERROR(VLOOKUP(Banco_Nacion[[#This Row],[RESPONSABLE]],Clientes_Proveedores[[Ruc / Dni]:[Razon Social]],2,0),"")</f>
        <v>CORPORACION ACEROS AREQUIPA S.A</v>
      </c>
      <c r="X226" s="19" t="str">
        <f>IF(Banco_Nacion[[#This Row],[TIPO DE MOV.]]="INGRESO",Banco_Nacion[[#This Row],[SERIE]]&amp;Banco_Nacion[[#This Row],[NUMERO]]&amp;Banco_Nacion[[#This Row],[RESPONSABLE]]&amp;Banco_Nacion[[#This Row],[MONTO ]],"")</f>
        <v>FF026203701469943848</v>
      </c>
      <c r="Y22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71880293</v>
      </c>
      <c r="Z226" s="3"/>
      <c r="AA226" s="3"/>
      <c r="AB226" s="24" t="str">
        <f>IF(Banco_Nacion[[#This Row],[FECHA]]&gt;0,TEXT(Banco_Nacion[[#This Row],[FECHA]],"mmmm"),0)</f>
        <v>Abril</v>
      </c>
    </row>
    <row r="227" spans="2:28" x14ac:dyDescent="0.3">
      <c r="B227" s="2">
        <f>IF(Banco_Nacion[[#This Row],[TIPO DE R.]]="R",COUNTIFS($D$4:$D226,"R")+1,"")</f>
        <v>223</v>
      </c>
      <c r="C227" s="19" t="str">
        <f t="shared" si="15"/>
        <v>B-Banco de la Nacion</v>
      </c>
      <c r="D227" s="3" t="s">
        <v>1074</v>
      </c>
      <c r="E227" s="14">
        <v>45754</v>
      </c>
      <c r="F227" s="5">
        <v>20432552072</v>
      </c>
      <c r="G227" s="5" t="s">
        <v>1087</v>
      </c>
      <c r="H227" s="6" t="s">
        <v>368</v>
      </c>
      <c r="I227" s="6" t="s">
        <v>14</v>
      </c>
      <c r="J227" s="6" t="s">
        <v>1088</v>
      </c>
      <c r="K227" s="6">
        <v>584</v>
      </c>
      <c r="L227" s="7" t="s">
        <v>4290</v>
      </c>
      <c r="M227" s="8">
        <v>71831156</v>
      </c>
      <c r="N227" s="8" t="str">
        <f t="shared" si="16"/>
        <v>PEN</v>
      </c>
      <c r="O227" s="13"/>
      <c r="P227" s="13">
        <v>156</v>
      </c>
      <c r="Q227" s="3">
        <f t="shared" si="17"/>
        <v>156</v>
      </c>
      <c r="R227" s="3">
        <f t="shared" si="18"/>
        <v>0</v>
      </c>
      <c r="S227" s="3">
        <f t="shared" si="19"/>
        <v>39501.010000000009</v>
      </c>
      <c r="T227" s="24"/>
      <c r="U227" s="24" t="s">
        <v>1081</v>
      </c>
      <c r="V227" s="3"/>
      <c r="W227" s="19" t="str">
        <f>IFERROR(VLOOKUP(Banco_Nacion[[#This Row],[RESPONSABLE]],Clientes_Proveedores[[Ruc / Dni]:[Razon Social]],2,0),"")</f>
        <v>CARGO TRANSPORT S.A.C.</v>
      </c>
      <c r="X227" s="19" t="str">
        <f>IF(Banco_Nacion[[#This Row],[TIPO DE MOV.]]="INGRESO",Banco_Nacion[[#This Row],[SERIE]]&amp;Banco_Nacion[[#This Row],[NUMERO]]&amp;Banco_Nacion[[#This Row],[RESPONSABLE]]&amp;Banco_Nacion[[#This Row],[MONTO ]],"")</f>
        <v>FE0158420432552072156</v>
      </c>
      <c r="Y22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71831156</v>
      </c>
      <c r="Z227" s="3"/>
      <c r="AA227" s="3"/>
      <c r="AB227" s="24" t="str">
        <f>IF(Banco_Nacion[[#This Row],[FECHA]]&gt;0,TEXT(Banco_Nacion[[#This Row],[FECHA]],"mmmm"),0)</f>
        <v>Abril</v>
      </c>
    </row>
    <row r="228" spans="2:28" x14ac:dyDescent="0.3">
      <c r="B228" s="2">
        <f>IF(Banco_Nacion[[#This Row],[TIPO DE R.]]="R",COUNTIFS($D$4:$D227,"R")+1,"")</f>
        <v>224</v>
      </c>
      <c r="C228" s="19" t="str">
        <f t="shared" si="15"/>
        <v>B-Banco de la Nacion</v>
      </c>
      <c r="D228" s="3" t="s">
        <v>1074</v>
      </c>
      <c r="E228" s="14">
        <v>45755</v>
      </c>
      <c r="F228" s="5">
        <v>20514133931</v>
      </c>
      <c r="G228" s="5" t="s">
        <v>1087</v>
      </c>
      <c r="H228" s="6" t="s">
        <v>368</v>
      </c>
      <c r="I228" s="6" t="s">
        <v>14</v>
      </c>
      <c r="J228" s="6" t="s">
        <v>1121</v>
      </c>
      <c r="K228" s="6">
        <v>14</v>
      </c>
      <c r="L228" s="7" t="s">
        <v>4290</v>
      </c>
      <c r="M228" s="8">
        <v>72722424</v>
      </c>
      <c r="N228" s="8" t="str">
        <f t="shared" si="16"/>
        <v>PEN</v>
      </c>
      <c r="O228" s="13"/>
      <c r="P228" s="13">
        <v>160</v>
      </c>
      <c r="Q228" s="3">
        <f t="shared" si="17"/>
        <v>160</v>
      </c>
      <c r="R228" s="3">
        <f t="shared" si="18"/>
        <v>0</v>
      </c>
      <c r="S228" s="3">
        <f t="shared" si="19"/>
        <v>39661.010000000009</v>
      </c>
      <c r="T228" s="24"/>
      <c r="U228" s="24" t="s">
        <v>1081</v>
      </c>
      <c r="V228" s="3"/>
      <c r="W228" s="19" t="str">
        <f>IFERROR(VLOOKUP(Banco_Nacion[[#This Row],[RESPONSABLE]],Clientes_Proveedores[[Ruc / Dni]:[Razon Social]],2,0),"")</f>
        <v>CORPORACION MEDIOAMBIENTAL AMPCO PERU SOCIEDAD ANONIMA CERRADA
- CM AMPCO PERU S.A.C</v>
      </c>
      <c r="X228" s="19" t="str">
        <f>IF(Banco_Nacion[[#This Row],[TIPO DE MOV.]]="INGRESO",Banco_Nacion[[#This Row],[SERIE]]&amp;Banco_Nacion[[#This Row],[NUMERO]]&amp;Banco_Nacion[[#This Row],[RESPONSABLE]]&amp;Banco_Nacion[[#This Row],[MONTO ]],"")</f>
        <v>E0011420514133931160</v>
      </c>
      <c r="Y22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72722424</v>
      </c>
      <c r="Z228" s="3"/>
      <c r="AA228" s="3"/>
      <c r="AB228" s="24" t="str">
        <f>IF(Banco_Nacion[[#This Row],[FECHA]]&gt;0,TEXT(Banco_Nacion[[#This Row],[FECHA]],"mmmm"),0)</f>
        <v>Abril</v>
      </c>
    </row>
    <row r="229" spans="2:28" x14ac:dyDescent="0.3">
      <c r="B229" s="2">
        <f>IF(Banco_Nacion[[#This Row],[TIPO DE R.]]="R",COUNTIFS($D$4:$D228,"R")+1,"")</f>
        <v>225</v>
      </c>
      <c r="C229" s="19" t="str">
        <f t="shared" si="15"/>
        <v>B-Banco de la Nacion</v>
      </c>
      <c r="D229" s="3" t="s">
        <v>1074</v>
      </c>
      <c r="E229" s="14">
        <v>45755</v>
      </c>
      <c r="F229" s="5">
        <v>20100211115</v>
      </c>
      <c r="G229" s="5" t="s">
        <v>1087</v>
      </c>
      <c r="H229" s="6" t="s">
        <v>368</v>
      </c>
      <c r="I229" s="6" t="s">
        <v>14</v>
      </c>
      <c r="J229" s="6" t="s">
        <v>1521</v>
      </c>
      <c r="K229" s="6">
        <v>2</v>
      </c>
      <c r="L229" s="7" t="s">
        <v>4290</v>
      </c>
      <c r="M229" s="8">
        <v>72578755</v>
      </c>
      <c r="N229" s="8" t="str">
        <f t="shared" si="16"/>
        <v>PEN</v>
      </c>
      <c r="O229" s="13"/>
      <c r="P229" s="13">
        <v>613</v>
      </c>
      <c r="Q229" s="3">
        <f t="shared" si="17"/>
        <v>613</v>
      </c>
      <c r="R229" s="3">
        <f t="shared" si="18"/>
        <v>0</v>
      </c>
      <c r="S229" s="3">
        <f t="shared" si="19"/>
        <v>40274.010000000009</v>
      </c>
      <c r="T229" s="24"/>
      <c r="U229" s="24" t="s">
        <v>1081</v>
      </c>
      <c r="V229" s="3"/>
      <c r="W229" s="19" t="str">
        <f>IFERROR(VLOOKUP(Banco_Nacion[[#This Row],[RESPONSABLE]],Clientes_Proveedores[[Ruc / Dni]:[Razon Social]],2,0),"")</f>
        <v>FAB DE CHOCOLATES LA IBERICA S.A.</v>
      </c>
      <c r="X229" s="19" t="str">
        <f>IF(Banco_Nacion[[#This Row],[TIPO DE MOV.]]="INGRESO",Banco_Nacion[[#This Row],[SERIE]]&amp;Banco_Nacion[[#This Row],[NUMERO]]&amp;Banco_Nacion[[#This Row],[RESPONSABLE]]&amp;Banco_Nacion[[#This Row],[MONTO ]],"")</f>
        <v>FF01220100211115613</v>
      </c>
      <c r="Y22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72578755</v>
      </c>
      <c r="Z229" s="3"/>
      <c r="AA229" s="3"/>
      <c r="AB229" s="24" t="str">
        <f>IF(Banco_Nacion[[#This Row],[FECHA]]&gt;0,TEXT(Banco_Nacion[[#This Row],[FECHA]],"mmmm"),0)</f>
        <v>Abril</v>
      </c>
    </row>
    <row r="230" spans="2:28" x14ac:dyDescent="0.3">
      <c r="B230" s="2">
        <f>IF(Banco_Nacion[[#This Row],[TIPO DE R.]]="R",COUNTIFS($D$4:$D229,"R")+1,"")</f>
        <v>226</v>
      </c>
      <c r="C230" s="19" t="str">
        <f t="shared" si="15"/>
        <v>B-Banco de la Nacion</v>
      </c>
      <c r="D230" s="3" t="s">
        <v>1074</v>
      </c>
      <c r="E230" s="14">
        <v>45755</v>
      </c>
      <c r="F230" s="5">
        <v>20553956324</v>
      </c>
      <c r="G230" s="5" t="s">
        <v>1087</v>
      </c>
      <c r="H230" s="6" t="s">
        <v>368</v>
      </c>
      <c r="I230" s="6" t="s">
        <v>14</v>
      </c>
      <c r="J230" s="6" t="s">
        <v>1121</v>
      </c>
      <c r="K230" s="6">
        <v>24</v>
      </c>
      <c r="L230" s="7" t="s">
        <v>4290</v>
      </c>
      <c r="M230" s="8">
        <v>72564063</v>
      </c>
      <c r="N230" s="8" t="str">
        <f t="shared" si="16"/>
        <v>PEN</v>
      </c>
      <c r="O230" s="13"/>
      <c r="P230" s="13">
        <v>523</v>
      </c>
      <c r="Q230" s="3">
        <f t="shared" si="17"/>
        <v>523</v>
      </c>
      <c r="R230" s="3">
        <f t="shared" si="18"/>
        <v>0</v>
      </c>
      <c r="S230" s="3">
        <f t="shared" si="19"/>
        <v>40797.010000000009</v>
      </c>
      <c r="T230" s="24"/>
      <c r="U230" s="24" t="s">
        <v>1081</v>
      </c>
      <c r="V230" s="3"/>
      <c r="W230" s="19" t="str">
        <f>IFERROR(VLOOKUP(Banco_Nacion[[#This Row],[RESPONSABLE]],Clientes_Proveedores[[Ruc / Dni]:[Razon Social]],2,0),"")</f>
        <v>ALQUIMODUL S.A.C.</v>
      </c>
      <c r="X230" s="19" t="str">
        <f>IF(Banco_Nacion[[#This Row],[TIPO DE MOV.]]="INGRESO",Banco_Nacion[[#This Row],[SERIE]]&amp;Banco_Nacion[[#This Row],[NUMERO]]&amp;Banco_Nacion[[#This Row],[RESPONSABLE]]&amp;Banco_Nacion[[#This Row],[MONTO ]],"")</f>
        <v>E0012420553956324523</v>
      </c>
      <c r="Y23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72564063</v>
      </c>
      <c r="Z230" s="3"/>
      <c r="AA230" s="3"/>
      <c r="AB230" s="24" t="str">
        <f>IF(Banco_Nacion[[#This Row],[FECHA]]&gt;0,TEXT(Banco_Nacion[[#This Row],[FECHA]],"mmmm"),0)</f>
        <v>Abril</v>
      </c>
    </row>
    <row r="231" spans="2:28" x14ac:dyDescent="0.3">
      <c r="B231" s="2">
        <f>IF(Banco_Nacion[[#This Row],[TIPO DE R.]]="R",COUNTIFS($D$4:$D230,"R")+1,"")</f>
        <v>227</v>
      </c>
      <c r="C231" s="19" t="str">
        <f t="shared" si="15"/>
        <v>B-Banco de la Nacion</v>
      </c>
      <c r="D231" s="3" t="s">
        <v>1074</v>
      </c>
      <c r="E231" s="14">
        <v>45755</v>
      </c>
      <c r="F231" s="5">
        <v>20100235138</v>
      </c>
      <c r="G231" s="5" t="s">
        <v>1087</v>
      </c>
      <c r="H231" s="6" t="s">
        <v>368</v>
      </c>
      <c r="I231" s="6" t="s">
        <v>14</v>
      </c>
      <c r="J231" s="6" t="s">
        <v>1097</v>
      </c>
      <c r="K231" s="6">
        <v>203</v>
      </c>
      <c r="L231" s="7" t="s">
        <v>4290</v>
      </c>
      <c r="M231" s="8">
        <v>72493774</v>
      </c>
      <c r="N231" s="8" t="str">
        <f t="shared" si="16"/>
        <v>PEN</v>
      </c>
      <c r="O231" s="13"/>
      <c r="P231" s="13">
        <v>14</v>
      </c>
      <c r="Q231" s="3">
        <f t="shared" si="17"/>
        <v>14</v>
      </c>
      <c r="R231" s="3">
        <f t="shared" si="18"/>
        <v>0</v>
      </c>
      <c r="S231" s="3">
        <f t="shared" si="19"/>
        <v>40811.010000000009</v>
      </c>
      <c r="T231" s="24"/>
      <c r="U231" s="24" t="s">
        <v>1081</v>
      </c>
      <c r="V231" s="3"/>
      <c r="W231" s="19" t="str">
        <f>IFERROR(VLOOKUP(Banco_Nacion[[#This Row],[RESPONSABLE]],Clientes_Proveedores[[Ruc / Dni]:[Razon Social]],2,0),"")</f>
        <v>METALURGICA QUIMICA S.A.C.</v>
      </c>
      <c r="X231" s="19" t="str">
        <f>IF(Banco_Nacion[[#This Row],[TIPO DE MOV.]]="INGRESO",Banco_Nacion[[#This Row],[SERIE]]&amp;Banco_Nacion[[#This Row],[NUMERO]]&amp;Banco_Nacion[[#This Row],[RESPONSABLE]]&amp;Banco_Nacion[[#This Row],[MONTO ]],"")</f>
        <v>FE022032010023513814</v>
      </c>
      <c r="Y23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72493774</v>
      </c>
      <c r="Z231" s="3"/>
      <c r="AA231" s="3"/>
      <c r="AB231" s="24" t="str">
        <f>IF(Banco_Nacion[[#This Row],[FECHA]]&gt;0,TEXT(Banco_Nacion[[#This Row],[FECHA]],"mmmm"),0)</f>
        <v>Abril</v>
      </c>
    </row>
    <row r="232" spans="2:28" x14ac:dyDescent="0.3">
      <c r="B232" s="2">
        <f>IF(Banco_Nacion[[#This Row],[TIPO DE R.]]="R",COUNTIFS($D$4:$D231,"R")+1,"")</f>
        <v>228</v>
      </c>
      <c r="C232" s="19" t="str">
        <f t="shared" si="15"/>
        <v>B-Banco de la Nacion</v>
      </c>
      <c r="D232" s="3" t="s">
        <v>1074</v>
      </c>
      <c r="E232" s="14">
        <v>45755</v>
      </c>
      <c r="F232" s="5">
        <v>20100235138</v>
      </c>
      <c r="G232" s="5" t="s">
        <v>1087</v>
      </c>
      <c r="H232" s="6" t="s">
        <v>368</v>
      </c>
      <c r="I232" s="6" t="s">
        <v>14</v>
      </c>
      <c r="J232" s="6" t="s">
        <v>1121</v>
      </c>
      <c r="K232" s="6">
        <v>36</v>
      </c>
      <c r="L232" s="7" t="s">
        <v>4290</v>
      </c>
      <c r="M232" s="8">
        <v>72493773</v>
      </c>
      <c r="N232" s="8" t="str">
        <f t="shared" si="16"/>
        <v>PEN</v>
      </c>
      <c r="O232" s="13"/>
      <c r="P232" s="13">
        <v>43</v>
      </c>
      <c r="Q232" s="3">
        <f t="shared" si="17"/>
        <v>43</v>
      </c>
      <c r="R232" s="3">
        <f t="shared" si="18"/>
        <v>0</v>
      </c>
      <c r="S232" s="3">
        <f t="shared" si="19"/>
        <v>40854.010000000009</v>
      </c>
      <c r="T232" s="24"/>
      <c r="U232" s="24" t="s">
        <v>1081</v>
      </c>
      <c r="V232" s="3"/>
      <c r="W232" s="19" t="str">
        <f>IFERROR(VLOOKUP(Banco_Nacion[[#This Row],[RESPONSABLE]],Clientes_Proveedores[[Ruc / Dni]:[Razon Social]],2,0),"")</f>
        <v>METALURGICA QUIMICA S.A.C.</v>
      </c>
      <c r="X232" s="19" t="str">
        <f>IF(Banco_Nacion[[#This Row],[TIPO DE MOV.]]="INGRESO",Banco_Nacion[[#This Row],[SERIE]]&amp;Banco_Nacion[[#This Row],[NUMERO]]&amp;Banco_Nacion[[#This Row],[RESPONSABLE]]&amp;Banco_Nacion[[#This Row],[MONTO ]],"")</f>
        <v>E001362010023513843</v>
      </c>
      <c r="Y23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72493773</v>
      </c>
      <c r="Z232" s="3"/>
      <c r="AA232" s="3"/>
      <c r="AB232" s="24" t="str">
        <f>IF(Banco_Nacion[[#This Row],[FECHA]]&gt;0,TEXT(Banco_Nacion[[#This Row],[FECHA]],"mmmm"),0)</f>
        <v>Abril</v>
      </c>
    </row>
    <row r="233" spans="2:28" x14ac:dyDescent="0.3">
      <c r="B233" s="2">
        <f>IF(Banco_Nacion[[#This Row],[TIPO DE R.]]="R",COUNTIFS($D$4:$D232,"R")+1,"")</f>
        <v>229</v>
      </c>
      <c r="C233" s="19" t="str">
        <f t="shared" si="15"/>
        <v>B-Banco de la Nacion</v>
      </c>
      <c r="D233" s="3" t="s">
        <v>1074</v>
      </c>
      <c r="E233" s="14">
        <v>45755</v>
      </c>
      <c r="F233" s="5">
        <v>20603065906</v>
      </c>
      <c r="G233" s="5" t="s">
        <v>1087</v>
      </c>
      <c r="H233" s="6" t="s">
        <v>368</v>
      </c>
      <c r="I233" s="6" t="s">
        <v>14</v>
      </c>
      <c r="J233" s="6" t="s">
        <v>1121</v>
      </c>
      <c r="K233" s="6" t="s">
        <v>4296</v>
      </c>
      <c r="L233" s="7" t="s">
        <v>4290</v>
      </c>
      <c r="M233" s="8">
        <v>72376929</v>
      </c>
      <c r="N233" s="8" t="str">
        <f t="shared" si="16"/>
        <v>PEN</v>
      </c>
      <c r="O233" s="13"/>
      <c r="P233" s="13">
        <v>102</v>
      </c>
      <c r="Q233" s="3">
        <f t="shared" si="17"/>
        <v>102</v>
      </c>
      <c r="R233" s="3">
        <f t="shared" si="18"/>
        <v>0</v>
      </c>
      <c r="S233" s="3">
        <f t="shared" si="19"/>
        <v>40956.010000000009</v>
      </c>
      <c r="T233" s="24"/>
      <c r="U233" s="24" t="s">
        <v>1081</v>
      </c>
      <c r="V233" s="3"/>
      <c r="W233" s="19" t="str">
        <f>IFERROR(VLOOKUP(Banco_Nacion[[#This Row],[RESPONSABLE]],Clientes_Proveedores[[Ruc / Dni]:[Razon Social]],2,0),"")</f>
        <v>COMERCIO SERVICIOS E INVERSIONES YANCE E.I.R.L.</v>
      </c>
      <c r="X233" s="19" t="str">
        <f>IF(Banco_Nacion[[#This Row],[TIPO DE MOV.]]="INGRESO",Banco_Nacion[[#This Row],[SERIE]]&amp;Banco_Nacion[[#This Row],[NUMERO]]&amp;Banco_Nacion[[#This Row],[RESPONSABLE]]&amp;Banco_Nacion[[#This Row],[MONTO ]],"")</f>
        <v>E0012820603065906102</v>
      </c>
      <c r="Y23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72376929</v>
      </c>
      <c r="Z233" s="3"/>
      <c r="AA233" s="3"/>
      <c r="AB233" s="24" t="str">
        <f>IF(Banco_Nacion[[#This Row],[FECHA]]&gt;0,TEXT(Banco_Nacion[[#This Row],[FECHA]],"mmmm"),0)</f>
        <v>Abril</v>
      </c>
    </row>
    <row r="234" spans="2:28" x14ac:dyDescent="0.3">
      <c r="B234" s="2">
        <f>IF(Banco_Nacion[[#This Row],[TIPO DE R.]]="R",COUNTIFS($D$4:$D233,"R")+1,"")</f>
        <v>230</v>
      </c>
      <c r="C234" s="19" t="str">
        <f t="shared" si="15"/>
        <v>B-Banco de la Nacion</v>
      </c>
      <c r="D234" s="3" t="s">
        <v>1074</v>
      </c>
      <c r="E234" s="14">
        <v>45755</v>
      </c>
      <c r="F234" s="5">
        <v>20603065906</v>
      </c>
      <c r="G234" s="5" t="s">
        <v>1087</v>
      </c>
      <c r="H234" s="6" t="s">
        <v>368</v>
      </c>
      <c r="I234" s="6" t="s">
        <v>14</v>
      </c>
      <c r="J234" s="6" t="s">
        <v>1121</v>
      </c>
      <c r="K234" s="6">
        <v>55</v>
      </c>
      <c r="L234" s="7" t="s">
        <v>4290</v>
      </c>
      <c r="M234" s="8">
        <v>72059170</v>
      </c>
      <c r="N234" s="8" t="str">
        <f t="shared" si="16"/>
        <v>PEN</v>
      </c>
      <c r="O234" s="13"/>
      <c r="P234" s="13">
        <v>370</v>
      </c>
      <c r="Q234" s="3">
        <f t="shared" si="17"/>
        <v>370</v>
      </c>
      <c r="R234" s="3">
        <f t="shared" si="18"/>
        <v>0</v>
      </c>
      <c r="S234" s="3">
        <f t="shared" si="19"/>
        <v>41326.010000000009</v>
      </c>
      <c r="T234" s="24"/>
      <c r="U234" s="24" t="s">
        <v>1081</v>
      </c>
      <c r="V234" s="3"/>
      <c r="W234" s="19" t="str">
        <f>IFERROR(VLOOKUP(Banco_Nacion[[#This Row],[RESPONSABLE]],Clientes_Proveedores[[Ruc / Dni]:[Razon Social]],2,0),"")</f>
        <v>COMERCIO SERVICIOS E INVERSIONES YANCE E.I.R.L.</v>
      </c>
      <c r="X234" s="19" t="str">
        <f>IF(Banco_Nacion[[#This Row],[TIPO DE MOV.]]="INGRESO",Banco_Nacion[[#This Row],[SERIE]]&amp;Banco_Nacion[[#This Row],[NUMERO]]&amp;Banco_Nacion[[#This Row],[RESPONSABLE]]&amp;Banco_Nacion[[#This Row],[MONTO ]],"")</f>
        <v>E0015520603065906370</v>
      </c>
      <c r="Y23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72059170</v>
      </c>
      <c r="Z234" s="3"/>
      <c r="AA234" s="3"/>
      <c r="AB234" s="24" t="str">
        <f>IF(Banco_Nacion[[#This Row],[FECHA]]&gt;0,TEXT(Banco_Nacion[[#This Row],[FECHA]],"mmmm"),0)</f>
        <v>Abril</v>
      </c>
    </row>
    <row r="235" spans="2:28" x14ac:dyDescent="0.3">
      <c r="B235" s="2">
        <f>IF(Banco_Nacion[[#This Row],[TIPO DE R.]]="R",COUNTIFS($D$4:$D234,"R")+1,"")</f>
        <v>231</v>
      </c>
      <c r="C235" s="19" t="str">
        <f t="shared" si="15"/>
        <v>B-Banco de la Nacion</v>
      </c>
      <c r="D235" s="3" t="s">
        <v>1074</v>
      </c>
      <c r="E235" s="14">
        <v>45755</v>
      </c>
      <c r="F235" s="5">
        <v>20603065906</v>
      </c>
      <c r="G235" s="5" t="s">
        <v>1087</v>
      </c>
      <c r="H235" s="6" t="s">
        <v>368</v>
      </c>
      <c r="I235" s="6" t="s">
        <v>14</v>
      </c>
      <c r="J235" s="6" t="s">
        <v>1121</v>
      </c>
      <c r="K235" s="6">
        <v>54</v>
      </c>
      <c r="L235" s="7" t="s">
        <v>4290</v>
      </c>
      <c r="M235" s="8">
        <v>72059169</v>
      </c>
      <c r="N235" s="8" t="str">
        <f t="shared" si="16"/>
        <v>PEN</v>
      </c>
      <c r="O235" s="13"/>
      <c r="P235" s="13">
        <v>305</v>
      </c>
      <c r="Q235" s="3">
        <f t="shared" si="17"/>
        <v>305</v>
      </c>
      <c r="R235" s="3">
        <f t="shared" si="18"/>
        <v>0</v>
      </c>
      <c r="S235" s="3">
        <f t="shared" si="19"/>
        <v>41631.010000000009</v>
      </c>
      <c r="T235" s="24"/>
      <c r="U235" s="24" t="s">
        <v>1081</v>
      </c>
      <c r="V235" s="3"/>
      <c r="W235" s="19" t="str">
        <f>IFERROR(VLOOKUP(Banco_Nacion[[#This Row],[RESPONSABLE]],Clientes_Proveedores[[Ruc / Dni]:[Razon Social]],2,0),"")</f>
        <v>COMERCIO SERVICIOS E INVERSIONES YANCE E.I.R.L.</v>
      </c>
      <c r="X235" s="19" t="str">
        <f>IF(Banco_Nacion[[#This Row],[TIPO DE MOV.]]="INGRESO",Banco_Nacion[[#This Row],[SERIE]]&amp;Banco_Nacion[[#This Row],[NUMERO]]&amp;Banco_Nacion[[#This Row],[RESPONSABLE]]&amp;Banco_Nacion[[#This Row],[MONTO ]],"")</f>
        <v>E0015420603065906305</v>
      </c>
      <c r="Y23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72059169</v>
      </c>
      <c r="Z235" s="3"/>
      <c r="AA235" s="3"/>
      <c r="AB235" s="24" t="str">
        <f>IF(Banco_Nacion[[#This Row],[FECHA]]&gt;0,TEXT(Banco_Nacion[[#This Row],[FECHA]],"mmmm"),0)</f>
        <v>Abril</v>
      </c>
    </row>
    <row r="236" spans="2:28" x14ac:dyDescent="0.3">
      <c r="B236" s="2">
        <f>IF(Banco_Nacion[[#This Row],[TIPO DE R.]]="R",COUNTIFS($D$4:$D235,"R")+1,"")</f>
        <v>232</v>
      </c>
      <c r="C236" s="19" t="str">
        <f t="shared" si="15"/>
        <v>B-Banco de la Nacion</v>
      </c>
      <c r="D236" s="3" t="s">
        <v>1074</v>
      </c>
      <c r="E236" s="14">
        <v>45756</v>
      </c>
      <c r="F236" s="5">
        <v>20558353814</v>
      </c>
      <c r="G236" s="5" t="s">
        <v>1087</v>
      </c>
      <c r="H236" s="6" t="s">
        <v>368</v>
      </c>
      <c r="I236" s="6" t="s">
        <v>14</v>
      </c>
      <c r="J236" s="6" t="s">
        <v>1121</v>
      </c>
      <c r="K236" s="6">
        <v>25</v>
      </c>
      <c r="L236" s="7" t="s">
        <v>4291</v>
      </c>
      <c r="M236" s="8">
        <v>78788888</v>
      </c>
      <c r="N236" s="8" t="str">
        <f t="shared" si="16"/>
        <v>PEN</v>
      </c>
      <c r="O236" s="13"/>
      <c r="P236" s="13">
        <v>289</v>
      </c>
      <c r="Q236" s="3">
        <f t="shared" si="17"/>
        <v>289</v>
      </c>
      <c r="R236" s="3">
        <f t="shared" si="18"/>
        <v>0</v>
      </c>
      <c r="S236" s="3">
        <f t="shared" si="19"/>
        <v>41920.010000000009</v>
      </c>
      <c r="T236" s="24"/>
      <c r="U236" s="24" t="s">
        <v>1081</v>
      </c>
      <c r="V236" s="3"/>
      <c r="W236" s="19" t="str">
        <f>IFERROR(VLOOKUP(Banco_Nacion[[#This Row],[RESPONSABLE]],Clientes_Proveedores[[Ruc / Dni]:[Razon Social]],2,0),"")</f>
        <v>TACONSER E.I.R.L.</v>
      </c>
      <c r="X236" s="19" t="str">
        <f>IF(Banco_Nacion[[#This Row],[TIPO DE MOV.]]="INGRESO",Banco_Nacion[[#This Row],[SERIE]]&amp;Banco_Nacion[[#This Row],[NUMERO]]&amp;Banco_Nacion[[#This Row],[RESPONSABLE]]&amp;Banco_Nacion[[#This Row],[MONTO ]],"")</f>
        <v>E0012520558353814289</v>
      </c>
      <c r="Y23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78788888</v>
      </c>
      <c r="Z236" s="3"/>
      <c r="AA236" s="3"/>
      <c r="AB236" s="24" t="str">
        <f>IF(Banco_Nacion[[#This Row],[FECHA]]&gt;0,TEXT(Banco_Nacion[[#This Row],[FECHA]],"mmmm"),0)</f>
        <v>Abril</v>
      </c>
    </row>
    <row r="237" spans="2:28" x14ac:dyDescent="0.3">
      <c r="B237" s="2">
        <f>IF(Banco_Nacion[[#This Row],[TIPO DE R.]]="R",COUNTIFS($D$4:$D236,"R")+1,"")</f>
        <v>233</v>
      </c>
      <c r="C237" s="19" t="str">
        <f t="shared" si="15"/>
        <v>B-Banco de la Nacion</v>
      </c>
      <c r="D237" s="3" t="s">
        <v>1074</v>
      </c>
      <c r="E237" s="14">
        <v>45757</v>
      </c>
      <c r="F237" s="5">
        <v>20226909576</v>
      </c>
      <c r="G237" s="5" t="s">
        <v>1087</v>
      </c>
      <c r="H237" s="6" t="s">
        <v>368</v>
      </c>
      <c r="I237" s="6" t="s">
        <v>14</v>
      </c>
      <c r="J237" s="6" t="s">
        <v>1121</v>
      </c>
      <c r="K237" s="6">
        <v>48</v>
      </c>
      <c r="L237" s="7" t="s">
        <v>4290</v>
      </c>
      <c r="M237" s="8">
        <v>73139353</v>
      </c>
      <c r="N237" s="8" t="str">
        <f t="shared" si="16"/>
        <v>PEN</v>
      </c>
      <c r="O237" s="13"/>
      <c r="P237" s="13">
        <v>320</v>
      </c>
      <c r="Q237" s="3">
        <f t="shared" si="17"/>
        <v>320</v>
      </c>
      <c r="R237" s="3">
        <f t="shared" si="18"/>
        <v>0</v>
      </c>
      <c r="S237" s="3">
        <f t="shared" si="19"/>
        <v>42240.010000000009</v>
      </c>
      <c r="T237" s="24"/>
      <c r="U237" s="24" t="s">
        <v>1081</v>
      </c>
      <c r="V237" s="3"/>
      <c r="W237" s="19" t="str">
        <f>IFERROR(VLOOKUP(Banco_Nacion[[#This Row],[RESPONSABLE]],Clientes_Proveedores[[Ruc / Dni]:[Razon Social]],2,0),"")</f>
        <v xml:space="preserve"> COOPERATIVA MINERA EL DORADO DE ANANEA LTDA</v>
      </c>
      <c r="X237" s="19" t="str">
        <f>IF(Banco_Nacion[[#This Row],[TIPO DE MOV.]]="INGRESO",Banco_Nacion[[#This Row],[SERIE]]&amp;Banco_Nacion[[#This Row],[NUMERO]]&amp;Banco_Nacion[[#This Row],[RESPONSABLE]]&amp;Banco_Nacion[[#This Row],[MONTO ]],"")</f>
        <v>E0014820226909576320</v>
      </c>
      <c r="Y23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73139353</v>
      </c>
      <c r="Z237" s="3"/>
      <c r="AA237" s="3"/>
      <c r="AB237" s="24" t="str">
        <f>IF(Banco_Nacion[[#This Row],[FECHA]]&gt;0,TEXT(Banco_Nacion[[#This Row],[FECHA]],"mmmm"),0)</f>
        <v>Abril</v>
      </c>
    </row>
    <row r="238" spans="2:28" x14ac:dyDescent="0.3">
      <c r="B238" s="2">
        <f>IF(Banco_Nacion[[#This Row],[TIPO DE R.]]="R",COUNTIFS($D$4:$D237,"R")+1,"")</f>
        <v>234</v>
      </c>
      <c r="C238" s="19" t="str">
        <f t="shared" si="15"/>
        <v>B-Banco de la Nacion</v>
      </c>
      <c r="D238" s="3" t="s">
        <v>1074</v>
      </c>
      <c r="E238" s="14">
        <v>45757</v>
      </c>
      <c r="F238" s="5">
        <v>20517932346</v>
      </c>
      <c r="G238" s="5" t="s">
        <v>1087</v>
      </c>
      <c r="H238" s="6" t="s">
        <v>368</v>
      </c>
      <c r="I238" s="6" t="s">
        <v>14</v>
      </c>
      <c r="J238" s="6" t="s">
        <v>1088</v>
      </c>
      <c r="K238" s="6">
        <v>-574</v>
      </c>
      <c r="L238" s="7" t="s">
        <v>4290</v>
      </c>
      <c r="M238" s="8">
        <v>73001277</v>
      </c>
      <c r="N238" s="8" t="str">
        <f t="shared" si="16"/>
        <v>PEN</v>
      </c>
      <c r="O238" s="13"/>
      <c r="P238" s="13">
        <v>73.209999999999994</v>
      </c>
      <c r="Q238" s="3">
        <f t="shared" si="17"/>
        <v>73.209999999999994</v>
      </c>
      <c r="R238" s="3">
        <f t="shared" si="18"/>
        <v>0</v>
      </c>
      <c r="S238" s="3">
        <f t="shared" si="19"/>
        <v>42313.220000000008</v>
      </c>
      <c r="T238" s="24"/>
      <c r="U238" s="24"/>
      <c r="V238" s="3"/>
      <c r="W238" s="19" t="str">
        <f>IFERROR(VLOOKUP(Banco_Nacion[[#This Row],[RESPONSABLE]],Clientes_Proveedores[[Ruc / Dni]:[Razon Social]],2,0),"")</f>
        <v>TUBERIAS Y GEOSISTEMAS DEL PERU SA - TUBERIAS Y GEOS S.A.</v>
      </c>
      <c r="X238" s="19" t="str">
        <f>IF(Banco_Nacion[[#This Row],[TIPO DE MOV.]]="INGRESO",Banco_Nacion[[#This Row],[SERIE]]&amp;Banco_Nacion[[#This Row],[NUMERO]]&amp;Banco_Nacion[[#This Row],[RESPONSABLE]]&amp;Banco_Nacion[[#This Row],[MONTO ]],"")</f>
        <v>FE01-5742051793234673.21</v>
      </c>
      <c r="Y23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73001277</v>
      </c>
      <c r="Z238" s="3"/>
      <c r="AA238" s="3"/>
      <c r="AB238" s="24" t="str">
        <f>IF(Banco_Nacion[[#This Row],[FECHA]]&gt;0,TEXT(Banco_Nacion[[#This Row],[FECHA]],"mmmm"),0)</f>
        <v>Abril</v>
      </c>
    </row>
    <row r="239" spans="2:28" x14ac:dyDescent="0.3">
      <c r="B239" s="2">
        <f>IF(Banco_Nacion[[#This Row],[TIPO DE R.]]="R",COUNTIFS($D$4:$D238,"R")+1,"")</f>
        <v>235</v>
      </c>
      <c r="C239" s="19" t="str">
        <f t="shared" si="15"/>
        <v>B-Banco de la Nacion</v>
      </c>
      <c r="D239" s="3" t="s">
        <v>1074</v>
      </c>
      <c r="E239" s="14">
        <v>45758</v>
      </c>
      <c r="F239" s="5">
        <v>20159473148</v>
      </c>
      <c r="G239" s="5" t="s">
        <v>1087</v>
      </c>
      <c r="H239" s="6" t="s">
        <v>368</v>
      </c>
      <c r="I239" s="6" t="s">
        <v>14</v>
      </c>
      <c r="J239" s="6" t="s">
        <v>1521</v>
      </c>
      <c r="K239" s="6">
        <v>21</v>
      </c>
      <c r="L239" s="7" t="s">
        <v>4290</v>
      </c>
      <c r="M239" s="8">
        <v>73823462</v>
      </c>
      <c r="N239" s="8" t="str">
        <f t="shared" si="16"/>
        <v>PEN</v>
      </c>
      <c r="O239" s="13"/>
      <c r="P239" s="13">
        <v>129</v>
      </c>
      <c r="Q239" s="3">
        <f t="shared" si="17"/>
        <v>129</v>
      </c>
      <c r="R239" s="3">
        <f t="shared" si="18"/>
        <v>0</v>
      </c>
      <c r="S239" s="3">
        <f t="shared" si="19"/>
        <v>42442.220000000008</v>
      </c>
      <c r="T239" s="24"/>
      <c r="U239" s="24" t="s">
        <v>1081</v>
      </c>
      <c r="V239" s="3"/>
      <c r="W239" s="19" t="str">
        <f>IFERROR(VLOOKUP(Banco_Nacion[[#This Row],[RESPONSABLE]],Clientes_Proveedores[[Ruc / Dni]:[Razon Social]],2,0),"")</f>
        <v>PESQUERA DIAMANTE S.A.</v>
      </c>
      <c r="X239" s="19" t="str">
        <f>IF(Banco_Nacion[[#This Row],[TIPO DE MOV.]]="INGRESO",Banco_Nacion[[#This Row],[SERIE]]&amp;Banco_Nacion[[#This Row],[NUMERO]]&amp;Banco_Nacion[[#This Row],[RESPONSABLE]]&amp;Banco_Nacion[[#This Row],[MONTO ]],"")</f>
        <v>FF012120159473148129</v>
      </c>
      <c r="Y23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73823462</v>
      </c>
      <c r="Z239" s="3"/>
      <c r="AA239" s="3"/>
      <c r="AB239" s="24" t="str">
        <f>IF(Banco_Nacion[[#This Row],[FECHA]]&gt;0,TEXT(Banco_Nacion[[#This Row],[FECHA]],"mmmm"),0)</f>
        <v>Abril</v>
      </c>
    </row>
    <row r="240" spans="2:28" x14ac:dyDescent="0.3">
      <c r="B240" s="2">
        <f>IF(Banco_Nacion[[#This Row],[TIPO DE R.]]="R",COUNTIFS($D$4:$D239,"R")+1,"")</f>
        <v>236</v>
      </c>
      <c r="C240" s="19" t="str">
        <f t="shared" si="15"/>
        <v>B-Banco de la Nacion</v>
      </c>
      <c r="D240" s="3" t="s">
        <v>1074</v>
      </c>
      <c r="E240" s="14">
        <v>45758</v>
      </c>
      <c r="F240" s="5"/>
      <c r="G240" s="5" t="s">
        <v>1079</v>
      </c>
      <c r="H240" s="6"/>
      <c r="I240" s="6"/>
      <c r="J240" s="6" t="s">
        <v>4289</v>
      </c>
      <c r="K240" s="6"/>
      <c r="L240" s="7" t="s">
        <v>4292</v>
      </c>
      <c r="M240" s="8">
        <v>78787878</v>
      </c>
      <c r="N240" s="8" t="str">
        <f t="shared" si="16"/>
        <v>PEN</v>
      </c>
      <c r="O240" s="13"/>
      <c r="P240" s="13">
        <v>24787</v>
      </c>
      <c r="Q240" s="3">
        <f t="shared" si="17"/>
        <v>0</v>
      </c>
      <c r="R240" s="3">
        <f t="shared" si="18"/>
        <v>24787</v>
      </c>
      <c r="S240" s="3">
        <f t="shared" si="19"/>
        <v>17655.220000000008</v>
      </c>
      <c r="T240" s="24"/>
      <c r="U240" s="24"/>
      <c r="V240" s="3"/>
      <c r="W240" s="19" t="str">
        <f>IFERROR(VLOOKUP(Banco_Nacion[[#This Row],[RESPONSABLE]],Clientes_Proveedores[[Ruc / Dni]:[Razon Social]],2,0),"")</f>
        <v/>
      </c>
      <c r="X24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24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240" s="3"/>
      <c r="AA240" s="3"/>
      <c r="AB240" s="24" t="str">
        <f>IF(Banco_Nacion[[#This Row],[FECHA]]&gt;0,TEXT(Banco_Nacion[[#This Row],[FECHA]],"mmmm"),0)</f>
        <v>Abril</v>
      </c>
    </row>
    <row r="241" spans="2:28" x14ac:dyDescent="0.3">
      <c r="B241" s="2">
        <f>IF(Banco_Nacion[[#This Row],[TIPO DE R.]]="R",COUNTIFS($D$4:$D240,"R")+1,"")</f>
        <v>237</v>
      </c>
      <c r="C241" s="19" t="str">
        <f t="shared" si="15"/>
        <v>B-Banco de la Nacion</v>
      </c>
      <c r="D241" s="3" t="s">
        <v>1074</v>
      </c>
      <c r="E241" s="14">
        <v>45763</v>
      </c>
      <c r="F241" s="5">
        <v>20455977330</v>
      </c>
      <c r="G241" s="5" t="s">
        <v>1087</v>
      </c>
      <c r="H241" s="6" t="s">
        <v>368</v>
      </c>
      <c r="I241" s="6" t="s">
        <v>14</v>
      </c>
      <c r="J241" s="6" t="s">
        <v>1521</v>
      </c>
      <c r="K241" s="6" t="s">
        <v>4297</v>
      </c>
      <c r="L241" s="7" t="s">
        <v>4290</v>
      </c>
      <c r="M241" s="8">
        <v>74300178</v>
      </c>
      <c r="N241" s="8" t="str">
        <f t="shared" si="16"/>
        <v>PEN</v>
      </c>
      <c r="O241" s="13"/>
      <c r="P241" s="13">
        <v>116</v>
      </c>
      <c r="Q241" s="3">
        <f t="shared" si="17"/>
        <v>116</v>
      </c>
      <c r="R241" s="3">
        <f t="shared" si="18"/>
        <v>0</v>
      </c>
      <c r="S241" s="3">
        <f t="shared" si="19"/>
        <v>17771.220000000008</v>
      </c>
      <c r="T241" s="24"/>
      <c r="U241" s="24"/>
      <c r="V241" s="3"/>
      <c r="W241" s="19" t="str">
        <f>IFERROR(VLOOKUP(Banco_Nacion[[#This Row],[RESPONSABLE]],Clientes_Proveedores[[Ruc / Dni]:[Razon Social]],2,0),"")</f>
        <v>AUTOPROYECT E.I.R.L.</v>
      </c>
      <c r="X241" s="19" t="str">
        <f>IF(Banco_Nacion[[#This Row],[TIPO DE MOV.]]="INGRESO",Banco_Nacion[[#This Row],[SERIE]]&amp;Banco_Nacion[[#This Row],[NUMERO]]&amp;Banco_Nacion[[#This Row],[RESPONSABLE]]&amp;Banco_Nacion[[#This Row],[MONTO ]],"")</f>
        <v>FF012420455977330116</v>
      </c>
      <c r="Y24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74300178</v>
      </c>
      <c r="Z241" s="3"/>
      <c r="AA241" s="3"/>
      <c r="AB241" s="24" t="str">
        <f>IF(Banco_Nacion[[#This Row],[FECHA]]&gt;0,TEXT(Banco_Nacion[[#This Row],[FECHA]],"mmmm"),0)</f>
        <v>Abril</v>
      </c>
    </row>
    <row r="242" spans="2:28" x14ac:dyDescent="0.3">
      <c r="B242" s="2">
        <f>IF(Banco_Nacion[[#This Row],[TIPO DE R.]]="R",COUNTIFS($D$4:$D241,"R")+1,"")</f>
        <v>238</v>
      </c>
      <c r="C242" s="19" t="str">
        <f t="shared" si="15"/>
        <v>B-Banco de la Nacion</v>
      </c>
      <c r="D242" s="3" t="s">
        <v>1074</v>
      </c>
      <c r="E242" s="14">
        <v>45763</v>
      </c>
      <c r="F242" s="5">
        <v>20613110586</v>
      </c>
      <c r="G242" s="5" t="s">
        <v>1087</v>
      </c>
      <c r="H242" s="6" t="s">
        <v>368</v>
      </c>
      <c r="I242" s="6" t="s">
        <v>14</v>
      </c>
      <c r="J242" s="6" t="s">
        <v>3010</v>
      </c>
      <c r="K242" s="6">
        <v>8</v>
      </c>
      <c r="L242" s="7" t="s">
        <v>4290</v>
      </c>
      <c r="M242" s="8">
        <v>74300177</v>
      </c>
      <c r="N242" s="8" t="str">
        <f t="shared" si="16"/>
        <v>PEN</v>
      </c>
      <c r="O242" s="13"/>
      <c r="P242" s="13">
        <v>102</v>
      </c>
      <c r="Q242" s="3">
        <f t="shared" si="17"/>
        <v>102</v>
      </c>
      <c r="R242" s="3">
        <f t="shared" si="18"/>
        <v>0</v>
      </c>
      <c r="S242" s="3">
        <f t="shared" si="19"/>
        <v>17873.220000000008</v>
      </c>
      <c r="T242" s="24"/>
      <c r="U242" s="24" t="s">
        <v>1081</v>
      </c>
      <c r="V242" s="3"/>
      <c r="W242" s="19" t="str">
        <f>IFERROR(VLOOKUP(Banco_Nacion[[#This Row],[RESPONSABLE]],Clientes_Proveedores[[Ruc / Dni]:[Razon Social]],2,0),"")</f>
        <v>ACTIVA SERVICIOS GASTRONOMICOS S.R.L.</v>
      </c>
      <c r="X242" s="19" t="str">
        <f>IF(Banco_Nacion[[#This Row],[TIPO DE MOV.]]="INGRESO",Banco_Nacion[[#This Row],[SERIE]]&amp;Banco_Nacion[[#This Row],[NUMERO]]&amp;Banco_Nacion[[#This Row],[RESPONSABLE]]&amp;Banco_Nacion[[#This Row],[MONTO ]],"")</f>
        <v>FF02820613110586102</v>
      </c>
      <c r="Y24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74300177</v>
      </c>
      <c r="Z242" s="3"/>
      <c r="AA242" s="3"/>
      <c r="AB242" s="24" t="str">
        <f>IF(Banco_Nacion[[#This Row],[FECHA]]&gt;0,TEXT(Banco_Nacion[[#This Row],[FECHA]],"mmmm"),0)</f>
        <v>Abril</v>
      </c>
    </row>
    <row r="243" spans="2:28" x14ac:dyDescent="0.3">
      <c r="B243" s="2">
        <f>IF(Banco_Nacion[[#This Row],[TIPO DE R.]]="R",COUNTIFS($D$4:$D242,"R")+1,"")</f>
        <v>239</v>
      </c>
      <c r="C243" s="19" t="str">
        <f t="shared" si="15"/>
        <v>B-Banco de la Nacion</v>
      </c>
      <c r="D243" s="3" t="s">
        <v>1074</v>
      </c>
      <c r="E243" s="14">
        <v>45763</v>
      </c>
      <c r="F243" s="5">
        <v>20456012427</v>
      </c>
      <c r="G243" s="5" t="s">
        <v>1087</v>
      </c>
      <c r="H243" s="6" t="s">
        <v>368</v>
      </c>
      <c r="I243" s="6" t="s">
        <v>14</v>
      </c>
      <c r="J243" s="6" t="s">
        <v>1521</v>
      </c>
      <c r="K243" s="6">
        <v>6</v>
      </c>
      <c r="L243" s="7" t="s">
        <v>4290</v>
      </c>
      <c r="M243" s="8">
        <v>74300176</v>
      </c>
      <c r="N243" s="8" t="str">
        <f t="shared" si="16"/>
        <v>PEN</v>
      </c>
      <c r="O243" s="13"/>
      <c r="P243" s="13">
        <v>140</v>
      </c>
      <c r="Q243" s="3">
        <f t="shared" si="17"/>
        <v>140</v>
      </c>
      <c r="R243" s="3">
        <f t="shared" si="18"/>
        <v>0</v>
      </c>
      <c r="S243" s="3">
        <f t="shared" si="19"/>
        <v>18013.220000000008</v>
      </c>
      <c r="T243" s="24"/>
      <c r="U243" s="24" t="s">
        <v>1081</v>
      </c>
      <c r="V243" s="3"/>
      <c r="W243" s="19" t="str">
        <f>IFERROR(VLOOKUP(Banco_Nacion[[#This Row],[RESPONSABLE]],Clientes_Proveedores[[Ruc / Dni]:[Razon Social]],2,0),"")</f>
        <v>J. CH. COMERCIALIZADORA DE RESIDUOS SOLIDOS S.R.L.</v>
      </c>
      <c r="X243" s="19" t="str">
        <f>IF(Banco_Nacion[[#This Row],[TIPO DE MOV.]]="INGRESO",Banco_Nacion[[#This Row],[SERIE]]&amp;Banco_Nacion[[#This Row],[NUMERO]]&amp;Banco_Nacion[[#This Row],[RESPONSABLE]]&amp;Banco_Nacion[[#This Row],[MONTO ]],"")</f>
        <v>FF01620456012427140</v>
      </c>
      <c r="Y24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74300176</v>
      </c>
      <c r="Z243" s="3"/>
      <c r="AA243" s="3"/>
      <c r="AB243" s="24" t="str">
        <f>IF(Banco_Nacion[[#This Row],[FECHA]]&gt;0,TEXT(Banco_Nacion[[#This Row],[FECHA]],"mmmm"),0)</f>
        <v>Abril</v>
      </c>
    </row>
    <row r="244" spans="2:28" x14ac:dyDescent="0.3">
      <c r="B244" s="2">
        <f>IF(Banco_Nacion[[#This Row],[TIPO DE R.]]="R",COUNTIFS($D$4:$D243,"R")+1,"")</f>
        <v>240</v>
      </c>
      <c r="C244" s="19" t="str">
        <f t="shared" si="15"/>
        <v>B-Banco de la Nacion</v>
      </c>
      <c r="D244" s="3" t="s">
        <v>1074</v>
      </c>
      <c r="E244" s="14">
        <v>45763</v>
      </c>
      <c r="F244" s="5">
        <v>20100172543</v>
      </c>
      <c r="G244" s="5" t="s">
        <v>1087</v>
      </c>
      <c r="H244" s="6" t="s">
        <v>368</v>
      </c>
      <c r="I244" s="6" t="s">
        <v>14</v>
      </c>
      <c r="J244" s="6" t="s">
        <v>1521</v>
      </c>
      <c r="K244" s="6">
        <v>11</v>
      </c>
      <c r="L244" s="7" t="s">
        <v>4290</v>
      </c>
      <c r="M244" s="8">
        <v>74292097</v>
      </c>
      <c r="N244" s="8" t="str">
        <f t="shared" si="16"/>
        <v>PEN</v>
      </c>
      <c r="O244" s="13"/>
      <c r="P244" s="13">
        <v>148</v>
      </c>
      <c r="Q244" s="3">
        <f t="shared" si="17"/>
        <v>148</v>
      </c>
      <c r="R244" s="3">
        <f t="shared" si="18"/>
        <v>0</v>
      </c>
      <c r="S244" s="3">
        <f t="shared" si="19"/>
        <v>18161.220000000008</v>
      </c>
      <c r="T244" s="24"/>
      <c r="U244" s="24" t="s">
        <v>1081</v>
      </c>
      <c r="V244" s="3"/>
      <c r="W244" s="19" t="str">
        <f>IFERROR(VLOOKUP(Banco_Nacion[[#This Row],[RESPONSABLE]],Clientes_Proveedores[[Ruc / Dni]:[Razon Social]],2,0),"")</f>
        <v>MOVITECNICA S A</v>
      </c>
      <c r="X244" s="19" t="str">
        <f>IF(Banco_Nacion[[#This Row],[TIPO DE MOV.]]="INGRESO",Banco_Nacion[[#This Row],[SERIE]]&amp;Banco_Nacion[[#This Row],[NUMERO]]&amp;Banco_Nacion[[#This Row],[RESPONSABLE]]&amp;Banco_Nacion[[#This Row],[MONTO ]],"")</f>
        <v>FF011120100172543148</v>
      </c>
      <c r="Y24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74292097</v>
      </c>
      <c r="Z244" s="3"/>
      <c r="AA244" s="3"/>
      <c r="AB244" s="24" t="str">
        <f>IF(Banco_Nacion[[#This Row],[FECHA]]&gt;0,TEXT(Banco_Nacion[[#This Row],[FECHA]],"mmmm"),0)</f>
        <v>Abril</v>
      </c>
    </row>
    <row r="245" spans="2:28" x14ac:dyDescent="0.3">
      <c r="B245" s="2">
        <f>IF(Banco_Nacion[[#This Row],[TIPO DE R.]]="R",COUNTIFS($D$4:$D244,"R")+1,"")</f>
        <v>241</v>
      </c>
      <c r="C245" s="19" t="str">
        <f t="shared" si="15"/>
        <v>B-Banco de la Nacion</v>
      </c>
      <c r="D245" s="3" t="s">
        <v>1074</v>
      </c>
      <c r="E245" s="14">
        <v>45763</v>
      </c>
      <c r="F245" s="5">
        <v>20607388416</v>
      </c>
      <c r="G245" s="5" t="s">
        <v>1087</v>
      </c>
      <c r="H245" s="6" t="s">
        <v>368</v>
      </c>
      <c r="I245" s="6" t="s">
        <v>14</v>
      </c>
      <c r="J245" s="6" t="s">
        <v>3091</v>
      </c>
      <c r="K245" s="6">
        <v>6</v>
      </c>
      <c r="L245" s="7" t="s">
        <v>4290</v>
      </c>
      <c r="M245" s="8">
        <v>74286229</v>
      </c>
      <c r="N245" s="8" t="str">
        <f t="shared" si="16"/>
        <v>PEN</v>
      </c>
      <c r="O245" s="13"/>
      <c r="P245" s="13">
        <v>295</v>
      </c>
      <c r="Q245" s="3">
        <f t="shared" si="17"/>
        <v>295</v>
      </c>
      <c r="R245" s="3">
        <f t="shared" si="18"/>
        <v>0</v>
      </c>
      <c r="S245" s="3">
        <f t="shared" si="19"/>
        <v>18456.220000000008</v>
      </c>
      <c r="T245" s="24"/>
      <c r="U245" s="24" t="s">
        <v>1081</v>
      </c>
      <c r="V245" s="3"/>
      <c r="W245" s="19" t="str">
        <f>IFERROR(VLOOKUP(Banco_Nacion[[#This Row],[RESPONSABLE]],Clientes_Proveedores[[Ruc / Dni]:[Razon Social]],2,0),"")</f>
        <v>ALEACIONES FERROSAS Y METALICAS S.A.C.</v>
      </c>
      <c r="X245" s="19" t="str">
        <f>IF(Banco_Nacion[[#This Row],[TIPO DE MOV.]]="INGRESO",Banco_Nacion[[#This Row],[SERIE]]&amp;Banco_Nacion[[#This Row],[NUMERO]]&amp;Banco_Nacion[[#This Row],[RESPONSABLE]]&amp;Banco_Nacion[[#This Row],[MONTO ]],"")</f>
        <v>FF05620607388416295</v>
      </c>
      <c r="Y24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74286229</v>
      </c>
      <c r="Z245" s="3"/>
      <c r="AA245" s="3"/>
      <c r="AB245" s="24" t="str">
        <f>IF(Banco_Nacion[[#This Row],[FECHA]]&gt;0,TEXT(Banco_Nacion[[#This Row],[FECHA]],"mmmm"),0)</f>
        <v>Abril</v>
      </c>
    </row>
    <row r="246" spans="2:28" x14ac:dyDescent="0.3">
      <c r="B246" s="2">
        <f>IF(Banco_Nacion[[#This Row],[TIPO DE R.]]="R",COUNTIFS($D$4:$D245,"R")+1,"")</f>
        <v>242</v>
      </c>
      <c r="C246" s="19" t="str">
        <f t="shared" si="15"/>
        <v>B-Banco de la Nacion</v>
      </c>
      <c r="D246" s="3" t="s">
        <v>1074</v>
      </c>
      <c r="E246" s="14">
        <v>45763</v>
      </c>
      <c r="F246" s="5">
        <v>20607388416</v>
      </c>
      <c r="G246" s="5" t="s">
        <v>1087</v>
      </c>
      <c r="H246" s="6" t="s">
        <v>368</v>
      </c>
      <c r="I246" s="6" t="s">
        <v>14</v>
      </c>
      <c r="J246" s="6" t="s">
        <v>3091</v>
      </c>
      <c r="K246" s="6">
        <v>4</v>
      </c>
      <c r="L246" s="7" t="s">
        <v>4290</v>
      </c>
      <c r="M246" s="8">
        <v>74286210</v>
      </c>
      <c r="N246" s="8" t="str">
        <f t="shared" si="16"/>
        <v>PEN</v>
      </c>
      <c r="O246" s="13"/>
      <c r="P246" s="13">
        <v>738</v>
      </c>
      <c r="Q246" s="3">
        <f t="shared" si="17"/>
        <v>738</v>
      </c>
      <c r="R246" s="3">
        <f t="shared" si="18"/>
        <v>0</v>
      </c>
      <c r="S246" s="3">
        <f t="shared" si="19"/>
        <v>19194.220000000008</v>
      </c>
      <c r="T246" s="24"/>
      <c r="U246" s="24" t="s">
        <v>1081</v>
      </c>
      <c r="V246" s="3"/>
      <c r="W246" s="19" t="str">
        <f>IFERROR(VLOOKUP(Banco_Nacion[[#This Row],[RESPONSABLE]],Clientes_Proveedores[[Ruc / Dni]:[Razon Social]],2,0),"")</f>
        <v>ALEACIONES FERROSAS Y METALICAS S.A.C.</v>
      </c>
      <c r="X246" s="19" t="str">
        <f>IF(Banco_Nacion[[#This Row],[TIPO DE MOV.]]="INGRESO",Banco_Nacion[[#This Row],[SERIE]]&amp;Banco_Nacion[[#This Row],[NUMERO]]&amp;Banco_Nacion[[#This Row],[RESPONSABLE]]&amp;Banco_Nacion[[#This Row],[MONTO ]],"")</f>
        <v>FF05420607388416738</v>
      </c>
      <c r="Y24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74286210</v>
      </c>
      <c r="Z246" s="3"/>
      <c r="AA246" s="3"/>
      <c r="AB246" s="24" t="str">
        <f>IF(Banco_Nacion[[#This Row],[FECHA]]&gt;0,TEXT(Banco_Nacion[[#This Row],[FECHA]],"mmmm"),0)</f>
        <v>Abril</v>
      </c>
    </row>
    <row r="247" spans="2:28" x14ac:dyDescent="0.3">
      <c r="B247" s="2">
        <f>IF(Banco_Nacion[[#This Row],[TIPO DE R.]]="R",COUNTIFS($D$4:$D246,"R")+1,"")</f>
        <v>243</v>
      </c>
      <c r="C247" s="19" t="str">
        <f t="shared" si="15"/>
        <v>B-Banco de la Nacion</v>
      </c>
      <c r="D247" s="3" t="s">
        <v>1074</v>
      </c>
      <c r="E247" s="14">
        <v>45763</v>
      </c>
      <c r="F247" s="5">
        <v>20607388416</v>
      </c>
      <c r="G247" s="5" t="s">
        <v>1087</v>
      </c>
      <c r="H247" s="6" t="s">
        <v>368</v>
      </c>
      <c r="I247" s="6" t="s">
        <v>14</v>
      </c>
      <c r="J247" s="6" t="s">
        <v>3091</v>
      </c>
      <c r="K247" s="6">
        <v>8</v>
      </c>
      <c r="L247" s="7" t="s">
        <v>4290</v>
      </c>
      <c r="M247" s="8">
        <v>74286035</v>
      </c>
      <c r="N247" s="8" t="str">
        <f t="shared" si="16"/>
        <v>PEN</v>
      </c>
      <c r="O247" s="13"/>
      <c r="P247" s="13">
        <v>306</v>
      </c>
      <c r="Q247" s="3">
        <f t="shared" si="17"/>
        <v>306</v>
      </c>
      <c r="R247" s="3">
        <f t="shared" si="18"/>
        <v>0</v>
      </c>
      <c r="S247" s="3">
        <f t="shared" si="19"/>
        <v>19500.220000000008</v>
      </c>
      <c r="T247" s="24"/>
      <c r="U247" s="24" t="s">
        <v>1081</v>
      </c>
      <c r="V247" s="3"/>
      <c r="W247" s="19" t="str">
        <f>IFERROR(VLOOKUP(Banco_Nacion[[#This Row],[RESPONSABLE]],Clientes_Proveedores[[Ruc / Dni]:[Razon Social]],2,0),"")</f>
        <v>ALEACIONES FERROSAS Y METALICAS S.A.C.</v>
      </c>
      <c r="X247" s="19" t="str">
        <f>IF(Banco_Nacion[[#This Row],[TIPO DE MOV.]]="INGRESO",Banco_Nacion[[#This Row],[SERIE]]&amp;Banco_Nacion[[#This Row],[NUMERO]]&amp;Banco_Nacion[[#This Row],[RESPONSABLE]]&amp;Banco_Nacion[[#This Row],[MONTO ]],"")</f>
        <v>FF05820607388416306</v>
      </c>
      <c r="Y24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74286035</v>
      </c>
      <c r="Z247" s="3"/>
      <c r="AA247" s="3"/>
      <c r="AB247" s="24" t="str">
        <f>IF(Banco_Nacion[[#This Row],[FECHA]]&gt;0,TEXT(Banco_Nacion[[#This Row],[FECHA]],"mmmm"),0)</f>
        <v>Abril</v>
      </c>
    </row>
    <row r="248" spans="2:28" x14ac:dyDescent="0.3">
      <c r="B248" s="2">
        <f>IF(Banco_Nacion[[#This Row],[TIPO DE R.]]="R",COUNTIFS($D$4:$D247,"R")+1,"")</f>
        <v>244</v>
      </c>
      <c r="C248" s="19" t="str">
        <f t="shared" si="15"/>
        <v>B-Banco de la Nacion</v>
      </c>
      <c r="D248" s="3" t="s">
        <v>1074</v>
      </c>
      <c r="E248" s="14">
        <v>45763</v>
      </c>
      <c r="F248" s="5">
        <v>20601119600</v>
      </c>
      <c r="G248" s="5" t="s">
        <v>1087</v>
      </c>
      <c r="H248" s="6" t="s">
        <v>368</v>
      </c>
      <c r="I248" s="6" t="s">
        <v>14</v>
      </c>
      <c r="J248" s="6" t="s">
        <v>3091</v>
      </c>
      <c r="K248" s="6">
        <v>9</v>
      </c>
      <c r="L248" s="7" t="s">
        <v>4290</v>
      </c>
      <c r="M248" s="8">
        <v>26676564</v>
      </c>
      <c r="N248" s="8" t="str">
        <f t="shared" si="16"/>
        <v>PEN</v>
      </c>
      <c r="O248" s="13"/>
      <c r="P248" s="13">
        <v>124</v>
      </c>
      <c r="Q248" s="3">
        <f t="shared" si="17"/>
        <v>124</v>
      </c>
      <c r="R248" s="3">
        <f t="shared" si="18"/>
        <v>0</v>
      </c>
      <c r="S248" s="3">
        <f t="shared" si="19"/>
        <v>19624.220000000008</v>
      </c>
      <c r="T248" s="24"/>
      <c r="U248" s="24" t="s">
        <v>1081</v>
      </c>
      <c r="V248" s="3"/>
      <c r="W248" s="19" t="str">
        <f>IFERROR(VLOOKUP(Banco_Nacion[[#This Row],[RESPONSABLE]],Clientes_Proveedores[[Ruc / Dni]:[Razon Social]],2,0),"")</f>
        <v>INVERSIONES W.J.M. S.A.C.</v>
      </c>
      <c r="X248" s="19" t="str">
        <f>IF(Banco_Nacion[[#This Row],[TIPO DE MOV.]]="INGRESO",Banco_Nacion[[#This Row],[SERIE]]&amp;Banco_Nacion[[#This Row],[NUMERO]]&amp;Banco_Nacion[[#This Row],[RESPONSABLE]]&amp;Banco_Nacion[[#This Row],[MONTO ]],"")</f>
        <v>FF05920601119600124</v>
      </c>
      <c r="Y24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26676564</v>
      </c>
      <c r="Z248" s="3"/>
      <c r="AA248" s="3"/>
      <c r="AB248" s="24" t="str">
        <f>IF(Banco_Nacion[[#This Row],[FECHA]]&gt;0,TEXT(Banco_Nacion[[#This Row],[FECHA]],"mmmm"),0)</f>
        <v>Abril</v>
      </c>
    </row>
    <row r="249" spans="2:28" x14ac:dyDescent="0.3">
      <c r="B249" s="2">
        <f>IF(Banco_Nacion[[#This Row],[TIPO DE R.]]="R",COUNTIFS($D$4:$D248,"R")+1,"")</f>
        <v>245</v>
      </c>
      <c r="C249" s="19" t="str">
        <f t="shared" si="15"/>
        <v>B-Banco de la Nacion</v>
      </c>
      <c r="D249" s="3" t="s">
        <v>1074</v>
      </c>
      <c r="E249" s="14">
        <v>45763</v>
      </c>
      <c r="F249" s="5">
        <v>20601119600</v>
      </c>
      <c r="G249" s="5" t="s">
        <v>1087</v>
      </c>
      <c r="H249" s="6" t="s">
        <v>368</v>
      </c>
      <c r="I249" s="6" t="s">
        <v>14</v>
      </c>
      <c r="J249" s="6" t="s">
        <v>3091</v>
      </c>
      <c r="K249" s="6">
        <v>7</v>
      </c>
      <c r="L249" s="7" t="s">
        <v>4290</v>
      </c>
      <c r="M249" s="8">
        <v>26676525</v>
      </c>
      <c r="N249" s="8" t="str">
        <f t="shared" si="16"/>
        <v>PEN</v>
      </c>
      <c r="O249" s="13"/>
      <c r="P249" s="13">
        <v>190</v>
      </c>
      <c r="Q249" s="3">
        <f t="shared" si="17"/>
        <v>190</v>
      </c>
      <c r="R249" s="3">
        <f t="shared" si="18"/>
        <v>0</v>
      </c>
      <c r="S249" s="3">
        <f t="shared" si="19"/>
        <v>19814.220000000008</v>
      </c>
      <c r="T249" s="24"/>
      <c r="U249" s="24" t="s">
        <v>1081</v>
      </c>
      <c r="V249" s="3"/>
      <c r="W249" s="19" t="str">
        <f>IFERROR(VLOOKUP(Banco_Nacion[[#This Row],[RESPONSABLE]],Clientes_Proveedores[[Ruc / Dni]:[Razon Social]],2,0),"")</f>
        <v>INVERSIONES W.J.M. S.A.C.</v>
      </c>
      <c r="X249" s="19" t="str">
        <f>IF(Banco_Nacion[[#This Row],[TIPO DE MOV.]]="INGRESO",Banco_Nacion[[#This Row],[SERIE]]&amp;Banco_Nacion[[#This Row],[NUMERO]]&amp;Banco_Nacion[[#This Row],[RESPONSABLE]]&amp;Banco_Nacion[[#This Row],[MONTO ]],"")</f>
        <v>FF05720601119600190</v>
      </c>
      <c r="Y24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26676525</v>
      </c>
      <c r="Z249" s="3"/>
      <c r="AA249" s="3"/>
      <c r="AB249" s="24" t="str">
        <f>IF(Banco_Nacion[[#This Row],[FECHA]]&gt;0,TEXT(Banco_Nacion[[#This Row],[FECHA]],"mmmm"),0)</f>
        <v>Abril</v>
      </c>
    </row>
    <row r="250" spans="2:28" x14ac:dyDescent="0.3">
      <c r="B250" s="2">
        <f>IF(Banco_Nacion[[#This Row],[TIPO DE R.]]="R",COUNTIFS($D$4:$D249,"R")+1,"")</f>
        <v>246</v>
      </c>
      <c r="C250" s="19" t="str">
        <f t="shared" si="15"/>
        <v>B-Banco de la Nacion</v>
      </c>
      <c r="D250" s="3" t="s">
        <v>1074</v>
      </c>
      <c r="E250" s="14">
        <v>45768</v>
      </c>
      <c r="F250" s="5">
        <v>20523573226</v>
      </c>
      <c r="G250" s="5" t="s">
        <v>1087</v>
      </c>
      <c r="H250" s="6" t="s">
        <v>368</v>
      </c>
      <c r="I250" s="6" t="s">
        <v>14</v>
      </c>
      <c r="J250" s="6" t="s">
        <v>1521</v>
      </c>
      <c r="K250" s="6">
        <v>19</v>
      </c>
      <c r="L250" s="7" t="s">
        <v>4290</v>
      </c>
      <c r="M250" s="8">
        <v>74412565</v>
      </c>
      <c r="N250" s="8" t="str">
        <f t="shared" si="16"/>
        <v>PEN</v>
      </c>
      <c r="O250" s="13"/>
      <c r="P250" s="13">
        <v>114</v>
      </c>
      <c r="Q250" s="3">
        <f t="shared" si="17"/>
        <v>114</v>
      </c>
      <c r="R250" s="3">
        <f t="shared" si="18"/>
        <v>0</v>
      </c>
      <c r="S250" s="3">
        <f t="shared" si="19"/>
        <v>19928.220000000008</v>
      </c>
      <c r="T250" s="24"/>
      <c r="U250" s="24" t="s">
        <v>1081</v>
      </c>
      <c r="V250" s="3"/>
      <c r="W250" s="19" t="str">
        <f>IFERROR(VLOOKUP(Banco_Nacion[[#This Row],[RESPONSABLE]],Clientes_Proveedores[[Ruc / Dni]:[Razon Social]],2,0),"")</f>
        <v>CBB PERU S.A.</v>
      </c>
      <c r="X250" s="19" t="str">
        <f>IF(Banco_Nacion[[#This Row],[TIPO DE MOV.]]="INGRESO",Banco_Nacion[[#This Row],[SERIE]]&amp;Banco_Nacion[[#This Row],[NUMERO]]&amp;Banco_Nacion[[#This Row],[RESPONSABLE]]&amp;Banco_Nacion[[#This Row],[MONTO ]],"")</f>
        <v>FF011920523573226114</v>
      </c>
      <c r="Y25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74412565</v>
      </c>
      <c r="Z250" s="3"/>
      <c r="AA250" s="3"/>
      <c r="AB250" s="24" t="str">
        <f>IF(Banco_Nacion[[#This Row],[FECHA]]&gt;0,TEXT(Banco_Nacion[[#This Row],[FECHA]],"mmmm"),0)</f>
        <v>Abril</v>
      </c>
    </row>
    <row r="251" spans="2:28" x14ac:dyDescent="0.3">
      <c r="B251" s="2">
        <f>IF(Banco_Nacion[[#This Row],[TIPO DE R.]]="R",COUNTIFS($D$4:$D250,"R")+1,"")</f>
        <v>247</v>
      </c>
      <c r="C251" s="19" t="str">
        <f t="shared" si="15"/>
        <v>B-Banco de la Nacion</v>
      </c>
      <c r="D251" s="3" t="s">
        <v>1074</v>
      </c>
      <c r="E251" s="14">
        <v>45770</v>
      </c>
      <c r="F251" s="5">
        <v>20607388416</v>
      </c>
      <c r="G251" s="5" t="s">
        <v>1087</v>
      </c>
      <c r="H251" s="6" t="s">
        <v>368</v>
      </c>
      <c r="I251" s="6" t="s">
        <v>14</v>
      </c>
      <c r="J251" s="6" t="s">
        <v>3091</v>
      </c>
      <c r="K251" s="6">
        <v>11</v>
      </c>
      <c r="L251" s="7" t="s">
        <v>4290</v>
      </c>
      <c r="M251" s="8">
        <v>74774361</v>
      </c>
      <c r="N251" s="8" t="str">
        <f t="shared" si="16"/>
        <v>PEN</v>
      </c>
      <c r="O251" s="13"/>
      <c r="P251" s="13">
        <v>167</v>
      </c>
      <c r="Q251" s="3">
        <f t="shared" si="17"/>
        <v>167</v>
      </c>
      <c r="R251" s="3">
        <f t="shared" si="18"/>
        <v>0</v>
      </c>
      <c r="S251" s="3">
        <f t="shared" si="19"/>
        <v>20095.220000000008</v>
      </c>
      <c r="T251" s="24"/>
      <c r="U251" s="24" t="s">
        <v>1081</v>
      </c>
      <c r="V251" s="3"/>
      <c r="W251" s="19" t="str">
        <f>IFERROR(VLOOKUP(Banco_Nacion[[#This Row],[RESPONSABLE]],Clientes_Proveedores[[Ruc / Dni]:[Razon Social]],2,0),"")</f>
        <v>ALEACIONES FERROSAS Y METALICAS S.A.C.</v>
      </c>
      <c r="X251" s="19" t="str">
        <f>IF(Banco_Nacion[[#This Row],[TIPO DE MOV.]]="INGRESO",Banco_Nacion[[#This Row],[SERIE]]&amp;Banco_Nacion[[#This Row],[NUMERO]]&amp;Banco_Nacion[[#This Row],[RESPONSABLE]]&amp;Banco_Nacion[[#This Row],[MONTO ]],"")</f>
        <v>FF051120607388416167</v>
      </c>
      <c r="Y25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74774361</v>
      </c>
      <c r="Z251" s="3"/>
      <c r="AA251" s="3"/>
      <c r="AB251" s="24" t="str">
        <f>IF(Banco_Nacion[[#This Row],[FECHA]]&gt;0,TEXT(Banco_Nacion[[#This Row],[FECHA]],"mmmm"),0)</f>
        <v>Abril</v>
      </c>
    </row>
    <row r="252" spans="2:28" x14ac:dyDescent="0.3">
      <c r="B252" s="2">
        <f>IF(Banco_Nacion[[#This Row],[TIPO DE R.]]="R",COUNTIFS($D$4:$D251,"R")+1,"")</f>
        <v>248</v>
      </c>
      <c r="C252" s="19" t="str">
        <f t="shared" si="15"/>
        <v>B-Banco de la Nacion</v>
      </c>
      <c r="D252" s="3" t="s">
        <v>1074</v>
      </c>
      <c r="E252" s="14">
        <v>45771</v>
      </c>
      <c r="F252" s="5">
        <v>20402885549</v>
      </c>
      <c r="G252" s="5" t="s">
        <v>1087</v>
      </c>
      <c r="H252" s="6" t="s">
        <v>368</v>
      </c>
      <c r="I252" s="6" t="s">
        <v>14</v>
      </c>
      <c r="J252" s="6" t="s">
        <v>3010</v>
      </c>
      <c r="K252" s="6">
        <v>12</v>
      </c>
      <c r="L252" s="7" t="s">
        <v>4290</v>
      </c>
      <c r="M252" s="8">
        <v>74848552</v>
      </c>
      <c r="N252" s="8" t="str">
        <f t="shared" si="16"/>
        <v>PEN</v>
      </c>
      <c r="O252" s="13"/>
      <c r="P252" s="13">
        <v>3615</v>
      </c>
      <c r="Q252" s="3">
        <f t="shared" si="17"/>
        <v>3615</v>
      </c>
      <c r="R252" s="3">
        <f t="shared" si="18"/>
        <v>0</v>
      </c>
      <c r="S252" s="3">
        <f t="shared" si="19"/>
        <v>23710.220000000008</v>
      </c>
      <c r="T252" s="24"/>
      <c r="U252" s="24" t="s">
        <v>1081</v>
      </c>
      <c r="V252" s="3"/>
      <c r="W252" s="19" t="str">
        <f>IFERROR(VLOOKUP(Banco_Nacion[[#This Row],[RESPONSABLE]],Clientes_Proveedores[[Ruc / Dni]:[Razon Social]],2,0),"")</f>
        <v>EMPRESA SIDERURGICA DEL PERU S.A.A.</v>
      </c>
      <c r="X252" s="19" t="str">
        <f>IF(Banco_Nacion[[#This Row],[TIPO DE MOV.]]="INGRESO",Banco_Nacion[[#This Row],[SERIE]]&amp;Banco_Nacion[[#This Row],[NUMERO]]&amp;Banco_Nacion[[#This Row],[RESPONSABLE]]&amp;Banco_Nacion[[#This Row],[MONTO ]],"")</f>
        <v>FF0212204028855493615</v>
      </c>
      <c r="Y25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74848552</v>
      </c>
      <c r="Z252" s="3"/>
      <c r="AA252" s="3"/>
      <c r="AB252" s="24" t="str">
        <f>IF(Banco_Nacion[[#This Row],[FECHA]]&gt;0,TEXT(Banco_Nacion[[#This Row],[FECHA]],"mmmm"),0)</f>
        <v>Abril</v>
      </c>
    </row>
    <row r="253" spans="2:28" x14ac:dyDescent="0.3">
      <c r="B253" s="2">
        <f>IF(Banco_Nacion[[#This Row],[TIPO DE R.]]="R",COUNTIFS($D$4:$D252,"R")+1,"")</f>
        <v>249</v>
      </c>
      <c r="C253" s="19" t="str">
        <f t="shared" si="15"/>
        <v>B-Banco de la Nacion</v>
      </c>
      <c r="D253" s="3" t="s">
        <v>1074</v>
      </c>
      <c r="E253" s="14">
        <v>45771</v>
      </c>
      <c r="F253" s="5">
        <v>20402885549</v>
      </c>
      <c r="G253" s="5" t="s">
        <v>1087</v>
      </c>
      <c r="H253" s="6" t="s">
        <v>368</v>
      </c>
      <c r="I253" s="6" t="s">
        <v>14</v>
      </c>
      <c r="J253" s="6" t="s">
        <v>3010</v>
      </c>
      <c r="K253" s="6">
        <v>10</v>
      </c>
      <c r="L253" s="7" t="s">
        <v>4290</v>
      </c>
      <c r="M253" s="8">
        <v>74848446</v>
      </c>
      <c r="N253" s="8" t="str">
        <f t="shared" si="16"/>
        <v>PEN</v>
      </c>
      <c r="O253" s="13"/>
      <c r="P253" s="13">
        <v>2789</v>
      </c>
      <c r="Q253" s="3">
        <f t="shared" si="17"/>
        <v>2789</v>
      </c>
      <c r="R253" s="3">
        <f t="shared" si="18"/>
        <v>0</v>
      </c>
      <c r="S253" s="3">
        <f t="shared" si="19"/>
        <v>26499.220000000008</v>
      </c>
      <c r="T253" s="24"/>
      <c r="U253" s="24" t="s">
        <v>1081</v>
      </c>
      <c r="V253" s="3"/>
      <c r="W253" s="19" t="str">
        <f>IFERROR(VLOOKUP(Banco_Nacion[[#This Row],[RESPONSABLE]],Clientes_Proveedores[[Ruc / Dni]:[Razon Social]],2,0),"")</f>
        <v>EMPRESA SIDERURGICA DEL PERU S.A.A.</v>
      </c>
      <c r="X253" s="19" t="str">
        <f>IF(Banco_Nacion[[#This Row],[TIPO DE MOV.]]="INGRESO",Banco_Nacion[[#This Row],[SERIE]]&amp;Banco_Nacion[[#This Row],[NUMERO]]&amp;Banco_Nacion[[#This Row],[RESPONSABLE]]&amp;Banco_Nacion[[#This Row],[MONTO ]],"")</f>
        <v>FF0210204028855492789</v>
      </c>
      <c r="Y25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74848446</v>
      </c>
      <c r="Z253" s="3"/>
      <c r="AA253" s="3"/>
      <c r="AB253" s="24" t="str">
        <f>IF(Banco_Nacion[[#This Row],[FECHA]]&gt;0,TEXT(Banco_Nacion[[#This Row],[FECHA]],"mmmm"),0)</f>
        <v>Abril</v>
      </c>
    </row>
    <row r="254" spans="2:28" x14ac:dyDescent="0.3">
      <c r="B254" s="2">
        <f>IF(Banco_Nacion[[#This Row],[TIPO DE R.]]="R",COUNTIFS($D$4:$D253,"R")+1,"")</f>
        <v>250</v>
      </c>
      <c r="C254" s="19" t="str">
        <f t="shared" si="15"/>
        <v>B-Banco de la Nacion</v>
      </c>
      <c r="D254" s="3" t="s">
        <v>1074</v>
      </c>
      <c r="E254" s="14">
        <v>45771</v>
      </c>
      <c r="F254" s="5">
        <v>20402885549</v>
      </c>
      <c r="G254" s="5" t="s">
        <v>1087</v>
      </c>
      <c r="H254" s="6" t="s">
        <v>368</v>
      </c>
      <c r="I254" s="6" t="s">
        <v>14</v>
      </c>
      <c r="J254" s="6" t="s">
        <v>3010</v>
      </c>
      <c r="K254" s="6">
        <v>11</v>
      </c>
      <c r="L254" s="7" t="s">
        <v>4290</v>
      </c>
      <c r="M254" s="8">
        <v>74848442</v>
      </c>
      <c r="N254" s="8" t="str">
        <f t="shared" si="16"/>
        <v>PEN</v>
      </c>
      <c r="O254" s="13"/>
      <c r="P254" s="13">
        <v>4915</v>
      </c>
      <c r="Q254" s="3">
        <f t="shared" si="17"/>
        <v>4915</v>
      </c>
      <c r="R254" s="3">
        <f t="shared" si="18"/>
        <v>0</v>
      </c>
      <c r="S254" s="3">
        <f t="shared" si="19"/>
        <v>31414.220000000008</v>
      </c>
      <c r="T254" s="24"/>
      <c r="U254" s="24" t="s">
        <v>1081</v>
      </c>
      <c r="V254" s="3"/>
      <c r="W254" s="19" t="str">
        <f>IFERROR(VLOOKUP(Banco_Nacion[[#This Row],[RESPONSABLE]],Clientes_Proveedores[[Ruc / Dni]:[Razon Social]],2,0),"")</f>
        <v>EMPRESA SIDERURGICA DEL PERU S.A.A.</v>
      </c>
      <c r="X254" s="19" t="str">
        <f>IF(Banco_Nacion[[#This Row],[TIPO DE MOV.]]="INGRESO",Banco_Nacion[[#This Row],[SERIE]]&amp;Banco_Nacion[[#This Row],[NUMERO]]&amp;Banco_Nacion[[#This Row],[RESPONSABLE]]&amp;Banco_Nacion[[#This Row],[MONTO ]],"")</f>
        <v>FF0211204028855494915</v>
      </c>
      <c r="Y25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74848442</v>
      </c>
      <c r="Z254" s="3"/>
      <c r="AA254" s="3"/>
      <c r="AB254" s="24" t="str">
        <f>IF(Banco_Nacion[[#This Row],[FECHA]]&gt;0,TEXT(Banco_Nacion[[#This Row],[FECHA]],"mmmm"),0)</f>
        <v>Abril</v>
      </c>
    </row>
    <row r="255" spans="2:28" x14ac:dyDescent="0.3">
      <c r="B255" s="2">
        <f>IF(Banco_Nacion[[#This Row],[TIPO DE R.]]="R",COUNTIFS($D$4:$D254,"R")+1,"")</f>
        <v>251</v>
      </c>
      <c r="C255" s="19" t="str">
        <f t="shared" si="15"/>
        <v>B-Banco de la Nacion</v>
      </c>
      <c r="D255" s="3" t="s">
        <v>1074</v>
      </c>
      <c r="E255" s="14">
        <v>45771</v>
      </c>
      <c r="F255" s="5"/>
      <c r="G255" s="5" t="s">
        <v>1079</v>
      </c>
      <c r="H255" s="6"/>
      <c r="I255" s="6"/>
      <c r="J255" s="6" t="s">
        <v>4289</v>
      </c>
      <c r="K255" s="6"/>
      <c r="L255" s="7" t="s">
        <v>4292</v>
      </c>
      <c r="M255" s="8">
        <v>78787878</v>
      </c>
      <c r="N255" s="8" t="str">
        <f t="shared" si="16"/>
        <v>PEN</v>
      </c>
      <c r="O255" s="13"/>
      <c r="P255" s="13">
        <v>7918</v>
      </c>
      <c r="Q255" s="3">
        <f t="shared" si="17"/>
        <v>0</v>
      </c>
      <c r="R255" s="3">
        <f t="shared" si="18"/>
        <v>7918</v>
      </c>
      <c r="S255" s="3">
        <f t="shared" si="19"/>
        <v>23496.220000000008</v>
      </c>
      <c r="T255" s="24"/>
      <c r="U255" s="24"/>
      <c r="V255" s="3"/>
      <c r="W255" s="19" t="str">
        <f>IFERROR(VLOOKUP(Banco_Nacion[[#This Row],[RESPONSABLE]],Clientes_Proveedores[[Ruc / Dni]:[Razon Social]],2,0),"")</f>
        <v/>
      </c>
      <c r="X25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25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255" s="3"/>
      <c r="AA255" s="3"/>
      <c r="AB255" s="24" t="str">
        <f>IF(Banco_Nacion[[#This Row],[FECHA]]&gt;0,TEXT(Banco_Nacion[[#This Row],[FECHA]],"mmmm"),0)</f>
        <v>Abril</v>
      </c>
    </row>
    <row r="256" spans="2:28" x14ac:dyDescent="0.3">
      <c r="B256" s="2">
        <f>IF(Banco_Nacion[[#This Row],[TIPO DE R.]]="R",COUNTIFS($D$4:$D255,"R")+1,"")</f>
        <v>252</v>
      </c>
      <c r="C256" s="19" t="str">
        <f t="shared" si="15"/>
        <v>B-Banco de la Nacion</v>
      </c>
      <c r="D256" s="3" t="s">
        <v>1074</v>
      </c>
      <c r="E256" s="14">
        <v>45771</v>
      </c>
      <c r="F256" s="5"/>
      <c r="G256" s="5" t="s">
        <v>1079</v>
      </c>
      <c r="H256" s="6"/>
      <c r="I256" s="6"/>
      <c r="J256" s="6" t="s">
        <v>4289</v>
      </c>
      <c r="K256" s="6"/>
      <c r="L256" s="7" t="s">
        <v>4292</v>
      </c>
      <c r="M256" s="8">
        <v>78787878</v>
      </c>
      <c r="N256" s="8" t="str">
        <f t="shared" si="16"/>
        <v>PEN</v>
      </c>
      <c r="O256" s="13"/>
      <c r="P256" s="13">
        <v>93</v>
      </c>
      <c r="Q256" s="3">
        <f t="shared" si="17"/>
        <v>0</v>
      </c>
      <c r="R256" s="3">
        <f t="shared" si="18"/>
        <v>93</v>
      </c>
      <c r="S256" s="3">
        <f t="shared" si="19"/>
        <v>23403.220000000008</v>
      </c>
      <c r="T256" s="24"/>
      <c r="U256" s="24"/>
      <c r="V256" s="3"/>
      <c r="W256" s="19" t="str">
        <f>IFERROR(VLOOKUP(Banco_Nacion[[#This Row],[RESPONSABLE]],Clientes_Proveedores[[Ruc / Dni]:[Razon Social]],2,0),"")</f>
        <v/>
      </c>
      <c r="X25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25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256" s="3"/>
      <c r="AA256" s="3"/>
      <c r="AB256" s="24" t="str">
        <f>IF(Banco_Nacion[[#This Row],[FECHA]]&gt;0,TEXT(Banco_Nacion[[#This Row],[FECHA]],"mmmm"),0)</f>
        <v>Abril</v>
      </c>
    </row>
    <row r="257" spans="2:28" x14ac:dyDescent="0.3">
      <c r="B257" s="2">
        <f>IF(Banco_Nacion[[#This Row],[TIPO DE R.]]="R",COUNTIFS($D$4:$D256,"R")+1,"")</f>
        <v>253</v>
      </c>
      <c r="C257" s="19" t="str">
        <f t="shared" si="15"/>
        <v>B-Banco de la Nacion</v>
      </c>
      <c r="D257" s="3" t="s">
        <v>1074</v>
      </c>
      <c r="E257" s="14">
        <v>45771</v>
      </c>
      <c r="F257" s="5"/>
      <c r="G257" s="5" t="s">
        <v>1079</v>
      </c>
      <c r="H257" s="6"/>
      <c r="I257" s="6"/>
      <c r="J257" s="6" t="s">
        <v>4289</v>
      </c>
      <c r="K257" s="6"/>
      <c r="L257" s="7" t="s">
        <v>4292</v>
      </c>
      <c r="M257" s="8">
        <v>78787878</v>
      </c>
      <c r="N257" s="8" t="str">
        <f t="shared" si="16"/>
        <v>PEN</v>
      </c>
      <c r="O257" s="13"/>
      <c r="P257" s="13">
        <v>2585</v>
      </c>
      <c r="Q257" s="3">
        <f t="shared" si="17"/>
        <v>0</v>
      </c>
      <c r="R257" s="3">
        <f t="shared" si="18"/>
        <v>2585</v>
      </c>
      <c r="S257" s="3">
        <f t="shared" si="19"/>
        <v>20818.220000000008</v>
      </c>
      <c r="T257" s="24"/>
      <c r="U257" s="24"/>
      <c r="V257" s="3"/>
      <c r="W257" s="19" t="str">
        <f>IFERROR(VLOOKUP(Banco_Nacion[[#This Row],[RESPONSABLE]],Clientes_Proveedores[[Ruc / Dni]:[Razon Social]],2,0),"")</f>
        <v/>
      </c>
      <c r="X25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25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257" s="3"/>
      <c r="AA257" s="3"/>
      <c r="AB257" s="24" t="str">
        <f>IF(Banco_Nacion[[#This Row],[FECHA]]&gt;0,TEXT(Banco_Nacion[[#This Row],[FECHA]],"mmmm"),0)</f>
        <v>Abril</v>
      </c>
    </row>
    <row r="258" spans="2:28" x14ac:dyDescent="0.3">
      <c r="B258" s="2">
        <f>IF(Banco_Nacion[[#This Row],[TIPO DE R.]]="R",COUNTIFS($D$4:$D257,"R")+1,"")</f>
        <v>254</v>
      </c>
      <c r="C258" s="19" t="str">
        <f t="shared" si="15"/>
        <v>B-Banco de la Nacion</v>
      </c>
      <c r="D258" s="3" t="s">
        <v>1074</v>
      </c>
      <c r="E258" s="14">
        <v>45772</v>
      </c>
      <c r="F258" s="5">
        <v>20419158462</v>
      </c>
      <c r="G258" s="5" t="s">
        <v>1087</v>
      </c>
      <c r="H258" s="6" t="s">
        <v>368</v>
      </c>
      <c r="I258" s="6" t="s">
        <v>14</v>
      </c>
      <c r="J258" s="6" t="s">
        <v>1521</v>
      </c>
      <c r="K258" s="6">
        <v>25</v>
      </c>
      <c r="L258" s="7" t="s">
        <v>4290</v>
      </c>
      <c r="M258" s="8">
        <v>75377635</v>
      </c>
      <c r="N258" s="8" t="str">
        <f t="shared" si="16"/>
        <v>PEN</v>
      </c>
      <c r="O258" s="13"/>
      <c r="P258" s="13">
        <v>368</v>
      </c>
      <c r="Q258" s="3">
        <f t="shared" si="17"/>
        <v>368</v>
      </c>
      <c r="R258" s="3">
        <f t="shared" si="18"/>
        <v>0</v>
      </c>
      <c r="S258" s="3">
        <f t="shared" si="19"/>
        <v>21186.220000000008</v>
      </c>
      <c r="T258" s="24"/>
      <c r="U258" s="24" t="s">
        <v>1081</v>
      </c>
      <c r="V258" s="3"/>
      <c r="W258" s="19" t="str">
        <f>IFERROR(VLOOKUP(Banco_Nacion[[#This Row],[RESPONSABLE]],Clientes_Proveedores[[Ruc / Dni]:[Razon Social]],2,0),"")</f>
        <v>GRANJA RINCONADA DEL SUR S.A.</v>
      </c>
      <c r="X258" s="19" t="str">
        <f>IF(Banco_Nacion[[#This Row],[TIPO DE MOV.]]="INGRESO",Banco_Nacion[[#This Row],[SERIE]]&amp;Banco_Nacion[[#This Row],[NUMERO]]&amp;Banco_Nacion[[#This Row],[RESPONSABLE]]&amp;Banco_Nacion[[#This Row],[MONTO ]],"")</f>
        <v>FF012520419158462368</v>
      </c>
      <c r="Y25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75377635</v>
      </c>
      <c r="Z258" s="3"/>
      <c r="AA258" s="3"/>
      <c r="AB258" s="24" t="str">
        <f>IF(Banco_Nacion[[#This Row],[FECHA]]&gt;0,TEXT(Banco_Nacion[[#This Row],[FECHA]],"mmmm"),0)</f>
        <v>Abril</v>
      </c>
    </row>
    <row r="259" spans="2:28" x14ac:dyDescent="0.3">
      <c r="B259" s="2">
        <f>IF(Banco_Nacion[[#This Row],[TIPO DE R.]]="R",COUNTIFS($D$4:$D258,"R")+1,"")</f>
        <v>255</v>
      </c>
      <c r="C259" s="19" t="str">
        <f t="shared" si="15"/>
        <v>B-Banco de la Nacion</v>
      </c>
      <c r="D259" s="3" t="s">
        <v>1074</v>
      </c>
      <c r="E259" s="14">
        <v>45772</v>
      </c>
      <c r="F259" s="5">
        <v>20419158462</v>
      </c>
      <c r="G259" s="5" t="s">
        <v>1087</v>
      </c>
      <c r="H259" s="6" t="s">
        <v>368</v>
      </c>
      <c r="I259" s="6" t="s">
        <v>14</v>
      </c>
      <c r="J259" s="6" t="s">
        <v>1521</v>
      </c>
      <c r="K259" s="6">
        <v>20</v>
      </c>
      <c r="L259" s="7" t="s">
        <v>4290</v>
      </c>
      <c r="M259" s="8">
        <v>75377634</v>
      </c>
      <c r="N259" s="8" t="str">
        <f t="shared" si="16"/>
        <v>PEN</v>
      </c>
      <c r="O259" s="13"/>
      <c r="P259" s="13">
        <v>1471</v>
      </c>
      <c r="Q259" s="3">
        <f t="shared" si="17"/>
        <v>1471</v>
      </c>
      <c r="R259" s="3">
        <f t="shared" si="18"/>
        <v>0</v>
      </c>
      <c r="S259" s="3">
        <f t="shared" si="19"/>
        <v>22657.220000000008</v>
      </c>
      <c r="T259" s="24"/>
      <c r="U259" s="24" t="s">
        <v>1081</v>
      </c>
      <c r="V259" s="3"/>
      <c r="W259" s="19" t="str">
        <f>IFERROR(VLOOKUP(Banco_Nacion[[#This Row],[RESPONSABLE]],Clientes_Proveedores[[Ruc / Dni]:[Razon Social]],2,0),"")</f>
        <v>GRANJA RINCONADA DEL SUR S.A.</v>
      </c>
      <c r="X259" s="19" t="str">
        <f>IF(Banco_Nacion[[#This Row],[TIPO DE MOV.]]="INGRESO",Banco_Nacion[[#This Row],[SERIE]]&amp;Banco_Nacion[[#This Row],[NUMERO]]&amp;Banco_Nacion[[#This Row],[RESPONSABLE]]&amp;Banco_Nacion[[#This Row],[MONTO ]],"")</f>
        <v>FF0120204191584621471</v>
      </c>
      <c r="Y25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75377634</v>
      </c>
      <c r="Z259" s="3"/>
      <c r="AA259" s="3"/>
      <c r="AB259" s="24" t="str">
        <f>IF(Banco_Nacion[[#This Row],[FECHA]]&gt;0,TEXT(Banco_Nacion[[#This Row],[FECHA]],"mmmm"),0)</f>
        <v>Abril</v>
      </c>
    </row>
    <row r="260" spans="2:28" x14ac:dyDescent="0.3">
      <c r="B260" s="2">
        <f>IF(Banco_Nacion[[#This Row],[TIPO DE R.]]="R",COUNTIFS($D$4:$D259,"R")+1,"")</f>
        <v>256</v>
      </c>
      <c r="C260" s="19" t="str">
        <f t="shared" si="15"/>
        <v>B-Banco de la Nacion</v>
      </c>
      <c r="D260" s="3" t="s">
        <v>1074</v>
      </c>
      <c r="E260" s="14">
        <v>45775</v>
      </c>
      <c r="F260" s="5">
        <v>20454186002</v>
      </c>
      <c r="G260" s="5" t="s">
        <v>1087</v>
      </c>
      <c r="H260" s="6" t="s">
        <v>368</v>
      </c>
      <c r="I260" s="6" t="s">
        <v>14</v>
      </c>
      <c r="J260" s="6" t="s">
        <v>1521</v>
      </c>
      <c r="K260" s="6" t="s">
        <v>4298</v>
      </c>
      <c r="L260" s="7" t="s">
        <v>4290</v>
      </c>
      <c r="M260" s="8">
        <v>75429319</v>
      </c>
      <c r="N260" s="8" t="str">
        <f t="shared" si="16"/>
        <v>PEN</v>
      </c>
      <c r="O260" s="13"/>
      <c r="P260" s="13">
        <v>343</v>
      </c>
      <c r="Q260" s="3">
        <f t="shared" si="17"/>
        <v>343</v>
      </c>
      <c r="R260" s="3">
        <f t="shared" si="18"/>
        <v>0</v>
      </c>
      <c r="S260" s="3">
        <f t="shared" si="19"/>
        <v>23000.220000000008</v>
      </c>
      <c r="T260" s="24"/>
      <c r="U260" s="24" t="s">
        <v>1081</v>
      </c>
      <c r="V260" s="3"/>
      <c r="W260" s="19" t="str">
        <f>IFERROR(VLOOKUP(Banco_Nacion[[#This Row],[RESPONSABLE]],Clientes_Proveedores[[Ruc / Dni]:[Razon Social]],2,0),"")</f>
        <v>ALSUR PERU S.A.C.</v>
      </c>
      <c r="X260" s="19" t="str">
        <f>IF(Banco_Nacion[[#This Row],[TIPO DE MOV.]]="INGRESO",Banco_Nacion[[#This Row],[SERIE]]&amp;Banco_Nacion[[#This Row],[NUMERO]]&amp;Banco_Nacion[[#This Row],[RESPONSABLE]]&amp;Banco_Nacion[[#This Row],[MONTO ]],"")</f>
        <v>FF013520454186002343</v>
      </c>
      <c r="Y26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75429319</v>
      </c>
      <c r="Z260" s="3"/>
      <c r="AA260" s="3"/>
      <c r="AB260" s="24" t="str">
        <f>IF(Banco_Nacion[[#This Row],[FECHA]]&gt;0,TEXT(Banco_Nacion[[#This Row],[FECHA]],"mmmm"),0)</f>
        <v>Abril</v>
      </c>
    </row>
    <row r="261" spans="2:28" x14ac:dyDescent="0.3">
      <c r="B261" s="2">
        <f>IF(Banco_Nacion[[#This Row],[TIPO DE R.]]="R",COUNTIFS($D$4:$D260,"R")+1,"")</f>
        <v>257</v>
      </c>
      <c r="C261" s="19" t="str">
        <f t="shared" ref="C261:C324" si="20">"B-Banco de la Nacion"</f>
        <v>B-Banco de la Nacion</v>
      </c>
      <c r="D261" s="3" t="s">
        <v>1074</v>
      </c>
      <c r="E261" s="14">
        <v>45775</v>
      </c>
      <c r="F261" s="5">
        <v>20454186002</v>
      </c>
      <c r="G261" s="5" t="s">
        <v>1087</v>
      </c>
      <c r="H261" s="6" t="s">
        <v>368</v>
      </c>
      <c r="I261" s="6" t="s">
        <v>14</v>
      </c>
      <c r="J261" s="6" t="s">
        <v>1521</v>
      </c>
      <c r="K261" s="6">
        <v>36</v>
      </c>
      <c r="L261" s="7" t="s">
        <v>4290</v>
      </c>
      <c r="M261" s="8">
        <v>75429318</v>
      </c>
      <c r="N261" s="8" t="str">
        <f t="shared" ref="N261:N324" si="21">"PEN"</f>
        <v>PEN</v>
      </c>
      <c r="O261" s="13"/>
      <c r="P261" s="13">
        <v>352</v>
      </c>
      <c r="Q261" s="3">
        <f t="shared" ref="Q261:Q324" si="22">+IF(OR($G261="SALDO",$G261="INGRESO"),$P261,0)</f>
        <v>352</v>
      </c>
      <c r="R261" s="3">
        <f t="shared" ref="R261:R324" si="23">+IF($G261="EGRESO",$P261,0)</f>
        <v>0</v>
      </c>
      <c r="S261" s="3">
        <f t="shared" ref="S261:S324" si="24">IFERROR(IF(G261="SALDO",Q261,S260+Q261-R261),0)</f>
        <v>23352.220000000008</v>
      </c>
      <c r="T261" s="24"/>
      <c r="U261" s="24" t="s">
        <v>1081</v>
      </c>
      <c r="V261" s="3"/>
      <c r="W261" s="19" t="str">
        <f>IFERROR(VLOOKUP(Banco_Nacion[[#This Row],[RESPONSABLE]],Clientes_Proveedores[[Ruc / Dni]:[Razon Social]],2,0),"")</f>
        <v>ALSUR PERU S.A.C.</v>
      </c>
      <c r="X261" s="19" t="str">
        <f>IF(Banco_Nacion[[#This Row],[TIPO DE MOV.]]="INGRESO",Banco_Nacion[[#This Row],[SERIE]]&amp;Banco_Nacion[[#This Row],[NUMERO]]&amp;Banco_Nacion[[#This Row],[RESPONSABLE]]&amp;Banco_Nacion[[#This Row],[MONTO ]],"")</f>
        <v>FF013620454186002352</v>
      </c>
      <c r="Y26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75429318</v>
      </c>
      <c r="Z261" s="3"/>
      <c r="AA261" s="3"/>
      <c r="AB261" s="24" t="str">
        <f>IF(Banco_Nacion[[#This Row],[FECHA]]&gt;0,TEXT(Banco_Nacion[[#This Row],[FECHA]],"mmmm"),0)</f>
        <v>Abril</v>
      </c>
    </row>
    <row r="262" spans="2:28" x14ac:dyDescent="0.3">
      <c r="B262" s="2">
        <f>IF(Banco_Nacion[[#This Row],[TIPO DE R.]]="R",COUNTIFS($D$4:$D261,"R")+1,"")</f>
        <v>258</v>
      </c>
      <c r="C262" s="19" t="str">
        <f t="shared" si="20"/>
        <v>B-Banco de la Nacion</v>
      </c>
      <c r="D262" s="3" t="s">
        <v>1074</v>
      </c>
      <c r="E262" s="14">
        <v>45776</v>
      </c>
      <c r="F262" s="5">
        <v>20419158462</v>
      </c>
      <c r="G262" s="5" t="s">
        <v>1087</v>
      </c>
      <c r="H262" s="6" t="s">
        <v>368</v>
      </c>
      <c r="I262" s="6" t="s">
        <v>14</v>
      </c>
      <c r="J262" s="6" t="s">
        <v>1521</v>
      </c>
      <c r="K262" s="6">
        <v>48</v>
      </c>
      <c r="L262" s="7" t="s">
        <v>4290</v>
      </c>
      <c r="M262" s="8">
        <v>75520677</v>
      </c>
      <c r="N262" s="8" t="str">
        <f t="shared" si="21"/>
        <v>PEN</v>
      </c>
      <c r="O262" s="13"/>
      <c r="P262" s="13">
        <v>1320</v>
      </c>
      <c r="Q262" s="3">
        <f t="shared" si="22"/>
        <v>1320</v>
      </c>
      <c r="R262" s="3">
        <f t="shared" si="23"/>
        <v>0</v>
      </c>
      <c r="S262" s="3">
        <f t="shared" si="24"/>
        <v>24672.220000000008</v>
      </c>
      <c r="T262" s="24"/>
      <c r="U262" s="24" t="s">
        <v>1081</v>
      </c>
      <c r="V262" s="3"/>
      <c r="W262" s="19" t="str">
        <f>IFERROR(VLOOKUP(Banco_Nacion[[#This Row],[RESPONSABLE]],Clientes_Proveedores[[Ruc / Dni]:[Razon Social]],2,0),"")</f>
        <v>GRANJA RINCONADA DEL SUR S.A.</v>
      </c>
      <c r="X262" s="19" t="str">
        <f>IF(Banco_Nacion[[#This Row],[TIPO DE MOV.]]="INGRESO",Banco_Nacion[[#This Row],[SERIE]]&amp;Banco_Nacion[[#This Row],[NUMERO]]&amp;Banco_Nacion[[#This Row],[RESPONSABLE]]&amp;Banco_Nacion[[#This Row],[MONTO ]],"")</f>
        <v>FF0148204191584621320</v>
      </c>
      <c r="Y26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75520677</v>
      </c>
      <c r="Z262" s="3"/>
      <c r="AA262" s="3"/>
      <c r="AB262" s="24" t="str">
        <f>IF(Banco_Nacion[[#This Row],[FECHA]]&gt;0,TEXT(Banco_Nacion[[#This Row],[FECHA]],"mmmm"),0)</f>
        <v>Abril</v>
      </c>
    </row>
    <row r="263" spans="2:28" x14ac:dyDescent="0.3">
      <c r="B263" s="2">
        <f>IF(Banco_Nacion[[#This Row],[TIPO DE R.]]="R",COUNTIFS($D$4:$D262,"R")+1,"")</f>
        <v>259</v>
      </c>
      <c r="C263" s="19" t="str">
        <f t="shared" si="20"/>
        <v>B-Banco de la Nacion</v>
      </c>
      <c r="D263" s="3" t="s">
        <v>1074</v>
      </c>
      <c r="E263" s="14">
        <v>45776</v>
      </c>
      <c r="F263" s="5">
        <v>20419158462</v>
      </c>
      <c r="G263" s="5" t="s">
        <v>1087</v>
      </c>
      <c r="H263" s="6" t="s">
        <v>368</v>
      </c>
      <c r="I263" s="6" t="s">
        <v>14</v>
      </c>
      <c r="J263" s="6" t="s">
        <v>1521</v>
      </c>
      <c r="K263" s="6">
        <v>47</v>
      </c>
      <c r="L263" s="7" t="s">
        <v>4290</v>
      </c>
      <c r="M263" s="8">
        <v>75520676</v>
      </c>
      <c r="N263" s="8" t="str">
        <f t="shared" si="21"/>
        <v>PEN</v>
      </c>
      <c r="O263" s="13"/>
      <c r="P263" s="13">
        <v>874</v>
      </c>
      <c r="Q263" s="3">
        <f t="shared" si="22"/>
        <v>874</v>
      </c>
      <c r="R263" s="3">
        <f t="shared" si="23"/>
        <v>0</v>
      </c>
      <c r="S263" s="3">
        <f t="shared" si="24"/>
        <v>25546.220000000008</v>
      </c>
      <c r="T263" s="24"/>
      <c r="U263" s="24" t="s">
        <v>1081</v>
      </c>
      <c r="V263" s="3"/>
      <c r="W263" s="19" t="str">
        <f>IFERROR(VLOOKUP(Banco_Nacion[[#This Row],[RESPONSABLE]],Clientes_Proveedores[[Ruc / Dni]:[Razon Social]],2,0),"")</f>
        <v>GRANJA RINCONADA DEL SUR S.A.</v>
      </c>
      <c r="X263" s="19" t="str">
        <f>IF(Banco_Nacion[[#This Row],[TIPO DE MOV.]]="INGRESO",Banco_Nacion[[#This Row],[SERIE]]&amp;Banco_Nacion[[#This Row],[NUMERO]]&amp;Banco_Nacion[[#This Row],[RESPONSABLE]]&amp;Banco_Nacion[[#This Row],[MONTO ]],"")</f>
        <v>FF014720419158462874</v>
      </c>
      <c r="Y26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75520676</v>
      </c>
      <c r="Z263" s="3"/>
      <c r="AA263" s="3"/>
      <c r="AB263" s="24" t="str">
        <f>IF(Banco_Nacion[[#This Row],[FECHA]]&gt;0,TEXT(Banco_Nacion[[#This Row],[FECHA]],"mmmm"),0)</f>
        <v>Abril</v>
      </c>
    </row>
    <row r="264" spans="2:28" x14ac:dyDescent="0.3">
      <c r="B264" s="2">
        <f>IF(Banco_Nacion[[#This Row],[TIPO DE R.]]="R",COUNTIFS($D$4:$D263,"R")+1,"")</f>
        <v>260</v>
      </c>
      <c r="C264" s="19" t="str">
        <f t="shared" si="20"/>
        <v>B-Banco de la Nacion</v>
      </c>
      <c r="D264" s="3" t="s">
        <v>1074</v>
      </c>
      <c r="E264" s="14">
        <v>45776</v>
      </c>
      <c r="F264" s="5">
        <v>20419158462</v>
      </c>
      <c r="G264" s="5" t="s">
        <v>1087</v>
      </c>
      <c r="H264" s="6" t="s">
        <v>368</v>
      </c>
      <c r="I264" s="6" t="s">
        <v>14</v>
      </c>
      <c r="J264" s="6" t="s">
        <v>1521</v>
      </c>
      <c r="K264" s="6">
        <v>33</v>
      </c>
      <c r="L264" s="7" t="s">
        <v>4290</v>
      </c>
      <c r="M264" s="8">
        <v>75520675</v>
      </c>
      <c r="N264" s="8" t="str">
        <f t="shared" si="21"/>
        <v>PEN</v>
      </c>
      <c r="O264" s="13"/>
      <c r="P264" s="13">
        <v>202</v>
      </c>
      <c r="Q264" s="3">
        <f t="shared" si="22"/>
        <v>202</v>
      </c>
      <c r="R264" s="3">
        <f t="shared" si="23"/>
        <v>0</v>
      </c>
      <c r="S264" s="3">
        <f t="shared" si="24"/>
        <v>25748.220000000008</v>
      </c>
      <c r="T264" s="24"/>
      <c r="U264" s="24" t="s">
        <v>1081</v>
      </c>
      <c r="V264" s="3"/>
      <c r="W264" s="19" t="str">
        <f>IFERROR(VLOOKUP(Banco_Nacion[[#This Row],[RESPONSABLE]],Clientes_Proveedores[[Ruc / Dni]:[Razon Social]],2,0),"")</f>
        <v>GRANJA RINCONADA DEL SUR S.A.</v>
      </c>
      <c r="X264" s="19" t="str">
        <f>IF(Banco_Nacion[[#This Row],[TIPO DE MOV.]]="INGRESO",Banco_Nacion[[#This Row],[SERIE]]&amp;Banco_Nacion[[#This Row],[NUMERO]]&amp;Banco_Nacion[[#This Row],[RESPONSABLE]]&amp;Banco_Nacion[[#This Row],[MONTO ]],"")</f>
        <v>FF013320419158462202</v>
      </c>
      <c r="Y26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75520675</v>
      </c>
      <c r="Z264" s="3"/>
      <c r="AA264" s="3"/>
      <c r="AB264" s="24" t="str">
        <f>IF(Banco_Nacion[[#This Row],[FECHA]]&gt;0,TEXT(Banco_Nacion[[#This Row],[FECHA]],"mmmm"),0)</f>
        <v>Abril</v>
      </c>
    </row>
    <row r="265" spans="2:28" x14ac:dyDescent="0.3">
      <c r="B265" s="2">
        <f>IF(Banco_Nacion[[#This Row],[TIPO DE R.]]="R",COUNTIFS($D$4:$D264,"R")+1,"")</f>
        <v>261</v>
      </c>
      <c r="C265" s="19" t="str">
        <f t="shared" si="20"/>
        <v>B-Banco de la Nacion</v>
      </c>
      <c r="D265" s="3" t="s">
        <v>1074</v>
      </c>
      <c r="E265" s="14">
        <v>45776</v>
      </c>
      <c r="F265" s="5">
        <v>20419158462</v>
      </c>
      <c r="G265" s="5" t="s">
        <v>1087</v>
      </c>
      <c r="H265" s="6" t="s">
        <v>368</v>
      </c>
      <c r="I265" s="6" t="s">
        <v>14</v>
      </c>
      <c r="J265" s="6" t="s">
        <v>1521</v>
      </c>
      <c r="K265" s="6">
        <v>29</v>
      </c>
      <c r="L265" s="7" t="s">
        <v>4290</v>
      </c>
      <c r="M265" s="8">
        <v>75520674</v>
      </c>
      <c r="N265" s="8" t="str">
        <f t="shared" si="21"/>
        <v>PEN</v>
      </c>
      <c r="O265" s="13"/>
      <c r="P265" s="13">
        <v>202</v>
      </c>
      <c r="Q265" s="3">
        <f t="shared" si="22"/>
        <v>202</v>
      </c>
      <c r="R265" s="3">
        <f t="shared" si="23"/>
        <v>0</v>
      </c>
      <c r="S265" s="3">
        <f t="shared" si="24"/>
        <v>25950.220000000008</v>
      </c>
      <c r="T265" s="24"/>
      <c r="U265" s="24" t="s">
        <v>1081</v>
      </c>
      <c r="V265" s="3"/>
      <c r="W265" s="19" t="str">
        <f>IFERROR(VLOOKUP(Banco_Nacion[[#This Row],[RESPONSABLE]],Clientes_Proveedores[[Ruc / Dni]:[Razon Social]],2,0),"")</f>
        <v>GRANJA RINCONADA DEL SUR S.A.</v>
      </c>
      <c r="X265" s="19" t="str">
        <f>IF(Banco_Nacion[[#This Row],[TIPO DE MOV.]]="INGRESO",Banco_Nacion[[#This Row],[SERIE]]&amp;Banco_Nacion[[#This Row],[NUMERO]]&amp;Banco_Nacion[[#This Row],[RESPONSABLE]]&amp;Banco_Nacion[[#This Row],[MONTO ]],"")</f>
        <v>FF012920419158462202</v>
      </c>
      <c r="Y26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75520674</v>
      </c>
      <c r="Z265" s="3"/>
      <c r="AA265" s="3"/>
      <c r="AB265" s="24" t="str">
        <f>IF(Banco_Nacion[[#This Row],[FECHA]]&gt;0,TEXT(Banco_Nacion[[#This Row],[FECHA]],"mmmm"),0)</f>
        <v>Abril</v>
      </c>
    </row>
    <row r="266" spans="2:28" x14ac:dyDescent="0.3">
      <c r="B266" s="2">
        <f>IF(Banco_Nacion[[#This Row],[TIPO DE R.]]="R",COUNTIFS($D$4:$D265,"R")+1,"")</f>
        <v>262</v>
      </c>
      <c r="C266" s="19" t="str">
        <f t="shared" si="20"/>
        <v>B-Banco de la Nacion</v>
      </c>
      <c r="D266" s="3" t="s">
        <v>1074</v>
      </c>
      <c r="E266" s="14">
        <v>45776</v>
      </c>
      <c r="F266" s="5">
        <v>20419158462</v>
      </c>
      <c r="G266" s="5" t="s">
        <v>1087</v>
      </c>
      <c r="H266" s="6" t="s">
        <v>368</v>
      </c>
      <c r="I266" s="6" t="s">
        <v>14</v>
      </c>
      <c r="J266" s="6" t="s">
        <v>1521</v>
      </c>
      <c r="K266" s="6">
        <v>28</v>
      </c>
      <c r="L266" s="7" t="s">
        <v>4290</v>
      </c>
      <c r="M266" s="8">
        <v>75520673</v>
      </c>
      <c r="N266" s="8" t="str">
        <f t="shared" si="21"/>
        <v>PEN</v>
      </c>
      <c r="O266" s="13"/>
      <c r="P266" s="13">
        <v>202</v>
      </c>
      <c r="Q266" s="3">
        <f t="shared" si="22"/>
        <v>202</v>
      </c>
      <c r="R266" s="3">
        <f t="shared" si="23"/>
        <v>0</v>
      </c>
      <c r="S266" s="3">
        <f t="shared" si="24"/>
        <v>26152.220000000008</v>
      </c>
      <c r="T266" s="24"/>
      <c r="U266" s="24" t="s">
        <v>1081</v>
      </c>
      <c r="V266" s="3"/>
      <c r="W266" s="19" t="str">
        <f>IFERROR(VLOOKUP(Banco_Nacion[[#This Row],[RESPONSABLE]],Clientes_Proveedores[[Ruc / Dni]:[Razon Social]],2,0),"")</f>
        <v>GRANJA RINCONADA DEL SUR S.A.</v>
      </c>
      <c r="X266" s="19" t="str">
        <f>IF(Banco_Nacion[[#This Row],[TIPO DE MOV.]]="INGRESO",Banco_Nacion[[#This Row],[SERIE]]&amp;Banco_Nacion[[#This Row],[NUMERO]]&amp;Banco_Nacion[[#This Row],[RESPONSABLE]]&amp;Banco_Nacion[[#This Row],[MONTO ]],"")</f>
        <v>FF012820419158462202</v>
      </c>
      <c r="Y26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75520673</v>
      </c>
      <c r="Z266" s="3"/>
      <c r="AA266" s="3"/>
      <c r="AB266" s="24" t="str">
        <f>IF(Banco_Nacion[[#This Row],[FECHA]]&gt;0,TEXT(Banco_Nacion[[#This Row],[FECHA]],"mmmm"),0)</f>
        <v>Abril</v>
      </c>
    </row>
    <row r="267" spans="2:28" x14ac:dyDescent="0.3">
      <c r="B267" s="2">
        <f>IF(Banco_Nacion[[#This Row],[TIPO DE R.]]="R",COUNTIFS($D$4:$D266,"R")+1,"")</f>
        <v>263</v>
      </c>
      <c r="C267" s="19" t="str">
        <f t="shared" si="20"/>
        <v>B-Banco de la Nacion</v>
      </c>
      <c r="D267" s="3" t="s">
        <v>1074</v>
      </c>
      <c r="E267" s="14">
        <v>45776</v>
      </c>
      <c r="F267" s="5">
        <v>20419158462</v>
      </c>
      <c r="G267" s="5" t="s">
        <v>1087</v>
      </c>
      <c r="H267" s="6" t="s">
        <v>368</v>
      </c>
      <c r="I267" s="6" t="s">
        <v>14</v>
      </c>
      <c r="J267" s="6" t="s">
        <v>1521</v>
      </c>
      <c r="K267" s="6" t="s">
        <v>4299</v>
      </c>
      <c r="L267" s="7" t="s">
        <v>4290</v>
      </c>
      <c r="M267" s="8">
        <v>75520672</v>
      </c>
      <c r="N267" s="8" t="str">
        <f t="shared" si="21"/>
        <v>PEN</v>
      </c>
      <c r="O267" s="13"/>
      <c r="P267" s="13">
        <v>218</v>
      </c>
      <c r="Q267" s="3">
        <f t="shared" si="22"/>
        <v>218</v>
      </c>
      <c r="R267" s="3">
        <f t="shared" si="23"/>
        <v>0</v>
      </c>
      <c r="S267" s="3">
        <f t="shared" si="24"/>
        <v>26370.220000000008</v>
      </c>
      <c r="T267" s="24"/>
      <c r="U267" s="24" t="s">
        <v>1081</v>
      </c>
      <c r="V267" s="3"/>
      <c r="W267" s="19" t="str">
        <f>IFERROR(VLOOKUP(Banco_Nacion[[#This Row],[RESPONSABLE]],Clientes_Proveedores[[Ruc / Dni]:[Razon Social]],2,0),"")</f>
        <v>GRANJA RINCONADA DEL SUR S.A.</v>
      </c>
      <c r="X267" s="19" t="str">
        <f>IF(Banco_Nacion[[#This Row],[TIPO DE MOV.]]="INGRESO",Banco_Nacion[[#This Row],[SERIE]]&amp;Banco_Nacion[[#This Row],[NUMERO]]&amp;Banco_Nacion[[#This Row],[RESPONSABLE]]&amp;Banco_Nacion[[#This Row],[MONTO ]],"")</f>
        <v>FF013020419158462218</v>
      </c>
      <c r="Y26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75520672</v>
      </c>
      <c r="Z267" s="3"/>
      <c r="AA267" s="3"/>
      <c r="AB267" s="24" t="str">
        <f>IF(Banco_Nacion[[#This Row],[FECHA]]&gt;0,TEXT(Banco_Nacion[[#This Row],[FECHA]],"mmmm"),0)</f>
        <v>Abril</v>
      </c>
    </row>
    <row r="268" spans="2:28" x14ac:dyDescent="0.3">
      <c r="B268" s="2">
        <f>IF(Banco_Nacion[[#This Row],[TIPO DE R.]]="R",COUNTIFS($D$4:$D267,"R")+1,"")</f>
        <v>264</v>
      </c>
      <c r="C268" s="19" t="str">
        <f t="shared" si="20"/>
        <v>B-Banco de la Nacion</v>
      </c>
      <c r="D268" s="3" t="s">
        <v>1074</v>
      </c>
      <c r="E268" s="14">
        <v>45776</v>
      </c>
      <c r="F268" s="5">
        <v>20419158462</v>
      </c>
      <c r="G268" s="5" t="s">
        <v>1087</v>
      </c>
      <c r="H268" s="6" t="s">
        <v>368</v>
      </c>
      <c r="I268" s="6" t="s">
        <v>14</v>
      </c>
      <c r="J268" s="6" t="s">
        <v>1521</v>
      </c>
      <c r="K268" s="6">
        <v>27</v>
      </c>
      <c r="L268" s="7" t="s">
        <v>4290</v>
      </c>
      <c r="M268" s="8">
        <v>75520671</v>
      </c>
      <c r="N268" s="8" t="str">
        <f t="shared" si="21"/>
        <v>PEN</v>
      </c>
      <c r="O268" s="13"/>
      <c r="P268" s="13">
        <v>202</v>
      </c>
      <c r="Q268" s="3">
        <f t="shared" si="22"/>
        <v>202</v>
      </c>
      <c r="R268" s="3">
        <f t="shared" si="23"/>
        <v>0</v>
      </c>
      <c r="S268" s="3">
        <f t="shared" si="24"/>
        <v>26572.220000000008</v>
      </c>
      <c r="T268" s="24"/>
      <c r="U268" s="24" t="s">
        <v>1081</v>
      </c>
      <c r="V268" s="3"/>
      <c r="W268" s="19" t="str">
        <f>IFERROR(VLOOKUP(Banco_Nacion[[#This Row],[RESPONSABLE]],Clientes_Proveedores[[Ruc / Dni]:[Razon Social]],2,0),"")</f>
        <v>GRANJA RINCONADA DEL SUR S.A.</v>
      </c>
      <c r="X268" s="19" t="str">
        <f>IF(Banco_Nacion[[#This Row],[TIPO DE MOV.]]="INGRESO",Banco_Nacion[[#This Row],[SERIE]]&amp;Banco_Nacion[[#This Row],[NUMERO]]&amp;Banco_Nacion[[#This Row],[RESPONSABLE]]&amp;Banco_Nacion[[#This Row],[MONTO ]],"")</f>
        <v>FF012720419158462202</v>
      </c>
      <c r="Y26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75520671</v>
      </c>
      <c r="Z268" s="3"/>
      <c r="AA268" s="3"/>
      <c r="AB268" s="24" t="str">
        <f>IF(Banco_Nacion[[#This Row],[FECHA]]&gt;0,TEXT(Banco_Nacion[[#This Row],[FECHA]],"mmmm"),0)</f>
        <v>Abril</v>
      </c>
    </row>
    <row r="269" spans="2:28" x14ac:dyDescent="0.3">
      <c r="B269" s="2">
        <f>IF(Banco_Nacion[[#This Row],[TIPO DE R.]]="R",COUNTIFS($D$4:$D268,"R")+1,"")</f>
        <v>265</v>
      </c>
      <c r="C269" s="19" t="str">
        <f t="shared" si="20"/>
        <v>B-Banco de la Nacion</v>
      </c>
      <c r="D269" s="3" t="s">
        <v>1074</v>
      </c>
      <c r="E269" s="14">
        <v>45776</v>
      </c>
      <c r="F269" s="5">
        <v>20419158462</v>
      </c>
      <c r="G269" s="5" t="s">
        <v>1087</v>
      </c>
      <c r="H269" s="6" t="s">
        <v>368</v>
      </c>
      <c r="I269" s="6" t="s">
        <v>14</v>
      </c>
      <c r="J269" s="6" t="s">
        <v>1521</v>
      </c>
      <c r="K269" s="6">
        <v>32</v>
      </c>
      <c r="L269" s="7" t="s">
        <v>4290</v>
      </c>
      <c r="M269" s="8">
        <v>75520670</v>
      </c>
      <c r="N269" s="8" t="str">
        <f t="shared" si="21"/>
        <v>PEN</v>
      </c>
      <c r="O269" s="13"/>
      <c r="P269" s="13">
        <v>202</v>
      </c>
      <c r="Q269" s="3">
        <f t="shared" si="22"/>
        <v>202</v>
      </c>
      <c r="R269" s="3">
        <f t="shared" si="23"/>
        <v>0</v>
      </c>
      <c r="S269" s="3">
        <f t="shared" si="24"/>
        <v>26774.220000000008</v>
      </c>
      <c r="T269" s="24"/>
      <c r="U269" s="24" t="s">
        <v>1081</v>
      </c>
      <c r="V269" s="3"/>
      <c r="W269" s="19" t="str">
        <f>IFERROR(VLOOKUP(Banco_Nacion[[#This Row],[RESPONSABLE]],Clientes_Proveedores[[Ruc / Dni]:[Razon Social]],2,0),"")</f>
        <v>GRANJA RINCONADA DEL SUR S.A.</v>
      </c>
      <c r="X269" s="19" t="str">
        <f>IF(Banco_Nacion[[#This Row],[TIPO DE MOV.]]="INGRESO",Banco_Nacion[[#This Row],[SERIE]]&amp;Banco_Nacion[[#This Row],[NUMERO]]&amp;Banco_Nacion[[#This Row],[RESPONSABLE]]&amp;Banco_Nacion[[#This Row],[MONTO ]],"")</f>
        <v>FF013220419158462202</v>
      </c>
      <c r="Y26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75520670</v>
      </c>
      <c r="Z269" s="3"/>
      <c r="AA269" s="3"/>
      <c r="AB269" s="24" t="str">
        <f>IF(Banco_Nacion[[#This Row],[FECHA]]&gt;0,TEXT(Banco_Nacion[[#This Row],[FECHA]],"mmmm"),0)</f>
        <v>Abril</v>
      </c>
    </row>
    <row r="270" spans="2:28" x14ac:dyDescent="0.3">
      <c r="B270" s="2">
        <f>IF(Banco_Nacion[[#This Row],[TIPO DE R.]]="R",COUNTIFS($D$4:$D269,"R")+1,"")</f>
        <v>266</v>
      </c>
      <c r="C270" s="19" t="str">
        <f t="shared" si="20"/>
        <v>B-Banco de la Nacion</v>
      </c>
      <c r="D270" s="3" t="s">
        <v>1074</v>
      </c>
      <c r="E270" s="14">
        <v>45776</v>
      </c>
      <c r="F270" s="5">
        <v>20419158462</v>
      </c>
      <c r="G270" s="5" t="s">
        <v>1087</v>
      </c>
      <c r="H270" s="6" t="s">
        <v>368</v>
      </c>
      <c r="I270" s="6" t="s">
        <v>14</v>
      </c>
      <c r="J270" s="6" t="s">
        <v>1521</v>
      </c>
      <c r="K270" s="6">
        <v>26</v>
      </c>
      <c r="L270" s="7" t="s">
        <v>4290</v>
      </c>
      <c r="M270" s="8">
        <v>75520669</v>
      </c>
      <c r="N270" s="8" t="str">
        <f t="shared" si="21"/>
        <v>PEN</v>
      </c>
      <c r="O270" s="13"/>
      <c r="P270" s="13">
        <v>202</v>
      </c>
      <c r="Q270" s="3">
        <f t="shared" si="22"/>
        <v>202</v>
      </c>
      <c r="R270" s="3">
        <f t="shared" si="23"/>
        <v>0</v>
      </c>
      <c r="S270" s="3">
        <f t="shared" si="24"/>
        <v>26976.220000000008</v>
      </c>
      <c r="T270" s="24"/>
      <c r="U270" s="24" t="s">
        <v>1081</v>
      </c>
      <c r="V270" s="3"/>
      <c r="W270" s="19" t="str">
        <f>IFERROR(VLOOKUP(Banco_Nacion[[#This Row],[RESPONSABLE]],Clientes_Proveedores[[Ruc / Dni]:[Razon Social]],2,0),"")</f>
        <v>GRANJA RINCONADA DEL SUR S.A.</v>
      </c>
      <c r="X270" s="19" t="str">
        <f>IF(Banco_Nacion[[#This Row],[TIPO DE MOV.]]="INGRESO",Banco_Nacion[[#This Row],[SERIE]]&amp;Banco_Nacion[[#This Row],[NUMERO]]&amp;Banco_Nacion[[#This Row],[RESPONSABLE]]&amp;Banco_Nacion[[#This Row],[MONTO ]],"")</f>
        <v>FF012620419158462202</v>
      </c>
      <c r="Y27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75520669</v>
      </c>
      <c r="Z270" s="3"/>
      <c r="AA270" s="3"/>
      <c r="AB270" s="24" t="str">
        <f>IF(Banco_Nacion[[#This Row],[FECHA]]&gt;0,TEXT(Banco_Nacion[[#This Row],[FECHA]],"mmmm"),0)</f>
        <v>Abril</v>
      </c>
    </row>
    <row r="271" spans="2:28" x14ac:dyDescent="0.3">
      <c r="B271" s="2">
        <f>IF(Banco_Nacion[[#This Row],[TIPO DE R.]]="R",COUNTIFS($D$4:$D270,"R")+1,"")</f>
        <v>267</v>
      </c>
      <c r="C271" s="19" t="str">
        <f t="shared" si="20"/>
        <v>B-Banco de la Nacion</v>
      </c>
      <c r="D271" s="3" t="s">
        <v>1074</v>
      </c>
      <c r="E271" s="14">
        <v>45776</v>
      </c>
      <c r="F271" s="5">
        <v>20419158462</v>
      </c>
      <c r="G271" s="5" t="s">
        <v>1087</v>
      </c>
      <c r="H271" s="6" t="s">
        <v>368</v>
      </c>
      <c r="I271" s="6" t="s">
        <v>14</v>
      </c>
      <c r="J271" s="6" t="s">
        <v>1521</v>
      </c>
      <c r="K271" s="6">
        <v>31</v>
      </c>
      <c r="L271" s="7" t="s">
        <v>4290</v>
      </c>
      <c r="M271" s="8">
        <v>75520668</v>
      </c>
      <c r="N271" s="8" t="str">
        <f t="shared" si="21"/>
        <v>PEN</v>
      </c>
      <c r="O271" s="13"/>
      <c r="P271" s="13">
        <v>202</v>
      </c>
      <c r="Q271" s="3">
        <f t="shared" si="22"/>
        <v>202</v>
      </c>
      <c r="R271" s="3">
        <f t="shared" si="23"/>
        <v>0</v>
      </c>
      <c r="S271" s="3">
        <f t="shared" si="24"/>
        <v>27178.220000000008</v>
      </c>
      <c r="T271" s="24"/>
      <c r="U271" s="24" t="s">
        <v>1081</v>
      </c>
      <c r="V271" s="3"/>
      <c r="W271" s="19" t="str">
        <f>IFERROR(VLOOKUP(Banco_Nacion[[#This Row],[RESPONSABLE]],Clientes_Proveedores[[Ruc / Dni]:[Razon Social]],2,0),"")</f>
        <v>GRANJA RINCONADA DEL SUR S.A.</v>
      </c>
      <c r="X271" s="19" t="str">
        <f>IF(Banco_Nacion[[#This Row],[TIPO DE MOV.]]="INGRESO",Banco_Nacion[[#This Row],[SERIE]]&amp;Banco_Nacion[[#This Row],[NUMERO]]&amp;Banco_Nacion[[#This Row],[RESPONSABLE]]&amp;Banco_Nacion[[#This Row],[MONTO ]],"")</f>
        <v>FF013120419158462202</v>
      </c>
      <c r="Y27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75520668</v>
      </c>
      <c r="Z271" s="3"/>
      <c r="AA271" s="3"/>
      <c r="AB271" s="24" t="str">
        <f>IF(Banco_Nacion[[#This Row],[FECHA]]&gt;0,TEXT(Banco_Nacion[[#This Row],[FECHA]],"mmmm"),0)</f>
        <v>Abril</v>
      </c>
    </row>
    <row r="272" spans="2:28" x14ac:dyDescent="0.3">
      <c r="B272" s="2">
        <f>IF(Banco_Nacion[[#This Row],[TIPO DE R.]]="R",COUNTIFS($D$4:$D271,"R")+1,"")</f>
        <v>268</v>
      </c>
      <c r="C272" s="19" t="str">
        <f t="shared" si="20"/>
        <v>B-Banco de la Nacion</v>
      </c>
      <c r="D272" s="3" t="s">
        <v>1074</v>
      </c>
      <c r="E272" s="14">
        <v>45776</v>
      </c>
      <c r="F272" s="5">
        <v>20601119600</v>
      </c>
      <c r="G272" s="5" t="s">
        <v>1087</v>
      </c>
      <c r="H272" s="6" t="s">
        <v>368</v>
      </c>
      <c r="I272" s="6" t="s">
        <v>14</v>
      </c>
      <c r="J272" s="6" t="s">
        <v>3091</v>
      </c>
      <c r="K272" s="6">
        <v>12</v>
      </c>
      <c r="L272" s="7" t="s">
        <v>4290</v>
      </c>
      <c r="M272" s="8">
        <v>26763522</v>
      </c>
      <c r="N272" s="8" t="str">
        <f t="shared" si="21"/>
        <v>PEN</v>
      </c>
      <c r="O272" s="13"/>
      <c r="P272" s="13">
        <v>145</v>
      </c>
      <c r="Q272" s="3">
        <f t="shared" si="22"/>
        <v>145</v>
      </c>
      <c r="R272" s="3">
        <f t="shared" si="23"/>
        <v>0</v>
      </c>
      <c r="S272" s="3">
        <f t="shared" si="24"/>
        <v>27323.220000000008</v>
      </c>
      <c r="T272" s="24"/>
      <c r="U272" s="24" t="s">
        <v>1081</v>
      </c>
      <c r="V272" s="3"/>
      <c r="W272" s="19" t="str">
        <f>IFERROR(VLOOKUP(Banco_Nacion[[#This Row],[RESPONSABLE]],Clientes_Proveedores[[Ruc / Dni]:[Razon Social]],2,0),"")</f>
        <v>INVERSIONES W.J.M. S.A.C.</v>
      </c>
      <c r="X272" s="19" t="str">
        <f>IF(Banco_Nacion[[#This Row],[TIPO DE MOV.]]="INGRESO",Banco_Nacion[[#This Row],[SERIE]]&amp;Banco_Nacion[[#This Row],[NUMERO]]&amp;Banco_Nacion[[#This Row],[RESPONSABLE]]&amp;Banco_Nacion[[#This Row],[MONTO ]],"")</f>
        <v>FF051220601119600145</v>
      </c>
      <c r="Y27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26763522</v>
      </c>
      <c r="Z272" s="3"/>
      <c r="AA272" s="3"/>
      <c r="AB272" s="24" t="str">
        <f>IF(Banco_Nacion[[#This Row],[FECHA]]&gt;0,TEXT(Banco_Nacion[[#This Row],[FECHA]],"mmmm"),0)</f>
        <v>Abril</v>
      </c>
    </row>
    <row r="273" spans="2:28" x14ac:dyDescent="0.3">
      <c r="B273" s="2">
        <f>IF(Banco_Nacion[[#This Row],[TIPO DE R.]]="R",COUNTIFS($D$4:$D272,"R")+1,"")</f>
        <v>269</v>
      </c>
      <c r="C273" s="19" t="str">
        <f t="shared" si="20"/>
        <v>B-Banco de la Nacion</v>
      </c>
      <c r="D273" s="3" t="s">
        <v>1074</v>
      </c>
      <c r="E273" s="14">
        <v>45776</v>
      </c>
      <c r="F273" s="5">
        <v>20601119600</v>
      </c>
      <c r="G273" s="5" t="s">
        <v>1087</v>
      </c>
      <c r="H273" s="6" t="s">
        <v>368</v>
      </c>
      <c r="I273" s="6" t="s">
        <v>14</v>
      </c>
      <c r="J273" s="6" t="s">
        <v>3091</v>
      </c>
      <c r="K273" s="6">
        <v>13</v>
      </c>
      <c r="L273" s="7" t="s">
        <v>4290</v>
      </c>
      <c r="M273" s="8">
        <v>26762908</v>
      </c>
      <c r="N273" s="8" t="str">
        <f t="shared" si="21"/>
        <v>PEN</v>
      </c>
      <c r="O273" s="13"/>
      <c r="P273" s="13">
        <v>126</v>
      </c>
      <c r="Q273" s="3">
        <f t="shared" si="22"/>
        <v>126</v>
      </c>
      <c r="R273" s="3">
        <f t="shared" si="23"/>
        <v>0</v>
      </c>
      <c r="S273" s="3">
        <f t="shared" si="24"/>
        <v>27449.220000000008</v>
      </c>
      <c r="T273" s="24"/>
      <c r="U273" s="24" t="s">
        <v>1081</v>
      </c>
      <c r="V273" s="3"/>
      <c r="W273" s="19" t="str">
        <f>IFERROR(VLOOKUP(Banco_Nacion[[#This Row],[RESPONSABLE]],Clientes_Proveedores[[Ruc / Dni]:[Razon Social]],2,0),"")</f>
        <v>INVERSIONES W.J.M. S.A.C.</v>
      </c>
      <c r="X273" s="19" t="str">
        <f>IF(Banco_Nacion[[#This Row],[TIPO DE MOV.]]="INGRESO",Banco_Nacion[[#This Row],[SERIE]]&amp;Banco_Nacion[[#This Row],[NUMERO]]&amp;Banco_Nacion[[#This Row],[RESPONSABLE]]&amp;Banco_Nacion[[#This Row],[MONTO ]],"")</f>
        <v>FF051320601119600126</v>
      </c>
      <c r="Y27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26762908</v>
      </c>
      <c r="Z273" s="3"/>
      <c r="AA273" s="3"/>
      <c r="AB273" s="24" t="str">
        <f>IF(Banco_Nacion[[#This Row],[FECHA]]&gt;0,TEXT(Banco_Nacion[[#This Row],[FECHA]],"mmmm"),0)</f>
        <v>Abril</v>
      </c>
    </row>
    <row r="274" spans="2:28" x14ac:dyDescent="0.3">
      <c r="B274" s="2">
        <f>IF(Banco_Nacion[[#This Row],[TIPO DE R.]]="R",COUNTIFS($D$4:$D273,"R")+1,"")</f>
        <v>270</v>
      </c>
      <c r="C274" s="19" t="str">
        <f t="shared" si="20"/>
        <v>B-Banco de la Nacion</v>
      </c>
      <c r="D274" s="3" t="s">
        <v>1074</v>
      </c>
      <c r="E274" s="14">
        <v>45776</v>
      </c>
      <c r="F274" s="5">
        <v>20601119600</v>
      </c>
      <c r="G274" s="5" t="s">
        <v>1087</v>
      </c>
      <c r="H274" s="6" t="s">
        <v>368</v>
      </c>
      <c r="I274" s="6" t="s">
        <v>14</v>
      </c>
      <c r="J274" s="6" t="s">
        <v>3091</v>
      </c>
      <c r="K274" s="6">
        <v>10</v>
      </c>
      <c r="L274" s="7" t="s">
        <v>4290</v>
      </c>
      <c r="M274" s="8">
        <v>26761673</v>
      </c>
      <c r="N274" s="8" t="str">
        <f t="shared" si="21"/>
        <v>PEN</v>
      </c>
      <c r="O274" s="13"/>
      <c r="P274" s="13">
        <v>284</v>
      </c>
      <c r="Q274" s="3">
        <f t="shared" si="22"/>
        <v>284</v>
      </c>
      <c r="R274" s="3">
        <f t="shared" si="23"/>
        <v>0</v>
      </c>
      <c r="S274" s="3">
        <f t="shared" si="24"/>
        <v>27733.220000000008</v>
      </c>
      <c r="T274" s="24"/>
      <c r="U274" s="24" t="s">
        <v>1081</v>
      </c>
      <c r="V274" s="3"/>
      <c r="W274" s="19" t="str">
        <f>IFERROR(VLOOKUP(Banco_Nacion[[#This Row],[RESPONSABLE]],Clientes_Proveedores[[Ruc / Dni]:[Razon Social]],2,0),"")</f>
        <v>INVERSIONES W.J.M. S.A.C.</v>
      </c>
      <c r="X274" s="19" t="str">
        <f>IF(Banco_Nacion[[#This Row],[TIPO DE MOV.]]="INGRESO",Banco_Nacion[[#This Row],[SERIE]]&amp;Banco_Nacion[[#This Row],[NUMERO]]&amp;Banco_Nacion[[#This Row],[RESPONSABLE]]&amp;Banco_Nacion[[#This Row],[MONTO ]],"")</f>
        <v>FF051020601119600284</v>
      </c>
      <c r="Y27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26761673</v>
      </c>
      <c r="Z274" s="3"/>
      <c r="AA274" s="3"/>
      <c r="AB274" s="24" t="str">
        <f>IF(Banco_Nacion[[#This Row],[FECHA]]&gt;0,TEXT(Banco_Nacion[[#This Row],[FECHA]],"mmmm"),0)</f>
        <v>Abril</v>
      </c>
    </row>
    <row r="275" spans="2:28" x14ac:dyDescent="0.3">
      <c r="B275" s="2">
        <f>IF(Banco_Nacion[[#This Row],[TIPO DE R.]]="R",COUNTIFS($D$4:$D274,"R")+1,"")</f>
        <v>271</v>
      </c>
      <c r="C275" s="19" t="str">
        <f t="shared" si="20"/>
        <v>B-Banco de la Nacion</v>
      </c>
      <c r="D275" s="3" t="s">
        <v>1074</v>
      </c>
      <c r="E275" s="14">
        <v>45776</v>
      </c>
      <c r="F275" s="5">
        <v>20610293906</v>
      </c>
      <c r="G275" s="5" t="s">
        <v>1087</v>
      </c>
      <c r="H275" s="6" t="s">
        <v>368</v>
      </c>
      <c r="I275" s="6" t="s">
        <v>14</v>
      </c>
      <c r="J275" s="6" t="s">
        <v>3458</v>
      </c>
      <c r="K275" s="6">
        <v>1</v>
      </c>
      <c r="L275" s="7" t="s">
        <v>4291</v>
      </c>
      <c r="M275" s="8">
        <v>78788888</v>
      </c>
      <c r="N275" s="8" t="str">
        <f t="shared" si="21"/>
        <v>PEN</v>
      </c>
      <c r="O275" s="13"/>
      <c r="P275" s="13">
        <v>12763</v>
      </c>
      <c r="Q275" s="3">
        <f t="shared" si="22"/>
        <v>12763</v>
      </c>
      <c r="R275" s="3">
        <f t="shared" si="23"/>
        <v>0</v>
      </c>
      <c r="S275" s="3">
        <f t="shared" si="24"/>
        <v>40496.220000000008</v>
      </c>
      <c r="T275" s="24"/>
      <c r="U275" s="24" t="s">
        <v>1081</v>
      </c>
      <c r="V275" s="3"/>
      <c r="W275" s="19" t="str">
        <f>IFERROR(VLOOKUP(Banco_Nacion[[#This Row],[RESPONSABLE]],Clientes_Proveedores[[Ruc / Dni]:[Razon Social]],2,0),"")</f>
        <v>CARE ECOEXPORT E.I.R.L.</v>
      </c>
      <c r="X275" s="19" t="str">
        <f>IF(Banco_Nacion[[#This Row],[TIPO DE MOV.]]="INGRESO",Banco_Nacion[[#This Row],[SERIE]]&amp;Banco_Nacion[[#This Row],[NUMERO]]&amp;Banco_Nacion[[#This Row],[RESPONSABLE]]&amp;Banco_Nacion[[#This Row],[MONTO ]],"")</f>
        <v>FF0712061029390612763</v>
      </c>
      <c r="Y27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78788888</v>
      </c>
      <c r="Z275" s="3"/>
      <c r="AA275" s="3"/>
      <c r="AB275" s="24" t="str">
        <f>IF(Banco_Nacion[[#This Row],[FECHA]]&gt;0,TEXT(Banco_Nacion[[#This Row],[FECHA]],"mmmm"),0)</f>
        <v>Abril</v>
      </c>
    </row>
    <row r="276" spans="2:28" x14ac:dyDescent="0.3">
      <c r="B276" s="2">
        <f>IF(Banco_Nacion[[#This Row],[TIPO DE R.]]="R",COUNTIFS($D$4:$D275,"R")+1,"")</f>
        <v>272</v>
      </c>
      <c r="C276" s="19" t="str">
        <f t="shared" si="20"/>
        <v>B-Banco de la Nacion</v>
      </c>
      <c r="D276" s="3" t="s">
        <v>1074</v>
      </c>
      <c r="E276" s="14">
        <v>45779</v>
      </c>
      <c r="F276" s="5">
        <v>20455283915</v>
      </c>
      <c r="G276" s="5" t="s">
        <v>1087</v>
      </c>
      <c r="H276" s="6" t="s">
        <v>368</v>
      </c>
      <c r="I276" s="6" t="s">
        <v>14</v>
      </c>
      <c r="J276" s="6" t="s">
        <v>3010</v>
      </c>
      <c r="K276" s="6">
        <v>9</v>
      </c>
      <c r="L276" s="7" t="s">
        <v>4290</v>
      </c>
      <c r="M276" s="8">
        <v>75725637</v>
      </c>
      <c r="N276" s="8" t="str">
        <f t="shared" si="21"/>
        <v>PEN</v>
      </c>
      <c r="O276" s="13"/>
      <c r="P276" s="13">
        <v>354</v>
      </c>
      <c r="Q276" s="3">
        <f t="shared" si="22"/>
        <v>354</v>
      </c>
      <c r="R276" s="3">
        <f t="shared" si="23"/>
        <v>0</v>
      </c>
      <c r="S276" s="3">
        <f t="shared" si="24"/>
        <v>40850.220000000008</v>
      </c>
      <c r="T276" s="24"/>
      <c r="U276" s="24" t="s">
        <v>1081</v>
      </c>
      <c r="V276" s="3"/>
      <c r="W276" s="19" t="str">
        <f>IFERROR(VLOOKUP(Banco_Nacion[[#This Row],[RESPONSABLE]],Clientes_Proveedores[[Ruc / Dni]:[Razon Social]],2,0),"")</f>
        <v>EMPRESA CONSERVADORA AMBIENTAL DEL SUR E.I.R.L. - ECA SUR E.I.R.L.</v>
      </c>
      <c r="X276" s="19" t="str">
        <f>IF(Banco_Nacion[[#This Row],[TIPO DE MOV.]]="INGRESO",Banco_Nacion[[#This Row],[SERIE]]&amp;Banco_Nacion[[#This Row],[NUMERO]]&amp;Banco_Nacion[[#This Row],[RESPONSABLE]]&amp;Banco_Nacion[[#This Row],[MONTO ]],"")</f>
        <v>FF02920455283915354</v>
      </c>
      <c r="Y27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75725637</v>
      </c>
      <c r="Z276" s="3"/>
      <c r="AA276" s="3"/>
      <c r="AB276" s="24" t="str">
        <f>IF(Banco_Nacion[[#This Row],[FECHA]]&gt;0,TEXT(Banco_Nacion[[#This Row],[FECHA]],"mmmm"),0)</f>
        <v>Mayo</v>
      </c>
    </row>
    <row r="277" spans="2:28" x14ac:dyDescent="0.3">
      <c r="B277" s="2">
        <f>IF(Banco_Nacion[[#This Row],[TIPO DE R.]]="R",COUNTIFS($D$4:$D276,"R")+1,"")</f>
        <v>273</v>
      </c>
      <c r="C277" s="19" t="str">
        <f t="shared" si="20"/>
        <v>B-Banco de la Nacion</v>
      </c>
      <c r="D277" s="3" t="s">
        <v>1074</v>
      </c>
      <c r="E277" s="14">
        <v>45779</v>
      </c>
      <c r="F277" s="5">
        <v>20455283915</v>
      </c>
      <c r="G277" s="5" t="s">
        <v>1087</v>
      </c>
      <c r="H277" s="6" t="s">
        <v>368</v>
      </c>
      <c r="I277" s="6" t="s">
        <v>14</v>
      </c>
      <c r="J277" s="6" t="s">
        <v>3010</v>
      </c>
      <c r="K277" s="6">
        <v>7</v>
      </c>
      <c r="L277" s="7" t="s">
        <v>4290</v>
      </c>
      <c r="M277" s="8">
        <v>75725636</v>
      </c>
      <c r="N277" s="8" t="str">
        <f t="shared" si="21"/>
        <v>PEN</v>
      </c>
      <c r="O277" s="13"/>
      <c r="P277" s="13">
        <v>330</v>
      </c>
      <c r="Q277" s="3">
        <f t="shared" si="22"/>
        <v>330</v>
      </c>
      <c r="R277" s="3">
        <f t="shared" si="23"/>
        <v>0</v>
      </c>
      <c r="S277" s="3">
        <f t="shared" si="24"/>
        <v>41180.220000000008</v>
      </c>
      <c r="T277" s="24"/>
      <c r="U277" s="24"/>
      <c r="V277" s="3"/>
      <c r="W277" s="19" t="str">
        <f>IFERROR(VLOOKUP(Banco_Nacion[[#This Row],[RESPONSABLE]],Clientes_Proveedores[[Ruc / Dni]:[Razon Social]],2,0),"")</f>
        <v>EMPRESA CONSERVADORA AMBIENTAL DEL SUR E.I.R.L. - ECA SUR E.I.R.L.</v>
      </c>
      <c r="X277" s="19" t="str">
        <f>IF(Banco_Nacion[[#This Row],[TIPO DE MOV.]]="INGRESO",Banco_Nacion[[#This Row],[SERIE]]&amp;Banco_Nacion[[#This Row],[NUMERO]]&amp;Banco_Nacion[[#This Row],[RESPONSABLE]]&amp;Banco_Nacion[[#This Row],[MONTO ]],"")</f>
        <v>FF02720455283915330</v>
      </c>
      <c r="Y27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75725636</v>
      </c>
      <c r="Z277" s="3"/>
      <c r="AA277" s="3"/>
      <c r="AB277" s="24" t="str">
        <f>IF(Banco_Nacion[[#This Row],[FECHA]]&gt;0,TEXT(Banco_Nacion[[#This Row],[FECHA]],"mmmm"),0)</f>
        <v>Mayo</v>
      </c>
    </row>
    <row r="278" spans="2:28" x14ac:dyDescent="0.3">
      <c r="B278" s="2">
        <f>IF(Banco_Nacion[[#This Row],[TIPO DE R.]]="R",COUNTIFS($D$4:$D277,"R")+1,"")</f>
        <v>274</v>
      </c>
      <c r="C278" s="19" t="str">
        <f t="shared" si="20"/>
        <v>B-Banco de la Nacion</v>
      </c>
      <c r="D278" s="3" t="s">
        <v>1074</v>
      </c>
      <c r="E278" s="14">
        <v>45779</v>
      </c>
      <c r="F278" s="5">
        <v>20455283915</v>
      </c>
      <c r="G278" s="5" t="s">
        <v>1087</v>
      </c>
      <c r="H278" s="6" t="s">
        <v>368</v>
      </c>
      <c r="I278" s="6" t="s">
        <v>14</v>
      </c>
      <c r="J278" s="6" t="s">
        <v>3010</v>
      </c>
      <c r="K278" s="6">
        <v>4</v>
      </c>
      <c r="L278" s="7" t="s">
        <v>4290</v>
      </c>
      <c r="M278" s="8">
        <v>75725635</v>
      </c>
      <c r="N278" s="8" t="str">
        <f t="shared" si="21"/>
        <v>PEN</v>
      </c>
      <c r="O278" s="13"/>
      <c r="P278" s="13">
        <v>29</v>
      </c>
      <c r="Q278" s="3">
        <f t="shared" si="22"/>
        <v>29</v>
      </c>
      <c r="R278" s="3">
        <f t="shared" si="23"/>
        <v>0</v>
      </c>
      <c r="S278" s="3">
        <f t="shared" si="24"/>
        <v>41209.220000000008</v>
      </c>
      <c r="T278" s="24"/>
      <c r="U278" s="24" t="s">
        <v>1081</v>
      </c>
      <c r="V278" s="3"/>
      <c r="W278" s="19" t="str">
        <f>IFERROR(VLOOKUP(Banco_Nacion[[#This Row],[RESPONSABLE]],Clientes_Proveedores[[Ruc / Dni]:[Razon Social]],2,0),"")</f>
        <v>EMPRESA CONSERVADORA AMBIENTAL DEL SUR E.I.R.L. - ECA SUR E.I.R.L.</v>
      </c>
      <c r="X278" s="19" t="str">
        <f>IF(Banco_Nacion[[#This Row],[TIPO DE MOV.]]="INGRESO",Banco_Nacion[[#This Row],[SERIE]]&amp;Banco_Nacion[[#This Row],[NUMERO]]&amp;Banco_Nacion[[#This Row],[RESPONSABLE]]&amp;Banco_Nacion[[#This Row],[MONTO ]],"")</f>
        <v>FF0242045528391529</v>
      </c>
      <c r="Y27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75725635</v>
      </c>
      <c r="Z278" s="3"/>
      <c r="AA278" s="3"/>
      <c r="AB278" s="24" t="str">
        <f>IF(Banco_Nacion[[#This Row],[FECHA]]&gt;0,TEXT(Banco_Nacion[[#This Row],[FECHA]],"mmmm"),0)</f>
        <v>Mayo</v>
      </c>
    </row>
    <row r="279" spans="2:28" x14ac:dyDescent="0.3">
      <c r="B279" s="2">
        <f>IF(Banco_Nacion[[#This Row],[TIPO DE R.]]="R",COUNTIFS($D$4:$D278,"R")+1,"")</f>
        <v>275</v>
      </c>
      <c r="C279" s="19" t="str">
        <f t="shared" si="20"/>
        <v>B-Banco de la Nacion</v>
      </c>
      <c r="D279" s="3" t="s">
        <v>1074</v>
      </c>
      <c r="E279" s="14">
        <v>45779</v>
      </c>
      <c r="F279" s="5">
        <v>20455283915</v>
      </c>
      <c r="G279" s="5" t="s">
        <v>1087</v>
      </c>
      <c r="H279" s="6" t="s">
        <v>368</v>
      </c>
      <c r="I279" s="6" t="s">
        <v>14</v>
      </c>
      <c r="J279" s="6" t="s">
        <v>3010</v>
      </c>
      <c r="K279" s="6">
        <v>25</v>
      </c>
      <c r="L279" s="7" t="s">
        <v>4290</v>
      </c>
      <c r="M279" s="8">
        <v>75725634</v>
      </c>
      <c r="N279" s="8" t="str">
        <f t="shared" si="21"/>
        <v>PEN</v>
      </c>
      <c r="O279" s="13"/>
      <c r="P279" s="13">
        <v>86</v>
      </c>
      <c r="Q279" s="3">
        <f t="shared" si="22"/>
        <v>86</v>
      </c>
      <c r="R279" s="3">
        <f t="shared" si="23"/>
        <v>0</v>
      </c>
      <c r="S279" s="3">
        <f t="shared" si="24"/>
        <v>41295.220000000008</v>
      </c>
      <c r="T279" s="24"/>
      <c r="U279" s="24" t="s">
        <v>1081</v>
      </c>
      <c r="V279" s="3"/>
      <c r="W279" s="19" t="str">
        <f>IFERROR(VLOOKUP(Banco_Nacion[[#This Row],[RESPONSABLE]],Clientes_Proveedores[[Ruc / Dni]:[Razon Social]],2,0),"")</f>
        <v>EMPRESA CONSERVADORA AMBIENTAL DEL SUR E.I.R.L. - ECA SUR E.I.R.L.</v>
      </c>
      <c r="X279" s="19" t="str">
        <f>IF(Banco_Nacion[[#This Row],[TIPO DE MOV.]]="INGRESO",Banco_Nacion[[#This Row],[SERIE]]&amp;Banco_Nacion[[#This Row],[NUMERO]]&amp;Banco_Nacion[[#This Row],[RESPONSABLE]]&amp;Banco_Nacion[[#This Row],[MONTO ]],"")</f>
        <v>FF02252045528391586</v>
      </c>
      <c r="Y27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75725634</v>
      </c>
      <c r="Z279" s="3"/>
      <c r="AA279" s="3"/>
      <c r="AB279" s="24" t="str">
        <f>IF(Banco_Nacion[[#This Row],[FECHA]]&gt;0,TEXT(Banco_Nacion[[#This Row],[FECHA]],"mmmm"),0)</f>
        <v>Mayo</v>
      </c>
    </row>
    <row r="280" spans="2:28" x14ac:dyDescent="0.3">
      <c r="B280" s="2">
        <f>IF(Banco_Nacion[[#This Row],[TIPO DE R.]]="R",COUNTIFS($D$4:$D279,"R")+1,"")</f>
        <v>276</v>
      </c>
      <c r="C280" s="19" t="str">
        <f t="shared" si="20"/>
        <v>B-Banco de la Nacion</v>
      </c>
      <c r="D280" s="3" t="s">
        <v>1074</v>
      </c>
      <c r="E280" s="14">
        <v>45779</v>
      </c>
      <c r="F280" s="5">
        <v>20455283915</v>
      </c>
      <c r="G280" s="5" t="s">
        <v>1087</v>
      </c>
      <c r="H280" s="6" t="s">
        <v>368</v>
      </c>
      <c r="I280" s="6" t="s">
        <v>14</v>
      </c>
      <c r="J280" s="6" t="s">
        <v>3010</v>
      </c>
      <c r="K280" s="6">
        <v>24</v>
      </c>
      <c r="L280" s="7" t="s">
        <v>4290</v>
      </c>
      <c r="M280" s="8">
        <v>75725633</v>
      </c>
      <c r="N280" s="8" t="str">
        <f t="shared" si="21"/>
        <v>PEN</v>
      </c>
      <c r="O280" s="13"/>
      <c r="P280" s="13">
        <v>59</v>
      </c>
      <c r="Q280" s="3">
        <f t="shared" si="22"/>
        <v>59</v>
      </c>
      <c r="R280" s="3">
        <f t="shared" si="23"/>
        <v>0</v>
      </c>
      <c r="S280" s="3">
        <f t="shared" si="24"/>
        <v>41354.220000000008</v>
      </c>
      <c r="T280" s="24"/>
      <c r="U280" s="24" t="s">
        <v>1081</v>
      </c>
      <c r="V280" s="3"/>
      <c r="W280" s="19" t="str">
        <f>IFERROR(VLOOKUP(Banco_Nacion[[#This Row],[RESPONSABLE]],Clientes_Proveedores[[Ruc / Dni]:[Razon Social]],2,0),"")</f>
        <v>EMPRESA CONSERVADORA AMBIENTAL DEL SUR E.I.R.L. - ECA SUR E.I.R.L.</v>
      </c>
      <c r="X280" s="19" t="str">
        <f>IF(Banco_Nacion[[#This Row],[TIPO DE MOV.]]="INGRESO",Banco_Nacion[[#This Row],[SERIE]]&amp;Banco_Nacion[[#This Row],[NUMERO]]&amp;Banco_Nacion[[#This Row],[RESPONSABLE]]&amp;Banco_Nacion[[#This Row],[MONTO ]],"")</f>
        <v>FF02242045528391559</v>
      </c>
      <c r="Y28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75725633</v>
      </c>
      <c r="Z280" s="3"/>
      <c r="AA280" s="3"/>
      <c r="AB280" s="24" t="str">
        <f>IF(Banco_Nacion[[#This Row],[FECHA]]&gt;0,TEXT(Banco_Nacion[[#This Row],[FECHA]],"mmmm"),0)</f>
        <v>Mayo</v>
      </c>
    </row>
    <row r="281" spans="2:28" x14ac:dyDescent="0.3">
      <c r="B281" s="2">
        <f>IF(Banco_Nacion[[#This Row],[TIPO DE R.]]="R",COUNTIFS($D$4:$D280,"R")+1,"")</f>
        <v>277</v>
      </c>
      <c r="C281" s="19" t="str">
        <f t="shared" si="20"/>
        <v>B-Banco de la Nacion</v>
      </c>
      <c r="D281" s="3" t="s">
        <v>1074</v>
      </c>
      <c r="E281" s="14">
        <v>45779</v>
      </c>
      <c r="F281" s="5">
        <v>20455283915</v>
      </c>
      <c r="G281" s="5" t="s">
        <v>1087</v>
      </c>
      <c r="H281" s="6" t="s">
        <v>368</v>
      </c>
      <c r="I281" s="6" t="s">
        <v>14</v>
      </c>
      <c r="J281" s="6" t="s">
        <v>3010</v>
      </c>
      <c r="K281" s="6">
        <v>22</v>
      </c>
      <c r="L281" s="7" t="s">
        <v>4290</v>
      </c>
      <c r="M281" s="8">
        <v>75725632</v>
      </c>
      <c r="N281" s="8" t="str">
        <f t="shared" si="21"/>
        <v>PEN</v>
      </c>
      <c r="O281" s="13"/>
      <c r="P281" s="13">
        <v>310</v>
      </c>
      <c r="Q281" s="3">
        <f t="shared" si="22"/>
        <v>310</v>
      </c>
      <c r="R281" s="3">
        <f t="shared" si="23"/>
        <v>0</v>
      </c>
      <c r="S281" s="3">
        <f t="shared" si="24"/>
        <v>41664.220000000008</v>
      </c>
      <c r="T281" s="24"/>
      <c r="U281" s="24" t="s">
        <v>1081</v>
      </c>
      <c r="V281" s="3"/>
      <c r="W281" s="19" t="str">
        <f>IFERROR(VLOOKUP(Banco_Nacion[[#This Row],[RESPONSABLE]],Clientes_Proveedores[[Ruc / Dni]:[Razon Social]],2,0),"")</f>
        <v>EMPRESA CONSERVADORA AMBIENTAL DEL SUR E.I.R.L. - ECA SUR E.I.R.L.</v>
      </c>
      <c r="X281" s="19" t="str">
        <f>IF(Banco_Nacion[[#This Row],[TIPO DE MOV.]]="INGRESO",Banco_Nacion[[#This Row],[SERIE]]&amp;Banco_Nacion[[#This Row],[NUMERO]]&amp;Banco_Nacion[[#This Row],[RESPONSABLE]]&amp;Banco_Nacion[[#This Row],[MONTO ]],"")</f>
        <v>FF022220455283915310</v>
      </c>
      <c r="Y28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75725632</v>
      </c>
      <c r="Z281" s="3"/>
      <c r="AA281" s="3"/>
      <c r="AB281" s="24" t="str">
        <f>IF(Banco_Nacion[[#This Row],[FECHA]]&gt;0,TEXT(Banco_Nacion[[#This Row],[FECHA]],"mmmm"),0)</f>
        <v>Mayo</v>
      </c>
    </row>
    <row r="282" spans="2:28" x14ac:dyDescent="0.3">
      <c r="B282" s="2">
        <f>IF(Banco_Nacion[[#This Row],[TIPO DE R.]]="R",COUNTIFS($D$4:$D281,"R")+1,"")</f>
        <v>278</v>
      </c>
      <c r="C282" s="19" t="str">
        <f t="shared" si="20"/>
        <v>B-Banco de la Nacion</v>
      </c>
      <c r="D282" s="3" t="s">
        <v>1074</v>
      </c>
      <c r="E282" s="14">
        <v>45779</v>
      </c>
      <c r="F282" s="5">
        <v>20455283915</v>
      </c>
      <c r="G282" s="5" t="s">
        <v>1087</v>
      </c>
      <c r="H282" s="6" t="s">
        <v>368</v>
      </c>
      <c r="I282" s="6" t="s">
        <v>14</v>
      </c>
      <c r="J282" s="6" t="s">
        <v>3010</v>
      </c>
      <c r="K282" s="6">
        <v>20</v>
      </c>
      <c r="L282" s="7" t="s">
        <v>4290</v>
      </c>
      <c r="M282" s="8">
        <v>75725631</v>
      </c>
      <c r="N282" s="8" t="str">
        <f t="shared" si="21"/>
        <v>PEN</v>
      </c>
      <c r="O282" s="13"/>
      <c r="P282" s="13">
        <v>146</v>
      </c>
      <c r="Q282" s="3">
        <f t="shared" si="22"/>
        <v>146</v>
      </c>
      <c r="R282" s="3">
        <f t="shared" si="23"/>
        <v>0</v>
      </c>
      <c r="S282" s="3">
        <f t="shared" si="24"/>
        <v>41810.220000000008</v>
      </c>
      <c r="T282" s="24"/>
      <c r="U282" s="24"/>
      <c r="V282" s="3"/>
      <c r="W282" s="19" t="str">
        <f>IFERROR(VLOOKUP(Banco_Nacion[[#This Row],[RESPONSABLE]],Clientes_Proveedores[[Ruc / Dni]:[Razon Social]],2,0),"")</f>
        <v>EMPRESA CONSERVADORA AMBIENTAL DEL SUR E.I.R.L. - ECA SUR E.I.R.L.</v>
      </c>
      <c r="X282" s="19" t="str">
        <f>IF(Banco_Nacion[[#This Row],[TIPO DE MOV.]]="INGRESO",Banco_Nacion[[#This Row],[SERIE]]&amp;Banco_Nacion[[#This Row],[NUMERO]]&amp;Banco_Nacion[[#This Row],[RESPONSABLE]]&amp;Banco_Nacion[[#This Row],[MONTO ]],"")</f>
        <v>FF022020455283915146</v>
      </c>
      <c r="Y28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75725631</v>
      </c>
      <c r="Z282" s="3"/>
      <c r="AA282" s="3"/>
      <c r="AB282" s="24" t="str">
        <f>IF(Banco_Nacion[[#This Row],[FECHA]]&gt;0,TEXT(Banco_Nacion[[#This Row],[FECHA]],"mmmm"),0)</f>
        <v>Mayo</v>
      </c>
    </row>
    <row r="283" spans="2:28" x14ac:dyDescent="0.3">
      <c r="B283" s="2">
        <f>IF(Banco_Nacion[[#This Row],[TIPO DE R.]]="R",COUNTIFS($D$4:$D282,"R")+1,"")</f>
        <v>279</v>
      </c>
      <c r="C283" s="19" t="str">
        <f t="shared" si="20"/>
        <v>B-Banco de la Nacion</v>
      </c>
      <c r="D283" s="3" t="s">
        <v>1074</v>
      </c>
      <c r="E283" s="14">
        <v>45779</v>
      </c>
      <c r="F283" s="5">
        <v>20455283915</v>
      </c>
      <c r="G283" s="5" t="s">
        <v>1087</v>
      </c>
      <c r="H283" s="6" t="s">
        <v>368</v>
      </c>
      <c r="I283" s="6" t="s">
        <v>14</v>
      </c>
      <c r="J283" s="6" t="s">
        <v>3010</v>
      </c>
      <c r="K283" s="6">
        <v>19</v>
      </c>
      <c r="L283" s="7" t="s">
        <v>4290</v>
      </c>
      <c r="M283" s="8">
        <v>75725630</v>
      </c>
      <c r="N283" s="8" t="str">
        <f t="shared" si="21"/>
        <v>PEN</v>
      </c>
      <c r="O283" s="13"/>
      <c r="P283" s="13">
        <v>89</v>
      </c>
      <c r="Q283" s="3">
        <f t="shared" si="22"/>
        <v>89</v>
      </c>
      <c r="R283" s="3">
        <f t="shared" si="23"/>
        <v>0</v>
      </c>
      <c r="S283" s="3">
        <f t="shared" si="24"/>
        <v>41899.220000000008</v>
      </c>
      <c r="T283" s="24"/>
      <c r="U283" s="24" t="s">
        <v>1081</v>
      </c>
      <c r="V283" s="3"/>
      <c r="W283" s="19" t="str">
        <f>IFERROR(VLOOKUP(Banco_Nacion[[#This Row],[RESPONSABLE]],Clientes_Proveedores[[Ruc / Dni]:[Razon Social]],2,0),"")</f>
        <v>EMPRESA CONSERVADORA AMBIENTAL DEL SUR E.I.R.L. - ECA SUR E.I.R.L.</v>
      </c>
      <c r="X283" s="19" t="str">
        <f>IF(Banco_Nacion[[#This Row],[TIPO DE MOV.]]="INGRESO",Banco_Nacion[[#This Row],[SERIE]]&amp;Banco_Nacion[[#This Row],[NUMERO]]&amp;Banco_Nacion[[#This Row],[RESPONSABLE]]&amp;Banco_Nacion[[#This Row],[MONTO ]],"")</f>
        <v>FF02192045528391589</v>
      </c>
      <c r="Y28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75725630</v>
      </c>
      <c r="Z283" s="3"/>
      <c r="AA283" s="3"/>
      <c r="AB283" s="24" t="str">
        <f>IF(Banco_Nacion[[#This Row],[FECHA]]&gt;0,TEXT(Banco_Nacion[[#This Row],[FECHA]],"mmmm"),0)</f>
        <v>Mayo</v>
      </c>
    </row>
    <row r="284" spans="2:28" x14ac:dyDescent="0.3">
      <c r="B284" s="2">
        <f>IF(Banco_Nacion[[#This Row],[TIPO DE R.]]="R",COUNTIFS($D$4:$D283,"R")+1,"")</f>
        <v>280</v>
      </c>
      <c r="C284" s="19" t="str">
        <f t="shared" si="20"/>
        <v>B-Banco de la Nacion</v>
      </c>
      <c r="D284" s="3" t="s">
        <v>1074</v>
      </c>
      <c r="E284" s="14">
        <v>45779</v>
      </c>
      <c r="F284" s="5">
        <v>20455283915</v>
      </c>
      <c r="G284" s="5" t="s">
        <v>1087</v>
      </c>
      <c r="H284" s="6" t="s">
        <v>368</v>
      </c>
      <c r="I284" s="6" t="s">
        <v>14</v>
      </c>
      <c r="J284" s="6" t="s">
        <v>3010</v>
      </c>
      <c r="K284" s="6">
        <v>18</v>
      </c>
      <c r="L284" s="7" t="s">
        <v>4290</v>
      </c>
      <c r="M284" s="8">
        <v>75725629</v>
      </c>
      <c r="N284" s="8" t="str">
        <f t="shared" si="21"/>
        <v>PEN</v>
      </c>
      <c r="O284" s="13"/>
      <c r="P284" s="13">
        <v>60</v>
      </c>
      <c r="Q284" s="3">
        <f t="shared" si="22"/>
        <v>60</v>
      </c>
      <c r="R284" s="3">
        <f t="shared" si="23"/>
        <v>0</v>
      </c>
      <c r="S284" s="3">
        <f t="shared" si="24"/>
        <v>41959.220000000008</v>
      </c>
      <c r="T284" s="24"/>
      <c r="U284" s="24" t="s">
        <v>1081</v>
      </c>
      <c r="V284" s="3"/>
      <c r="W284" s="19" t="str">
        <f>IFERROR(VLOOKUP(Banco_Nacion[[#This Row],[RESPONSABLE]],Clientes_Proveedores[[Ruc / Dni]:[Razon Social]],2,0),"")</f>
        <v>EMPRESA CONSERVADORA AMBIENTAL DEL SUR E.I.R.L. - ECA SUR E.I.R.L.</v>
      </c>
      <c r="X284" s="19" t="str">
        <f>IF(Banco_Nacion[[#This Row],[TIPO DE MOV.]]="INGRESO",Banco_Nacion[[#This Row],[SERIE]]&amp;Banco_Nacion[[#This Row],[NUMERO]]&amp;Banco_Nacion[[#This Row],[RESPONSABLE]]&amp;Banco_Nacion[[#This Row],[MONTO ]],"")</f>
        <v>FF02182045528391560</v>
      </c>
      <c r="Y28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75725629</v>
      </c>
      <c r="Z284" s="3"/>
      <c r="AA284" s="3"/>
      <c r="AB284" s="24" t="str">
        <f>IF(Banco_Nacion[[#This Row],[FECHA]]&gt;0,TEXT(Banco_Nacion[[#This Row],[FECHA]],"mmmm"),0)</f>
        <v>Mayo</v>
      </c>
    </row>
    <row r="285" spans="2:28" x14ac:dyDescent="0.3">
      <c r="B285" s="2">
        <f>IF(Banco_Nacion[[#This Row],[TIPO DE R.]]="R",COUNTIFS($D$4:$D284,"R")+1,"")</f>
        <v>281</v>
      </c>
      <c r="C285" s="19" t="str">
        <f t="shared" si="20"/>
        <v>B-Banco de la Nacion</v>
      </c>
      <c r="D285" s="3" t="s">
        <v>1074</v>
      </c>
      <c r="E285" s="14">
        <v>45779</v>
      </c>
      <c r="F285" s="5">
        <v>20455283915</v>
      </c>
      <c r="G285" s="5" t="s">
        <v>1087</v>
      </c>
      <c r="H285" s="6" t="s">
        <v>368</v>
      </c>
      <c r="I285" s="6" t="s">
        <v>14</v>
      </c>
      <c r="J285" s="6" t="s">
        <v>3010</v>
      </c>
      <c r="K285" s="6">
        <v>17</v>
      </c>
      <c r="L285" s="7" t="s">
        <v>4290</v>
      </c>
      <c r="M285" s="8">
        <v>75725628</v>
      </c>
      <c r="N285" s="8" t="str">
        <f t="shared" si="21"/>
        <v>PEN</v>
      </c>
      <c r="O285" s="13"/>
      <c r="P285" s="13">
        <v>197</v>
      </c>
      <c r="Q285" s="3">
        <f t="shared" si="22"/>
        <v>197</v>
      </c>
      <c r="R285" s="3">
        <f t="shared" si="23"/>
        <v>0</v>
      </c>
      <c r="S285" s="3">
        <f t="shared" si="24"/>
        <v>42156.220000000008</v>
      </c>
      <c r="T285" s="24"/>
      <c r="U285" s="24" t="s">
        <v>1081</v>
      </c>
      <c r="V285" s="3"/>
      <c r="W285" s="19" t="str">
        <f>IFERROR(VLOOKUP(Banco_Nacion[[#This Row],[RESPONSABLE]],Clientes_Proveedores[[Ruc / Dni]:[Razon Social]],2,0),"")</f>
        <v>EMPRESA CONSERVADORA AMBIENTAL DEL SUR E.I.R.L. - ECA SUR E.I.R.L.</v>
      </c>
      <c r="X285" s="19" t="str">
        <f>IF(Banco_Nacion[[#This Row],[TIPO DE MOV.]]="INGRESO",Banco_Nacion[[#This Row],[SERIE]]&amp;Banco_Nacion[[#This Row],[NUMERO]]&amp;Banco_Nacion[[#This Row],[RESPONSABLE]]&amp;Banco_Nacion[[#This Row],[MONTO ]],"")</f>
        <v>FF021720455283915197</v>
      </c>
      <c r="Y28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75725628</v>
      </c>
      <c r="Z285" s="3"/>
      <c r="AA285" s="3"/>
      <c r="AB285" s="24" t="str">
        <f>IF(Banco_Nacion[[#This Row],[FECHA]]&gt;0,TEXT(Banco_Nacion[[#This Row],[FECHA]],"mmmm"),0)</f>
        <v>Mayo</v>
      </c>
    </row>
    <row r="286" spans="2:28" x14ac:dyDescent="0.3">
      <c r="B286" s="2">
        <f>IF(Banco_Nacion[[#This Row],[TIPO DE R.]]="R",COUNTIFS($D$4:$D285,"R")+1,"")</f>
        <v>282</v>
      </c>
      <c r="C286" s="19" t="str">
        <f t="shared" si="20"/>
        <v>B-Banco de la Nacion</v>
      </c>
      <c r="D286" s="3" t="s">
        <v>1074</v>
      </c>
      <c r="E286" s="14">
        <v>45779</v>
      </c>
      <c r="F286" s="5">
        <v>20120788389</v>
      </c>
      <c r="G286" s="5" t="s">
        <v>1087</v>
      </c>
      <c r="H286" s="6" t="s">
        <v>368</v>
      </c>
      <c r="I286" s="6" t="s">
        <v>14</v>
      </c>
      <c r="J286" s="6" t="s">
        <v>1521</v>
      </c>
      <c r="K286" s="6">
        <v>16</v>
      </c>
      <c r="L286" s="7" t="s">
        <v>4290</v>
      </c>
      <c r="M286" s="8">
        <v>75721301</v>
      </c>
      <c r="N286" s="8" t="str">
        <f t="shared" si="21"/>
        <v>PEN</v>
      </c>
      <c r="O286" s="13"/>
      <c r="P286" s="13">
        <v>95</v>
      </c>
      <c r="Q286" s="3">
        <f t="shared" si="22"/>
        <v>95</v>
      </c>
      <c r="R286" s="3">
        <f t="shared" si="23"/>
        <v>0</v>
      </c>
      <c r="S286" s="3">
        <f t="shared" si="24"/>
        <v>42251.220000000008</v>
      </c>
      <c r="T286" s="24"/>
      <c r="U286" s="24" t="s">
        <v>1081</v>
      </c>
      <c r="V286" s="3"/>
      <c r="W286" s="19" t="str">
        <f>IFERROR(VLOOKUP(Banco_Nacion[[#This Row],[RESPONSABLE]],Clientes_Proveedores[[Ruc / Dni]:[Razon Social]],2,0),"")</f>
        <v>CARMEN INMUEBLES S.A.</v>
      </c>
      <c r="X286" s="19" t="str">
        <f>IF(Banco_Nacion[[#This Row],[TIPO DE MOV.]]="INGRESO",Banco_Nacion[[#This Row],[SERIE]]&amp;Banco_Nacion[[#This Row],[NUMERO]]&amp;Banco_Nacion[[#This Row],[RESPONSABLE]]&amp;Banco_Nacion[[#This Row],[MONTO ]],"")</f>
        <v>FF01162012078838995</v>
      </c>
      <c r="Y28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75721301</v>
      </c>
      <c r="Z286" s="3"/>
      <c r="AA286" s="3"/>
      <c r="AB286" s="24" t="str">
        <f>IF(Banco_Nacion[[#This Row],[FECHA]]&gt;0,TEXT(Banco_Nacion[[#This Row],[FECHA]],"mmmm"),0)</f>
        <v>Mayo</v>
      </c>
    </row>
    <row r="287" spans="2:28" x14ac:dyDescent="0.3">
      <c r="B287" s="2">
        <f>IF(Banco_Nacion[[#This Row],[TIPO DE R.]]="R",COUNTIFS($D$4:$D286,"R")+1,"")</f>
        <v>283</v>
      </c>
      <c r="C287" s="19" t="str">
        <f t="shared" si="20"/>
        <v>B-Banco de la Nacion</v>
      </c>
      <c r="D287" s="3" t="s">
        <v>1074</v>
      </c>
      <c r="E287" s="14">
        <v>45779</v>
      </c>
      <c r="F287" s="5"/>
      <c r="G287" s="5" t="s">
        <v>1079</v>
      </c>
      <c r="H287" s="6"/>
      <c r="I287" s="6"/>
      <c r="J287" s="6" t="s">
        <v>4289</v>
      </c>
      <c r="K287" s="6"/>
      <c r="L287" s="7" t="s">
        <v>4292</v>
      </c>
      <c r="M287" s="8">
        <v>78787878</v>
      </c>
      <c r="N287" s="8" t="str">
        <f t="shared" si="21"/>
        <v>PEN</v>
      </c>
      <c r="O287" s="13"/>
      <c r="P287" s="13">
        <v>14982</v>
      </c>
      <c r="Q287" s="3">
        <f t="shared" si="22"/>
        <v>0</v>
      </c>
      <c r="R287" s="3">
        <f t="shared" si="23"/>
        <v>14982</v>
      </c>
      <c r="S287" s="3">
        <f t="shared" si="24"/>
        <v>27269.220000000008</v>
      </c>
      <c r="T287" s="24"/>
      <c r="U287" s="24"/>
      <c r="V287" s="3"/>
      <c r="W287" s="19" t="str">
        <f>IFERROR(VLOOKUP(Banco_Nacion[[#This Row],[RESPONSABLE]],Clientes_Proveedores[[Ruc / Dni]:[Razon Social]],2,0),"")</f>
        <v/>
      </c>
      <c r="X28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28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287" s="3"/>
      <c r="AA287" s="3"/>
      <c r="AB287" s="24" t="str">
        <f>IF(Banco_Nacion[[#This Row],[FECHA]]&gt;0,TEXT(Banco_Nacion[[#This Row],[FECHA]],"mmmm"),0)</f>
        <v>Mayo</v>
      </c>
    </row>
    <row r="288" spans="2:28" x14ac:dyDescent="0.3">
      <c r="B288" s="2">
        <f>IF(Banco_Nacion[[#This Row],[TIPO DE R.]]="R",COUNTIFS($D$4:$D287,"R")+1,"")</f>
        <v>284</v>
      </c>
      <c r="C288" s="19" t="str">
        <f t="shared" si="20"/>
        <v>B-Banco de la Nacion</v>
      </c>
      <c r="D288" s="3" t="s">
        <v>1074</v>
      </c>
      <c r="E288" s="14">
        <v>45780</v>
      </c>
      <c r="F288" s="5">
        <v>20550891086</v>
      </c>
      <c r="G288" s="5" t="s">
        <v>1087</v>
      </c>
      <c r="H288" s="6" t="s">
        <v>368</v>
      </c>
      <c r="I288" s="6" t="s">
        <v>14</v>
      </c>
      <c r="J288" s="6" t="s">
        <v>3010</v>
      </c>
      <c r="K288" s="6">
        <v>21</v>
      </c>
      <c r="L288" s="7" t="s">
        <v>4290</v>
      </c>
      <c r="M288" s="8">
        <v>26821327</v>
      </c>
      <c r="N288" s="8" t="str">
        <f t="shared" si="21"/>
        <v>PEN</v>
      </c>
      <c r="O288" s="13"/>
      <c r="P288" s="13">
        <v>917</v>
      </c>
      <c r="Q288" s="3">
        <f t="shared" si="22"/>
        <v>917</v>
      </c>
      <c r="R288" s="3">
        <f t="shared" si="23"/>
        <v>0</v>
      </c>
      <c r="S288" s="3">
        <f t="shared" si="24"/>
        <v>28186.220000000008</v>
      </c>
      <c r="T288" s="24"/>
      <c r="U288" s="24" t="s">
        <v>1081</v>
      </c>
      <c r="V288" s="3"/>
      <c r="W288" s="19" t="str">
        <f>IFERROR(VLOOKUP(Banco_Nacion[[#This Row],[RESPONSABLE]],Clientes_Proveedores[[Ruc / Dni]:[Razon Social]],2,0),"")</f>
        <v>SANTOS CHAVARRIA VEGA E.I.R.L.</v>
      </c>
      <c r="X288" s="19" t="str">
        <f>IF(Banco_Nacion[[#This Row],[TIPO DE MOV.]]="INGRESO",Banco_Nacion[[#This Row],[SERIE]]&amp;Banco_Nacion[[#This Row],[NUMERO]]&amp;Banco_Nacion[[#This Row],[RESPONSABLE]]&amp;Banco_Nacion[[#This Row],[MONTO ]],"")</f>
        <v>FF022120550891086917</v>
      </c>
      <c r="Y28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26821327</v>
      </c>
      <c r="Z288" s="3"/>
      <c r="AA288" s="3"/>
      <c r="AB288" s="24" t="str">
        <f>IF(Banco_Nacion[[#This Row],[FECHA]]&gt;0,TEXT(Banco_Nacion[[#This Row],[FECHA]],"mmmm"),0)</f>
        <v>Mayo</v>
      </c>
    </row>
    <row r="289" spans="2:28" x14ac:dyDescent="0.3">
      <c r="B289" s="2">
        <f>IF(Banco_Nacion[[#This Row],[TIPO DE R.]]="R",COUNTIFS($D$4:$D288,"R")+1,"")</f>
        <v>285</v>
      </c>
      <c r="C289" s="19" t="str">
        <f t="shared" si="20"/>
        <v>B-Banco de la Nacion</v>
      </c>
      <c r="D289" s="3" t="s">
        <v>1074</v>
      </c>
      <c r="E289" s="14">
        <v>45780</v>
      </c>
      <c r="F289" s="5">
        <v>20558698048</v>
      </c>
      <c r="G289" s="5" t="s">
        <v>1087</v>
      </c>
      <c r="H289" s="6" t="s">
        <v>368</v>
      </c>
      <c r="I289" s="6" t="s">
        <v>14</v>
      </c>
      <c r="J289" s="6" t="s">
        <v>3010</v>
      </c>
      <c r="K289" s="6">
        <v>23</v>
      </c>
      <c r="L289" s="7" t="s">
        <v>4291</v>
      </c>
      <c r="M289" s="8">
        <v>78788888</v>
      </c>
      <c r="N289" s="8" t="str">
        <f t="shared" si="21"/>
        <v>PEN</v>
      </c>
      <c r="O289" s="13"/>
      <c r="P289" s="13">
        <v>465</v>
      </c>
      <c r="Q289" s="3">
        <f t="shared" si="22"/>
        <v>465</v>
      </c>
      <c r="R289" s="3">
        <f t="shared" si="23"/>
        <v>0</v>
      </c>
      <c r="S289" s="3">
        <f t="shared" si="24"/>
        <v>28651.220000000008</v>
      </c>
      <c r="T289" s="24"/>
      <c r="U289" s="24" t="s">
        <v>1081</v>
      </c>
      <c r="V289" s="3"/>
      <c r="W289" s="19" t="str">
        <f>IFERROR(VLOOKUP(Banco_Nacion[[#This Row],[RESPONSABLE]],Clientes_Proveedores[[Ruc / Dni]:[Razon Social]],2,0),"")</f>
        <v xml:space="preserve">J&amp;R FAST CARGO E.I.R.L. </v>
      </c>
      <c r="X289" s="19" t="str">
        <f>IF(Banco_Nacion[[#This Row],[TIPO DE MOV.]]="INGRESO",Banco_Nacion[[#This Row],[SERIE]]&amp;Banco_Nacion[[#This Row],[NUMERO]]&amp;Banco_Nacion[[#This Row],[RESPONSABLE]]&amp;Banco_Nacion[[#This Row],[MONTO ]],"")</f>
        <v>FF022320558698048465</v>
      </c>
      <c r="Y28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78788888</v>
      </c>
      <c r="Z289" s="3"/>
      <c r="AA289" s="3"/>
      <c r="AB289" s="24" t="str">
        <f>IF(Banco_Nacion[[#This Row],[FECHA]]&gt;0,TEXT(Banco_Nacion[[#This Row],[FECHA]],"mmmm"),0)</f>
        <v>Mayo</v>
      </c>
    </row>
    <row r="290" spans="2:28" x14ac:dyDescent="0.3">
      <c r="B290" s="2">
        <f>IF(Banco_Nacion[[#This Row],[TIPO DE R.]]="R",COUNTIFS($D$4:$D289,"R")+1,"")</f>
        <v>286</v>
      </c>
      <c r="C290" s="19" t="str">
        <f t="shared" si="20"/>
        <v>B-Banco de la Nacion</v>
      </c>
      <c r="D290" s="3" t="s">
        <v>1074</v>
      </c>
      <c r="E290" s="14">
        <v>45782</v>
      </c>
      <c r="F290" s="5">
        <v>20370146994</v>
      </c>
      <c r="G290" s="5" t="s">
        <v>1087</v>
      </c>
      <c r="H290" s="6" t="s">
        <v>368</v>
      </c>
      <c r="I290" s="6" t="s">
        <v>14</v>
      </c>
      <c r="J290" s="6" t="s">
        <v>3010</v>
      </c>
      <c r="K290" s="6">
        <v>26</v>
      </c>
      <c r="L290" s="7" t="s">
        <v>4290</v>
      </c>
      <c r="M290" s="8">
        <v>75884446</v>
      </c>
      <c r="N290" s="8" t="str">
        <f t="shared" si="21"/>
        <v>PEN</v>
      </c>
      <c r="O290" s="13"/>
      <c r="P290" s="13">
        <v>128</v>
      </c>
      <c r="Q290" s="3">
        <f t="shared" si="22"/>
        <v>128</v>
      </c>
      <c r="R290" s="3">
        <f t="shared" si="23"/>
        <v>0</v>
      </c>
      <c r="S290" s="3">
        <f t="shared" si="24"/>
        <v>28779.220000000008</v>
      </c>
      <c r="T290" s="24"/>
      <c r="U290" s="24" t="s">
        <v>1081</v>
      </c>
      <c r="V290" s="3"/>
      <c r="W290" s="19" t="str">
        <f>IFERROR(VLOOKUP(Banco_Nacion[[#This Row],[RESPONSABLE]],Clientes_Proveedores[[Ruc / Dni]:[Razon Social]],2,0),"")</f>
        <v>CORPORACION ACEROS AREQUIPA S.A</v>
      </c>
      <c r="X290" s="19" t="str">
        <f>IF(Banco_Nacion[[#This Row],[TIPO DE MOV.]]="INGRESO",Banco_Nacion[[#This Row],[SERIE]]&amp;Banco_Nacion[[#This Row],[NUMERO]]&amp;Banco_Nacion[[#This Row],[RESPONSABLE]]&amp;Banco_Nacion[[#This Row],[MONTO ]],"")</f>
        <v>FF022620370146994128</v>
      </c>
      <c r="Y29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75884446</v>
      </c>
      <c r="Z290" s="3"/>
      <c r="AA290" s="3"/>
      <c r="AB290" s="24" t="str">
        <f>IF(Banco_Nacion[[#This Row],[FECHA]]&gt;0,TEXT(Banco_Nacion[[#This Row],[FECHA]],"mmmm"),0)</f>
        <v>Mayo</v>
      </c>
    </row>
    <row r="291" spans="2:28" x14ac:dyDescent="0.3">
      <c r="B291" s="2">
        <f>IF(Banco_Nacion[[#This Row],[TIPO DE R.]]="R",COUNTIFS($D$4:$D290,"R")+1,"")</f>
        <v>287</v>
      </c>
      <c r="C291" s="19" t="str">
        <f t="shared" si="20"/>
        <v>B-Banco de la Nacion</v>
      </c>
      <c r="D291" s="3" t="s">
        <v>1074</v>
      </c>
      <c r="E291" s="14">
        <v>45782</v>
      </c>
      <c r="F291" s="5">
        <v>20454186002</v>
      </c>
      <c r="G291" s="5" t="s">
        <v>1087</v>
      </c>
      <c r="H291" s="6" t="s">
        <v>368</v>
      </c>
      <c r="I291" s="6" t="s">
        <v>14</v>
      </c>
      <c r="J291" s="6" t="s">
        <v>1521</v>
      </c>
      <c r="K291" s="6">
        <v>55</v>
      </c>
      <c r="L291" s="7" t="s">
        <v>4290</v>
      </c>
      <c r="M291" s="8">
        <v>75862423</v>
      </c>
      <c r="N291" s="8" t="str">
        <f t="shared" si="21"/>
        <v>PEN</v>
      </c>
      <c r="O291" s="13"/>
      <c r="P291" s="13">
        <v>372</v>
      </c>
      <c r="Q291" s="3">
        <f t="shared" si="22"/>
        <v>372</v>
      </c>
      <c r="R291" s="3">
        <f t="shared" si="23"/>
        <v>0</v>
      </c>
      <c r="S291" s="3">
        <f t="shared" si="24"/>
        <v>29151.220000000008</v>
      </c>
      <c r="T291" s="24"/>
      <c r="U291" s="24" t="s">
        <v>1081</v>
      </c>
      <c r="V291" s="3"/>
      <c r="W291" s="19" t="str">
        <f>IFERROR(VLOOKUP(Banco_Nacion[[#This Row],[RESPONSABLE]],Clientes_Proveedores[[Ruc / Dni]:[Razon Social]],2,0),"")</f>
        <v>ALSUR PERU S.A.C.</v>
      </c>
      <c r="X291" s="19" t="str">
        <f>IF(Banco_Nacion[[#This Row],[TIPO DE MOV.]]="INGRESO",Banco_Nacion[[#This Row],[SERIE]]&amp;Banco_Nacion[[#This Row],[NUMERO]]&amp;Banco_Nacion[[#This Row],[RESPONSABLE]]&amp;Banco_Nacion[[#This Row],[MONTO ]],"")</f>
        <v>FF015520454186002372</v>
      </c>
      <c r="Y29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75862423</v>
      </c>
      <c r="Z291" s="3"/>
      <c r="AA291" s="3"/>
      <c r="AB291" s="24" t="str">
        <f>IF(Banco_Nacion[[#This Row],[FECHA]]&gt;0,TEXT(Banco_Nacion[[#This Row],[FECHA]],"mmmm"),0)</f>
        <v>Mayo</v>
      </c>
    </row>
    <row r="292" spans="2:28" x14ac:dyDescent="0.3">
      <c r="B292" s="2">
        <f>IF(Banco_Nacion[[#This Row],[TIPO DE R.]]="R",COUNTIFS($D$4:$D291,"R")+1,"")</f>
        <v>288</v>
      </c>
      <c r="C292" s="19" t="str">
        <f t="shared" si="20"/>
        <v>B-Banco de la Nacion</v>
      </c>
      <c r="D292" s="3" t="s">
        <v>1074</v>
      </c>
      <c r="E292" s="14">
        <v>45784</v>
      </c>
      <c r="F292" s="5">
        <v>20370146994</v>
      </c>
      <c r="G292" s="5" t="s">
        <v>1087</v>
      </c>
      <c r="H292" s="6" t="s">
        <v>368</v>
      </c>
      <c r="I292" s="6" t="s">
        <v>14</v>
      </c>
      <c r="J292" s="6" t="s">
        <v>3010</v>
      </c>
      <c r="K292" s="6">
        <v>29</v>
      </c>
      <c r="L292" s="7" t="s">
        <v>4290</v>
      </c>
      <c r="M292" s="8">
        <v>76136957</v>
      </c>
      <c r="N292" s="8" t="str">
        <f t="shared" si="21"/>
        <v>PEN</v>
      </c>
      <c r="O292" s="13"/>
      <c r="P292" s="13">
        <v>133</v>
      </c>
      <c r="Q292" s="3">
        <f t="shared" si="22"/>
        <v>133</v>
      </c>
      <c r="R292" s="3">
        <f t="shared" si="23"/>
        <v>0</v>
      </c>
      <c r="S292" s="3">
        <f t="shared" si="24"/>
        <v>29284.220000000008</v>
      </c>
      <c r="T292" s="24"/>
      <c r="U292" s="24" t="s">
        <v>1081</v>
      </c>
      <c r="V292" s="3"/>
      <c r="W292" s="19" t="str">
        <f>IFERROR(VLOOKUP(Banco_Nacion[[#This Row],[RESPONSABLE]],Clientes_Proveedores[[Ruc / Dni]:[Razon Social]],2,0),"")</f>
        <v>CORPORACION ACEROS AREQUIPA S.A</v>
      </c>
      <c r="X292" s="19" t="str">
        <f>IF(Banco_Nacion[[#This Row],[TIPO DE MOV.]]="INGRESO",Banco_Nacion[[#This Row],[SERIE]]&amp;Banco_Nacion[[#This Row],[NUMERO]]&amp;Banco_Nacion[[#This Row],[RESPONSABLE]]&amp;Banco_Nacion[[#This Row],[MONTO ]],"")</f>
        <v>FF022920370146994133</v>
      </c>
      <c r="Y29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76136957</v>
      </c>
      <c r="Z292" s="3"/>
      <c r="AA292" s="3"/>
      <c r="AB292" s="24" t="str">
        <f>IF(Banco_Nacion[[#This Row],[FECHA]]&gt;0,TEXT(Banco_Nacion[[#This Row],[FECHA]],"mmmm"),0)</f>
        <v>Mayo</v>
      </c>
    </row>
    <row r="293" spans="2:28" x14ac:dyDescent="0.3">
      <c r="B293" s="2">
        <f>IF(Banco_Nacion[[#This Row],[TIPO DE R.]]="R",COUNTIFS($D$4:$D292,"R")+1,"")</f>
        <v>289</v>
      </c>
      <c r="C293" s="19" t="str">
        <f t="shared" si="20"/>
        <v>B-Banco de la Nacion</v>
      </c>
      <c r="D293" s="3" t="s">
        <v>1074</v>
      </c>
      <c r="E293" s="14">
        <v>45784</v>
      </c>
      <c r="F293" s="5">
        <v>20508597208</v>
      </c>
      <c r="G293" s="5" t="s">
        <v>1087</v>
      </c>
      <c r="H293" s="6" t="s">
        <v>368</v>
      </c>
      <c r="I293" s="6" t="s">
        <v>14</v>
      </c>
      <c r="J293" s="6" t="s">
        <v>1097</v>
      </c>
      <c r="K293" s="6">
        <v>155</v>
      </c>
      <c r="L293" s="7" t="s">
        <v>4290</v>
      </c>
      <c r="M293" s="8">
        <v>76053059</v>
      </c>
      <c r="N293" s="8" t="str">
        <f t="shared" si="21"/>
        <v>PEN</v>
      </c>
      <c r="O293" s="13"/>
      <c r="P293" s="13">
        <v>234</v>
      </c>
      <c r="Q293" s="3">
        <f t="shared" si="22"/>
        <v>234</v>
      </c>
      <c r="R293" s="3">
        <f t="shared" si="23"/>
        <v>0</v>
      </c>
      <c r="S293" s="3">
        <f t="shared" si="24"/>
        <v>29518.220000000008</v>
      </c>
      <c r="T293" s="24"/>
      <c r="U293" s="24"/>
      <c r="V293" s="3"/>
      <c r="W293" s="19" t="str">
        <f>IFERROR(VLOOKUP(Banco_Nacion[[#This Row],[RESPONSABLE]],Clientes_Proveedores[[Ruc / Dni]:[Razon Social]],2,0),"")</f>
        <v>CORPORACION DINA E HIJOS S.R.L.</v>
      </c>
      <c r="X293" s="19" t="str">
        <f>IF(Banco_Nacion[[#This Row],[TIPO DE MOV.]]="INGRESO",Banco_Nacion[[#This Row],[SERIE]]&amp;Banco_Nacion[[#This Row],[NUMERO]]&amp;Banco_Nacion[[#This Row],[RESPONSABLE]]&amp;Banco_Nacion[[#This Row],[MONTO ]],"")</f>
        <v>FE0215520508597208234</v>
      </c>
      <c r="Y29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76053059</v>
      </c>
      <c r="Z293" s="3"/>
      <c r="AA293" s="3"/>
      <c r="AB293" s="24" t="str">
        <f>IF(Banco_Nacion[[#This Row],[FECHA]]&gt;0,TEXT(Banco_Nacion[[#This Row],[FECHA]],"mmmm"),0)</f>
        <v>Mayo</v>
      </c>
    </row>
    <row r="294" spans="2:28" x14ac:dyDescent="0.3">
      <c r="B294" s="2">
        <f>IF(Banco_Nacion[[#This Row],[TIPO DE R.]]="R",COUNTIFS($D$4:$D293,"R")+1,"")</f>
        <v>290</v>
      </c>
      <c r="C294" s="19" t="str">
        <f t="shared" si="20"/>
        <v>B-Banco de la Nacion</v>
      </c>
      <c r="D294" s="3" t="s">
        <v>1074</v>
      </c>
      <c r="E294" s="14">
        <v>45784</v>
      </c>
      <c r="F294" s="5">
        <v>20100172543</v>
      </c>
      <c r="G294" s="5" t="s">
        <v>1087</v>
      </c>
      <c r="H294" s="6" t="s">
        <v>368</v>
      </c>
      <c r="I294" s="6" t="s">
        <v>14</v>
      </c>
      <c r="J294" s="6" t="s">
        <v>3010</v>
      </c>
      <c r="K294" s="6">
        <v>27</v>
      </c>
      <c r="L294" s="7" t="s">
        <v>4290</v>
      </c>
      <c r="M294" s="8">
        <v>76053058</v>
      </c>
      <c r="N294" s="8" t="str">
        <f t="shared" si="21"/>
        <v>PEN</v>
      </c>
      <c r="O294" s="13"/>
      <c r="P294" s="13">
        <v>69</v>
      </c>
      <c r="Q294" s="3">
        <f t="shared" si="22"/>
        <v>69</v>
      </c>
      <c r="R294" s="3">
        <f t="shared" si="23"/>
        <v>0</v>
      </c>
      <c r="S294" s="3">
        <f t="shared" si="24"/>
        <v>29587.220000000008</v>
      </c>
      <c r="T294" s="24"/>
      <c r="U294" s="24"/>
      <c r="V294" s="3"/>
      <c r="W294" s="19" t="str">
        <f>IFERROR(VLOOKUP(Banco_Nacion[[#This Row],[RESPONSABLE]],Clientes_Proveedores[[Ruc / Dni]:[Razon Social]],2,0),"")</f>
        <v>MOVITECNICA S A</v>
      </c>
      <c r="X294" s="19" t="str">
        <f>IF(Banco_Nacion[[#This Row],[TIPO DE MOV.]]="INGRESO",Banco_Nacion[[#This Row],[SERIE]]&amp;Banco_Nacion[[#This Row],[NUMERO]]&amp;Banco_Nacion[[#This Row],[RESPONSABLE]]&amp;Banco_Nacion[[#This Row],[MONTO ]],"")</f>
        <v>FF02272010017254369</v>
      </c>
      <c r="Y29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76053058</v>
      </c>
      <c r="Z294" s="3"/>
      <c r="AA294" s="3"/>
      <c r="AB294" s="24" t="str">
        <f>IF(Banco_Nacion[[#This Row],[FECHA]]&gt;0,TEXT(Banco_Nacion[[#This Row],[FECHA]],"mmmm"),0)</f>
        <v>Mayo</v>
      </c>
    </row>
    <row r="295" spans="2:28" x14ac:dyDescent="0.3">
      <c r="B295" s="2">
        <f>IF(Banco_Nacion[[#This Row],[TIPO DE R.]]="R",COUNTIFS($D$4:$D294,"R")+1,"")</f>
        <v>291</v>
      </c>
      <c r="C295" s="19" t="str">
        <f t="shared" si="20"/>
        <v>B-Banco de la Nacion</v>
      </c>
      <c r="D295" s="3" t="s">
        <v>1074</v>
      </c>
      <c r="E295" s="14">
        <v>45784</v>
      </c>
      <c r="F295" s="5">
        <v>20613110586</v>
      </c>
      <c r="G295" s="5" t="s">
        <v>1087</v>
      </c>
      <c r="H295" s="6" t="s">
        <v>368</v>
      </c>
      <c r="I295" s="6" t="s">
        <v>14</v>
      </c>
      <c r="J295" s="6" t="s">
        <v>3010</v>
      </c>
      <c r="K295" s="6">
        <v>15</v>
      </c>
      <c r="L295" s="7" t="s">
        <v>4290</v>
      </c>
      <c r="M295" s="8">
        <v>76053057</v>
      </c>
      <c r="N295" s="8" t="str">
        <f t="shared" si="21"/>
        <v>PEN</v>
      </c>
      <c r="O295" s="13"/>
      <c r="P295" s="13">
        <v>93</v>
      </c>
      <c r="Q295" s="3">
        <f t="shared" si="22"/>
        <v>93</v>
      </c>
      <c r="R295" s="3">
        <f t="shared" si="23"/>
        <v>0</v>
      </c>
      <c r="S295" s="3">
        <f t="shared" si="24"/>
        <v>29680.220000000008</v>
      </c>
      <c r="T295" s="24"/>
      <c r="U295" s="24"/>
      <c r="V295" s="3"/>
      <c r="W295" s="19" t="str">
        <f>IFERROR(VLOOKUP(Banco_Nacion[[#This Row],[RESPONSABLE]],Clientes_Proveedores[[Ruc / Dni]:[Razon Social]],2,0),"")</f>
        <v>ACTIVA SERVICIOS GASTRONOMICOS S.R.L.</v>
      </c>
      <c r="X295" s="19" t="str">
        <f>IF(Banco_Nacion[[#This Row],[TIPO DE MOV.]]="INGRESO",Banco_Nacion[[#This Row],[SERIE]]&amp;Banco_Nacion[[#This Row],[NUMERO]]&amp;Banco_Nacion[[#This Row],[RESPONSABLE]]&amp;Banco_Nacion[[#This Row],[MONTO ]],"")</f>
        <v>FF02152061311058693</v>
      </c>
      <c r="Y29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76053057</v>
      </c>
      <c r="Z295" s="3"/>
      <c r="AA295" s="3"/>
      <c r="AB295" s="24" t="str">
        <f>IF(Banco_Nacion[[#This Row],[FECHA]]&gt;0,TEXT(Banco_Nacion[[#This Row],[FECHA]],"mmmm"),0)</f>
        <v>Mayo</v>
      </c>
    </row>
    <row r="296" spans="2:28" x14ac:dyDescent="0.3">
      <c r="B296" s="2">
        <f>IF(Banco_Nacion[[#This Row],[TIPO DE R.]]="R",COUNTIFS($D$4:$D295,"R")+1,"")</f>
        <v>292</v>
      </c>
      <c r="C296" s="19" t="str">
        <f t="shared" si="20"/>
        <v>B-Banco de la Nacion</v>
      </c>
      <c r="D296" s="3" t="s">
        <v>1074</v>
      </c>
      <c r="E296" s="14">
        <v>45784</v>
      </c>
      <c r="F296" s="5">
        <v>20406313213</v>
      </c>
      <c r="G296" s="5" t="s">
        <v>1087</v>
      </c>
      <c r="H296" s="6" t="s">
        <v>368</v>
      </c>
      <c r="I296" s="6" t="s">
        <v>14</v>
      </c>
      <c r="J296" s="6" t="s">
        <v>1121</v>
      </c>
      <c r="K296" s="6">
        <v>46</v>
      </c>
      <c r="L296" s="7" t="s">
        <v>4290</v>
      </c>
      <c r="M296" s="8">
        <v>76053056</v>
      </c>
      <c r="N296" s="8" t="str">
        <f t="shared" si="21"/>
        <v>PEN</v>
      </c>
      <c r="O296" s="13"/>
      <c r="P296" s="13">
        <v>286</v>
      </c>
      <c r="Q296" s="3">
        <f t="shared" si="22"/>
        <v>286</v>
      </c>
      <c r="R296" s="3">
        <f t="shared" si="23"/>
        <v>0</v>
      </c>
      <c r="S296" s="3">
        <f t="shared" si="24"/>
        <v>29966.220000000008</v>
      </c>
      <c r="T296" s="24"/>
      <c r="U296" s="24"/>
      <c r="V296" s="3"/>
      <c r="W296" s="19" t="str">
        <f>IFERROR(VLOOKUP(Banco_Nacion[[#This Row],[RESPONSABLE]],Clientes_Proveedores[[Ruc / Dni]:[Razon Social]],2,0),"")</f>
        <v>COOPERATIVA MINERA SAN ANTONIO DE ANANEA LTDA</v>
      </c>
      <c r="X296" s="19" t="str">
        <f>IF(Banco_Nacion[[#This Row],[TIPO DE MOV.]]="INGRESO",Banco_Nacion[[#This Row],[SERIE]]&amp;Banco_Nacion[[#This Row],[NUMERO]]&amp;Banco_Nacion[[#This Row],[RESPONSABLE]]&amp;Banco_Nacion[[#This Row],[MONTO ]],"")</f>
        <v>E0014620406313213286</v>
      </c>
      <c r="Y29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76053056</v>
      </c>
      <c r="Z296" s="3"/>
      <c r="AA296" s="3"/>
      <c r="AB296" s="24" t="str">
        <f>IF(Banco_Nacion[[#This Row],[FECHA]]&gt;0,TEXT(Banco_Nacion[[#This Row],[FECHA]],"mmmm"),0)</f>
        <v>Mayo</v>
      </c>
    </row>
    <row r="297" spans="2:28" x14ac:dyDescent="0.3">
      <c r="B297" s="2">
        <f>IF(Banco_Nacion[[#This Row],[TIPO DE R.]]="R",COUNTIFS($D$4:$D296,"R")+1,"")</f>
        <v>293</v>
      </c>
      <c r="C297" s="19" t="str">
        <f t="shared" si="20"/>
        <v>B-Banco de la Nacion</v>
      </c>
      <c r="D297" s="3" t="s">
        <v>1074</v>
      </c>
      <c r="E297" s="14">
        <v>45784</v>
      </c>
      <c r="F297" s="5">
        <v>20558353814</v>
      </c>
      <c r="G297" s="5" t="s">
        <v>1087</v>
      </c>
      <c r="H297" s="6" t="s">
        <v>368</v>
      </c>
      <c r="I297" s="6" t="s">
        <v>14</v>
      </c>
      <c r="J297" s="6" t="s">
        <v>1121</v>
      </c>
      <c r="K297" s="6">
        <v>32</v>
      </c>
      <c r="L297" s="7" t="s">
        <v>4290</v>
      </c>
      <c r="M297" s="8">
        <v>76053055</v>
      </c>
      <c r="N297" s="8" t="str">
        <f t="shared" si="21"/>
        <v>PEN</v>
      </c>
      <c r="O297" s="13"/>
      <c r="P297" s="13">
        <v>313</v>
      </c>
      <c r="Q297" s="3">
        <f t="shared" si="22"/>
        <v>313</v>
      </c>
      <c r="R297" s="3">
        <f t="shared" si="23"/>
        <v>0</v>
      </c>
      <c r="S297" s="3">
        <f t="shared" si="24"/>
        <v>30279.220000000008</v>
      </c>
      <c r="T297" s="24"/>
      <c r="U297" s="24"/>
      <c r="V297" s="3"/>
      <c r="W297" s="19" t="str">
        <f>IFERROR(VLOOKUP(Banco_Nacion[[#This Row],[RESPONSABLE]],Clientes_Proveedores[[Ruc / Dni]:[Razon Social]],2,0),"")</f>
        <v>TACONSER E.I.R.L.</v>
      </c>
      <c r="X297" s="19" t="str">
        <f>IF(Banco_Nacion[[#This Row],[TIPO DE MOV.]]="INGRESO",Banco_Nacion[[#This Row],[SERIE]]&amp;Banco_Nacion[[#This Row],[NUMERO]]&amp;Banco_Nacion[[#This Row],[RESPONSABLE]]&amp;Banco_Nacion[[#This Row],[MONTO ]],"")</f>
        <v>E0013220558353814313</v>
      </c>
      <c r="Y29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76053055</v>
      </c>
      <c r="Z297" s="3"/>
      <c r="AA297" s="3"/>
      <c r="AB297" s="24" t="str">
        <f>IF(Banco_Nacion[[#This Row],[FECHA]]&gt;0,TEXT(Banco_Nacion[[#This Row],[FECHA]],"mmmm"),0)</f>
        <v>Mayo</v>
      </c>
    </row>
    <row r="298" spans="2:28" x14ac:dyDescent="0.3">
      <c r="B298" s="2">
        <f>IF(Banco_Nacion[[#This Row],[TIPO DE R.]]="R",COUNTIFS($D$4:$D297,"R")+1,"")</f>
        <v>294</v>
      </c>
      <c r="C298" s="19" t="str">
        <f t="shared" si="20"/>
        <v>B-Banco de la Nacion</v>
      </c>
      <c r="D298" s="3" t="s">
        <v>1074</v>
      </c>
      <c r="E298" s="14">
        <v>45784</v>
      </c>
      <c r="F298" s="5">
        <v>10292831973</v>
      </c>
      <c r="G298" s="5" t="s">
        <v>1087</v>
      </c>
      <c r="H298" s="6" t="s">
        <v>368</v>
      </c>
      <c r="I298" s="6" t="s">
        <v>14</v>
      </c>
      <c r="J298" s="6" t="s">
        <v>1097</v>
      </c>
      <c r="K298" s="6">
        <v>204</v>
      </c>
      <c r="L298" s="7" t="s">
        <v>4290</v>
      </c>
      <c r="M298" s="8">
        <v>76053054</v>
      </c>
      <c r="N298" s="8" t="str">
        <f t="shared" si="21"/>
        <v>PEN</v>
      </c>
      <c r="O298" s="13"/>
      <c r="P298" s="13">
        <v>522</v>
      </c>
      <c r="Q298" s="3">
        <f t="shared" si="22"/>
        <v>522</v>
      </c>
      <c r="R298" s="3">
        <f t="shared" si="23"/>
        <v>0</v>
      </c>
      <c r="S298" s="3">
        <f t="shared" si="24"/>
        <v>30801.220000000008</v>
      </c>
      <c r="T298" s="24"/>
      <c r="U298" s="24"/>
      <c r="V298" s="3"/>
      <c r="W298" s="19" t="str">
        <f>IFERROR(VLOOKUP(Banco_Nacion[[#This Row],[RESPONSABLE]],Clientes_Proveedores[[Ruc / Dni]:[Razon Social]],2,0),"")</f>
        <v>VARGAS LUQUE ORESTES</v>
      </c>
      <c r="X298" s="19" t="str">
        <f>IF(Banco_Nacion[[#This Row],[TIPO DE MOV.]]="INGRESO",Banco_Nacion[[#This Row],[SERIE]]&amp;Banco_Nacion[[#This Row],[NUMERO]]&amp;Banco_Nacion[[#This Row],[RESPONSABLE]]&amp;Banco_Nacion[[#This Row],[MONTO ]],"")</f>
        <v>FE0220410292831973522</v>
      </c>
      <c r="Y29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76053054</v>
      </c>
      <c r="Z298" s="3"/>
      <c r="AA298" s="3"/>
      <c r="AB298" s="24" t="str">
        <f>IF(Banco_Nacion[[#This Row],[FECHA]]&gt;0,TEXT(Banco_Nacion[[#This Row],[FECHA]],"mmmm"),0)</f>
        <v>Mayo</v>
      </c>
    </row>
    <row r="299" spans="2:28" x14ac:dyDescent="0.3">
      <c r="B299" s="2">
        <f>IF(Banco_Nacion[[#This Row],[TIPO DE R.]]="R",COUNTIFS($D$4:$D298,"R")+1,"")</f>
        <v>295</v>
      </c>
      <c r="C299" s="19" t="str">
        <f t="shared" si="20"/>
        <v>B-Banco de la Nacion</v>
      </c>
      <c r="D299" s="3" t="s">
        <v>1074</v>
      </c>
      <c r="E299" s="14">
        <v>45784</v>
      </c>
      <c r="F299" s="5">
        <v>20508597208</v>
      </c>
      <c r="G299" s="5" t="s">
        <v>1087</v>
      </c>
      <c r="H299" s="6" t="s">
        <v>368</v>
      </c>
      <c r="I299" s="6" t="s">
        <v>14</v>
      </c>
      <c r="J299" s="6" t="s">
        <v>1097</v>
      </c>
      <c r="K299" s="6">
        <v>182</v>
      </c>
      <c r="L299" s="7" t="s">
        <v>4290</v>
      </c>
      <c r="M299" s="8">
        <v>76053053</v>
      </c>
      <c r="N299" s="8" t="str">
        <f t="shared" si="21"/>
        <v>PEN</v>
      </c>
      <c r="O299" s="13"/>
      <c r="P299" s="13">
        <v>268</v>
      </c>
      <c r="Q299" s="3">
        <f t="shared" si="22"/>
        <v>268</v>
      </c>
      <c r="R299" s="3">
        <f t="shared" si="23"/>
        <v>0</v>
      </c>
      <c r="S299" s="3">
        <f t="shared" si="24"/>
        <v>31069.220000000008</v>
      </c>
      <c r="T299" s="24"/>
      <c r="U299" s="24"/>
      <c r="V299" s="3"/>
      <c r="W299" s="19" t="str">
        <f>IFERROR(VLOOKUP(Banco_Nacion[[#This Row],[RESPONSABLE]],Clientes_Proveedores[[Ruc / Dni]:[Razon Social]],2,0),"")</f>
        <v>CORPORACION DINA E HIJOS S.R.L.</v>
      </c>
      <c r="X299" s="19" t="str">
        <f>IF(Banco_Nacion[[#This Row],[TIPO DE MOV.]]="INGRESO",Banco_Nacion[[#This Row],[SERIE]]&amp;Banco_Nacion[[#This Row],[NUMERO]]&amp;Banco_Nacion[[#This Row],[RESPONSABLE]]&amp;Banco_Nacion[[#This Row],[MONTO ]],"")</f>
        <v>FE0218220508597208268</v>
      </c>
      <c r="Y29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76053053</v>
      </c>
      <c r="Z299" s="3"/>
      <c r="AA299" s="3"/>
      <c r="AB299" s="24" t="str">
        <f>IF(Banco_Nacion[[#This Row],[FECHA]]&gt;0,TEXT(Banco_Nacion[[#This Row],[FECHA]],"mmmm"),0)</f>
        <v>Mayo</v>
      </c>
    </row>
    <row r="300" spans="2:28" x14ac:dyDescent="0.3">
      <c r="B300" s="2">
        <f>IF(Banco_Nacion[[#This Row],[TIPO DE R.]]="R",COUNTIFS($D$4:$D299,"R")+1,"")</f>
        <v>296</v>
      </c>
      <c r="C300" s="19" t="str">
        <f t="shared" si="20"/>
        <v>B-Banco de la Nacion</v>
      </c>
      <c r="D300" s="3" t="s">
        <v>1074</v>
      </c>
      <c r="E300" s="14">
        <v>45784</v>
      </c>
      <c r="F300" s="5">
        <v>20607076783</v>
      </c>
      <c r="G300" s="5" t="s">
        <v>1087</v>
      </c>
      <c r="H300" s="6" t="s">
        <v>368</v>
      </c>
      <c r="I300" s="6" t="s">
        <v>14</v>
      </c>
      <c r="J300" s="6" t="s">
        <v>1097</v>
      </c>
      <c r="K300" s="6">
        <v>174</v>
      </c>
      <c r="L300" s="7" t="s">
        <v>4290</v>
      </c>
      <c r="M300" s="8">
        <v>76053052</v>
      </c>
      <c r="N300" s="8" t="str">
        <f t="shared" si="21"/>
        <v>PEN</v>
      </c>
      <c r="O300" s="13"/>
      <c r="P300" s="13">
        <v>11</v>
      </c>
      <c r="Q300" s="3">
        <f t="shared" si="22"/>
        <v>11</v>
      </c>
      <c r="R300" s="3">
        <f t="shared" si="23"/>
        <v>0</v>
      </c>
      <c r="S300" s="3">
        <f t="shared" si="24"/>
        <v>31080.220000000008</v>
      </c>
      <c r="T300" s="24"/>
      <c r="U300" s="24" t="s">
        <v>1081</v>
      </c>
      <c r="V300" s="3"/>
      <c r="W300" s="19" t="str">
        <f>IFERROR(VLOOKUP(Banco_Nacion[[#This Row],[RESPONSABLE]],Clientes_Proveedores[[Ruc / Dni]:[Razon Social]],2,0),"")</f>
        <v>BLAXTEEL SAC</v>
      </c>
      <c r="X300" s="19" t="str">
        <f>IF(Banco_Nacion[[#This Row],[TIPO DE MOV.]]="INGRESO",Banco_Nacion[[#This Row],[SERIE]]&amp;Banco_Nacion[[#This Row],[NUMERO]]&amp;Banco_Nacion[[#This Row],[RESPONSABLE]]&amp;Banco_Nacion[[#This Row],[MONTO ]],"")</f>
        <v>FE021742060707678311</v>
      </c>
      <c r="Y30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76053052</v>
      </c>
      <c r="Z300" s="3"/>
      <c r="AA300" s="3"/>
      <c r="AB300" s="24" t="str">
        <f>IF(Banco_Nacion[[#This Row],[FECHA]]&gt;0,TEXT(Banco_Nacion[[#This Row],[FECHA]],"mmmm"),0)</f>
        <v>Mayo</v>
      </c>
    </row>
    <row r="301" spans="2:28" x14ac:dyDescent="0.3">
      <c r="B301" s="2">
        <f>IF(Banco_Nacion[[#This Row],[TIPO DE R.]]="R",COUNTIFS($D$4:$D300,"R")+1,"")</f>
        <v>297</v>
      </c>
      <c r="C301" s="19" t="str">
        <f t="shared" si="20"/>
        <v>B-Banco de la Nacion</v>
      </c>
      <c r="D301" s="3" t="s">
        <v>1074</v>
      </c>
      <c r="E301" s="14">
        <v>45784</v>
      </c>
      <c r="F301" s="5">
        <v>20601119600</v>
      </c>
      <c r="G301" s="5" t="s">
        <v>1087</v>
      </c>
      <c r="H301" s="6" t="s">
        <v>368</v>
      </c>
      <c r="I301" s="6" t="s">
        <v>14</v>
      </c>
      <c r="J301" s="6" t="s">
        <v>3091</v>
      </c>
      <c r="K301" s="6">
        <v>16</v>
      </c>
      <c r="L301" s="7" t="s">
        <v>4290</v>
      </c>
      <c r="M301" s="8">
        <v>26835489</v>
      </c>
      <c r="N301" s="8" t="str">
        <f t="shared" si="21"/>
        <v>PEN</v>
      </c>
      <c r="O301" s="13"/>
      <c r="P301" s="13">
        <v>224</v>
      </c>
      <c r="Q301" s="3">
        <f t="shared" si="22"/>
        <v>224</v>
      </c>
      <c r="R301" s="3">
        <f t="shared" si="23"/>
        <v>0</v>
      </c>
      <c r="S301" s="3">
        <f t="shared" si="24"/>
        <v>31304.220000000008</v>
      </c>
      <c r="T301" s="24"/>
      <c r="U301" s="24" t="s">
        <v>1081</v>
      </c>
      <c r="V301" s="3"/>
      <c r="W301" s="19" t="str">
        <f>IFERROR(VLOOKUP(Banco_Nacion[[#This Row],[RESPONSABLE]],Clientes_Proveedores[[Ruc / Dni]:[Razon Social]],2,0),"")</f>
        <v>INVERSIONES W.J.M. S.A.C.</v>
      </c>
      <c r="X301" s="19" t="str">
        <f>IF(Banco_Nacion[[#This Row],[TIPO DE MOV.]]="INGRESO",Banco_Nacion[[#This Row],[SERIE]]&amp;Banco_Nacion[[#This Row],[NUMERO]]&amp;Banco_Nacion[[#This Row],[RESPONSABLE]]&amp;Banco_Nacion[[#This Row],[MONTO ]],"")</f>
        <v>FF051620601119600224</v>
      </c>
      <c r="Y30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26835489</v>
      </c>
      <c r="Z301" s="3"/>
      <c r="AA301" s="3"/>
      <c r="AB301" s="24" t="str">
        <f>IF(Banco_Nacion[[#This Row],[FECHA]]&gt;0,TEXT(Banco_Nacion[[#This Row],[FECHA]],"mmmm"),0)</f>
        <v>Mayo</v>
      </c>
    </row>
    <row r="302" spans="2:28" x14ac:dyDescent="0.3">
      <c r="B302" s="2">
        <f>IF(Banco_Nacion[[#This Row],[TIPO DE R.]]="R",COUNTIFS($D$4:$D301,"R")+1,"")</f>
        <v>298</v>
      </c>
      <c r="C302" s="19" t="str">
        <f t="shared" si="20"/>
        <v>B-Banco de la Nacion</v>
      </c>
      <c r="D302" s="3" t="s">
        <v>1074</v>
      </c>
      <c r="E302" s="14">
        <v>45784</v>
      </c>
      <c r="F302" s="5">
        <v>20601119600</v>
      </c>
      <c r="G302" s="5" t="s">
        <v>1087</v>
      </c>
      <c r="H302" s="6" t="s">
        <v>368</v>
      </c>
      <c r="I302" s="6" t="s">
        <v>14</v>
      </c>
      <c r="J302" s="6" t="s">
        <v>3091</v>
      </c>
      <c r="K302" s="6">
        <v>14</v>
      </c>
      <c r="L302" s="7" t="s">
        <v>4290</v>
      </c>
      <c r="M302" s="8">
        <v>26835477</v>
      </c>
      <c r="N302" s="8" t="str">
        <f t="shared" si="21"/>
        <v>PEN</v>
      </c>
      <c r="O302" s="13"/>
      <c r="P302" s="13">
        <v>101</v>
      </c>
      <c r="Q302" s="3">
        <f t="shared" si="22"/>
        <v>101</v>
      </c>
      <c r="R302" s="3">
        <f t="shared" si="23"/>
        <v>0</v>
      </c>
      <c r="S302" s="3">
        <f t="shared" si="24"/>
        <v>31405.220000000008</v>
      </c>
      <c r="T302" s="24"/>
      <c r="U302" s="24"/>
      <c r="V302" s="3"/>
      <c r="W302" s="19" t="str">
        <f>IFERROR(VLOOKUP(Banco_Nacion[[#This Row],[RESPONSABLE]],Clientes_Proveedores[[Ruc / Dni]:[Razon Social]],2,0),"")</f>
        <v>INVERSIONES W.J.M. S.A.C.</v>
      </c>
      <c r="X302" s="19" t="str">
        <f>IF(Banco_Nacion[[#This Row],[TIPO DE MOV.]]="INGRESO",Banco_Nacion[[#This Row],[SERIE]]&amp;Banco_Nacion[[#This Row],[NUMERO]]&amp;Banco_Nacion[[#This Row],[RESPONSABLE]]&amp;Banco_Nacion[[#This Row],[MONTO ]],"")</f>
        <v>FF051420601119600101</v>
      </c>
      <c r="Y30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26835477</v>
      </c>
      <c r="Z302" s="3"/>
      <c r="AA302" s="3"/>
      <c r="AB302" s="24" t="str">
        <f>IF(Banco_Nacion[[#This Row],[FECHA]]&gt;0,TEXT(Banco_Nacion[[#This Row],[FECHA]],"mmmm"),0)</f>
        <v>Mayo</v>
      </c>
    </row>
    <row r="303" spans="2:28" x14ac:dyDescent="0.3">
      <c r="B303" s="2">
        <f>IF(Banco_Nacion[[#This Row],[TIPO DE R.]]="R",COUNTIFS($D$4:$D302,"R")+1,"")</f>
        <v>299</v>
      </c>
      <c r="C303" s="19" t="str">
        <f t="shared" si="20"/>
        <v>B-Banco de la Nacion</v>
      </c>
      <c r="D303" s="3" t="s">
        <v>1074</v>
      </c>
      <c r="E303" s="14">
        <v>45785</v>
      </c>
      <c r="F303" s="5">
        <v>20565347099</v>
      </c>
      <c r="G303" s="5" t="s">
        <v>1087</v>
      </c>
      <c r="H303" s="6" t="s">
        <v>368</v>
      </c>
      <c r="I303" s="6" t="s">
        <v>14</v>
      </c>
      <c r="J303" s="6" t="s">
        <v>1088</v>
      </c>
      <c r="K303" s="6">
        <v>566</v>
      </c>
      <c r="L303" s="7" t="s">
        <v>4290</v>
      </c>
      <c r="M303" s="8">
        <v>76335255</v>
      </c>
      <c r="N303" s="8" t="str">
        <f t="shared" si="21"/>
        <v>PEN</v>
      </c>
      <c r="O303" s="13"/>
      <c r="P303" s="13">
        <v>216</v>
      </c>
      <c r="Q303" s="3">
        <f t="shared" si="22"/>
        <v>216</v>
      </c>
      <c r="R303" s="3">
        <f t="shared" si="23"/>
        <v>0</v>
      </c>
      <c r="S303" s="3">
        <f t="shared" si="24"/>
        <v>31621.220000000008</v>
      </c>
      <c r="T303" s="24"/>
      <c r="U303" s="24"/>
      <c r="V303" s="3"/>
      <c r="W303" s="19" t="str">
        <f>IFERROR(VLOOKUP(Banco_Nacion[[#This Row],[RESPONSABLE]],Clientes_Proveedores[[Ruc / Dni]:[Razon Social]],2,0),"")</f>
        <v>HAM CRIOGENICA PERU S.A.C.</v>
      </c>
      <c r="X303" s="19" t="str">
        <f>IF(Banco_Nacion[[#This Row],[TIPO DE MOV.]]="INGRESO",Banco_Nacion[[#This Row],[SERIE]]&amp;Banco_Nacion[[#This Row],[NUMERO]]&amp;Banco_Nacion[[#This Row],[RESPONSABLE]]&amp;Banco_Nacion[[#This Row],[MONTO ]],"")</f>
        <v>FE0156620565347099216</v>
      </c>
      <c r="Y30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76335255</v>
      </c>
      <c r="Z303" s="3"/>
      <c r="AA303" s="3"/>
      <c r="AB303" s="24" t="str">
        <f>IF(Banco_Nacion[[#This Row],[FECHA]]&gt;0,TEXT(Banco_Nacion[[#This Row],[FECHA]],"mmmm"),0)</f>
        <v>Mayo</v>
      </c>
    </row>
    <row r="304" spans="2:28" x14ac:dyDescent="0.3">
      <c r="B304" s="2">
        <f>IF(Banco_Nacion[[#This Row],[TIPO DE R.]]="R",COUNTIFS($D$4:$D303,"R")+1,"")</f>
        <v>300</v>
      </c>
      <c r="C304" s="19" t="str">
        <f t="shared" si="20"/>
        <v>B-Banco de la Nacion</v>
      </c>
      <c r="D304" s="3" t="s">
        <v>1074</v>
      </c>
      <c r="E304" s="14">
        <v>45785</v>
      </c>
      <c r="F304" s="5">
        <v>20606592494</v>
      </c>
      <c r="G304" s="5" t="s">
        <v>1087</v>
      </c>
      <c r="H304" s="6" t="s">
        <v>368</v>
      </c>
      <c r="I304" s="6" t="s">
        <v>14</v>
      </c>
      <c r="J304" s="6" t="s">
        <v>3458</v>
      </c>
      <c r="K304" s="6">
        <v>5</v>
      </c>
      <c r="L304" s="7" t="s">
        <v>4290</v>
      </c>
      <c r="M304" s="8">
        <v>76217825</v>
      </c>
      <c r="N304" s="8" t="str">
        <f t="shared" si="21"/>
        <v>PEN</v>
      </c>
      <c r="O304" s="13"/>
      <c r="P304" s="13">
        <v>531</v>
      </c>
      <c r="Q304" s="3">
        <f t="shared" si="22"/>
        <v>531</v>
      </c>
      <c r="R304" s="3">
        <f t="shared" si="23"/>
        <v>0</v>
      </c>
      <c r="S304" s="3">
        <f t="shared" si="24"/>
        <v>32152.220000000008</v>
      </c>
      <c r="T304" s="24"/>
      <c r="U304" s="24"/>
      <c r="V304" s="3"/>
      <c r="W304" s="19" t="str">
        <f>IFERROR(VLOOKUP(Banco_Nacion[[#This Row],[RESPONSABLE]],Clientes_Proveedores[[Ruc / Dni]:[Razon Social]],2,0),"")</f>
        <v>RESIGRALE S.R.L.</v>
      </c>
      <c r="X304" s="19" t="str">
        <f>IF(Banco_Nacion[[#This Row],[TIPO DE MOV.]]="INGRESO",Banco_Nacion[[#This Row],[SERIE]]&amp;Banco_Nacion[[#This Row],[NUMERO]]&amp;Banco_Nacion[[#This Row],[RESPONSABLE]]&amp;Banco_Nacion[[#This Row],[MONTO ]],"")</f>
        <v>FF07520606592494531</v>
      </c>
      <c r="Y30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76217825</v>
      </c>
      <c r="Z304" s="3"/>
      <c r="AA304" s="3"/>
      <c r="AB304" s="24" t="str">
        <f>IF(Banco_Nacion[[#This Row],[FECHA]]&gt;0,TEXT(Banco_Nacion[[#This Row],[FECHA]],"mmmm"),0)</f>
        <v>Mayo</v>
      </c>
    </row>
    <row r="305" spans="2:28" x14ac:dyDescent="0.3">
      <c r="B305" s="2">
        <f>IF(Banco_Nacion[[#This Row],[TIPO DE R.]]="R",COUNTIFS($D$4:$D304,"R")+1,"")</f>
        <v>301</v>
      </c>
      <c r="C305" s="19" t="str">
        <f t="shared" si="20"/>
        <v>B-Banco de la Nacion</v>
      </c>
      <c r="D305" s="3" t="s">
        <v>1074</v>
      </c>
      <c r="E305" s="14">
        <v>45785</v>
      </c>
      <c r="F305" s="5">
        <v>20606592494</v>
      </c>
      <c r="G305" s="5" t="s">
        <v>1087</v>
      </c>
      <c r="H305" s="6" t="s">
        <v>368</v>
      </c>
      <c r="I305" s="6" t="s">
        <v>14</v>
      </c>
      <c r="J305" s="6" t="s">
        <v>3458</v>
      </c>
      <c r="K305" s="6">
        <v>4</v>
      </c>
      <c r="L305" s="7" t="s">
        <v>4290</v>
      </c>
      <c r="M305" s="8">
        <v>76217687</v>
      </c>
      <c r="N305" s="8" t="str">
        <f t="shared" si="21"/>
        <v>PEN</v>
      </c>
      <c r="O305" s="13"/>
      <c r="P305" s="13">
        <v>743</v>
      </c>
      <c r="Q305" s="3">
        <f t="shared" si="22"/>
        <v>743</v>
      </c>
      <c r="R305" s="3">
        <f t="shared" si="23"/>
        <v>0</v>
      </c>
      <c r="S305" s="3">
        <f t="shared" si="24"/>
        <v>32895.220000000008</v>
      </c>
      <c r="T305" s="24"/>
      <c r="U305" s="24"/>
      <c r="V305" s="3"/>
      <c r="W305" s="19" t="str">
        <f>IFERROR(VLOOKUP(Banco_Nacion[[#This Row],[RESPONSABLE]],Clientes_Proveedores[[Ruc / Dni]:[Razon Social]],2,0),"")</f>
        <v>RESIGRALE S.R.L.</v>
      </c>
      <c r="X305" s="19" t="str">
        <f>IF(Banco_Nacion[[#This Row],[TIPO DE MOV.]]="INGRESO",Banco_Nacion[[#This Row],[SERIE]]&amp;Banco_Nacion[[#This Row],[NUMERO]]&amp;Banco_Nacion[[#This Row],[RESPONSABLE]]&amp;Banco_Nacion[[#This Row],[MONTO ]],"")</f>
        <v>FF07420606592494743</v>
      </c>
      <c r="Y30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76217687</v>
      </c>
      <c r="Z305" s="3"/>
      <c r="AA305" s="3"/>
      <c r="AB305" s="24" t="str">
        <f>IF(Banco_Nacion[[#This Row],[FECHA]]&gt;0,TEXT(Banco_Nacion[[#This Row],[FECHA]],"mmmm"),0)</f>
        <v>Mayo</v>
      </c>
    </row>
    <row r="306" spans="2:28" x14ac:dyDescent="0.3">
      <c r="B306" s="2">
        <f>IF(Banco_Nacion[[#This Row],[TIPO DE R.]]="R",COUNTIFS($D$4:$D305,"R")+1,"")</f>
        <v>302</v>
      </c>
      <c r="C306" s="19" t="str">
        <f t="shared" si="20"/>
        <v>B-Banco de la Nacion</v>
      </c>
      <c r="D306" s="3" t="s">
        <v>1074</v>
      </c>
      <c r="E306" s="14">
        <v>45785</v>
      </c>
      <c r="F306" s="5">
        <v>20606592494</v>
      </c>
      <c r="G306" s="5" t="s">
        <v>1087</v>
      </c>
      <c r="H306" s="6" t="s">
        <v>368</v>
      </c>
      <c r="I306" s="6" t="s">
        <v>14</v>
      </c>
      <c r="J306" s="6" t="s">
        <v>3458</v>
      </c>
      <c r="K306" s="6">
        <v>3</v>
      </c>
      <c r="L306" s="7" t="s">
        <v>4290</v>
      </c>
      <c r="M306" s="8">
        <v>76215898</v>
      </c>
      <c r="N306" s="8" t="str">
        <f t="shared" si="21"/>
        <v>PEN</v>
      </c>
      <c r="O306" s="13"/>
      <c r="P306" s="13">
        <v>319</v>
      </c>
      <c r="Q306" s="3">
        <f t="shared" si="22"/>
        <v>319</v>
      </c>
      <c r="R306" s="3">
        <f t="shared" si="23"/>
        <v>0</v>
      </c>
      <c r="S306" s="3">
        <f t="shared" si="24"/>
        <v>33214.220000000008</v>
      </c>
      <c r="T306" s="24"/>
      <c r="U306" s="24"/>
      <c r="V306" s="3"/>
      <c r="W306" s="19" t="str">
        <f>IFERROR(VLOOKUP(Banco_Nacion[[#This Row],[RESPONSABLE]],Clientes_Proveedores[[Ruc / Dni]:[Razon Social]],2,0),"")</f>
        <v>RESIGRALE S.R.L.</v>
      </c>
      <c r="X306" s="19" t="str">
        <f>IF(Banco_Nacion[[#This Row],[TIPO DE MOV.]]="INGRESO",Banco_Nacion[[#This Row],[SERIE]]&amp;Banco_Nacion[[#This Row],[NUMERO]]&amp;Banco_Nacion[[#This Row],[RESPONSABLE]]&amp;Banco_Nacion[[#This Row],[MONTO ]],"")</f>
        <v>FF07320606592494319</v>
      </c>
      <c r="Y30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76215898</v>
      </c>
      <c r="Z306" s="3"/>
      <c r="AA306" s="3"/>
      <c r="AB306" s="24" t="str">
        <f>IF(Banco_Nacion[[#This Row],[FECHA]]&gt;0,TEXT(Banco_Nacion[[#This Row],[FECHA]],"mmmm"),0)</f>
        <v>Mayo</v>
      </c>
    </row>
    <row r="307" spans="2:28" x14ac:dyDescent="0.3">
      <c r="B307" s="2">
        <f>IF(Banco_Nacion[[#This Row],[TIPO DE R.]]="R",COUNTIFS($D$4:$D306,"R")+1,"")</f>
        <v>303</v>
      </c>
      <c r="C307" s="19" t="str">
        <f t="shared" si="20"/>
        <v>B-Banco de la Nacion</v>
      </c>
      <c r="D307" s="3" t="s">
        <v>1074</v>
      </c>
      <c r="E307" s="14">
        <v>45785</v>
      </c>
      <c r="F307" s="5">
        <v>20606592494</v>
      </c>
      <c r="G307" s="5" t="s">
        <v>1087</v>
      </c>
      <c r="H307" s="6" t="s">
        <v>368</v>
      </c>
      <c r="I307" s="6" t="s">
        <v>14</v>
      </c>
      <c r="J307" s="6" t="s">
        <v>3458</v>
      </c>
      <c r="K307" s="6">
        <v>2</v>
      </c>
      <c r="L307" s="7" t="s">
        <v>4290</v>
      </c>
      <c r="M307" s="8">
        <v>76215536</v>
      </c>
      <c r="N307" s="8" t="str">
        <f t="shared" si="21"/>
        <v>PEN</v>
      </c>
      <c r="O307" s="13"/>
      <c r="P307" s="13">
        <v>2301</v>
      </c>
      <c r="Q307" s="3">
        <f t="shared" si="22"/>
        <v>2301</v>
      </c>
      <c r="R307" s="3">
        <f t="shared" si="23"/>
        <v>0</v>
      </c>
      <c r="S307" s="3">
        <f t="shared" si="24"/>
        <v>35515.220000000008</v>
      </c>
      <c r="T307" s="24"/>
      <c r="U307" s="24"/>
      <c r="V307" s="3"/>
      <c r="W307" s="19" t="str">
        <f>IFERROR(VLOOKUP(Banco_Nacion[[#This Row],[RESPONSABLE]],Clientes_Proveedores[[Ruc / Dni]:[Razon Social]],2,0),"")</f>
        <v>RESIGRALE S.R.L.</v>
      </c>
      <c r="X307" s="19" t="str">
        <f>IF(Banco_Nacion[[#This Row],[TIPO DE MOV.]]="INGRESO",Banco_Nacion[[#This Row],[SERIE]]&amp;Banco_Nacion[[#This Row],[NUMERO]]&amp;Banco_Nacion[[#This Row],[RESPONSABLE]]&amp;Banco_Nacion[[#This Row],[MONTO ]],"")</f>
        <v>FF072206065924942301</v>
      </c>
      <c r="Y30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76215536</v>
      </c>
      <c r="Z307" s="3"/>
      <c r="AA307" s="3"/>
      <c r="AB307" s="24" t="str">
        <f>IF(Banco_Nacion[[#This Row],[FECHA]]&gt;0,TEXT(Banco_Nacion[[#This Row],[FECHA]],"mmmm"),0)</f>
        <v>Mayo</v>
      </c>
    </row>
    <row r="308" spans="2:28" x14ac:dyDescent="0.3">
      <c r="B308" s="2">
        <f>IF(Banco_Nacion[[#This Row],[TIPO DE R.]]="R",COUNTIFS($D$4:$D307,"R")+1,"")</f>
        <v>304</v>
      </c>
      <c r="C308" s="19" t="str">
        <f t="shared" si="20"/>
        <v>B-Banco de la Nacion</v>
      </c>
      <c r="D308" s="3" t="s">
        <v>1074</v>
      </c>
      <c r="E308" s="14">
        <v>45785</v>
      </c>
      <c r="F308" s="5">
        <v>20100199743</v>
      </c>
      <c r="G308" s="5" t="s">
        <v>1087</v>
      </c>
      <c r="H308" s="6" t="s">
        <v>368</v>
      </c>
      <c r="I308" s="6" t="s">
        <v>14</v>
      </c>
      <c r="J308" s="6" t="s">
        <v>1521</v>
      </c>
      <c r="K308" s="6">
        <v>45</v>
      </c>
      <c r="L308" s="7" t="s">
        <v>4290</v>
      </c>
      <c r="M308" s="8">
        <v>76205080</v>
      </c>
      <c r="N308" s="8" t="str">
        <f t="shared" si="21"/>
        <v>PEN</v>
      </c>
      <c r="O308" s="13"/>
      <c r="P308" s="13">
        <v>293</v>
      </c>
      <c r="Q308" s="3">
        <f t="shared" si="22"/>
        <v>293</v>
      </c>
      <c r="R308" s="3">
        <f t="shared" si="23"/>
        <v>0</v>
      </c>
      <c r="S308" s="3">
        <f t="shared" si="24"/>
        <v>35808.220000000008</v>
      </c>
      <c r="T308" s="24"/>
      <c r="U308" s="24" t="s">
        <v>1081</v>
      </c>
      <c r="V308" s="3"/>
      <c r="W308" s="19" t="str">
        <f>IFERROR(VLOOKUP(Banco_Nacion[[#This Row],[RESPONSABLE]],Clientes_Proveedores[[Ruc / Dni]:[Razon Social]],2,0),"")</f>
        <v>INCA TOPS S.A</v>
      </c>
      <c r="X308" s="19" t="str">
        <f>IF(Banco_Nacion[[#This Row],[TIPO DE MOV.]]="INGRESO",Banco_Nacion[[#This Row],[SERIE]]&amp;Banco_Nacion[[#This Row],[NUMERO]]&amp;Banco_Nacion[[#This Row],[RESPONSABLE]]&amp;Banco_Nacion[[#This Row],[MONTO ]],"")</f>
        <v>FF014520100199743293</v>
      </c>
      <c r="Y30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76205080</v>
      </c>
      <c r="Z308" s="3"/>
      <c r="AA308" s="3"/>
      <c r="AB308" s="24" t="str">
        <f>IF(Banco_Nacion[[#This Row],[FECHA]]&gt;0,TEXT(Banco_Nacion[[#This Row],[FECHA]],"mmmm"),0)</f>
        <v>Mayo</v>
      </c>
    </row>
    <row r="309" spans="2:28" x14ac:dyDescent="0.3">
      <c r="B309" s="2">
        <f>IF(Banco_Nacion[[#This Row],[TIPO DE R.]]="R",COUNTIFS($D$4:$D308,"R")+1,"")</f>
        <v>305</v>
      </c>
      <c r="C309" s="19" t="str">
        <f t="shared" si="20"/>
        <v>B-Banco de la Nacion</v>
      </c>
      <c r="D309" s="3" t="s">
        <v>1074</v>
      </c>
      <c r="E309" s="14">
        <v>45785</v>
      </c>
      <c r="F309" s="5">
        <v>20100192064</v>
      </c>
      <c r="G309" s="5" t="s">
        <v>1087</v>
      </c>
      <c r="H309" s="6" t="s">
        <v>368</v>
      </c>
      <c r="I309" s="6" t="s">
        <v>14</v>
      </c>
      <c r="J309" s="6" t="s">
        <v>1521</v>
      </c>
      <c r="K309" s="6">
        <v>59</v>
      </c>
      <c r="L309" s="7" t="s">
        <v>4290</v>
      </c>
      <c r="M309" s="8">
        <v>76195841</v>
      </c>
      <c r="N309" s="8" t="str">
        <f t="shared" si="21"/>
        <v>PEN</v>
      </c>
      <c r="O309" s="13"/>
      <c r="P309" s="13">
        <v>791</v>
      </c>
      <c r="Q309" s="3">
        <f t="shared" si="22"/>
        <v>791</v>
      </c>
      <c r="R309" s="3">
        <f t="shared" si="23"/>
        <v>0</v>
      </c>
      <c r="S309" s="3">
        <f t="shared" si="24"/>
        <v>36599.220000000008</v>
      </c>
      <c r="T309" s="24"/>
      <c r="U309" s="24" t="s">
        <v>1081</v>
      </c>
      <c r="V309" s="3"/>
      <c r="W309" s="19" t="str">
        <f>IFERROR(VLOOKUP(Banco_Nacion[[#This Row],[RESPONSABLE]],Clientes_Proveedores[[Ruc / Dni]:[Razon Social]],2,0),"")</f>
        <v>MOLY-COP ADESUR S.A</v>
      </c>
      <c r="X309" s="19" t="str">
        <f>IF(Banco_Nacion[[#This Row],[TIPO DE MOV.]]="INGRESO",Banco_Nacion[[#This Row],[SERIE]]&amp;Banco_Nacion[[#This Row],[NUMERO]]&amp;Banco_Nacion[[#This Row],[RESPONSABLE]]&amp;Banco_Nacion[[#This Row],[MONTO ]],"")</f>
        <v>FF015920100192064791</v>
      </c>
      <c r="Y30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76195841</v>
      </c>
      <c r="Z309" s="3"/>
      <c r="AA309" s="3"/>
      <c r="AB309" s="24" t="str">
        <f>IF(Banco_Nacion[[#This Row],[FECHA]]&gt;0,TEXT(Banco_Nacion[[#This Row],[FECHA]],"mmmm"),0)</f>
        <v>Mayo</v>
      </c>
    </row>
    <row r="310" spans="2:28" x14ac:dyDescent="0.3">
      <c r="B310" s="2">
        <f>IF(Banco_Nacion[[#This Row],[TIPO DE R.]]="R",COUNTIFS($D$4:$D309,"R")+1,"")</f>
        <v>306</v>
      </c>
      <c r="C310" s="19" t="str">
        <f t="shared" si="20"/>
        <v>B-Banco de la Nacion</v>
      </c>
      <c r="D310" s="3" t="s">
        <v>1074</v>
      </c>
      <c r="E310" s="14">
        <v>45785</v>
      </c>
      <c r="F310" s="5">
        <v>20100192064</v>
      </c>
      <c r="G310" s="5" t="s">
        <v>1087</v>
      </c>
      <c r="H310" s="6" t="s">
        <v>368</v>
      </c>
      <c r="I310" s="6" t="s">
        <v>14</v>
      </c>
      <c r="J310" s="6" t="s">
        <v>1521</v>
      </c>
      <c r="K310" s="6">
        <v>54</v>
      </c>
      <c r="L310" s="7" t="s">
        <v>4290</v>
      </c>
      <c r="M310" s="8">
        <v>76195718</v>
      </c>
      <c r="N310" s="8" t="str">
        <f t="shared" si="21"/>
        <v>PEN</v>
      </c>
      <c r="O310" s="13"/>
      <c r="P310" s="13">
        <v>1532</v>
      </c>
      <c r="Q310" s="3">
        <f t="shared" si="22"/>
        <v>1532</v>
      </c>
      <c r="R310" s="3">
        <f t="shared" si="23"/>
        <v>0</v>
      </c>
      <c r="S310" s="3">
        <f t="shared" si="24"/>
        <v>38131.220000000008</v>
      </c>
      <c r="T310" s="24"/>
      <c r="U310" s="24" t="s">
        <v>1081</v>
      </c>
      <c r="V310" s="3"/>
      <c r="W310" s="19" t="str">
        <f>IFERROR(VLOOKUP(Banco_Nacion[[#This Row],[RESPONSABLE]],Clientes_Proveedores[[Ruc / Dni]:[Razon Social]],2,0),"")</f>
        <v>MOLY-COP ADESUR S.A</v>
      </c>
      <c r="X310" s="19" t="str">
        <f>IF(Banco_Nacion[[#This Row],[TIPO DE MOV.]]="INGRESO",Banco_Nacion[[#This Row],[SERIE]]&amp;Banco_Nacion[[#This Row],[NUMERO]]&amp;Banco_Nacion[[#This Row],[RESPONSABLE]]&amp;Banco_Nacion[[#This Row],[MONTO ]],"")</f>
        <v>FF0154201001920641532</v>
      </c>
      <c r="Y31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76195718</v>
      </c>
      <c r="Z310" s="3"/>
      <c r="AA310" s="3"/>
      <c r="AB310" s="24" t="str">
        <f>IF(Banco_Nacion[[#This Row],[FECHA]]&gt;0,TEXT(Banco_Nacion[[#This Row],[FECHA]],"mmmm"),0)</f>
        <v>Mayo</v>
      </c>
    </row>
    <row r="311" spans="2:28" x14ac:dyDescent="0.3">
      <c r="B311" s="2">
        <f>IF(Banco_Nacion[[#This Row],[TIPO DE R.]]="R",COUNTIFS($D$4:$D310,"R")+1,"")</f>
        <v>307</v>
      </c>
      <c r="C311" s="19" t="str">
        <f t="shared" si="20"/>
        <v>B-Banco de la Nacion</v>
      </c>
      <c r="D311" s="3" t="s">
        <v>1074</v>
      </c>
      <c r="E311" s="14">
        <v>45785</v>
      </c>
      <c r="F311" s="5">
        <v>20141637941</v>
      </c>
      <c r="G311" s="5" t="s">
        <v>1087</v>
      </c>
      <c r="H311" s="6" t="s">
        <v>368</v>
      </c>
      <c r="I311" s="6" t="s">
        <v>14</v>
      </c>
      <c r="J311" s="6" t="s">
        <v>1521</v>
      </c>
      <c r="K311" s="6">
        <v>23</v>
      </c>
      <c r="L311" s="7" t="s">
        <v>4290</v>
      </c>
      <c r="M311" s="8">
        <v>76186288</v>
      </c>
      <c r="N311" s="8" t="str">
        <f t="shared" si="21"/>
        <v>PEN</v>
      </c>
      <c r="O311" s="13"/>
      <c r="P311" s="13">
        <v>148</v>
      </c>
      <c r="Q311" s="3">
        <f t="shared" si="22"/>
        <v>148</v>
      </c>
      <c r="R311" s="3">
        <f t="shared" si="23"/>
        <v>0</v>
      </c>
      <c r="S311" s="3">
        <f t="shared" si="24"/>
        <v>38279.220000000008</v>
      </c>
      <c r="T311" s="24"/>
      <c r="U311" s="24" t="s">
        <v>1081</v>
      </c>
      <c r="V311" s="3"/>
      <c r="W311" s="19" t="str">
        <f>IFERROR(VLOOKUP(Banco_Nacion[[#This Row],[RESPONSABLE]],Clientes_Proveedores[[Ruc / Dni]:[Razon Social]],2,0),"")</f>
        <v>UNIVERSIDAD CATOLICA DE SANTA MARIA</v>
      </c>
      <c r="X311" s="19" t="str">
        <f>IF(Banco_Nacion[[#This Row],[TIPO DE MOV.]]="INGRESO",Banco_Nacion[[#This Row],[SERIE]]&amp;Banco_Nacion[[#This Row],[NUMERO]]&amp;Banco_Nacion[[#This Row],[RESPONSABLE]]&amp;Banco_Nacion[[#This Row],[MONTO ]],"")</f>
        <v>FF012320141637941148</v>
      </c>
      <c r="Y31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76186288</v>
      </c>
      <c r="Z311" s="3"/>
      <c r="AA311" s="3"/>
      <c r="AB311" s="24" t="str">
        <f>IF(Banco_Nacion[[#This Row],[FECHA]]&gt;0,TEXT(Banco_Nacion[[#This Row],[FECHA]],"mmmm"),0)</f>
        <v>Mayo</v>
      </c>
    </row>
    <row r="312" spans="2:28" x14ac:dyDescent="0.3">
      <c r="B312" s="2">
        <f>IF(Banco_Nacion[[#This Row],[TIPO DE R.]]="R",COUNTIFS($D$4:$D311,"R")+1,"")</f>
        <v>308</v>
      </c>
      <c r="C312" s="19" t="str">
        <f t="shared" si="20"/>
        <v>B-Banco de la Nacion</v>
      </c>
      <c r="D312" s="3" t="s">
        <v>1074</v>
      </c>
      <c r="E312" s="14">
        <v>45785</v>
      </c>
      <c r="F312" s="5">
        <v>20141637941</v>
      </c>
      <c r="G312" s="5" t="s">
        <v>1087</v>
      </c>
      <c r="H312" s="6" t="s">
        <v>368</v>
      </c>
      <c r="I312" s="6" t="s">
        <v>14</v>
      </c>
      <c r="J312" s="6" t="s">
        <v>1521</v>
      </c>
      <c r="K312" s="6">
        <v>12</v>
      </c>
      <c r="L312" s="7" t="s">
        <v>4290</v>
      </c>
      <c r="M312" s="8">
        <v>76186287</v>
      </c>
      <c r="N312" s="8" t="str">
        <f t="shared" si="21"/>
        <v>PEN</v>
      </c>
      <c r="O312" s="13"/>
      <c r="P312" s="13">
        <v>260</v>
      </c>
      <c r="Q312" s="3">
        <f t="shared" si="22"/>
        <v>260</v>
      </c>
      <c r="R312" s="3">
        <f t="shared" si="23"/>
        <v>0</v>
      </c>
      <c r="S312" s="3">
        <f t="shared" si="24"/>
        <v>38539.220000000008</v>
      </c>
      <c r="T312" s="24"/>
      <c r="U312" s="24" t="s">
        <v>1081</v>
      </c>
      <c r="V312" s="3"/>
      <c r="W312" s="19" t="str">
        <f>IFERROR(VLOOKUP(Banco_Nacion[[#This Row],[RESPONSABLE]],Clientes_Proveedores[[Ruc / Dni]:[Razon Social]],2,0),"")</f>
        <v>UNIVERSIDAD CATOLICA DE SANTA MARIA</v>
      </c>
      <c r="X312" s="19" t="str">
        <f>IF(Banco_Nacion[[#This Row],[TIPO DE MOV.]]="INGRESO",Banco_Nacion[[#This Row],[SERIE]]&amp;Banco_Nacion[[#This Row],[NUMERO]]&amp;Banco_Nacion[[#This Row],[RESPONSABLE]]&amp;Banco_Nacion[[#This Row],[MONTO ]],"")</f>
        <v>FF011220141637941260</v>
      </c>
      <c r="Y31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76186287</v>
      </c>
      <c r="Z312" s="3"/>
      <c r="AA312" s="3"/>
      <c r="AB312" s="24" t="str">
        <f>IF(Banco_Nacion[[#This Row],[FECHA]]&gt;0,TEXT(Banco_Nacion[[#This Row],[FECHA]],"mmmm"),0)</f>
        <v>Mayo</v>
      </c>
    </row>
    <row r="313" spans="2:28" x14ac:dyDescent="0.3">
      <c r="B313" s="2">
        <f>IF(Banco_Nacion[[#This Row],[TIPO DE R.]]="R",COUNTIFS($D$4:$D312,"R")+1,"")</f>
        <v>309</v>
      </c>
      <c r="C313" s="19" t="str">
        <f t="shared" si="20"/>
        <v>B-Banco de la Nacion</v>
      </c>
      <c r="D313" s="3" t="s">
        <v>1074</v>
      </c>
      <c r="E313" s="14">
        <v>45786</v>
      </c>
      <c r="F313" s="5">
        <v>20546530184</v>
      </c>
      <c r="G313" s="5" t="s">
        <v>1087</v>
      </c>
      <c r="H313" s="6" t="s">
        <v>368</v>
      </c>
      <c r="I313" s="6" t="s">
        <v>14</v>
      </c>
      <c r="J313" s="6" t="s">
        <v>1521</v>
      </c>
      <c r="K313" s="6">
        <v>39</v>
      </c>
      <c r="L313" s="7" t="s">
        <v>4290</v>
      </c>
      <c r="M313" s="8">
        <v>76740791</v>
      </c>
      <c r="N313" s="8" t="str">
        <f t="shared" si="21"/>
        <v>PEN</v>
      </c>
      <c r="O313" s="13"/>
      <c r="P313" s="13">
        <v>119</v>
      </c>
      <c r="Q313" s="3">
        <f t="shared" si="22"/>
        <v>119</v>
      </c>
      <c r="R313" s="3">
        <f t="shared" si="23"/>
        <v>0</v>
      </c>
      <c r="S313" s="3">
        <f t="shared" si="24"/>
        <v>38658.220000000008</v>
      </c>
      <c r="T313" s="24"/>
      <c r="U313" s="24" t="s">
        <v>1081</v>
      </c>
      <c r="V313" s="3"/>
      <c r="W313" s="19" t="str">
        <f>IFERROR(VLOOKUP(Banco_Nacion[[#This Row],[RESPONSABLE]],Clientes_Proveedores[[Ruc / Dni]:[Razon Social]],2,0),"")</f>
        <v>INGENIERIA SERVICIOS Y SOLUCIONES APLICADAS ISSA PERU S.A.C.</v>
      </c>
      <c r="X313" s="19" t="str">
        <f>IF(Banco_Nacion[[#This Row],[TIPO DE MOV.]]="INGRESO",Banco_Nacion[[#This Row],[SERIE]]&amp;Banco_Nacion[[#This Row],[NUMERO]]&amp;Banco_Nacion[[#This Row],[RESPONSABLE]]&amp;Banco_Nacion[[#This Row],[MONTO ]],"")</f>
        <v>FF013920546530184119</v>
      </c>
      <c r="Y31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76740791</v>
      </c>
      <c r="Z313" s="3"/>
      <c r="AA313" s="3"/>
      <c r="AB313" s="24" t="str">
        <f>IF(Banco_Nacion[[#This Row],[FECHA]]&gt;0,TEXT(Banco_Nacion[[#This Row],[FECHA]],"mmmm"),0)</f>
        <v>Mayo</v>
      </c>
    </row>
    <row r="314" spans="2:28" x14ac:dyDescent="0.3">
      <c r="B314" s="2">
        <f>IF(Banco_Nacion[[#This Row],[TIPO DE R.]]="R",COUNTIFS($D$4:$D313,"R")+1,"")</f>
        <v>310</v>
      </c>
      <c r="C314" s="19" t="str">
        <f t="shared" si="20"/>
        <v>B-Banco de la Nacion</v>
      </c>
      <c r="D314" s="3" t="s">
        <v>1074</v>
      </c>
      <c r="E314" s="14">
        <v>45786</v>
      </c>
      <c r="F314" s="5">
        <v>20602438181</v>
      </c>
      <c r="G314" s="5" t="s">
        <v>1087</v>
      </c>
      <c r="H314" s="6" t="s">
        <v>368</v>
      </c>
      <c r="I314" s="6" t="s">
        <v>14</v>
      </c>
      <c r="J314" s="6" t="s">
        <v>1521</v>
      </c>
      <c r="K314" s="6">
        <v>13</v>
      </c>
      <c r="L314" s="7" t="s">
        <v>4290</v>
      </c>
      <c r="M314" s="8">
        <v>76699794</v>
      </c>
      <c r="N314" s="8" t="str">
        <f t="shared" si="21"/>
        <v>PEN</v>
      </c>
      <c r="O314" s="13"/>
      <c r="P314" s="13">
        <v>899</v>
      </c>
      <c r="Q314" s="3">
        <f t="shared" si="22"/>
        <v>899</v>
      </c>
      <c r="R314" s="3">
        <f t="shared" si="23"/>
        <v>0</v>
      </c>
      <c r="S314" s="3">
        <f t="shared" si="24"/>
        <v>39557.220000000008</v>
      </c>
      <c r="T314" s="24"/>
      <c r="U314" s="24" t="s">
        <v>1081</v>
      </c>
      <c r="V314" s="3"/>
      <c r="W314" s="19" t="str">
        <f>IFERROR(VLOOKUP(Banco_Nacion[[#This Row],[RESPONSABLE]],Clientes_Proveedores[[Ruc / Dni]:[Razon Social]],2,0),"")</f>
        <v>COOPERATIVA MINERA COMIG DE ANANEA LIMITADA</v>
      </c>
      <c r="X314" s="19" t="str">
        <f>IF(Banco_Nacion[[#This Row],[TIPO DE MOV.]]="INGRESO",Banco_Nacion[[#This Row],[SERIE]]&amp;Banco_Nacion[[#This Row],[NUMERO]]&amp;Banco_Nacion[[#This Row],[RESPONSABLE]]&amp;Banco_Nacion[[#This Row],[MONTO ]],"")</f>
        <v>FF011320602438181899</v>
      </c>
      <c r="Y31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76699794</v>
      </c>
      <c r="Z314" s="3"/>
      <c r="AA314" s="3"/>
      <c r="AB314" s="24" t="str">
        <f>IF(Banco_Nacion[[#This Row],[FECHA]]&gt;0,TEXT(Banco_Nacion[[#This Row],[FECHA]],"mmmm"),0)</f>
        <v>Mayo</v>
      </c>
    </row>
    <row r="315" spans="2:28" x14ac:dyDescent="0.3">
      <c r="B315" s="2">
        <f>IF(Banco_Nacion[[#This Row],[TIPO DE R.]]="R",COUNTIFS($D$4:$D314,"R")+1,"")</f>
        <v>311</v>
      </c>
      <c r="C315" s="19" t="str">
        <f t="shared" si="20"/>
        <v>B-Banco de la Nacion</v>
      </c>
      <c r="D315" s="3" t="s">
        <v>1074</v>
      </c>
      <c r="E315" s="14">
        <v>45786</v>
      </c>
      <c r="F315" s="5">
        <v>20454186002</v>
      </c>
      <c r="G315" s="5" t="s">
        <v>1087</v>
      </c>
      <c r="H315" s="6" t="s">
        <v>368</v>
      </c>
      <c r="I315" s="6" t="s">
        <v>14</v>
      </c>
      <c r="J315" s="6" t="s">
        <v>1521</v>
      </c>
      <c r="K315" s="6">
        <v>50</v>
      </c>
      <c r="L315" s="7" t="s">
        <v>4290</v>
      </c>
      <c r="M315" s="8">
        <v>76651110</v>
      </c>
      <c r="N315" s="8" t="str">
        <f t="shared" si="21"/>
        <v>PEN</v>
      </c>
      <c r="O315" s="13"/>
      <c r="P315" s="13">
        <v>363</v>
      </c>
      <c r="Q315" s="3">
        <f t="shared" si="22"/>
        <v>363</v>
      </c>
      <c r="R315" s="3">
        <f t="shared" si="23"/>
        <v>0</v>
      </c>
      <c r="S315" s="3">
        <f t="shared" si="24"/>
        <v>39920.220000000008</v>
      </c>
      <c r="T315" s="24"/>
      <c r="U315" s="24" t="s">
        <v>1081</v>
      </c>
      <c r="V315" s="3"/>
      <c r="W315" s="19" t="str">
        <f>IFERROR(VLOOKUP(Banco_Nacion[[#This Row],[RESPONSABLE]],Clientes_Proveedores[[Ruc / Dni]:[Razon Social]],2,0),"")</f>
        <v>ALSUR PERU S.A.C.</v>
      </c>
      <c r="X315" s="19" t="str">
        <f>IF(Banco_Nacion[[#This Row],[TIPO DE MOV.]]="INGRESO",Banco_Nacion[[#This Row],[SERIE]]&amp;Banco_Nacion[[#This Row],[NUMERO]]&amp;Banco_Nacion[[#This Row],[RESPONSABLE]]&amp;Banco_Nacion[[#This Row],[MONTO ]],"")</f>
        <v>FF015020454186002363</v>
      </c>
      <c r="Y31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76651110</v>
      </c>
      <c r="Z315" s="3"/>
      <c r="AA315" s="3"/>
      <c r="AB315" s="24" t="str">
        <f>IF(Banco_Nacion[[#This Row],[FECHA]]&gt;0,TEXT(Banco_Nacion[[#This Row],[FECHA]],"mmmm"),0)</f>
        <v>Mayo</v>
      </c>
    </row>
    <row r="316" spans="2:28" x14ac:dyDescent="0.3">
      <c r="B316" s="2">
        <f>IF(Banco_Nacion[[#This Row],[TIPO DE R.]]="R",COUNTIFS($D$4:$D315,"R")+1,"")</f>
        <v>312</v>
      </c>
      <c r="C316" s="19" t="str">
        <f t="shared" si="20"/>
        <v>B-Banco de la Nacion</v>
      </c>
      <c r="D316" s="3" t="s">
        <v>1074</v>
      </c>
      <c r="E316" s="14">
        <v>45786</v>
      </c>
      <c r="F316" s="5">
        <v>20601852927</v>
      </c>
      <c r="G316" s="5" t="s">
        <v>1087</v>
      </c>
      <c r="H316" s="6" t="s">
        <v>368</v>
      </c>
      <c r="I316" s="6" t="s">
        <v>14</v>
      </c>
      <c r="J316" s="6" t="s">
        <v>1521</v>
      </c>
      <c r="K316" s="6">
        <v>10</v>
      </c>
      <c r="L316" s="7" t="s">
        <v>4290</v>
      </c>
      <c r="M316" s="8">
        <v>76637887</v>
      </c>
      <c r="N316" s="8" t="str">
        <f t="shared" si="21"/>
        <v>PEN</v>
      </c>
      <c r="O316" s="13"/>
      <c r="P316" s="13">
        <v>600</v>
      </c>
      <c r="Q316" s="3">
        <f t="shared" si="22"/>
        <v>600</v>
      </c>
      <c r="R316" s="3">
        <f t="shared" si="23"/>
        <v>0</v>
      </c>
      <c r="S316" s="3">
        <f t="shared" si="24"/>
        <v>40520.220000000008</v>
      </c>
      <c r="T316" s="24"/>
      <c r="U316" s="24" t="s">
        <v>1081</v>
      </c>
      <c r="V316" s="3"/>
      <c r="W316" s="19" t="str">
        <f>IFERROR(VLOOKUP(Banco_Nacion[[#This Row],[RESPONSABLE]],Clientes_Proveedores[[Ruc / Dni]:[Razon Social]],2,0),"")</f>
        <v>CONSORCIO PUENTES DEL NORTE</v>
      </c>
      <c r="X316" s="19" t="str">
        <f>IF(Banco_Nacion[[#This Row],[TIPO DE MOV.]]="INGRESO",Banco_Nacion[[#This Row],[SERIE]]&amp;Banco_Nacion[[#This Row],[NUMERO]]&amp;Banco_Nacion[[#This Row],[RESPONSABLE]]&amp;Banco_Nacion[[#This Row],[MONTO ]],"")</f>
        <v>FF011020601852927600</v>
      </c>
      <c r="Y31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76637887</v>
      </c>
      <c r="Z316" s="3"/>
      <c r="AA316" s="3"/>
      <c r="AB316" s="24" t="str">
        <f>IF(Banco_Nacion[[#This Row],[FECHA]]&gt;0,TEXT(Banco_Nacion[[#This Row],[FECHA]],"mmmm"),0)</f>
        <v>Mayo</v>
      </c>
    </row>
    <row r="317" spans="2:28" x14ac:dyDescent="0.3">
      <c r="B317" s="2">
        <f>IF(Banco_Nacion[[#This Row],[TIPO DE R.]]="R",COUNTIFS($D$4:$D316,"R")+1,"")</f>
        <v>313</v>
      </c>
      <c r="C317" s="19" t="str">
        <f t="shared" si="20"/>
        <v>B-Banco de la Nacion</v>
      </c>
      <c r="D317" s="3" t="s">
        <v>1074</v>
      </c>
      <c r="E317" s="14">
        <v>45786</v>
      </c>
      <c r="F317" s="5">
        <v>20496535066</v>
      </c>
      <c r="G317" s="5" t="s">
        <v>1087</v>
      </c>
      <c r="H317" s="6" t="s">
        <v>368</v>
      </c>
      <c r="I317" s="6" t="s">
        <v>14</v>
      </c>
      <c r="J317" s="6" t="s">
        <v>1121</v>
      </c>
      <c r="K317" s="6">
        <v>31</v>
      </c>
      <c r="L317" s="7" t="s">
        <v>4290</v>
      </c>
      <c r="M317" s="8">
        <v>76585847</v>
      </c>
      <c r="N317" s="8" t="str">
        <f t="shared" si="21"/>
        <v>PEN</v>
      </c>
      <c r="O317" s="13"/>
      <c r="P317" s="13">
        <v>570</v>
      </c>
      <c r="Q317" s="3">
        <f t="shared" si="22"/>
        <v>570</v>
      </c>
      <c r="R317" s="3">
        <f t="shared" si="23"/>
        <v>0</v>
      </c>
      <c r="S317" s="3">
        <f t="shared" si="24"/>
        <v>41090.220000000008</v>
      </c>
      <c r="T317" s="24"/>
      <c r="U317" s="24" t="s">
        <v>1081</v>
      </c>
      <c r="V317" s="3"/>
      <c r="W317" s="19" t="str">
        <f>IFERROR(VLOOKUP(Banco_Nacion[[#This Row],[RESPONSABLE]],Clientes_Proveedores[[Ruc / Dni]:[Razon Social]],2,0),"")</f>
        <v>CORP.ELECTROMECANICA EN ING.Y CONSTR.SAC</v>
      </c>
      <c r="X317" s="19" t="str">
        <f>IF(Banco_Nacion[[#This Row],[TIPO DE MOV.]]="INGRESO",Banco_Nacion[[#This Row],[SERIE]]&amp;Banco_Nacion[[#This Row],[NUMERO]]&amp;Banco_Nacion[[#This Row],[RESPONSABLE]]&amp;Banco_Nacion[[#This Row],[MONTO ]],"")</f>
        <v>E0013120496535066570</v>
      </c>
      <c r="Y31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76585847</v>
      </c>
      <c r="Z317" s="3"/>
      <c r="AA317" s="3"/>
      <c r="AB317" s="24" t="str">
        <f>IF(Banco_Nacion[[#This Row],[FECHA]]&gt;0,TEXT(Banco_Nacion[[#This Row],[FECHA]],"mmmm"),0)</f>
        <v>Mayo</v>
      </c>
    </row>
    <row r="318" spans="2:28" x14ac:dyDescent="0.3">
      <c r="B318" s="2">
        <f>IF(Banco_Nacion[[#This Row],[TIPO DE R.]]="R",COUNTIFS($D$4:$D317,"R")+1,"")</f>
        <v>314</v>
      </c>
      <c r="C318" s="19" t="str">
        <f t="shared" si="20"/>
        <v>B-Banco de la Nacion</v>
      </c>
      <c r="D318" s="3" t="s">
        <v>1074</v>
      </c>
      <c r="E318" s="14">
        <v>45786</v>
      </c>
      <c r="F318" s="5">
        <v>20100211115</v>
      </c>
      <c r="G318" s="5" t="s">
        <v>1087</v>
      </c>
      <c r="H318" s="6" t="s">
        <v>368</v>
      </c>
      <c r="I318" s="6" t="s">
        <v>14</v>
      </c>
      <c r="J318" s="6" t="s">
        <v>1521</v>
      </c>
      <c r="K318" s="6">
        <v>60</v>
      </c>
      <c r="L318" s="7" t="s">
        <v>4290</v>
      </c>
      <c r="M318" s="8">
        <v>76557909</v>
      </c>
      <c r="N318" s="8" t="str">
        <f t="shared" si="21"/>
        <v>PEN</v>
      </c>
      <c r="O318" s="13"/>
      <c r="P318" s="13">
        <v>724</v>
      </c>
      <c r="Q318" s="3">
        <f t="shared" si="22"/>
        <v>724</v>
      </c>
      <c r="R318" s="3">
        <f t="shared" si="23"/>
        <v>0</v>
      </c>
      <c r="S318" s="3">
        <f t="shared" si="24"/>
        <v>41814.220000000008</v>
      </c>
      <c r="T318" s="24"/>
      <c r="U318" s="24" t="s">
        <v>1081</v>
      </c>
      <c r="V318" s="3"/>
      <c r="W318" s="19" t="str">
        <f>IFERROR(VLOOKUP(Banco_Nacion[[#This Row],[RESPONSABLE]],Clientes_Proveedores[[Ruc / Dni]:[Razon Social]],2,0),"")</f>
        <v>FAB DE CHOCOLATES LA IBERICA S.A.</v>
      </c>
      <c r="X318" s="19" t="str">
        <f>IF(Banco_Nacion[[#This Row],[TIPO DE MOV.]]="INGRESO",Banco_Nacion[[#This Row],[SERIE]]&amp;Banco_Nacion[[#This Row],[NUMERO]]&amp;Banco_Nacion[[#This Row],[RESPONSABLE]]&amp;Banco_Nacion[[#This Row],[MONTO ]],"")</f>
        <v>FF016020100211115724</v>
      </c>
      <c r="Y31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76557909</v>
      </c>
      <c r="Z318" s="3"/>
      <c r="AA318" s="3"/>
      <c r="AB318" s="24" t="str">
        <f>IF(Banco_Nacion[[#This Row],[FECHA]]&gt;0,TEXT(Banco_Nacion[[#This Row],[FECHA]],"mmmm"),0)</f>
        <v>Mayo</v>
      </c>
    </row>
    <row r="319" spans="2:28" x14ac:dyDescent="0.3">
      <c r="B319" s="2">
        <f>IF(Banco_Nacion[[#This Row],[TIPO DE R.]]="R",COUNTIFS($D$4:$D318,"R")+1,"")</f>
        <v>315</v>
      </c>
      <c r="C319" s="19" t="str">
        <f t="shared" si="20"/>
        <v>B-Banco de la Nacion</v>
      </c>
      <c r="D319" s="3" t="s">
        <v>1074</v>
      </c>
      <c r="E319" s="14">
        <v>45786</v>
      </c>
      <c r="F319" s="5">
        <v>20100211115</v>
      </c>
      <c r="G319" s="5" t="s">
        <v>1087</v>
      </c>
      <c r="H319" s="6" t="s">
        <v>368</v>
      </c>
      <c r="I319" s="6" t="s">
        <v>14</v>
      </c>
      <c r="J319" s="6" t="s">
        <v>1521</v>
      </c>
      <c r="K319" s="6">
        <v>61</v>
      </c>
      <c r="L319" s="7" t="s">
        <v>4290</v>
      </c>
      <c r="M319" s="8">
        <v>76557908</v>
      </c>
      <c r="N319" s="8" t="str">
        <f t="shared" si="21"/>
        <v>PEN</v>
      </c>
      <c r="O319" s="13"/>
      <c r="P319" s="13">
        <v>157</v>
      </c>
      <c r="Q319" s="3">
        <f t="shared" si="22"/>
        <v>157</v>
      </c>
      <c r="R319" s="3">
        <f t="shared" si="23"/>
        <v>0</v>
      </c>
      <c r="S319" s="3">
        <f t="shared" si="24"/>
        <v>41971.220000000008</v>
      </c>
      <c r="T319" s="24"/>
      <c r="U319" s="24" t="s">
        <v>1081</v>
      </c>
      <c r="V319" s="3"/>
      <c r="W319" s="19" t="str">
        <f>IFERROR(VLOOKUP(Banco_Nacion[[#This Row],[RESPONSABLE]],Clientes_Proveedores[[Ruc / Dni]:[Razon Social]],2,0),"")</f>
        <v>FAB DE CHOCOLATES LA IBERICA S.A.</v>
      </c>
      <c r="X319" s="19" t="str">
        <f>IF(Banco_Nacion[[#This Row],[TIPO DE MOV.]]="INGRESO",Banco_Nacion[[#This Row],[SERIE]]&amp;Banco_Nacion[[#This Row],[NUMERO]]&amp;Banco_Nacion[[#This Row],[RESPONSABLE]]&amp;Banco_Nacion[[#This Row],[MONTO ]],"")</f>
        <v>FF016120100211115157</v>
      </c>
      <c r="Y31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76557908</v>
      </c>
      <c r="Z319" s="3"/>
      <c r="AA319" s="3"/>
      <c r="AB319" s="24" t="str">
        <f>IF(Banco_Nacion[[#This Row],[FECHA]]&gt;0,TEXT(Banco_Nacion[[#This Row],[FECHA]],"mmmm"),0)</f>
        <v>Mayo</v>
      </c>
    </row>
    <row r="320" spans="2:28" x14ac:dyDescent="0.3">
      <c r="B320" s="2">
        <f>IF(Banco_Nacion[[#This Row],[TIPO DE R.]]="R",COUNTIFS($D$4:$D319,"R")+1,"")</f>
        <v>316</v>
      </c>
      <c r="C320" s="19" t="str">
        <f t="shared" si="20"/>
        <v>B-Banco de la Nacion</v>
      </c>
      <c r="D320" s="3" t="s">
        <v>1074</v>
      </c>
      <c r="E320" s="14">
        <v>45786</v>
      </c>
      <c r="F320" s="5">
        <v>20100383919</v>
      </c>
      <c r="G320" s="5" t="s">
        <v>1087</v>
      </c>
      <c r="H320" s="6" t="s">
        <v>368</v>
      </c>
      <c r="I320" s="6" t="s">
        <v>14</v>
      </c>
      <c r="J320" s="6" t="s">
        <v>1521</v>
      </c>
      <c r="K320" s="6">
        <v>43</v>
      </c>
      <c r="L320" s="7" t="s">
        <v>4290</v>
      </c>
      <c r="M320" s="8">
        <v>76545036</v>
      </c>
      <c r="N320" s="8" t="str">
        <f t="shared" si="21"/>
        <v>PEN</v>
      </c>
      <c r="O320" s="13"/>
      <c r="P320" s="13">
        <v>158</v>
      </c>
      <c r="Q320" s="3">
        <f t="shared" si="22"/>
        <v>158</v>
      </c>
      <c r="R320" s="3">
        <f t="shared" si="23"/>
        <v>0</v>
      </c>
      <c r="S320" s="3">
        <f t="shared" si="24"/>
        <v>42129.220000000008</v>
      </c>
      <c r="T320" s="24"/>
      <c r="U320" s="24" t="s">
        <v>1081</v>
      </c>
      <c r="V320" s="3"/>
      <c r="W320" s="19" t="str">
        <f>IFERROR(VLOOKUP(Banco_Nacion[[#This Row],[RESPONSABLE]],Clientes_Proveedores[[Ruc / Dni]:[Razon Social]],2,0),"")</f>
        <v>STIERLIFT S.A.</v>
      </c>
      <c r="X320" s="19" t="str">
        <f>IF(Banco_Nacion[[#This Row],[TIPO DE MOV.]]="INGRESO",Banco_Nacion[[#This Row],[SERIE]]&amp;Banco_Nacion[[#This Row],[NUMERO]]&amp;Banco_Nacion[[#This Row],[RESPONSABLE]]&amp;Banco_Nacion[[#This Row],[MONTO ]],"")</f>
        <v>FF014320100383919158</v>
      </c>
      <c r="Y32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76545036</v>
      </c>
      <c r="Z320" s="3"/>
      <c r="AA320" s="3"/>
      <c r="AB320" s="24" t="str">
        <f>IF(Banco_Nacion[[#This Row],[FECHA]]&gt;0,TEXT(Banco_Nacion[[#This Row],[FECHA]],"mmmm"),0)</f>
        <v>Mayo</v>
      </c>
    </row>
    <row r="321" spans="2:28" x14ac:dyDescent="0.3">
      <c r="B321" s="2">
        <f>IF(Banco_Nacion[[#This Row],[TIPO DE R.]]="R",COUNTIFS($D$4:$D320,"R")+1,"")</f>
        <v>317</v>
      </c>
      <c r="C321" s="19" t="str">
        <f t="shared" si="20"/>
        <v>B-Banco de la Nacion</v>
      </c>
      <c r="D321" s="3" t="s">
        <v>1074</v>
      </c>
      <c r="E321" s="14">
        <v>45786</v>
      </c>
      <c r="F321" s="5">
        <v>20509128686</v>
      </c>
      <c r="G321" s="5" t="s">
        <v>1087</v>
      </c>
      <c r="H321" s="6" t="s">
        <v>368</v>
      </c>
      <c r="I321" s="6" t="s">
        <v>14</v>
      </c>
      <c r="J321" s="6" t="s">
        <v>1521</v>
      </c>
      <c r="K321" s="6">
        <v>38</v>
      </c>
      <c r="L321" s="7" t="s">
        <v>4290</v>
      </c>
      <c r="M321" s="8">
        <v>76517973</v>
      </c>
      <c r="N321" s="8" t="str">
        <f t="shared" si="21"/>
        <v>PEN</v>
      </c>
      <c r="O321" s="13"/>
      <c r="P321" s="13">
        <v>428</v>
      </c>
      <c r="Q321" s="3">
        <f t="shared" si="22"/>
        <v>428</v>
      </c>
      <c r="R321" s="3">
        <f t="shared" si="23"/>
        <v>0</v>
      </c>
      <c r="S321" s="3">
        <f t="shared" si="24"/>
        <v>42557.220000000008</v>
      </c>
      <c r="T321" s="24"/>
      <c r="U321" s="24" t="s">
        <v>1081</v>
      </c>
      <c r="V321" s="3"/>
      <c r="W321" s="19" t="str">
        <f>IFERROR(VLOOKUP(Banco_Nacion[[#This Row],[RESPONSABLE]],Clientes_Proveedores[[Ruc / Dni]:[Razon Social]],2,0),"")</f>
        <v>COMIMTEL SOCIEDAD ANONIMA CERRADA</v>
      </c>
      <c r="X321" s="19" t="str">
        <f>IF(Banco_Nacion[[#This Row],[TIPO DE MOV.]]="INGRESO",Banco_Nacion[[#This Row],[SERIE]]&amp;Banco_Nacion[[#This Row],[NUMERO]]&amp;Banco_Nacion[[#This Row],[RESPONSABLE]]&amp;Banco_Nacion[[#This Row],[MONTO ]],"")</f>
        <v>FF013820509128686428</v>
      </c>
      <c r="Y32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76517973</v>
      </c>
      <c r="Z321" s="3"/>
      <c r="AA321" s="3"/>
      <c r="AB321" s="24" t="str">
        <f>IF(Banco_Nacion[[#This Row],[FECHA]]&gt;0,TEXT(Banco_Nacion[[#This Row],[FECHA]],"mmmm"),0)</f>
        <v>Mayo</v>
      </c>
    </row>
    <row r="322" spans="2:28" x14ac:dyDescent="0.3">
      <c r="B322" s="2">
        <f>IF(Banco_Nacion[[#This Row],[TIPO DE R.]]="R",COUNTIFS($D$4:$D321,"R")+1,"")</f>
        <v>318</v>
      </c>
      <c r="C322" s="19" t="str">
        <f t="shared" si="20"/>
        <v>B-Banco de la Nacion</v>
      </c>
      <c r="D322" s="3" t="s">
        <v>1074</v>
      </c>
      <c r="E322" s="14">
        <v>45786</v>
      </c>
      <c r="F322" s="5">
        <v>20509128686</v>
      </c>
      <c r="G322" s="5" t="s">
        <v>1087</v>
      </c>
      <c r="H322" s="6" t="s">
        <v>368</v>
      </c>
      <c r="I322" s="6" t="s">
        <v>14</v>
      </c>
      <c r="J322" s="6" t="s">
        <v>1521</v>
      </c>
      <c r="K322" s="6">
        <v>37</v>
      </c>
      <c r="L322" s="7" t="s">
        <v>4290</v>
      </c>
      <c r="M322" s="8">
        <v>76517972</v>
      </c>
      <c r="N322" s="8" t="str">
        <f t="shared" si="21"/>
        <v>PEN</v>
      </c>
      <c r="O322" s="13"/>
      <c r="P322" s="13">
        <v>732</v>
      </c>
      <c r="Q322" s="3">
        <f t="shared" si="22"/>
        <v>732</v>
      </c>
      <c r="R322" s="3">
        <f t="shared" si="23"/>
        <v>0</v>
      </c>
      <c r="S322" s="3">
        <f t="shared" si="24"/>
        <v>43289.220000000008</v>
      </c>
      <c r="T322" s="24"/>
      <c r="U322" s="24" t="s">
        <v>1081</v>
      </c>
      <c r="V322" s="3"/>
      <c r="W322" s="19" t="str">
        <f>IFERROR(VLOOKUP(Banco_Nacion[[#This Row],[RESPONSABLE]],Clientes_Proveedores[[Ruc / Dni]:[Razon Social]],2,0),"")</f>
        <v>COMIMTEL SOCIEDAD ANONIMA CERRADA</v>
      </c>
      <c r="X322" s="19" t="str">
        <f>IF(Banco_Nacion[[#This Row],[TIPO DE MOV.]]="INGRESO",Banco_Nacion[[#This Row],[SERIE]]&amp;Banco_Nacion[[#This Row],[NUMERO]]&amp;Banco_Nacion[[#This Row],[RESPONSABLE]]&amp;Banco_Nacion[[#This Row],[MONTO ]],"")</f>
        <v>FF013720509128686732</v>
      </c>
      <c r="Y32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76517972</v>
      </c>
      <c r="Z322" s="3"/>
      <c r="AA322" s="3"/>
      <c r="AB322" s="24" t="str">
        <f>IF(Banco_Nacion[[#This Row],[FECHA]]&gt;0,TEXT(Banco_Nacion[[#This Row],[FECHA]],"mmmm"),0)</f>
        <v>Mayo</v>
      </c>
    </row>
    <row r="323" spans="2:28" x14ac:dyDescent="0.3">
      <c r="B323" s="2">
        <f>IF(Banco_Nacion[[#This Row],[TIPO DE R.]]="R",COUNTIFS($D$4:$D322,"R")+1,"")</f>
        <v>319</v>
      </c>
      <c r="C323" s="19" t="str">
        <f t="shared" si="20"/>
        <v>B-Banco de la Nacion</v>
      </c>
      <c r="D323" s="3" t="s">
        <v>1074</v>
      </c>
      <c r="E323" s="14">
        <v>45786</v>
      </c>
      <c r="F323" s="5">
        <v>20509128686</v>
      </c>
      <c r="G323" s="5" t="s">
        <v>1087</v>
      </c>
      <c r="H323" s="6" t="s">
        <v>368</v>
      </c>
      <c r="I323" s="6" t="s">
        <v>14</v>
      </c>
      <c r="J323" s="6" t="s">
        <v>1521</v>
      </c>
      <c r="K323" s="6">
        <v>17</v>
      </c>
      <c r="L323" s="7" t="s">
        <v>4290</v>
      </c>
      <c r="M323" s="8">
        <v>76517971</v>
      </c>
      <c r="N323" s="8" t="str">
        <f t="shared" si="21"/>
        <v>PEN</v>
      </c>
      <c r="O323" s="13"/>
      <c r="P323" s="13">
        <v>198</v>
      </c>
      <c r="Q323" s="3">
        <f t="shared" si="22"/>
        <v>198</v>
      </c>
      <c r="R323" s="3">
        <f t="shared" si="23"/>
        <v>0</v>
      </c>
      <c r="S323" s="3">
        <f t="shared" si="24"/>
        <v>43487.220000000008</v>
      </c>
      <c r="T323" s="24"/>
      <c r="U323" s="24" t="s">
        <v>1081</v>
      </c>
      <c r="V323" s="3"/>
      <c r="W323" s="19" t="str">
        <f>IFERROR(VLOOKUP(Banco_Nacion[[#This Row],[RESPONSABLE]],Clientes_Proveedores[[Ruc / Dni]:[Razon Social]],2,0),"")</f>
        <v>COMIMTEL SOCIEDAD ANONIMA CERRADA</v>
      </c>
      <c r="X323" s="19" t="str">
        <f>IF(Banco_Nacion[[#This Row],[TIPO DE MOV.]]="INGRESO",Banco_Nacion[[#This Row],[SERIE]]&amp;Banco_Nacion[[#This Row],[NUMERO]]&amp;Banco_Nacion[[#This Row],[RESPONSABLE]]&amp;Banco_Nacion[[#This Row],[MONTO ]],"")</f>
        <v>FF011720509128686198</v>
      </c>
      <c r="Y32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76517971</v>
      </c>
      <c r="Z323" s="3"/>
      <c r="AA323" s="3"/>
      <c r="AB323" s="24" t="str">
        <f>IF(Banco_Nacion[[#This Row],[FECHA]]&gt;0,TEXT(Banco_Nacion[[#This Row],[FECHA]],"mmmm"),0)</f>
        <v>Mayo</v>
      </c>
    </row>
    <row r="324" spans="2:28" x14ac:dyDescent="0.3">
      <c r="B324" s="2">
        <f>IF(Banco_Nacion[[#This Row],[TIPO DE R.]]="R",COUNTIFS($D$4:$D323,"R")+1,"")</f>
        <v>320</v>
      </c>
      <c r="C324" s="19" t="str">
        <f t="shared" si="20"/>
        <v>B-Banco de la Nacion</v>
      </c>
      <c r="D324" s="3" t="s">
        <v>1074</v>
      </c>
      <c r="E324" s="14">
        <v>45786</v>
      </c>
      <c r="F324" s="5">
        <v>20161541991</v>
      </c>
      <c r="G324" s="5" t="s">
        <v>1087</v>
      </c>
      <c r="H324" s="6" t="s">
        <v>368</v>
      </c>
      <c r="I324" s="6" t="s">
        <v>14</v>
      </c>
      <c r="J324" s="6" t="s">
        <v>1521</v>
      </c>
      <c r="K324" s="6">
        <v>46</v>
      </c>
      <c r="L324" s="7" t="s">
        <v>4290</v>
      </c>
      <c r="M324" s="8">
        <v>76495631</v>
      </c>
      <c r="N324" s="8" t="str">
        <f t="shared" si="21"/>
        <v>PEN</v>
      </c>
      <c r="O324" s="13"/>
      <c r="P324" s="13">
        <v>164</v>
      </c>
      <c r="Q324" s="3">
        <f t="shared" si="22"/>
        <v>164</v>
      </c>
      <c r="R324" s="3">
        <f t="shared" si="23"/>
        <v>0</v>
      </c>
      <c r="S324" s="3">
        <f t="shared" si="24"/>
        <v>43651.220000000008</v>
      </c>
      <c r="T324" s="24"/>
      <c r="U324" s="24" t="s">
        <v>1081</v>
      </c>
      <c r="V324" s="3"/>
      <c r="W324" s="19" t="str">
        <f>IFERROR(VLOOKUP(Banco_Nacion[[#This Row],[RESPONSABLE]],Clientes_Proveedores[[Ruc / Dni]:[Razon Social]],2,0),"")</f>
        <v>ASOCIACION TECSUP N° 2</v>
      </c>
      <c r="X324" s="19" t="str">
        <f>IF(Banco_Nacion[[#This Row],[TIPO DE MOV.]]="INGRESO",Banco_Nacion[[#This Row],[SERIE]]&amp;Banco_Nacion[[#This Row],[NUMERO]]&amp;Banco_Nacion[[#This Row],[RESPONSABLE]]&amp;Banco_Nacion[[#This Row],[MONTO ]],"")</f>
        <v>FF014620161541991164</v>
      </c>
      <c r="Y32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76495631</v>
      </c>
      <c r="Z324" s="3"/>
      <c r="AA324" s="3"/>
      <c r="AB324" s="24" t="str">
        <f>IF(Banco_Nacion[[#This Row],[FECHA]]&gt;0,TEXT(Banco_Nacion[[#This Row],[FECHA]],"mmmm"),0)</f>
        <v>Mayo</v>
      </c>
    </row>
    <row r="325" spans="2:28" x14ac:dyDescent="0.3">
      <c r="B325" s="2">
        <f>IF(Banco_Nacion[[#This Row],[TIPO DE R.]]="R",COUNTIFS($D$4:$D324,"R")+1,"")</f>
        <v>321</v>
      </c>
      <c r="C325" s="19" t="str">
        <f t="shared" ref="C325:C388" si="25">"B-Banco de la Nacion"</f>
        <v>B-Banco de la Nacion</v>
      </c>
      <c r="D325" s="3" t="s">
        <v>1074</v>
      </c>
      <c r="E325" s="14">
        <v>45786</v>
      </c>
      <c r="F325" s="5">
        <v>20498185305</v>
      </c>
      <c r="G325" s="5" t="s">
        <v>1087</v>
      </c>
      <c r="H325" s="6" t="s">
        <v>368</v>
      </c>
      <c r="I325" s="6" t="s">
        <v>14</v>
      </c>
      <c r="J325" s="6" t="s">
        <v>1521</v>
      </c>
      <c r="K325" s="6">
        <v>15</v>
      </c>
      <c r="L325" s="7" t="s">
        <v>4290</v>
      </c>
      <c r="M325" s="8">
        <v>76478639</v>
      </c>
      <c r="N325" s="8" t="str">
        <f t="shared" ref="N325:N388" si="26">"PEN"</f>
        <v>PEN</v>
      </c>
      <c r="O325" s="13"/>
      <c r="P325" s="13">
        <v>282</v>
      </c>
      <c r="Q325" s="3">
        <f t="shared" ref="Q325:Q388" si="27">+IF(OR($G325="SALDO",$G325="INGRESO"),$P325,0)</f>
        <v>282</v>
      </c>
      <c r="R325" s="3">
        <f t="shared" ref="R325:R388" si="28">+IF($G325="EGRESO",$P325,0)</f>
        <v>0</v>
      </c>
      <c r="S325" s="3">
        <f t="shared" ref="S325:S388" si="29">IFERROR(IF(G325="SALDO",Q325,S324+Q325-R325),0)</f>
        <v>43933.220000000008</v>
      </c>
      <c r="T325" s="24"/>
      <c r="U325" s="24" t="s">
        <v>1081</v>
      </c>
      <c r="V325" s="3"/>
      <c r="W325" s="19" t="str">
        <f>IFERROR(VLOOKUP(Banco_Nacion[[#This Row],[RESPONSABLE]],Clientes_Proveedores[[Ruc / Dni]:[Razon Social]],2,0),"")</f>
        <v>INVERSIONES MILENIUM S.R.L.</v>
      </c>
      <c r="X325" s="19" t="str">
        <f>IF(Banco_Nacion[[#This Row],[TIPO DE MOV.]]="INGRESO",Banco_Nacion[[#This Row],[SERIE]]&amp;Banco_Nacion[[#This Row],[NUMERO]]&amp;Banco_Nacion[[#This Row],[RESPONSABLE]]&amp;Banco_Nacion[[#This Row],[MONTO ]],"")</f>
        <v>FF011520498185305282</v>
      </c>
      <c r="Y32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76478639</v>
      </c>
      <c r="Z325" s="3"/>
      <c r="AA325" s="3"/>
      <c r="AB325" s="24" t="str">
        <f>IF(Banco_Nacion[[#This Row],[FECHA]]&gt;0,TEXT(Banco_Nacion[[#This Row],[FECHA]],"mmmm"),0)</f>
        <v>Mayo</v>
      </c>
    </row>
    <row r="326" spans="2:28" x14ac:dyDescent="0.3">
      <c r="B326" s="2">
        <f>IF(Banco_Nacion[[#This Row],[TIPO DE R.]]="R",COUNTIFS($D$4:$D325,"R")+1,"")</f>
        <v>322</v>
      </c>
      <c r="C326" s="19" t="str">
        <f t="shared" si="25"/>
        <v>B-Banco de la Nacion</v>
      </c>
      <c r="D326" s="3" t="s">
        <v>1074</v>
      </c>
      <c r="E326" s="14">
        <v>45786</v>
      </c>
      <c r="F326" s="5">
        <v>20455825742</v>
      </c>
      <c r="G326" s="5" t="s">
        <v>1087</v>
      </c>
      <c r="H326" s="6" t="s">
        <v>368</v>
      </c>
      <c r="I326" s="6" t="s">
        <v>14</v>
      </c>
      <c r="J326" s="6" t="s">
        <v>1521</v>
      </c>
      <c r="K326" s="6">
        <v>18</v>
      </c>
      <c r="L326" s="7" t="s">
        <v>4290</v>
      </c>
      <c r="M326" s="8">
        <v>76376648</v>
      </c>
      <c r="N326" s="8" t="str">
        <f t="shared" si="26"/>
        <v>PEN</v>
      </c>
      <c r="O326" s="13"/>
      <c r="P326" s="13">
        <v>377</v>
      </c>
      <c r="Q326" s="3">
        <f t="shared" si="27"/>
        <v>377</v>
      </c>
      <c r="R326" s="3">
        <f t="shared" si="28"/>
        <v>0</v>
      </c>
      <c r="S326" s="3">
        <f t="shared" si="29"/>
        <v>44310.220000000008</v>
      </c>
      <c r="T326" s="24"/>
      <c r="U326" s="24" t="s">
        <v>1081</v>
      </c>
      <c r="V326" s="3"/>
      <c r="W326" s="19" t="str">
        <f>IFERROR(VLOOKUP(Banco_Nacion[[#This Row],[RESPONSABLE]],Clientes_Proveedores[[Ruc / Dni]:[Razon Social]],2,0),"")</f>
        <v>LIVIGUI PERU S.A.C.</v>
      </c>
      <c r="X326" s="19" t="str">
        <f>IF(Banco_Nacion[[#This Row],[TIPO DE MOV.]]="INGRESO",Banco_Nacion[[#This Row],[SERIE]]&amp;Banco_Nacion[[#This Row],[NUMERO]]&amp;Banco_Nacion[[#This Row],[RESPONSABLE]]&amp;Banco_Nacion[[#This Row],[MONTO ]],"")</f>
        <v>FF011820455825742377</v>
      </c>
      <c r="Y32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76376648</v>
      </c>
      <c r="Z326" s="3"/>
      <c r="AA326" s="3"/>
      <c r="AB326" s="24" t="str">
        <f>IF(Banco_Nacion[[#This Row],[FECHA]]&gt;0,TEXT(Banco_Nacion[[#This Row],[FECHA]],"mmmm"),0)</f>
        <v>Mayo</v>
      </c>
    </row>
    <row r="327" spans="2:28" x14ac:dyDescent="0.3">
      <c r="B327" s="2">
        <f>IF(Banco_Nacion[[#This Row],[TIPO DE R.]]="R",COUNTIFS($D$4:$D326,"R")+1,"")</f>
        <v>323</v>
      </c>
      <c r="C327" s="19" t="str">
        <f t="shared" si="25"/>
        <v>B-Banco de la Nacion</v>
      </c>
      <c r="D327" s="3" t="s">
        <v>1074</v>
      </c>
      <c r="E327" s="14">
        <v>45789</v>
      </c>
      <c r="F327" s="5">
        <v>20419158462</v>
      </c>
      <c r="G327" s="5" t="s">
        <v>1087</v>
      </c>
      <c r="H327" s="6" t="s">
        <v>368</v>
      </c>
      <c r="I327" s="6" t="s">
        <v>14</v>
      </c>
      <c r="J327" s="6" t="s">
        <v>1521</v>
      </c>
      <c r="K327" s="6">
        <v>58</v>
      </c>
      <c r="L327" s="7" t="s">
        <v>4290</v>
      </c>
      <c r="M327" s="8">
        <v>76848706</v>
      </c>
      <c r="N327" s="8" t="str">
        <f t="shared" si="26"/>
        <v>PEN</v>
      </c>
      <c r="O327" s="13"/>
      <c r="P327" s="13">
        <v>185</v>
      </c>
      <c r="Q327" s="3">
        <f t="shared" si="27"/>
        <v>185</v>
      </c>
      <c r="R327" s="3">
        <f t="shared" si="28"/>
        <v>0</v>
      </c>
      <c r="S327" s="3">
        <f t="shared" si="29"/>
        <v>44495.220000000008</v>
      </c>
      <c r="T327" s="24"/>
      <c r="U327" s="24" t="s">
        <v>1081</v>
      </c>
      <c r="V327" s="3"/>
      <c r="W327" s="19" t="str">
        <f>IFERROR(VLOOKUP(Banco_Nacion[[#This Row],[RESPONSABLE]],Clientes_Proveedores[[Ruc / Dni]:[Razon Social]],2,0),"")</f>
        <v>GRANJA RINCONADA DEL SUR S.A.</v>
      </c>
      <c r="X327" s="19" t="str">
        <f>IF(Banco_Nacion[[#This Row],[TIPO DE MOV.]]="INGRESO",Banco_Nacion[[#This Row],[SERIE]]&amp;Banco_Nacion[[#This Row],[NUMERO]]&amp;Banco_Nacion[[#This Row],[RESPONSABLE]]&amp;Banco_Nacion[[#This Row],[MONTO ]],"")</f>
        <v>FF015820419158462185</v>
      </c>
      <c r="Y32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76848706</v>
      </c>
      <c r="Z327" s="3"/>
      <c r="AA327" s="3"/>
      <c r="AB327" s="24" t="str">
        <f>IF(Banco_Nacion[[#This Row],[FECHA]]&gt;0,TEXT(Banco_Nacion[[#This Row],[FECHA]],"mmmm"),0)</f>
        <v>Mayo</v>
      </c>
    </row>
    <row r="328" spans="2:28" x14ac:dyDescent="0.3">
      <c r="B328" s="2">
        <f>IF(Banco_Nacion[[#This Row],[TIPO DE R.]]="R",COUNTIFS($D$4:$D327,"R")+1,"")</f>
        <v>324</v>
      </c>
      <c r="C328" s="19" t="str">
        <f t="shared" si="25"/>
        <v>B-Banco de la Nacion</v>
      </c>
      <c r="D328" s="3" t="s">
        <v>1074</v>
      </c>
      <c r="E328" s="14">
        <v>45789</v>
      </c>
      <c r="F328" s="5">
        <v>20419158462</v>
      </c>
      <c r="G328" s="5" t="s">
        <v>1087</v>
      </c>
      <c r="H328" s="6" t="s">
        <v>368</v>
      </c>
      <c r="I328" s="6" t="s">
        <v>14</v>
      </c>
      <c r="J328" s="6" t="s">
        <v>1521</v>
      </c>
      <c r="K328" s="6">
        <v>57</v>
      </c>
      <c r="L328" s="7" t="s">
        <v>4290</v>
      </c>
      <c r="M328" s="8">
        <v>76848705</v>
      </c>
      <c r="N328" s="8" t="str">
        <f t="shared" si="26"/>
        <v>PEN</v>
      </c>
      <c r="O328" s="13"/>
      <c r="P328" s="13">
        <v>173</v>
      </c>
      <c r="Q328" s="3">
        <f t="shared" si="27"/>
        <v>173</v>
      </c>
      <c r="R328" s="3">
        <f t="shared" si="28"/>
        <v>0</v>
      </c>
      <c r="S328" s="3">
        <f t="shared" si="29"/>
        <v>44668.220000000008</v>
      </c>
      <c r="T328" s="24"/>
      <c r="U328" s="24" t="s">
        <v>1081</v>
      </c>
      <c r="V328" s="3"/>
      <c r="W328" s="19" t="str">
        <f>IFERROR(VLOOKUP(Banco_Nacion[[#This Row],[RESPONSABLE]],Clientes_Proveedores[[Ruc / Dni]:[Razon Social]],2,0),"")</f>
        <v>GRANJA RINCONADA DEL SUR S.A.</v>
      </c>
      <c r="X328" s="19" t="str">
        <f>IF(Banco_Nacion[[#This Row],[TIPO DE MOV.]]="INGRESO",Banco_Nacion[[#This Row],[SERIE]]&amp;Banco_Nacion[[#This Row],[NUMERO]]&amp;Banco_Nacion[[#This Row],[RESPONSABLE]]&amp;Banco_Nacion[[#This Row],[MONTO ]],"")</f>
        <v>FF015720419158462173</v>
      </c>
      <c r="Y32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76848705</v>
      </c>
      <c r="Z328" s="3"/>
      <c r="AA328" s="3"/>
      <c r="AB328" s="24" t="str">
        <f>IF(Banco_Nacion[[#This Row],[FECHA]]&gt;0,TEXT(Banco_Nacion[[#This Row],[FECHA]],"mmmm"),0)</f>
        <v>Mayo</v>
      </c>
    </row>
    <row r="329" spans="2:28" x14ac:dyDescent="0.3">
      <c r="B329" s="2">
        <f>IF(Banco_Nacion[[#This Row],[TIPO DE R.]]="R",COUNTIFS($D$4:$D328,"R")+1,"")</f>
        <v>325</v>
      </c>
      <c r="C329" s="19" t="str">
        <f t="shared" si="25"/>
        <v>B-Banco de la Nacion</v>
      </c>
      <c r="D329" s="3" t="s">
        <v>1074</v>
      </c>
      <c r="E329" s="14">
        <v>45789</v>
      </c>
      <c r="F329" s="5">
        <v>20419158462</v>
      </c>
      <c r="G329" s="5" t="s">
        <v>1087</v>
      </c>
      <c r="H329" s="6" t="s">
        <v>368</v>
      </c>
      <c r="I329" s="6" t="s">
        <v>14</v>
      </c>
      <c r="J329" s="6" t="s">
        <v>1521</v>
      </c>
      <c r="K329" s="6">
        <v>56</v>
      </c>
      <c r="L329" s="7" t="s">
        <v>4290</v>
      </c>
      <c r="M329" s="8">
        <v>76848704</v>
      </c>
      <c r="N329" s="8" t="str">
        <f t="shared" si="26"/>
        <v>PEN</v>
      </c>
      <c r="O329" s="13"/>
      <c r="P329" s="13">
        <v>202</v>
      </c>
      <c r="Q329" s="3">
        <f t="shared" si="27"/>
        <v>202</v>
      </c>
      <c r="R329" s="3">
        <f t="shared" si="28"/>
        <v>0</v>
      </c>
      <c r="S329" s="3">
        <f t="shared" si="29"/>
        <v>44870.220000000008</v>
      </c>
      <c r="T329" s="24"/>
      <c r="U329" s="24" t="s">
        <v>1081</v>
      </c>
      <c r="V329" s="3"/>
      <c r="W329" s="19" t="str">
        <f>IFERROR(VLOOKUP(Banco_Nacion[[#This Row],[RESPONSABLE]],Clientes_Proveedores[[Ruc / Dni]:[Razon Social]],2,0),"")</f>
        <v>GRANJA RINCONADA DEL SUR S.A.</v>
      </c>
      <c r="X329" s="19" t="str">
        <f>IF(Banco_Nacion[[#This Row],[TIPO DE MOV.]]="INGRESO",Banco_Nacion[[#This Row],[SERIE]]&amp;Banco_Nacion[[#This Row],[NUMERO]]&amp;Banco_Nacion[[#This Row],[RESPONSABLE]]&amp;Banco_Nacion[[#This Row],[MONTO ]],"")</f>
        <v>FF015620419158462202</v>
      </c>
      <c r="Y32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76848704</v>
      </c>
      <c r="Z329" s="3"/>
      <c r="AA329" s="3"/>
      <c r="AB329" s="24" t="str">
        <f>IF(Banco_Nacion[[#This Row],[FECHA]]&gt;0,TEXT(Banco_Nacion[[#This Row],[FECHA]],"mmmm"),0)</f>
        <v>Mayo</v>
      </c>
    </row>
    <row r="330" spans="2:28" x14ac:dyDescent="0.3">
      <c r="B330" s="2">
        <f>IF(Banco_Nacion[[#This Row],[TIPO DE R.]]="R",COUNTIFS($D$4:$D329,"R")+1,"")</f>
        <v>326</v>
      </c>
      <c r="C330" s="19" t="str">
        <f t="shared" si="25"/>
        <v>B-Banco de la Nacion</v>
      </c>
      <c r="D330" s="3" t="s">
        <v>1074</v>
      </c>
      <c r="E330" s="14">
        <v>45789</v>
      </c>
      <c r="F330" s="5">
        <v>20498309713</v>
      </c>
      <c r="G330" s="5" t="s">
        <v>1087</v>
      </c>
      <c r="H330" s="6" t="s">
        <v>368</v>
      </c>
      <c r="I330" s="6" t="s">
        <v>14</v>
      </c>
      <c r="J330" s="6" t="s">
        <v>3010</v>
      </c>
      <c r="K330" s="6">
        <v>28</v>
      </c>
      <c r="L330" s="7" t="s">
        <v>4290</v>
      </c>
      <c r="M330" s="8">
        <v>76776332</v>
      </c>
      <c r="N330" s="8" t="str">
        <f t="shared" si="26"/>
        <v>PEN</v>
      </c>
      <c r="O330" s="13"/>
      <c r="P330" s="13">
        <v>268</v>
      </c>
      <c r="Q330" s="3">
        <f t="shared" si="27"/>
        <v>268</v>
      </c>
      <c r="R330" s="3">
        <f t="shared" si="28"/>
        <v>0</v>
      </c>
      <c r="S330" s="3">
        <f t="shared" si="29"/>
        <v>45138.220000000008</v>
      </c>
      <c r="T330" s="24"/>
      <c r="U330" s="24" t="s">
        <v>1081</v>
      </c>
      <c r="V330" s="3"/>
      <c r="W330" s="19" t="str">
        <f>IFERROR(VLOOKUP(Banco_Nacion[[#This Row],[RESPONSABLE]],Clientes_Proveedores[[Ruc / Dni]:[Razon Social]],2,0),"")</f>
        <v>SCOMAR S.R.L</v>
      </c>
      <c r="X330" s="19" t="str">
        <f>IF(Banco_Nacion[[#This Row],[TIPO DE MOV.]]="INGRESO",Banco_Nacion[[#This Row],[SERIE]]&amp;Banco_Nacion[[#This Row],[NUMERO]]&amp;Banco_Nacion[[#This Row],[RESPONSABLE]]&amp;Banco_Nacion[[#This Row],[MONTO ]],"")</f>
        <v>FF022820498309713268</v>
      </c>
      <c r="Y33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76776332</v>
      </c>
      <c r="Z330" s="3"/>
      <c r="AA330" s="3"/>
      <c r="AB330" s="24" t="str">
        <f>IF(Banco_Nacion[[#This Row],[FECHA]]&gt;0,TEXT(Banco_Nacion[[#This Row],[FECHA]],"mmmm"),0)</f>
        <v>Mayo</v>
      </c>
    </row>
    <row r="331" spans="2:28" x14ac:dyDescent="0.3">
      <c r="B331" s="2">
        <f>IF(Banco_Nacion[[#This Row],[TIPO DE R.]]="R",COUNTIFS($D$4:$D330,"R")+1,"")</f>
        <v>327</v>
      </c>
      <c r="C331" s="19" t="str">
        <f t="shared" si="25"/>
        <v>B-Banco de la Nacion</v>
      </c>
      <c r="D331" s="3" t="s">
        <v>1074</v>
      </c>
      <c r="E331" s="14">
        <v>45790</v>
      </c>
      <c r="F331" s="5">
        <v>20603065906</v>
      </c>
      <c r="G331" s="5" t="s">
        <v>1087</v>
      </c>
      <c r="H331" s="6" t="s">
        <v>368</v>
      </c>
      <c r="I331" s="6" t="s">
        <v>14</v>
      </c>
      <c r="J331" s="6" t="s">
        <v>3091</v>
      </c>
      <c r="K331" s="6">
        <v>15</v>
      </c>
      <c r="L331" s="7" t="s">
        <v>4290</v>
      </c>
      <c r="M331" s="8">
        <v>76875407</v>
      </c>
      <c r="N331" s="8" t="str">
        <f t="shared" si="26"/>
        <v>PEN</v>
      </c>
      <c r="O331" s="13"/>
      <c r="P331" s="13">
        <v>169</v>
      </c>
      <c r="Q331" s="3">
        <f t="shared" si="27"/>
        <v>169</v>
      </c>
      <c r="R331" s="3">
        <f t="shared" si="28"/>
        <v>0</v>
      </c>
      <c r="S331" s="3">
        <f t="shared" si="29"/>
        <v>45307.220000000008</v>
      </c>
      <c r="T331" s="24"/>
      <c r="U331" s="24" t="s">
        <v>1081</v>
      </c>
      <c r="V331" s="3"/>
      <c r="W331" s="19" t="str">
        <f>IFERROR(VLOOKUP(Banco_Nacion[[#This Row],[RESPONSABLE]],Clientes_Proveedores[[Ruc / Dni]:[Razon Social]],2,0),"")</f>
        <v>COMERCIO SERVICIOS E INVERSIONES YANCE E.I.R.L.</v>
      </c>
      <c r="X331" s="19" t="str">
        <f>IF(Banco_Nacion[[#This Row],[TIPO DE MOV.]]="INGRESO",Banco_Nacion[[#This Row],[SERIE]]&amp;Banco_Nacion[[#This Row],[NUMERO]]&amp;Banco_Nacion[[#This Row],[RESPONSABLE]]&amp;Banco_Nacion[[#This Row],[MONTO ]],"")</f>
        <v>FF051520603065906169</v>
      </c>
      <c r="Y33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76875407</v>
      </c>
      <c r="Z331" s="3"/>
      <c r="AA331" s="3"/>
      <c r="AB331" s="24" t="str">
        <f>IF(Banco_Nacion[[#This Row],[FECHA]]&gt;0,TEXT(Banco_Nacion[[#This Row],[FECHA]],"mmmm"),0)</f>
        <v>Mayo</v>
      </c>
    </row>
    <row r="332" spans="2:28" x14ac:dyDescent="0.3">
      <c r="B332" s="2">
        <f>IF(Banco_Nacion[[#This Row],[TIPO DE R.]]="R",COUNTIFS($D$4:$D331,"R")+1,"")</f>
        <v>328</v>
      </c>
      <c r="C332" s="19" t="str">
        <f t="shared" si="25"/>
        <v>B-Banco de la Nacion</v>
      </c>
      <c r="D332" s="3" t="s">
        <v>1074</v>
      </c>
      <c r="E332" s="14">
        <v>45792</v>
      </c>
      <c r="F332" s="5">
        <v>20100055237</v>
      </c>
      <c r="G332" s="5" t="s">
        <v>1087</v>
      </c>
      <c r="H332" s="6" t="s">
        <v>368</v>
      </c>
      <c r="I332" s="6" t="s">
        <v>14</v>
      </c>
      <c r="J332" s="6" t="s">
        <v>1521</v>
      </c>
      <c r="K332" s="6">
        <v>72</v>
      </c>
      <c r="L332" s="7" t="s">
        <v>4290</v>
      </c>
      <c r="M332" s="8">
        <v>76997098</v>
      </c>
      <c r="N332" s="8" t="str">
        <f t="shared" si="26"/>
        <v>PEN</v>
      </c>
      <c r="O332" s="13"/>
      <c r="P332" s="13">
        <v>112</v>
      </c>
      <c r="Q332" s="3">
        <f t="shared" si="27"/>
        <v>112</v>
      </c>
      <c r="R332" s="3">
        <f t="shared" si="28"/>
        <v>0</v>
      </c>
      <c r="S332" s="3">
        <f t="shared" si="29"/>
        <v>45419.220000000008</v>
      </c>
      <c r="T332" s="24"/>
      <c r="U332" s="24" t="s">
        <v>1081</v>
      </c>
      <c r="V332" s="3"/>
      <c r="W332" s="19" t="str">
        <f>IFERROR(VLOOKUP(Banco_Nacion[[#This Row],[RESPONSABLE]],Clientes_Proveedores[[Ruc / Dni]:[Razon Social]],2,0),"")</f>
        <v>ALICORP SAA</v>
      </c>
      <c r="X332" s="19" t="str">
        <f>IF(Banco_Nacion[[#This Row],[TIPO DE MOV.]]="INGRESO",Banco_Nacion[[#This Row],[SERIE]]&amp;Banco_Nacion[[#This Row],[NUMERO]]&amp;Banco_Nacion[[#This Row],[RESPONSABLE]]&amp;Banco_Nacion[[#This Row],[MONTO ]],"")</f>
        <v>FF017220100055237112</v>
      </c>
      <c r="Y33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76997098</v>
      </c>
      <c r="Z332" s="3"/>
      <c r="AA332" s="3"/>
      <c r="AB332" s="24" t="str">
        <f>IF(Banco_Nacion[[#This Row],[FECHA]]&gt;0,TEXT(Banco_Nacion[[#This Row],[FECHA]],"mmmm"),0)</f>
        <v>Mayo</v>
      </c>
    </row>
    <row r="333" spans="2:28" x14ac:dyDescent="0.3">
      <c r="B333" s="2">
        <f>IF(Banco_Nacion[[#This Row],[TIPO DE R.]]="R",COUNTIFS($D$4:$D332,"R")+1,"")</f>
        <v>329</v>
      </c>
      <c r="C333" s="19" t="str">
        <f t="shared" si="25"/>
        <v>B-Banco de la Nacion</v>
      </c>
      <c r="D333" s="3" t="s">
        <v>1074</v>
      </c>
      <c r="E333" s="14">
        <v>45792</v>
      </c>
      <c r="F333" s="5">
        <v>20100192064</v>
      </c>
      <c r="G333" s="5" t="s">
        <v>1087</v>
      </c>
      <c r="H333" s="6" t="s">
        <v>368</v>
      </c>
      <c r="I333" s="6" t="s">
        <v>14</v>
      </c>
      <c r="J333" s="6" t="s">
        <v>1521</v>
      </c>
      <c r="K333" s="6">
        <v>68</v>
      </c>
      <c r="L333" s="7" t="s">
        <v>4290</v>
      </c>
      <c r="M333" s="8">
        <v>76983108</v>
      </c>
      <c r="N333" s="8" t="str">
        <f t="shared" si="26"/>
        <v>PEN</v>
      </c>
      <c r="O333" s="13"/>
      <c r="P333" s="13">
        <v>283</v>
      </c>
      <c r="Q333" s="3">
        <f t="shared" si="27"/>
        <v>283</v>
      </c>
      <c r="R333" s="3">
        <f t="shared" si="28"/>
        <v>0</v>
      </c>
      <c r="S333" s="3">
        <f t="shared" si="29"/>
        <v>45702.220000000008</v>
      </c>
      <c r="T333" s="24"/>
      <c r="U333" s="24" t="s">
        <v>1081</v>
      </c>
      <c r="V333" s="3"/>
      <c r="W333" s="19" t="str">
        <f>IFERROR(VLOOKUP(Banco_Nacion[[#This Row],[RESPONSABLE]],Clientes_Proveedores[[Ruc / Dni]:[Razon Social]],2,0),"")</f>
        <v>MOLY-COP ADESUR S.A</v>
      </c>
      <c r="X333" s="19" t="str">
        <f>IF(Banco_Nacion[[#This Row],[TIPO DE MOV.]]="INGRESO",Banco_Nacion[[#This Row],[SERIE]]&amp;Banco_Nacion[[#This Row],[NUMERO]]&amp;Banco_Nacion[[#This Row],[RESPONSABLE]]&amp;Banco_Nacion[[#This Row],[MONTO ]],"")</f>
        <v>FF016820100192064283</v>
      </c>
      <c r="Y33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76983108</v>
      </c>
      <c r="Z333" s="3"/>
      <c r="AA333" s="3"/>
      <c r="AB333" s="24" t="str">
        <f>IF(Banco_Nacion[[#This Row],[FECHA]]&gt;0,TEXT(Banco_Nacion[[#This Row],[FECHA]],"mmmm"),0)</f>
        <v>Mayo</v>
      </c>
    </row>
    <row r="334" spans="2:28" x14ac:dyDescent="0.3">
      <c r="B334" s="2">
        <f>IF(Banco_Nacion[[#This Row],[TIPO DE R.]]="R",COUNTIFS($D$4:$D333,"R")+1,"")</f>
        <v>330</v>
      </c>
      <c r="C334" s="19" t="str">
        <f t="shared" si="25"/>
        <v>B-Banco de la Nacion</v>
      </c>
      <c r="D334" s="3" t="s">
        <v>1074</v>
      </c>
      <c r="E334" s="14">
        <v>45792</v>
      </c>
      <c r="F334" s="5">
        <v>20100192064</v>
      </c>
      <c r="G334" s="5" t="s">
        <v>1087</v>
      </c>
      <c r="H334" s="6" t="s">
        <v>368</v>
      </c>
      <c r="I334" s="6" t="s">
        <v>14</v>
      </c>
      <c r="J334" s="6" t="s">
        <v>1521</v>
      </c>
      <c r="K334" s="6">
        <v>67</v>
      </c>
      <c r="L334" s="7" t="s">
        <v>4290</v>
      </c>
      <c r="M334" s="8">
        <v>76983107</v>
      </c>
      <c r="N334" s="8" t="str">
        <f t="shared" si="26"/>
        <v>PEN</v>
      </c>
      <c r="O334" s="13"/>
      <c r="P334" s="13">
        <v>142</v>
      </c>
      <c r="Q334" s="3">
        <f t="shared" si="27"/>
        <v>142</v>
      </c>
      <c r="R334" s="3">
        <f t="shared" si="28"/>
        <v>0</v>
      </c>
      <c r="S334" s="3">
        <f t="shared" si="29"/>
        <v>45844.220000000008</v>
      </c>
      <c r="T334" s="24"/>
      <c r="U334" s="24" t="s">
        <v>1081</v>
      </c>
      <c r="V334" s="3"/>
      <c r="W334" s="19" t="str">
        <f>IFERROR(VLOOKUP(Banco_Nacion[[#This Row],[RESPONSABLE]],Clientes_Proveedores[[Ruc / Dni]:[Razon Social]],2,0),"")</f>
        <v>MOLY-COP ADESUR S.A</v>
      </c>
      <c r="X334" s="19" t="str">
        <f>IF(Banco_Nacion[[#This Row],[TIPO DE MOV.]]="INGRESO",Banco_Nacion[[#This Row],[SERIE]]&amp;Banco_Nacion[[#This Row],[NUMERO]]&amp;Banco_Nacion[[#This Row],[RESPONSABLE]]&amp;Banco_Nacion[[#This Row],[MONTO ]],"")</f>
        <v>FF016720100192064142</v>
      </c>
      <c r="Y33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76983107</v>
      </c>
      <c r="Z334" s="3"/>
      <c r="AA334" s="3"/>
      <c r="AB334" s="24" t="str">
        <f>IF(Banco_Nacion[[#This Row],[FECHA]]&gt;0,TEXT(Banco_Nacion[[#This Row],[FECHA]],"mmmm"),0)</f>
        <v>Mayo</v>
      </c>
    </row>
    <row r="335" spans="2:28" x14ac:dyDescent="0.3">
      <c r="B335" s="2">
        <f>IF(Banco_Nacion[[#This Row],[TIPO DE R.]]="R",COUNTIFS($D$4:$D334,"R")+1,"")</f>
        <v>331</v>
      </c>
      <c r="C335" s="19" t="str">
        <f t="shared" si="25"/>
        <v>B-Banco de la Nacion</v>
      </c>
      <c r="D335" s="3" t="s">
        <v>1074</v>
      </c>
      <c r="E335" s="14">
        <v>45793</v>
      </c>
      <c r="F335" s="5">
        <v>20133208292</v>
      </c>
      <c r="G335" s="5" t="s">
        <v>1087</v>
      </c>
      <c r="H335" s="6" t="s">
        <v>368</v>
      </c>
      <c r="I335" s="6" t="s">
        <v>14</v>
      </c>
      <c r="J335" s="6" t="s">
        <v>1521</v>
      </c>
      <c r="K335" s="6">
        <v>41</v>
      </c>
      <c r="L335" s="7" t="s">
        <v>4290</v>
      </c>
      <c r="M335" s="8">
        <v>77231780</v>
      </c>
      <c r="N335" s="8" t="str">
        <f t="shared" si="26"/>
        <v>PEN</v>
      </c>
      <c r="O335" s="13"/>
      <c r="P335" s="13">
        <v>572</v>
      </c>
      <c r="Q335" s="3">
        <f t="shared" si="27"/>
        <v>572</v>
      </c>
      <c r="R335" s="3">
        <f t="shared" si="28"/>
        <v>0</v>
      </c>
      <c r="S335" s="3">
        <f t="shared" si="29"/>
        <v>46416.220000000008</v>
      </c>
      <c r="T335" s="24"/>
      <c r="U335" s="24" t="s">
        <v>1081</v>
      </c>
      <c r="V335" s="3"/>
      <c r="W335" s="19" t="str">
        <f>IFERROR(VLOOKUP(Banco_Nacion[[#This Row],[RESPONSABLE]],Clientes_Proveedores[[Ruc / Dni]:[Razon Social]],2,0),"")</f>
        <v>COMANDO SOCIEDAD ANONIMA CERRADA</v>
      </c>
      <c r="X335" s="19" t="str">
        <f>IF(Banco_Nacion[[#This Row],[TIPO DE MOV.]]="INGRESO",Banco_Nacion[[#This Row],[SERIE]]&amp;Banco_Nacion[[#This Row],[NUMERO]]&amp;Banco_Nacion[[#This Row],[RESPONSABLE]]&amp;Banco_Nacion[[#This Row],[MONTO ]],"")</f>
        <v>FF014120133208292572</v>
      </c>
      <c r="Y33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77231780</v>
      </c>
      <c r="Z335" s="3"/>
      <c r="AA335" s="3"/>
      <c r="AB335" s="24" t="str">
        <f>IF(Banco_Nacion[[#This Row],[FECHA]]&gt;0,TEXT(Banco_Nacion[[#This Row],[FECHA]],"mmmm"),0)</f>
        <v>Mayo</v>
      </c>
    </row>
    <row r="336" spans="2:28" x14ac:dyDescent="0.3">
      <c r="B336" s="2">
        <f>IF(Banco_Nacion[[#This Row],[TIPO DE R.]]="R",COUNTIFS($D$4:$D335,"R")+1,"")</f>
        <v>332</v>
      </c>
      <c r="C336" s="19" t="str">
        <f t="shared" si="25"/>
        <v>B-Banco de la Nacion</v>
      </c>
      <c r="D336" s="3" t="s">
        <v>1074</v>
      </c>
      <c r="E336" s="14">
        <v>45793</v>
      </c>
      <c r="F336" s="5">
        <v>20402885549</v>
      </c>
      <c r="G336" s="5" t="s">
        <v>1087</v>
      </c>
      <c r="H336" s="6" t="s">
        <v>368</v>
      </c>
      <c r="I336" s="6" t="s">
        <v>14</v>
      </c>
      <c r="J336" s="6" t="s">
        <v>3010</v>
      </c>
      <c r="K336" s="6">
        <v>37</v>
      </c>
      <c r="L336" s="7" t="s">
        <v>4290</v>
      </c>
      <c r="M336" s="8">
        <v>77200285</v>
      </c>
      <c r="N336" s="8" t="str">
        <f t="shared" si="26"/>
        <v>PEN</v>
      </c>
      <c r="O336" s="13"/>
      <c r="P336" s="13">
        <v>4163</v>
      </c>
      <c r="Q336" s="3">
        <f t="shared" si="27"/>
        <v>4163</v>
      </c>
      <c r="R336" s="3">
        <f t="shared" si="28"/>
        <v>0</v>
      </c>
      <c r="S336" s="3">
        <f t="shared" si="29"/>
        <v>50579.220000000008</v>
      </c>
      <c r="T336" s="24"/>
      <c r="U336" s="24" t="s">
        <v>1081</v>
      </c>
      <c r="V336" s="3"/>
      <c r="W336" s="19" t="str">
        <f>IFERROR(VLOOKUP(Banco_Nacion[[#This Row],[RESPONSABLE]],Clientes_Proveedores[[Ruc / Dni]:[Razon Social]],2,0),"")</f>
        <v>EMPRESA SIDERURGICA DEL PERU S.A.A.</v>
      </c>
      <c r="X336" s="19" t="str">
        <f>IF(Banco_Nacion[[#This Row],[TIPO DE MOV.]]="INGRESO",Banco_Nacion[[#This Row],[SERIE]]&amp;Banco_Nacion[[#This Row],[NUMERO]]&amp;Banco_Nacion[[#This Row],[RESPONSABLE]]&amp;Banco_Nacion[[#This Row],[MONTO ]],"")</f>
        <v>FF0237204028855494163</v>
      </c>
      <c r="Y33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77200285</v>
      </c>
      <c r="Z336" s="3"/>
      <c r="AA336" s="3"/>
      <c r="AB336" s="24" t="str">
        <f>IF(Banco_Nacion[[#This Row],[FECHA]]&gt;0,TEXT(Banco_Nacion[[#This Row],[FECHA]],"mmmm"),0)</f>
        <v>Mayo</v>
      </c>
    </row>
    <row r="337" spans="2:28" x14ac:dyDescent="0.3">
      <c r="B337" s="2">
        <f>IF(Banco_Nacion[[#This Row],[TIPO DE R.]]="R",COUNTIFS($D$4:$D336,"R")+1,"")</f>
        <v>333</v>
      </c>
      <c r="C337" s="19" t="str">
        <f t="shared" si="25"/>
        <v>B-Banco de la Nacion</v>
      </c>
      <c r="D337" s="3" t="s">
        <v>1074</v>
      </c>
      <c r="E337" s="14">
        <v>45793</v>
      </c>
      <c r="F337" s="5">
        <v>20455283915</v>
      </c>
      <c r="G337" s="5" t="s">
        <v>1087</v>
      </c>
      <c r="H337" s="6" t="s">
        <v>368</v>
      </c>
      <c r="I337" s="6"/>
      <c r="J337" s="6" t="s">
        <v>4289</v>
      </c>
      <c r="K337" s="6" t="s">
        <v>4289</v>
      </c>
      <c r="L337" s="7" t="s">
        <v>4290</v>
      </c>
      <c r="M337" s="8">
        <v>77192128</v>
      </c>
      <c r="N337" s="8" t="str">
        <f t="shared" si="26"/>
        <v>PEN</v>
      </c>
      <c r="O337" s="13"/>
      <c r="P337" s="13">
        <v>354</v>
      </c>
      <c r="Q337" s="3">
        <f t="shared" si="27"/>
        <v>354</v>
      </c>
      <c r="R337" s="3">
        <f t="shared" si="28"/>
        <v>0</v>
      </c>
      <c r="S337" s="3">
        <f t="shared" si="29"/>
        <v>50933.220000000008</v>
      </c>
      <c r="T337" s="24"/>
      <c r="U337" s="24"/>
      <c r="V337" s="3"/>
      <c r="W337" s="19" t="str">
        <f>IFERROR(VLOOKUP(Banco_Nacion[[#This Row],[RESPONSABLE]],Clientes_Proveedores[[Ruc / Dni]:[Razon Social]],2,0),"")</f>
        <v>EMPRESA CONSERVADORA AMBIENTAL DEL SUR E.I.R.L. - ECA SUR E.I.R.L.</v>
      </c>
      <c r="X337" s="19" t="str">
        <f>IF(Banco_Nacion[[#This Row],[TIPO DE MOV.]]="INGRESO",Banco_Nacion[[#This Row],[SERIE]]&amp;Banco_Nacion[[#This Row],[NUMERO]]&amp;Banco_Nacion[[#This Row],[RESPONSABLE]]&amp;Banco_Nacion[[#This Row],[MONTO ]],"")</f>
        <v>20455283915354</v>
      </c>
      <c r="Y33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77192128</v>
      </c>
      <c r="Z337" s="3"/>
      <c r="AA337" s="3"/>
      <c r="AB337" s="24" t="str">
        <f>IF(Banco_Nacion[[#This Row],[FECHA]]&gt;0,TEXT(Banco_Nacion[[#This Row],[FECHA]],"mmmm"),0)</f>
        <v>Mayo</v>
      </c>
    </row>
    <row r="338" spans="2:28" x14ac:dyDescent="0.3">
      <c r="B338" s="2">
        <f>IF(Banco_Nacion[[#This Row],[TIPO DE R.]]="R",COUNTIFS($D$4:$D337,"R")+1,"")</f>
        <v>334</v>
      </c>
      <c r="C338" s="19" t="str">
        <f t="shared" si="25"/>
        <v>B-Banco de la Nacion</v>
      </c>
      <c r="D338" s="3" t="s">
        <v>1074</v>
      </c>
      <c r="E338" s="14">
        <v>45793</v>
      </c>
      <c r="F338" s="5">
        <v>20455283915</v>
      </c>
      <c r="G338" s="5" t="s">
        <v>1087</v>
      </c>
      <c r="H338" s="6" t="s">
        <v>368</v>
      </c>
      <c r="I338" s="6"/>
      <c r="J338" s="6" t="s">
        <v>4289</v>
      </c>
      <c r="K338" s="6" t="s">
        <v>4289</v>
      </c>
      <c r="L338" s="7" t="s">
        <v>4290</v>
      </c>
      <c r="M338" s="8">
        <v>77192127</v>
      </c>
      <c r="N338" s="8" t="str">
        <f t="shared" si="26"/>
        <v>PEN</v>
      </c>
      <c r="O338" s="13"/>
      <c r="P338" s="13">
        <v>330</v>
      </c>
      <c r="Q338" s="3">
        <f t="shared" si="27"/>
        <v>330</v>
      </c>
      <c r="R338" s="3">
        <f t="shared" si="28"/>
        <v>0</v>
      </c>
      <c r="S338" s="3">
        <f t="shared" si="29"/>
        <v>51263.220000000008</v>
      </c>
      <c r="T338" s="24"/>
      <c r="U338" s="24"/>
      <c r="V338" s="3"/>
      <c r="W338" s="19" t="str">
        <f>IFERROR(VLOOKUP(Banco_Nacion[[#This Row],[RESPONSABLE]],Clientes_Proveedores[[Ruc / Dni]:[Razon Social]],2,0),"")</f>
        <v>EMPRESA CONSERVADORA AMBIENTAL DEL SUR E.I.R.L. - ECA SUR E.I.R.L.</v>
      </c>
      <c r="X338" s="19" t="str">
        <f>IF(Banco_Nacion[[#This Row],[TIPO DE MOV.]]="INGRESO",Banco_Nacion[[#This Row],[SERIE]]&amp;Banco_Nacion[[#This Row],[NUMERO]]&amp;Banco_Nacion[[#This Row],[RESPONSABLE]]&amp;Banco_Nacion[[#This Row],[MONTO ]],"")</f>
        <v>20455283915330</v>
      </c>
      <c r="Y33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77192127</v>
      </c>
      <c r="Z338" s="3"/>
      <c r="AA338" s="3"/>
      <c r="AB338" s="24" t="str">
        <f>IF(Banco_Nacion[[#This Row],[FECHA]]&gt;0,TEXT(Banco_Nacion[[#This Row],[FECHA]],"mmmm"),0)</f>
        <v>Mayo</v>
      </c>
    </row>
    <row r="339" spans="2:28" x14ac:dyDescent="0.3">
      <c r="B339" s="2">
        <f>IF(Banco_Nacion[[#This Row],[TIPO DE R.]]="R",COUNTIFS($D$4:$D338,"R")+1,"")</f>
        <v>335</v>
      </c>
      <c r="C339" s="19" t="str">
        <f t="shared" si="25"/>
        <v>B-Banco de la Nacion</v>
      </c>
      <c r="D339" s="3" t="s">
        <v>1074</v>
      </c>
      <c r="E339" s="14">
        <v>45793</v>
      </c>
      <c r="F339" s="5">
        <v>20455283915</v>
      </c>
      <c r="G339" s="5" t="s">
        <v>1087</v>
      </c>
      <c r="H339" s="6" t="s">
        <v>368</v>
      </c>
      <c r="I339" s="6"/>
      <c r="J339" s="6" t="s">
        <v>4289</v>
      </c>
      <c r="K339" s="6" t="s">
        <v>4289</v>
      </c>
      <c r="L339" s="7" t="s">
        <v>4290</v>
      </c>
      <c r="M339" s="8">
        <v>77192126</v>
      </c>
      <c r="N339" s="8" t="str">
        <f t="shared" si="26"/>
        <v>PEN</v>
      </c>
      <c r="O339" s="13"/>
      <c r="P339" s="13">
        <v>29</v>
      </c>
      <c r="Q339" s="3">
        <f t="shared" si="27"/>
        <v>29</v>
      </c>
      <c r="R339" s="3">
        <f t="shared" si="28"/>
        <v>0</v>
      </c>
      <c r="S339" s="3">
        <f t="shared" si="29"/>
        <v>51292.220000000008</v>
      </c>
      <c r="T339" s="24"/>
      <c r="U339" s="24"/>
      <c r="V339" s="3"/>
      <c r="W339" s="19" t="str">
        <f>IFERROR(VLOOKUP(Banco_Nacion[[#This Row],[RESPONSABLE]],Clientes_Proveedores[[Ruc / Dni]:[Razon Social]],2,0),"")</f>
        <v>EMPRESA CONSERVADORA AMBIENTAL DEL SUR E.I.R.L. - ECA SUR E.I.R.L.</v>
      </c>
      <c r="X339" s="19" t="str">
        <f>IF(Banco_Nacion[[#This Row],[TIPO DE MOV.]]="INGRESO",Banco_Nacion[[#This Row],[SERIE]]&amp;Banco_Nacion[[#This Row],[NUMERO]]&amp;Banco_Nacion[[#This Row],[RESPONSABLE]]&amp;Banco_Nacion[[#This Row],[MONTO ]],"")</f>
        <v>2045528391529</v>
      </c>
      <c r="Y33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77192126</v>
      </c>
      <c r="Z339" s="3"/>
      <c r="AA339" s="3"/>
      <c r="AB339" s="24" t="str">
        <f>IF(Banco_Nacion[[#This Row],[FECHA]]&gt;0,TEXT(Banco_Nacion[[#This Row],[FECHA]],"mmmm"),0)</f>
        <v>Mayo</v>
      </c>
    </row>
    <row r="340" spans="2:28" x14ac:dyDescent="0.3">
      <c r="B340" s="2">
        <f>IF(Banco_Nacion[[#This Row],[TIPO DE R.]]="R",COUNTIFS($D$4:$D339,"R")+1,"")</f>
        <v>336</v>
      </c>
      <c r="C340" s="19" t="str">
        <f t="shared" si="25"/>
        <v>B-Banco de la Nacion</v>
      </c>
      <c r="D340" s="3" t="s">
        <v>1074</v>
      </c>
      <c r="E340" s="14">
        <v>45793</v>
      </c>
      <c r="F340" s="5">
        <v>20455283915</v>
      </c>
      <c r="G340" s="5" t="s">
        <v>1087</v>
      </c>
      <c r="H340" s="6" t="s">
        <v>368</v>
      </c>
      <c r="I340" s="6"/>
      <c r="J340" s="6" t="s">
        <v>4289</v>
      </c>
      <c r="K340" s="6" t="s">
        <v>4289</v>
      </c>
      <c r="L340" s="7" t="s">
        <v>4290</v>
      </c>
      <c r="M340" s="8">
        <v>77192125</v>
      </c>
      <c r="N340" s="8" t="str">
        <f t="shared" si="26"/>
        <v>PEN</v>
      </c>
      <c r="O340" s="13"/>
      <c r="P340" s="13">
        <v>86</v>
      </c>
      <c r="Q340" s="3">
        <f t="shared" si="27"/>
        <v>86</v>
      </c>
      <c r="R340" s="3">
        <f t="shared" si="28"/>
        <v>0</v>
      </c>
      <c r="S340" s="3">
        <f t="shared" si="29"/>
        <v>51378.220000000008</v>
      </c>
      <c r="T340" s="24"/>
      <c r="U340" s="24"/>
      <c r="V340" s="3"/>
      <c r="W340" s="19" t="str">
        <f>IFERROR(VLOOKUP(Banco_Nacion[[#This Row],[RESPONSABLE]],Clientes_Proveedores[[Ruc / Dni]:[Razon Social]],2,0),"")</f>
        <v>EMPRESA CONSERVADORA AMBIENTAL DEL SUR E.I.R.L. - ECA SUR E.I.R.L.</v>
      </c>
      <c r="X340" s="19" t="str">
        <f>IF(Banco_Nacion[[#This Row],[TIPO DE MOV.]]="INGRESO",Banco_Nacion[[#This Row],[SERIE]]&amp;Banco_Nacion[[#This Row],[NUMERO]]&amp;Banco_Nacion[[#This Row],[RESPONSABLE]]&amp;Banco_Nacion[[#This Row],[MONTO ]],"")</f>
        <v>2045528391586</v>
      </c>
      <c r="Y34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77192125</v>
      </c>
      <c r="Z340" s="3"/>
      <c r="AA340" s="3"/>
      <c r="AB340" s="24" t="str">
        <f>IF(Banco_Nacion[[#This Row],[FECHA]]&gt;0,TEXT(Banco_Nacion[[#This Row],[FECHA]],"mmmm"),0)</f>
        <v>Mayo</v>
      </c>
    </row>
    <row r="341" spans="2:28" x14ac:dyDescent="0.3">
      <c r="B341" s="2">
        <f>IF(Banco_Nacion[[#This Row],[TIPO DE R.]]="R",COUNTIFS($D$4:$D340,"R")+1,"")</f>
        <v>337</v>
      </c>
      <c r="C341" s="19" t="str">
        <f t="shared" si="25"/>
        <v>B-Banco de la Nacion</v>
      </c>
      <c r="D341" s="3" t="s">
        <v>1074</v>
      </c>
      <c r="E341" s="14">
        <v>45793</v>
      </c>
      <c r="F341" s="5">
        <v>20455283915</v>
      </c>
      <c r="G341" s="5" t="s">
        <v>1087</v>
      </c>
      <c r="H341" s="6" t="s">
        <v>368</v>
      </c>
      <c r="I341" s="6"/>
      <c r="J341" s="6" t="s">
        <v>4289</v>
      </c>
      <c r="K341" s="6" t="s">
        <v>4289</v>
      </c>
      <c r="L341" s="7" t="s">
        <v>4290</v>
      </c>
      <c r="M341" s="8">
        <v>77192124</v>
      </c>
      <c r="N341" s="8" t="str">
        <f t="shared" si="26"/>
        <v>PEN</v>
      </c>
      <c r="O341" s="13"/>
      <c r="P341" s="13">
        <v>59</v>
      </c>
      <c r="Q341" s="3">
        <f t="shared" si="27"/>
        <v>59</v>
      </c>
      <c r="R341" s="3">
        <f t="shared" si="28"/>
        <v>0</v>
      </c>
      <c r="S341" s="3">
        <f t="shared" si="29"/>
        <v>51437.220000000008</v>
      </c>
      <c r="T341" s="24"/>
      <c r="U341" s="24"/>
      <c r="V341" s="3"/>
      <c r="W341" s="19" t="str">
        <f>IFERROR(VLOOKUP(Banco_Nacion[[#This Row],[RESPONSABLE]],Clientes_Proveedores[[Ruc / Dni]:[Razon Social]],2,0),"")</f>
        <v>EMPRESA CONSERVADORA AMBIENTAL DEL SUR E.I.R.L. - ECA SUR E.I.R.L.</v>
      </c>
      <c r="X341" s="19" t="str">
        <f>IF(Banco_Nacion[[#This Row],[TIPO DE MOV.]]="INGRESO",Banco_Nacion[[#This Row],[SERIE]]&amp;Banco_Nacion[[#This Row],[NUMERO]]&amp;Banco_Nacion[[#This Row],[RESPONSABLE]]&amp;Banco_Nacion[[#This Row],[MONTO ]],"")</f>
        <v>2045528391559</v>
      </c>
      <c r="Y34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77192124</v>
      </c>
      <c r="Z341" s="3"/>
      <c r="AA341" s="3"/>
      <c r="AB341" s="24" t="str">
        <f>IF(Banco_Nacion[[#This Row],[FECHA]]&gt;0,TEXT(Banco_Nacion[[#This Row],[FECHA]],"mmmm"),0)</f>
        <v>Mayo</v>
      </c>
    </row>
    <row r="342" spans="2:28" x14ac:dyDescent="0.3">
      <c r="B342" s="2">
        <f>IF(Banco_Nacion[[#This Row],[TIPO DE R.]]="R",COUNTIFS($D$4:$D341,"R")+1,"")</f>
        <v>338</v>
      </c>
      <c r="C342" s="19" t="str">
        <f t="shared" si="25"/>
        <v>B-Banco de la Nacion</v>
      </c>
      <c r="D342" s="3" t="s">
        <v>1074</v>
      </c>
      <c r="E342" s="14">
        <v>45793</v>
      </c>
      <c r="F342" s="5">
        <v>20455283915</v>
      </c>
      <c r="G342" s="5" t="s">
        <v>1087</v>
      </c>
      <c r="H342" s="6" t="s">
        <v>368</v>
      </c>
      <c r="I342" s="6"/>
      <c r="J342" s="6" t="s">
        <v>4289</v>
      </c>
      <c r="K342" s="6" t="s">
        <v>4289</v>
      </c>
      <c r="L342" s="7" t="s">
        <v>4290</v>
      </c>
      <c r="M342" s="8">
        <v>77192123</v>
      </c>
      <c r="N342" s="8" t="str">
        <f t="shared" si="26"/>
        <v>PEN</v>
      </c>
      <c r="O342" s="13"/>
      <c r="P342" s="13">
        <v>310</v>
      </c>
      <c r="Q342" s="3">
        <f t="shared" si="27"/>
        <v>310</v>
      </c>
      <c r="R342" s="3">
        <f t="shared" si="28"/>
        <v>0</v>
      </c>
      <c r="S342" s="3">
        <f t="shared" si="29"/>
        <v>51747.220000000008</v>
      </c>
      <c r="T342" s="24"/>
      <c r="U342" s="24"/>
      <c r="V342" s="3"/>
      <c r="W342" s="19" t="str">
        <f>IFERROR(VLOOKUP(Banco_Nacion[[#This Row],[RESPONSABLE]],Clientes_Proveedores[[Ruc / Dni]:[Razon Social]],2,0),"")</f>
        <v>EMPRESA CONSERVADORA AMBIENTAL DEL SUR E.I.R.L. - ECA SUR E.I.R.L.</v>
      </c>
      <c r="X342" s="19" t="str">
        <f>IF(Banco_Nacion[[#This Row],[TIPO DE MOV.]]="INGRESO",Banco_Nacion[[#This Row],[SERIE]]&amp;Banco_Nacion[[#This Row],[NUMERO]]&amp;Banco_Nacion[[#This Row],[RESPONSABLE]]&amp;Banco_Nacion[[#This Row],[MONTO ]],"")</f>
        <v>20455283915310</v>
      </c>
      <c r="Y34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77192123</v>
      </c>
      <c r="Z342" s="3"/>
      <c r="AA342" s="3"/>
      <c r="AB342" s="24" t="str">
        <f>IF(Banco_Nacion[[#This Row],[FECHA]]&gt;0,TEXT(Banco_Nacion[[#This Row],[FECHA]],"mmmm"),0)</f>
        <v>Mayo</v>
      </c>
    </row>
    <row r="343" spans="2:28" x14ac:dyDescent="0.3">
      <c r="B343" s="2">
        <f>IF(Banco_Nacion[[#This Row],[TIPO DE R.]]="R",COUNTIFS($D$4:$D342,"R")+1,"")</f>
        <v>339</v>
      </c>
      <c r="C343" s="19" t="str">
        <f t="shared" si="25"/>
        <v>B-Banco de la Nacion</v>
      </c>
      <c r="D343" s="3" t="s">
        <v>1074</v>
      </c>
      <c r="E343" s="14">
        <v>45793</v>
      </c>
      <c r="F343" s="5">
        <v>20455283915</v>
      </c>
      <c r="G343" s="5" t="s">
        <v>1087</v>
      </c>
      <c r="H343" s="6" t="s">
        <v>368</v>
      </c>
      <c r="I343" s="6"/>
      <c r="J343" s="6" t="s">
        <v>4289</v>
      </c>
      <c r="K343" s="6" t="s">
        <v>4289</v>
      </c>
      <c r="L343" s="7" t="s">
        <v>4290</v>
      </c>
      <c r="M343" s="8">
        <v>77192122</v>
      </c>
      <c r="N343" s="8" t="str">
        <f t="shared" si="26"/>
        <v>PEN</v>
      </c>
      <c r="O343" s="13"/>
      <c r="P343" s="13">
        <v>146</v>
      </c>
      <c r="Q343" s="3">
        <f t="shared" si="27"/>
        <v>146</v>
      </c>
      <c r="R343" s="3">
        <f t="shared" si="28"/>
        <v>0</v>
      </c>
      <c r="S343" s="3">
        <f t="shared" si="29"/>
        <v>51893.220000000008</v>
      </c>
      <c r="T343" s="24"/>
      <c r="U343" s="24"/>
      <c r="V343" s="3"/>
      <c r="W343" s="19" t="str">
        <f>IFERROR(VLOOKUP(Banco_Nacion[[#This Row],[RESPONSABLE]],Clientes_Proveedores[[Ruc / Dni]:[Razon Social]],2,0),"")</f>
        <v>EMPRESA CONSERVADORA AMBIENTAL DEL SUR E.I.R.L. - ECA SUR E.I.R.L.</v>
      </c>
      <c r="X343" s="19" t="str">
        <f>IF(Banco_Nacion[[#This Row],[TIPO DE MOV.]]="INGRESO",Banco_Nacion[[#This Row],[SERIE]]&amp;Banco_Nacion[[#This Row],[NUMERO]]&amp;Banco_Nacion[[#This Row],[RESPONSABLE]]&amp;Banco_Nacion[[#This Row],[MONTO ]],"")</f>
        <v>20455283915146</v>
      </c>
      <c r="Y34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77192122</v>
      </c>
      <c r="Z343" s="3"/>
      <c r="AA343" s="3"/>
      <c r="AB343" s="24" t="str">
        <f>IF(Banco_Nacion[[#This Row],[FECHA]]&gt;0,TEXT(Banco_Nacion[[#This Row],[FECHA]],"mmmm"),0)</f>
        <v>Mayo</v>
      </c>
    </row>
    <row r="344" spans="2:28" x14ac:dyDescent="0.3">
      <c r="B344" s="2">
        <f>IF(Banco_Nacion[[#This Row],[TIPO DE R.]]="R",COUNTIFS($D$4:$D343,"R")+1,"")</f>
        <v>340</v>
      </c>
      <c r="C344" s="19" t="str">
        <f t="shared" si="25"/>
        <v>B-Banco de la Nacion</v>
      </c>
      <c r="D344" s="3" t="s">
        <v>1074</v>
      </c>
      <c r="E344" s="14">
        <v>45793</v>
      </c>
      <c r="F344" s="5">
        <v>20455283915</v>
      </c>
      <c r="G344" s="5" t="s">
        <v>1087</v>
      </c>
      <c r="H344" s="6" t="s">
        <v>368</v>
      </c>
      <c r="I344" s="6"/>
      <c r="J344" s="6" t="s">
        <v>4289</v>
      </c>
      <c r="K344" s="6" t="s">
        <v>4289</v>
      </c>
      <c r="L344" s="7" t="s">
        <v>4290</v>
      </c>
      <c r="M344" s="8">
        <v>77192121</v>
      </c>
      <c r="N344" s="8" t="str">
        <f t="shared" si="26"/>
        <v>PEN</v>
      </c>
      <c r="O344" s="13"/>
      <c r="P344" s="13">
        <v>89</v>
      </c>
      <c r="Q344" s="3">
        <f t="shared" si="27"/>
        <v>89</v>
      </c>
      <c r="R344" s="3">
        <f t="shared" si="28"/>
        <v>0</v>
      </c>
      <c r="S344" s="3">
        <f t="shared" si="29"/>
        <v>51982.220000000008</v>
      </c>
      <c r="T344" s="24"/>
      <c r="U344" s="24"/>
      <c r="V344" s="3"/>
      <c r="W344" s="19" t="str">
        <f>IFERROR(VLOOKUP(Banco_Nacion[[#This Row],[RESPONSABLE]],Clientes_Proveedores[[Ruc / Dni]:[Razon Social]],2,0),"")</f>
        <v>EMPRESA CONSERVADORA AMBIENTAL DEL SUR E.I.R.L. - ECA SUR E.I.R.L.</v>
      </c>
      <c r="X344" s="19" t="str">
        <f>IF(Banco_Nacion[[#This Row],[TIPO DE MOV.]]="INGRESO",Banco_Nacion[[#This Row],[SERIE]]&amp;Banco_Nacion[[#This Row],[NUMERO]]&amp;Banco_Nacion[[#This Row],[RESPONSABLE]]&amp;Banco_Nacion[[#This Row],[MONTO ]],"")</f>
        <v>2045528391589</v>
      </c>
      <c r="Y34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77192121</v>
      </c>
      <c r="Z344" s="3"/>
      <c r="AA344" s="3"/>
      <c r="AB344" s="24" t="str">
        <f>IF(Banco_Nacion[[#This Row],[FECHA]]&gt;0,TEXT(Banco_Nacion[[#This Row],[FECHA]],"mmmm"),0)</f>
        <v>Mayo</v>
      </c>
    </row>
    <row r="345" spans="2:28" x14ac:dyDescent="0.3">
      <c r="B345" s="2">
        <f>IF(Banco_Nacion[[#This Row],[TIPO DE R.]]="R",COUNTIFS($D$4:$D344,"R")+1,"")</f>
        <v>341</v>
      </c>
      <c r="C345" s="19" t="str">
        <f t="shared" si="25"/>
        <v>B-Banco de la Nacion</v>
      </c>
      <c r="D345" s="3" t="s">
        <v>1074</v>
      </c>
      <c r="E345" s="14">
        <v>45793</v>
      </c>
      <c r="F345" s="5">
        <v>20455283915</v>
      </c>
      <c r="G345" s="5" t="s">
        <v>1087</v>
      </c>
      <c r="H345" s="6" t="s">
        <v>368</v>
      </c>
      <c r="I345" s="6"/>
      <c r="J345" s="6" t="s">
        <v>4289</v>
      </c>
      <c r="K345" s="6" t="s">
        <v>4289</v>
      </c>
      <c r="L345" s="7" t="s">
        <v>4290</v>
      </c>
      <c r="M345" s="8">
        <v>77192120</v>
      </c>
      <c r="N345" s="8" t="str">
        <f t="shared" si="26"/>
        <v>PEN</v>
      </c>
      <c r="O345" s="13"/>
      <c r="P345" s="13">
        <v>60</v>
      </c>
      <c r="Q345" s="3">
        <f t="shared" si="27"/>
        <v>60</v>
      </c>
      <c r="R345" s="3">
        <f t="shared" si="28"/>
        <v>0</v>
      </c>
      <c r="S345" s="3">
        <f t="shared" si="29"/>
        <v>52042.220000000008</v>
      </c>
      <c r="T345" s="24"/>
      <c r="U345" s="24"/>
      <c r="V345" s="3"/>
      <c r="W345" s="19" t="str">
        <f>IFERROR(VLOOKUP(Banco_Nacion[[#This Row],[RESPONSABLE]],Clientes_Proveedores[[Ruc / Dni]:[Razon Social]],2,0),"")</f>
        <v>EMPRESA CONSERVADORA AMBIENTAL DEL SUR E.I.R.L. - ECA SUR E.I.R.L.</v>
      </c>
      <c r="X345" s="19" t="str">
        <f>IF(Banco_Nacion[[#This Row],[TIPO DE MOV.]]="INGRESO",Banco_Nacion[[#This Row],[SERIE]]&amp;Banco_Nacion[[#This Row],[NUMERO]]&amp;Banco_Nacion[[#This Row],[RESPONSABLE]]&amp;Banco_Nacion[[#This Row],[MONTO ]],"")</f>
        <v>2045528391560</v>
      </c>
      <c r="Y34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77192120</v>
      </c>
      <c r="Z345" s="3"/>
      <c r="AA345" s="3"/>
      <c r="AB345" s="24" t="str">
        <f>IF(Banco_Nacion[[#This Row],[FECHA]]&gt;0,TEXT(Banco_Nacion[[#This Row],[FECHA]],"mmmm"),0)</f>
        <v>Mayo</v>
      </c>
    </row>
    <row r="346" spans="2:28" x14ac:dyDescent="0.3">
      <c r="B346" s="2">
        <f>IF(Banco_Nacion[[#This Row],[TIPO DE R.]]="R",COUNTIFS($D$4:$D345,"R")+1,"")</f>
        <v>342</v>
      </c>
      <c r="C346" s="19" t="str">
        <f t="shared" si="25"/>
        <v>B-Banco de la Nacion</v>
      </c>
      <c r="D346" s="3" t="s">
        <v>1074</v>
      </c>
      <c r="E346" s="14">
        <v>45793</v>
      </c>
      <c r="F346" s="5">
        <v>20455283915</v>
      </c>
      <c r="G346" s="5" t="s">
        <v>1087</v>
      </c>
      <c r="H346" s="6" t="s">
        <v>368</v>
      </c>
      <c r="I346" s="6"/>
      <c r="J346" s="6" t="s">
        <v>4289</v>
      </c>
      <c r="K346" s="6" t="s">
        <v>4289</v>
      </c>
      <c r="L346" s="7" t="s">
        <v>4290</v>
      </c>
      <c r="M346" s="8">
        <v>77192119</v>
      </c>
      <c r="N346" s="8" t="str">
        <f t="shared" si="26"/>
        <v>PEN</v>
      </c>
      <c r="O346" s="13"/>
      <c r="P346" s="13">
        <v>197</v>
      </c>
      <c r="Q346" s="3">
        <f t="shared" si="27"/>
        <v>197</v>
      </c>
      <c r="R346" s="3">
        <f t="shared" si="28"/>
        <v>0</v>
      </c>
      <c r="S346" s="3">
        <f t="shared" si="29"/>
        <v>52239.220000000008</v>
      </c>
      <c r="T346" s="24"/>
      <c r="U346" s="24"/>
      <c r="V346" s="3"/>
      <c r="W346" s="19" t="str">
        <f>IFERROR(VLOOKUP(Banco_Nacion[[#This Row],[RESPONSABLE]],Clientes_Proveedores[[Ruc / Dni]:[Razon Social]],2,0),"")</f>
        <v>EMPRESA CONSERVADORA AMBIENTAL DEL SUR E.I.R.L. - ECA SUR E.I.R.L.</v>
      </c>
      <c r="X346" s="19" t="str">
        <f>IF(Banco_Nacion[[#This Row],[TIPO DE MOV.]]="INGRESO",Banco_Nacion[[#This Row],[SERIE]]&amp;Banco_Nacion[[#This Row],[NUMERO]]&amp;Banco_Nacion[[#This Row],[RESPONSABLE]]&amp;Banco_Nacion[[#This Row],[MONTO ]],"")</f>
        <v>20455283915197</v>
      </c>
      <c r="Y34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77192119</v>
      </c>
      <c r="Z346" s="3"/>
      <c r="AA346" s="3"/>
      <c r="AB346" s="24" t="str">
        <f>IF(Banco_Nacion[[#This Row],[FECHA]]&gt;0,TEXT(Banco_Nacion[[#This Row],[FECHA]],"mmmm"),0)</f>
        <v>Mayo</v>
      </c>
    </row>
    <row r="347" spans="2:28" x14ac:dyDescent="0.3">
      <c r="B347" s="2">
        <f>IF(Banco_Nacion[[#This Row],[TIPO DE R.]]="R",COUNTIFS($D$4:$D346,"R")+1,"")</f>
        <v>343</v>
      </c>
      <c r="C347" s="19" t="str">
        <f t="shared" si="25"/>
        <v>B-Banco de la Nacion</v>
      </c>
      <c r="D347" s="3" t="s">
        <v>1074</v>
      </c>
      <c r="E347" s="14">
        <v>45793</v>
      </c>
      <c r="F347" s="5">
        <v>20120788389</v>
      </c>
      <c r="G347" s="5" t="s">
        <v>1087</v>
      </c>
      <c r="H347" s="6" t="s">
        <v>368</v>
      </c>
      <c r="I347" s="6"/>
      <c r="J347" s="6" t="s">
        <v>4289</v>
      </c>
      <c r="K347" s="6" t="s">
        <v>4289</v>
      </c>
      <c r="L347" s="7" t="s">
        <v>4290</v>
      </c>
      <c r="M347" s="8">
        <v>77187792</v>
      </c>
      <c r="N347" s="8" t="str">
        <f t="shared" si="26"/>
        <v>PEN</v>
      </c>
      <c r="O347" s="13"/>
      <c r="P347" s="13">
        <v>95</v>
      </c>
      <c r="Q347" s="3">
        <f t="shared" si="27"/>
        <v>95</v>
      </c>
      <c r="R347" s="3">
        <f t="shared" si="28"/>
        <v>0</v>
      </c>
      <c r="S347" s="3">
        <f t="shared" si="29"/>
        <v>52334.220000000008</v>
      </c>
      <c r="T347" s="24"/>
      <c r="U347" s="24"/>
      <c r="V347" s="3"/>
      <c r="W347" s="19" t="str">
        <f>IFERROR(VLOOKUP(Banco_Nacion[[#This Row],[RESPONSABLE]],Clientes_Proveedores[[Ruc / Dni]:[Razon Social]],2,0),"")</f>
        <v>CARMEN INMUEBLES S.A.</v>
      </c>
      <c r="X347" s="19" t="str">
        <f>IF(Banco_Nacion[[#This Row],[TIPO DE MOV.]]="INGRESO",Banco_Nacion[[#This Row],[SERIE]]&amp;Banco_Nacion[[#This Row],[NUMERO]]&amp;Banco_Nacion[[#This Row],[RESPONSABLE]]&amp;Banco_Nacion[[#This Row],[MONTO ]],"")</f>
        <v>2012078838995</v>
      </c>
      <c r="Y34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77187792</v>
      </c>
      <c r="Z347" s="3"/>
      <c r="AA347" s="3"/>
      <c r="AB347" s="24" t="str">
        <f>IF(Banco_Nacion[[#This Row],[FECHA]]&gt;0,TEXT(Banco_Nacion[[#This Row],[FECHA]],"mmmm"),0)</f>
        <v>Mayo</v>
      </c>
    </row>
    <row r="348" spans="2:28" x14ac:dyDescent="0.3">
      <c r="B348" s="2">
        <f>IF(Banco_Nacion[[#This Row],[TIPO DE R.]]="R",COUNTIFS($D$4:$D347,"R")+1,"")</f>
        <v>344</v>
      </c>
      <c r="C348" s="19" t="str">
        <f t="shared" si="25"/>
        <v>B-Banco de la Nacion</v>
      </c>
      <c r="D348" s="3" t="s">
        <v>1074</v>
      </c>
      <c r="E348" s="14">
        <v>45796</v>
      </c>
      <c r="F348" s="5">
        <v>20170040938</v>
      </c>
      <c r="G348" s="5" t="s">
        <v>1087</v>
      </c>
      <c r="H348" s="6" t="s">
        <v>368</v>
      </c>
      <c r="I348" s="6"/>
      <c r="J348" s="6" t="s">
        <v>4289</v>
      </c>
      <c r="K348" s="6" t="s">
        <v>4289</v>
      </c>
      <c r="L348" s="7" t="s">
        <v>4290</v>
      </c>
      <c r="M348" s="8">
        <v>77345686</v>
      </c>
      <c r="N348" s="8" t="str">
        <f t="shared" si="26"/>
        <v>PEN</v>
      </c>
      <c r="O348" s="13"/>
      <c r="P348" s="13">
        <v>1142</v>
      </c>
      <c r="Q348" s="3">
        <f t="shared" si="27"/>
        <v>1142</v>
      </c>
      <c r="R348" s="3">
        <f t="shared" si="28"/>
        <v>0</v>
      </c>
      <c r="S348" s="3">
        <f t="shared" si="29"/>
        <v>53476.220000000008</v>
      </c>
      <c r="T348" s="24"/>
      <c r="U348" s="24"/>
      <c r="V348" s="3"/>
      <c r="W348" s="19" t="str">
        <f>IFERROR(VLOOKUP(Banco_Nacion[[#This Row],[RESPONSABLE]],Clientes_Proveedores[[Ruc / Dni]:[Razon Social]],2,0),"")</f>
        <v>DANPER TRUJILLO S.A.C</v>
      </c>
      <c r="X348" s="19" t="str">
        <f>IF(Banco_Nacion[[#This Row],[TIPO DE MOV.]]="INGRESO",Banco_Nacion[[#This Row],[SERIE]]&amp;Banco_Nacion[[#This Row],[NUMERO]]&amp;Banco_Nacion[[#This Row],[RESPONSABLE]]&amp;Banco_Nacion[[#This Row],[MONTO ]],"")</f>
        <v>201700409381142</v>
      </c>
      <c r="Y34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77345686</v>
      </c>
      <c r="Z348" s="3"/>
      <c r="AA348" s="3"/>
      <c r="AB348" s="24" t="str">
        <f>IF(Banco_Nacion[[#This Row],[FECHA]]&gt;0,TEXT(Banco_Nacion[[#This Row],[FECHA]],"mmmm"),0)</f>
        <v>Mayo</v>
      </c>
    </row>
    <row r="349" spans="2:28" x14ac:dyDescent="0.3">
      <c r="B349" s="2">
        <f>IF(Banco_Nacion[[#This Row],[TIPO DE R.]]="R",COUNTIFS($D$4:$D348,"R")+1,"")</f>
        <v>345</v>
      </c>
      <c r="C349" s="19" t="str">
        <f t="shared" si="25"/>
        <v>B-Banco de la Nacion</v>
      </c>
      <c r="D349" s="3" t="s">
        <v>1074</v>
      </c>
      <c r="E349" s="14">
        <v>45797</v>
      </c>
      <c r="F349" s="5" t="s">
        <v>4289</v>
      </c>
      <c r="G349" s="5" t="s">
        <v>1087</v>
      </c>
      <c r="H349" s="6" t="s">
        <v>368</v>
      </c>
      <c r="I349" s="6"/>
      <c r="J349" s="6" t="s">
        <v>4289</v>
      </c>
      <c r="K349" s="6" t="s">
        <v>4289</v>
      </c>
      <c r="L349" s="7" t="s">
        <v>4290</v>
      </c>
      <c r="M349" s="8">
        <v>26982667</v>
      </c>
      <c r="N349" s="8" t="str">
        <f t="shared" si="26"/>
        <v>PEN</v>
      </c>
      <c r="O349" s="13"/>
      <c r="P349" s="13">
        <v>88</v>
      </c>
      <c r="Q349" s="3">
        <f t="shared" si="27"/>
        <v>88</v>
      </c>
      <c r="R349" s="3">
        <f t="shared" si="28"/>
        <v>0</v>
      </c>
      <c r="S349" s="3">
        <f t="shared" si="29"/>
        <v>53564.220000000008</v>
      </c>
      <c r="T349" s="24"/>
      <c r="U349" s="24"/>
      <c r="V349" s="3"/>
      <c r="W349" s="19" t="str">
        <f>IFERROR(VLOOKUP(Banco_Nacion[[#This Row],[RESPONSABLE]],Clientes_Proveedores[[Ruc / Dni]:[Razon Social]],2,0),"")</f>
        <v/>
      </c>
      <c r="X349" s="19" t="str">
        <f>IF(Banco_Nacion[[#This Row],[TIPO DE MOV.]]="INGRESO",Banco_Nacion[[#This Row],[SERIE]]&amp;Banco_Nacion[[#This Row],[NUMERO]]&amp;Banco_Nacion[[#This Row],[RESPONSABLE]]&amp;Banco_Nacion[[#This Row],[MONTO ]],"")</f>
        <v>88</v>
      </c>
      <c r="Y34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26982667</v>
      </c>
      <c r="Z349" s="3"/>
      <c r="AA349" s="3"/>
      <c r="AB349" s="24" t="str">
        <f>IF(Banco_Nacion[[#This Row],[FECHA]]&gt;0,TEXT(Banco_Nacion[[#This Row],[FECHA]],"mmmm"),0)</f>
        <v>Mayo</v>
      </c>
    </row>
    <row r="350" spans="2:28" x14ac:dyDescent="0.3">
      <c r="B350" s="2">
        <f>IF(Banco_Nacion[[#This Row],[TIPO DE R.]]="R",COUNTIFS($D$4:$D349,"R")+1,"")</f>
        <v>346</v>
      </c>
      <c r="C350" s="19" t="str">
        <f t="shared" si="25"/>
        <v>B-Banco de la Nacion</v>
      </c>
      <c r="D350" s="3" t="s">
        <v>1074</v>
      </c>
      <c r="E350" s="14">
        <v>45797</v>
      </c>
      <c r="F350" s="5" t="s">
        <v>4289</v>
      </c>
      <c r="G350" s="5" t="s">
        <v>1079</v>
      </c>
      <c r="H350" s="6"/>
      <c r="I350" s="6"/>
      <c r="J350" s="6" t="s">
        <v>4289</v>
      </c>
      <c r="K350" s="6" t="s">
        <v>4289</v>
      </c>
      <c r="L350" s="7" t="s">
        <v>4292</v>
      </c>
      <c r="M350" s="8">
        <v>31415161</v>
      </c>
      <c r="N350" s="8" t="str">
        <f t="shared" si="26"/>
        <v>PEN</v>
      </c>
      <c r="O350" s="13"/>
      <c r="P350" s="13">
        <v>197</v>
      </c>
      <c r="Q350" s="3">
        <f t="shared" si="27"/>
        <v>0</v>
      </c>
      <c r="R350" s="3">
        <f t="shared" si="28"/>
        <v>197</v>
      </c>
      <c r="S350" s="3">
        <f t="shared" si="29"/>
        <v>53367.220000000008</v>
      </c>
      <c r="T350" s="24"/>
      <c r="U350" s="24"/>
      <c r="V350" s="3"/>
      <c r="W350" s="19" t="str">
        <f>IFERROR(VLOOKUP(Banco_Nacion[[#This Row],[RESPONSABLE]],Clientes_Proveedores[[Ruc / Dni]:[Razon Social]],2,0),"")</f>
        <v/>
      </c>
      <c r="X35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5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50" s="3"/>
      <c r="AA350" s="3"/>
      <c r="AB350" s="24" t="str">
        <f>IF(Banco_Nacion[[#This Row],[FECHA]]&gt;0,TEXT(Banco_Nacion[[#This Row],[FECHA]],"mmmm"),0)</f>
        <v>Mayo</v>
      </c>
    </row>
    <row r="351" spans="2:28" x14ac:dyDescent="0.3">
      <c r="B351" s="2">
        <f>IF(Banco_Nacion[[#This Row],[TIPO DE R.]]="R",COUNTIFS($D$4:$D350,"R")+1,"")</f>
        <v>347</v>
      </c>
      <c r="C351" s="19" t="str">
        <f t="shared" si="25"/>
        <v>B-Banco de la Nacion</v>
      </c>
      <c r="D351" s="3" t="s">
        <v>1074</v>
      </c>
      <c r="E351" s="14">
        <v>45797</v>
      </c>
      <c r="F351" s="5" t="s">
        <v>4289</v>
      </c>
      <c r="G351" s="5" t="s">
        <v>1079</v>
      </c>
      <c r="H351" s="6"/>
      <c r="I351" s="6"/>
      <c r="J351" s="6" t="s">
        <v>4289</v>
      </c>
      <c r="K351" s="6" t="s">
        <v>4289</v>
      </c>
      <c r="L351" s="7" t="s">
        <v>4292</v>
      </c>
      <c r="M351" s="8">
        <v>31415161</v>
      </c>
      <c r="N351" s="8" t="str">
        <f t="shared" si="26"/>
        <v>PEN</v>
      </c>
      <c r="O351" s="13"/>
      <c r="P351" s="13">
        <v>86</v>
      </c>
      <c r="Q351" s="3">
        <f t="shared" si="27"/>
        <v>0</v>
      </c>
      <c r="R351" s="3">
        <f t="shared" si="28"/>
        <v>86</v>
      </c>
      <c r="S351" s="3">
        <f t="shared" si="29"/>
        <v>53281.220000000008</v>
      </c>
      <c r="T351" s="24"/>
      <c r="U351" s="24"/>
      <c r="V351" s="3"/>
      <c r="W351" s="19" t="str">
        <f>IFERROR(VLOOKUP(Banco_Nacion[[#This Row],[RESPONSABLE]],Clientes_Proveedores[[Ruc / Dni]:[Razon Social]],2,0),"")</f>
        <v/>
      </c>
      <c r="X35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5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51" s="3"/>
      <c r="AA351" s="3"/>
      <c r="AB351" s="24" t="str">
        <f>IF(Banco_Nacion[[#This Row],[FECHA]]&gt;0,TEXT(Banco_Nacion[[#This Row],[FECHA]],"mmmm"),0)</f>
        <v>Mayo</v>
      </c>
    </row>
    <row r="352" spans="2:28" x14ac:dyDescent="0.3">
      <c r="B352" s="2">
        <f>IF(Banco_Nacion[[#This Row],[TIPO DE R.]]="R",COUNTIFS($D$4:$D351,"R")+1,"")</f>
        <v>348</v>
      </c>
      <c r="C352" s="19" t="str">
        <f t="shared" si="25"/>
        <v>B-Banco de la Nacion</v>
      </c>
      <c r="D352" s="3" t="s">
        <v>1074</v>
      </c>
      <c r="E352" s="14">
        <v>45797</v>
      </c>
      <c r="F352" s="5" t="s">
        <v>4289</v>
      </c>
      <c r="G352" s="5" t="s">
        <v>1079</v>
      </c>
      <c r="H352" s="6"/>
      <c r="I352" s="6"/>
      <c r="J352" s="6" t="s">
        <v>4289</v>
      </c>
      <c r="K352" s="6" t="s">
        <v>4289</v>
      </c>
      <c r="L352" s="7" t="s">
        <v>4292</v>
      </c>
      <c r="M352" s="8">
        <v>31415161</v>
      </c>
      <c r="N352" s="8" t="str">
        <f t="shared" si="26"/>
        <v>PEN</v>
      </c>
      <c r="O352" s="13"/>
      <c r="P352" s="13">
        <v>354</v>
      </c>
      <c r="Q352" s="3">
        <f t="shared" si="27"/>
        <v>0</v>
      </c>
      <c r="R352" s="3">
        <f t="shared" si="28"/>
        <v>354</v>
      </c>
      <c r="S352" s="3">
        <f t="shared" si="29"/>
        <v>52927.220000000008</v>
      </c>
      <c r="T352" s="24"/>
      <c r="U352" s="24"/>
      <c r="V352" s="3"/>
      <c r="W352" s="19" t="str">
        <f>IFERROR(VLOOKUP(Banco_Nacion[[#This Row],[RESPONSABLE]],Clientes_Proveedores[[Ruc / Dni]:[Razon Social]],2,0),"")</f>
        <v/>
      </c>
      <c r="X35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5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52" s="3"/>
      <c r="AA352" s="3"/>
      <c r="AB352" s="24" t="str">
        <f>IF(Banco_Nacion[[#This Row],[FECHA]]&gt;0,TEXT(Banco_Nacion[[#This Row],[FECHA]],"mmmm"),0)</f>
        <v>Mayo</v>
      </c>
    </row>
    <row r="353" spans="2:28" x14ac:dyDescent="0.3">
      <c r="B353" s="2">
        <f>IF(Banco_Nacion[[#This Row],[TIPO DE R.]]="R",COUNTIFS($D$4:$D352,"R")+1,"")</f>
        <v>349</v>
      </c>
      <c r="C353" s="19" t="str">
        <f t="shared" si="25"/>
        <v>B-Banco de la Nacion</v>
      </c>
      <c r="D353" s="3" t="s">
        <v>1074</v>
      </c>
      <c r="E353" s="14">
        <v>45797</v>
      </c>
      <c r="F353" s="5" t="s">
        <v>4289</v>
      </c>
      <c r="G353" s="5" t="s">
        <v>1079</v>
      </c>
      <c r="H353" s="6"/>
      <c r="I353" s="6"/>
      <c r="J353" s="6" t="s">
        <v>4289</v>
      </c>
      <c r="K353" s="6" t="s">
        <v>4289</v>
      </c>
      <c r="L353" s="7" t="s">
        <v>4292</v>
      </c>
      <c r="M353" s="8">
        <v>31415161</v>
      </c>
      <c r="N353" s="8" t="str">
        <f t="shared" si="26"/>
        <v>PEN</v>
      </c>
      <c r="O353" s="13"/>
      <c r="P353" s="13">
        <v>59</v>
      </c>
      <c r="Q353" s="3">
        <f t="shared" si="27"/>
        <v>0</v>
      </c>
      <c r="R353" s="3">
        <f t="shared" si="28"/>
        <v>59</v>
      </c>
      <c r="S353" s="3">
        <f t="shared" si="29"/>
        <v>52868.220000000008</v>
      </c>
      <c r="T353" s="24"/>
      <c r="U353" s="24"/>
      <c r="V353" s="3"/>
      <c r="W353" s="19" t="str">
        <f>IFERROR(VLOOKUP(Banco_Nacion[[#This Row],[RESPONSABLE]],Clientes_Proveedores[[Ruc / Dni]:[Razon Social]],2,0),"")</f>
        <v/>
      </c>
      <c r="X35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5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53" s="3"/>
      <c r="AA353" s="3"/>
      <c r="AB353" s="24" t="str">
        <f>IF(Banco_Nacion[[#This Row],[FECHA]]&gt;0,TEXT(Banco_Nacion[[#This Row],[FECHA]],"mmmm"),0)</f>
        <v>Mayo</v>
      </c>
    </row>
    <row r="354" spans="2:28" x14ac:dyDescent="0.3">
      <c r="B354" s="2">
        <f>IF(Banco_Nacion[[#This Row],[TIPO DE R.]]="R",COUNTIFS($D$4:$D353,"R")+1,"")</f>
        <v>350</v>
      </c>
      <c r="C354" s="19" t="str">
        <f t="shared" si="25"/>
        <v>B-Banco de la Nacion</v>
      </c>
      <c r="D354" s="3" t="s">
        <v>1074</v>
      </c>
      <c r="E354" s="14">
        <v>45797</v>
      </c>
      <c r="F354" s="5" t="s">
        <v>4289</v>
      </c>
      <c r="G354" s="5" t="s">
        <v>1079</v>
      </c>
      <c r="H354" s="6"/>
      <c r="I354" s="6"/>
      <c r="J354" s="6" t="s">
        <v>4289</v>
      </c>
      <c r="K354" s="6" t="s">
        <v>4289</v>
      </c>
      <c r="L354" s="7" t="s">
        <v>4292</v>
      </c>
      <c r="M354" s="8">
        <v>31415161</v>
      </c>
      <c r="N354" s="8" t="str">
        <f t="shared" si="26"/>
        <v>PEN</v>
      </c>
      <c r="O354" s="13"/>
      <c r="P354" s="13">
        <v>95</v>
      </c>
      <c r="Q354" s="3">
        <f t="shared" si="27"/>
        <v>0</v>
      </c>
      <c r="R354" s="3">
        <f t="shared" si="28"/>
        <v>95</v>
      </c>
      <c r="S354" s="3">
        <f t="shared" si="29"/>
        <v>52773.220000000008</v>
      </c>
      <c r="T354" s="24"/>
      <c r="U354" s="24"/>
      <c r="V354" s="3"/>
      <c r="W354" s="19" t="str">
        <f>IFERROR(VLOOKUP(Banco_Nacion[[#This Row],[RESPONSABLE]],Clientes_Proveedores[[Ruc / Dni]:[Razon Social]],2,0),"")</f>
        <v/>
      </c>
      <c r="X35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5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54" s="3"/>
      <c r="AA354" s="3"/>
      <c r="AB354" s="24" t="str">
        <f>IF(Banco_Nacion[[#This Row],[FECHA]]&gt;0,TEXT(Banco_Nacion[[#This Row],[FECHA]],"mmmm"),0)</f>
        <v>Mayo</v>
      </c>
    </row>
    <row r="355" spans="2:28" x14ac:dyDescent="0.3">
      <c r="B355" s="2">
        <f>IF(Banco_Nacion[[#This Row],[TIPO DE R.]]="R",COUNTIFS($D$4:$D354,"R")+1,"")</f>
        <v>351</v>
      </c>
      <c r="C355" s="19" t="str">
        <f t="shared" si="25"/>
        <v>B-Banco de la Nacion</v>
      </c>
      <c r="D355" s="3" t="s">
        <v>1074</v>
      </c>
      <c r="E355" s="14">
        <v>45797</v>
      </c>
      <c r="F355" s="5" t="s">
        <v>4289</v>
      </c>
      <c r="G355" s="5" t="s">
        <v>1079</v>
      </c>
      <c r="H355" s="6"/>
      <c r="I355" s="6"/>
      <c r="J355" s="6" t="s">
        <v>4289</v>
      </c>
      <c r="K355" s="6" t="s">
        <v>4289</v>
      </c>
      <c r="L355" s="7" t="s">
        <v>4292</v>
      </c>
      <c r="M355" s="8">
        <v>31415161</v>
      </c>
      <c r="N355" s="8" t="str">
        <f t="shared" si="26"/>
        <v>PEN</v>
      </c>
      <c r="O355" s="13"/>
      <c r="P355" s="13">
        <v>89</v>
      </c>
      <c r="Q355" s="3">
        <f t="shared" si="27"/>
        <v>0</v>
      </c>
      <c r="R355" s="3">
        <f t="shared" si="28"/>
        <v>89</v>
      </c>
      <c r="S355" s="3">
        <f t="shared" si="29"/>
        <v>52684.220000000008</v>
      </c>
      <c r="T355" s="24"/>
      <c r="U355" s="24"/>
      <c r="V355" s="3"/>
      <c r="W355" s="19" t="str">
        <f>IFERROR(VLOOKUP(Banco_Nacion[[#This Row],[RESPONSABLE]],Clientes_Proveedores[[Ruc / Dni]:[Razon Social]],2,0),"")</f>
        <v/>
      </c>
      <c r="X35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5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55" s="3"/>
      <c r="AA355" s="3"/>
      <c r="AB355" s="24" t="str">
        <f>IF(Banco_Nacion[[#This Row],[FECHA]]&gt;0,TEXT(Banco_Nacion[[#This Row],[FECHA]],"mmmm"),0)</f>
        <v>Mayo</v>
      </c>
    </row>
    <row r="356" spans="2:28" x14ac:dyDescent="0.3">
      <c r="B356" s="2">
        <f>IF(Banco_Nacion[[#This Row],[TIPO DE R.]]="R",COUNTIFS($D$4:$D355,"R")+1,"")</f>
        <v>352</v>
      </c>
      <c r="C356" s="19" t="str">
        <f t="shared" si="25"/>
        <v>B-Banco de la Nacion</v>
      </c>
      <c r="D356" s="3" t="s">
        <v>1074</v>
      </c>
      <c r="E356" s="14">
        <v>45797</v>
      </c>
      <c r="F356" s="5" t="s">
        <v>4289</v>
      </c>
      <c r="G356" s="5" t="s">
        <v>1079</v>
      </c>
      <c r="H356" s="6"/>
      <c r="I356" s="6"/>
      <c r="J356" s="6" t="s">
        <v>4289</v>
      </c>
      <c r="K356" s="6" t="s">
        <v>4289</v>
      </c>
      <c r="L356" s="7" t="s">
        <v>4292</v>
      </c>
      <c r="M356" s="8">
        <v>31415161</v>
      </c>
      <c r="N356" s="8" t="str">
        <f t="shared" si="26"/>
        <v>PEN</v>
      </c>
      <c r="O356" s="13"/>
      <c r="P356" s="13">
        <v>310</v>
      </c>
      <c r="Q356" s="3">
        <f t="shared" si="27"/>
        <v>0</v>
      </c>
      <c r="R356" s="3">
        <f t="shared" si="28"/>
        <v>310</v>
      </c>
      <c r="S356" s="3">
        <f t="shared" si="29"/>
        <v>52374.220000000008</v>
      </c>
      <c r="T356" s="24"/>
      <c r="U356" s="24"/>
      <c r="V356" s="3"/>
      <c r="W356" s="19" t="str">
        <f>IFERROR(VLOOKUP(Banco_Nacion[[#This Row],[RESPONSABLE]],Clientes_Proveedores[[Ruc / Dni]:[Razon Social]],2,0),"")</f>
        <v/>
      </c>
      <c r="X35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5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56" s="3"/>
      <c r="AA356" s="3"/>
      <c r="AB356" s="24" t="str">
        <f>IF(Banco_Nacion[[#This Row],[FECHA]]&gt;0,TEXT(Banco_Nacion[[#This Row],[FECHA]],"mmmm"),0)</f>
        <v>Mayo</v>
      </c>
    </row>
    <row r="357" spans="2:28" x14ac:dyDescent="0.3">
      <c r="B357" s="2">
        <f>IF(Banco_Nacion[[#This Row],[TIPO DE R.]]="R",COUNTIFS($D$4:$D356,"R")+1,"")</f>
        <v>353</v>
      </c>
      <c r="C357" s="19" t="str">
        <f t="shared" si="25"/>
        <v>B-Banco de la Nacion</v>
      </c>
      <c r="D357" s="3" t="s">
        <v>1074</v>
      </c>
      <c r="E357" s="14">
        <v>45797</v>
      </c>
      <c r="F357" s="5" t="s">
        <v>4289</v>
      </c>
      <c r="G357" s="5" t="s">
        <v>1079</v>
      </c>
      <c r="H357" s="6"/>
      <c r="I357" s="6"/>
      <c r="J357" s="6" t="s">
        <v>4289</v>
      </c>
      <c r="K357" s="6" t="s">
        <v>4289</v>
      </c>
      <c r="L357" s="7" t="s">
        <v>4292</v>
      </c>
      <c r="M357" s="8">
        <v>31415161</v>
      </c>
      <c r="N357" s="8" t="str">
        <f t="shared" si="26"/>
        <v>PEN</v>
      </c>
      <c r="O357" s="13"/>
      <c r="P357" s="13">
        <v>146</v>
      </c>
      <c r="Q357" s="3">
        <f t="shared" si="27"/>
        <v>0</v>
      </c>
      <c r="R357" s="3">
        <f t="shared" si="28"/>
        <v>146</v>
      </c>
      <c r="S357" s="3">
        <f t="shared" si="29"/>
        <v>52228.220000000008</v>
      </c>
      <c r="T357" s="24"/>
      <c r="U357" s="24"/>
      <c r="V357" s="3"/>
      <c r="W357" s="19" t="str">
        <f>IFERROR(VLOOKUP(Banco_Nacion[[#This Row],[RESPONSABLE]],Clientes_Proveedores[[Ruc / Dni]:[Razon Social]],2,0),"")</f>
        <v/>
      </c>
      <c r="X35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5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57" s="3"/>
      <c r="AA357" s="3"/>
      <c r="AB357" s="24" t="str">
        <f>IF(Banco_Nacion[[#This Row],[FECHA]]&gt;0,TEXT(Banco_Nacion[[#This Row],[FECHA]],"mmmm"),0)</f>
        <v>Mayo</v>
      </c>
    </row>
    <row r="358" spans="2:28" x14ac:dyDescent="0.3">
      <c r="B358" s="2">
        <f>IF(Banco_Nacion[[#This Row],[TIPO DE R.]]="R",COUNTIFS($D$4:$D357,"R")+1,"")</f>
        <v>354</v>
      </c>
      <c r="C358" s="19" t="str">
        <f t="shared" si="25"/>
        <v>B-Banco de la Nacion</v>
      </c>
      <c r="D358" s="3" t="s">
        <v>1074</v>
      </c>
      <c r="E358" s="14">
        <v>45797</v>
      </c>
      <c r="F358" s="5" t="s">
        <v>4289</v>
      </c>
      <c r="G358" s="5" t="s">
        <v>1079</v>
      </c>
      <c r="H358" s="6"/>
      <c r="I358" s="6"/>
      <c r="J358" s="6" t="s">
        <v>4289</v>
      </c>
      <c r="K358" s="6" t="s">
        <v>4289</v>
      </c>
      <c r="L358" s="7" t="s">
        <v>4292</v>
      </c>
      <c r="M358" s="8">
        <v>31415161</v>
      </c>
      <c r="N358" s="8" t="str">
        <f t="shared" si="26"/>
        <v>PEN</v>
      </c>
      <c r="O358" s="13"/>
      <c r="P358" s="13">
        <v>60</v>
      </c>
      <c r="Q358" s="3">
        <f t="shared" si="27"/>
        <v>0</v>
      </c>
      <c r="R358" s="3">
        <f t="shared" si="28"/>
        <v>60</v>
      </c>
      <c r="S358" s="3">
        <f t="shared" si="29"/>
        <v>52168.220000000008</v>
      </c>
      <c r="T358" s="24"/>
      <c r="U358" s="24"/>
      <c r="V358" s="3"/>
      <c r="W358" s="19" t="str">
        <f>IFERROR(VLOOKUP(Banco_Nacion[[#This Row],[RESPONSABLE]],Clientes_Proveedores[[Ruc / Dni]:[Razon Social]],2,0),"")</f>
        <v/>
      </c>
      <c r="X35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5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58" s="3"/>
      <c r="AA358" s="3"/>
      <c r="AB358" s="24" t="str">
        <f>IF(Banco_Nacion[[#This Row],[FECHA]]&gt;0,TEXT(Banco_Nacion[[#This Row],[FECHA]],"mmmm"),0)</f>
        <v>Mayo</v>
      </c>
    </row>
    <row r="359" spans="2:28" x14ac:dyDescent="0.3">
      <c r="B359" s="2">
        <f>IF(Banco_Nacion[[#This Row],[TIPO DE R.]]="R",COUNTIFS($D$4:$D358,"R")+1,"")</f>
        <v>355</v>
      </c>
      <c r="C359" s="19" t="str">
        <f t="shared" si="25"/>
        <v>B-Banco de la Nacion</v>
      </c>
      <c r="D359" s="3" t="s">
        <v>1074</v>
      </c>
      <c r="E359" s="14">
        <v>45797</v>
      </c>
      <c r="F359" s="5" t="s">
        <v>4289</v>
      </c>
      <c r="G359" s="5" t="s">
        <v>1079</v>
      </c>
      <c r="H359" s="6"/>
      <c r="I359" s="6"/>
      <c r="J359" s="6" t="s">
        <v>4289</v>
      </c>
      <c r="K359" s="6" t="s">
        <v>4289</v>
      </c>
      <c r="L359" s="7" t="s">
        <v>4292</v>
      </c>
      <c r="M359" s="8">
        <v>31415161</v>
      </c>
      <c r="N359" s="8" t="str">
        <f t="shared" si="26"/>
        <v>PEN</v>
      </c>
      <c r="O359" s="13"/>
      <c r="P359" s="13">
        <v>330</v>
      </c>
      <c r="Q359" s="3">
        <f t="shared" si="27"/>
        <v>0</v>
      </c>
      <c r="R359" s="3">
        <f t="shared" si="28"/>
        <v>330</v>
      </c>
      <c r="S359" s="3">
        <f t="shared" si="29"/>
        <v>51838.220000000008</v>
      </c>
      <c r="T359" s="24"/>
      <c r="U359" s="24"/>
      <c r="V359" s="3"/>
      <c r="W359" s="19" t="str">
        <f>IFERROR(VLOOKUP(Banco_Nacion[[#This Row],[RESPONSABLE]],Clientes_Proveedores[[Ruc / Dni]:[Razon Social]],2,0),"")</f>
        <v/>
      </c>
      <c r="X35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5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59" s="3"/>
      <c r="AA359" s="3"/>
      <c r="AB359" s="24" t="str">
        <f>IF(Banco_Nacion[[#This Row],[FECHA]]&gt;0,TEXT(Banco_Nacion[[#This Row],[FECHA]],"mmmm"),0)</f>
        <v>Mayo</v>
      </c>
    </row>
    <row r="360" spans="2:28" x14ac:dyDescent="0.3">
      <c r="B360" s="2">
        <f>IF(Banco_Nacion[[#This Row],[TIPO DE R.]]="R",COUNTIFS($D$4:$D359,"R")+1,"")</f>
        <v>356</v>
      </c>
      <c r="C360" s="19" t="str">
        <f t="shared" si="25"/>
        <v>B-Banco de la Nacion</v>
      </c>
      <c r="D360" s="3" t="s">
        <v>1074</v>
      </c>
      <c r="E360" s="14">
        <v>45797</v>
      </c>
      <c r="F360" s="5" t="s">
        <v>4289</v>
      </c>
      <c r="G360" s="5" t="s">
        <v>1079</v>
      </c>
      <c r="H360" s="6"/>
      <c r="I360" s="6"/>
      <c r="J360" s="6" t="s">
        <v>4289</v>
      </c>
      <c r="K360" s="6" t="s">
        <v>4289</v>
      </c>
      <c r="L360" s="7" t="s">
        <v>4292</v>
      </c>
      <c r="M360" s="8">
        <v>31415161</v>
      </c>
      <c r="N360" s="8" t="str">
        <f t="shared" si="26"/>
        <v>PEN</v>
      </c>
      <c r="O360" s="13"/>
      <c r="P360" s="13">
        <v>29</v>
      </c>
      <c r="Q360" s="3">
        <f t="shared" si="27"/>
        <v>0</v>
      </c>
      <c r="R360" s="3">
        <f t="shared" si="28"/>
        <v>29</v>
      </c>
      <c r="S360" s="3">
        <f t="shared" si="29"/>
        <v>51809.220000000008</v>
      </c>
      <c r="T360" s="24"/>
      <c r="U360" s="24"/>
      <c r="V360" s="3"/>
      <c r="W360" s="19" t="str">
        <f>IFERROR(VLOOKUP(Banco_Nacion[[#This Row],[RESPONSABLE]],Clientes_Proveedores[[Ruc / Dni]:[Razon Social]],2,0),"")</f>
        <v/>
      </c>
      <c r="X36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6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60" s="3"/>
      <c r="AA360" s="3"/>
      <c r="AB360" s="24" t="str">
        <f>IF(Banco_Nacion[[#This Row],[FECHA]]&gt;0,TEXT(Banco_Nacion[[#This Row],[FECHA]],"mmmm"),0)</f>
        <v>Mayo</v>
      </c>
    </row>
    <row r="361" spans="2:28" x14ac:dyDescent="0.3">
      <c r="B361" s="2">
        <f>IF(Banco_Nacion[[#This Row],[TIPO DE R.]]="R",COUNTIFS($D$4:$D360,"R")+1,"")</f>
        <v>357</v>
      </c>
      <c r="C361" s="19" t="str">
        <f t="shared" si="25"/>
        <v>B-Banco de la Nacion</v>
      </c>
      <c r="D361" s="3" t="s">
        <v>1074</v>
      </c>
      <c r="E361" s="14">
        <v>45798</v>
      </c>
      <c r="F361" s="5">
        <v>20505675836</v>
      </c>
      <c r="G361" s="5" t="s">
        <v>1087</v>
      </c>
      <c r="H361" s="6" t="s">
        <v>368</v>
      </c>
      <c r="I361" s="6"/>
      <c r="J361" s="6" t="s">
        <v>4289</v>
      </c>
      <c r="K361" s="6" t="s">
        <v>4289</v>
      </c>
      <c r="L361" s="7" t="s">
        <v>4290</v>
      </c>
      <c r="M361" s="8">
        <v>77732163</v>
      </c>
      <c r="N361" s="8" t="str">
        <f t="shared" si="26"/>
        <v>PEN</v>
      </c>
      <c r="O361" s="13"/>
      <c r="P361" s="13">
        <v>112</v>
      </c>
      <c r="Q361" s="3">
        <f t="shared" si="27"/>
        <v>112</v>
      </c>
      <c r="R361" s="3">
        <f t="shared" si="28"/>
        <v>0</v>
      </c>
      <c r="S361" s="3">
        <f t="shared" si="29"/>
        <v>51921.220000000008</v>
      </c>
      <c r="T361" s="24"/>
      <c r="U361" s="24"/>
      <c r="V361" s="3"/>
      <c r="W361" s="19" t="str">
        <f>IFERROR(VLOOKUP(Banco_Nacion[[#This Row],[RESPONSABLE]],Clientes_Proveedores[[Ruc / Dni]:[Razon Social]],2,0),"")</f>
        <v>FLSMIDTH S.A.C.</v>
      </c>
      <c r="X361" s="19" t="str">
        <f>IF(Banco_Nacion[[#This Row],[TIPO DE MOV.]]="INGRESO",Banco_Nacion[[#This Row],[SERIE]]&amp;Banco_Nacion[[#This Row],[NUMERO]]&amp;Banco_Nacion[[#This Row],[RESPONSABLE]]&amp;Banco_Nacion[[#This Row],[MONTO ]],"")</f>
        <v>20505675836112</v>
      </c>
      <c r="Y36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77732163</v>
      </c>
      <c r="Z361" s="3"/>
      <c r="AA361" s="3"/>
      <c r="AB361" s="24" t="str">
        <f>IF(Banco_Nacion[[#This Row],[FECHA]]&gt;0,TEXT(Banco_Nacion[[#This Row],[FECHA]],"mmmm"),0)</f>
        <v>Mayo</v>
      </c>
    </row>
    <row r="362" spans="2:28" x14ac:dyDescent="0.3">
      <c r="B362" s="2">
        <f>IF(Banco_Nacion[[#This Row],[TIPO DE R.]]="R",COUNTIFS($D$4:$D361,"R")+1,"")</f>
        <v>358</v>
      </c>
      <c r="C362" s="19" t="str">
        <f t="shared" si="25"/>
        <v>B-Banco de la Nacion</v>
      </c>
      <c r="D362" s="3" t="s">
        <v>1074</v>
      </c>
      <c r="E362" s="14">
        <v>45798</v>
      </c>
      <c r="F362" s="5">
        <v>20505675836</v>
      </c>
      <c r="G362" s="5" t="s">
        <v>1087</v>
      </c>
      <c r="H362" s="6" t="s">
        <v>368</v>
      </c>
      <c r="I362" s="6"/>
      <c r="J362" s="6" t="s">
        <v>4289</v>
      </c>
      <c r="K362" s="6" t="s">
        <v>4289</v>
      </c>
      <c r="L362" s="7" t="s">
        <v>4290</v>
      </c>
      <c r="M362" s="8">
        <v>77732162</v>
      </c>
      <c r="N362" s="8" t="str">
        <f t="shared" si="26"/>
        <v>PEN</v>
      </c>
      <c r="O362" s="13"/>
      <c r="P362" s="13">
        <v>232</v>
      </c>
      <c r="Q362" s="3">
        <f t="shared" si="27"/>
        <v>232</v>
      </c>
      <c r="R362" s="3">
        <f t="shared" si="28"/>
        <v>0</v>
      </c>
      <c r="S362" s="3">
        <f t="shared" si="29"/>
        <v>52153.220000000008</v>
      </c>
      <c r="T362" s="24"/>
      <c r="U362" s="24"/>
      <c r="V362" s="3"/>
      <c r="W362" s="19" t="str">
        <f>IFERROR(VLOOKUP(Banco_Nacion[[#This Row],[RESPONSABLE]],Clientes_Proveedores[[Ruc / Dni]:[Razon Social]],2,0),"")</f>
        <v>FLSMIDTH S.A.C.</v>
      </c>
      <c r="X362" s="19" t="str">
        <f>IF(Banco_Nacion[[#This Row],[TIPO DE MOV.]]="INGRESO",Banco_Nacion[[#This Row],[SERIE]]&amp;Banco_Nacion[[#This Row],[NUMERO]]&amp;Banco_Nacion[[#This Row],[RESPONSABLE]]&amp;Banco_Nacion[[#This Row],[MONTO ]],"")</f>
        <v>20505675836232</v>
      </c>
      <c r="Y36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77732162</v>
      </c>
      <c r="Z362" s="3"/>
      <c r="AA362" s="3"/>
      <c r="AB362" s="24" t="str">
        <f>IF(Banco_Nacion[[#This Row],[FECHA]]&gt;0,TEXT(Banco_Nacion[[#This Row],[FECHA]],"mmmm"),0)</f>
        <v>Mayo</v>
      </c>
    </row>
    <row r="363" spans="2:28" x14ac:dyDescent="0.3">
      <c r="B363" s="2">
        <f>IF(Banco_Nacion[[#This Row],[TIPO DE R.]]="R",COUNTIFS($D$4:$D362,"R")+1,"")</f>
        <v>359</v>
      </c>
      <c r="C363" s="19" t="str">
        <f t="shared" si="25"/>
        <v>B-Banco de la Nacion</v>
      </c>
      <c r="D363" s="3" t="s">
        <v>1074</v>
      </c>
      <c r="E363" s="14">
        <v>45798</v>
      </c>
      <c r="F363" s="5">
        <v>20505675836</v>
      </c>
      <c r="G363" s="5" t="s">
        <v>1087</v>
      </c>
      <c r="H363" s="6" t="s">
        <v>368</v>
      </c>
      <c r="I363" s="6"/>
      <c r="J363" s="6" t="s">
        <v>4289</v>
      </c>
      <c r="K363" s="6" t="s">
        <v>4289</v>
      </c>
      <c r="L363" s="7" t="s">
        <v>4290</v>
      </c>
      <c r="M363" s="8">
        <v>77732161</v>
      </c>
      <c r="N363" s="8" t="str">
        <f t="shared" si="26"/>
        <v>PEN</v>
      </c>
      <c r="O363" s="13"/>
      <c r="P363" s="13">
        <v>526</v>
      </c>
      <c r="Q363" s="3">
        <f t="shared" si="27"/>
        <v>526</v>
      </c>
      <c r="R363" s="3">
        <f t="shared" si="28"/>
        <v>0</v>
      </c>
      <c r="S363" s="3">
        <f t="shared" si="29"/>
        <v>52679.220000000008</v>
      </c>
      <c r="T363" s="24"/>
      <c r="U363" s="24"/>
      <c r="V363" s="3"/>
      <c r="W363" s="19" t="str">
        <f>IFERROR(VLOOKUP(Banco_Nacion[[#This Row],[RESPONSABLE]],Clientes_Proveedores[[Ruc / Dni]:[Razon Social]],2,0),"")</f>
        <v>FLSMIDTH S.A.C.</v>
      </c>
      <c r="X363" s="19" t="str">
        <f>IF(Banco_Nacion[[#This Row],[TIPO DE MOV.]]="INGRESO",Banco_Nacion[[#This Row],[SERIE]]&amp;Banco_Nacion[[#This Row],[NUMERO]]&amp;Banco_Nacion[[#This Row],[RESPONSABLE]]&amp;Banco_Nacion[[#This Row],[MONTO ]],"")</f>
        <v>20505675836526</v>
      </c>
      <c r="Y36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77732161</v>
      </c>
      <c r="Z363" s="3"/>
      <c r="AA363" s="3"/>
      <c r="AB363" s="24" t="str">
        <f>IF(Banco_Nacion[[#This Row],[FECHA]]&gt;0,TEXT(Banco_Nacion[[#This Row],[FECHA]],"mmmm"),0)</f>
        <v>Mayo</v>
      </c>
    </row>
    <row r="364" spans="2:28" x14ac:dyDescent="0.3">
      <c r="B364" s="2">
        <f>IF(Banco_Nacion[[#This Row],[TIPO DE R.]]="R",COUNTIFS($D$4:$D363,"R")+1,"")</f>
        <v>360</v>
      </c>
      <c r="C364" s="19" t="str">
        <f t="shared" si="25"/>
        <v>B-Banco de la Nacion</v>
      </c>
      <c r="D364" s="3" t="s">
        <v>1074</v>
      </c>
      <c r="E364" s="14">
        <v>45798</v>
      </c>
      <c r="F364" s="5">
        <v>20505675836</v>
      </c>
      <c r="G364" s="5" t="s">
        <v>1087</v>
      </c>
      <c r="H364" s="6" t="s">
        <v>368</v>
      </c>
      <c r="I364" s="6"/>
      <c r="J364" s="6" t="s">
        <v>4289</v>
      </c>
      <c r="K364" s="6" t="s">
        <v>4289</v>
      </c>
      <c r="L364" s="7" t="s">
        <v>4290</v>
      </c>
      <c r="M364" s="8">
        <v>77732160</v>
      </c>
      <c r="N364" s="8" t="str">
        <f t="shared" si="26"/>
        <v>PEN</v>
      </c>
      <c r="O364" s="13"/>
      <c r="P364" s="13">
        <v>983</v>
      </c>
      <c r="Q364" s="3">
        <f t="shared" si="27"/>
        <v>983</v>
      </c>
      <c r="R364" s="3">
        <f t="shared" si="28"/>
        <v>0</v>
      </c>
      <c r="S364" s="3">
        <f t="shared" si="29"/>
        <v>53662.220000000008</v>
      </c>
      <c r="T364" s="24"/>
      <c r="U364" s="24"/>
      <c r="V364" s="3"/>
      <c r="W364" s="19" t="str">
        <f>IFERROR(VLOOKUP(Banco_Nacion[[#This Row],[RESPONSABLE]],Clientes_Proveedores[[Ruc / Dni]:[Razon Social]],2,0),"")</f>
        <v>FLSMIDTH S.A.C.</v>
      </c>
      <c r="X364" s="19" t="str">
        <f>IF(Banco_Nacion[[#This Row],[TIPO DE MOV.]]="INGRESO",Banco_Nacion[[#This Row],[SERIE]]&amp;Banco_Nacion[[#This Row],[NUMERO]]&amp;Banco_Nacion[[#This Row],[RESPONSABLE]]&amp;Banco_Nacion[[#This Row],[MONTO ]],"")</f>
        <v>20505675836983</v>
      </c>
      <c r="Y36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77732160</v>
      </c>
      <c r="Z364" s="3"/>
      <c r="AA364" s="3"/>
      <c r="AB364" s="24" t="str">
        <f>IF(Banco_Nacion[[#This Row],[FECHA]]&gt;0,TEXT(Banco_Nacion[[#This Row],[FECHA]],"mmmm"),0)</f>
        <v>Mayo</v>
      </c>
    </row>
    <row r="365" spans="2:28" x14ac:dyDescent="0.3">
      <c r="B365" s="2">
        <f>IF(Banco_Nacion[[#This Row],[TIPO DE R.]]="R",COUNTIFS($D$4:$D364,"R")+1,"")</f>
        <v>361</v>
      </c>
      <c r="C365" s="19" t="str">
        <f t="shared" si="25"/>
        <v>B-Banco de la Nacion</v>
      </c>
      <c r="D365" s="3" t="s">
        <v>1074</v>
      </c>
      <c r="E365" s="14">
        <v>45799</v>
      </c>
      <c r="F365" s="5">
        <v>20115133285</v>
      </c>
      <c r="G365" s="5" t="s">
        <v>1087</v>
      </c>
      <c r="H365" s="6" t="s">
        <v>368</v>
      </c>
      <c r="I365" s="6"/>
      <c r="J365" s="6" t="s">
        <v>4289</v>
      </c>
      <c r="K365" s="6" t="s">
        <v>4289</v>
      </c>
      <c r="L365" s="7" t="s">
        <v>4290</v>
      </c>
      <c r="M365" s="8">
        <v>77830298</v>
      </c>
      <c r="N365" s="8" t="str">
        <f t="shared" si="26"/>
        <v>PEN</v>
      </c>
      <c r="O365" s="13"/>
      <c r="P365" s="13">
        <v>401</v>
      </c>
      <c r="Q365" s="3">
        <f t="shared" si="27"/>
        <v>401</v>
      </c>
      <c r="R365" s="3">
        <f t="shared" si="28"/>
        <v>0</v>
      </c>
      <c r="S365" s="3">
        <f t="shared" si="29"/>
        <v>54063.220000000008</v>
      </c>
      <c r="T365" s="24"/>
      <c r="U365" s="24"/>
      <c r="V365" s="3"/>
      <c r="W365" s="19" t="str">
        <f>IFERROR(VLOOKUP(Banco_Nacion[[#This Row],[RESPONSABLE]],Clientes_Proveedores[[Ruc / Dni]:[Razon Social]],2,0),"")</f>
        <v>COOPERATIVA MINERA SANTIAGO DE ANANEA LIMITADA</v>
      </c>
      <c r="X365" s="19" t="str">
        <f>IF(Banco_Nacion[[#This Row],[TIPO DE MOV.]]="INGRESO",Banco_Nacion[[#This Row],[SERIE]]&amp;Banco_Nacion[[#This Row],[NUMERO]]&amp;Banco_Nacion[[#This Row],[RESPONSABLE]]&amp;Banco_Nacion[[#This Row],[MONTO ]],"")</f>
        <v>20115133285401</v>
      </c>
      <c r="Y36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77830298</v>
      </c>
      <c r="Z365" s="3"/>
      <c r="AA365" s="3"/>
      <c r="AB365" s="24" t="str">
        <f>IF(Banco_Nacion[[#This Row],[FECHA]]&gt;0,TEXT(Banco_Nacion[[#This Row],[FECHA]],"mmmm"),0)</f>
        <v>Mayo</v>
      </c>
    </row>
    <row r="366" spans="2:28" x14ac:dyDescent="0.3">
      <c r="B366" s="2">
        <f>IF(Banco_Nacion[[#This Row],[TIPO DE R.]]="R",COUNTIFS($D$4:$D365,"R")+1,"")</f>
        <v>362</v>
      </c>
      <c r="C366" s="19" t="str">
        <f t="shared" si="25"/>
        <v>B-Banco de la Nacion</v>
      </c>
      <c r="D366" s="3" t="s">
        <v>1074</v>
      </c>
      <c r="E366" s="14">
        <v>45799</v>
      </c>
      <c r="F366" s="5">
        <v>20607388416</v>
      </c>
      <c r="G366" s="5" t="s">
        <v>1087</v>
      </c>
      <c r="H366" s="6" t="s">
        <v>368</v>
      </c>
      <c r="I366" s="6"/>
      <c r="J366" s="6" t="s">
        <v>4289</v>
      </c>
      <c r="K366" s="6" t="s">
        <v>4289</v>
      </c>
      <c r="L366" s="7" t="s">
        <v>4290</v>
      </c>
      <c r="M366" s="8">
        <v>77804314</v>
      </c>
      <c r="N366" s="8" t="str">
        <f t="shared" si="26"/>
        <v>PEN</v>
      </c>
      <c r="O366" s="13"/>
      <c r="P366" s="13">
        <v>143</v>
      </c>
      <c r="Q366" s="3">
        <f t="shared" si="27"/>
        <v>143</v>
      </c>
      <c r="R366" s="3">
        <f t="shared" si="28"/>
        <v>0</v>
      </c>
      <c r="S366" s="3">
        <f t="shared" si="29"/>
        <v>54206.220000000008</v>
      </c>
      <c r="T366" s="24"/>
      <c r="U366" s="24"/>
      <c r="V366" s="3"/>
      <c r="W366" s="19" t="str">
        <f>IFERROR(VLOOKUP(Banco_Nacion[[#This Row],[RESPONSABLE]],Clientes_Proveedores[[Ruc / Dni]:[Razon Social]],2,0),"")</f>
        <v>ALEACIONES FERROSAS Y METALICAS S.A.C.</v>
      </c>
      <c r="X366" s="19" t="str">
        <f>IF(Banco_Nacion[[#This Row],[TIPO DE MOV.]]="INGRESO",Banco_Nacion[[#This Row],[SERIE]]&amp;Banco_Nacion[[#This Row],[NUMERO]]&amp;Banco_Nacion[[#This Row],[RESPONSABLE]]&amp;Banco_Nacion[[#This Row],[MONTO ]],"")</f>
        <v>20607388416143</v>
      </c>
      <c r="Y36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77804314</v>
      </c>
      <c r="Z366" s="3"/>
      <c r="AA366" s="3"/>
      <c r="AB366" s="24" t="str">
        <f>IF(Banco_Nacion[[#This Row],[FECHA]]&gt;0,TEXT(Banco_Nacion[[#This Row],[FECHA]],"mmmm"),0)</f>
        <v>Mayo</v>
      </c>
    </row>
    <row r="367" spans="2:28" x14ac:dyDescent="0.3">
      <c r="B367" s="2">
        <f>IF(Banco_Nacion[[#This Row],[TIPO DE R.]]="R",COUNTIFS($D$4:$D366,"R")+1,"")</f>
        <v>363</v>
      </c>
      <c r="C367" s="19" t="str">
        <f t="shared" si="25"/>
        <v>B-Banco de la Nacion</v>
      </c>
      <c r="D367" s="3" t="s">
        <v>1074</v>
      </c>
      <c r="E367" s="14">
        <v>45799</v>
      </c>
      <c r="F367" s="5">
        <v>20607388416</v>
      </c>
      <c r="G367" s="5" t="s">
        <v>1087</v>
      </c>
      <c r="H367" s="6" t="s">
        <v>368</v>
      </c>
      <c r="I367" s="6"/>
      <c r="J367" s="6" t="s">
        <v>4289</v>
      </c>
      <c r="K367" s="6" t="s">
        <v>4289</v>
      </c>
      <c r="L367" s="7" t="s">
        <v>4290</v>
      </c>
      <c r="M367" s="8">
        <v>77804278</v>
      </c>
      <c r="N367" s="8" t="str">
        <f t="shared" si="26"/>
        <v>PEN</v>
      </c>
      <c r="O367" s="13"/>
      <c r="P367" s="13">
        <v>150</v>
      </c>
      <c r="Q367" s="3">
        <f t="shared" si="27"/>
        <v>150</v>
      </c>
      <c r="R367" s="3">
        <f t="shared" si="28"/>
        <v>0</v>
      </c>
      <c r="S367" s="3">
        <f t="shared" si="29"/>
        <v>54356.220000000008</v>
      </c>
      <c r="T367" s="24"/>
      <c r="U367" s="24"/>
      <c r="V367" s="3"/>
      <c r="W367" s="19" t="str">
        <f>IFERROR(VLOOKUP(Banco_Nacion[[#This Row],[RESPONSABLE]],Clientes_Proveedores[[Ruc / Dni]:[Razon Social]],2,0),"")</f>
        <v>ALEACIONES FERROSAS Y METALICAS S.A.C.</v>
      </c>
      <c r="X367" s="19" t="str">
        <f>IF(Banco_Nacion[[#This Row],[TIPO DE MOV.]]="INGRESO",Banco_Nacion[[#This Row],[SERIE]]&amp;Banco_Nacion[[#This Row],[NUMERO]]&amp;Banco_Nacion[[#This Row],[RESPONSABLE]]&amp;Banco_Nacion[[#This Row],[MONTO ]],"")</f>
        <v>20607388416150</v>
      </c>
      <c r="Y36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77804278</v>
      </c>
      <c r="Z367" s="3"/>
      <c r="AA367" s="3"/>
      <c r="AB367" s="24" t="str">
        <f>IF(Banco_Nacion[[#This Row],[FECHA]]&gt;0,TEXT(Banco_Nacion[[#This Row],[FECHA]],"mmmm"),0)</f>
        <v>Mayo</v>
      </c>
    </row>
    <row r="368" spans="2:28" x14ac:dyDescent="0.3">
      <c r="B368" s="2">
        <f>IF(Banco_Nacion[[#This Row],[TIPO DE R.]]="R",COUNTIFS($D$4:$D367,"R")+1,"")</f>
        <v>364</v>
      </c>
      <c r="C368" s="19" t="str">
        <f t="shared" si="25"/>
        <v>B-Banco de la Nacion</v>
      </c>
      <c r="D368" s="3" t="s">
        <v>1074</v>
      </c>
      <c r="E368" s="14">
        <v>45799</v>
      </c>
      <c r="F368" s="5">
        <v>20607388416</v>
      </c>
      <c r="G368" s="5" t="s">
        <v>1087</v>
      </c>
      <c r="H368" s="6" t="s">
        <v>368</v>
      </c>
      <c r="I368" s="6"/>
      <c r="J368" s="6" t="s">
        <v>4289</v>
      </c>
      <c r="K368" s="6" t="s">
        <v>4289</v>
      </c>
      <c r="L368" s="7" t="s">
        <v>4290</v>
      </c>
      <c r="M368" s="8">
        <v>77804129</v>
      </c>
      <c r="N368" s="8" t="str">
        <f t="shared" si="26"/>
        <v>PEN</v>
      </c>
      <c r="O368" s="13"/>
      <c r="P368" s="13">
        <v>187</v>
      </c>
      <c r="Q368" s="3">
        <f t="shared" si="27"/>
        <v>187</v>
      </c>
      <c r="R368" s="3">
        <f t="shared" si="28"/>
        <v>0</v>
      </c>
      <c r="S368" s="3">
        <f t="shared" si="29"/>
        <v>54543.220000000008</v>
      </c>
      <c r="T368" s="24"/>
      <c r="U368" s="24"/>
      <c r="V368" s="3"/>
      <c r="W368" s="19" t="str">
        <f>IFERROR(VLOOKUP(Banco_Nacion[[#This Row],[RESPONSABLE]],Clientes_Proveedores[[Ruc / Dni]:[Razon Social]],2,0),"")</f>
        <v>ALEACIONES FERROSAS Y METALICAS S.A.C.</v>
      </c>
      <c r="X368" s="19" t="str">
        <f>IF(Banco_Nacion[[#This Row],[TIPO DE MOV.]]="INGRESO",Banco_Nacion[[#This Row],[SERIE]]&amp;Banco_Nacion[[#This Row],[NUMERO]]&amp;Banco_Nacion[[#This Row],[RESPONSABLE]]&amp;Banco_Nacion[[#This Row],[MONTO ]],"")</f>
        <v>20607388416187</v>
      </c>
      <c r="Y36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77804129</v>
      </c>
      <c r="Z368" s="3"/>
      <c r="AA368" s="3"/>
      <c r="AB368" s="24" t="str">
        <f>IF(Banco_Nacion[[#This Row],[FECHA]]&gt;0,TEXT(Banco_Nacion[[#This Row],[FECHA]],"mmmm"),0)</f>
        <v>Mayo</v>
      </c>
    </row>
    <row r="369" spans="2:28" x14ac:dyDescent="0.3">
      <c r="B369" s="2">
        <f>IF(Banco_Nacion[[#This Row],[TIPO DE R.]]="R",COUNTIFS($D$4:$D368,"R")+1,"")</f>
        <v>365</v>
      </c>
      <c r="C369" s="19" t="str">
        <f t="shared" si="25"/>
        <v>B-Banco de la Nacion</v>
      </c>
      <c r="D369" s="3" t="s">
        <v>1074</v>
      </c>
      <c r="E369" s="14">
        <v>45799</v>
      </c>
      <c r="F369" s="5">
        <v>20607388416</v>
      </c>
      <c r="G369" s="5" t="s">
        <v>1087</v>
      </c>
      <c r="H369" s="6" t="s">
        <v>368</v>
      </c>
      <c r="I369" s="6"/>
      <c r="J369" s="6" t="s">
        <v>4289</v>
      </c>
      <c r="K369" s="6" t="s">
        <v>4289</v>
      </c>
      <c r="L369" s="7" t="s">
        <v>4290</v>
      </c>
      <c r="M369" s="8">
        <v>77804045</v>
      </c>
      <c r="N369" s="8" t="str">
        <f t="shared" si="26"/>
        <v>PEN</v>
      </c>
      <c r="O369" s="13"/>
      <c r="P369" s="13">
        <v>169</v>
      </c>
      <c r="Q369" s="3">
        <f t="shared" si="27"/>
        <v>169</v>
      </c>
      <c r="R369" s="3">
        <f t="shared" si="28"/>
        <v>0</v>
      </c>
      <c r="S369" s="3">
        <f t="shared" si="29"/>
        <v>54712.220000000008</v>
      </c>
      <c r="T369" s="24"/>
      <c r="U369" s="24"/>
      <c r="V369" s="3"/>
      <c r="W369" s="19" t="str">
        <f>IFERROR(VLOOKUP(Banco_Nacion[[#This Row],[RESPONSABLE]],Clientes_Proveedores[[Ruc / Dni]:[Razon Social]],2,0),"")</f>
        <v>ALEACIONES FERROSAS Y METALICAS S.A.C.</v>
      </c>
      <c r="X369" s="19" t="str">
        <f>IF(Banco_Nacion[[#This Row],[TIPO DE MOV.]]="INGRESO",Banco_Nacion[[#This Row],[SERIE]]&amp;Banco_Nacion[[#This Row],[NUMERO]]&amp;Banco_Nacion[[#This Row],[RESPONSABLE]]&amp;Banco_Nacion[[#This Row],[MONTO ]],"")</f>
        <v>20607388416169</v>
      </c>
      <c r="Y36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77804045</v>
      </c>
      <c r="Z369" s="3"/>
      <c r="AA369" s="3"/>
      <c r="AB369" s="24" t="str">
        <f>IF(Banco_Nacion[[#This Row],[FECHA]]&gt;0,TEXT(Banco_Nacion[[#This Row],[FECHA]],"mmmm"),0)</f>
        <v>Mayo</v>
      </c>
    </row>
    <row r="370" spans="2:28" x14ac:dyDescent="0.3">
      <c r="B370" s="2">
        <f>IF(Banco_Nacion[[#This Row],[TIPO DE R.]]="R",COUNTIFS($D$4:$D369,"R")+1,"")</f>
        <v>366</v>
      </c>
      <c r="C370" s="19" t="str">
        <f t="shared" si="25"/>
        <v>B-Banco de la Nacion</v>
      </c>
      <c r="D370" s="3" t="s">
        <v>1074</v>
      </c>
      <c r="E370" s="14">
        <v>45800</v>
      </c>
      <c r="F370" s="5"/>
      <c r="G370" s="5" t="s">
        <v>1079</v>
      </c>
      <c r="H370" s="6"/>
      <c r="I370" s="6"/>
      <c r="J370" s="6" t="s">
        <v>4289</v>
      </c>
      <c r="K370" s="6" t="s">
        <v>4289</v>
      </c>
      <c r="L370" s="7" t="s">
        <v>4292</v>
      </c>
      <c r="M370" s="8">
        <v>78787878</v>
      </c>
      <c r="N370" s="8" t="str">
        <f t="shared" si="26"/>
        <v>PEN</v>
      </c>
      <c r="O370" s="13"/>
      <c r="P370" s="13">
        <v>3744</v>
      </c>
      <c r="Q370" s="3">
        <f t="shared" si="27"/>
        <v>0</v>
      </c>
      <c r="R370" s="3">
        <f t="shared" si="28"/>
        <v>3744</v>
      </c>
      <c r="S370" s="3">
        <f t="shared" si="29"/>
        <v>50968.220000000008</v>
      </c>
      <c r="T370" s="24"/>
      <c r="U370" s="24"/>
      <c r="V370" s="3"/>
      <c r="W370" s="19" t="str">
        <f>IFERROR(VLOOKUP(Banco_Nacion[[#This Row],[RESPONSABLE]],Clientes_Proveedores[[Ruc / Dni]:[Razon Social]],2,0),"")</f>
        <v/>
      </c>
      <c r="X37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7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70" s="3"/>
      <c r="AA370" s="3"/>
      <c r="AB370" s="24" t="str">
        <f>IF(Banco_Nacion[[#This Row],[FECHA]]&gt;0,TEXT(Banco_Nacion[[#This Row],[FECHA]],"mmmm"),0)</f>
        <v>Mayo</v>
      </c>
    </row>
    <row r="371" spans="2:28" x14ac:dyDescent="0.3">
      <c r="B371" s="2">
        <f>IF(Banco_Nacion[[#This Row],[TIPO DE R.]]="R",COUNTIFS($D$4:$D370,"R")+1,"")</f>
        <v>367</v>
      </c>
      <c r="C371" s="19" t="str">
        <f t="shared" si="25"/>
        <v>B-Banco de la Nacion</v>
      </c>
      <c r="D371" s="3" t="s">
        <v>1074</v>
      </c>
      <c r="E371" s="14">
        <v>45800</v>
      </c>
      <c r="F371" s="5"/>
      <c r="G371" s="5" t="s">
        <v>1079</v>
      </c>
      <c r="H371" s="6"/>
      <c r="I371" s="6"/>
      <c r="J371" s="6" t="s">
        <v>4289</v>
      </c>
      <c r="K371" s="6" t="s">
        <v>4289</v>
      </c>
      <c r="L371" s="7" t="s">
        <v>4292</v>
      </c>
      <c r="M371" s="8">
        <v>78787878</v>
      </c>
      <c r="N371" s="8" t="str">
        <f t="shared" si="26"/>
        <v>PEN</v>
      </c>
      <c r="O371" s="13"/>
      <c r="P371" s="13">
        <v>93</v>
      </c>
      <c r="Q371" s="3">
        <f t="shared" si="27"/>
        <v>0</v>
      </c>
      <c r="R371" s="3">
        <f t="shared" si="28"/>
        <v>93</v>
      </c>
      <c r="S371" s="3">
        <f t="shared" si="29"/>
        <v>50875.220000000008</v>
      </c>
      <c r="T371" s="24"/>
      <c r="U371" s="24"/>
      <c r="V371" s="3"/>
      <c r="W371" s="19" t="str">
        <f>IFERROR(VLOOKUP(Banco_Nacion[[#This Row],[RESPONSABLE]],Clientes_Proveedores[[Ruc / Dni]:[Razon Social]],2,0),"")</f>
        <v/>
      </c>
      <c r="X37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7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71" s="3"/>
      <c r="AA371" s="3"/>
      <c r="AB371" s="24" t="str">
        <f>IF(Banco_Nacion[[#This Row],[FECHA]]&gt;0,TEXT(Banco_Nacion[[#This Row],[FECHA]],"mmmm"),0)</f>
        <v>Mayo</v>
      </c>
    </row>
    <row r="372" spans="2:28" x14ac:dyDescent="0.3">
      <c r="B372" s="2">
        <f>IF(Banco_Nacion[[#This Row],[TIPO DE R.]]="R",COUNTIFS($D$4:$D371,"R")+1,"")</f>
        <v>368</v>
      </c>
      <c r="C372" s="19" t="str">
        <f t="shared" si="25"/>
        <v>B-Banco de la Nacion</v>
      </c>
      <c r="D372" s="3" t="s">
        <v>1074</v>
      </c>
      <c r="E372" s="14">
        <v>45800</v>
      </c>
      <c r="F372" s="5"/>
      <c r="G372" s="5" t="s">
        <v>1079</v>
      </c>
      <c r="H372" s="6"/>
      <c r="I372" s="6"/>
      <c r="J372" s="6" t="s">
        <v>4289</v>
      </c>
      <c r="K372" s="6" t="s">
        <v>4289</v>
      </c>
      <c r="L372" s="7" t="s">
        <v>4292</v>
      </c>
      <c r="M372" s="8">
        <v>78787878</v>
      </c>
      <c r="N372" s="8" t="str">
        <f t="shared" si="26"/>
        <v>PEN</v>
      </c>
      <c r="O372" s="13"/>
      <c r="P372" s="13">
        <v>2489</v>
      </c>
      <c r="Q372" s="3">
        <f t="shared" si="27"/>
        <v>0</v>
      </c>
      <c r="R372" s="3">
        <f t="shared" si="28"/>
        <v>2489</v>
      </c>
      <c r="S372" s="3">
        <f t="shared" si="29"/>
        <v>48386.220000000008</v>
      </c>
      <c r="T372" s="24"/>
      <c r="U372" s="24"/>
      <c r="V372" s="3"/>
      <c r="W372" s="19" t="str">
        <f>IFERROR(VLOOKUP(Banco_Nacion[[#This Row],[RESPONSABLE]],Clientes_Proveedores[[Ruc / Dni]:[Razon Social]],2,0),"")</f>
        <v/>
      </c>
      <c r="X37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7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72" s="3"/>
      <c r="AA372" s="3"/>
      <c r="AB372" s="24" t="str">
        <f>IF(Banco_Nacion[[#This Row],[FECHA]]&gt;0,TEXT(Banco_Nacion[[#This Row],[FECHA]],"mmmm"),0)</f>
        <v>Mayo</v>
      </c>
    </row>
    <row r="373" spans="2:28" x14ac:dyDescent="0.3">
      <c r="B373" s="2">
        <f>IF(Banco_Nacion[[#This Row],[TIPO DE R.]]="R",COUNTIFS($D$4:$D372,"R")+1,"")</f>
        <v>369</v>
      </c>
      <c r="C373" s="19" t="str">
        <f t="shared" si="25"/>
        <v>B-Banco de la Nacion</v>
      </c>
      <c r="D373" s="3" t="s">
        <v>1074</v>
      </c>
      <c r="E373" s="14">
        <v>45800</v>
      </c>
      <c r="F373" s="5" t="s">
        <v>4289</v>
      </c>
      <c r="G373" s="5" t="s">
        <v>1079</v>
      </c>
      <c r="H373" s="6"/>
      <c r="I373" s="6"/>
      <c r="J373" s="6" t="s">
        <v>4289</v>
      </c>
      <c r="K373" s="6" t="s">
        <v>4289</v>
      </c>
      <c r="L373" s="7" t="s">
        <v>4292</v>
      </c>
      <c r="M373" s="8">
        <v>78787878</v>
      </c>
      <c r="N373" s="8" t="str">
        <f t="shared" si="26"/>
        <v>PEN</v>
      </c>
      <c r="O373" s="13"/>
      <c r="P373" s="13">
        <v>8411</v>
      </c>
      <c r="Q373" s="3">
        <f t="shared" si="27"/>
        <v>0</v>
      </c>
      <c r="R373" s="3">
        <f t="shared" si="28"/>
        <v>8411</v>
      </c>
      <c r="S373" s="3">
        <f t="shared" si="29"/>
        <v>39975.220000000008</v>
      </c>
      <c r="T373" s="24"/>
      <c r="U373" s="24"/>
      <c r="V373" s="3"/>
      <c r="W373" s="19" t="str">
        <f>IFERROR(VLOOKUP(Banco_Nacion[[#This Row],[RESPONSABLE]],Clientes_Proveedores[[Ruc / Dni]:[Razon Social]],2,0),"")</f>
        <v/>
      </c>
      <c r="X37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37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373" s="3"/>
      <c r="AA373" s="3"/>
      <c r="AB373" s="24" t="str">
        <f>IF(Banco_Nacion[[#This Row],[FECHA]]&gt;0,TEXT(Banco_Nacion[[#This Row],[FECHA]],"mmmm"),0)</f>
        <v>Mayo</v>
      </c>
    </row>
    <row r="374" spans="2:28" x14ac:dyDescent="0.3">
      <c r="B374" s="2">
        <f>IF(Banco_Nacion[[#This Row],[TIPO DE R.]]="R",COUNTIFS($D$4:$D373,"R")+1,"")</f>
        <v>370</v>
      </c>
      <c r="C374" s="19" t="str">
        <f t="shared" si="25"/>
        <v>B-Banco de la Nacion</v>
      </c>
      <c r="D374" s="3" t="s">
        <v>1074</v>
      </c>
      <c r="E374" s="14">
        <v>45803</v>
      </c>
      <c r="F374" s="5">
        <v>20406350178</v>
      </c>
      <c r="G374" s="5" t="s">
        <v>1087</v>
      </c>
      <c r="H374" s="6" t="s">
        <v>368</v>
      </c>
      <c r="I374" s="6"/>
      <c r="J374" s="6" t="s">
        <v>4289</v>
      </c>
      <c r="K374" s="6" t="s">
        <v>4289</v>
      </c>
      <c r="L374" s="7" t="s">
        <v>4290</v>
      </c>
      <c r="M374" s="8">
        <v>78195578</v>
      </c>
      <c r="N374" s="8" t="str">
        <f t="shared" si="26"/>
        <v>PEN</v>
      </c>
      <c r="O374" s="13"/>
      <c r="P374" s="13">
        <v>409</v>
      </c>
      <c r="Q374" s="3">
        <f t="shared" si="27"/>
        <v>409</v>
      </c>
      <c r="R374" s="3">
        <f t="shared" si="28"/>
        <v>0</v>
      </c>
      <c r="S374" s="3">
        <f t="shared" si="29"/>
        <v>40384.220000000008</v>
      </c>
      <c r="T374" s="24"/>
      <c r="U374" s="24"/>
      <c r="V374" s="3"/>
      <c r="W374" s="19" t="str">
        <f>IFERROR(VLOOKUP(Banco_Nacion[[#This Row],[RESPONSABLE]],Clientes_Proveedores[[Ruc / Dni]:[Razon Social]],2,0),"")</f>
        <v>COOPERATIVA MINERA HALCON DE ORO DE ANANEA LIMITADA</v>
      </c>
      <c r="X374" s="19" t="str">
        <f>IF(Banco_Nacion[[#This Row],[TIPO DE MOV.]]="INGRESO",Banco_Nacion[[#This Row],[SERIE]]&amp;Banco_Nacion[[#This Row],[NUMERO]]&amp;Banco_Nacion[[#This Row],[RESPONSABLE]]&amp;Banco_Nacion[[#This Row],[MONTO ]],"")</f>
        <v>20406350178409</v>
      </c>
      <c r="Y37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78195578</v>
      </c>
      <c r="Z374" s="3"/>
      <c r="AA374" s="3"/>
      <c r="AB374" s="24" t="str">
        <f>IF(Banco_Nacion[[#This Row],[FECHA]]&gt;0,TEXT(Banco_Nacion[[#This Row],[FECHA]],"mmmm"),0)</f>
        <v>Mayo</v>
      </c>
    </row>
    <row r="375" spans="2:28" x14ac:dyDescent="0.3">
      <c r="B375" s="2">
        <f>IF(Banco_Nacion[[#This Row],[TIPO DE R.]]="R",COUNTIFS($D$4:$D374,"R")+1,"")</f>
        <v>371</v>
      </c>
      <c r="C375" s="19" t="str">
        <f t="shared" si="25"/>
        <v>B-Banco de la Nacion</v>
      </c>
      <c r="D375" s="3" t="s">
        <v>1074</v>
      </c>
      <c r="E375" s="14">
        <v>45803</v>
      </c>
      <c r="F375" s="5">
        <v>20424092941</v>
      </c>
      <c r="G375" s="5" t="s">
        <v>1087</v>
      </c>
      <c r="H375" s="6" t="s">
        <v>368</v>
      </c>
      <c r="I375" s="6"/>
      <c r="J375" s="6" t="s">
        <v>4289</v>
      </c>
      <c r="K375" s="6" t="s">
        <v>4289</v>
      </c>
      <c r="L375" s="7" t="s">
        <v>4290</v>
      </c>
      <c r="M375" s="8">
        <v>78195577</v>
      </c>
      <c r="N375" s="8" t="str">
        <f t="shared" si="26"/>
        <v>PEN</v>
      </c>
      <c r="O375" s="13"/>
      <c r="P375" s="13">
        <v>31</v>
      </c>
      <c r="Q375" s="3">
        <f t="shared" si="27"/>
        <v>31</v>
      </c>
      <c r="R375" s="3">
        <f t="shared" si="28"/>
        <v>0</v>
      </c>
      <c r="S375" s="3">
        <f t="shared" si="29"/>
        <v>40415.220000000008</v>
      </c>
      <c r="T375" s="24"/>
      <c r="U375" s="24"/>
      <c r="V375" s="3"/>
      <c r="W375" s="19" t="str">
        <f>IFERROR(VLOOKUP(Banco_Nacion[[#This Row],[RESPONSABLE]],Clientes_Proveedores[[Ruc / Dni]:[Razon Social]],2,0),"")</f>
        <v>TRANSPORTES PEREDA S.R.L.</v>
      </c>
      <c r="X375" s="19" t="str">
        <f>IF(Banco_Nacion[[#This Row],[TIPO DE MOV.]]="INGRESO",Banco_Nacion[[#This Row],[SERIE]]&amp;Banco_Nacion[[#This Row],[NUMERO]]&amp;Banco_Nacion[[#This Row],[RESPONSABLE]]&amp;Banco_Nacion[[#This Row],[MONTO ]],"")</f>
        <v>2042409294131</v>
      </c>
      <c r="Y37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78195577</v>
      </c>
      <c r="Z375" s="3"/>
      <c r="AA375" s="3"/>
      <c r="AB375" s="24" t="str">
        <f>IF(Banco_Nacion[[#This Row],[FECHA]]&gt;0,TEXT(Banco_Nacion[[#This Row],[FECHA]],"mmmm"),0)</f>
        <v>Mayo</v>
      </c>
    </row>
    <row r="376" spans="2:28" x14ac:dyDescent="0.3">
      <c r="B376" s="2">
        <f>IF(Banco_Nacion[[#This Row],[TIPO DE R.]]="R",COUNTIFS($D$4:$D375,"R")+1,"")</f>
        <v>372</v>
      </c>
      <c r="C376" s="19" t="str">
        <f t="shared" si="25"/>
        <v>B-Banco de la Nacion</v>
      </c>
      <c r="D376" s="3" t="s">
        <v>1074</v>
      </c>
      <c r="E376" s="14">
        <v>45803</v>
      </c>
      <c r="F376" s="5">
        <v>20611035072</v>
      </c>
      <c r="G376" s="5" t="s">
        <v>1087</v>
      </c>
      <c r="H376" s="6" t="s">
        <v>368</v>
      </c>
      <c r="I376" s="6"/>
      <c r="J376" s="6" t="s">
        <v>4289</v>
      </c>
      <c r="K376" s="6" t="s">
        <v>4289</v>
      </c>
      <c r="L376" s="7" t="s">
        <v>4290</v>
      </c>
      <c r="M376" s="8">
        <v>78195576</v>
      </c>
      <c r="N376" s="8" t="str">
        <f t="shared" si="26"/>
        <v>PEN</v>
      </c>
      <c r="O376" s="13"/>
      <c r="P376" s="13">
        <v>498</v>
      </c>
      <c r="Q376" s="3">
        <f t="shared" si="27"/>
        <v>498</v>
      </c>
      <c r="R376" s="3">
        <f t="shared" si="28"/>
        <v>0</v>
      </c>
      <c r="S376" s="3">
        <f t="shared" si="29"/>
        <v>40913.220000000008</v>
      </c>
      <c r="T376" s="24"/>
      <c r="U376" s="24"/>
      <c r="V376" s="3"/>
      <c r="W376" s="19" t="str">
        <f>IFERROR(VLOOKUP(Banco_Nacion[[#This Row],[RESPONSABLE]],Clientes_Proveedores[[Ruc / Dni]:[Razon Social]],2,0),"")</f>
        <v>REALM HUAMANI ENGINEERS S.A.C.</v>
      </c>
      <c r="X376" s="19" t="str">
        <f>IF(Banco_Nacion[[#This Row],[TIPO DE MOV.]]="INGRESO",Banco_Nacion[[#This Row],[SERIE]]&amp;Banco_Nacion[[#This Row],[NUMERO]]&amp;Banco_Nacion[[#This Row],[RESPONSABLE]]&amp;Banco_Nacion[[#This Row],[MONTO ]],"")</f>
        <v>20611035072498</v>
      </c>
      <c r="Y37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78195576</v>
      </c>
      <c r="Z376" s="3"/>
      <c r="AA376" s="3"/>
      <c r="AB376" s="24" t="str">
        <f>IF(Banco_Nacion[[#This Row],[FECHA]]&gt;0,TEXT(Banco_Nacion[[#This Row],[FECHA]],"mmmm"),0)</f>
        <v>Mayo</v>
      </c>
    </row>
    <row r="377" spans="2:28" x14ac:dyDescent="0.3">
      <c r="B377" s="2">
        <f>IF(Banco_Nacion[[#This Row],[TIPO DE R.]]="R",COUNTIFS($D$4:$D376,"R")+1,"")</f>
        <v>373</v>
      </c>
      <c r="C377" s="19" t="str">
        <f t="shared" si="25"/>
        <v>B-Banco de la Nacion</v>
      </c>
      <c r="D377" s="3" t="s">
        <v>1074</v>
      </c>
      <c r="E377" s="14">
        <v>45803</v>
      </c>
      <c r="F377" s="5">
        <v>20613110586</v>
      </c>
      <c r="G377" s="5" t="s">
        <v>1087</v>
      </c>
      <c r="H377" s="6" t="s">
        <v>368</v>
      </c>
      <c r="I377" s="6"/>
      <c r="J377" s="6" t="s">
        <v>4289</v>
      </c>
      <c r="K377" s="6" t="s">
        <v>4289</v>
      </c>
      <c r="L377" s="7" t="s">
        <v>4290</v>
      </c>
      <c r="M377" s="8">
        <v>78195575</v>
      </c>
      <c r="N377" s="8" t="str">
        <f t="shared" si="26"/>
        <v>PEN</v>
      </c>
      <c r="O377" s="13"/>
      <c r="P377" s="13">
        <v>80</v>
      </c>
      <c r="Q377" s="3">
        <f t="shared" si="27"/>
        <v>80</v>
      </c>
      <c r="R377" s="3">
        <f t="shared" si="28"/>
        <v>0</v>
      </c>
      <c r="S377" s="3">
        <f t="shared" si="29"/>
        <v>40993.220000000008</v>
      </c>
      <c r="T377" s="24"/>
      <c r="U377" s="24"/>
      <c r="V377" s="3"/>
      <c r="W377" s="19" t="str">
        <f>IFERROR(VLOOKUP(Banco_Nacion[[#This Row],[RESPONSABLE]],Clientes_Proveedores[[Ruc / Dni]:[Razon Social]],2,0),"")</f>
        <v>ACTIVA SERVICIOS GASTRONOMICOS S.R.L.</v>
      </c>
      <c r="X377" s="19" t="str">
        <f>IF(Banco_Nacion[[#This Row],[TIPO DE MOV.]]="INGRESO",Banco_Nacion[[#This Row],[SERIE]]&amp;Banco_Nacion[[#This Row],[NUMERO]]&amp;Banco_Nacion[[#This Row],[RESPONSABLE]]&amp;Banco_Nacion[[#This Row],[MONTO ]],"")</f>
        <v>2061311058680</v>
      </c>
      <c r="Y37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78195575</v>
      </c>
      <c r="Z377" s="3"/>
      <c r="AA377" s="3"/>
      <c r="AB377" s="24" t="str">
        <f>IF(Banco_Nacion[[#This Row],[FECHA]]&gt;0,TEXT(Banco_Nacion[[#This Row],[FECHA]],"mmmm"),0)</f>
        <v>Mayo</v>
      </c>
    </row>
    <row r="378" spans="2:28" x14ac:dyDescent="0.3">
      <c r="B378" s="2">
        <f>IF(Banco_Nacion[[#This Row],[TIPO DE R.]]="R",COUNTIFS($D$4:$D377,"R")+1,"")</f>
        <v>374</v>
      </c>
      <c r="C378" s="19" t="str">
        <f t="shared" si="25"/>
        <v>B-Banco de la Nacion</v>
      </c>
      <c r="D378" s="3" t="s">
        <v>1074</v>
      </c>
      <c r="E378" s="14">
        <v>45803</v>
      </c>
      <c r="F378" s="5">
        <v>20455703558</v>
      </c>
      <c r="G378" s="5" t="s">
        <v>1087</v>
      </c>
      <c r="H378" s="6" t="s">
        <v>368</v>
      </c>
      <c r="I378" s="6"/>
      <c r="J378" s="6" t="s">
        <v>4289</v>
      </c>
      <c r="K378" s="6" t="s">
        <v>4289</v>
      </c>
      <c r="L378" s="7" t="s">
        <v>4290</v>
      </c>
      <c r="M378" s="8">
        <v>78195574</v>
      </c>
      <c r="N378" s="8" t="str">
        <f t="shared" si="26"/>
        <v>PEN</v>
      </c>
      <c r="O378" s="13"/>
      <c r="P378" s="13">
        <v>68</v>
      </c>
      <c r="Q378" s="3">
        <f t="shared" si="27"/>
        <v>68</v>
      </c>
      <c r="R378" s="3">
        <f t="shared" si="28"/>
        <v>0</v>
      </c>
      <c r="S378" s="3">
        <f t="shared" si="29"/>
        <v>41061.220000000008</v>
      </c>
      <c r="T378" s="24"/>
      <c r="U378" s="24"/>
      <c r="V378" s="3"/>
      <c r="W378" s="19" t="str">
        <f>IFERROR(VLOOKUP(Banco_Nacion[[#This Row],[RESPONSABLE]],Clientes_Proveedores[[Ruc / Dni]:[Razon Social]],2,0),"")</f>
        <v>LIVISSI CONSTRUCCIONES E.I.R.L.</v>
      </c>
      <c r="X378" s="19" t="str">
        <f>IF(Banco_Nacion[[#This Row],[TIPO DE MOV.]]="INGRESO",Banco_Nacion[[#This Row],[SERIE]]&amp;Banco_Nacion[[#This Row],[NUMERO]]&amp;Banco_Nacion[[#This Row],[RESPONSABLE]]&amp;Banco_Nacion[[#This Row],[MONTO ]],"")</f>
        <v>2045570355868</v>
      </c>
      <c r="Y37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78195574</v>
      </c>
      <c r="Z378" s="3"/>
      <c r="AA378" s="3"/>
      <c r="AB378" s="24" t="str">
        <f>IF(Banco_Nacion[[#This Row],[FECHA]]&gt;0,TEXT(Banco_Nacion[[#This Row],[FECHA]],"mmmm"),0)</f>
        <v>Mayo</v>
      </c>
    </row>
    <row r="379" spans="2:28" x14ac:dyDescent="0.3">
      <c r="B379" s="2">
        <f>IF(Banco_Nacion[[#This Row],[TIPO DE R.]]="R",COUNTIFS($D$4:$D378,"R")+1,"")</f>
        <v>375</v>
      </c>
      <c r="C379" s="19" t="str">
        <f t="shared" si="25"/>
        <v>B-Banco de la Nacion</v>
      </c>
      <c r="D379" s="3" t="s">
        <v>1074</v>
      </c>
      <c r="E379" s="14">
        <v>45803</v>
      </c>
      <c r="F379" s="5">
        <v>20456012427</v>
      </c>
      <c r="G379" s="5" t="s">
        <v>1087</v>
      </c>
      <c r="H379" s="6" t="s">
        <v>368</v>
      </c>
      <c r="I379" s="6"/>
      <c r="J379" s="6" t="s">
        <v>4289</v>
      </c>
      <c r="K379" s="6" t="s">
        <v>4289</v>
      </c>
      <c r="L379" s="7" t="s">
        <v>4290</v>
      </c>
      <c r="M379" s="8">
        <v>78195573</v>
      </c>
      <c r="N379" s="8" t="str">
        <f t="shared" si="26"/>
        <v>PEN</v>
      </c>
      <c r="O379" s="13"/>
      <c r="P379" s="13">
        <v>112</v>
      </c>
      <c r="Q379" s="3">
        <f t="shared" si="27"/>
        <v>112</v>
      </c>
      <c r="R379" s="3">
        <f t="shared" si="28"/>
        <v>0</v>
      </c>
      <c r="S379" s="3">
        <f t="shared" si="29"/>
        <v>41173.220000000008</v>
      </c>
      <c r="T379" s="24"/>
      <c r="U379" s="24"/>
      <c r="V379" s="3"/>
      <c r="W379" s="19" t="str">
        <f>IFERROR(VLOOKUP(Banco_Nacion[[#This Row],[RESPONSABLE]],Clientes_Proveedores[[Ruc / Dni]:[Razon Social]],2,0),"")</f>
        <v>J. CH. COMERCIALIZADORA DE RESIDUOS SOLIDOS S.R.L.</v>
      </c>
      <c r="X379" s="19" t="str">
        <f>IF(Banco_Nacion[[#This Row],[TIPO DE MOV.]]="INGRESO",Banco_Nacion[[#This Row],[SERIE]]&amp;Banco_Nacion[[#This Row],[NUMERO]]&amp;Banco_Nacion[[#This Row],[RESPONSABLE]]&amp;Banco_Nacion[[#This Row],[MONTO ]],"")</f>
        <v>20456012427112</v>
      </c>
      <c r="Y37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78195573</v>
      </c>
      <c r="Z379" s="3"/>
      <c r="AA379" s="3"/>
      <c r="AB379" s="24" t="str">
        <f>IF(Banco_Nacion[[#This Row],[FECHA]]&gt;0,TEXT(Banco_Nacion[[#This Row],[FECHA]],"mmmm"),0)</f>
        <v>Mayo</v>
      </c>
    </row>
    <row r="380" spans="2:28" x14ac:dyDescent="0.3">
      <c r="B380" s="2">
        <f>IF(Banco_Nacion[[#This Row],[TIPO DE R.]]="R",COUNTIFS($D$4:$D379,"R")+1,"")</f>
        <v>376</v>
      </c>
      <c r="C380" s="19" t="str">
        <f t="shared" si="25"/>
        <v>B-Banco de la Nacion</v>
      </c>
      <c r="D380" s="3" t="s">
        <v>1074</v>
      </c>
      <c r="E380" s="14">
        <v>45803</v>
      </c>
      <c r="F380" s="5">
        <v>20558353814</v>
      </c>
      <c r="G380" s="5" t="s">
        <v>1087</v>
      </c>
      <c r="H380" s="6" t="s">
        <v>368</v>
      </c>
      <c r="I380" s="6"/>
      <c r="J380" s="6" t="s">
        <v>4289</v>
      </c>
      <c r="K380" s="6" t="s">
        <v>4289</v>
      </c>
      <c r="L380" s="7" t="s">
        <v>4290</v>
      </c>
      <c r="M380" s="8">
        <v>78195572</v>
      </c>
      <c r="N380" s="8" t="str">
        <f t="shared" si="26"/>
        <v>PEN</v>
      </c>
      <c r="O380" s="13"/>
      <c r="P380" s="13">
        <v>299</v>
      </c>
      <c r="Q380" s="3">
        <f t="shared" si="27"/>
        <v>299</v>
      </c>
      <c r="R380" s="3">
        <f t="shared" si="28"/>
        <v>0</v>
      </c>
      <c r="S380" s="3">
        <f t="shared" si="29"/>
        <v>41472.220000000008</v>
      </c>
      <c r="T380" s="24"/>
      <c r="U380" s="24"/>
      <c r="V380" s="3"/>
      <c r="W380" s="19" t="str">
        <f>IFERROR(VLOOKUP(Banco_Nacion[[#This Row],[RESPONSABLE]],Clientes_Proveedores[[Ruc / Dni]:[Razon Social]],2,0),"")</f>
        <v>TACONSER E.I.R.L.</v>
      </c>
      <c r="X380" s="19" t="str">
        <f>IF(Banco_Nacion[[#This Row],[TIPO DE MOV.]]="INGRESO",Banco_Nacion[[#This Row],[SERIE]]&amp;Banco_Nacion[[#This Row],[NUMERO]]&amp;Banco_Nacion[[#This Row],[RESPONSABLE]]&amp;Banco_Nacion[[#This Row],[MONTO ]],"")</f>
        <v>20558353814299</v>
      </c>
      <c r="Y38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78195572</v>
      </c>
      <c r="Z380" s="3"/>
      <c r="AA380" s="3"/>
      <c r="AB380" s="24" t="str">
        <f>IF(Banco_Nacion[[#This Row],[FECHA]]&gt;0,TEXT(Banco_Nacion[[#This Row],[FECHA]],"mmmm"),0)</f>
        <v>Mayo</v>
      </c>
    </row>
    <row r="381" spans="2:28" x14ac:dyDescent="0.3">
      <c r="B381" s="2">
        <f>IF(Banco_Nacion[[#This Row],[TIPO DE R.]]="R",COUNTIFS($D$4:$D380,"R")+1,"")</f>
        <v>377</v>
      </c>
      <c r="C381" s="19" t="str">
        <f t="shared" si="25"/>
        <v>B-Banco de la Nacion</v>
      </c>
      <c r="D381" s="3" t="s">
        <v>1074</v>
      </c>
      <c r="E381" s="14">
        <v>45803</v>
      </c>
      <c r="F381" s="5">
        <v>20603536569</v>
      </c>
      <c r="G381" s="5" t="s">
        <v>1087</v>
      </c>
      <c r="H381" s="6" t="s">
        <v>368</v>
      </c>
      <c r="I381" s="6"/>
      <c r="J381" s="6" t="s">
        <v>4289</v>
      </c>
      <c r="K381" s="6" t="s">
        <v>4289</v>
      </c>
      <c r="L381" s="7" t="s">
        <v>4290</v>
      </c>
      <c r="M381" s="8">
        <v>78183287</v>
      </c>
      <c r="N381" s="8" t="str">
        <f t="shared" si="26"/>
        <v>PEN</v>
      </c>
      <c r="O381" s="13"/>
      <c r="P381" s="13">
        <v>549</v>
      </c>
      <c r="Q381" s="3">
        <f t="shared" si="27"/>
        <v>549</v>
      </c>
      <c r="R381" s="3">
        <f t="shared" si="28"/>
        <v>0</v>
      </c>
      <c r="S381" s="3">
        <f t="shared" si="29"/>
        <v>42021.220000000008</v>
      </c>
      <c r="T381" s="24"/>
      <c r="U381" s="24"/>
      <c r="V381" s="3"/>
      <c r="W381" s="19" t="str">
        <f>IFERROR(VLOOKUP(Banco_Nacion[[#This Row],[RESPONSABLE]],Clientes_Proveedores[[Ruc / Dni]:[Razon Social]],2,0),"")</f>
        <v>ANTILLA COPPER SOCIEDAD ANONIMA</v>
      </c>
      <c r="X381" s="19" t="str">
        <f>IF(Banco_Nacion[[#This Row],[TIPO DE MOV.]]="INGRESO",Banco_Nacion[[#This Row],[SERIE]]&amp;Banco_Nacion[[#This Row],[NUMERO]]&amp;Banco_Nacion[[#This Row],[RESPONSABLE]]&amp;Banco_Nacion[[#This Row],[MONTO ]],"")</f>
        <v>20603536569549</v>
      </c>
      <c r="Y38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78183287</v>
      </c>
      <c r="Z381" s="3"/>
      <c r="AA381" s="3"/>
      <c r="AB381" s="24" t="str">
        <f>IF(Banco_Nacion[[#This Row],[FECHA]]&gt;0,TEXT(Banco_Nacion[[#This Row],[FECHA]],"mmmm"),0)</f>
        <v>Mayo</v>
      </c>
    </row>
    <row r="382" spans="2:28" x14ac:dyDescent="0.3">
      <c r="B382" s="2">
        <f>IF(Banco_Nacion[[#This Row],[TIPO DE R.]]="R",COUNTIFS($D$4:$D381,"R")+1,"")</f>
        <v>378</v>
      </c>
      <c r="C382" s="19" t="str">
        <f t="shared" si="25"/>
        <v>B-Banco de la Nacion</v>
      </c>
      <c r="D382" s="3" t="s">
        <v>1074</v>
      </c>
      <c r="E382" s="14">
        <v>45804</v>
      </c>
      <c r="F382" s="5">
        <v>20607388416</v>
      </c>
      <c r="G382" s="5" t="s">
        <v>1087</v>
      </c>
      <c r="H382" s="6" t="s">
        <v>368</v>
      </c>
      <c r="I382" s="6"/>
      <c r="J382" s="6" t="s">
        <v>4289</v>
      </c>
      <c r="K382" s="6" t="s">
        <v>4289</v>
      </c>
      <c r="L382" s="7" t="s">
        <v>4290</v>
      </c>
      <c r="M382" s="8">
        <v>78269338</v>
      </c>
      <c r="N382" s="8" t="str">
        <f t="shared" si="26"/>
        <v>PEN</v>
      </c>
      <c r="O382" s="13"/>
      <c r="P382" s="13">
        <v>374</v>
      </c>
      <c r="Q382" s="3">
        <f t="shared" si="27"/>
        <v>374</v>
      </c>
      <c r="R382" s="3">
        <f t="shared" si="28"/>
        <v>0</v>
      </c>
      <c r="S382" s="3">
        <f t="shared" si="29"/>
        <v>42395.220000000008</v>
      </c>
      <c r="T382" s="24"/>
      <c r="U382" s="24"/>
      <c r="V382" s="3"/>
      <c r="W382" s="19" t="str">
        <f>IFERROR(VLOOKUP(Banco_Nacion[[#This Row],[RESPONSABLE]],Clientes_Proveedores[[Ruc / Dni]:[Razon Social]],2,0),"")</f>
        <v>ALEACIONES FERROSAS Y METALICAS S.A.C.</v>
      </c>
      <c r="X382" s="19" t="str">
        <f>IF(Banco_Nacion[[#This Row],[TIPO DE MOV.]]="INGRESO",Banco_Nacion[[#This Row],[SERIE]]&amp;Banco_Nacion[[#This Row],[NUMERO]]&amp;Banco_Nacion[[#This Row],[RESPONSABLE]]&amp;Banco_Nacion[[#This Row],[MONTO ]],"")</f>
        <v>20607388416374</v>
      </c>
      <c r="Y38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78269338</v>
      </c>
      <c r="Z382" s="3"/>
      <c r="AA382" s="3"/>
      <c r="AB382" s="24" t="str">
        <f>IF(Banco_Nacion[[#This Row],[FECHA]]&gt;0,TEXT(Banco_Nacion[[#This Row],[FECHA]],"mmmm"),0)</f>
        <v>Mayo</v>
      </c>
    </row>
    <row r="383" spans="2:28" x14ac:dyDescent="0.3">
      <c r="B383" s="2">
        <f>IF(Banco_Nacion[[#This Row],[TIPO DE R.]]="R",COUNTIFS($D$4:$D382,"R")+1,"")</f>
        <v>379</v>
      </c>
      <c r="C383" s="19" t="str">
        <f t="shared" si="25"/>
        <v>B-Banco de la Nacion</v>
      </c>
      <c r="D383" s="3" t="s">
        <v>1074</v>
      </c>
      <c r="E383" s="14">
        <v>45805</v>
      </c>
      <c r="F383" s="5">
        <v>20141637941</v>
      </c>
      <c r="G383" s="5" t="s">
        <v>1087</v>
      </c>
      <c r="H383" s="6" t="s">
        <v>368</v>
      </c>
      <c r="I383" s="6"/>
      <c r="J383" s="6" t="s">
        <v>4289</v>
      </c>
      <c r="K383" s="6" t="s">
        <v>4289</v>
      </c>
      <c r="L383" s="7" t="s">
        <v>4290</v>
      </c>
      <c r="M383" s="8">
        <v>78320927</v>
      </c>
      <c r="N383" s="8" t="str">
        <f t="shared" si="26"/>
        <v>PEN</v>
      </c>
      <c r="O383" s="13"/>
      <c r="P383" s="13">
        <v>439</v>
      </c>
      <c r="Q383" s="3">
        <f t="shared" si="27"/>
        <v>439</v>
      </c>
      <c r="R383" s="3">
        <f t="shared" si="28"/>
        <v>0</v>
      </c>
      <c r="S383" s="3">
        <f t="shared" si="29"/>
        <v>42834.220000000008</v>
      </c>
      <c r="T383" s="24"/>
      <c r="U383" s="24"/>
      <c r="V383" s="3"/>
      <c r="W383" s="19" t="str">
        <f>IFERROR(VLOOKUP(Banco_Nacion[[#This Row],[RESPONSABLE]],Clientes_Proveedores[[Ruc / Dni]:[Razon Social]],2,0),"")</f>
        <v>UNIVERSIDAD CATOLICA DE SANTA MARIA</v>
      </c>
      <c r="X383" s="19" t="str">
        <f>IF(Banco_Nacion[[#This Row],[TIPO DE MOV.]]="INGRESO",Banco_Nacion[[#This Row],[SERIE]]&amp;Banco_Nacion[[#This Row],[NUMERO]]&amp;Banco_Nacion[[#This Row],[RESPONSABLE]]&amp;Banco_Nacion[[#This Row],[MONTO ]],"")</f>
        <v>20141637941439</v>
      </c>
      <c r="Y38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78320927</v>
      </c>
      <c r="Z383" s="3"/>
      <c r="AA383" s="3"/>
      <c r="AB383" s="24" t="str">
        <f>IF(Banco_Nacion[[#This Row],[FECHA]]&gt;0,TEXT(Banco_Nacion[[#This Row],[FECHA]],"mmmm"),0)</f>
        <v>Mayo</v>
      </c>
    </row>
    <row r="384" spans="2:28" x14ac:dyDescent="0.3">
      <c r="B384" s="2">
        <f>IF(Banco_Nacion[[#This Row],[TIPO DE R.]]="R",COUNTIFS($D$4:$D383,"R")+1,"")</f>
        <v>380</v>
      </c>
      <c r="C384" s="19" t="str">
        <f t="shared" si="25"/>
        <v>B-Banco de la Nacion</v>
      </c>
      <c r="D384" s="3" t="s">
        <v>1074</v>
      </c>
      <c r="E384" s="14">
        <v>45806</v>
      </c>
      <c r="F384" s="5">
        <v>20100192064</v>
      </c>
      <c r="G384" s="5" t="s">
        <v>1087</v>
      </c>
      <c r="H384" s="6" t="s">
        <v>368</v>
      </c>
      <c r="I384" s="6"/>
      <c r="J384" s="6" t="s">
        <v>4289</v>
      </c>
      <c r="K384" s="6" t="s">
        <v>4289</v>
      </c>
      <c r="L384" s="7" t="s">
        <v>4290</v>
      </c>
      <c r="M384" s="8">
        <v>78397331</v>
      </c>
      <c r="N384" s="8" t="str">
        <f t="shared" si="26"/>
        <v>PEN</v>
      </c>
      <c r="O384" s="13"/>
      <c r="P384" s="13">
        <v>1508</v>
      </c>
      <c r="Q384" s="3">
        <f t="shared" si="27"/>
        <v>1508</v>
      </c>
      <c r="R384" s="3">
        <f t="shared" si="28"/>
        <v>0</v>
      </c>
      <c r="S384" s="3">
        <f t="shared" si="29"/>
        <v>44342.220000000008</v>
      </c>
      <c r="T384" s="24"/>
      <c r="U384" s="24"/>
      <c r="V384" s="3"/>
      <c r="W384" s="19" t="str">
        <f>IFERROR(VLOOKUP(Banco_Nacion[[#This Row],[RESPONSABLE]],Clientes_Proveedores[[Ruc / Dni]:[Razon Social]],2,0),"")</f>
        <v>MOLY-COP ADESUR S.A</v>
      </c>
      <c r="X384" s="19" t="str">
        <f>IF(Banco_Nacion[[#This Row],[TIPO DE MOV.]]="INGRESO",Banco_Nacion[[#This Row],[SERIE]]&amp;Banco_Nacion[[#This Row],[NUMERO]]&amp;Banco_Nacion[[#This Row],[RESPONSABLE]]&amp;Banco_Nacion[[#This Row],[MONTO ]],"")</f>
        <v>201001920641508</v>
      </c>
      <c r="Y38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78397331</v>
      </c>
      <c r="Z384" s="3"/>
      <c r="AA384" s="3"/>
      <c r="AB384" s="24" t="str">
        <f>IF(Banco_Nacion[[#This Row],[FECHA]]&gt;0,TEXT(Banco_Nacion[[#This Row],[FECHA]],"mmmm"),0)</f>
        <v>Mayo</v>
      </c>
    </row>
    <row r="385" spans="2:28" x14ac:dyDescent="0.3">
      <c r="B385" s="2">
        <f>IF(Banco_Nacion[[#This Row],[TIPO DE R.]]="R",COUNTIFS($D$4:$D384,"R")+1,"")</f>
        <v>381</v>
      </c>
      <c r="C385" s="19" t="str">
        <f t="shared" si="25"/>
        <v>B-Banco de la Nacion</v>
      </c>
      <c r="D385" s="3" t="s">
        <v>1074</v>
      </c>
      <c r="E385" s="14">
        <v>45806</v>
      </c>
      <c r="F385" s="5">
        <v>20141637941</v>
      </c>
      <c r="G385" s="5" t="s">
        <v>1087</v>
      </c>
      <c r="H385" s="6" t="s">
        <v>368</v>
      </c>
      <c r="I385" s="6"/>
      <c r="J385" s="6" t="s">
        <v>4289</v>
      </c>
      <c r="K385" s="6" t="s">
        <v>4289</v>
      </c>
      <c r="L385" s="7" t="s">
        <v>4290</v>
      </c>
      <c r="M385" s="8">
        <v>78387651</v>
      </c>
      <c r="N385" s="8" t="str">
        <f t="shared" si="26"/>
        <v>PEN</v>
      </c>
      <c r="O385" s="13"/>
      <c r="P385" s="13">
        <v>420</v>
      </c>
      <c r="Q385" s="3">
        <f t="shared" si="27"/>
        <v>420</v>
      </c>
      <c r="R385" s="3">
        <f t="shared" si="28"/>
        <v>0</v>
      </c>
      <c r="S385" s="3">
        <f t="shared" si="29"/>
        <v>44762.220000000008</v>
      </c>
      <c r="T385" s="24"/>
      <c r="U385" s="24"/>
      <c r="V385" s="3"/>
      <c r="W385" s="19" t="str">
        <f>IFERROR(VLOOKUP(Banco_Nacion[[#This Row],[RESPONSABLE]],Clientes_Proveedores[[Ruc / Dni]:[Razon Social]],2,0),"")</f>
        <v>UNIVERSIDAD CATOLICA DE SANTA MARIA</v>
      </c>
      <c r="X385" s="19" t="str">
        <f>IF(Banco_Nacion[[#This Row],[TIPO DE MOV.]]="INGRESO",Banco_Nacion[[#This Row],[SERIE]]&amp;Banco_Nacion[[#This Row],[NUMERO]]&amp;Banco_Nacion[[#This Row],[RESPONSABLE]]&amp;Banco_Nacion[[#This Row],[MONTO ]],"")</f>
        <v>20141637941420</v>
      </c>
      <c r="Y38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78387651</v>
      </c>
      <c r="Z385" s="3"/>
      <c r="AA385" s="3"/>
      <c r="AB385" s="24" t="str">
        <f>IF(Banco_Nacion[[#This Row],[FECHA]]&gt;0,TEXT(Banco_Nacion[[#This Row],[FECHA]],"mmmm"),0)</f>
        <v>Mayo</v>
      </c>
    </row>
    <row r="386" spans="2:28" x14ac:dyDescent="0.3">
      <c r="B386" s="2">
        <f>IF(Banco_Nacion[[#This Row],[TIPO DE R.]]="R",COUNTIFS($D$4:$D385,"R")+1,"")</f>
        <v>382</v>
      </c>
      <c r="C386" s="19" t="str">
        <f t="shared" si="25"/>
        <v>B-Banco de la Nacion</v>
      </c>
      <c r="D386" s="3" t="s">
        <v>1074</v>
      </c>
      <c r="E386" s="14">
        <v>45806</v>
      </c>
      <c r="F386" s="5"/>
      <c r="G386" s="5" t="s">
        <v>1087</v>
      </c>
      <c r="H386" s="6" t="s">
        <v>368</v>
      </c>
      <c r="I386" s="6"/>
      <c r="J386" s="6" t="s">
        <v>4289</v>
      </c>
      <c r="K386" s="6" t="s">
        <v>4289</v>
      </c>
      <c r="L386" s="7" t="s">
        <v>4290</v>
      </c>
      <c r="M386" s="8">
        <v>27074483</v>
      </c>
      <c r="N386" s="8" t="str">
        <f t="shared" si="26"/>
        <v>PEN</v>
      </c>
      <c r="O386" s="13"/>
      <c r="P386" s="13">
        <v>102</v>
      </c>
      <c r="Q386" s="3">
        <f t="shared" si="27"/>
        <v>102</v>
      </c>
      <c r="R386" s="3">
        <f t="shared" si="28"/>
        <v>0</v>
      </c>
      <c r="S386" s="3">
        <f t="shared" si="29"/>
        <v>44864.220000000008</v>
      </c>
      <c r="T386" s="24"/>
      <c r="U386" s="24"/>
      <c r="V386" s="3"/>
      <c r="W386" s="19" t="str">
        <f>IFERROR(VLOOKUP(Banco_Nacion[[#This Row],[RESPONSABLE]],Clientes_Proveedores[[Ruc / Dni]:[Razon Social]],2,0),"")</f>
        <v/>
      </c>
      <c r="X386" s="19" t="str">
        <f>IF(Banco_Nacion[[#This Row],[TIPO DE MOV.]]="INGRESO",Banco_Nacion[[#This Row],[SERIE]]&amp;Banco_Nacion[[#This Row],[NUMERO]]&amp;Banco_Nacion[[#This Row],[RESPONSABLE]]&amp;Banco_Nacion[[#This Row],[MONTO ]],"")</f>
        <v>102</v>
      </c>
      <c r="Y38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27074483</v>
      </c>
      <c r="Z386" s="3"/>
      <c r="AA386" s="3"/>
      <c r="AB386" s="24" t="str">
        <f>IF(Banco_Nacion[[#This Row],[FECHA]]&gt;0,TEXT(Banco_Nacion[[#This Row],[FECHA]],"mmmm"),0)</f>
        <v>Mayo</v>
      </c>
    </row>
    <row r="387" spans="2:28" x14ac:dyDescent="0.3">
      <c r="B387" s="2">
        <f>IF(Banco_Nacion[[#This Row],[TIPO DE R.]]="R",COUNTIFS($D$4:$D386,"R")+1,"")</f>
        <v>383</v>
      </c>
      <c r="C387" s="19" t="str">
        <f t="shared" si="25"/>
        <v>B-Banco de la Nacion</v>
      </c>
      <c r="D387" s="3" t="s">
        <v>1074</v>
      </c>
      <c r="E387" s="14">
        <v>45807</v>
      </c>
      <c r="F387" s="5">
        <v>20419158462</v>
      </c>
      <c r="G387" s="5" t="s">
        <v>1087</v>
      </c>
      <c r="H387" s="6" t="s">
        <v>368</v>
      </c>
      <c r="I387" s="6"/>
      <c r="J387" s="6" t="s">
        <v>4289</v>
      </c>
      <c r="K387" s="6" t="s">
        <v>4289</v>
      </c>
      <c r="L387" s="7" t="s">
        <v>4290</v>
      </c>
      <c r="M387" s="8">
        <v>78511331</v>
      </c>
      <c r="N387" s="8" t="str">
        <f t="shared" si="26"/>
        <v>PEN</v>
      </c>
      <c r="O387" s="13"/>
      <c r="P387" s="13">
        <v>202</v>
      </c>
      <c r="Q387" s="3">
        <f t="shared" si="27"/>
        <v>202</v>
      </c>
      <c r="R387" s="3">
        <f t="shared" si="28"/>
        <v>0</v>
      </c>
      <c r="S387" s="3">
        <f t="shared" si="29"/>
        <v>45066.220000000008</v>
      </c>
      <c r="T387" s="24"/>
      <c r="U387" s="24"/>
      <c r="V387" s="3"/>
      <c r="W387" s="19" t="str">
        <f>IFERROR(VLOOKUP(Banco_Nacion[[#This Row],[RESPONSABLE]],Clientes_Proveedores[[Ruc / Dni]:[Razon Social]],2,0),"")</f>
        <v>GRANJA RINCONADA DEL SUR S.A.</v>
      </c>
      <c r="X387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38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78511331</v>
      </c>
      <c r="Z387" s="3"/>
      <c r="AA387" s="3"/>
      <c r="AB387" s="24" t="str">
        <f>IF(Banco_Nacion[[#This Row],[FECHA]]&gt;0,TEXT(Banco_Nacion[[#This Row],[FECHA]],"mmmm"),0)</f>
        <v>Mayo</v>
      </c>
    </row>
    <row r="388" spans="2:28" x14ac:dyDescent="0.3">
      <c r="B388" s="2">
        <f>IF(Banco_Nacion[[#This Row],[TIPO DE R.]]="R",COUNTIFS($D$4:$D387,"R")+1,"")</f>
        <v>384</v>
      </c>
      <c r="C388" s="19" t="str">
        <f t="shared" si="25"/>
        <v>B-Banco de la Nacion</v>
      </c>
      <c r="D388" s="3" t="s">
        <v>1074</v>
      </c>
      <c r="E388" s="14">
        <v>45807</v>
      </c>
      <c r="F388" s="5">
        <v>20419158462</v>
      </c>
      <c r="G388" s="5" t="s">
        <v>1087</v>
      </c>
      <c r="H388" s="6" t="s">
        <v>368</v>
      </c>
      <c r="I388" s="6"/>
      <c r="J388" s="6" t="s">
        <v>4289</v>
      </c>
      <c r="K388" s="6" t="s">
        <v>4289</v>
      </c>
      <c r="L388" s="7" t="s">
        <v>4290</v>
      </c>
      <c r="M388" s="8">
        <v>78511330</v>
      </c>
      <c r="N388" s="8" t="str">
        <f t="shared" si="26"/>
        <v>PEN</v>
      </c>
      <c r="O388" s="13"/>
      <c r="P388" s="13">
        <v>202</v>
      </c>
      <c r="Q388" s="3">
        <f t="shared" si="27"/>
        <v>202</v>
      </c>
      <c r="R388" s="3">
        <f t="shared" si="28"/>
        <v>0</v>
      </c>
      <c r="S388" s="3">
        <f t="shared" si="29"/>
        <v>45268.220000000008</v>
      </c>
      <c r="T388" s="24"/>
      <c r="U388" s="24"/>
      <c r="V388" s="3"/>
      <c r="W388" s="19" t="str">
        <f>IFERROR(VLOOKUP(Banco_Nacion[[#This Row],[RESPONSABLE]],Clientes_Proveedores[[Ruc / Dni]:[Razon Social]],2,0),"")</f>
        <v>GRANJA RINCONADA DEL SUR S.A.</v>
      </c>
      <c r="X388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38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78511330</v>
      </c>
      <c r="Z388" s="3"/>
      <c r="AA388" s="3"/>
      <c r="AB388" s="24" t="str">
        <f>IF(Banco_Nacion[[#This Row],[FECHA]]&gt;0,TEXT(Banco_Nacion[[#This Row],[FECHA]],"mmmm"),0)</f>
        <v>Mayo</v>
      </c>
    </row>
    <row r="389" spans="2:28" x14ac:dyDescent="0.3">
      <c r="B389" s="2">
        <f>IF(Banco_Nacion[[#This Row],[TIPO DE R.]]="R",COUNTIFS($D$4:$D388,"R")+1,"")</f>
        <v>385</v>
      </c>
      <c r="C389" s="19" t="str">
        <f t="shared" ref="C389:C434" si="30">"B-Banco de la Nacion"</f>
        <v>B-Banco de la Nacion</v>
      </c>
      <c r="D389" s="3" t="s">
        <v>1074</v>
      </c>
      <c r="E389" s="14">
        <v>45810</v>
      </c>
      <c r="F389" s="5">
        <v>20454186002</v>
      </c>
      <c r="G389" s="5" t="s">
        <v>1087</v>
      </c>
      <c r="H389" s="6" t="s">
        <v>368</v>
      </c>
      <c r="I389" s="6"/>
      <c r="J389" s="6" t="s">
        <v>4289</v>
      </c>
      <c r="K389" s="6" t="s">
        <v>4289</v>
      </c>
      <c r="L389" s="7" t="s">
        <v>4290</v>
      </c>
      <c r="M389" s="8">
        <v>78579465</v>
      </c>
      <c r="N389" s="8" t="str">
        <f t="shared" ref="N389:N434" si="31">"PEN"</f>
        <v>PEN</v>
      </c>
      <c r="O389" s="13"/>
      <c r="P389" s="13">
        <v>294</v>
      </c>
      <c r="Q389" s="3">
        <f t="shared" ref="Q389:Q452" si="32">+IF(OR($G389="SALDO",$G389="INGRESO"),$P389,0)</f>
        <v>294</v>
      </c>
      <c r="R389" s="3">
        <f t="shared" ref="R389:R452" si="33">+IF($G389="EGRESO",$P389,0)</f>
        <v>0</v>
      </c>
      <c r="S389" s="3">
        <f t="shared" ref="S389:S452" si="34">IFERROR(IF(G389="SALDO",Q389,S388+Q389-R389),0)</f>
        <v>45562.220000000008</v>
      </c>
      <c r="T389" s="24"/>
      <c r="U389" s="24"/>
      <c r="V389" s="3"/>
      <c r="W389" s="19" t="str">
        <f>IFERROR(VLOOKUP(Banco_Nacion[[#This Row],[RESPONSABLE]],Clientes_Proveedores[[Ruc / Dni]:[Razon Social]],2,0),"")</f>
        <v>ALSUR PERU S.A.C.</v>
      </c>
      <c r="X389" s="19" t="str">
        <f>IF(Banco_Nacion[[#This Row],[TIPO DE MOV.]]="INGRESO",Banco_Nacion[[#This Row],[SERIE]]&amp;Banco_Nacion[[#This Row],[NUMERO]]&amp;Banco_Nacion[[#This Row],[RESPONSABLE]]&amp;Banco_Nacion[[#This Row],[MONTO ]],"")</f>
        <v>20454186002294</v>
      </c>
      <c r="Y38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78579465</v>
      </c>
      <c r="Z389" s="3"/>
      <c r="AA389" s="3"/>
      <c r="AB389" s="24" t="str">
        <f>IF(Banco_Nacion[[#This Row],[FECHA]]&gt;0,TEXT(Banco_Nacion[[#This Row],[FECHA]],"mmmm"),0)</f>
        <v>Junio</v>
      </c>
    </row>
    <row r="390" spans="2:28" x14ac:dyDescent="0.3">
      <c r="B390" s="2">
        <f>IF(Banco_Nacion[[#This Row],[TIPO DE R.]]="R",COUNTIFS($D$4:$D389,"R")+1,"")</f>
        <v>386</v>
      </c>
      <c r="C390" s="19" t="str">
        <f t="shared" si="30"/>
        <v>B-Banco de la Nacion</v>
      </c>
      <c r="D390" s="3" t="s">
        <v>1074</v>
      </c>
      <c r="E390" s="14">
        <v>45810</v>
      </c>
      <c r="F390" s="5">
        <v>20100211115</v>
      </c>
      <c r="G390" s="5" t="s">
        <v>1087</v>
      </c>
      <c r="H390" s="6" t="s">
        <v>368</v>
      </c>
      <c r="I390" s="6"/>
      <c r="J390" s="6" t="s">
        <v>4289</v>
      </c>
      <c r="K390" s="6" t="s">
        <v>4289</v>
      </c>
      <c r="L390" s="7" t="s">
        <v>4290</v>
      </c>
      <c r="M390" s="8">
        <v>78568421</v>
      </c>
      <c r="N390" s="8" t="str">
        <f t="shared" si="31"/>
        <v>PEN</v>
      </c>
      <c r="O390" s="13"/>
      <c r="P390" s="13">
        <v>668</v>
      </c>
      <c r="Q390" s="3">
        <f t="shared" si="32"/>
        <v>668</v>
      </c>
      <c r="R390" s="3">
        <f t="shared" si="33"/>
        <v>0</v>
      </c>
      <c r="S390" s="3">
        <f t="shared" si="34"/>
        <v>46230.220000000008</v>
      </c>
      <c r="T390" s="24"/>
      <c r="U390" s="24"/>
      <c r="V390" s="3"/>
      <c r="W390" s="19" t="str">
        <f>IFERROR(VLOOKUP(Banco_Nacion[[#This Row],[RESPONSABLE]],Clientes_Proveedores[[Ruc / Dni]:[Razon Social]],2,0),"")</f>
        <v>FAB DE CHOCOLATES LA IBERICA S.A.</v>
      </c>
      <c r="X390" s="19" t="str">
        <f>IF(Banco_Nacion[[#This Row],[TIPO DE MOV.]]="INGRESO",Banco_Nacion[[#This Row],[SERIE]]&amp;Banco_Nacion[[#This Row],[NUMERO]]&amp;Banco_Nacion[[#This Row],[RESPONSABLE]]&amp;Banco_Nacion[[#This Row],[MONTO ]],"")</f>
        <v>20100211115668</v>
      </c>
      <c r="Y39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78568421</v>
      </c>
      <c r="Z390" s="3"/>
      <c r="AA390" s="3"/>
      <c r="AB390" s="24" t="str">
        <f>IF(Banco_Nacion[[#This Row],[FECHA]]&gt;0,TEXT(Banco_Nacion[[#This Row],[FECHA]],"mmmm"),0)</f>
        <v>Junio</v>
      </c>
    </row>
    <row r="391" spans="2:28" x14ac:dyDescent="0.3">
      <c r="B391" s="2">
        <f>IF(Banco_Nacion[[#This Row],[TIPO DE R.]]="R",COUNTIFS($D$4:$D390,"R")+1,"")</f>
        <v>387</v>
      </c>
      <c r="C391" s="19" t="str">
        <f t="shared" si="30"/>
        <v>B-Banco de la Nacion</v>
      </c>
      <c r="D391" s="3" t="s">
        <v>1074</v>
      </c>
      <c r="E391" s="14">
        <v>45810</v>
      </c>
      <c r="F391" s="5">
        <v>20141637941</v>
      </c>
      <c r="G391" s="5" t="s">
        <v>1087</v>
      </c>
      <c r="H391" s="6" t="s">
        <v>368</v>
      </c>
      <c r="I391" s="6"/>
      <c r="J391" s="6" t="s">
        <v>4289</v>
      </c>
      <c r="K391" s="6" t="s">
        <v>4289</v>
      </c>
      <c r="L391" s="7" t="s">
        <v>4290</v>
      </c>
      <c r="M391" s="8">
        <v>78521919</v>
      </c>
      <c r="N391" s="8" t="str">
        <f t="shared" si="31"/>
        <v>PEN</v>
      </c>
      <c r="O391" s="13"/>
      <c r="P391" s="13">
        <v>342</v>
      </c>
      <c r="Q391" s="3">
        <f t="shared" si="32"/>
        <v>342</v>
      </c>
      <c r="R391" s="3">
        <f t="shared" si="33"/>
        <v>0</v>
      </c>
      <c r="S391" s="3">
        <f t="shared" si="34"/>
        <v>46572.220000000008</v>
      </c>
      <c r="T391" s="24"/>
      <c r="U391" s="24"/>
      <c r="V391" s="3"/>
      <c r="W391" s="19" t="str">
        <f>IFERROR(VLOOKUP(Banco_Nacion[[#This Row],[RESPONSABLE]],Clientes_Proveedores[[Ruc / Dni]:[Razon Social]],2,0),"")</f>
        <v>UNIVERSIDAD CATOLICA DE SANTA MARIA</v>
      </c>
      <c r="X391" s="19" t="str">
        <f>IF(Banco_Nacion[[#This Row],[TIPO DE MOV.]]="INGRESO",Banco_Nacion[[#This Row],[SERIE]]&amp;Banco_Nacion[[#This Row],[NUMERO]]&amp;Banco_Nacion[[#This Row],[RESPONSABLE]]&amp;Banco_Nacion[[#This Row],[MONTO ]],"")</f>
        <v>20141637941342</v>
      </c>
      <c r="Y39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78521919</v>
      </c>
      <c r="Z391" s="3"/>
      <c r="AA391" s="3"/>
      <c r="AB391" s="24" t="str">
        <f>IF(Banco_Nacion[[#This Row],[FECHA]]&gt;0,TEXT(Banco_Nacion[[#This Row],[FECHA]],"mmmm"),0)</f>
        <v>Junio</v>
      </c>
    </row>
    <row r="392" spans="2:28" x14ac:dyDescent="0.3">
      <c r="B392" s="2">
        <f>IF(Banco_Nacion[[#This Row],[TIPO DE R.]]="R",COUNTIFS($D$4:$D391,"R")+1,"")</f>
        <v>388</v>
      </c>
      <c r="C392" s="19" t="str">
        <f t="shared" si="30"/>
        <v>B-Banco de la Nacion</v>
      </c>
      <c r="D392" s="3" t="s">
        <v>1074</v>
      </c>
      <c r="E392" s="14">
        <v>45810</v>
      </c>
      <c r="F392" s="5">
        <v>20141637941</v>
      </c>
      <c r="G392" s="5" t="s">
        <v>1087</v>
      </c>
      <c r="H392" s="6" t="s">
        <v>368</v>
      </c>
      <c r="I392" s="6"/>
      <c r="J392" s="6" t="s">
        <v>4289</v>
      </c>
      <c r="K392" s="6" t="s">
        <v>4289</v>
      </c>
      <c r="L392" s="7" t="s">
        <v>4290</v>
      </c>
      <c r="M392" s="8">
        <v>78521918</v>
      </c>
      <c r="N392" s="8" t="str">
        <f t="shared" si="31"/>
        <v>PEN</v>
      </c>
      <c r="O392" s="13"/>
      <c r="P392" s="13">
        <v>170</v>
      </c>
      <c r="Q392" s="3">
        <f t="shared" si="32"/>
        <v>170</v>
      </c>
      <c r="R392" s="3">
        <f t="shared" si="33"/>
        <v>0</v>
      </c>
      <c r="S392" s="3">
        <f t="shared" si="34"/>
        <v>46742.220000000008</v>
      </c>
      <c r="T392" s="24"/>
      <c r="U392" s="24"/>
      <c r="V392" s="3"/>
      <c r="W392" s="19" t="str">
        <f>IFERROR(VLOOKUP(Banco_Nacion[[#This Row],[RESPONSABLE]],Clientes_Proveedores[[Ruc / Dni]:[Razon Social]],2,0),"")</f>
        <v>UNIVERSIDAD CATOLICA DE SANTA MARIA</v>
      </c>
      <c r="X392" s="19" t="str">
        <f>IF(Banco_Nacion[[#This Row],[TIPO DE MOV.]]="INGRESO",Banco_Nacion[[#This Row],[SERIE]]&amp;Banco_Nacion[[#This Row],[NUMERO]]&amp;Banco_Nacion[[#This Row],[RESPONSABLE]]&amp;Banco_Nacion[[#This Row],[MONTO ]],"")</f>
        <v>20141637941170</v>
      </c>
      <c r="Y39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78521918</v>
      </c>
      <c r="Z392" s="3"/>
      <c r="AA392" s="3"/>
      <c r="AB392" s="24" t="str">
        <f>IF(Banco_Nacion[[#This Row],[FECHA]]&gt;0,TEXT(Banco_Nacion[[#This Row],[FECHA]],"mmmm"),0)</f>
        <v>Junio</v>
      </c>
    </row>
    <row r="393" spans="2:28" x14ac:dyDescent="0.3">
      <c r="B393" s="2">
        <f>IF(Banco_Nacion[[#This Row],[TIPO DE R.]]="R",COUNTIFS($D$4:$D392,"R")+1,"")</f>
        <v>389</v>
      </c>
      <c r="C393" s="19" t="str">
        <f t="shared" si="30"/>
        <v>B-Banco de la Nacion</v>
      </c>
      <c r="D393" s="3" t="s">
        <v>1074</v>
      </c>
      <c r="E393" s="14">
        <v>45811</v>
      </c>
      <c r="F393" s="5">
        <v>20402885549</v>
      </c>
      <c r="G393" s="5" t="s">
        <v>1087</v>
      </c>
      <c r="H393" s="6" t="s">
        <v>368</v>
      </c>
      <c r="I393" s="6"/>
      <c r="J393" s="6" t="s">
        <v>4289</v>
      </c>
      <c r="K393" s="6" t="s">
        <v>4289</v>
      </c>
      <c r="L393" s="7" t="s">
        <v>4290</v>
      </c>
      <c r="M393" s="8">
        <v>78727399</v>
      </c>
      <c r="N393" s="8" t="str">
        <f t="shared" si="31"/>
        <v>PEN</v>
      </c>
      <c r="O393" s="13"/>
      <c r="P393" s="13">
        <v>4608</v>
      </c>
      <c r="Q393" s="3">
        <f t="shared" si="32"/>
        <v>4608</v>
      </c>
      <c r="R393" s="3">
        <f t="shared" si="33"/>
        <v>0</v>
      </c>
      <c r="S393" s="3">
        <f t="shared" si="34"/>
        <v>51350.220000000008</v>
      </c>
      <c r="T393" s="24"/>
      <c r="U393" s="24"/>
      <c r="V393" s="3"/>
      <c r="W393" s="19" t="str">
        <f>IFERROR(VLOOKUP(Banco_Nacion[[#This Row],[RESPONSABLE]],Clientes_Proveedores[[Ruc / Dni]:[Razon Social]],2,0),"")</f>
        <v>EMPRESA SIDERURGICA DEL PERU S.A.A.</v>
      </c>
      <c r="X393" s="19" t="str">
        <f>IF(Banco_Nacion[[#This Row],[TIPO DE MOV.]]="INGRESO",Banco_Nacion[[#This Row],[SERIE]]&amp;Banco_Nacion[[#This Row],[NUMERO]]&amp;Banco_Nacion[[#This Row],[RESPONSABLE]]&amp;Banco_Nacion[[#This Row],[MONTO ]],"")</f>
        <v>204028855494608</v>
      </c>
      <c r="Y39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78727399</v>
      </c>
      <c r="Z393" s="3"/>
      <c r="AA393" s="3"/>
      <c r="AB393" s="24" t="str">
        <f>IF(Banco_Nacion[[#This Row],[FECHA]]&gt;0,TEXT(Banco_Nacion[[#This Row],[FECHA]],"mmmm"),0)</f>
        <v>Junio</v>
      </c>
    </row>
    <row r="394" spans="2:28" x14ac:dyDescent="0.3">
      <c r="B394" s="2">
        <f>IF(Banco_Nacion[[#This Row],[TIPO DE R.]]="R",COUNTIFS($D$4:$D393,"R")+1,"")</f>
        <v>390</v>
      </c>
      <c r="C394" s="19" t="str">
        <f t="shared" si="30"/>
        <v>B-Banco de la Nacion</v>
      </c>
      <c r="D394" s="3" t="s">
        <v>1074</v>
      </c>
      <c r="E394" s="14">
        <v>45811</v>
      </c>
      <c r="F394" s="5">
        <v>20402885549</v>
      </c>
      <c r="G394" s="5" t="s">
        <v>1087</v>
      </c>
      <c r="H394" s="6" t="s">
        <v>368</v>
      </c>
      <c r="I394" s="6"/>
      <c r="J394" s="6" t="s">
        <v>4289</v>
      </c>
      <c r="K394" s="6" t="s">
        <v>4289</v>
      </c>
      <c r="L394" s="7" t="s">
        <v>4290</v>
      </c>
      <c r="M394" s="8">
        <v>78727302</v>
      </c>
      <c r="N394" s="8" t="str">
        <f t="shared" si="31"/>
        <v>PEN</v>
      </c>
      <c r="O394" s="13"/>
      <c r="P394" s="13">
        <v>3241</v>
      </c>
      <c r="Q394" s="3">
        <f t="shared" si="32"/>
        <v>3241</v>
      </c>
      <c r="R394" s="3">
        <f t="shared" si="33"/>
        <v>0</v>
      </c>
      <c r="S394" s="3">
        <f t="shared" si="34"/>
        <v>54591.220000000008</v>
      </c>
      <c r="T394" s="24"/>
      <c r="U394" s="24"/>
      <c r="V394" s="3"/>
      <c r="W394" s="19" t="str">
        <f>IFERROR(VLOOKUP(Banco_Nacion[[#This Row],[RESPONSABLE]],Clientes_Proveedores[[Ruc / Dni]:[Razon Social]],2,0),"")</f>
        <v>EMPRESA SIDERURGICA DEL PERU S.A.A.</v>
      </c>
      <c r="X394" s="19" t="str">
        <f>IF(Banco_Nacion[[#This Row],[TIPO DE MOV.]]="INGRESO",Banco_Nacion[[#This Row],[SERIE]]&amp;Banco_Nacion[[#This Row],[NUMERO]]&amp;Banco_Nacion[[#This Row],[RESPONSABLE]]&amp;Banco_Nacion[[#This Row],[MONTO ]],"")</f>
        <v>204028855493241</v>
      </c>
      <c r="Y39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78727302</v>
      </c>
      <c r="Z394" s="3"/>
      <c r="AA394" s="3"/>
      <c r="AB394" s="24" t="str">
        <f>IF(Banco_Nacion[[#This Row],[FECHA]]&gt;0,TEXT(Banco_Nacion[[#This Row],[FECHA]],"mmmm"),0)</f>
        <v>Junio</v>
      </c>
    </row>
    <row r="395" spans="2:28" x14ac:dyDescent="0.3">
      <c r="B395" s="2">
        <f>IF(Banco_Nacion[[#This Row],[TIPO DE R.]]="R",COUNTIFS($D$4:$D394,"R")+1,"")</f>
        <v>391</v>
      </c>
      <c r="C395" s="19" t="str">
        <f t="shared" si="30"/>
        <v>B-Banco de la Nacion</v>
      </c>
      <c r="D395" s="3" t="s">
        <v>1074</v>
      </c>
      <c r="E395" s="14">
        <v>45811</v>
      </c>
      <c r="F395" s="5">
        <v>20455283915</v>
      </c>
      <c r="G395" s="5" t="s">
        <v>1087</v>
      </c>
      <c r="H395" s="6" t="s">
        <v>368</v>
      </c>
      <c r="I395" s="6"/>
      <c r="J395" s="6" t="s">
        <v>4289</v>
      </c>
      <c r="K395" s="6" t="s">
        <v>4289</v>
      </c>
      <c r="L395" s="7" t="s">
        <v>4290</v>
      </c>
      <c r="M395" s="8">
        <v>78705454</v>
      </c>
      <c r="N395" s="8" t="str">
        <f t="shared" si="31"/>
        <v>PEN</v>
      </c>
      <c r="O395" s="13"/>
      <c r="P395" s="13">
        <v>78</v>
      </c>
      <c r="Q395" s="3">
        <f t="shared" si="32"/>
        <v>78</v>
      </c>
      <c r="R395" s="3">
        <f t="shared" si="33"/>
        <v>0</v>
      </c>
      <c r="S395" s="3">
        <f t="shared" si="34"/>
        <v>54669.220000000008</v>
      </c>
      <c r="T395" s="24"/>
      <c r="U395" s="24"/>
      <c r="V395" s="3"/>
      <c r="W395" s="19" t="str">
        <f>IFERROR(VLOOKUP(Banco_Nacion[[#This Row],[RESPONSABLE]],Clientes_Proveedores[[Ruc / Dni]:[Razon Social]],2,0),"")</f>
        <v>EMPRESA CONSERVADORA AMBIENTAL DEL SUR E.I.R.L. - ECA SUR E.I.R.L.</v>
      </c>
      <c r="X395" s="19" t="str">
        <f>IF(Banco_Nacion[[#This Row],[TIPO DE MOV.]]="INGRESO",Banco_Nacion[[#This Row],[SERIE]]&amp;Banco_Nacion[[#This Row],[NUMERO]]&amp;Banco_Nacion[[#This Row],[RESPONSABLE]]&amp;Banco_Nacion[[#This Row],[MONTO ]],"")</f>
        <v>2045528391578</v>
      </c>
      <c r="Y39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78705454</v>
      </c>
      <c r="Z395" s="3"/>
      <c r="AA395" s="3"/>
      <c r="AB395" s="24" t="str">
        <f>IF(Banco_Nacion[[#This Row],[FECHA]]&gt;0,TEXT(Banco_Nacion[[#This Row],[FECHA]],"mmmm"),0)</f>
        <v>Junio</v>
      </c>
    </row>
    <row r="396" spans="2:28" x14ac:dyDescent="0.3">
      <c r="B396" s="2">
        <f>IF(Banco_Nacion[[#This Row],[TIPO DE R.]]="R",COUNTIFS($D$4:$D395,"R")+1,"")</f>
        <v>392</v>
      </c>
      <c r="C396" s="19" t="str">
        <f t="shared" si="30"/>
        <v>B-Banco de la Nacion</v>
      </c>
      <c r="D396" s="3" t="s">
        <v>1074</v>
      </c>
      <c r="E396" s="14">
        <v>45811</v>
      </c>
      <c r="F396" s="5">
        <v>20455283915</v>
      </c>
      <c r="G396" s="5" t="s">
        <v>1087</v>
      </c>
      <c r="H396" s="6" t="s">
        <v>368</v>
      </c>
      <c r="I396" s="6"/>
      <c r="J396" s="6" t="s">
        <v>4289</v>
      </c>
      <c r="K396" s="6" t="s">
        <v>4289</v>
      </c>
      <c r="L396" s="7" t="s">
        <v>4290</v>
      </c>
      <c r="M396" s="8">
        <v>78705453</v>
      </c>
      <c r="N396" s="8" t="str">
        <f t="shared" si="31"/>
        <v>PEN</v>
      </c>
      <c r="O396" s="13"/>
      <c r="P396" s="13">
        <v>57</v>
      </c>
      <c r="Q396" s="3">
        <f t="shared" si="32"/>
        <v>57</v>
      </c>
      <c r="R396" s="3">
        <f t="shared" si="33"/>
        <v>0</v>
      </c>
      <c r="S396" s="3">
        <f t="shared" si="34"/>
        <v>54726.220000000008</v>
      </c>
      <c r="T396" s="24"/>
      <c r="U396" s="24"/>
      <c r="V396" s="3"/>
      <c r="W396" s="19" t="str">
        <f>IFERROR(VLOOKUP(Banco_Nacion[[#This Row],[RESPONSABLE]],Clientes_Proveedores[[Ruc / Dni]:[Razon Social]],2,0),"")</f>
        <v>EMPRESA CONSERVADORA AMBIENTAL DEL SUR E.I.R.L. - ECA SUR E.I.R.L.</v>
      </c>
      <c r="X396" s="19" t="str">
        <f>IF(Banco_Nacion[[#This Row],[TIPO DE MOV.]]="INGRESO",Banco_Nacion[[#This Row],[SERIE]]&amp;Banco_Nacion[[#This Row],[NUMERO]]&amp;Banco_Nacion[[#This Row],[RESPONSABLE]]&amp;Banco_Nacion[[#This Row],[MONTO ]],"")</f>
        <v>2045528391557</v>
      </c>
      <c r="Y39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78705453</v>
      </c>
      <c r="Z396" s="3"/>
      <c r="AA396" s="3"/>
      <c r="AB396" s="24" t="str">
        <f>IF(Banco_Nacion[[#This Row],[FECHA]]&gt;0,TEXT(Banco_Nacion[[#This Row],[FECHA]],"mmmm"),0)</f>
        <v>Junio</v>
      </c>
    </row>
    <row r="397" spans="2:28" x14ac:dyDescent="0.3">
      <c r="B397" s="2">
        <f>IF(Banco_Nacion[[#This Row],[TIPO DE R.]]="R",COUNTIFS($D$4:$D396,"R")+1,"")</f>
        <v>393</v>
      </c>
      <c r="C397" s="19" t="str">
        <f t="shared" si="30"/>
        <v>B-Banco de la Nacion</v>
      </c>
      <c r="D397" s="3" t="s">
        <v>1074</v>
      </c>
      <c r="E397" s="14">
        <v>45811</v>
      </c>
      <c r="F397" s="5">
        <v>20455283915</v>
      </c>
      <c r="G397" s="5" t="s">
        <v>1087</v>
      </c>
      <c r="H397" s="6" t="s">
        <v>368</v>
      </c>
      <c r="I397" s="6"/>
      <c r="J397" s="6" t="s">
        <v>4289</v>
      </c>
      <c r="K397" s="6" t="s">
        <v>4289</v>
      </c>
      <c r="L397" s="7" t="s">
        <v>4290</v>
      </c>
      <c r="M397" s="8">
        <v>78705452</v>
      </c>
      <c r="N397" s="8" t="str">
        <f t="shared" si="31"/>
        <v>PEN</v>
      </c>
      <c r="O397" s="13"/>
      <c r="P397" s="13">
        <v>178</v>
      </c>
      <c r="Q397" s="3">
        <f t="shared" si="32"/>
        <v>178</v>
      </c>
      <c r="R397" s="3">
        <f t="shared" si="33"/>
        <v>0</v>
      </c>
      <c r="S397" s="3">
        <f t="shared" si="34"/>
        <v>54904.220000000008</v>
      </c>
      <c r="T397" s="24"/>
      <c r="U397" s="24"/>
      <c r="V397" s="3"/>
      <c r="W397" s="19" t="str">
        <f>IFERROR(VLOOKUP(Banco_Nacion[[#This Row],[RESPONSABLE]],Clientes_Proveedores[[Ruc / Dni]:[Razon Social]],2,0),"")</f>
        <v>EMPRESA CONSERVADORA AMBIENTAL DEL SUR E.I.R.L. - ECA SUR E.I.R.L.</v>
      </c>
      <c r="X397" s="19" t="str">
        <f>IF(Banco_Nacion[[#This Row],[TIPO DE MOV.]]="INGRESO",Banco_Nacion[[#This Row],[SERIE]]&amp;Banco_Nacion[[#This Row],[NUMERO]]&amp;Banco_Nacion[[#This Row],[RESPONSABLE]]&amp;Banco_Nacion[[#This Row],[MONTO ]],"")</f>
        <v>20455283915178</v>
      </c>
      <c r="Y39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78705452</v>
      </c>
      <c r="Z397" s="3"/>
      <c r="AA397" s="3"/>
      <c r="AB397" s="24" t="str">
        <f>IF(Banco_Nacion[[#This Row],[FECHA]]&gt;0,TEXT(Banco_Nacion[[#This Row],[FECHA]],"mmmm"),0)</f>
        <v>Junio</v>
      </c>
    </row>
    <row r="398" spans="2:28" x14ac:dyDescent="0.3">
      <c r="B398" s="2">
        <f>IF(Banco_Nacion[[#This Row],[TIPO DE R.]]="R",COUNTIFS($D$4:$D397,"R")+1,"")</f>
        <v>394</v>
      </c>
      <c r="C398" s="19" t="str">
        <f t="shared" si="30"/>
        <v>B-Banco de la Nacion</v>
      </c>
      <c r="D398" s="3" t="s">
        <v>1074</v>
      </c>
      <c r="E398" s="14">
        <v>45811</v>
      </c>
      <c r="F398" s="5">
        <v>20455283915</v>
      </c>
      <c r="G398" s="5" t="s">
        <v>1087</v>
      </c>
      <c r="H398" s="6" t="s">
        <v>368</v>
      </c>
      <c r="I398" s="6"/>
      <c r="J398" s="6" t="s">
        <v>4289</v>
      </c>
      <c r="K398" s="6" t="s">
        <v>4289</v>
      </c>
      <c r="L398" s="7" t="s">
        <v>4290</v>
      </c>
      <c r="M398" s="8">
        <v>78705451</v>
      </c>
      <c r="N398" s="8" t="str">
        <f t="shared" si="31"/>
        <v>PEN</v>
      </c>
      <c r="O398" s="13"/>
      <c r="P398" s="13">
        <v>64</v>
      </c>
      <c r="Q398" s="3">
        <f t="shared" si="32"/>
        <v>64</v>
      </c>
      <c r="R398" s="3">
        <f t="shared" si="33"/>
        <v>0</v>
      </c>
      <c r="S398" s="3">
        <f t="shared" si="34"/>
        <v>54968.220000000008</v>
      </c>
      <c r="T398" s="24"/>
      <c r="U398" s="24"/>
      <c r="V398" s="3"/>
      <c r="W398" s="19" t="str">
        <f>IFERROR(VLOOKUP(Banco_Nacion[[#This Row],[RESPONSABLE]],Clientes_Proveedores[[Ruc / Dni]:[Razon Social]],2,0),"")</f>
        <v>EMPRESA CONSERVADORA AMBIENTAL DEL SUR E.I.R.L. - ECA SUR E.I.R.L.</v>
      </c>
      <c r="X398" s="19" t="str">
        <f>IF(Banco_Nacion[[#This Row],[TIPO DE MOV.]]="INGRESO",Banco_Nacion[[#This Row],[SERIE]]&amp;Banco_Nacion[[#This Row],[NUMERO]]&amp;Banco_Nacion[[#This Row],[RESPONSABLE]]&amp;Banco_Nacion[[#This Row],[MONTO ]],"")</f>
        <v>2045528391564</v>
      </c>
      <c r="Y39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78705451</v>
      </c>
      <c r="Z398" s="3"/>
      <c r="AA398" s="3"/>
      <c r="AB398" s="24" t="str">
        <f>IF(Banco_Nacion[[#This Row],[FECHA]]&gt;0,TEXT(Banco_Nacion[[#This Row],[FECHA]],"mmmm"),0)</f>
        <v>Junio</v>
      </c>
    </row>
    <row r="399" spans="2:28" x14ac:dyDescent="0.3">
      <c r="B399" s="2">
        <f>IF(Banco_Nacion[[#This Row],[TIPO DE R.]]="R",COUNTIFS($D$4:$D398,"R")+1,"")</f>
        <v>395</v>
      </c>
      <c r="C399" s="19" t="str">
        <f t="shared" si="30"/>
        <v>B-Banco de la Nacion</v>
      </c>
      <c r="D399" s="3" t="s">
        <v>1074</v>
      </c>
      <c r="E399" s="14">
        <v>45811</v>
      </c>
      <c r="F399" s="5">
        <v>20455283915</v>
      </c>
      <c r="G399" s="5" t="s">
        <v>1087</v>
      </c>
      <c r="H399" s="6" t="s">
        <v>368</v>
      </c>
      <c r="I399" s="6"/>
      <c r="J399" s="6" t="s">
        <v>4289</v>
      </c>
      <c r="K399" s="6" t="s">
        <v>4289</v>
      </c>
      <c r="L399" s="7" t="s">
        <v>4290</v>
      </c>
      <c r="M399" s="8">
        <v>78705450</v>
      </c>
      <c r="N399" s="8" t="str">
        <f t="shared" si="31"/>
        <v>PEN</v>
      </c>
      <c r="O399" s="13"/>
      <c r="P399" s="13">
        <v>150</v>
      </c>
      <c r="Q399" s="3">
        <f t="shared" si="32"/>
        <v>150</v>
      </c>
      <c r="R399" s="3">
        <f t="shared" si="33"/>
        <v>0</v>
      </c>
      <c r="S399" s="3">
        <f t="shared" si="34"/>
        <v>55118.220000000008</v>
      </c>
      <c r="T399" s="24"/>
      <c r="U399" s="24"/>
      <c r="V399" s="3"/>
      <c r="W399" s="19" t="str">
        <f>IFERROR(VLOOKUP(Banco_Nacion[[#This Row],[RESPONSABLE]],Clientes_Proveedores[[Ruc / Dni]:[Razon Social]],2,0),"")</f>
        <v>EMPRESA CONSERVADORA AMBIENTAL DEL SUR E.I.R.L. - ECA SUR E.I.R.L.</v>
      </c>
      <c r="X399" s="19" t="str">
        <f>IF(Banco_Nacion[[#This Row],[TIPO DE MOV.]]="INGRESO",Banco_Nacion[[#This Row],[SERIE]]&amp;Banco_Nacion[[#This Row],[NUMERO]]&amp;Banco_Nacion[[#This Row],[RESPONSABLE]]&amp;Banco_Nacion[[#This Row],[MONTO ]],"")</f>
        <v>20455283915150</v>
      </c>
      <c r="Y39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78705450</v>
      </c>
      <c r="Z399" s="3"/>
      <c r="AA399" s="3"/>
      <c r="AB399" s="24" t="str">
        <f>IF(Banco_Nacion[[#This Row],[FECHA]]&gt;0,TEXT(Banco_Nacion[[#This Row],[FECHA]],"mmmm"),0)</f>
        <v>Junio</v>
      </c>
    </row>
    <row r="400" spans="2:28" x14ac:dyDescent="0.3">
      <c r="B400" s="2">
        <f>IF(Banco_Nacion[[#This Row],[TIPO DE R.]]="R",COUNTIFS($D$4:$D399,"R")+1,"")</f>
        <v>396</v>
      </c>
      <c r="C400" s="19" t="str">
        <f t="shared" si="30"/>
        <v>B-Banco de la Nacion</v>
      </c>
      <c r="D400" s="3" t="s">
        <v>1074</v>
      </c>
      <c r="E400" s="14">
        <v>45811</v>
      </c>
      <c r="F400" s="5">
        <v>20455283915</v>
      </c>
      <c r="G400" s="5" t="s">
        <v>1087</v>
      </c>
      <c r="H400" s="6" t="s">
        <v>368</v>
      </c>
      <c r="I400" s="6"/>
      <c r="J400" s="6" t="s">
        <v>4289</v>
      </c>
      <c r="K400" s="6" t="s">
        <v>4289</v>
      </c>
      <c r="L400" s="7" t="s">
        <v>4290</v>
      </c>
      <c r="M400" s="8">
        <v>78705449</v>
      </c>
      <c r="N400" s="8" t="str">
        <f t="shared" si="31"/>
        <v>PEN</v>
      </c>
      <c r="O400" s="13"/>
      <c r="P400" s="13">
        <v>53</v>
      </c>
      <c r="Q400" s="3">
        <f t="shared" si="32"/>
        <v>53</v>
      </c>
      <c r="R400" s="3">
        <f t="shared" si="33"/>
        <v>0</v>
      </c>
      <c r="S400" s="3">
        <f t="shared" si="34"/>
        <v>55171.220000000008</v>
      </c>
      <c r="T400" s="24"/>
      <c r="U400" s="24"/>
      <c r="V400" s="3"/>
      <c r="W400" s="19" t="str">
        <f>IFERROR(VLOOKUP(Banco_Nacion[[#This Row],[RESPONSABLE]],Clientes_Proveedores[[Ruc / Dni]:[Razon Social]],2,0),"")</f>
        <v>EMPRESA CONSERVADORA AMBIENTAL DEL SUR E.I.R.L. - ECA SUR E.I.R.L.</v>
      </c>
      <c r="X400" s="19" t="str">
        <f>IF(Banco_Nacion[[#This Row],[TIPO DE MOV.]]="INGRESO",Banco_Nacion[[#This Row],[SERIE]]&amp;Banco_Nacion[[#This Row],[NUMERO]]&amp;Banco_Nacion[[#This Row],[RESPONSABLE]]&amp;Banco_Nacion[[#This Row],[MONTO ]],"")</f>
        <v>2045528391553</v>
      </c>
      <c r="Y40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78705449</v>
      </c>
      <c r="Z400" s="3"/>
      <c r="AA400" s="3"/>
      <c r="AB400" s="24" t="str">
        <f>IF(Banco_Nacion[[#This Row],[FECHA]]&gt;0,TEXT(Banco_Nacion[[#This Row],[FECHA]],"mmmm"),0)</f>
        <v>Junio</v>
      </c>
    </row>
    <row r="401" spans="2:28" x14ac:dyDescent="0.3">
      <c r="B401" s="2">
        <f>IF(Banco_Nacion[[#This Row],[TIPO DE R.]]="R",COUNTIFS($D$4:$D400,"R")+1,"")</f>
        <v>397</v>
      </c>
      <c r="C401" s="19" t="str">
        <f t="shared" si="30"/>
        <v>B-Banco de la Nacion</v>
      </c>
      <c r="D401" s="3" t="s">
        <v>1074</v>
      </c>
      <c r="E401" s="14">
        <v>45811</v>
      </c>
      <c r="F401" s="5">
        <v>20455283915</v>
      </c>
      <c r="G401" s="5" t="s">
        <v>1087</v>
      </c>
      <c r="H401" s="6" t="s">
        <v>368</v>
      </c>
      <c r="I401" s="6"/>
      <c r="J401" s="6" t="s">
        <v>4289</v>
      </c>
      <c r="K401" s="6" t="s">
        <v>4289</v>
      </c>
      <c r="L401" s="7" t="s">
        <v>4290</v>
      </c>
      <c r="M401" s="8">
        <v>78705448</v>
      </c>
      <c r="N401" s="8" t="str">
        <f t="shared" si="31"/>
        <v>PEN</v>
      </c>
      <c r="O401" s="13"/>
      <c r="P401" s="13">
        <v>166</v>
      </c>
      <c r="Q401" s="3">
        <f t="shared" si="32"/>
        <v>166</v>
      </c>
      <c r="R401" s="3">
        <f t="shared" si="33"/>
        <v>0</v>
      </c>
      <c r="S401" s="3">
        <f t="shared" si="34"/>
        <v>55337.220000000008</v>
      </c>
      <c r="T401" s="24"/>
      <c r="U401" s="24"/>
      <c r="V401" s="3"/>
      <c r="W401" s="19" t="str">
        <f>IFERROR(VLOOKUP(Banco_Nacion[[#This Row],[RESPONSABLE]],Clientes_Proveedores[[Ruc / Dni]:[Razon Social]],2,0),"")</f>
        <v>EMPRESA CONSERVADORA AMBIENTAL DEL SUR E.I.R.L. - ECA SUR E.I.R.L.</v>
      </c>
      <c r="X401" s="19" t="str">
        <f>IF(Banco_Nacion[[#This Row],[TIPO DE MOV.]]="INGRESO",Banco_Nacion[[#This Row],[SERIE]]&amp;Banco_Nacion[[#This Row],[NUMERO]]&amp;Banco_Nacion[[#This Row],[RESPONSABLE]]&amp;Banco_Nacion[[#This Row],[MONTO ]],"")</f>
        <v>20455283915166</v>
      </c>
      <c r="Y40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78705448</v>
      </c>
      <c r="Z401" s="3"/>
      <c r="AA401" s="3"/>
      <c r="AB401" s="24" t="str">
        <f>IF(Banco_Nacion[[#This Row],[FECHA]]&gt;0,TEXT(Banco_Nacion[[#This Row],[FECHA]],"mmmm"),0)</f>
        <v>Junio</v>
      </c>
    </row>
    <row r="402" spans="2:28" x14ac:dyDescent="0.3">
      <c r="B402" s="2">
        <f>IF(Banco_Nacion[[#This Row],[TIPO DE R.]]="R",COUNTIFS($D$4:$D401,"R")+1,"")</f>
        <v>398</v>
      </c>
      <c r="C402" s="19" t="str">
        <f t="shared" si="30"/>
        <v>B-Banco de la Nacion</v>
      </c>
      <c r="D402" s="3" t="s">
        <v>1074</v>
      </c>
      <c r="E402" s="14">
        <v>45811</v>
      </c>
      <c r="F402" s="5">
        <v>20455283915</v>
      </c>
      <c r="G402" s="5" t="s">
        <v>1087</v>
      </c>
      <c r="H402" s="6" t="s">
        <v>368</v>
      </c>
      <c r="I402" s="6"/>
      <c r="J402" s="6" t="s">
        <v>4289</v>
      </c>
      <c r="K402" s="6" t="s">
        <v>4289</v>
      </c>
      <c r="L402" s="7" t="s">
        <v>4290</v>
      </c>
      <c r="M402" s="8">
        <v>78705447</v>
      </c>
      <c r="N402" s="8" t="str">
        <f t="shared" si="31"/>
        <v>PEN</v>
      </c>
      <c r="O402" s="13"/>
      <c r="P402" s="13">
        <v>60</v>
      </c>
      <c r="Q402" s="3">
        <f t="shared" si="32"/>
        <v>60</v>
      </c>
      <c r="R402" s="3">
        <f t="shared" si="33"/>
        <v>0</v>
      </c>
      <c r="S402" s="3">
        <f t="shared" si="34"/>
        <v>55397.220000000008</v>
      </c>
      <c r="T402" s="24"/>
      <c r="U402" s="24"/>
      <c r="V402" s="3"/>
      <c r="W402" s="19" t="str">
        <f>IFERROR(VLOOKUP(Banco_Nacion[[#This Row],[RESPONSABLE]],Clientes_Proveedores[[Ruc / Dni]:[Razon Social]],2,0),"")</f>
        <v>EMPRESA CONSERVADORA AMBIENTAL DEL SUR E.I.R.L. - ECA SUR E.I.R.L.</v>
      </c>
      <c r="X402" s="19" t="str">
        <f>IF(Banco_Nacion[[#This Row],[TIPO DE MOV.]]="INGRESO",Banco_Nacion[[#This Row],[SERIE]]&amp;Banco_Nacion[[#This Row],[NUMERO]]&amp;Banco_Nacion[[#This Row],[RESPONSABLE]]&amp;Banco_Nacion[[#This Row],[MONTO ]],"")</f>
        <v>2045528391560</v>
      </c>
      <c r="Y40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78705447</v>
      </c>
      <c r="Z402" s="3"/>
      <c r="AA402" s="3"/>
      <c r="AB402" s="24" t="str">
        <f>IF(Banco_Nacion[[#This Row],[FECHA]]&gt;0,TEXT(Banco_Nacion[[#This Row],[FECHA]],"mmmm"),0)</f>
        <v>Junio</v>
      </c>
    </row>
    <row r="403" spans="2:28" x14ac:dyDescent="0.3">
      <c r="B403" s="2">
        <f>IF(Banco_Nacion[[#This Row],[TIPO DE R.]]="R",COUNTIFS($D$4:$D402,"R")+1,"")</f>
        <v>399</v>
      </c>
      <c r="C403" s="19" t="str">
        <f t="shared" si="30"/>
        <v>B-Banco de la Nacion</v>
      </c>
      <c r="D403" s="3" t="s">
        <v>1074</v>
      </c>
      <c r="E403" s="14">
        <v>45811</v>
      </c>
      <c r="F403" s="5">
        <v>20120788389</v>
      </c>
      <c r="G403" s="5" t="s">
        <v>1087</v>
      </c>
      <c r="H403" s="6" t="s">
        <v>368</v>
      </c>
      <c r="I403" s="6"/>
      <c r="J403" s="6" t="s">
        <v>4289</v>
      </c>
      <c r="K403" s="6" t="s">
        <v>4289</v>
      </c>
      <c r="L403" s="7" t="s">
        <v>4290</v>
      </c>
      <c r="M403" s="8">
        <v>78703872</v>
      </c>
      <c r="N403" s="8" t="str">
        <f t="shared" si="31"/>
        <v>PEN</v>
      </c>
      <c r="O403" s="13"/>
      <c r="P403" s="13">
        <v>95</v>
      </c>
      <c r="Q403" s="3">
        <f t="shared" si="32"/>
        <v>95</v>
      </c>
      <c r="R403" s="3">
        <f t="shared" si="33"/>
        <v>0</v>
      </c>
      <c r="S403" s="3">
        <f t="shared" si="34"/>
        <v>55492.220000000008</v>
      </c>
      <c r="T403" s="24"/>
      <c r="U403" s="24"/>
      <c r="V403" s="3"/>
      <c r="W403" s="19" t="str">
        <f>IFERROR(VLOOKUP(Banco_Nacion[[#This Row],[RESPONSABLE]],Clientes_Proveedores[[Ruc / Dni]:[Razon Social]],2,0),"")</f>
        <v>CARMEN INMUEBLES S.A.</v>
      </c>
      <c r="X403" s="19" t="str">
        <f>IF(Banco_Nacion[[#This Row],[TIPO DE MOV.]]="INGRESO",Banco_Nacion[[#This Row],[SERIE]]&amp;Banco_Nacion[[#This Row],[NUMERO]]&amp;Banco_Nacion[[#This Row],[RESPONSABLE]]&amp;Banco_Nacion[[#This Row],[MONTO ]],"")</f>
        <v>2012078838995</v>
      </c>
      <c r="Y40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78703872</v>
      </c>
      <c r="Z403" s="3"/>
      <c r="AA403" s="3"/>
      <c r="AB403" s="24" t="str">
        <f>IF(Banco_Nacion[[#This Row],[FECHA]]&gt;0,TEXT(Banco_Nacion[[#This Row],[FECHA]],"mmmm"),0)</f>
        <v>Junio</v>
      </c>
    </row>
    <row r="404" spans="2:28" x14ac:dyDescent="0.3">
      <c r="B404" s="2">
        <f>IF(Banco_Nacion[[#This Row],[TIPO DE R.]]="R",COUNTIFS($D$4:$D403,"R")+1,"")</f>
        <v>400</v>
      </c>
      <c r="C404" s="19" t="str">
        <f t="shared" si="30"/>
        <v>B-Banco de la Nacion</v>
      </c>
      <c r="D404" s="3" t="s">
        <v>1074</v>
      </c>
      <c r="E404" s="14">
        <v>45811</v>
      </c>
      <c r="F404" s="5"/>
      <c r="G404" s="5" t="s">
        <v>1079</v>
      </c>
      <c r="H404" s="6"/>
      <c r="I404" s="6"/>
      <c r="J404" s="6" t="s">
        <v>4289</v>
      </c>
      <c r="K404" s="6" t="s">
        <v>4289</v>
      </c>
      <c r="L404" s="7" t="s">
        <v>4292</v>
      </c>
      <c r="M404" s="8">
        <v>78787878</v>
      </c>
      <c r="N404" s="8" t="str">
        <f t="shared" si="31"/>
        <v>PEN</v>
      </c>
      <c r="O404" s="13"/>
      <c r="P404" s="13">
        <v>14775</v>
      </c>
      <c r="Q404" s="3">
        <f t="shared" si="32"/>
        <v>0</v>
      </c>
      <c r="R404" s="3">
        <f t="shared" si="33"/>
        <v>14775</v>
      </c>
      <c r="S404" s="3">
        <f t="shared" si="34"/>
        <v>40717.220000000008</v>
      </c>
      <c r="T404" s="24"/>
      <c r="U404" s="24"/>
      <c r="V404" s="3"/>
      <c r="W404" s="19" t="str">
        <f>IFERROR(VLOOKUP(Banco_Nacion[[#This Row],[RESPONSABLE]],Clientes_Proveedores[[Ruc / Dni]:[Razon Social]],2,0),"")</f>
        <v/>
      </c>
      <c r="X40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40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404" s="3"/>
      <c r="AA404" s="3"/>
      <c r="AB404" s="24" t="str">
        <f>IF(Banco_Nacion[[#This Row],[FECHA]]&gt;0,TEXT(Banco_Nacion[[#This Row],[FECHA]],"mmmm"),0)</f>
        <v>Junio</v>
      </c>
    </row>
    <row r="405" spans="2:28" x14ac:dyDescent="0.3">
      <c r="B405" s="2">
        <f>IF(Banco_Nacion[[#This Row],[TIPO DE R.]]="R",COUNTIFS($D$4:$D404,"R")+1,"")</f>
        <v>401</v>
      </c>
      <c r="C405" s="19" t="str">
        <f t="shared" si="30"/>
        <v>B-Banco de la Nacion</v>
      </c>
      <c r="D405" s="3" t="s">
        <v>1074</v>
      </c>
      <c r="E405" s="14">
        <v>45813</v>
      </c>
      <c r="F405" s="5">
        <v>20100192064</v>
      </c>
      <c r="G405" s="5" t="s">
        <v>1087</v>
      </c>
      <c r="H405" s="6" t="s">
        <v>368</v>
      </c>
      <c r="I405" s="6"/>
      <c r="J405" s="6" t="s">
        <v>4289</v>
      </c>
      <c r="K405" s="6" t="s">
        <v>4289</v>
      </c>
      <c r="L405" s="7" t="s">
        <v>4290</v>
      </c>
      <c r="M405" s="8">
        <v>78946627</v>
      </c>
      <c r="N405" s="8" t="str">
        <f t="shared" si="31"/>
        <v>PEN</v>
      </c>
      <c r="O405" s="13"/>
      <c r="P405" s="13">
        <v>735</v>
      </c>
      <c r="Q405" s="3">
        <f t="shared" si="32"/>
        <v>735</v>
      </c>
      <c r="R405" s="3">
        <f t="shared" si="33"/>
        <v>0</v>
      </c>
      <c r="S405" s="3">
        <f t="shared" si="34"/>
        <v>41452.220000000008</v>
      </c>
      <c r="T405" s="24"/>
      <c r="U405" s="24"/>
      <c r="V405" s="3"/>
      <c r="W405" s="19" t="str">
        <f>IFERROR(VLOOKUP(Banco_Nacion[[#This Row],[RESPONSABLE]],Clientes_Proveedores[[Ruc / Dni]:[Razon Social]],2,0),"")</f>
        <v>MOLY-COP ADESUR S.A</v>
      </c>
      <c r="X405" s="19" t="str">
        <f>IF(Banco_Nacion[[#This Row],[TIPO DE MOV.]]="INGRESO",Banco_Nacion[[#This Row],[SERIE]]&amp;Banco_Nacion[[#This Row],[NUMERO]]&amp;Banco_Nacion[[#This Row],[RESPONSABLE]]&amp;Banco_Nacion[[#This Row],[MONTO ]],"")</f>
        <v>20100192064735</v>
      </c>
      <c r="Y40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78946627</v>
      </c>
      <c r="Z405" s="3"/>
      <c r="AA405" s="3"/>
      <c r="AB405" s="24" t="str">
        <f>IF(Banco_Nacion[[#This Row],[FECHA]]&gt;0,TEXT(Banco_Nacion[[#This Row],[FECHA]],"mmmm"),0)</f>
        <v>Junio</v>
      </c>
    </row>
    <row r="406" spans="2:28" x14ac:dyDescent="0.3">
      <c r="B406" s="2">
        <f>IF(Banco_Nacion[[#This Row],[TIPO DE R.]]="R",COUNTIFS($D$4:$D405,"R")+1,"")</f>
        <v>402</v>
      </c>
      <c r="C406" s="19" t="str">
        <f t="shared" si="30"/>
        <v>B-Banco de la Nacion</v>
      </c>
      <c r="D406" s="3" t="s">
        <v>1074</v>
      </c>
      <c r="E406" s="14">
        <v>45814</v>
      </c>
      <c r="F406" s="5">
        <v>20419158462</v>
      </c>
      <c r="G406" s="5" t="s">
        <v>1087</v>
      </c>
      <c r="H406" s="6" t="s">
        <v>368</v>
      </c>
      <c r="I406" s="6"/>
      <c r="J406" s="6" t="s">
        <v>4289</v>
      </c>
      <c r="K406" s="6" t="s">
        <v>4289</v>
      </c>
      <c r="L406" s="7" t="s">
        <v>4290</v>
      </c>
      <c r="M406" s="8">
        <v>79255565</v>
      </c>
      <c r="N406" s="8" t="str">
        <f t="shared" si="31"/>
        <v>PEN</v>
      </c>
      <c r="O406" s="13"/>
      <c r="P406" s="13">
        <v>202</v>
      </c>
      <c r="Q406" s="3">
        <f t="shared" si="32"/>
        <v>202</v>
      </c>
      <c r="R406" s="3">
        <f t="shared" si="33"/>
        <v>0</v>
      </c>
      <c r="S406" s="3">
        <f t="shared" si="34"/>
        <v>41654.220000000008</v>
      </c>
      <c r="T406" s="24"/>
      <c r="U406" s="24"/>
      <c r="V406" s="3"/>
      <c r="W406" s="19" t="str">
        <f>IFERROR(VLOOKUP(Banco_Nacion[[#This Row],[RESPONSABLE]],Clientes_Proveedores[[Ruc / Dni]:[Razon Social]],2,0),"")</f>
        <v>GRANJA RINCONADA DEL SUR S.A.</v>
      </c>
      <c r="X406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40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79255565</v>
      </c>
      <c r="Z406" s="3"/>
      <c r="AA406" s="3"/>
      <c r="AB406" s="24" t="str">
        <f>IF(Banco_Nacion[[#This Row],[FECHA]]&gt;0,TEXT(Banco_Nacion[[#This Row],[FECHA]],"mmmm"),0)</f>
        <v>Junio</v>
      </c>
    </row>
    <row r="407" spans="2:28" x14ac:dyDescent="0.3">
      <c r="B407" s="2">
        <f>IF(Banco_Nacion[[#This Row],[TIPO DE R.]]="R",COUNTIFS($D$4:$D406,"R")+1,"")</f>
        <v>403</v>
      </c>
      <c r="C407" s="19" t="str">
        <f t="shared" si="30"/>
        <v>B-Banco de la Nacion</v>
      </c>
      <c r="D407" s="3" t="s">
        <v>1074</v>
      </c>
      <c r="E407" s="14">
        <v>45814</v>
      </c>
      <c r="F407" s="5">
        <v>20419158462</v>
      </c>
      <c r="G407" s="5" t="s">
        <v>1087</v>
      </c>
      <c r="H407" s="6" t="s">
        <v>368</v>
      </c>
      <c r="I407" s="6"/>
      <c r="J407" s="6" t="s">
        <v>4289</v>
      </c>
      <c r="K407" s="6" t="s">
        <v>4289</v>
      </c>
      <c r="L407" s="7" t="s">
        <v>4290</v>
      </c>
      <c r="M407" s="8">
        <v>79255564</v>
      </c>
      <c r="N407" s="8" t="str">
        <f t="shared" si="31"/>
        <v>PEN</v>
      </c>
      <c r="O407" s="13"/>
      <c r="P407" s="13">
        <v>202</v>
      </c>
      <c r="Q407" s="3">
        <f t="shared" si="32"/>
        <v>202</v>
      </c>
      <c r="R407" s="3">
        <f t="shared" si="33"/>
        <v>0</v>
      </c>
      <c r="S407" s="3">
        <f t="shared" si="34"/>
        <v>41856.220000000008</v>
      </c>
      <c r="T407" s="24"/>
      <c r="U407" s="24"/>
      <c r="V407" s="3"/>
      <c r="W407" s="19" t="str">
        <f>IFERROR(VLOOKUP(Banco_Nacion[[#This Row],[RESPONSABLE]],Clientes_Proveedores[[Ruc / Dni]:[Razon Social]],2,0),"")</f>
        <v>GRANJA RINCONADA DEL SUR S.A.</v>
      </c>
      <c r="X407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40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79255564</v>
      </c>
      <c r="Z407" s="3"/>
      <c r="AA407" s="3"/>
      <c r="AB407" s="24" t="str">
        <f>IF(Banco_Nacion[[#This Row],[FECHA]]&gt;0,TEXT(Banco_Nacion[[#This Row],[FECHA]],"mmmm"),0)</f>
        <v>Junio</v>
      </c>
    </row>
    <row r="408" spans="2:28" x14ac:dyDescent="0.3">
      <c r="B408" s="2">
        <f>IF(Banco_Nacion[[#This Row],[TIPO DE R.]]="R",COUNTIFS($D$4:$D407,"R")+1,"")</f>
        <v>404</v>
      </c>
      <c r="C408" s="19" t="str">
        <f t="shared" si="30"/>
        <v>B-Banco de la Nacion</v>
      </c>
      <c r="D408" s="3" t="s">
        <v>1074</v>
      </c>
      <c r="E408" s="14">
        <v>45814</v>
      </c>
      <c r="F408" s="5">
        <v>20419158462</v>
      </c>
      <c r="G408" s="5" t="s">
        <v>1087</v>
      </c>
      <c r="H408" s="6" t="s">
        <v>368</v>
      </c>
      <c r="I408" s="6"/>
      <c r="J408" s="6" t="s">
        <v>4289</v>
      </c>
      <c r="K408" s="6" t="s">
        <v>4289</v>
      </c>
      <c r="L408" s="7" t="s">
        <v>4290</v>
      </c>
      <c r="M408" s="8">
        <v>79255563</v>
      </c>
      <c r="N408" s="8" t="str">
        <f t="shared" si="31"/>
        <v>PEN</v>
      </c>
      <c r="O408" s="13"/>
      <c r="P408" s="13">
        <v>202</v>
      </c>
      <c r="Q408" s="3">
        <f t="shared" si="32"/>
        <v>202</v>
      </c>
      <c r="R408" s="3">
        <f t="shared" si="33"/>
        <v>0</v>
      </c>
      <c r="S408" s="3">
        <f t="shared" si="34"/>
        <v>42058.220000000008</v>
      </c>
      <c r="T408" s="24"/>
      <c r="U408" s="24"/>
      <c r="V408" s="3"/>
      <c r="W408" s="19" t="str">
        <f>IFERROR(VLOOKUP(Banco_Nacion[[#This Row],[RESPONSABLE]],Clientes_Proveedores[[Ruc / Dni]:[Razon Social]],2,0),"")</f>
        <v>GRANJA RINCONADA DEL SUR S.A.</v>
      </c>
      <c r="X408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40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79255563</v>
      </c>
      <c r="Z408" s="3"/>
      <c r="AA408" s="3"/>
      <c r="AB408" s="24" t="str">
        <f>IF(Banco_Nacion[[#This Row],[FECHA]]&gt;0,TEXT(Banco_Nacion[[#This Row],[FECHA]],"mmmm"),0)</f>
        <v>Junio</v>
      </c>
    </row>
    <row r="409" spans="2:28" x14ac:dyDescent="0.3">
      <c r="B409" s="2">
        <f>IF(Banco_Nacion[[#This Row],[TIPO DE R.]]="R",COUNTIFS($D$4:$D408,"R")+1,"")</f>
        <v>405</v>
      </c>
      <c r="C409" s="19" t="str">
        <f t="shared" si="30"/>
        <v>B-Banco de la Nacion</v>
      </c>
      <c r="D409" s="3" t="s">
        <v>1074</v>
      </c>
      <c r="E409" s="14">
        <v>45814</v>
      </c>
      <c r="F409" s="5">
        <v>20419158462</v>
      </c>
      <c r="G409" s="5" t="s">
        <v>1087</v>
      </c>
      <c r="H409" s="6" t="s">
        <v>368</v>
      </c>
      <c r="I409" s="6"/>
      <c r="J409" s="6" t="s">
        <v>4289</v>
      </c>
      <c r="K409" s="6" t="s">
        <v>4289</v>
      </c>
      <c r="L409" s="7" t="s">
        <v>4290</v>
      </c>
      <c r="M409" s="8">
        <v>79255562</v>
      </c>
      <c r="N409" s="8" t="str">
        <f t="shared" si="31"/>
        <v>PEN</v>
      </c>
      <c r="O409" s="13"/>
      <c r="P409" s="13">
        <v>202</v>
      </c>
      <c r="Q409" s="3">
        <f t="shared" si="32"/>
        <v>202</v>
      </c>
      <c r="R409" s="3">
        <f t="shared" si="33"/>
        <v>0</v>
      </c>
      <c r="S409" s="3">
        <f t="shared" si="34"/>
        <v>42260.220000000008</v>
      </c>
      <c r="T409" s="24"/>
      <c r="U409" s="24"/>
      <c r="V409" s="3"/>
      <c r="W409" s="19" t="str">
        <f>IFERROR(VLOOKUP(Banco_Nacion[[#This Row],[RESPONSABLE]],Clientes_Proveedores[[Ruc / Dni]:[Razon Social]],2,0),"")</f>
        <v>GRANJA RINCONADA DEL SUR S.A.</v>
      </c>
      <c r="X409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40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79255562</v>
      </c>
      <c r="Z409" s="3"/>
      <c r="AA409" s="3"/>
      <c r="AB409" s="24" t="str">
        <f>IF(Banco_Nacion[[#This Row],[FECHA]]&gt;0,TEXT(Banco_Nacion[[#This Row],[FECHA]],"mmmm"),0)</f>
        <v>Junio</v>
      </c>
    </row>
    <row r="410" spans="2:28" x14ac:dyDescent="0.3">
      <c r="B410" s="2">
        <f>IF(Banco_Nacion[[#This Row],[TIPO DE R.]]="R",COUNTIFS($D$4:$D409,"R")+1,"")</f>
        <v>406</v>
      </c>
      <c r="C410" s="19" t="str">
        <f t="shared" si="30"/>
        <v>B-Banco de la Nacion</v>
      </c>
      <c r="D410" s="3" t="s">
        <v>1074</v>
      </c>
      <c r="E410" s="14">
        <v>45814</v>
      </c>
      <c r="F410" s="5">
        <v>20419158462</v>
      </c>
      <c r="G410" s="5" t="s">
        <v>1087</v>
      </c>
      <c r="H410" s="6" t="s">
        <v>368</v>
      </c>
      <c r="I410" s="6"/>
      <c r="J410" s="6" t="s">
        <v>4289</v>
      </c>
      <c r="K410" s="6" t="s">
        <v>4289</v>
      </c>
      <c r="L410" s="7" t="s">
        <v>4290</v>
      </c>
      <c r="M410" s="8">
        <v>79255561</v>
      </c>
      <c r="N410" s="8" t="str">
        <f t="shared" si="31"/>
        <v>PEN</v>
      </c>
      <c r="O410" s="13"/>
      <c r="P410" s="13">
        <v>202</v>
      </c>
      <c r="Q410" s="3">
        <f t="shared" si="32"/>
        <v>202</v>
      </c>
      <c r="R410" s="3">
        <f t="shared" si="33"/>
        <v>0</v>
      </c>
      <c r="S410" s="3">
        <f t="shared" si="34"/>
        <v>42462.220000000008</v>
      </c>
      <c r="T410" s="24"/>
      <c r="U410" s="24"/>
      <c r="V410" s="3"/>
      <c r="W410" s="19" t="str">
        <f>IFERROR(VLOOKUP(Banco_Nacion[[#This Row],[RESPONSABLE]],Clientes_Proveedores[[Ruc / Dni]:[Razon Social]],2,0),"")</f>
        <v>GRANJA RINCONADA DEL SUR S.A.</v>
      </c>
      <c r="X410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41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79255561</v>
      </c>
      <c r="Z410" s="3"/>
      <c r="AA410" s="3"/>
      <c r="AB410" s="24" t="str">
        <f>IF(Banco_Nacion[[#This Row],[FECHA]]&gt;0,TEXT(Banco_Nacion[[#This Row],[FECHA]],"mmmm"),0)</f>
        <v>Junio</v>
      </c>
    </row>
    <row r="411" spans="2:28" x14ac:dyDescent="0.3">
      <c r="B411" s="2">
        <f>IF(Banco_Nacion[[#This Row],[TIPO DE R.]]="R",COUNTIFS($D$4:$D410,"R")+1,"")</f>
        <v>407</v>
      </c>
      <c r="C411" s="19" t="str">
        <f t="shared" si="30"/>
        <v>B-Banco de la Nacion</v>
      </c>
      <c r="D411" s="3" t="s">
        <v>1074</v>
      </c>
      <c r="E411" s="14">
        <v>45817</v>
      </c>
      <c r="F411" s="5">
        <v>20121393736</v>
      </c>
      <c r="G411" s="5" t="s">
        <v>1087</v>
      </c>
      <c r="H411" s="6" t="s">
        <v>368</v>
      </c>
      <c r="I411" s="6"/>
      <c r="J411" s="6" t="s">
        <v>4289</v>
      </c>
      <c r="K411" s="6" t="s">
        <v>4289</v>
      </c>
      <c r="L411" s="7" t="s">
        <v>4290</v>
      </c>
      <c r="M411" s="8">
        <v>79698061</v>
      </c>
      <c r="N411" s="8" t="str">
        <f t="shared" si="31"/>
        <v>PEN</v>
      </c>
      <c r="O411" s="13"/>
      <c r="P411" s="13">
        <v>119</v>
      </c>
      <c r="Q411" s="3">
        <f t="shared" si="32"/>
        <v>119</v>
      </c>
      <c r="R411" s="3">
        <f t="shared" si="33"/>
        <v>0</v>
      </c>
      <c r="S411" s="3">
        <f t="shared" si="34"/>
        <v>42581.220000000008</v>
      </c>
      <c r="T411" s="24"/>
      <c r="U411" s="24"/>
      <c r="V411" s="3"/>
      <c r="W411" s="19" t="str">
        <f>IFERROR(VLOOKUP(Banco_Nacion[[#This Row],[RESPONSABLE]],Clientes_Proveedores[[Ruc / Dni]:[Razon Social]],2,0),"")</f>
        <v>EMPRESA YURA SRL</v>
      </c>
      <c r="X411" s="19" t="str">
        <f>IF(Banco_Nacion[[#This Row],[TIPO DE MOV.]]="INGRESO",Banco_Nacion[[#This Row],[SERIE]]&amp;Banco_Nacion[[#This Row],[NUMERO]]&amp;Banco_Nacion[[#This Row],[RESPONSABLE]]&amp;Banco_Nacion[[#This Row],[MONTO ]],"")</f>
        <v>20121393736119</v>
      </c>
      <c r="Y41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79698061</v>
      </c>
      <c r="Z411" s="3"/>
      <c r="AA411" s="3"/>
      <c r="AB411" s="24" t="str">
        <f>IF(Banco_Nacion[[#This Row],[FECHA]]&gt;0,TEXT(Banco_Nacion[[#This Row],[FECHA]],"mmmm"),0)</f>
        <v>Junio</v>
      </c>
    </row>
    <row r="412" spans="2:28" x14ac:dyDescent="0.3">
      <c r="B412" s="2">
        <f>IF(Banco_Nacion[[#This Row],[TIPO DE R.]]="R",COUNTIFS($D$4:$D411,"R")+1,"")</f>
        <v>408</v>
      </c>
      <c r="C412" s="19" t="str">
        <f t="shared" si="30"/>
        <v>B-Banco de la Nacion</v>
      </c>
      <c r="D412" s="3" t="s">
        <v>1074</v>
      </c>
      <c r="E412" s="14">
        <v>45817</v>
      </c>
      <c r="F412" s="5">
        <v>20601852927</v>
      </c>
      <c r="G412" s="5" t="s">
        <v>1087</v>
      </c>
      <c r="H412" s="6" t="s">
        <v>368</v>
      </c>
      <c r="I412" s="6"/>
      <c r="J412" s="6" t="s">
        <v>4289</v>
      </c>
      <c r="K412" s="6" t="s">
        <v>4289</v>
      </c>
      <c r="L412" s="7" t="s">
        <v>4290</v>
      </c>
      <c r="M412" s="8">
        <v>79605073</v>
      </c>
      <c r="N412" s="8" t="str">
        <f t="shared" si="31"/>
        <v>PEN</v>
      </c>
      <c r="O412" s="13"/>
      <c r="P412" s="13">
        <v>149</v>
      </c>
      <c r="Q412" s="3">
        <f t="shared" si="32"/>
        <v>149</v>
      </c>
      <c r="R412" s="3">
        <f t="shared" si="33"/>
        <v>0</v>
      </c>
      <c r="S412" s="3">
        <f t="shared" si="34"/>
        <v>42730.220000000008</v>
      </c>
      <c r="T412" s="24"/>
      <c r="U412" s="24"/>
      <c r="V412" s="3"/>
      <c r="W412" s="19" t="str">
        <f>IFERROR(VLOOKUP(Banco_Nacion[[#This Row],[RESPONSABLE]],Clientes_Proveedores[[Ruc / Dni]:[Razon Social]],2,0),"")</f>
        <v>CONSORCIO PUENTES DEL NORTE</v>
      </c>
      <c r="X412" s="19" t="str">
        <f>IF(Banco_Nacion[[#This Row],[TIPO DE MOV.]]="INGRESO",Banco_Nacion[[#This Row],[SERIE]]&amp;Banco_Nacion[[#This Row],[NUMERO]]&amp;Banco_Nacion[[#This Row],[RESPONSABLE]]&amp;Banco_Nacion[[#This Row],[MONTO ]],"")</f>
        <v>20601852927149</v>
      </c>
      <c r="Y41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79605073</v>
      </c>
      <c r="Z412" s="3"/>
      <c r="AA412" s="3"/>
      <c r="AB412" s="24" t="str">
        <f>IF(Banco_Nacion[[#This Row],[FECHA]]&gt;0,TEXT(Banco_Nacion[[#This Row],[FECHA]],"mmmm"),0)</f>
        <v>Junio</v>
      </c>
    </row>
    <row r="413" spans="2:28" x14ac:dyDescent="0.3">
      <c r="B413" s="2">
        <f>IF(Banco_Nacion[[#This Row],[TIPO DE R.]]="R",COUNTIFS($D$4:$D412,"R")+1,"")</f>
        <v>409</v>
      </c>
      <c r="C413" s="19" t="str">
        <f t="shared" si="30"/>
        <v>B-Banco de la Nacion</v>
      </c>
      <c r="D413" s="3" t="s">
        <v>1074</v>
      </c>
      <c r="E413" s="14">
        <v>45817</v>
      </c>
      <c r="F413" s="5">
        <v>20514133931</v>
      </c>
      <c r="G413" s="5" t="s">
        <v>1087</v>
      </c>
      <c r="H413" s="6" t="s">
        <v>368</v>
      </c>
      <c r="I413" s="6"/>
      <c r="J413" s="6" t="s">
        <v>4289</v>
      </c>
      <c r="K413" s="6" t="s">
        <v>4289</v>
      </c>
      <c r="L413" s="7" t="s">
        <v>4290</v>
      </c>
      <c r="M413" s="8">
        <v>79574000</v>
      </c>
      <c r="N413" s="8" t="str">
        <f t="shared" si="31"/>
        <v>PEN</v>
      </c>
      <c r="O413" s="13"/>
      <c r="P413" s="13">
        <v>9</v>
      </c>
      <c r="Q413" s="3">
        <f t="shared" si="32"/>
        <v>9</v>
      </c>
      <c r="R413" s="3">
        <f t="shared" si="33"/>
        <v>0</v>
      </c>
      <c r="S413" s="3">
        <f t="shared" si="34"/>
        <v>42739.220000000008</v>
      </c>
      <c r="T413" s="24"/>
      <c r="U413" s="24"/>
      <c r="V413" s="3"/>
      <c r="W413" s="19" t="str">
        <f>IFERROR(VLOOKUP(Banco_Nacion[[#This Row],[RESPONSABLE]],Clientes_Proveedores[[Ruc / Dni]:[Razon Social]],2,0),"")</f>
        <v>CORPORACION MEDIOAMBIENTAL AMPCO PERU SOCIEDAD ANONIMA CERRADA
- CM AMPCO PERU S.A.C</v>
      </c>
      <c r="X413" s="19" t="str">
        <f>IF(Banco_Nacion[[#This Row],[TIPO DE MOV.]]="INGRESO",Banco_Nacion[[#This Row],[SERIE]]&amp;Banco_Nacion[[#This Row],[NUMERO]]&amp;Banco_Nacion[[#This Row],[RESPONSABLE]]&amp;Banco_Nacion[[#This Row],[MONTO ]],"")</f>
        <v>205141339319</v>
      </c>
      <c r="Y41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79574000</v>
      </c>
      <c r="Z413" s="3"/>
      <c r="AA413" s="3"/>
      <c r="AB413" s="24" t="str">
        <f>IF(Banco_Nacion[[#This Row],[FECHA]]&gt;0,TEXT(Banco_Nacion[[#This Row],[FECHA]],"mmmm"),0)</f>
        <v>Junio</v>
      </c>
    </row>
    <row r="414" spans="2:28" x14ac:dyDescent="0.3">
      <c r="B414" s="2">
        <f>IF(Banco_Nacion[[#This Row],[TIPO DE R.]]="R",COUNTIFS($D$4:$D413,"R")+1,"")</f>
        <v>410</v>
      </c>
      <c r="C414" s="19" t="str">
        <f t="shared" si="30"/>
        <v>B-Banco de la Nacion</v>
      </c>
      <c r="D414" s="3" t="s">
        <v>1074</v>
      </c>
      <c r="E414" s="14">
        <v>45817</v>
      </c>
      <c r="F414" s="5">
        <v>20406463614</v>
      </c>
      <c r="G414" s="5" t="s">
        <v>1087</v>
      </c>
      <c r="H414" s="6" t="s">
        <v>368</v>
      </c>
      <c r="I414" s="6"/>
      <c r="J414" s="6" t="s">
        <v>4289</v>
      </c>
      <c r="K414" s="6" t="s">
        <v>4289</v>
      </c>
      <c r="L414" s="7" t="s">
        <v>4290</v>
      </c>
      <c r="M414" s="8">
        <v>79548819</v>
      </c>
      <c r="N414" s="8" t="str">
        <f t="shared" si="31"/>
        <v>PEN</v>
      </c>
      <c r="O414" s="13"/>
      <c r="P414" s="13">
        <v>376</v>
      </c>
      <c r="Q414" s="3">
        <f t="shared" si="32"/>
        <v>376</v>
      </c>
      <c r="R414" s="3">
        <f t="shared" si="33"/>
        <v>0</v>
      </c>
      <c r="S414" s="3">
        <f t="shared" si="34"/>
        <v>43115.220000000008</v>
      </c>
      <c r="T414" s="24"/>
      <c r="U414" s="24"/>
      <c r="V414" s="3"/>
      <c r="W414" s="19" t="str">
        <f>IFERROR(VLOOKUP(Banco_Nacion[[#This Row],[RESPONSABLE]],Clientes_Proveedores[[Ruc / Dni]:[Razon Social]],2,0),"")</f>
        <v>COOPERATIVA MINERA ESTRELLA DE ORO DE ANANEA LIMITADA</v>
      </c>
      <c r="X414" s="19" t="str">
        <f>IF(Banco_Nacion[[#This Row],[TIPO DE MOV.]]="INGRESO",Banco_Nacion[[#This Row],[SERIE]]&amp;Banco_Nacion[[#This Row],[NUMERO]]&amp;Banco_Nacion[[#This Row],[RESPONSABLE]]&amp;Banco_Nacion[[#This Row],[MONTO ]],"")</f>
        <v>20406463614376</v>
      </c>
      <c r="Y41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79548819</v>
      </c>
      <c r="Z414" s="3"/>
      <c r="AA414" s="3"/>
      <c r="AB414" s="24" t="str">
        <f>IF(Banco_Nacion[[#This Row],[FECHA]]&gt;0,TEXT(Banco_Nacion[[#This Row],[FECHA]],"mmmm"),0)</f>
        <v>Junio</v>
      </c>
    </row>
    <row r="415" spans="2:28" x14ac:dyDescent="0.3">
      <c r="B415" s="2">
        <f>IF(Banco_Nacion[[#This Row],[TIPO DE R.]]="R",COUNTIFS($D$4:$D414,"R")+1,"")</f>
        <v>411</v>
      </c>
      <c r="C415" s="19" t="str">
        <f t="shared" si="30"/>
        <v>B-Banco de la Nacion</v>
      </c>
      <c r="D415" s="3" t="s">
        <v>1074</v>
      </c>
      <c r="E415" s="14">
        <v>45817</v>
      </c>
      <c r="F415" s="5">
        <v>20553956324</v>
      </c>
      <c r="G415" s="5" t="s">
        <v>1087</v>
      </c>
      <c r="H415" s="6" t="s">
        <v>368</v>
      </c>
      <c r="I415" s="6"/>
      <c r="J415" s="6" t="s">
        <v>4289</v>
      </c>
      <c r="K415" s="6" t="s">
        <v>4289</v>
      </c>
      <c r="L415" s="7" t="s">
        <v>4290</v>
      </c>
      <c r="M415" s="8">
        <v>79505445</v>
      </c>
      <c r="N415" s="8" t="str">
        <f t="shared" si="31"/>
        <v>PEN</v>
      </c>
      <c r="O415" s="13"/>
      <c r="P415" s="13">
        <v>693</v>
      </c>
      <c r="Q415" s="3">
        <f t="shared" si="32"/>
        <v>693</v>
      </c>
      <c r="R415" s="3">
        <f t="shared" si="33"/>
        <v>0</v>
      </c>
      <c r="S415" s="3">
        <f t="shared" si="34"/>
        <v>43808.220000000008</v>
      </c>
      <c r="T415" s="24"/>
      <c r="U415" s="24"/>
      <c r="V415" s="3"/>
      <c r="W415" s="19" t="str">
        <f>IFERROR(VLOOKUP(Banco_Nacion[[#This Row],[RESPONSABLE]],Clientes_Proveedores[[Ruc / Dni]:[Razon Social]],2,0),"")</f>
        <v>ALQUIMODUL S.A.C.</v>
      </c>
      <c r="X415" s="19" t="str">
        <f>IF(Banco_Nacion[[#This Row],[TIPO DE MOV.]]="INGRESO",Banco_Nacion[[#This Row],[SERIE]]&amp;Banco_Nacion[[#This Row],[NUMERO]]&amp;Banco_Nacion[[#This Row],[RESPONSABLE]]&amp;Banco_Nacion[[#This Row],[MONTO ]],"")</f>
        <v>20553956324693</v>
      </c>
      <c r="Y41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79505445</v>
      </c>
      <c r="Z415" s="3"/>
      <c r="AA415" s="3"/>
      <c r="AB415" s="24" t="str">
        <f>IF(Banco_Nacion[[#This Row],[FECHA]]&gt;0,TEXT(Banco_Nacion[[#This Row],[FECHA]],"mmmm"),0)</f>
        <v>Junio</v>
      </c>
    </row>
    <row r="416" spans="2:28" x14ac:dyDescent="0.3">
      <c r="B416" s="2">
        <f>IF(Banco_Nacion[[#This Row],[TIPO DE R.]]="R",COUNTIFS($D$4:$D415,"R")+1,"")</f>
        <v>412</v>
      </c>
      <c r="C416" s="19" t="str">
        <f t="shared" si="30"/>
        <v>B-Banco de la Nacion</v>
      </c>
      <c r="D416" s="3" t="s">
        <v>1074</v>
      </c>
      <c r="E416" s="14">
        <v>45817</v>
      </c>
      <c r="F416" s="5">
        <v>20553956324</v>
      </c>
      <c r="G416" s="5" t="s">
        <v>1087</v>
      </c>
      <c r="H416" s="6" t="s">
        <v>368</v>
      </c>
      <c r="I416" s="6"/>
      <c r="J416" s="6" t="s">
        <v>4289</v>
      </c>
      <c r="K416" s="6" t="s">
        <v>4289</v>
      </c>
      <c r="L416" s="7" t="s">
        <v>4290</v>
      </c>
      <c r="M416" s="8">
        <v>79505443</v>
      </c>
      <c r="N416" s="8" t="str">
        <f t="shared" si="31"/>
        <v>PEN</v>
      </c>
      <c r="O416" s="13"/>
      <c r="P416" s="13">
        <v>588</v>
      </c>
      <c r="Q416" s="3">
        <f t="shared" si="32"/>
        <v>588</v>
      </c>
      <c r="R416" s="3">
        <f t="shared" si="33"/>
        <v>0</v>
      </c>
      <c r="S416" s="3">
        <f t="shared" si="34"/>
        <v>44396.220000000008</v>
      </c>
      <c r="T416" s="24"/>
      <c r="U416" s="24"/>
      <c r="V416" s="3"/>
      <c r="W416" s="19" t="str">
        <f>IFERROR(VLOOKUP(Banco_Nacion[[#This Row],[RESPONSABLE]],Clientes_Proveedores[[Ruc / Dni]:[Razon Social]],2,0),"")</f>
        <v>ALQUIMODUL S.A.C.</v>
      </c>
      <c r="X416" s="19" t="str">
        <f>IF(Banco_Nacion[[#This Row],[TIPO DE MOV.]]="INGRESO",Banco_Nacion[[#This Row],[SERIE]]&amp;Banco_Nacion[[#This Row],[NUMERO]]&amp;Banco_Nacion[[#This Row],[RESPONSABLE]]&amp;Banco_Nacion[[#This Row],[MONTO ]],"")</f>
        <v>20553956324588</v>
      </c>
      <c r="Y41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79505443</v>
      </c>
      <c r="Z416" s="3"/>
      <c r="AA416" s="3"/>
      <c r="AB416" s="24" t="str">
        <f>IF(Banco_Nacion[[#This Row],[FECHA]]&gt;0,TEXT(Banco_Nacion[[#This Row],[FECHA]],"mmmm"),0)</f>
        <v>Junio</v>
      </c>
    </row>
    <row r="417" spans="2:28" x14ac:dyDescent="0.3">
      <c r="B417" s="2">
        <f>IF(Banco_Nacion[[#This Row],[TIPO DE R.]]="R",COUNTIFS($D$4:$D416,"R")+1,"")</f>
        <v>413</v>
      </c>
      <c r="C417" s="19" t="str">
        <f t="shared" si="30"/>
        <v>B-Banco de la Nacion</v>
      </c>
      <c r="D417" s="3" t="s">
        <v>1074</v>
      </c>
      <c r="E417" s="14">
        <v>45817</v>
      </c>
      <c r="F417" s="5">
        <v>20603065906</v>
      </c>
      <c r="G417" s="5" t="s">
        <v>1087</v>
      </c>
      <c r="H417" s="6" t="s">
        <v>368</v>
      </c>
      <c r="I417" s="6"/>
      <c r="J417" s="6" t="s">
        <v>4289</v>
      </c>
      <c r="K417" s="6" t="s">
        <v>4289</v>
      </c>
      <c r="L417" s="7" t="s">
        <v>4290</v>
      </c>
      <c r="M417" s="8">
        <v>79493692</v>
      </c>
      <c r="N417" s="8" t="str">
        <f t="shared" si="31"/>
        <v>PEN</v>
      </c>
      <c r="O417" s="13"/>
      <c r="P417" s="13">
        <v>279</v>
      </c>
      <c r="Q417" s="3">
        <f t="shared" si="32"/>
        <v>279</v>
      </c>
      <c r="R417" s="3">
        <f t="shared" si="33"/>
        <v>0</v>
      </c>
      <c r="S417" s="3">
        <f t="shared" si="34"/>
        <v>44675.220000000008</v>
      </c>
      <c r="T417" s="24"/>
      <c r="U417" s="24"/>
      <c r="V417" s="3"/>
      <c r="W417" s="19" t="str">
        <f>IFERROR(VLOOKUP(Banco_Nacion[[#This Row],[RESPONSABLE]],Clientes_Proveedores[[Ruc / Dni]:[Razon Social]],2,0),"")</f>
        <v>COMERCIO SERVICIOS E INVERSIONES YANCE E.I.R.L.</v>
      </c>
      <c r="X417" s="19" t="str">
        <f>IF(Banco_Nacion[[#This Row],[TIPO DE MOV.]]="INGRESO",Banco_Nacion[[#This Row],[SERIE]]&amp;Banco_Nacion[[#This Row],[NUMERO]]&amp;Banco_Nacion[[#This Row],[RESPONSABLE]]&amp;Banco_Nacion[[#This Row],[MONTO ]],"")</f>
        <v>20603065906279</v>
      </c>
      <c r="Y41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79493692</v>
      </c>
      <c r="Z417" s="3"/>
      <c r="AA417" s="3"/>
      <c r="AB417" s="24" t="str">
        <f>IF(Banco_Nacion[[#This Row],[FECHA]]&gt;0,TEXT(Banco_Nacion[[#This Row],[FECHA]],"mmmm"),0)</f>
        <v>Junio</v>
      </c>
    </row>
    <row r="418" spans="2:28" x14ac:dyDescent="0.3">
      <c r="B418" s="2">
        <f>IF(Banco_Nacion[[#This Row],[TIPO DE R.]]="R",COUNTIFS($D$4:$D417,"R")+1,"")</f>
        <v>414</v>
      </c>
      <c r="C418" s="19" t="str">
        <f t="shared" si="30"/>
        <v>B-Banco de la Nacion</v>
      </c>
      <c r="D418" s="3" t="s">
        <v>1074</v>
      </c>
      <c r="E418" s="14">
        <v>45817</v>
      </c>
      <c r="F418" s="5">
        <v>20603065906</v>
      </c>
      <c r="G418" s="5" t="s">
        <v>1087</v>
      </c>
      <c r="H418" s="6" t="s">
        <v>368</v>
      </c>
      <c r="I418" s="6"/>
      <c r="J418" s="6" t="s">
        <v>4289</v>
      </c>
      <c r="K418" s="6" t="s">
        <v>4289</v>
      </c>
      <c r="L418" s="7" t="s">
        <v>4290</v>
      </c>
      <c r="M418" s="8">
        <v>79493691</v>
      </c>
      <c r="N418" s="8" t="str">
        <f t="shared" si="31"/>
        <v>PEN</v>
      </c>
      <c r="O418" s="13"/>
      <c r="P418" s="13">
        <v>585</v>
      </c>
      <c r="Q418" s="3">
        <f t="shared" si="32"/>
        <v>585</v>
      </c>
      <c r="R418" s="3">
        <f t="shared" si="33"/>
        <v>0</v>
      </c>
      <c r="S418" s="3">
        <f t="shared" si="34"/>
        <v>45260.220000000008</v>
      </c>
      <c r="T418" s="24"/>
      <c r="U418" s="24"/>
      <c r="V418" s="3"/>
      <c r="W418" s="19" t="str">
        <f>IFERROR(VLOOKUP(Banco_Nacion[[#This Row],[RESPONSABLE]],Clientes_Proveedores[[Ruc / Dni]:[Razon Social]],2,0),"")</f>
        <v>COMERCIO SERVICIOS E INVERSIONES YANCE E.I.R.L.</v>
      </c>
      <c r="X418" s="19" t="str">
        <f>IF(Banco_Nacion[[#This Row],[TIPO DE MOV.]]="INGRESO",Banco_Nacion[[#This Row],[SERIE]]&amp;Banco_Nacion[[#This Row],[NUMERO]]&amp;Banco_Nacion[[#This Row],[RESPONSABLE]]&amp;Banco_Nacion[[#This Row],[MONTO ]],"")</f>
        <v>20603065906585</v>
      </c>
      <c r="Y41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79493691</v>
      </c>
      <c r="Z418" s="3"/>
      <c r="AA418" s="3"/>
      <c r="AB418" s="24" t="str">
        <f>IF(Banco_Nacion[[#This Row],[FECHA]]&gt;0,TEXT(Banco_Nacion[[#This Row],[FECHA]],"mmmm"),0)</f>
        <v>Junio</v>
      </c>
    </row>
    <row r="419" spans="2:28" x14ac:dyDescent="0.3">
      <c r="B419" s="2">
        <f>IF(Banco_Nacion[[#This Row],[TIPO DE R.]]="R",COUNTIFS($D$4:$D418,"R")+1,"")</f>
        <v>415</v>
      </c>
      <c r="C419" s="19" t="str">
        <f t="shared" si="30"/>
        <v>B-Banco de la Nacion</v>
      </c>
      <c r="D419" s="3" t="s">
        <v>1074</v>
      </c>
      <c r="E419" s="14">
        <v>45817</v>
      </c>
      <c r="F419" s="5">
        <v>20204621242</v>
      </c>
      <c r="G419" s="5" t="s">
        <v>1087</v>
      </c>
      <c r="H419" s="6" t="s">
        <v>368</v>
      </c>
      <c r="I419" s="6"/>
      <c r="J419" s="6" t="s">
        <v>4289</v>
      </c>
      <c r="K419" s="6" t="s">
        <v>4289</v>
      </c>
      <c r="L419" s="7" t="s">
        <v>4290</v>
      </c>
      <c r="M419" s="8">
        <v>79424438</v>
      </c>
      <c r="N419" s="8" t="str">
        <f t="shared" si="31"/>
        <v>PEN</v>
      </c>
      <c r="O419" s="13"/>
      <c r="P419" s="13">
        <v>172</v>
      </c>
      <c r="Q419" s="3">
        <f t="shared" si="32"/>
        <v>172</v>
      </c>
      <c r="R419" s="3">
        <f t="shared" si="33"/>
        <v>0</v>
      </c>
      <c r="S419" s="3">
        <f t="shared" si="34"/>
        <v>45432.220000000008</v>
      </c>
      <c r="T419" s="24"/>
      <c r="U419" s="24"/>
      <c r="V419" s="3"/>
      <c r="W419" s="19" t="str">
        <f>IFERROR(VLOOKUP(Banco_Nacion[[#This Row],[RESPONSABLE]],Clientes_Proveedores[[Ruc / Dni]:[Razon Social]],2,0),"")</f>
        <v>TALMA SERVICIOS AEROPORTUARIOS S.A.</v>
      </c>
      <c r="X419" s="19" t="str">
        <f>IF(Banco_Nacion[[#This Row],[TIPO DE MOV.]]="INGRESO",Banco_Nacion[[#This Row],[SERIE]]&amp;Banco_Nacion[[#This Row],[NUMERO]]&amp;Banco_Nacion[[#This Row],[RESPONSABLE]]&amp;Banco_Nacion[[#This Row],[MONTO ]],"")</f>
        <v>20204621242172</v>
      </c>
      <c r="Y41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79424438</v>
      </c>
      <c r="Z419" s="3"/>
      <c r="AA419" s="3"/>
      <c r="AB419" s="24" t="str">
        <f>IF(Banco_Nacion[[#This Row],[FECHA]]&gt;0,TEXT(Banco_Nacion[[#This Row],[FECHA]],"mmmm"),0)</f>
        <v>Junio</v>
      </c>
    </row>
    <row r="420" spans="2:28" x14ac:dyDescent="0.3">
      <c r="B420" s="2">
        <f>IF(Banco_Nacion[[#This Row],[TIPO DE R.]]="R",COUNTIFS($D$4:$D419,"R")+1,"")</f>
        <v>416</v>
      </c>
      <c r="C420" s="19" t="str">
        <f t="shared" si="30"/>
        <v>B-Banco de la Nacion</v>
      </c>
      <c r="D420" s="3" t="s">
        <v>1074</v>
      </c>
      <c r="E420" s="14">
        <v>45817</v>
      </c>
      <c r="F420" s="5">
        <v>20204621242</v>
      </c>
      <c r="G420" s="5" t="s">
        <v>1087</v>
      </c>
      <c r="H420" s="6" t="s">
        <v>368</v>
      </c>
      <c r="I420" s="6"/>
      <c r="J420" s="6" t="s">
        <v>4289</v>
      </c>
      <c r="K420" s="6" t="s">
        <v>4289</v>
      </c>
      <c r="L420" s="7" t="s">
        <v>4290</v>
      </c>
      <c r="M420" s="8">
        <v>79424437</v>
      </c>
      <c r="N420" s="8" t="str">
        <f t="shared" si="31"/>
        <v>PEN</v>
      </c>
      <c r="O420" s="13"/>
      <c r="P420" s="13">
        <v>784</v>
      </c>
      <c r="Q420" s="3">
        <f t="shared" si="32"/>
        <v>784</v>
      </c>
      <c r="R420" s="3">
        <f t="shared" si="33"/>
        <v>0</v>
      </c>
      <c r="S420" s="3">
        <f t="shared" si="34"/>
        <v>46216.220000000008</v>
      </c>
      <c r="T420" s="24"/>
      <c r="U420" s="24"/>
      <c r="V420" s="3"/>
      <c r="W420" s="19" t="str">
        <f>IFERROR(VLOOKUP(Banco_Nacion[[#This Row],[RESPONSABLE]],Clientes_Proveedores[[Ruc / Dni]:[Razon Social]],2,0),"")</f>
        <v>TALMA SERVICIOS AEROPORTUARIOS S.A.</v>
      </c>
      <c r="X420" s="19" t="str">
        <f>IF(Banco_Nacion[[#This Row],[TIPO DE MOV.]]="INGRESO",Banco_Nacion[[#This Row],[SERIE]]&amp;Banco_Nacion[[#This Row],[NUMERO]]&amp;Banco_Nacion[[#This Row],[RESPONSABLE]]&amp;Banco_Nacion[[#This Row],[MONTO ]],"")</f>
        <v>20204621242784</v>
      </c>
      <c r="Y42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79424437</v>
      </c>
      <c r="Z420" s="3"/>
      <c r="AA420" s="3"/>
      <c r="AB420" s="24" t="str">
        <f>IF(Banco_Nacion[[#This Row],[FECHA]]&gt;0,TEXT(Banco_Nacion[[#This Row],[FECHA]],"mmmm"),0)</f>
        <v>Junio</v>
      </c>
    </row>
    <row r="421" spans="2:28" x14ac:dyDescent="0.3">
      <c r="B421" s="2">
        <f>IF(Banco_Nacion[[#This Row],[TIPO DE R.]]="R",COUNTIFS($D$4:$D420,"R")+1,"")</f>
        <v>417</v>
      </c>
      <c r="C421" s="19" t="str">
        <f t="shared" si="30"/>
        <v>B-Banco de la Nacion</v>
      </c>
      <c r="D421" s="3" t="s">
        <v>1074</v>
      </c>
      <c r="E421" s="14">
        <v>45817</v>
      </c>
      <c r="F421" s="5">
        <v>20498459791</v>
      </c>
      <c r="G421" s="5" t="s">
        <v>1087</v>
      </c>
      <c r="H421" s="6" t="s">
        <v>368</v>
      </c>
      <c r="I421" s="6"/>
      <c r="J421" s="6" t="s">
        <v>4289</v>
      </c>
      <c r="K421" s="6" t="s">
        <v>4289</v>
      </c>
      <c r="L421" s="7" t="s">
        <v>4290</v>
      </c>
      <c r="M421" s="8">
        <v>79378745</v>
      </c>
      <c r="N421" s="8" t="str">
        <f t="shared" si="31"/>
        <v>PEN</v>
      </c>
      <c r="O421" s="13"/>
      <c r="P421" s="13">
        <v>170</v>
      </c>
      <c r="Q421" s="3">
        <f t="shared" si="32"/>
        <v>170</v>
      </c>
      <c r="R421" s="3">
        <f t="shared" si="33"/>
        <v>0</v>
      </c>
      <c r="S421" s="3">
        <f t="shared" si="34"/>
        <v>46386.220000000008</v>
      </c>
      <c r="T421" s="24"/>
      <c r="U421" s="24"/>
      <c r="V421" s="3"/>
      <c r="W421" s="19" t="str">
        <f>IFERROR(VLOOKUP(Banco_Nacion[[#This Row],[RESPONSABLE]],Clientes_Proveedores[[Ruc / Dni]:[Razon Social]],2,0),"")</f>
        <v>INDUSTRIA DEL REENCAUCHE S.A.C.</v>
      </c>
      <c r="X421" s="19" t="str">
        <f>IF(Banco_Nacion[[#This Row],[TIPO DE MOV.]]="INGRESO",Banco_Nacion[[#This Row],[SERIE]]&amp;Banco_Nacion[[#This Row],[NUMERO]]&amp;Banco_Nacion[[#This Row],[RESPONSABLE]]&amp;Banco_Nacion[[#This Row],[MONTO ]],"")</f>
        <v>20498459791170</v>
      </c>
      <c r="Y42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79378745</v>
      </c>
      <c r="Z421" s="3"/>
      <c r="AA421" s="3"/>
      <c r="AB421" s="24" t="str">
        <f>IF(Banco_Nacion[[#This Row],[FECHA]]&gt;0,TEXT(Banco_Nacion[[#This Row],[FECHA]],"mmmm"),0)</f>
        <v>Junio</v>
      </c>
    </row>
    <row r="422" spans="2:28" x14ac:dyDescent="0.3">
      <c r="B422" s="2">
        <f>IF(Banco_Nacion[[#This Row],[TIPO DE R.]]="R",COUNTIFS($D$4:$D421,"R")+1,"")</f>
        <v>418</v>
      </c>
      <c r="C422" s="19" t="str">
        <f t="shared" si="30"/>
        <v>B-Banco de la Nacion</v>
      </c>
      <c r="D422" s="3" t="s">
        <v>1074</v>
      </c>
      <c r="E422" s="14">
        <v>45817</v>
      </c>
      <c r="F422" s="5">
        <v>20498459791</v>
      </c>
      <c r="G422" s="5" t="s">
        <v>1087</v>
      </c>
      <c r="H422" s="6" t="s">
        <v>368</v>
      </c>
      <c r="I422" s="6"/>
      <c r="J422" s="6" t="s">
        <v>4289</v>
      </c>
      <c r="K422" s="6" t="s">
        <v>4289</v>
      </c>
      <c r="L422" s="7" t="s">
        <v>4290</v>
      </c>
      <c r="M422" s="8">
        <v>79378744</v>
      </c>
      <c r="N422" s="8" t="str">
        <f t="shared" si="31"/>
        <v>PEN</v>
      </c>
      <c r="O422" s="13"/>
      <c r="P422" s="13">
        <v>200</v>
      </c>
      <c r="Q422" s="3">
        <f t="shared" si="32"/>
        <v>200</v>
      </c>
      <c r="R422" s="3">
        <f t="shared" si="33"/>
        <v>0</v>
      </c>
      <c r="S422" s="3">
        <f t="shared" si="34"/>
        <v>46586.220000000008</v>
      </c>
      <c r="T422" s="24"/>
      <c r="U422" s="24"/>
      <c r="V422" s="3"/>
      <c r="W422" s="19" t="str">
        <f>IFERROR(VLOOKUP(Banco_Nacion[[#This Row],[RESPONSABLE]],Clientes_Proveedores[[Ruc / Dni]:[Razon Social]],2,0),"")</f>
        <v>INDUSTRIA DEL REENCAUCHE S.A.C.</v>
      </c>
      <c r="X422" s="19" t="str">
        <f>IF(Banco_Nacion[[#This Row],[TIPO DE MOV.]]="INGRESO",Banco_Nacion[[#This Row],[SERIE]]&amp;Banco_Nacion[[#This Row],[NUMERO]]&amp;Banco_Nacion[[#This Row],[RESPONSABLE]]&amp;Banco_Nacion[[#This Row],[MONTO ]],"")</f>
        <v>20498459791200</v>
      </c>
      <c r="Y42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79378744</v>
      </c>
      <c r="Z422" s="3"/>
      <c r="AA422" s="3"/>
      <c r="AB422" s="24" t="str">
        <f>IF(Banco_Nacion[[#This Row],[FECHA]]&gt;0,TEXT(Banco_Nacion[[#This Row],[FECHA]],"mmmm"),0)</f>
        <v>Junio</v>
      </c>
    </row>
    <row r="423" spans="2:28" x14ac:dyDescent="0.3">
      <c r="B423" s="2">
        <f>IF(Banco_Nacion[[#This Row],[TIPO DE R.]]="R",COUNTIFS($D$4:$D422,"R")+1,"")</f>
        <v>419</v>
      </c>
      <c r="C423" s="19" t="str">
        <f t="shared" si="30"/>
        <v>B-Banco de la Nacion</v>
      </c>
      <c r="D423" s="3" t="s">
        <v>1074</v>
      </c>
      <c r="E423" s="14">
        <v>45817</v>
      </c>
      <c r="F423" s="5">
        <v>20417573705</v>
      </c>
      <c r="G423" s="5" t="s">
        <v>1087</v>
      </c>
      <c r="H423" s="6" t="s">
        <v>368</v>
      </c>
      <c r="I423" s="6"/>
      <c r="J423" s="6" t="s">
        <v>4289</v>
      </c>
      <c r="K423" s="6" t="s">
        <v>4289</v>
      </c>
      <c r="L423" s="7" t="s">
        <v>4290</v>
      </c>
      <c r="M423" s="8">
        <v>79315089</v>
      </c>
      <c r="N423" s="8" t="str">
        <f t="shared" si="31"/>
        <v>PEN</v>
      </c>
      <c r="O423" s="13"/>
      <c r="P423" s="13">
        <v>554</v>
      </c>
      <c r="Q423" s="3">
        <f t="shared" si="32"/>
        <v>554</v>
      </c>
      <c r="R423" s="3">
        <f t="shared" si="33"/>
        <v>0</v>
      </c>
      <c r="S423" s="3">
        <f t="shared" si="34"/>
        <v>47140.220000000008</v>
      </c>
      <c r="T423" s="24"/>
      <c r="U423" s="24"/>
      <c r="V423" s="3"/>
      <c r="W423" s="19" t="str">
        <f>IFERROR(VLOOKUP(Banco_Nacion[[#This Row],[RESPONSABLE]],Clientes_Proveedores[[Ruc / Dni]:[Razon Social]],2,0),"")</f>
        <v>TECNO FAST S.A.C.</v>
      </c>
      <c r="X423" s="19" t="str">
        <f>IF(Banco_Nacion[[#This Row],[TIPO DE MOV.]]="INGRESO",Banco_Nacion[[#This Row],[SERIE]]&amp;Banco_Nacion[[#This Row],[NUMERO]]&amp;Banco_Nacion[[#This Row],[RESPONSABLE]]&amp;Banco_Nacion[[#This Row],[MONTO ]],"")</f>
        <v>20417573705554</v>
      </c>
      <c r="Y42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79315089</v>
      </c>
      <c r="Z423" s="3"/>
      <c r="AA423" s="3"/>
      <c r="AB423" s="24" t="str">
        <f>IF(Banco_Nacion[[#This Row],[FECHA]]&gt;0,TEXT(Banco_Nacion[[#This Row],[FECHA]],"mmmm"),0)</f>
        <v>Junio</v>
      </c>
    </row>
    <row r="424" spans="2:28" x14ac:dyDescent="0.3">
      <c r="B424" s="2">
        <f>IF(Banco_Nacion[[#This Row],[TIPO DE R.]]="R",COUNTIFS($D$4:$D423,"R")+1,"")</f>
        <v>420</v>
      </c>
      <c r="C424" s="19" t="str">
        <f t="shared" si="30"/>
        <v>B-Banco de la Nacion</v>
      </c>
      <c r="D424" s="3" t="s">
        <v>1074</v>
      </c>
      <c r="E424" s="14">
        <v>45818</v>
      </c>
      <c r="F424" s="5">
        <v>20402885549</v>
      </c>
      <c r="G424" s="5" t="s">
        <v>1087</v>
      </c>
      <c r="H424" s="6" t="s">
        <v>368</v>
      </c>
      <c r="I424" s="6"/>
      <c r="J424" s="6" t="s">
        <v>4289</v>
      </c>
      <c r="K424" s="6" t="s">
        <v>4289</v>
      </c>
      <c r="L424" s="7" t="s">
        <v>4290</v>
      </c>
      <c r="M424" s="8">
        <v>79783697</v>
      </c>
      <c r="N424" s="8" t="str">
        <f t="shared" si="31"/>
        <v>PEN</v>
      </c>
      <c r="O424" s="13"/>
      <c r="P424" s="13">
        <v>795</v>
      </c>
      <c r="Q424" s="3">
        <f t="shared" si="32"/>
        <v>795</v>
      </c>
      <c r="R424" s="3">
        <f t="shared" si="33"/>
        <v>0</v>
      </c>
      <c r="S424" s="3">
        <f t="shared" si="34"/>
        <v>47935.220000000008</v>
      </c>
      <c r="T424" s="24"/>
      <c r="U424" s="24"/>
      <c r="V424" s="3"/>
      <c r="W424" s="19" t="str">
        <f>IFERROR(VLOOKUP(Banco_Nacion[[#This Row],[RESPONSABLE]],Clientes_Proveedores[[Ruc / Dni]:[Razon Social]],2,0),"")</f>
        <v>EMPRESA SIDERURGICA DEL PERU S.A.A.</v>
      </c>
      <c r="X424" s="19" t="str">
        <f>IF(Banco_Nacion[[#This Row],[TIPO DE MOV.]]="INGRESO",Banco_Nacion[[#This Row],[SERIE]]&amp;Banco_Nacion[[#This Row],[NUMERO]]&amp;Banco_Nacion[[#This Row],[RESPONSABLE]]&amp;Banco_Nacion[[#This Row],[MONTO ]],"")</f>
        <v>20402885549795</v>
      </c>
      <c r="Y42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79783697</v>
      </c>
      <c r="Z424" s="3"/>
      <c r="AA424" s="3"/>
      <c r="AB424" s="24" t="str">
        <f>IF(Banco_Nacion[[#This Row],[FECHA]]&gt;0,TEXT(Banco_Nacion[[#This Row],[FECHA]],"mmmm"),0)</f>
        <v>Junio</v>
      </c>
    </row>
    <row r="425" spans="2:28" x14ac:dyDescent="0.3">
      <c r="B425" s="2">
        <f>IF(Banco_Nacion[[#This Row],[TIPO DE R.]]="R",COUNTIFS($D$4:$D424,"R")+1,"")</f>
        <v>421</v>
      </c>
      <c r="C425" s="19" t="str">
        <f t="shared" si="30"/>
        <v>B-Banco de la Nacion</v>
      </c>
      <c r="D425" s="3" t="s">
        <v>1074</v>
      </c>
      <c r="E425" s="14">
        <v>45819</v>
      </c>
      <c r="F425" s="5">
        <v>20100055237</v>
      </c>
      <c r="G425" s="5" t="s">
        <v>1087</v>
      </c>
      <c r="H425" s="6" t="s">
        <v>368</v>
      </c>
      <c r="I425" s="6"/>
      <c r="J425" s="6" t="s">
        <v>4289</v>
      </c>
      <c r="K425" s="6" t="s">
        <v>4289</v>
      </c>
      <c r="L425" s="7" t="s">
        <v>4290</v>
      </c>
      <c r="M425" s="8">
        <v>80011315</v>
      </c>
      <c r="N425" s="8" t="str">
        <f t="shared" si="31"/>
        <v>PEN</v>
      </c>
      <c r="O425" s="13"/>
      <c r="P425" s="13">
        <v>113</v>
      </c>
      <c r="Q425" s="3">
        <f t="shared" si="32"/>
        <v>113</v>
      </c>
      <c r="R425" s="3">
        <f t="shared" si="33"/>
        <v>0</v>
      </c>
      <c r="S425" s="3">
        <f t="shared" si="34"/>
        <v>48048.220000000008</v>
      </c>
      <c r="T425" s="24"/>
      <c r="U425" s="24"/>
      <c r="V425" s="3"/>
      <c r="W425" s="19" t="str">
        <f>IFERROR(VLOOKUP(Banco_Nacion[[#This Row],[RESPONSABLE]],Clientes_Proveedores[[Ruc / Dni]:[Razon Social]],2,0),"")</f>
        <v>ALICORP SAA</v>
      </c>
      <c r="X425" s="19" t="str">
        <f>IF(Banco_Nacion[[#This Row],[TIPO DE MOV.]]="INGRESO",Banco_Nacion[[#This Row],[SERIE]]&amp;Banco_Nacion[[#This Row],[NUMERO]]&amp;Banco_Nacion[[#This Row],[RESPONSABLE]]&amp;Banco_Nacion[[#This Row],[MONTO ]],"")</f>
        <v>20100055237113</v>
      </c>
      <c r="Y42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80011315</v>
      </c>
      <c r="Z425" s="3"/>
      <c r="AA425" s="3"/>
      <c r="AB425" s="24" t="str">
        <f>IF(Banco_Nacion[[#This Row],[FECHA]]&gt;0,TEXT(Banco_Nacion[[#This Row],[FECHA]],"mmmm"),0)</f>
        <v>Junio</v>
      </c>
    </row>
    <row r="426" spans="2:28" x14ac:dyDescent="0.3">
      <c r="B426" s="2">
        <f>IF(Banco_Nacion[[#This Row],[TIPO DE R.]]="R",COUNTIFS($D$4:$D425,"R")+1,"")</f>
        <v>422</v>
      </c>
      <c r="C426" s="19" t="str">
        <f t="shared" si="30"/>
        <v>B-Banco de la Nacion</v>
      </c>
      <c r="D426" s="3" t="s">
        <v>1074</v>
      </c>
      <c r="E426" s="14">
        <v>45819</v>
      </c>
      <c r="F426" s="5">
        <v>20141637941</v>
      </c>
      <c r="G426" s="5" t="s">
        <v>1087</v>
      </c>
      <c r="H426" s="6" t="s">
        <v>368</v>
      </c>
      <c r="I426" s="6"/>
      <c r="J426" s="6" t="s">
        <v>4289</v>
      </c>
      <c r="K426" s="6" t="s">
        <v>4289</v>
      </c>
      <c r="L426" s="7" t="s">
        <v>4290</v>
      </c>
      <c r="M426" s="8">
        <v>79984520</v>
      </c>
      <c r="N426" s="8" t="str">
        <f t="shared" si="31"/>
        <v>PEN</v>
      </c>
      <c r="O426" s="13"/>
      <c r="P426" s="13">
        <v>258</v>
      </c>
      <c r="Q426" s="3">
        <f t="shared" si="32"/>
        <v>258</v>
      </c>
      <c r="R426" s="3">
        <f t="shared" si="33"/>
        <v>0</v>
      </c>
      <c r="S426" s="3">
        <f t="shared" si="34"/>
        <v>48306.220000000008</v>
      </c>
      <c r="T426" s="24"/>
      <c r="U426" s="24"/>
      <c r="V426" s="3"/>
      <c r="W426" s="19" t="str">
        <f>IFERROR(VLOOKUP(Banco_Nacion[[#This Row],[RESPONSABLE]],Clientes_Proveedores[[Ruc / Dni]:[Razon Social]],2,0),"")</f>
        <v>UNIVERSIDAD CATOLICA DE SANTA MARIA</v>
      </c>
      <c r="X426" s="19" t="str">
        <f>IF(Banco_Nacion[[#This Row],[TIPO DE MOV.]]="INGRESO",Banco_Nacion[[#This Row],[SERIE]]&amp;Banco_Nacion[[#This Row],[NUMERO]]&amp;Banco_Nacion[[#This Row],[RESPONSABLE]]&amp;Banco_Nacion[[#This Row],[MONTO ]],"")</f>
        <v>20141637941258</v>
      </c>
      <c r="Y42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79984520</v>
      </c>
      <c r="Z426" s="3"/>
      <c r="AA426" s="3"/>
      <c r="AB426" s="24" t="str">
        <f>IF(Banco_Nacion[[#This Row],[FECHA]]&gt;0,TEXT(Banco_Nacion[[#This Row],[FECHA]],"mmmm"),0)</f>
        <v>Junio</v>
      </c>
    </row>
    <row r="427" spans="2:28" x14ac:dyDescent="0.3">
      <c r="B427" s="2">
        <f>IF(Banco_Nacion[[#This Row],[TIPO DE R.]]="R",COUNTIFS($D$4:$D426,"R")+1,"")</f>
        <v>423</v>
      </c>
      <c r="C427" s="19" t="str">
        <f t="shared" si="30"/>
        <v>B-Banco de la Nacion</v>
      </c>
      <c r="D427" s="3" t="s">
        <v>1074</v>
      </c>
      <c r="E427" s="14">
        <v>45819</v>
      </c>
      <c r="F427" s="5">
        <v>20141637941</v>
      </c>
      <c r="G427" s="5" t="s">
        <v>1087</v>
      </c>
      <c r="H427" s="6" t="s">
        <v>368</v>
      </c>
      <c r="I427" s="6"/>
      <c r="J427" s="6" t="s">
        <v>4289</v>
      </c>
      <c r="K427" s="6" t="s">
        <v>4289</v>
      </c>
      <c r="L427" s="7" t="s">
        <v>4290</v>
      </c>
      <c r="M427" s="8">
        <v>79984519</v>
      </c>
      <c r="N427" s="8" t="str">
        <f t="shared" si="31"/>
        <v>PEN</v>
      </c>
      <c r="O427" s="13"/>
      <c r="P427" s="13">
        <v>258</v>
      </c>
      <c r="Q427" s="3">
        <f t="shared" si="32"/>
        <v>258</v>
      </c>
      <c r="R427" s="3">
        <f t="shared" si="33"/>
        <v>0</v>
      </c>
      <c r="S427" s="3">
        <f t="shared" si="34"/>
        <v>48564.220000000008</v>
      </c>
      <c r="T427" s="24"/>
      <c r="U427" s="24"/>
      <c r="V427" s="3"/>
      <c r="W427" s="19" t="str">
        <f>IFERROR(VLOOKUP(Banco_Nacion[[#This Row],[RESPONSABLE]],Clientes_Proveedores[[Ruc / Dni]:[Razon Social]],2,0),"")</f>
        <v>UNIVERSIDAD CATOLICA DE SANTA MARIA</v>
      </c>
      <c r="X427" s="19" t="str">
        <f>IF(Banco_Nacion[[#This Row],[TIPO DE MOV.]]="INGRESO",Banco_Nacion[[#This Row],[SERIE]]&amp;Banco_Nacion[[#This Row],[NUMERO]]&amp;Banco_Nacion[[#This Row],[RESPONSABLE]]&amp;Banco_Nacion[[#This Row],[MONTO ]],"")</f>
        <v>20141637941258</v>
      </c>
      <c r="Y42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79984519</v>
      </c>
      <c r="Z427" s="3"/>
      <c r="AA427" s="3"/>
      <c r="AB427" s="24" t="str">
        <f>IF(Banco_Nacion[[#This Row],[FECHA]]&gt;0,TEXT(Banco_Nacion[[#This Row],[FECHA]],"mmmm"),0)</f>
        <v>Junio</v>
      </c>
    </row>
    <row r="428" spans="2:28" x14ac:dyDescent="0.3">
      <c r="B428" s="2">
        <f>IF(Banco_Nacion[[#This Row],[TIPO DE R.]]="R",COUNTIFS($D$4:$D427,"R")+1,"")</f>
        <v>424</v>
      </c>
      <c r="C428" s="19" t="str">
        <f t="shared" si="30"/>
        <v>B-Banco de la Nacion</v>
      </c>
      <c r="D428" s="3" t="s">
        <v>1074</v>
      </c>
      <c r="E428" s="14">
        <v>45824</v>
      </c>
      <c r="F428" s="5">
        <v>20523573226</v>
      </c>
      <c r="G428" s="5" t="s">
        <v>1087</v>
      </c>
      <c r="H428" s="6" t="s">
        <v>368</v>
      </c>
      <c r="I428" s="6"/>
      <c r="J428" s="6" t="s">
        <v>4289</v>
      </c>
      <c r="K428" s="6" t="s">
        <v>4289</v>
      </c>
      <c r="L428" s="7" t="s">
        <v>4290</v>
      </c>
      <c r="M428" s="8">
        <v>80263365</v>
      </c>
      <c r="N428" s="8" t="str">
        <f t="shared" si="31"/>
        <v>PEN</v>
      </c>
      <c r="O428" s="13"/>
      <c r="P428" s="13">
        <v>136</v>
      </c>
      <c r="Q428" s="3">
        <f t="shared" si="32"/>
        <v>136</v>
      </c>
      <c r="R428" s="3">
        <f t="shared" si="33"/>
        <v>0</v>
      </c>
      <c r="S428" s="3">
        <f t="shared" si="34"/>
        <v>48700.220000000008</v>
      </c>
      <c r="T428" s="24"/>
      <c r="U428" s="24"/>
      <c r="V428" s="3"/>
      <c r="W428" s="19" t="str">
        <f>IFERROR(VLOOKUP(Banco_Nacion[[#This Row],[RESPONSABLE]],Clientes_Proveedores[[Ruc / Dni]:[Razon Social]],2,0),"")</f>
        <v>CBB PERU S.A.</v>
      </c>
      <c r="X428" s="19" t="str">
        <f>IF(Banco_Nacion[[#This Row],[TIPO DE MOV.]]="INGRESO",Banco_Nacion[[#This Row],[SERIE]]&amp;Banco_Nacion[[#This Row],[NUMERO]]&amp;Banco_Nacion[[#This Row],[RESPONSABLE]]&amp;Banco_Nacion[[#This Row],[MONTO ]],"")</f>
        <v>20523573226136</v>
      </c>
      <c r="Y42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80263365</v>
      </c>
      <c r="Z428" s="3"/>
      <c r="AA428" s="3"/>
      <c r="AB428" s="24" t="str">
        <f>IF(Banco_Nacion[[#This Row],[FECHA]]&gt;0,TEXT(Banco_Nacion[[#This Row],[FECHA]],"mmmm"),0)</f>
        <v>Junio</v>
      </c>
    </row>
    <row r="429" spans="2:28" x14ac:dyDescent="0.3">
      <c r="B429" s="2">
        <f>IF(Banco_Nacion[[#This Row],[TIPO DE R.]]="R",COUNTIFS($D$4:$D428,"R")+1,"")</f>
        <v>425</v>
      </c>
      <c r="C429" s="19" t="str">
        <f t="shared" si="30"/>
        <v>B-Banco de la Nacion</v>
      </c>
      <c r="D429" s="3" t="s">
        <v>1074</v>
      </c>
      <c r="E429" s="14">
        <v>45824</v>
      </c>
      <c r="F429" s="5">
        <v>20607388416</v>
      </c>
      <c r="G429" s="5" t="s">
        <v>1087</v>
      </c>
      <c r="H429" s="6" t="s">
        <v>368</v>
      </c>
      <c r="I429" s="6"/>
      <c r="J429" s="6" t="s">
        <v>4289</v>
      </c>
      <c r="K429" s="6" t="s">
        <v>4289</v>
      </c>
      <c r="L429" s="7" t="s">
        <v>4290</v>
      </c>
      <c r="M429" s="8">
        <v>80257885</v>
      </c>
      <c r="N429" s="8" t="str">
        <f t="shared" si="31"/>
        <v>PEN</v>
      </c>
      <c r="O429" s="13"/>
      <c r="P429" s="13">
        <v>120</v>
      </c>
      <c r="Q429" s="3">
        <f t="shared" si="32"/>
        <v>120</v>
      </c>
      <c r="R429" s="3">
        <f t="shared" si="33"/>
        <v>0</v>
      </c>
      <c r="S429" s="3">
        <f t="shared" si="34"/>
        <v>48820.220000000008</v>
      </c>
      <c r="T429" s="24"/>
      <c r="U429" s="24"/>
      <c r="V429" s="3"/>
      <c r="W429" s="19" t="str">
        <f>IFERROR(VLOOKUP(Banco_Nacion[[#This Row],[RESPONSABLE]],Clientes_Proveedores[[Ruc / Dni]:[Razon Social]],2,0),"")</f>
        <v>ALEACIONES FERROSAS Y METALICAS S.A.C.</v>
      </c>
      <c r="X429" s="19" t="str">
        <f>IF(Banco_Nacion[[#This Row],[TIPO DE MOV.]]="INGRESO",Banco_Nacion[[#This Row],[SERIE]]&amp;Banco_Nacion[[#This Row],[NUMERO]]&amp;Banco_Nacion[[#This Row],[RESPONSABLE]]&amp;Banco_Nacion[[#This Row],[MONTO ]],"")</f>
        <v>20607388416120</v>
      </c>
      <c r="Y42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80257885</v>
      </c>
      <c r="Z429" s="3"/>
      <c r="AA429" s="3"/>
      <c r="AB429" s="24" t="str">
        <f>IF(Banco_Nacion[[#This Row],[FECHA]]&gt;0,TEXT(Banco_Nacion[[#This Row],[FECHA]],"mmmm"),0)</f>
        <v>Junio</v>
      </c>
    </row>
    <row r="430" spans="2:28" x14ac:dyDescent="0.3">
      <c r="B430" s="2">
        <f>IF(Banco_Nacion[[#This Row],[TIPO DE R.]]="R",COUNTIFS($D$4:$D429,"R")+1,"")</f>
        <v>426</v>
      </c>
      <c r="C430" s="19" t="str">
        <f t="shared" si="30"/>
        <v>B-Banco de la Nacion</v>
      </c>
      <c r="D430" s="3" t="s">
        <v>1074</v>
      </c>
      <c r="E430" s="14">
        <v>45824</v>
      </c>
      <c r="F430" s="5">
        <v>20607388416</v>
      </c>
      <c r="G430" s="5" t="s">
        <v>1087</v>
      </c>
      <c r="H430" s="6" t="s">
        <v>368</v>
      </c>
      <c r="I430" s="6"/>
      <c r="J430" s="6" t="s">
        <v>4289</v>
      </c>
      <c r="K430" s="6" t="s">
        <v>4289</v>
      </c>
      <c r="L430" s="7" t="s">
        <v>4290</v>
      </c>
      <c r="M430" s="8">
        <v>80257884</v>
      </c>
      <c r="N430" s="8" t="str">
        <f t="shared" si="31"/>
        <v>PEN</v>
      </c>
      <c r="O430" s="13"/>
      <c r="P430" s="13">
        <v>252</v>
      </c>
      <c r="Q430" s="3">
        <f t="shared" si="32"/>
        <v>252</v>
      </c>
      <c r="R430" s="3">
        <f t="shared" si="33"/>
        <v>0</v>
      </c>
      <c r="S430" s="3">
        <f t="shared" si="34"/>
        <v>49072.220000000008</v>
      </c>
      <c r="T430" s="24"/>
      <c r="U430" s="24"/>
      <c r="V430" s="3"/>
      <c r="W430" s="19" t="str">
        <f>IFERROR(VLOOKUP(Banco_Nacion[[#This Row],[RESPONSABLE]],Clientes_Proveedores[[Ruc / Dni]:[Razon Social]],2,0),"")</f>
        <v>ALEACIONES FERROSAS Y METALICAS S.A.C.</v>
      </c>
      <c r="X430" s="19" t="str">
        <f>IF(Banco_Nacion[[#This Row],[TIPO DE MOV.]]="INGRESO",Banco_Nacion[[#This Row],[SERIE]]&amp;Banco_Nacion[[#This Row],[NUMERO]]&amp;Banco_Nacion[[#This Row],[RESPONSABLE]]&amp;Banco_Nacion[[#This Row],[MONTO ]],"")</f>
        <v>20607388416252</v>
      </c>
      <c r="Y43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80257884</v>
      </c>
      <c r="Z430" s="3"/>
      <c r="AA430" s="3"/>
      <c r="AB430" s="24" t="str">
        <f>IF(Banco_Nacion[[#This Row],[FECHA]]&gt;0,TEXT(Banco_Nacion[[#This Row],[FECHA]],"mmmm"),0)</f>
        <v>Junio</v>
      </c>
    </row>
    <row r="431" spans="2:28" x14ac:dyDescent="0.3">
      <c r="B431" s="2">
        <f>IF(Banco_Nacion[[#This Row],[TIPO DE R.]]="R",COUNTIFS($D$4:$D430,"R")+1,"")</f>
        <v>427</v>
      </c>
      <c r="C431" s="19" t="str">
        <f t="shared" si="30"/>
        <v>B-Banco de la Nacion</v>
      </c>
      <c r="D431" s="3" t="s">
        <v>1074</v>
      </c>
      <c r="E431" s="14">
        <v>45824</v>
      </c>
      <c r="F431" s="5">
        <v>20607388416</v>
      </c>
      <c r="G431" s="5" t="s">
        <v>1087</v>
      </c>
      <c r="H431" s="6" t="s">
        <v>368</v>
      </c>
      <c r="I431" s="6"/>
      <c r="J431" s="6" t="s">
        <v>4289</v>
      </c>
      <c r="K431" s="6" t="s">
        <v>4289</v>
      </c>
      <c r="L431" s="7" t="s">
        <v>4290</v>
      </c>
      <c r="M431" s="8">
        <v>80257883</v>
      </c>
      <c r="N431" s="8" t="str">
        <f t="shared" si="31"/>
        <v>PEN</v>
      </c>
      <c r="O431" s="13"/>
      <c r="P431" s="13">
        <v>180</v>
      </c>
      <c r="Q431" s="3">
        <f t="shared" si="32"/>
        <v>180</v>
      </c>
      <c r="R431" s="3">
        <f t="shared" si="33"/>
        <v>0</v>
      </c>
      <c r="S431" s="3">
        <f t="shared" si="34"/>
        <v>49252.220000000008</v>
      </c>
      <c r="T431" s="24"/>
      <c r="U431" s="24"/>
      <c r="V431" s="3"/>
      <c r="W431" s="19" t="str">
        <f>IFERROR(VLOOKUP(Banco_Nacion[[#This Row],[RESPONSABLE]],Clientes_Proveedores[[Ruc / Dni]:[Razon Social]],2,0),"")</f>
        <v>ALEACIONES FERROSAS Y METALICAS S.A.C.</v>
      </c>
      <c r="X431" s="19" t="str">
        <f>IF(Banco_Nacion[[#This Row],[TIPO DE MOV.]]="INGRESO",Banco_Nacion[[#This Row],[SERIE]]&amp;Banco_Nacion[[#This Row],[NUMERO]]&amp;Banco_Nacion[[#This Row],[RESPONSABLE]]&amp;Banco_Nacion[[#This Row],[MONTO ]],"")</f>
        <v>20607388416180</v>
      </c>
      <c r="Y43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80257883</v>
      </c>
      <c r="Z431" s="3"/>
      <c r="AA431" s="3"/>
      <c r="AB431" s="24" t="str">
        <f>IF(Banco_Nacion[[#This Row],[FECHA]]&gt;0,TEXT(Banco_Nacion[[#This Row],[FECHA]],"mmmm"),0)</f>
        <v>Junio</v>
      </c>
    </row>
    <row r="432" spans="2:28" x14ac:dyDescent="0.3">
      <c r="B432" s="2">
        <f>IF(Banco_Nacion[[#This Row],[TIPO DE R.]]="R",COUNTIFS($D$4:$D431,"R")+1,"")</f>
        <v>428</v>
      </c>
      <c r="C432" s="19" t="str">
        <f t="shared" si="30"/>
        <v>B-Banco de la Nacion</v>
      </c>
      <c r="D432" s="3" t="s">
        <v>1074</v>
      </c>
      <c r="E432" s="14">
        <v>45824</v>
      </c>
      <c r="F432" s="5">
        <v>20607388416</v>
      </c>
      <c r="G432" s="5" t="s">
        <v>1087</v>
      </c>
      <c r="H432" s="6" t="s">
        <v>368</v>
      </c>
      <c r="I432" s="6"/>
      <c r="J432" s="6" t="s">
        <v>4289</v>
      </c>
      <c r="K432" s="6" t="s">
        <v>4289</v>
      </c>
      <c r="L432" s="7" t="s">
        <v>4290</v>
      </c>
      <c r="M432" s="8">
        <v>80257882</v>
      </c>
      <c r="N432" s="8" t="str">
        <f t="shared" si="31"/>
        <v>PEN</v>
      </c>
      <c r="O432" s="13"/>
      <c r="P432" s="13">
        <v>143</v>
      </c>
      <c r="Q432" s="3">
        <f t="shared" si="32"/>
        <v>143</v>
      </c>
      <c r="R432" s="3">
        <f t="shared" si="33"/>
        <v>0</v>
      </c>
      <c r="S432" s="3">
        <f t="shared" si="34"/>
        <v>49395.220000000008</v>
      </c>
      <c r="T432" s="24"/>
      <c r="U432" s="24"/>
      <c r="V432" s="3"/>
      <c r="W432" s="19" t="str">
        <f>IFERROR(VLOOKUP(Banco_Nacion[[#This Row],[RESPONSABLE]],Clientes_Proveedores[[Ruc / Dni]:[Razon Social]],2,0),"")</f>
        <v>ALEACIONES FERROSAS Y METALICAS S.A.C.</v>
      </c>
      <c r="X432" s="19" t="str">
        <f>IF(Banco_Nacion[[#This Row],[TIPO DE MOV.]]="INGRESO",Banco_Nacion[[#This Row],[SERIE]]&amp;Banco_Nacion[[#This Row],[NUMERO]]&amp;Banco_Nacion[[#This Row],[RESPONSABLE]]&amp;Banco_Nacion[[#This Row],[MONTO ]],"")</f>
        <v>20607388416143</v>
      </c>
      <c r="Y43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80257882</v>
      </c>
      <c r="Z432" s="3"/>
      <c r="AA432" s="3"/>
      <c r="AB432" s="24" t="str">
        <f>IF(Banco_Nacion[[#This Row],[FECHA]]&gt;0,TEXT(Banco_Nacion[[#This Row],[FECHA]],"mmmm"),0)</f>
        <v>Junio</v>
      </c>
    </row>
    <row r="433" spans="2:28" x14ac:dyDescent="0.3">
      <c r="B433" s="2">
        <f>IF(Banco_Nacion[[#This Row],[TIPO DE R.]]="R",COUNTIFS($D$4:$D432,"R")+1,"")</f>
        <v>429</v>
      </c>
      <c r="C433" s="19" t="str">
        <f t="shared" si="30"/>
        <v>B-Banco de la Nacion</v>
      </c>
      <c r="D433" s="3" t="s">
        <v>1074</v>
      </c>
      <c r="E433" s="14">
        <v>45827</v>
      </c>
      <c r="F433" s="5">
        <v>20100055237</v>
      </c>
      <c r="G433" s="5" t="s">
        <v>1087</v>
      </c>
      <c r="H433" s="6" t="s">
        <v>368</v>
      </c>
      <c r="I433" s="6"/>
      <c r="J433" s="6" t="s">
        <v>4289</v>
      </c>
      <c r="K433" s="6" t="s">
        <v>4289</v>
      </c>
      <c r="L433" s="7" t="s">
        <v>4290</v>
      </c>
      <c r="M433" s="8">
        <v>80436274</v>
      </c>
      <c r="N433" s="8" t="str">
        <f t="shared" si="31"/>
        <v>PEN</v>
      </c>
      <c r="O433" s="13"/>
      <c r="P433" s="13">
        <v>112</v>
      </c>
      <c r="Q433" s="3">
        <f t="shared" si="32"/>
        <v>112</v>
      </c>
      <c r="R433" s="3">
        <f t="shared" si="33"/>
        <v>0</v>
      </c>
      <c r="S433" s="3">
        <f t="shared" si="34"/>
        <v>49507.220000000008</v>
      </c>
      <c r="T433" s="24"/>
      <c r="U433" s="24"/>
      <c r="V433" s="3"/>
      <c r="W433" s="19" t="str">
        <f>IFERROR(VLOOKUP(Banco_Nacion[[#This Row],[RESPONSABLE]],Clientes_Proveedores[[Ruc / Dni]:[Razon Social]],2,0),"")</f>
        <v>ALICORP SAA</v>
      </c>
      <c r="X433" s="19" t="str">
        <f>IF(Banco_Nacion[[#This Row],[TIPO DE MOV.]]="INGRESO",Banco_Nacion[[#This Row],[SERIE]]&amp;Banco_Nacion[[#This Row],[NUMERO]]&amp;Banco_Nacion[[#This Row],[RESPONSABLE]]&amp;Banco_Nacion[[#This Row],[MONTO ]],"")</f>
        <v>20100055237112</v>
      </c>
      <c r="Y43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80436274</v>
      </c>
      <c r="Z433" s="3"/>
      <c r="AA433" s="3"/>
      <c r="AB433" s="24" t="str">
        <f>IF(Banco_Nacion[[#This Row],[FECHA]]&gt;0,TEXT(Banco_Nacion[[#This Row],[FECHA]],"mmmm"),0)</f>
        <v>Junio</v>
      </c>
    </row>
    <row r="434" spans="2:28" x14ac:dyDescent="0.3">
      <c r="B434" s="2">
        <f>IF(Banco_Nacion[[#This Row],[TIPO DE R.]]="R",COUNTIFS($D$4:$D433,"R")+1,"")</f>
        <v>430</v>
      </c>
      <c r="C434" s="19" t="str">
        <f t="shared" si="30"/>
        <v>B-Banco de la Nacion</v>
      </c>
      <c r="D434" s="3" t="s">
        <v>1074</v>
      </c>
      <c r="E434" s="14">
        <v>45828</v>
      </c>
      <c r="F434" s="5">
        <v>20402885549</v>
      </c>
      <c r="G434" s="5" t="s">
        <v>1087</v>
      </c>
      <c r="H434" s="6" t="s">
        <v>368</v>
      </c>
      <c r="I434" s="6"/>
      <c r="J434" s="6" t="s">
        <v>4289</v>
      </c>
      <c r="K434" s="6" t="s">
        <v>4289</v>
      </c>
      <c r="L434" s="7" t="s">
        <v>4290</v>
      </c>
      <c r="M434" s="8">
        <v>80567371</v>
      </c>
      <c r="N434" s="8" t="str">
        <f t="shared" si="31"/>
        <v>PEN</v>
      </c>
      <c r="O434" s="13"/>
      <c r="P434" s="13">
        <v>5003</v>
      </c>
      <c r="Q434" s="3">
        <f t="shared" si="32"/>
        <v>5003</v>
      </c>
      <c r="R434" s="3">
        <f t="shared" si="33"/>
        <v>0</v>
      </c>
      <c r="S434" s="3">
        <f t="shared" si="34"/>
        <v>54510.220000000008</v>
      </c>
      <c r="T434" s="24"/>
      <c r="U434" s="24"/>
      <c r="V434" s="3"/>
      <c r="W434" s="19" t="str">
        <f>IFERROR(VLOOKUP(Banco_Nacion[[#This Row],[RESPONSABLE]],Clientes_Proveedores[[Ruc / Dni]:[Razon Social]],2,0),"")</f>
        <v>EMPRESA SIDERURGICA DEL PERU S.A.A.</v>
      </c>
      <c r="X434" s="19" t="str">
        <f>IF(Banco_Nacion[[#This Row],[TIPO DE MOV.]]="INGRESO",Banco_Nacion[[#This Row],[SERIE]]&amp;Banco_Nacion[[#This Row],[NUMERO]]&amp;Banco_Nacion[[#This Row],[RESPONSABLE]]&amp;Banco_Nacion[[#This Row],[MONTO ]],"")</f>
        <v>204028855495003</v>
      </c>
      <c r="Y43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80567371</v>
      </c>
      <c r="Z434" s="3"/>
      <c r="AA434" s="3"/>
      <c r="AB434" s="24" t="str">
        <f>IF(Banco_Nacion[[#This Row],[FECHA]]&gt;0,TEXT(Banco_Nacion[[#This Row],[FECHA]],"mmmm"),0)</f>
        <v>Junio</v>
      </c>
    </row>
    <row r="435" spans="2:28" x14ac:dyDescent="0.3">
      <c r="B435" s="2">
        <f>IF(Banco_Nacion[[#This Row],[TIPO DE R.]]="R",COUNTIFS($D$4:$D434,"R")+1,"")</f>
        <v>431</v>
      </c>
      <c r="C435" s="19" t="str">
        <f t="shared" ref="C435:C451" si="35">"B-Banco de la Nacion"</f>
        <v>B-Banco de la Nacion</v>
      </c>
      <c r="D435" s="3" t="s">
        <v>1074</v>
      </c>
      <c r="E435" s="14">
        <v>45831</v>
      </c>
      <c r="F435" s="5">
        <v>20607388416</v>
      </c>
      <c r="G435" s="5" t="s">
        <v>1087</v>
      </c>
      <c r="H435" s="6" t="s">
        <v>368</v>
      </c>
      <c r="I435" s="6"/>
      <c r="J435" s="6" t="s">
        <v>4289</v>
      </c>
      <c r="K435" s="6" t="s">
        <v>4289</v>
      </c>
      <c r="L435" s="7" t="s">
        <v>4290</v>
      </c>
      <c r="M435" s="8">
        <v>80740825</v>
      </c>
      <c r="N435" s="8" t="str">
        <f t="shared" ref="N435:N451" si="36">"PEN"</f>
        <v>PEN</v>
      </c>
      <c r="O435" s="13"/>
      <c r="P435" s="13">
        <v>125</v>
      </c>
      <c r="Q435" s="3">
        <f t="shared" si="32"/>
        <v>125</v>
      </c>
      <c r="R435" s="3">
        <f t="shared" si="33"/>
        <v>0</v>
      </c>
      <c r="S435" s="3">
        <f t="shared" si="34"/>
        <v>54635.220000000008</v>
      </c>
      <c r="T435" s="24"/>
      <c r="U435" s="24"/>
      <c r="V435" s="3"/>
      <c r="W435" s="19" t="str">
        <f>IFERROR(VLOOKUP(Banco_Nacion[[#This Row],[RESPONSABLE]],Clientes_Proveedores[[Ruc / Dni]:[Razon Social]],2,0),"")</f>
        <v>ALEACIONES FERROSAS Y METALICAS S.A.C.</v>
      </c>
      <c r="X435" s="19" t="str">
        <f>IF(Banco_Nacion[[#This Row],[TIPO DE MOV.]]="INGRESO",Banco_Nacion[[#This Row],[SERIE]]&amp;Banco_Nacion[[#This Row],[NUMERO]]&amp;Banco_Nacion[[#This Row],[RESPONSABLE]]&amp;Banco_Nacion[[#This Row],[MONTO ]],"")</f>
        <v>20607388416125</v>
      </c>
      <c r="Y43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80740825</v>
      </c>
      <c r="Z435" s="3"/>
      <c r="AA435" s="3"/>
      <c r="AB435" s="24" t="str">
        <f>IF(Banco_Nacion[[#This Row],[FECHA]]&gt;0,TEXT(Banco_Nacion[[#This Row],[FECHA]],"mmmm"),0)</f>
        <v>Junio</v>
      </c>
    </row>
    <row r="436" spans="2:28" x14ac:dyDescent="0.3">
      <c r="B436" s="2">
        <f>IF(Banco_Nacion[[#This Row],[TIPO DE R.]]="R",COUNTIFS($D$4:$D435,"R")+1,"")</f>
        <v>432</v>
      </c>
      <c r="C436" s="19" t="str">
        <f t="shared" si="35"/>
        <v>B-Banco de la Nacion</v>
      </c>
      <c r="D436" s="3" t="s">
        <v>1074</v>
      </c>
      <c r="E436" s="14">
        <v>45831</v>
      </c>
      <c r="F436" s="5" t="s">
        <v>4289</v>
      </c>
      <c r="G436" s="5" t="s">
        <v>1079</v>
      </c>
      <c r="H436" s="6"/>
      <c r="I436" s="6"/>
      <c r="J436" s="6" t="s">
        <v>4289</v>
      </c>
      <c r="K436" s="6" t="s">
        <v>4289</v>
      </c>
      <c r="L436" s="7" t="s">
        <v>4292</v>
      </c>
      <c r="M436" s="8">
        <v>78787878</v>
      </c>
      <c r="N436" s="8" t="str">
        <f t="shared" si="36"/>
        <v>PEN</v>
      </c>
      <c r="O436" s="13"/>
      <c r="P436" s="13">
        <v>10733</v>
      </c>
      <c r="Q436" s="3">
        <f t="shared" si="32"/>
        <v>0</v>
      </c>
      <c r="R436" s="3">
        <f t="shared" si="33"/>
        <v>10733</v>
      </c>
      <c r="S436" s="3">
        <f t="shared" si="34"/>
        <v>43902.220000000008</v>
      </c>
      <c r="T436" s="24"/>
      <c r="U436" s="24"/>
      <c r="V436" s="3"/>
      <c r="W436" s="19" t="str">
        <f>IFERROR(VLOOKUP(Banco_Nacion[[#This Row],[RESPONSABLE]],Clientes_Proveedores[[Ruc / Dni]:[Razon Social]],2,0),"")</f>
        <v/>
      </c>
      <c r="X43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43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436" s="3"/>
      <c r="AA436" s="3"/>
      <c r="AB436" s="24" t="str">
        <f>IF(Banco_Nacion[[#This Row],[FECHA]]&gt;0,TEXT(Banco_Nacion[[#This Row],[FECHA]],"mmmm"),0)</f>
        <v>Junio</v>
      </c>
    </row>
    <row r="437" spans="2:28" x14ac:dyDescent="0.3">
      <c r="B437" s="2">
        <f>IF(Banco_Nacion[[#This Row],[TIPO DE R.]]="R",COUNTIFS($D$4:$D436,"R")+1,"")</f>
        <v>433</v>
      </c>
      <c r="C437" s="19" t="str">
        <f t="shared" si="35"/>
        <v>B-Banco de la Nacion</v>
      </c>
      <c r="D437" s="3" t="s">
        <v>1074</v>
      </c>
      <c r="E437" s="14">
        <v>45831</v>
      </c>
      <c r="F437" s="5" t="s">
        <v>4289</v>
      </c>
      <c r="G437" s="5" t="s">
        <v>1079</v>
      </c>
      <c r="H437" s="6"/>
      <c r="I437" s="6"/>
      <c r="J437" s="6" t="s">
        <v>4289</v>
      </c>
      <c r="K437" s="6" t="s">
        <v>4289</v>
      </c>
      <c r="L437" s="7" t="s">
        <v>4292</v>
      </c>
      <c r="M437" s="8">
        <v>78787878</v>
      </c>
      <c r="N437" s="8" t="str">
        <f t="shared" si="36"/>
        <v>PEN</v>
      </c>
      <c r="O437" s="13"/>
      <c r="P437" s="13">
        <v>2335</v>
      </c>
      <c r="Q437" s="3">
        <f t="shared" si="32"/>
        <v>0</v>
      </c>
      <c r="R437" s="3">
        <f t="shared" si="33"/>
        <v>2335</v>
      </c>
      <c r="S437" s="3">
        <f t="shared" si="34"/>
        <v>41567.220000000008</v>
      </c>
      <c r="T437" s="24"/>
      <c r="U437" s="24"/>
      <c r="V437" s="3"/>
      <c r="W437" s="19" t="str">
        <f>IFERROR(VLOOKUP(Banco_Nacion[[#This Row],[RESPONSABLE]],Clientes_Proveedores[[Ruc / Dni]:[Razon Social]],2,0),"")</f>
        <v/>
      </c>
      <c r="X43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43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437" s="3"/>
      <c r="AA437" s="3"/>
      <c r="AB437" s="24" t="str">
        <f>IF(Banco_Nacion[[#This Row],[FECHA]]&gt;0,TEXT(Banco_Nacion[[#This Row],[FECHA]],"mmmm"),0)</f>
        <v>Junio</v>
      </c>
    </row>
    <row r="438" spans="2:28" x14ac:dyDescent="0.3">
      <c r="B438" s="2">
        <f>IF(Banco_Nacion[[#This Row],[TIPO DE R.]]="R",COUNTIFS($D$4:$D437,"R")+1,"")</f>
        <v>434</v>
      </c>
      <c r="C438" s="19" t="str">
        <f t="shared" si="35"/>
        <v>B-Banco de la Nacion</v>
      </c>
      <c r="D438" s="3" t="s">
        <v>1074</v>
      </c>
      <c r="E438" s="14">
        <v>45832</v>
      </c>
      <c r="F438" s="5">
        <v>20603536569</v>
      </c>
      <c r="G438" s="5" t="s">
        <v>1087</v>
      </c>
      <c r="H438" s="6" t="s">
        <v>368</v>
      </c>
      <c r="I438" s="6"/>
      <c r="J438" s="6" t="s">
        <v>4289</v>
      </c>
      <c r="K438" s="6" t="s">
        <v>4289</v>
      </c>
      <c r="L438" s="7" t="s">
        <v>4290</v>
      </c>
      <c r="M438" s="8">
        <v>80802612</v>
      </c>
      <c r="N438" s="8" t="str">
        <f t="shared" si="36"/>
        <v>PEN</v>
      </c>
      <c r="O438" s="13"/>
      <c r="P438" s="13">
        <v>549</v>
      </c>
      <c r="Q438" s="3">
        <f t="shared" si="32"/>
        <v>549</v>
      </c>
      <c r="R438" s="3">
        <f t="shared" si="33"/>
        <v>0</v>
      </c>
      <c r="S438" s="3">
        <f t="shared" si="34"/>
        <v>42116.220000000008</v>
      </c>
      <c r="T438" s="24"/>
      <c r="U438" s="24"/>
      <c r="V438" s="3"/>
      <c r="W438" s="19" t="str">
        <f>IFERROR(VLOOKUP(Banco_Nacion[[#This Row],[RESPONSABLE]],Clientes_Proveedores[[Ruc / Dni]:[Razon Social]],2,0),"")</f>
        <v>ANTILLA COPPER SOCIEDAD ANONIMA</v>
      </c>
      <c r="X438" s="19" t="str">
        <f>IF(Banco_Nacion[[#This Row],[TIPO DE MOV.]]="INGRESO",Banco_Nacion[[#This Row],[SERIE]]&amp;Banco_Nacion[[#This Row],[NUMERO]]&amp;Banco_Nacion[[#This Row],[RESPONSABLE]]&amp;Banco_Nacion[[#This Row],[MONTO ]],"")</f>
        <v>20603536569549</v>
      </c>
      <c r="Y43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80802612</v>
      </c>
      <c r="Z438" s="3"/>
      <c r="AA438" s="3"/>
      <c r="AB438" s="24" t="str">
        <f>IF(Banco_Nacion[[#This Row],[FECHA]]&gt;0,TEXT(Banco_Nacion[[#This Row],[FECHA]],"mmmm"),0)</f>
        <v>Junio</v>
      </c>
    </row>
    <row r="439" spans="2:28" x14ac:dyDescent="0.3">
      <c r="B439" s="2">
        <f>IF(Banco_Nacion[[#This Row],[TIPO DE R.]]="R",COUNTIFS($D$4:$D438,"R")+1,"")</f>
        <v>435</v>
      </c>
      <c r="C439" s="19" t="str">
        <f t="shared" si="35"/>
        <v>B-Banco de la Nacion</v>
      </c>
      <c r="D439" s="3" t="s">
        <v>1074</v>
      </c>
      <c r="E439" s="14">
        <v>45832</v>
      </c>
      <c r="F439" s="5">
        <v>20100199743</v>
      </c>
      <c r="G439" s="5" t="s">
        <v>1087</v>
      </c>
      <c r="H439" s="6" t="s">
        <v>368</v>
      </c>
      <c r="I439" s="6"/>
      <c r="J439" s="6" t="s">
        <v>4289</v>
      </c>
      <c r="K439" s="6" t="s">
        <v>4289</v>
      </c>
      <c r="L439" s="7" t="s">
        <v>4290</v>
      </c>
      <c r="M439" s="8">
        <v>80795247</v>
      </c>
      <c r="N439" s="8" t="str">
        <f t="shared" si="36"/>
        <v>PEN</v>
      </c>
      <c r="O439" s="13"/>
      <c r="P439" s="13">
        <v>288</v>
      </c>
      <c r="Q439" s="3">
        <f t="shared" si="32"/>
        <v>288</v>
      </c>
      <c r="R439" s="3">
        <f t="shared" si="33"/>
        <v>0</v>
      </c>
      <c r="S439" s="3">
        <f t="shared" si="34"/>
        <v>42404.220000000008</v>
      </c>
      <c r="T439" s="24"/>
      <c r="U439" s="24"/>
      <c r="V439" s="3"/>
      <c r="W439" s="19" t="str">
        <f>IFERROR(VLOOKUP(Banco_Nacion[[#This Row],[RESPONSABLE]],Clientes_Proveedores[[Ruc / Dni]:[Razon Social]],2,0),"")</f>
        <v>INCA TOPS S.A</v>
      </c>
      <c r="X439" s="19" t="str">
        <f>IF(Banco_Nacion[[#This Row],[TIPO DE MOV.]]="INGRESO",Banco_Nacion[[#This Row],[SERIE]]&amp;Banco_Nacion[[#This Row],[NUMERO]]&amp;Banco_Nacion[[#This Row],[RESPONSABLE]]&amp;Banco_Nacion[[#This Row],[MONTO ]],"")</f>
        <v>20100199743288</v>
      </c>
      <c r="Y43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80795247</v>
      </c>
      <c r="Z439" s="3"/>
      <c r="AA439" s="3"/>
      <c r="AB439" s="24" t="str">
        <f>IF(Banco_Nacion[[#This Row],[FECHA]]&gt;0,TEXT(Banco_Nacion[[#This Row],[FECHA]],"mmmm"),0)</f>
        <v>Junio</v>
      </c>
    </row>
    <row r="440" spans="2:28" x14ac:dyDescent="0.3">
      <c r="B440" s="2">
        <f>IF(Banco_Nacion[[#This Row],[TIPO DE R.]]="R",COUNTIFS($D$4:$D439,"R")+1,"")</f>
        <v>436</v>
      </c>
      <c r="C440" s="19" t="str">
        <f t="shared" si="35"/>
        <v>B-Banco de la Nacion</v>
      </c>
      <c r="D440" s="3" t="s">
        <v>1074</v>
      </c>
      <c r="E440" s="14">
        <v>45832</v>
      </c>
      <c r="F440" s="5" t="s">
        <v>4289</v>
      </c>
      <c r="G440" s="5" t="s">
        <v>1087</v>
      </c>
      <c r="H440" s="6" t="s">
        <v>368</v>
      </c>
      <c r="I440" s="6"/>
      <c r="J440" s="6" t="s">
        <v>4289</v>
      </c>
      <c r="K440" s="6" t="s">
        <v>4289</v>
      </c>
      <c r="L440" s="7" t="s">
        <v>4290</v>
      </c>
      <c r="M440" s="8">
        <v>78788888</v>
      </c>
      <c r="N440" s="8" t="str">
        <f t="shared" si="36"/>
        <v>PEN</v>
      </c>
      <c r="O440" s="13"/>
      <c r="P440" s="13">
        <v>381</v>
      </c>
      <c r="Q440" s="3">
        <f t="shared" si="32"/>
        <v>381</v>
      </c>
      <c r="R440" s="3">
        <f t="shared" si="33"/>
        <v>0</v>
      </c>
      <c r="S440" s="3">
        <f t="shared" si="34"/>
        <v>42785.220000000008</v>
      </c>
      <c r="T440" s="24"/>
      <c r="U440" s="24"/>
      <c r="V440" s="3"/>
      <c r="W440" s="19" t="str">
        <f>IFERROR(VLOOKUP(Banco_Nacion[[#This Row],[RESPONSABLE]],Clientes_Proveedores[[Ruc / Dni]:[Razon Social]],2,0),"")</f>
        <v/>
      </c>
      <c r="X440" s="19" t="str">
        <f>IF(Banco_Nacion[[#This Row],[TIPO DE MOV.]]="INGRESO",Banco_Nacion[[#This Row],[SERIE]]&amp;Banco_Nacion[[#This Row],[NUMERO]]&amp;Banco_Nacion[[#This Row],[RESPONSABLE]]&amp;Banco_Nacion[[#This Row],[MONTO ]],"")</f>
        <v>381</v>
      </c>
      <c r="Y44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78788888</v>
      </c>
      <c r="Z440" s="3"/>
      <c r="AA440" s="3"/>
      <c r="AB440" s="24" t="str">
        <f>IF(Banco_Nacion[[#This Row],[FECHA]]&gt;0,TEXT(Banco_Nacion[[#This Row],[FECHA]],"mmmm"),0)</f>
        <v>Junio</v>
      </c>
    </row>
    <row r="441" spans="2:28" x14ac:dyDescent="0.3">
      <c r="B441" s="2">
        <f>IF(Banco_Nacion[[#This Row],[TIPO DE R.]]="R",COUNTIFS($D$4:$D440,"R")+1,"")</f>
        <v>437</v>
      </c>
      <c r="C441" s="19" t="str">
        <f t="shared" si="35"/>
        <v>B-Banco de la Nacion</v>
      </c>
      <c r="D441" s="3" t="s">
        <v>1074</v>
      </c>
      <c r="E441" s="14">
        <v>45832</v>
      </c>
      <c r="F441" s="5" t="s">
        <v>4289</v>
      </c>
      <c r="G441" s="5" t="s">
        <v>1087</v>
      </c>
      <c r="H441" s="6" t="s">
        <v>368</v>
      </c>
      <c r="I441" s="6"/>
      <c r="J441" s="6" t="s">
        <v>4289</v>
      </c>
      <c r="K441" s="6" t="s">
        <v>4289</v>
      </c>
      <c r="L441" s="7" t="s">
        <v>4290</v>
      </c>
      <c r="M441" s="8">
        <v>78788888</v>
      </c>
      <c r="N441" s="8" t="str">
        <f t="shared" si="36"/>
        <v>PEN</v>
      </c>
      <c r="O441" s="13"/>
      <c r="P441" s="13">
        <v>122</v>
      </c>
      <c r="Q441" s="3">
        <f t="shared" si="32"/>
        <v>122</v>
      </c>
      <c r="R441" s="3">
        <f t="shared" si="33"/>
        <v>0</v>
      </c>
      <c r="S441" s="3">
        <f t="shared" si="34"/>
        <v>42907.220000000008</v>
      </c>
      <c r="T441" s="24"/>
      <c r="U441" s="24"/>
      <c r="V441" s="3"/>
      <c r="W441" s="19" t="str">
        <f>IFERROR(VLOOKUP(Banco_Nacion[[#This Row],[RESPONSABLE]],Clientes_Proveedores[[Ruc / Dni]:[Razon Social]],2,0),"")</f>
        <v/>
      </c>
      <c r="X441" s="19" t="str">
        <f>IF(Banco_Nacion[[#This Row],[TIPO DE MOV.]]="INGRESO",Banco_Nacion[[#This Row],[SERIE]]&amp;Banco_Nacion[[#This Row],[NUMERO]]&amp;Banco_Nacion[[#This Row],[RESPONSABLE]]&amp;Banco_Nacion[[#This Row],[MONTO ]],"")</f>
        <v>122</v>
      </c>
      <c r="Y44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78788888</v>
      </c>
      <c r="Z441" s="3"/>
      <c r="AA441" s="3"/>
      <c r="AB441" s="24" t="str">
        <f>IF(Banco_Nacion[[#This Row],[FECHA]]&gt;0,TEXT(Banco_Nacion[[#This Row],[FECHA]],"mmmm"),0)</f>
        <v>Junio</v>
      </c>
    </row>
    <row r="442" spans="2:28" x14ac:dyDescent="0.3">
      <c r="B442" s="2">
        <f>IF(Banco_Nacion[[#This Row],[TIPO DE R.]]="R",COUNTIFS($D$4:$D441,"R")+1,"")</f>
        <v>438</v>
      </c>
      <c r="C442" s="19" t="str">
        <f t="shared" si="35"/>
        <v>B-Banco de la Nacion</v>
      </c>
      <c r="D442" s="3" t="s">
        <v>1074</v>
      </c>
      <c r="E442" s="14">
        <v>45834</v>
      </c>
      <c r="F442" s="5">
        <v>20100192064</v>
      </c>
      <c r="G442" s="5" t="s">
        <v>1087</v>
      </c>
      <c r="H442" s="6" t="s">
        <v>368</v>
      </c>
      <c r="I442" s="6"/>
      <c r="J442" s="6" t="s">
        <v>4289</v>
      </c>
      <c r="K442" s="6" t="s">
        <v>4289</v>
      </c>
      <c r="L442" s="7" t="s">
        <v>4290</v>
      </c>
      <c r="M442" s="8">
        <v>80984274</v>
      </c>
      <c r="N442" s="8" t="str">
        <f t="shared" si="36"/>
        <v>PEN</v>
      </c>
      <c r="O442" s="13"/>
      <c r="P442" s="13">
        <v>2548</v>
      </c>
      <c r="Q442" s="3">
        <f t="shared" si="32"/>
        <v>2548</v>
      </c>
      <c r="R442" s="3">
        <f t="shared" si="33"/>
        <v>0</v>
      </c>
      <c r="S442" s="3">
        <f t="shared" si="34"/>
        <v>45455.220000000008</v>
      </c>
      <c r="T442" s="24"/>
      <c r="U442" s="24"/>
      <c r="V442" s="3"/>
      <c r="W442" s="19" t="str">
        <f>IFERROR(VLOOKUP(Banco_Nacion[[#This Row],[RESPONSABLE]],Clientes_Proveedores[[Ruc / Dni]:[Razon Social]],2,0),"")</f>
        <v>MOLY-COP ADESUR S.A</v>
      </c>
      <c r="X442" s="19" t="str">
        <f>IF(Banco_Nacion[[#This Row],[TIPO DE MOV.]]="INGRESO",Banco_Nacion[[#This Row],[SERIE]]&amp;Banco_Nacion[[#This Row],[NUMERO]]&amp;Banco_Nacion[[#This Row],[RESPONSABLE]]&amp;Banco_Nacion[[#This Row],[MONTO ]],"")</f>
        <v>201001920642548</v>
      </c>
      <c r="Y44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80984274</v>
      </c>
      <c r="Z442" s="3"/>
      <c r="AA442" s="3"/>
      <c r="AB442" s="24" t="str">
        <f>IF(Banco_Nacion[[#This Row],[FECHA]]&gt;0,TEXT(Banco_Nacion[[#This Row],[FECHA]],"mmmm"),0)</f>
        <v>Junio</v>
      </c>
    </row>
    <row r="443" spans="2:28" x14ac:dyDescent="0.3">
      <c r="B443" s="2">
        <f>IF(Banco_Nacion[[#This Row],[TIPO DE R.]]="R",COUNTIFS($D$4:$D442,"R")+1,"")</f>
        <v>439</v>
      </c>
      <c r="C443" s="19" t="str">
        <f t="shared" si="35"/>
        <v>B-Banco de la Nacion</v>
      </c>
      <c r="D443" s="3" t="s">
        <v>1074</v>
      </c>
      <c r="E443" s="14">
        <v>45834</v>
      </c>
      <c r="F443" s="5">
        <v>20100192064</v>
      </c>
      <c r="G443" s="5" t="s">
        <v>1087</v>
      </c>
      <c r="H443" s="6" t="s">
        <v>368</v>
      </c>
      <c r="I443" s="6"/>
      <c r="J443" s="6" t="s">
        <v>4289</v>
      </c>
      <c r="K443" s="6" t="s">
        <v>4289</v>
      </c>
      <c r="L443" s="7" t="s">
        <v>4290</v>
      </c>
      <c r="M443" s="8">
        <v>80984273</v>
      </c>
      <c r="N443" s="8" t="str">
        <f t="shared" si="36"/>
        <v>PEN</v>
      </c>
      <c r="O443" s="13"/>
      <c r="P443" s="13">
        <v>397</v>
      </c>
      <c r="Q443" s="3">
        <f t="shared" si="32"/>
        <v>397</v>
      </c>
      <c r="R443" s="3">
        <f t="shared" si="33"/>
        <v>0</v>
      </c>
      <c r="S443" s="3">
        <f t="shared" si="34"/>
        <v>45852.220000000008</v>
      </c>
      <c r="T443" s="24"/>
      <c r="U443" s="24"/>
      <c r="V443" s="3"/>
      <c r="W443" s="19" t="str">
        <f>IFERROR(VLOOKUP(Banco_Nacion[[#This Row],[RESPONSABLE]],Clientes_Proveedores[[Ruc / Dni]:[Razon Social]],2,0),"")</f>
        <v>MOLY-COP ADESUR S.A</v>
      </c>
      <c r="X443" s="19" t="str">
        <f>IF(Banco_Nacion[[#This Row],[TIPO DE MOV.]]="INGRESO",Banco_Nacion[[#This Row],[SERIE]]&amp;Banco_Nacion[[#This Row],[NUMERO]]&amp;Banco_Nacion[[#This Row],[RESPONSABLE]]&amp;Banco_Nacion[[#This Row],[MONTO ]],"")</f>
        <v>20100192064397</v>
      </c>
      <c r="Y44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80984273</v>
      </c>
      <c r="Z443" s="3"/>
      <c r="AA443" s="3"/>
      <c r="AB443" s="24" t="str">
        <f>IF(Banco_Nacion[[#This Row],[FECHA]]&gt;0,TEXT(Banco_Nacion[[#This Row],[FECHA]],"mmmm"),0)</f>
        <v>Junio</v>
      </c>
    </row>
    <row r="444" spans="2:28" x14ac:dyDescent="0.3">
      <c r="B444" s="2">
        <f>IF(Banco_Nacion[[#This Row],[TIPO DE R.]]="R",COUNTIFS($D$4:$D443,"R")+1,"")</f>
        <v>440</v>
      </c>
      <c r="C444" s="19" t="str">
        <f t="shared" si="35"/>
        <v>B-Banco de la Nacion</v>
      </c>
      <c r="D444" s="3" t="s">
        <v>1074</v>
      </c>
      <c r="E444" s="14">
        <v>45834</v>
      </c>
      <c r="F444" s="5">
        <v>20505675836</v>
      </c>
      <c r="G444" s="5" t="s">
        <v>1087</v>
      </c>
      <c r="H444" s="6" t="s">
        <v>368</v>
      </c>
      <c r="I444" s="6"/>
      <c r="J444" s="6" t="s">
        <v>4289</v>
      </c>
      <c r="K444" s="6" t="s">
        <v>4289</v>
      </c>
      <c r="L444" s="7" t="s">
        <v>4290</v>
      </c>
      <c r="M444" s="8">
        <v>80979908</v>
      </c>
      <c r="N444" s="8" t="str">
        <f t="shared" si="36"/>
        <v>PEN</v>
      </c>
      <c r="O444" s="13"/>
      <c r="P444" s="13">
        <v>395</v>
      </c>
      <c r="Q444" s="3">
        <f t="shared" si="32"/>
        <v>395</v>
      </c>
      <c r="R444" s="3">
        <f t="shared" si="33"/>
        <v>0</v>
      </c>
      <c r="S444" s="3">
        <f t="shared" si="34"/>
        <v>46247.220000000008</v>
      </c>
      <c r="T444" s="24"/>
      <c r="U444" s="24"/>
      <c r="V444" s="3"/>
      <c r="W444" s="19" t="str">
        <f>IFERROR(VLOOKUP(Banco_Nacion[[#This Row],[RESPONSABLE]],Clientes_Proveedores[[Ruc / Dni]:[Razon Social]],2,0),"")</f>
        <v>FLSMIDTH S.A.C.</v>
      </c>
      <c r="X444" s="19" t="str">
        <f>IF(Banco_Nacion[[#This Row],[TIPO DE MOV.]]="INGRESO",Banco_Nacion[[#This Row],[SERIE]]&amp;Banco_Nacion[[#This Row],[NUMERO]]&amp;Banco_Nacion[[#This Row],[RESPONSABLE]]&amp;Banco_Nacion[[#This Row],[MONTO ]],"")</f>
        <v>20505675836395</v>
      </c>
      <c r="Y44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80979908</v>
      </c>
      <c r="Z444" s="3"/>
      <c r="AA444" s="3"/>
      <c r="AB444" s="24" t="str">
        <f>IF(Banco_Nacion[[#This Row],[FECHA]]&gt;0,TEXT(Banco_Nacion[[#This Row],[FECHA]],"mmmm"),0)</f>
        <v>Junio</v>
      </c>
    </row>
    <row r="445" spans="2:28" x14ac:dyDescent="0.3">
      <c r="B445" s="2">
        <f>IF(Banco_Nacion[[#This Row],[TIPO DE R.]]="R",COUNTIFS($D$4:$D444,"R")+1,"")</f>
        <v>441</v>
      </c>
      <c r="C445" s="19" t="str">
        <f t="shared" si="35"/>
        <v>B-Banco de la Nacion</v>
      </c>
      <c r="D445" s="3" t="s">
        <v>1074</v>
      </c>
      <c r="E445" s="14">
        <v>45834</v>
      </c>
      <c r="F445" s="5">
        <v>20505675836</v>
      </c>
      <c r="G445" s="5" t="s">
        <v>1087</v>
      </c>
      <c r="H445" s="6" t="s">
        <v>368</v>
      </c>
      <c r="I445" s="6"/>
      <c r="J445" s="6" t="s">
        <v>4289</v>
      </c>
      <c r="K445" s="6" t="s">
        <v>4289</v>
      </c>
      <c r="L445" s="7" t="s">
        <v>4290</v>
      </c>
      <c r="M445" s="8">
        <v>80979907</v>
      </c>
      <c r="N445" s="8" t="str">
        <f t="shared" si="36"/>
        <v>PEN</v>
      </c>
      <c r="O445" s="13"/>
      <c r="P445" s="13">
        <v>899</v>
      </c>
      <c r="Q445" s="3">
        <f t="shared" si="32"/>
        <v>899</v>
      </c>
      <c r="R445" s="3">
        <f t="shared" si="33"/>
        <v>0</v>
      </c>
      <c r="S445" s="3">
        <f t="shared" si="34"/>
        <v>47146.220000000008</v>
      </c>
      <c r="T445" s="24"/>
      <c r="U445" s="24"/>
      <c r="V445" s="3"/>
      <c r="W445" s="19" t="str">
        <f>IFERROR(VLOOKUP(Banco_Nacion[[#This Row],[RESPONSABLE]],Clientes_Proveedores[[Ruc / Dni]:[Razon Social]],2,0),"")</f>
        <v>FLSMIDTH S.A.C.</v>
      </c>
      <c r="X445" s="19" t="str">
        <f>IF(Banco_Nacion[[#This Row],[TIPO DE MOV.]]="INGRESO",Banco_Nacion[[#This Row],[SERIE]]&amp;Banco_Nacion[[#This Row],[NUMERO]]&amp;Banco_Nacion[[#This Row],[RESPONSABLE]]&amp;Banco_Nacion[[#This Row],[MONTO ]],"")</f>
        <v>20505675836899</v>
      </c>
      <c r="Y44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80979907</v>
      </c>
      <c r="Z445" s="3"/>
      <c r="AA445" s="3"/>
      <c r="AB445" s="24" t="str">
        <f>IF(Banco_Nacion[[#This Row],[FECHA]]&gt;0,TEXT(Banco_Nacion[[#This Row],[FECHA]],"mmmm"),0)</f>
        <v>Junio</v>
      </c>
    </row>
    <row r="446" spans="2:28" x14ac:dyDescent="0.3">
      <c r="B446" s="2">
        <f>IF(Banco_Nacion[[#This Row],[TIPO DE R.]]="R",COUNTIFS($D$4:$D445,"R")+1,"")</f>
        <v>442</v>
      </c>
      <c r="C446" s="19" t="str">
        <f t="shared" si="35"/>
        <v>B-Banco de la Nacion</v>
      </c>
      <c r="D446" s="3" t="s">
        <v>1074</v>
      </c>
      <c r="E446" s="14">
        <v>45834</v>
      </c>
      <c r="F446" s="5">
        <v>20505675836</v>
      </c>
      <c r="G446" s="5" t="s">
        <v>1087</v>
      </c>
      <c r="H446" s="6" t="s">
        <v>368</v>
      </c>
      <c r="I446" s="6"/>
      <c r="J446" s="6" t="s">
        <v>4289</v>
      </c>
      <c r="K446" s="6" t="s">
        <v>4289</v>
      </c>
      <c r="L446" s="7" t="s">
        <v>4290</v>
      </c>
      <c r="M446" s="8">
        <v>80979906</v>
      </c>
      <c r="N446" s="8" t="str">
        <f t="shared" si="36"/>
        <v>PEN</v>
      </c>
      <c r="O446" s="13"/>
      <c r="P446" s="13">
        <v>297</v>
      </c>
      <c r="Q446" s="3">
        <f t="shared" si="32"/>
        <v>297</v>
      </c>
      <c r="R446" s="3">
        <f t="shared" si="33"/>
        <v>0</v>
      </c>
      <c r="S446" s="3">
        <f t="shared" si="34"/>
        <v>47443.220000000008</v>
      </c>
      <c r="T446" s="24"/>
      <c r="U446" s="24"/>
      <c r="V446" s="3"/>
      <c r="W446" s="19" t="str">
        <f>IFERROR(VLOOKUP(Banco_Nacion[[#This Row],[RESPONSABLE]],Clientes_Proveedores[[Ruc / Dni]:[Razon Social]],2,0),"")</f>
        <v>FLSMIDTH S.A.C.</v>
      </c>
      <c r="X446" s="19" t="str">
        <f>IF(Banco_Nacion[[#This Row],[TIPO DE MOV.]]="INGRESO",Banco_Nacion[[#This Row],[SERIE]]&amp;Banco_Nacion[[#This Row],[NUMERO]]&amp;Banco_Nacion[[#This Row],[RESPONSABLE]]&amp;Banco_Nacion[[#This Row],[MONTO ]],"")</f>
        <v>20505675836297</v>
      </c>
      <c r="Y44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80979906</v>
      </c>
      <c r="Z446" s="3"/>
      <c r="AA446" s="3"/>
      <c r="AB446" s="24" t="str">
        <f>IF(Banco_Nacion[[#This Row],[FECHA]]&gt;0,TEXT(Banco_Nacion[[#This Row],[FECHA]],"mmmm"),0)</f>
        <v>Junio</v>
      </c>
    </row>
    <row r="447" spans="2:28" x14ac:dyDescent="0.3">
      <c r="B447" s="2">
        <f>IF(Banco_Nacion[[#This Row],[TIPO DE R.]]="R",COUNTIFS($D$4:$D446,"R")+1,"")</f>
        <v>443</v>
      </c>
      <c r="C447" s="19" t="str">
        <f t="shared" si="35"/>
        <v>B-Banco de la Nacion</v>
      </c>
      <c r="D447" s="3" t="s">
        <v>1074</v>
      </c>
      <c r="E447" s="14">
        <v>45835</v>
      </c>
      <c r="F447" s="5">
        <v>20141637941</v>
      </c>
      <c r="G447" s="5" t="s">
        <v>1087</v>
      </c>
      <c r="H447" s="6" t="s">
        <v>368</v>
      </c>
      <c r="I447" s="6"/>
      <c r="J447" s="6" t="s">
        <v>4289</v>
      </c>
      <c r="K447" s="6" t="s">
        <v>4289</v>
      </c>
      <c r="L447" s="7" t="s">
        <v>4290</v>
      </c>
      <c r="M447" s="8">
        <v>81047012</v>
      </c>
      <c r="N447" s="8" t="str">
        <f t="shared" si="36"/>
        <v>PEN</v>
      </c>
      <c r="O447" s="13"/>
      <c r="P447" s="13">
        <v>255</v>
      </c>
      <c r="Q447" s="3">
        <f t="shared" si="32"/>
        <v>255</v>
      </c>
      <c r="R447" s="3">
        <f t="shared" si="33"/>
        <v>0</v>
      </c>
      <c r="S447" s="3">
        <f t="shared" si="34"/>
        <v>47698.220000000008</v>
      </c>
      <c r="T447" s="24"/>
      <c r="U447" s="24"/>
      <c r="V447" s="3"/>
      <c r="W447" s="19" t="str">
        <f>IFERROR(VLOOKUP(Banco_Nacion[[#This Row],[RESPONSABLE]],Clientes_Proveedores[[Ruc / Dni]:[Razon Social]],2,0),"")</f>
        <v>UNIVERSIDAD CATOLICA DE SANTA MARIA</v>
      </c>
      <c r="X447" s="19" t="str">
        <f>IF(Banco_Nacion[[#This Row],[TIPO DE MOV.]]="INGRESO",Banco_Nacion[[#This Row],[SERIE]]&amp;Banco_Nacion[[#This Row],[NUMERO]]&amp;Banco_Nacion[[#This Row],[RESPONSABLE]]&amp;Banco_Nacion[[#This Row],[MONTO ]],"")</f>
        <v>20141637941255</v>
      </c>
      <c r="Y44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81047012</v>
      </c>
      <c r="Z447" s="3"/>
      <c r="AA447" s="3"/>
      <c r="AB447" s="24" t="str">
        <f>IF(Banco_Nacion[[#This Row],[FECHA]]&gt;0,TEXT(Banco_Nacion[[#This Row],[FECHA]],"mmmm"),0)</f>
        <v>Junio</v>
      </c>
    </row>
    <row r="448" spans="2:28" x14ac:dyDescent="0.3">
      <c r="B448" s="2">
        <f>IF(Banco_Nacion[[#This Row],[TIPO DE R.]]="R",COUNTIFS($D$4:$D447,"R")+1,"")</f>
        <v>444</v>
      </c>
      <c r="C448" s="19" t="str">
        <f t="shared" si="35"/>
        <v>B-Banco de la Nacion</v>
      </c>
      <c r="D448" s="3" t="s">
        <v>1074</v>
      </c>
      <c r="E448" s="14">
        <v>45835</v>
      </c>
      <c r="F448" s="5"/>
      <c r="G448" s="5" t="s">
        <v>1087</v>
      </c>
      <c r="H448" s="6" t="s">
        <v>368</v>
      </c>
      <c r="I448" s="6"/>
      <c r="J448" s="6" t="s">
        <v>4289</v>
      </c>
      <c r="K448" s="6" t="s">
        <v>4289</v>
      </c>
      <c r="L448" s="7" t="s">
        <v>4290</v>
      </c>
      <c r="M448" s="8">
        <v>27351627</v>
      </c>
      <c r="N448" s="8" t="str">
        <f t="shared" si="36"/>
        <v>PEN</v>
      </c>
      <c r="O448" s="13"/>
      <c r="P448" s="13">
        <v>334</v>
      </c>
      <c r="Q448" s="3">
        <f t="shared" si="32"/>
        <v>334</v>
      </c>
      <c r="R448" s="3">
        <f t="shared" si="33"/>
        <v>0</v>
      </c>
      <c r="S448" s="3">
        <f t="shared" si="34"/>
        <v>48032.220000000008</v>
      </c>
      <c r="T448" s="24"/>
      <c r="U448" s="24"/>
      <c r="V448" s="3"/>
      <c r="W448" s="19" t="str">
        <f>IFERROR(VLOOKUP(Banco_Nacion[[#This Row],[RESPONSABLE]],Clientes_Proveedores[[Ruc / Dni]:[Razon Social]],2,0),"")</f>
        <v/>
      </c>
      <c r="X448" s="19" t="str">
        <f>IF(Banco_Nacion[[#This Row],[TIPO DE MOV.]]="INGRESO",Banco_Nacion[[#This Row],[SERIE]]&amp;Banco_Nacion[[#This Row],[NUMERO]]&amp;Banco_Nacion[[#This Row],[RESPONSABLE]]&amp;Banco_Nacion[[#This Row],[MONTO ]],"")</f>
        <v>334</v>
      </c>
      <c r="Y44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27351627</v>
      </c>
      <c r="Z448" s="3"/>
      <c r="AA448" s="3"/>
      <c r="AB448" s="24" t="str">
        <f>IF(Banco_Nacion[[#This Row],[FECHA]]&gt;0,TEXT(Banco_Nacion[[#This Row],[FECHA]],"mmmm"),0)</f>
        <v>Junio</v>
      </c>
    </row>
    <row r="449" spans="2:28" x14ac:dyDescent="0.3">
      <c r="B449" s="2">
        <f>IF(Banco_Nacion[[#This Row],[TIPO DE R.]]="R",COUNTIFS($D$4:$D448,"R")+1,"")</f>
        <v>445</v>
      </c>
      <c r="C449" s="19" t="str">
        <f t="shared" si="35"/>
        <v>B-Banco de la Nacion</v>
      </c>
      <c r="D449" s="3" t="s">
        <v>1074</v>
      </c>
      <c r="E449" s="14">
        <v>45838</v>
      </c>
      <c r="F449" s="5">
        <v>20454186002</v>
      </c>
      <c r="G449" s="5" t="s">
        <v>1087</v>
      </c>
      <c r="H449" s="6" t="s">
        <v>368</v>
      </c>
      <c r="I449" s="6"/>
      <c r="J449" s="6" t="s">
        <v>4289</v>
      </c>
      <c r="K449" s="6" t="s">
        <v>4289</v>
      </c>
      <c r="L449" s="7" t="s">
        <v>4290</v>
      </c>
      <c r="M449" s="8">
        <v>81171540</v>
      </c>
      <c r="N449" s="8" t="str">
        <f t="shared" si="36"/>
        <v>PEN</v>
      </c>
      <c r="O449" s="13"/>
      <c r="P449" s="13">
        <v>272</v>
      </c>
      <c r="Q449" s="3">
        <f t="shared" si="32"/>
        <v>272</v>
      </c>
      <c r="R449" s="3">
        <f t="shared" si="33"/>
        <v>0</v>
      </c>
      <c r="S449" s="3">
        <f t="shared" si="34"/>
        <v>48304.220000000008</v>
      </c>
      <c r="T449" s="24"/>
      <c r="U449" s="24"/>
      <c r="V449" s="3"/>
      <c r="W449" s="19" t="str">
        <f>IFERROR(VLOOKUP(Banco_Nacion[[#This Row],[RESPONSABLE]],Clientes_Proveedores[[Ruc / Dni]:[Razon Social]],2,0),"")</f>
        <v>ALSUR PERU S.A.C.</v>
      </c>
      <c r="X449" s="19" t="str">
        <f>IF(Banco_Nacion[[#This Row],[TIPO DE MOV.]]="INGRESO",Banco_Nacion[[#This Row],[SERIE]]&amp;Banco_Nacion[[#This Row],[NUMERO]]&amp;Banco_Nacion[[#This Row],[RESPONSABLE]]&amp;Banco_Nacion[[#This Row],[MONTO ]],"")</f>
        <v>20454186002272</v>
      </c>
      <c r="Y44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81171540</v>
      </c>
      <c r="Z449" s="3"/>
      <c r="AA449" s="3"/>
      <c r="AB449" s="24" t="str">
        <f>IF(Banco_Nacion[[#This Row],[FECHA]]&gt;0,TEXT(Banco_Nacion[[#This Row],[FECHA]],"mmmm"),0)</f>
        <v>Junio</v>
      </c>
    </row>
    <row r="450" spans="2:28" x14ac:dyDescent="0.3">
      <c r="B450" s="2">
        <f>IF(Banco_Nacion[[#This Row],[TIPO DE R.]]="R",COUNTIFS($D$4:$D449,"R")+1,"")</f>
        <v>446</v>
      </c>
      <c r="C450" s="19" t="str">
        <f t="shared" si="35"/>
        <v>B-Banco de la Nacion</v>
      </c>
      <c r="D450" s="3" t="s">
        <v>1074</v>
      </c>
      <c r="E450" s="14">
        <v>45838</v>
      </c>
      <c r="F450" s="5">
        <v>20454186002</v>
      </c>
      <c r="G450" s="5" t="s">
        <v>1087</v>
      </c>
      <c r="H450" s="6" t="s">
        <v>368</v>
      </c>
      <c r="I450" s="6"/>
      <c r="J450" s="6" t="s">
        <v>4289</v>
      </c>
      <c r="K450" s="6" t="s">
        <v>4289</v>
      </c>
      <c r="L450" s="7" t="s">
        <v>4290</v>
      </c>
      <c r="M450" s="8">
        <v>81171530</v>
      </c>
      <c r="N450" s="8" t="str">
        <f t="shared" si="36"/>
        <v>PEN</v>
      </c>
      <c r="O450" s="13"/>
      <c r="P450" s="13">
        <v>283</v>
      </c>
      <c r="Q450" s="3">
        <f t="shared" si="32"/>
        <v>283</v>
      </c>
      <c r="R450" s="3">
        <f t="shared" si="33"/>
        <v>0</v>
      </c>
      <c r="S450" s="3">
        <f t="shared" si="34"/>
        <v>48587.220000000008</v>
      </c>
      <c r="T450" s="24"/>
      <c r="U450" s="24"/>
      <c r="V450" s="3"/>
      <c r="W450" s="19" t="str">
        <f>IFERROR(VLOOKUP(Banco_Nacion[[#This Row],[RESPONSABLE]],Clientes_Proveedores[[Ruc / Dni]:[Razon Social]],2,0),"")</f>
        <v>ALSUR PERU S.A.C.</v>
      </c>
      <c r="X450" s="19" t="str">
        <f>IF(Banco_Nacion[[#This Row],[TIPO DE MOV.]]="INGRESO",Banco_Nacion[[#This Row],[SERIE]]&amp;Banco_Nacion[[#This Row],[NUMERO]]&amp;Banco_Nacion[[#This Row],[RESPONSABLE]]&amp;Banco_Nacion[[#This Row],[MONTO ]],"")</f>
        <v>20454186002283</v>
      </c>
      <c r="Y45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81171530</v>
      </c>
      <c r="Z450" s="3"/>
      <c r="AA450" s="3"/>
      <c r="AB450" s="24" t="str">
        <f>IF(Banco_Nacion[[#This Row],[FECHA]]&gt;0,TEXT(Banco_Nacion[[#This Row],[FECHA]],"mmmm"),0)</f>
        <v>Junio</v>
      </c>
    </row>
    <row r="451" spans="2:28" x14ac:dyDescent="0.3">
      <c r="B451" s="2">
        <f>IF(Banco_Nacion[[#This Row],[TIPO DE R.]]="R",COUNTIFS($D$4:$D450,"R")+1,"")</f>
        <v>447</v>
      </c>
      <c r="C451" s="19" t="str">
        <f t="shared" si="35"/>
        <v>B-Banco de la Nacion</v>
      </c>
      <c r="D451" s="3" t="s">
        <v>1074</v>
      </c>
      <c r="E451" s="14">
        <v>45838</v>
      </c>
      <c r="F451" s="5">
        <v>20607388416</v>
      </c>
      <c r="G451" s="5" t="s">
        <v>1087</v>
      </c>
      <c r="H451" s="6" t="s">
        <v>368</v>
      </c>
      <c r="I451" s="6"/>
      <c r="J451" s="6" t="s">
        <v>4289</v>
      </c>
      <c r="K451" s="6" t="s">
        <v>4289</v>
      </c>
      <c r="L451" s="7" t="s">
        <v>4290</v>
      </c>
      <c r="M451" s="8">
        <v>81154928</v>
      </c>
      <c r="N451" s="8" t="str">
        <f t="shared" si="36"/>
        <v>PEN</v>
      </c>
      <c r="O451" s="13"/>
      <c r="P451" s="13">
        <v>135</v>
      </c>
      <c r="Q451" s="3">
        <f t="shared" si="32"/>
        <v>135</v>
      </c>
      <c r="R451" s="3">
        <f t="shared" si="33"/>
        <v>0</v>
      </c>
      <c r="S451" s="3">
        <f t="shared" si="34"/>
        <v>48722.220000000008</v>
      </c>
      <c r="T451" s="24"/>
      <c r="U451" s="24"/>
      <c r="V451" s="3"/>
      <c r="W451" s="19" t="str">
        <f>IFERROR(VLOOKUP(Banco_Nacion[[#This Row],[RESPONSABLE]],Clientes_Proveedores[[Ruc / Dni]:[Razon Social]],2,0),"")</f>
        <v>ALEACIONES FERROSAS Y METALICAS S.A.C.</v>
      </c>
      <c r="X451" s="19" t="str">
        <f>IF(Banco_Nacion[[#This Row],[TIPO DE MOV.]]="INGRESO",Banco_Nacion[[#This Row],[SERIE]]&amp;Banco_Nacion[[#This Row],[NUMERO]]&amp;Banco_Nacion[[#This Row],[RESPONSABLE]]&amp;Banco_Nacion[[#This Row],[MONTO ]],"")</f>
        <v>20607388416135</v>
      </c>
      <c r="Y45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81154928</v>
      </c>
      <c r="Z451" s="3"/>
      <c r="AA451" s="3"/>
      <c r="AB451" s="24" t="str">
        <f>IF(Banco_Nacion[[#This Row],[FECHA]]&gt;0,TEXT(Banco_Nacion[[#This Row],[FECHA]],"mmmm"),0)</f>
        <v>Junio</v>
      </c>
    </row>
    <row r="452" spans="2:28" x14ac:dyDescent="0.3">
      <c r="B452" s="2">
        <f>IF(Banco_Nacion[[#This Row],[TIPO DE R.]]="R",COUNTIFS($D$4:$D451,"R")+1,"")</f>
        <v>448</v>
      </c>
      <c r="C452" s="19" t="str">
        <f t="shared" ref="C452:C478" si="37">"B-Banco de la Nacion"</f>
        <v>B-Banco de la Nacion</v>
      </c>
      <c r="D452" s="3" t="s">
        <v>1074</v>
      </c>
      <c r="E452" s="14">
        <v>45839</v>
      </c>
      <c r="F452" s="5">
        <v>20170040938</v>
      </c>
      <c r="G452" s="5" t="s">
        <v>1087</v>
      </c>
      <c r="H452" s="6" t="s">
        <v>368</v>
      </c>
      <c r="I452" s="6"/>
      <c r="J452" s="6" t="s">
        <v>4289</v>
      </c>
      <c r="K452" s="6" t="s">
        <v>4289</v>
      </c>
      <c r="L452" s="7" t="s">
        <v>4290</v>
      </c>
      <c r="M452" s="8">
        <v>81544135</v>
      </c>
      <c r="N452" s="8" t="str">
        <f t="shared" ref="N452:N478" si="38">"PEN"</f>
        <v>PEN</v>
      </c>
      <c r="O452" s="13"/>
      <c r="P452" s="13">
        <v>1374</v>
      </c>
      <c r="Q452" s="3">
        <f t="shared" si="32"/>
        <v>1374</v>
      </c>
      <c r="R452" s="3">
        <f t="shared" si="33"/>
        <v>0</v>
      </c>
      <c r="S452" s="3">
        <f t="shared" si="34"/>
        <v>50096.220000000008</v>
      </c>
      <c r="T452" s="24"/>
      <c r="U452" s="24"/>
      <c r="V452" s="3"/>
      <c r="W452" s="19" t="str">
        <f>IFERROR(VLOOKUP(Banco_Nacion[[#This Row],[RESPONSABLE]],Clientes_Proveedores[[Ruc / Dni]:[Razon Social]],2,0),"")</f>
        <v>DANPER TRUJILLO S.A.C</v>
      </c>
      <c r="X452" s="19" t="str">
        <f>IF(Banco_Nacion[[#This Row],[TIPO DE MOV.]]="INGRESO",Banco_Nacion[[#This Row],[SERIE]]&amp;Banco_Nacion[[#This Row],[NUMERO]]&amp;Banco_Nacion[[#This Row],[RESPONSABLE]]&amp;Banco_Nacion[[#This Row],[MONTO ]],"")</f>
        <v>201700409381374</v>
      </c>
      <c r="Y45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81544135</v>
      </c>
      <c r="Z452" s="3"/>
      <c r="AA452" s="3"/>
      <c r="AB452" s="24" t="str">
        <f>IF(Banco_Nacion[[#This Row],[FECHA]]&gt;0,TEXT(Banco_Nacion[[#This Row],[FECHA]],"mmmm"),0)</f>
        <v>Julio</v>
      </c>
    </row>
    <row r="453" spans="2:28" x14ac:dyDescent="0.3">
      <c r="B453" s="2">
        <f>IF(Banco_Nacion[[#This Row],[TIPO DE R.]]="R",COUNTIFS($D$4:$D452,"R")+1,"")</f>
        <v>449</v>
      </c>
      <c r="C453" s="19" t="str">
        <f t="shared" si="37"/>
        <v>B-Banco de la Nacion</v>
      </c>
      <c r="D453" s="3" t="s">
        <v>1074</v>
      </c>
      <c r="E453" s="14">
        <v>45839</v>
      </c>
      <c r="F453" s="5">
        <v>20558203332</v>
      </c>
      <c r="G453" s="5" t="s">
        <v>1087</v>
      </c>
      <c r="H453" s="6" t="s">
        <v>368</v>
      </c>
      <c r="I453" s="6"/>
      <c r="J453" s="6" t="s">
        <v>4289</v>
      </c>
      <c r="K453" s="6" t="s">
        <v>4289</v>
      </c>
      <c r="L453" s="7" t="s">
        <v>4290</v>
      </c>
      <c r="M453" s="8">
        <v>81539767</v>
      </c>
      <c r="N453" s="8" t="str">
        <f t="shared" si="38"/>
        <v>PEN</v>
      </c>
      <c r="O453" s="13"/>
      <c r="P453" s="13">
        <v>21</v>
      </c>
      <c r="Q453" s="3">
        <f t="shared" ref="Q453:Q478" si="39">+IF(OR($G453="SALDO",$G453="INGRESO"),$P453,0)</f>
        <v>21</v>
      </c>
      <c r="R453" s="3">
        <f t="shared" ref="R453:R478" si="40">+IF($G453="EGRESO",$P453,0)</f>
        <v>0</v>
      </c>
      <c r="S453" s="3">
        <f t="shared" ref="S453:S478" si="41">IFERROR(IF(G453="SALDO",Q453,S452+Q453-R453),0)</f>
        <v>50117.220000000008</v>
      </c>
      <c r="T453" s="24"/>
      <c r="U453" s="24"/>
      <c r="V453" s="3"/>
      <c r="W453" s="19" t="str">
        <f>IFERROR(VLOOKUP(Banco_Nacion[[#This Row],[RESPONSABLE]],Clientes_Proveedores[[Ruc / Dni]:[Razon Social]],2,0),"")</f>
        <v>ISC INGENIERIA DEL SUR S.A.C.</v>
      </c>
      <c r="X453" s="19" t="str">
        <f>IF(Banco_Nacion[[#This Row],[TIPO DE MOV.]]="INGRESO",Banco_Nacion[[#This Row],[SERIE]]&amp;Banco_Nacion[[#This Row],[NUMERO]]&amp;Banco_Nacion[[#This Row],[RESPONSABLE]]&amp;Banco_Nacion[[#This Row],[MONTO ]],"")</f>
        <v>2055820333221</v>
      </c>
      <c r="Y45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81539767</v>
      </c>
      <c r="Z453" s="3"/>
      <c r="AA453" s="3"/>
      <c r="AB453" s="24" t="str">
        <f>IF(Banco_Nacion[[#This Row],[FECHA]]&gt;0,TEXT(Banco_Nacion[[#This Row],[FECHA]],"mmmm"),0)</f>
        <v>Julio</v>
      </c>
    </row>
    <row r="454" spans="2:28" x14ac:dyDescent="0.3">
      <c r="B454" s="2">
        <f>IF(Banco_Nacion[[#This Row],[TIPO DE R.]]="R",COUNTIFS($D$4:$D453,"R")+1,"")</f>
        <v>450</v>
      </c>
      <c r="C454" s="19" t="str">
        <f t="shared" si="37"/>
        <v>B-Banco de la Nacion</v>
      </c>
      <c r="D454" s="3" t="s">
        <v>1074</v>
      </c>
      <c r="E454" s="14">
        <v>45839</v>
      </c>
      <c r="F454" s="5">
        <v>20402885549</v>
      </c>
      <c r="G454" s="5" t="s">
        <v>1087</v>
      </c>
      <c r="H454" s="6" t="s">
        <v>368</v>
      </c>
      <c r="I454" s="6"/>
      <c r="J454" s="6" t="s">
        <v>4289</v>
      </c>
      <c r="K454" s="6" t="s">
        <v>4289</v>
      </c>
      <c r="L454" s="7" t="s">
        <v>4290</v>
      </c>
      <c r="M454" s="8">
        <v>81431565</v>
      </c>
      <c r="N454" s="8" t="str">
        <f t="shared" si="38"/>
        <v>PEN</v>
      </c>
      <c r="O454" s="13"/>
      <c r="P454" s="13">
        <v>4866</v>
      </c>
      <c r="Q454" s="3">
        <f t="shared" si="39"/>
        <v>4866</v>
      </c>
      <c r="R454" s="3">
        <f t="shared" si="40"/>
        <v>0</v>
      </c>
      <c r="S454" s="3">
        <f t="shared" si="41"/>
        <v>54983.220000000008</v>
      </c>
      <c r="T454" s="24"/>
      <c r="U454" s="24"/>
      <c r="V454" s="3"/>
      <c r="W454" s="19" t="str">
        <f>IFERROR(VLOOKUP(Banco_Nacion[[#This Row],[RESPONSABLE]],Clientes_Proveedores[[Ruc / Dni]:[Razon Social]],2,0),"")</f>
        <v>EMPRESA SIDERURGICA DEL PERU S.A.A.</v>
      </c>
      <c r="X454" s="19" t="str">
        <f>IF(Banco_Nacion[[#This Row],[TIPO DE MOV.]]="INGRESO",Banco_Nacion[[#This Row],[SERIE]]&amp;Banco_Nacion[[#This Row],[NUMERO]]&amp;Banco_Nacion[[#This Row],[RESPONSABLE]]&amp;Banco_Nacion[[#This Row],[MONTO ]],"")</f>
        <v>204028855494866</v>
      </c>
      <c r="Y45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81431565</v>
      </c>
      <c r="Z454" s="3"/>
      <c r="AA454" s="3"/>
      <c r="AB454" s="24" t="str">
        <f>IF(Banco_Nacion[[#This Row],[FECHA]]&gt;0,TEXT(Banco_Nacion[[#This Row],[FECHA]],"mmmm"),0)</f>
        <v>Julio</v>
      </c>
    </row>
    <row r="455" spans="2:28" x14ac:dyDescent="0.3">
      <c r="B455" s="2">
        <f>IF(Banco_Nacion[[#This Row],[TIPO DE R.]]="R",COUNTIFS($D$4:$D454,"R")+1,"")</f>
        <v>451</v>
      </c>
      <c r="C455" s="19" t="str">
        <f t="shared" si="37"/>
        <v>B-Banco de la Nacion</v>
      </c>
      <c r="D455" s="3" t="s">
        <v>1074</v>
      </c>
      <c r="E455" s="14">
        <v>45839</v>
      </c>
      <c r="F455" s="5"/>
      <c r="G455" s="5" t="s">
        <v>1079</v>
      </c>
      <c r="H455" s="6"/>
      <c r="I455" s="6"/>
      <c r="J455" s="6" t="s">
        <v>4289</v>
      </c>
      <c r="K455" s="6" t="s">
        <v>4289</v>
      </c>
      <c r="L455" s="7" t="s">
        <v>4292</v>
      </c>
      <c r="M455" s="8">
        <v>78787878</v>
      </c>
      <c r="N455" s="8" t="str">
        <f t="shared" si="38"/>
        <v>PEN</v>
      </c>
      <c r="O455" s="13"/>
      <c r="P455" s="13">
        <v>18801</v>
      </c>
      <c r="Q455" s="3">
        <f t="shared" si="39"/>
        <v>0</v>
      </c>
      <c r="R455" s="3">
        <f t="shared" si="40"/>
        <v>18801</v>
      </c>
      <c r="S455" s="3">
        <f t="shared" si="41"/>
        <v>36182.220000000008</v>
      </c>
      <c r="T455" s="24"/>
      <c r="U455" s="24"/>
      <c r="V455" s="3"/>
      <c r="W455" s="19" t="str">
        <f>IFERROR(VLOOKUP(Banco_Nacion[[#This Row],[RESPONSABLE]],Clientes_Proveedores[[Ruc / Dni]:[Razon Social]],2,0),"")</f>
        <v/>
      </c>
      <c r="X45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45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455" s="3"/>
      <c r="AA455" s="3"/>
      <c r="AB455" s="24" t="str">
        <f>IF(Banco_Nacion[[#This Row],[FECHA]]&gt;0,TEXT(Banco_Nacion[[#This Row],[FECHA]],"mmmm"),0)</f>
        <v>Julio</v>
      </c>
    </row>
    <row r="456" spans="2:28" x14ac:dyDescent="0.3">
      <c r="B456" s="2">
        <f>IF(Banco_Nacion[[#This Row],[TIPO DE R.]]="R",COUNTIFS($D$4:$D455,"R")+1,"")</f>
        <v>452</v>
      </c>
      <c r="C456" s="19" t="str">
        <f t="shared" si="37"/>
        <v>B-Banco de la Nacion</v>
      </c>
      <c r="D456" s="3" t="s">
        <v>1074</v>
      </c>
      <c r="E456" s="14">
        <v>45839</v>
      </c>
      <c r="F456" s="5"/>
      <c r="G456" s="5" t="s">
        <v>1079</v>
      </c>
      <c r="H456" s="6"/>
      <c r="I456" s="6"/>
      <c r="J456" s="6" t="s">
        <v>4289</v>
      </c>
      <c r="K456" s="6" t="s">
        <v>4289</v>
      </c>
      <c r="L456" s="7" t="s">
        <v>4292</v>
      </c>
      <c r="M456" s="8">
        <v>78787878</v>
      </c>
      <c r="N456" s="8" t="str">
        <f t="shared" si="38"/>
        <v>PEN</v>
      </c>
      <c r="O456" s="13"/>
      <c r="P456" s="13">
        <v>866</v>
      </c>
      <c r="Q456" s="3">
        <f t="shared" si="39"/>
        <v>0</v>
      </c>
      <c r="R456" s="3">
        <f t="shared" si="40"/>
        <v>866</v>
      </c>
      <c r="S456" s="3">
        <f t="shared" si="41"/>
        <v>35316.220000000008</v>
      </c>
      <c r="T456" s="24"/>
      <c r="U456" s="24"/>
      <c r="V456" s="3"/>
      <c r="W456" s="19" t="str">
        <f>IFERROR(VLOOKUP(Banco_Nacion[[#This Row],[RESPONSABLE]],Clientes_Proveedores[[Ruc / Dni]:[Razon Social]],2,0),"")</f>
        <v/>
      </c>
      <c r="X45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45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456" s="3"/>
      <c r="AA456" s="3"/>
      <c r="AB456" s="24" t="str">
        <f>IF(Banco_Nacion[[#This Row],[FECHA]]&gt;0,TEXT(Banco_Nacion[[#This Row],[FECHA]],"mmmm"),0)</f>
        <v>Julio</v>
      </c>
    </row>
    <row r="457" spans="2:28" x14ac:dyDescent="0.3">
      <c r="B457" s="2">
        <f>IF(Banco_Nacion[[#This Row],[TIPO DE R.]]="R",COUNTIFS($D$4:$D456,"R")+1,"")</f>
        <v>453</v>
      </c>
      <c r="C457" s="19" t="str">
        <f t="shared" si="37"/>
        <v>B-Banco de la Nacion</v>
      </c>
      <c r="D457" s="3" t="s">
        <v>1074</v>
      </c>
      <c r="E457" s="14">
        <v>45840</v>
      </c>
      <c r="F457" s="5">
        <v>20100172543</v>
      </c>
      <c r="G457" s="5" t="s">
        <v>1087</v>
      </c>
      <c r="H457" s="6" t="s">
        <v>368</v>
      </c>
      <c r="I457" s="6"/>
      <c r="J457" s="6" t="s">
        <v>4289</v>
      </c>
      <c r="K457" s="6" t="s">
        <v>4289</v>
      </c>
      <c r="L457" s="7" t="s">
        <v>4290</v>
      </c>
      <c r="M457" s="8">
        <v>81718111</v>
      </c>
      <c r="N457" s="8" t="str">
        <f t="shared" si="38"/>
        <v>PEN</v>
      </c>
      <c r="O457" s="13"/>
      <c r="P457" s="13">
        <v>171</v>
      </c>
      <c r="Q457" s="3">
        <f t="shared" si="39"/>
        <v>171</v>
      </c>
      <c r="R457" s="3">
        <f t="shared" si="40"/>
        <v>0</v>
      </c>
      <c r="S457" s="3">
        <f t="shared" si="41"/>
        <v>35487.220000000008</v>
      </c>
      <c r="T457" s="24"/>
      <c r="U457" s="24"/>
      <c r="V457" s="3"/>
      <c r="W457" s="19" t="str">
        <f>IFERROR(VLOOKUP(Banco_Nacion[[#This Row],[RESPONSABLE]],Clientes_Proveedores[[Ruc / Dni]:[Razon Social]],2,0),"")</f>
        <v>MOVITECNICA S A</v>
      </c>
      <c r="X457" s="19" t="str">
        <f>IF(Banco_Nacion[[#This Row],[TIPO DE MOV.]]="INGRESO",Banco_Nacion[[#This Row],[SERIE]]&amp;Banco_Nacion[[#This Row],[NUMERO]]&amp;Banco_Nacion[[#This Row],[RESPONSABLE]]&amp;Banco_Nacion[[#This Row],[MONTO ]],"")</f>
        <v>20100172543171</v>
      </c>
      <c r="Y45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81718111</v>
      </c>
      <c r="Z457" s="3"/>
      <c r="AA457" s="3"/>
      <c r="AB457" s="24" t="str">
        <f>IF(Banco_Nacion[[#This Row],[FECHA]]&gt;0,TEXT(Banco_Nacion[[#This Row],[FECHA]],"mmmm"),0)</f>
        <v>Julio</v>
      </c>
    </row>
    <row r="458" spans="2:28" x14ac:dyDescent="0.3">
      <c r="B458" s="2">
        <f>IF(Banco_Nacion[[#This Row],[TIPO DE R.]]="R",COUNTIFS($D$4:$D457,"R")+1,"")</f>
        <v>454</v>
      </c>
      <c r="C458" s="19" t="str">
        <f t="shared" si="37"/>
        <v>B-Banco de la Nacion</v>
      </c>
      <c r="D458" s="3" t="s">
        <v>1074</v>
      </c>
      <c r="E458" s="14">
        <v>45840</v>
      </c>
      <c r="F458" s="5">
        <v>20159473148</v>
      </c>
      <c r="G458" s="5" t="s">
        <v>1087</v>
      </c>
      <c r="H458" s="6" t="s">
        <v>368</v>
      </c>
      <c r="I458" s="6"/>
      <c r="J458" s="6" t="s">
        <v>4289</v>
      </c>
      <c r="K458" s="6" t="s">
        <v>4289</v>
      </c>
      <c r="L458" s="7" t="s">
        <v>4290</v>
      </c>
      <c r="M458" s="8">
        <v>81705578</v>
      </c>
      <c r="N458" s="8" t="str">
        <f t="shared" si="38"/>
        <v>PEN</v>
      </c>
      <c r="O458" s="13"/>
      <c r="P458" s="13">
        <v>169</v>
      </c>
      <c r="Q458" s="3">
        <f t="shared" si="39"/>
        <v>169</v>
      </c>
      <c r="R458" s="3">
        <f t="shared" si="40"/>
        <v>0</v>
      </c>
      <c r="S458" s="3">
        <f t="shared" si="41"/>
        <v>35656.220000000008</v>
      </c>
      <c r="T458" s="24"/>
      <c r="U458" s="24"/>
      <c r="V458" s="3"/>
      <c r="W458" s="19" t="str">
        <f>IFERROR(VLOOKUP(Banco_Nacion[[#This Row],[RESPONSABLE]],Clientes_Proveedores[[Ruc / Dni]:[Razon Social]],2,0),"")</f>
        <v>PESQUERA DIAMANTE S.A.</v>
      </c>
      <c r="X458" s="19" t="str">
        <f>IF(Banco_Nacion[[#This Row],[TIPO DE MOV.]]="INGRESO",Banco_Nacion[[#This Row],[SERIE]]&amp;Banco_Nacion[[#This Row],[NUMERO]]&amp;Banco_Nacion[[#This Row],[RESPONSABLE]]&amp;Banco_Nacion[[#This Row],[MONTO ]],"")</f>
        <v>20159473148169</v>
      </c>
      <c r="Y45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81705578</v>
      </c>
      <c r="Z458" s="3"/>
      <c r="AA458" s="3"/>
      <c r="AB458" s="24" t="str">
        <f>IF(Banco_Nacion[[#This Row],[FECHA]]&gt;0,TEXT(Banco_Nacion[[#This Row],[FECHA]],"mmmm"),0)</f>
        <v>Julio</v>
      </c>
    </row>
    <row r="459" spans="2:28" x14ac:dyDescent="0.3">
      <c r="B459" s="2">
        <f>IF(Banco_Nacion[[#This Row],[TIPO DE R.]]="R",COUNTIFS($D$4:$D458,"R")+1,"")</f>
        <v>455</v>
      </c>
      <c r="C459" s="19" t="str">
        <f t="shared" si="37"/>
        <v>B-Banco de la Nacion</v>
      </c>
      <c r="D459" s="3" t="s">
        <v>1074</v>
      </c>
      <c r="E459" s="14">
        <v>45842</v>
      </c>
      <c r="F459" s="5">
        <v>20100192064</v>
      </c>
      <c r="G459" s="5" t="s">
        <v>1087</v>
      </c>
      <c r="H459" s="6" t="s">
        <v>368</v>
      </c>
      <c r="I459" s="6"/>
      <c r="J459" s="6" t="s">
        <v>4289</v>
      </c>
      <c r="K459" s="6" t="s">
        <v>4289</v>
      </c>
      <c r="L459" s="7" t="s">
        <v>4290</v>
      </c>
      <c r="M459" s="8">
        <v>81933838</v>
      </c>
      <c r="N459" s="8" t="str">
        <f t="shared" si="38"/>
        <v>PEN</v>
      </c>
      <c r="O459" s="13"/>
      <c r="P459" s="13">
        <v>463</v>
      </c>
      <c r="Q459" s="3">
        <f t="shared" si="39"/>
        <v>463</v>
      </c>
      <c r="R459" s="3">
        <f t="shared" si="40"/>
        <v>0</v>
      </c>
      <c r="S459" s="3">
        <f t="shared" si="41"/>
        <v>36119.220000000008</v>
      </c>
      <c r="T459" s="24"/>
      <c r="U459" s="24"/>
      <c r="V459" s="3"/>
      <c r="W459" s="19" t="str">
        <f>IFERROR(VLOOKUP(Banco_Nacion[[#This Row],[RESPONSABLE]],Clientes_Proveedores[[Ruc / Dni]:[Razon Social]],2,0),"")</f>
        <v>MOLY-COP ADESUR S.A</v>
      </c>
      <c r="X459" s="19" t="str">
        <f>IF(Banco_Nacion[[#This Row],[TIPO DE MOV.]]="INGRESO",Banco_Nacion[[#This Row],[SERIE]]&amp;Banco_Nacion[[#This Row],[NUMERO]]&amp;Banco_Nacion[[#This Row],[RESPONSABLE]]&amp;Banco_Nacion[[#This Row],[MONTO ]],"")</f>
        <v>20100192064463</v>
      </c>
      <c r="Y45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81933838</v>
      </c>
      <c r="Z459" s="3"/>
      <c r="AA459" s="3"/>
      <c r="AB459" s="24" t="str">
        <f>IF(Banco_Nacion[[#This Row],[FECHA]]&gt;0,TEXT(Banco_Nacion[[#This Row],[FECHA]],"mmmm"),0)</f>
        <v>Julio</v>
      </c>
    </row>
    <row r="460" spans="2:28" x14ac:dyDescent="0.3">
      <c r="B460" s="2">
        <f>IF(Banco_Nacion[[#This Row],[TIPO DE R.]]="R",COUNTIFS($D$4:$D459,"R")+1,"")</f>
        <v>456</v>
      </c>
      <c r="C460" s="19" t="str">
        <f t="shared" si="37"/>
        <v>B-Banco de la Nacion</v>
      </c>
      <c r="D460" s="3" t="s">
        <v>1074</v>
      </c>
      <c r="E460" s="14">
        <v>45842</v>
      </c>
      <c r="F460" s="5">
        <v>20100192064</v>
      </c>
      <c r="G460" s="5" t="s">
        <v>1087</v>
      </c>
      <c r="H460" s="6" t="s">
        <v>368</v>
      </c>
      <c r="I460" s="6"/>
      <c r="J460" s="6" t="s">
        <v>4289</v>
      </c>
      <c r="K460" s="6" t="s">
        <v>4289</v>
      </c>
      <c r="L460" s="7" t="s">
        <v>4290</v>
      </c>
      <c r="M460" s="8">
        <v>81933777</v>
      </c>
      <c r="N460" s="8" t="str">
        <f t="shared" si="38"/>
        <v>PEN</v>
      </c>
      <c r="O460" s="13"/>
      <c r="P460" s="13">
        <v>668</v>
      </c>
      <c r="Q460" s="3">
        <f t="shared" si="39"/>
        <v>668</v>
      </c>
      <c r="R460" s="3">
        <f t="shared" si="40"/>
        <v>0</v>
      </c>
      <c r="S460" s="3">
        <f t="shared" si="41"/>
        <v>36787.220000000008</v>
      </c>
      <c r="T460" s="24"/>
      <c r="U460" s="24"/>
      <c r="V460" s="3"/>
      <c r="W460" s="19" t="str">
        <f>IFERROR(VLOOKUP(Banco_Nacion[[#This Row],[RESPONSABLE]],Clientes_Proveedores[[Ruc / Dni]:[Razon Social]],2,0),"")</f>
        <v>MOLY-COP ADESUR S.A</v>
      </c>
      <c r="X460" s="19" t="str">
        <f>IF(Banco_Nacion[[#This Row],[TIPO DE MOV.]]="INGRESO",Banco_Nacion[[#This Row],[SERIE]]&amp;Banco_Nacion[[#This Row],[NUMERO]]&amp;Banco_Nacion[[#This Row],[RESPONSABLE]]&amp;Banco_Nacion[[#This Row],[MONTO ]],"")</f>
        <v>20100192064668</v>
      </c>
      <c r="Y46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81933777</v>
      </c>
      <c r="Z460" s="3"/>
      <c r="AA460" s="3"/>
      <c r="AB460" s="24" t="str">
        <f>IF(Banco_Nacion[[#This Row],[FECHA]]&gt;0,TEXT(Banco_Nacion[[#This Row],[FECHA]],"mmmm"),0)</f>
        <v>Julio</v>
      </c>
    </row>
    <row r="461" spans="2:28" x14ac:dyDescent="0.3">
      <c r="B461" s="2">
        <f>IF(Banco_Nacion[[#This Row],[TIPO DE R.]]="R",COUNTIFS($D$4:$D460,"R")+1,"")</f>
        <v>457</v>
      </c>
      <c r="C461" s="19" t="str">
        <f t="shared" si="37"/>
        <v>B-Banco de la Nacion</v>
      </c>
      <c r="D461" s="3" t="s">
        <v>1074</v>
      </c>
      <c r="E461" s="14">
        <v>45842</v>
      </c>
      <c r="F461" s="5">
        <v>20100192064</v>
      </c>
      <c r="G461" s="5" t="s">
        <v>1087</v>
      </c>
      <c r="H461" s="6" t="s">
        <v>368</v>
      </c>
      <c r="I461" s="6"/>
      <c r="J461" s="6" t="s">
        <v>4289</v>
      </c>
      <c r="K461" s="6" t="s">
        <v>4289</v>
      </c>
      <c r="L461" s="7" t="s">
        <v>4290</v>
      </c>
      <c r="M461" s="8">
        <v>81933716</v>
      </c>
      <c r="N461" s="8" t="str">
        <f t="shared" si="38"/>
        <v>PEN</v>
      </c>
      <c r="O461" s="13"/>
      <c r="P461" s="13">
        <v>1313</v>
      </c>
      <c r="Q461" s="3">
        <f t="shared" si="39"/>
        <v>1313</v>
      </c>
      <c r="R461" s="3">
        <f t="shared" si="40"/>
        <v>0</v>
      </c>
      <c r="S461" s="3">
        <f t="shared" si="41"/>
        <v>38100.220000000008</v>
      </c>
      <c r="T461" s="24"/>
      <c r="U461" s="24"/>
      <c r="V461" s="3"/>
      <c r="W461" s="19" t="str">
        <f>IFERROR(VLOOKUP(Banco_Nacion[[#This Row],[RESPONSABLE]],Clientes_Proveedores[[Ruc / Dni]:[Razon Social]],2,0),"")</f>
        <v>MOLY-COP ADESUR S.A</v>
      </c>
      <c r="X461" s="19" t="str">
        <f>IF(Banco_Nacion[[#This Row],[TIPO DE MOV.]]="INGRESO",Banco_Nacion[[#This Row],[SERIE]]&amp;Banco_Nacion[[#This Row],[NUMERO]]&amp;Banco_Nacion[[#This Row],[RESPONSABLE]]&amp;Banco_Nacion[[#This Row],[MONTO ]],"")</f>
        <v>201001920641313</v>
      </c>
      <c r="Y46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81933716</v>
      </c>
      <c r="Z461" s="3"/>
      <c r="AA461" s="3"/>
      <c r="AB461" s="24" t="str">
        <f>IF(Banco_Nacion[[#This Row],[FECHA]]&gt;0,TEXT(Banco_Nacion[[#This Row],[FECHA]],"mmmm"),0)</f>
        <v>Julio</v>
      </c>
    </row>
    <row r="462" spans="2:28" x14ac:dyDescent="0.3">
      <c r="B462" s="2">
        <f>IF(Banco_Nacion[[#This Row],[TIPO DE R.]]="R",COUNTIFS($D$4:$D461,"R")+1,"")</f>
        <v>458</v>
      </c>
      <c r="C462" s="19" t="str">
        <f t="shared" si="37"/>
        <v>B-Banco de la Nacion</v>
      </c>
      <c r="D462" s="3" t="s">
        <v>1074</v>
      </c>
      <c r="E462" s="14">
        <v>45842</v>
      </c>
      <c r="F462" s="5">
        <v>20100192064</v>
      </c>
      <c r="G462" s="5" t="s">
        <v>1087</v>
      </c>
      <c r="H462" s="6" t="s">
        <v>368</v>
      </c>
      <c r="I462" s="6"/>
      <c r="J462" s="6" t="s">
        <v>4289</v>
      </c>
      <c r="K462" s="6" t="s">
        <v>4289</v>
      </c>
      <c r="L462" s="7" t="s">
        <v>4290</v>
      </c>
      <c r="M462" s="8">
        <v>81933678</v>
      </c>
      <c r="N462" s="8" t="str">
        <f t="shared" si="38"/>
        <v>PEN</v>
      </c>
      <c r="O462" s="13"/>
      <c r="P462" s="13">
        <v>213</v>
      </c>
      <c r="Q462" s="3">
        <f t="shared" si="39"/>
        <v>213</v>
      </c>
      <c r="R462" s="3">
        <f t="shared" si="40"/>
        <v>0</v>
      </c>
      <c r="S462" s="3">
        <f t="shared" si="41"/>
        <v>38313.220000000008</v>
      </c>
      <c r="T462" s="24"/>
      <c r="U462" s="24"/>
      <c r="V462" s="3"/>
      <c r="W462" s="19" t="str">
        <f>IFERROR(VLOOKUP(Banco_Nacion[[#This Row],[RESPONSABLE]],Clientes_Proveedores[[Ruc / Dni]:[Razon Social]],2,0),"")</f>
        <v>MOLY-COP ADESUR S.A</v>
      </c>
      <c r="X462" s="19" t="str">
        <f>IF(Banco_Nacion[[#This Row],[TIPO DE MOV.]]="INGRESO",Banco_Nacion[[#This Row],[SERIE]]&amp;Banco_Nacion[[#This Row],[NUMERO]]&amp;Banco_Nacion[[#This Row],[RESPONSABLE]]&amp;Banco_Nacion[[#This Row],[MONTO ]],"")</f>
        <v>20100192064213</v>
      </c>
      <c r="Y46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81933678</v>
      </c>
      <c r="Z462" s="3"/>
      <c r="AA462" s="3"/>
      <c r="AB462" s="24" t="str">
        <f>IF(Banco_Nacion[[#This Row],[FECHA]]&gt;0,TEXT(Banco_Nacion[[#This Row],[FECHA]],"mmmm"),0)</f>
        <v>Julio</v>
      </c>
    </row>
    <row r="463" spans="2:28" x14ac:dyDescent="0.3">
      <c r="B463" s="2">
        <f>IF(Banco_Nacion[[#This Row],[TIPO DE R.]]="R",COUNTIFS($D$4:$D462,"R")+1,"")</f>
        <v>459</v>
      </c>
      <c r="C463" s="19" t="str">
        <f t="shared" si="37"/>
        <v>B-Banco de la Nacion</v>
      </c>
      <c r="D463" s="3" t="s">
        <v>1074</v>
      </c>
      <c r="E463" s="14">
        <v>45842</v>
      </c>
      <c r="F463" s="5">
        <v>20514133931</v>
      </c>
      <c r="G463" s="5" t="s">
        <v>1087</v>
      </c>
      <c r="H463" s="6" t="s">
        <v>368</v>
      </c>
      <c r="I463" s="6"/>
      <c r="J463" s="6" t="s">
        <v>4289</v>
      </c>
      <c r="K463" s="6" t="s">
        <v>4289</v>
      </c>
      <c r="L463" s="7" t="s">
        <v>4290</v>
      </c>
      <c r="M463" s="8">
        <v>81915276</v>
      </c>
      <c r="N463" s="8" t="str">
        <f t="shared" si="38"/>
        <v>PEN</v>
      </c>
      <c r="O463" s="13"/>
      <c r="P463" s="13">
        <v>116</v>
      </c>
      <c r="Q463" s="3">
        <f t="shared" si="39"/>
        <v>116</v>
      </c>
      <c r="R463" s="3">
        <f t="shared" si="40"/>
        <v>0</v>
      </c>
      <c r="S463" s="3">
        <f t="shared" si="41"/>
        <v>38429.220000000008</v>
      </c>
      <c r="T463" s="24"/>
      <c r="U463" s="24"/>
      <c r="V463" s="3"/>
      <c r="W463" s="19" t="str">
        <f>IFERROR(VLOOKUP(Banco_Nacion[[#This Row],[RESPONSABLE]],Clientes_Proveedores[[Ruc / Dni]:[Razon Social]],2,0),"")</f>
        <v>CORPORACION MEDIOAMBIENTAL AMPCO PERU SOCIEDAD ANONIMA CERRADA
- CM AMPCO PERU S.A.C</v>
      </c>
      <c r="X463" s="19" t="str">
        <f>IF(Banco_Nacion[[#This Row],[TIPO DE MOV.]]="INGRESO",Banco_Nacion[[#This Row],[SERIE]]&amp;Banco_Nacion[[#This Row],[NUMERO]]&amp;Banco_Nacion[[#This Row],[RESPONSABLE]]&amp;Banco_Nacion[[#This Row],[MONTO ]],"")</f>
        <v>20514133931116</v>
      </c>
      <c r="Y46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81915276</v>
      </c>
      <c r="Z463" s="3"/>
      <c r="AA463" s="3"/>
      <c r="AB463" s="24" t="str">
        <f>IF(Banco_Nacion[[#This Row],[FECHA]]&gt;0,TEXT(Banco_Nacion[[#This Row],[FECHA]],"mmmm"),0)</f>
        <v>Julio</v>
      </c>
    </row>
    <row r="464" spans="2:28" x14ac:dyDescent="0.3">
      <c r="B464" s="2">
        <f>IF(Banco_Nacion[[#This Row],[TIPO DE R.]]="R",COUNTIFS($D$4:$D463,"R")+1,"")</f>
        <v>460</v>
      </c>
      <c r="C464" s="19" t="str">
        <f t="shared" si="37"/>
        <v>B-Banco de la Nacion</v>
      </c>
      <c r="D464" s="3" t="s">
        <v>1074</v>
      </c>
      <c r="E464" s="14">
        <v>45842</v>
      </c>
      <c r="F464" s="5">
        <v>20514133931</v>
      </c>
      <c r="G464" s="5" t="s">
        <v>1087</v>
      </c>
      <c r="H464" s="6" t="s">
        <v>368</v>
      </c>
      <c r="I464" s="6"/>
      <c r="J464" s="6" t="s">
        <v>4289</v>
      </c>
      <c r="K464" s="6" t="s">
        <v>4289</v>
      </c>
      <c r="L464" s="7" t="s">
        <v>4290</v>
      </c>
      <c r="M464" s="8">
        <v>81915275</v>
      </c>
      <c r="N464" s="8" t="str">
        <f t="shared" si="38"/>
        <v>PEN</v>
      </c>
      <c r="O464" s="13"/>
      <c r="P464" s="13">
        <v>20</v>
      </c>
      <c r="Q464" s="3">
        <f t="shared" si="39"/>
        <v>20</v>
      </c>
      <c r="R464" s="3">
        <f t="shared" si="40"/>
        <v>0</v>
      </c>
      <c r="S464" s="3">
        <f t="shared" si="41"/>
        <v>38449.220000000008</v>
      </c>
      <c r="T464" s="24"/>
      <c r="U464" s="24"/>
      <c r="V464" s="3"/>
      <c r="W464" s="19" t="str">
        <f>IFERROR(VLOOKUP(Banco_Nacion[[#This Row],[RESPONSABLE]],Clientes_Proveedores[[Ruc / Dni]:[Razon Social]],2,0),"")</f>
        <v>CORPORACION MEDIOAMBIENTAL AMPCO PERU SOCIEDAD ANONIMA CERRADA
- CM AMPCO PERU S.A.C</v>
      </c>
      <c r="X464" s="19" t="str">
        <f>IF(Banco_Nacion[[#This Row],[TIPO DE MOV.]]="INGRESO",Banco_Nacion[[#This Row],[SERIE]]&amp;Banco_Nacion[[#This Row],[NUMERO]]&amp;Banco_Nacion[[#This Row],[RESPONSABLE]]&amp;Banco_Nacion[[#This Row],[MONTO ]],"")</f>
        <v>2051413393120</v>
      </c>
      <c r="Y46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81915275</v>
      </c>
      <c r="Z464" s="3"/>
      <c r="AA464" s="3"/>
      <c r="AB464" s="24" t="str">
        <f>IF(Banco_Nacion[[#This Row],[FECHA]]&gt;0,TEXT(Banco_Nacion[[#This Row],[FECHA]],"mmmm"),0)</f>
        <v>Julio</v>
      </c>
    </row>
    <row r="465" spans="2:28" x14ac:dyDescent="0.3">
      <c r="B465" s="2">
        <f>IF(Banco_Nacion[[#This Row],[TIPO DE R.]]="R",COUNTIFS($D$4:$D464,"R")+1,"")</f>
        <v>461</v>
      </c>
      <c r="C465" s="19" t="str">
        <f t="shared" si="37"/>
        <v>B-Banco de la Nacion</v>
      </c>
      <c r="D465" s="3" t="s">
        <v>1074</v>
      </c>
      <c r="E465" s="14">
        <v>45842</v>
      </c>
      <c r="F465" s="5">
        <v>20514133931</v>
      </c>
      <c r="G465" s="5" t="s">
        <v>1087</v>
      </c>
      <c r="H465" s="6" t="s">
        <v>368</v>
      </c>
      <c r="I465" s="6"/>
      <c r="J465" s="6" t="s">
        <v>4289</v>
      </c>
      <c r="K465" s="6" t="s">
        <v>4289</v>
      </c>
      <c r="L465" s="7" t="s">
        <v>4290</v>
      </c>
      <c r="M465" s="8">
        <v>81915274</v>
      </c>
      <c r="N465" s="8" t="str">
        <f t="shared" si="38"/>
        <v>PEN</v>
      </c>
      <c r="O465" s="13"/>
      <c r="P465" s="13">
        <v>449</v>
      </c>
      <c r="Q465" s="3">
        <f t="shared" si="39"/>
        <v>449</v>
      </c>
      <c r="R465" s="3">
        <f t="shared" si="40"/>
        <v>0</v>
      </c>
      <c r="S465" s="3">
        <f t="shared" si="41"/>
        <v>38898.220000000008</v>
      </c>
      <c r="T465" s="24"/>
      <c r="U465" s="24"/>
      <c r="V465" s="3"/>
      <c r="W465" s="19" t="str">
        <f>IFERROR(VLOOKUP(Banco_Nacion[[#This Row],[RESPONSABLE]],Clientes_Proveedores[[Ruc / Dni]:[Razon Social]],2,0),"")</f>
        <v>CORPORACION MEDIOAMBIENTAL AMPCO PERU SOCIEDAD ANONIMA CERRADA
- CM AMPCO PERU S.A.C</v>
      </c>
      <c r="X465" s="19" t="str">
        <f>IF(Banco_Nacion[[#This Row],[TIPO DE MOV.]]="INGRESO",Banco_Nacion[[#This Row],[SERIE]]&amp;Banco_Nacion[[#This Row],[NUMERO]]&amp;Banco_Nacion[[#This Row],[RESPONSABLE]]&amp;Banco_Nacion[[#This Row],[MONTO ]],"")</f>
        <v>20514133931449</v>
      </c>
      <c r="Y46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81915274</v>
      </c>
      <c r="Z465" s="3"/>
      <c r="AA465" s="3"/>
      <c r="AB465" s="24" t="str">
        <f>IF(Banco_Nacion[[#This Row],[FECHA]]&gt;0,TEXT(Banco_Nacion[[#This Row],[FECHA]],"mmmm"),0)</f>
        <v>Julio</v>
      </c>
    </row>
    <row r="466" spans="2:28" x14ac:dyDescent="0.3">
      <c r="B466" s="2">
        <f>IF(Banco_Nacion[[#This Row],[TIPO DE R.]]="R",COUNTIFS($D$4:$D465,"R")+1,"")</f>
        <v>462</v>
      </c>
      <c r="C466" s="19" t="str">
        <f t="shared" si="37"/>
        <v>B-Banco de la Nacion</v>
      </c>
      <c r="D466" s="3" t="s">
        <v>1074</v>
      </c>
      <c r="E466" s="14">
        <v>45842</v>
      </c>
      <c r="F466" s="5"/>
      <c r="G466" s="5" t="s">
        <v>1087</v>
      </c>
      <c r="H466" s="6" t="s">
        <v>368</v>
      </c>
      <c r="I466" s="6"/>
      <c r="J466" s="6" t="s">
        <v>4289</v>
      </c>
      <c r="K466" s="6" t="s">
        <v>4289</v>
      </c>
      <c r="L466" s="7" t="s">
        <v>4290</v>
      </c>
      <c r="M466" s="8">
        <v>27417149</v>
      </c>
      <c r="N466" s="8" t="str">
        <f t="shared" si="38"/>
        <v>PEN</v>
      </c>
      <c r="O466" s="13"/>
      <c r="P466" s="13">
        <v>19</v>
      </c>
      <c r="Q466" s="3">
        <f t="shared" si="39"/>
        <v>19</v>
      </c>
      <c r="R466" s="3">
        <f t="shared" si="40"/>
        <v>0</v>
      </c>
      <c r="S466" s="3">
        <f t="shared" si="41"/>
        <v>38917.220000000008</v>
      </c>
      <c r="T466" s="24"/>
      <c r="U466" s="24"/>
      <c r="V466" s="3"/>
      <c r="W466" s="19" t="str">
        <f>IFERROR(VLOOKUP(Banco_Nacion[[#This Row],[RESPONSABLE]],Clientes_Proveedores[[Ruc / Dni]:[Razon Social]],2,0),"")</f>
        <v/>
      </c>
      <c r="X466" s="19" t="str">
        <f>IF(Banco_Nacion[[#This Row],[TIPO DE MOV.]]="INGRESO",Banco_Nacion[[#This Row],[SERIE]]&amp;Banco_Nacion[[#This Row],[NUMERO]]&amp;Banco_Nacion[[#This Row],[RESPONSABLE]]&amp;Banco_Nacion[[#This Row],[MONTO ]],"")</f>
        <v>19</v>
      </c>
      <c r="Y46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27417149</v>
      </c>
      <c r="Z466" s="3"/>
      <c r="AA466" s="3"/>
      <c r="AB466" s="24" t="str">
        <f>IF(Banco_Nacion[[#This Row],[FECHA]]&gt;0,TEXT(Banco_Nacion[[#This Row],[FECHA]],"mmmm"),0)</f>
        <v>Julio</v>
      </c>
    </row>
    <row r="467" spans="2:28" x14ac:dyDescent="0.3">
      <c r="B467" s="2">
        <f>IF(Banco_Nacion[[#This Row],[TIPO DE R.]]="R",COUNTIFS($D$4:$D466,"R")+1,"")</f>
        <v>463</v>
      </c>
      <c r="C467" s="19" t="str">
        <f t="shared" si="37"/>
        <v>B-Banco de la Nacion</v>
      </c>
      <c r="D467" s="3" t="s">
        <v>1074</v>
      </c>
      <c r="E467" s="14">
        <v>45842</v>
      </c>
      <c r="F467" s="5"/>
      <c r="G467" s="5" t="s">
        <v>1087</v>
      </c>
      <c r="H467" s="6" t="s">
        <v>368</v>
      </c>
      <c r="I467" s="6"/>
      <c r="J467" s="6" t="s">
        <v>4289</v>
      </c>
      <c r="K467" s="6" t="s">
        <v>4289</v>
      </c>
      <c r="L467" s="7" t="s">
        <v>4290</v>
      </c>
      <c r="M467" s="8">
        <v>27417149</v>
      </c>
      <c r="N467" s="8" t="str">
        <f t="shared" si="38"/>
        <v>PEN</v>
      </c>
      <c r="O467" s="13"/>
      <c r="P467" s="13">
        <v>81</v>
      </c>
      <c r="Q467" s="3">
        <f t="shared" si="39"/>
        <v>81</v>
      </c>
      <c r="R467" s="3">
        <f t="shared" si="40"/>
        <v>0</v>
      </c>
      <c r="S467" s="3">
        <f t="shared" si="41"/>
        <v>38998.220000000008</v>
      </c>
      <c r="T467" s="24"/>
      <c r="U467" s="24"/>
      <c r="V467" s="3"/>
      <c r="W467" s="19" t="str">
        <f>IFERROR(VLOOKUP(Banco_Nacion[[#This Row],[RESPONSABLE]],Clientes_Proveedores[[Ruc / Dni]:[Razon Social]],2,0),"")</f>
        <v/>
      </c>
      <c r="X467" s="19" t="str">
        <f>IF(Banco_Nacion[[#This Row],[TIPO DE MOV.]]="INGRESO",Banco_Nacion[[#This Row],[SERIE]]&amp;Banco_Nacion[[#This Row],[NUMERO]]&amp;Banco_Nacion[[#This Row],[RESPONSABLE]]&amp;Banco_Nacion[[#This Row],[MONTO ]],"")</f>
        <v>81</v>
      </c>
      <c r="Y46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27417149</v>
      </c>
      <c r="Z467" s="3"/>
      <c r="AA467" s="3"/>
      <c r="AB467" s="24" t="str">
        <f>IF(Banco_Nacion[[#This Row],[FECHA]]&gt;0,TEXT(Banco_Nacion[[#This Row],[FECHA]],"mmmm"),0)</f>
        <v>Julio</v>
      </c>
    </row>
    <row r="468" spans="2:28" x14ac:dyDescent="0.3">
      <c r="B468" s="2">
        <f>IF(Banco_Nacion[[#This Row],[TIPO DE R.]]="R",COUNTIFS($D$4:$D467,"R")+1,"")</f>
        <v>464</v>
      </c>
      <c r="C468" s="19" t="str">
        <f t="shared" si="37"/>
        <v>B-Banco de la Nacion</v>
      </c>
      <c r="D468" s="3" t="s">
        <v>1074</v>
      </c>
      <c r="E468" s="14">
        <v>45842</v>
      </c>
      <c r="F468" s="5" t="s">
        <v>4289</v>
      </c>
      <c r="G468" s="5" t="s">
        <v>1087</v>
      </c>
      <c r="H468" s="6" t="s">
        <v>368</v>
      </c>
      <c r="I468" s="6"/>
      <c r="J468" s="6" t="s">
        <v>4289</v>
      </c>
      <c r="K468" s="6" t="s">
        <v>4289</v>
      </c>
      <c r="L468" s="7" t="s">
        <v>4290</v>
      </c>
      <c r="M468" s="8">
        <v>27417149</v>
      </c>
      <c r="N468" s="8" t="str">
        <f t="shared" si="38"/>
        <v>PEN</v>
      </c>
      <c r="O468" s="13"/>
      <c r="P468" s="13">
        <v>155</v>
      </c>
      <c r="Q468" s="3">
        <f t="shared" si="39"/>
        <v>155</v>
      </c>
      <c r="R468" s="3">
        <f t="shared" si="40"/>
        <v>0</v>
      </c>
      <c r="S468" s="3">
        <f t="shared" si="41"/>
        <v>39153.220000000008</v>
      </c>
      <c r="T468" s="24"/>
      <c r="U468" s="24"/>
      <c r="V468" s="3"/>
      <c r="W468" s="19" t="str">
        <f>IFERROR(VLOOKUP(Banco_Nacion[[#This Row],[RESPONSABLE]],Clientes_Proveedores[[Ruc / Dni]:[Razon Social]],2,0),"")</f>
        <v/>
      </c>
      <c r="X468" s="19" t="str">
        <f>IF(Banco_Nacion[[#This Row],[TIPO DE MOV.]]="INGRESO",Banco_Nacion[[#This Row],[SERIE]]&amp;Banco_Nacion[[#This Row],[NUMERO]]&amp;Banco_Nacion[[#This Row],[RESPONSABLE]]&amp;Banco_Nacion[[#This Row],[MONTO ]],"")</f>
        <v>155</v>
      </c>
      <c r="Y46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27417149</v>
      </c>
      <c r="Z468" s="3"/>
      <c r="AA468" s="3"/>
      <c r="AB468" s="24" t="str">
        <f>IF(Banco_Nacion[[#This Row],[FECHA]]&gt;0,TEXT(Banco_Nacion[[#This Row],[FECHA]],"mmmm"),0)</f>
        <v>Julio</v>
      </c>
    </row>
    <row r="469" spans="2:28" x14ac:dyDescent="0.3">
      <c r="B469" s="2">
        <f>IF(Banco_Nacion[[#This Row],[TIPO DE R.]]="R",COUNTIFS($D$4:$D468,"R")+1,"")</f>
        <v>465</v>
      </c>
      <c r="C469" s="19" t="str">
        <f t="shared" si="37"/>
        <v>B-Banco de la Nacion</v>
      </c>
      <c r="D469" s="3" t="s">
        <v>1074</v>
      </c>
      <c r="E469" s="14">
        <v>45842</v>
      </c>
      <c r="F469" s="5"/>
      <c r="G469" s="5" t="s">
        <v>1087</v>
      </c>
      <c r="H469" s="6" t="s">
        <v>368</v>
      </c>
      <c r="I469" s="6"/>
      <c r="J469" s="6" t="s">
        <v>4289</v>
      </c>
      <c r="K469" s="6" t="s">
        <v>4289</v>
      </c>
      <c r="L469" s="7" t="s">
        <v>4290</v>
      </c>
      <c r="M469" s="8">
        <v>27417148</v>
      </c>
      <c r="N469" s="8" t="str">
        <f t="shared" si="38"/>
        <v>PEN</v>
      </c>
      <c r="O469" s="13"/>
      <c r="P469" s="13">
        <v>158</v>
      </c>
      <c r="Q469" s="3">
        <f t="shared" si="39"/>
        <v>158</v>
      </c>
      <c r="R469" s="3">
        <f t="shared" si="40"/>
        <v>0</v>
      </c>
      <c r="S469" s="3">
        <f t="shared" si="41"/>
        <v>39311.220000000008</v>
      </c>
      <c r="T469" s="24"/>
      <c r="U469" s="24"/>
      <c r="V469" s="3"/>
      <c r="W469" s="19" t="str">
        <f>IFERROR(VLOOKUP(Banco_Nacion[[#This Row],[RESPONSABLE]],Clientes_Proveedores[[Ruc / Dni]:[Razon Social]],2,0),"")</f>
        <v/>
      </c>
      <c r="X469" s="19" t="str">
        <f>IF(Banco_Nacion[[#This Row],[TIPO DE MOV.]]="INGRESO",Banco_Nacion[[#This Row],[SERIE]]&amp;Banco_Nacion[[#This Row],[NUMERO]]&amp;Banco_Nacion[[#This Row],[RESPONSABLE]]&amp;Banco_Nacion[[#This Row],[MONTO ]],"")</f>
        <v>158</v>
      </c>
      <c r="Y46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27417148</v>
      </c>
      <c r="Z469" s="3"/>
      <c r="AA469" s="3"/>
      <c r="AB469" s="24" t="str">
        <f>IF(Banco_Nacion[[#This Row],[FECHA]]&gt;0,TEXT(Banco_Nacion[[#This Row],[FECHA]],"mmmm"),0)</f>
        <v>Julio</v>
      </c>
    </row>
    <row r="470" spans="2:28" x14ac:dyDescent="0.3">
      <c r="B470" s="2">
        <f>IF(Banco_Nacion[[#This Row],[TIPO DE R.]]="R",COUNTIFS($D$4:$D469,"R")+1,"")</f>
        <v>466</v>
      </c>
      <c r="C470" s="19" t="str">
        <f t="shared" si="37"/>
        <v>B-Banco de la Nacion</v>
      </c>
      <c r="D470" s="3" t="s">
        <v>1074</v>
      </c>
      <c r="E470" s="14">
        <v>45842</v>
      </c>
      <c r="F470" s="5"/>
      <c r="G470" s="5" t="s">
        <v>1087</v>
      </c>
      <c r="H470" s="6" t="s">
        <v>368</v>
      </c>
      <c r="I470" s="6"/>
      <c r="J470" s="6" t="s">
        <v>4289</v>
      </c>
      <c r="K470" s="6" t="s">
        <v>4289</v>
      </c>
      <c r="L470" s="7" t="s">
        <v>4290</v>
      </c>
      <c r="M470" s="8">
        <v>27417148</v>
      </c>
      <c r="N470" s="8" t="str">
        <f t="shared" si="38"/>
        <v>PEN</v>
      </c>
      <c r="O470" s="13"/>
      <c r="P470" s="13">
        <v>75</v>
      </c>
      <c r="Q470" s="3">
        <f t="shared" si="39"/>
        <v>75</v>
      </c>
      <c r="R470" s="3">
        <f t="shared" si="40"/>
        <v>0</v>
      </c>
      <c r="S470" s="3">
        <f t="shared" si="41"/>
        <v>39386.220000000008</v>
      </c>
      <c r="T470" s="24"/>
      <c r="U470" s="24"/>
      <c r="V470" s="3"/>
      <c r="W470" s="19" t="str">
        <f>IFERROR(VLOOKUP(Banco_Nacion[[#This Row],[RESPONSABLE]],Clientes_Proveedores[[Ruc / Dni]:[Razon Social]],2,0),"")</f>
        <v/>
      </c>
      <c r="X470" s="19" t="str">
        <f>IF(Banco_Nacion[[#This Row],[TIPO DE MOV.]]="INGRESO",Banco_Nacion[[#This Row],[SERIE]]&amp;Banco_Nacion[[#This Row],[NUMERO]]&amp;Banco_Nacion[[#This Row],[RESPONSABLE]]&amp;Banco_Nacion[[#This Row],[MONTO ]],"")</f>
        <v>75</v>
      </c>
      <c r="Y47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27417148</v>
      </c>
      <c r="Z470" s="3"/>
      <c r="AA470" s="3"/>
      <c r="AB470" s="24" t="str">
        <f>IF(Banco_Nacion[[#This Row],[FECHA]]&gt;0,TEXT(Banco_Nacion[[#This Row],[FECHA]],"mmmm"),0)</f>
        <v>Julio</v>
      </c>
    </row>
    <row r="471" spans="2:28" x14ac:dyDescent="0.3">
      <c r="B471" s="2">
        <f>IF(Banco_Nacion[[#This Row],[TIPO DE R.]]="R",COUNTIFS($D$4:$D470,"R")+1,"")</f>
        <v>467</v>
      </c>
      <c r="C471" s="19" t="str">
        <f t="shared" si="37"/>
        <v>B-Banco de la Nacion</v>
      </c>
      <c r="D471" s="3" t="s">
        <v>1074</v>
      </c>
      <c r="E471" s="14">
        <v>45842</v>
      </c>
      <c r="F471" s="5"/>
      <c r="G471" s="5" t="s">
        <v>1087</v>
      </c>
      <c r="H471" s="6" t="s">
        <v>368</v>
      </c>
      <c r="I471" s="6"/>
      <c r="J471" s="6" t="s">
        <v>4289</v>
      </c>
      <c r="K471" s="6" t="s">
        <v>4289</v>
      </c>
      <c r="L471" s="7" t="s">
        <v>4290</v>
      </c>
      <c r="M471" s="8">
        <v>27417148</v>
      </c>
      <c r="N471" s="8" t="str">
        <f t="shared" si="38"/>
        <v>PEN</v>
      </c>
      <c r="O471" s="13"/>
      <c r="P471" s="13">
        <v>65</v>
      </c>
      <c r="Q471" s="3">
        <f t="shared" si="39"/>
        <v>65</v>
      </c>
      <c r="R471" s="3">
        <f t="shared" si="40"/>
        <v>0</v>
      </c>
      <c r="S471" s="3">
        <f t="shared" si="41"/>
        <v>39451.220000000008</v>
      </c>
      <c r="T471" s="24"/>
      <c r="U471" s="24"/>
      <c r="V471" s="3"/>
      <c r="W471" s="19" t="str">
        <f>IFERROR(VLOOKUP(Banco_Nacion[[#This Row],[RESPONSABLE]],Clientes_Proveedores[[Ruc / Dni]:[Razon Social]],2,0),"")</f>
        <v/>
      </c>
      <c r="X471" s="19" t="str">
        <f>IF(Banco_Nacion[[#This Row],[TIPO DE MOV.]]="INGRESO",Banco_Nacion[[#This Row],[SERIE]]&amp;Banco_Nacion[[#This Row],[NUMERO]]&amp;Banco_Nacion[[#This Row],[RESPONSABLE]]&amp;Banco_Nacion[[#This Row],[MONTO ]],"")</f>
        <v>65</v>
      </c>
      <c r="Y47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27417148</v>
      </c>
      <c r="Z471" s="3"/>
      <c r="AA471" s="3"/>
      <c r="AB471" s="24" t="str">
        <f>IF(Banco_Nacion[[#This Row],[FECHA]]&gt;0,TEXT(Banco_Nacion[[#This Row],[FECHA]],"mmmm"),0)</f>
        <v>Julio</v>
      </c>
    </row>
    <row r="472" spans="2:28" x14ac:dyDescent="0.3">
      <c r="B472" s="2">
        <f>IF(Banco_Nacion[[#This Row],[TIPO DE R.]]="R",COUNTIFS($D$4:$D471,"R")+1,"")</f>
        <v>468</v>
      </c>
      <c r="C472" s="19" t="str">
        <f t="shared" si="37"/>
        <v>B-Banco de la Nacion</v>
      </c>
      <c r="D472" s="3" t="s">
        <v>1074</v>
      </c>
      <c r="E472" s="14">
        <v>45842</v>
      </c>
      <c r="F472" s="5"/>
      <c r="G472" s="5" t="s">
        <v>1087</v>
      </c>
      <c r="H472" s="6" t="s">
        <v>368</v>
      </c>
      <c r="I472" s="6"/>
      <c r="J472" s="6" t="s">
        <v>4289</v>
      </c>
      <c r="K472" s="6" t="s">
        <v>4289</v>
      </c>
      <c r="L472" s="7" t="s">
        <v>4290</v>
      </c>
      <c r="M472" s="8">
        <v>27417148</v>
      </c>
      <c r="N472" s="8" t="str">
        <f t="shared" si="38"/>
        <v>PEN</v>
      </c>
      <c r="O472" s="13"/>
      <c r="P472" s="13">
        <v>72</v>
      </c>
      <c r="Q472" s="3">
        <f t="shared" si="39"/>
        <v>72</v>
      </c>
      <c r="R472" s="3">
        <f t="shared" si="40"/>
        <v>0</v>
      </c>
      <c r="S472" s="3">
        <f t="shared" si="41"/>
        <v>39523.220000000008</v>
      </c>
      <c r="T472" s="24"/>
      <c r="U472" s="24"/>
      <c r="V472" s="3"/>
      <c r="W472" s="19" t="str">
        <f>IFERROR(VLOOKUP(Banco_Nacion[[#This Row],[RESPONSABLE]],Clientes_Proveedores[[Ruc / Dni]:[Razon Social]],2,0),"")</f>
        <v/>
      </c>
      <c r="X472" s="19" t="str">
        <f>IF(Banco_Nacion[[#This Row],[TIPO DE MOV.]]="INGRESO",Banco_Nacion[[#This Row],[SERIE]]&amp;Banco_Nacion[[#This Row],[NUMERO]]&amp;Banco_Nacion[[#This Row],[RESPONSABLE]]&amp;Banco_Nacion[[#This Row],[MONTO ]],"")</f>
        <v>72</v>
      </c>
      <c r="Y47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27417148</v>
      </c>
      <c r="Z472" s="3"/>
      <c r="AA472" s="3"/>
      <c r="AB472" s="24" t="str">
        <f>IF(Banco_Nacion[[#This Row],[FECHA]]&gt;0,TEXT(Banco_Nacion[[#This Row],[FECHA]],"mmmm"),0)</f>
        <v>Julio</v>
      </c>
    </row>
    <row r="473" spans="2:28" x14ac:dyDescent="0.3">
      <c r="B473" s="2">
        <f>IF(Banco_Nacion[[#This Row],[TIPO DE R.]]="R",COUNTIFS($D$4:$D472,"R")+1,"")</f>
        <v>469</v>
      </c>
      <c r="C473" s="19" t="str">
        <f t="shared" si="37"/>
        <v>B-Banco de la Nacion</v>
      </c>
      <c r="D473" s="3" t="s">
        <v>1074</v>
      </c>
      <c r="E473" s="14">
        <v>45842</v>
      </c>
      <c r="F473" s="5"/>
      <c r="G473" s="5" t="s">
        <v>1087</v>
      </c>
      <c r="H473" s="6" t="s">
        <v>368</v>
      </c>
      <c r="I473" s="6"/>
      <c r="J473" s="6" t="s">
        <v>4289</v>
      </c>
      <c r="K473" s="6" t="s">
        <v>4289</v>
      </c>
      <c r="L473" s="7" t="s">
        <v>4290</v>
      </c>
      <c r="M473" s="8">
        <v>27417148</v>
      </c>
      <c r="N473" s="8" t="str">
        <f t="shared" si="38"/>
        <v>PEN</v>
      </c>
      <c r="O473" s="13"/>
      <c r="P473" s="13">
        <v>51</v>
      </c>
      <c r="Q473" s="3">
        <f t="shared" si="39"/>
        <v>51</v>
      </c>
      <c r="R473" s="3">
        <f t="shared" si="40"/>
        <v>0</v>
      </c>
      <c r="S473" s="3">
        <f t="shared" si="41"/>
        <v>39574.220000000008</v>
      </c>
      <c r="T473" s="24"/>
      <c r="U473" s="24"/>
      <c r="V473" s="3"/>
      <c r="W473" s="19" t="str">
        <f>IFERROR(VLOOKUP(Banco_Nacion[[#This Row],[RESPONSABLE]],Clientes_Proveedores[[Ruc / Dni]:[Razon Social]],2,0),"")</f>
        <v/>
      </c>
      <c r="X473" s="19" t="str">
        <f>IF(Banco_Nacion[[#This Row],[TIPO DE MOV.]]="INGRESO",Banco_Nacion[[#This Row],[SERIE]]&amp;Banco_Nacion[[#This Row],[NUMERO]]&amp;Banco_Nacion[[#This Row],[RESPONSABLE]]&amp;Banco_Nacion[[#This Row],[MONTO ]],"")</f>
        <v>51</v>
      </c>
      <c r="Y47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27417148</v>
      </c>
      <c r="Z473" s="3"/>
      <c r="AA473" s="3"/>
      <c r="AB473" s="24" t="str">
        <f>IF(Banco_Nacion[[#This Row],[FECHA]]&gt;0,TEXT(Banco_Nacion[[#This Row],[FECHA]],"mmmm"),0)</f>
        <v>Julio</v>
      </c>
    </row>
    <row r="474" spans="2:28" x14ac:dyDescent="0.3">
      <c r="B474" s="2">
        <f>IF(Banco_Nacion[[#This Row],[TIPO DE R.]]="R",COUNTIFS($D$4:$D473,"R")+1,"")</f>
        <v>470</v>
      </c>
      <c r="C474" s="19" t="str">
        <f t="shared" si="37"/>
        <v>B-Banco de la Nacion</v>
      </c>
      <c r="D474" s="3" t="s">
        <v>1074</v>
      </c>
      <c r="E474" s="14">
        <v>45842</v>
      </c>
      <c r="F474" s="5"/>
      <c r="G474" s="5" t="s">
        <v>1087</v>
      </c>
      <c r="H474" s="6" t="s">
        <v>368</v>
      </c>
      <c r="I474" s="6"/>
      <c r="J474" s="6" t="s">
        <v>4289</v>
      </c>
      <c r="K474" s="6" t="s">
        <v>4289</v>
      </c>
      <c r="L474" s="7" t="s">
        <v>4290</v>
      </c>
      <c r="M474" s="8">
        <v>27417148</v>
      </c>
      <c r="N474" s="8" t="str">
        <f t="shared" si="38"/>
        <v>PEN</v>
      </c>
      <c r="O474" s="13"/>
      <c r="P474" s="13">
        <v>43</v>
      </c>
      <c r="Q474" s="3">
        <f t="shared" si="39"/>
        <v>43</v>
      </c>
      <c r="R474" s="3">
        <f t="shared" si="40"/>
        <v>0</v>
      </c>
      <c r="S474" s="3">
        <f t="shared" si="41"/>
        <v>39617.220000000008</v>
      </c>
      <c r="T474" s="24"/>
      <c r="U474" s="24"/>
      <c r="V474" s="3"/>
      <c r="W474" s="19" t="str">
        <f>IFERROR(VLOOKUP(Banco_Nacion[[#This Row],[RESPONSABLE]],Clientes_Proveedores[[Ruc / Dni]:[Razon Social]],2,0),"")</f>
        <v/>
      </c>
      <c r="X474" s="19" t="str">
        <f>IF(Banco_Nacion[[#This Row],[TIPO DE MOV.]]="INGRESO",Banco_Nacion[[#This Row],[SERIE]]&amp;Banco_Nacion[[#This Row],[NUMERO]]&amp;Banco_Nacion[[#This Row],[RESPONSABLE]]&amp;Banco_Nacion[[#This Row],[MONTO ]],"")</f>
        <v>43</v>
      </c>
      <c r="Y47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27417148</v>
      </c>
      <c r="Z474" s="3"/>
      <c r="AA474" s="3"/>
      <c r="AB474" s="24" t="str">
        <f>IF(Banco_Nacion[[#This Row],[FECHA]]&gt;0,TEXT(Banco_Nacion[[#This Row],[FECHA]],"mmmm"),0)</f>
        <v>Julio</v>
      </c>
    </row>
    <row r="475" spans="2:28" x14ac:dyDescent="0.3">
      <c r="B475" s="2">
        <f>IF(Banco_Nacion[[#This Row],[TIPO DE R.]]="R",COUNTIFS($D$4:$D474,"R")+1,"")</f>
        <v>471</v>
      </c>
      <c r="C475" s="19" t="str">
        <f t="shared" si="37"/>
        <v>B-Banco de la Nacion</v>
      </c>
      <c r="D475" s="3" t="s">
        <v>1074</v>
      </c>
      <c r="E475" s="14">
        <v>45842</v>
      </c>
      <c r="F475" s="5" t="s">
        <v>4289</v>
      </c>
      <c r="G475" s="5" t="s">
        <v>1087</v>
      </c>
      <c r="H475" s="6" t="s">
        <v>368</v>
      </c>
      <c r="I475" s="6"/>
      <c r="J475" s="6" t="s">
        <v>4289</v>
      </c>
      <c r="K475" s="6" t="s">
        <v>4289</v>
      </c>
      <c r="L475" s="7" t="s">
        <v>4290</v>
      </c>
      <c r="M475" s="8">
        <v>27417148</v>
      </c>
      <c r="N475" s="8" t="str">
        <f t="shared" si="38"/>
        <v>PEN</v>
      </c>
      <c r="O475" s="13"/>
      <c r="P475" s="13">
        <v>37</v>
      </c>
      <c r="Q475" s="3">
        <f t="shared" si="39"/>
        <v>37</v>
      </c>
      <c r="R475" s="3">
        <f t="shared" si="40"/>
        <v>0</v>
      </c>
      <c r="S475" s="3">
        <f t="shared" si="41"/>
        <v>39654.220000000008</v>
      </c>
      <c r="T475" s="24"/>
      <c r="U475" s="24"/>
      <c r="V475" s="3"/>
      <c r="W475" s="19" t="str">
        <f>IFERROR(VLOOKUP(Banco_Nacion[[#This Row],[RESPONSABLE]],Clientes_Proveedores[[Ruc / Dni]:[Razon Social]],2,0),"")</f>
        <v/>
      </c>
      <c r="X475" s="19" t="str">
        <f>IF(Banco_Nacion[[#This Row],[TIPO DE MOV.]]="INGRESO",Banco_Nacion[[#This Row],[SERIE]]&amp;Banco_Nacion[[#This Row],[NUMERO]]&amp;Banco_Nacion[[#This Row],[RESPONSABLE]]&amp;Banco_Nacion[[#This Row],[MONTO ]],"")</f>
        <v>37</v>
      </c>
      <c r="Y47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27417148</v>
      </c>
      <c r="Z475" s="3"/>
      <c r="AA475" s="3"/>
      <c r="AB475" s="24" t="str">
        <f>IF(Banco_Nacion[[#This Row],[FECHA]]&gt;0,TEXT(Banco_Nacion[[#This Row],[FECHA]],"mmmm"),0)</f>
        <v>Julio</v>
      </c>
    </row>
    <row r="476" spans="2:28" x14ac:dyDescent="0.3">
      <c r="B476" s="2">
        <f>IF(Banco_Nacion[[#This Row],[TIPO DE R.]]="R",COUNTIFS($D$4:$D475,"R")+1,"")</f>
        <v>472</v>
      </c>
      <c r="C476" s="19" t="str">
        <f t="shared" si="37"/>
        <v>B-Banco de la Nacion</v>
      </c>
      <c r="D476" s="3" t="s">
        <v>1074</v>
      </c>
      <c r="E476" s="14">
        <v>45842</v>
      </c>
      <c r="F476" s="5"/>
      <c r="G476" s="5" t="s">
        <v>1087</v>
      </c>
      <c r="H476" s="6" t="s">
        <v>368</v>
      </c>
      <c r="I476" s="6"/>
      <c r="J476" s="6" t="s">
        <v>4289</v>
      </c>
      <c r="K476" s="6" t="s">
        <v>4289</v>
      </c>
      <c r="L476" s="7" t="s">
        <v>4290</v>
      </c>
      <c r="M476" s="8">
        <v>27417148</v>
      </c>
      <c r="N476" s="8" t="str">
        <f t="shared" si="38"/>
        <v>PEN</v>
      </c>
      <c r="O476" s="13"/>
      <c r="P476" s="13">
        <v>78</v>
      </c>
      <c r="Q476" s="3">
        <f t="shared" si="39"/>
        <v>78</v>
      </c>
      <c r="R476" s="3">
        <f t="shared" si="40"/>
        <v>0</v>
      </c>
      <c r="S476" s="3">
        <f t="shared" si="41"/>
        <v>39732.220000000008</v>
      </c>
      <c r="T476" s="24"/>
      <c r="U476" s="24"/>
      <c r="V476" s="3"/>
      <c r="W476" s="19" t="str">
        <f>IFERROR(VLOOKUP(Banco_Nacion[[#This Row],[RESPONSABLE]],Clientes_Proveedores[[Ruc / Dni]:[Razon Social]],2,0),"")</f>
        <v/>
      </c>
      <c r="X476" s="19" t="str">
        <f>IF(Banco_Nacion[[#This Row],[TIPO DE MOV.]]="INGRESO",Banco_Nacion[[#This Row],[SERIE]]&amp;Banco_Nacion[[#This Row],[NUMERO]]&amp;Banco_Nacion[[#This Row],[RESPONSABLE]]&amp;Banco_Nacion[[#This Row],[MONTO ]],"")</f>
        <v>78</v>
      </c>
      <c r="Y47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27417148</v>
      </c>
      <c r="Z476" s="3"/>
      <c r="AA476" s="3"/>
      <c r="AB476" s="24" t="str">
        <f>IF(Banco_Nacion[[#This Row],[FECHA]]&gt;0,TEXT(Banco_Nacion[[#This Row],[FECHA]],"mmmm"),0)</f>
        <v>Julio</v>
      </c>
    </row>
    <row r="477" spans="2:28" x14ac:dyDescent="0.3">
      <c r="B477" s="2">
        <f>IF(Banco_Nacion[[#This Row],[TIPO DE R.]]="R",COUNTIFS($D$4:$D476,"R")+1,"")</f>
        <v>473</v>
      </c>
      <c r="C477" s="19" t="str">
        <f t="shared" si="37"/>
        <v>B-Banco de la Nacion</v>
      </c>
      <c r="D477" s="3" t="s">
        <v>1074</v>
      </c>
      <c r="E477" s="14">
        <v>45842</v>
      </c>
      <c r="F477" s="5"/>
      <c r="G477" s="5" t="s">
        <v>1087</v>
      </c>
      <c r="H477" s="6" t="s">
        <v>368</v>
      </c>
      <c r="I477" s="6"/>
      <c r="J477" s="6" t="s">
        <v>4289</v>
      </c>
      <c r="K477" s="6" t="s">
        <v>4289</v>
      </c>
      <c r="L477" s="7" t="s">
        <v>4290</v>
      </c>
      <c r="M477" s="8">
        <v>27417148</v>
      </c>
      <c r="N477" s="8" t="str">
        <f t="shared" si="38"/>
        <v>PEN</v>
      </c>
      <c r="O477" s="13"/>
      <c r="P477" s="13">
        <v>94</v>
      </c>
      <c r="Q477" s="3">
        <f t="shared" si="39"/>
        <v>94</v>
      </c>
      <c r="R477" s="3">
        <f t="shared" si="40"/>
        <v>0</v>
      </c>
      <c r="S477" s="3">
        <f t="shared" si="41"/>
        <v>39826.220000000008</v>
      </c>
      <c r="T477" s="24"/>
      <c r="U477" s="24"/>
      <c r="V477" s="3"/>
      <c r="W477" s="19" t="str">
        <f>IFERROR(VLOOKUP(Banco_Nacion[[#This Row],[RESPONSABLE]],Clientes_Proveedores[[Ruc / Dni]:[Razon Social]],2,0),"")</f>
        <v/>
      </c>
      <c r="X477" s="19" t="str">
        <f>IF(Banco_Nacion[[#This Row],[TIPO DE MOV.]]="INGRESO",Banco_Nacion[[#This Row],[SERIE]]&amp;Banco_Nacion[[#This Row],[NUMERO]]&amp;Banco_Nacion[[#This Row],[RESPONSABLE]]&amp;Banco_Nacion[[#This Row],[MONTO ]],"")</f>
        <v>94</v>
      </c>
      <c r="Y47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27417148</v>
      </c>
      <c r="Z477" s="3"/>
      <c r="AA477" s="3"/>
      <c r="AB477" s="24" t="str">
        <f>IF(Banco_Nacion[[#This Row],[FECHA]]&gt;0,TEXT(Banco_Nacion[[#This Row],[FECHA]],"mmmm"),0)</f>
        <v>Julio</v>
      </c>
    </row>
    <row r="478" spans="2:28" x14ac:dyDescent="0.3">
      <c r="B478" s="2">
        <f>IF(Banco_Nacion[[#This Row],[TIPO DE R.]]="R",COUNTIFS($D$4:$D477,"R")+1,"")</f>
        <v>474</v>
      </c>
      <c r="C478" s="19" t="str">
        <f t="shared" si="37"/>
        <v>B-Banco de la Nacion</v>
      </c>
      <c r="D478" s="3" t="s">
        <v>1074</v>
      </c>
      <c r="E478" s="14">
        <v>45845</v>
      </c>
      <c r="F478" s="5">
        <v>20206432692</v>
      </c>
      <c r="G478" s="5" t="s">
        <v>1087</v>
      </c>
      <c r="H478" s="6" t="s">
        <v>368</v>
      </c>
      <c r="I478" s="6"/>
      <c r="J478" s="6" t="s">
        <v>4289</v>
      </c>
      <c r="K478" s="6" t="s">
        <v>4289</v>
      </c>
      <c r="L478" s="7" t="s">
        <v>4290</v>
      </c>
      <c r="M478" s="8">
        <v>82066821</v>
      </c>
      <c r="N478" s="8" t="str">
        <f t="shared" si="38"/>
        <v>PEN</v>
      </c>
      <c r="O478" s="13"/>
      <c r="P478" s="13">
        <v>13</v>
      </c>
      <c r="Q478" s="3">
        <f t="shared" si="39"/>
        <v>13</v>
      </c>
      <c r="R478" s="3">
        <f t="shared" si="40"/>
        <v>0</v>
      </c>
      <c r="S478" s="3">
        <f t="shared" si="41"/>
        <v>39839.220000000008</v>
      </c>
      <c r="T478" s="24"/>
      <c r="U478" s="24"/>
      <c r="V478" s="3"/>
      <c r="W478" s="19" t="str">
        <f>IFERROR(VLOOKUP(Banco_Nacion[[#This Row],[RESPONSABLE]],Clientes_Proveedores[[Ruc / Dni]:[Razon Social]],2,0),"")</f>
        <v>LATINOAMERICANA EIR LTDA</v>
      </c>
      <c r="X478" s="19" t="str">
        <f>IF(Banco_Nacion[[#This Row],[TIPO DE MOV.]]="INGRESO",Banco_Nacion[[#This Row],[SERIE]]&amp;Banco_Nacion[[#This Row],[NUMERO]]&amp;Banco_Nacion[[#This Row],[RESPONSABLE]]&amp;Banco_Nacion[[#This Row],[MONTO ]],"")</f>
        <v>2020643269213</v>
      </c>
      <c r="Y47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82066821</v>
      </c>
      <c r="Z478" s="3"/>
      <c r="AA478" s="3"/>
      <c r="AB478" s="24" t="str">
        <f>IF(Banco_Nacion[[#This Row],[FECHA]]&gt;0,TEXT(Banco_Nacion[[#This Row],[FECHA]],"mmmm"),0)</f>
        <v>Julio</v>
      </c>
    </row>
    <row r="479" spans="2:28" x14ac:dyDescent="0.3">
      <c r="B479" s="2">
        <f>IF(Banco_Nacion[[#This Row],[TIPO DE R.]]="R",COUNTIFS($D$4:$D478,"R")+1,"")</f>
        <v>475</v>
      </c>
      <c r="C479" s="19" t="str">
        <f t="shared" ref="C479:C497" si="42">"B-Banco de la Nacion"</f>
        <v>B-Banco de la Nacion</v>
      </c>
      <c r="D479" s="3" t="s">
        <v>1074</v>
      </c>
      <c r="E479" s="14">
        <v>45846</v>
      </c>
      <c r="F479" s="5">
        <v>20546530184</v>
      </c>
      <c r="G479" s="5" t="s">
        <v>1087</v>
      </c>
      <c r="H479" s="6" t="s">
        <v>368</v>
      </c>
      <c r="I479" s="6"/>
      <c r="J479" s="6" t="s">
        <v>4289</v>
      </c>
      <c r="K479" s="6" t="s">
        <v>4289</v>
      </c>
      <c r="L479" s="7" t="s">
        <v>4290</v>
      </c>
      <c r="M479" s="8">
        <v>82635685</v>
      </c>
      <c r="N479" s="8" t="str">
        <f t="shared" ref="N479:N497" si="43">"PEN"</f>
        <v>PEN</v>
      </c>
      <c r="O479" s="13"/>
      <c r="P479" s="13">
        <v>828</v>
      </c>
      <c r="Q479" s="3">
        <f t="shared" ref="Q479:Q497" si="44">+IF(OR($G479="SALDO",$G479="INGRESO"),$P479,0)</f>
        <v>828</v>
      </c>
      <c r="R479" s="3">
        <f t="shared" ref="R479:R497" si="45">+IF($G479="EGRESO",$P479,0)</f>
        <v>0</v>
      </c>
      <c r="S479" s="3">
        <f t="shared" ref="S479:S497" si="46">IFERROR(IF(G479="SALDO",Q479,S478+Q479-R479),0)</f>
        <v>40667.220000000008</v>
      </c>
      <c r="T479" s="24"/>
      <c r="U479" s="24"/>
      <c r="V479" s="3"/>
      <c r="W479" s="19" t="str">
        <f>IFERROR(VLOOKUP(Banco_Nacion[[#This Row],[RESPONSABLE]],Clientes_Proveedores[[Ruc / Dni]:[Razon Social]],2,0),"")</f>
        <v>INGENIERIA SERVICIOS Y SOLUCIONES APLICADAS ISSA PERU S.A.C.</v>
      </c>
      <c r="X479" s="19" t="str">
        <f>IF(Banco_Nacion[[#This Row],[TIPO DE MOV.]]="INGRESO",Banco_Nacion[[#This Row],[SERIE]]&amp;Banco_Nacion[[#This Row],[NUMERO]]&amp;Banco_Nacion[[#This Row],[RESPONSABLE]]&amp;Banco_Nacion[[#This Row],[MONTO ]],"")</f>
        <v>20546530184828</v>
      </c>
      <c r="Y47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82635685</v>
      </c>
      <c r="Z479" s="3"/>
      <c r="AA479" s="3"/>
      <c r="AB479" s="24" t="str">
        <f>IF(Banco_Nacion[[#This Row],[FECHA]]&gt;0,TEXT(Banco_Nacion[[#This Row],[FECHA]],"mmmm"),0)</f>
        <v>Julio</v>
      </c>
    </row>
    <row r="480" spans="2:28" x14ac:dyDescent="0.3">
      <c r="B480" s="2">
        <f>IF(Banco_Nacion[[#This Row],[TIPO DE R.]]="R",COUNTIFS($D$4:$D479,"R")+1,"")</f>
        <v>476</v>
      </c>
      <c r="C480" s="19" t="str">
        <f t="shared" si="42"/>
        <v>B-Banco de la Nacion</v>
      </c>
      <c r="D480" s="3" t="s">
        <v>1074</v>
      </c>
      <c r="E480" s="14">
        <v>45846</v>
      </c>
      <c r="F480" s="5">
        <v>20100211115</v>
      </c>
      <c r="G480" s="5" t="s">
        <v>1087</v>
      </c>
      <c r="H480" s="6" t="s">
        <v>368</v>
      </c>
      <c r="I480" s="6"/>
      <c r="J480" s="6" t="s">
        <v>4289</v>
      </c>
      <c r="K480" s="6" t="s">
        <v>4289</v>
      </c>
      <c r="L480" s="7" t="s">
        <v>4290</v>
      </c>
      <c r="M480" s="8">
        <v>82487167</v>
      </c>
      <c r="N480" s="8" t="str">
        <f t="shared" si="43"/>
        <v>PEN</v>
      </c>
      <c r="O480" s="13"/>
      <c r="P480" s="13">
        <v>691</v>
      </c>
      <c r="Q480" s="3">
        <f t="shared" si="44"/>
        <v>691</v>
      </c>
      <c r="R480" s="3">
        <f t="shared" si="45"/>
        <v>0</v>
      </c>
      <c r="S480" s="3">
        <f t="shared" si="46"/>
        <v>41358.220000000008</v>
      </c>
      <c r="T480" s="24"/>
      <c r="U480" s="24"/>
      <c r="V480" s="3"/>
      <c r="W480" s="19" t="str">
        <f>IFERROR(VLOOKUP(Banco_Nacion[[#This Row],[RESPONSABLE]],Clientes_Proveedores[[Ruc / Dni]:[Razon Social]],2,0),"")</f>
        <v>FAB DE CHOCOLATES LA IBERICA S.A.</v>
      </c>
      <c r="X480" s="19" t="str">
        <f>IF(Banco_Nacion[[#This Row],[TIPO DE MOV.]]="INGRESO",Banco_Nacion[[#This Row],[SERIE]]&amp;Banco_Nacion[[#This Row],[NUMERO]]&amp;Banco_Nacion[[#This Row],[RESPONSABLE]]&amp;Banco_Nacion[[#This Row],[MONTO ]],"")</f>
        <v>20100211115691</v>
      </c>
      <c r="Y48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82487167</v>
      </c>
      <c r="Z480" s="3"/>
      <c r="AA480" s="3"/>
      <c r="AB480" s="24" t="str">
        <f>IF(Banco_Nacion[[#This Row],[FECHA]]&gt;0,TEXT(Banco_Nacion[[#This Row],[FECHA]],"mmmm"),0)</f>
        <v>Julio</v>
      </c>
    </row>
    <row r="481" spans="2:28" x14ac:dyDescent="0.3">
      <c r="B481" s="2">
        <f>IF(Banco_Nacion[[#This Row],[TIPO DE R.]]="R",COUNTIFS($D$4:$D480,"R")+1,"")</f>
        <v>477</v>
      </c>
      <c r="C481" s="19" t="str">
        <f t="shared" si="42"/>
        <v>B-Banco de la Nacion</v>
      </c>
      <c r="D481" s="3" t="s">
        <v>1074</v>
      </c>
      <c r="E481" s="14">
        <v>45846</v>
      </c>
      <c r="F481" s="5">
        <v>20100211115</v>
      </c>
      <c r="G481" s="5" t="s">
        <v>1087</v>
      </c>
      <c r="H481" s="6" t="s">
        <v>368</v>
      </c>
      <c r="I481" s="6"/>
      <c r="J481" s="6" t="s">
        <v>4289</v>
      </c>
      <c r="K481" s="6" t="s">
        <v>4289</v>
      </c>
      <c r="L481" s="7" t="s">
        <v>4290</v>
      </c>
      <c r="M481" s="8">
        <v>82487166</v>
      </c>
      <c r="N481" s="8" t="str">
        <f t="shared" si="43"/>
        <v>PEN</v>
      </c>
      <c r="O481" s="13"/>
      <c r="P481" s="13">
        <v>222</v>
      </c>
      <c r="Q481" s="3">
        <f t="shared" si="44"/>
        <v>222</v>
      </c>
      <c r="R481" s="3">
        <f t="shared" si="45"/>
        <v>0</v>
      </c>
      <c r="S481" s="3">
        <f t="shared" si="46"/>
        <v>41580.220000000008</v>
      </c>
      <c r="T481" s="24"/>
      <c r="U481" s="24"/>
      <c r="V481" s="3"/>
      <c r="W481" s="19" t="str">
        <f>IFERROR(VLOOKUP(Banco_Nacion[[#This Row],[RESPONSABLE]],Clientes_Proveedores[[Ruc / Dni]:[Razon Social]],2,0),"")</f>
        <v>FAB DE CHOCOLATES LA IBERICA S.A.</v>
      </c>
      <c r="X481" s="19" t="str">
        <f>IF(Banco_Nacion[[#This Row],[TIPO DE MOV.]]="INGRESO",Banco_Nacion[[#This Row],[SERIE]]&amp;Banco_Nacion[[#This Row],[NUMERO]]&amp;Banco_Nacion[[#This Row],[RESPONSABLE]]&amp;Banco_Nacion[[#This Row],[MONTO ]],"")</f>
        <v>20100211115222</v>
      </c>
      <c r="Y48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82487166</v>
      </c>
      <c r="Z481" s="3"/>
      <c r="AA481" s="3"/>
      <c r="AB481" s="24" t="str">
        <f>IF(Banco_Nacion[[#This Row],[FECHA]]&gt;0,TEXT(Banco_Nacion[[#This Row],[FECHA]],"mmmm"),0)</f>
        <v>Julio</v>
      </c>
    </row>
    <row r="482" spans="2:28" x14ac:dyDescent="0.3">
      <c r="B482" s="2">
        <f>IF(Banco_Nacion[[#This Row],[TIPO DE R.]]="R",COUNTIFS($D$4:$D481,"R")+1,"")</f>
        <v>478</v>
      </c>
      <c r="C482" s="19" t="str">
        <f t="shared" si="42"/>
        <v>B-Banco de la Nacion</v>
      </c>
      <c r="D482" s="3" t="s">
        <v>1074</v>
      </c>
      <c r="E482" s="14">
        <v>45846</v>
      </c>
      <c r="F482" s="5">
        <v>20603065906</v>
      </c>
      <c r="G482" s="5" t="s">
        <v>1087</v>
      </c>
      <c r="H482" s="6" t="s">
        <v>368</v>
      </c>
      <c r="I482" s="6"/>
      <c r="J482" s="6" t="s">
        <v>4289</v>
      </c>
      <c r="K482" s="6" t="s">
        <v>4289</v>
      </c>
      <c r="L482" s="7" t="s">
        <v>4290</v>
      </c>
      <c r="M482" s="8">
        <v>82425651</v>
      </c>
      <c r="N482" s="8" t="str">
        <f t="shared" si="43"/>
        <v>PEN</v>
      </c>
      <c r="O482" s="13"/>
      <c r="P482" s="13">
        <v>213</v>
      </c>
      <c r="Q482" s="3">
        <f t="shared" si="44"/>
        <v>213</v>
      </c>
      <c r="R482" s="3">
        <f t="shared" si="45"/>
        <v>0</v>
      </c>
      <c r="S482" s="3">
        <f t="shared" si="46"/>
        <v>41793.220000000008</v>
      </c>
      <c r="T482" s="24"/>
      <c r="U482" s="24"/>
      <c r="V482" s="3"/>
      <c r="W482" s="19" t="str">
        <f>IFERROR(VLOOKUP(Banco_Nacion[[#This Row],[RESPONSABLE]],Clientes_Proveedores[[Ruc / Dni]:[Razon Social]],2,0),"")</f>
        <v>COMERCIO SERVICIOS E INVERSIONES YANCE E.I.R.L.</v>
      </c>
      <c r="X482" s="19" t="str">
        <f>IF(Banco_Nacion[[#This Row],[TIPO DE MOV.]]="INGRESO",Banco_Nacion[[#This Row],[SERIE]]&amp;Banco_Nacion[[#This Row],[NUMERO]]&amp;Banco_Nacion[[#This Row],[RESPONSABLE]]&amp;Banco_Nacion[[#This Row],[MONTO ]],"")</f>
        <v>20603065906213</v>
      </c>
      <c r="Y48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82425651</v>
      </c>
      <c r="Z482" s="3"/>
      <c r="AA482" s="3"/>
      <c r="AB482" s="24" t="str">
        <f>IF(Banco_Nacion[[#This Row],[FECHA]]&gt;0,TEXT(Banco_Nacion[[#This Row],[FECHA]],"mmmm"),0)</f>
        <v>Julio</v>
      </c>
    </row>
    <row r="483" spans="2:28" x14ac:dyDescent="0.3">
      <c r="B483" s="2">
        <f>IF(Banco_Nacion[[#This Row],[TIPO DE R.]]="R",COUNTIFS($D$4:$D482,"R")+1,"")</f>
        <v>479</v>
      </c>
      <c r="C483" s="19" t="str">
        <f t="shared" si="42"/>
        <v>B-Banco de la Nacion</v>
      </c>
      <c r="D483" s="3" t="s">
        <v>1074</v>
      </c>
      <c r="E483" s="14">
        <v>45846</v>
      </c>
      <c r="F483" s="5">
        <v>20603065906</v>
      </c>
      <c r="G483" s="5" t="s">
        <v>1087</v>
      </c>
      <c r="H483" s="6" t="s">
        <v>368</v>
      </c>
      <c r="I483" s="6"/>
      <c r="J483" s="6" t="s">
        <v>4289</v>
      </c>
      <c r="K483" s="6" t="s">
        <v>4289</v>
      </c>
      <c r="L483" s="7" t="s">
        <v>4290</v>
      </c>
      <c r="M483" s="8">
        <v>82425650</v>
      </c>
      <c r="N483" s="8" t="str">
        <f t="shared" si="43"/>
        <v>PEN</v>
      </c>
      <c r="O483" s="13"/>
      <c r="P483" s="13">
        <v>464</v>
      </c>
      <c r="Q483" s="3">
        <f t="shared" si="44"/>
        <v>464</v>
      </c>
      <c r="R483" s="3">
        <f t="shared" si="45"/>
        <v>0</v>
      </c>
      <c r="S483" s="3">
        <f t="shared" si="46"/>
        <v>42257.220000000008</v>
      </c>
      <c r="T483" s="24"/>
      <c r="U483" s="24"/>
      <c r="V483" s="3"/>
      <c r="W483" s="19" t="str">
        <f>IFERROR(VLOOKUP(Banco_Nacion[[#This Row],[RESPONSABLE]],Clientes_Proveedores[[Ruc / Dni]:[Razon Social]],2,0),"")</f>
        <v>COMERCIO SERVICIOS E INVERSIONES YANCE E.I.R.L.</v>
      </c>
      <c r="X483" s="19" t="str">
        <f>IF(Banco_Nacion[[#This Row],[TIPO DE MOV.]]="INGRESO",Banco_Nacion[[#This Row],[SERIE]]&amp;Banco_Nacion[[#This Row],[NUMERO]]&amp;Banco_Nacion[[#This Row],[RESPONSABLE]]&amp;Banco_Nacion[[#This Row],[MONTO ]],"")</f>
        <v>20603065906464</v>
      </c>
      <c r="Y48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82425650</v>
      </c>
      <c r="Z483" s="3"/>
      <c r="AA483" s="3"/>
      <c r="AB483" s="24" t="str">
        <f>IF(Banco_Nacion[[#This Row],[FECHA]]&gt;0,TEXT(Banco_Nacion[[#This Row],[FECHA]],"mmmm"),0)</f>
        <v>Julio</v>
      </c>
    </row>
    <row r="484" spans="2:28" x14ac:dyDescent="0.3">
      <c r="B484" s="2">
        <f>IF(Banco_Nacion[[#This Row],[TIPO DE R.]]="R",COUNTIFS($D$4:$D483,"R")+1,"")</f>
        <v>480</v>
      </c>
      <c r="C484" s="19" t="str">
        <f t="shared" si="42"/>
        <v>B-Banco de la Nacion</v>
      </c>
      <c r="D484" s="3" t="s">
        <v>1074</v>
      </c>
      <c r="E484" s="14">
        <v>45846</v>
      </c>
      <c r="F484" s="5">
        <v>20603065906</v>
      </c>
      <c r="G484" s="5" t="s">
        <v>1087</v>
      </c>
      <c r="H484" s="6" t="s">
        <v>368</v>
      </c>
      <c r="I484" s="6"/>
      <c r="J484" s="6" t="s">
        <v>4289</v>
      </c>
      <c r="K484" s="6" t="s">
        <v>4289</v>
      </c>
      <c r="L484" s="7" t="s">
        <v>4290</v>
      </c>
      <c r="M484" s="8">
        <v>82425649</v>
      </c>
      <c r="N484" s="8" t="str">
        <f t="shared" si="43"/>
        <v>PEN</v>
      </c>
      <c r="O484" s="13"/>
      <c r="P484" s="13">
        <v>290</v>
      </c>
      <c r="Q484" s="3">
        <f t="shared" si="44"/>
        <v>290</v>
      </c>
      <c r="R484" s="3">
        <f t="shared" si="45"/>
        <v>0</v>
      </c>
      <c r="S484" s="3">
        <f t="shared" si="46"/>
        <v>42547.220000000008</v>
      </c>
      <c r="T484" s="24"/>
      <c r="U484" s="24"/>
      <c r="V484" s="3"/>
      <c r="W484" s="19" t="str">
        <f>IFERROR(VLOOKUP(Banco_Nacion[[#This Row],[RESPONSABLE]],Clientes_Proveedores[[Ruc / Dni]:[Razon Social]],2,0),"")</f>
        <v>COMERCIO SERVICIOS E INVERSIONES YANCE E.I.R.L.</v>
      </c>
      <c r="X484" s="19" t="str">
        <f>IF(Banco_Nacion[[#This Row],[TIPO DE MOV.]]="INGRESO",Banco_Nacion[[#This Row],[SERIE]]&amp;Banco_Nacion[[#This Row],[NUMERO]]&amp;Banco_Nacion[[#This Row],[RESPONSABLE]]&amp;Banco_Nacion[[#This Row],[MONTO ]],"")</f>
        <v>20603065906290</v>
      </c>
      <c r="Y48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82425649</v>
      </c>
      <c r="Z484" s="3"/>
      <c r="AA484" s="3"/>
      <c r="AB484" s="24" t="str">
        <f>IF(Banco_Nacion[[#This Row],[FECHA]]&gt;0,TEXT(Banco_Nacion[[#This Row],[FECHA]],"mmmm"),0)</f>
        <v>Julio</v>
      </c>
    </row>
    <row r="485" spans="2:28" x14ac:dyDescent="0.3">
      <c r="B485" s="2">
        <f>IF(Banco_Nacion[[#This Row],[TIPO DE R.]]="R",COUNTIFS($D$4:$D484,"R")+1,"")</f>
        <v>481</v>
      </c>
      <c r="C485" s="19" t="str">
        <f t="shared" si="42"/>
        <v>B-Banco de la Nacion</v>
      </c>
      <c r="D485" s="3" t="s">
        <v>1074</v>
      </c>
      <c r="E485" s="14">
        <v>45846</v>
      </c>
      <c r="F485" s="5">
        <v>20603065906</v>
      </c>
      <c r="G485" s="5" t="s">
        <v>1087</v>
      </c>
      <c r="H485" s="6" t="s">
        <v>368</v>
      </c>
      <c r="I485" s="6"/>
      <c r="J485" s="6" t="s">
        <v>4289</v>
      </c>
      <c r="K485" s="6" t="s">
        <v>4289</v>
      </c>
      <c r="L485" s="7" t="s">
        <v>4290</v>
      </c>
      <c r="M485" s="8">
        <v>82425648</v>
      </c>
      <c r="N485" s="8" t="str">
        <f t="shared" si="43"/>
        <v>PEN</v>
      </c>
      <c r="O485" s="13"/>
      <c r="P485" s="13">
        <v>378</v>
      </c>
      <c r="Q485" s="3">
        <f t="shared" si="44"/>
        <v>378</v>
      </c>
      <c r="R485" s="3">
        <f t="shared" si="45"/>
        <v>0</v>
      </c>
      <c r="S485" s="3">
        <f t="shared" si="46"/>
        <v>42925.220000000008</v>
      </c>
      <c r="T485" s="24"/>
      <c r="U485" s="24"/>
      <c r="V485" s="3"/>
      <c r="W485" s="19" t="str">
        <f>IFERROR(VLOOKUP(Banco_Nacion[[#This Row],[RESPONSABLE]],Clientes_Proveedores[[Ruc / Dni]:[Razon Social]],2,0),"")</f>
        <v>COMERCIO SERVICIOS E INVERSIONES YANCE E.I.R.L.</v>
      </c>
      <c r="X485" s="19" t="str">
        <f>IF(Banco_Nacion[[#This Row],[TIPO DE MOV.]]="INGRESO",Banco_Nacion[[#This Row],[SERIE]]&amp;Banco_Nacion[[#This Row],[NUMERO]]&amp;Banco_Nacion[[#This Row],[RESPONSABLE]]&amp;Banco_Nacion[[#This Row],[MONTO ]],"")</f>
        <v>20603065906378</v>
      </c>
      <c r="Y48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82425648</v>
      </c>
      <c r="Z485" s="3"/>
      <c r="AA485" s="3"/>
      <c r="AB485" s="24" t="str">
        <f>IF(Banco_Nacion[[#This Row],[FECHA]]&gt;0,TEXT(Banco_Nacion[[#This Row],[FECHA]],"mmmm"),0)</f>
        <v>Julio</v>
      </c>
    </row>
    <row r="486" spans="2:28" x14ac:dyDescent="0.3">
      <c r="B486" s="2">
        <f>IF(Banco_Nacion[[#This Row],[TIPO DE R.]]="R",COUNTIFS($D$4:$D485,"R")+1,"")</f>
        <v>482</v>
      </c>
      <c r="C486" s="19" t="str">
        <f t="shared" si="42"/>
        <v>B-Banco de la Nacion</v>
      </c>
      <c r="D486" s="3" t="s">
        <v>1074</v>
      </c>
      <c r="E486" s="14">
        <v>45846</v>
      </c>
      <c r="F486" s="5">
        <v>20603065906</v>
      </c>
      <c r="G486" s="5" t="s">
        <v>1087</v>
      </c>
      <c r="H486" s="6" t="s">
        <v>368</v>
      </c>
      <c r="I486" s="6"/>
      <c r="J486" s="6" t="s">
        <v>4289</v>
      </c>
      <c r="K486" s="6" t="s">
        <v>4289</v>
      </c>
      <c r="L486" s="7" t="s">
        <v>4290</v>
      </c>
      <c r="M486" s="8">
        <v>82408208</v>
      </c>
      <c r="N486" s="8" t="str">
        <f t="shared" si="43"/>
        <v>PEN</v>
      </c>
      <c r="O486" s="13"/>
      <c r="P486" s="13">
        <v>331</v>
      </c>
      <c r="Q486" s="3">
        <f t="shared" si="44"/>
        <v>331</v>
      </c>
      <c r="R486" s="3">
        <f t="shared" si="45"/>
        <v>0</v>
      </c>
      <c r="S486" s="3">
        <f t="shared" si="46"/>
        <v>43256.220000000008</v>
      </c>
      <c r="T486" s="24"/>
      <c r="U486" s="24"/>
      <c r="V486" s="3"/>
      <c r="W486" s="19" t="str">
        <f>IFERROR(VLOOKUP(Banco_Nacion[[#This Row],[RESPONSABLE]],Clientes_Proveedores[[Ruc / Dni]:[Razon Social]],2,0),"")</f>
        <v>COMERCIO SERVICIOS E INVERSIONES YANCE E.I.R.L.</v>
      </c>
      <c r="X486" s="19" t="str">
        <f>IF(Banco_Nacion[[#This Row],[TIPO DE MOV.]]="INGRESO",Banco_Nacion[[#This Row],[SERIE]]&amp;Banco_Nacion[[#This Row],[NUMERO]]&amp;Banco_Nacion[[#This Row],[RESPONSABLE]]&amp;Banco_Nacion[[#This Row],[MONTO ]],"")</f>
        <v>20603065906331</v>
      </c>
      <c r="Y48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82408208</v>
      </c>
      <c r="Z486" s="3"/>
      <c r="AA486" s="3"/>
      <c r="AB486" s="24" t="str">
        <f>IF(Banco_Nacion[[#This Row],[FECHA]]&gt;0,TEXT(Banco_Nacion[[#This Row],[FECHA]],"mmmm"),0)</f>
        <v>Julio</v>
      </c>
    </row>
    <row r="487" spans="2:28" x14ac:dyDescent="0.3">
      <c r="B487" s="2">
        <f>IF(Banco_Nacion[[#This Row],[TIPO DE R.]]="R",COUNTIFS($D$4:$D486,"R")+1,"")</f>
        <v>483</v>
      </c>
      <c r="C487" s="19" t="str">
        <f t="shared" si="42"/>
        <v>B-Banco de la Nacion</v>
      </c>
      <c r="D487" s="3" t="s">
        <v>1074</v>
      </c>
      <c r="E487" s="14">
        <v>45846</v>
      </c>
      <c r="F487" s="5">
        <v>20455825742</v>
      </c>
      <c r="G487" s="5" t="s">
        <v>1087</v>
      </c>
      <c r="H487" s="6" t="s">
        <v>368</v>
      </c>
      <c r="I487" s="6"/>
      <c r="J487" s="6" t="s">
        <v>4289</v>
      </c>
      <c r="K487" s="6" t="s">
        <v>4289</v>
      </c>
      <c r="L487" s="7" t="s">
        <v>4290</v>
      </c>
      <c r="M487" s="8">
        <v>82372062</v>
      </c>
      <c r="N487" s="8" t="str">
        <f t="shared" si="43"/>
        <v>PEN</v>
      </c>
      <c r="O487" s="13"/>
      <c r="P487" s="13">
        <v>322</v>
      </c>
      <c r="Q487" s="3">
        <f t="shared" si="44"/>
        <v>322</v>
      </c>
      <c r="R487" s="3">
        <f t="shared" si="45"/>
        <v>0</v>
      </c>
      <c r="S487" s="3">
        <f t="shared" si="46"/>
        <v>43578.220000000008</v>
      </c>
      <c r="T487" s="24"/>
      <c r="U487" s="24"/>
      <c r="V487" s="3"/>
      <c r="W487" s="19" t="str">
        <f>IFERROR(VLOOKUP(Banco_Nacion[[#This Row],[RESPONSABLE]],Clientes_Proveedores[[Ruc / Dni]:[Razon Social]],2,0),"")</f>
        <v>LIVIGUI PERU S.A.C.</v>
      </c>
      <c r="X487" s="19" t="str">
        <f>IF(Banco_Nacion[[#This Row],[TIPO DE MOV.]]="INGRESO",Banco_Nacion[[#This Row],[SERIE]]&amp;Banco_Nacion[[#This Row],[NUMERO]]&amp;Banco_Nacion[[#This Row],[RESPONSABLE]]&amp;Banco_Nacion[[#This Row],[MONTO ]],"")</f>
        <v>20455825742322</v>
      </c>
      <c r="Y48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82372062</v>
      </c>
      <c r="Z487" s="3"/>
      <c r="AA487" s="3"/>
      <c r="AB487" s="24" t="str">
        <f>IF(Banco_Nacion[[#This Row],[FECHA]]&gt;0,TEXT(Banco_Nacion[[#This Row],[FECHA]],"mmmm"),0)</f>
        <v>Julio</v>
      </c>
    </row>
    <row r="488" spans="2:28" x14ac:dyDescent="0.3">
      <c r="B488" s="2">
        <f>IF(Banco_Nacion[[#This Row],[TIPO DE R.]]="R",COUNTIFS($D$4:$D487,"R")+1,"")</f>
        <v>484</v>
      </c>
      <c r="C488" s="19" t="str">
        <f t="shared" si="42"/>
        <v>B-Banco de la Nacion</v>
      </c>
      <c r="D488" s="3" t="s">
        <v>1074</v>
      </c>
      <c r="E488" s="14">
        <v>45846</v>
      </c>
      <c r="F488" s="5">
        <v>20120858425</v>
      </c>
      <c r="G488" s="5" t="s">
        <v>1087</v>
      </c>
      <c r="H488" s="6" t="s">
        <v>368</v>
      </c>
      <c r="I488" s="6"/>
      <c r="J488" s="6" t="s">
        <v>4289</v>
      </c>
      <c r="K488" s="6" t="s">
        <v>4289</v>
      </c>
      <c r="L488" s="7" t="s">
        <v>4290</v>
      </c>
      <c r="M488" s="8">
        <v>82352922</v>
      </c>
      <c r="N488" s="8" t="str">
        <f t="shared" si="43"/>
        <v>PEN</v>
      </c>
      <c r="O488" s="13"/>
      <c r="P488" s="13">
        <v>147</v>
      </c>
      <c r="Q488" s="3">
        <f t="shared" si="44"/>
        <v>147</v>
      </c>
      <c r="R488" s="3">
        <f t="shared" si="45"/>
        <v>0</v>
      </c>
      <c r="S488" s="3">
        <f t="shared" si="46"/>
        <v>43725.220000000008</v>
      </c>
      <c r="T488" s="24"/>
      <c r="U488" s="24"/>
      <c r="V488" s="3"/>
      <c r="W488" s="19" t="str">
        <f>IFERROR(VLOOKUP(Banco_Nacion[[#This Row],[RESPONSABLE]],Clientes_Proveedores[[Ruc / Dni]:[Razon Social]],2,0),"")</f>
        <v>POWER S.A.C.</v>
      </c>
      <c r="X488" s="19" t="str">
        <f>IF(Banco_Nacion[[#This Row],[TIPO DE MOV.]]="INGRESO",Banco_Nacion[[#This Row],[SERIE]]&amp;Banco_Nacion[[#This Row],[NUMERO]]&amp;Banco_Nacion[[#This Row],[RESPONSABLE]]&amp;Banco_Nacion[[#This Row],[MONTO ]],"")</f>
        <v>20120858425147</v>
      </c>
      <c r="Y48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82352922</v>
      </c>
      <c r="Z488" s="3"/>
      <c r="AA488" s="3"/>
      <c r="AB488" s="24" t="str">
        <f>IF(Banco_Nacion[[#This Row],[FECHA]]&gt;0,TEXT(Banco_Nacion[[#This Row],[FECHA]],"mmmm"),0)</f>
        <v>Julio</v>
      </c>
    </row>
    <row r="489" spans="2:28" x14ac:dyDescent="0.3">
      <c r="B489" s="2">
        <f>IF(Banco_Nacion[[#This Row],[TIPO DE R.]]="R",COUNTIFS($D$4:$D488,"R")+1,"")</f>
        <v>485</v>
      </c>
      <c r="C489" s="19" t="str">
        <f t="shared" si="42"/>
        <v>B-Banco de la Nacion</v>
      </c>
      <c r="D489" s="3" t="s">
        <v>1074</v>
      </c>
      <c r="E489" s="14">
        <v>45846</v>
      </c>
      <c r="F489" s="5">
        <v>20100235138</v>
      </c>
      <c r="G489" s="5" t="s">
        <v>1087</v>
      </c>
      <c r="H489" s="6" t="s">
        <v>368</v>
      </c>
      <c r="I489" s="6"/>
      <c r="J489" s="6" t="s">
        <v>4289</v>
      </c>
      <c r="K489" s="6" t="s">
        <v>4289</v>
      </c>
      <c r="L489" s="7" t="s">
        <v>4290</v>
      </c>
      <c r="M489" s="8">
        <v>82292594</v>
      </c>
      <c r="N489" s="8" t="str">
        <f t="shared" si="43"/>
        <v>PEN</v>
      </c>
      <c r="O489" s="13"/>
      <c r="P489" s="13">
        <v>55</v>
      </c>
      <c r="Q489" s="3">
        <f t="shared" si="44"/>
        <v>55</v>
      </c>
      <c r="R489" s="3">
        <f t="shared" si="45"/>
        <v>0</v>
      </c>
      <c r="S489" s="3">
        <f t="shared" si="46"/>
        <v>43780.220000000008</v>
      </c>
      <c r="T489" s="24"/>
      <c r="U489" s="24"/>
      <c r="V489" s="3"/>
      <c r="W489" s="19" t="str">
        <f>IFERROR(VLOOKUP(Banco_Nacion[[#This Row],[RESPONSABLE]],Clientes_Proveedores[[Ruc / Dni]:[Razon Social]],2,0),"")</f>
        <v>METALURGICA QUIMICA S.A.C.</v>
      </c>
      <c r="X489" s="19" t="str">
        <f>IF(Banco_Nacion[[#This Row],[TIPO DE MOV.]]="INGRESO",Banco_Nacion[[#This Row],[SERIE]]&amp;Banco_Nacion[[#This Row],[NUMERO]]&amp;Banco_Nacion[[#This Row],[RESPONSABLE]]&amp;Banco_Nacion[[#This Row],[MONTO ]],"")</f>
        <v>2010023513855</v>
      </c>
      <c r="Y48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82292594</v>
      </c>
      <c r="Z489" s="3"/>
      <c r="AA489" s="3"/>
      <c r="AB489" s="24" t="str">
        <f>IF(Banco_Nacion[[#This Row],[FECHA]]&gt;0,TEXT(Banco_Nacion[[#This Row],[FECHA]],"mmmm"),0)</f>
        <v>Julio</v>
      </c>
    </row>
    <row r="490" spans="2:28" x14ac:dyDescent="0.3">
      <c r="B490" s="2">
        <f>IF(Banco_Nacion[[#This Row],[TIPO DE R.]]="R",COUNTIFS($D$4:$D489,"R")+1,"")</f>
        <v>486</v>
      </c>
      <c r="C490" s="19" t="str">
        <f t="shared" si="42"/>
        <v>B-Banco de la Nacion</v>
      </c>
      <c r="D490" s="3" t="s">
        <v>1074</v>
      </c>
      <c r="E490" s="14">
        <v>45846</v>
      </c>
      <c r="F490" s="5">
        <v>20558203332</v>
      </c>
      <c r="G490" s="5" t="s">
        <v>1087</v>
      </c>
      <c r="H490" s="6" t="s">
        <v>368</v>
      </c>
      <c r="I490" s="6"/>
      <c r="J490" s="6" t="s">
        <v>4289</v>
      </c>
      <c r="K490" s="6" t="s">
        <v>4289</v>
      </c>
      <c r="L490" s="7" t="s">
        <v>4290</v>
      </c>
      <c r="M490" s="8">
        <v>82272673</v>
      </c>
      <c r="N490" s="8" t="str">
        <f t="shared" si="43"/>
        <v>PEN</v>
      </c>
      <c r="O490" s="13"/>
      <c r="P490" s="13">
        <v>25</v>
      </c>
      <c r="Q490" s="3">
        <f t="shared" si="44"/>
        <v>25</v>
      </c>
      <c r="R490" s="3">
        <f t="shared" si="45"/>
        <v>0</v>
      </c>
      <c r="S490" s="3">
        <f t="shared" si="46"/>
        <v>43805.220000000008</v>
      </c>
      <c r="T490" s="24"/>
      <c r="U490" s="24"/>
      <c r="V490" s="3"/>
      <c r="W490" s="19" t="str">
        <f>IFERROR(VLOOKUP(Banco_Nacion[[#This Row],[RESPONSABLE]],Clientes_Proveedores[[Ruc / Dni]:[Razon Social]],2,0),"")</f>
        <v>ISC INGENIERIA DEL SUR S.A.C.</v>
      </c>
      <c r="X490" s="19" t="str">
        <f>IF(Banco_Nacion[[#This Row],[TIPO DE MOV.]]="INGRESO",Banco_Nacion[[#This Row],[SERIE]]&amp;Banco_Nacion[[#This Row],[NUMERO]]&amp;Banco_Nacion[[#This Row],[RESPONSABLE]]&amp;Banco_Nacion[[#This Row],[MONTO ]],"")</f>
        <v>2055820333225</v>
      </c>
      <c r="Y49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82272673</v>
      </c>
      <c r="Z490" s="3"/>
      <c r="AA490" s="3"/>
      <c r="AB490" s="24" t="str">
        <f>IF(Banco_Nacion[[#This Row],[FECHA]]&gt;0,TEXT(Banco_Nacion[[#This Row],[FECHA]],"mmmm"),0)</f>
        <v>Julio</v>
      </c>
    </row>
    <row r="491" spans="2:28" x14ac:dyDescent="0.3">
      <c r="B491" s="2">
        <f>IF(Banco_Nacion[[#This Row],[TIPO DE R.]]="R",COUNTIFS($D$4:$D490,"R")+1,"")</f>
        <v>487</v>
      </c>
      <c r="C491" s="19" t="str">
        <f t="shared" si="42"/>
        <v>B-Banco de la Nacion</v>
      </c>
      <c r="D491" s="3" t="s">
        <v>1074</v>
      </c>
      <c r="E491" s="14">
        <v>45846</v>
      </c>
      <c r="F491" s="5">
        <v>20100199743</v>
      </c>
      <c r="G491" s="5" t="s">
        <v>1087</v>
      </c>
      <c r="H491" s="6" t="s">
        <v>368</v>
      </c>
      <c r="I491" s="6"/>
      <c r="J491" s="6" t="s">
        <v>4289</v>
      </c>
      <c r="K491" s="6" t="s">
        <v>4289</v>
      </c>
      <c r="L491" s="7" t="s">
        <v>4290</v>
      </c>
      <c r="M491" s="8">
        <v>82236202</v>
      </c>
      <c r="N491" s="8" t="str">
        <f t="shared" si="43"/>
        <v>PEN</v>
      </c>
      <c r="O491" s="13"/>
      <c r="P491" s="13">
        <v>236</v>
      </c>
      <c r="Q491" s="3">
        <f t="shared" si="44"/>
        <v>236</v>
      </c>
      <c r="R491" s="3">
        <f t="shared" si="45"/>
        <v>0</v>
      </c>
      <c r="S491" s="3">
        <f t="shared" si="46"/>
        <v>44041.220000000008</v>
      </c>
      <c r="T491" s="24"/>
      <c r="U491" s="24"/>
      <c r="V491" s="3"/>
      <c r="W491" s="19" t="str">
        <f>IFERROR(VLOOKUP(Banco_Nacion[[#This Row],[RESPONSABLE]],Clientes_Proveedores[[Ruc / Dni]:[Razon Social]],2,0),"")</f>
        <v>INCA TOPS S.A</v>
      </c>
      <c r="X491" s="19" t="str">
        <f>IF(Banco_Nacion[[#This Row],[TIPO DE MOV.]]="INGRESO",Banco_Nacion[[#This Row],[SERIE]]&amp;Banco_Nacion[[#This Row],[NUMERO]]&amp;Banco_Nacion[[#This Row],[RESPONSABLE]]&amp;Banco_Nacion[[#This Row],[MONTO ]],"")</f>
        <v>20100199743236</v>
      </c>
      <c r="Y49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82236202</v>
      </c>
      <c r="Z491" s="3"/>
      <c r="AA491" s="3"/>
      <c r="AB491" s="24" t="str">
        <f>IF(Banco_Nacion[[#This Row],[FECHA]]&gt;0,TEXT(Banco_Nacion[[#This Row],[FECHA]],"mmmm"),0)</f>
        <v>Julio</v>
      </c>
    </row>
    <row r="492" spans="2:28" x14ac:dyDescent="0.3">
      <c r="B492" s="2">
        <f>IF(Banco_Nacion[[#This Row],[TIPO DE R.]]="R",COUNTIFS($D$4:$D491,"R")+1,"")</f>
        <v>488</v>
      </c>
      <c r="C492" s="19" t="str">
        <f t="shared" si="42"/>
        <v>B-Banco de la Nacion</v>
      </c>
      <c r="D492" s="3" t="s">
        <v>1074</v>
      </c>
      <c r="E492" s="14">
        <v>45846</v>
      </c>
      <c r="F492" s="5"/>
      <c r="G492" s="5" t="s">
        <v>1087</v>
      </c>
      <c r="H492" s="6" t="s">
        <v>368</v>
      </c>
      <c r="I492" s="6"/>
      <c r="J492" s="6" t="s">
        <v>4289</v>
      </c>
      <c r="K492" s="6" t="s">
        <v>4289</v>
      </c>
      <c r="L492" s="7" t="s">
        <v>4290</v>
      </c>
      <c r="M492" s="8">
        <v>27458130</v>
      </c>
      <c r="N492" s="8" t="str">
        <f t="shared" si="43"/>
        <v>PEN</v>
      </c>
      <c r="O492" s="13"/>
      <c r="P492" s="13">
        <v>80</v>
      </c>
      <c r="Q492" s="3">
        <f t="shared" si="44"/>
        <v>80</v>
      </c>
      <c r="R492" s="3">
        <f t="shared" si="45"/>
        <v>0</v>
      </c>
      <c r="S492" s="3">
        <f t="shared" si="46"/>
        <v>44121.220000000008</v>
      </c>
      <c r="T492" s="24"/>
      <c r="U492" s="24"/>
      <c r="V492" s="3"/>
      <c r="W492" s="19" t="str">
        <f>IFERROR(VLOOKUP(Banco_Nacion[[#This Row],[RESPONSABLE]],Clientes_Proveedores[[Ruc / Dni]:[Razon Social]],2,0),"")</f>
        <v/>
      </c>
      <c r="X492" s="19" t="str">
        <f>IF(Banco_Nacion[[#This Row],[TIPO DE MOV.]]="INGRESO",Banco_Nacion[[#This Row],[SERIE]]&amp;Banco_Nacion[[#This Row],[NUMERO]]&amp;Banco_Nacion[[#This Row],[RESPONSABLE]]&amp;Banco_Nacion[[#This Row],[MONTO ]],"")</f>
        <v>80</v>
      </c>
      <c r="Y49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27458130</v>
      </c>
      <c r="Z492" s="3"/>
      <c r="AA492" s="3"/>
      <c r="AB492" s="24" t="str">
        <f>IF(Banco_Nacion[[#This Row],[FECHA]]&gt;0,TEXT(Banco_Nacion[[#This Row],[FECHA]],"mmmm"),0)</f>
        <v>Julio</v>
      </c>
    </row>
    <row r="493" spans="2:28" x14ac:dyDescent="0.3">
      <c r="B493" s="2">
        <f>IF(Banco_Nacion[[#This Row],[TIPO DE R.]]="R",COUNTIFS($D$4:$D492,"R")+1,"")</f>
        <v>489</v>
      </c>
      <c r="C493" s="19" t="str">
        <f t="shared" si="42"/>
        <v>B-Banco de la Nacion</v>
      </c>
      <c r="D493" s="3" t="s">
        <v>1074</v>
      </c>
      <c r="E493" s="14">
        <v>45848</v>
      </c>
      <c r="F493" s="5">
        <v>20402885549</v>
      </c>
      <c r="G493" s="5" t="s">
        <v>1087</v>
      </c>
      <c r="H493" s="6" t="s">
        <v>368</v>
      </c>
      <c r="I493" s="6"/>
      <c r="J493" s="6" t="s">
        <v>4289</v>
      </c>
      <c r="K493" s="6" t="s">
        <v>4289</v>
      </c>
      <c r="L493" s="7" t="s">
        <v>4290</v>
      </c>
      <c r="M493" s="8">
        <v>82844209</v>
      </c>
      <c r="N493" s="8" t="str">
        <f t="shared" si="43"/>
        <v>PEN</v>
      </c>
      <c r="O493" s="13"/>
      <c r="P493" s="13">
        <v>342</v>
      </c>
      <c r="Q493" s="3">
        <f t="shared" si="44"/>
        <v>342</v>
      </c>
      <c r="R493" s="3">
        <f t="shared" si="45"/>
        <v>0</v>
      </c>
      <c r="S493" s="3">
        <f t="shared" si="46"/>
        <v>44463.220000000008</v>
      </c>
      <c r="T493" s="24"/>
      <c r="U493" s="24"/>
      <c r="V493" s="3"/>
      <c r="W493" s="19" t="str">
        <f>IFERROR(VLOOKUP(Banco_Nacion[[#This Row],[RESPONSABLE]],Clientes_Proveedores[[Ruc / Dni]:[Razon Social]],2,0),"")</f>
        <v>EMPRESA SIDERURGICA DEL PERU S.A.A.</v>
      </c>
      <c r="X493" s="19" t="str">
        <f>IF(Banco_Nacion[[#This Row],[TIPO DE MOV.]]="INGRESO",Banco_Nacion[[#This Row],[SERIE]]&amp;Banco_Nacion[[#This Row],[NUMERO]]&amp;Banco_Nacion[[#This Row],[RESPONSABLE]]&amp;Banco_Nacion[[#This Row],[MONTO ]],"")</f>
        <v>20402885549342</v>
      </c>
      <c r="Y49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82844209</v>
      </c>
      <c r="Z493" s="3"/>
      <c r="AA493" s="3"/>
      <c r="AB493" s="24" t="str">
        <f>IF(Banco_Nacion[[#This Row],[FECHA]]&gt;0,TEXT(Banco_Nacion[[#This Row],[FECHA]],"mmmm"),0)</f>
        <v>Julio</v>
      </c>
    </row>
    <row r="494" spans="2:28" x14ac:dyDescent="0.3">
      <c r="B494" s="2">
        <f>IF(Banco_Nacion[[#This Row],[TIPO DE R.]]="R",COUNTIFS($D$4:$D493,"R")+1,"")</f>
        <v>490</v>
      </c>
      <c r="C494" s="19" t="str">
        <f t="shared" si="42"/>
        <v>B-Banco de la Nacion</v>
      </c>
      <c r="D494" s="3" t="s">
        <v>1074</v>
      </c>
      <c r="E494" s="14">
        <v>45852</v>
      </c>
      <c r="F494" s="5">
        <v>20607388416</v>
      </c>
      <c r="G494" s="5" t="s">
        <v>1087</v>
      </c>
      <c r="H494" s="6" t="s">
        <v>368</v>
      </c>
      <c r="I494" s="6"/>
      <c r="J494" s="6" t="s">
        <v>4289</v>
      </c>
      <c r="K494" s="6" t="s">
        <v>4289</v>
      </c>
      <c r="L494" s="7" t="s">
        <v>4290</v>
      </c>
      <c r="M494" s="8">
        <v>82972583</v>
      </c>
      <c r="N494" s="8" t="str">
        <f t="shared" si="43"/>
        <v>PEN</v>
      </c>
      <c r="O494" s="13"/>
      <c r="P494" s="13">
        <v>235</v>
      </c>
      <c r="Q494" s="3">
        <f t="shared" si="44"/>
        <v>235</v>
      </c>
      <c r="R494" s="3">
        <f t="shared" si="45"/>
        <v>0</v>
      </c>
      <c r="S494" s="3">
        <f t="shared" si="46"/>
        <v>44698.220000000008</v>
      </c>
      <c r="T494" s="24"/>
      <c r="U494" s="24"/>
      <c r="V494" s="3"/>
      <c r="W494" s="19" t="str">
        <f>IFERROR(VLOOKUP(Banco_Nacion[[#This Row],[RESPONSABLE]],Clientes_Proveedores[[Ruc / Dni]:[Razon Social]],2,0),"")</f>
        <v>ALEACIONES FERROSAS Y METALICAS S.A.C.</v>
      </c>
      <c r="X494" s="19" t="str">
        <f>IF(Banco_Nacion[[#This Row],[TIPO DE MOV.]]="INGRESO",Banco_Nacion[[#This Row],[SERIE]]&amp;Banco_Nacion[[#This Row],[NUMERO]]&amp;Banco_Nacion[[#This Row],[RESPONSABLE]]&amp;Banco_Nacion[[#This Row],[MONTO ]],"")</f>
        <v>20607388416235</v>
      </c>
      <c r="Y49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82972583</v>
      </c>
      <c r="Z494" s="3"/>
      <c r="AA494" s="3"/>
      <c r="AB494" s="24" t="str">
        <f>IF(Banco_Nacion[[#This Row],[FECHA]]&gt;0,TEXT(Banco_Nacion[[#This Row],[FECHA]],"mmmm"),0)</f>
        <v>Julio</v>
      </c>
    </row>
    <row r="495" spans="2:28" x14ac:dyDescent="0.3">
      <c r="B495" s="2">
        <f>IF(Banco_Nacion[[#This Row],[TIPO DE R.]]="R",COUNTIFS($D$4:$D494,"R")+1,"")</f>
        <v>491</v>
      </c>
      <c r="C495" s="19" t="str">
        <f t="shared" si="42"/>
        <v>B-Banco de la Nacion</v>
      </c>
      <c r="D495" s="3" t="s">
        <v>1074</v>
      </c>
      <c r="E495" s="14">
        <v>45852</v>
      </c>
      <c r="F495" s="5">
        <v>20607388416</v>
      </c>
      <c r="G495" s="5" t="s">
        <v>1087</v>
      </c>
      <c r="H495" s="6" t="s">
        <v>368</v>
      </c>
      <c r="I495" s="6"/>
      <c r="J495" s="6" t="s">
        <v>4289</v>
      </c>
      <c r="K495" s="6" t="s">
        <v>4289</v>
      </c>
      <c r="L495" s="7" t="s">
        <v>4290</v>
      </c>
      <c r="M495" s="8">
        <v>82972582</v>
      </c>
      <c r="N495" s="8" t="str">
        <f t="shared" si="43"/>
        <v>PEN</v>
      </c>
      <c r="O495" s="13"/>
      <c r="P495" s="13">
        <v>412</v>
      </c>
      <c r="Q495" s="3">
        <f t="shared" si="44"/>
        <v>412</v>
      </c>
      <c r="R495" s="3">
        <f t="shared" si="45"/>
        <v>0</v>
      </c>
      <c r="S495" s="3">
        <f t="shared" si="46"/>
        <v>45110.220000000008</v>
      </c>
      <c r="T495" s="24"/>
      <c r="U495" s="24"/>
      <c r="V495" s="3"/>
      <c r="W495" s="19" t="str">
        <f>IFERROR(VLOOKUP(Banco_Nacion[[#This Row],[RESPONSABLE]],Clientes_Proveedores[[Ruc / Dni]:[Razon Social]],2,0),"")</f>
        <v>ALEACIONES FERROSAS Y METALICAS S.A.C.</v>
      </c>
      <c r="X495" s="19" t="str">
        <f>IF(Banco_Nacion[[#This Row],[TIPO DE MOV.]]="INGRESO",Banco_Nacion[[#This Row],[SERIE]]&amp;Banco_Nacion[[#This Row],[NUMERO]]&amp;Banco_Nacion[[#This Row],[RESPONSABLE]]&amp;Banco_Nacion[[#This Row],[MONTO ]],"")</f>
        <v>20607388416412</v>
      </c>
      <c r="Y49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82972582</v>
      </c>
      <c r="Z495" s="3"/>
      <c r="AA495" s="3"/>
      <c r="AB495" s="24" t="str">
        <f>IF(Banco_Nacion[[#This Row],[FECHA]]&gt;0,TEXT(Banco_Nacion[[#This Row],[FECHA]],"mmmm"),0)</f>
        <v>Julio</v>
      </c>
    </row>
    <row r="496" spans="2:28" x14ac:dyDescent="0.3">
      <c r="B496" s="2">
        <f>IF(Banco_Nacion[[#This Row],[TIPO DE R.]]="R",COUNTIFS($D$4:$D495,"R")+1,"")</f>
        <v>492</v>
      </c>
      <c r="C496" s="19" t="str">
        <f t="shared" si="42"/>
        <v>B-Banco de la Nacion</v>
      </c>
      <c r="D496" s="3" t="s">
        <v>1074</v>
      </c>
      <c r="E496" s="14">
        <v>45855</v>
      </c>
      <c r="F496" s="5">
        <v>20402885549</v>
      </c>
      <c r="G496" s="5" t="s">
        <v>1087</v>
      </c>
      <c r="H496" s="6" t="s">
        <v>368</v>
      </c>
      <c r="I496" s="6"/>
      <c r="J496" s="6" t="s">
        <v>4289</v>
      </c>
      <c r="K496" s="6" t="s">
        <v>4289</v>
      </c>
      <c r="L496" s="7" t="s">
        <v>4290</v>
      </c>
      <c r="M496" s="8">
        <v>83349150</v>
      </c>
      <c r="N496" s="8" t="str">
        <f t="shared" si="43"/>
        <v>PEN</v>
      </c>
      <c r="O496" s="13"/>
      <c r="P496" s="13">
        <v>3739</v>
      </c>
      <c r="Q496" s="3">
        <f t="shared" si="44"/>
        <v>3739</v>
      </c>
      <c r="R496" s="3">
        <f t="shared" si="45"/>
        <v>0</v>
      </c>
      <c r="S496" s="3">
        <f t="shared" si="46"/>
        <v>48849.220000000008</v>
      </c>
      <c r="T496" s="24"/>
      <c r="U496" s="24"/>
      <c r="V496" s="3"/>
      <c r="W496" s="19" t="str">
        <f>IFERROR(VLOOKUP(Banco_Nacion[[#This Row],[RESPONSABLE]],Clientes_Proveedores[[Ruc / Dni]:[Razon Social]],2,0),"")</f>
        <v>EMPRESA SIDERURGICA DEL PERU S.A.A.</v>
      </c>
      <c r="X496" s="19" t="str">
        <f>IF(Banco_Nacion[[#This Row],[TIPO DE MOV.]]="INGRESO",Banco_Nacion[[#This Row],[SERIE]]&amp;Banco_Nacion[[#This Row],[NUMERO]]&amp;Banco_Nacion[[#This Row],[RESPONSABLE]]&amp;Banco_Nacion[[#This Row],[MONTO ]],"")</f>
        <v>204028855493739</v>
      </c>
      <c r="Y49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83349150</v>
      </c>
      <c r="Z496" s="3"/>
      <c r="AA496" s="3"/>
      <c r="AB496" s="24" t="str">
        <f>IF(Banco_Nacion[[#This Row],[FECHA]]&gt;0,TEXT(Banco_Nacion[[#This Row],[FECHA]],"mmmm"),0)</f>
        <v>Julio</v>
      </c>
    </row>
    <row r="497" spans="2:28" x14ac:dyDescent="0.3">
      <c r="B497" s="22">
        <f>IF(Banco_Nacion[[#This Row],[TIPO DE R.]]="R",COUNTIFS($D$4:$D496,"R")+1,"")</f>
        <v>493</v>
      </c>
      <c r="C497" s="19" t="str">
        <f t="shared" si="42"/>
        <v>B-Banco de la Nacion</v>
      </c>
      <c r="D497" s="3" t="s">
        <v>1074</v>
      </c>
      <c r="E497" s="14">
        <v>45855</v>
      </c>
      <c r="F497" s="5">
        <v>20100192064</v>
      </c>
      <c r="G497" s="5" t="s">
        <v>1087</v>
      </c>
      <c r="H497" s="6" t="s">
        <v>368</v>
      </c>
      <c r="I497" s="6"/>
      <c r="J497" s="6" t="s">
        <v>4289</v>
      </c>
      <c r="K497" s="6" t="s">
        <v>4289</v>
      </c>
      <c r="L497" s="7" t="s">
        <v>4290</v>
      </c>
      <c r="M497" s="8">
        <v>83346004</v>
      </c>
      <c r="N497" s="8" t="str">
        <f t="shared" si="43"/>
        <v>PEN</v>
      </c>
      <c r="O497" s="13"/>
      <c r="P497" s="13">
        <v>629</v>
      </c>
      <c r="Q497" s="3">
        <f t="shared" si="44"/>
        <v>629</v>
      </c>
      <c r="R497" s="3">
        <f t="shared" si="45"/>
        <v>0</v>
      </c>
      <c r="S497" s="3">
        <f t="shared" si="46"/>
        <v>49478.220000000008</v>
      </c>
      <c r="T497" s="24"/>
      <c r="U497" s="24"/>
      <c r="V497" s="3"/>
      <c r="W497" s="19" t="str">
        <f>IFERROR(VLOOKUP(Banco_Nacion[[#This Row],[RESPONSABLE]],Clientes_Proveedores[[Ruc / Dni]:[Razon Social]],2,0),"")</f>
        <v>MOLY-COP ADESUR S.A</v>
      </c>
      <c r="X497" s="19" t="str">
        <f>IF(Banco_Nacion[[#This Row],[TIPO DE MOV.]]="INGRESO",Banco_Nacion[[#This Row],[SERIE]]&amp;Banco_Nacion[[#This Row],[NUMERO]]&amp;Banco_Nacion[[#This Row],[RESPONSABLE]]&amp;Banco_Nacion[[#This Row],[MONTO ]],"")</f>
        <v>20100192064629</v>
      </c>
      <c r="Y49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83346004</v>
      </c>
      <c r="Z497" s="3"/>
      <c r="AA497" s="3"/>
      <c r="AB497" s="24" t="str">
        <f>IF(Banco_Nacion[[#This Row],[FECHA]]&gt;0,TEXT(Banco_Nacion[[#This Row],[FECHA]],"mmmm"),0)</f>
        <v>Julio</v>
      </c>
    </row>
    <row r="498" spans="2:28" x14ac:dyDescent="0.3">
      <c r="B498" s="2">
        <f>IF(Banco_Nacion[[#This Row],[TIPO DE R.]]="R",COUNTIFS($D$4:$D497,"R")+1,"")</f>
        <v>494</v>
      </c>
      <c r="C498" s="19" t="str">
        <f t="shared" ref="C498:C536" si="47">"B-Banco de la Nacion"</f>
        <v>B-Banco de la Nacion</v>
      </c>
      <c r="D498" s="3" t="s">
        <v>1074</v>
      </c>
      <c r="E498" s="14">
        <v>45860</v>
      </c>
      <c r="F498" s="5">
        <v>20505675836</v>
      </c>
      <c r="G498" s="5" t="s">
        <v>1087</v>
      </c>
      <c r="H498" s="6" t="s">
        <v>368</v>
      </c>
      <c r="I498" s="6"/>
      <c r="J498" s="6" t="s">
        <v>4289</v>
      </c>
      <c r="K498" s="6" t="s">
        <v>4289</v>
      </c>
      <c r="L498" s="7" t="s">
        <v>4290</v>
      </c>
      <c r="M498" s="8">
        <v>83645168</v>
      </c>
      <c r="N498" s="8" t="str">
        <f t="shared" ref="N498:N536" si="48">"PEN"</f>
        <v>PEN</v>
      </c>
      <c r="O498" s="13"/>
      <c r="P498" s="13">
        <v>779</v>
      </c>
      <c r="Q498" s="3">
        <f t="shared" ref="Q498:Q536" si="49">+IF(OR($G498="SALDO",$G498="INGRESO"),$P498,0)</f>
        <v>779</v>
      </c>
      <c r="R498" s="3">
        <f t="shared" ref="R498:R536" si="50">+IF($G498="EGRESO",$P498,0)</f>
        <v>0</v>
      </c>
      <c r="S498" s="3">
        <f t="shared" ref="S498:S536" si="51">IFERROR(IF(G498="SALDO",Q498,S497+Q498-R498),0)</f>
        <v>50257.220000000008</v>
      </c>
      <c r="T498" s="24"/>
      <c r="U498" s="24"/>
      <c r="V498" s="3"/>
      <c r="W498" s="19" t="str">
        <f>IFERROR(VLOOKUP(Banco_Nacion[[#This Row],[RESPONSABLE]],Clientes_Proveedores[[Ruc / Dni]:[Razon Social]],2,0),"")</f>
        <v>FLSMIDTH S.A.C.</v>
      </c>
      <c r="X498" s="19" t="str">
        <f>IF(Banco_Nacion[[#This Row],[TIPO DE MOV.]]="INGRESO",Banco_Nacion[[#This Row],[SERIE]]&amp;Banco_Nacion[[#This Row],[NUMERO]]&amp;Banco_Nacion[[#This Row],[RESPONSABLE]]&amp;Banco_Nacion[[#This Row],[MONTO ]],"")</f>
        <v>20505675836779</v>
      </c>
      <c r="Y49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83645168</v>
      </c>
      <c r="Z498" s="3"/>
      <c r="AA498" s="3"/>
      <c r="AB498" s="24" t="str">
        <f>IF(Banco_Nacion[[#This Row],[FECHA]]&gt;0,TEXT(Banco_Nacion[[#This Row],[FECHA]],"mmmm"),0)</f>
        <v>Julio</v>
      </c>
    </row>
    <row r="499" spans="2:28" x14ac:dyDescent="0.3">
      <c r="B499" s="2">
        <f>IF(Banco_Nacion[[#This Row],[TIPO DE R.]]="R",COUNTIFS($D$4:$D498,"R")+1,"")</f>
        <v>495</v>
      </c>
      <c r="C499" s="19" t="str">
        <f t="shared" si="47"/>
        <v>B-Banco de la Nacion</v>
      </c>
      <c r="D499" s="3" t="s">
        <v>1074</v>
      </c>
      <c r="E499" s="14">
        <v>45860</v>
      </c>
      <c r="F499" s="5">
        <v>20505675836</v>
      </c>
      <c r="G499" s="5" t="s">
        <v>1087</v>
      </c>
      <c r="H499" s="6" t="s">
        <v>368</v>
      </c>
      <c r="I499" s="6"/>
      <c r="J499" s="6" t="s">
        <v>4289</v>
      </c>
      <c r="K499" s="6" t="s">
        <v>4289</v>
      </c>
      <c r="L499" s="7" t="s">
        <v>4290</v>
      </c>
      <c r="M499" s="8">
        <v>83645167</v>
      </c>
      <c r="N499" s="8" t="str">
        <f t="shared" si="48"/>
        <v>PEN</v>
      </c>
      <c r="O499" s="13"/>
      <c r="P499" s="13">
        <v>1033</v>
      </c>
      <c r="Q499" s="3">
        <f t="shared" si="49"/>
        <v>1033</v>
      </c>
      <c r="R499" s="3">
        <f t="shared" si="50"/>
        <v>0</v>
      </c>
      <c r="S499" s="3">
        <f t="shared" si="51"/>
        <v>51290.220000000008</v>
      </c>
      <c r="T499" s="24"/>
      <c r="U499" s="24"/>
      <c r="V499" s="3"/>
      <c r="W499" s="19" t="str">
        <f>IFERROR(VLOOKUP(Banco_Nacion[[#This Row],[RESPONSABLE]],Clientes_Proveedores[[Ruc / Dni]:[Razon Social]],2,0),"")</f>
        <v>FLSMIDTH S.A.C.</v>
      </c>
      <c r="X499" s="19" t="str">
        <f>IF(Banco_Nacion[[#This Row],[TIPO DE MOV.]]="INGRESO",Banco_Nacion[[#This Row],[SERIE]]&amp;Banco_Nacion[[#This Row],[NUMERO]]&amp;Banco_Nacion[[#This Row],[RESPONSABLE]]&amp;Banco_Nacion[[#This Row],[MONTO ]],"")</f>
        <v>205056758361033</v>
      </c>
      <c r="Y49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83645167</v>
      </c>
      <c r="Z499" s="3"/>
      <c r="AA499" s="3"/>
      <c r="AB499" s="24" t="str">
        <f>IF(Banco_Nacion[[#This Row],[FECHA]]&gt;0,TEXT(Banco_Nacion[[#This Row],[FECHA]],"mmmm"),0)</f>
        <v>Julio</v>
      </c>
    </row>
    <row r="500" spans="2:28" x14ac:dyDescent="0.3">
      <c r="B500" s="2">
        <f>IF(Banco_Nacion[[#This Row],[TIPO DE R.]]="R",COUNTIFS($D$4:$D499,"R")+1,"")</f>
        <v>496</v>
      </c>
      <c r="C500" s="19" t="str">
        <f t="shared" si="47"/>
        <v>B-Banco de la Nacion</v>
      </c>
      <c r="D500" s="3" t="s">
        <v>1074</v>
      </c>
      <c r="E500" s="14">
        <v>45860</v>
      </c>
      <c r="F500" s="5">
        <v>20505675836</v>
      </c>
      <c r="G500" s="5" t="s">
        <v>1087</v>
      </c>
      <c r="H500" s="6" t="s">
        <v>368</v>
      </c>
      <c r="I500" s="6"/>
      <c r="J500" s="6" t="s">
        <v>4289</v>
      </c>
      <c r="K500" s="6" t="s">
        <v>4289</v>
      </c>
      <c r="L500" s="7" t="s">
        <v>4290</v>
      </c>
      <c r="M500" s="8">
        <v>83645166</v>
      </c>
      <c r="N500" s="8" t="str">
        <f t="shared" si="48"/>
        <v>PEN</v>
      </c>
      <c r="O500" s="13"/>
      <c r="P500" s="13">
        <v>480</v>
      </c>
      <c r="Q500" s="3">
        <f t="shared" si="49"/>
        <v>480</v>
      </c>
      <c r="R500" s="3">
        <f t="shared" si="50"/>
        <v>0</v>
      </c>
      <c r="S500" s="3">
        <f t="shared" si="51"/>
        <v>51770.220000000008</v>
      </c>
      <c r="T500" s="24"/>
      <c r="U500" s="24"/>
      <c r="V500" s="3"/>
      <c r="W500" s="19" t="str">
        <f>IFERROR(VLOOKUP(Banco_Nacion[[#This Row],[RESPONSABLE]],Clientes_Proveedores[[Ruc / Dni]:[Razon Social]],2,0),"")</f>
        <v>FLSMIDTH S.A.C.</v>
      </c>
      <c r="X500" s="19" t="str">
        <f>IF(Banco_Nacion[[#This Row],[TIPO DE MOV.]]="INGRESO",Banco_Nacion[[#This Row],[SERIE]]&amp;Banco_Nacion[[#This Row],[NUMERO]]&amp;Banco_Nacion[[#This Row],[RESPONSABLE]]&amp;Banco_Nacion[[#This Row],[MONTO ]],"")</f>
        <v>20505675836480</v>
      </c>
      <c r="Y50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83645166</v>
      </c>
      <c r="Z500" s="3"/>
      <c r="AA500" s="3"/>
      <c r="AB500" s="24" t="str">
        <f>IF(Banco_Nacion[[#This Row],[FECHA]]&gt;0,TEXT(Banco_Nacion[[#This Row],[FECHA]],"mmmm"),0)</f>
        <v>Julio</v>
      </c>
    </row>
    <row r="501" spans="2:28" x14ac:dyDescent="0.3">
      <c r="B501" s="2">
        <f>IF(Banco_Nacion[[#This Row],[TIPO DE R.]]="R",COUNTIFS($D$4:$D500,"R")+1,"")</f>
        <v>497</v>
      </c>
      <c r="C501" s="19" t="str">
        <f t="shared" si="47"/>
        <v>B-Banco de la Nacion</v>
      </c>
      <c r="D501" s="3" t="s">
        <v>1074</v>
      </c>
      <c r="E501" s="14">
        <v>45860</v>
      </c>
      <c r="F501" s="5">
        <v>20505675836</v>
      </c>
      <c r="G501" s="5" t="s">
        <v>1087</v>
      </c>
      <c r="H501" s="6" t="s">
        <v>368</v>
      </c>
      <c r="I501" s="6"/>
      <c r="J501" s="6" t="s">
        <v>4289</v>
      </c>
      <c r="K501" s="6" t="s">
        <v>4289</v>
      </c>
      <c r="L501" s="7" t="s">
        <v>4290</v>
      </c>
      <c r="M501" s="8">
        <v>83645165</v>
      </c>
      <c r="N501" s="8" t="str">
        <f t="shared" si="48"/>
        <v>PEN</v>
      </c>
      <c r="O501" s="13"/>
      <c r="P501" s="13">
        <v>555</v>
      </c>
      <c r="Q501" s="3">
        <f t="shared" si="49"/>
        <v>555</v>
      </c>
      <c r="R501" s="3">
        <f t="shared" si="50"/>
        <v>0</v>
      </c>
      <c r="S501" s="3">
        <f t="shared" si="51"/>
        <v>52325.220000000008</v>
      </c>
      <c r="T501" s="24"/>
      <c r="U501" s="24"/>
      <c r="V501" s="3"/>
      <c r="W501" s="19" t="str">
        <f>IFERROR(VLOOKUP(Banco_Nacion[[#This Row],[RESPONSABLE]],Clientes_Proveedores[[Ruc / Dni]:[Razon Social]],2,0),"")</f>
        <v>FLSMIDTH S.A.C.</v>
      </c>
      <c r="X501" s="19" t="str">
        <f>IF(Banco_Nacion[[#This Row],[TIPO DE MOV.]]="INGRESO",Banco_Nacion[[#This Row],[SERIE]]&amp;Banco_Nacion[[#This Row],[NUMERO]]&amp;Banco_Nacion[[#This Row],[RESPONSABLE]]&amp;Banco_Nacion[[#This Row],[MONTO ]],"")</f>
        <v>20505675836555</v>
      </c>
      <c r="Y50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83645165</v>
      </c>
      <c r="Z501" s="3"/>
      <c r="AA501" s="3"/>
      <c r="AB501" s="24" t="str">
        <f>IF(Banco_Nacion[[#This Row],[FECHA]]&gt;0,TEXT(Banco_Nacion[[#This Row],[FECHA]],"mmmm"),0)</f>
        <v>Julio</v>
      </c>
    </row>
    <row r="502" spans="2:28" x14ac:dyDescent="0.3">
      <c r="B502" s="2">
        <f>IF(Banco_Nacion[[#This Row],[TIPO DE R.]]="R",COUNTIFS($D$4:$D501,"R")+1,"")</f>
        <v>498</v>
      </c>
      <c r="C502" s="19" t="str">
        <f t="shared" si="47"/>
        <v>B-Banco de la Nacion</v>
      </c>
      <c r="D502" s="3" t="s">
        <v>1074</v>
      </c>
      <c r="E502" s="14">
        <v>45860</v>
      </c>
      <c r="F502" s="5">
        <v>20141637941</v>
      </c>
      <c r="G502" s="5" t="s">
        <v>1087</v>
      </c>
      <c r="H502" s="6" t="s">
        <v>368</v>
      </c>
      <c r="I502" s="6"/>
      <c r="J502" s="6" t="s">
        <v>4289</v>
      </c>
      <c r="K502" s="6" t="s">
        <v>4289</v>
      </c>
      <c r="L502" s="7" t="s">
        <v>4290</v>
      </c>
      <c r="M502" s="8">
        <v>83639868</v>
      </c>
      <c r="N502" s="8" t="str">
        <f t="shared" si="48"/>
        <v>PEN</v>
      </c>
      <c r="O502" s="13"/>
      <c r="P502" s="13">
        <v>261</v>
      </c>
      <c r="Q502" s="3">
        <f t="shared" si="49"/>
        <v>261</v>
      </c>
      <c r="R502" s="3">
        <f t="shared" si="50"/>
        <v>0</v>
      </c>
      <c r="S502" s="3">
        <f t="shared" si="51"/>
        <v>52586.220000000008</v>
      </c>
      <c r="T502" s="24"/>
      <c r="U502" s="24"/>
      <c r="V502" s="3"/>
      <c r="W502" s="19" t="str">
        <f>IFERROR(VLOOKUP(Banco_Nacion[[#This Row],[RESPONSABLE]],Clientes_Proveedores[[Ruc / Dni]:[Razon Social]],2,0),"")</f>
        <v>UNIVERSIDAD CATOLICA DE SANTA MARIA</v>
      </c>
      <c r="X502" s="19" t="str">
        <f>IF(Banco_Nacion[[#This Row],[TIPO DE MOV.]]="INGRESO",Banco_Nacion[[#This Row],[SERIE]]&amp;Banco_Nacion[[#This Row],[NUMERO]]&amp;Banco_Nacion[[#This Row],[RESPONSABLE]]&amp;Banco_Nacion[[#This Row],[MONTO ]],"")</f>
        <v>20141637941261</v>
      </c>
      <c r="Y50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83639868</v>
      </c>
      <c r="Z502" s="3"/>
      <c r="AA502" s="3"/>
      <c r="AB502" s="24" t="str">
        <f>IF(Banco_Nacion[[#This Row],[FECHA]]&gt;0,TEXT(Banco_Nacion[[#This Row],[FECHA]],"mmmm"),0)</f>
        <v>Julio</v>
      </c>
    </row>
    <row r="503" spans="2:28" x14ac:dyDescent="0.3">
      <c r="B503" s="2">
        <f>IF(Banco_Nacion[[#This Row],[TIPO DE R.]]="R",COUNTIFS($D$4:$D502,"R")+1,"")</f>
        <v>499</v>
      </c>
      <c r="C503" s="19" t="str">
        <f t="shared" si="47"/>
        <v>B-Banco de la Nacion</v>
      </c>
      <c r="D503" s="3" t="s">
        <v>1074</v>
      </c>
      <c r="E503" s="14">
        <v>45860</v>
      </c>
      <c r="F503" s="5"/>
      <c r="G503" s="5" t="s">
        <v>1087</v>
      </c>
      <c r="H503" s="6" t="s">
        <v>368</v>
      </c>
      <c r="I503" s="6"/>
      <c r="J503" s="6" t="s">
        <v>4289</v>
      </c>
      <c r="K503" s="6" t="s">
        <v>4289</v>
      </c>
      <c r="L503" s="7" t="s">
        <v>4290</v>
      </c>
      <c r="M503" s="8">
        <v>27604086</v>
      </c>
      <c r="N503" s="8" t="str">
        <f t="shared" si="48"/>
        <v>PEN</v>
      </c>
      <c r="O503" s="13"/>
      <c r="P503" s="13">
        <v>184</v>
      </c>
      <c r="Q503" s="3">
        <f t="shared" si="49"/>
        <v>184</v>
      </c>
      <c r="R503" s="3">
        <f t="shared" si="50"/>
        <v>0</v>
      </c>
      <c r="S503" s="3">
        <f t="shared" si="51"/>
        <v>52770.220000000008</v>
      </c>
      <c r="T503" s="24"/>
      <c r="U503" s="24"/>
      <c r="V503" s="3"/>
      <c r="W503" s="19" t="str">
        <f>IFERROR(VLOOKUP(Banco_Nacion[[#This Row],[RESPONSABLE]],Clientes_Proveedores[[Ruc / Dni]:[Razon Social]],2,0),"")</f>
        <v/>
      </c>
      <c r="X503" s="19" t="str">
        <f>IF(Banco_Nacion[[#This Row],[TIPO DE MOV.]]="INGRESO",Banco_Nacion[[#This Row],[SERIE]]&amp;Banco_Nacion[[#This Row],[NUMERO]]&amp;Banco_Nacion[[#This Row],[RESPONSABLE]]&amp;Banco_Nacion[[#This Row],[MONTO ]],"")</f>
        <v>184</v>
      </c>
      <c r="Y50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27604086</v>
      </c>
      <c r="Z503" s="3"/>
      <c r="AA503" s="3"/>
      <c r="AB503" s="24" t="str">
        <f>IF(Banco_Nacion[[#This Row],[FECHA]]&gt;0,TEXT(Banco_Nacion[[#This Row],[FECHA]],"mmmm"),0)</f>
        <v>Julio</v>
      </c>
    </row>
    <row r="504" spans="2:28" x14ac:dyDescent="0.3">
      <c r="B504" s="2">
        <f>IF(Banco_Nacion[[#This Row],[TIPO DE R.]]="R",COUNTIFS($D$4:$D503,"R")+1,"")</f>
        <v>500</v>
      </c>
      <c r="C504" s="19" t="str">
        <f t="shared" si="47"/>
        <v>B-Banco de la Nacion</v>
      </c>
      <c r="D504" s="3" t="s">
        <v>1074</v>
      </c>
      <c r="E504" s="14">
        <v>45860</v>
      </c>
      <c r="F504" s="5"/>
      <c r="G504" s="5" t="s">
        <v>1079</v>
      </c>
      <c r="H504" s="6"/>
      <c r="I504" s="6"/>
      <c r="J504" s="6" t="s">
        <v>4289</v>
      </c>
      <c r="K504" s="6" t="s">
        <v>4289</v>
      </c>
      <c r="L504" s="7" t="s">
        <v>4292</v>
      </c>
      <c r="M504" s="8">
        <v>78787878</v>
      </c>
      <c r="N504" s="8" t="str">
        <f t="shared" si="48"/>
        <v>PEN</v>
      </c>
      <c r="O504" s="13"/>
      <c r="P504" s="13">
        <v>4672</v>
      </c>
      <c r="Q504" s="3">
        <f t="shared" si="49"/>
        <v>0</v>
      </c>
      <c r="R504" s="3">
        <f t="shared" si="50"/>
        <v>4672</v>
      </c>
      <c r="S504" s="3">
        <f t="shared" si="51"/>
        <v>48098.220000000008</v>
      </c>
      <c r="T504" s="24"/>
      <c r="U504" s="24"/>
      <c r="V504" s="3"/>
      <c r="W504" s="19" t="str">
        <f>IFERROR(VLOOKUP(Banco_Nacion[[#This Row],[RESPONSABLE]],Clientes_Proveedores[[Ruc / Dni]:[Razon Social]],2,0),"")</f>
        <v/>
      </c>
      <c r="X50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0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04" s="3"/>
      <c r="AA504" s="3"/>
      <c r="AB504" s="24" t="str">
        <f>IF(Banco_Nacion[[#This Row],[FECHA]]&gt;0,TEXT(Banco_Nacion[[#This Row],[FECHA]],"mmmm"),0)</f>
        <v>Julio</v>
      </c>
    </row>
    <row r="505" spans="2:28" x14ac:dyDescent="0.3">
      <c r="B505" s="2">
        <f>IF(Banco_Nacion[[#This Row],[TIPO DE R.]]="R",COUNTIFS($D$4:$D504,"R")+1,"")</f>
        <v>501</v>
      </c>
      <c r="C505" s="19" t="str">
        <f t="shared" si="47"/>
        <v>B-Banco de la Nacion</v>
      </c>
      <c r="D505" s="3" t="s">
        <v>1074</v>
      </c>
      <c r="E505" s="14">
        <v>45860</v>
      </c>
      <c r="F505" s="5"/>
      <c r="G505" s="5" t="s">
        <v>1079</v>
      </c>
      <c r="H505" s="6"/>
      <c r="I505" s="6"/>
      <c r="J505" s="6" t="s">
        <v>4289</v>
      </c>
      <c r="K505" s="6" t="s">
        <v>4289</v>
      </c>
      <c r="L505" s="7" t="s">
        <v>4292</v>
      </c>
      <c r="M505" s="8">
        <v>78787878</v>
      </c>
      <c r="N505" s="8" t="str">
        <f t="shared" si="48"/>
        <v>PEN</v>
      </c>
      <c r="O505" s="13"/>
      <c r="P505" s="13">
        <v>3251</v>
      </c>
      <c r="Q505" s="3">
        <f t="shared" si="49"/>
        <v>0</v>
      </c>
      <c r="R505" s="3">
        <f t="shared" si="50"/>
        <v>3251</v>
      </c>
      <c r="S505" s="3">
        <f t="shared" si="51"/>
        <v>44847.220000000008</v>
      </c>
      <c r="T505" s="24"/>
      <c r="U505" s="24"/>
      <c r="V505" s="3"/>
      <c r="W505" s="19" t="str">
        <f>IFERROR(VLOOKUP(Banco_Nacion[[#This Row],[RESPONSABLE]],Clientes_Proveedores[[Ruc / Dni]:[Razon Social]],2,0),"")</f>
        <v/>
      </c>
      <c r="X50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0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05" s="3"/>
      <c r="AA505" s="3"/>
      <c r="AB505" s="24" t="str">
        <f>IF(Banco_Nacion[[#This Row],[FECHA]]&gt;0,TEXT(Banco_Nacion[[#This Row],[FECHA]],"mmmm"),0)</f>
        <v>Julio</v>
      </c>
    </row>
    <row r="506" spans="2:28" x14ac:dyDescent="0.3">
      <c r="B506" s="2">
        <f>IF(Banco_Nacion[[#This Row],[TIPO DE R.]]="R",COUNTIFS($D$4:$D505,"R")+1,"")</f>
        <v>502</v>
      </c>
      <c r="C506" s="19" t="str">
        <f t="shared" si="47"/>
        <v>B-Banco de la Nacion</v>
      </c>
      <c r="D506" s="3" t="s">
        <v>1074</v>
      </c>
      <c r="E506" s="14">
        <v>45860</v>
      </c>
      <c r="F506" s="5"/>
      <c r="G506" s="5" t="s">
        <v>1079</v>
      </c>
      <c r="H506" s="6"/>
      <c r="I506" s="6"/>
      <c r="J506" s="6" t="s">
        <v>4289</v>
      </c>
      <c r="K506" s="6" t="s">
        <v>4289</v>
      </c>
      <c r="L506" s="7" t="s">
        <v>4292</v>
      </c>
      <c r="M506" s="8">
        <v>78787878</v>
      </c>
      <c r="N506" s="8" t="str">
        <f t="shared" si="48"/>
        <v>PEN</v>
      </c>
      <c r="O506" s="13"/>
      <c r="P506" s="13">
        <v>11659</v>
      </c>
      <c r="Q506" s="3">
        <f t="shared" si="49"/>
        <v>0</v>
      </c>
      <c r="R506" s="3">
        <f t="shared" si="50"/>
        <v>11659</v>
      </c>
      <c r="S506" s="3">
        <f t="shared" si="51"/>
        <v>33188.220000000008</v>
      </c>
      <c r="T506" s="24"/>
      <c r="U506" s="24"/>
      <c r="V506" s="3"/>
      <c r="W506" s="19" t="str">
        <f>IFERROR(VLOOKUP(Banco_Nacion[[#This Row],[RESPONSABLE]],Clientes_Proveedores[[Ruc / Dni]:[Razon Social]],2,0),"")</f>
        <v/>
      </c>
      <c r="X50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0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06" s="3"/>
      <c r="AA506" s="3"/>
      <c r="AB506" s="24" t="str">
        <f>IF(Banco_Nacion[[#This Row],[FECHA]]&gt;0,TEXT(Banco_Nacion[[#This Row],[FECHA]],"mmmm"),0)</f>
        <v>Julio</v>
      </c>
    </row>
    <row r="507" spans="2:28" x14ac:dyDescent="0.3">
      <c r="B507" s="2">
        <f>IF(Banco_Nacion[[#This Row],[TIPO DE R.]]="R",COUNTIFS($D$4:$D506,"R")+1,"")</f>
        <v>503</v>
      </c>
      <c r="C507" s="19" t="str">
        <f t="shared" si="47"/>
        <v>B-Banco de la Nacion</v>
      </c>
      <c r="D507" s="3" t="s">
        <v>1074</v>
      </c>
      <c r="E507" s="14">
        <v>45862</v>
      </c>
      <c r="F507" s="5">
        <v>20100055237</v>
      </c>
      <c r="G507" s="5" t="s">
        <v>1087</v>
      </c>
      <c r="H507" s="6" t="s">
        <v>368</v>
      </c>
      <c r="I507" s="6"/>
      <c r="J507" s="6" t="s">
        <v>4289</v>
      </c>
      <c r="K507" s="6" t="s">
        <v>4289</v>
      </c>
      <c r="L507" s="7" t="s">
        <v>4290</v>
      </c>
      <c r="M507" s="8">
        <v>83723749</v>
      </c>
      <c r="N507" s="8" t="str">
        <f t="shared" si="48"/>
        <v>PEN</v>
      </c>
      <c r="O507" s="13"/>
      <c r="P507" s="13">
        <v>84</v>
      </c>
      <c r="Q507" s="3">
        <f t="shared" si="49"/>
        <v>84</v>
      </c>
      <c r="R507" s="3">
        <f t="shared" si="50"/>
        <v>0</v>
      </c>
      <c r="S507" s="3">
        <f t="shared" si="51"/>
        <v>33272.220000000008</v>
      </c>
      <c r="T507" s="24"/>
      <c r="U507" s="24"/>
      <c r="V507" s="3"/>
      <c r="W507" s="19" t="str">
        <f>IFERROR(VLOOKUP(Banco_Nacion[[#This Row],[RESPONSABLE]],Clientes_Proveedores[[Ruc / Dni]:[Razon Social]],2,0),"")</f>
        <v>ALICORP SAA</v>
      </c>
      <c r="X507" s="19" t="str">
        <f>IF(Banco_Nacion[[#This Row],[TIPO DE MOV.]]="INGRESO",Banco_Nacion[[#This Row],[SERIE]]&amp;Banco_Nacion[[#This Row],[NUMERO]]&amp;Banco_Nacion[[#This Row],[RESPONSABLE]]&amp;Banco_Nacion[[#This Row],[MONTO ]],"")</f>
        <v>2010005523784</v>
      </c>
      <c r="Y50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83723749</v>
      </c>
      <c r="Z507" s="3"/>
      <c r="AA507" s="3"/>
      <c r="AB507" s="24" t="str">
        <f>IF(Banco_Nacion[[#This Row],[FECHA]]&gt;0,TEXT(Banco_Nacion[[#This Row],[FECHA]],"mmmm"),0)</f>
        <v>Julio</v>
      </c>
    </row>
    <row r="508" spans="2:28" x14ac:dyDescent="0.3">
      <c r="B508" s="2">
        <f>IF(Banco_Nacion[[#This Row],[TIPO DE R.]]="R",COUNTIFS($D$4:$D507,"R")+1,"")</f>
        <v>504</v>
      </c>
      <c r="C508" s="19" t="str">
        <f t="shared" si="47"/>
        <v>B-Banco de la Nacion</v>
      </c>
      <c r="D508" s="3" t="s">
        <v>1074</v>
      </c>
      <c r="E508" s="14">
        <v>45863</v>
      </c>
      <c r="F508" s="5">
        <v>20419158462</v>
      </c>
      <c r="G508" s="5" t="s">
        <v>1087</v>
      </c>
      <c r="H508" s="6" t="s">
        <v>368</v>
      </c>
      <c r="I508" s="6"/>
      <c r="J508" s="6" t="s">
        <v>4289</v>
      </c>
      <c r="K508" s="6" t="s">
        <v>4289</v>
      </c>
      <c r="L508" s="7" t="s">
        <v>4290</v>
      </c>
      <c r="M508" s="8">
        <v>84000423</v>
      </c>
      <c r="N508" s="8" t="str">
        <f t="shared" si="48"/>
        <v>PEN</v>
      </c>
      <c r="O508" s="13"/>
      <c r="P508" s="13">
        <v>368</v>
      </c>
      <c r="Q508" s="3">
        <f t="shared" si="49"/>
        <v>368</v>
      </c>
      <c r="R508" s="3">
        <f t="shared" si="50"/>
        <v>0</v>
      </c>
      <c r="S508" s="3">
        <f t="shared" si="51"/>
        <v>33640.220000000008</v>
      </c>
      <c r="T508" s="24"/>
      <c r="U508" s="24"/>
      <c r="V508" s="3"/>
      <c r="W508" s="19" t="str">
        <f>IFERROR(VLOOKUP(Banco_Nacion[[#This Row],[RESPONSABLE]],Clientes_Proveedores[[Ruc / Dni]:[Razon Social]],2,0),"")</f>
        <v>GRANJA RINCONADA DEL SUR S.A.</v>
      </c>
      <c r="X508" s="19" t="str">
        <f>IF(Banco_Nacion[[#This Row],[TIPO DE MOV.]]="INGRESO",Banco_Nacion[[#This Row],[SERIE]]&amp;Banco_Nacion[[#This Row],[NUMERO]]&amp;Banco_Nacion[[#This Row],[RESPONSABLE]]&amp;Banco_Nacion[[#This Row],[MONTO ]],"")</f>
        <v>20419158462368</v>
      </c>
      <c r="Y50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84000423</v>
      </c>
      <c r="Z508" s="3"/>
      <c r="AA508" s="3"/>
      <c r="AB508" s="24" t="str">
        <f>IF(Banco_Nacion[[#This Row],[FECHA]]&gt;0,TEXT(Banco_Nacion[[#This Row],[FECHA]],"mmmm"),0)</f>
        <v>Julio</v>
      </c>
    </row>
    <row r="509" spans="2:28" x14ac:dyDescent="0.3">
      <c r="B509" s="2">
        <f>IF(Banco_Nacion[[#This Row],[TIPO DE R.]]="R",COUNTIFS($D$4:$D508,"R")+1,"")</f>
        <v>505</v>
      </c>
      <c r="C509" s="19" t="str">
        <f t="shared" si="47"/>
        <v>B-Banco de la Nacion</v>
      </c>
      <c r="D509" s="3" t="s">
        <v>1074</v>
      </c>
      <c r="E509" s="14">
        <v>45863</v>
      </c>
      <c r="F509" s="5">
        <v>20419158462</v>
      </c>
      <c r="G509" s="5" t="s">
        <v>1087</v>
      </c>
      <c r="H509" s="6" t="s">
        <v>368</v>
      </c>
      <c r="I509" s="6"/>
      <c r="J509" s="6" t="s">
        <v>4289</v>
      </c>
      <c r="K509" s="6" t="s">
        <v>4289</v>
      </c>
      <c r="L509" s="7" t="s">
        <v>4290</v>
      </c>
      <c r="M509" s="8">
        <v>84000422</v>
      </c>
      <c r="N509" s="8" t="str">
        <f t="shared" si="48"/>
        <v>PEN</v>
      </c>
      <c r="O509" s="13"/>
      <c r="P509" s="13">
        <v>504</v>
      </c>
      <c r="Q509" s="3">
        <f t="shared" si="49"/>
        <v>504</v>
      </c>
      <c r="R509" s="3">
        <f t="shared" si="50"/>
        <v>0</v>
      </c>
      <c r="S509" s="3">
        <f t="shared" si="51"/>
        <v>34144.220000000008</v>
      </c>
      <c r="T509" s="24"/>
      <c r="U509" s="24"/>
      <c r="V509" s="3"/>
      <c r="W509" s="19" t="str">
        <f>IFERROR(VLOOKUP(Banco_Nacion[[#This Row],[RESPONSABLE]],Clientes_Proveedores[[Ruc / Dni]:[Razon Social]],2,0),"")</f>
        <v>GRANJA RINCONADA DEL SUR S.A.</v>
      </c>
      <c r="X509" s="19" t="str">
        <f>IF(Banco_Nacion[[#This Row],[TIPO DE MOV.]]="INGRESO",Banco_Nacion[[#This Row],[SERIE]]&amp;Banco_Nacion[[#This Row],[NUMERO]]&amp;Banco_Nacion[[#This Row],[RESPONSABLE]]&amp;Banco_Nacion[[#This Row],[MONTO ]],"")</f>
        <v>20419158462504</v>
      </c>
      <c r="Y50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84000422</v>
      </c>
      <c r="Z509" s="3"/>
      <c r="AA509" s="3"/>
      <c r="AB509" s="24" t="str">
        <f>IF(Banco_Nacion[[#This Row],[FECHA]]&gt;0,TEXT(Banco_Nacion[[#This Row],[FECHA]],"mmmm"),0)</f>
        <v>Julio</v>
      </c>
    </row>
    <row r="510" spans="2:28" x14ac:dyDescent="0.3">
      <c r="B510" s="2">
        <f>IF(Banco_Nacion[[#This Row],[TIPO DE R.]]="R",COUNTIFS($D$4:$D509,"R")+1,"")</f>
        <v>506</v>
      </c>
      <c r="C510" s="19" t="str">
        <f t="shared" si="47"/>
        <v>B-Banco de la Nacion</v>
      </c>
      <c r="D510" s="3" t="s">
        <v>1074</v>
      </c>
      <c r="E510" s="14">
        <v>45863</v>
      </c>
      <c r="F510" s="5">
        <v>20419158462</v>
      </c>
      <c r="G510" s="5" t="s">
        <v>1087</v>
      </c>
      <c r="H510" s="6" t="s">
        <v>368</v>
      </c>
      <c r="I510" s="6"/>
      <c r="J510" s="6" t="s">
        <v>4289</v>
      </c>
      <c r="K510" s="6" t="s">
        <v>4289</v>
      </c>
      <c r="L510" s="7" t="s">
        <v>4290</v>
      </c>
      <c r="M510" s="8">
        <v>84000421</v>
      </c>
      <c r="N510" s="8" t="str">
        <f t="shared" si="48"/>
        <v>PEN</v>
      </c>
      <c r="O510" s="13"/>
      <c r="P510" s="13">
        <v>530</v>
      </c>
      <c r="Q510" s="3">
        <f t="shared" si="49"/>
        <v>530</v>
      </c>
      <c r="R510" s="3">
        <f t="shared" si="50"/>
        <v>0</v>
      </c>
      <c r="S510" s="3">
        <f t="shared" si="51"/>
        <v>34674.220000000008</v>
      </c>
      <c r="T510" s="24"/>
      <c r="U510" s="24"/>
      <c r="V510" s="3"/>
      <c r="W510" s="19" t="str">
        <f>IFERROR(VLOOKUP(Banco_Nacion[[#This Row],[RESPONSABLE]],Clientes_Proveedores[[Ruc / Dni]:[Razon Social]],2,0),"")</f>
        <v>GRANJA RINCONADA DEL SUR S.A.</v>
      </c>
      <c r="X510" s="19" t="str">
        <f>IF(Banco_Nacion[[#This Row],[TIPO DE MOV.]]="INGRESO",Banco_Nacion[[#This Row],[SERIE]]&amp;Banco_Nacion[[#This Row],[NUMERO]]&amp;Banco_Nacion[[#This Row],[RESPONSABLE]]&amp;Banco_Nacion[[#This Row],[MONTO ]],"")</f>
        <v>20419158462530</v>
      </c>
      <c r="Y51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84000421</v>
      </c>
      <c r="Z510" s="3"/>
      <c r="AA510" s="3"/>
      <c r="AB510" s="24" t="str">
        <f>IF(Banco_Nacion[[#This Row],[FECHA]]&gt;0,TEXT(Banco_Nacion[[#This Row],[FECHA]],"mmmm"),0)</f>
        <v>Julio</v>
      </c>
    </row>
    <row r="511" spans="2:28" x14ac:dyDescent="0.3">
      <c r="B511" s="2">
        <f>IF(Banco_Nacion[[#This Row],[TIPO DE R.]]="R",COUNTIFS($D$4:$D510,"R")+1,"")</f>
        <v>507</v>
      </c>
      <c r="C511" s="19" t="str">
        <f t="shared" si="47"/>
        <v>B-Banco de la Nacion</v>
      </c>
      <c r="D511" s="3" t="s">
        <v>1074</v>
      </c>
      <c r="E511" s="14">
        <v>45863</v>
      </c>
      <c r="F511" s="5">
        <v>20419158462</v>
      </c>
      <c r="G511" s="5" t="s">
        <v>1087</v>
      </c>
      <c r="H511" s="6" t="s">
        <v>368</v>
      </c>
      <c r="I511" s="6"/>
      <c r="J511" s="6" t="s">
        <v>4289</v>
      </c>
      <c r="K511" s="6" t="s">
        <v>4289</v>
      </c>
      <c r="L511" s="7" t="s">
        <v>4290</v>
      </c>
      <c r="M511" s="8">
        <v>84000420</v>
      </c>
      <c r="N511" s="8" t="str">
        <f t="shared" si="48"/>
        <v>PEN</v>
      </c>
      <c r="O511" s="13"/>
      <c r="P511" s="13">
        <v>368</v>
      </c>
      <c r="Q511" s="3">
        <f t="shared" si="49"/>
        <v>368</v>
      </c>
      <c r="R511" s="3">
        <f t="shared" si="50"/>
        <v>0</v>
      </c>
      <c r="S511" s="3">
        <f t="shared" si="51"/>
        <v>35042.220000000008</v>
      </c>
      <c r="T511" s="24"/>
      <c r="U511" s="24"/>
      <c r="V511" s="3"/>
      <c r="W511" s="19" t="str">
        <f>IFERROR(VLOOKUP(Banco_Nacion[[#This Row],[RESPONSABLE]],Clientes_Proveedores[[Ruc / Dni]:[Razon Social]],2,0),"")</f>
        <v>GRANJA RINCONADA DEL SUR S.A.</v>
      </c>
      <c r="X511" s="19" t="str">
        <f>IF(Banco_Nacion[[#This Row],[TIPO DE MOV.]]="INGRESO",Banco_Nacion[[#This Row],[SERIE]]&amp;Banco_Nacion[[#This Row],[NUMERO]]&amp;Banco_Nacion[[#This Row],[RESPONSABLE]]&amp;Banco_Nacion[[#This Row],[MONTO ]],"")</f>
        <v>20419158462368</v>
      </c>
      <c r="Y51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84000420</v>
      </c>
      <c r="Z511" s="3"/>
      <c r="AA511" s="3"/>
      <c r="AB511" s="24" t="str">
        <f>IF(Banco_Nacion[[#This Row],[FECHA]]&gt;0,TEXT(Banco_Nacion[[#This Row],[FECHA]],"mmmm"),0)</f>
        <v>Julio</v>
      </c>
    </row>
    <row r="512" spans="2:28" x14ac:dyDescent="0.3">
      <c r="B512" s="2">
        <f>IF(Banco_Nacion[[#This Row],[TIPO DE R.]]="R",COUNTIFS($D$4:$D511,"R")+1,"")</f>
        <v>508</v>
      </c>
      <c r="C512" s="19" t="str">
        <f t="shared" si="47"/>
        <v>B-Banco de la Nacion</v>
      </c>
      <c r="D512" s="3" t="s">
        <v>1074</v>
      </c>
      <c r="E512" s="14">
        <v>45863</v>
      </c>
      <c r="F512" s="5">
        <v>20419158462</v>
      </c>
      <c r="G512" s="5" t="s">
        <v>1087</v>
      </c>
      <c r="H512" s="6" t="s">
        <v>368</v>
      </c>
      <c r="I512" s="6"/>
      <c r="J512" s="6" t="s">
        <v>4289</v>
      </c>
      <c r="K512" s="6" t="s">
        <v>4289</v>
      </c>
      <c r="L512" s="7" t="s">
        <v>4290</v>
      </c>
      <c r="M512" s="8">
        <v>84000419</v>
      </c>
      <c r="N512" s="8" t="str">
        <f t="shared" si="48"/>
        <v>PEN</v>
      </c>
      <c r="O512" s="13"/>
      <c r="P512" s="13">
        <v>368</v>
      </c>
      <c r="Q512" s="3">
        <f t="shared" si="49"/>
        <v>368</v>
      </c>
      <c r="R512" s="3">
        <f t="shared" si="50"/>
        <v>0</v>
      </c>
      <c r="S512" s="3">
        <f t="shared" si="51"/>
        <v>35410.220000000008</v>
      </c>
      <c r="T512" s="24"/>
      <c r="U512" s="24"/>
      <c r="V512" s="3"/>
      <c r="W512" s="19" t="str">
        <f>IFERROR(VLOOKUP(Banco_Nacion[[#This Row],[RESPONSABLE]],Clientes_Proveedores[[Ruc / Dni]:[Razon Social]],2,0),"")</f>
        <v>GRANJA RINCONADA DEL SUR S.A.</v>
      </c>
      <c r="X512" s="19" t="str">
        <f>IF(Banco_Nacion[[#This Row],[TIPO DE MOV.]]="INGRESO",Banco_Nacion[[#This Row],[SERIE]]&amp;Banco_Nacion[[#This Row],[NUMERO]]&amp;Banco_Nacion[[#This Row],[RESPONSABLE]]&amp;Banco_Nacion[[#This Row],[MONTO ]],"")</f>
        <v>20419158462368</v>
      </c>
      <c r="Y51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84000419</v>
      </c>
      <c r="Z512" s="3"/>
      <c r="AA512" s="3"/>
      <c r="AB512" s="24" t="str">
        <f>IF(Banco_Nacion[[#This Row],[FECHA]]&gt;0,TEXT(Banco_Nacion[[#This Row],[FECHA]],"mmmm"),0)</f>
        <v>Julio</v>
      </c>
    </row>
    <row r="513" spans="2:28" x14ac:dyDescent="0.3">
      <c r="B513" s="2">
        <f>IF(Banco_Nacion[[#This Row],[TIPO DE R.]]="R",COUNTIFS($D$4:$D512,"R")+1,"")</f>
        <v>509</v>
      </c>
      <c r="C513" s="19" t="str">
        <f t="shared" si="47"/>
        <v>B-Banco de la Nacion</v>
      </c>
      <c r="D513" s="3" t="s">
        <v>1074</v>
      </c>
      <c r="E513" s="14">
        <v>45863</v>
      </c>
      <c r="F513" s="5">
        <v>20419158462</v>
      </c>
      <c r="G513" s="5" t="s">
        <v>1087</v>
      </c>
      <c r="H513" s="6" t="s">
        <v>368</v>
      </c>
      <c r="I513" s="6"/>
      <c r="J513" s="6" t="s">
        <v>4289</v>
      </c>
      <c r="K513" s="6" t="s">
        <v>4289</v>
      </c>
      <c r="L513" s="7" t="s">
        <v>4290</v>
      </c>
      <c r="M513" s="8">
        <v>84000418</v>
      </c>
      <c r="N513" s="8" t="str">
        <f t="shared" si="48"/>
        <v>PEN</v>
      </c>
      <c r="O513" s="13"/>
      <c r="P513" s="13">
        <v>202</v>
      </c>
      <c r="Q513" s="3">
        <f t="shared" si="49"/>
        <v>202</v>
      </c>
      <c r="R513" s="3">
        <f t="shared" si="50"/>
        <v>0</v>
      </c>
      <c r="S513" s="3">
        <f t="shared" si="51"/>
        <v>35612.220000000008</v>
      </c>
      <c r="T513" s="24"/>
      <c r="U513" s="24"/>
      <c r="V513" s="3"/>
      <c r="W513" s="19" t="str">
        <f>IFERROR(VLOOKUP(Banco_Nacion[[#This Row],[RESPONSABLE]],Clientes_Proveedores[[Ruc / Dni]:[Razon Social]],2,0),"")</f>
        <v>GRANJA RINCONADA DEL SUR S.A.</v>
      </c>
      <c r="X513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51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84000418</v>
      </c>
      <c r="Z513" s="3"/>
      <c r="AA513" s="3"/>
      <c r="AB513" s="24" t="str">
        <f>IF(Banco_Nacion[[#This Row],[FECHA]]&gt;0,TEXT(Banco_Nacion[[#This Row],[FECHA]],"mmmm"),0)</f>
        <v>Julio</v>
      </c>
    </row>
    <row r="514" spans="2:28" x14ac:dyDescent="0.3">
      <c r="B514" s="2">
        <f>IF(Banco_Nacion[[#This Row],[TIPO DE R.]]="R",COUNTIFS($D$4:$D513,"R")+1,"")</f>
        <v>510</v>
      </c>
      <c r="C514" s="19" t="str">
        <f t="shared" si="47"/>
        <v>B-Banco de la Nacion</v>
      </c>
      <c r="D514" s="3" t="s">
        <v>1074</v>
      </c>
      <c r="E514" s="14">
        <v>45863</v>
      </c>
      <c r="F514" s="5">
        <v>20419158462</v>
      </c>
      <c r="G514" s="5" t="s">
        <v>1087</v>
      </c>
      <c r="H514" s="6" t="s">
        <v>368</v>
      </c>
      <c r="I514" s="6"/>
      <c r="J514" s="6" t="s">
        <v>4289</v>
      </c>
      <c r="K514" s="6" t="s">
        <v>4289</v>
      </c>
      <c r="L514" s="7" t="s">
        <v>4290</v>
      </c>
      <c r="M514" s="8">
        <v>84000417</v>
      </c>
      <c r="N514" s="8" t="str">
        <f t="shared" si="48"/>
        <v>PEN</v>
      </c>
      <c r="O514" s="13"/>
      <c r="P514" s="13">
        <v>202</v>
      </c>
      <c r="Q514" s="3">
        <f t="shared" si="49"/>
        <v>202</v>
      </c>
      <c r="R514" s="3">
        <f t="shared" si="50"/>
        <v>0</v>
      </c>
      <c r="S514" s="3">
        <f t="shared" si="51"/>
        <v>35814.220000000008</v>
      </c>
      <c r="T514" s="24"/>
      <c r="U514" s="24"/>
      <c r="V514" s="3"/>
      <c r="W514" s="19" t="str">
        <f>IFERROR(VLOOKUP(Banco_Nacion[[#This Row],[RESPONSABLE]],Clientes_Proveedores[[Ruc / Dni]:[Razon Social]],2,0),"")</f>
        <v>GRANJA RINCONADA DEL SUR S.A.</v>
      </c>
      <c r="X514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51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84000417</v>
      </c>
      <c r="Z514" s="3"/>
      <c r="AA514" s="3"/>
      <c r="AB514" s="24" t="str">
        <f>IF(Banco_Nacion[[#This Row],[FECHA]]&gt;0,TEXT(Banco_Nacion[[#This Row],[FECHA]],"mmmm"),0)</f>
        <v>Julio</v>
      </c>
    </row>
    <row r="515" spans="2:28" x14ac:dyDescent="0.3">
      <c r="B515" s="2">
        <f>IF(Banco_Nacion[[#This Row],[TIPO DE R.]]="R",COUNTIFS($D$4:$D514,"R")+1,"")</f>
        <v>511</v>
      </c>
      <c r="C515" s="19" t="str">
        <f t="shared" si="47"/>
        <v>B-Banco de la Nacion</v>
      </c>
      <c r="D515" s="3" t="s">
        <v>1074</v>
      </c>
      <c r="E515" s="14">
        <v>45863</v>
      </c>
      <c r="F515" s="5">
        <v>20419158462</v>
      </c>
      <c r="G515" s="5" t="s">
        <v>1087</v>
      </c>
      <c r="H515" s="6" t="s">
        <v>368</v>
      </c>
      <c r="I515" s="6"/>
      <c r="J515" s="6" t="s">
        <v>4289</v>
      </c>
      <c r="K515" s="6" t="s">
        <v>4289</v>
      </c>
      <c r="L515" s="7" t="s">
        <v>4290</v>
      </c>
      <c r="M515" s="8">
        <v>84000416</v>
      </c>
      <c r="N515" s="8" t="str">
        <f t="shared" si="48"/>
        <v>PEN</v>
      </c>
      <c r="O515" s="13"/>
      <c r="P515" s="13">
        <v>202</v>
      </c>
      <c r="Q515" s="3">
        <f t="shared" si="49"/>
        <v>202</v>
      </c>
      <c r="R515" s="3">
        <f t="shared" si="50"/>
        <v>0</v>
      </c>
      <c r="S515" s="3">
        <f t="shared" si="51"/>
        <v>36016.220000000008</v>
      </c>
      <c r="T515" s="24"/>
      <c r="U515" s="24"/>
      <c r="V515" s="3"/>
      <c r="W515" s="19" t="str">
        <f>IFERROR(VLOOKUP(Banco_Nacion[[#This Row],[RESPONSABLE]],Clientes_Proveedores[[Ruc / Dni]:[Razon Social]],2,0),"")</f>
        <v>GRANJA RINCONADA DEL SUR S.A.</v>
      </c>
      <c r="X515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51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84000416</v>
      </c>
      <c r="Z515" s="3"/>
      <c r="AA515" s="3"/>
      <c r="AB515" s="24" t="str">
        <f>IF(Banco_Nacion[[#This Row],[FECHA]]&gt;0,TEXT(Banco_Nacion[[#This Row],[FECHA]],"mmmm"),0)</f>
        <v>Julio</v>
      </c>
    </row>
    <row r="516" spans="2:28" x14ac:dyDescent="0.3">
      <c r="B516" s="2">
        <f>IF(Banco_Nacion[[#This Row],[TIPO DE R.]]="R",COUNTIFS($D$4:$D515,"R")+1,"")</f>
        <v>512</v>
      </c>
      <c r="C516" s="19" t="str">
        <f t="shared" si="47"/>
        <v>B-Banco de la Nacion</v>
      </c>
      <c r="D516" s="3" t="s">
        <v>1074</v>
      </c>
      <c r="E516" s="14">
        <v>45863</v>
      </c>
      <c r="F516" s="5">
        <v>20419158462</v>
      </c>
      <c r="G516" s="5" t="s">
        <v>1087</v>
      </c>
      <c r="H516" s="6" t="s">
        <v>368</v>
      </c>
      <c r="I516" s="6"/>
      <c r="J516" s="6" t="s">
        <v>4289</v>
      </c>
      <c r="K516" s="6" t="s">
        <v>4289</v>
      </c>
      <c r="L516" s="7" t="s">
        <v>4290</v>
      </c>
      <c r="M516" s="8">
        <v>84000415</v>
      </c>
      <c r="N516" s="8" t="str">
        <f t="shared" si="48"/>
        <v>PEN</v>
      </c>
      <c r="O516" s="13"/>
      <c r="P516" s="13">
        <v>266</v>
      </c>
      <c r="Q516" s="3">
        <f t="shared" si="49"/>
        <v>266</v>
      </c>
      <c r="R516" s="3">
        <f t="shared" si="50"/>
        <v>0</v>
      </c>
      <c r="S516" s="3">
        <f t="shared" si="51"/>
        <v>36282.220000000008</v>
      </c>
      <c r="T516" s="24"/>
      <c r="U516" s="24"/>
      <c r="V516" s="3"/>
      <c r="W516" s="19" t="str">
        <f>IFERROR(VLOOKUP(Banco_Nacion[[#This Row],[RESPONSABLE]],Clientes_Proveedores[[Ruc / Dni]:[Razon Social]],2,0),"")</f>
        <v>GRANJA RINCONADA DEL SUR S.A.</v>
      </c>
      <c r="X516" s="19" t="str">
        <f>IF(Banco_Nacion[[#This Row],[TIPO DE MOV.]]="INGRESO",Banco_Nacion[[#This Row],[SERIE]]&amp;Banco_Nacion[[#This Row],[NUMERO]]&amp;Banco_Nacion[[#This Row],[RESPONSABLE]]&amp;Banco_Nacion[[#This Row],[MONTO ]],"")</f>
        <v>20419158462266</v>
      </c>
      <c r="Y51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84000415</v>
      </c>
      <c r="Z516" s="3"/>
      <c r="AA516" s="3"/>
      <c r="AB516" s="24" t="str">
        <f>IF(Banco_Nacion[[#This Row],[FECHA]]&gt;0,TEXT(Banco_Nacion[[#This Row],[FECHA]],"mmmm"),0)</f>
        <v>Julio</v>
      </c>
    </row>
    <row r="517" spans="2:28" x14ac:dyDescent="0.3">
      <c r="B517" s="2">
        <f>IF(Banco_Nacion[[#This Row],[TIPO DE R.]]="R",COUNTIFS($D$4:$D516,"R")+1,"")</f>
        <v>513</v>
      </c>
      <c r="C517" s="19" t="str">
        <f t="shared" si="47"/>
        <v>B-Banco de la Nacion</v>
      </c>
      <c r="D517" s="3" t="s">
        <v>1074</v>
      </c>
      <c r="E517" s="14">
        <v>45863</v>
      </c>
      <c r="F517" s="5">
        <v>20419158462</v>
      </c>
      <c r="G517" s="5" t="s">
        <v>1087</v>
      </c>
      <c r="H517" s="6" t="s">
        <v>368</v>
      </c>
      <c r="I517" s="6"/>
      <c r="J517" s="6" t="s">
        <v>4289</v>
      </c>
      <c r="K517" s="6" t="s">
        <v>4289</v>
      </c>
      <c r="L517" s="7" t="s">
        <v>4290</v>
      </c>
      <c r="M517" s="8">
        <v>84000414</v>
      </c>
      <c r="N517" s="8" t="str">
        <f t="shared" si="48"/>
        <v>PEN</v>
      </c>
      <c r="O517" s="13"/>
      <c r="P517" s="13">
        <v>202</v>
      </c>
      <c r="Q517" s="3">
        <f t="shared" si="49"/>
        <v>202</v>
      </c>
      <c r="R517" s="3">
        <f t="shared" si="50"/>
        <v>0</v>
      </c>
      <c r="S517" s="3">
        <f t="shared" si="51"/>
        <v>36484.220000000008</v>
      </c>
      <c r="T517" s="24"/>
      <c r="U517" s="24"/>
      <c r="V517" s="3"/>
      <c r="W517" s="19" t="str">
        <f>IFERROR(VLOOKUP(Banco_Nacion[[#This Row],[RESPONSABLE]],Clientes_Proveedores[[Ruc / Dni]:[Razon Social]],2,0),"")</f>
        <v>GRANJA RINCONADA DEL SUR S.A.</v>
      </c>
      <c r="X517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51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84000414</v>
      </c>
      <c r="Z517" s="3"/>
      <c r="AA517" s="3"/>
      <c r="AB517" s="24" t="str">
        <f>IF(Banco_Nacion[[#This Row],[FECHA]]&gt;0,TEXT(Banco_Nacion[[#This Row],[FECHA]],"mmmm"),0)</f>
        <v>Julio</v>
      </c>
    </row>
    <row r="518" spans="2:28" x14ac:dyDescent="0.3">
      <c r="B518" s="2">
        <f>IF(Banco_Nacion[[#This Row],[TIPO DE R.]]="R",COUNTIFS($D$4:$D517,"R")+1,"")</f>
        <v>514</v>
      </c>
      <c r="C518" s="19" t="str">
        <f t="shared" si="47"/>
        <v>B-Banco de la Nacion</v>
      </c>
      <c r="D518" s="3" t="s">
        <v>1074</v>
      </c>
      <c r="E518" s="14">
        <v>45863</v>
      </c>
      <c r="F518" s="5">
        <v>20419158462</v>
      </c>
      <c r="G518" s="5" t="s">
        <v>1087</v>
      </c>
      <c r="H518" s="6" t="s">
        <v>368</v>
      </c>
      <c r="I518" s="6"/>
      <c r="J518" s="6" t="s">
        <v>4289</v>
      </c>
      <c r="K518" s="6" t="s">
        <v>4289</v>
      </c>
      <c r="L518" s="7" t="s">
        <v>4290</v>
      </c>
      <c r="M518" s="8">
        <v>84000413</v>
      </c>
      <c r="N518" s="8" t="str">
        <f t="shared" si="48"/>
        <v>PEN</v>
      </c>
      <c r="O518" s="13"/>
      <c r="P518" s="13">
        <v>202</v>
      </c>
      <c r="Q518" s="3">
        <f t="shared" si="49"/>
        <v>202</v>
      </c>
      <c r="R518" s="3">
        <f t="shared" si="50"/>
        <v>0</v>
      </c>
      <c r="S518" s="3">
        <f t="shared" si="51"/>
        <v>36686.220000000008</v>
      </c>
      <c r="T518" s="24"/>
      <c r="U518" s="24"/>
      <c r="V518" s="3"/>
      <c r="W518" s="19" t="str">
        <f>IFERROR(VLOOKUP(Banco_Nacion[[#This Row],[RESPONSABLE]],Clientes_Proveedores[[Ruc / Dni]:[Razon Social]],2,0),"")</f>
        <v>GRANJA RINCONADA DEL SUR S.A.</v>
      </c>
      <c r="X518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51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84000413</v>
      </c>
      <c r="Z518" s="3"/>
      <c r="AA518" s="3"/>
      <c r="AB518" s="24" t="str">
        <f>IF(Banco_Nacion[[#This Row],[FECHA]]&gt;0,TEXT(Banco_Nacion[[#This Row],[FECHA]],"mmmm"),0)</f>
        <v>Julio</v>
      </c>
    </row>
    <row r="519" spans="2:28" x14ac:dyDescent="0.3">
      <c r="B519" s="2">
        <f>IF(Banco_Nacion[[#This Row],[TIPO DE R.]]="R",COUNTIFS($D$4:$D518,"R")+1,"")</f>
        <v>515</v>
      </c>
      <c r="C519" s="19" t="str">
        <f t="shared" si="47"/>
        <v>B-Banco de la Nacion</v>
      </c>
      <c r="D519" s="3" t="s">
        <v>1074</v>
      </c>
      <c r="E519" s="14">
        <v>45863</v>
      </c>
      <c r="F519" s="5">
        <v>20419158462</v>
      </c>
      <c r="G519" s="5" t="s">
        <v>1087</v>
      </c>
      <c r="H519" s="6" t="s">
        <v>368</v>
      </c>
      <c r="I519" s="6"/>
      <c r="J519" s="6" t="s">
        <v>4289</v>
      </c>
      <c r="K519" s="6" t="s">
        <v>4289</v>
      </c>
      <c r="L519" s="7" t="s">
        <v>4290</v>
      </c>
      <c r="M519" s="8">
        <v>84000412</v>
      </c>
      <c r="N519" s="8" t="str">
        <f t="shared" si="48"/>
        <v>PEN</v>
      </c>
      <c r="O519" s="13"/>
      <c r="P519" s="13">
        <v>202</v>
      </c>
      <c r="Q519" s="3">
        <f t="shared" si="49"/>
        <v>202</v>
      </c>
      <c r="R519" s="3">
        <f t="shared" si="50"/>
        <v>0</v>
      </c>
      <c r="S519" s="3">
        <f t="shared" si="51"/>
        <v>36888.220000000008</v>
      </c>
      <c r="T519" s="24"/>
      <c r="U519" s="24"/>
      <c r="V519" s="3"/>
      <c r="W519" s="19" t="str">
        <f>IFERROR(VLOOKUP(Banco_Nacion[[#This Row],[RESPONSABLE]],Clientes_Proveedores[[Ruc / Dni]:[Razon Social]],2,0),"")</f>
        <v>GRANJA RINCONADA DEL SUR S.A.</v>
      </c>
      <c r="X519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51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84000412</v>
      </c>
      <c r="Z519" s="3"/>
      <c r="AA519" s="3"/>
      <c r="AB519" s="24" t="str">
        <f>IF(Banco_Nacion[[#This Row],[FECHA]]&gt;0,TEXT(Banco_Nacion[[#This Row],[FECHA]],"mmmm"),0)</f>
        <v>Julio</v>
      </c>
    </row>
    <row r="520" spans="2:28" x14ac:dyDescent="0.3">
      <c r="B520" s="2">
        <f>IF(Banco_Nacion[[#This Row],[TIPO DE R.]]="R",COUNTIFS($D$4:$D519,"R")+1,"")</f>
        <v>516</v>
      </c>
      <c r="C520" s="19" t="str">
        <f t="shared" si="47"/>
        <v>B-Banco de la Nacion</v>
      </c>
      <c r="D520" s="3" t="s">
        <v>1074</v>
      </c>
      <c r="E520" s="14">
        <v>45863</v>
      </c>
      <c r="F520" s="5">
        <v>20419158462</v>
      </c>
      <c r="G520" s="5" t="s">
        <v>1087</v>
      </c>
      <c r="H520" s="6" t="s">
        <v>368</v>
      </c>
      <c r="I520" s="6"/>
      <c r="J520" s="6" t="s">
        <v>4289</v>
      </c>
      <c r="K520" s="6" t="s">
        <v>4289</v>
      </c>
      <c r="L520" s="7" t="s">
        <v>4290</v>
      </c>
      <c r="M520" s="8">
        <v>84000411</v>
      </c>
      <c r="N520" s="8" t="str">
        <f t="shared" si="48"/>
        <v>PEN</v>
      </c>
      <c r="O520" s="13"/>
      <c r="P520" s="13">
        <v>202</v>
      </c>
      <c r="Q520" s="3">
        <f t="shared" si="49"/>
        <v>202</v>
      </c>
      <c r="R520" s="3">
        <f t="shared" si="50"/>
        <v>0</v>
      </c>
      <c r="S520" s="3">
        <f t="shared" si="51"/>
        <v>37090.220000000008</v>
      </c>
      <c r="T520" s="24"/>
      <c r="U520" s="24"/>
      <c r="V520" s="3"/>
      <c r="W520" s="19" t="str">
        <f>IFERROR(VLOOKUP(Banco_Nacion[[#This Row],[RESPONSABLE]],Clientes_Proveedores[[Ruc / Dni]:[Razon Social]],2,0),"")</f>
        <v>GRANJA RINCONADA DEL SUR S.A.</v>
      </c>
      <c r="X520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52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84000411</v>
      </c>
      <c r="Z520" s="3"/>
      <c r="AA520" s="3"/>
      <c r="AB520" s="24" t="str">
        <f>IF(Banco_Nacion[[#This Row],[FECHA]]&gt;0,TEXT(Banco_Nacion[[#This Row],[FECHA]],"mmmm"),0)</f>
        <v>Julio</v>
      </c>
    </row>
    <row r="521" spans="2:28" x14ac:dyDescent="0.3">
      <c r="B521" s="2">
        <f>IF(Banco_Nacion[[#This Row],[TIPO DE R.]]="R",COUNTIFS($D$4:$D520,"R")+1,"")</f>
        <v>517</v>
      </c>
      <c r="C521" s="19" t="str">
        <f t="shared" si="47"/>
        <v>B-Banco de la Nacion</v>
      </c>
      <c r="D521" s="3" t="s">
        <v>1074</v>
      </c>
      <c r="E521" s="14">
        <v>45863</v>
      </c>
      <c r="F521" s="5">
        <v>20419158462</v>
      </c>
      <c r="G521" s="5" t="s">
        <v>1087</v>
      </c>
      <c r="H521" s="6" t="s">
        <v>368</v>
      </c>
      <c r="I521" s="6"/>
      <c r="J521" s="6" t="s">
        <v>4289</v>
      </c>
      <c r="K521" s="6" t="s">
        <v>4289</v>
      </c>
      <c r="L521" s="7" t="s">
        <v>4290</v>
      </c>
      <c r="M521" s="8">
        <v>84000410</v>
      </c>
      <c r="N521" s="8" t="str">
        <f t="shared" si="48"/>
        <v>PEN</v>
      </c>
      <c r="O521" s="13"/>
      <c r="P521" s="13">
        <v>242</v>
      </c>
      <c r="Q521" s="3">
        <f t="shared" si="49"/>
        <v>242</v>
      </c>
      <c r="R521" s="3">
        <f t="shared" si="50"/>
        <v>0</v>
      </c>
      <c r="S521" s="3">
        <f t="shared" si="51"/>
        <v>37332.220000000008</v>
      </c>
      <c r="T521" s="24"/>
      <c r="U521" s="24"/>
      <c r="V521" s="3"/>
      <c r="W521" s="19" t="str">
        <f>IFERROR(VLOOKUP(Banco_Nacion[[#This Row],[RESPONSABLE]],Clientes_Proveedores[[Ruc / Dni]:[Razon Social]],2,0),"")</f>
        <v>GRANJA RINCONADA DEL SUR S.A.</v>
      </c>
      <c r="X521" s="19" t="str">
        <f>IF(Banco_Nacion[[#This Row],[TIPO DE MOV.]]="INGRESO",Banco_Nacion[[#This Row],[SERIE]]&amp;Banco_Nacion[[#This Row],[NUMERO]]&amp;Banco_Nacion[[#This Row],[RESPONSABLE]]&amp;Banco_Nacion[[#This Row],[MONTO ]],"")</f>
        <v>20419158462242</v>
      </c>
      <c r="Y52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84000410</v>
      </c>
      <c r="Z521" s="3"/>
      <c r="AA521" s="3"/>
      <c r="AB521" s="24" t="str">
        <f>IF(Banco_Nacion[[#This Row],[FECHA]]&gt;0,TEXT(Banco_Nacion[[#This Row],[FECHA]],"mmmm"),0)</f>
        <v>Julio</v>
      </c>
    </row>
    <row r="522" spans="2:28" x14ac:dyDescent="0.3">
      <c r="B522" s="2">
        <f>IF(Banco_Nacion[[#This Row],[TIPO DE R.]]="R",COUNTIFS($D$4:$D521,"R")+1,"")</f>
        <v>518</v>
      </c>
      <c r="C522" s="19" t="str">
        <f t="shared" si="47"/>
        <v>B-Banco de la Nacion</v>
      </c>
      <c r="D522" s="3" t="s">
        <v>1074</v>
      </c>
      <c r="E522" s="14">
        <v>45863</v>
      </c>
      <c r="F522" s="5">
        <v>20419158462</v>
      </c>
      <c r="G522" s="5" t="s">
        <v>1087</v>
      </c>
      <c r="H522" s="6" t="s">
        <v>368</v>
      </c>
      <c r="I522" s="6"/>
      <c r="J522" s="6" t="s">
        <v>4289</v>
      </c>
      <c r="K522" s="6" t="s">
        <v>4289</v>
      </c>
      <c r="L522" s="7" t="s">
        <v>4290</v>
      </c>
      <c r="M522" s="8">
        <v>84000409</v>
      </c>
      <c r="N522" s="8" t="str">
        <f t="shared" si="48"/>
        <v>PEN</v>
      </c>
      <c r="O522" s="13"/>
      <c r="P522" s="13">
        <v>202</v>
      </c>
      <c r="Q522" s="3">
        <f t="shared" si="49"/>
        <v>202</v>
      </c>
      <c r="R522" s="3">
        <f t="shared" si="50"/>
        <v>0</v>
      </c>
      <c r="S522" s="3">
        <f t="shared" si="51"/>
        <v>37534.220000000008</v>
      </c>
      <c r="T522" s="24"/>
      <c r="U522" s="24"/>
      <c r="V522" s="3"/>
      <c r="W522" s="19" t="str">
        <f>IFERROR(VLOOKUP(Banco_Nacion[[#This Row],[RESPONSABLE]],Clientes_Proveedores[[Ruc / Dni]:[Razon Social]],2,0),"")</f>
        <v>GRANJA RINCONADA DEL SUR S.A.</v>
      </c>
      <c r="X522" s="19" t="str">
        <f>IF(Banco_Nacion[[#This Row],[TIPO DE MOV.]]="INGRESO",Banco_Nacion[[#This Row],[SERIE]]&amp;Banco_Nacion[[#This Row],[NUMERO]]&amp;Banco_Nacion[[#This Row],[RESPONSABLE]]&amp;Banco_Nacion[[#This Row],[MONTO ]],"")</f>
        <v>20419158462202</v>
      </c>
      <c r="Y52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84000409</v>
      </c>
      <c r="Z522" s="3"/>
      <c r="AA522" s="3"/>
      <c r="AB522" s="24" t="str">
        <f>IF(Banco_Nacion[[#This Row],[FECHA]]&gt;0,TEXT(Banco_Nacion[[#This Row],[FECHA]],"mmmm"),0)</f>
        <v>Julio</v>
      </c>
    </row>
    <row r="523" spans="2:28" x14ac:dyDescent="0.3">
      <c r="B523" s="2">
        <f>IF(Banco_Nacion[[#This Row],[TIPO DE R.]]="R",COUNTIFS($D$4:$D522,"R")+1,"")</f>
        <v>519</v>
      </c>
      <c r="C523" s="19" t="str">
        <f t="shared" si="47"/>
        <v>B-Banco de la Nacion</v>
      </c>
      <c r="D523" s="3" t="s">
        <v>1074</v>
      </c>
      <c r="E523" s="14">
        <v>45863</v>
      </c>
      <c r="F523" s="5" t="s">
        <v>4289</v>
      </c>
      <c r="G523" s="5" t="s">
        <v>1087</v>
      </c>
      <c r="H523" s="6" t="s">
        <v>368</v>
      </c>
      <c r="I523" s="6"/>
      <c r="J523" s="6" t="s">
        <v>4289</v>
      </c>
      <c r="K523" s="6" t="s">
        <v>4289</v>
      </c>
      <c r="L523" s="7" t="s">
        <v>4290</v>
      </c>
      <c r="M523" s="8">
        <v>27626231</v>
      </c>
      <c r="N523" s="8" t="str">
        <f t="shared" si="48"/>
        <v>PEN</v>
      </c>
      <c r="O523" s="13"/>
      <c r="P523" s="13">
        <v>194</v>
      </c>
      <c r="Q523" s="3">
        <f t="shared" si="49"/>
        <v>194</v>
      </c>
      <c r="R523" s="3">
        <f t="shared" si="50"/>
        <v>0</v>
      </c>
      <c r="S523" s="3">
        <f t="shared" si="51"/>
        <v>37728.220000000008</v>
      </c>
      <c r="T523" s="24"/>
      <c r="U523" s="24"/>
      <c r="V523" s="3"/>
      <c r="W523" s="19" t="str">
        <f>IFERROR(VLOOKUP(Banco_Nacion[[#This Row],[RESPONSABLE]],Clientes_Proveedores[[Ruc / Dni]:[Razon Social]],2,0),"")</f>
        <v/>
      </c>
      <c r="X523" s="19" t="str">
        <f>IF(Banco_Nacion[[#This Row],[TIPO DE MOV.]]="INGRESO",Banco_Nacion[[#This Row],[SERIE]]&amp;Banco_Nacion[[#This Row],[NUMERO]]&amp;Banco_Nacion[[#This Row],[RESPONSABLE]]&amp;Banco_Nacion[[#This Row],[MONTO ]],"")</f>
        <v>194</v>
      </c>
      <c r="Y52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27626231</v>
      </c>
      <c r="Z523" s="3"/>
      <c r="AA523" s="3"/>
      <c r="AB523" s="24" t="str">
        <f>IF(Banco_Nacion[[#This Row],[FECHA]]&gt;0,TEXT(Banco_Nacion[[#This Row],[FECHA]],"mmmm"),0)</f>
        <v>Julio</v>
      </c>
    </row>
    <row r="524" spans="2:28" x14ac:dyDescent="0.3">
      <c r="B524" s="2">
        <f>IF(Banco_Nacion[[#This Row],[TIPO DE R.]]="R",COUNTIFS($D$4:$D523,"R")+1,"")</f>
        <v>520</v>
      </c>
      <c r="C524" s="19" t="str">
        <f t="shared" si="47"/>
        <v>B-Banco de la Nacion</v>
      </c>
      <c r="D524" s="3" t="s">
        <v>1074</v>
      </c>
      <c r="E524" s="14">
        <v>45863</v>
      </c>
      <c r="F524" s="5" t="s">
        <v>4289</v>
      </c>
      <c r="G524" s="5" t="s">
        <v>1087</v>
      </c>
      <c r="H524" s="6" t="s">
        <v>368</v>
      </c>
      <c r="I524" s="6"/>
      <c r="J524" s="6" t="s">
        <v>4289</v>
      </c>
      <c r="K524" s="6" t="s">
        <v>4289</v>
      </c>
      <c r="L524" s="7" t="s">
        <v>4290</v>
      </c>
      <c r="M524" s="8">
        <v>27626166</v>
      </c>
      <c r="N524" s="8" t="str">
        <f t="shared" si="48"/>
        <v>PEN</v>
      </c>
      <c r="O524" s="13"/>
      <c r="P524" s="13">
        <v>138</v>
      </c>
      <c r="Q524" s="3">
        <f t="shared" si="49"/>
        <v>138</v>
      </c>
      <c r="R524" s="3">
        <f t="shared" si="50"/>
        <v>0</v>
      </c>
      <c r="S524" s="3">
        <f t="shared" si="51"/>
        <v>37866.220000000008</v>
      </c>
      <c r="T524" s="24"/>
      <c r="U524" s="24"/>
      <c r="V524" s="3"/>
      <c r="W524" s="19" t="str">
        <f>IFERROR(VLOOKUP(Banco_Nacion[[#This Row],[RESPONSABLE]],Clientes_Proveedores[[Ruc / Dni]:[Razon Social]],2,0),"")</f>
        <v/>
      </c>
      <c r="X524" s="19" t="str">
        <f>IF(Banco_Nacion[[#This Row],[TIPO DE MOV.]]="INGRESO",Banco_Nacion[[#This Row],[SERIE]]&amp;Banco_Nacion[[#This Row],[NUMERO]]&amp;Banco_Nacion[[#This Row],[RESPONSABLE]]&amp;Banco_Nacion[[#This Row],[MONTO ]],"")</f>
        <v>138</v>
      </c>
      <c r="Y52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27626166</v>
      </c>
      <c r="Z524" s="3"/>
      <c r="AA524" s="3"/>
      <c r="AB524" s="24" t="str">
        <f>IF(Banco_Nacion[[#This Row],[FECHA]]&gt;0,TEXT(Banco_Nacion[[#This Row],[FECHA]],"mmmm"),0)</f>
        <v>Julio</v>
      </c>
    </row>
    <row r="525" spans="2:28" x14ac:dyDescent="0.3">
      <c r="B525" s="2">
        <f>IF(Banco_Nacion[[#This Row],[TIPO DE R.]]="R",COUNTIFS($D$4:$D524,"R")+1,"")</f>
        <v>521</v>
      </c>
      <c r="C525" s="19" t="str">
        <f t="shared" si="47"/>
        <v>B-Banco de la Nacion</v>
      </c>
      <c r="D525" s="3" t="s">
        <v>1074</v>
      </c>
      <c r="E525" s="14">
        <v>45868</v>
      </c>
      <c r="F525" s="5">
        <v>20454186002</v>
      </c>
      <c r="G525" s="5" t="s">
        <v>1087</v>
      </c>
      <c r="H525" s="6" t="s">
        <v>368</v>
      </c>
      <c r="I525" s="6"/>
      <c r="J525" s="6" t="s">
        <v>4289</v>
      </c>
      <c r="K525" s="6" t="s">
        <v>4289</v>
      </c>
      <c r="L525" s="7" t="s">
        <v>4290</v>
      </c>
      <c r="M525" s="8">
        <v>84128811</v>
      </c>
      <c r="N525" s="8" t="str">
        <f t="shared" si="48"/>
        <v>PEN</v>
      </c>
      <c r="O525" s="13"/>
      <c r="P525" s="13">
        <v>264</v>
      </c>
      <c r="Q525" s="3">
        <f t="shared" si="49"/>
        <v>264</v>
      </c>
      <c r="R525" s="3">
        <f t="shared" si="50"/>
        <v>0</v>
      </c>
      <c r="S525" s="3">
        <f t="shared" si="51"/>
        <v>38130.220000000008</v>
      </c>
      <c r="T525" s="24"/>
      <c r="U525" s="24"/>
      <c r="V525" s="3"/>
      <c r="W525" s="19" t="str">
        <f>IFERROR(VLOOKUP(Banco_Nacion[[#This Row],[RESPONSABLE]],Clientes_Proveedores[[Ruc / Dni]:[Razon Social]],2,0),"")</f>
        <v>ALSUR PERU S.A.C.</v>
      </c>
      <c r="X525" s="19" t="str">
        <f>IF(Banco_Nacion[[#This Row],[TIPO DE MOV.]]="INGRESO",Banco_Nacion[[#This Row],[SERIE]]&amp;Banco_Nacion[[#This Row],[NUMERO]]&amp;Banco_Nacion[[#This Row],[RESPONSABLE]]&amp;Banco_Nacion[[#This Row],[MONTO ]],"")</f>
        <v>20454186002264</v>
      </c>
      <c r="Y52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84128811</v>
      </c>
      <c r="Z525" s="3"/>
      <c r="AA525" s="3"/>
      <c r="AB525" s="24" t="str">
        <f>IF(Banco_Nacion[[#This Row],[FECHA]]&gt;0,TEXT(Banco_Nacion[[#This Row],[FECHA]],"mmmm"),0)</f>
        <v>Julio</v>
      </c>
    </row>
    <row r="526" spans="2:28" x14ac:dyDescent="0.3">
      <c r="B526" s="2">
        <f>IF(Banco_Nacion[[#This Row],[TIPO DE R.]]="R",COUNTIFS($D$4:$D525,"R")+1,"")</f>
        <v>522</v>
      </c>
      <c r="C526" s="19" t="str">
        <f t="shared" si="47"/>
        <v>B-Banco de la Nacion</v>
      </c>
      <c r="D526" s="3" t="s">
        <v>1074</v>
      </c>
      <c r="E526" s="14">
        <v>45868</v>
      </c>
      <c r="F526" s="5">
        <v>20454186002</v>
      </c>
      <c r="G526" s="5" t="s">
        <v>1087</v>
      </c>
      <c r="H526" s="6" t="s">
        <v>368</v>
      </c>
      <c r="I526" s="6"/>
      <c r="J526" s="6" t="s">
        <v>4289</v>
      </c>
      <c r="K526" s="6" t="s">
        <v>4289</v>
      </c>
      <c r="L526" s="7" t="s">
        <v>4290</v>
      </c>
      <c r="M526" s="8">
        <v>84128807</v>
      </c>
      <c r="N526" s="8" t="str">
        <f t="shared" si="48"/>
        <v>PEN</v>
      </c>
      <c r="O526" s="13"/>
      <c r="P526" s="13">
        <v>210</v>
      </c>
      <c r="Q526" s="3">
        <f t="shared" si="49"/>
        <v>210</v>
      </c>
      <c r="R526" s="3">
        <f t="shared" si="50"/>
        <v>0</v>
      </c>
      <c r="S526" s="3">
        <f t="shared" si="51"/>
        <v>38340.220000000008</v>
      </c>
      <c r="T526" s="24"/>
      <c r="U526" s="24"/>
      <c r="V526" s="3"/>
      <c r="W526" s="19" t="str">
        <f>IFERROR(VLOOKUP(Banco_Nacion[[#This Row],[RESPONSABLE]],Clientes_Proveedores[[Ruc / Dni]:[Razon Social]],2,0),"")</f>
        <v>ALSUR PERU S.A.C.</v>
      </c>
      <c r="X526" s="19" t="str">
        <f>IF(Banco_Nacion[[#This Row],[TIPO DE MOV.]]="INGRESO",Banco_Nacion[[#This Row],[SERIE]]&amp;Banco_Nacion[[#This Row],[NUMERO]]&amp;Banco_Nacion[[#This Row],[RESPONSABLE]]&amp;Banco_Nacion[[#This Row],[MONTO ]],"")</f>
        <v>20454186002210</v>
      </c>
      <c r="Y52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84128807</v>
      </c>
      <c r="Z526" s="3"/>
      <c r="AA526" s="3"/>
      <c r="AB526" s="24" t="str">
        <f>IF(Banco_Nacion[[#This Row],[FECHA]]&gt;0,TEXT(Banco_Nacion[[#This Row],[FECHA]],"mmmm"),0)</f>
        <v>Julio</v>
      </c>
    </row>
    <row r="527" spans="2:28" x14ac:dyDescent="0.3">
      <c r="B527" s="2">
        <f>IF(Banco_Nacion[[#This Row],[TIPO DE R.]]="R",COUNTIFS($D$4:$D526,"R")+1,"")</f>
        <v>523</v>
      </c>
      <c r="C527" s="19" t="str">
        <f t="shared" si="47"/>
        <v>B-Banco de la Nacion</v>
      </c>
      <c r="D527" s="3" t="s">
        <v>1074</v>
      </c>
      <c r="E527" s="14">
        <v>45868</v>
      </c>
      <c r="F527" s="5">
        <v>20454186002</v>
      </c>
      <c r="G527" s="5" t="s">
        <v>1087</v>
      </c>
      <c r="H527" s="6" t="s">
        <v>368</v>
      </c>
      <c r="I527" s="6"/>
      <c r="J527" s="6" t="s">
        <v>4289</v>
      </c>
      <c r="K527" s="6" t="s">
        <v>4289</v>
      </c>
      <c r="L527" s="7" t="s">
        <v>4290</v>
      </c>
      <c r="M527" s="8">
        <v>84128759</v>
      </c>
      <c r="N527" s="8" t="str">
        <f t="shared" si="48"/>
        <v>PEN</v>
      </c>
      <c r="O527" s="13"/>
      <c r="P527" s="13">
        <v>473</v>
      </c>
      <c r="Q527" s="3">
        <f t="shared" si="49"/>
        <v>473</v>
      </c>
      <c r="R527" s="3">
        <f t="shared" si="50"/>
        <v>0</v>
      </c>
      <c r="S527" s="3">
        <f t="shared" si="51"/>
        <v>38813.220000000008</v>
      </c>
      <c r="T527" s="24"/>
      <c r="U527" s="24"/>
      <c r="V527" s="3"/>
      <c r="W527" s="19" t="str">
        <f>IFERROR(VLOOKUP(Banco_Nacion[[#This Row],[RESPONSABLE]],Clientes_Proveedores[[Ruc / Dni]:[Razon Social]],2,0),"")</f>
        <v>ALSUR PERU S.A.C.</v>
      </c>
      <c r="X527" s="19" t="str">
        <f>IF(Banco_Nacion[[#This Row],[TIPO DE MOV.]]="INGRESO",Banco_Nacion[[#This Row],[SERIE]]&amp;Banco_Nacion[[#This Row],[NUMERO]]&amp;Banco_Nacion[[#This Row],[RESPONSABLE]]&amp;Banco_Nacion[[#This Row],[MONTO ]],"")</f>
        <v>20454186002473</v>
      </c>
      <c r="Y52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84128759</v>
      </c>
      <c r="Z527" s="3"/>
      <c r="AA527" s="3"/>
      <c r="AB527" s="24" t="str">
        <f>IF(Banco_Nacion[[#This Row],[FECHA]]&gt;0,TEXT(Banco_Nacion[[#This Row],[FECHA]],"mmmm"),0)</f>
        <v>Julio</v>
      </c>
    </row>
    <row r="528" spans="2:28" x14ac:dyDescent="0.3">
      <c r="B528" s="2">
        <f>IF(Banco_Nacion[[#This Row],[TIPO DE R.]]="R",COUNTIFS($D$4:$D527,"R")+1,"")</f>
        <v>524</v>
      </c>
      <c r="C528" s="19" t="str">
        <f t="shared" si="47"/>
        <v>B-Banco de la Nacion</v>
      </c>
      <c r="D528" s="3" t="s">
        <v>1074</v>
      </c>
      <c r="E528" s="14">
        <v>45868</v>
      </c>
      <c r="F528" s="5">
        <v>20454186002</v>
      </c>
      <c r="G528" s="5" t="s">
        <v>1087</v>
      </c>
      <c r="H528" s="6" t="s">
        <v>368</v>
      </c>
      <c r="I528" s="6"/>
      <c r="J528" s="6" t="s">
        <v>4289</v>
      </c>
      <c r="K528" s="6" t="s">
        <v>4289</v>
      </c>
      <c r="L528" s="7" t="s">
        <v>4290</v>
      </c>
      <c r="M528" s="8">
        <v>84128758</v>
      </c>
      <c r="N528" s="8" t="str">
        <f t="shared" si="48"/>
        <v>PEN</v>
      </c>
      <c r="O528" s="13"/>
      <c r="P528" s="13">
        <v>352</v>
      </c>
      <c r="Q528" s="3">
        <f t="shared" si="49"/>
        <v>352</v>
      </c>
      <c r="R528" s="3">
        <f t="shared" si="50"/>
        <v>0</v>
      </c>
      <c r="S528" s="3">
        <f t="shared" si="51"/>
        <v>39165.220000000008</v>
      </c>
      <c r="T528" s="24"/>
      <c r="U528" s="24"/>
      <c r="V528" s="3"/>
      <c r="W528" s="19" t="str">
        <f>IFERROR(VLOOKUP(Banco_Nacion[[#This Row],[RESPONSABLE]],Clientes_Proveedores[[Ruc / Dni]:[Razon Social]],2,0),"")</f>
        <v>ALSUR PERU S.A.C.</v>
      </c>
      <c r="X528" s="19" t="str">
        <f>IF(Banco_Nacion[[#This Row],[TIPO DE MOV.]]="INGRESO",Banco_Nacion[[#This Row],[SERIE]]&amp;Banco_Nacion[[#This Row],[NUMERO]]&amp;Banco_Nacion[[#This Row],[RESPONSABLE]]&amp;Banco_Nacion[[#This Row],[MONTO ]],"")</f>
        <v>20454186002352</v>
      </c>
      <c r="Y52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84128758</v>
      </c>
      <c r="Z528" s="3"/>
      <c r="AA528" s="3"/>
      <c r="AB528" s="24" t="str">
        <f>IF(Banco_Nacion[[#This Row],[FECHA]]&gt;0,TEXT(Banco_Nacion[[#This Row],[FECHA]],"mmmm"),0)</f>
        <v>Julio</v>
      </c>
    </row>
    <row r="529" spans="2:28" x14ac:dyDescent="0.3">
      <c r="B529" s="2">
        <f>IF(Banco_Nacion[[#This Row],[TIPO DE R.]]="R",COUNTIFS($D$4:$D528,"R")+1,"")</f>
        <v>525</v>
      </c>
      <c r="C529" s="19" t="str">
        <f t="shared" si="47"/>
        <v>B-Banco de la Nacion</v>
      </c>
      <c r="D529" s="3" t="s">
        <v>1074</v>
      </c>
      <c r="E529" s="14">
        <v>45868</v>
      </c>
      <c r="F529" s="5" t="s">
        <v>4289</v>
      </c>
      <c r="G529" s="5" t="s">
        <v>1087</v>
      </c>
      <c r="H529" s="6" t="s">
        <v>368</v>
      </c>
      <c r="I529" s="6"/>
      <c r="J529" s="6" t="s">
        <v>4289</v>
      </c>
      <c r="K529" s="6" t="s">
        <v>4289</v>
      </c>
      <c r="L529" s="7" t="s">
        <v>4291</v>
      </c>
      <c r="M529" s="8">
        <v>78788888</v>
      </c>
      <c r="N529" s="8" t="str">
        <f t="shared" si="48"/>
        <v>PEN</v>
      </c>
      <c r="O529" s="13"/>
      <c r="P529" s="13">
        <v>160</v>
      </c>
      <c r="Q529" s="3">
        <f t="shared" si="49"/>
        <v>160</v>
      </c>
      <c r="R529" s="3">
        <f t="shared" si="50"/>
        <v>0</v>
      </c>
      <c r="S529" s="3">
        <f t="shared" si="51"/>
        <v>39325.220000000008</v>
      </c>
      <c r="T529" s="24"/>
      <c r="U529" s="24"/>
      <c r="V529" s="3"/>
      <c r="W529" s="19" t="str">
        <f>IFERROR(VLOOKUP(Banco_Nacion[[#This Row],[RESPONSABLE]],Clientes_Proveedores[[Ruc / Dni]:[Razon Social]],2,0),"")</f>
        <v/>
      </c>
      <c r="X529" s="19" t="str">
        <f>IF(Banco_Nacion[[#This Row],[TIPO DE MOV.]]="INGRESO",Banco_Nacion[[#This Row],[SERIE]]&amp;Banco_Nacion[[#This Row],[NUMERO]]&amp;Banco_Nacion[[#This Row],[RESPONSABLE]]&amp;Banco_Nacion[[#This Row],[MONTO ]],"")</f>
        <v>160</v>
      </c>
      <c r="Y52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78788888</v>
      </c>
      <c r="Z529" s="3"/>
      <c r="AA529" s="3"/>
      <c r="AB529" s="24" t="str">
        <f>IF(Banco_Nacion[[#This Row],[FECHA]]&gt;0,TEXT(Banco_Nacion[[#This Row],[FECHA]],"mmmm"),0)</f>
        <v>Julio</v>
      </c>
    </row>
    <row r="530" spans="2:28" x14ac:dyDescent="0.3">
      <c r="B530" s="2">
        <f>IF(Banco_Nacion[[#This Row],[TIPO DE R.]]="R",COUNTIFS($D$4:$D529,"R")+1,"")</f>
        <v>526</v>
      </c>
      <c r="C530" s="19" t="str">
        <f t="shared" si="47"/>
        <v>B-Banco de la Nacion</v>
      </c>
      <c r="D530" s="3" t="s">
        <v>1074</v>
      </c>
      <c r="E530" s="14">
        <v>45869</v>
      </c>
      <c r="F530" s="5">
        <v>20100192064</v>
      </c>
      <c r="G530" s="5" t="s">
        <v>1087</v>
      </c>
      <c r="H530" s="6" t="s">
        <v>368</v>
      </c>
      <c r="I530" s="6"/>
      <c r="J530" s="6" t="s">
        <v>4289</v>
      </c>
      <c r="K530" s="6" t="s">
        <v>4289</v>
      </c>
      <c r="L530" s="7" t="s">
        <v>4290</v>
      </c>
      <c r="M530" s="8">
        <v>84410012</v>
      </c>
      <c r="N530" s="8" t="str">
        <f t="shared" si="48"/>
        <v>PEN</v>
      </c>
      <c r="O530" s="13"/>
      <c r="P530" s="13">
        <v>453</v>
      </c>
      <c r="Q530" s="3">
        <f t="shared" si="49"/>
        <v>453</v>
      </c>
      <c r="R530" s="3">
        <f t="shared" si="50"/>
        <v>0</v>
      </c>
      <c r="S530" s="3">
        <f t="shared" si="51"/>
        <v>39778.220000000008</v>
      </c>
      <c r="T530" s="24"/>
      <c r="U530" s="24"/>
      <c r="V530" s="3"/>
      <c r="W530" s="19" t="str">
        <f>IFERROR(VLOOKUP(Banco_Nacion[[#This Row],[RESPONSABLE]],Clientes_Proveedores[[Ruc / Dni]:[Razon Social]],2,0),"")</f>
        <v>MOLY-COP ADESUR S.A</v>
      </c>
      <c r="X530" s="19" t="str">
        <f>IF(Banco_Nacion[[#This Row],[TIPO DE MOV.]]="INGRESO",Banco_Nacion[[#This Row],[SERIE]]&amp;Banco_Nacion[[#This Row],[NUMERO]]&amp;Banco_Nacion[[#This Row],[RESPONSABLE]]&amp;Banco_Nacion[[#This Row],[MONTO ]],"")</f>
        <v>20100192064453</v>
      </c>
      <c r="Y53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84410012</v>
      </c>
      <c r="Z530" s="3"/>
      <c r="AA530" s="3"/>
      <c r="AB530" s="24" t="str">
        <f>IF(Banco_Nacion[[#This Row],[FECHA]]&gt;0,TEXT(Banco_Nacion[[#This Row],[FECHA]],"mmmm"),0)</f>
        <v>Julio</v>
      </c>
    </row>
    <row r="531" spans="2:28" x14ac:dyDescent="0.3">
      <c r="B531" s="2">
        <f>IF(Banco_Nacion[[#This Row],[TIPO DE R.]]="R",COUNTIFS($D$4:$D530,"R")+1,"")</f>
        <v>527</v>
      </c>
      <c r="C531" s="19" t="str">
        <f t="shared" si="47"/>
        <v>B-Banco de la Nacion</v>
      </c>
      <c r="D531" s="3" t="s">
        <v>1074</v>
      </c>
      <c r="E531" s="14">
        <v>45869</v>
      </c>
      <c r="F531" s="5">
        <v>20523573226</v>
      </c>
      <c r="G531" s="5" t="s">
        <v>1087</v>
      </c>
      <c r="H531" s="6" t="s">
        <v>368</v>
      </c>
      <c r="I531" s="6"/>
      <c r="J531" s="6" t="s">
        <v>4289</v>
      </c>
      <c r="K531" s="6" t="s">
        <v>4289</v>
      </c>
      <c r="L531" s="7" t="s">
        <v>4290</v>
      </c>
      <c r="M531" s="8">
        <v>84332789</v>
      </c>
      <c r="N531" s="8" t="str">
        <f t="shared" si="48"/>
        <v>PEN</v>
      </c>
      <c r="O531" s="13"/>
      <c r="P531" s="13">
        <v>690</v>
      </c>
      <c r="Q531" s="3">
        <f t="shared" si="49"/>
        <v>690</v>
      </c>
      <c r="R531" s="3">
        <f t="shared" si="50"/>
        <v>0</v>
      </c>
      <c r="S531" s="3">
        <f t="shared" si="51"/>
        <v>40468.220000000008</v>
      </c>
      <c r="T531" s="24"/>
      <c r="U531" s="24"/>
      <c r="V531" s="3"/>
      <c r="W531" s="19" t="str">
        <f>IFERROR(VLOOKUP(Banco_Nacion[[#This Row],[RESPONSABLE]],Clientes_Proveedores[[Ruc / Dni]:[Razon Social]],2,0),"")</f>
        <v>CBB PERU S.A.</v>
      </c>
      <c r="X531" s="19" t="str">
        <f>IF(Banco_Nacion[[#This Row],[TIPO DE MOV.]]="INGRESO",Banco_Nacion[[#This Row],[SERIE]]&amp;Banco_Nacion[[#This Row],[NUMERO]]&amp;Banco_Nacion[[#This Row],[RESPONSABLE]]&amp;Banco_Nacion[[#This Row],[MONTO ]],"")</f>
        <v>20523573226690</v>
      </c>
      <c r="Y53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84332789</v>
      </c>
      <c r="Z531" s="3"/>
      <c r="AA531" s="3"/>
      <c r="AB531" s="24" t="str">
        <f>IF(Banco_Nacion[[#This Row],[FECHA]]&gt;0,TEXT(Banco_Nacion[[#This Row],[FECHA]],"mmmm"),0)</f>
        <v>Julio</v>
      </c>
    </row>
    <row r="532" spans="2:28" x14ac:dyDescent="0.3">
      <c r="B532" s="2">
        <f>IF(Banco_Nacion[[#This Row],[TIPO DE R.]]="R",COUNTIFS($D$4:$D531,"R")+1,"")</f>
        <v>528</v>
      </c>
      <c r="C532" s="19" t="str">
        <f t="shared" si="47"/>
        <v>B-Banco de la Nacion</v>
      </c>
      <c r="D532" s="3" t="s">
        <v>1074</v>
      </c>
      <c r="E532" s="14">
        <v>45869</v>
      </c>
      <c r="F532" s="5">
        <v>20603536569</v>
      </c>
      <c r="G532" s="5" t="s">
        <v>1087</v>
      </c>
      <c r="H532" s="6" t="s">
        <v>368</v>
      </c>
      <c r="I532" s="6"/>
      <c r="J532" s="6" t="s">
        <v>4289</v>
      </c>
      <c r="K532" s="6" t="s">
        <v>4289</v>
      </c>
      <c r="L532" s="7" t="s">
        <v>4290</v>
      </c>
      <c r="M532" s="8">
        <v>84162035</v>
      </c>
      <c r="N532" s="8" t="str">
        <f t="shared" si="48"/>
        <v>PEN</v>
      </c>
      <c r="O532" s="13"/>
      <c r="P532" s="13">
        <v>575</v>
      </c>
      <c r="Q532" s="3">
        <f t="shared" si="49"/>
        <v>575</v>
      </c>
      <c r="R532" s="3">
        <f t="shared" si="50"/>
        <v>0</v>
      </c>
      <c r="S532" s="3">
        <f t="shared" si="51"/>
        <v>41043.220000000008</v>
      </c>
      <c r="T532" s="24"/>
      <c r="U532" s="24"/>
      <c r="V532" s="3"/>
      <c r="W532" s="19" t="str">
        <f>IFERROR(VLOOKUP(Banco_Nacion[[#This Row],[RESPONSABLE]],Clientes_Proveedores[[Ruc / Dni]:[Razon Social]],2,0),"")</f>
        <v>ANTILLA COPPER SOCIEDAD ANONIMA</v>
      </c>
      <c r="X532" s="19" t="str">
        <f>IF(Banco_Nacion[[#This Row],[TIPO DE MOV.]]="INGRESO",Banco_Nacion[[#This Row],[SERIE]]&amp;Banco_Nacion[[#This Row],[NUMERO]]&amp;Banco_Nacion[[#This Row],[RESPONSABLE]]&amp;Banco_Nacion[[#This Row],[MONTO ]],"")</f>
        <v>20603536569575</v>
      </c>
      <c r="Y53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84162035</v>
      </c>
      <c r="Z532" s="3"/>
      <c r="AA532" s="3"/>
      <c r="AB532" s="24" t="str">
        <f>IF(Banco_Nacion[[#This Row],[FECHA]]&gt;0,TEXT(Banco_Nacion[[#This Row],[FECHA]],"mmmm"),0)</f>
        <v>Julio</v>
      </c>
    </row>
    <row r="533" spans="2:28" x14ac:dyDescent="0.3">
      <c r="B533" s="2">
        <f>IF(Banco_Nacion[[#This Row],[TIPO DE R.]]="R",COUNTIFS($D$4:$D532,"R")+1,"")</f>
        <v>529</v>
      </c>
      <c r="C533" s="19" t="str">
        <f t="shared" si="47"/>
        <v>B-Banco de la Nacion</v>
      </c>
      <c r="D533" s="3" t="s">
        <v>1074</v>
      </c>
      <c r="E533" s="14">
        <v>45869</v>
      </c>
      <c r="F533" s="5" t="s">
        <v>4289</v>
      </c>
      <c r="G533" s="5" t="s">
        <v>1087</v>
      </c>
      <c r="H533" s="6" t="s">
        <v>368</v>
      </c>
      <c r="I533" s="6"/>
      <c r="J533" s="6" t="s">
        <v>4289</v>
      </c>
      <c r="K533" s="6" t="s">
        <v>4289</v>
      </c>
      <c r="L533" s="7" t="s">
        <v>4290</v>
      </c>
      <c r="M533" s="8">
        <v>27650504</v>
      </c>
      <c r="N533" s="8" t="str">
        <f t="shared" si="48"/>
        <v>PEN</v>
      </c>
      <c r="O533" s="13"/>
      <c r="P533" s="13">
        <v>91</v>
      </c>
      <c r="Q533" s="3">
        <f t="shared" si="49"/>
        <v>91</v>
      </c>
      <c r="R533" s="3">
        <f t="shared" si="50"/>
        <v>0</v>
      </c>
      <c r="S533" s="3">
        <f t="shared" si="51"/>
        <v>41134.220000000008</v>
      </c>
      <c r="T533" s="24"/>
      <c r="U533" s="24"/>
      <c r="V533" s="3"/>
      <c r="W533" s="19" t="str">
        <f>IFERROR(VLOOKUP(Banco_Nacion[[#This Row],[RESPONSABLE]],Clientes_Proveedores[[Ruc / Dni]:[Razon Social]],2,0),"")</f>
        <v/>
      </c>
      <c r="X533" s="19" t="str">
        <f>IF(Banco_Nacion[[#This Row],[TIPO DE MOV.]]="INGRESO",Banco_Nacion[[#This Row],[SERIE]]&amp;Banco_Nacion[[#This Row],[NUMERO]]&amp;Banco_Nacion[[#This Row],[RESPONSABLE]]&amp;Banco_Nacion[[#This Row],[MONTO ]],"")</f>
        <v>91</v>
      </c>
      <c r="Y53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27650504</v>
      </c>
      <c r="Z533" s="3"/>
      <c r="AA533" s="3"/>
      <c r="AB533" s="24" t="str">
        <f>IF(Banco_Nacion[[#This Row],[FECHA]]&gt;0,TEXT(Banco_Nacion[[#This Row],[FECHA]],"mmmm"),0)</f>
        <v>Julio</v>
      </c>
    </row>
    <row r="534" spans="2:28" x14ac:dyDescent="0.3">
      <c r="B534" s="2">
        <f>IF(Banco_Nacion[[#This Row],[TIPO DE R.]]="R",COUNTIFS($D$4:$D533,"R")+1,"")</f>
        <v>530</v>
      </c>
      <c r="C534" s="19" t="str">
        <f t="shared" si="47"/>
        <v>B-Banco de la Nacion</v>
      </c>
      <c r="D534" s="3" t="s">
        <v>1074</v>
      </c>
      <c r="E534" s="14">
        <v>45869</v>
      </c>
      <c r="F534" s="5" t="s">
        <v>4289</v>
      </c>
      <c r="G534" s="5" t="s">
        <v>1087</v>
      </c>
      <c r="H534" s="6" t="s">
        <v>368</v>
      </c>
      <c r="I534" s="6"/>
      <c r="J534" s="6" t="s">
        <v>4289</v>
      </c>
      <c r="K534" s="6" t="s">
        <v>4289</v>
      </c>
      <c r="L534" s="7" t="s">
        <v>4290</v>
      </c>
      <c r="M534" s="8">
        <v>27650437</v>
      </c>
      <c r="N534" s="8" t="str">
        <f t="shared" si="48"/>
        <v>PEN</v>
      </c>
      <c r="O534" s="13"/>
      <c r="P534" s="13">
        <v>219</v>
      </c>
      <c r="Q534" s="3">
        <f t="shared" si="49"/>
        <v>219</v>
      </c>
      <c r="R534" s="3">
        <f t="shared" si="50"/>
        <v>0</v>
      </c>
      <c r="S534" s="3">
        <f t="shared" si="51"/>
        <v>41353.220000000008</v>
      </c>
      <c r="T534" s="24"/>
      <c r="U534" s="24"/>
      <c r="V534" s="3"/>
      <c r="W534" s="19" t="str">
        <f>IFERROR(VLOOKUP(Banco_Nacion[[#This Row],[RESPONSABLE]],Clientes_Proveedores[[Ruc / Dni]:[Razon Social]],2,0),"")</f>
        <v/>
      </c>
      <c r="X534" s="19" t="str">
        <f>IF(Banco_Nacion[[#This Row],[TIPO DE MOV.]]="INGRESO",Banco_Nacion[[#This Row],[SERIE]]&amp;Banco_Nacion[[#This Row],[NUMERO]]&amp;Banco_Nacion[[#This Row],[RESPONSABLE]]&amp;Banco_Nacion[[#This Row],[MONTO ]],"")</f>
        <v>219</v>
      </c>
      <c r="Y53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27650437</v>
      </c>
      <c r="Z534" s="3"/>
      <c r="AA534" s="3"/>
      <c r="AB534" s="24" t="str">
        <f>IF(Banco_Nacion[[#This Row],[FECHA]]&gt;0,TEXT(Banco_Nacion[[#This Row],[FECHA]],"mmmm"),0)</f>
        <v>Julio</v>
      </c>
    </row>
    <row r="535" spans="2:28" x14ac:dyDescent="0.3">
      <c r="B535" s="2">
        <f>IF(Banco_Nacion[[#This Row],[TIPO DE R.]]="R",COUNTIFS($D$4:$D534,"R")+1,"")</f>
        <v>531</v>
      </c>
      <c r="C535" s="19" t="str">
        <f t="shared" si="47"/>
        <v>B-Banco de la Nacion</v>
      </c>
      <c r="D535" s="3" t="s">
        <v>1074</v>
      </c>
      <c r="E535" s="14">
        <v>45869</v>
      </c>
      <c r="F535" s="5" t="s">
        <v>4289</v>
      </c>
      <c r="G535" s="5" t="s">
        <v>1087</v>
      </c>
      <c r="H535" s="6" t="s">
        <v>368</v>
      </c>
      <c r="I535" s="6"/>
      <c r="J535" s="6" t="s">
        <v>4289</v>
      </c>
      <c r="K535" s="6" t="s">
        <v>4289</v>
      </c>
      <c r="L535" s="7" t="s">
        <v>4290</v>
      </c>
      <c r="M535" s="8">
        <v>27650339</v>
      </c>
      <c r="N535" s="8" t="str">
        <f t="shared" si="48"/>
        <v>PEN</v>
      </c>
      <c r="O535" s="13"/>
      <c r="P535" s="13">
        <v>302</v>
      </c>
      <c r="Q535" s="3">
        <f t="shared" si="49"/>
        <v>302</v>
      </c>
      <c r="R535" s="3">
        <f t="shared" si="50"/>
        <v>0</v>
      </c>
      <c r="S535" s="3">
        <f t="shared" si="51"/>
        <v>41655.220000000008</v>
      </c>
      <c r="T535" s="24"/>
      <c r="U535" s="24"/>
      <c r="V535" s="3"/>
      <c r="W535" s="19" t="str">
        <f>IFERROR(VLOOKUP(Banco_Nacion[[#This Row],[RESPONSABLE]],Clientes_Proveedores[[Ruc / Dni]:[Razon Social]],2,0),"")</f>
        <v/>
      </c>
      <c r="X535" s="19" t="str">
        <f>IF(Banco_Nacion[[#This Row],[TIPO DE MOV.]]="INGRESO",Banco_Nacion[[#This Row],[SERIE]]&amp;Banco_Nacion[[#This Row],[NUMERO]]&amp;Banco_Nacion[[#This Row],[RESPONSABLE]]&amp;Banco_Nacion[[#This Row],[MONTO ]],"")</f>
        <v>302</v>
      </c>
      <c r="Y53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27650339</v>
      </c>
      <c r="Z535" s="3"/>
      <c r="AA535" s="3"/>
      <c r="AB535" s="24" t="str">
        <f>IF(Banco_Nacion[[#This Row],[FECHA]]&gt;0,TEXT(Banco_Nacion[[#This Row],[FECHA]],"mmmm"),0)</f>
        <v>Julio</v>
      </c>
    </row>
    <row r="536" spans="2:28" x14ac:dyDescent="0.3">
      <c r="B536" s="2">
        <f>IF(Banco_Nacion[[#This Row],[TIPO DE R.]]="R",COUNTIFS($D$4:$D535,"R")+1,"")</f>
        <v>532</v>
      </c>
      <c r="C536" s="19" t="str">
        <f t="shared" si="47"/>
        <v>B-Banco de la Nacion</v>
      </c>
      <c r="D536" s="3" t="s">
        <v>1074</v>
      </c>
      <c r="E536" s="14">
        <v>45869</v>
      </c>
      <c r="F536" s="5" t="s">
        <v>4289</v>
      </c>
      <c r="G536" s="5" t="s">
        <v>1079</v>
      </c>
      <c r="H536" s="6"/>
      <c r="I536" s="6"/>
      <c r="J536" s="6" t="s">
        <v>4289</v>
      </c>
      <c r="K536" s="6" t="s">
        <v>4289</v>
      </c>
      <c r="L536" s="7" t="s">
        <v>4292</v>
      </c>
      <c r="M536" s="8">
        <v>78787878</v>
      </c>
      <c r="N536" s="8" t="str">
        <f t="shared" si="48"/>
        <v>PEN</v>
      </c>
      <c r="O536" s="13"/>
      <c r="P536" s="13">
        <v>866</v>
      </c>
      <c r="Q536" s="3">
        <f t="shared" si="49"/>
        <v>0</v>
      </c>
      <c r="R536" s="3">
        <f t="shared" si="50"/>
        <v>866</v>
      </c>
      <c r="S536" s="3">
        <f t="shared" si="51"/>
        <v>40789.220000000008</v>
      </c>
      <c r="T536" s="24"/>
      <c r="U536" s="24"/>
      <c r="V536" s="3"/>
      <c r="W536" s="19" t="str">
        <f>IFERROR(VLOOKUP(Banco_Nacion[[#This Row],[RESPONSABLE]],Clientes_Proveedores[[Ruc / Dni]:[Razon Social]],2,0),"")</f>
        <v/>
      </c>
      <c r="X53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3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36" s="3"/>
      <c r="AA536" s="3"/>
      <c r="AB536" s="24" t="str">
        <f>IF(Banco_Nacion[[#This Row],[FECHA]]&gt;0,TEXT(Banco_Nacion[[#This Row],[FECHA]],"mmmm"),0)</f>
        <v>Julio</v>
      </c>
    </row>
    <row r="537" spans="2:28" x14ac:dyDescent="0.3">
      <c r="B537" s="2">
        <f>IF(Banco_Nacion[[#This Row],[TIPO DE R.]]="R",COUNTIFS($D$4:$D536,"R")+1,"")</f>
        <v>533</v>
      </c>
      <c r="C537" s="19" t="str">
        <f t="shared" ref="C537:C548" si="52">"B-Banco de la Nacion"</f>
        <v>B-Banco de la Nacion</v>
      </c>
      <c r="D537" s="3" t="s">
        <v>1074</v>
      </c>
      <c r="E537" s="14">
        <v>45874</v>
      </c>
      <c r="F537" s="5">
        <v>20120788389</v>
      </c>
      <c r="G537" s="5" t="s">
        <v>1087</v>
      </c>
      <c r="H537" s="6" t="s">
        <v>368</v>
      </c>
      <c r="I537" s="6"/>
      <c r="J537" s="6" t="s">
        <v>4289</v>
      </c>
      <c r="K537" s="6" t="s">
        <v>4289</v>
      </c>
      <c r="L537" s="7" t="s">
        <v>4290</v>
      </c>
      <c r="M537" s="8">
        <v>84727495</v>
      </c>
      <c r="N537" s="8" t="str">
        <f t="shared" ref="N537:N548" si="53">"PEN"</f>
        <v>PEN</v>
      </c>
      <c r="O537" s="13"/>
      <c r="P537" s="13">
        <v>95</v>
      </c>
      <c r="Q537" s="3">
        <f t="shared" ref="Q537:Q548" si="54">+IF(OR($G537="SALDO",$G537="INGRESO"),$P537,0)</f>
        <v>95</v>
      </c>
      <c r="R537" s="3">
        <f t="shared" ref="R537:R548" si="55">+IF($G537="EGRESO",$P537,0)</f>
        <v>0</v>
      </c>
      <c r="S537" s="3">
        <f t="shared" ref="S537:S548" si="56">IFERROR(IF(G537="SALDO",Q537,S536+Q537-R537),0)</f>
        <v>40884.220000000008</v>
      </c>
      <c r="T537" s="24"/>
      <c r="U537" s="24"/>
      <c r="V537" s="3"/>
      <c r="W537" s="19" t="str">
        <f>IFERROR(VLOOKUP(Banco_Nacion[[#This Row],[RESPONSABLE]],Clientes_Proveedores[[Ruc / Dni]:[Razon Social]],2,0),"")</f>
        <v>CARMEN INMUEBLES S.A.</v>
      </c>
      <c r="X537" s="19" t="str">
        <f>IF(Banco_Nacion[[#This Row],[TIPO DE MOV.]]="INGRESO",Banco_Nacion[[#This Row],[SERIE]]&amp;Banco_Nacion[[#This Row],[NUMERO]]&amp;Banco_Nacion[[#This Row],[RESPONSABLE]]&amp;Banco_Nacion[[#This Row],[MONTO ]],"")</f>
        <v>2012078838995</v>
      </c>
      <c r="Y53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84727495</v>
      </c>
      <c r="Z537" s="3"/>
      <c r="AA537" s="3"/>
      <c r="AB537" s="24" t="str">
        <f>IF(Banco_Nacion[[#This Row],[FECHA]]&gt;0,TEXT(Banco_Nacion[[#This Row],[FECHA]],"mmmm"),0)</f>
        <v>Agosto</v>
      </c>
    </row>
    <row r="538" spans="2:28" x14ac:dyDescent="0.3">
      <c r="B538" s="2">
        <f>IF(Banco_Nacion[[#This Row],[TIPO DE R.]]="R",COUNTIFS($D$4:$D537,"R")+1,"")</f>
        <v>534</v>
      </c>
      <c r="C538" s="19" t="str">
        <f t="shared" si="52"/>
        <v>B-Banco de la Nacion</v>
      </c>
      <c r="D538" s="3" t="s">
        <v>1074</v>
      </c>
      <c r="E538" s="14">
        <v>45874</v>
      </c>
      <c r="F538" s="5" t="s">
        <v>4289</v>
      </c>
      <c r="G538" s="5" t="s">
        <v>1087</v>
      </c>
      <c r="H538" s="6" t="s">
        <v>368</v>
      </c>
      <c r="I538" s="6"/>
      <c r="J538" s="6" t="s">
        <v>4289</v>
      </c>
      <c r="K538" s="6" t="s">
        <v>4289</v>
      </c>
      <c r="L538" s="7" t="s">
        <v>4290</v>
      </c>
      <c r="M538" s="8">
        <v>27713554</v>
      </c>
      <c r="N538" s="8" t="str">
        <f t="shared" si="53"/>
        <v>PEN</v>
      </c>
      <c r="O538" s="13"/>
      <c r="P538" s="13">
        <v>1026</v>
      </c>
      <c r="Q538" s="3">
        <f t="shared" si="54"/>
        <v>1026</v>
      </c>
      <c r="R538" s="3">
        <f t="shared" si="55"/>
        <v>0</v>
      </c>
      <c r="S538" s="3">
        <f t="shared" si="56"/>
        <v>41910.220000000008</v>
      </c>
      <c r="T538" s="24"/>
      <c r="U538" s="24"/>
      <c r="V538" s="3"/>
      <c r="W538" s="19" t="str">
        <f>IFERROR(VLOOKUP(Banco_Nacion[[#This Row],[RESPONSABLE]],Clientes_Proveedores[[Ruc / Dni]:[Razon Social]],2,0),"")</f>
        <v/>
      </c>
      <c r="X538" s="19" t="str">
        <f>IF(Banco_Nacion[[#This Row],[TIPO DE MOV.]]="INGRESO",Banco_Nacion[[#This Row],[SERIE]]&amp;Banco_Nacion[[#This Row],[NUMERO]]&amp;Banco_Nacion[[#This Row],[RESPONSABLE]]&amp;Banco_Nacion[[#This Row],[MONTO ]],"")</f>
        <v>1026</v>
      </c>
      <c r="Y53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27713554</v>
      </c>
      <c r="Z538" s="3"/>
      <c r="AA538" s="3"/>
      <c r="AB538" s="24" t="str">
        <f>IF(Banco_Nacion[[#This Row],[FECHA]]&gt;0,TEXT(Banco_Nacion[[#This Row],[FECHA]],"mmmm"),0)</f>
        <v>Agosto</v>
      </c>
    </row>
    <row r="539" spans="2:28" x14ac:dyDescent="0.3">
      <c r="B539" s="2">
        <f>IF(Banco_Nacion[[#This Row],[TIPO DE R.]]="R",COUNTIFS($D$4:$D538,"R")+1,"")</f>
        <v>535</v>
      </c>
      <c r="C539" s="19" t="str">
        <f t="shared" si="52"/>
        <v>B-Banco de la Nacion</v>
      </c>
      <c r="D539" s="3" t="s">
        <v>1074</v>
      </c>
      <c r="E539" s="14">
        <v>45874</v>
      </c>
      <c r="F539" s="5" t="s">
        <v>4289</v>
      </c>
      <c r="G539" s="5" t="s">
        <v>1087</v>
      </c>
      <c r="H539" s="6" t="s">
        <v>368</v>
      </c>
      <c r="I539" s="6"/>
      <c r="J539" s="6" t="s">
        <v>4289</v>
      </c>
      <c r="K539" s="6" t="s">
        <v>4289</v>
      </c>
      <c r="L539" s="7" t="s">
        <v>4290</v>
      </c>
      <c r="M539" s="8">
        <v>27708475</v>
      </c>
      <c r="N539" s="8" t="str">
        <f t="shared" si="53"/>
        <v>PEN</v>
      </c>
      <c r="O539" s="13"/>
      <c r="P539" s="13">
        <v>89</v>
      </c>
      <c r="Q539" s="3">
        <f t="shared" si="54"/>
        <v>89</v>
      </c>
      <c r="R539" s="3">
        <f t="shared" si="55"/>
        <v>0</v>
      </c>
      <c r="S539" s="3">
        <f t="shared" si="56"/>
        <v>41999.220000000008</v>
      </c>
      <c r="T539" s="24"/>
      <c r="U539" s="24"/>
      <c r="V539" s="3"/>
      <c r="W539" s="19" t="str">
        <f>IFERROR(VLOOKUP(Banco_Nacion[[#This Row],[RESPONSABLE]],Clientes_Proveedores[[Ruc / Dni]:[Razon Social]],2,0),"")</f>
        <v/>
      </c>
      <c r="X539" s="19" t="str">
        <f>IF(Banco_Nacion[[#This Row],[TIPO DE MOV.]]="INGRESO",Banco_Nacion[[#This Row],[SERIE]]&amp;Banco_Nacion[[#This Row],[NUMERO]]&amp;Banco_Nacion[[#This Row],[RESPONSABLE]]&amp;Banco_Nacion[[#This Row],[MONTO ]],"")</f>
        <v>89</v>
      </c>
      <c r="Y53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27708475</v>
      </c>
      <c r="Z539" s="3"/>
      <c r="AA539" s="3"/>
      <c r="AB539" s="24" t="str">
        <f>IF(Banco_Nacion[[#This Row],[FECHA]]&gt;0,TEXT(Banco_Nacion[[#This Row],[FECHA]],"mmmm"),0)</f>
        <v>Agosto</v>
      </c>
    </row>
    <row r="540" spans="2:28" x14ac:dyDescent="0.3">
      <c r="B540" s="2">
        <f>IF(Banco_Nacion[[#This Row],[TIPO DE R.]]="R",COUNTIFS($D$4:$D539,"R")+1,"")</f>
        <v>536</v>
      </c>
      <c r="C540" s="19" t="str">
        <f t="shared" si="52"/>
        <v>B-Banco de la Nacion</v>
      </c>
      <c r="D540" s="3" t="s">
        <v>1074</v>
      </c>
      <c r="E540" s="14">
        <v>45874</v>
      </c>
      <c r="F540" s="5" t="s">
        <v>4289</v>
      </c>
      <c r="G540" s="5" t="s">
        <v>1087</v>
      </c>
      <c r="H540" s="6" t="s">
        <v>368</v>
      </c>
      <c r="I540" s="6"/>
      <c r="J540" s="6" t="s">
        <v>4289</v>
      </c>
      <c r="K540" s="6" t="s">
        <v>4289</v>
      </c>
      <c r="L540" s="7" t="s">
        <v>4290</v>
      </c>
      <c r="M540" s="8">
        <v>27708475</v>
      </c>
      <c r="N540" s="8" t="str">
        <f t="shared" si="53"/>
        <v>PEN</v>
      </c>
      <c r="O540" s="13"/>
      <c r="P540" s="13">
        <v>157</v>
      </c>
      <c r="Q540" s="3">
        <f t="shared" si="54"/>
        <v>157</v>
      </c>
      <c r="R540" s="3">
        <f t="shared" si="55"/>
        <v>0</v>
      </c>
      <c r="S540" s="3">
        <f t="shared" si="56"/>
        <v>42156.220000000008</v>
      </c>
      <c r="T540" s="24"/>
      <c r="U540" s="24"/>
      <c r="V540" s="3"/>
      <c r="W540" s="19" t="str">
        <f>IFERROR(VLOOKUP(Banco_Nacion[[#This Row],[RESPONSABLE]],Clientes_Proveedores[[Ruc / Dni]:[Razon Social]],2,0),"")</f>
        <v/>
      </c>
      <c r="X540" s="19" t="str">
        <f>IF(Banco_Nacion[[#This Row],[TIPO DE MOV.]]="INGRESO",Banco_Nacion[[#This Row],[SERIE]]&amp;Banco_Nacion[[#This Row],[NUMERO]]&amp;Banco_Nacion[[#This Row],[RESPONSABLE]]&amp;Banco_Nacion[[#This Row],[MONTO ]],"")</f>
        <v>157</v>
      </c>
      <c r="Y54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27708475</v>
      </c>
      <c r="Z540" s="3"/>
      <c r="AA540" s="3"/>
      <c r="AB540" s="24" t="str">
        <f>IF(Banco_Nacion[[#This Row],[FECHA]]&gt;0,TEXT(Banco_Nacion[[#This Row],[FECHA]],"mmmm"),0)</f>
        <v>Agosto</v>
      </c>
    </row>
    <row r="541" spans="2:28" x14ac:dyDescent="0.3">
      <c r="B541" s="2">
        <f>IF(Banco_Nacion[[#This Row],[TIPO DE R.]]="R",COUNTIFS($D$4:$D540,"R")+1,"")</f>
        <v>537</v>
      </c>
      <c r="C541" s="19" t="str">
        <f t="shared" si="52"/>
        <v>B-Banco de la Nacion</v>
      </c>
      <c r="D541" s="3" t="s">
        <v>1074</v>
      </c>
      <c r="E541" s="14">
        <v>45874</v>
      </c>
      <c r="F541" s="5" t="s">
        <v>4289</v>
      </c>
      <c r="G541" s="5" t="s">
        <v>1087</v>
      </c>
      <c r="H541" s="6" t="s">
        <v>368</v>
      </c>
      <c r="I541" s="6"/>
      <c r="J541" s="6" t="s">
        <v>4289</v>
      </c>
      <c r="K541" s="6" t="s">
        <v>4289</v>
      </c>
      <c r="L541" s="7" t="s">
        <v>4290</v>
      </c>
      <c r="M541" s="8">
        <v>27708475</v>
      </c>
      <c r="N541" s="8" t="str">
        <f t="shared" si="53"/>
        <v>PEN</v>
      </c>
      <c r="O541" s="13"/>
      <c r="P541" s="13">
        <v>98</v>
      </c>
      <c r="Q541" s="3">
        <f t="shared" si="54"/>
        <v>98</v>
      </c>
      <c r="R541" s="3">
        <f t="shared" si="55"/>
        <v>0</v>
      </c>
      <c r="S541" s="3">
        <f t="shared" si="56"/>
        <v>42254.220000000008</v>
      </c>
      <c r="T541" s="24"/>
      <c r="U541" s="24"/>
      <c r="V541" s="3"/>
      <c r="W541" s="19" t="str">
        <f>IFERROR(VLOOKUP(Banco_Nacion[[#This Row],[RESPONSABLE]],Clientes_Proveedores[[Ruc / Dni]:[Razon Social]],2,0),"")</f>
        <v/>
      </c>
      <c r="X541" s="19" t="str">
        <f>IF(Banco_Nacion[[#This Row],[TIPO DE MOV.]]="INGRESO",Banco_Nacion[[#This Row],[SERIE]]&amp;Banco_Nacion[[#This Row],[NUMERO]]&amp;Banco_Nacion[[#This Row],[RESPONSABLE]]&amp;Banco_Nacion[[#This Row],[MONTO ]],"")</f>
        <v>98</v>
      </c>
      <c r="Y54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27708475</v>
      </c>
      <c r="Z541" s="3"/>
      <c r="AA541" s="3"/>
      <c r="AB541" s="24" t="str">
        <f>IF(Banco_Nacion[[#This Row],[FECHA]]&gt;0,TEXT(Banco_Nacion[[#This Row],[FECHA]],"mmmm"),0)</f>
        <v>Agosto</v>
      </c>
    </row>
    <row r="542" spans="2:28" x14ac:dyDescent="0.3">
      <c r="B542" s="2">
        <f>IF(Banco_Nacion[[#This Row],[TIPO DE R.]]="R",COUNTIFS($D$4:$D541,"R")+1,"")</f>
        <v>538</v>
      </c>
      <c r="C542" s="19" t="str">
        <f t="shared" si="52"/>
        <v>B-Banco de la Nacion</v>
      </c>
      <c r="D542" s="3" t="s">
        <v>1074</v>
      </c>
      <c r="E542" s="14">
        <v>45874</v>
      </c>
      <c r="F542" s="5" t="s">
        <v>4289</v>
      </c>
      <c r="G542" s="5" t="s">
        <v>1087</v>
      </c>
      <c r="H542" s="6" t="s">
        <v>368</v>
      </c>
      <c r="I542" s="6"/>
      <c r="J542" s="6" t="s">
        <v>4289</v>
      </c>
      <c r="K542" s="6" t="s">
        <v>4289</v>
      </c>
      <c r="L542" s="7" t="s">
        <v>4290</v>
      </c>
      <c r="M542" s="8">
        <v>27708474</v>
      </c>
      <c r="N542" s="8" t="str">
        <f t="shared" si="53"/>
        <v>PEN</v>
      </c>
      <c r="O542" s="13"/>
      <c r="P542" s="13">
        <v>62</v>
      </c>
      <c r="Q542" s="3">
        <f t="shared" si="54"/>
        <v>62</v>
      </c>
      <c r="R542" s="3">
        <f t="shared" si="55"/>
        <v>0</v>
      </c>
      <c r="S542" s="3">
        <f t="shared" si="56"/>
        <v>42316.220000000008</v>
      </c>
      <c r="T542" s="24"/>
      <c r="U542" s="24"/>
      <c r="V542" s="3"/>
      <c r="W542" s="19" t="str">
        <f>IFERROR(VLOOKUP(Banco_Nacion[[#This Row],[RESPONSABLE]],Clientes_Proveedores[[Ruc / Dni]:[Razon Social]],2,0),"")</f>
        <v/>
      </c>
      <c r="X542" s="19" t="str">
        <f>IF(Banco_Nacion[[#This Row],[TIPO DE MOV.]]="INGRESO",Banco_Nacion[[#This Row],[SERIE]]&amp;Banco_Nacion[[#This Row],[NUMERO]]&amp;Banco_Nacion[[#This Row],[RESPONSABLE]]&amp;Banco_Nacion[[#This Row],[MONTO ]],"")</f>
        <v>62</v>
      </c>
      <c r="Y54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27708474</v>
      </c>
      <c r="Z542" s="3"/>
      <c r="AA542" s="3"/>
      <c r="AB542" s="24" t="str">
        <f>IF(Banco_Nacion[[#This Row],[FECHA]]&gt;0,TEXT(Banco_Nacion[[#This Row],[FECHA]],"mmmm"),0)</f>
        <v>Agosto</v>
      </c>
    </row>
    <row r="543" spans="2:28" x14ac:dyDescent="0.3">
      <c r="B543" s="2">
        <f>IF(Banco_Nacion[[#This Row],[TIPO DE R.]]="R",COUNTIFS($D$4:$D542,"R")+1,"")</f>
        <v>539</v>
      </c>
      <c r="C543" s="19" t="str">
        <f t="shared" si="52"/>
        <v>B-Banco de la Nacion</v>
      </c>
      <c r="D543" s="3" t="s">
        <v>1074</v>
      </c>
      <c r="E543" s="14">
        <v>45874</v>
      </c>
      <c r="F543" s="5" t="s">
        <v>4289</v>
      </c>
      <c r="G543" s="5" t="s">
        <v>1087</v>
      </c>
      <c r="H543" s="6" t="s">
        <v>368</v>
      </c>
      <c r="I543" s="6"/>
      <c r="J543" s="6" t="s">
        <v>4289</v>
      </c>
      <c r="K543" s="6" t="s">
        <v>4289</v>
      </c>
      <c r="L543" s="7" t="s">
        <v>4290</v>
      </c>
      <c r="M543" s="8">
        <v>27708474</v>
      </c>
      <c r="N543" s="8" t="str">
        <f t="shared" si="53"/>
        <v>PEN</v>
      </c>
      <c r="O543" s="13"/>
      <c r="P543" s="13">
        <v>72</v>
      </c>
      <c r="Q543" s="3">
        <f t="shared" si="54"/>
        <v>72</v>
      </c>
      <c r="R543" s="3">
        <f t="shared" si="55"/>
        <v>0</v>
      </c>
      <c r="S543" s="3">
        <f t="shared" si="56"/>
        <v>42388.220000000008</v>
      </c>
      <c r="T543" s="24"/>
      <c r="U543" s="24"/>
      <c r="V543" s="3"/>
      <c r="W543" s="19" t="str">
        <f>IFERROR(VLOOKUP(Banco_Nacion[[#This Row],[RESPONSABLE]],Clientes_Proveedores[[Ruc / Dni]:[Razon Social]],2,0),"")</f>
        <v/>
      </c>
      <c r="X543" s="19" t="str">
        <f>IF(Banco_Nacion[[#This Row],[TIPO DE MOV.]]="INGRESO",Banco_Nacion[[#This Row],[SERIE]]&amp;Banco_Nacion[[#This Row],[NUMERO]]&amp;Banco_Nacion[[#This Row],[RESPONSABLE]]&amp;Banco_Nacion[[#This Row],[MONTO ]],"")</f>
        <v>72</v>
      </c>
      <c r="Y54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27708474</v>
      </c>
      <c r="Z543" s="3"/>
      <c r="AA543" s="3"/>
      <c r="AB543" s="24" t="str">
        <f>IF(Banco_Nacion[[#This Row],[FECHA]]&gt;0,TEXT(Banco_Nacion[[#This Row],[FECHA]],"mmmm"),0)</f>
        <v>Agosto</v>
      </c>
    </row>
    <row r="544" spans="2:28" x14ac:dyDescent="0.3">
      <c r="B544" s="2">
        <f>IF(Banco_Nacion[[#This Row],[TIPO DE R.]]="R",COUNTIFS($D$4:$D543,"R")+1,"")</f>
        <v>540</v>
      </c>
      <c r="C544" s="19" t="str">
        <f t="shared" si="52"/>
        <v>B-Banco de la Nacion</v>
      </c>
      <c r="D544" s="3" t="s">
        <v>1074</v>
      </c>
      <c r="E544" s="14">
        <v>45874</v>
      </c>
      <c r="F544" s="5" t="s">
        <v>4289</v>
      </c>
      <c r="G544" s="5" t="s">
        <v>1087</v>
      </c>
      <c r="H544" s="6" t="s">
        <v>368</v>
      </c>
      <c r="I544" s="6"/>
      <c r="J544" s="6" t="s">
        <v>4289</v>
      </c>
      <c r="K544" s="6" t="s">
        <v>4289</v>
      </c>
      <c r="L544" s="7" t="s">
        <v>4290</v>
      </c>
      <c r="M544" s="8">
        <v>27708474</v>
      </c>
      <c r="N544" s="8" t="str">
        <f t="shared" si="53"/>
        <v>PEN</v>
      </c>
      <c r="O544" s="13"/>
      <c r="P544" s="13">
        <v>89</v>
      </c>
      <c r="Q544" s="3">
        <f t="shared" si="54"/>
        <v>89</v>
      </c>
      <c r="R544" s="3">
        <f t="shared" si="55"/>
        <v>0</v>
      </c>
      <c r="S544" s="3">
        <f t="shared" si="56"/>
        <v>42477.220000000008</v>
      </c>
      <c r="T544" s="24"/>
      <c r="U544" s="24"/>
      <c r="V544" s="3"/>
      <c r="W544" s="19" t="str">
        <f>IFERROR(VLOOKUP(Banco_Nacion[[#This Row],[RESPONSABLE]],Clientes_Proveedores[[Ruc / Dni]:[Razon Social]],2,0),"")</f>
        <v/>
      </c>
      <c r="X544" s="19" t="str">
        <f>IF(Banco_Nacion[[#This Row],[TIPO DE MOV.]]="INGRESO",Banco_Nacion[[#This Row],[SERIE]]&amp;Banco_Nacion[[#This Row],[NUMERO]]&amp;Banco_Nacion[[#This Row],[RESPONSABLE]]&amp;Banco_Nacion[[#This Row],[MONTO ]],"")</f>
        <v>89</v>
      </c>
      <c r="Y54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27708474</v>
      </c>
      <c r="Z544" s="3"/>
      <c r="AA544" s="3"/>
      <c r="AB544" s="24" t="str">
        <f>IF(Banco_Nacion[[#This Row],[FECHA]]&gt;0,TEXT(Banco_Nacion[[#This Row],[FECHA]],"mmmm"),0)</f>
        <v>Agosto</v>
      </c>
    </row>
    <row r="545" spans="2:28" x14ac:dyDescent="0.3">
      <c r="B545" s="2">
        <f>IF(Banco_Nacion[[#This Row],[TIPO DE R.]]="R",COUNTIFS($D$4:$D544,"R")+1,"")</f>
        <v>541</v>
      </c>
      <c r="C545" s="19" t="str">
        <f t="shared" si="52"/>
        <v>B-Banco de la Nacion</v>
      </c>
      <c r="D545" s="3" t="s">
        <v>1074</v>
      </c>
      <c r="E545" s="14">
        <v>45874</v>
      </c>
      <c r="F545" s="5" t="s">
        <v>4289</v>
      </c>
      <c r="G545" s="5" t="s">
        <v>1087</v>
      </c>
      <c r="H545" s="6" t="s">
        <v>368</v>
      </c>
      <c r="I545" s="6"/>
      <c r="J545" s="6" t="s">
        <v>4289</v>
      </c>
      <c r="K545" s="6" t="s">
        <v>4289</v>
      </c>
      <c r="L545" s="7" t="s">
        <v>4290</v>
      </c>
      <c r="M545" s="8">
        <v>27708474</v>
      </c>
      <c r="N545" s="8" t="str">
        <f t="shared" si="53"/>
        <v>PEN</v>
      </c>
      <c r="O545" s="13"/>
      <c r="P545" s="13">
        <v>53</v>
      </c>
      <c r="Q545" s="3">
        <f t="shared" si="54"/>
        <v>53</v>
      </c>
      <c r="R545" s="3">
        <f t="shared" si="55"/>
        <v>0</v>
      </c>
      <c r="S545" s="3">
        <f t="shared" si="56"/>
        <v>42530.220000000008</v>
      </c>
      <c r="T545" s="24"/>
      <c r="U545" s="24"/>
      <c r="V545" s="3"/>
      <c r="W545" s="19" t="str">
        <f>IFERROR(VLOOKUP(Banco_Nacion[[#This Row],[RESPONSABLE]],Clientes_Proveedores[[Ruc / Dni]:[Razon Social]],2,0),"")</f>
        <v/>
      </c>
      <c r="X545" s="19" t="str">
        <f>IF(Banco_Nacion[[#This Row],[TIPO DE MOV.]]="INGRESO",Banco_Nacion[[#This Row],[SERIE]]&amp;Banco_Nacion[[#This Row],[NUMERO]]&amp;Banco_Nacion[[#This Row],[RESPONSABLE]]&amp;Banco_Nacion[[#This Row],[MONTO ]],"")</f>
        <v>53</v>
      </c>
      <c r="Y54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27708474</v>
      </c>
      <c r="Z545" s="3"/>
      <c r="AA545" s="3"/>
      <c r="AB545" s="24" t="str">
        <f>IF(Banco_Nacion[[#This Row],[FECHA]]&gt;0,TEXT(Banco_Nacion[[#This Row],[FECHA]],"mmmm"),0)</f>
        <v>Agosto</v>
      </c>
    </row>
    <row r="546" spans="2:28" x14ac:dyDescent="0.3">
      <c r="B546" s="2">
        <f>IF(Banco_Nacion[[#This Row],[TIPO DE R.]]="R",COUNTIFS($D$4:$D545,"R")+1,"")</f>
        <v>542</v>
      </c>
      <c r="C546" s="19" t="str">
        <f t="shared" si="52"/>
        <v>B-Banco de la Nacion</v>
      </c>
      <c r="D546" s="3" t="s">
        <v>1074</v>
      </c>
      <c r="E546" s="14">
        <v>45874</v>
      </c>
      <c r="F546" s="5" t="s">
        <v>4289</v>
      </c>
      <c r="G546" s="5" t="s">
        <v>1087</v>
      </c>
      <c r="H546" s="6" t="s">
        <v>368</v>
      </c>
      <c r="I546" s="6"/>
      <c r="J546" s="6" t="s">
        <v>4289</v>
      </c>
      <c r="K546" s="6" t="s">
        <v>4289</v>
      </c>
      <c r="L546" s="7" t="s">
        <v>4290</v>
      </c>
      <c r="M546" s="8">
        <v>27708474</v>
      </c>
      <c r="N546" s="8" t="str">
        <f t="shared" si="53"/>
        <v>PEN</v>
      </c>
      <c r="O546" s="13"/>
      <c r="P546" s="13">
        <v>113</v>
      </c>
      <c r="Q546" s="3">
        <f t="shared" si="54"/>
        <v>113</v>
      </c>
      <c r="R546" s="3">
        <f t="shared" si="55"/>
        <v>0</v>
      </c>
      <c r="S546" s="3">
        <f t="shared" si="56"/>
        <v>42643.220000000008</v>
      </c>
      <c r="T546" s="24"/>
      <c r="U546" s="24"/>
      <c r="V546" s="3"/>
      <c r="W546" s="19" t="str">
        <f>IFERROR(VLOOKUP(Banco_Nacion[[#This Row],[RESPONSABLE]],Clientes_Proveedores[[Ruc / Dni]:[Razon Social]],2,0),"")</f>
        <v/>
      </c>
      <c r="X546" s="19" t="str">
        <f>IF(Banco_Nacion[[#This Row],[TIPO DE MOV.]]="INGRESO",Banco_Nacion[[#This Row],[SERIE]]&amp;Banco_Nacion[[#This Row],[NUMERO]]&amp;Banco_Nacion[[#This Row],[RESPONSABLE]]&amp;Banco_Nacion[[#This Row],[MONTO ]],"")</f>
        <v>113</v>
      </c>
      <c r="Y54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27708474</v>
      </c>
      <c r="Z546" s="3"/>
      <c r="AA546" s="3"/>
      <c r="AB546" s="24" t="str">
        <f>IF(Banco_Nacion[[#This Row],[FECHA]]&gt;0,TEXT(Banco_Nacion[[#This Row],[FECHA]],"mmmm"),0)</f>
        <v>Agosto</v>
      </c>
    </row>
    <row r="547" spans="2:28" x14ac:dyDescent="0.3">
      <c r="B547" s="2">
        <f>IF(Banco_Nacion[[#This Row],[TIPO DE R.]]="R",COUNTIFS($D$4:$D546,"R")+1,"")</f>
        <v>543</v>
      </c>
      <c r="C547" s="19" t="str">
        <f t="shared" si="52"/>
        <v>B-Banco de la Nacion</v>
      </c>
      <c r="D547" s="3" t="s">
        <v>1074</v>
      </c>
      <c r="E547" s="14">
        <v>45874</v>
      </c>
      <c r="F547" s="5" t="s">
        <v>4289</v>
      </c>
      <c r="G547" s="5" t="s">
        <v>1087</v>
      </c>
      <c r="H547" s="6" t="s">
        <v>368</v>
      </c>
      <c r="I547" s="6"/>
      <c r="J547" s="6" t="s">
        <v>4289</v>
      </c>
      <c r="K547" s="6" t="s">
        <v>4289</v>
      </c>
      <c r="L547" s="7" t="s">
        <v>4290</v>
      </c>
      <c r="M547" s="8">
        <v>27708474</v>
      </c>
      <c r="N547" s="8" t="str">
        <f t="shared" si="53"/>
        <v>PEN</v>
      </c>
      <c r="O547" s="13"/>
      <c r="P547" s="13">
        <v>28</v>
      </c>
      <c r="Q547" s="3">
        <f t="shared" si="54"/>
        <v>28</v>
      </c>
      <c r="R547" s="3">
        <f t="shared" si="55"/>
        <v>0</v>
      </c>
      <c r="S547" s="3">
        <f t="shared" si="56"/>
        <v>42671.220000000008</v>
      </c>
      <c r="T547" s="24"/>
      <c r="U547" s="24"/>
      <c r="V547" s="3"/>
      <c r="W547" s="19" t="str">
        <f>IFERROR(VLOOKUP(Banco_Nacion[[#This Row],[RESPONSABLE]],Clientes_Proveedores[[Ruc / Dni]:[Razon Social]],2,0),"")</f>
        <v/>
      </c>
      <c r="X547" s="19" t="str">
        <f>IF(Banco_Nacion[[#This Row],[TIPO DE MOV.]]="INGRESO",Banco_Nacion[[#This Row],[SERIE]]&amp;Banco_Nacion[[#This Row],[NUMERO]]&amp;Banco_Nacion[[#This Row],[RESPONSABLE]]&amp;Banco_Nacion[[#This Row],[MONTO ]],"")</f>
        <v>28</v>
      </c>
      <c r="Y54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27708474</v>
      </c>
      <c r="Z547" s="3"/>
      <c r="AA547" s="3"/>
      <c r="AB547" s="24" t="str">
        <f>IF(Banco_Nacion[[#This Row],[FECHA]]&gt;0,TEXT(Banco_Nacion[[#This Row],[FECHA]],"mmmm"),0)</f>
        <v>Agosto</v>
      </c>
    </row>
    <row r="548" spans="2:28" x14ac:dyDescent="0.3">
      <c r="B548" s="2">
        <f>IF(Banco_Nacion[[#This Row],[TIPO DE R.]]="R",COUNTIFS($D$4:$D547,"R")+1,"")</f>
        <v>544</v>
      </c>
      <c r="C548" s="19" t="str">
        <f t="shared" si="52"/>
        <v>B-Banco de la Nacion</v>
      </c>
      <c r="D548" s="3" t="s">
        <v>1074</v>
      </c>
      <c r="E548" s="14">
        <v>45874</v>
      </c>
      <c r="F548" s="5" t="s">
        <v>4289</v>
      </c>
      <c r="G548" s="5" t="s">
        <v>1087</v>
      </c>
      <c r="H548" s="6" t="s">
        <v>368</v>
      </c>
      <c r="I548" s="6"/>
      <c r="J548" s="6" t="s">
        <v>4289</v>
      </c>
      <c r="K548" s="6" t="s">
        <v>4289</v>
      </c>
      <c r="L548" s="7" t="s">
        <v>4290</v>
      </c>
      <c r="M548" s="8">
        <v>27708271</v>
      </c>
      <c r="N548" s="8" t="str">
        <f t="shared" si="53"/>
        <v>PEN</v>
      </c>
      <c r="O548" s="13"/>
      <c r="P548" s="13">
        <v>97</v>
      </c>
      <c r="Q548" s="3">
        <f t="shared" si="54"/>
        <v>97</v>
      </c>
      <c r="R548" s="3">
        <f t="shared" si="55"/>
        <v>0</v>
      </c>
      <c r="S548" s="3">
        <f t="shared" si="56"/>
        <v>42768.220000000008</v>
      </c>
      <c r="T548" s="24"/>
      <c r="U548" s="24"/>
      <c r="V548" s="3"/>
      <c r="W548" s="19" t="str">
        <f>IFERROR(VLOOKUP(Banco_Nacion[[#This Row],[RESPONSABLE]],Clientes_Proveedores[[Ruc / Dni]:[Razon Social]],2,0),"")</f>
        <v/>
      </c>
      <c r="X548" s="19" t="str">
        <f>IF(Banco_Nacion[[#This Row],[TIPO DE MOV.]]="INGRESO",Banco_Nacion[[#This Row],[SERIE]]&amp;Banco_Nacion[[#This Row],[NUMERO]]&amp;Banco_Nacion[[#This Row],[RESPONSABLE]]&amp;Banco_Nacion[[#This Row],[MONTO ]],"")</f>
        <v>97</v>
      </c>
      <c r="Y54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27708271</v>
      </c>
      <c r="Z548" s="3"/>
      <c r="AA548" s="3"/>
      <c r="AB548" s="24" t="str">
        <f>IF(Banco_Nacion[[#This Row],[FECHA]]&gt;0,TEXT(Banco_Nacion[[#This Row],[FECHA]],"mmmm"),0)</f>
        <v>Agosto</v>
      </c>
    </row>
    <row r="549" spans="2:28" x14ac:dyDescent="0.3">
      <c r="B549" s="2">
        <f>IF(Banco_Nacion[[#This Row],[TIPO DE R.]]="R",COUNTIFS($D$4:$D548,"R")+1,"")</f>
        <v>545</v>
      </c>
      <c r="C549" s="19" t="str">
        <f t="shared" ref="C549:C585" si="57">"B-Banco de la Nacion"</f>
        <v>B-Banco de la Nacion</v>
      </c>
      <c r="D549" s="3" t="s">
        <v>1074</v>
      </c>
      <c r="E549" s="14">
        <v>45876</v>
      </c>
      <c r="F549" s="5">
        <v>20100192064</v>
      </c>
      <c r="G549" s="5" t="s">
        <v>1087</v>
      </c>
      <c r="H549" s="6"/>
      <c r="I549" s="6"/>
      <c r="J549" s="6"/>
      <c r="K549" s="6"/>
      <c r="L549" s="7" t="s">
        <v>4290</v>
      </c>
      <c r="M549" s="8">
        <v>84936346</v>
      </c>
      <c r="N549" s="8" t="str">
        <f t="shared" ref="N549:N585" si="58">"PEN"</f>
        <v>PEN</v>
      </c>
      <c r="O549" s="13"/>
      <c r="P549" s="13">
        <v>888</v>
      </c>
      <c r="Q549" s="3">
        <f t="shared" ref="Q549:Q585" si="59">+IF(OR($G549="SALDO",$G549="INGRESO"),$P549,0)</f>
        <v>888</v>
      </c>
      <c r="R549" s="3">
        <f t="shared" ref="R549:R585" si="60">+IF($G549="EGRESO",$P549,0)</f>
        <v>0</v>
      </c>
      <c r="S549" s="3">
        <f t="shared" ref="S549:S585" si="61">IFERROR(IF(G549="SALDO",Q549,S548+Q549-R549),0)</f>
        <v>43656.220000000008</v>
      </c>
      <c r="T549" s="24"/>
      <c r="U549" s="24"/>
      <c r="V549" s="3"/>
      <c r="W549" s="19" t="str">
        <f>IFERROR(VLOOKUP(Banco_Nacion[[#This Row],[RESPONSABLE]],Clientes_Proveedores[[Ruc / Dni]:[Razon Social]],2,0),"")</f>
        <v>MOLY-COP ADESUR S.A</v>
      </c>
      <c r="X549" s="19" t="str">
        <f>IF(Banco_Nacion[[#This Row],[TIPO DE MOV.]]="INGRESO",Banco_Nacion[[#This Row],[SERIE]]&amp;Banco_Nacion[[#This Row],[NUMERO]]&amp;Banco_Nacion[[#This Row],[RESPONSABLE]]&amp;Banco_Nacion[[#This Row],[MONTO ]],"")</f>
        <v>20100192064888</v>
      </c>
      <c r="Y54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84936346</v>
      </c>
      <c r="Z549" s="3"/>
      <c r="AA549" s="3"/>
      <c r="AB549" s="24" t="str">
        <f>IF(Banco_Nacion[[#This Row],[FECHA]]&gt;0,TEXT(Banco_Nacion[[#This Row],[FECHA]],"mmmm"),0)</f>
        <v>Agosto</v>
      </c>
    </row>
    <row r="550" spans="2:28" x14ac:dyDescent="0.3">
      <c r="B550" s="2">
        <f>IF(Banco_Nacion[[#This Row],[TIPO DE R.]]="R",COUNTIFS($D$4:$D549,"R")+1,"")</f>
        <v>546</v>
      </c>
      <c r="C550" s="19" t="str">
        <f t="shared" si="57"/>
        <v>B-Banco de la Nacion</v>
      </c>
      <c r="D550" s="3" t="s">
        <v>1074</v>
      </c>
      <c r="E550" s="14">
        <v>45876</v>
      </c>
      <c r="F550" s="5">
        <v>20100192064</v>
      </c>
      <c r="G550" s="5" t="s">
        <v>1087</v>
      </c>
      <c r="H550" s="6"/>
      <c r="I550" s="6"/>
      <c r="J550" s="6"/>
      <c r="K550" s="6"/>
      <c r="L550" s="7" t="s">
        <v>4290</v>
      </c>
      <c r="M550" s="8">
        <v>84936344</v>
      </c>
      <c r="N550" s="8" t="str">
        <f t="shared" si="58"/>
        <v>PEN</v>
      </c>
      <c r="O550" s="13"/>
      <c r="P550" s="13">
        <v>1476</v>
      </c>
      <c r="Q550" s="3">
        <f t="shared" si="59"/>
        <v>1476</v>
      </c>
      <c r="R550" s="3">
        <f t="shared" si="60"/>
        <v>0</v>
      </c>
      <c r="S550" s="3">
        <f t="shared" si="61"/>
        <v>45132.220000000008</v>
      </c>
      <c r="T550" s="24"/>
      <c r="U550" s="24"/>
      <c r="V550" s="3"/>
      <c r="W550" s="19" t="str">
        <f>IFERROR(VLOOKUP(Banco_Nacion[[#This Row],[RESPONSABLE]],Clientes_Proveedores[[Ruc / Dni]:[Razon Social]],2,0),"")</f>
        <v>MOLY-COP ADESUR S.A</v>
      </c>
      <c r="X550" s="19" t="str">
        <f>IF(Banco_Nacion[[#This Row],[TIPO DE MOV.]]="INGRESO",Banco_Nacion[[#This Row],[SERIE]]&amp;Banco_Nacion[[#This Row],[NUMERO]]&amp;Banco_Nacion[[#This Row],[RESPONSABLE]]&amp;Banco_Nacion[[#This Row],[MONTO ]],"")</f>
        <v>201001920641476</v>
      </c>
      <c r="Y55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84936344</v>
      </c>
      <c r="Z550" s="3"/>
      <c r="AA550" s="3"/>
      <c r="AB550" s="24" t="str">
        <f>IF(Banco_Nacion[[#This Row],[FECHA]]&gt;0,TEXT(Banco_Nacion[[#This Row],[FECHA]],"mmmm"),0)</f>
        <v>Agosto</v>
      </c>
    </row>
    <row r="551" spans="2:28" x14ac:dyDescent="0.3">
      <c r="B551" s="2">
        <f>IF(Banco_Nacion[[#This Row],[TIPO DE R.]]="R",COUNTIFS($D$4:$D550,"R")+1,"")</f>
        <v>547</v>
      </c>
      <c r="C551" s="19" t="str">
        <f t="shared" si="57"/>
        <v>B-Banco de la Nacion</v>
      </c>
      <c r="D551" s="3" t="s">
        <v>1074</v>
      </c>
      <c r="E551" s="14">
        <v>45877</v>
      </c>
      <c r="F551" s="5">
        <v>20206432692</v>
      </c>
      <c r="G551" s="5" t="s">
        <v>1087</v>
      </c>
      <c r="H551" s="6"/>
      <c r="I551" s="6"/>
      <c r="J551" s="6"/>
      <c r="K551" s="6"/>
      <c r="L551" s="7" t="s">
        <v>4290</v>
      </c>
      <c r="M551" s="8">
        <v>85204902</v>
      </c>
      <c r="N551" s="8" t="str">
        <f t="shared" si="58"/>
        <v>PEN</v>
      </c>
      <c r="O551" s="13"/>
      <c r="P551" s="13">
        <v>56</v>
      </c>
      <c r="Q551" s="3">
        <f t="shared" si="59"/>
        <v>56</v>
      </c>
      <c r="R551" s="3">
        <f t="shared" si="60"/>
        <v>0</v>
      </c>
      <c r="S551" s="3">
        <f t="shared" si="61"/>
        <v>45188.220000000008</v>
      </c>
      <c r="T551" s="24"/>
      <c r="U551" s="24"/>
      <c r="V551" s="3"/>
      <c r="W551" s="19" t="str">
        <f>IFERROR(VLOOKUP(Banco_Nacion[[#This Row],[RESPONSABLE]],Clientes_Proveedores[[Ruc / Dni]:[Razon Social]],2,0),"")</f>
        <v>LATINOAMERICANA EIR LTDA</v>
      </c>
      <c r="X551" s="19" t="str">
        <f>IF(Banco_Nacion[[#This Row],[TIPO DE MOV.]]="INGRESO",Banco_Nacion[[#This Row],[SERIE]]&amp;Banco_Nacion[[#This Row],[NUMERO]]&amp;Banco_Nacion[[#This Row],[RESPONSABLE]]&amp;Banco_Nacion[[#This Row],[MONTO ]],"")</f>
        <v>2020643269256</v>
      </c>
      <c r="Y55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85204902</v>
      </c>
      <c r="Z551" s="3"/>
      <c r="AA551" s="3"/>
      <c r="AB551" s="24" t="str">
        <f>IF(Banco_Nacion[[#This Row],[FECHA]]&gt;0,TEXT(Banco_Nacion[[#This Row],[FECHA]],"mmmm"),0)</f>
        <v>Agosto</v>
      </c>
    </row>
    <row r="552" spans="2:28" x14ac:dyDescent="0.3">
      <c r="B552" s="2">
        <f>IF(Banco_Nacion[[#This Row],[TIPO DE R.]]="R",COUNTIFS($D$4:$D551,"R")+1,"")</f>
        <v>548</v>
      </c>
      <c r="C552" s="19" t="str">
        <f t="shared" si="57"/>
        <v>B-Banco de la Nacion</v>
      </c>
      <c r="D552" s="3" t="s">
        <v>1074</v>
      </c>
      <c r="E552" s="14">
        <v>45877</v>
      </c>
      <c r="F552" s="5">
        <v>20206432692</v>
      </c>
      <c r="G552" s="5" t="s">
        <v>1087</v>
      </c>
      <c r="H552" s="6"/>
      <c r="I552" s="6"/>
      <c r="J552" s="6"/>
      <c r="K552" s="6"/>
      <c r="L552" s="7" t="s">
        <v>4290</v>
      </c>
      <c r="M552" s="8">
        <v>85204898</v>
      </c>
      <c r="N552" s="8" t="str">
        <f t="shared" si="58"/>
        <v>PEN</v>
      </c>
      <c r="O552" s="13"/>
      <c r="P552" s="13">
        <v>68</v>
      </c>
      <c r="Q552" s="3">
        <f t="shared" si="59"/>
        <v>68</v>
      </c>
      <c r="R552" s="3">
        <f t="shared" si="60"/>
        <v>0</v>
      </c>
      <c r="S552" s="3">
        <f t="shared" si="61"/>
        <v>45256.220000000008</v>
      </c>
      <c r="T552" s="24"/>
      <c r="U552" s="24"/>
      <c r="V552" s="3"/>
      <c r="W552" s="19" t="str">
        <f>IFERROR(VLOOKUP(Banco_Nacion[[#This Row],[RESPONSABLE]],Clientes_Proveedores[[Ruc / Dni]:[Razon Social]],2,0),"")</f>
        <v>LATINOAMERICANA EIR LTDA</v>
      </c>
      <c r="X552" s="19" t="str">
        <f>IF(Banco_Nacion[[#This Row],[TIPO DE MOV.]]="INGRESO",Banco_Nacion[[#This Row],[SERIE]]&amp;Banco_Nacion[[#This Row],[NUMERO]]&amp;Banco_Nacion[[#This Row],[RESPONSABLE]]&amp;Banco_Nacion[[#This Row],[MONTO ]],"")</f>
        <v>2020643269268</v>
      </c>
      <c r="Y55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85204898</v>
      </c>
      <c r="Z552" s="3"/>
      <c r="AA552" s="3"/>
      <c r="AB552" s="24" t="str">
        <f>IF(Banco_Nacion[[#This Row],[FECHA]]&gt;0,TEXT(Banco_Nacion[[#This Row],[FECHA]],"mmmm"),0)</f>
        <v>Agosto</v>
      </c>
    </row>
    <row r="553" spans="2:28" x14ac:dyDescent="0.3">
      <c r="B553" s="2">
        <f>IF(Banco_Nacion[[#This Row],[TIPO DE R.]]="R",COUNTIFS($D$4:$D552,"R")+1,"")</f>
        <v>549</v>
      </c>
      <c r="C553" s="19" t="str">
        <f t="shared" si="57"/>
        <v>B-Banco de la Nacion</v>
      </c>
      <c r="D553" s="3" t="s">
        <v>1074</v>
      </c>
      <c r="E553" s="14">
        <v>45877</v>
      </c>
      <c r="F553" s="5">
        <v>20402885549</v>
      </c>
      <c r="G553" s="5" t="s">
        <v>1087</v>
      </c>
      <c r="H553" s="6"/>
      <c r="I553" s="6"/>
      <c r="J553" s="6"/>
      <c r="K553" s="6"/>
      <c r="L553" s="7" t="s">
        <v>4290</v>
      </c>
      <c r="M553" s="8">
        <v>85130689</v>
      </c>
      <c r="N553" s="8" t="str">
        <f t="shared" si="58"/>
        <v>PEN</v>
      </c>
      <c r="O553" s="13"/>
      <c r="P553" s="13">
        <v>4000</v>
      </c>
      <c r="Q553" s="3">
        <f t="shared" si="59"/>
        <v>4000</v>
      </c>
      <c r="R553" s="3">
        <f t="shared" si="60"/>
        <v>0</v>
      </c>
      <c r="S553" s="3">
        <f t="shared" si="61"/>
        <v>49256.220000000008</v>
      </c>
      <c r="T553" s="24"/>
      <c r="U553" s="24"/>
      <c r="V553" s="3"/>
      <c r="W553" s="19" t="str">
        <f>IFERROR(VLOOKUP(Banco_Nacion[[#This Row],[RESPONSABLE]],Clientes_Proveedores[[Ruc / Dni]:[Razon Social]],2,0),"")</f>
        <v>EMPRESA SIDERURGICA DEL PERU S.A.A.</v>
      </c>
      <c r="X553" s="19" t="str">
        <f>IF(Banco_Nacion[[#This Row],[TIPO DE MOV.]]="INGRESO",Banco_Nacion[[#This Row],[SERIE]]&amp;Banco_Nacion[[#This Row],[NUMERO]]&amp;Banco_Nacion[[#This Row],[RESPONSABLE]]&amp;Banco_Nacion[[#This Row],[MONTO ]],"")</f>
        <v>204028855494000</v>
      </c>
      <c r="Y55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85130689</v>
      </c>
      <c r="Z553" s="3"/>
      <c r="AA553" s="3"/>
      <c r="AB553" s="24" t="str">
        <f>IF(Banco_Nacion[[#This Row],[FECHA]]&gt;0,TEXT(Banco_Nacion[[#This Row],[FECHA]],"mmmm"),0)</f>
        <v>Agosto</v>
      </c>
    </row>
    <row r="554" spans="2:28" x14ac:dyDescent="0.3">
      <c r="B554" s="2">
        <f>IF(Banco_Nacion[[#This Row],[TIPO DE R.]]="R",COUNTIFS($D$4:$D553,"R")+1,"")</f>
        <v>550</v>
      </c>
      <c r="C554" s="19" t="str">
        <f t="shared" si="57"/>
        <v>B-Banco de la Nacion</v>
      </c>
      <c r="D554" s="3" t="s">
        <v>1074</v>
      </c>
      <c r="E554" s="14">
        <v>45877</v>
      </c>
      <c r="F554" s="5">
        <v>20603065906</v>
      </c>
      <c r="G554" s="5" t="s">
        <v>1087</v>
      </c>
      <c r="H554" s="6"/>
      <c r="I554" s="6"/>
      <c r="J554" s="6"/>
      <c r="K554" s="6"/>
      <c r="L554" s="7" t="s">
        <v>4290</v>
      </c>
      <c r="M554" s="8">
        <v>85102790</v>
      </c>
      <c r="N554" s="8" t="str">
        <f t="shared" si="58"/>
        <v>PEN</v>
      </c>
      <c r="O554" s="13"/>
      <c r="P554" s="13">
        <v>1078</v>
      </c>
      <c r="Q554" s="3">
        <f t="shared" si="59"/>
        <v>1078</v>
      </c>
      <c r="R554" s="3">
        <f t="shared" si="60"/>
        <v>0</v>
      </c>
      <c r="S554" s="3">
        <f t="shared" si="61"/>
        <v>50334.220000000008</v>
      </c>
      <c r="T554" s="24"/>
      <c r="U554" s="24"/>
      <c r="V554" s="3"/>
      <c r="W554" s="19" t="str">
        <f>IFERROR(VLOOKUP(Banco_Nacion[[#This Row],[RESPONSABLE]],Clientes_Proveedores[[Ruc / Dni]:[Razon Social]],2,0),"")</f>
        <v>COMERCIO SERVICIOS E INVERSIONES YANCE E.I.R.L.</v>
      </c>
      <c r="X554" s="19" t="str">
        <f>IF(Banco_Nacion[[#This Row],[TIPO DE MOV.]]="INGRESO",Banco_Nacion[[#This Row],[SERIE]]&amp;Banco_Nacion[[#This Row],[NUMERO]]&amp;Banco_Nacion[[#This Row],[RESPONSABLE]]&amp;Banco_Nacion[[#This Row],[MONTO ]],"")</f>
        <v>206030659061078</v>
      </c>
      <c r="Y55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85102790</v>
      </c>
      <c r="Z554" s="3"/>
      <c r="AA554" s="3"/>
      <c r="AB554" s="24" t="str">
        <f>IF(Banco_Nacion[[#This Row],[FECHA]]&gt;0,TEXT(Banco_Nacion[[#This Row],[FECHA]],"mmmm"),0)</f>
        <v>Agosto</v>
      </c>
    </row>
    <row r="555" spans="2:28" x14ac:dyDescent="0.3">
      <c r="B555" s="2">
        <f>IF(Banco_Nacion[[#This Row],[TIPO DE R.]]="R",COUNTIFS($D$4:$D554,"R")+1,"")</f>
        <v>551</v>
      </c>
      <c r="C555" s="19" t="str">
        <f t="shared" si="57"/>
        <v>B-Banco de la Nacion</v>
      </c>
      <c r="D555" s="3" t="s">
        <v>1074</v>
      </c>
      <c r="E555" s="14">
        <v>45877</v>
      </c>
      <c r="F555" s="5">
        <v>20603065906</v>
      </c>
      <c r="G555" s="5" t="s">
        <v>1087</v>
      </c>
      <c r="H555" s="6"/>
      <c r="I555" s="6"/>
      <c r="J555" s="6"/>
      <c r="K555" s="6"/>
      <c r="L555" s="7" t="s">
        <v>4290</v>
      </c>
      <c r="M555" s="8">
        <v>85102789</v>
      </c>
      <c r="N555" s="8" t="str">
        <f t="shared" si="58"/>
        <v>PEN</v>
      </c>
      <c r="O555" s="13"/>
      <c r="P555" s="13">
        <v>359</v>
      </c>
      <c r="Q555" s="3">
        <f t="shared" si="59"/>
        <v>359</v>
      </c>
      <c r="R555" s="3">
        <f t="shared" si="60"/>
        <v>0</v>
      </c>
      <c r="S555" s="3">
        <f t="shared" si="61"/>
        <v>50693.220000000008</v>
      </c>
      <c r="T555" s="24"/>
      <c r="U555" s="24"/>
      <c r="V555" s="3"/>
      <c r="W555" s="19" t="str">
        <f>IFERROR(VLOOKUP(Banco_Nacion[[#This Row],[RESPONSABLE]],Clientes_Proveedores[[Ruc / Dni]:[Razon Social]],2,0),"")</f>
        <v>COMERCIO SERVICIOS E INVERSIONES YANCE E.I.R.L.</v>
      </c>
      <c r="X555" s="19" t="str">
        <f>IF(Banco_Nacion[[#This Row],[TIPO DE MOV.]]="INGRESO",Banco_Nacion[[#This Row],[SERIE]]&amp;Banco_Nacion[[#This Row],[NUMERO]]&amp;Banco_Nacion[[#This Row],[RESPONSABLE]]&amp;Banco_Nacion[[#This Row],[MONTO ]],"")</f>
        <v>20603065906359</v>
      </c>
      <c r="Y55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85102789</v>
      </c>
      <c r="Z555" s="3"/>
      <c r="AA555" s="3"/>
      <c r="AB555" s="24" t="str">
        <f>IF(Banco_Nacion[[#This Row],[FECHA]]&gt;0,TEXT(Banco_Nacion[[#This Row],[FECHA]],"mmmm"),0)</f>
        <v>Agosto</v>
      </c>
    </row>
    <row r="556" spans="2:28" x14ac:dyDescent="0.3">
      <c r="B556" s="2">
        <f>IF(Banco_Nacion[[#This Row],[TIPO DE R.]]="R",COUNTIFS($D$4:$D555,"R")+1,"")</f>
        <v>552</v>
      </c>
      <c r="C556" s="19" t="str">
        <f t="shared" si="57"/>
        <v>B-Banco de la Nacion</v>
      </c>
      <c r="D556" s="3" t="s">
        <v>1074</v>
      </c>
      <c r="E556" s="14">
        <v>45880</v>
      </c>
      <c r="F556" s="5">
        <v>20121393736</v>
      </c>
      <c r="G556" s="5" t="s">
        <v>1087</v>
      </c>
      <c r="H556" s="6"/>
      <c r="I556" s="6"/>
      <c r="J556" s="6"/>
      <c r="K556" s="6"/>
      <c r="L556" s="7" t="s">
        <v>4290</v>
      </c>
      <c r="M556" s="8">
        <v>85686131</v>
      </c>
      <c r="N556" s="8" t="str">
        <f t="shared" si="58"/>
        <v>PEN</v>
      </c>
      <c r="O556" s="13"/>
      <c r="P556" s="13">
        <v>119</v>
      </c>
      <c r="Q556" s="3">
        <f t="shared" si="59"/>
        <v>119</v>
      </c>
      <c r="R556" s="3">
        <f t="shared" si="60"/>
        <v>0</v>
      </c>
      <c r="S556" s="3">
        <f t="shared" si="61"/>
        <v>50812.220000000008</v>
      </c>
      <c r="T556" s="24"/>
      <c r="U556" s="24"/>
      <c r="V556" s="3"/>
      <c r="W556" s="19" t="str">
        <f>IFERROR(VLOOKUP(Banco_Nacion[[#This Row],[RESPONSABLE]],Clientes_Proveedores[[Ruc / Dni]:[Razon Social]],2,0),"")</f>
        <v>EMPRESA YURA SRL</v>
      </c>
      <c r="X556" s="19" t="str">
        <f>IF(Banco_Nacion[[#This Row],[TIPO DE MOV.]]="INGRESO",Banco_Nacion[[#This Row],[SERIE]]&amp;Banco_Nacion[[#This Row],[NUMERO]]&amp;Banco_Nacion[[#This Row],[RESPONSABLE]]&amp;Banco_Nacion[[#This Row],[MONTO ]],"")</f>
        <v>20121393736119</v>
      </c>
      <c r="Y55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85686131</v>
      </c>
      <c r="Z556" s="3"/>
      <c r="AA556" s="3"/>
      <c r="AB556" s="24" t="str">
        <f>IF(Banco_Nacion[[#This Row],[FECHA]]&gt;0,TEXT(Banco_Nacion[[#This Row],[FECHA]],"mmmm"),0)</f>
        <v>Agosto</v>
      </c>
    </row>
    <row r="557" spans="2:28" x14ac:dyDescent="0.3">
      <c r="B557" s="2">
        <f>IF(Banco_Nacion[[#This Row],[TIPO DE R.]]="R",COUNTIFS($D$4:$D556,"R")+1,"")</f>
        <v>553</v>
      </c>
      <c r="C557" s="19" t="str">
        <f t="shared" si="57"/>
        <v>B-Banco de la Nacion</v>
      </c>
      <c r="D557" s="3" t="s">
        <v>1074</v>
      </c>
      <c r="E557" s="14">
        <v>45880</v>
      </c>
      <c r="F557" s="5">
        <v>20546530184</v>
      </c>
      <c r="G557" s="5" t="s">
        <v>1087</v>
      </c>
      <c r="H557" s="6"/>
      <c r="I557" s="6"/>
      <c r="J557" s="6"/>
      <c r="K557" s="6"/>
      <c r="L557" s="7" t="s">
        <v>4290</v>
      </c>
      <c r="M557" s="8">
        <v>85656145</v>
      </c>
      <c r="N557" s="8" t="str">
        <f t="shared" si="58"/>
        <v>PEN</v>
      </c>
      <c r="O557" s="13"/>
      <c r="P557" s="13">
        <v>901</v>
      </c>
      <c r="Q557" s="3">
        <f t="shared" si="59"/>
        <v>901</v>
      </c>
      <c r="R557" s="3">
        <f t="shared" si="60"/>
        <v>0</v>
      </c>
      <c r="S557" s="3">
        <f t="shared" si="61"/>
        <v>51713.220000000008</v>
      </c>
      <c r="T557" s="24"/>
      <c r="U557" s="24"/>
      <c r="V557" s="3"/>
      <c r="W557" s="19" t="str">
        <f>IFERROR(VLOOKUP(Banco_Nacion[[#This Row],[RESPONSABLE]],Clientes_Proveedores[[Ruc / Dni]:[Razon Social]],2,0),"")</f>
        <v>INGENIERIA SERVICIOS Y SOLUCIONES APLICADAS ISSA PERU S.A.C.</v>
      </c>
      <c r="X557" s="19" t="str">
        <f>IF(Banco_Nacion[[#This Row],[TIPO DE MOV.]]="INGRESO",Banco_Nacion[[#This Row],[SERIE]]&amp;Banco_Nacion[[#This Row],[NUMERO]]&amp;Banco_Nacion[[#This Row],[RESPONSABLE]]&amp;Banco_Nacion[[#This Row],[MONTO ]],"")</f>
        <v>20546530184901</v>
      </c>
      <c r="Y55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85656145</v>
      </c>
      <c r="Z557" s="3"/>
      <c r="AA557" s="3"/>
      <c r="AB557" s="24" t="str">
        <f>IF(Banco_Nacion[[#This Row],[FECHA]]&gt;0,TEXT(Banco_Nacion[[#This Row],[FECHA]],"mmmm"),0)</f>
        <v>Agosto</v>
      </c>
    </row>
    <row r="558" spans="2:28" x14ac:dyDescent="0.3">
      <c r="B558" s="2">
        <f>IF(Banco_Nacion[[#This Row],[TIPO DE R.]]="R",COUNTIFS($D$4:$D557,"R")+1,"")</f>
        <v>554</v>
      </c>
      <c r="C558" s="19" t="str">
        <f t="shared" si="57"/>
        <v>B-Banco de la Nacion</v>
      </c>
      <c r="D558" s="3" t="s">
        <v>1074</v>
      </c>
      <c r="E558" s="14">
        <v>45880</v>
      </c>
      <c r="F558" s="5">
        <v>20100211115</v>
      </c>
      <c r="G558" s="5" t="s">
        <v>1087</v>
      </c>
      <c r="H558" s="6"/>
      <c r="I558" s="6"/>
      <c r="J558" s="6"/>
      <c r="K558" s="6"/>
      <c r="L558" s="7" t="s">
        <v>4290</v>
      </c>
      <c r="M558" s="8">
        <v>85627673</v>
      </c>
      <c r="N558" s="8" t="str">
        <f t="shared" si="58"/>
        <v>PEN</v>
      </c>
      <c r="O558" s="13"/>
      <c r="P558" s="13">
        <v>638</v>
      </c>
      <c r="Q558" s="3">
        <f t="shared" si="59"/>
        <v>638</v>
      </c>
      <c r="R558" s="3">
        <f t="shared" si="60"/>
        <v>0</v>
      </c>
      <c r="S558" s="3">
        <f t="shared" si="61"/>
        <v>52351.220000000008</v>
      </c>
      <c r="T558" s="24"/>
      <c r="U558" s="24"/>
      <c r="V558" s="3"/>
      <c r="W558" s="19" t="str">
        <f>IFERROR(VLOOKUP(Banco_Nacion[[#This Row],[RESPONSABLE]],Clientes_Proveedores[[Ruc / Dni]:[Razon Social]],2,0),"")</f>
        <v>FAB DE CHOCOLATES LA IBERICA S.A.</v>
      </c>
      <c r="X558" s="19" t="str">
        <f>IF(Banco_Nacion[[#This Row],[TIPO DE MOV.]]="INGRESO",Banco_Nacion[[#This Row],[SERIE]]&amp;Banco_Nacion[[#This Row],[NUMERO]]&amp;Banco_Nacion[[#This Row],[RESPONSABLE]]&amp;Banco_Nacion[[#This Row],[MONTO ]],"")</f>
        <v>20100211115638</v>
      </c>
      <c r="Y55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85627673</v>
      </c>
      <c r="Z558" s="3"/>
      <c r="AA558" s="3"/>
      <c r="AB558" s="24" t="str">
        <f>IF(Banco_Nacion[[#This Row],[FECHA]]&gt;0,TEXT(Banco_Nacion[[#This Row],[FECHA]],"mmmm"),0)</f>
        <v>Agosto</v>
      </c>
    </row>
    <row r="559" spans="2:28" x14ac:dyDescent="0.3">
      <c r="B559" s="2">
        <f>IF(Banco_Nacion[[#This Row],[TIPO DE R.]]="R",COUNTIFS($D$4:$D558,"R")+1,"")</f>
        <v>555</v>
      </c>
      <c r="C559" s="19" t="str">
        <f t="shared" si="57"/>
        <v>B-Banco de la Nacion</v>
      </c>
      <c r="D559" s="3" t="s">
        <v>1074</v>
      </c>
      <c r="E559" s="14">
        <v>45880</v>
      </c>
      <c r="F559" s="5">
        <v>20100211115</v>
      </c>
      <c r="G559" s="5" t="s">
        <v>1087</v>
      </c>
      <c r="H559" s="6"/>
      <c r="I559" s="6"/>
      <c r="J559" s="6"/>
      <c r="K559" s="6"/>
      <c r="L559" s="7" t="s">
        <v>4290</v>
      </c>
      <c r="M559" s="8">
        <v>85627672</v>
      </c>
      <c r="N559" s="8" t="str">
        <f t="shared" si="58"/>
        <v>PEN</v>
      </c>
      <c r="O559" s="13"/>
      <c r="P559" s="13">
        <v>189</v>
      </c>
      <c r="Q559" s="3">
        <f t="shared" si="59"/>
        <v>189</v>
      </c>
      <c r="R559" s="3">
        <f t="shared" si="60"/>
        <v>0</v>
      </c>
      <c r="S559" s="3">
        <f t="shared" si="61"/>
        <v>52540.220000000008</v>
      </c>
      <c r="T559" s="24"/>
      <c r="U559" s="24"/>
      <c r="V559" s="3"/>
      <c r="W559" s="19" t="str">
        <f>IFERROR(VLOOKUP(Banco_Nacion[[#This Row],[RESPONSABLE]],Clientes_Proveedores[[Ruc / Dni]:[Razon Social]],2,0),"")</f>
        <v>FAB DE CHOCOLATES LA IBERICA S.A.</v>
      </c>
      <c r="X559" s="19" t="str">
        <f>IF(Banco_Nacion[[#This Row],[TIPO DE MOV.]]="INGRESO",Banco_Nacion[[#This Row],[SERIE]]&amp;Banco_Nacion[[#This Row],[NUMERO]]&amp;Banco_Nacion[[#This Row],[RESPONSABLE]]&amp;Banco_Nacion[[#This Row],[MONTO ]],"")</f>
        <v>20100211115189</v>
      </c>
      <c r="Y55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85627672</v>
      </c>
      <c r="Z559" s="3"/>
      <c r="AA559" s="3"/>
      <c r="AB559" s="24" t="str">
        <f>IF(Banco_Nacion[[#This Row],[FECHA]]&gt;0,TEXT(Banco_Nacion[[#This Row],[FECHA]],"mmmm"),0)</f>
        <v>Agosto</v>
      </c>
    </row>
    <row r="560" spans="2:28" x14ac:dyDescent="0.3">
      <c r="B560" s="2">
        <f>IF(Banco_Nacion[[#This Row],[TIPO DE R.]]="R",COUNTIFS($D$4:$D559,"R")+1,"")</f>
        <v>556</v>
      </c>
      <c r="C560" s="19" t="str">
        <f t="shared" si="57"/>
        <v>B-Banco de la Nacion</v>
      </c>
      <c r="D560" s="3" t="s">
        <v>1074</v>
      </c>
      <c r="E560" s="14">
        <v>45880</v>
      </c>
      <c r="F560" s="5">
        <v>20100211115</v>
      </c>
      <c r="G560" s="5" t="s">
        <v>1087</v>
      </c>
      <c r="H560" s="6"/>
      <c r="I560" s="6"/>
      <c r="J560" s="6"/>
      <c r="K560" s="6"/>
      <c r="L560" s="7" t="s">
        <v>4290</v>
      </c>
      <c r="M560" s="8">
        <v>85627671</v>
      </c>
      <c r="N560" s="8" t="str">
        <f t="shared" si="58"/>
        <v>PEN</v>
      </c>
      <c r="O560" s="13"/>
      <c r="P560" s="13">
        <v>59</v>
      </c>
      <c r="Q560" s="3">
        <f t="shared" si="59"/>
        <v>59</v>
      </c>
      <c r="R560" s="3">
        <f t="shared" si="60"/>
        <v>0</v>
      </c>
      <c r="S560" s="3">
        <f t="shared" si="61"/>
        <v>52599.220000000008</v>
      </c>
      <c r="T560" s="24"/>
      <c r="U560" s="24"/>
      <c r="V560" s="3"/>
      <c r="W560" s="19" t="str">
        <f>IFERROR(VLOOKUP(Banco_Nacion[[#This Row],[RESPONSABLE]],Clientes_Proveedores[[Ruc / Dni]:[Razon Social]],2,0),"")</f>
        <v>FAB DE CHOCOLATES LA IBERICA S.A.</v>
      </c>
      <c r="X560" s="19" t="str">
        <f>IF(Banco_Nacion[[#This Row],[TIPO DE MOV.]]="INGRESO",Banco_Nacion[[#This Row],[SERIE]]&amp;Banco_Nacion[[#This Row],[NUMERO]]&amp;Banco_Nacion[[#This Row],[RESPONSABLE]]&amp;Banco_Nacion[[#This Row],[MONTO ]],"")</f>
        <v>2010021111559</v>
      </c>
      <c r="Y56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85627671</v>
      </c>
      <c r="Z560" s="3"/>
      <c r="AA560" s="3"/>
      <c r="AB560" s="24" t="str">
        <f>IF(Banco_Nacion[[#This Row],[FECHA]]&gt;0,TEXT(Banco_Nacion[[#This Row],[FECHA]],"mmmm"),0)</f>
        <v>Agosto</v>
      </c>
    </row>
    <row r="561" spans="2:28" x14ac:dyDescent="0.3">
      <c r="B561" s="2">
        <f>IF(Banco_Nacion[[#This Row],[TIPO DE R.]]="R",COUNTIFS($D$4:$D560,"R")+1,"")</f>
        <v>557</v>
      </c>
      <c r="C561" s="19" t="str">
        <f t="shared" si="57"/>
        <v>B-Banco de la Nacion</v>
      </c>
      <c r="D561" s="3" t="s">
        <v>1074</v>
      </c>
      <c r="E561" s="14">
        <v>45880</v>
      </c>
      <c r="F561" s="5">
        <v>20553956324</v>
      </c>
      <c r="G561" s="5" t="s">
        <v>1087</v>
      </c>
      <c r="H561" s="6"/>
      <c r="I561" s="6"/>
      <c r="J561" s="6"/>
      <c r="K561" s="6"/>
      <c r="L561" s="7" t="s">
        <v>4290</v>
      </c>
      <c r="M561" s="8">
        <v>85499682</v>
      </c>
      <c r="N561" s="8" t="str">
        <f t="shared" si="58"/>
        <v>PEN</v>
      </c>
      <c r="O561" s="13"/>
      <c r="P561" s="13">
        <v>635</v>
      </c>
      <c r="Q561" s="3">
        <f t="shared" si="59"/>
        <v>635</v>
      </c>
      <c r="R561" s="3">
        <f t="shared" si="60"/>
        <v>0</v>
      </c>
      <c r="S561" s="3">
        <f t="shared" si="61"/>
        <v>53234.220000000008</v>
      </c>
      <c r="T561" s="24"/>
      <c r="U561" s="24"/>
      <c r="V561" s="3"/>
      <c r="W561" s="19" t="str">
        <f>IFERROR(VLOOKUP(Banco_Nacion[[#This Row],[RESPONSABLE]],Clientes_Proveedores[[Ruc / Dni]:[Razon Social]],2,0),"")</f>
        <v>ALQUIMODUL S.A.C.</v>
      </c>
      <c r="X561" s="19" t="str">
        <f>IF(Banco_Nacion[[#This Row],[TIPO DE MOV.]]="INGRESO",Banco_Nacion[[#This Row],[SERIE]]&amp;Banco_Nacion[[#This Row],[NUMERO]]&amp;Banco_Nacion[[#This Row],[RESPONSABLE]]&amp;Banco_Nacion[[#This Row],[MONTO ]],"")</f>
        <v>20553956324635</v>
      </c>
      <c r="Y56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85499682</v>
      </c>
      <c r="Z561" s="3"/>
      <c r="AA561" s="3"/>
      <c r="AB561" s="24" t="str">
        <f>IF(Banco_Nacion[[#This Row],[FECHA]]&gt;0,TEXT(Banco_Nacion[[#This Row],[FECHA]],"mmmm"),0)</f>
        <v>Agosto</v>
      </c>
    </row>
    <row r="562" spans="2:28" x14ac:dyDescent="0.3">
      <c r="B562" s="2">
        <f>IF(Banco_Nacion[[#This Row],[TIPO DE R.]]="R",COUNTIFS($D$4:$D561,"R")+1,"")</f>
        <v>558</v>
      </c>
      <c r="C562" s="19" t="str">
        <f t="shared" si="57"/>
        <v>B-Banco de la Nacion</v>
      </c>
      <c r="D562" s="3" t="s">
        <v>1074</v>
      </c>
      <c r="E562" s="14">
        <v>45880</v>
      </c>
      <c r="F562" s="5">
        <v>20141637941</v>
      </c>
      <c r="G562" s="5" t="s">
        <v>1087</v>
      </c>
      <c r="H562" s="6"/>
      <c r="I562" s="6"/>
      <c r="J562" s="6"/>
      <c r="K562" s="6"/>
      <c r="L562" s="7" t="s">
        <v>4290</v>
      </c>
      <c r="M562" s="8">
        <v>85416037</v>
      </c>
      <c r="N562" s="8" t="str">
        <f t="shared" si="58"/>
        <v>PEN</v>
      </c>
      <c r="O562" s="13"/>
      <c r="P562" s="13">
        <v>647</v>
      </c>
      <c r="Q562" s="3">
        <f t="shared" si="59"/>
        <v>647</v>
      </c>
      <c r="R562" s="3">
        <f t="shared" si="60"/>
        <v>0</v>
      </c>
      <c r="S562" s="3">
        <f t="shared" si="61"/>
        <v>53881.220000000008</v>
      </c>
      <c r="T562" s="24"/>
      <c r="U562" s="24"/>
      <c r="V562" s="3"/>
      <c r="W562" s="19" t="str">
        <f>IFERROR(VLOOKUP(Banco_Nacion[[#This Row],[RESPONSABLE]],Clientes_Proveedores[[Ruc / Dni]:[Razon Social]],2,0),"")</f>
        <v>UNIVERSIDAD CATOLICA DE SANTA MARIA</v>
      </c>
      <c r="X562" s="19" t="str">
        <f>IF(Banco_Nacion[[#This Row],[TIPO DE MOV.]]="INGRESO",Banco_Nacion[[#This Row],[SERIE]]&amp;Banco_Nacion[[#This Row],[NUMERO]]&amp;Banco_Nacion[[#This Row],[RESPONSABLE]]&amp;Banco_Nacion[[#This Row],[MONTO ]],"")</f>
        <v>20141637941647</v>
      </c>
      <c r="Y56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85416037</v>
      </c>
      <c r="Z562" s="3"/>
      <c r="AA562" s="3"/>
      <c r="AB562" s="24" t="str">
        <f>IF(Banco_Nacion[[#This Row],[FECHA]]&gt;0,TEXT(Banco_Nacion[[#This Row],[FECHA]],"mmmm"),0)</f>
        <v>Agosto</v>
      </c>
    </row>
    <row r="563" spans="2:28" x14ac:dyDescent="0.3">
      <c r="B563" s="2">
        <f>IF(Banco_Nacion[[#This Row],[TIPO DE R.]]="R",COUNTIFS($D$4:$D562,"R")+1,"")</f>
        <v>559</v>
      </c>
      <c r="C563" s="19" t="str">
        <f t="shared" si="57"/>
        <v>B-Banco de la Nacion</v>
      </c>
      <c r="D563" s="3" t="s">
        <v>1074</v>
      </c>
      <c r="E563" s="14">
        <v>45880</v>
      </c>
      <c r="F563" s="5">
        <v>20141637941</v>
      </c>
      <c r="G563" s="5" t="s">
        <v>1087</v>
      </c>
      <c r="H563" s="6"/>
      <c r="I563" s="6"/>
      <c r="J563" s="6"/>
      <c r="K563" s="6"/>
      <c r="L563" s="7" t="s">
        <v>4290</v>
      </c>
      <c r="M563" s="8">
        <v>85416036</v>
      </c>
      <c r="N563" s="8" t="str">
        <f t="shared" si="58"/>
        <v>PEN</v>
      </c>
      <c r="O563" s="13"/>
      <c r="P563" s="13">
        <v>166</v>
      </c>
      <c r="Q563" s="3">
        <f t="shared" si="59"/>
        <v>166</v>
      </c>
      <c r="R563" s="3">
        <f t="shared" si="60"/>
        <v>0</v>
      </c>
      <c r="S563" s="3">
        <f t="shared" si="61"/>
        <v>54047.220000000008</v>
      </c>
      <c r="T563" s="24"/>
      <c r="U563" s="24"/>
      <c r="V563" s="3"/>
      <c r="W563" s="19" t="str">
        <f>IFERROR(VLOOKUP(Banco_Nacion[[#This Row],[RESPONSABLE]],Clientes_Proveedores[[Ruc / Dni]:[Razon Social]],2,0),"")</f>
        <v>UNIVERSIDAD CATOLICA DE SANTA MARIA</v>
      </c>
      <c r="X563" s="19" t="str">
        <f>IF(Banco_Nacion[[#This Row],[TIPO DE MOV.]]="INGRESO",Banco_Nacion[[#This Row],[SERIE]]&amp;Banco_Nacion[[#This Row],[NUMERO]]&amp;Banco_Nacion[[#This Row],[RESPONSABLE]]&amp;Banco_Nacion[[#This Row],[MONTO ]],"")</f>
        <v>20141637941166</v>
      </c>
      <c r="Y56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85416036</v>
      </c>
      <c r="Z563" s="3"/>
      <c r="AA563" s="3"/>
      <c r="AB563" s="24" t="str">
        <f>IF(Banco_Nacion[[#This Row],[FECHA]]&gt;0,TEXT(Banco_Nacion[[#This Row],[FECHA]],"mmmm"),0)</f>
        <v>Agosto</v>
      </c>
    </row>
    <row r="564" spans="2:28" x14ac:dyDescent="0.3">
      <c r="B564" s="2">
        <f>IF(Banco_Nacion[[#This Row],[TIPO DE R.]]="R",COUNTIFS($D$4:$D563,"R")+1,"")</f>
        <v>560</v>
      </c>
      <c r="C564" s="19" t="str">
        <f t="shared" si="57"/>
        <v>B-Banco de la Nacion</v>
      </c>
      <c r="D564" s="3" t="s">
        <v>1074</v>
      </c>
      <c r="E564" s="14">
        <v>45881</v>
      </c>
      <c r="F564" s="5">
        <v>20607388416</v>
      </c>
      <c r="G564" s="5" t="s">
        <v>1087</v>
      </c>
      <c r="H564" s="6"/>
      <c r="I564" s="6"/>
      <c r="J564" s="6"/>
      <c r="K564" s="6"/>
      <c r="L564" s="7" t="s">
        <v>4290</v>
      </c>
      <c r="M564" s="8">
        <v>85777393</v>
      </c>
      <c r="N564" s="8" t="str">
        <f t="shared" si="58"/>
        <v>PEN</v>
      </c>
      <c r="O564" s="13"/>
      <c r="P564" s="13">
        <v>110</v>
      </c>
      <c r="Q564" s="3">
        <f t="shared" si="59"/>
        <v>110</v>
      </c>
      <c r="R564" s="3">
        <f t="shared" si="60"/>
        <v>0</v>
      </c>
      <c r="S564" s="3">
        <f t="shared" si="61"/>
        <v>54157.220000000008</v>
      </c>
      <c r="T564" s="24"/>
      <c r="U564" s="24"/>
      <c r="V564" s="3"/>
      <c r="W564" s="19" t="str">
        <f>IFERROR(VLOOKUP(Banco_Nacion[[#This Row],[RESPONSABLE]],Clientes_Proveedores[[Ruc / Dni]:[Razon Social]],2,0),"")</f>
        <v>ALEACIONES FERROSAS Y METALICAS S.A.C.</v>
      </c>
      <c r="X564" s="19" t="str">
        <f>IF(Banco_Nacion[[#This Row],[TIPO DE MOV.]]="INGRESO",Banco_Nacion[[#This Row],[SERIE]]&amp;Banco_Nacion[[#This Row],[NUMERO]]&amp;Banco_Nacion[[#This Row],[RESPONSABLE]]&amp;Banco_Nacion[[#This Row],[MONTO ]],"")</f>
        <v>20607388416110</v>
      </c>
      <c r="Y56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85777393</v>
      </c>
      <c r="Z564" s="3"/>
      <c r="AA564" s="3"/>
      <c r="AB564" s="24" t="str">
        <f>IF(Banco_Nacion[[#This Row],[FECHA]]&gt;0,TEXT(Banco_Nacion[[#This Row],[FECHA]],"mmmm"),0)</f>
        <v>Agosto</v>
      </c>
    </row>
    <row r="565" spans="2:28" x14ac:dyDescent="0.3">
      <c r="B565" s="2">
        <f>IF(Banco_Nacion[[#This Row],[TIPO DE R.]]="R",COUNTIFS($D$4:$D564,"R")+1,"")</f>
        <v>561</v>
      </c>
      <c r="C565" s="19" t="str">
        <f t="shared" si="57"/>
        <v>B-Banco de la Nacion</v>
      </c>
      <c r="D565" s="3" t="s">
        <v>1074</v>
      </c>
      <c r="E565" s="14">
        <v>45881</v>
      </c>
      <c r="F565" s="5">
        <v>20607388416</v>
      </c>
      <c r="G565" s="5" t="s">
        <v>1087</v>
      </c>
      <c r="H565" s="6"/>
      <c r="I565" s="6"/>
      <c r="J565" s="6"/>
      <c r="K565" s="6"/>
      <c r="L565" s="7" t="s">
        <v>4290</v>
      </c>
      <c r="M565" s="8">
        <v>85777392</v>
      </c>
      <c r="N565" s="8" t="str">
        <f t="shared" si="58"/>
        <v>PEN</v>
      </c>
      <c r="O565" s="13"/>
      <c r="P565" s="13">
        <v>98</v>
      </c>
      <c r="Q565" s="3">
        <f t="shared" si="59"/>
        <v>98</v>
      </c>
      <c r="R565" s="3">
        <f t="shared" si="60"/>
        <v>0</v>
      </c>
      <c r="S565" s="3">
        <f t="shared" si="61"/>
        <v>54255.220000000008</v>
      </c>
      <c r="T565" s="24"/>
      <c r="U565" s="24"/>
      <c r="V565" s="3"/>
      <c r="W565" s="19" t="str">
        <f>IFERROR(VLOOKUP(Banco_Nacion[[#This Row],[RESPONSABLE]],Clientes_Proveedores[[Ruc / Dni]:[Razon Social]],2,0),"")</f>
        <v>ALEACIONES FERROSAS Y METALICAS S.A.C.</v>
      </c>
      <c r="X565" s="19" t="str">
        <f>IF(Banco_Nacion[[#This Row],[TIPO DE MOV.]]="INGRESO",Banco_Nacion[[#This Row],[SERIE]]&amp;Banco_Nacion[[#This Row],[NUMERO]]&amp;Banco_Nacion[[#This Row],[RESPONSABLE]]&amp;Banco_Nacion[[#This Row],[MONTO ]],"")</f>
        <v>2060738841698</v>
      </c>
      <c r="Y56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85777392</v>
      </c>
      <c r="Z565" s="3"/>
      <c r="AA565" s="3"/>
      <c r="AB565" s="24" t="str">
        <f>IF(Banco_Nacion[[#This Row],[FECHA]]&gt;0,TEXT(Banco_Nacion[[#This Row],[FECHA]],"mmmm"),0)</f>
        <v>Agosto</v>
      </c>
    </row>
    <row r="566" spans="2:28" x14ac:dyDescent="0.3">
      <c r="B566" s="2">
        <f>IF(Banco_Nacion[[#This Row],[TIPO DE R.]]="R",COUNTIFS($D$4:$D565,"R")+1,"")</f>
        <v>562</v>
      </c>
      <c r="C566" s="19" t="str">
        <f t="shared" si="57"/>
        <v>B-Banco de la Nacion</v>
      </c>
      <c r="D566" s="3" t="s">
        <v>1074</v>
      </c>
      <c r="E566" s="14">
        <v>45881</v>
      </c>
      <c r="F566" s="5">
        <v>20607388416</v>
      </c>
      <c r="G566" s="5" t="s">
        <v>1087</v>
      </c>
      <c r="H566" s="6"/>
      <c r="I566" s="6"/>
      <c r="J566" s="6"/>
      <c r="K566" s="6"/>
      <c r="L566" s="7" t="s">
        <v>4290</v>
      </c>
      <c r="M566" s="8">
        <v>85777391</v>
      </c>
      <c r="N566" s="8" t="str">
        <f t="shared" si="58"/>
        <v>PEN</v>
      </c>
      <c r="O566" s="13"/>
      <c r="P566" s="13">
        <v>218</v>
      </c>
      <c r="Q566" s="3">
        <f t="shared" si="59"/>
        <v>218</v>
      </c>
      <c r="R566" s="3">
        <f t="shared" si="60"/>
        <v>0</v>
      </c>
      <c r="S566" s="3">
        <f t="shared" si="61"/>
        <v>54473.220000000008</v>
      </c>
      <c r="T566" s="24"/>
      <c r="U566" s="24"/>
      <c r="V566" s="3"/>
      <c r="W566" s="19" t="str">
        <f>IFERROR(VLOOKUP(Banco_Nacion[[#This Row],[RESPONSABLE]],Clientes_Proveedores[[Ruc / Dni]:[Razon Social]],2,0),"")</f>
        <v>ALEACIONES FERROSAS Y METALICAS S.A.C.</v>
      </c>
      <c r="X566" s="19" t="str">
        <f>IF(Banco_Nacion[[#This Row],[TIPO DE MOV.]]="INGRESO",Banco_Nacion[[#This Row],[SERIE]]&amp;Banco_Nacion[[#This Row],[NUMERO]]&amp;Banco_Nacion[[#This Row],[RESPONSABLE]]&amp;Banco_Nacion[[#This Row],[MONTO ]],"")</f>
        <v>20607388416218</v>
      </c>
      <c r="Y56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85777391</v>
      </c>
      <c r="Z566" s="3"/>
      <c r="AA566" s="3"/>
      <c r="AB566" s="24" t="str">
        <f>IF(Banco_Nacion[[#This Row],[FECHA]]&gt;0,TEXT(Banco_Nacion[[#This Row],[FECHA]],"mmmm"),0)</f>
        <v>Agosto</v>
      </c>
    </row>
    <row r="567" spans="2:28" x14ac:dyDescent="0.3">
      <c r="B567" s="2">
        <f>IF(Banco_Nacion[[#This Row],[TIPO DE R.]]="R",COUNTIFS($D$4:$D566,"R")+1,"")</f>
        <v>563</v>
      </c>
      <c r="C567" s="19" t="str">
        <f t="shared" si="57"/>
        <v>B-Banco de la Nacion</v>
      </c>
      <c r="D567" s="3" t="s">
        <v>1074</v>
      </c>
      <c r="E567" s="14">
        <v>45881</v>
      </c>
      <c r="F567" s="5">
        <v>20496535066</v>
      </c>
      <c r="G567" s="5" t="s">
        <v>1087</v>
      </c>
      <c r="H567" s="6"/>
      <c r="I567" s="6"/>
      <c r="J567" s="6"/>
      <c r="K567" s="6"/>
      <c r="L567" s="7" t="s">
        <v>4290</v>
      </c>
      <c r="M567" s="8">
        <v>85763027</v>
      </c>
      <c r="N567" s="8" t="str">
        <f t="shared" si="58"/>
        <v>PEN</v>
      </c>
      <c r="O567" s="13"/>
      <c r="P567" s="13">
        <v>252</v>
      </c>
      <c r="Q567" s="3">
        <f t="shared" si="59"/>
        <v>252</v>
      </c>
      <c r="R567" s="3">
        <f t="shared" si="60"/>
        <v>0</v>
      </c>
      <c r="S567" s="3">
        <f t="shared" si="61"/>
        <v>54725.220000000008</v>
      </c>
      <c r="T567" s="24"/>
      <c r="U567" s="24"/>
      <c r="V567" s="3"/>
      <c r="W567" s="19" t="str">
        <f>IFERROR(VLOOKUP(Banco_Nacion[[#This Row],[RESPONSABLE]],Clientes_Proveedores[[Ruc / Dni]:[Razon Social]],2,0),"")</f>
        <v>CORP.ELECTROMECANICA EN ING.Y CONSTR.SAC</v>
      </c>
      <c r="X567" s="19" t="str">
        <f>IF(Banco_Nacion[[#This Row],[TIPO DE MOV.]]="INGRESO",Banco_Nacion[[#This Row],[SERIE]]&amp;Banco_Nacion[[#This Row],[NUMERO]]&amp;Banco_Nacion[[#This Row],[RESPONSABLE]]&amp;Banco_Nacion[[#This Row],[MONTO ]],"")</f>
        <v>20496535066252</v>
      </c>
      <c r="Y56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85763027</v>
      </c>
      <c r="Z567" s="3"/>
      <c r="AA567" s="3"/>
      <c r="AB567" s="24" t="str">
        <f>IF(Banco_Nacion[[#This Row],[FECHA]]&gt;0,TEXT(Banco_Nacion[[#This Row],[FECHA]],"mmmm"),0)</f>
        <v>Agosto</v>
      </c>
    </row>
    <row r="568" spans="2:28" x14ac:dyDescent="0.3">
      <c r="B568" s="2">
        <f>IF(Banco_Nacion[[#This Row],[TIPO DE R.]]="R",COUNTIFS($D$4:$D567,"R")+1,"")</f>
        <v>564</v>
      </c>
      <c r="C568" s="19" t="str">
        <f t="shared" si="57"/>
        <v>B-Banco de la Nacion</v>
      </c>
      <c r="D568" s="3" t="s">
        <v>1074</v>
      </c>
      <c r="E568" s="14">
        <v>45881</v>
      </c>
      <c r="F568" s="5">
        <v>20496535066</v>
      </c>
      <c r="G568" s="5" t="s">
        <v>1087</v>
      </c>
      <c r="H568" s="6"/>
      <c r="I568" s="6"/>
      <c r="J568" s="6"/>
      <c r="K568" s="6"/>
      <c r="L568" s="7" t="s">
        <v>4290</v>
      </c>
      <c r="M568" s="8">
        <v>85753343</v>
      </c>
      <c r="N568" s="8" t="str">
        <f t="shared" si="58"/>
        <v>PEN</v>
      </c>
      <c r="O568" s="13"/>
      <c r="P568" s="13">
        <v>2105</v>
      </c>
      <c r="Q568" s="3">
        <f t="shared" si="59"/>
        <v>2105</v>
      </c>
      <c r="R568" s="3">
        <f t="shared" si="60"/>
        <v>0</v>
      </c>
      <c r="S568" s="3">
        <f t="shared" si="61"/>
        <v>56830.220000000008</v>
      </c>
      <c r="T568" s="24"/>
      <c r="U568" s="24"/>
      <c r="V568" s="3"/>
      <c r="W568" s="19" t="str">
        <f>IFERROR(VLOOKUP(Banco_Nacion[[#This Row],[RESPONSABLE]],Clientes_Proveedores[[Ruc / Dni]:[Razon Social]],2,0),"")</f>
        <v>CORP.ELECTROMECANICA EN ING.Y CONSTR.SAC</v>
      </c>
      <c r="X568" s="19" t="str">
        <f>IF(Banco_Nacion[[#This Row],[TIPO DE MOV.]]="INGRESO",Banco_Nacion[[#This Row],[SERIE]]&amp;Banco_Nacion[[#This Row],[NUMERO]]&amp;Banco_Nacion[[#This Row],[RESPONSABLE]]&amp;Banco_Nacion[[#This Row],[MONTO ]],"")</f>
        <v>204965350662105</v>
      </c>
      <c r="Y56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85753343</v>
      </c>
      <c r="Z568" s="3"/>
      <c r="AA568" s="3"/>
      <c r="AB568" s="24" t="str">
        <f>IF(Banco_Nacion[[#This Row],[FECHA]]&gt;0,TEXT(Banco_Nacion[[#This Row],[FECHA]],"mmmm"),0)</f>
        <v>Agosto</v>
      </c>
    </row>
    <row r="569" spans="2:28" x14ac:dyDescent="0.3">
      <c r="B569" s="2">
        <f>IF(Banco_Nacion[[#This Row],[TIPO DE R.]]="R",COUNTIFS($D$4:$D568,"R")+1,"")</f>
        <v>565</v>
      </c>
      <c r="C569" s="19" t="str">
        <f t="shared" si="57"/>
        <v>B-Banco de la Nacion</v>
      </c>
      <c r="D569" s="3" t="s">
        <v>1074</v>
      </c>
      <c r="E569" s="14">
        <v>45882</v>
      </c>
      <c r="F569" s="5">
        <v>20558353814</v>
      </c>
      <c r="G569" s="5" t="s">
        <v>1087</v>
      </c>
      <c r="H569" s="6"/>
      <c r="I569" s="6"/>
      <c r="J569" s="6"/>
      <c r="K569" s="6"/>
      <c r="L569" s="7" t="s">
        <v>4290</v>
      </c>
      <c r="M569" s="8">
        <v>85849893</v>
      </c>
      <c r="N569" s="8" t="str">
        <f t="shared" si="58"/>
        <v>PEN</v>
      </c>
      <c r="O569" s="13"/>
      <c r="P569" s="13">
        <v>302</v>
      </c>
      <c r="Q569" s="3">
        <f t="shared" si="59"/>
        <v>302</v>
      </c>
      <c r="R569" s="3">
        <f t="shared" si="60"/>
        <v>0</v>
      </c>
      <c r="S569" s="3">
        <f t="shared" si="61"/>
        <v>57132.220000000008</v>
      </c>
      <c r="T569" s="24"/>
      <c r="U569" s="24"/>
      <c r="V569" s="3"/>
      <c r="W569" s="19" t="str">
        <f>IFERROR(VLOOKUP(Banco_Nacion[[#This Row],[RESPONSABLE]],Clientes_Proveedores[[Ruc / Dni]:[Razon Social]],2,0),"")</f>
        <v>TACONSER E.I.R.L.</v>
      </c>
      <c r="X569" s="19" t="str">
        <f>IF(Banco_Nacion[[#This Row],[TIPO DE MOV.]]="INGRESO",Banco_Nacion[[#This Row],[SERIE]]&amp;Banco_Nacion[[#This Row],[NUMERO]]&amp;Banco_Nacion[[#This Row],[RESPONSABLE]]&amp;Banco_Nacion[[#This Row],[MONTO ]],"")</f>
        <v>20558353814302</v>
      </c>
      <c r="Y56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85849893</v>
      </c>
      <c r="Z569" s="3"/>
      <c r="AA569" s="3"/>
      <c r="AB569" s="24" t="str">
        <f>IF(Banco_Nacion[[#This Row],[FECHA]]&gt;0,TEXT(Banco_Nacion[[#This Row],[FECHA]],"mmmm"),0)</f>
        <v>Agosto</v>
      </c>
    </row>
    <row r="570" spans="2:28" x14ac:dyDescent="0.3">
      <c r="B570" s="2">
        <f>IF(Banco_Nacion[[#This Row],[TIPO DE R.]]="R",COUNTIFS($D$4:$D569,"R")+1,"")</f>
        <v>566</v>
      </c>
      <c r="C570" s="19" t="str">
        <f t="shared" si="57"/>
        <v>B-Banco de la Nacion</v>
      </c>
      <c r="D570" s="3" t="s">
        <v>1074</v>
      </c>
      <c r="E570" s="14">
        <v>45887</v>
      </c>
      <c r="F570" s="5">
        <v>20607388416</v>
      </c>
      <c r="G570" s="5" t="s">
        <v>1087</v>
      </c>
      <c r="H570" s="6"/>
      <c r="I570" s="6"/>
      <c r="J570" s="6"/>
      <c r="K570" s="6"/>
      <c r="L570" s="7" t="s">
        <v>4290</v>
      </c>
      <c r="M570" s="8">
        <v>86387261</v>
      </c>
      <c r="N570" s="8" t="str">
        <f t="shared" si="58"/>
        <v>PEN</v>
      </c>
      <c r="O570" s="13"/>
      <c r="P570" s="13">
        <v>107</v>
      </c>
      <c r="Q570" s="3">
        <f t="shared" si="59"/>
        <v>107</v>
      </c>
      <c r="R570" s="3">
        <f t="shared" si="60"/>
        <v>0</v>
      </c>
      <c r="S570" s="3">
        <f t="shared" si="61"/>
        <v>57239.220000000008</v>
      </c>
      <c r="T570" s="24"/>
      <c r="U570" s="24"/>
      <c r="V570" s="3"/>
      <c r="W570" s="19" t="str">
        <f>IFERROR(VLOOKUP(Banco_Nacion[[#This Row],[RESPONSABLE]],Clientes_Proveedores[[Ruc / Dni]:[Razon Social]],2,0),"")</f>
        <v>ALEACIONES FERROSAS Y METALICAS S.A.C.</v>
      </c>
      <c r="X570" s="19" t="str">
        <f>IF(Banco_Nacion[[#This Row],[TIPO DE MOV.]]="INGRESO",Banco_Nacion[[#This Row],[SERIE]]&amp;Banco_Nacion[[#This Row],[NUMERO]]&amp;Banco_Nacion[[#This Row],[RESPONSABLE]]&amp;Banco_Nacion[[#This Row],[MONTO ]],"")</f>
        <v>20607388416107</v>
      </c>
      <c r="Y57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86387261</v>
      </c>
      <c r="Z570" s="3"/>
      <c r="AA570" s="3"/>
      <c r="AB570" s="24" t="str">
        <f>IF(Banco_Nacion[[#This Row],[FECHA]]&gt;0,TEXT(Banco_Nacion[[#This Row],[FECHA]],"mmmm"),0)</f>
        <v>Agosto</v>
      </c>
    </row>
    <row r="571" spans="2:28" x14ac:dyDescent="0.3">
      <c r="B571" s="2">
        <f>IF(Banco_Nacion[[#This Row],[TIPO DE R.]]="R",COUNTIFS($D$4:$D570,"R")+1,"")</f>
        <v>567</v>
      </c>
      <c r="C571" s="19" t="str">
        <f t="shared" si="57"/>
        <v>B-Banco de la Nacion</v>
      </c>
      <c r="D571" s="3" t="s">
        <v>1074</v>
      </c>
      <c r="E571" s="14">
        <v>45887</v>
      </c>
      <c r="F571" s="5">
        <v>20607388416</v>
      </c>
      <c r="G571" s="5" t="s">
        <v>1087</v>
      </c>
      <c r="H571" s="6"/>
      <c r="I571" s="6"/>
      <c r="J571" s="6"/>
      <c r="K571" s="6"/>
      <c r="L571" s="7" t="s">
        <v>4290</v>
      </c>
      <c r="M571" s="8">
        <v>86387260</v>
      </c>
      <c r="N571" s="8" t="str">
        <f t="shared" si="58"/>
        <v>PEN</v>
      </c>
      <c r="O571" s="13"/>
      <c r="P571" s="13">
        <v>231</v>
      </c>
      <c r="Q571" s="3">
        <f t="shared" si="59"/>
        <v>231</v>
      </c>
      <c r="R571" s="3">
        <f t="shared" si="60"/>
        <v>0</v>
      </c>
      <c r="S571" s="3">
        <f t="shared" si="61"/>
        <v>57470.220000000008</v>
      </c>
      <c r="T571" s="24"/>
      <c r="U571" s="24"/>
      <c r="V571" s="3"/>
      <c r="W571" s="19" t="str">
        <f>IFERROR(VLOOKUP(Banco_Nacion[[#This Row],[RESPONSABLE]],Clientes_Proveedores[[Ruc / Dni]:[Razon Social]],2,0),"")</f>
        <v>ALEACIONES FERROSAS Y METALICAS S.A.C.</v>
      </c>
      <c r="X571" s="19" t="str">
        <f>IF(Banco_Nacion[[#This Row],[TIPO DE MOV.]]="INGRESO",Banco_Nacion[[#This Row],[SERIE]]&amp;Banco_Nacion[[#This Row],[NUMERO]]&amp;Banco_Nacion[[#This Row],[RESPONSABLE]]&amp;Banco_Nacion[[#This Row],[MONTO ]],"")</f>
        <v>20607388416231</v>
      </c>
      <c r="Y57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86387260</v>
      </c>
      <c r="Z571" s="3"/>
      <c r="AA571" s="3"/>
      <c r="AB571" s="24" t="str">
        <f>IF(Banco_Nacion[[#This Row],[FECHA]]&gt;0,TEXT(Banco_Nacion[[#This Row],[FECHA]],"mmmm"),0)</f>
        <v>Agosto</v>
      </c>
    </row>
    <row r="572" spans="2:28" x14ac:dyDescent="0.3">
      <c r="B572" s="2">
        <f>IF(Banco_Nacion[[#This Row],[TIPO DE R.]]="R",COUNTIFS($D$4:$D571,"R")+1,"")</f>
        <v>568</v>
      </c>
      <c r="C572" s="19" t="str">
        <f t="shared" si="57"/>
        <v>B-Banco de la Nacion</v>
      </c>
      <c r="D572" s="3" t="s">
        <v>1074</v>
      </c>
      <c r="E572" s="14">
        <v>45887</v>
      </c>
      <c r="F572" s="5"/>
      <c r="G572" s="5" t="s">
        <v>1079</v>
      </c>
      <c r="H572" s="6"/>
      <c r="I572" s="6"/>
      <c r="J572" s="6"/>
      <c r="K572" s="6"/>
      <c r="L572" s="7" t="s">
        <v>4292</v>
      </c>
      <c r="M572" s="8">
        <v>78787878</v>
      </c>
      <c r="N572" s="8" t="str">
        <f t="shared" si="58"/>
        <v>PEN</v>
      </c>
      <c r="O572" s="13"/>
      <c r="P572" s="13">
        <v>2140</v>
      </c>
      <c r="Q572" s="3">
        <f t="shared" si="59"/>
        <v>0</v>
      </c>
      <c r="R572" s="3">
        <f t="shared" si="60"/>
        <v>2140</v>
      </c>
      <c r="S572" s="3">
        <f t="shared" si="61"/>
        <v>55330.220000000008</v>
      </c>
      <c r="T572" s="24"/>
      <c r="U572" s="24"/>
      <c r="V572" s="3"/>
      <c r="W572" s="19" t="str">
        <f>IFERROR(VLOOKUP(Banco_Nacion[[#This Row],[RESPONSABLE]],Clientes_Proveedores[[Ruc / Dni]:[Razon Social]],2,0),"")</f>
        <v/>
      </c>
      <c r="X57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7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72" s="3"/>
      <c r="AA572" s="3"/>
      <c r="AB572" s="24" t="str">
        <f>IF(Banco_Nacion[[#This Row],[FECHA]]&gt;0,TEXT(Banco_Nacion[[#This Row],[FECHA]],"mmmm"),0)</f>
        <v>Agosto</v>
      </c>
    </row>
    <row r="573" spans="2:28" x14ac:dyDescent="0.3">
      <c r="B573" s="2">
        <f>IF(Banco_Nacion[[#This Row],[TIPO DE R.]]="R",COUNTIFS($D$4:$D572,"R")+1,"")</f>
        <v>569</v>
      </c>
      <c r="C573" s="19" t="str">
        <f t="shared" si="57"/>
        <v>B-Banco de la Nacion</v>
      </c>
      <c r="D573" s="3" t="s">
        <v>1074</v>
      </c>
      <c r="E573" s="14">
        <v>45887</v>
      </c>
      <c r="F573" s="5"/>
      <c r="G573" s="5" t="s">
        <v>1079</v>
      </c>
      <c r="H573" s="6"/>
      <c r="I573" s="6"/>
      <c r="J573" s="6"/>
      <c r="K573" s="6"/>
      <c r="L573" s="7" t="s">
        <v>4292</v>
      </c>
      <c r="M573" s="8">
        <v>78787878</v>
      </c>
      <c r="N573" s="8" t="str">
        <f t="shared" si="58"/>
        <v>PEN</v>
      </c>
      <c r="O573" s="13"/>
      <c r="P573" s="13">
        <v>3317</v>
      </c>
      <c r="Q573" s="3">
        <f t="shared" si="59"/>
        <v>0</v>
      </c>
      <c r="R573" s="3">
        <f t="shared" si="60"/>
        <v>3317</v>
      </c>
      <c r="S573" s="3">
        <f t="shared" si="61"/>
        <v>52013.220000000008</v>
      </c>
      <c r="T573" s="24"/>
      <c r="U573" s="24"/>
      <c r="V573" s="3"/>
      <c r="W573" s="19" t="str">
        <f>IFERROR(VLOOKUP(Banco_Nacion[[#This Row],[RESPONSABLE]],Clientes_Proveedores[[Ruc / Dni]:[Razon Social]],2,0),"")</f>
        <v/>
      </c>
      <c r="X57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7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73" s="3"/>
      <c r="AA573" s="3"/>
      <c r="AB573" s="24" t="str">
        <f>IF(Banco_Nacion[[#This Row],[FECHA]]&gt;0,TEXT(Banco_Nacion[[#This Row],[FECHA]],"mmmm"),0)</f>
        <v>Agosto</v>
      </c>
    </row>
    <row r="574" spans="2:28" x14ac:dyDescent="0.3">
      <c r="B574" s="2">
        <f>IF(Banco_Nacion[[#This Row],[TIPO DE R.]]="R",COUNTIFS($D$4:$D573,"R")+1,"")</f>
        <v>570</v>
      </c>
      <c r="C574" s="19" t="str">
        <f t="shared" si="57"/>
        <v>B-Banco de la Nacion</v>
      </c>
      <c r="D574" s="3" t="s">
        <v>1074</v>
      </c>
      <c r="E574" s="14">
        <v>45888</v>
      </c>
      <c r="F574" s="5">
        <v>20613110586</v>
      </c>
      <c r="G574" s="5" t="s">
        <v>1087</v>
      </c>
      <c r="H574" s="6"/>
      <c r="I574" s="6"/>
      <c r="J574" s="6"/>
      <c r="K574" s="6"/>
      <c r="L574" s="7" t="s">
        <v>4290</v>
      </c>
      <c r="M574" s="8">
        <v>86476344</v>
      </c>
      <c r="N574" s="8" t="str">
        <f t="shared" si="58"/>
        <v>PEN</v>
      </c>
      <c r="O574" s="13"/>
      <c r="P574" s="13">
        <v>88</v>
      </c>
      <c r="Q574" s="3">
        <f t="shared" si="59"/>
        <v>88</v>
      </c>
      <c r="R574" s="3">
        <f t="shared" si="60"/>
        <v>0</v>
      </c>
      <c r="S574" s="3">
        <f t="shared" si="61"/>
        <v>52101.220000000008</v>
      </c>
      <c r="T574" s="24"/>
      <c r="U574" s="24"/>
      <c r="V574" s="3"/>
      <c r="W574" s="19" t="str">
        <f>IFERROR(VLOOKUP(Banco_Nacion[[#This Row],[RESPONSABLE]],Clientes_Proveedores[[Ruc / Dni]:[Razon Social]],2,0),"")</f>
        <v>ACTIVA SERVICIOS GASTRONOMICOS S.R.L.</v>
      </c>
      <c r="X574" s="19" t="str">
        <f>IF(Banco_Nacion[[#This Row],[TIPO DE MOV.]]="INGRESO",Banco_Nacion[[#This Row],[SERIE]]&amp;Banco_Nacion[[#This Row],[NUMERO]]&amp;Banco_Nacion[[#This Row],[RESPONSABLE]]&amp;Banco_Nacion[[#This Row],[MONTO ]],"")</f>
        <v>2061311058688</v>
      </c>
      <c r="Y57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86476344</v>
      </c>
      <c r="Z574" s="3"/>
      <c r="AA574" s="3"/>
      <c r="AB574" s="24" t="str">
        <f>IF(Banco_Nacion[[#This Row],[FECHA]]&gt;0,TEXT(Banco_Nacion[[#This Row],[FECHA]],"mmmm"),0)</f>
        <v>Agosto</v>
      </c>
    </row>
    <row r="575" spans="2:28" x14ac:dyDescent="0.3">
      <c r="B575" s="2">
        <f>IF(Banco_Nacion[[#This Row],[TIPO DE R.]]="R",COUNTIFS($D$4:$D574,"R")+1,"")</f>
        <v>571</v>
      </c>
      <c r="C575" s="19" t="str">
        <f t="shared" si="57"/>
        <v>B-Banco de la Nacion</v>
      </c>
      <c r="D575" s="3" t="s">
        <v>1074</v>
      </c>
      <c r="E575" s="14">
        <v>45888</v>
      </c>
      <c r="F575" s="5">
        <v>20424092941</v>
      </c>
      <c r="G575" s="5" t="s">
        <v>1087</v>
      </c>
      <c r="H575" s="6"/>
      <c r="I575" s="6"/>
      <c r="J575" s="6"/>
      <c r="K575" s="6"/>
      <c r="L575" s="7" t="s">
        <v>4290</v>
      </c>
      <c r="M575" s="8">
        <v>86476343</v>
      </c>
      <c r="N575" s="8" t="str">
        <f t="shared" si="58"/>
        <v>PEN</v>
      </c>
      <c r="O575" s="13"/>
      <c r="P575" s="13">
        <v>57</v>
      </c>
      <c r="Q575" s="3">
        <f t="shared" si="59"/>
        <v>57</v>
      </c>
      <c r="R575" s="3">
        <f t="shared" si="60"/>
        <v>0</v>
      </c>
      <c r="S575" s="3">
        <f t="shared" si="61"/>
        <v>52158.220000000008</v>
      </c>
      <c r="T575" s="24"/>
      <c r="U575" s="24"/>
      <c r="V575" s="3"/>
      <c r="W575" s="19" t="str">
        <f>IFERROR(VLOOKUP(Banco_Nacion[[#This Row],[RESPONSABLE]],Clientes_Proveedores[[Ruc / Dni]:[Razon Social]],2,0),"")</f>
        <v>TRANSPORTES PEREDA S.R.L.</v>
      </c>
      <c r="X575" s="19" t="str">
        <f>IF(Banco_Nacion[[#This Row],[TIPO DE MOV.]]="INGRESO",Banco_Nacion[[#This Row],[SERIE]]&amp;Banco_Nacion[[#This Row],[NUMERO]]&amp;Banco_Nacion[[#This Row],[RESPONSABLE]]&amp;Banco_Nacion[[#This Row],[MONTO ]],"")</f>
        <v>2042409294157</v>
      </c>
      <c r="Y57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86476343</v>
      </c>
      <c r="Z575" s="3"/>
      <c r="AA575" s="3"/>
      <c r="AB575" s="24" t="str">
        <f>IF(Banco_Nacion[[#This Row],[FECHA]]&gt;0,TEXT(Banco_Nacion[[#This Row],[FECHA]],"mmmm"),0)</f>
        <v>Agosto</v>
      </c>
    </row>
    <row r="576" spans="2:28" x14ac:dyDescent="0.3">
      <c r="B576" s="2">
        <f>IF(Banco_Nacion[[#This Row],[TIPO DE R.]]="R",COUNTIFS($D$4:$D575,"R")+1,"")</f>
        <v>572</v>
      </c>
      <c r="C576" s="19" t="str">
        <f t="shared" si="57"/>
        <v>B-Banco de la Nacion</v>
      </c>
      <c r="D576" s="3" t="s">
        <v>1074</v>
      </c>
      <c r="E576" s="14">
        <v>45888</v>
      </c>
      <c r="F576" s="5">
        <v>20613110586</v>
      </c>
      <c r="G576" s="5" t="s">
        <v>1087</v>
      </c>
      <c r="H576" s="6"/>
      <c r="I576" s="6"/>
      <c r="J576" s="6"/>
      <c r="K576" s="6"/>
      <c r="L576" s="7" t="s">
        <v>4290</v>
      </c>
      <c r="M576" s="8">
        <v>86476342</v>
      </c>
      <c r="N576" s="8" t="str">
        <f t="shared" si="58"/>
        <v>PEN</v>
      </c>
      <c r="O576" s="13"/>
      <c r="P576" s="13">
        <v>103</v>
      </c>
      <c r="Q576" s="3">
        <f t="shared" si="59"/>
        <v>103</v>
      </c>
      <c r="R576" s="3">
        <f t="shared" si="60"/>
        <v>0</v>
      </c>
      <c r="S576" s="3">
        <f t="shared" si="61"/>
        <v>52261.220000000008</v>
      </c>
      <c r="T576" s="24"/>
      <c r="U576" s="24"/>
      <c r="V576" s="3"/>
      <c r="W576" s="19" t="str">
        <f>IFERROR(VLOOKUP(Banco_Nacion[[#This Row],[RESPONSABLE]],Clientes_Proveedores[[Ruc / Dni]:[Razon Social]],2,0),"")</f>
        <v>ACTIVA SERVICIOS GASTRONOMICOS S.R.L.</v>
      </c>
      <c r="X576" s="19" t="str">
        <f>IF(Banco_Nacion[[#This Row],[TIPO DE MOV.]]="INGRESO",Banco_Nacion[[#This Row],[SERIE]]&amp;Banco_Nacion[[#This Row],[NUMERO]]&amp;Banco_Nacion[[#This Row],[RESPONSABLE]]&amp;Banco_Nacion[[#This Row],[MONTO ]],"")</f>
        <v>20613110586103</v>
      </c>
      <c r="Y57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86476342</v>
      </c>
      <c r="Z576" s="3"/>
      <c r="AA576" s="3"/>
      <c r="AB576" s="24" t="str">
        <f>IF(Banco_Nacion[[#This Row],[FECHA]]&gt;0,TEXT(Banco_Nacion[[#This Row],[FECHA]],"mmmm"),0)</f>
        <v>Agosto</v>
      </c>
    </row>
    <row r="577" spans="2:28" x14ac:dyDescent="0.3">
      <c r="B577" s="2">
        <f>IF(Banco_Nacion[[#This Row],[TIPO DE R.]]="R",COUNTIFS($D$4:$D576,"R")+1,"")</f>
        <v>573</v>
      </c>
      <c r="C577" s="19" t="str">
        <f t="shared" si="57"/>
        <v>B-Banco de la Nacion</v>
      </c>
      <c r="D577" s="3" t="s">
        <v>1074</v>
      </c>
      <c r="E577" s="14">
        <v>45888</v>
      </c>
      <c r="F577" s="5">
        <v>20613110586</v>
      </c>
      <c r="G577" s="5" t="s">
        <v>1087</v>
      </c>
      <c r="H577" s="6"/>
      <c r="I577" s="6"/>
      <c r="J577" s="6"/>
      <c r="K577" s="6"/>
      <c r="L577" s="7" t="s">
        <v>4290</v>
      </c>
      <c r="M577" s="8">
        <v>86476341</v>
      </c>
      <c r="N577" s="8" t="str">
        <f t="shared" si="58"/>
        <v>PEN</v>
      </c>
      <c r="O577" s="13"/>
      <c r="P577" s="13">
        <v>89</v>
      </c>
      <c r="Q577" s="3">
        <f t="shared" si="59"/>
        <v>89</v>
      </c>
      <c r="R577" s="3">
        <f t="shared" si="60"/>
        <v>0</v>
      </c>
      <c r="S577" s="3">
        <f t="shared" si="61"/>
        <v>52350.220000000008</v>
      </c>
      <c r="T577" s="24"/>
      <c r="U577" s="24"/>
      <c r="V577" s="3"/>
      <c r="W577" s="19" t="str">
        <f>IFERROR(VLOOKUP(Banco_Nacion[[#This Row],[RESPONSABLE]],Clientes_Proveedores[[Ruc / Dni]:[Razon Social]],2,0),"")</f>
        <v>ACTIVA SERVICIOS GASTRONOMICOS S.R.L.</v>
      </c>
      <c r="X577" s="19" t="str">
        <f>IF(Banco_Nacion[[#This Row],[TIPO DE MOV.]]="INGRESO",Banco_Nacion[[#This Row],[SERIE]]&amp;Banco_Nacion[[#This Row],[NUMERO]]&amp;Banco_Nacion[[#This Row],[RESPONSABLE]]&amp;Banco_Nacion[[#This Row],[MONTO ]],"")</f>
        <v>2061311058689</v>
      </c>
      <c r="Y57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86476341</v>
      </c>
      <c r="Z577" s="3"/>
      <c r="AA577" s="3"/>
      <c r="AB577" s="24" t="str">
        <f>IF(Banco_Nacion[[#This Row],[FECHA]]&gt;0,TEXT(Banco_Nacion[[#This Row],[FECHA]],"mmmm"),0)</f>
        <v>Agosto</v>
      </c>
    </row>
    <row r="578" spans="2:28" x14ac:dyDescent="0.3">
      <c r="B578" s="2">
        <f>IF(Banco_Nacion[[#This Row],[TIPO DE R.]]="R",COUNTIFS($D$4:$D577,"R")+1,"")</f>
        <v>574</v>
      </c>
      <c r="C578" s="19" t="str">
        <f t="shared" si="57"/>
        <v>B-Banco de la Nacion</v>
      </c>
      <c r="D578" s="3" t="s">
        <v>1074</v>
      </c>
      <c r="E578" s="14">
        <v>45888</v>
      </c>
      <c r="F578" s="5">
        <v>20454205660</v>
      </c>
      <c r="G578" s="5" t="s">
        <v>1087</v>
      </c>
      <c r="H578" s="6"/>
      <c r="I578" s="6"/>
      <c r="J578" s="6"/>
      <c r="K578" s="6"/>
      <c r="L578" s="7" t="s">
        <v>4290</v>
      </c>
      <c r="M578" s="8">
        <v>86476340</v>
      </c>
      <c r="N578" s="8" t="str">
        <f t="shared" si="58"/>
        <v>PEN</v>
      </c>
      <c r="O578" s="13"/>
      <c r="P578" s="13">
        <v>32</v>
      </c>
      <c r="Q578" s="3">
        <f t="shared" si="59"/>
        <v>32</v>
      </c>
      <c r="R578" s="3">
        <f t="shared" si="60"/>
        <v>0</v>
      </c>
      <c r="S578" s="3">
        <f t="shared" si="61"/>
        <v>52382.220000000008</v>
      </c>
      <c r="T578" s="24"/>
      <c r="U578" s="24"/>
      <c r="V578" s="3"/>
      <c r="W578" s="19" t="str">
        <f>IFERROR(VLOOKUP(Banco_Nacion[[#This Row],[RESPONSABLE]],Clientes_Proveedores[[Ruc / Dni]:[Razon Social]],2,0),"")</f>
        <v>AQP NEGOCIOS GENERALES S.A.</v>
      </c>
      <c r="X578" s="19" t="str">
        <f>IF(Banco_Nacion[[#This Row],[TIPO DE MOV.]]="INGRESO",Banco_Nacion[[#This Row],[SERIE]]&amp;Banco_Nacion[[#This Row],[NUMERO]]&amp;Banco_Nacion[[#This Row],[RESPONSABLE]]&amp;Banco_Nacion[[#This Row],[MONTO ]],"")</f>
        <v>2045420566032</v>
      </c>
      <c r="Y57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86476340</v>
      </c>
      <c r="Z578" s="3"/>
      <c r="AA578" s="3"/>
      <c r="AB578" s="24" t="str">
        <f>IF(Banco_Nacion[[#This Row],[FECHA]]&gt;0,TEXT(Banco_Nacion[[#This Row],[FECHA]],"mmmm"),0)</f>
        <v>Agosto</v>
      </c>
    </row>
    <row r="579" spans="2:28" x14ac:dyDescent="0.3">
      <c r="B579" s="2">
        <f>IF(Banco_Nacion[[#This Row],[TIPO DE R.]]="R",COUNTIFS($D$4:$D578,"R")+1,"")</f>
        <v>575</v>
      </c>
      <c r="C579" s="19" t="str">
        <f t="shared" si="57"/>
        <v>B-Banco de la Nacion</v>
      </c>
      <c r="D579" s="3" t="s">
        <v>1074</v>
      </c>
      <c r="E579" s="14">
        <v>45888</v>
      </c>
      <c r="F579" s="5">
        <v>20613110586</v>
      </c>
      <c r="G579" s="5" t="s">
        <v>1087</v>
      </c>
      <c r="H579" s="6"/>
      <c r="I579" s="6"/>
      <c r="J579" s="6"/>
      <c r="K579" s="6"/>
      <c r="L579" s="7" t="s">
        <v>4290</v>
      </c>
      <c r="M579" s="8">
        <v>86476339</v>
      </c>
      <c r="N579" s="8" t="str">
        <f t="shared" si="58"/>
        <v>PEN</v>
      </c>
      <c r="O579" s="13"/>
      <c r="P579" s="13">
        <v>89</v>
      </c>
      <c r="Q579" s="3">
        <f t="shared" si="59"/>
        <v>89</v>
      </c>
      <c r="R579" s="3">
        <f t="shared" si="60"/>
        <v>0</v>
      </c>
      <c r="S579" s="3">
        <f t="shared" si="61"/>
        <v>52471.220000000008</v>
      </c>
      <c r="T579" s="24"/>
      <c r="U579" s="24"/>
      <c r="V579" s="3"/>
      <c r="W579" s="19" t="str">
        <f>IFERROR(VLOOKUP(Banco_Nacion[[#This Row],[RESPONSABLE]],Clientes_Proveedores[[Ruc / Dni]:[Razon Social]],2,0),"")</f>
        <v>ACTIVA SERVICIOS GASTRONOMICOS S.R.L.</v>
      </c>
      <c r="X579" s="19" t="str">
        <f>IF(Banco_Nacion[[#This Row],[TIPO DE MOV.]]="INGRESO",Banco_Nacion[[#This Row],[SERIE]]&amp;Banco_Nacion[[#This Row],[NUMERO]]&amp;Banco_Nacion[[#This Row],[RESPONSABLE]]&amp;Banco_Nacion[[#This Row],[MONTO ]],"")</f>
        <v>2061311058689</v>
      </c>
      <c r="Y57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86476339</v>
      </c>
      <c r="Z579" s="3"/>
      <c r="AA579" s="3"/>
      <c r="AB579" s="24" t="str">
        <f>IF(Banco_Nacion[[#This Row],[FECHA]]&gt;0,TEXT(Banco_Nacion[[#This Row],[FECHA]],"mmmm"),0)</f>
        <v>Agosto</v>
      </c>
    </row>
    <row r="580" spans="2:28" x14ac:dyDescent="0.3">
      <c r="B580" s="2">
        <f>IF(Banco_Nacion[[#This Row],[TIPO DE R.]]="R",COUNTIFS($D$4:$D579,"R")+1,"")</f>
        <v>576</v>
      </c>
      <c r="C580" s="19" t="str">
        <f t="shared" si="57"/>
        <v>B-Banco de la Nacion</v>
      </c>
      <c r="D580" s="3" t="s">
        <v>1074</v>
      </c>
      <c r="E580" s="14">
        <v>45888</v>
      </c>
      <c r="F580" s="5">
        <v>20456012427</v>
      </c>
      <c r="G580" s="5" t="s">
        <v>1087</v>
      </c>
      <c r="H580" s="6"/>
      <c r="I580" s="6"/>
      <c r="J580" s="6"/>
      <c r="K580" s="6"/>
      <c r="L580" s="7" t="s">
        <v>4290</v>
      </c>
      <c r="M580" s="8">
        <v>86476338</v>
      </c>
      <c r="N580" s="8" t="str">
        <f t="shared" si="58"/>
        <v>PEN</v>
      </c>
      <c r="O580" s="13"/>
      <c r="P580" s="13">
        <v>120</v>
      </c>
      <c r="Q580" s="3">
        <f t="shared" si="59"/>
        <v>120</v>
      </c>
      <c r="R580" s="3">
        <f t="shared" si="60"/>
        <v>0</v>
      </c>
      <c r="S580" s="3">
        <f t="shared" si="61"/>
        <v>52591.220000000008</v>
      </c>
      <c r="T580" s="24"/>
      <c r="U580" s="24"/>
      <c r="V580" s="3"/>
      <c r="W580" s="19" t="str">
        <f>IFERROR(VLOOKUP(Banco_Nacion[[#This Row],[RESPONSABLE]],Clientes_Proveedores[[Ruc / Dni]:[Razon Social]],2,0),"")</f>
        <v>J. CH. COMERCIALIZADORA DE RESIDUOS SOLIDOS S.R.L.</v>
      </c>
      <c r="X580" s="19" t="str">
        <f>IF(Banco_Nacion[[#This Row],[TIPO DE MOV.]]="INGRESO",Banco_Nacion[[#This Row],[SERIE]]&amp;Banco_Nacion[[#This Row],[NUMERO]]&amp;Banco_Nacion[[#This Row],[RESPONSABLE]]&amp;Banco_Nacion[[#This Row],[MONTO ]],"")</f>
        <v>20456012427120</v>
      </c>
      <c r="Y58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86476338</v>
      </c>
      <c r="Z580" s="3"/>
      <c r="AA580" s="3"/>
      <c r="AB580" s="24" t="str">
        <f>IF(Banco_Nacion[[#This Row],[FECHA]]&gt;0,TEXT(Banco_Nacion[[#This Row],[FECHA]],"mmmm"),0)</f>
        <v>Agosto</v>
      </c>
    </row>
    <row r="581" spans="2:28" x14ac:dyDescent="0.3">
      <c r="B581" s="2">
        <f>IF(Banco_Nacion[[#This Row],[TIPO DE R.]]="R",COUNTIFS($D$4:$D580,"R")+1,"")</f>
        <v>577</v>
      </c>
      <c r="C581" s="19" t="str">
        <f t="shared" si="57"/>
        <v>B-Banco de la Nacion</v>
      </c>
      <c r="D581" s="3" t="s">
        <v>1074</v>
      </c>
      <c r="E581" s="14">
        <v>45888</v>
      </c>
      <c r="F581" s="5">
        <v>20607095788</v>
      </c>
      <c r="G581" s="5" t="s">
        <v>1087</v>
      </c>
      <c r="H581" s="6"/>
      <c r="I581" s="6"/>
      <c r="J581" s="6"/>
      <c r="K581" s="6"/>
      <c r="L581" s="7" t="s">
        <v>4290</v>
      </c>
      <c r="M581" s="8">
        <v>86476337</v>
      </c>
      <c r="N581" s="8" t="str">
        <f t="shared" si="58"/>
        <v>PEN</v>
      </c>
      <c r="O581" s="13"/>
      <c r="P581" s="13">
        <v>124</v>
      </c>
      <c r="Q581" s="3">
        <f t="shared" si="59"/>
        <v>124</v>
      </c>
      <c r="R581" s="3">
        <f t="shared" si="60"/>
        <v>0</v>
      </c>
      <c r="S581" s="3">
        <f t="shared" si="61"/>
        <v>52715.220000000008</v>
      </c>
      <c r="T581" s="24"/>
      <c r="U581" s="24"/>
      <c r="V581" s="3"/>
      <c r="W581" s="19" t="str">
        <f>IFERROR(VLOOKUP(Banco_Nacion[[#This Row],[RESPONSABLE]],Clientes_Proveedores[[Ruc / Dni]:[Razon Social]],2,0),"")</f>
        <v>TJM EQUIPOS Y CONSTRUCCION S.C.R.L.</v>
      </c>
      <c r="X581" s="19" t="str">
        <f>IF(Banco_Nacion[[#This Row],[TIPO DE MOV.]]="INGRESO",Banco_Nacion[[#This Row],[SERIE]]&amp;Banco_Nacion[[#This Row],[NUMERO]]&amp;Banco_Nacion[[#This Row],[RESPONSABLE]]&amp;Banco_Nacion[[#This Row],[MONTO ]],"")</f>
        <v>20607095788124</v>
      </c>
      <c r="Y58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86476337</v>
      </c>
      <c r="Z581" s="3"/>
      <c r="AA581" s="3"/>
      <c r="AB581" s="24" t="str">
        <f>IF(Banco_Nacion[[#This Row],[FECHA]]&gt;0,TEXT(Banco_Nacion[[#This Row],[FECHA]],"mmmm"),0)</f>
        <v>Agosto</v>
      </c>
    </row>
    <row r="582" spans="2:28" x14ac:dyDescent="0.3">
      <c r="B582" s="2">
        <f>IF(Banco_Nacion[[#This Row],[TIPO DE R.]]="R",COUNTIFS($D$4:$D581,"R")+1,"")</f>
        <v>578</v>
      </c>
      <c r="C582" s="19" t="str">
        <f t="shared" si="57"/>
        <v>B-Banco de la Nacion</v>
      </c>
      <c r="D582" s="3" t="s">
        <v>1074</v>
      </c>
      <c r="E582" s="14">
        <v>45888</v>
      </c>
      <c r="F582" s="5">
        <v>20613110586</v>
      </c>
      <c r="G582" s="5" t="s">
        <v>1087</v>
      </c>
      <c r="H582" s="6"/>
      <c r="I582" s="6"/>
      <c r="J582" s="6"/>
      <c r="K582" s="6"/>
      <c r="L582" s="7" t="s">
        <v>4290</v>
      </c>
      <c r="M582" s="8">
        <v>86476336</v>
      </c>
      <c r="N582" s="8" t="str">
        <f t="shared" si="58"/>
        <v>PEN</v>
      </c>
      <c r="O582" s="13"/>
      <c r="P582" s="13">
        <v>97</v>
      </c>
      <c r="Q582" s="3">
        <f t="shared" si="59"/>
        <v>97</v>
      </c>
      <c r="R582" s="3">
        <f t="shared" si="60"/>
        <v>0</v>
      </c>
      <c r="S582" s="3">
        <f t="shared" si="61"/>
        <v>52812.220000000008</v>
      </c>
      <c r="T582" s="24"/>
      <c r="U582" s="24"/>
      <c r="V582" s="3"/>
      <c r="W582" s="19" t="str">
        <f>IFERROR(VLOOKUP(Banco_Nacion[[#This Row],[RESPONSABLE]],Clientes_Proveedores[[Ruc / Dni]:[Razon Social]],2,0),"")</f>
        <v>ACTIVA SERVICIOS GASTRONOMICOS S.R.L.</v>
      </c>
      <c r="X582" s="19" t="str">
        <f>IF(Banco_Nacion[[#This Row],[TIPO DE MOV.]]="INGRESO",Banco_Nacion[[#This Row],[SERIE]]&amp;Banco_Nacion[[#This Row],[NUMERO]]&amp;Banco_Nacion[[#This Row],[RESPONSABLE]]&amp;Banco_Nacion[[#This Row],[MONTO ]],"")</f>
        <v>2061311058697</v>
      </c>
      <c r="Y58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86476336</v>
      </c>
      <c r="Z582" s="3"/>
      <c r="AA582" s="3"/>
      <c r="AB582" s="24" t="str">
        <f>IF(Banco_Nacion[[#This Row],[FECHA]]&gt;0,TEXT(Banco_Nacion[[#This Row],[FECHA]],"mmmm"),0)</f>
        <v>Agosto</v>
      </c>
    </row>
    <row r="583" spans="2:28" x14ac:dyDescent="0.3">
      <c r="B583" s="2">
        <f>IF(Banco_Nacion[[#This Row],[TIPO DE R.]]="R",COUNTIFS($D$4:$D582,"R")+1,"")</f>
        <v>579</v>
      </c>
      <c r="C583" s="19" t="str">
        <f t="shared" si="57"/>
        <v>B-Banco de la Nacion</v>
      </c>
      <c r="D583" s="3" t="s">
        <v>1074</v>
      </c>
      <c r="E583" s="14">
        <v>45888</v>
      </c>
      <c r="F583" s="5">
        <v>20456012427</v>
      </c>
      <c r="G583" s="5" t="s">
        <v>1087</v>
      </c>
      <c r="H583" s="6"/>
      <c r="I583" s="6"/>
      <c r="J583" s="6"/>
      <c r="K583" s="6"/>
      <c r="L583" s="7" t="s">
        <v>4290</v>
      </c>
      <c r="M583" s="8">
        <v>86476335</v>
      </c>
      <c r="N583" s="8" t="str">
        <f t="shared" si="58"/>
        <v>PEN</v>
      </c>
      <c r="O583" s="13"/>
      <c r="P583" s="13">
        <v>246</v>
      </c>
      <c r="Q583" s="3">
        <f t="shared" si="59"/>
        <v>246</v>
      </c>
      <c r="R583" s="3">
        <f t="shared" si="60"/>
        <v>0</v>
      </c>
      <c r="S583" s="3">
        <f t="shared" si="61"/>
        <v>53058.220000000008</v>
      </c>
      <c r="T583" s="24"/>
      <c r="U583" s="24"/>
      <c r="V583" s="3"/>
      <c r="W583" s="19" t="str">
        <f>IFERROR(VLOOKUP(Banco_Nacion[[#This Row],[RESPONSABLE]],Clientes_Proveedores[[Ruc / Dni]:[Razon Social]],2,0),"")</f>
        <v>J. CH. COMERCIALIZADORA DE RESIDUOS SOLIDOS S.R.L.</v>
      </c>
      <c r="X583" s="19" t="str">
        <f>IF(Banco_Nacion[[#This Row],[TIPO DE MOV.]]="INGRESO",Banco_Nacion[[#This Row],[SERIE]]&amp;Banco_Nacion[[#This Row],[NUMERO]]&amp;Banco_Nacion[[#This Row],[RESPONSABLE]]&amp;Banco_Nacion[[#This Row],[MONTO ]],"")</f>
        <v>20456012427246</v>
      </c>
      <c r="Y58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86476335</v>
      </c>
      <c r="Z583" s="3"/>
      <c r="AA583" s="3"/>
      <c r="AB583" s="24" t="str">
        <f>IF(Banco_Nacion[[#This Row],[FECHA]]&gt;0,TEXT(Banco_Nacion[[#This Row],[FECHA]],"mmmm"),0)</f>
        <v>Agosto</v>
      </c>
    </row>
    <row r="584" spans="2:28" x14ac:dyDescent="0.3">
      <c r="B584" s="2">
        <f>IF(Banco_Nacion[[#This Row],[TIPO DE R.]]="R",COUNTIFS($D$4:$D583,"R")+1,"")</f>
        <v>580</v>
      </c>
      <c r="C584" s="19" t="str">
        <f t="shared" si="57"/>
        <v>B-Banco de la Nacion</v>
      </c>
      <c r="D584" s="3" t="s">
        <v>1074</v>
      </c>
      <c r="E584" s="14">
        <v>45888</v>
      </c>
      <c r="F584" s="5">
        <v>20558253861</v>
      </c>
      <c r="G584" s="5" t="s">
        <v>1087</v>
      </c>
      <c r="H584" s="6"/>
      <c r="I584" s="6"/>
      <c r="J584" s="6"/>
      <c r="K584" s="6"/>
      <c r="L584" s="7" t="s">
        <v>4290</v>
      </c>
      <c r="M584" s="8">
        <v>86476334</v>
      </c>
      <c r="N584" s="8" t="str">
        <f t="shared" si="58"/>
        <v>PEN</v>
      </c>
      <c r="O584" s="13"/>
      <c r="P584" s="13">
        <v>568</v>
      </c>
      <c r="Q584" s="3">
        <f t="shared" si="59"/>
        <v>568</v>
      </c>
      <c r="R584" s="3">
        <f t="shared" si="60"/>
        <v>0</v>
      </c>
      <c r="S584" s="3">
        <f t="shared" si="61"/>
        <v>53626.220000000008</v>
      </c>
      <c r="T584" s="24"/>
      <c r="U584" s="24"/>
      <c r="V584" s="3"/>
      <c r="W584" s="19" t="str">
        <f>IFERROR(VLOOKUP(Banco_Nacion[[#This Row],[RESPONSABLE]],Clientes_Proveedores[[Ruc / Dni]:[Razon Social]],2,0),"")</f>
        <v>AZ ARQUITECTOS E.I.R.L.</v>
      </c>
      <c r="X584" s="19" t="str">
        <f>IF(Banco_Nacion[[#This Row],[TIPO DE MOV.]]="INGRESO",Banco_Nacion[[#This Row],[SERIE]]&amp;Banco_Nacion[[#This Row],[NUMERO]]&amp;Banco_Nacion[[#This Row],[RESPONSABLE]]&amp;Banco_Nacion[[#This Row],[MONTO ]],"")</f>
        <v>20558253861568</v>
      </c>
      <c r="Y58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86476334</v>
      </c>
      <c r="Z584" s="3"/>
      <c r="AA584" s="3"/>
      <c r="AB584" s="24" t="str">
        <f>IF(Banco_Nacion[[#This Row],[FECHA]]&gt;0,TEXT(Banco_Nacion[[#This Row],[FECHA]],"mmmm"),0)</f>
        <v>Agosto</v>
      </c>
    </row>
    <row r="585" spans="2:28" x14ac:dyDescent="0.3">
      <c r="B585" s="2">
        <f>IF(Banco_Nacion[[#This Row],[TIPO DE R.]]="R",COUNTIFS($D$4:$D584,"R")+1,"")</f>
        <v>581</v>
      </c>
      <c r="C585" s="19" t="str">
        <f t="shared" si="57"/>
        <v>B-Banco de la Nacion</v>
      </c>
      <c r="D585" s="3" t="s">
        <v>1074</v>
      </c>
      <c r="E585" s="14">
        <v>45888</v>
      </c>
      <c r="F585" s="5">
        <v>20613110586</v>
      </c>
      <c r="G585" s="5" t="s">
        <v>1087</v>
      </c>
      <c r="H585" s="6"/>
      <c r="I585" s="6"/>
      <c r="J585" s="6"/>
      <c r="K585" s="6"/>
      <c r="L585" s="7" t="s">
        <v>4290</v>
      </c>
      <c r="M585" s="8">
        <v>86476333</v>
      </c>
      <c r="N585" s="8" t="str">
        <f t="shared" si="58"/>
        <v>PEN</v>
      </c>
      <c r="O585" s="13"/>
      <c r="P585" s="13">
        <v>93</v>
      </c>
      <c r="Q585" s="3">
        <f t="shared" si="59"/>
        <v>93</v>
      </c>
      <c r="R585" s="3">
        <f t="shared" si="60"/>
        <v>0</v>
      </c>
      <c r="S585" s="3">
        <f t="shared" si="61"/>
        <v>53719.220000000008</v>
      </c>
      <c r="T585" s="24"/>
      <c r="U585" s="24"/>
      <c r="V585" s="3"/>
      <c r="W585" s="19" t="str">
        <f>IFERROR(VLOOKUP(Banco_Nacion[[#This Row],[RESPONSABLE]],Clientes_Proveedores[[Ruc / Dni]:[Razon Social]],2,0),"")</f>
        <v>ACTIVA SERVICIOS GASTRONOMICOS S.R.L.</v>
      </c>
      <c r="X585" s="19" t="str">
        <f>IF(Banco_Nacion[[#This Row],[TIPO DE MOV.]]="INGRESO",Banco_Nacion[[#This Row],[SERIE]]&amp;Banco_Nacion[[#This Row],[NUMERO]]&amp;Banco_Nacion[[#This Row],[RESPONSABLE]]&amp;Banco_Nacion[[#This Row],[MONTO ]],"")</f>
        <v>2061311058693</v>
      </c>
      <c r="Y58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86476333</v>
      </c>
      <c r="Z585" s="3"/>
      <c r="AA585" s="3"/>
      <c r="AB585" s="24" t="str">
        <f>IF(Banco_Nacion[[#This Row],[FECHA]]&gt;0,TEXT(Banco_Nacion[[#This Row],[FECHA]],"mmmm"),0)</f>
        <v>Agosto</v>
      </c>
    </row>
    <row r="586" spans="2:28" x14ac:dyDescent="0.3">
      <c r="B586" s="2">
        <f>IF(Banco_Nacion[[#This Row],[TIPO DE R.]]="R",COUNTIFS($D$4:$D585,"R")+1,"")</f>
        <v>582</v>
      </c>
      <c r="C586" s="19" t="str">
        <f>"B-Banco de la Nacion"</f>
        <v>B-Banco de la Nacion</v>
      </c>
      <c r="D586" s="3" t="s">
        <v>1074</v>
      </c>
      <c r="E586" s="14">
        <v>45891</v>
      </c>
      <c r="F586" s="5">
        <v>20100055237</v>
      </c>
      <c r="G586" s="5" t="s">
        <v>1087</v>
      </c>
      <c r="H586" s="6"/>
      <c r="I586" s="6"/>
      <c r="J586" s="6"/>
      <c r="K586" s="6"/>
      <c r="L586" s="7" t="s">
        <v>4290</v>
      </c>
      <c r="M586" s="8">
        <v>86872165</v>
      </c>
      <c r="N586" s="8" t="str">
        <f>"PEN"</f>
        <v>PEN</v>
      </c>
      <c r="O586" s="13"/>
      <c r="P586" s="13">
        <v>127</v>
      </c>
      <c r="Q586" s="3">
        <f>+IF(OR($G586="SALDO",$G586="INGRESO"),$P586,0)</f>
        <v>127</v>
      </c>
      <c r="R586" s="3">
        <f>+IF($G586="EGRESO",$P586,0)</f>
        <v>0</v>
      </c>
      <c r="S586" s="3">
        <f>IFERROR(IF(G586="SALDO",Q586,S585+Q586-R586),0)</f>
        <v>53846.220000000008</v>
      </c>
      <c r="T586" s="24"/>
      <c r="U586" s="24"/>
      <c r="V586" s="3"/>
      <c r="W586" s="19" t="str">
        <f>IFERROR(VLOOKUP(Banco_Nacion[[#This Row],[RESPONSABLE]],Clientes_Proveedores[[Ruc / Dni]:[Razon Social]],2,0),"")</f>
        <v>ALICORP SAA</v>
      </c>
      <c r="X586" s="19" t="str">
        <f>IF(Banco_Nacion[[#This Row],[TIPO DE MOV.]]="INGRESO",Banco_Nacion[[#This Row],[SERIE]]&amp;Banco_Nacion[[#This Row],[NUMERO]]&amp;Banco_Nacion[[#This Row],[RESPONSABLE]]&amp;Banco_Nacion[[#This Row],[MONTO ]],"")</f>
        <v>20100055237127</v>
      </c>
      <c r="Y58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86872165</v>
      </c>
      <c r="Z586" s="3"/>
      <c r="AA586" s="3"/>
      <c r="AB586" s="24" t="str">
        <f>IF(Banco_Nacion[[#This Row],[FECHA]]&gt;0,TEXT(Banco_Nacion[[#This Row],[FECHA]],"mmmm"),0)</f>
        <v>Agosto</v>
      </c>
    </row>
    <row r="587" spans="2:28" x14ac:dyDescent="0.3">
      <c r="B587" s="2">
        <f>IF(Banco_Nacion[[#This Row],[TIPO DE R.]]="R",COUNTIFS($D$4:$D586,"R")+1,"")</f>
        <v>583</v>
      </c>
      <c r="C587" s="19" t="str">
        <f>"B-Banco de la Nacion"</f>
        <v>B-Banco de la Nacion</v>
      </c>
      <c r="D587" s="3" t="s">
        <v>1074</v>
      </c>
      <c r="E587" s="14">
        <v>45891</v>
      </c>
      <c r="F587" s="5"/>
      <c r="G587" s="5" t="s">
        <v>1079</v>
      </c>
      <c r="H587" s="6"/>
      <c r="I587" s="6"/>
      <c r="J587" s="6"/>
      <c r="K587" s="6"/>
      <c r="L587" s="198" t="s">
        <v>4292</v>
      </c>
      <c r="M587" s="8">
        <v>78787878</v>
      </c>
      <c r="N587" s="8" t="str">
        <f>"PEN"</f>
        <v>PEN</v>
      </c>
      <c r="O587" s="13"/>
      <c r="P587" s="13">
        <v>3849</v>
      </c>
      <c r="Q587" s="3">
        <f>+IF(OR($G587="SALDO",$G587="INGRESO"),$P587,0)</f>
        <v>0</v>
      </c>
      <c r="R587" s="3">
        <f>+IF($G587="EGRESO",$P587,0)</f>
        <v>3849</v>
      </c>
      <c r="S587" s="3">
        <f>IFERROR(IF(G587="SALDO",Q587,S586+Q587-R587),0)</f>
        <v>49997.220000000008</v>
      </c>
      <c r="T587" s="24"/>
      <c r="U587" s="24"/>
      <c r="V587" s="3"/>
      <c r="W587" s="19" t="str">
        <f>IFERROR(VLOOKUP(Banco_Nacion[[#This Row],[RESPONSABLE]],Clientes_Proveedores[[Ruc / Dni]:[Razon Social]],2,0),"")</f>
        <v/>
      </c>
      <c r="X58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8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87" s="3"/>
      <c r="AA587" s="3"/>
      <c r="AB587" s="24" t="str">
        <f>IF(Banco_Nacion[[#This Row],[FECHA]]&gt;0,TEXT(Banco_Nacion[[#This Row],[FECHA]],"mmmm"),0)</f>
        <v>Agosto</v>
      </c>
    </row>
    <row r="588" spans="2:28" x14ac:dyDescent="0.3">
      <c r="B588" s="195">
        <f>IF(Banco_Nacion[[#This Row],[TIPO DE R.]]="R",COUNTIFS($D$4:$D587,"R")+1,"")</f>
        <v>584</v>
      </c>
      <c r="C588" s="19" t="str">
        <f t="shared" ref="C588:C726" si="62">"B-Banco de la Nacion"</f>
        <v>B-Banco de la Nacion</v>
      </c>
      <c r="D588" s="3" t="s">
        <v>1074</v>
      </c>
      <c r="E588" s="196">
        <v>45894</v>
      </c>
      <c r="F588" s="197">
        <v>20424092941</v>
      </c>
      <c r="G588" s="5" t="s">
        <v>1087</v>
      </c>
      <c r="H588" s="6"/>
      <c r="I588" s="6"/>
      <c r="J588" s="6"/>
      <c r="K588" s="6"/>
      <c r="L588" s="198" t="s">
        <v>4290</v>
      </c>
      <c r="M588" s="199">
        <v>86970420</v>
      </c>
      <c r="N588" s="199" t="str">
        <f t="shared" ref="N588:N726" si="63">"PEN"</f>
        <v>PEN</v>
      </c>
      <c r="O588" s="13"/>
      <c r="P588" s="200">
        <v>96</v>
      </c>
      <c r="Q588" s="201">
        <f t="shared" ref="Q588:Q726" si="64">+IF(OR($G588="SALDO",$G588="INGRESO"),$P588,0)</f>
        <v>96</v>
      </c>
      <c r="R588" s="201">
        <f t="shared" ref="R588:R726" si="65">+IF($G588="EGRESO",$P588,0)</f>
        <v>0</v>
      </c>
      <c r="S588" s="201">
        <f t="shared" ref="S588:S591" si="66">IFERROR(IF(G588="SALDO",Q588,S587+Q588-R588),0)</f>
        <v>50093.220000000008</v>
      </c>
      <c r="T588" s="202"/>
      <c r="U588" s="202"/>
      <c r="V588" s="201"/>
      <c r="W588" s="19" t="str">
        <f>IFERROR(VLOOKUP(Banco_Nacion[[#This Row],[RESPONSABLE]],Clientes_Proveedores[[Ruc / Dni]:[Razon Social]],2,0),"")</f>
        <v>TRANSPORTES PEREDA S.R.L.</v>
      </c>
      <c r="X588" s="19" t="str">
        <f>IF(Banco_Nacion[[#This Row],[TIPO DE MOV.]]="INGRESO",Banco_Nacion[[#This Row],[SERIE]]&amp;Banco_Nacion[[#This Row],[NUMERO]]&amp;Banco_Nacion[[#This Row],[RESPONSABLE]]&amp;Banco_Nacion[[#This Row],[MONTO ]],"")</f>
        <v>2042409294196</v>
      </c>
      <c r="Y58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86970420</v>
      </c>
      <c r="Z588" s="3"/>
      <c r="AA588" s="3"/>
      <c r="AB588" s="24" t="str">
        <f>IF(Banco_Nacion[[#This Row],[FECHA]]&gt;0,TEXT(Banco_Nacion[[#This Row],[FECHA]],"mmmm"),0)</f>
        <v>Agosto</v>
      </c>
    </row>
    <row r="589" spans="2:28" x14ac:dyDescent="0.3">
      <c r="B589" s="195">
        <f>IF(Banco_Nacion[[#This Row],[TIPO DE R.]]="R",COUNTIFS($D$4:$D588,"R")+1,"")</f>
        <v>585</v>
      </c>
      <c r="C589" s="19" t="str">
        <f t="shared" si="62"/>
        <v>B-Banco de la Nacion</v>
      </c>
      <c r="D589" s="3" t="s">
        <v>1074</v>
      </c>
      <c r="E589" s="196">
        <v>45894</v>
      </c>
      <c r="F589" s="197">
        <v>20607388416</v>
      </c>
      <c r="G589" s="5" t="s">
        <v>1087</v>
      </c>
      <c r="H589" s="6"/>
      <c r="I589" s="6"/>
      <c r="J589" s="6"/>
      <c r="K589" s="6"/>
      <c r="L589" s="198" t="s">
        <v>4290</v>
      </c>
      <c r="M589" s="199">
        <v>86942844</v>
      </c>
      <c r="N589" s="199" t="str">
        <f t="shared" si="63"/>
        <v>PEN</v>
      </c>
      <c r="O589" s="13"/>
      <c r="P589" s="200">
        <v>315</v>
      </c>
      <c r="Q589" s="201">
        <f t="shared" si="64"/>
        <v>315</v>
      </c>
      <c r="R589" s="201">
        <f t="shared" si="65"/>
        <v>0</v>
      </c>
      <c r="S589" s="201">
        <f t="shared" si="66"/>
        <v>50408.220000000008</v>
      </c>
      <c r="T589" s="202"/>
      <c r="U589" s="202"/>
      <c r="V589" s="201"/>
      <c r="W589" s="19" t="str">
        <f>IFERROR(VLOOKUP(Banco_Nacion[[#This Row],[RESPONSABLE]],Clientes_Proveedores[[Ruc / Dni]:[Razon Social]],2,0),"")</f>
        <v>ALEACIONES FERROSAS Y METALICAS S.A.C.</v>
      </c>
      <c r="X589" s="19" t="str">
        <f>IF(Banco_Nacion[[#This Row],[TIPO DE MOV.]]="INGRESO",Banco_Nacion[[#This Row],[SERIE]]&amp;Banco_Nacion[[#This Row],[NUMERO]]&amp;Banco_Nacion[[#This Row],[RESPONSABLE]]&amp;Banco_Nacion[[#This Row],[MONTO ]],"")</f>
        <v>20607388416315</v>
      </c>
      <c r="Y58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86942844</v>
      </c>
      <c r="Z589" s="3"/>
      <c r="AA589" s="3"/>
      <c r="AB589" s="24" t="str">
        <f>IF(Banco_Nacion[[#This Row],[FECHA]]&gt;0,TEXT(Banco_Nacion[[#This Row],[FECHA]],"mmmm"),0)</f>
        <v>Agosto</v>
      </c>
    </row>
    <row r="590" spans="2:28" x14ac:dyDescent="0.3">
      <c r="B590" s="195">
        <f>IF(Banco_Nacion[[#This Row],[TIPO DE R.]]="R",COUNTIFS($D$4:$D589,"R")+1,"")</f>
        <v>586</v>
      </c>
      <c r="C590" s="19" t="str">
        <f t="shared" si="62"/>
        <v>B-Banco de la Nacion</v>
      </c>
      <c r="D590" s="3" t="s">
        <v>1074</v>
      </c>
      <c r="E590" s="196">
        <v>45894</v>
      </c>
      <c r="F590" s="197">
        <v>20607388416</v>
      </c>
      <c r="G590" s="5" t="s">
        <v>1087</v>
      </c>
      <c r="H590" s="6"/>
      <c r="I590" s="6"/>
      <c r="J590" s="6"/>
      <c r="K590" s="6"/>
      <c r="L590" s="198" t="s">
        <v>4290</v>
      </c>
      <c r="M590" s="199">
        <v>86942841</v>
      </c>
      <c r="N590" s="199" t="str">
        <f t="shared" si="63"/>
        <v>PEN</v>
      </c>
      <c r="O590" s="13"/>
      <c r="P590" s="200">
        <v>183</v>
      </c>
      <c r="Q590" s="201">
        <f t="shared" si="64"/>
        <v>183</v>
      </c>
      <c r="R590" s="201">
        <f t="shared" si="65"/>
        <v>0</v>
      </c>
      <c r="S590" s="201">
        <f t="shared" si="66"/>
        <v>50591.220000000008</v>
      </c>
      <c r="T590" s="202"/>
      <c r="U590" s="202"/>
      <c r="V590" s="201"/>
      <c r="W590" s="19" t="str">
        <f>IFERROR(VLOOKUP(Banco_Nacion[[#This Row],[RESPONSABLE]],Clientes_Proveedores[[Ruc / Dni]:[Razon Social]],2,0),"")</f>
        <v>ALEACIONES FERROSAS Y METALICAS S.A.C.</v>
      </c>
      <c r="X590" s="19" t="str">
        <f>IF(Banco_Nacion[[#This Row],[TIPO DE MOV.]]="INGRESO",Banco_Nacion[[#This Row],[SERIE]]&amp;Banco_Nacion[[#This Row],[NUMERO]]&amp;Banco_Nacion[[#This Row],[RESPONSABLE]]&amp;Banco_Nacion[[#This Row],[MONTO ]],"")</f>
        <v>20607388416183</v>
      </c>
      <c r="Y59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86942841</v>
      </c>
      <c r="Z590" s="3"/>
      <c r="AA590" s="3"/>
      <c r="AB590" s="24" t="str">
        <f>IF(Banco_Nacion[[#This Row],[FECHA]]&gt;0,TEXT(Banco_Nacion[[#This Row],[FECHA]],"mmmm"),0)</f>
        <v>Agosto</v>
      </c>
    </row>
    <row r="591" spans="2:28" x14ac:dyDescent="0.3">
      <c r="B591" s="195">
        <f>IF(Banco_Nacion[[#This Row],[TIPO DE R.]]="R",COUNTIFS($D$4:$D590,"R")+1,"")</f>
        <v>587</v>
      </c>
      <c r="C591" s="19" t="str">
        <f t="shared" si="62"/>
        <v>B-Banco de la Nacion</v>
      </c>
      <c r="D591" s="3" t="s">
        <v>1074</v>
      </c>
      <c r="E591" s="196">
        <v>45894</v>
      </c>
      <c r="F591" s="197" t="s">
        <v>3556</v>
      </c>
      <c r="G591" s="5" t="s">
        <v>1079</v>
      </c>
      <c r="H591" s="6"/>
      <c r="I591" s="6"/>
      <c r="J591" s="6"/>
      <c r="K591" s="6"/>
      <c r="L591" s="198" t="s">
        <v>4292</v>
      </c>
      <c r="M591" s="199">
        <v>78787878</v>
      </c>
      <c r="N591" s="199" t="str">
        <f t="shared" si="63"/>
        <v>PEN</v>
      </c>
      <c r="O591" s="13"/>
      <c r="P591" s="200">
        <v>12344</v>
      </c>
      <c r="Q591" s="201">
        <f t="shared" si="64"/>
        <v>0</v>
      </c>
      <c r="R591" s="201">
        <f t="shared" si="65"/>
        <v>12344</v>
      </c>
      <c r="S591" s="201">
        <f t="shared" si="66"/>
        <v>38247.220000000008</v>
      </c>
      <c r="T591" s="202"/>
      <c r="U591" s="202"/>
      <c r="V591" s="201"/>
      <c r="W591" s="19" t="str">
        <f>IFERROR(VLOOKUP(Banco_Nacion[[#This Row],[RESPONSABLE]],Clientes_Proveedores[[Ruc / Dni]:[Razon Social]],2,0),"")</f>
        <v/>
      </c>
      <c r="X59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9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91" s="3"/>
      <c r="AA591" s="3"/>
      <c r="AB591" s="24" t="str">
        <f>IF(Banco_Nacion[[#This Row],[FECHA]]&gt;0,TEXT(Banco_Nacion[[#This Row],[FECHA]],"mmmm"),0)</f>
        <v>Agosto</v>
      </c>
    </row>
    <row r="592" spans="2:28" ht="24" x14ac:dyDescent="0.3">
      <c r="B592" s="195" t="str">
        <f>IF(Banco_Nacion[[#This Row],[TIPO DE R.]]="R",COUNTIFS($D$4:$D591,"R")+1,"")</f>
        <v/>
      </c>
      <c r="C592" s="19" t="str">
        <f t="shared" ref="C592:C623" si="67">"B-Banco de la Nacion"</f>
        <v>B-Banco de la Nacion</v>
      </c>
      <c r="D592" s="3" t="s">
        <v>1101</v>
      </c>
      <c r="E592" s="196">
        <v>45894</v>
      </c>
      <c r="F592" s="5" t="s">
        <v>3556</v>
      </c>
      <c r="G592" s="5"/>
      <c r="H592" s="6" t="s">
        <v>954</v>
      </c>
      <c r="I592" s="6" t="s">
        <v>95</v>
      </c>
      <c r="J592" s="6" t="s">
        <v>8041</v>
      </c>
      <c r="K592" s="6">
        <v>1</v>
      </c>
      <c r="L592" s="198"/>
      <c r="M592" s="199">
        <v>78787878</v>
      </c>
      <c r="N592" s="199" t="str">
        <f t="shared" ref="N592:N623" si="68">"PEN"</f>
        <v>PEN</v>
      </c>
      <c r="O592" s="13">
        <v>157.5</v>
      </c>
      <c r="P592" s="200"/>
      <c r="Q592" s="201">
        <f t="shared" ref="Q592:Q623" si="69">+IF(OR($G592="SALDO",$G592="INGRESO"),$P592,0)</f>
        <v>0</v>
      </c>
      <c r="R592" s="201">
        <f t="shared" ref="R592:R623" si="70">+IF($G592="EGRESO",$P592,0)</f>
        <v>0</v>
      </c>
      <c r="S592" s="201">
        <f t="shared" ref="S592:S623" si="71">IFERROR(IF(G592="SALDO",Q592,S591+Q592-R592),0)</f>
        <v>38247.220000000008</v>
      </c>
      <c r="T592" s="202"/>
      <c r="U592" s="202"/>
      <c r="V592" s="201"/>
      <c r="W592" s="19" t="str">
        <f>IFERROR(VLOOKUP(Banco_Nacion[[#This Row],[RESPONSABLE]],Clientes_Proveedores[[Ruc / Dni]:[Razon Social]],2,0),"")</f>
        <v/>
      </c>
      <c r="X59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9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92" s="3"/>
      <c r="AA592" s="3"/>
      <c r="AB592" s="24" t="str">
        <f>IF(Banco_Nacion[[#This Row],[FECHA]]&gt;0,TEXT(Banco_Nacion[[#This Row],[FECHA]],"mmmm"),0)</f>
        <v>Agosto</v>
      </c>
    </row>
    <row r="593" spans="2:28" ht="24" x14ac:dyDescent="0.3">
      <c r="B593" s="195" t="str">
        <f>IF(Banco_Nacion[[#This Row],[TIPO DE R.]]="R",COUNTIFS($D$4:$D592,"R")+1,"")</f>
        <v/>
      </c>
      <c r="C593" s="19" t="str">
        <f t="shared" si="67"/>
        <v>B-Banco de la Nacion</v>
      </c>
      <c r="D593" s="3" t="s">
        <v>1101</v>
      </c>
      <c r="E593" s="196">
        <v>45894</v>
      </c>
      <c r="F593" s="197" t="s">
        <v>3556</v>
      </c>
      <c r="G593" s="5"/>
      <c r="H593" s="6" t="s">
        <v>729</v>
      </c>
      <c r="I593" s="6" t="s">
        <v>95</v>
      </c>
      <c r="J593" s="6" t="s">
        <v>8041</v>
      </c>
      <c r="K593" s="6">
        <v>2</v>
      </c>
      <c r="L593" s="198"/>
      <c r="M593" s="199">
        <v>78787878</v>
      </c>
      <c r="N593" s="199" t="str">
        <f t="shared" si="68"/>
        <v>PEN</v>
      </c>
      <c r="O593" s="13">
        <v>106.44</v>
      </c>
      <c r="P593" s="200"/>
      <c r="Q593" s="201">
        <f t="shared" si="69"/>
        <v>0</v>
      </c>
      <c r="R593" s="201">
        <f t="shared" si="70"/>
        <v>0</v>
      </c>
      <c r="S593" s="201">
        <f t="shared" si="71"/>
        <v>38247.220000000008</v>
      </c>
      <c r="T593" s="202"/>
      <c r="U593" s="202"/>
      <c r="V593" s="201"/>
      <c r="W593" s="19" t="str">
        <f>IFERROR(VLOOKUP(Banco_Nacion[[#This Row],[RESPONSABLE]],Clientes_Proveedores[[Ruc / Dni]:[Razon Social]],2,0),"")</f>
        <v/>
      </c>
      <c r="X59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9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93" s="3"/>
      <c r="AA593" s="3"/>
      <c r="AB593" s="24" t="str">
        <f>IF(Banco_Nacion[[#This Row],[FECHA]]&gt;0,TEXT(Banco_Nacion[[#This Row],[FECHA]],"mmmm"),0)</f>
        <v>Agosto</v>
      </c>
    </row>
    <row r="594" spans="2:28" ht="24" x14ac:dyDescent="0.3">
      <c r="B594" s="195" t="str">
        <f>IF(Banco_Nacion[[#This Row],[TIPO DE R.]]="R",COUNTIFS($D$4:$D593,"R")+1,"")</f>
        <v/>
      </c>
      <c r="C594" s="19" t="str">
        <f t="shared" si="67"/>
        <v>B-Banco de la Nacion</v>
      </c>
      <c r="D594" s="3" t="s">
        <v>1101</v>
      </c>
      <c r="E594" s="196">
        <v>45894</v>
      </c>
      <c r="F594" s="197" t="s">
        <v>3556</v>
      </c>
      <c r="G594" s="5"/>
      <c r="H594" s="6" t="s">
        <v>955</v>
      </c>
      <c r="I594" s="6" t="s">
        <v>95</v>
      </c>
      <c r="J594" s="6" t="s">
        <v>8041</v>
      </c>
      <c r="K594" s="6">
        <v>3</v>
      </c>
      <c r="L594" s="198"/>
      <c r="M594" s="199">
        <v>78787878</v>
      </c>
      <c r="N594" s="199" t="str">
        <f t="shared" si="68"/>
        <v>PEN</v>
      </c>
      <c r="O594" s="13">
        <v>146.21</v>
      </c>
      <c r="P594" s="200"/>
      <c r="Q594" s="201">
        <f t="shared" si="69"/>
        <v>0</v>
      </c>
      <c r="R594" s="201">
        <f t="shared" si="70"/>
        <v>0</v>
      </c>
      <c r="S594" s="201">
        <f t="shared" si="71"/>
        <v>38247.220000000008</v>
      </c>
      <c r="T594" s="202"/>
      <c r="U594" s="202"/>
      <c r="V594" s="201"/>
      <c r="W594" s="19" t="str">
        <f>IFERROR(VLOOKUP(Banco_Nacion[[#This Row],[RESPONSABLE]],Clientes_Proveedores[[Ruc / Dni]:[Razon Social]],2,0),"")</f>
        <v/>
      </c>
      <c r="X59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9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94" s="3"/>
      <c r="AA594" s="3"/>
      <c r="AB594" s="24" t="str">
        <f>IF(Banco_Nacion[[#This Row],[FECHA]]&gt;0,TEXT(Banco_Nacion[[#This Row],[FECHA]],"mmmm"),0)</f>
        <v>Agosto</v>
      </c>
    </row>
    <row r="595" spans="2:28" ht="24" x14ac:dyDescent="0.3">
      <c r="B595" s="195" t="str">
        <f>IF(Banco_Nacion[[#This Row],[TIPO DE R.]]="R",COUNTIFS($D$4:$D594,"R")+1,"")</f>
        <v/>
      </c>
      <c r="C595" s="19" t="str">
        <f t="shared" si="67"/>
        <v>B-Banco de la Nacion</v>
      </c>
      <c r="D595" s="3" t="s">
        <v>1101</v>
      </c>
      <c r="E595" s="196">
        <v>45894</v>
      </c>
      <c r="F595" s="197" t="s">
        <v>3556</v>
      </c>
      <c r="G595" s="5"/>
      <c r="H595" s="6" t="s">
        <v>731</v>
      </c>
      <c r="I595" s="6" t="s">
        <v>95</v>
      </c>
      <c r="J595" s="6" t="s">
        <v>8041</v>
      </c>
      <c r="K595" s="6">
        <v>4</v>
      </c>
      <c r="L595" s="198"/>
      <c r="M595" s="199">
        <v>78787878</v>
      </c>
      <c r="N595" s="199" t="str">
        <f t="shared" si="68"/>
        <v>PEN</v>
      </c>
      <c r="O595" s="13">
        <v>162.9</v>
      </c>
      <c r="P595" s="200"/>
      <c r="Q595" s="201">
        <f t="shared" si="69"/>
        <v>0</v>
      </c>
      <c r="R595" s="201">
        <f t="shared" si="70"/>
        <v>0</v>
      </c>
      <c r="S595" s="201">
        <f t="shared" si="71"/>
        <v>38247.220000000008</v>
      </c>
      <c r="T595" s="202"/>
      <c r="U595" s="202"/>
      <c r="V595" s="201"/>
      <c r="W595" s="19" t="str">
        <f>IFERROR(VLOOKUP(Banco_Nacion[[#This Row],[RESPONSABLE]],Clientes_Proveedores[[Ruc / Dni]:[Razon Social]],2,0),"")</f>
        <v/>
      </c>
      <c r="X59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9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95" s="3"/>
      <c r="AA595" s="3"/>
      <c r="AB595" s="24" t="str">
        <f>IF(Banco_Nacion[[#This Row],[FECHA]]&gt;0,TEXT(Banco_Nacion[[#This Row],[FECHA]],"mmmm"),0)</f>
        <v>Agosto</v>
      </c>
    </row>
    <row r="596" spans="2:28" ht="24" x14ac:dyDescent="0.3">
      <c r="B596" s="195" t="str">
        <f>IF(Banco_Nacion[[#This Row],[TIPO DE R.]]="R",COUNTIFS($D$4:$D595,"R")+1,"")</f>
        <v/>
      </c>
      <c r="C596" s="19" t="str">
        <f t="shared" si="67"/>
        <v>B-Banco de la Nacion</v>
      </c>
      <c r="D596" s="3" t="s">
        <v>1101</v>
      </c>
      <c r="E596" s="196">
        <v>45894</v>
      </c>
      <c r="F596" s="197" t="s">
        <v>3556</v>
      </c>
      <c r="G596" s="5"/>
      <c r="H596" s="6" t="s">
        <v>956</v>
      </c>
      <c r="I596" s="6" t="s">
        <v>95</v>
      </c>
      <c r="J596" s="6" t="s">
        <v>8041</v>
      </c>
      <c r="K596" s="6">
        <v>5</v>
      </c>
      <c r="L596" s="198"/>
      <c r="M596" s="199">
        <v>78787878</v>
      </c>
      <c r="N596" s="199" t="str">
        <f t="shared" si="68"/>
        <v>PEN</v>
      </c>
      <c r="O596" s="13">
        <v>113.6</v>
      </c>
      <c r="P596" s="200"/>
      <c r="Q596" s="201">
        <f t="shared" si="69"/>
        <v>0</v>
      </c>
      <c r="R596" s="201">
        <f t="shared" si="70"/>
        <v>0</v>
      </c>
      <c r="S596" s="201">
        <f t="shared" si="71"/>
        <v>38247.220000000008</v>
      </c>
      <c r="T596" s="202"/>
      <c r="U596" s="202"/>
      <c r="V596" s="201"/>
      <c r="W596" s="19" t="str">
        <f>IFERROR(VLOOKUP(Banco_Nacion[[#This Row],[RESPONSABLE]],Clientes_Proveedores[[Ruc / Dni]:[Razon Social]],2,0),"")</f>
        <v/>
      </c>
      <c r="X59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9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96" s="3"/>
      <c r="AA596" s="3"/>
      <c r="AB596" s="24" t="str">
        <f>IF(Banco_Nacion[[#This Row],[FECHA]]&gt;0,TEXT(Banco_Nacion[[#This Row],[FECHA]],"mmmm"),0)</f>
        <v>Agosto</v>
      </c>
    </row>
    <row r="597" spans="2:28" ht="36" x14ac:dyDescent="0.3">
      <c r="B597" s="195" t="str">
        <f>IF(Banco_Nacion[[#This Row],[TIPO DE R.]]="R",COUNTIFS($D$4:$D596,"R")+1,"")</f>
        <v/>
      </c>
      <c r="C597" s="19" t="str">
        <f t="shared" si="67"/>
        <v>B-Banco de la Nacion</v>
      </c>
      <c r="D597" s="3" t="s">
        <v>1101</v>
      </c>
      <c r="E597" s="196">
        <v>45894</v>
      </c>
      <c r="F597" s="197" t="s">
        <v>3556</v>
      </c>
      <c r="G597" s="5"/>
      <c r="H597" s="6" t="s">
        <v>736</v>
      </c>
      <c r="I597" s="6" t="s">
        <v>95</v>
      </c>
      <c r="J597" s="6" t="s">
        <v>8041</v>
      </c>
      <c r="K597" s="6">
        <v>6</v>
      </c>
      <c r="L597" s="198"/>
      <c r="M597" s="199">
        <v>78787878</v>
      </c>
      <c r="N597" s="199" t="str">
        <f t="shared" si="68"/>
        <v>PEN</v>
      </c>
      <c r="O597" s="13">
        <v>133.97</v>
      </c>
      <c r="P597" s="200"/>
      <c r="Q597" s="201">
        <f t="shared" si="69"/>
        <v>0</v>
      </c>
      <c r="R597" s="201">
        <f t="shared" si="70"/>
        <v>0</v>
      </c>
      <c r="S597" s="201">
        <f t="shared" si="71"/>
        <v>38247.220000000008</v>
      </c>
      <c r="T597" s="202"/>
      <c r="U597" s="202"/>
      <c r="V597" s="201"/>
      <c r="W597" s="19" t="str">
        <f>IFERROR(VLOOKUP(Banco_Nacion[[#This Row],[RESPONSABLE]],Clientes_Proveedores[[Ruc / Dni]:[Razon Social]],2,0),"")</f>
        <v/>
      </c>
      <c r="X59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9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97" s="3"/>
      <c r="AA597" s="3"/>
      <c r="AB597" s="24" t="str">
        <f>IF(Banco_Nacion[[#This Row],[FECHA]]&gt;0,TEXT(Banco_Nacion[[#This Row],[FECHA]],"mmmm"),0)</f>
        <v>Agosto</v>
      </c>
    </row>
    <row r="598" spans="2:28" ht="24" x14ac:dyDescent="0.3">
      <c r="B598" s="195" t="str">
        <f>IF(Banco_Nacion[[#This Row],[TIPO DE R.]]="R",COUNTIFS($D$4:$D597,"R")+1,"")</f>
        <v/>
      </c>
      <c r="C598" s="19" t="str">
        <f t="shared" si="67"/>
        <v>B-Banco de la Nacion</v>
      </c>
      <c r="D598" s="3" t="s">
        <v>1101</v>
      </c>
      <c r="E598" s="196">
        <v>45894</v>
      </c>
      <c r="F598" s="197" t="s">
        <v>3556</v>
      </c>
      <c r="G598" s="5"/>
      <c r="H598" s="6" t="s">
        <v>957</v>
      </c>
      <c r="I598" s="6" t="s">
        <v>95</v>
      </c>
      <c r="J598" s="6" t="s">
        <v>8041</v>
      </c>
      <c r="K598" s="6">
        <v>7</v>
      </c>
      <c r="L598" s="198"/>
      <c r="M598" s="199">
        <v>78787878</v>
      </c>
      <c r="N598" s="199" t="str">
        <f t="shared" si="68"/>
        <v>PEN</v>
      </c>
      <c r="O598" s="13">
        <v>117.46</v>
      </c>
      <c r="P598" s="200"/>
      <c r="Q598" s="201">
        <f t="shared" si="69"/>
        <v>0</v>
      </c>
      <c r="R598" s="201">
        <f t="shared" si="70"/>
        <v>0</v>
      </c>
      <c r="S598" s="201">
        <f t="shared" si="71"/>
        <v>38247.220000000008</v>
      </c>
      <c r="T598" s="202"/>
      <c r="U598" s="202"/>
      <c r="V598" s="201"/>
      <c r="W598" s="19" t="str">
        <f>IFERROR(VLOOKUP(Banco_Nacion[[#This Row],[RESPONSABLE]],Clientes_Proveedores[[Ruc / Dni]:[Razon Social]],2,0),"")</f>
        <v/>
      </c>
      <c r="X59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9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98" s="3"/>
      <c r="AA598" s="3"/>
      <c r="AB598" s="24" t="str">
        <f>IF(Banco_Nacion[[#This Row],[FECHA]]&gt;0,TEXT(Banco_Nacion[[#This Row],[FECHA]],"mmmm"),0)</f>
        <v>Agosto</v>
      </c>
    </row>
    <row r="599" spans="2:28" ht="24" x14ac:dyDescent="0.3">
      <c r="B599" s="195" t="str">
        <f>IF(Banco_Nacion[[#This Row],[TIPO DE R.]]="R",COUNTIFS($D$4:$D598,"R")+1,"")</f>
        <v/>
      </c>
      <c r="C599" s="19" t="str">
        <f t="shared" si="67"/>
        <v>B-Banco de la Nacion</v>
      </c>
      <c r="D599" s="3" t="s">
        <v>1101</v>
      </c>
      <c r="E599" s="196">
        <v>45894</v>
      </c>
      <c r="F599" s="197" t="s">
        <v>3556</v>
      </c>
      <c r="G599" s="5"/>
      <c r="H599" s="6" t="s">
        <v>747</v>
      </c>
      <c r="I599" s="6" t="s">
        <v>95</v>
      </c>
      <c r="J599" s="6" t="s">
        <v>8041</v>
      </c>
      <c r="K599" s="6">
        <v>8</v>
      </c>
      <c r="L599" s="198"/>
      <c r="M599" s="199">
        <v>78787878</v>
      </c>
      <c r="N599" s="199" t="str">
        <f t="shared" si="68"/>
        <v>PEN</v>
      </c>
      <c r="O599" s="13">
        <v>158.66999999999999</v>
      </c>
      <c r="P599" s="200"/>
      <c r="Q599" s="201">
        <f t="shared" si="69"/>
        <v>0</v>
      </c>
      <c r="R599" s="201">
        <f t="shared" si="70"/>
        <v>0</v>
      </c>
      <c r="S599" s="201">
        <f t="shared" si="71"/>
        <v>38247.220000000008</v>
      </c>
      <c r="T599" s="202"/>
      <c r="U599" s="202"/>
      <c r="V599" s="201"/>
      <c r="W599" s="19" t="str">
        <f>IFERROR(VLOOKUP(Banco_Nacion[[#This Row],[RESPONSABLE]],Clientes_Proveedores[[Ruc / Dni]:[Razon Social]],2,0),"")</f>
        <v/>
      </c>
      <c r="X59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59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599" s="3"/>
      <c r="AA599" s="3"/>
      <c r="AB599" s="24" t="str">
        <f>IF(Banco_Nacion[[#This Row],[FECHA]]&gt;0,TEXT(Banco_Nacion[[#This Row],[FECHA]],"mmmm"),0)</f>
        <v>Agosto</v>
      </c>
    </row>
    <row r="600" spans="2:28" ht="24" x14ac:dyDescent="0.3">
      <c r="B600" s="195" t="str">
        <f>IF(Banco_Nacion[[#This Row],[TIPO DE R.]]="R",COUNTIFS($D$4:$D599,"R")+1,"")</f>
        <v/>
      </c>
      <c r="C600" s="19" t="str">
        <f t="shared" si="67"/>
        <v>B-Banco de la Nacion</v>
      </c>
      <c r="D600" s="3" t="s">
        <v>1101</v>
      </c>
      <c r="E600" s="196">
        <v>45894</v>
      </c>
      <c r="F600" s="197" t="s">
        <v>3556</v>
      </c>
      <c r="G600" s="5"/>
      <c r="H600" s="6" t="s">
        <v>750</v>
      </c>
      <c r="I600" s="6" t="s">
        <v>95</v>
      </c>
      <c r="J600" s="6" t="s">
        <v>8041</v>
      </c>
      <c r="K600" s="6">
        <v>9</v>
      </c>
      <c r="L600" s="198"/>
      <c r="M600" s="199">
        <v>78787878</v>
      </c>
      <c r="N600" s="199" t="str">
        <f t="shared" si="68"/>
        <v>PEN</v>
      </c>
      <c r="O600" s="13">
        <v>386.72</v>
      </c>
      <c r="P600" s="200"/>
      <c r="Q600" s="201">
        <f t="shared" si="69"/>
        <v>0</v>
      </c>
      <c r="R600" s="201">
        <f t="shared" si="70"/>
        <v>0</v>
      </c>
      <c r="S600" s="201">
        <f t="shared" si="71"/>
        <v>38247.220000000008</v>
      </c>
      <c r="T600" s="202"/>
      <c r="U600" s="202"/>
      <c r="V600" s="201"/>
      <c r="W600" s="19" t="str">
        <f>IFERROR(VLOOKUP(Banco_Nacion[[#This Row],[RESPONSABLE]],Clientes_Proveedores[[Ruc / Dni]:[Razon Social]],2,0),"")</f>
        <v/>
      </c>
      <c r="X60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0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00" s="3"/>
      <c r="AA600" s="3"/>
      <c r="AB600" s="24" t="str">
        <f>IF(Banco_Nacion[[#This Row],[FECHA]]&gt;0,TEXT(Banco_Nacion[[#This Row],[FECHA]],"mmmm"),0)</f>
        <v>Agosto</v>
      </c>
    </row>
    <row r="601" spans="2:28" ht="24" x14ac:dyDescent="0.3">
      <c r="B601" s="195" t="str">
        <f>IF(Banco_Nacion[[#This Row],[TIPO DE R.]]="R",COUNTIFS($D$4:$D600,"R")+1,"")</f>
        <v/>
      </c>
      <c r="C601" s="19" t="str">
        <f t="shared" si="67"/>
        <v>B-Banco de la Nacion</v>
      </c>
      <c r="D601" s="3" t="s">
        <v>1101</v>
      </c>
      <c r="E601" s="196">
        <v>45894</v>
      </c>
      <c r="F601" s="197" t="s">
        <v>3556</v>
      </c>
      <c r="G601" s="5"/>
      <c r="H601" s="6" t="s">
        <v>753</v>
      </c>
      <c r="I601" s="6" t="s">
        <v>95</v>
      </c>
      <c r="J601" s="6" t="s">
        <v>8041</v>
      </c>
      <c r="K601" s="6">
        <v>10</v>
      </c>
      <c r="L601" s="198"/>
      <c r="M601" s="199">
        <v>78787878</v>
      </c>
      <c r="N601" s="199" t="str">
        <f t="shared" si="68"/>
        <v>PEN</v>
      </c>
      <c r="O601" s="13">
        <v>219.14</v>
      </c>
      <c r="P601" s="200"/>
      <c r="Q601" s="201">
        <f t="shared" si="69"/>
        <v>0</v>
      </c>
      <c r="R601" s="201">
        <f t="shared" si="70"/>
        <v>0</v>
      </c>
      <c r="S601" s="201">
        <f t="shared" si="71"/>
        <v>38247.220000000008</v>
      </c>
      <c r="T601" s="202"/>
      <c r="U601" s="202"/>
      <c r="V601" s="201"/>
      <c r="W601" s="19" t="str">
        <f>IFERROR(VLOOKUP(Banco_Nacion[[#This Row],[RESPONSABLE]],Clientes_Proveedores[[Ruc / Dni]:[Razon Social]],2,0),"")</f>
        <v/>
      </c>
      <c r="X60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0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01" s="3"/>
      <c r="AA601" s="3"/>
      <c r="AB601" s="24" t="str">
        <f>IF(Banco_Nacion[[#This Row],[FECHA]]&gt;0,TEXT(Banco_Nacion[[#This Row],[FECHA]],"mmmm"),0)</f>
        <v>Agosto</v>
      </c>
    </row>
    <row r="602" spans="2:28" ht="24" x14ac:dyDescent="0.3">
      <c r="B602" s="195" t="str">
        <f>IF(Banco_Nacion[[#This Row],[TIPO DE R.]]="R",COUNTIFS($D$4:$D601,"R")+1,"")</f>
        <v/>
      </c>
      <c r="C602" s="19" t="str">
        <f t="shared" si="67"/>
        <v>B-Banco de la Nacion</v>
      </c>
      <c r="D602" s="3" t="s">
        <v>1101</v>
      </c>
      <c r="E602" s="196">
        <v>45894</v>
      </c>
      <c r="F602" s="197" t="s">
        <v>3556</v>
      </c>
      <c r="G602" s="5"/>
      <c r="H602" s="6" t="s">
        <v>958</v>
      </c>
      <c r="I602" s="6" t="s">
        <v>95</v>
      </c>
      <c r="J602" s="6" t="s">
        <v>8041</v>
      </c>
      <c r="K602" s="6">
        <v>11</v>
      </c>
      <c r="L602" s="198"/>
      <c r="M602" s="199">
        <v>78787878</v>
      </c>
      <c r="N602" s="199" t="str">
        <f t="shared" si="68"/>
        <v>PEN</v>
      </c>
      <c r="O602" s="13">
        <v>153.38</v>
      </c>
      <c r="P602" s="200"/>
      <c r="Q602" s="201">
        <f t="shared" si="69"/>
        <v>0</v>
      </c>
      <c r="R602" s="201">
        <f t="shared" si="70"/>
        <v>0</v>
      </c>
      <c r="S602" s="201">
        <f t="shared" si="71"/>
        <v>38247.220000000008</v>
      </c>
      <c r="T602" s="202"/>
      <c r="U602" s="202"/>
      <c r="V602" s="201"/>
      <c r="W602" s="19" t="str">
        <f>IFERROR(VLOOKUP(Banco_Nacion[[#This Row],[RESPONSABLE]],Clientes_Proveedores[[Ruc / Dni]:[Razon Social]],2,0),"")</f>
        <v/>
      </c>
      <c r="X60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0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02" s="3"/>
      <c r="AA602" s="3"/>
      <c r="AB602" s="24" t="str">
        <f>IF(Banco_Nacion[[#This Row],[FECHA]]&gt;0,TEXT(Banco_Nacion[[#This Row],[FECHA]],"mmmm"),0)</f>
        <v>Agosto</v>
      </c>
    </row>
    <row r="603" spans="2:28" ht="24" x14ac:dyDescent="0.3">
      <c r="B603" s="195" t="str">
        <f>IF(Banco_Nacion[[#This Row],[TIPO DE R.]]="R",COUNTIFS($D$4:$D602,"R")+1,"")</f>
        <v/>
      </c>
      <c r="C603" s="19" t="str">
        <f t="shared" si="67"/>
        <v>B-Banco de la Nacion</v>
      </c>
      <c r="D603" s="3" t="s">
        <v>1101</v>
      </c>
      <c r="E603" s="196">
        <v>45894</v>
      </c>
      <c r="F603" s="197" t="s">
        <v>3556</v>
      </c>
      <c r="G603" s="5"/>
      <c r="H603" s="6" t="s">
        <v>761</v>
      </c>
      <c r="I603" s="6" t="s">
        <v>95</v>
      </c>
      <c r="J603" s="6" t="s">
        <v>8041</v>
      </c>
      <c r="K603" s="6">
        <v>12</v>
      </c>
      <c r="L603" s="198"/>
      <c r="M603" s="199">
        <v>78787878</v>
      </c>
      <c r="N603" s="199" t="str">
        <f t="shared" si="68"/>
        <v>PEN</v>
      </c>
      <c r="O603" s="13">
        <v>138.75</v>
      </c>
      <c r="P603" s="200"/>
      <c r="Q603" s="201">
        <f t="shared" si="69"/>
        <v>0</v>
      </c>
      <c r="R603" s="201">
        <f t="shared" si="70"/>
        <v>0</v>
      </c>
      <c r="S603" s="201">
        <f t="shared" si="71"/>
        <v>38247.220000000008</v>
      </c>
      <c r="T603" s="202"/>
      <c r="U603" s="202"/>
      <c r="V603" s="201"/>
      <c r="W603" s="19" t="str">
        <f>IFERROR(VLOOKUP(Banco_Nacion[[#This Row],[RESPONSABLE]],Clientes_Proveedores[[Ruc / Dni]:[Razon Social]],2,0),"")</f>
        <v/>
      </c>
      <c r="X60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0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03" s="3"/>
      <c r="AA603" s="3"/>
      <c r="AB603" s="24" t="str">
        <f>IF(Banco_Nacion[[#This Row],[FECHA]]&gt;0,TEXT(Banco_Nacion[[#This Row],[FECHA]],"mmmm"),0)</f>
        <v>Agosto</v>
      </c>
    </row>
    <row r="604" spans="2:28" ht="24" x14ac:dyDescent="0.3">
      <c r="B604" s="195" t="str">
        <f>IF(Banco_Nacion[[#This Row],[TIPO DE R.]]="R",COUNTIFS($D$4:$D603,"R")+1,"")</f>
        <v/>
      </c>
      <c r="C604" s="19" t="str">
        <f t="shared" si="67"/>
        <v>B-Banco de la Nacion</v>
      </c>
      <c r="D604" s="3" t="s">
        <v>1101</v>
      </c>
      <c r="E604" s="196">
        <v>45894</v>
      </c>
      <c r="F604" s="197" t="s">
        <v>3556</v>
      </c>
      <c r="G604" s="5"/>
      <c r="H604" s="6" t="s">
        <v>770</v>
      </c>
      <c r="I604" s="6" t="s">
        <v>95</v>
      </c>
      <c r="J604" s="6" t="s">
        <v>8041</v>
      </c>
      <c r="K604" s="6">
        <v>13</v>
      </c>
      <c r="L604" s="198"/>
      <c r="M604" s="199">
        <v>78787878</v>
      </c>
      <c r="N604" s="199" t="str">
        <f t="shared" si="68"/>
        <v>PEN</v>
      </c>
      <c r="O604" s="13">
        <v>372.43</v>
      </c>
      <c r="P604" s="200"/>
      <c r="Q604" s="201">
        <f t="shared" si="69"/>
        <v>0</v>
      </c>
      <c r="R604" s="201">
        <f t="shared" si="70"/>
        <v>0</v>
      </c>
      <c r="S604" s="201">
        <f t="shared" si="71"/>
        <v>38247.220000000008</v>
      </c>
      <c r="T604" s="202"/>
      <c r="U604" s="202"/>
      <c r="V604" s="201"/>
      <c r="W604" s="19" t="str">
        <f>IFERROR(VLOOKUP(Banco_Nacion[[#This Row],[RESPONSABLE]],Clientes_Proveedores[[Ruc / Dni]:[Razon Social]],2,0),"")</f>
        <v/>
      </c>
      <c r="X60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0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04" s="3"/>
      <c r="AA604" s="3"/>
      <c r="AB604" s="24" t="str">
        <f>IF(Banco_Nacion[[#This Row],[FECHA]]&gt;0,TEXT(Banco_Nacion[[#This Row],[FECHA]],"mmmm"),0)</f>
        <v>Agosto</v>
      </c>
    </row>
    <row r="605" spans="2:28" ht="24" x14ac:dyDescent="0.3">
      <c r="B605" s="195" t="str">
        <f>IF(Banco_Nacion[[#This Row],[TIPO DE R.]]="R",COUNTIFS($D$4:$D604,"R")+1,"")</f>
        <v/>
      </c>
      <c r="C605" s="19" t="str">
        <f t="shared" si="67"/>
        <v>B-Banco de la Nacion</v>
      </c>
      <c r="D605" s="3" t="s">
        <v>1101</v>
      </c>
      <c r="E605" s="196">
        <v>45894</v>
      </c>
      <c r="F605" s="197" t="s">
        <v>3556</v>
      </c>
      <c r="G605" s="5"/>
      <c r="H605" s="6" t="s">
        <v>768</v>
      </c>
      <c r="I605" s="6" t="s">
        <v>95</v>
      </c>
      <c r="J605" s="6" t="s">
        <v>8041</v>
      </c>
      <c r="K605" s="6">
        <v>14</v>
      </c>
      <c r="L605" s="198"/>
      <c r="M605" s="199">
        <v>78787878</v>
      </c>
      <c r="N605" s="199" t="str">
        <f t="shared" si="68"/>
        <v>PEN</v>
      </c>
      <c r="O605" s="13">
        <v>155.22999999999999</v>
      </c>
      <c r="P605" s="200"/>
      <c r="Q605" s="201">
        <f t="shared" si="69"/>
        <v>0</v>
      </c>
      <c r="R605" s="201">
        <f t="shared" si="70"/>
        <v>0</v>
      </c>
      <c r="S605" s="201">
        <f t="shared" si="71"/>
        <v>38247.220000000008</v>
      </c>
      <c r="T605" s="202"/>
      <c r="U605" s="202"/>
      <c r="V605" s="201"/>
      <c r="W605" s="19" t="str">
        <f>IFERROR(VLOOKUP(Banco_Nacion[[#This Row],[RESPONSABLE]],Clientes_Proveedores[[Ruc / Dni]:[Razon Social]],2,0),"")</f>
        <v/>
      </c>
      <c r="X60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0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05" s="3"/>
      <c r="AA605" s="3"/>
      <c r="AB605" s="24" t="str">
        <f>IF(Banco_Nacion[[#This Row],[FECHA]]&gt;0,TEXT(Banco_Nacion[[#This Row],[FECHA]],"mmmm"),0)</f>
        <v>Agosto</v>
      </c>
    </row>
    <row r="606" spans="2:28" ht="24" x14ac:dyDescent="0.3">
      <c r="B606" s="195" t="str">
        <f>IF(Banco_Nacion[[#This Row],[TIPO DE R.]]="R",COUNTIFS($D$4:$D605,"R")+1,"")</f>
        <v/>
      </c>
      <c r="C606" s="19" t="str">
        <f t="shared" si="67"/>
        <v>B-Banco de la Nacion</v>
      </c>
      <c r="D606" s="3" t="s">
        <v>1101</v>
      </c>
      <c r="E606" s="196">
        <v>45894</v>
      </c>
      <c r="F606" s="197" t="s">
        <v>3556</v>
      </c>
      <c r="G606" s="5"/>
      <c r="H606" s="6" t="s">
        <v>777</v>
      </c>
      <c r="I606" s="6" t="s">
        <v>95</v>
      </c>
      <c r="J606" s="6" t="s">
        <v>8041</v>
      </c>
      <c r="K606" s="6">
        <v>15</v>
      </c>
      <c r="L606" s="198"/>
      <c r="M606" s="199">
        <v>78787878</v>
      </c>
      <c r="N606" s="199" t="str">
        <f t="shared" si="68"/>
        <v>PEN</v>
      </c>
      <c r="O606" s="13">
        <v>172.18</v>
      </c>
      <c r="P606" s="200"/>
      <c r="Q606" s="201">
        <f t="shared" si="69"/>
        <v>0</v>
      </c>
      <c r="R606" s="201">
        <f t="shared" si="70"/>
        <v>0</v>
      </c>
      <c r="S606" s="201">
        <f t="shared" si="71"/>
        <v>38247.220000000008</v>
      </c>
      <c r="T606" s="202"/>
      <c r="U606" s="202"/>
      <c r="V606" s="201"/>
      <c r="W606" s="19" t="str">
        <f>IFERROR(VLOOKUP(Banco_Nacion[[#This Row],[RESPONSABLE]],Clientes_Proveedores[[Ruc / Dni]:[Razon Social]],2,0),"")</f>
        <v/>
      </c>
      <c r="X60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0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06" s="3"/>
      <c r="AA606" s="3"/>
      <c r="AB606" s="24" t="str">
        <f>IF(Banco_Nacion[[#This Row],[FECHA]]&gt;0,TEXT(Banco_Nacion[[#This Row],[FECHA]],"mmmm"),0)</f>
        <v>Agosto</v>
      </c>
    </row>
    <row r="607" spans="2:28" ht="24" x14ac:dyDescent="0.3">
      <c r="B607" s="195" t="str">
        <f>IF(Banco_Nacion[[#This Row],[TIPO DE R.]]="R",COUNTIFS($D$4:$D606,"R")+1,"")</f>
        <v/>
      </c>
      <c r="C607" s="19" t="str">
        <f t="shared" si="67"/>
        <v>B-Banco de la Nacion</v>
      </c>
      <c r="D607" s="3" t="s">
        <v>1101</v>
      </c>
      <c r="E607" s="196">
        <v>45894</v>
      </c>
      <c r="F607" s="197" t="s">
        <v>3556</v>
      </c>
      <c r="G607" s="5"/>
      <c r="H607" s="6" t="s">
        <v>938</v>
      </c>
      <c r="I607" s="6" t="s">
        <v>95</v>
      </c>
      <c r="J607" s="6" t="s">
        <v>8041</v>
      </c>
      <c r="K607" s="6">
        <v>16</v>
      </c>
      <c r="L607" s="198"/>
      <c r="M607" s="199">
        <v>78787878</v>
      </c>
      <c r="N607" s="199" t="str">
        <f t="shared" si="68"/>
        <v>PEN</v>
      </c>
      <c r="O607" s="13">
        <v>159.72999999999999</v>
      </c>
      <c r="P607" s="200"/>
      <c r="Q607" s="201">
        <f t="shared" si="69"/>
        <v>0</v>
      </c>
      <c r="R607" s="201">
        <f t="shared" si="70"/>
        <v>0</v>
      </c>
      <c r="S607" s="201">
        <f t="shared" si="71"/>
        <v>38247.220000000008</v>
      </c>
      <c r="T607" s="202"/>
      <c r="U607" s="202"/>
      <c r="V607" s="201"/>
      <c r="W607" s="19" t="str">
        <f>IFERROR(VLOOKUP(Banco_Nacion[[#This Row],[RESPONSABLE]],Clientes_Proveedores[[Ruc / Dni]:[Razon Social]],2,0),"")</f>
        <v/>
      </c>
      <c r="X60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0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07" s="3"/>
      <c r="AA607" s="3"/>
      <c r="AB607" s="24" t="str">
        <f>IF(Banco_Nacion[[#This Row],[FECHA]]&gt;0,TEXT(Banco_Nacion[[#This Row],[FECHA]],"mmmm"),0)</f>
        <v>Agosto</v>
      </c>
    </row>
    <row r="608" spans="2:28" ht="24" x14ac:dyDescent="0.3">
      <c r="B608" s="195" t="str">
        <f>IF(Banco_Nacion[[#This Row],[TIPO DE R.]]="R",COUNTIFS($D$4:$D607,"R")+1,"")</f>
        <v/>
      </c>
      <c r="C608" s="19" t="str">
        <f t="shared" si="67"/>
        <v>B-Banco de la Nacion</v>
      </c>
      <c r="D608" s="3" t="s">
        <v>1101</v>
      </c>
      <c r="E608" s="196">
        <v>45894</v>
      </c>
      <c r="F608" s="197" t="s">
        <v>3556</v>
      </c>
      <c r="G608" s="5"/>
      <c r="H608" s="6" t="s">
        <v>908</v>
      </c>
      <c r="I608" s="6" t="s">
        <v>95</v>
      </c>
      <c r="J608" s="6" t="s">
        <v>8041</v>
      </c>
      <c r="K608" s="6">
        <v>17</v>
      </c>
      <c r="L608" s="198"/>
      <c r="M608" s="199">
        <v>78787878</v>
      </c>
      <c r="N608" s="199" t="str">
        <f t="shared" si="68"/>
        <v>PEN</v>
      </c>
      <c r="O608" s="13">
        <v>126.9</v>
      </c>
      <c r="P608" s="200"/>
      <c r="Q608" s="201">
        <f t="shared" si="69"/>
        <v>0</v>
      </c>
      <c r="R608" s="201">
        <f t="shared" si="70"/>
        <v>0</v>
      </c>
      <c r="S608" s="201">
        <f t="shared" si="71"/>
        <v>38247.220000000008</v>
      </c>
      <c r="T608" s="202"/>
      <c r="U608" s="202"/>
      <c r="V608" s="201"/>
      <c r="W608" s="19" t="str">
        <f>IFERROR(VLOOKUP(Banco_Nacion[[#This Row],[RESPONSABLE]],Clientes_Proveedores[[Ruc / Dni]:[Razon Social]],2,0),"")</f>
        <v/>
      </c>
      <c r="X60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0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08" s="3"/>
      <c r="AA608" s="3"/>
      <c r="AB608" s="24" t="str">
        <f>IF(Banco_Nacion[[#This Row],[FECHA]]&gt;0,TEXT(Banco_Nacion[[#This Row],[FECHA]],"mmmm"),0)</f>
        <v>Agosto</v>
      </c>
    </row>
    <row r="609" spans="2:28" ht="24" x14ac:dyDescent="0.3">
      <c r="B609" s="195" t="str">
        <f>IF(Banco_Nacion[[#This Row],[TIPO DE R.]]="R",COUNTIFS($D$4:$D608,"R")+1,"")</f>
        <v/>
      </c>
      <c r="C609" s="19" t="str">
        <f t="shared" si="67"/>
        <v>B-Banco de la Nacion</v>
      </c>
      <c r="D609" s="3" t="s">
        <v>1101</v>
      </c>
      <c r="E609" s="196">
        <v>45894</v>
      </c>
      <c r="F609" s="197" t="s">
        <v>3556</v>
      </c>
      <c r="G609" s="5"/>
      <c r="H609" s="6" t="s">
        <v>798</v>
      </c>
      <c r="I609" s="6" t="s">
        <v>95</v>
      </c>
      <c r="J609" s="6" t="s">
        <v>8041</v>
      </c>
      <c r="K609" s="6">
        <v>18</v>
      </c>
      <c r="L609" s="198"/>
      <c r="M609" s="199">
        <v>78787878</v>
      </c>
      <c r="N609" s="199" t="str">
        <f t="shared" si="68"/>
        <v>PEN</v>
      </c>
      <c r="O609" s="13">
        <v>164.58</v>
      </c>
      <c r="P609" s="200"/>
      <c r="Q609" s="201">
        <f t="shared" si="69"/>
        <v>0</v>
      </c>
      <c r="R609" s="201">
        <f t="shared" si="70"/>
        <v>0</v>
      </c>
      <c r="S609" s="201">
        <f t="shared" si="71"/>
        <v>38247.220000000008</v>
      </c>
      <c r="T609" s="202"/>
      <c r="U609" s="202"/>
      <c r="V609" s="201"/>
      <c r="W609" s="19" t="str">
        <f>IFERROR(VLOOKUP(Banco_Nacion[[#This Row],[RESPONSABLE]],Clientes_Proveedores[[Ruc / Dni]:[Razon Social]],2,0),"")</f>
        <v/>
      </c>
      <c r="X60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0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09" s="3"/>
      <c r="AA609" s="3"/>
      <c r="AB609" s="24" t="str">
        <f>IF(Banco_Nacion[[#This Row],[FECHA]]&gt;0,TEXT(Banco_Nacion[[#This Row],[FECHA]],"mmmm"),0)</f>
        <v>Agosto</v>
      </c>
    </row>
    <row r="610" spans="2:28" ht="24" x14ac:dyDescent="0.3">
      <c r="B610" s="195" t="str">
        <f>IF(Banco_Nacion[[#This Row],[TIPO DE R.]]="R",COUNTIFS($D$4:$D609,"R")+1,"")</f>
        <v/>
      </c>
      <c r="C610" s="19" t="str">
        <f t="shared" si="67"/>
        <v>B-Banco de la Nacion</v>
      </c>
      <c r="D610" s="3" t="s">
        <v>1101</v>
      </c>
      <c r="E610" s="196">
        <v>45894</v>
      </c>
      <c r="F610" s="197" t="s">
        <v>3556</v>
      </c>
      <c r="G610" s="5"/>
      <c r="H610" s="6" t="s">
        <v>800</v>
      </c>
      <c r="I610" s="6" t="s">
        <v>95</v>
      </c>
      <c r="J610" s="6" t="s">
        <v>8041</v>
      </c>
      <c r="K610" s="6">
        <v>19</v>
      </c>
      <c r="L610" s="198"/>
      <c r="M610" s="199">
        <v>78787878</v>
      </c>
      <c r="N610" s="199" t="str">
        <f t="shared" si="68"/>
        <v>PEN</v>
      </c>
      <c r="O610" s="13">
        <v>107.25</v>
      </c>
      <c r="P610" s="200"/>
      <c r="Q610" s="201">
        <f t="shared" si="69"/>
        <v>0</v>
      </c>
      <c r="R610" s="201">
        <f t="shared" si="70"/>
        <v>0</v>
      </c>
      <c r="S610" s="201">
        <f t="shared" si="71"/>
        <v>38247.220000000008</v>
      </c>
      <c r="T610" s="202"/>
      <c r="U610" s="202"/>
      <c r="V610" s="201"/>
      <c r="W610" s="19" t="str">
        <f>IFERROR(VLOOKUP(Banco_Nacion[[#This Row],[RESPONSABLE]],Clientes_Proveedores[[Ruc / Dni]:[Razon Social]],2,0),"")</f>
        <v/>
      </c>
      <c r="X61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1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10" s="3"/>
      <c r="AA610" s="3"/>
      <c r="AB610" s="24" t="str">
        <f>IF(Banco_Nacion[[#This Row],[FECHA]]&gt;0,TEXT(Banco_Nacion[[#This Row],[FECHA]],"mmmm"),0)</f>
        <v>Agosto</v>
      </c>
    </row>
    <row r="611" spans="2:28" ht="24" x14ac:dyDescent="0.3">
      <c r="B611" s="195" t="str">
        <f>IF(Banco_Nacion[[#This Row],[TIPO DE R.]]="R",COUNTIFS($D$4:$D610,"R")+1,"")</f>
        <v/>
      </c>
      <c r="C611" s="19" t="str">
        <f t="shared" si="67"/>
        <v>B-Banco de la Nacion</v>
      </c>
      <c r="D611" s="3" t="s">
        <v>1101</v>
      </c>
      <c r="E611" s="196">
        <v>45894</v>
      </c>
      <c r="F611" s="197" t="s">
        <v>3556</v>
      </c>
      <c r="G611" s="5"/>
      <c r="H611" s="6" t="s">
        <v>634</v>
      </c>
      <c r="I611" s="6" t="s">
        <v>95</v>
      </c>
      <c r="J611" s="6" t="s">
        <v>8041</v>
      </c>
      <c r="K611" s="6">
        <v>20</v>
      </c>
      <c r="L611" s="198"/>
      <c r="M611" s="199">
        <v>78787878</v>
      </c>
      <c r="N611" s="199" t="str">
        <f t="shared" si="68"/>
        <v>PEN</v>
      </c>
      <c r="O611" s="13">
        <v>347</v>
      </c>
      <c r="P611" s="200"/>
      <c r="Q611" s="201">
        <f t="shared" si="69"/>
        <v>0</v>
      </c>
      <c r="R611" s="201">
        <f t="shared" si="70"/>
        <v>0</v>
      </c>
      <c r="S611" s="201">
        <f t="shared" si="71"/>
        <v>38247.220000000008</v>
      </c>
      <c r="T611" s="202"/>
      <c r="U611" s="202"/>
      <c r="V611" s="201"/>
      <c r="W611" s="19" t="str">
        <f>IFERROR(VLOOKUP(Banco_Nacion[[#This Row],[RESPONSABLE]],Clientes_Proveedores[[Ruc / Dni]:[Razon Social]],2,0),"")</f>
        <v/>
      </c>
      <c r="X61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1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11" s="3"/>
      <c r="AA611" s="3"/>
      <c r="AB611" s="24" t="str">
        <f>IF(Banco_Nacion[[#This Row],[FECHA]]&gt;0,TEXT(Banco_Nacion[[#This Row],[FECHA]],"mmmm"),0)</f>
        <v>Agosto</v>
      </c>
    </row>
    <row r="612" spans="2:28" ht="24" x14ac:dyDescent="0.3">
      <c r="B612" s="195" t="str">
        <f>IF(Banco_Nacion[[#This Row],[TIPO DE R.]]="R",COUNTIFS($D$4:$D611,"R")+1,"")</f>
        <v/>
      </c>
      <c r="C612" s="19" t="str">
        <f t="shared" si="67"/>
        <v>B-Banco de la Nacion</v>
      </c>
      <c r="D612" s="3" t="s">
        <v>1101</v>
      </c>
      <c r="E612" s="196">
        <v>45894</v>
      </c>
      <c r="F612" s="197" t="s">
        <v>3556</v>
      </c>
      <c r="G612" s="5"/>
      <c r="H612" s="6" t="s">
        <v>807</v>
      </c>
      <c r="I612" s="6" t="s">
        <v>95</v>
      </c>
      <c r="J612" s="6" t="s">
        <v>8041</v>
      </c>
      <c r="K612" s="6">
        <v>21</v>
      </c>
      <c r="L612" s="198"/>
      <c r="M612" s="199">
        <v>78787878</v>
      </c>
      <c r="N612" s="199" t="str">
        <f t="shared" si="68"/>
        <v>PEN</v>
      </c>
      <c r="O612" s="13">
        <v>131.88</v>
      </c>
      <c r="P612" s="200"/>
      <c r="Q612" s="201">
        <f t="shared" si="69"/>
        <v>0</v>
      </c>
      <c r="R612" s="201">
        <f t="shared" si="70"/>
        <v>0</v>
      </c>
      <c r="S612" s="201">
        <f t="shared" si="71"/>
        <v>38247.220000000008</v>
      </c>
      <c r="T612" s="202"/>
      <c r="U612" s="202"/>
      <c r="V612" s="201"/>
      <c r="W612" s="19" t="str">
        <f>IFERROR(VLOOKUP(Banco_Nacion[[#This Row],[RESPONSABLE]],Clientes_Proveedores[[Ruc / Dni]:[Razon Social]],2,0),"")</f>
        <v/>
      </c>
      <c r="X61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1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12" s="3"/>
      <c r="AA612" s="3"/>
      <c r="AB612" s="24" t="str">
        <f>IF(Banco_Nacion[[#This Row],[FECHA]]&gt;0,TEXT(Banco_Nacion[[#This Row],[FECHA]],"mmmm"),0)</f>
        <v>Agosto</v>
      </c>
    </row>
    <row r="613" spans="2:28" ht="24" x14ac:dyDescent="0.3">
      <c r="B613" s="195" t="str">
        <f>IF(Banco_Nacion[[#This Row],[TIPO DE R.]]="R",COUNTIFS($D$4:$D612,"R")+1,"")</f>
        <v/>
      </c>
      <c r="C613" s="19" t="str">
        <f t="shared" si="67"/>
        <v>B-Banco de la Nacion</v>
      </c>
      <c r="D613" s="3" t="s">
        <v>1101</v>
      </c>
      <c r="E613" s="196">
        <v>45894</v>
      </c>
      <c r="F613" s="197" t="s">
        <v>3556</v>
      </c>
      <c r="G613" s="5"/>
      <c r="H613" s="6" t="s">
        <v>1016</v>
      </c>
      <c r="I613" s="6" t="s">
        <v>95</v>
      </c>
      <c r="J613" s="6" t="s">
        <v>8041</v>
      </c>
      <c r="K613" s="6">
        <v>22</v>
      </c>
      <c r="L613" s="198"/>
      <c r="M613" s="199">
        <v>78787878</v>
      </c>
      <c r="N613" s="199" t="str">
        <f t="shared" si="68"/>
        <v>PEN</v>
      </c>
      <c r="O613" s="13">
        <v>118.43</v>
      </c>
      <c r="P613" s="200"/>
      <c r="Q613" s="201">
        <f t="shared" si="69"/>
        <v>0</v>
      </c>
      <c r="R613" s="201">
        <f t="shared" si="70"/>
        <v>0</v>
      </c>
      <c r="S613" s="201">
        <f t="shared" si="71"/>
        <v>38247.220000000008</v>
      </c>
      <c r="T613" s="202"/>
      <c r="U613" s="202"/>
      <c r="V613" s="201"/>
      <c r="W613" s="19" t="str">
        <f>IFERROR(VLOOKUP(Banco_Nacion[[#This Row],[RESPONSABLE]],Clientes_Proveedores[[Ruc / Dni]:[Razon Social]],2,0),"")</f>
        <v/>
      </c>
      <c r="X61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1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13" s="3"/>
      <c r="AA613" s="3"/>
      <c r="AB613" s="24" t="str">
        <f>IF(Banco_Nacion[[#This Row],[FECHA]]&gt;0,TEXT(Banco_Nacion[[#This Row],[FECHA]],"mmmm"),0)</f>
        <v>Agosto</v>
      </c>
    </row>
    <row r="614" spans="2:28" ht="24" x14ac:dyDescent="0.3">
      <c r="B614" s="195" t="str">
        <f>IF(Banco_Nacion[[#This Row],[TIPO DE R.]]="R",COUNTIFS($D$4:$D613,"R")+1,"")</f>
        <v/>
      </c>
      <c r="C614" s="19" t="str">
        <f t="shared" si="67"/>
        <v>B-Banco de la Nacion</v>
      </c>
      <c r="D614" s="3" t="s">
        <v>1101</v>
      </c>
      <c r="E614" s="196">
        <v>45894</v>
      </c>
      <c r="F614" s="197" t="s">
        <v>3556</v>
      </c>
      <c r="G614" s="5"/>
      <c r="H614" s="6" t="s">
        <v>812</v>
      </c>
      <c r="I614" s="6" t="s">
        <v>95</v>
      </c>
      <c r="J614" s="6" t="s">
        <v>8041</v>
      </c>
      <c r="K614" s="6">
        <v>23</v>
      </c>
      <c r="L614" s="198"/>
      <c r="M614" s="199">
        <v>78787878</v>
      </c>
      <c r="N614" s="199" t="str">
        <f t="shared" si="68"/>
        <v>PEN</v>
      </c>
      <c r="O614" s="13">
        <v>158.91</v>
      </c>
      <c r="P614" s="200"/>
      <c r="Q614" s="201">
        <f t="shared" si="69"/>
        <v>0</v>
      </c>
      <c r="R614" s="201">
        <f t="shared" si="70"/>
        <v>0</v>
      </c>
      <c r="S614" s="201">
        <f t="shared" si="71"/>
        <v>38247.220000000008</v>
      </c>
      <c r="T614" s="202"/>
      <c r="U614" s="202"/>
      <c r="V614" s="201"/>
      <c r="W614" s="19" t="str">
        <f>IFERROR(VLOOKUP(Banco_Nacion[[#This Row],[RESPONSABLE]],Clientes_Proveedores[[Ruc / Dni]:[Razon Social]],2,0),"")</f>
        <v/>
      </c>
      <c r="X61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1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14" s="3"/>
      <c r="AA614" s="3"/>
      <c r="AB614" s="24" t="str">
        <f>IF(Banco_Nacion[[#This Row],[FECHA]]&gt;0,TEXT(Banco_Nacion[[#This Row],[FECHA]],"mmmm"),0)</f>
        <v>Agosto</v>
      </c>
    </row>
    <row r="615" spans="2:28" ht="24" x14ac:dyDescent="0.3">
      <c r="B615" s="195" t="str">
        <f>IF(Banco_Nacion[[#This Row],[TIPO DE R.]]="R",COUNTIFS($D$4:$D614,"R")+1,"")</f>
        <v/>
      </c>
      <c r="C615" s="19" t="str">
        <f t="shared" si="67"/>
        <v>B-Banco de la Nacion</v>
      </c>
      <c r="D615" s="3" t="s">
        <v>1101</v>
      </c>
      <c r="E615" s="196">
        <v>45894</v>
      </c>
      <c r="F615" s="197" t="s">
        <v>3556</v>
      </c>
      <c r="G615" s="5"/>
      <c r="H615" s="6" t="s">
        <v>814</v>
      </c>
      <c r="I615" s="6" t="s">
        <v>95</v>
      </c>
      <c r="J615" s="6" t="s">
        <v>8041</v>
      </c>
      <c r="K615" s="6">
        <v>24</v>
      </c>
      <c r="L615" s="198"/>
      <c r="M615" s="199">
        <v>78787878</v>
      </c>
      <c r="N615" s="199" t="str">
        <f t="shared" si="68"/>
        <v>PEN</v>
      </c>
      <c r="O615" s="13">
        <v>118.64</v>
      </c>
      <c r="P615" s="200"/>
      <c r="Q615" s="201">
        <f t="shared" si="69"/>
        <v>0</v>
      </c>
      <c r="R615" s="201">
        <f t="shared" si="70"/>
        <v>0</v>
      </c>
      <c r="S615" s="201">
        <f t="shared" si="71"/>
        <v>38247.220000000008</v>
      </c>
      <c r="T615" s="202"/>
      <c r="U615" s="202"/>
      <c r="V615" s="201"/>
      <c r="W615" s="19" t="str">
        <f>IFERROR(VLOOKUP(Banco_Nacion[[#This Row],[RESPONSABLE]],Clientes_Proveedores[[Ruc / Dni]:[Razon Social]],2,0),"")</f>
        <v/>
      </c>
      <c r="X61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1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15" s="3"/>
      <c r="AA615" s="3"/>
      <c r="AB615" s="24" t="str">
        <f>IF(Banco_Nacion[[#This Row],[FECHA]]&gt;0,TEXT(Banco_Nacion[[#This Row],[FECHA]],"mmmm"),0)</f>
        <v>Agosto</v>
      </c>
    </row>
    <row r="616" spans="2:28" ht="24" x14ac:dyDescent="0.3">
      <c r="B616" s="195" t="str">
        <f>IF(Banco_Nacion[[#This Row],[TIPO DE R.]]="R",COUNTIFS($D$4:$D615,"R")+1,"")</f>
        <v/>
      </c>
      <c r="C616" s="19" t="str">
        <f t="shared" si="67"/>
        <v>B-Banco de la Nacion</v>
      </c>
      <c r="D616" s="3" t="s">
        <v>1101</v>
      </c>
      <c r="E616" s="196">
        <v>45894</v>
      </c>
      <c r="F616" s="197" t="s">
        <v>3556</v>
      </c>
      <c r="G616" s="5"/>
      <c r="H616" s="6" t="s">
        <v>817</v>
      </c>
      <c r="I616" s="6" t="s">
        <v>95</v>
      </c>
      <c r="J616" s="6" t="s">
        <v>8041</v>
      </c>
      <c r="K616" s="6">
        <v>25</v>
      </c>
      <c r="L616" s="198"/>
      <c r="M616" s="199">
        <v>78787878</v>
      </c>
      <c r="N616" s="199" t="str">
        <f t="shared" si="68"/>
        <v>PEN</v>
      </c>
      <c r="O616" s="13">
        <v>172.04</v>
      </c>
      <c r="P616" s="200"/>
      <c r="Q616" s="201">
        <f t="shared" si="69"/>
        <v>0</v>
      </c>
      <c r="R616" s="201">
        <f t="shared" si="70"/>
        <v>0</v>
      </c>
      <c r="S616" s="201">
        <f t="shared" si="71"/>
        <v>38247.220000000008</v>
      </c>
      <c r="T616" s="202"/>
      <c r="U616" s="202"/>
      <c r="V616" s="201"/>
      <c r="W616" s="19" t="str">
        <f>IFERROR(VLOOKUP(Banco_Nacion[[#This Row],[RESPONSABLE]],Clientes_Proveedores[[Ruc / Dni]:[Razon Social]],2,0),"")</f>
        <v/>
      </c>
      <c r="X61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1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16" s="3"/>
      <c r="AA616" s="3"/>
      <c r="AB616" s="24" t="str">
        <f>IF(Banco_Nacion[[#This Row],[FECHA]]&gt;0,TEXT(Banco_Nacion[[#This Row],[FECHA]],"mmmm"),0)</f>
        <v>Agosto</v>
      </c>
    </row>
    <row r="617" spans="2:28" ht="24" x14ac:dyDescent="0.3">
      <c r="B617" s="195" t="str">
        <f>IF(Banco_Nacion[[#This Row],[TIPO DE R.]]="R",COUNTIFS($D$4:$D616,"R")+1,"")</f>
        <v/>
      </c>
      <c r="C617" s="19" t="str">
        <f t="shared" si="67"/>
        <v>B-Banco de la Nacion</v>
      </c>
      <c r="D617" s="3" t="s">
        <v>1101</v>
      </c>
      <c r="E617" s="196">
        <v>45894</v>
      </c>
      <c r="F617" s="197" t="s">
        <v>3556</v>
      </c>
      <c r="G617" s="5"/>
      <c r="H617" s="6" t="s">
        <v>823</v>
      </c>
      <c r="I617" s="6" t="s">
        <v>95</v>
      </c>
      <c r="J617" s="6" t="s">
        <v>8041</v>
      </c>
      <c r="K617" s="6">
        <v>26</v>
      </c>
      <c r="L617" s="198"/>
      <c r="M617" s="199">
        <v>78787878</v>
      </c>
      <c r="N617" s="199" t="str">
        <f t="shared" si="68"/>
        <v>PEN</v>
      </c>
      <c r="O617" s="13">
        <v>260.72000000000003</v>
      </c>
      <c r="P617" s="200"/>
      <c r="Q617" s="201">
        <f t="shared" si="69"/>
        <v>0</v>
      </c>
      <c r="R617" s="201">
        <f t="shared" si="70"/>
        <v>0</v>
      </c>
      <c r="S617" s="201">
        <f t="shared" si="71"/>
        <v>38247.220000000008</v>
      </c>
      <c r="T617" s="202"/>
      <c r="U617" s="202"/>
      <c r="V617" s="201"/>
      <c r="W617" s="19" t="str">
        <f>IFERROR(VLOOKUP(Banco_Nacion[[#This Row],[RESPONSABLE]],Clientes_Proveedores[[Ruc / Dni]:[Razon Social]],2,0),"")</f>
        <v/>
      </c>
      <c r="X61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1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17" s="3"/>
      <c r="AA617" s="3"/>
      <c r="AB617" s="24" t="str">
        <f>IF(Banco_Nacion[[#This Row],[FECHA]]&gt;0,TEXT(Banco_Nacion[[#This Row],[FECHA]],"mmmm"),0)</f>
        <v>Agosto</v>
      </c>
    </row>
    <row r="618" spans="2:28" ht="24" x14ac:dyDescent="0.3">
      <c r="B618" s="195" t="str">
        <f>IF(Banco_Nacion[[#This Row],[TIPO DE R.]]="R",COUNTIFS($D$4:$D617,"R")+1,"")</f>
        <v/>
      </c>
      <c r="C618" s="19" t="str">
        <f t="shared" si="67"/>
        <v>B-Banco de la Nacion</v>
      </c>
      <c r="D618" s="3" t="s">
        <v>1101</v>
      </c>
      <c r="E618" s="196">
        <v>45894</v>
      </c>
      <c r="F618" s="197" t="s">
        <v>3556</v>
      </c>
      <c r="G618" s="5"/>
      <c r="H618" s="6" t="s">
        <v>951</v>
      </c>
      <c r="I618" s="6" t="s">
        <v>95</v>
      </c>
      <c r="J618" s="6" t="s">
        <v>8041</v>
      </c>
      <c r="K618" s="6">
        <v>27</v>
      </c>
      <c r="L618" s="198"/>
      <c r="M618" s="199">
        <v>78787878</v>
      </c>
      <c r="N618" s="199" t="str">
        <f t="shared" si="68"/>
        <v>PEN</v>
      </c>
      <c r="O618" s="13">
        <v>150.08000000000001</v>
      </c>
      <c r="P618" s="200"/>
      <c r="Q618" s="201">
        <f t="shared" si="69"/>
        <v>0</v>
      </c>
      <c r="R618" s="201">
        <f t="shared" si="70"/>
        <v>0</v>
      </c>
      <c r="S618" s="201">
        <f t="shared" si="71"/>
        <v>38247.220000000008</v>
      </c>
      <c r="T618" s="202"/>
      <c r="U618" s="202"/>
      <c r="V618" s="201"/>
      <c r="W618" s="19" t="str">
        <f>IFERROR(VLOOKUP(Banco_Nacion[[#This Row],[RESPONSABLE]],Clientes_Proveedores[[Ruc / Dni]:[Razon Social]],2,0),"")</f>
        <v/>
      </c>
      <c r="X61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1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18" s="3"/>
      <c r="AA618" s="3"/>
      <c r="AB618" s="24" t="str">
        <f>IF(Banco_Nacion[[#This Row],[FECHA]]&gt;0,TEXT(Banco_Nacion[[#This Row],[FECHA]],"mmmm"),0)</f>
        <v>Agosto</v>
      </c>
    </row>
    <row r="619" spans="2:28" ht="24" x14ac:dyDescent="0.3">
      <c r="B619" s="195" t="str">
        <f>IF(Banco_Nacion[[#This Row],[TIPO DE R.]]="R",COUNTIFS($D$4:$D618,"R")+1,"")</f>
        <v/>
      </c>
      <c r="C619" s="19" t="str">
        <f t="shared" si="67"/>
        <v>B-Banco de la Nacion</v>
      </c>
      <c r="D619" s="3" t="s">
        <v>1101</v>
      </c>
      <c r="E619" s="196">
        <v>45894</v>
      </c>
      <c r="F619" s="197" t="s">
        <v>3556</v>
      </c>
      <c r="G619" s="5"/>
      <c r="H619" s="6" t="s">
        <v>829</v>
      </c>
      <c r="I619" s="6" t="s">
        <v>95</v>
      </c>
      <c r="J619" s="6" t="s">
        <v>8041</v>
      </c>
      <c r="K619" s="6">
        <v>28</v>
      </c>
      <c r="L619" s="198"/>
      <c r="M619" s="199">
        <v>78787878</v>
      </c>
      <c r="N619" s="199" t="str">
        <f t="shared" si="68"/>
        <v>PEN</v>
      </c>
      <c r="O619" s="13">
        <v>211.27</v>
      </c>
      <c r="P619" s="200"/>
      <c r="Q619" s="201">
        <f t="shared" si="69"/>
        <v>0</v>
      </c>
      <c r="R619" s="201">
        <f t="shared" si="70"/>
        <v>0</v>
      </c>
      <c r="S619" s="201">
        <f t="shared" si="71"/>
        <v>38247.220000000008</v>
      </c>
      <c r="T619" s="202"/>
      <c r="U619" s="202"/>
      <c r="V619" s="201"/>
      <c r="W619" s="19" t="str">
        <f>IFERROR(VLOOKUP(Banco_Nacion[[#This Row],[RESPONSABLE]],Clientes_Proveedores[[Ruc / Dni]:[Razon Social]],2,0),"")</f>
        <v/>
      </c>
      <c r="X61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1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19" s="3"/>
      <c r="AA619" s="3"/>
      <c r="AB619" s="24" t="str">
        <f>IF(Banco_Nacion[[#This Row],[FECHA]]&gt;0,TEXT(Banco_Nacion[[#This Row],[FECHA]],"mmmm"),0)</f>
        <v>Agosto</v>
      </c>
    </row>
    <row r="620" spans="2:28" ht="24" x14ac:dyDescent="0.3">
      <c r="B620" s="195" t="str">
        <f>IF(Banco_Nacion[[#This Row],[TIPO DE R.]]="R",COUNTIFS($D$4:$D619,"R")+1,"")</f>
        <v/>
      </c>
      <c r="C620" s="19" t="str">
        <f t="shared" si="67"/>
        <v>B-Banco de la Nacion</v>
      </c>
      <c r="D620" s="3" t="s">
        <v>1101</v>
      </c>
      <c r="E620" s="196">
        <v>45894</v>
      </c>
      <c r="F620" s="197" t="s">
        <v>3556</v>
      </c>
      <c r="G620" s="5"/>
      <c r="H620" s="6" t="s">
        <v>831</v>
      </c>
      <c r="I620" s="6" t="s">
        <v>95</v>
      </c>
      <c r="J620" s="6" t="s">
        <v>8041</v>
      </c>
      <c r="K620" s="6">
        <v>29</v>
      </c>
      <c r="L620" s="198"/>
      <c r="M620" s="199">
        <v>78787878</v>
      </c>
      <c r="N620" s="199" t="str">
        <f t="shared" si="68"/>
        <v>PEN</v>
      </c>
      <c r="O620" s="13">
        <v>185.64</v>
      </c>
      <c r="P620" s="200"/>
      <c r="Q620" s="201">
        <f t="shared" si="69"/>
        <v>0</v>
      </c>
      <c r="R620" s="201">
        <f t="shared" si="70"/>
        <v>0</v>
      </c>
      <c r="S620" s="201">
        <f t="shared" si="71"/>
        <v>38247.220000000008</v>
      </c>
      <c r="T620" s="202"/>
      <c r="U620" s="202"/>
      <c r="V620" s="201"/>
      <c r="W620" s="19" t="str">
        <f>IFERROR(VLOOKUP(Banco_Nacion[[#This Row],[RESPONSABLE]],Clientes_Proveedores[[Ruc / Dni]:[Razon Social]],2,0),"")</f>
        <v/>
      </c>
      <c r="X62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2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20" s="3"/>
      <c r="AA620" s="3"/>
      <c r="AB620" s="24" t="str">
        <f>IF(Banco_Nacion[[#This Row],[FECHA]]&gt;0,TEXT(Banco_Nacion[[#This Row],[FECHA]],"mmmm"),0)</f>
        <v>Agosto</v>
      </c>
    </row>
    <row r="621" spans="2:28" ht="24" x14ac:dyDescent="0.3">
      <c r="B621" s="195" t="str">
        <f>IF(Banco_Nacion[[#This Row],[TIPO DE R.]]="R",COUNTIFS($D$4:$D620,"R")+1,"")</f>
        <v/>
      </c>
      <c r="C621" s="19" t="str">
        <f t="shared" si="67"/>
        <v>B-Banco de la Nacion</v>
      </c>
      <c r="D621" s="3" t="s">
        <v>1101</v>
      </c>
      <c r="E621" s="196">
        <v>45894</v>
      </c>
      <c r="F621" s="197" t="s">
        <v>3556</v>
      </c>
      <c r="G621" s="5"/>
      <c r="H621" s="6" t="s">
        <v>979</v>
      </c>
      <c r="I621" s="6" t="s">
        <v>95</v>
      </c>
      <c r="J621" s="6" t="s">
        <v>8041</v>
      </c>
      <c r="K621" s="6">
        <v>30</v>
      </c>
      <c r="L621" s="198"/>
      <c r="M621" s="199">
        <v>78787878</v>
      </c>
      <c r="N621" s="199" t="str">
        <f t="shared" si="68"/>
        <v>PEN</v>
      </c>
      <c r="O621" s="13">
        <v>120.54</v>
      </c>
      <c r="P621" s="200"/>
      <c r="Q621" s="201">
        <f t="shared" si="69"/>
        <v>0</v>
      </c>
      <c r="R621" s="201">
        <f t="shared" si="70"/>
        <v>0</v>
      </c>
      <c r="S621" s="201">
        <f t="shared" si="71"/>
        <v>38247.220000000008</v>
      </c>
      <c r="T621" s="202"/>
      <c r="U621" s="202"/>
      <c r="V621" s="201"/>
      <c r="W621" s="19" t="str">
        <f>IFERROR(VLOOKUP(Banco_Nacion[[#This Row],[RESPONSABLE]],Clientes_Proveedores[[Ruc / Dni]:[Razon Social]],2,0),"")</f>
        <v/>
      </c>
      <c r="X62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2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21" s="3"/>
      <c r="AA621" s="3"/>
      <c r="AB621" s="24" t="str">
        <f>IF(Banco_Nacion[[#This Row],[FECHA]]&gt;0,TEXT(Banco_Nacion[[#This Row],[FECHA]],"mmmm"),0)</f>
        <v>Agosto</v>
      </c>
    </row>
    <row r="622" spans="2:28" ht="24" x14ac:dyDescent="0.3">
      <c r="B622" s="195" t="str">
        <f>IF(Banco_Nacion[[#This Row],[TIPO DE R.]]="R",COUNTIFS($D$4:$D621,"R")+1,"")</f>
        <v/>
      </c>
      <c r="C622" s="19" t="str">
        <f t="shared" si="67"/>
        <v>B-Banco de la Nacion</v>
      </c>
      <c r="D622" s="3" t="s">
        <v>1101</v>
      </c>
      <c r="E622" s="196">
        <v>45894</v>
      </c>
      <c r="F622" s="197" t="s">
        <v>3556</v>
      </c>
      <c r="G622" s="5"/>
      <c r="H622" s="6" t="s">
        <v>836</v>
      </c>
      <c r="I622" s="6" t="s">
        <v>95</v>
      </c>
      <c r="J622" s="6" t="s">
        <v>8041</v>
      </c>
      <c r="K622" s="6">
        <v>31</v>
      </c>
      <c r="L622" s="198"/>
      <c r="M622" s="199">
        <v>78787878</v>
      </c>
      <c r="N622" s="199" t="str">
        <f t="shared" si="68"/>
        <v>PEN</v>
      </c>
      <c r="O622" s="13">
        <v>194.12</v>
      </c>
      <c r="P622" s="200"/>
      <c r="Q622" s="201">
        <f t="shared" si="69"/>
        <v>0</v>
      </c>
      <c r="R622" s="201">
        <f t="shared" si="70"/>
        <v>0</v>
      </c>
      <c r="S622" s="201">
        <f t="shared" si="71"/>
        <v>38247.220000000008</v>
      </c>
      <c r="T622" s="202"/>
      <c r="U622" s="202"/>
      <c r="V622" s="201"/>
      <c r="W622" s="19" t="str">
        <f>IFERROR(VLOOKUP(Banco_Nacion[[#This Row],[RESPONSABLE]],Clientes_Proveedores[[Ruc / Dni]:[Razon Social]],2,0),"")</f>
        <v/>
      </c>
      <c r="X62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2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22" s="3"/>
      <c r="AA622" s="3"/>
      <c r="AB622" s="24" t="str">
        <f>IF(Banco_Nacion[[#This Row],[FECHA]]&gt;0,TEXT(Banco_Nacion[[#This Row],[FECHA]],"mmmm"),0)</f>
        <v>Agosto</v>
      </c>
    </row>
    <row r="623" spans="2:28" ht="24" x14ac:dyDescent="0.3">
      <c r="B623" s="195" t="str">
        <f>IF(Banco_Nacion[[#This Row],[TIPO DE R.]]="R",COUNTIFS($D$4:$D622,"R")+1,"")</f>
        <v/>
      </c>
      <c r="C623" s="19" t="str">
        <f t="shared" si="67"/>
        <v>B-Banco de la Nacion</v>
      </c>
      <c r="D623" s="3" t="s">
        <v>1101</v>
      </c>
      <c r="E623" s="196">
        <v>45894</v>
      </c>
      <c r="F623" s="197" t="s">
        <v>3556</v>
      </c>
      <c r="G623" s="5"/>
      <c r="H623" s="6" t="s">
        <v>842</v>
      </c>
      <c r="I623" s="6" t="s">
        <v>95</v>
      </c>
      <c r="J623" s="6" t="s">
        <v>8041</v>
      </c>
      <c r="K623" s="6">
        <v>32</v>
      </c>
      <c r="L623" s="198"/>
      <c r="M623" s="199">
        <v>78787878</v>
      </c>
      <c r="N623" s="199" t="str">
        <f t="shared" si="68"/>
        <v>PEN</v>
      </c>
      <c r="O623" s="13">
        <v>236.22</v>
      </c>
      <c r="P623" s="200"/>
      <c r="Q623" s="201">
        <f t="shared" si="69"/>
        <v>0</v>
      </c>
      <c r="R623" s="201">
        <f t="shared" si="70"/>
        <v>0</v>
      </c>
      <c r="S623" s="201">
        <f t="shared" si="71"/>
        <v>38247.220000000008</v>
      </c>
      <c r="T623" s="202"/>
      <c r="U623" s="202"/>
      <c r="V623" s="201"/>
      <c r="W623" s="19" t="str">
        <f>IFERROR(VLOOKUP(Banco_Nacion[[#This Row],[RESPONSABLE]],Clientes_Proveedores[[Ruc / Dni]:[Razon Social]],2,0),"")</f>
        <v/>
      </c>
      <c r="X62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2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23" s="3"/>
      <c r="AA623" s="3"/>
      <c r="AB623" s="24" t="str">
        <f>IF(Banco_Nacion[[#This Row],[FECHA]]&gt;0,TEXT(Banco_Nacion[[#This Row],[FECHA]],"mmmm"),0)</f>
        <v>Agosto</v>
      </c>
    </row>
    <row r="624" spans="2:28" ht="24" x14ac:dyDescent="0.3">
      <c r="B624" s="195" t="str">
        <f>IF(Banco_Nacion[[#This Row],[TIPO DE R.]]="R",COUNTIFS($D$4:$D623,"R")+1,"")</f>
        <v/>
      </c>
      <c r="C624" s="19" t="str">
        <f t="shared" ref="C624:C655" si="72">"B-Banco de la Nacion"</f>
        <v>B-Banco de la Nacion</v>
      </c>
      <c r="D624" s="3" t="s">
        <v>1101</v>
      </c>
      <c r="E624" s="196">
        <v>45894</v>
      </c>
      <c r="F624" s="197" t="s">
        <v>3556</v>
      </c>
      <c r="G624" s="5"/>
      <c r="H624" s="6" t="s">
        <v>934</v>
      </c>
      <c r="I624" s="6" t="s">
        <v>95</v>
      </c>
      <c r="J624" s="6" t="s">
        <v>8041</v>
      </c>
      <c r="K624" s="6">
        <v>33</v>
      </c>
      <c r="L624" s="198"/>
      <c r="M624" s="199">
        <v>78787878</v>
      </c>
      <c r="N624" s="199" t="str">
        <f t="shared" ref="N624:N655" si="73">"PEN"</f>
        <v>PEN</v>
      </c>
      <c r="O624" s="13">
        <v>147.62</v>
      </c>
      <c r="P624" s="200"/>
      <c r="Q624" s="201">
        <f t="shared" ref="Q624:Q655" si="74">+IF(OR($G624="SALDO",$G624="INGRESO"),$P624,0)</f>
        <v>0</v>
      </c>
      <c r="R624" s="201">
        <f t="shared" ref="R624:R655" si="75">+IF($G624="EGRESO",$P624,0)</f>
        <v>0</v>
      </c>
      <c r="S624" s="201">
        <f t="shared" ref="S624:S644" si="76">IFERROR(IF(G624="SALDO",Q624,S623+Q624-R624),0)</f>
        <v>38247.220000000008</v>
      </c>
      <c r="T624" s="202"/>
      <c r="U624" s="202"/>
      <c r="V624" s="201"/>
      <c r="W624" s="19" t="str">
        <f>IFERROR(VLOOKUP(Banco_Nacion[[#This Row],[RESPONSABLE]],Clientes_Proveedores[[Ruc / Dni]:[Razon Social]],2,0),"")</f>
        <v/>
      </c>
      <c r="X62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2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24" s="3"/>
      <c r="AA624" s="3"/>
      <c r="AB624" s="24" t="str">
        <f>IF(Banco_Nacion[[#This Row],[FECHA]]&gt;0,TEXT(Banco_Nacion[[#This Row],[FECHA]],"mmmm"),0)</f>
        <v>Agosto</v>
      </c>
    </row>
    <row r="625" spans="2:28" ht="24" x14ac:dyDescent="0.3">
      <c r="B625" s="195" t="str">
        <f>IF(Banco_Nacion[[#This Row],[TIPO DE R.]]="R",COUNTIFS($D$4:$D624,"R")+1,"")</f>
        <v/>
      </c>
      <c r="C625" s="19" t="str">
        <f t="shared" si="72"/>
        <v>B-Banco de la Nacion</v>
      </c>
      <c r="D625" s="3" t="s">
        <v>1101</v>
      </c>
      <c r="E625" s="196">
        <v>45894</v>
      </c>
      <c r="F625" s="197" t="s">
        <v>3556</v>
      </c>
      <c r="G625" s="5"/>
      <c r="H625" s="6" t="s">
        <v>850</v>
      </c>
      <c r="I625" s="6" t="s">
        <v>95</v>
      </c>
      <c r="J625" s="6" t="s">
        <v>8041</v>
      </c>
      <c r="K625" s="6">
        <v>34</v>
      </c>
      <c r="L625" s="198"/>
      <c r="M625" s="199">
        <v>78787878</v>
      </c>
      <c r="N625" s="199" t="str">
        <f t="shared" si="73"/>
        <v>PEN</v>
      </c>
      <c r="O625" s="13">
        <v>333.06</v>
      </c>
      <c r="P625" s="200"/>
      <c r="Q625" s="201">
        <f t="shared" si="74"/>
        <v>0</v>
      </c>
      <c r="R625" s="201">
        <f t="shared" si="75"/>
        <v>0</v>
      </c>
      <c r="S625" s="201">
        <f t="shared" si="76"/>
        <v>38247.220000000008</v>
      </c>
      <c r="T625" s="202"/>
      <c r="U625" s="202"/>
      <c r="V625" s="201"/>
      <c r="W625" s="19" t="str">
        <f>IFERROR(VLOOKUP(Banco_Nacion[[#This Row],[RESPONSABLE]],Clientes_Proveedores[[Ruc / Dni]:[Razon Social]],2,0),"")</f>
        <v/>
      </c>
      <c r="X62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2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25" s="3"/>
      <c r="AA625" s="3"/>
      <c r="AB625" s="24" t="str">
        <f>IF(Banco_Nacion[[#This Row],[FECHA]]&gt;0,TEXT(Banco_Nacion[[#This Row],[FECHA]],"mmmm"),0)</f>
        <v>Agosto</v>
      </c>
    </row>
    <row r="626" spans="2:28" ht="24" x14ac:dyDescent="0.3">
      <c r="B626" s="195" t="str">
        <f>IF(Banco_Nacion[[#This Row],[TIPO DE R.]]="R",COUNTIFS($D$4:$D625,"R")+1,"")</f>
        <v/>
      </c>
      <c r="C626" s="19" t="str">
        <f t="shared" si="72"/>
        <v>B-Banco de la Nacion</v>
      </c>
      <c r="D626" s="3" t="s">
        <v>1101</v>
      </c>
      <c r="E626" s="196">
        <v>45894</v>
      </c>
      <c r="F626" s="197" t="s">
        <v>3556</v>
      </c>
      <c r="G626" s="5"/>
      <c r="H626" s="6" t="s">
        <v>854</v>
      </c>
      <c r="I626" s="6" t="s">
        <v>95</v>
      </c>
      <c r="J626" s="6" t="s">
        <v>8041</v>
      </c>
      <c r="K626" s="6">
        <v>35</v>
      </c>
      <c r="L626" s="198"/>
      <c r="M626" s="199">
        <v>78787878</v>
      </c>
      <c r="N626" s="199" t="str">
        <f t="shared" si="73"/>
        <v>PEN</v>
      </c>
      <c r="O626" s="13">
        <v>190.55</v>
      </c>
      <c r="P626" s="200"/>
      <c r="Q626" s="201">
        <f t="shared" si="74"/>
        <v>0</v>
      </c>
      <c r="R626" s="201">
        <f t="shared" si="75"/>
        <v>0</v>
      </c>
      <c r="S626" s="201">
        <f t="shared" si="76"/>
        <v>38247.220000000008</v>
      </c>
      <c r="T626" s="202"/>
      <c r="U626" s="202"/>
      <c r="V626" s="201"/>
      <c r="W626" s="19" t="str">
        <f>IFERROR(VLOOKUP(Banco_Nacion[[#This Row],[RESPONSABLE]],Clientes_Proveedores[[Ruc / Dni]:[Razon Social]],2,0),"")</f>
        <v/>
      </c>
      <c r="X62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2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26" s="3"/>
      <c r="AA626" s="3"/>
      <c r="AB626" s="24" t="str">
        <f>IF(Banco_Nacion[[#This Row],[FECHA]]&gt;0,TEXT(Banco_Nacion[[#This Row],[FECHA]],"mmmm"),0)</f>
        <v>Agosto</v>
      </c>
    </row>
    <row r="627" spans="2:28" ht="24" x14ac:dyDescent="0.3">
      <c r="B627" s="195" t="str">
        <f>IF(Banco_Nacion[[#This Row],[TIPO DE R.]]="R",COUNTIFS($D$4:$D626,"R")+1,"")</f>
        <v/>
      </c>
      <c r="C627" s="19" t="str">
        <f t="shared" si="72"/>
        <v>B-Banco de la Nacion</v>
      </c>
      <c r="D627" s="3" t="s">
        <v>1101</v>
      </c>
      <c r="E627" s="196">
        <v>45894</v>
      </c>
      <c r="F627" s="197" t="s">
        <v>3556</v>
      </c>
      <c r="G627" s="5"/>
      <c r="H627" s="6" t="s">
        <v>857</v>
      </c>
      <c r="I627" s="6" t="s">
        <v>95</v>
      </c>
      <c r="J627" s="6" t="s">
        <v>8041</v>
      </c>
      <c r="K627" s="6">
        <v>36</v>
      </c>
      <c r="L627" s="198"/>
      <c r="M627" s="199">
        <v>78787878</v>
      </c>
      <c r="N627" s="199" t="str">
        <f t="shared" si="73"/>
        <v>PEN</v>
      </c>
      <c r="O627" s="13">
        <v>135.57</v>
      </c>
      <c r="P627" s="200"/>
      <c r="Q627" s="201">
        <f t="shared" si="74"/>
        <v>0</v>
      </c>
      <c r="R627" s="201">
        <f t="shared" si="75"/>
        <v>0</v>
      </c>
      <c r="S627" s="201">
        <f t="shared" si="76"/>
        <v>38247.220000000008</v>
      </c>
      <c r="T627" s="202"/>
      <c r="U627" s="202"/>
      <c r="V627" s="201"/>
      <c r="W627" s="19" t="str">
        <f>IFERROR(VLOOKUP(Banco_Nacion[[#This Row],[RESPONSABLE]],Clientes_Proveedores[[Ruc / Dni]:[Razon Social]],2,0),"")</f>
        <v/>
      </c>
      <c r="X62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2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27" s="3"/>
      <c r="AA627" s="3"/>
      <c r="AB627" s="24" t="str">
        <f>IF(Banco_Nacion[[#This Row],[FECHA]]&gt;0,TEXT(Banco_Nacion[[#This Row],[FECHA]],"mmmm"),0)</f>
        <v>Agosto</v>
      </c>
    </row>
    <row r="628" spans="2:28" ht="24" x14ac:dyDescent="0.3">
      <c r="B628" s="195" t="str">
        <f>IF(Banco_Nacion[[#This Row],[TIPO DE R.]]="R",COUNTIFS($D$4:$D627,"R")+1,"")</f>
        <v/>
      </c>
      <c r="C628" s="19" t="str">
        <f t="shared" si="72"/>
        <v>B-Banco de la Nacion</v>
      </c>
      <c r="D628" s="3" t="s">
        <v>1101</v>
      </c>
      <c r="E628" s="196">
        <v>45894</v>
      </c>
      <c r="F628" s="197" t="s">
        <v>3556</v>
      </c>
      <c r="G628" s="5"/>
      <c r="H628" s="6" t="s">
        <v>859</v>
      </c>
      <c r="I628" s="6" t="s">
        <v>95</v>
      </c>
      <c r="J628" s="6" t="s">
        <v>8041</v>
      </c>
      <c r="K628" s="6">
        <v>37</v>
      </c>
      <c r="L628" s="198"/>
      <c r="M628" s="199">
        <v>78787878</v>
      </c>
      <c r="N628" s="199" t="str">
        <f t="shared" si="73"/>
        <v>PEN</v>
      </c>
      <c r="O628" s="13">
        <v>192.87</v>
      </c>
      <c r="P628" s="200"/>
      <c r="Q628" s="201">
        <f t="shared" si="74"/>
        <v>0</v>
      </c>
      <c r="R628" s="201">
        <f t="shared" si="75"/>
        <v>0</v>
      </c>
      <c r="S628" s="201">
        <f t="shared" si="76"/>
        <v>38247.220000000008</v>
      </c>
      <c r="T628" s="202"/>
      <c r="U628" s="202"/>
      <c r="V628" s="201"/>
      <c r="W628" s="19" t="str">
        <f>IFERROR(VLOOKUP(Banco_Nacion[[#This Row],[RESPONSABLE]],Clientes_Proveedores[[Ruc / Dni]:[Razon Social]],2,0),"")</f>
        <v/>
      </c>
      <c r="X62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2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28" s="3"/>
      <c r="AA628" s="3"/>
      <c r="AB628" s="24" t="str">
        <f>IF(Banco_Nacion[[#This Row],[FECHA]]&gt;0,TEXT(Banco_Nacion[[#This Row],[FECHA]],"mmmm"),0)</f>
        <v>Agosto</v>
      </c>
    </row>
    <row r="629" spans="2:28" ht="24" x14ac:dyDescent="0.3">
      <c r="B629" s="195" t="str">
        <f>IF(Banco_Nacion[[#This Row],[TIPO DE R.]]="R",COUNTIFS($D$4:$D628,"R")+1,"")</f>
        <v/>
      </c>
      <c r="C629" s="19" t="str">
        <f t="shared" si="72"/>
        <v>B-Banco de la Nacion</v>
      </c>
      <c r="D629" s="3" t="s">
        <v>1101</v>
      </c>
      <c r="E629" s="196">
        <v>45894</v>
      </c>
      <c r="F629" s="197" t="s">
        <v>3556</v>
      </c>
      <c r="G629" s="5"/>
      <c r="H629" s="6" t="s">
        <v>863</v>
      </c>
      <c r="I629" s="6" t="s">
        <v>95</v>
      </c>
      <c r="J629" s="6" t="s">
        <v>8041</v>
      </c>
      <c r="K629" s="6">
        <v>38</v>
      </c>
      <c r="L629" s="198"/>
      <c r="M629" s="199">
        <v>78787878</v>
      </c>
      <c r="N629" s="199" t="str">
        <f t="shared" si="73"/>
        <v>PEN</v>
      </c>
      <c r="O629" s="13">
        <v>166.01</v>
      </c>
      <c r="P629" s="200"/>
      <c r="Q629" s="201">
        <f t="shared" si="74"/>
        <v>0</v>
      </c>
      <c r="R629" s="201">
        <f t="shared" si="75"/>
        <v>0</v>
      </c>
      <c r="S629" s="201">
        <f t="shared" si="76"/>
        <v>38247.220000000008</v>
      </c>
      <c r="T629" s="202"/>
      <c r="U629" s="202"/>
      <c r="V629" s="201"/>
      <c r="W629" s="19" t="str">
        <f>IFERROR(VLOOKUP(Banco_Nacion[[#This Row],[RESPONSABLE]],Clientes_Proveedores[[Ruc / Dni]:[Razon Social]],2,0),"")</f>
        <v/>
      </c>
      <c r="X62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2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29" s="3"/>
      <c r="AA629" s="3"/>
      <c r="AB629" s="24" t="str">
        <f>IF(Banco_Nacion[[#This Row],[FECHA]]&gt;0,TEXT(Banco_Nacion[[#This Row],[FECHA]],"mmmm"),0)</f>
        <v>Agosto</v>
      </c>
    </row>
    <row r="630" spans="2:28" ht="24" x14ac:dyDescent="0.3">
      <c r="B630" s="195" t="str">
        <f>IF(Banco_Nacion[[#This Row],[TIPO DE R.]]="R",COUNTIFS($D$4:$D629,"R")+1,"")</f>
        <v/>
      </c>
      <c r="C630" s="19" t="str">
        <f t="shared" si="72"/>
        <v>B-Banco de la Nacion</v>
      </c>
      <c r="D630" s="3" t="s">
        <v>1101</v>
      </c>
      <c r="E630" s="196">
        <v>45894</v>
      </c>
      <c r="F630" s="197" t="s">
        <v>3556</v>
      </c>
      <c r="G630" s="5"/>
      <c r="H630" s="6" t="s">
        <v>959</v>
      </c>
      <c r="I630" s="6" t="s">
        <v>95</v>
      </c>
      <c r="J630" s="6" t="s">
        <v>8041</v>
      </c>
      <c r="K630" s="6">
        <v>39</v>
      </c>
      <c r="L630" s="198"/>
      <c r="M630" s="199">
        <v>78787878</v>
      </c>
      <c r="N630" s="199" t="str">
        <f t="shared" si="73"/>
        <v>PEN</v>
      </c>
      <c r="O630" s="13">
        <v>112.97</v>
      </c>
      <c r="P630" s="200"/>
      <c r="Q630" s="201">
        <f t="shared" si="74"/>
        <v>0</v>
      </c>
      <c r="R630" s="201">
        <f t="shared" si="75"/>
        <v>0</v>
      </c>
      <c r="S630" s="201">
        <f t="shared" si="76"/>
        <v>38247.220000000008</v>
      </c>
      <c r="T630" s="202"/>
      <c r="U630" s="202"/>
      <c r="V630" s="201"/>
      <c r="W630" s="19" t="str">
        <f>IFERROR(VLOOKUP(Banco_Nacion[[#This Row],[RESPONSABLE]],Clientes_Proveedores[[Ruc / Dni]:[Razon Social]],2,0),"")</f>
        <v/>
      </c>
      <c r="X63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3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30" s="3"/>
      <c r="AA630" s="3"/>
      <c r="AB630" s="24" t="str">
        <f>IF(Banco_Nacion[[#This Row],[FECHA]]&gt;0,TEXT(Banco_Nacion[[#This Row],[FECHA]],"mmmm"),0)</f>
        <v>Agosto</v>
      </c>
    </row>
    <row r="631" spans="2:28" ht="24" x14ac:dyDescent="0.3">
      <c r="B631" s="195" t="str">
        <f>IF(Banco_Nacion[[#This Row],[TIPO DE R.]]="R",COUNTIFS($D$4:$D630,"R")+1,"")</f>
        <v/>
      </c>
      <c r="C631" s="19" t="str">
        <f t="shared" si="72"/>
        <v>B-Banco de la Nacion</v>
      </c>
      <c r="D631" s="3" t="s">
        <v>1101</v>
      </c>
      <c r="E631" s="196">
        <v>45894</v>
      </c>
      <c r="F631" s="197" t="s">
        <v>3556</v>
      </c>
      <c r="G631" s="5"/>
      <c r="H631" s="6" t="s">
        <v>866</v>
      </c>
      <c r="I631" s="6" t="s">
        <v>95</v>
      </c>
      <c r="J631" s="6" t="s">
        <v>8041</v>
      </c>
      <c r="K631" s="6">
        <v>40</v>
      </c>
      <c r="L631" s="198"/>
      <c r="M631" s="199">
        <v>78787878</v>
      </c>
      <c r="N631" s="199" t="str">
        <f t="shared" si="73"/>
        <v>PEN</v>
      </c>
      <c r="O631" s="13">
        <v>326.92</v>
      </c>
      <c r="P631" s="200"/>
      <c r="Q631" s="201">
        <f t="shared" si="74"/>
        <v>0</v>
      </c>
      <c r="R631" s="201">
        <f t="shared" si="75"/>
        <v>0</v>
      </c>
      <c r="S631" s="201">
        <f t="shared" si="76"/>
        <v>38247.220000000008</v>
      </c>
      <c r="T631" s="202"/>
      <c r="U631" s="202"/>
      <c r="V631" s="201"/>
      <c r="W631" s="19" t="str">
        <f>IFERROR(VLOOKUP(Banco_Nacion[[#This Row],[RESPONSABLE]],Clientes_Proveedores[[Ruc / Dni]:[Razon Social]],2,0),"")</f>
        <v/>
      </c>
      <c r="X63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3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31" s="3"/>
      <c r="AA631" s="3"/>
      <c r="AB631" s="24" t="str">
        <f>IF(Banco_Nacion[[#This Row],[FECHA]]&gt;0,TEXT(Banco_Nacion[[#This Row],[FECHA]],"mmmm"),0)</f>
        <v>Agosto</v>
      </c>
    </row>
    <row r="632" spans="2:28" ht="24" x14ac:dyDescent="0.3">
      <c r="B632" s="195" t="str">
        <f>IF(Banco_Nacion[[#This Row],[TIPO DE R.]]="R",COUNTIFS($D$4:$D631,"R")+1,"")</f>
        <v/>
      </c>
      <c r="C632" s="19" t="str">
        <f t="shared" si="72"/>
        <v>B-Banco de la Nacion</v>
      </c>
      <c r="D632" s="3" t="s">
        <v>1101</v>
      </c>
      <c r="E632" s="196">
        <v>45894</v>
      </c>
      <c r="F632" s="197" t="s">
        <v>3556</v>
      </c>
      <c r="G632" s="5"/>
      <c r="H632" s="6" t="s">
        <v>869</v>
      </c>
      <c r="I632" s="6" t="s">
        <v>95</v>
      </c>
      <c r="J632" s="6" t="s">
        <v>8041</v>
      </c>
      <c r="K632" s="6">
        <v>41</v>
      </c>
      <c r="L632" s="198"/>
      <c r="M632" s="199">
        <v>78787878</v>
      </c>
      <c r="N632" s="199" t="str">
        <f t="shared" si="73"/>
        <v>PEN</v>
      </c>
      <c r="O632" s="13">
        <v>141.5</v>
      </c>
      <c r="P632" s="200"/>
      <c r="Q632" s="201">
        <f t="shared" si="74"/>
        <v>0</v>
      </c>
      <c r="R632" s="201">
        <f t="shared" si="75"/>
        <v>0</v>
      </c>
      <c r="S632" s="201">
        <f t="shared" si="76"/>
        <v>38247.220000000008</v>
      </c>
      <c r="T632" s="202"/>
      <c r="U632" s="202"/>
      <c r="V632" s="201"/>
      <c r="W632" s="19" t="str">
        <f>IFERROR(VLOOKUP(Banco_Nacion[[#This Row],[RESPONSABLE]],Clientes_Proveedores[[Ruc / Dni]:[Razon Social]],2,0),"")</f>
        <v/>
      </c>
      <c r="X63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3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32" s="3"/>
      <c r="AA632" s="3"/>
      <c r="AB632" s="24" t="str">
        <f>IF(Banco_Nacion[[#This Row],[FECHA]]&gt;0,TEXT(Banco_Nacion[[#This Row],[FECHA]],"mmmm"),0)</f>
        <v>Agosto</v>
      </c>
    </row>
    <row r="633" spans="2:28" ht="24" x14ac:dyDescent="0.3">
      <c r="B633" s="195" t="str">
        <f>IF(Banco_Nacion[[#This Row],[TIPO DE R.]]="R",COUNTIFS($D$4:$D632,"R")+1,"")</f>
        <v/>
      </c>
      <c r="C633" s="19" t="str">
        <f t="shared" si="72"/>
        <v>B-Banco de la Nacion</v>
      </c>
      <c r="D633" s="3" t="s">
        <v>1101</v>
      </c>
      <c r="E633" s="196">
        <v>45894</v>
      </c>
      <c r="F633" s="197" t="s">
        <v>3556</v>
      </c>
      <c r="G633" s="5"/>
      <c r="H633" s="6" t="s">
        <v>874</v>
      </c>
      <c r="I633" s="6" t="s">
        <v>95</v>
      </c>
      <c r="J633" s="6" t="s">
        <v>8041</v>
      </c>
      <c r="K633" s="6">
        <v>42</v>
      </c>
      <c r="L633" s="198"/>
      <c r="M633" s="199">
        <v>78787878</v>
      </c>
      <c r="N633" s="199" t="str">
        <f t="shared" si="73"/>
        <v>PEN</v>
      </c>
      <c r="O633" s="13">
        <v>144.47999999999999</v>
      </c>
      <c r="P633" s="200"/>
      <c r="Q633" s="201">
        <f t="shared" si="74"/>
        <v>0</v>
      </c>
      <c r="R633" s="201">
        <f t="shared" si="75"/>
        <v>0</v>
      </c>
      <c r="S633" s="201">
        <f t="shared" si="76"/>
        <v>38247.220000000008</v>
      </c>
      <c r="T633" s="202"/>
      <c r="U633" s="202"/>
      <c r="V633" s="201"/>
      <c r="W633" s="19" t="str">
        <f>IFERROR(VLOOKUP(Banco_Nacion[[#This Row],[RESPONSABLE]],Clientes_Proveedores[[Ruc / Dni]:[Razon Social]],2,0),"")</f>
        <v/>
      </c>
      <c r="X63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3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33" s="3"/>
      <c r="AA633" s="3"/>
      <c r="AB633" s="24" t="str">
        <f>IF(Banco_Nacion[[#This Row],[FECHA]]&gt;0,TEXT(Banco_Nacion[[#This Row],[FECHA]],"mmmm"),0)</f>
        <v>Agosto</v>
      </c>
    </row>
    <row r="634" spans="2:28" ht="24" x14ac:dyDescent="0.3">
      <c r="B634" s="195" t="str">
        <f>IF(Banco_Nacion[[#This Row],[TIPO DE R.]]="R",COUNTIFS($D$4:$D633,"R")+1,"")</f>
        <v/>
      </c>
      <c r="C634" s="19" t="str">
        <f t="shared" si="72"/>
        <v>B-Banco de la Nacion</v>
      </c>
      <c r="D634" s="3" t="s">
        <v>1101</v>
      </c>
      <c r="E634" s="196">
        <v>45894</v>
      </c>
      <c r="F634" s="197" t="s">
        <v>3556</v>
      </c>
      <c r="G634" s="5"/>
      <c r="H634" s="6" t="s">
        <v>876</v>
      </c>
      <c r="I634" s="6" t="s">
        <v>95</v>
      </c>
      <c r="J634" s="6" t="s">
        <v>8041</v>
      </c>
      <c r="K634" s="6">
        <v>43</v>
      </c>
      <c r="L634" s="198"/>
      <c r="M634" s="199">
        <v>78787878</v>
      </c>
      <c r="N634" s="199" t="str">
        <f t="shared" si="73"/>
        <v>PEN</v>
      </c>
      <c r="O634" s="13">
        <v>134.19</v>
      </c>
      <c r="P634" s="200"/>
      <c r="Q634" s="201">
        <f t="shared" si="74"/>
        <v>0</v>
      </c>
      <c r="R634" s="201">
        <f t="shared" si="75"/>
        <v>0</v>
      </c>
      <c r="S634" s="201">
        <f t="shared" si="76"/>
        <v>38247.220000000008</v>
      </c>
      <c r="T634" s="202"/>
      <c r="U634" s="202"/>
      <c r="V634" s="201"/>
      <c r="W634" s="19" t="str">
        <f>IFERROR(VLOOKUP(Banco_Nacion[[#This Row],[RESPONSABLE]],Clientes_Proveedores[[Ruc / Dni]:[Razon Social]],2,0),"")</f>
        <v/>
      </c>
      <c r="X63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3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34" s="3"/>
      <c r="AA634" s="3"/>
      <c r="AB634" s="24" t="str">
        <f>IF(Banco_Nacion[[#This Row],[FECHA]]&gt;0,TEXT(Banco_Nacion[[#This Row],[FECHA]],"mmmm"),0)</f>
        <v>Agosto</v>
      </c>
    </row>
    <row r="635" spans="2:28" ht="36" x14ac:dyDescent="0.3">
      <c r="B635" s="195" t="str">
        <f>IF(Banco_Nacion[[#This Row],[TIPO DE R.]]="R",COUNTIFS($D$4:$D634,"R")+1,"")</f>
        <v/>
      </c>
      <c r="C635" s="19" t="str">
        <f t="shared" si="72"/>
        <v>B-Banco de la Nacion</v>
      </c>
      <c r="D635" s="3" t="s">
        <v>1101</v>
      </c>
      <c r="E635" s="196">
        <v>45894</v>
      </c>
      <c r="F635" s="197" t="s">
        <v>3556</v>
      </c>
      <c r="G635" s="5"/>
      <c r="H635" s="6" t="s">
        <v>878</v>
      </c>
      <c r="I635" s="6" t="s">
        <v>95</v>
      </c>
      <c r="J635" s="6" t="s">
        <v>8041</v>
      </c>
      <c r="K635" s="6">
        <v>44</v>
      </c>
      <c r="L635" s="198"/>
      <c r="M635" s="199">
        <v>78787878</v>
      </c>
      <c r="N635" s="199" t="str">
        <f t="shared" si="73"/>
        <v>PEN</v>
      </c>
      <c r="O635" s="13">
        <v>154.47</v>
      </c>
      <c r="P635" s="200"/>
      <c r="Q635" s="201">
        <f t="shared" si="74"/>
        <v>0</v>
      </c>
      <c r="R635" s="201">
        <f t="shared" si="75"/>
        <v>0</v>
      </c>
      <c r="S635" s="201">
        <f t="shared" si="76"/>
        <v>38247.220000000008</v>
      </c>
      <c r="T635" s="202"/>
      <c r="U635" s="202"/>
      <c r="V635" s="201"/>
      <c r="W635" s="19" t="str">
        <f>IFERROR(VLOOKUP(Banco_Nacion[[#This Row],[RESPONSABLE]],Clientes_Proveedores[[Ruc / Dni]:[Razon Social]],2,0),"")</f>
        <v/>
      </c>
      <c r="X63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3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35" s="3"/>
      <c r="AA635" s="3"/>
      <c r="AB635" s="24" t="str">
        <f>IF(Banco_Nacion[[#This Row],[FECHA]]&gt;0,TEXT(Banco_Nacion[[#This Row],[FECHA]],"mmmm"),0)</f>
        <v>Agosto</v>
      </c>
    </row>
    <row r="636" spans="2:28" ht="36" x14ac:dyDescent="0.3">
      <c r="B636" s="195" t="str">
        <f>IF(Banco_Nacion[[#This Row],[TIPO DE R.]]="R",COUNTIFS($D$4:$D635,"R")+1,"")</f>
        <v/>
      </c>
      <c r="C636" s="19" t="str">
        <f t="shared" si="72"/>
        <v>B-Banco de la Nacion</v>
      </c>
      <c r="D636" s="3" t="s">
        <v>1101</v>
      </c>
      <c r="E636" s="196">
        <v>45894</v>
      </c>
      <c r="F636" s="197" t="s">
        <v>3556</v>
      </c>
      <c r="G636" s="5"/>
      <c r="H636" s="6" t="s">
        <v>889</v>
      </c>
      <c r="I636" s="6" t="s">
        <v>95</v>
      </c>
      <c r="J636" s="6" t="s">
        <v>8041</v>
      </c>
      <c r="K636" s="6">
        <v>45</v>
      </c>
      <c r="L636" s="198"/>
      <c r="M636" s="199">
        <v>78787878</v>
      </c>
      <c r="N636" s="199" t="str">
        <f t="shared" si="73"/>
        <v>PEN</v>
      </c>
      <c r="O636" s="13">
        <v>135.49</v>
      </c>
      <c r="P636" s="200"/>
      <c r="Q636" s="201">
        <f t="shared" si="74"/>
        <v>0</v>
      </c>
      <c r="R636" s="201">
        <f t="shared" si="75"/>
        <v>0</v>
      </c>
      <c r="S636" s="201">
        <f t="shared" si="76"/>
        <v>38247.220000000008</v>
      </c>
      <c r="T636" s="202"/>
      <c r="U636" s="202"/>
      <c r="V636" s="201"/>
      <c r="W636" s="19" t="str">
        <f>IFERROR(VLOOKUP(Banco_Nacion[[#This Row],[RESPONSABLE]],Clientes_Proveedores[[Ruc / Dni]:[Razon Social]],2,0),"")</f>
        <v/>
      </c>
      <c r="X63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3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36" s="3"/>
      <c r="AA636" s="3"/>
      <c r="AB636" s="24" t="str">
        <f>IF(Banco_Nacion[[#This Row],[FECHA]]&gt;0,TEXT(Banco_Nacion[[#This Row],[FECHA]],"mmmm"),0)</f>
        <v>Agosto</v>
      </c>
    </row>
    <row r="637" spans="2:28" ht="24" x14ac:dyDescent="0.3">
      <c r="B637" s="195" t="str">
        <f>IF(Banco_Nacion[[#This Row],[TIPO DE R.]]="R",COUNTIFS($D$4:$D636,"R")+1,"")</f>
        <v/>
      </c>
      <c r="C637" s="19" t="str">
        <f t="shared" si="72"/>
        <v>B-Banco de la Nacion</v>
      </c>
      <c r="D637" s="3" t="s">
        <v>1101</v>
      </c>
      <c r="E637" s="196">
        <v>45894</v>
      </c>
      <c r="F637" s="197" t="s">
        <v>3556</v>
      </c>
      <c r="G637" s="5"/>
      <c r="H637" s="6" t="s">
        <v>960</v>
      </c>
      <c r="I637" s="6" t="s">
        <v>95</v>
      </c>
      <c r="J637" s="6" t="s">
        <v>8041</v>
      </c>
      <c r="K637" s="6">
        <v>46</v>
      </c>
      <c r="L637" s="198"/>
      <c r="M637" s="199">
        <v>78787878</v>
      </c>
      <c r="N637" s="199" t="str">
        <f t="shared" si="73"/>
        <v>PEN</v>
      </c>
      <c r="O637" s="13">
        <v>301.83999999999997</v>
      </c>
      <c r="P637" s="200"/>
      <c r="Q637" s="201">
        <f t="shared" si="74"/>
        <v>0</v>
      </c>
      <c r="R637" s="201">
        <f t="shared" si="75"/>
        <v>0</v>
      </c>
      <c r="S637" s="201">
        <f t="shared" si="76"/>
        <v>38247.220000000008</v>
      </c>
      <c r="T637" s="202"/>
      <c r="U637" s="202"/>
      <c r="V637" s="201"/>
      <c r="W637" s="19" t="str">
        <f>IFERROR(VLOOKUP(Banco_Nacion[[#This Row],[RESPONSABLE]],Clientes_Proveedores[[Ruc / Dni]:[Razon Social]],2,0),"")</f>
        <v/>
      </c>
      <c r="X63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3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37" s="3"/>
      <c r="AA637" s="3"/>
      <c r="AB637" s="24" t="str">
        <f>IF(Banco_Nacion[[#This Row],[FECHA]]&gt;0,TEXT(Banco_Nacion[[#This Row],[FECHA]],"mmmm"),0)</f>
        <v>Agosto</v>
      </c>
    </row>
    <row r="638" spans="2:28" ht="24" x14ac:dyDescent="0.3">
      <c r="B638" s="195" t="str">
        <f>IF(Banco_Nacion[[#This Row],[TIPO DE R.]]="R",COUNTIFS($D$4:$D637,"R")+1,"")</f>
        <v/>
      </c>
      <c r="C638" s="19" t="str">
        <f t="shared" si="72"/>
        <v>B-Banco de la Nacion</v>
      </c>
      <c r="D638" s="3" t="s">
        <v>1101</v>
      </c>
      <c r="E638" s="196">
        <v>45894</v>
      </c>
      <c r="F638" s="197" t="s">
        <v>3556</v>
      </c>
      <c r="G638" s="5"/>
      <c r="H638" s="6" t="s">
        <v>894</v>
      </c>
      <c r="I638" s="6" t="s">
        <v>95</v>
      </c>
      <c r="J638" s="6" t="s">
        <v>8041</v>
      </c>
      <c r="K638" s="6">
        <v>47</v>
      </c>
      <c r="L638" s="198"/>
      <c r="M638" s="199">
        <v>78787878</v>
      </c>
      <c r="N638" s="199" t="str">
        <f t="shared" si="73"/>
        <v>PEN</v>
      </c>
      <c r="O638" s="13">
        <v>133.62</v>
      </c>
      <c r="P638" s="200"/>
      <c r="Q638" s="201">
        <f t="shared" si="74"/>
        <v>0</v>
      </c>
      <c r="R638" s="201">
        <f t="shared" si="75"/>
        <v>0</v>
      </c>
      <c r="S638" s="201">
        <f t="shared" si="76"/>
        <v>38247.220000000008</v>
      </c>
      <c r="T638" s="202"/>
      <c r="U638" s="202"/>
      <c r="V638" s="201"/>
      <c r="W638" s="19" t="str">
        <f>IFERROR(VLOOKUP(Banco_Nacion[[#This Row],[RESPONSABLE]],Clientes_Proveedores[[Ruc / Dni]:[Razon Social]],2,0),"")</f>
        <v/>
      </c>
      <c r="X63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3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38" s="3"/>
      <c r="AA638" s="3"/>
      <c r="AB638" s="24" t="str">
        <f>IF(Banco_Nacion[[#This Row],[FECHA]]&gt;0,TEXT(Banco_Nacion[[#This Row],[FECHA]],"mmmm"),0)</f>
        <v>Agosto</v>
      </c>
    </row>
    <row r="639" spans="2:28" ht="24" x14ac:dyDescent="0.3">
      <c r="B639" s="195" t="str">
        <f>IF(Banco_Nacion[[#This Row],[TIPO DE R.]]="R",COUNTIFS($D$4:$D638,"R")+1,"")</f>
        <v/>
      </c>
      <c r="C639" s="19" t="str">
        <f t="shared" si="72"/>
        <v>B-Banco de la Nacion</v>
      </c>
      <c r="D639" s="3" t="s">
        <v>1101</v>
      </c>
      <c r="E639" s="196">
        <v>45894</v>
      </c>
      <c r="F639" s="197" t="s">
        <v>3556</v>
      </c>
      <c r="G639" s="5"/>
      <c r="H639" s="6" t="s">
        <v>896</v>
      </c>
      <c r="I639" s="6" t="s">
        <v>95</v>
      </c>
      <c r="J639" s="6" t="s">
        <v>8041</v>
      </c>
      <c r="K639" s="6">
        <v>48</v>
      </c>
      <c r="L639" s="198"/>
      <c r="M639" s="199">
        <v>78787878</v>
      </c>
      <c r="N639" s="199" t="str">
        <f t="shared" si="73"/>
        <v>PEN</v>
      </c>
      <c r="O639" s="13">
        <v>118.95</v>
      </c>
      <c r="P639" s="200"/>
      <c r="Q639" s="201">
        <f t="shared" si="74"/>
        <v>0</v>
      </c>
      <c r="R639" s="201">
        <f t="shared" si="75"/>
        <v>0</v>
      </c>
      <c r="S639" s="201">
        <f t="shared" si="76"/>
        <v>38247.220000000008</v>
      </c>
      <c r="T639" s="202"/>
      <c r="U639" s="202"/>
      <c r="V639" s="201"/>
      <c r="W639" s="19" t="str">
        <f>IFERROR(VLOOKUP(Banco_Nacion[[#This Row],[RESPONSABLE]],Clientes_Proveedores[[Ruc / Dni]:[Razon Social]],2,0),"")</f>
        <v/>
      </c>
      <c r="X63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3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39" s="3"/>
      <c r="AA639" s="3"/>
      <c r="AB639" s="24" t="str">
        <f>IF(Banco_Nacion[[#This Row],[FECHA]]&gt;0,TEXT(Banco_Nacion[[#This Row],[FECHA]],"mmmm"),0)</f>
        <v>Agosto</v>
      </c>
    </row>
    <row r="640" spans="2:28" ht="24" x14ac:dyDescent="0.3">
      <c r="B640" s="195" t="str">
        <f>IF(Banco_Nacion[[#This Row],[TIPO DE R.]]="R",COUNTIFS($D$4:$D639,"R")+1,"")</f>
        <v/>
      </c>
      <c r="C640" s="19" t="str">
        <f t="shared" si="72"/>
        <v>B-Banco de la Nacion</v>
      </c>
      <c r="D640" s="3" t="s">
        <v>1101</v>
      </c>
      <c r="E640" s="196">
        <v>45894</v>
      </c>
      <c r="F640" s="197" t="s">
        <v>3556</v>
      </c>
      <c r="G640" s="5"/>
      <c r="H640" s="6" t="s">
        <v>898</v>
      </c>
      <c r="I640" s="6" t="s">
        <v>95</v>
      </c>
      <c r="J640" s="6" t="s">
        <v>8041</v>
      </c>
      <c r="K640" s="6">
        <v>49</v>
      </c>
      <c r="L640" s="198"/>
      <c r="M640" s="199">
        <v>78787878</v>
      </c>
      <c r="N640" s="199" t="str">
        <f t="shared" si="73"/>
        <v>PEN</v>
      </c>
      <c r="O640" s="13">
        <v>202.13</v>
      </c>
      <c r="P640" s="200"/>
      <c r="Q640" s="201">
        <f t="shared" si="74"/>
        <v>0</v>
      </c>
      <c r="R640" s="201">
        <f t="shared" si="75"/>
        <v>0</v>
      </c>
      <c r="S640" s="201">
        <f t="shared" si="76"/>
        <v>38247.220000000008</v>
      </c>
      <c r="T640" s="202"/>
      <c r="U640" s="202"/>
      <c r="V640" s="201"/>
      <c r="W640" s="19" t="str">
        <f>IFERROR(VLOOKUP(Banco_Nacion[[#This Row],[RESPONSABLE]],Clientes_Proveedores[[Ruc / Dni]:[Razon Social]],2,0),"")</f>
        <v/>
      </c>
      <c r="X64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4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40" s="3"/>
      <c r="AA640" s="3"/>
      <c r="AB640" s="24" t="str">
        <f>IF(Banco_Nacion[[#This Row],[FECHA]]&gt;0,TEXT(Banco_Nacion[[#This Row],[FECHA]],"mmmm"),0)</f>
        <v>Agosto</v>
      </c>
    </row>
    <row r="641" spans="2:28" ht="24" x14ac:dyDescent="0.3">
      <c r="B641" s="195" t="str">
        <f>IF(Banco_Nacion[[#This Row],[TIPO DE R.]]="R",COUNTIFS($D$4:$D640,"R")+1,"")</f>
        <v/>
      </c>
      <c r="C641" s="19" t="str">
        <f t="shared" si="72"/>
        <v>B-Banco de la Nacion</v>
      </c>
      <c r="D641" s="3" t="s">
        <v>1101</v>
      </c>
      <c r="E641" s="196">
        <v>45894</v>
      </c>
      <c r="F641" s="197" t="s">
        <v>3556</v>
      </c>
      <c r="G641" s="5"/>
      <c r="H641" s="6" t="s">
        <v>961</v>
      </c>
      <c r="I641" s="6" t="s">
        <v>95</v>
      </c>
      <c r="J641" s="6" t="s">
        <v>8041</v>
      </c>
      <c r="K641" s="6">
        <v>50</v>
      </c>
      <c r="L641" s="198"/>
      <c r="M641" s="199">
        <v>78787878</v>
      </c>
      <c r="N641" s="199" t="str">
        <f t="shared" si="73"/>
        <v>PEN</v>
      </c>
      <c r="O641" s="13">
        <v>114.72</v>
      </c>
      <c r="P641" s="200"/>
      <c r="Q641" s="201">
        <f t="shared" si="74"/>
        <v>0</v>
      </c>
      <c r="R641" s="201">
        <f t="shared" si="75"/>
        <v>0</v>
      </c>
      <c r="S641" s="201">
        <f t="shared" si="76"/>
        <v>38247.220000000008</v>
      </c>
      <c r="T641" s="202"/>
      <c r="U641" s="202"/>
      <c r="V641" s="201"/>
      <c r="W641" s="19" t="str">
        <f>IFERROR(VLOOKUP(Banco_Nacion[[#This Row],[RESPONSABLE]],Clientes_Proveedores[[Ruc / Dni]:[Razon Social]],2,0),"")</f>
        <v/>
      </c>
      <c r="X64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4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41" s="3"/>
      <c r="AA641" s="3"/>
      <c r="AB641" s="24" t="str">
        <f>IF(Banco_Nacion[[#This Row],[FECHA]]&gt;0,TEXT(Banco_Nacion[[#This Row],[FECHA]],"mmmm"),0)</f>
        <v>Agosto</v>
      </c>
    </row>
    <row r="642" spans="2:28" ht="36" x14ac:dyDescent="0.3">
      <c r="B642" s="195" t="str">
        <f>IF(Banco_Nacion[[#This Row],[TIPO DE R.]]="R",COUNTIFS($D$4:$D641,"R")+1,"")</f>
        <v/>
      </c>
      <c r="C642" s="19" t="str">
        <f t="shared" si="72"/>
        <v>B-Banco de la Nacion</v>
      </c>
      <c r="D642" s="3" t="s">
        <v>1101</v>
      </c>
      <c r="E642" s="196">
        <v>45894</v>
      </c>
      <c r="F642" s="197" t="s">
        <v>3556</v>
      </c>
      <c r="G642" s="5"/>
      <c r="H642" s="6" t="s">
        <v>1017</v>
      </c>
      <c r="I642" s="6" t="s">
        <v>95</v>
      </c>
      <c r="J642" s="6" t="s">
        <v>8041</v>
      </c>
      <c r="K642" s="6">
        <v>51</v>
      </c>
      <c r="L642" s="198"/>
      <c r="M642" s="199">
        <v>78787878</v>
      </c>
      <c r="N642" s="199" t="str">
        <f t="shared" si="73"/>
        <v>PEN</v>
      </c>
      <c r="O642" s="13">
        <v>101.7</v>
      </c>
      <c r="P642" s="200"/>
      <c r="Q642" s="201">
        <f t="shared" si="74"/>
        <v>0</v>
      </c>
      <c r="R642" s="201">
        <f t="shared" si="75"/>
        <v>0</v>
      </c>
      <c r="S642" s="201">
        <f t="shared" si="76"/>
        <v>38247.220000000008</v>
      </c>
      <c r="T642" s="202"/>
      <c r="U642" s="202"/>
      <c r="V642" s="201"/>
      <c r="W642" s="19" t="str">
        <f>IFERROR(VLOOKUP(Banco_Nacion[[#This Row],[RESPONSABLE]],Clientes_Proveedores[[Ruc / Dni]:[Razon Social]],2,0),"")</f>
        <v/>
      </c>
      <c r="X64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4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42" s="3"/>
      <c r="AA642" s="3"/>
      <c r="AB642" s="24" t="str">
        <f>IF(Banco_Nacion[[#This Row],[FECHA]]&gt;0,TEXT(Banco_Nacion[[#This Row],[FECHA]],"mmmm"),0)</f>
        <v>Agosto</v>
      </c>
    </row>
    <row r="643" spans="2:28" ht="24" x14ac:dyDescent="0.3">
      <c r="B643" s="195" t="str">
        <f>IF(Banco_Nacion[[#This Row],[TIPO DE R.]]="R",COUNTIFS($D$4:$D642,"R")+1,"")</f>
        <v/>
      </c>
      <c r="C643" s="19" t="str">
        <f t="shared" si="72"/>
        <v>B-Banco de la Nacion</v>
      </c>
      <c r="D643" s="3" t="s">
        <v>1101</v>
      </c>
      <c r="E643" s="196">
        <v>45894</v>
      </c>
      <c r="F643" s="197" t="s">
        <v>3556</v>
      </c>
      <c r="G643" s="5"/>
      <c r="H643" s="6" t="s">
        <v>962</v>
      </c>
      <c r="I643" s="6" t="s">
        <v>95</v>
      </c>
      <c r="J643" s="6" t="s">
        <v>8041</v>
      </c>
      <c r="K643" s="6">
        <v>52</v>
      </c>
      <c r="L643" s="198"/>
      <c r="M643" s="199">
        <v>78787878</v>
      </c>
      <c r="N643" s="199" t="str">
        <f t="shared" si="73"/>
        <v>PEN</v>
      </c>
      <c r="O643" s="13">
        <v>151.75</v>
      </c>
      <c r="P643" s="200"/>
      <c r="Q643" s="201">
        <f t="shared" si="74"/>
        <v>0</v>
      </c>
      <c r="R643" s="201">
        <f t="shared" si="75"/>
        <v>0</v>
      </c>
      <c r="S643" s="201">
        <f t="shared" si="76"/>
        <v>38247.220000000008</v>
      </c>
      <c r="T643" s="202"/>
      <c r="U643" s="202"/>
      <c r="V643" s="201"/>
      <c r="W643" s="19" t="str">
        <f>IFERROR(VLOOKUP(Banco_Nacion[[#This Row],[RESPONSABLE]],Clientes_Proveedores[[Ruc / Dni]:[Razon Social]],2,0),"")</f>
        <v/>
      </c>
      <c r="X64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4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43" s="3"/>
      <c r="AA643" s="3"/>
      <c r="AB643" s="24" t="str">
        <f>IF(Banco_Nacion[[#This Row],[FECHA]]&gt;0,TEXT(Banco_Nacion[[#This Row],[FECHA]],"mmmm"),0)</f>
        <v>Agosto</v>
      </c>
    </row>
    <row r="644" spans="2:28" ht="24" x14ac:dyDescent="0.3">
      <c r="B644" s="195" t="str">
        <f>IF(Banco_Nacion[[#This Row],[TIPO DE R.]]="R",COUNTIFS($D$4:$D643,"R")+1,"")</f>
        <v/>
      </c>
      <c r="C644" s="19" t="str">
        <f t="shared" si="72"/>
        <v>B-Banco de la Nacion</v>
      </c>
      <c r="D644" s="3" t="s">
        <v>1101</v>
      </c>
      <c r="E644" s="196">
        <v>45894</v>
      </c>
      <c r="F644" s="197" t="s">
        <v>3556</v>
      </c>
      <c r="G644" s="5"/>
      <c r="H644" s="6" t="s">
        <v>963</v>
      </c>
      <c r="I644" s="6" t="s">
        <v>95</v>
      </c>
      <c r="J644" s="6" t="s">
        <v>8041</v>
      </c>
      <c r="K644" s="6">
        <v>53</v>
      </c>
      <c r="L644" s="198"/>
      <c r="M644" s="199">
        <v>78787878</v>
      </c>
      <c r="N644" s="199" t="str">
        <f t="shared" si="73"/>
        <v>PEN</v>
      </c>
      <c r="O644" s="13">
        <v>103.34</v>
      </c>
      <c r="P644" s="200"/>
      <c r="Q644" s="201">
        <f t="shared" si="74"/>
        <v>0</v>
      </c>
      <c r="R644" s="201">
        <f t="shared" si="75"/>
        <v>0</v>
      </c>
      <c r="S644" s="201">
        <f t="shared" si="76"/>
        <v>38247.220000000008</v>
      </c>
      <c r="T644" s="202"/>
      <c r="U644" s="202"/>
      <c r="V644" s="201"/>
      <c r="W644" s="19" t="str">
        <f>IFERROR(VLOOKUP(Banco_Nacion[[#This Row],[RESPONSABLE]],Clientes_Proveedores[[Ruc / Dni]:[Razon Social]],2,0),"")</f>
        <v/>
      </c>
      <c r="X64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4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44" s="3"/>
      <c r="AA644" s="3"/>
      <c r="AB644" s="24" t="str">
        <f>IF(Banco_Nacion[[#This Row],[FECHA]]&gt;0,TEXT(Banco_Nacion[[#This Row],[FECHA]],"mmmm"),0)</f>
        <v>Agosto</v>
      </c>
    </row>
    <row r="645" spans="2:28" ht="24" x14ac:dyDescent="0.3">
      <c r="B645" s="195" t="str">
        <f>IF(Banco_Nacion[[#This Row],[TIPO DE R.]]="R",COUNTIFS($D$4:$D621,"R")+1,"")</f>
        <v/>
      </c>
      <c r="C645" s="19" t="str">
        <f t="shared" si="72"/>
        <v>B-Banco de la Nacion</v>
      </c>
      <c r="D645" s="3" t="s">
        <v>1101</v>
      </c>
      <c r="E645" s="196">
        <v>45894</v>
      </c>
      <c r="F645" s="197" t="s">
        <v>3556</v>
      </c>
      <c r="G645" s="5"/>
      <c r="H645" s="6" t="s">
        <v>980</v>
      </c>
      <c r="I645" s="6" t="s">
        <v>95</v>
      </c>
      <c r="J645" s="6" t="s">
        <v>8041</v>
      </c>
      <c r="K645" s="6">
        <v>54</v>
      </c>
      <c r="L645" s="198"/>
      <c r="M645" s="199">
        <v>78787878</v>
      </c>
      <c r="N645" s="199" t="str">
        <f t="shared" si="73"/>
        <v>PEN</v>
      </c>
      <c r="O645" s="13">
        <v>157.63</v>
      </c>
      <c r="P645" s="200"/>
      <c r="Q645" s="201">
        <f t="shared" si="74"/>
        <v>0</v>
      </c>
      <c r="R645" s="201">
        <f t="shared" si="75"/>
        <v>0</v>
      </c>
      <c r="S645" s="201">
        <f>IFERROR(IF(G645="SALDO",Q645,S621+Q645-R645),0)</f>
        <v>38247.220000000008</v>
      </c>
      <c r="T645" s="202"/>
      <c r="U645" s="202"/>
      <c r="V645" s="201"/>
      <c r="W645" s="19" t="str">
        <f>IFERROR(VLOOKUP(Banco_Nacion[[#This Row],[RESPONSABLE]],Clientes_Proveedores[[Ruc / Dni]:[Razon Social]],2,0),"")</f>
        <v/>
      </c>
      <c r="X64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4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45" s="3"/>
      <c r="AA645" s="3"/>
      <c r="AB645" s="24" t="str">
        <f>IF(Banco_Nacion[[#This Row],[FECHA]]&gt;0,TEXT(Banco_Nacion[[#This Row],[FECHA]],"mmmm"),0)</f>
        <v>Agosto</v>
      </c>
    </row>
    <row r="646" spans="2:28" x14ac:dyDescent="0.3">
      <c r="B646" s="195" t="str">
        <f>IF(Banco_Nacion[[#This Row],[TIPO DE R.]]="R",COUNTIFS($D$4:$D645,"R")+1,"")</f>
        <v/>
      </c>
      <c r="C646" s="19" t="str">
        <f t="shared" si="72"/>
        <v>B-Banco de la Nacion</v>
      </c>
      <c r="D646" s="3"/>
      <c r="E646" s="196"/>
      <c r="F646" s="197"/>
      <c r="G646" s="5"/>
      <c r="H646" s="6"/>
      <c r="I646" s="6"/>
      <c r="J646" s="6"/>
      <c r="K646" s="6"/>
      <c r="L646" s="198"/>
      <c r="M646" s="199">
        <v>78787878</v>
      </c>
      <c r="N646" s="199" t="str">
        <f t="shared" si="73"/>
        <v>PEN</v>
      </c>
      <c r="O646" s="13"/>
      <c r="P646" s="200"/>
      <c r="Q646" s="201">
        <f t="shared" si="74"/>
        <v>0</v>
      </c>
      <c r="R646" s="201">
        <f t="shared" si="75"/>
        <v>0</v>
      </c>
      <c r="S646" s="201">
        <f t="shared" ref="S646:S667" si="77">IFERROR(IF(G646="SALDO",Q646,S645+Q646-R646),0)</f>
        <v>38247.220000000008</v>
      </c>
      <c r="T646" s="202"/>
      <c r="U646" s="202"/>
      <c r="V646" s="201"/>
      <c r="W646" s="19" t="str">
        <f>IFERROR(VLOOKUP(Banco_Nacion[[#This Row],[RESPONSABLE]],Clientes_Proveedores[[Ruc / Dni]:[Razon Social]],2,0),"")</f>
        <v/>
      </c>
      <c r="X64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4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46" s="3"/>
      <c r="AA646" s="3"/>
      <c r="AB646" s="24">
        <f>IF(Banco_Nacion[[#This Row],[FECHA]]&gt;0,TEXT(Banco_Nacion[[#This Row],[FECHA]],"mmmm"),0)</f>
        <v>0</v>
      </c>
    </row>
    <row r="647" spans="2:28" x14ac:dyDescent="0.3">
      <c r="B647" s="195" t="str">
        <f>IF(Banco_Nacion[[#This Row],[TIPO DE R.]]="R",COUNTIFS($D$4:$D646,"R")+1,"")</f>
        <v/>
      </c>
      <c r="C647" s="19" t="str">
        <f t="shared" si="72"/>
        <v>B-Banco de la Nacion</v>
      </c>
      <c r="D647" s="3"/>
      <c r="E647" s="196"/>
      <c r="F647" s="197"/>
      <c r="G647" s="5"/>
      <c r="H647" s="6"/>
      <c r="I647" s="6"/>
      <c r="J647" s="6"/>
      <c r="K647" s="6"/>
      <c r="L647" s="198"/>
      <c r="M647" s="199">
        <v>78787878</v>
      </c>
      <c r="N647" s="199" t="str">
        <f t="shared" si="73"/>
        <v>PEN</v>
      </c>
      <c r="O647" s="13"/>
      <c r="P647" s="200"/>
      <c r="Q647" s="201">
        <f t="shared" si="74"/>
        <v>0</v>
      </c>
      <c r="R647" s="201">
        <f t="shared" si="75"/>
        <v>0</v>
      </c>
      <c r="S647" s="201">
        <f t="shared" si="77"/>
        <v>38247.220000000008</v>
      </c>
      <c r="T647" s="202"/>
      <c r="U647" s="202"/>
      <c r="V647" s="201"/>
      <c r="W647" s="19" t="str">
        <f>IFERROR(VLOOKUP(Banco_Nacion[[#This Row],[RESPONSABLE]],Clientes_Proveedores[[Ruc / Dni]:[Razon Social]],2,0),"")</f>
        <v/>
      </c>
      <c r="X64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4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47" s="3"/>
      <c r="AA647" s="3"/>
      <c r="AB647" s="24">
        <f>IF(Banco_Nacion[[#This Row],[FECHA]]&gt;0,TEXT(Banco_Nacion[[#This Row],[FECHA]],"mmmm"),0)</f>
        <v>0</v>
      </c>
    </row>
    <row r="648" spans="2:28" x14ac:dyDescent="0.3">
      <c r="B648" s="195" t="str">
        <f>IF(Banco_Nacion[[#This Row],[TIPO DE R.]]="R",COUNTIFS($D$4:$D647,"R")+1,"")</f>
        <v/>
      </c>
      <c r="C648" s="19" t="str">
        <f t="shared" si="72"/>
        <v>B-Banco de la Nacion</v>
      </c>
      <c r="D648" s="3"/>
      <c r="E648" s="196"/>
      <c r="F648" s="197"/>
      <c r="G648" s="5"/>
      <c r="H648" s="6"/>
      <c r="I648" s="6"/>
      <c r="J648" s="6"/>
      <c r="K648" s="6"/>
      <c r="L648" s="198"/>
      <c r="M648" s="199">
        <v>78787878</v>
      </c>
      <c r="N648" s="199" t="str">
        <f t="shared" si="73"/>
        <v>PEN</v>
      </c>
      <c r="O648" s="13"/>
      <c r="P648" s="200"/>
      <c r="Q648" s="201">
        <f t="shared" si="74"/>
        <v>0</v>
      </c>
      <c r="R648" s="201">
        <f t="shared" si="75"/>
        <v>0</v>
      </c>
      <c r="S648" s="201">
        <f t="shared" si="77"/>
        <v>38247.220000000008</v>
      </c>
      <c r="T648" s="202"/>
      <c r="U648" s="202"/>
      <c r="V648" s="201"/>
      <c r="W648" s="19" t="str">
        <f>IFERROR(VLOOKUP(Banco_Nacion[[#This Row],[RESPONSABLE]],Clientes_Proveedores[[Ruc / Dni]:[Razon Social]],2,0),"")</f>
        <v/>
      </c>
      <c r="X64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4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48" s="3"/>
      <c r="AA648" s="3"/>
      <c r="AB648" s="24">
        <f>IF(Banco_Nacion[[#This Row],[FECHA]]&gt;0,TEXT(Banco_Nacion[[#This Row],[FECHA]],"mmmm"),0)</f>
        <v>0</v>
      </c>
    </row>
    <row r="649" spans="2:28" x14ac:dyDescent="0.3">
      <c r="B649" s="195" t="str">
        <f>IF(Banco_Nacion[[#This Row],[TIPO DE R.]]="R",COUNTIFS($D$4:$D648,"R")+1,"")</f>
        <v/>
      </c>
      <c r="C649" s="19" t="str">
        <f t="shared" si="72"/>
        <v>B-Banco de la Nacion</v>
      </c>
      <c r="D649" s="3"/>
      <c r="E649" s="196"/>
      <c r="F649" s="197"/>
      <c r="G649" s="5"/>
      <c r="H649" s="6"/>
      <c r="I649" s="6"/>
      <c r="J649" s="6"/>
      <c r="K649" s="6"/>
      <c r="L649" s="198"/>
      <c r="M649" s="199">
        <v>78787878</v>
      </c>
      <c r="N649" s="199" t="str">
        <f t="shared" si="73"/>
        <v>PEN</v>
      </c>
      <c r="O649" s="13"/>
      <c r="P649" s="200"/>
      <c r="Q649" s="201">
        <f t="shared" si="74"/>
        <v>0</v>
      </c>
      <c r="R649" s="201">
        <f t="shared" si="75"/>
        <v>0</v>
      </c>
      <c r="S649" s="201">
        <f t="shared" si="77"/>
        <v>38247.220000000008</v>
      </c>
      <c r="T649" s="202"/>
      <c r="U649" s="202"/>
      <c r="V649" s="201"/>
      <c r="W649" s="19" t="str">
        <f>IFERROR(VLOOKUP(Banco_Nacion[[#This Row],[RESPONSABLE]],Clientes_Proveedores[[Ruc / Dni]:[Razon Social]],2,0),"")</f>
        <v/>
      </c>
      <c r="X64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4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49" s="3"/>
      <c r="AA649" s="3"/>
      <c r="AB649" s="24">
        <f>IF(Banco_Nacion[[#This Row],[FECHA]]&gt;0,TEXT(Banco_Nacion[[#This Row],[FECHA]],"mmmm"),0)</f>
        <v>0</v>
      </c>
    </row>
    <row r="650" spans="2:28" x14ac:dyDescent="0.3">
      <c r="B650" s="195" t="str">
        <f>IF(Banco_Nacion[[#This Row],[TIPO DE R.]]="R",COUNTIFS($D$4:$D649,"R")+1,"")</f>
        <v/>
      </c>
      <c r="C650" s="19" t="str">
        <f t="shared" si="72"/>
        <v>B-Banco de la Nacion</v>
      </c>
      <c r="D650" s="3"/>
      <c r="E650" s="196"/>
      <c r="F650" s="197"/>
      <c r="G650" s="5"/>
      <c r="H650" s="6"/>
      <c r="I650" s="6"/>
      <c r="J650" s="6"/>
      <c r="K650" s="6"/>
      <c r="L650" s="198"/>
      <c r="M650" s="199">
        <v>78787878</v>
      </c>
      <c r="N650" s="199" t="str">
        <f t="shared" si="73"/>
        <v>PEN</v>
      </c>
      <c r="O650" s="13"/>
      <c r="P650" s="200"/>
      <c r="Q650" s="201">
        <f t="shared" si="74"/>
        <v>0</v>
      </c>
      <c r="R650" s="201">
        <f t="shared" si="75"/>
        <v>0</v>
      </c>
      <c r="S650" s="201">
        <f t="shared" si="77"/>
        <v>38247.220000000008</v>
      </c>
      <c r="T650" s="202"/>
      <c r="U650" s="202"/>
      <c r="V650" s="201"/>
      <c r="W650" s="19" t="str">
        <f>IFERROR(VLOOKUP(Banco_Nacion[[#This Row],[RESPONSABLE]],Clientes_Proveedores[[Ruc / Dni]:[Razon Social]],2,0),"")</f>
        <v/>
      </c>
      <c r="X65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5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50" s="3"/>
      <c r="AA650" s="3"/>
      <c r="AB650" s="24">
        <f>IF(Banco_Nacion[[#This Row],[FECHA]]&gt;0,TEXT(Banco_Nacion[[#This Row],[FECHA]],"mmmm"),0)</f>
        <v>0</v>
      </c>
    </row>
    <row r="651" spans="2:28" x14ac:dyDescent="0.3">
      <c r="B651" s="195" t="str">
        <f>IF(Banco_Nacion[[#This Row],[TIPO DE R.]]="R",COUNTIFS($D$4:$D650,"R")+1,"")</f>
        <v/>
      </c>
      <c r="C651" s="19" t="str">
        <f t="shared" si="72"/>
        <v>B-Banco de la Nacion</v>
      </c>
      <c r="D651" s="3"/>
      <c r="E651" s="196"/>
      <c r="F651" s="197"/>
      <c r="G651" s="5"/>
      <c r="H651" s="6"/>
      <c r="I651" s="6"/>
      <c r="J651" s="6"/>
      <c r="K651" s="6"/>
      <c r="L651" s="198"/>
      <c r="M651" s="199">
        <v>78787878</v>
      </c>
      <c r="N651" s="199" t="str">
        <f t="shared" si="73"/>
        <v>PEN</v>
      </c>
      <c r="O651" s="13"/>
      <c r="P651" s="200"/>
      <c r="Q651" s="201">
        <f t="shared" si="74"/>
        <v>0</v>
      </c>
      <c r="R651" s="201">
        <f t="shared" si="75"/>
        <v>0</v>
      </c>
      <c r="S651" s="201">
        <f t="shared" si="77"/>
        <v>38247.220000000008</v>
      </c>
      <c r="T651" s="202"/>
      <c r="U651" s="202"/>
      <c r="V651" s="201"/>
      <c r="W651" s="19" t="str">
        <f>IFERROR(VLOOKUP(Banco_Nacion[[#This Row],[RESPONSABLE]],Clientes_Proveedores[[Ruc / Dni]:[Razon Social]],2,0),"")</f>
        <v/>
      </c>
      <c r="X65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5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51" s="3"/>
      <c r="AA651" s="3"/>
      <c r="AB651" s="24">
        <f>IF(Banco_Nacion[[#This Row],[FECHA]]&gt;0,TEXT(Banco_Nacion[[#This Row],[FECHA]],"mmmm"),0)</f>
        <v>0</v>
      </c>
    </row>
    <row r="652" spans="2:28" x14ac:dyDescent="0.3">
      <c r="B652" s="195" t="str">
        <f>IF(Banco_Nacion[[#This Row],[TIPO DE R.]]="R",COUNTIFS($D$4:$D651,"R")+1,"")</f>
        <v/>
      </c>
      <c r="C652" s="19" t="str">
        <f t="shared" si="72"/>
        <v>B-Banco de la Nacion</v>
      </c>
      <c r="D652" s="3"/>
      <c r="E652" s="196"/>
      <c r="F652" s="197"/>
      <c r="G652" s="5"/>
      <c r="H652" s="6"/>
      <c r="I652" s="6"/>
      <c r="J652" s="6"/>
      <c r="K652" s="6"/>
      <c r="L652" s="198"/>
      <c r="M652" s="199">
        <v>78787878</v>
      </c>
      <c r="N652" s="199" t="str">
        <f t="shared" si="73"/>
        <v>PEN</v>
      </c>
      <c r="O652" s="13"/>
      <c r="P652" s="200"/>
      <c r="Q652" s="201">
        <f t="shared" si="74"/>
        <v>0</v>
      </c>
      <c r="R652" s="201">
        <f t="shared" si="75"/>
        <v>0</v>
      </c>
      <c r="S652" s="201">
        <f t="shared" si="77"/>
        <v>38247.220000000008</v>
      </c>
      <c r="T652" s="202"/>
      <c r="U652" s="202"/>
      <c r="V652" s="201"/>
      <c r="W652" s="19" t="str">
        <f>IFERROR(VLOOKUP(Banco_Nacion[[#This Row],[RESPONSABLE]],Clientes_Proveedores[[Ruc / Dni]:[Razon Social]],2,0),"")</f>
        <v/>
      </c>
      <c r="X65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5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52" s="3"/>
      <c r="AA652" s="3"/>
      <c r="AB652" s="24">
        <f>IF(Banco_Nacion[[#This Row],[FECHA]]&gt;0,TEXT(Banco_Nacion[[#This Row],[FECHA]],"mmmm"),0)</f>
        <v>0</v>
      </c>
    </row>
    <row r="653" spans="2:28" x14ac:dyDescent="0.3">
      <c r="B653" s="195" t="str">
        <f>IF(Banco_Nacion[[#This Row],[TIPO DE R.]]="R",COUNTIFS($D$4:$D652,"R")+1,"")</f>
        <v/>
      </c>
      <c r="C653" s="19" t="str">
        <f t="shared" si="72"/>
        <v>B-Banco de la Nacion</v>
      </c>
      <c r="D653" s="3"/>
      <c r="E653" s="196"/>
      <c r="F653" s="197"/>
      <c r="G653" s="5"/>
      <c r="H653" s="6"/>
      <c r="I653" s="6"/>
      <c r="J653" s="6"/>
      <c r="K653" s="6"/>
      <c r="L653" s="198"/>
      <c r="M653" s="199">
        <v>78787878</v>
      </c>
      <c r="N653" s="199" t="str">
        <f t="shared" si="73"/>
        <v>PEN</v>
      </c>
      <c r="O653" s="13"/>
      <c r="P653" s="200"/>
      <c r="Q653" s="201">
        <f t="shared" si="74"/>
        <v>0</v>
      </c>
      <c r="R653" s="201">
        <f t="shared" si="75"/>
        <v>0</v>
      </c>
      <c r="S653" s="201">
        <f t="shared" si="77"/>
        <v>38247.220000000008</v>
      </c>
      <c r="T653" s="202"/>
      <c r="U653" s="202"/>
      <c r="V653" s="201"/>
      <c r="W653" s="19" t="str">
        <f>IFERROR(VLOOKUP(Banco_Nacion[[#This Row],[RESPONSABLE]],Clientes_Proveedores[[Ruc / Dni]:[Razon Social]],2,0),"")</f>
        <v/>
      </c>
      <c r="X65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5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53" s="3"/>
      <c r="AA653" s="3"/>
      <c r="AB653" s="24">
        <f>IF(Banco_Nacion[[#This Row],[FECHA]]&gt;0,TEXT(Banco_Nacion[[#This Row],[FECHA]],"mmmm"),0)</f>
        <v>0</v>
      </c>
    </row>
    <row r="654" spans="2:28" x14ac:dyDescent="0.3">
      <c r="B654" s="195" t="str">
        <f>IF(Banco_Nacion[[#This Row],[TIPO DE R.]]="R",COUNTIFS($D$4:$D653,"R")+1,"")</f>
        <v/>
      </c>
      <c r="C654" s="19" t="str">
        <f t="shared" si="72"/>
        <v>B-Banco de la Nacion</v>
      </c>
      <c r="D654" s="3"/>
      <c r="E654" s="196"/>
      <c r="F654" s="197"/>
      <c r="G654" s="5"/>
      <c r="H654" s="6"/>
      <c r="I654" s="6"/>
      <c r="J654" s="6"/>
      <c r="K654" s="6"/>
      <c r="L654" s="198"/>
      <c r="M654" s="199">
        <v>78787878</v>
      </c>
      <c r="N654" s="199" t="str">
        <f t="shared" si="73"/>
        <v>PEN</v>
      </c>
      <c r="O654" s="13"/>
      <c r="P654" s="200"/>
      <c r="Q654" s="201">
        <f t="shared" si="74"/>
        <v>0</v>
      </c>
      <c r="R654" s="201">
        <f t="shared" si="75"/>
        <v>0</v>
      </c>
      <c r="S654" s="201">
        <f t="shared" si="77"/>
        <v>38247.220000000008</v>
      </c>
      <c r="T654" s="202"/>
      <c r="U654" s="202"/>
      <c r="V654" s="201"/>
      <c r="W654" s="19" t="str">
        <f>IFERROR(VLOOKUP(Banco_Nacion[[#This Row],[RESPONSABLE]],Clientes_Proveedores[[Ruc / Dni]:[Razon Social]],2,0),"")</f>
        <v/>
      </c>
      <c r="X65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5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54" s="3"/>
      <c r="AA654" s="3"/>
      <c r="AB654" s="24">
        <f>IF(Banco_Nacion[[#This Row],[FECHA]]&gt;0,TEXT(Banco_Nacion[[#This Row],[FECHA]],"mmmm"),0)</f>
        <v>0</v>
      </c>
    </row>
    <row r="655" spans="2:28" x14ac:dyDescent="0.3">
      <c r="B655" s="195" t="str">
        <f>IF(Banco_Nacion[[#This Row],[TIPO DE R.]]="R",COUNTIFS($D$4:$D654,"R")+1,"")</f>
        <v/>
      </c>
      <c r="C655" s="19" t="str">
        <f t="shared" si="72"/>
        <v>B-Banco de la Nacion</v>
      </c>
      <c r="D655" s="3"/>
      <c r="E655" s="196"/>
      <c r="F655" s="197"/>
      <c r="G655" s="5"/>
      <c r="H655" s="6"/>
      <c r="I655" s="6"/>
      <c r="J655" s="6"/>
      <c r="K655" s="6"/>
      <c r="L655" s="198"/>
      <c r="M655" s="199">
        <v>78787878</v>
      </c>
      <c r="N655" s="199" t="str">
        <f t="shared" si="73"/>
        <v>PEN</v>
      </c>
      <c r="O655" s="13"/>
      <c r="P655" s="200"/>
      <c r="Q655" s="201">
        <f t="shared" si="74"/>
        <v>0</v>
      </c>
      <c r="R655" s="201">
        <f t="shared" si="75"/>
        <v>0</v>
      </c>
      <c r="S655" s="201">
        <f t="shared" si="77"/>
        <v>38247.220000000008</v>
      </c>
      <c r="T655" s="202"/>
      <c r="U655" s="202"/>
      <c r="V655" s="201"/>
      <c r="W655" s="19" t="str">
        <f>IFERROR(VLOOKUP(Banco_Nacion[[#This Row],[RESPONSABLE]],Clientes_Proveedores[[Ruc / Dni]:[Razon Social]],2,0),"")</f>
        <v/>
      </c>
      <c r="X65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5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55" s="3"/>
      <c r="AA655" s="3"/>
      <c r="AB655" s="24">
        <f>IF(Banco_Nacion[[#This Row],[FECHA]]&gt;0,TEXT(Banco_Nacion[[#This Row],[FECHA]],"mmmm"),0)</f>
        <v>0</v>
      </c>
    </row>
    <row r="656" spans="2:28" x14ac:dyDescent="0.3">
      <c r="B656" s="195" t="str">
        <f>IF(Banco_Nacion[[#This Row],[TIPO DE R.]]="R",COUNTIFS($D$4:$D655,"R")+1,"")</f>
        <v/>
      </c>
      <c r="C656" s="19" t="str">
        <f t="shared" ref="C656:C687" si="78">"B-Banco de la Nacion"</f>
        <v>B-Banco de la Nacion</v>
      </c>
      <c r="D656" s="3"/>
      <c r="E656" s="196"/>
      <c r="F656" s="197"/>
      <c r="G656" s="5"/>
      <c r="H656" s="6"/>
      <c r="I656" s="6"/>
      <c r="J656" s="6"/>
      <c r="K656" s="6"/>
      <c r="L656" s="198"/>
      <c r="M656" s="199">
        <v>78787878</v>
      </c>
      <c r="N656" s="199" t="str">
        <f t="shared" ref="N656:N687" si="79">"PEN"</f>
        <v>PEN</v>
      </c>
      <c r="O656" s="13"/>
      <c r="P656" s="200"/>
      <c r="Q656" s="201">
        <f t="shared" ref="Q656:Q687" si="80">+IF(OR($G656="SALDO",$G656="INGRESO"),$P656,0)</f>
        <v>0</v>
      </c>
      <c r="R656" s="201">
        <f t="shared" ref="R656:R687" si="81">+IF($G656="EGRESO",$P656,0)</f>
        <v>0</v>
      </c>
      <c r="S656" s="201">
        <f t="shared" si="77"/>
        <v>38247.220000000008</v>
      </c>
      <c r="T656" s="202"/>
      <c r="U656" s="202"/>
      <c r="V656" s="201"/>
      <c r="W656" s="19" t="str">
        <f>IFERROR(VLOOKUP(Banco_Nacion[[#This Row],[RESPONSABLE]],Clientes_Proveedores[[Ruc / Dni]:[Razon Social]],2,0),"")</f>
        <v/>
      </c>
      <c r="X65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5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56" s="3"/>
      <c r="AA656" s="3"/>
      <c r="AB656" s="24">
        <f>IF(Banco_Nacion[[#This Row],[FECHA]]&gt;0,TEXT(Banco_Nacion[[#This Row],[FECHA]],"mmmm"),0)</f>
        <v>0</v>
      </c>
    </row>
    <row r="657" spans="2:28" x14ac:dyDescent="0.3">
      <c r="B657" s="195" t="str">
        <f>IF(Banco_Nacion[[#This Row],[TIPO DE R.]]="R",COUNTIFS($D$4:$D656,"R")+1,"")</f>
        <v/>
      </c>
      <c r="C657" s="19" t="str">
        <f t="shared" si="78"/>
        <v>B-Banco de la Nacion</v>
      </c>
      <c r="D657" s="3"/>
      <c r="E657" s="196"/>
      <c r="F657" s="197"/>
      <c r="G657" s="5"/>
      <c r="H657" s="6"/>
      <c r="I657" s="6"/>
      <c r="J657" s="6"/>
      <c r="K657" s="6"/>
      <c r="L657" s="198"/>
      <c r="M657" s="199">
        <v>78787878</v>
      </c>
      <c r="N657" s="199" t="str">
        <f t="shared" si="79"/>
        <v>PEN</v>
      </c>
      <c r="O657" s="13"/>
      <c r="P657" s="200"/>
      <c r="Q657" s="201">
        <f t="shared" si="80"/>
        <v>0</v>
      </c>
      <c r="R657" s="201">
        <f t="shared" si="81"/>
        <v>0</v>
      </c>
      <c r="S657" s="201">
        <f t="shared" si="77"/>
        <v>38247.220000000008</v>
      </c>
      <c r="T657" s="202"/>
      <c r="U657" s="202"/>
      <c r="V657" s="201"/>
      <c r="W657" s="19" t="str">
        <f>IFERROR(VLOOKUP(Banco_Nacion[[#This Row],[RESPONSABLE]],Clientes_Proveedores[[Ruc / Dni]:[Razon Social]],2,0),"")</f>
        <v/>
      </c>
      <c r="X65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5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57" s="3"/>
      <c r="AA657" s="3"/>
      <c r="AB657" s="24">
        <f>IF(Banco_Nacion[[#This Row],[FECHA]]&gt;0,TEXT(Banco_Nacion[[#This Row],[FECHA]],"mmmm"),0)</f>
        <v>0</v>
      </c>
    </row>
    <row r="658" spans="2:28" x14ac:dyDescent="0.3">
      <c r="B658" s="195" t="str">
        <f>IF(Banco_Nacion[[#This Row],[TIPO DE R.]]="R",COUNTIFS($D$4:$D657,"R")+1,"")</f>
        <v/>
      </c>
      <c r="C658" s="19" t="str">
        <f t="shared" si="78"/>
        <v>B-Banco de la Nacion</v>
      </c>
      <c r="D658" s="3"/>
      <c r="E658" s="196"/>
      <c r="F658" s="197"/>
      <c r="G658" s="5"/>
      <c r="H658" s="6"/>
      <c r="I658" s="6"/>
      <c r="J658" s="6"/>
      <c r="K658" s="6"/>
      <c r="L658" s="198"/>
      <c r="M658" s="199">
        <v>78787878</v>
      </c>
      <c r="N658" s="199" t="str">
        <f t="shared" si="79"/>
        <v>PEN</v>
      </c>
      <c r="O658" s="13"/>
      <c r="P658" s="200"/>
      <c r="Q658" s="201">
        <f t="shared" si="80"/>
        <v>0</v>
      </c>
      <c r="R658" s="201">
        <f t="shared" si="81"/>
        <v>0</v>
      </c>
      <c r="S658" s="201">
        <f t="shared" si="77"/>
        <v>38247.220000000008</v>
      </c>
      <c r="T658" s="202"/>
      <c r="U658" s="202"/>
      <c r="V658" s="201"/>
      <c r="W658" s="19" t="str">
        <f>IFERROR(VLOOKUP(Banco_Nacion[[#This Row],[RESPONSABLE]],Clientes_Proveedores[[Ruc / Dni]:[Razon Social]],2,0),"")</f>
        <v/>
      </c>
      <c r="X65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5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58" s="3"/>
      <c r="AA658" s="3"/>
      <c r="AB658" s="24">
        <f>IF(Banco_Nacion[[#This Row],[FECHA]]&gt;0,TEXT(Banco_Nacion[[#This Row],[FECHA]],"mmmm"),0)</f>
        <v>0</v>
      </c>
    </row>
    <row r="659" spans="2:28" x14ac:dyDescent="0.3">
      <c r="B659" s="195" t="str">
        <f>IF(Banco_Nacion[[#This Row],[TIPO DE R.]]="R",COUNTIFS($D$4:$D658,"R")+1,"")</f>
        <v/>
      </c>
      <c r="C659" s="19" t="str">
        <f t="shared" si="78"/>
        <v>B-Banco de la Nacion</v>
      </c>
      <c r="D659" s="3"/>
      <c r="E659" s="196"/>
      <c r="F659" s="197"/>
      <c r="G659" s="5"/>
      <c r="H659" s="6"/>
      <c r="I659" s="6"/>
      <c r="J659" s="6"/>
      <c r="K659" s="6"/>
      <c r="L659" s="198"/>
      <c r="M659" s="199">
        <v>78787878</v>
      </c>
      <c r="N659" s="199" t="str">
        <f t="shared" si="79"/>
        <v>PEN</v>
      </c>
      <c r="O659" s="13"/>
      <c r="P659" s="200"/>
      <c r="Q659" s="201">
        <f t="shared" si="80"/>
        <v>0</v>
      </c>
      <c r="R659" s="201">
        <f t="shared" si="81"/>
        <v>0</v>
      </c>
      <c r="S659" s="201">
        <f t="shared" si="77"/>
        <v>38247.220000000008</v>
      </c>
      <c r="T659" s="202"/>
      <c r="U659" s="202"/>
      <c r="V659" s="201"/>
      <c r="W659" s="19" t="str">
        <f>IFERROR(VLOOKUP(Banco_Nacion[[#This Row],[RESPONSABLE]],Clientes_Proveedores[[Ruc / Dni]:[Razon Social]],2,0),"")</f>
        <v/>
      </c>
      <c r="X65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5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59" s="3"/>
      <c r="AA659" s="3"/>
      <c r="AB659" s="24">
        <f>IF(Banco_Nacion[[#This Row],[FECHA]]&gt;0,TEXT(Banco_Nacion[[#This Row],[FECHA]],"mmmm"),0)</f>
        <v>0</v>
      </c>
    </row>
    <row r="660" spans="2:28" x14ac:dyDescent="0.3">
      <c r="B660" s="195" t="str">
        <f>IF(Banco_Nacion[[#This Row],[TIPO DE R.]]="R",COUNTIFS($D$4:$D659,"R")+1,"")</f>
        <v/>
      </c>
      <c r="C660" s="19" t="str">
        <f t="shared" si="78"/>
        <v>B-Banco de la Nacion</v>
      </c>
      <c r="D660" s="3"/>
      <c r="E660" s="196"/>
      <c r="F660" s="197"/>
      <c r="G660" s="5"/>
      <c r="H660" s="6"/>
      <c r="I660" s="6"/>
      <c r="J660" s="6"/>
      <c r="K660" s="6"/>
      <c r="L660" s="198"/>
      <c r="M660" s="199">
        <v>78787878</v>
      </c>
      <c r="N660" s="199" t="str">
        <f t="shared" si="79"/>
        <v>PEN</v>
      </c>
      <c r="O660" s="13"/>
      <c r="P660" s="200"/>
      <c r="Q660" s="201">
        <f t="shared" si="80"/>
        <v>0</v>
      </c>
      <c r="R660" s="201">
        <f t="shared" si="81"/>
        <v>0</v>
      </c>
      <c r="S660" s="201">
        <f t="shared" si="77"/>
        <v>38247.220000000008</v>
      </c>
      <c r="T660" s="202"/>
      <c r="U660" s="202"/>
      <c r="V660" s="201"/>
      <c r="W660" s="19" t="str">
        <f>IFERROR(VLOOKUP(Banco_Nacion[[#This Row],[RESPONSABLE]],Clientes_Proveedores[[Ruc / Dni]:[Razon Social]],2,0),"")</f>
        <v/>
      </c>
      <c r="X66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6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60" s="3"/>
      <c r="AA660" s="3"/>
      <c r="AB660" s="24">
        <f>IF(Banco_Nacion[[#This Row],[FECHA]]&gt;0,TEXT(Banco_Nacion[[#This Row],[FECHA]],"mmmm"),0)</f>
        <v>0</v>
      </c>
    </row>
    <row r="661" spans="2:28" x14ac:dyDescent="0.3">
      <c r="B661" s="195" t="str">
        <f>IF(Banco_Nacion[[#This Row],[TIPO DE R.]]="R",COUNTIFS($D$4:$D660,"R")+1,"")</f>
        <v/>
      </c>
      <c r="C661" s="19" t="str">
        <f t="shared" si="78"/>
        <v>B-Banco de la Nacion</v>
      </c>
      <c r="D661" s="3"/>
      <c r="E661" s="196"/>
      <c r="F661" s="197"/>
      <c r="G661" s="5"/>
      <c r="H661" s="6"/>
      <c r="I661" s="6"/>
      <c r="J661" s="6"/>
      <c r="K661" s="6"/>
      <c r="L661" s="198"/>
      <c r="M661" s="199">
        <v>78787878</v>
      </c>
      <c r="N661" s="199" t="str">
        <f t="shared" si="79"/>
        <v>PEN</v>
      </c>
      <c r="O661" s="13"/>
      <c r="P661" s="200"/>
      <c r="Q661" s="201">
        <f t="shared" si="80"/>
        <v>0</v>
      </c>
      <c r="R661" s="201">
        <f t="shared" si="81"/>
        <v>0</v>
      </c>
      <c r="S661" s="201">
        <f t="shared" si="77"/>
        <v>38247.220000000008</v>
      </c>
      <c r="T661" s="202"/>
      <c r="U661" s="202"/>
      <c r="V661" s="201"/>
      <c r="W661" s="19" t="str">
        <f>IFERROR(VLOOKUP(Banco_Nacion[[#This Row],[RESPONSABLE]],Clientes_Proveedores[[Ruc / Dni]:[Razon Social]],2,0),"")</f>
        <v/>
      </c>
      <c r="X66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6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61" s="3"/>
      <c r="AA661" s="3"/>
      <c r="AB661" s="24">
        <f>IF(Banco_Nacion[[#This Row],[FECHA]]&gt;0,TEXT(Banco_Nacion[[#This Row],[FECHA]],"mmmm"),0)</f>
        <v>0</v>
      </c>
    </row>
    <row r="662" spans="2:28" x14ac:dyDescent="0.3">
      <c r="B662" s="195" t="str">
        <f>IF(Banco_Nacion[[#This Row],[TIPO DE R.]]="R",COUNTIFS($D$4:$D661,"R")+1,"")</f>
        <v/>
      </c>
      <c r="C662" s="19" t="str">
        <f t="shared" si="78"/>
        <v>B-Banco de la Nacion</v>
      </c>
      <c r="D662" s="3"/>
      <c r="E662" s="196"/>
      <c r="F662" s="197"/>
      <c r="G662" s="5"/>
      <c r="H662" s="6"/>
      <c r="I662" s="6"/>
      <c r="J662" s="6"/>
      <c r="K662" s="6"/>
      <c r="L662" s="198"/>
      <c r="M662" s="199">
        <v>78787878</v>
      </c>
      <c r="N662" s="199" t="str">
        <f t="shared" si="79"/>
        <v>PEN</v>
      </c>
      <c r="O662" s="13"/>
      <c r="P662" s="200"/>
      <c r="Q662" s="201">
        <f t="shared" si="80"/>
        <v>0</v>
      </c>
      <c r="R662" s="201">
        <f t="shared" si="81"/>
        <v>0</v>
      </c>
      <c r="S662" s="201">
        <f t="shared" si="77"/>
        <v>38247.220000000008</v>
      </c>
      <c r="T662" s="202"/>
      <c r="U662" s="202"/>
      <c r="V662" s="201"/>
      <c r="W662" s="19" t="str">
        <f>IFERROR(VLOOKUP(Banco_Nacion[[#This Row],[RESPONSABLE]],Clientes_Proveedores[[Ruc / Dni]:[Razon Social]],2,0),"")</f>
        <v/>
      </c>
      <c r="X66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6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62" s="3"/>
      <c r="AA662" s="3"/>
      <c r="AB662" s="24">
        <f>IF(Banco_Nacion[[#This Row],[FECHA]]&gt;0,TEXT(Banco_Nacion[[#This Row],[FECHA]],"mmmm"),0)</f>
        <v>0</v>
      </c>
    </row>
    <row r="663" spans="2:28" x14ac:dyDescent="0.3">
      <c r="B663" s="195" t="str">
        <f>IF(Banco_Nacion[[#This Row],[TIPO DE R.]]="R",COUNTIFS($D$4:$D662,"R")+1,"")</f>
        <v/>
      </c>
      <c r="C663" s="19" t="str">
        <f t="shared" si="78"/>
        <v>B-Banco de la Nacion</v>
      </c>
      <c r="D663" s="3"/>
      <c r="E663" s="196"/>
      <c r="F663" s="197"/>
      <c r="G663" s="5"/>
      <c r="H663" s="6"/>
      <c r="I663" s="6"/>
      <c r="J663" s="6"/>
      <c r="K663" s="6"/>
      <c r="L663" s="198"/>
      <c r="M663" s="199">
        <v>78787878</v>
      </c>
      <c r="N663" s="199" t="str">
        <f t="shared" si="79"/>
        <v>PEN</v>
      </c>
      <c r="O663" s="13"/>
      <c r="P663" s="200"/>
      <c r="Q663" s="201">
        <f t="shared" si="80"/>
        <v>0</v>
      </c>
      <c r="R663" s="201">
        <f t="shared" si="81"/>
        <v>0</v>
      </c>
      <c r="S663" s="201">
        <f t="shared" si="77"/>
        <v>38247.220000000008</v>
      </c>
      <c r="T663" s="202"/>
      <c r="U663" s="202"/>
      <c r="V663" s="201"/>
      <c r="W663" s="19" t="str">
        <f>IFERROR(VLOOKUP(Banco_Nacion[[#This Row],[RESPONSABLE]],Clientes_Proveedores[[Ruc / Dni]:[Razon Social]],2,0),"")</f>
        <v/>
      </c>
      <c r="X66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6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63" s="3"/>
      <c r="AA663" s="3"/>
      <c r="AB663" s="24">
        <f>IF(Banco_Nacion[[#This Row],[FECHA]]&gt;0,TEXT(Banco_Nacion[[#This Row],[FECHA]],"mmmm"),0)</f>
        <v>0</v>
      </c>
    </row>
    <row r="664" spans="2:28" x14ac:dyDescent="0.3">
      <c r="B664" s="195" t="str">
        <f>IF(Banco_Nacion[[#This Row],[TIPO DE R.]]="R",COUNTIFS($D$4:$D663,"R")+1,"")</f>
        <v/>
      </c>
      <c r="C664" s="19" t="str">
        <f t="shared" si="78"/>
        <v>B-Banco de la Nacion</v>
      </c>
      <c r="D664" s="3"/>
      <c r="E664" s="196"/>
      <c r="F664" s="197"/>
      <c r="G664" s="5"/>
      <c r="H664" s="6"/>
      <c r="I664" s="6"/>
      <c r="J664" s="6"/>
      <c r="K664" s="6"/>
      <c r="L664" s="198"/>
      <c r="M664" s="199"/>
      <c r="N664" s="199" t="str">
        <f t="shared" si="79"/>
        <v>PEN</v>
      </c>
      <c r="O664" s="13"/>
      <c r="P664" s="200"/>
      <c r="Q664" s="201">
        <f t="shared" si="80"/>
        <v>0</v>
      </c>
      <c r="R664" s="201">
        <f t="shared" si="81"/>
        <v>0</v>
      </c>
      <c r="S664" s="201">
        <f t="shared" si="77"/>
        <v>38247.220000000008</v>
      </c>
      <c r="T664" s="202"/>
      <c r="U664" s="202"/>
      <c r="V664" s="201"/>
      <c r="W664" s="19" t="str">
        <f>IFERROR(VLOOKUP(Banco_Nacion[[#This Row],[RESPONSABLE]],Clientes_Proveedores[[Ruc / Dni]:[Razon Social]],2,0),"")</f>
        <v/>
      </c>
      <c r="X66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6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64" s="3"/>
      <c r="AA664" s="3"/>
      <c r="AB664" s="24">
        <f>IF(Banco_Nacion[[#This Row],[FECHA]]&gt;0,TEXT(Banco_Nacion[[#This Row],[FECHA]],"mmmm"),0)</f>
        <v>0</v>
      </c>
    </row>
    <row r="665" spans="2:28" x14ac:dyDescent="0.3">
      <c r="B665" s="195" t="str">
        <f>IF(Banco_Nacion[[#This Row],[TIPO DE R.]]="R",COUNTIFS($D$4:$D664,"R")+1,"")</f>
        <v/>
      </c>
      <c r="C665" s="19" t="str">
        <f t="shared" si="78"/>
        <v>B-Banco de la Nacion</v>
      </c>
      <c r="D665" s="3"/>
      <c r="E665" s="196"/>
      <c r="F665" s="197"/>
      <c r="G665" s="5"/>
      <c r="H665" s="6"/>
      <c r="I665" s="6"/>
      <c r="J665" s="6"/>
      <c r="K665" s="6"/>
      <c r="L665" s="198"/>
      <c r="M665" s="199"/>
      <c r="N665" s="199" t="str">
        <f t="shared" si="79"/>
        <v>PEN</v>
      </c>
      <c r="O665" s="13"/>
      <c r="P665" s="200"/>
      <c r="Q665" s="201">
        <f t="shared" si="80"/>
        <v>0</v>
      </c>
      <c r="R665" s="201">
        <f t="shared" si="81"/>
        <v>0</v>
      </c>
      <c r="S665" s="201">
        <f t="shared" si="77"/>
        <v>38247.220000000008</v>
      </c>
      <c r="T665" s="202"/>
      <c r="U665" s="202"/>
      <c r="V665" s="201"/>
      <c r="W665" s="19" t="str">
        <f>IFERROR(VLOOKUP(Banco_Nacion[[#This Row],[RESPONSABLE]],Clientes_Proveedores[[Ruc / Dni]:[Razon Social]],2,0),"")</f>
        <v/>
      </c>
      <c r="X66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6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65" s="3"/>
      <c r="AA665" s="3"/>
      <c r="AB665" s="24">
        <f>IF(Banco_Nacion[[#This Row],[FECHA]]&gt;0,TEXT(Banco_Nacion[[#This Row],[FECHA]],"mmmm"),0)</f>
        <v>0</v>
      </c>
    </row>
    <row r="666" spans="2:28" x14ac:dyDescent="0.3">
      <c r="B666" s="195" t="str">
        <f>IF(Banco_Nacion[[#This Row],[TIPO DE R.]]="R",COUNTIFS($D$4:$D665,"R")+1,"")</f>
        <v/>
      </c>
      <c r="C666" s="19" t="str">
        <f t="shared" si="78"/>
        <v>B-Banco de la Nacion</v>
      </c>
      <c r="D666" s="3"/>
      <c r="E666" s="196"/>
      <c r="F666" s="197"/>
      <c r="G666" s="5"/>
      <c r="H666" s="6"/>
      <c r="I666" s="6"/>
      <c r="J666" s="6"/>
      <c r="K666" s="6"/>
      <c r="L666" s="198"/>
      <c r="M666" s="199"/>
      <c r="N666" s="199" t="str">
        <f t="shared" si="79"/>
        <v>PEN</v>
      </c>
      <c r="O666" s="13"/>
      <c r="P666" s="200"/>
      <c r="Q666" s="201">
        <f t="shared" si="80"/>
        <v>0</v>
      </c>
      <c r="R666" s="201">
        <f t="shared" si="81"/>
        <v>0</v>
      </c>
      <c r="S666" s="201">
        <f t="shared" si="77"/>
        <v>38247.220000000008</v>
      </c>
      <c r="T666" s="202"/>
      <c r="U666" s="202"/>
      <c r="V666" s="201"/>
      <c r="W666" s="19" t="str">
        <f>IFERROR(VLOOKUP(Banco_Nacion[[#This Row],[RESPONSABLE]],Clientes_Proveedores[[Ruc / Dni]:[Razon Social]],2,0),"")</f>
        <v/>
      </c>
      <c r="X66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6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66" s="3"/>
      <c r="AA666" s="3"/>
      <c r="AB666" s="24">
        <f>IF(Banco_Nacion[[#This Row],[FECHA]]&gt;0,TEXT(Banco_Nacion[[#This Row],[FECHA]],"mmmm"),0)</f>
        <v>0</v>
      </c>
    </row>
    <row r="667" spans="2:28" x14ac:dyDescent="0.3">
      <c r="B667" s="195" t="str">
        <f>IF(Banco_Nacion[[#This Row],[TIPO DE R.]]="R",COUNTIFS($D$4:$D666,"R")+1,"")</f>
        <v/>
      </c>
      <c r="C667" s="19" t="str">
        <f t="shared" si="78"/>
        <v>B-Banco de la Nacion</v>
      </c>
      <c r="D667" s="3"/>
      <c r="E667" s="196"/>
      <c r="F667" s="197"/>
      <c r="G667" s="5"/>
      <c r="H667" s="6"/>
      <c r="I667" s="6"/>
      <c r="J667" s="6"/>
      <c r="K667" s="6"/>
      <c r="L667" s="198"/>
      <c r="M667" s="199"/>
      <c r="N667" s="199" t="str">
        <f t="shared" si="79"/>
        <v>PEN</v>
      </c>
      <c r="O667" s="13"/>
      <c r="P667" s="200"/>
      <c r="Q667" s="201">
        <f t="shared" si="80"/>
        <v>0</v>
      </c>
      <c r="R667" s="201">
        <f t="shared" si="81"/>
        <v>0</v>
      </c>
      <c r="S667" s="201">
        <f t="shared" si="77"/>
        <v>38247.220000000008</v>
      </c>
      <c r="T667" s="202"/>
      <c r="U667" s="202"/>
      <c r="V667" s="201"/>
      <c r="W667" s="19" t="str">
        <f>IFERROR(VLOOKUP(Banco_Nacion[[#This Row],[RESPONSABLE]],Clientes_Proveedores[[Ruc / Dni]:[Razon Social]],2,0),"")</f>
        <v/>
      </c>
      <c r="X66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6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67" s="3"/>
      <c r="AA667" s="3"/>
      <c r="AB667" s="24">
        <f>IF(Banco_Nacion[[#This Row],[FECHA]]&gt;0,TEXT(Banco_Nacion[[#This Row],[FECHA]],"mmmm"),0)</f>
        <v>0</v>
      </c>
    </row>
    <row r="668" spans="2:28" x14ac:dyDescent="0.3">
      <c r="B668" s="195" t="str">
        <f>IF(Banco_Nacion[[#This Row],[TIPO DE R.]]="R",COUNTIFS($D$4:$D621,"R")+1,"")</f>
        <v/>
      </c>
      <c r="C668" s="19" t="str">
        <f t="shared" si="78"/>
        <v>B-Banco de la Nacion</v>
      </c>
      <c r="D668" s="3"/>
      <c r="E668" s="196"/>
      <c r="F668" s="197"/>
      <c r="G668" s="5"/>
      <c r="H668" s="6"/>
      <c r="I668" s="6"/>
      <c r="J668" s="6"/>
      <c r="K668" s="6"/>
      <c r="L668" s="198"/>
      <c r="M668" s="199"/>
      <c r="N668" s="199" t="str">
        <f t="shared" si="79"/>
        <v>PEN</v>
      </c>
      <c r="O668" s="13"/>
      <c r="P668" s="200"/>
      <c r="Q668" s="201">
        <f t="shared" si="80"/>
        <v>0</v>
      </c>
      <c r="R668" s="201">
        <f t="shared" si="81"/>
        <v>0</v>
      </c>
      <c r="S668" s="201">
        <f>IFERROR(IF(G668="SALDO",Q668,S621+Q668-R668),0)</f>
        <v>38247.220000000008</v>
      </c>
      <c r="T668" s="202"/>
      <c r="U668" s="202"/>
      <c r="V668" s="201"/>
      <c r="W668" s="19" t="str">
        <f>IFERROR(VLOOKUP(Banco_Nacion[[#This Row],[RESPONSABLE]],Clientes_Proveedores[[Ruc / Dni]:[Razon Social]],2,0),"")</f>
        <v/>
      </c>
      <c r="X66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6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68" s="3"/>
      <c r="AA668" s="3"/>
      <c r="AB668" s="24">
        <f>IF(Banco_Nacion[[#This Row],[FECHA]]&gt;0,TEXT(Banco_Nacion[[#This Row],[FECHA]],"mmmm"),0)</f>
        <v>0</v>
      </c>
    </row>
    <row r="669" spans="2:28" x14ac:dyDescent="0.3">
      <c r="B669" s="195" t="str">
        <f>IF(Banco_Nacion[[#This Row],[TIPO DE R.]]="R",COUNTIFS($D$4:$D668,"R")+1,"")</f>
        <v/>
      </c>
      <c r="C669" s="19" t="str">
        <f t="shared" si="78"/>
        <v>B-Banco de la Nacion</v>
      </c>
      <c r="D669" s="3"/>
      <c r="E669" s="196"/>
      <c r="F669" s="197"/>
      <c r="G669" s="5"/>
      <c r="H669" s="6"/>
      <c r="I669" s="6"/>
      <c r="J669" s="6"/>
      <c r="K669" s="6"/>
      <c r="L669" s="198"/>
      <c r="M669" s="199"/>
      <c r="N669" s="199" t="str">
        <f t="shared" si="79"/>
        <v>PEN</v>
      </c>
      <c r="O669" s="13"/>
      <c r="P669" s="200"/>
      <c r="Q669" s="201">
        <f t="shared" si="80"/>
        <v>0</v>
      </c>
      <c r="R669" s="201">
        <f t="shared" si="81"/>
        <v>0</v>
      </c>
      <c r="S669" s="201">
        <f t="shared" ref="S669:S690" si="82">IFERROR(IF(G669="SALDO",Q669,S668+Q669-R669),0)</f>
        <v>38247.220000000008</v>
      </c>
      <c r="T669" s="202"/>
      <c r="U669" s="202"/>
      <c r="V669" s="201"/>
      <c r="W669" s="19" t="str">
        <f>IFERROR(VLOOKUP(Banco_Nacion[[#This Row],[RESPONSABLE]],Clientes_Proveedores[[Ruc / Dni]:[Razon Social]],2,0),"")</f>
        <v/>
      </c>
      <c r="X66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6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69" s="3"/>
      <c r="AA669" s="3"/>
      <c r="AB669" s="24">
        <f>IF(Banco_Nacion[[#This Row],[FECHA]]&gt;0,TEXT(Banco_Nacion[[#This Row],[FECHA]],"mmmm"),0)</f>
        <v>0</v>
      </c>
    </row>
    <row r="670" spans="2:28" x14ac:dyDescent="0.3">
      <c r="B670" s="195" t="str">
        <f>IF(Banco_Nacion[[#This Row],[TIPO DE R.]]="R",COUNTIFS($D$4:$D669,"R")+1,"")</f>
        <v/>
      </c>
      <c r="C670" s="19" t="str">
        <f t="shared" si="78"/>
        <v>B-Banco de la Nacion</v>
      </c>
      <c r="D670" s="3"/>
      <c r="E670" s="196"/>
      <c r="F670" s="197"/>
      <c r="G670" s="5"/>
      <c r="H670" s="6"/>
      <c r="I670" s="6"/>
      <c r="J670" s="6"/>
      <c r="K670" s="6"/>
      <c r="L670" s="198"/>
      <c r="M670" s="199"/>
      <c r="N670" s="199" t="str">
        <f t="shared" si="79"/>
        <v>PEN</v>
      </c>
      <c r="O670" s="13"/>
      <c r="P670" s="200"/>
      <c r="Q670" s="201">
        <f t="shared" si="80"/>
        <v>0</v>
      </c>
      <c r="R670" s="201">
        <f t="shared" si="81"/>
        <v>0</v>
      </c>
      <c r="S670" s="201">
        <f t="shared" si="82"/>
        <v>38247.220000000008</v>
      </c>
      <c r="T670" s="202"/>
      <c r="U670" s="202"/>
      <c r="V670" s="201"/>
      <c r="W670" s="19" t="str">
        <f>IFERROR(VLOOKUP(Banco_Nacion[[#This Row],[RESPONSABLE]],Clientes_Proveedores[[Ruc / Dni]:[Razon Social]],2,0),"")</f>
        <v/>
      </c>
      <c r="X67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7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70" s="3"/>
      <c r="AA670" s="3"/>
      <c r="AB670" s="24">
        <f>IF(Banco_Nacion[[#This Row],[FECHA]]&gt;0,TEXT(Banco_Nacion[[#This Row],[FECHA]],"mmmm"),0)</f>
        <v>0</v>
      </c>
    </row>
    <row r="671" spans="2:28" x14ac:dyDescent="0.3">
      <c r="B671" s="195" t="str">
        <f>IF(Banco_Nacion[[#This Row],[TIPO DE R.]]="R",COUNTIFS($D$4:$D670,"R")+1,"")</f>
        <v/>
      </c>
      <c r="C671" s="19" t="str">
        <f t="shared" si="78"/>
        <v>B-Banco de la Nacion</v>
      </c>
      <c r="D671" s="3"/>
      <c r="E671" s="196"/>
      <c r="F671" s="197"/>
      <c r="G671" s="5"/>
      <c r="H671" s="6"/>
      <c r="I671" s="6"/>
      <c r="J671" s="6"/>
      <c r="K671" s="6"/>
      <c r="L671" s="198"/>
      <c r="M671" s="199"/>
      <c r="N671" s="199" t="str">
        <f t="shared" si="79"/>
        <v>PEN</v>
      </c>
      <c r="O671" s="13"/>
      <c r="P671" s="200"/>
      <c r="Q671" s="201">
        <f t="shared" si="80"/>
        <v>0</v>
      </c>
      <c r="R671" s="201">
        <f t="shared" si="81"/>
        <v>0</v>
      </c>
      <c r="S671" s="201">
        <f t="shared" si="82"/>
        <v>38247.220000000008</v>
      </c>
      <c r="T671" s="202"/>
      <c r="U671" s="202"/>
      <c r="V671" s="201"/>
      <c r="W671" s="19" t="str">
        <f>IFERROR(VLOOKUP(Banco_Nacion[[#This Row],[RESPONSABLE]],Clientes_Proveedores[[Ruc / Dni]:[Razon Social]],2,0),"")</f>
        <v/>
      </c>
      <c r="X67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7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71" s="3"/>
      <c r="AA671" s="3"/>
      <c r="AB671" s="24">
        <f>IF(Banco_Nacion[[#This Row],[FECHA]]&gt;0,TEXT(Banco_Nacion[[#This Row],[FECHA]],"mmmm"),0)</f>
        <v>0</v>
      </c>
    </row>
    <row r="672" spans="2:28" x14ac:dyDescent="0.3">
      <c r="B672" s="195" t="str">
        <f>IF(Banco_Nacion[[#This Row],[TIPO DE R.]]="R",COUNTIFS($D$4:$D671,"R")+1,"")</f>
        <v/>
      </c>
      <c r="C672" s="19" t="str">
        <f t="shared" si="78"/>
        <v>B-Banco de la Nacion</v>
      </c>
      <c r="D672" s="3"/>
      <c r="E672" s="196"/>
      <c r="F672" s="197"/>
      <c r="G672" s="5"/>
      <c r="H672" s="6"/>
      <c r="I672" s="6"/>
      <c r="J672" s="6"/>
      <c r="K672" s="6"/>
      <c r="L672" s="198"/>
      <c r="M672" s="199"/>
      <c r="N672" s="199" t="str">
        <f t="shared" si="79"/>
        <v>PEN</v>
      </c>
      <c r="O672" s="13"/>
      <c r="P672" s="200"/>
      <c r="Q672" s="201">
        <f t="shared" si="80"/>
        <v>0</v>
      </c>
      <c r="R672" s="201">
        <f t="shared" si="81"/>
        <v>0</v>
      </c>
      <c r="S672" s="201">
        <f t="shared" si="82"/>
        <v>38247.220000000008</v>
      </c>
      <c r="T672" s="202"/>
      <c r="U672" s="202"/>
      <c r="V672" s="201"/>
      <c r="W672" s="19" t="str">
        <f>IFERROR(VLOOKUP(Banco_Nacion[[#This Row],[RESPONSABLE]],Clientes_Proveedores[[Ruc / Dni]:[Razon Social]],2,0),"")</f>
        <v/>
      </c>
      <c r="X67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7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72" s="3"/>
      <c r="AA672" s="3"/>
      <c r="AB672" s="24">
        <f>IF(Banco_Nacion[[#This Row],[FECHA]]&gt;0,TEXT(Banco_Nacion[[#This Row],[FECHA]],"mmmm"),0)</f>
        <v>0</v>
      </c>
    </row>
    <row r="673" spans="2:28" x14ac:dyDescent="0.3">
      <c r="B673" s="195" t="str">
        <f>IF(Banco_Nacion[[#This Row],[TIPO DE R.]]="R",COUNTIFS($D$4:$D672,"R")+1,"")</f>
        <v/>
      </c>
      <c r="C673" s="19" t="str">
        <f t="shared" si="78"/>
        <v>B-Banco de la Nacion</v>
      </c>
      <c r="D673" s="3"/>
      <c r="E673" s="196"/>
      <c r="F673" s="197"/>
      <c r="G673" s="5"/>
      <c r="H673" s="6"/>
      <c r="I673" s="6"/>
      <c r="J673" s="6"/>
      <c r="K673" s="6"/>
      <c r="L673" s="198"/>
      <c r="M673" s="199"/>
      <c r="N673" s="199" t="str">
        <f t="shared" si="79"/>
        <v>PEN</v>
      </c>
      <c r="O673" s="13"/>
      <c r="P673" s="200"/>
      <c r="Q673" s="201">
        <f t="shared" si="80"/>
        <v>0</v>
      </c>
      <c r="R673" s="201">
        <f t="shared" si="81"/>
        <v>0</v>
      </c>
      <c r="S673" s="201">
        <f t="shared" si="82"/>
        <v>38247.220000000008</v>
      </c>
      <c r="T673" s="202"/>
      <c r="U673" s="202"/>
      <c r="V673" s="201"/>
      <c r="W673" s="19" t="str">
        <f>IFERROR(VLOOKUP(Banco_Nacion[[#This Row],[RESPONSABLE]],Clientes_Proveedores[[Ruc / Dni]:[Razon Social]],2,0),"")</f>
        <v/>
      </c>
      <c r="X67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7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73" s="3"/>
      <c r="AA673" s="3"/>
      <c r="AB673" s="24">
        <f>IF(Banco_Nacion[[#This Row],[FECHA]]&gt;0,TEXT(Banco_Nacion[[#This Row],[FECHA]],"mmmm"),0)</f>
        <v>0</v>
      </c>
    </row>
    <row r="674" spans="2:28" x14ac:dyDescent="0.3">
      <c r="B674" s="195" t="str">
        <f>IF(Banco_Nacion[[#This Row],[TIPO DE R.]]="R",COUNTIFS($D$4:$D673,"R")+1,"")</f>
        <v/>
      </c>
      <c r="C674" s="19" t="str">
        <f t="shared" si="78"/>
        <v>B-Banco de la Nacion</v>
      </c>
      <c r="D674" s="3"/>
      <c r="E674" s="196"/>
      <c r="F674" s="197"/>
      <c r="G674" s="5"/>
      <c r="H674" s="6"/>
      <c r="I674" s="6"/>
      <c r="J674" s="6"/>
      <c r="K674" s="6"/>
      <c r="L674" s="198"/>
      <c r="M674" s="199"/>
      <c r="N674" s="199" t="str">
        <f t="shared" si="79"/>
        <v>PEN</v>
      </c>
      <c r="O674" s="13"/>
      <c r="P674" s="200"/>
      <c r="Q674" s="201">
        <f t="shared" si="80"/>
        <v>0</v>
      </c>
      <c r="R674" s="201">
        <f t="shared" si="81"/>
        <v>0</v>
      </c>
      <c r="S674" s="201">
        <f t="shared" si="82"/>
        <v>38247.220000000008</v>
      </c>
      <c r="T674" s="202"/>
      <c r="U674" s="202"/>
      <c r="V674" s="201"/>
      <c r="W674" s="19" t="str">
        <f>IFERROR(VLOOKUP(Banco_Nacion[[#This Row],[RESPONSABLE]],Clientes_Proveedores[[Ruc / Dni]:[Razon Social]],2,0),"")</f>
        <v/>
      </c>
      <c r="X67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7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74" s="3"/>
      <c r="AA674" s="3"/>
      <c r="AB674" s="24">
        <f>IF(Banco_Nacion[[#This Row],[FECHA]]&gt;0,TEXT(Banco_Nacion[[#This Row],[FECHA]],"mmmm"),0)</f>
        <v>0</v>
      </c>
    </row>
    <row r="675" spans="2:28" x14ac:dyDescent="0.3">
      <c r="B675" s="195" t="str">
        <f>IF(Banco_Nacion[[#This Row],[TIPO DE R.]]="R",COUNTIFS($D$4:$D674,"R")+1,"")</f>
        <v/>
      </c>
      <c r="C675" s="19" t="str">
        <f t="shared" si="78"/>
        <v>B-Banco de la Nacion</v>
      </c>
      <c r="D675" s="3"/>
      <c r="E675" s="196"/>
      <c r="F675" s="197"/>
      <c r="G675" s="5"/>
      <c r="H675" s="6"/>
      <c r="I675" s="6"/>
      <c r="J675" s="6"/>
      <c r="K675" s="6"/>
      <c r="L675" s="198"/>
      <c r="M675" s="199"/>
      <c r="N675" s="199" t="str">
        <f t="shared" si="79"/>
        <v>PEN</v>
      </c>
      <c r="O675" s="13"/>
      <c r="P675" s="200"/>
      <c r="Q675" s="201">
        <f t="shared" si="80"/>
        <v>0</v>
      </c>
      <c r="R675" s="201">
        <f t="shared" si="81"/>
        <v>0</v>
      </c>
      <c r="S675" s="201">
        <f t="shared" si="82"/>
        <v>38247.220000000008</v>
      </c>
      <c r="T675" s="202"/>
      <c r="U675" s="202"/>
      <c r="V675" s="201"/>
      <c r="W675" s="19" t="str">
        <f>IFERROR(VLOOKUP(Banco_Nacion[[#This Row],[RESPONSABLE]],Clientes_Proveedores[[Ruc / Dni]:[Razon Social]],2,0),"")</f>
        <v/>
      </c>
      <c r="X67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7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75" s="3"/>
      <c r="AA675" s="3"/>
      <c r="AB675" s="24">
        <f>IF(Banco_Nacion[[#This Row],[FECHA]]&gt;0,TEXT(Banco_Nacion[[#This Row],[FECHA]],"mmmm"),0)</f>
        <v>0</v>
      </c>
    </row>
    <row r="676" spans="2:28" x14ac:dyDescent="0.3">
      <c r="B676" s="195" t="str">
        <f>IF(Banco_Nacion[[#This Row],[TIPO DE R.]]="R",COUNTIFS($D$4:$D675,"R")+1,"")</f>
        <v/>
      </c>
      <c r="C676" s="19" t="str">
        <f t="shared" si="78"/>
        <v>B-Banco de la Nacion</v>
      </c>
      <c r="D676" s="3"/>
      <c r="E676" s="196"/>
      <c r="F676" s="197"/>
      <c r="G676" s="5"/>
      <c r="H676" s="6"/>
      <c r="I676" s="6"/>
      <c r="J676" s="6"/>
      <c r="K676" s="6"/>
      <c r="L676" s="198"/>
      <c r="M676" s="199"/>
      <c r="N676" s="199" t="str">
        <f t="shared" si="79"/>
        <v>PEN</v>
      </c>
      <c r="O676" s="13"/>
      <c r="P676" s="200"/>
      <c r="Q676" s="201">
        <f t="shared" si="80"/>
        <v>0</v>
      </c>
      <c r="R676" s="201">
        <f t="shared" si="81"/>
        <v>0</v>
      </c>
      <c r="S676" s="201">
        <f t="shared" si="82"/>
        <v>38247.220000000008</v>
      </c>
      <c r="T676" s="202"/>
      <c r="U676" s="202"/>
      <c r="V676" s="201"/>
      <c r="W676" s="19" t="str">
        <f>IFERROR(VLOOKUP(Banco_Nacion[[#This Row],[RESPONSABLE]],Clientes_Proveedores[[Ruc / Dni]:[Razon Social]],2,0),"")</f>
        <v/>
      </c>
      <c r="X67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7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76" s="3"/>
      <c r="AA676" s="3"/>
      <c r="AB676" s="24">
        <f>IF(Banco_Nacion[[#This Row],[FECHA]]&gt;0,TEXT(Banco_Nacion[[#This Row],[FECHA]],"mmmm"),0)</f>
        <v>0</v>
      </c>
    </row>
    <row r="677" spans="2:28" x14ac:dyDescent="0.3">
      <c r="B677" s="195" t="str">
        <f>IF(Banco_Nacion[[#This Row],[TIPO DE R.]]="R",COUNTIFS($D$4:$D676,"R")+1,"")</f>
        <v/>
      </c>
      <c r="C677" s="19" t="str">
        <f t="shared" si="78"/>
        <v>B-Banco de la Nacion</v>
      </c>
      <c r="D677" s="3"/>
      <c r="E677" s="196"/>
      <c r="F677" s="197"/>
      <c r="G677" s="5"/>
      <c r="H677" s="6"/>
      <c r="I677" s="6"/>
      <c r="J677" s="6"/>
      <c r="K677" s="6"/>
      <c r="L677" s="198"/>
      <c r="M677" s="199"/>
      <c r="N677" s="199" t="str">
        <f t="shared" si="79"/>
        <v>PEN</v>
      </c>
      <c r="O677" s="13"/>
      <c r="P677" s="200"/>
      <c r="Q677" s="201">
        <f t="shared" si="80"/>
        <v>0</v>
      </c>
      <c r="R677" s="201">
        <f t="shared" si="81"/>
        <v>0</v>
      </c>
      <c r="S677" s="201">
        <f t="shared" si="82"/>
        <v>38247.220000000008</v>
      </c>
      <c r="T677" s="202"/>
      <c r="U677" s="202"/>
      <c r="V677" s="201"/>
      <c r="W677" s="19" t="str">
        <f>IFERROR(VLOOKUP(Banco_Nacion[[#This Row],[RESPONSABLE]],Clientes_Proveedores[[Ruc / Dni]:[Razon Social]],2,0),"")</f>
        <v/>
      </c>
      <c r="X67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7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77" s="3"/>
      <c r="AA677" s="3"/>
      <c r="AB677" s="24">
        <f>IF(Banco_Nacion[[#This Row],[FECHA]]&gt;0,TEXT(Banco_Nacion[[#This Row],[FECHA]],"mmmm"),0)</f>
        <v>0</v>
      </c>
    </row>
    <row r="678" spans="2:28" x14ac:dyDescent="0.3">
      <c r="B678" s="195" t="str">
        <f>IF(Banco_Nacion[[#This Row],[TIPO DE R.]]="R",COUNTIFS($D$4:$D677,"R")+1,"")</f>
        <v/>
      </c>
      <c r="C678" s="19" t="str">
        <f t="shared" si="78"/>
        <v>B-Banco de la Nacion</v>
      </c>
      <c r="D678" s="3"/>
      <c r="E678" s="196"/>
      <c r="F678" s="197"/>
      <c r="G678" s="5"/>
      <c r="H678" s="6"/>
      <c r="I678" s="6"/>
      <c r="J678" s="6"/>
      <c r="K678" s="6"/>
      <c r="L678" s="198"/>
      <c r="M678" s="199"/>
      <c r="N678" s="199" t="str">
        <f t="shared" si="79"/>
        <v>PEN</v>
      </c>
      <c r="O678" s="13"/>
      <c r="P678" s="200"/>
      <c r="Q678" s="201">
        <f t="shared" si="80"/>
        <v>0</v>
      </c>
      <c r="R678" s="201">
        <f t="shared" si="81"/>
        <v>0</v>
      </c>
      <c r="S678" s="201">
        <f t="shared" si="82"/>
        <v>38247.220000000008</v>
      </c>
      <c r="T678" s="202"/>
      <c r="U678" s="202"/>
      <c r="V678" s="201"/>
      <c r="W678" s="19" t="str">
        <f>IFERROR(VLOOKUP(Banco_Nacion[[#This Row],[RESPONSABLE]],Clientes_Proveedores[[Ruc / Dni]:[Razon Social]],2,0),"")</f>
        <v/>
      </c>
      <c r="X67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7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78" s="3"/>
      <c r="AA678" s="3"/>
      <c r="AB678" s="24">
        <f>IF(Banco_Nacion[[#This Row],[FECHA]]&gt;0,TEXT(Banco_Nacion[[#This Row],[FECHA]],"mmmm"),0)</f>
        <v>0</v>
      </c>
    </row>
    <row r="679" spans="2:28" x14ac:dyDescent="0.3">
      <c r="B679" s="195" t="str">
        <f>IF(Banco_Nacion[[#This Row],[TIPO DE R.]]="R",COUNTIFS($D$4:$D678,"R")+1,"")</f>
        <v/>
      </c>
      <c r="C679" s="19" t="str">
        <f t="shared" si="78"/>
        <v>B-Banco de la Nacion</v>
      </c>
      <c r="D679" s="3"/>
      <c r="E679" s="196"/>
      <c r="F679" s="197"/>
      <c r="G679" s="5"/>
      <c r="H679" s="6"/>
      <c r="I679" s="6"/>
      <c r="J679" s="6"/>
      <c r="K679" s="6"/>
      <c r="L679" s="198"/>
      <c r="M679" s="199"/>
      <c r="N679" s="199" t="str">
        <f t="shared" si="79"/>
        <v>PEN</v>
      </c>
      <c r="O679" s="13"/>
      <c r="P679" s="200"/>
      <c r="Q679" s="201">
        <f t="shared" si="80"/>
        <v>0</v>
      </c>
      <c r="R679" s="201">
        <f t="shared" si="81"/>
        <v>0</v>
      </c>
      <c r="S679" s="201">
        <f t="shared" si="82"/>
        <v>38247.220000000008</v>
      </c>
      <c r="T679" s="202"/>
      <c r="U679" s="202"/>
      <c r="V679" s="201"/>
      <c r="W679" s="19" t="str">
        <f>IFERROR(VLOOKUP(Banco_Nacion[[#This Row],[RESPONSABLE]],Clientes_Proveedores[[Ruc / Dni]:[Razon Social]],2,0),"")</f>
        <v/>
      </c>
      <c r="X67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7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79" s="3"/>
      <c r="AA679" s="3"/>
      <c r="AB679" s="24">
        <f>IF(Banco_Nacion[[#This Row],[FECHA]]&gt;0,TEXT(Banco_Nacion[[#This Row],[FECHA]],"mmmm"),0)</f>
        <v>0</v>
      </c>
    </row>
    <row r="680" spans="2:28" x14ac:dyDescent="0.3">
      <c r="B680" s="195" t="str">
        <f>IF(Banco_Nacion[[#This Row],[TIPO DE R.]]="R",COUNTIFS($D$4:$D679,"R")+1,"")</f>
        <v/>
      </c>
      <c r="C680" s="19" t="str">
        <f t="shared" si="78"/>
        <v>B-Banco de la Nacion</v>
      </c>
      <c r="D680" s="3"/>
      <c r="E680" s="196"/>
      <c r="F680" s="197"/>
      <c r="G680" s="5"/>
      <c r="H680" s="6"/>
      <c r="I680" s="6"/>
      <c r="J680" s="6"/>
      <c r="K680" s="6"/>
      <c r="L680" s="198"/>
      <c r="M680" s="199"/>
      <c r="N680" s="199" t="str">
        <f t="shared" si="79"/>
        <v>PEN</v>
      </c>
      <c r="O680" s="13"/>
      <c r="P680" s="200"/>
      <c r="Q680" s="201">
        <f t="shared" si="80"/>
        <v>0</v>
      </c>
      <c r="R680" s="201">
        <f t="shared" si="81"/>
        <v>0</v>
      </c>
      <c r="S680" s="201">
        <f t="shared" si="82"/>
        <v>38247.220000000008</v>
      </c>
      <c r="T680" s="202"/>
      <c r="U680" s="202"/>
      <c r="V680" s="201"/>
      <c r="W680" s="19" t="str">
        <f>IFERROR(VLOOKUP(Banco_Nacion[[#This Row],[RESPONSABLE]],Clientes_Proveedores[[Ruc / Dni]:[Razon Social]],2,0),"")</f>
        <v/>
      </c>
      <c r="X68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8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80" s="3"/>
      <c r="AA680" s="3"/>
      <c r="AB680" s="24">
        <f>IF(Banco_Nacion[[#This Row],[FECHA]]&gt;0,TEXT(Banco_Nacion[[#This Row],[FECHA]],"mmmm"),0)</f>
        <v>0</v>
      </c>
    </row>
    <row r="681" spans="2:28" x14ac:dyDescent="0.3">
      <c r="B681" s="195" t="str">
        <f>IF(Banco_Nacion[[#This Row],[TIPO DE R.]]="R",COUNTIFS($D$4:$D680,"R")+1,"")</f>
        <v/>
      </c>
      <c r="C681" s="19" t="str">
        <f t="shared" si="78"/>
        <v>B-Banco de la Nacion</v>
      </c>
      <c r="D681" s="3"/>
      <c r="E681" s="196"/>
      <c r="F681" s="197"/>
      <c r="G681" s="5"/>
      <c r="H681" s="6"/>
      <c r="I681" s="6"/>
      <c r="J681" s="6"/>
      <c r="K681" s="6"/>
      <c r="L681" s="198"/>
      <c r="M681" s="199"/>
      <c r="N681" s="199" t="str">
        <f t="shared" si="79"/>
        <v>PEN</v>
      </c>
      <c r="O681" s="13"/>
      <c r="P681" s="200"/>
      <c r="Q681" s="201">
        <f t="shared" si="80"/>
        <v>0</v>
      </c>
      <c r="R681" s="201">
        <f t="shared" si="81"/>
        <v>0</v>
      </c>
      <c r="S681" s="201">
        <f t="shared" si="82"/>
        <v>38247.220000000008</v>
      </c>
      <c r="T681" s="202"/>
      <c r="U681" s="202"/>
      <c r="V681" s="201"/>
      <c r="W681" s="19" t="str">
        <f>IFERROR(VLOOKUP(Banco_Nacion[[#This Row],[RESPONSABLE]],Clientes_Proveedores[[Ruc / Dni]:[Razon Social]],2,0),"")</f>
        <v/>
      </c>
      <c r="X68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8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81" s="3"/>
      <c r="AA681" s="3"/>
      <c r="AB681" s="24">
        <f>IF(Banco_Nacion[[#This Row],[FECHA]]&gt;0,TEXT(Banco_Nacion[[#This Row],[FECHA]],"mmmm"),0)</f>
        <v>0</v>
      </c>
    </row>
    <row r="682" spans="2:28" x14ac:dyDescent="0.3">
      <c r="B682" s="195" t="str">
        <f>IF(Banco_Nacion[[#This Row],[TIPO DE R.]]="R",COUNTIFS($D$4:$D681,"R")+1,"")</f>
        <v/>
      </c>
      <c r="C682" s="19" t="str">
        <f t="shared" si="78"/>
        <v>B-Banco de la Nacion</v>
      </c>
      <c r="D682" s="3"/>
      <c r="E682" s="196"/>
      <c r="F682" s="197"/>
      <c r="G682" s="5"/>
      <c r="H682" s="6"/>
      <c r="I682" s="6"/>
      <c r="J682" s="6"/>
      <c r="K682" s="6"/>
      <c r="L682" s="198"/>
      <c r="M682" s="199"/>
      <c r="N682" s="199" t="str">
        <f t="shared" si="79"/>
        <v>PEN</v>
      </c>
      <c r="O682" s="13"/>
      <c r="P682" s="200"/>
      <c r="Q682" s="201">
        <f t="shared" si="80"/>
        <v>0</v>
      </c>
      <c r="R682" s="201">
        <f t="shared" si="81"/>
        <v>0</v>
      </c>
      <c r="S682" s="201">
        <f t="shared" si="82"/>
        <v>38247.220000000008</v>
      </c>
      <c r="T682" s="202"/>
      <c r="U682" s="202"/>
      <c r="V682" s="201"/>
      <c r="W682" s="19" t="str">
        <f>IFERROR(VLOOKUP(Banco_Nacion[[#This Row],[RESPONSABLE]],Clientes_Proveedores[[Ruc / Dni]:[Razon Social]],2,0),"")</f>
        <v/>
      </c>
      <c r="X68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8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82" s="3"/>
      <c r="AA682" s="3"/>
      <c r="AB682" s="24">
        <f>IF(Banco_Nacion[[#This Row],[FECHA]]&gt;0,TEXT(Banco_Nacion[[#This Row],[FECHA]],"mmmm"),0)</f>
        <v>0</v>
      </c>
    </row>
    <row r="683" spans="2:28" x14ac:dyDescent="0.3">
      <c r="B683" s="195" t="str">
        <f>IF(Banco_Nacion[[#This Row],[TIPO DE R.]]="R",COUNTIFS($D$4:$D682,"R")+1,"")</f>
        <v/>
      </c>
      <c r="C683" s="19" t="str">
        <f t="shared" si="78"/>
        <v>B-Banco de la Nacion</v>
      </c>
      <c r="D683" s="3"/>
      <c r="E683" s="196"/>
      <c r="F683" s="197"/>
      <c r="G683" s="5"/>
      <c r="H683" s="6"/>
      <c r="I683" s="6"/>
      <c r="J683" s="6"/>
      <c r="K683" s="6"/>
      <c r="L683" s="198"/>
      <c r="M683" s="199"/>
      <c r="N683" s="199" t="str">
        <f t="shared" si="79"/>
        <v>PEN</v>
      </c>
      <c r="O683" s="13"/>
      <c r="P683" s="200"/>
      <c r="Q683" s="201">
        <f t="shared" si="80"/>
        <v>0</v>
      </c>
      <c r="R683" s="201">
        <f t="shared" si="81"/>
        <v>0</v>
      </c>
      <c r="S683" s="201">
        <f t="shared" si="82"/>
        <v>38247.220000000008</v>
      </c>
      <c r="T683" s="202"/>
      <c r="U683" s="202"/>
      <c r="V683" s="201"/>
      <c r="W683" s="19" t="str">
        <f>IFERROR(VLOOKUP(Banco_Nacion[[#This Row],[RESPONSABLE]],Clientes_Proveedores[[Ruc / Dni]:[Razon Social]],2,0),"")</f>
        <v/>
      </c>
      <c r="X68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8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83" s="3"/>
      <c r="AA683" s="3"/>
      <c r="AB683" s="24">
        <f>IF(Banco_Nacion[[#This Row],[FECHA]]&gt;0,TEXT(Banco_Nacion[[#This Row],[FECHA]],"mmmm"),0)</f>
        <v>0</v>
      </c>
    </row>
    <row r="684" spans="2:28" x14ac:dyDescent="0.3">
      <c r="B684" s="195" t="str">
        <f>IF(Banco_Nacion[[#This Row],[TIPO DE R.]]="R",COUNTIFS($D$4:$D683,"R")+1,"")</f>
        <v/>
      </c>
      <c r="C684" s="19" t="str">
        <f t="shared" si="78"/>
        <v>B-Banco de la Nacion</v>
      </c>
      <c r="D684" s="3"/>
      <c r="E684" s="196"/>
      <c r="F684" s="197"/>
      <c r="G684" s="5"/>
      <c r="H684" s="6"/>
      <c r="I684" s="6"/>
      <c r="J684" s="6"/>
      <c r="K684" s="6"/>
      <c r="L684" s="198"/>
      <c r="M684" s="199"/>
      <c r="N684" s="199" t="str">
        <f t="shared" si="79"/>
        <v>PEN</v>
      </c>
      <c r="O684" s="13"/>
      <c r="P684" s="200"/>
      <c r="Q684" s="201">
        <f t="shared" si="80"/>
        <v>0</v>
      </c>
      <c r="R684" s="201">
        <f t="shared" si="81"/>
        <v>0</v>
      </c>
      <c r="S684" s="201">
        <f t="shared" si="82"/>
        <v>38247.220000000008</v>
      </c>
      <c r="T684" s="202"/>
      <c r="U684" s="202"/>
      <c r="V684" s="201"/>
      <c r="W684" s="19" t="str">
        <f>IFERROR(VLOOKUP(Banco_Nacion[[#This Row],[RESPONSABLE]],Clientes_Proveedores[[Ruc / Dni]:[Razon Social]],2,0),"")</f>
        <v/>
      </c>
      <c r="X68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8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84" s="3"/>
      <c r="AA684" s="3"/>
      <c r="AB684" s="24">
        <f>IF(Banco_Nacion[[#This Row],[FECHA]]&gt;0,TEXT(Banco_Nacion[[#This Row],[FECHA]],"mmmm"),0)</f>
        <v>0</v>
      </c>
    </row>
    <row r="685" spans="2:28" x14ac:dyDescent="0.3">
      <c r="B685" s="195" t="str">
        <f>IF(Banco_Nacion[[#This Row],[TIPO DE R.]]="R",COUNTIFS($D$4:$D684,"R")+1,"")</f>
        <v/>
      </c>
      <c r="C685" s="19" t="str">
        <f t="shared" si="78"/>
        <v>B-Banco de la Nacion</v>
      </c>
      <c r="D685" s="3"/>
      <c r="E685" s="196"/>
      <c r="F685" s="197"/>
      <c r="G685" s="5"/>
      <c r="H685" s="6"/>
      <c r="I685" s="6"/>
      <c r="J685" s="6"/>
      <c r="K685" s="6"/>
      <c r="L685" s="198"/>
      <c r="M685" s="199"/>
      <c r="N685" s="199" t="str">
        <f t="shared" si="79"/>
        <v>PEN</v>
      </c>
      <c r="O685" s="13"/>
      <c r="P685" s="200"/>
      <c r="Q685" s="201">
        <f t="shared" si="80"/>
        <v>0</v>
      </c>
      <c r="R685" s="201">
        <f t="shared" si="81"/>
        <v>0</v>
      </c>
      <c r="S685" s="201">
        <f t="shared" si="82"/>
        <v>38247.220000000008</v>
      </c>
      <c r="T685" s="202"/>
      <c r="U685" s="202"/>
      <c r="V685" s="201"/>
      <c r="W685" s="19" t="str">
        <f>IFERROR(VLOOKUP(Banco_Nacion[[#This Row],[RESPONSABLE]],Clientes_Proveedores[[Ruc / Dni]:[Razon Social]],2,0),"")</f>
        <v/>
      </c>
      <c r="X68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8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85" s="3"/>
      <c r="AA685" s="3"/>
      <c r="AB685" s="24">
        <f>IF(Banco_Nacion[[#This Row],[FECHA]]&gt;0,TEXT(Banco_Nacion[[#This Row],[FECHA]],"mmmm"),0)</f>
        <v>0</v>
      </c>
    </row>
    <row r="686" spans="2:28" x14ac:dyDescent="0.3">
      <c r="B686" s="195" t="str">
        <f>IF(Banco_Nacion[[#This Row],[TIPO DE R.]]="R",COUNTIFS($D$4:$D685,"R")+1,"")</f>
        <v/>
      </c>
      <c r="C686" s="19" t="str">
        <f t="shared" si="78"/>
        <v>B-Banco de la Nacion</v>
      </c>
      <c r="D686" s="3"/>
      <c r="E686" s="196"/>
      <c r="F686" s="197"/>
      <c r="G686" s="5"/>
      <c r="H686" s="6"/>
      <c r="I686" s="6"/>
      <c r="J686" s="6"/>
      <c r="K686" s="6"/>
      <c r="L686" s="198"/>
      <c r="M686" s="199"/>
      <c r="N686" s="199" t="str">
        <f t="shared" si="79"/>
        <v>PEN</v>
      </c>
      <c r="O686" s="13"/>
      <c r="P686" s="200"/>
      <c r="Q686" s="201">
        <f t="shared" si="80"/>
        <v>0</v>
      </c>
      <c r="R686" s="201">
        <f t="shared" si="81"/>
        <v>0</v>
      </c>
      <c r="S686" s="201">
        <f t="shared" si="82"/>
        <v>38247.220000000008</v>
      </c>
      <c r="T686" s="202"/>
      <c r="U686" s="202"/>
      <c r="V686" s="201"/>
      <c r="W686" s="19" t="str">
        <f>IFERROR(VLOOKUP(Banco_Nacion[[#This Row],[RESPONSABLE]],Clientes_Proveedores[[Ruc / Dni]:[Razon Social]],2,0),"")</f>
        <v/>
      </c>
      <c r="X68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8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86" s="3"/>
      <c r="AA686" s="3"/>
      <c r="AB686" s="24">
        <f>IF(Banco_Nacion[[#This Row],[FECHA]]&gt;0,TEXT(Banco_Nacion[[#This Row],[FECHA]],"mmmm"),0)</f>
        <v>0</v>
      </c>
    </row>
    <row r="687" spans="2:28" x14ac:dyDescent="0.3">
      <c r="B687" s="195" t="str">
        <f>IF(Banco_Nacion[[#This Row],[TIPO DE R.]]="R",COUNTIFS($D$4:$D686,"R")+1,"")</f>
        <v/>
      </c>
      <c r="C687" s="19" t="str">
        <f t="shared" si="78"/>
        <v>B-Banco de la Nacion</v>
      </c>
      <c r="D687" s="3"/>
      <c r="E687" s="196"/>
      <c r="F687" s="197"/>
      <c r="G687" s="5"/>
      <c r="H687" s="6"/>
      <c r="I687" s="6"/>
      <c r="J687" s="6"/>
      <c r="K687" s="6"/>
      <c r="L687" s="198"/>
      <c r="M687" s="199"/>
      <c r="N687" s="199" t="str">
        <f t="shared" si="79"/>
        <v>PEN</v>
      </c>
      <c r="O687" s="13"/>
      <c r="P687" s="200"/>
      <c r="Q687" s="201">
        <f t="shared" si="80"/>
        <v>0</v>
      </c>
      <c r="R687" s="201">
        <f t="shared" si="81"/>
        <v>0</v>
      </c>
      <c r="S687" s="201">
        <f t="shared" si="82"/>
        <v>38247.220000000008</v>
      </c>
      <c r="T687" s="202"/>
      <c r="U687" s="202"/>
      <c r="V687" s="201"/>
      <c r="W687" s="19" t="str">
        <f>IFERROR(VLOOKUP(Banco_Nacion[[#This Row],[RESPONSABLE]],Clientes_Proveedores[[Ruc / Dni]:[Razon Social]],2,0),"")</f>
        <v/>
      </c>
      <c r="X68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8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87" s="3"/>
      <c r="AA687" s="3"/>
      <c r="AB687" s="24">
        <f>IF(Banco_Nacion[[#This Row],[FECHA]]&gt;0,TEXT(Banco_Nacion[[#This Row],[FECHA]],"mmmm"),0)</f>
        <v>0</v>
      </c>
    </row>
    <row r="688" spans="2:28" x14ac:dyDescent="0.3">
      <c r="B688" s="195" t="str">
        <f>IF(Banco_Nacion[[#This Row],[TIPO DE R.]]="R",COUNTIFS($D$4:$D687,"R")+1,"")</f>
        <v/>
      </c>
      <c r="C688" s="19" t="str">
        <f t="shared" ref="C688:C719" si="83">"B-Banco de la Nacion"</f>
        <v>B-Banco de la Nacion</v>
      </c>
      <c r="D688" s="3"/>
      <c r="E688" s="196"/>
      <c r="F688" s="197"/>
      <c r="G688" s="5"/>
      <c r="H688" s="6"/>
      <c r="I688" s="6"/>
      <c r="J688" s="6"/>
      <c r="K688" s="6"/>
      <c r="L688" s="198"/>
      <c r="M688" s="199"/>
      <c r="N688" s="199" t="str">
        <f t="shared" ref="N688:N719" si="84">"PEN"</f>
        <v>PEN</v>
      </c>
      <c r="O688" s="13"/>
      <c r="P688" s="200"/>
      <c r="Q688" s="201">
        <f t="shared" ref="Q688:Q719" si="85">+IF(OR($G688="SALDO",$G688="INGRESO"),$P688,0)</f>
        <v>0</v>
      </c>
      <c r="R688" s="201">
        <f t="shared" ref="R688:R719" si="86">+IF($G688="EGRESO",$P688,0)</f>
        <v>0</v>
      </c>
      <c r="S688" s="201">
        <f t="shared" si="82"/>
        <v>38247.220000000008</v>
      </c>
      <c r="T688" s="202"/>
      <c r="U688" s="202"/>
      <c r="V688" s="201"/>
      <c r="W688" s="19" t="str">
        <f>IFERROR(VLOOKUP(Banco_Nacion[[#This Row],[RESPONSABLE]],Clientes_Proveedores[[Ruc / Dni]:[Razon Social]],2,0),"")</f>
        <v/>
      </c>
      <c r="X68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8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88" s="3"/>
      <c r="AA688" s="3"/>
      <c r="AB688" s="24">
        <f>IF(Banco_Nacion[[#This Row],[FECHA]]&gt;0,TEXT(Banco_Nacion[[#This Row],[FECHA]],"mmmm"),0)</f>
        <v>0</v>
      </c>
    </row>
    <row r="689" spans="2:28" x14ac:dyDescent="0.3">
      <c r="B689" s="195" t="str">
        <f>IF(Banco_Nacion[[#This Row],[TIPO DE R.]]="R",COUNTIFS($D$4:$D688,"R")+1,"")</f>
        <v/>
      </c>
      <c r="C689" s="19" t="str">
        <f t="shared" si="83"/>
        <v>B-Banco de la Nacion</v>
      </c>
      <c r="D689" s="3"/>
      <c r="E689" s="196"/>
      <c r="F689" s="197"/>
      <c r="G689" s="5"/>
      <c r="H689" s="6"/>
      <c r="I689" s="6"/>
      <c r="J689" s="6"/>
      <c r="K689" s="6"/>
      <c r="L689" s="198"/>
      <c r="M689" s="199"/>
      <c r="N689" s="199" t="str">
        <f t="shared" si="84"/>
        <v>PEN</v>
      </c>
      <c r="O689" s="13"/>
      <c r="P689" s="200"/>
      <c r="Q689" s="201">
        <f t="shared" si="85"/>
        <v>0</v>
      </c>
      <c r="R689" s="201">
        <f t="shared" si="86"/>
        <v>0</v>
      </c>
      <c r="S689" s="201">
        <f t="shared" si="82"/>
        <v>38247.220000000008</v>
      </c>
      <c r="T689" s="202"/>
      <c r="U689" s="202"/>
      <c r="V689" s="201"/>
      <c r="W689" s="19" t="str">
        <f>IFERROR(VLOOKUP(Banco_Nacion[[#This Row],[RESPONSABLE]],Clientes_Proveedores[[Ruc / Dni]:[Razon Social]],2,0),"")</f>
        <v/>
      </c>
      <c r="X68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8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89" s="3"/>
      <c r="AA689" s="3"/>
      <c r="AB689" s="24">
        <f>IF(Banco_Nacion[[#This Row],[FECHA]]&gt;0,TEXT(Banco_Nacion[[#This Row],[FECHA]],"mmmm"),0)</f>
        <v>0</v>
      </c>
    </row>
    <row r="690" spans="2:28" x14ac:dyDescent="0.3">
      <c r="B690" s="195" t="str">
        <f>IF(Banco_Nacion[[#This Row],[TIPO DE R.]]="R",COUNTIFS($D$4:$D689,"R")+1,"")</f>
        <v/>
      </c>
      <c r="C690" s="19" t="str">
        <f t="shared" si="83"/>
        <v>B-Banco de la Nacion</v>
      </c>
      <c r="D690" s="3"/>
      <c r="E690" s="196"/>
      <c r="F690" s="197"/>
      <c r="G690" s="5"/>
      <c r="H690" s="6"/>
      <c r="I690" s="6"/>
      <c r="J690" s="6"/>
      <c r="K690" s="6"/>
      <c r="L690" s="198"/>
      <c r="M690" s="199"/>
      <c r="N690" s="199" t="str">
        <f t="shared" si="84"/>
        <v>PEN</v>
      </c>
      <c r="O690" s="13"/>
      <c r="P690" s="200"/>
      <c r="Q690" s="201">
        <f t="shared" si="85"/>
        <v>0</v>
      </c>
      <c r="R690" s="201">
        <f t="shared" si="86"/>
        <v>0</v>
      </c>
      <c r="S690" s="201">
        <f t="shared" si="82"/>
        <v>38247.220000000008</v>
      </c>
      <c r="T690" s="202"/>
      <c r="U690" s="202"/>
      <c r="V690" s="201"/>
      <c r="W690" s="19" t="str">
        <f>IFERROR(VLOOKUP(Banco_Nacion[[#This Row],[RESPONSABLE]],Clientes_Proveedores[[Ruc / Dni]:[Razon Social]],2,0),"")</f>
        <v/>
      </c>
      <c r="X69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9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90" s="3"/>
      <c r="AA690" s="3"/>
      <c r="AB690" s="24">
        <f>IF(Banco_Nacion[[#This Row],[FECHA]]&gt;0,TEXT(Banco_Nacion[[#This Row],[FECHA]],"mmmm"),0)</f>
        <v>0</v>
      </c>
    </row>
    <row r="691" spans="2:28" x14ac:dyDescent="0.3">
      <c r="B691" s="195" t="str">
        <f>IF(Banco_Nacion[[#This Row],[TIPO DE R.]]="R",COUNTIFS($D$4:$D621,"R")+1,"")</f>
        <v/>
      </c>
      <c r="C691" s="19" t="str">
        <f t="shared" si="83"/>
        <v>B-Banco de la Nacion</v>
      </c>
      <c r="D691" s="3"/>
      <c r="E691" s="196"/>
      <c r="F691" s="197"/>
      <c r="G691" s="5"/>
      <c r="H691" s="6"/>
      <c r="I691" s="6"/>
      <c r="J691" s="6"/>
      <c r="K691" s="6"/>
      <c r="L691" s="198"/>
      <c r="M691" s="199"/>
      <c r="N691" s="199" t="str">
        <f t="shared" si="84"/>
        <v>PEN</v>
      </c>
      <c r="O691" s="13"/>
      <c r="P691" s="200"/>
      <c r="Q691" s="201">
        <f t="shared" si="85"/>
        <v>0</v>
      </c>
      <c r="R691" s="201">
        <f t="shared" si="86"/>
        <v>0</v>
      </c>
      <c r="S691" s="201">
        <f>IFERROR(IF(G691="SALDO",Q691,S621+Q691-R691),0)</f>
        <v>38247.220000000008</v>
      </c>
      <c r="T691" s="202"/>
      <c r="U691" s="202"/>
      <c r="V691" s="201"/>
      <c r="W691" s="19" t="str">
        <f>IFERROR(VLOOKUP(Banco_Nacion[[#This Row],[RESPONSABLE]],Clientes_Proveedores[[Ruc / Dni]:[Razon Social]],2,0),"")</f>
        <v/>
      </c>
      <c r="X69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9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91" s="3"/>
      <c r="AA691" s="3"/>
      <c r="AB691" s="24">
        <f>IF(Banco_Nacion[[#This Row],[FECHA]]&gt;0,TEXT(Banco_Nacion[[#This Row],[FECHA]],"mmmm"),0)</f>
        <v>0</v>
      </c>
    </row>
    <row r="692" spans="2:28" x14ac:dyDescent="0.3">
      <c r="B692" s="195" t="str">
        <f>IF(Banco_Nacion[[#This Row],[TIPO DE R.]]="R",COUNTIFS($D$4:$D691,"R")+1,"")</f>
        <v/>
      </c>
      <c r="C692" s="19" t="str">
        <f t="shared" si="83"/>
        <v>B-Banco de la Nacion</v>
      </c>
      <c r="D692" s="3"/>
      <c r="E692" s="196"/>
      <c r="F692" s="197"/>
      <c r="G692" s="5"/>
      <c r="H692" s="6"/>
      <c r="I692" s="6"/>
      <c r="J692" s="6"/>
      <c r="K692" s="6"/>
      <c r="L692" s="198"/>
      <c r="M692" s="199"/>
      <c r="N692" s="199" t="str">
        <f t="shared" si="84"/>
        <v>PEN</v>
      </c>
      <c r="O692" s="13"/>
      <c r="P692" s="200"/>
      <c r="Q692" s="201">
        <f t="shared" si="85"/>
        <v>0</v>
      </c>
      <c r="R692" s="201">
        <f t="shared" si="86"/>
        <v>0</v>
      </c>
      <c r="S692" s="201">
        <f t="shared" ref="S692:S713" si="87">IFERROR(IF(G692="SALDO",Q692,S691+Q692-R692),0)</f>
        <v>38247.220000000008</v>
      </c>
      <c r="T692" s="202"/>
      <c r="U692" s="202"/>
      <c r="V692" s="201"/>
      <c r="W692" s="19" t="str">
        <f>IFERROR(VLOOKUP(Banco_Nacion[[#This Row],[RESPONSABLE]],Clientes_Proveedores[[Ruc / Dni]:[Razon Social]],2,0),"")</f>
        <v/>
      </c>
      <c r="X69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9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92" s="3"/>
      <c r="AA692" s="3"/>
      <c r="AB692" s="24">
        <f>IF(Banco_Nacion[[#This Row],[FECHA]]&gt;0,TEXT(Banco_Nacion[[#This Row],[FECHA]],"mmmm"),0)</f>
        <v>0</v>
      </c>
    </row>
    <row r="693" spans="2:28" x14ac:dyDescent="0.3">
      <c r="B693" s="195" t="str">
        <f>IF(Banco_Nacion[[#This Row],[TIPO DE R.]]="R",COUNTIFS($D$4:$D692,"R")+1,"")</f>
        <v/>
      </c>
      <c r="C693" s="19" t="str">
        <f t="shared" si="83"/>
        <v>B-Banco de la Nacion</v>
      </c>
      <c r="D693" s="3"/>
      <c r="E693" s="196"/>
      <c r="F693" s="197"/>
      <c r="G693" s="5"/>
      <c r="H693" s="6"/>
      <c r="I693" s="6"/>
      <c r="J693" s="6"/>
      <c r="K693" s="6"/>
      <c r="L693" s="198"/>
      <c r="M693" s="199"/>
      <c r="N693" s="199" t="str">
        <f t="shared" si="84"/>
        <v>PEN</v>
      </c>
      <c r="O693" s="13"/>
      <c r="P693" s="200"/>
      <c r="Q693" s="201">
        <f t="shared" si="85"/>
        <v>0</v>
      </c>
      <c r="R693" s="201">
        <f t="shared" si="86"/>
        <v>0</v>
      </c>
      <c r="S693" s="201">
        <f t="shared" si="87"/>
        <v>38247.220000000008</v>
      </c>
      <c r="T693" s="202"/>
      <c r="U693" s="202"/>
      <c r="V693" s="201"/>
      <c r="W693" s="19" t="str">
        <f>IFERROR(VLOOKUP(Banco_Nacion[[#This Row],[RESPONSABLE]],Clientes_Proveedores[[Ruc / Dni]:[Razon Social]],2,0),"")</f>
        <v/>
      </c>
      <c r="X69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9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93" s="3"/>
      <c r="AA693" s="3"/>
      <c r="AB693" s="24">
        <f>IF(Banco_Nacion[[#This Row],[FECHA]]&gt;0,TEXT(Banco_Nacion[[#This Row],[FECHA]],"mmmm"),0)</f>
        <v>0</v>
      </c>
    </row>
    <row r="694" spans="2:28" x14ac:dyDescent="0.3">
      <c r="B694" s="195" t="str">
        <f>IF(Banco_Nacion[[#This Row],[TIPO DE R.]]="R",COUNTIFS($D$4:$D693,"R")+1,"")</f>
        <v/>
      </c>
      <c r="C694" s="19" t="str">
        <f t="shared" si="83"/>
        <v>B-Banco de la Nacion</v>
      </c>
      <c r="D694" s="3"/>
      <c r="E694" s="196"/>
      <c r="F694" s="197"/>
      <c r="G694" s="5"/>
      <c r="H694" s="6"/>
      <c r="I694" s="6"/>
      <c r="J694" s="6"/>
      <c r="K694" s="6"/>
      <c r="L694" s="198"/>
      <c r="M694" s="199"/>
      <c r="N694" s="199" t="str">
        <f t="shared" si="84"/>
        <v>PEN</v>
      </c>
      <c r="O694" s="13"/>
      <c r="P694" s="200"/>
      <c r="Q694" s="201">
        <f t="shared" si="85"/>
        <v>0</v>
      </c>
      <c r="R694" s="201">
        <f t="shared" si="86"/>
        <v>0</v>
      </c>
      <c r="S694" s="201">
        <f t="shared" si="87"/>
        <v>38247.220000000008</v>
      </c>
      <c r="T694" s="202"/>
      <c r="U694" s="202"/>
      <c r="V694" s="201"/>
      <c r="W694" s="19" t="str">
        <f>IFERROR(VLOOKUP(Banco_Nacion[[#This Row],[RESPONSABLE]],Clientes_Proveedores[[Ruc / Dni]:[Razon Social]],2,0),"")</f>
        <v/>
      </c>
      <c r="X69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9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94" s="3"/>
      <c r="AA694" s="3"/>
      <c r="AB694" s="24">
        <f>IF(Banco_Nacion[[#This Row],[FECHA]]&gt;0,TEXT(Banco_Nacion[[#This Row],[FECHA]],"mmmm"),0)</f>
        <v>0</v>
      </c>
    </row>
    <row r="695" spans="2:28" x14ac:dyDescent="0.3">
      <c r="B695" s="195" t="str">
        <f>IF(Banco_Nacion[[#This Row],[TIPO DE R.]]="R",COUNTIFS($D$4:$D694,"R")+1,"")</f>
        <v/>
      </c>
      <c r="C695" s="19" t="str">
        <f t="shared" si="83"/>
        <v>B-Banco de la Nacion</v>
      </c>
      <c r="D695" s="3"/>
      <c r="E695" s="196"/>
      <c r="F695" s="197"/>
      <c r="G695" s="5"/>
      <c r="H695" s="6"/>
      <c r="I695" s="6"/>
      <c r="J695" s="6"/>
      <c r="K695" s="6"/>
      <c r="L695" s="198"/>
      <c r="M695" s="199"/>
      <c r="N695" s="199" t="str">
        <f t="shared" si="84"/>
        <v>PEN</v>
      </c>
      <c r="O695" s="13"/>
      <c r="P695" s="200"/>
      <c r="Q695" s="201">
        <f t="shared" si="85"/>
        <v>0</v>
      </c>
      <c r="R695" s="201">
        <f t="shared" si="86"/>
        <v>0</v>
      </c>
      <c r="S695" s="201">
        <f t="shared" si="87"/>
        <v>38247.220000000008</v>
      </c>
      <c r="T695" s="202"/>
      <c r="U695" s="202"/>
      <c r="V695" s="201"/>
      <c r="W695" s="19" t="str">
        <f>IFERROR(VLOOKUP(Banco_Nacion[[#This Row],[RESPONSABLE]],Clientes_Proveedores[[Ruc / Dni]:[Razon Social]],2,0),"")</f>
        <v/>
      </c>
      <c r="X69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9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95" s="3"/>
      <c r="AA695" s="3"/>
      <c r="AB695" s="24">
        <f>IF(Banco_Nacion[[#This Row],[FECHA]]&gt;0,TEXT(Banco_Nacion[[#This Row],[FECHA]],"mmmm"),0)</f>
        <v>0</v>
      </c>
    </row>
    <row r="696" spans="2:28" x14ac:dyDescent="0.3">
      <c r="B696" s="195" t="str">
        <f>IF(Banco_Nacion[[#This Row],[TIPO DE R.]]="R",COUNTIFS($D$4:$D695,"R")+1,"")</f>
        <v/>
      </c>
      <c r="C696" s="19" t="str">
        <f t="shared" si="83"/>
        <v>B-Banco de la Nacion</v>
      </c>
      <c r="D696" s="3"/>
      <c r="E696" s="196"/>
      <c r="F696" s="197"/>
      <c r="G696" s="5"/>
      <c r="H696" s="6"/>
      <c r="I696" s="6"/>
      <c r="J696" s="6"/>
      <c r="K696" s="6"/>
      <c r="L696" s="198"/>
      <c r="M696" s="199"/>
      <c r="N696" s="199" t="str">
        <f t="shared" si="84"/>
        <v>PEN</v>
      </c>
      <c r="O696" s="13"/>
      <c r="P696" s="200"/>
      <c r="Q696" s="201">
        <f t="shared" si="85"/>
        <v>0</v>
      </c>
      <c r="R696" s="201">
        <f t="shared" si="86"/>
        <v>0</v>
      </c>
      <c r="S696" s="201">
        <f t="shared" si="87"/>
        <v>38247.220000000008</v>
      </c>
      <c r="T696" s="202"/>
      <c r="U696" s="202"/>
      <c r="V696" s="201"/>
      <c r="W696" s="19" t="str">
        <f>IFERROR(VLOOKUP(Banco_Nacion[[#This Row],[RESPONSABLE]],Clientes_Proveedores[[Ruc / Dni]:[Razon Social]],2,0),"")</f>
        <v/>
      </c>
      <c r="X69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9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96" s="3"/>
      <c r="AA696" s="3"/>
      <c r="AB696" s="24">
        <f>IF(Banco_Nacion[[#This Row],[FECHA]]&gt;0,TEXT(Banco_Nacion[[#This Row],[FECHA]],"mmmm"),0)</f>
        <v>0</v>
      </c>
    </row>
    <row r="697" spans="2:28" x14ac:dyDescent="0.3">
      <c r="B697" s="195" t="str">
        <f>IF(Banco_Nacion[[#This Row],[TIPO DE R.]]="R",COUNTIFS($D$4:$D696,"R")+1,"")</f>
        <v/>
      </c>
      <c r="C697" s="19" t="str">
        <f t="shared" si="83"/>
        <v>B-Banco de la Nacion</v>
      </c>
      <c r="D697" s="3"/>
      <c r="E697" s="196"/>
      <c r="F697" s="197"/>
      <c r="G697" s="5"/>
      <c r="H697" s="6"/>
      <c r="I697" s="6"/>
      <c r="J697" s="6"/>
      <c r="K697" s="6"/>
      <c r="L697" s="198"/>
      <c r="M697" s="199"/>
      <c r="N697" s="199" t="str">
        <f t="shared" si="84"/>
        <v>PEN</v>
      </c>
      <c r="O697" s="13"/>
      <c r="P697" s="200"/>
      <c r="Q697" s="201">
        <f t="shared" si="85"/>
        <v>0</v>
      </c>
      <c r="R697" s="201">
        <f t="shared" si="86"/>
        <v>0</v>
      </c>
      <c r="S697" s="201">
        <f t="shared" si="87"/>
        <v>38247.220000000008</v>
      </c>
      <c r="T697" s="202"/>
      <c r="U697" s="202"/>
      <c r="V697" s="201"/>
      <c r="W697" s="19" t="str">
        <f>IFERROR(VLOOKUP(Banco_Nacion[[#This Row],[RESPONSABLE]],Clientes_Proveedores[[Ruc / Dni]:[Razon Social]],2,0),"")</f>
        <v/>
      </c>
      <c r="X69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9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97" s="3"/>
      <c r="AA697" s="3"/>
      <c r="AB697" s="24">
        <f>IF(Banco_Nacion[[#This Row],[FECHA]]&gt;0,TEXT(Banco_Nacion[[#This Row],[FECHA]],"mmmm"),0)</f>
        <v>0</v>
      </c>
    </row>
    <row r="698" spans="2:28" x14ac:dyDescent="0.3">
      <c r="B698" s="195" t="str">
        <f>IF(Banco_Nacion[[#This Row],[TIPO DE R.]]="R",COUNTIFS($D$4:$D697,"R")+1,"")</f>
        <v/>
      </c>
      <c r="C698" s="19" t="str">
        <f t="shared" si="83"/>
        <v>B-Banco de la Nacion</v>
      </c>
      <c r="D698" s="3"/>
      <c r="E698" s="196"/>
      <c r="F698" s="197"/>
      <c r="G698" s="5"/>
      <c r="H698" s="6"/>
      <c r="I698" s="6"/>
      <c r="J698" s="6"/>
      <c r="K698" s="6"/>
      <c r="L698" s="198"/>
      <c r="M698" s="199"/>
      <c r="N698" s="199" t="str">
        <f t="shared" si="84"/>
        <v>PEN</v>
      </c>
      <c r="O698" s="13"/>
      <c r="P698" s="200"/>
      <c r="Q698" s="201">
        <f t="shared" si="85"/>
        <v>0</v>
      </c>
      <c r="R698" s="201">
        <f t="shared" si="86"/>
        <v>0</v>
      </c>
      <c r="S698" s="201">
        <f t="shared" si="87"/>
        <v>38247.220000000008</v>
      </c>
      <c r="T698" s="202"/>
      <c r="U698" s="202"/>
      <c r="V698" s="201"/>
      <c r="W698" s="19" t="str">
        <f>IFERROR(VLOOKUP(Banco_Nacion[[#This Row],[RESPONSABLE]],Clientes_Proveedores[[Ruc / Dni]:[Razon Social]],2,0),"")</f>
        <v/>
      </c>
      <c r="X69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9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98" s="3"/>
      <c r="AA698" s="3"/>
      <c r="AB698" s="24">
        <f>IF(Banco_Nacion[[#This Row],[FECHA]]&gt;0,TEXT(Banco_Nacion[[#This Row],[FECHA]],"mmmm"),0)</f>
        <v>0</v>
      </c>
    </row>
    <row r="699" spans="2:28" x14ac:dyDescent="0.3">
      <c r="B699" s="195" t="str">
        <f>IF(Banco_Nacion[[#This Row],[TIPO DE R.]]="R",COUNTIFS($D$4:$D698,"R")+1,"")</f>
        <v/>
      </c>
      <c r="C699" s="19" t="str">
        <f t="shared" si="83"/>
        <v>B-Banco de la Nacion</v>
      </c>
      <c r="D699" s="3"/>
      <c r="E699" s="196"/>
      <c r="F699" s="197"/>
      <c r="G699" s="5"/>
      <c r="H699" s="6"/>
      <c r="I699" s="6"/>
      <c r="J699" s="6"/>
      <c r="K699" s="6"/>
      <c r="L699" s="198"/>
      <c r="M699" s="199"/>
      <c r="N699" s="199" t="str">
        <f t="shared" si="84"/>
        <v>PEN</v>
      </c>
      <c r="O699" s="13"/>
      <c r="P699" s="200"/>
      <c r="Q699" s="201">
        <f t="shared" si="85"/>
        <v>0</v>
      </c>
      <c r="R699" s="201">
        <f t="shared" si="86"/>
        <v>0</v>
      </c>
      <c r="S699" s="201">
        <f t="shared" si="87"/>
        <v>38247.220000000008</v>
      </c>
      <c r="T699" s="202"/>
      <c r="U699" s="202"/>
      <c r="V699" s="201"/>
      <c r="W699" s="19" t="str">
        <f>IFERROR(VLOOKUP(Banco_Nacion[[#This Row],[RESPONSABLE]],Clientes_Proveedores[[Ruc / Dni]:[Razon Social]],2,0),"")</f>
        <v/>
      </c>
      <c r="X69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69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699" s="3"/>
      <c r="AA699" s="3"/>
      <c r="AB699" s="24">
        <f>IF(Banco_Nacion[[#This Row],[FECHA]]&gt;0,TEXT(Banco_Nacion[[#This Row],[FECHA]],"mmmm"),0)</f>
        <v>0</v>
      </c>
    </row>
    <row r="700" spans="2:28" x14ac:dyDescent="0.3">
      <c r="B700" s="195" t="str">
        <f>IF(Banco_Nacion[[#This Row],[TIPO DE R.]]="R",COUNTIFS($D$4:$D699,"R")+1,"")</f>
        <v/>
      </c>
      <c r="C700" s="19" t="str">
        <f t="shared" si="83"/>
        <v>B-Banco de la Nacion</v>
      </c>
      <c r="D700" s="3"/>
      <c r="E700" s="196"/>
      <c r="F700" s="197"/>
      <c r="G700" s="5"/>
      <c r="H700" s="6"/>
      <c r="I700" s="6"/>
      <c r="J700" s="6"/>
      <c r="K700" s="6"/>
      <c r="L700" s="198"/>
      <c r="M700" s="199"/>
      <c r="N700" s="199" t="str">
        <f t="shared" si="84"/>
        <v>PEN</v>
      </c>
      <c r="O700" s="13"/>
      <c r="P700" s="200"/>
      <c r="Q700" s="201">
        <f t="shared" si="85"/>
        <v>0</v>
      </c>
      <c r="R700" s="201">
        <f t="shared" si="86"/>
        <v>0</v>
      </c>
      <c r="S700" s="201">
        <f t="shared" si="87"/>
        <v>38247.220000000008</v>
      </c>
      <c r="T700" s="202"/>
      <c r="U700" s="202"/>
      <c r="V700" s="201"/>
      <c r="W700" s="19" t="str">
        <f>IFERROR(VLOOKUP(Banco_Nacion[[#This Row],[RESPONSABLE]],Clientes_Proveedores[[Ruc / Dni]:[Razon Social]],2,0),"")</f>
        <v/>
      </c>
      <c r="X70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0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00" s="3"/>
      <c r="AA700" s="3"/>
      <c r="AB700" s="24">
        <f>IF(Banco_Nacion[[#This Row],[FECHA]]&gt;0,TEXT(Banco_Nacion[[#This Row],[FECHA]],"mmmm"),0)</f>
        <v>0</v>
      </c>
    </row>
    <row r="701" spans="2:28" x14ac:dyDescent="0.3">
      <c r="B701" s="195" t="str">
        <f>IF(Banco_Nacion[[#This Row],[TIPO DE R.]]="R",COUNTIFS($D$4:$D700,"R")+1,"")</f>
        <v/>
      </c>
      <c r="C701" s="19" t="str">
        <f t="shared" si="83"/>
        <v>B-Banco de la Nacion</v>
      </c>
      <c r="D701" s="3"/>
      <c r="E701" s="196"/>
      <c r="F701" s="197"/>
      <c r="G701" s="5"/>
      <c r="H701" s="6"/>
      <c r="I701" s="6"/>
      <c r="J701" s="6"/>
      <c r="K701" s="6"/>
      <c r="L701" s="198"/>
      <c r="M701" s="199"/>
      <c r="N701" s="199" t="str">
        <f t="shared" si="84"/>
        <v>PEN</v>
      </c>
      <c r="O701" s="13"/>
      <c r="P701" s="200"/>
      <c r="Q701" s="201">
        <f t="shared" si="85"/>
        <v>0</v>
      </c>
      <c r="R701" s="201">
        <f t="shared" si="86"/>
        <v>0</v>
      </c>
      <c r="S701" s="201">
        <f t="shared" si="87"/>
        <v>38247.220000000008</v>
      </c>
      <c r="T701" s="202"/>
      <c r="U701" s="202"/>
      <c r="V701" s="201"/>
      <c r="W701" s="19" t="str">
        <f>IFERROR(VLOOKUP(Banco_Nacion[[#This Row],[RESPONSABLE]],Clientes_Proveedores[[Ruc / Dni]:[Razon Social]],2,0),"")</f>
        <v/>
      </c>
      <c r="X70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0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01" s="3"/>
      <c r="AA701" s="3"/>
      <c r="AB701" s="24">
        <f>IF(Banco_Nacion[[#This Row],[FECHA]]&gt;0,TEXT(Banco_Nacion[[#This Row],[FECHA]],"mmmm"),0)</f>
        <v>0</v>
      </c>
    </row>
    <row r="702" spans="2:28" x14ac:dyDescent="0.3">
      <c r="B702" s="195" t="str">
        <f>IF(Banco_Nacion[[#This Row],[TIPO DE R.]]="R",COUNTIFS($D$4:$D701,"R")+1,"")</f>
        <v/>
      </c>
      <c r="C702" s="19" t="str">
        <f t="shared" si="83"/>
        <v>B-Banco de la Nacion</v>
      </c>
      <c r="D702" s="3"/>
      <c r="E702" s="196"/>
      <c r="F702" s="197"/>
      <c r="G702" s="5"/>
      <c r="H702" s="6"/>
      <c r="I702" s="6"/>
      <c r="J702" s="6"/>
      <c r="K702" s="6"/>
      <c r="L702" s="198"/>
      <c r="M702" s="199"/>
      <c r="N702" s="199" t="str">
        <f t="shared" si="84"/>
        <v>PEN</v>
      </c>
      <c r="O702" s="13"/>
      <c r="P702" s="200"/>
      <c r="Q702" s="201">
        <f t="shared" si="85"/>
        <v>0</v>
      </c>
      <c r="R702" s="201">
        <f t="shared" si="86"/>
        <v>0</v>
      </c>
      <c r="S702" s="201">
        <f t="shared" si="87"/>
        <v>38247.220000000008</v>
      </c>
      <c r="T702" s="202"/>
      <c r="U702" s="202"/>
      <c r="V702" s="201"/>
      <c r="W702" s="19" t="str">
        <f>IFERROR(VLOOKUP(Banco_Nacion[[#This Row],[RESPONSABLE]],Clientes_Proveedores[[Ruc / Dni]:[Razon Social]],2,0),"")</f>
        <v/>
      </c>
      <c r="X70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0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02" s="3"/>
      <c r="AA702" s="3"/>
      <c r="AB702" s="24">
        <f>IF(Banco_Nacion[[#This Row],[FECHA]]&gt;0,TEXT(Banco_Nacion[[#This Row],[FECHA]],"mmmm"),0)</f>
        <v>0</v>
      </c>
    </row>
    <row r="703" spans="2:28" x14ac:dyDescent="0.3">
      <c r="B703" s="195" t="str">
        <f>IF(Banco_Nacion[[#This Row],[TIPO DE R.]]="R",COUNTIFS($D$4:$D702,"R")+1,"")</f>
        <v/>
      </c>
      <c r="C703" s="19" t="str">
        <f t="shared" si="83"/>
        <v>B-Banco de la Nacion</v>
      </c>
      <c r="D703" s="3"/>
      <c r="E703" s="196"/>
      <c r="F703" s="197"/>
      <c r="G703" s="5"/>
      <c r="H703" s="6"/>
      <c r="I703" s="6"/>
      <c r="J703" s="6"/>
      <c r="K703" s="6"/>
      <c r="L703" s="198"/>
      <c r="M703" s="199"/>
      <c r="N703" s="199" t="str">
        <f t="shared" si="84"/>
        <v>PEN</v>
      </c>
      <c r="O703" s="13"/>
      <c r="P703" s="200"/>
      <c r="Q703" s="201">
        <f t="shared" si="85"/>
        <v>0</v>
      </c>
      <c r="R703" s="201">
        <f t="shared" si="86"/>
        <v>0</v>
      </c>
      <c r="S703" s="201">
        <f t="shared" si="87"/>
        <v>38247.220000000008</v>
      </c>
      <c r="T703" s="202"/>
      <c r="U703" s="202"/>
      <c r="V703" s="201"/>
      <c r="W703" s="19" t="str">
        <f>IFERROR(VLOOKUP(Banco_Nacion[[#This Row],[RESPONSABLE]],Clientes_Proveedores[[Ruc / Dni]:[Razon Social]],2,0),"")</f>
        <v/>
      </c>
      <c r="X70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0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03" s="3"/>
      <c r="AA703" s="3"/>
      <c r="AB703" s="24">
        <f>IF(Banco_Nacion[[#This Row],[FECHA]]&gt;0,TEXT(Banco_Nacion[[#This Row],[FECHA]],"mmmm"),0)</f>
        <v>0</v>
      </c>
    </row>
    <row r="704" spans="2:28" x14ac:dyDescent="0.3">
      <c r="B704" s="195" t="str">
        <f>IF(Banco_Nacion[[#This Row],[TIPO DE R.]]="R",COUNTIFS($D$4:$D703,"R")+1,"")</f>
        <v/>
      </c>
      <c r="C704" s="19" t="str">
        <f t="shared" si="83"/>
        <v>B-Banco de la Nacion</v>
      </c>
      <c r="D704" s="3"/>
      <c r="E704" s="196"/>
      <c r="F704" s="197"/>
      <c r="G704" s="5"/>
      <c r="H704" s="6"/>
      <c r="I704" s="6"/>
      <c r="J704" s="6"/>
      <c r="K704" s="6"/>
      <c r="L704" s="198"/>
      <c r="M704" s="199"/>
      <c r="N704" s="199" t="str">
        <f t="shared" si="84"/>
        <v>PEN</v>
      </c>
      <c r="O704" s="13"/>
      <c r="P704" s="200"/>
      <c r="Q704" s="201">
        <f t="shared" si="85"/>
        <v>0</v>
      </c>
      <c r="R704" s="201">
        <f t="shared" si="86"/>
        <v>0</v>
      </c>
      <c r="S704" s="201">
        <f t="shared" si="87"/>
        <v>38247.220000000008</v>
      </c>
      <c r="T704" s="202"/>
      <c r="U704" s="202"/>
      <c r="V704" s="201"/>
      <c r="W704" s="19" t="str">
        <f>IFERROR(VLOOKUP(Banco_Nacion[[#This Row],[RESPONSABLE]],Clientes_Proveedores[[Ruc / Dni]:[Razon Social]],2,0),"")</f>
        <v/>
      </c>
      <c r="X70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0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04" s="3"/>
      <c r="AA704" s="3"/>
      <c r="AB704" s="24">
        <f>IF(Banco_Nacion[[#This Row],[FECHA]]&gt;0,TEXT(Banco_Nacion[[#This Row],[FECHA]],"mmmm"),0)</f>
        <v>0</v>
      </c>
    </row>
    <row r="705" spans="2:28" x14ac:dyDescent="0.3">
      <c r="B705" s="195" t="str">
        <f>IF(Banco_Nacion[[#This Row],[TIPO DE R.]]="R",COUNTIFS($D$4:$D704,"R")+1,"")</f>
        <v/>
      </c>
      <c r="C705" s="19" t="str">
        <f t="shared" si="83"/>
        <v>B-Banco de la Nacion</v>
      </c>
      <c r="D705" s="3"/>
      <c r="E705" s="196"/>
      <c r="F705" s="197"/>
      <c r="G705" s="5"/>
      <c r="H705" s="6"/>
      <c r="I705" s="6"/>
      <c r="J705" s="6"/>
      <c r="K705" s="6"/>
      <c r="L705" s="198"/>
      <c r="M705" s="199"/>
      <c r="N705" s="199" t="str">
        <f t="shared" si="84"/>
        <v>PEN</v>
      </c>
      <c r="O705" s="13"/>
      <c r="P705" s="200"/>
      <c r="Q705" s="201">
        <f t="shared" si="85"/>
        <v>0</v>
      </c>
      <c r="R705" s="201">
        <f t="shared" si="86"/>
        <v>0</v>
      </c>
      <c r="S705" s="201">
        <f t="shared" si="87"/>
        <v>38247.220000000008</v>
      </c>
      <c r="T705" s="202"/>
      <c r="U705" s="202"/>
      <c r="V705" s="201"/>
      <c r="W705" s="19" t="str">
        <f>IFERROR(VLOOKUP(Banco_Nacion[[#This Row],[RESPONSABLE]],Clientes_Proveedores[[Ruc / Dni]:[Razon Social]],2,0),"")</f>
        <v/>
      </c>
      <c r="X70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0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05" s="3"/>
      <c r="AA705" s="3"/>
      <c r="AB705" s="24">
        <f>IF(Banco_Nacion[[#This Row],[FECHA]]&gt;0,TEXT(Banco_Nacion[[#This Row],[FECHA]],"mmmm"),0)</f>
        <v>0</v>
      </c>
    </row>
    <row r="706" spans="2:28" x14ac:dyDescent="0.3">
      <c r="B706" s="195" t="str">
        <f>IF(Banco_Nacion[[#This Row],[TIPO DE R.]]="R",COUNTIFS($D$4:$D705,"R")+1,"")</f>
        <v/>
      </c>
      <c r="C706" s="19" t="str">
        <f t="shared" si="83"/>
        <v>B-Banco de la Nacion</v>
      </c>
      <c r="D706" s="3"/>
      <c r="E706" s="196"/>
      <c r="F706" s="197"/>
      <c r="G706" s="5"/>
      <c r="H706" s="6"/>
      <c r="I706" s="6"/>
      <c r="J706" s="6"/>
      <c r="K706" s="6"/>
      <c r="L706" s="198"/>
      <c r="M706" s="199"/>
      <c r="N706" s="199" t="str">
        <f t="shared" si="84"/>
        <v>PEN</v>
      </c>
      <c r="O706" s="13"/>
      <c r="P706" s="200"/>
      <c r="Q706" s="201">
        <f t="shared" si="85"/>
        <v>0</v>
      </c>
      <c r="R706" s="201">
        <f t="shared" si="86"/>
        <v>0</v>
      </c>
      <c r="S706" s="201">
        <f t="shared" si="87"/>
        <v>38247.220000000008</v>
      </c>
      <c r="T706" s="202"/>
      <c r="U706" s="202"/>
      <c r="V706" s="201"/>
      <c r="W706" s="19" t="str">
        <f>IFERROR(VLOOKUP(Banco_Nacion[[#This Row],[RESPONSABLE]],Clientes_Proveedores[[Ruc / Dni]:[Razon Social]],2,0),"")</f>
        <v/>
      </c>
      <c r="X70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0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06" s="3"/>
      <c r="AA706" s="3"/>
      <c r="AB706" s="24">
        <f>IF(Banco_Nacion[[#This Row],[FECHA]]&gt;0,TEXT(Banco_Nacion[[#This Row],[FECHA]],"mmmm"),0)</f>
        <v>0</v>
      </c>
    </row>
    <row r="707" spans="2:28" x14ac:dyDescent="0.3">
      <c r="B707" s="195" t="str">
        <f>IF(Banco_Nacion[[#This Row],[TIPO DE R.]]="R",COUNTIFS($D$4:$D706,"R")+1,"")</f>
        <v/>
      </c>
      <c r="C707" s="19" t="str">
        <f t="shared" si="83"/>
        <v>B-Banco de la Nacion</v>
      </c>
      <c r="D707" s="3"/>
      <c r="E707" s="196"/>
      <c r="F707" s="197"/>
      <c r="G707" s="5"/>
      <c r="H707" s="6"/>
      <c r="I707" s="6"/>
      <c r="J707" s="6"/>
      <c r="K707" s="6"/>
      <c r="L707" s="198"/>
      <c r="M707" s="199"/>
      <c r="N707" s="199" t="str">
        <f t="shared" si="84"/>
        <v>PEN</v>
      </c>
      <c r="O707" s="13"/>
      <c r="P707" s="200"/>
      <c r="Q707" s="201">
        <f t="shared" si="85"/>
        <v>0</v>
      </c>
      <c r="R707" s="201">
        <f t="shared" si="86"/>
        <v>0</v>
      </c>
      <c r="S707" s="201">
        <f t="shared" si="87"/>
        <v>38247.220000000008</v>
      </c>
      <c r="T707" s="202"/>
      <c r="U707" s="202"/>
      <c r="V707" s="201"/>
      <c r="W707" s="19" t="str">
        <f>IFERROR(VLOOKUP(Banco_Nacion[[#This Row],[RESPONSABLE]],Clientes_Proveedores[[Ruc / Dni]:[Razon Social]],2,0),"")</f>
        <v/>
      </c>
      <c r="X70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0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07" s="3"/>
      <c r="AA707" s="3"/>
      <c r="AB707" s="24">
        <f>IF(Banco_Nacion[[#This Row],[FECHA]]&gt;0,TEXT(Banco_Nacion[[#This Row],[FECHA]],"mmmm"),0)</f>
        <v>0</v>
      </c>
    </row>
    <row r="708" spans="2:28" x14ac:dyDescent="0.3">
      <c r="B708" s="195" t="str">
        <f>IF(Banco_Nacion[[#This Row],[TIPO DE R.]]="R",COUNTIFS($D$4:$D707,"R")+1,"")</f>
        <v/>
      </c>
      <c r="C708" s="19" t="str">
        <f t="shared" si="83"/>
        <v>B-Banco de la Nacion</v>
      </c>
      <c r="D708" s="3"/>
      <c r="E708" s="196"/>
      <c r="F708" s="197"/>
      <c r="G708" s="5"/>
      <c r="H708" s="6"/>
      <c r="I708" s="6"/>
      <c r="J708" s="6"/>
      <c r="K708" s="6"/>
      <c r="L708" s="198"/>
      <c r="M708" s="199"/>
      <c r="N708" s="199" t="str">
        <f t="shared" si="84"/>
        <v>PEN</v>
      </c>
      <c r="O708" s="13"/>
      <c r="P708" s="200"/>
      <c r="Q708" s="201">
        <f t="shared" si="85"/>
        <v>0</v>
      </c>
      <c r="R708" s="201">
        <f t="shared" si="86"/>
        <v>0</v>
      </c>
      <c r="S708" s="201">
        <f t="shared" si="87"/>
        <v>38247.220000000008</v>
      </c>
      <c r="T708" s="202"/>
      <c r="U708" s="202"/>
      <c r="V708" s="201"/>
      <c r="W708" s="19" t="str">
        <f>IFERROR(VLOOKUP(Banco_Nacion[[#This Row],[RESPONSABLE]],Clientes_Proveedores[[Ruc / Dni]:[Razon Social]],2,0),"")</f>
        <v/>
      </c>
      <c r="X70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0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08" s="3"/>
      <c r="AA708" s="3"/>
      <c r="AB708" s="24">
        <f>IF(Banco_Nacion[[#This Row],[FECHA]]&gt;0,TEXT(Banco_Nacion[[#This Row],[FECHA]],"mmmm"),0)</f>
        <v>0</v>
      </c>
    </row>
    <row r="709" spans="2:28" x14ac:dyDescent="0.3">
      <c r="B709" s="195" t="str">
        <f>IF(Banco_Nacion[[#This Row],[TIPO DE R.]]="R",COUNTIFS($D$4:$D708,"R")+1,"")</f>
        <v/>
      </c>
      <c r="C709" s="19" t="str">
        <f t="shared" si="83"/>
        <v>B-Banco de la Nacion</v>
      </c>
      <c r="D709" s="3"/>
      <c r="E709" s="196"/>
      <c r="F709" s="197"/>
      <c r="G709" s="5"/>
      <c r="H709" s="6"/>
      <c r="I709" s="6"/>
      <c r="J709" s="6"/>
      <c r="K709" s="6"/>
      <c r="L709" s="198"/>
      <c r="M709" s="199"/>
      <c r="N709" s="199" t="str">
        <f t="shared" si="84"/>
        <v>PEN</v>
      </c>
      <c r="O709" s="13"/>
      <c r="P709" s="200"/>
      <c r="Q709" s="201">
        <f t="shared" si="85"/>
        <v>0</v>
      </c>
      <c r="R709" s="201">
        <f t="shared" si="86"/>
        <v>0</v>
      </c>
      <c r="S709" s="201">
        <f t="shared" si="87"/>
        <v>38247.220000000008</v>
      </c>
      <c r="T709" s="202"/>
      <c r="U709" s="202"/>
      <c r="V709" s="201"/>
      <c r="W709" s="19" t="str">
        <f>IFERROR(VLOOKUP(Banco_Nacion[[#This Row],[RESPONSABLE]],Clientes_Proveedores[[Ruc / Dni]:[Razon Social]],2,0),"")</f>
        <v/>
      </c>
      <c r="X70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0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09" s="3"/>
      <c r="AA709" s="3"/>
      <c r="AB709" s="24">
        <f>IF(Banco_Nacion[[#This Row],[FECHA]]&gt;0,TEXT(Banco_Nacion[[#This Row],[FECHA]],"mmmm"),0)</f>
        <v>0</v>
      </c>
    </row>
    <row r="710" spans="2:28" x14ac:dyDescent="0.3">
      <c r="B710" s="195" t="str">
        <f>IF(Banco_Nacion[[#This Row],[TIPO DE R.]]="R",COUNTIFS($D$4:$D709,"R")+1,"")</f>
        <v/>
      </c>
      <c r="C710" s="19" t="str">
        <f t="shared" si="83"/>
        <v>B-Banco de la Nacion</v>
      </c>
      <c r="D710" s="3"/>
      <c r="E710" s="196"/>
      <c r="F710" s="197"/>
      <c r="G710" s="5"/>
      <c r="H710" s="6"/>
      <c r="I710" s="6"/>
      <c r="J710" s="6"/>
      <c r="K710" s="6"/>
      <c r="L710" s="198"/>
      <c r="M710" s="199"/>
      <c r="N710" s="199" t="str">
        <f t="shared" si="84"/>
        <v>PEN</v>
      </c>
      <c r="O710" s="13"/>
      <c r="P710" s="200"/>
      <c r="Q710" s="201">
        <f t="shared" si="85"/>
        <v>0</v>
      </c>
      <c r="R710" s="201">
        <f t="shared" si="86"/>
        <v>0</v>
      </c>
      <c r="S710" s="201">
        <f t="shared" si="87"/>
        <v>38247.220000000008</v>
      </c>
      <c r="T710" s="202"/>
      <c r="U710" s="202"/>
      <c r="V710" s="201"/>
      <c r="W710" s="19" t="str">
        <f>IFERROR(VLOOKUP(Banco_Nacion[[#This Row],[RESPONSABLE]],Clientes_Proveedores[[Ruc / Dni]:[Razon Social]],2,0),"")</f>
        <v/>
      </c>
      <c r="X71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1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10" s="3"/>
      <c r="AA710" s="3"/>
      <c r="AB710" s="24">
        <f>IF(Banco_Nacion[[#This Row],[FECHA]]&gt;0,TEXT(Banco_Nacion[[#This Row],[FECHA]],"mmmm"),0)</f>
        <v>0</v>
      </c>
    </row>
    <row r="711" spans="2:28" x14ac:dyDescent="0.3">
      <c r="B711" s="195" t="str">
        <f>IF(Banco_Nacion[[#This Row],[TIPO DE R.]]="R",COUNTIFS($D$4:$D710,"R")+1,"")</f>
        <v/>
      </c>
      <c r="C711" s="19" t="str">
        <f t="shared" si="83"/>
        <v>B-Banco de la Nacion</v>
      </c>
      <c r="D711" s="3"/>
      <c r="E711" s="196"/>
      <c r="F711" s="197"/>
      <c r="G711" s="5"/>
      <c r="H711" s="6"/>
      <c r="I711" s="6"/>
      <c r="J711" s="6"/>
      <c r="K711" s="6"/>
      <c r="L711" s="198"/>
      <c r="M711" s="199"/>
      <c r="N711" s="199" t="str">
        <f t="shared" si="84"/>
        <v>PEN</v>
      </c>
      <c r="O711" s="13"/>
      <c r="P711" s="200"/>
      <c r="Q711" s="201">
        <f t="shared" si="85"/>
        <v>0</v>
      </c>
      <c r="R711" s="201">
        <f t="shared" si="86"/>
        <v>0</v>
      </c>
      <c r="S711" s="201">
        <f t="shared" si="87"/>
        <v>38247.220000000008</v>
      </c>
      <c r="T711" s="202"/>
      <c r="U711" s="202"/>
      <c r="V711" s="201"/>
      <c r="W711" s="19" t="str">
        <f>IFERROR(VLOOKUP(Banco_Nacion[[#This Row],[RESPONSABLE]],Clientes_Proveedores[[Ruc / Dni]:[Razon Social]],2,0),"")</f>
        <v/>
      </c>
      <c r="X71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1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11" s="3"/>
      <c r="AA711" s="3"/>
      <c r="AB711" s="24">
        <f>IF(Banco_Nacion[[#This Row],[FECHA]]&gt;0,TEXT(Banco_Nacion[[#This Row],[FECHA]],"mmmm"),0)</f>
        <v>0</v>
      </c>
    </row>
    <row r="712" spans="2:28" x14ac:dyDescent="0.3">
      <c r="B712" s="195" t="str">
        <f>IF(Banco_Nacion[[#This Row],[TIPO DE R.]]="R",COUNTIFS($D$4:$D711,"R")+1,"")</f>
        <v/>
      </c>
      <c r="C712" s="19" t="str">
        <f t="shared" si="83"/>
        <v>B-Banco de la Nacion</v>
      </c>
      <c r="D712" s="3"/>
      <c r="E712" s="196"/>
      <c r="F712" s="197"/>
      <c r="G712" s="5"/>
      <c r="H712" s="6"/>
      <c r="I712" s="6"/>
      <c r="J712" s="6"/>
      <c r="K712" s="6"/>
      <c r="L712" s="198"/>
      <c r="M712" s="199"/>
      <c r="N712" s="199" t="str">
        <f t="shared" si="84"/>
        <v>PEN</v>
      </c>
      <c r="O712" s="13"/>
      <c r="P712" s="200"/>
      <c r="Q712" s="201">
        <f t="shared" si="85"/>
        <v>0</v>
      </c>
      <c r="R712" s="201">
        <f t="shared" si="86"/>
        <v>0</v>
      </c>
      <c r="S712" s="201">
        <f t="shared" si="87"/>
        <v>38247.220000000008</v>
      </c>
      <c r="T712" s="202"/>
      <c r="U712" s="202"/>
      <c r="V712" s="201"/>
      <c r="W712" s="19" t="str">
        <f>IFERROR(VLOOKUP(Banco_Nacion[[#This Row],[RESPONSABLE]],Clientes_Proveedores[[Ruc / Dni]:[Razon Social]],2,0),"")</f>
        <v/>
      </c>
      <c r="X71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1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12" s="3"/>
      <c r="AA712" s="3"/>
      <c r="AB712" s="24">
        <f>IF(Banco_Nacion[[#This Row],[FECHA]]&gt;0,TEXT(Banco_Nacion[[#This Row],[FECHA]],"mmmm"),0)</f>
        <v>0</v>
      </c>
    </row>
    <row r="713" spans="2:28" x14ac:dyDescent="0.3">
      <c r="B713" s="195" t="str">
        <f>IF(Banco_Nacion[[#This Row],[TIPO DE R.]]="R",COUNTIFS($D$4:$D712,"R")+1,"")</f>
        <v/>
      </c>
      <c r="C713" s="19" t="str">
        <f t="shared" si="83"/>
        <v>B-Banco de la Nacion</v>
      </c>
      <c r="D713" s="3"/>
      <c r="E713" s="196"/>
      <c r="F713" s="197"/>
      <c r="G713" s="5"/>
      <c r="H713" s="6"/>
      <c r="I713" s="6"/>
      <c r="J713" s="6"/>
      <c r="K713" s="6"/>
      <c r="L713" s="198"/>
      <c r="M713" s="199"/>
      <c r="N713" s="199" t="str">
        <f t="shared" si="84"/>
        <v>PEN</v>
      </c>
      <c r="O713" s="13"/>
      <c r="P713" s="200"/>
      <c r="Q713" s="201">
        <f t="shared" si="85"/>
        <v>0</v>
      </c>
      <c r="R713" s="201">
        <f t="shared" si="86"/>
        <v>0</v>
      </c>
      <c r="S713" s="201">
        <f t="shared" si="87"/>
        <v>38247.220000000008</v>
      </c>
      <c r="T713" s="202"/>
      <c r="U713" s="202"/>
      <c r="V713" s="201"/>
      <c r="W713" s="19" t="str">
        <f>IFERROR(VLOOKUP(Banco_Nacion[[#This Row],[RESPONSABLE]],Clientes_Proveedores[[Ruc / Dni]:[Razon Social]],2,0),"")</f>
        <v/>
      </c>
      <c r="X71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1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13" s="3"/>
      <c r="AA713" s="3"/>
      <c r="AB713" s="24">
        <f>IF(Banco_Nacion[[#This Row],[FECHA]]&gt;0,TEXT(Banco_Nacion[[#This Row],[FECHA]],"mmmm"),0)</f>
        <v>0</v>
      </c>
    </row>
    <row r="714" spans="2:28" x14ac:dyDescent="0.3">
      <c r="B714" s="195" t="str">
        <f>IF(Banco_Nacion[[#This Row],[TIPO DE R.]]="R",COUNTIFS($D$4:$D621,"R")+1,"")</f>
        <v/>
      </c>
      <c r="C714" s="19" t="str">
        <f t="shared" si="83"/>
        <v>B-Banco de la Nacion</v>
      </c>
      <c r="D714" s="3"/>
      <c r="E714" s="196"/>
      <c r="F714" s="197"/>
      <c r="G714" s="5"/>
      <c r="H714" s="6"/>
      <c r="I714" s="6"/>
      <c r="J714" s="6"/>
      <c r="K714" s="6"/>
      <c r="L714" s="198"/>
      <c r="M714" s="199"/>
      <c r="N714" s="199" t="str">
        <f t="shared" si="84"/>
        <v>PEN</v>
      </c>
      <c r="O714" s="13"/>
      <c r="P714" s="200"/>
      <c r="Q714" s="201">
        <f t="shared" si="85"/>
        <v>0</v>
      </c>
      <c r="R714" s="201">
        <f t="shared" si="86"/>
        <v>0</v>
      </c>
      <c r="S714" s="201">
        <f>IFERROR(IF(G714="SALDO",Q714,S621+Q714-R714),0)</f>
        <v>38247.220000000008</v>
      </c>
      <c r="T714" s="202"/>
      <c r="U714" s="202"/>
      <c r="V714" s="201"/>
      <c r="W714" s="19" t="str">
        <f>IFERROR(VLOOKUP(Banco_Nacion[[#This Row],[RESPONSABLE]],Clientes_Proveedores[[Ruc / Dni]:[Razon Social]],2,0),"")</f>
        <v/>
      </c>
      <c r="X71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1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14" s="3"/>
      <c r="AA714" s="3"/>
      <c r="AB714" s="24">
        <f>IF(Banco_Nacion[[#This Row],[FECHA]]&gt;0,TEXT(Banco_Nacion[[#This Row],[FECHA]],"mmmm"),0)</f>
        <v>0</v>
      </c>
    </row>
    <row r="715" spans="2:28" x14ac:dyDescent="0.3">
      <c r="B715" s="195" t="str">
        <f>IF(Banco_Nacion[[#This Row],[TIPO DE R.]]="R",COUNTIFS($D$4:$D714,"R")+1,"")</f>
        <v/>
      </c>
      <c r="C715" s="19" t="str">
        <f t="shared" si="83"/>
        <v>B-Banco de la Nacion</v>
      </c>
      <c r="D715" s="3"/>
      <c r="E715" s="196"/>
      <c r="F715" s="197"/>
      <c r="G715" s="5"/>
      <c r="H715" s="6"/>
      <c r="I715" s="6"/>
      <c r="J715" s="6"/>
      <c r="K715" s="6"/>
      <c r="L715" s="198"/>
      <c r="M715" s="199"/>
      <c r="N715" s="199" t="str">
        <f t="shared" si="84"/>
        <v>PEN</v>
      </c>
      <c r="O715" s="13"/>
      <c r="P715" s="200"/>
      <c r="Q715" s="201">
        <f t="shared" si="85"/>
        <v>0</v>
      </c>
      <c r="R715" s="201">
        <f t="shared" si="86"/>
        <v>0</v>
      </c>
      <c r="S715" s="201">
        <f t="shared" ref="S715:S724" si="88">IFERROR(IF(G715="SALDO",Q715,S714+Q715-R715),0)</f>
        <v>38247.220000000008</v>
      </c>
      <c r="T715" s="202"/>
      <c r="U715" s="202"/>
      <c r="V715" s="201"/>
      <c r="W715" s="19" t="str">
        <f>IFERROR(VLOOKUP(Banco_Nacion[[#This Row],[RESPONSABLE]],Clientes_Proveedores[[Ruc / Dni]:[Razon Social]],2,0),"")</f>
        <v/>
      </c>
      <c r="X71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1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15" s="3"/>
      <c r="AA715" s="3"/>
      <c r="AB715" s="24">
        <f>IF(Banco_Nacion[[#This Row],[FECHA]]&gt;0,TEXT(Banco_Nacion[[#This Row],[FECHA]],"mmmm"),0)</f>
        <v>0</v>
      </c>
    </row>
    <row r="716" spans="2:28" x14ac:dyDescent="0.3">
      <c r="B716" s="195" t="str">
        <f>IF(Banco_Nacion[[#This Row],[TIPO DE R.]]="R",COUNTIFS($D$4:$D715,"R")+1,"")</f>
        <v/>
      </c>
      <c r="C716" s="19" t="str">
        <f t="shared" si="83"/>
        <v>B-Banco de la Nacion</v>
      </c>
      <c r="D716" s="3"/>
      <c r="E716" s="196"/>
      <c r="F716" s="197"/>
      <c r="G716" s="5"/>
      <c r="H716" s="6"/>
      <c r="I716" s="6"/>
      <c r="J716" s="6"/>
      <c r="K716" s="6"/>
      <c r="L716" s="198"/>
      <c r="M716" s="199"/>
      <c r="N716" s="199" t="str">
        <f t="shared" si="84"/>
        <v>PEN</v>
      </c>
      <c r="O716" s="13"/>
      <c r="P716" s="200"/>
      <c r="Q716" s="201">
        <f t="shared" si="85"/>
        <v>0</v>
      </c>
      <c r="R716" s="201">
        <f t="shared" si="86"/>
        <v>0</v>
      </c>
      <c r="S716" s="201">
        <f t="shared" si="88"/>
        <v>38247.220000000008</v>
      </c>
      <c r="T716" s="202"/>
      <c r="U716" s="202"/>
      <c r="V716" s="201"/>
      <c r="W716" s="19" t="str">
        <f>IFERROR(VLOOKUP(Banco_Nacion[[#This Row],[RESPONSABLE]],Clientes_Proveedores[[Ruc / Dni]:[Razon Social]],2,0),"")</f>
        <v/>
      </c>
      <c r="X716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1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16" s="3"/>
      <c r="AA716" s="3"/>
      <c r="AB716" s="24">
        <f>IF(Banco_Nacion[[#This Row],[FECHA]]&gt;0,TEXT(Banco_Nacion[[#This Row],[FECHA]],"mmmm"),0)</f>
        <v>0</v>
      </c>
    </row>
    <row r="717" spans="2:28" x14ac:dyDescent="0.3">
      <c r="B717" s="195" t="str">
        <f>IF(Banco_Nacion[[#This Row],[TIPO DE R.]]="R",COUNTIFS($D$4:$D716,"R")+1,"")</f>
        <v/>
      </c>
      <c r="C717" s="19" t="str">
        <f t="shared" si="83"/>
        <v>B-Banco de la Nacion</v>
      </c>
      <c r="D717" s="3"/>
      <c r="E717" s="196"/>
      <c r="F717" s="197"/>
      <c r="G717" s="5"/>
      <c r="H717" s="6"/>
      <c r="I717" s="6"/>
      <c r="J717" s="6"/>
      <c r="K717" s="6"/>
      <c r="L717" s="198"/>
      <c r="M717" s="199"/>
      <c r="N717" s="199" t="str">
        <f t="shared" si="84"/>
        <v>PEN</v>
      </c>
      <c r="O717" s="13"/>
      <c r="P717" s="200"/>
      <c r="Q717" s="201">
        <f t="shared" si="85"/>
        <v>0</v>
      </c>
      <c r="R717" s="201">
        <f t="shared" si="86"/>
        <v>0</v>
      </c>
      <c r="S717" s="201">
        <f t="shared" si="88"/>
        <v>38247.220000000008</v>
      </c>
      <c r="T717" s="202"/>
      <c r="U717" s="202"/>
      <c r="V717" s="201"/>
      <c r="W717" s="19" t="str">
        <f>IFERROR(VLOOKUP(Banco_Nacion[[#This Row],[RESPONSABLE]],Clientes_Proveedores[[Ruc / Dni]:[Razon Social]],2,0),"")</f>
        <v/>
      </c>
      <c r="X717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17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17" s="3"/>
      <c r="AA717" s="3"/>
      <c r="AB717" s="24">
        <f>IF(Banco_Nacion[[#This Row],[FECHA]]&gt;0,TEXT(Banco_Nacion[[#This Row],[FECHA]],"mmmm"),0)</f>
        <v>0</v>
      </c>
    </row>
    <row r="718" spans="2:28" x14ac:dyDescent="0.3">
      <c r="B718" s="195" t="str">
        <f>IF(Banco_Nacion[[#This Row],[TIPO DE R.]]="R",COUNTIFS($D$4:$D717,"R")+1,"")</f>
        <v/>
      </c>
      <c r="C718" s="19" t="str">
        <f t="shared" si="83"/>
        <v>B-Banco de la Nacion</v>
      </c>
      <c r="D718" s="3"/>
      <c r="E718" s="196"/>
      <c r="F718" s="197"/>
      <c r="G718" s="5"/>
      <c r="H718" s="6"/>
      <c r="I718" s="6"/>
      <c r="J718" s="6"/>
      <c r="K718" s="6"/>
      <c r="L718" s="198"/>
      <c r="M718" s="199"/>
      <c r="N718" s="199" t="str">
        <f t="shared" si="84"/>
        <v>PEN</v>
      </c>
      <c r="O718" s="13"/>
      <c r="P718" s="200"/>
      <c r="Q718" s="201">
        <f t="shared" si="85"/>
        <v>0</v>
      </c>
      <c r="R718" s="201">
        <f t="shared" si="86"/>
        <v>0</v>
      </c>
      <c r="S718" s="201">
        <f t="shared" si="88"/>
        <v>38247.220000000008</v>
      </c>
      <c r="T718" s="202"/>
      <c r="U718" s="202"/>
      <c r="V718" s="201"/>
      <c r="W718" s="19" t="str">
        <f>IFERROR(VLOOKUP(Banco_Nacion[[#This Row],[RESPONSABLE]],Clientes_Proveedores[[Ruc / Dni]:[Razon Social]],2,0),"")</f>
        <v/>
      </c>
      <c r="X718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18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18" s="3"/>
      <c r="AA718" s="3"/>
      <c r="AB718" s="24">
        <f>IF(Banco_Nacion[[#This Row],[FECHA]]&gt;0,TEXT(Banco_Nacion[[#This Row],[FECHA]],"mmmm"),0)</f>
        <v>0</v>
      </c>
    </row>
    <row r="719" spans="2:28" x14ac:dyDescent="0.3">
      <c r="B719" s="195" t="str">
        <f>IF(Banco_Nacion[[#This Row],[TIPO DE R.]]="R",COUNTIFS($D$4:$D718,"R")+1,"")</f>
        <v/>
      </c>
      <c r="C719" s="19" t="str">
        <f t="shared" si="83"/>
        <v>B-Banco de la Nacion</v>
      </c>
      <c r="D719" s="3"/>
      <c r="E719" s="196"/>
      <c r="F719" s="197"/>
      <c r="G719" s="5"/>
      <c r="H719" s="6"/>
      <c r="I719" s="6"/>
      <c r="J719" s="6"/>
      <c r="K719" s="6"/>
      <c r="L719" s="198"/>
      <c r="M719" s="199"/>
      <c r="N719" s="199" t="str">
        <f t="shared" si="84"/>
        <v>PEN</v>
      </c>
      <c r="O719" s="13"/>
      <c r="P719" s="200"/>
      <c r="Q719" s="201">
        <f t="shared" si="85"/>
        <v>0</v>
      </c>
      <c r="R719" s="201">
        <f t="shared" si="86"/>
        <v>0</v>
      </c>
      <c r="S719" s="201">
        <f t="shared" si="88"/>
        <v>38247.220000000008</v>
      </c>
      <c r="T719" s="202"/>
      <c r="U719" s="202"/>
      <c r="V719" s="201"/>
      <c r="W719" s="19" t="str">
        <f>IFERROR(VLOOKUP(Banco_Nacion[[#This Row],[RESPONSABLE]],Clientes_Proveedores[[Ruc / Dni]:[Razon Social]],2,0),"")</f>
        <v/>
      </c>
      <c r="X719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19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19" s="3"/>
      <c r="AA719" s="3"/>
      <c r="AB719" s="24">
        <f>IF(Banco_Nacion[[#This Row],[FECHA]]&gt;0,TEXT(Banco_Nacion[[#This Row],[FECHA]],"mmmm"),0)</f>
        <v>0</v>
      </c>
    </row>
    <row r="720" spans="2:28" x14ac:dyDescent="0.3">
      <c r="B720" s="195" t="str">
        <f>IF(Banco_Nacion[[#This Row],[TIPO DE R.]]="R",COUNTIFS($D$4:$D719,"R")+1,"")</f>
        <v/>
      </c>
      <c r="C720" s="19" t="str">
        <f t="shared" ref="C720:C725" si="89">"B-Banco de la Nacion"</f>
        <v>B-Banco de la Nacion</v>
      </c>
      <c r="D720" s="3"/>
      <c r="E720" s="196"/>
      <c r="F720" s="197"/>
      <c r="G720" s="5"/>
      <c r="H720" s="6"/>
      <c r="I720" s="6"/>
      <c r="J720" s="6"/>
      <c r="K720" s="6"/>
      <c r="L720" s="198"/>
      <c r="M720" s="199"/>
      <c r="N720" s="199" t="str">
        <f t="shared" ref="N720:N725" si="90">"PEN"</f>
        <v>PEN</v>
      </c>
      <c r="O720" s="13"/>
      <c r="P720" s="200"/>
      <c r="Q720" s="201">
        <f t="shared" ref="Q720:Q725" si="91">+IF(OR($G720="SALDO",$G720="INGRESO"),$P720,0)</f>
        <v>0</v>
      </c>
      <c r="R720" s="201">
        <f t="shared" ref="R720:R725" si="92">+IF($G720="EGRESO",$P720,0)</f>
        <v>0</v>
      </c>
      <c r="S720" s="201">
        <f t="shared" si="88"/>
        <v>38247.220000000008</v>
      </c>
      <c r="T720" s="202"/>
      <c r="U720" s="202"/>
      <c r="V720" s="201"/>
      <c r="W720" s="19" t="str">
        <f>IFERROR(VLOOKUP(Banco_Nacion[[#This Row],[RESPONSABLE]],Clientes_Proveedores[[Ruc / Dni]:[Razon Social]],2,0),"")</f>
        <v/>
      </c>
      <c r="X720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20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20" s="3"/>
      <c r="AA720" s="3"/>
      <c r="AB720" s="24">
        <f>IF(Banco_Nacion[[#This Row],[FECHA]]&gt;0,TEXT(Banco_Nacion[[#This Row],[FECHA]],"mmmm"),0)</f>
        <v>0</v>
      </c>
    </row>
    <row r="721" spans="2:28" x14ac:dyDescent="0.3">
      <c r="B721" s="195" t="str">
        <f>IF(Banco_Nacion[[#This Row],[TIPO DE R.]]="R",COUNTIFS($D$4:$D720,"R")+1,"")</f>
        <v/>
      </c>
      <c r="C721" s="19" t="str">
        <f t="shared" si="89"/>
        <v>B-Banco de la Nacion</v>
      </c>
      <c r="D721" s="3"/>
      <c r="E721" s="196"/>
      <c r="F721" s="197"/>
      <c r="G721" s="5"/>
      <c r="H721" s="6"/>
      <c r="I721" s="6"/>
      <c r="J721" s="6"/>
      <c r="K721" s="6"/>
      <c r="L721" s="198"/>
      <c r="M721" s="199"/>
      <c r="N721" s="199" t="str">
        <f t="shared" si="90"/>
        <v>PEN</v>
      </c>
      <c r="O721" s="13"/>
      <c r="P721" s="200"/>
      <c r="Q721" s="201">
        <f t="shared" si="91"/>
        <v>0</v>
      </c>
      <c r="R721" s="201">
        <f t="shared" si="92"/>
        <v>0</v>
      </c>
      <c r="S721" s="201">
        <f t="shared" si="88"/>
        <v>38247.220000000008</v>
      </c>
      <c r="T721" s="202"/>
      <c r="U721" s="202"/>
      <c r="V721" s="201"/>
      <c r="W721" s="19" t="str">
        <f>IFERROR(VLOOKUP(Banco_Nacion[[#This Row],[RESPONSABLE]],Clientes_Proveedores[[Ruc / Dni]:[Razon Social]],2,0),"")</f>
        <v/>
      </c>
      <c r="X721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21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21" s="3"/>
      <c r="AA721" s="3"/>
      <c r="AB721" s="24">
        <f>IF(Banco_Nacion[[#This Row],[FECHA]]&gt;0,TEXT(Banco_Nacion[[#This Row],[FECHA]],"mmmm"),0)</f>
        <v>0</v>
      </c>
    </row>
    <row r="722" spans="2:28" x14ac:dyDescent="0.3">
      <c r="B722" s="195" t="str">
        <f>IF(Banco_Nacion[[#This Row],[TIPO DE R.]]="R",COUNTIFS($D$4:$D721,"R")+1,"")</f>
        <v/>
      </c>
      <c r="C722" s="19" t="str">
        <f t="shared" si="89"/>
        <v>B-Banco de la Nacion</v>
      </c>
      <c r="D722" s="3"/>
      <c r="E722" s="196"/>
      <c r="F722" s="197"/>
      <c r="G722" s="5"/>
      <c r="H722" s="6"/>
      <c r="I722" s="6"/>
      <c r="J722" s="6"/>
      <c r="K722" s="6"/>
      <c r="L722" s="198"/>
      <c r="M722" s="199"/>
      <c r="N722" s="199" t="str">
        <f t="shared" si="90"/>
        <v>PEN</v>
      </c>
      <c r="O722" s="13"/>
      <c r="P722" s="200"/>
      <c r="Q722" s="201">
        <f t="shared" si="91"/>
        <v>0</v>
      </c>
      <c r="R722" s="201">
        <f t="shared" si="92"/>
        <v>0</v>
      </c>
      <c r="S722" s="201">
        <f t="shared" si="88"/>
        <v>38247.220000000008</v>
      </c>
      <c r="T722" s="202"/>
      <c r="U722" s="202"/>
      <c r="V722" s="201"/>
      <c r="W722" s="19" t="str">
        <f>IFERROR(VLOOKUP(Banco_Nacion[[#This Row],[RESPONSABLE]],Clientes_Proveedores[[Ruc / Dni]:[Razon Social]],2,0),"")</f>
        <v/>
      </c>
      <c r="X722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22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22" s="3"/>
      <c r="AA722" s="3"/>
      <c r="AB722" s="24">
        <f>IF(Banco_Nacion[[#This Row],[FECHA]]&gt;0,TEXT(Banco_Nacion[[#This Row],[FECHA]],"mmmm"),0)</f>
        <v>0</v>
      </c>
    </row>
    <row r="723" spans="2:28" x14ac:dyDescent="0.3">
      <c r="B723" s="195" t="str">
        <f>IF(Banco_Nacion[[#This Row],[TIPO DE R.]]="R",COUNTIFS($D$4:$D722,"R")+1,"")</f>
        <v/>
      </c>
      <c r="C723" s="19" t="str">
        <f t="shared" si="89"/>
        <v>B-Banco de la Nacion</v>
      </c>
      <c r="D723" s="3"/>
      <c r="E723" s="196"/>
      <c r="F723" s="197"/>
      <c r="G723" s="5"/>
      <c r="H723" s="6"/>
      <c r="I723" s="6"/>
      <c r="J723" s="6"/>
      <c r="K723" s="6"/>
      <c r="L723" s="198"/>
      <c r="M723" s="199"/>
      <c r="N723" s="199" t="str">
        <f t="shared" si="90"/>
        <v>PEN</v>
      </c>
      <c r="O723" s="13"/>
      <c r="P723" s="200"/>
      <c r="Q723" s="201">
        <f t="shared" si="91"/>
        <v>0</v>
      </c>
      <c r="R723" s="201">
        <f t="shared" si="92"/>
        <v>0</v>
      </c>
      <c r="S723" s="201">
        <f t="shared" si="88"/>
        <v>38247.220000000008</v>
      </c>
      <c r="T723" s="202"/>
      <c r="U723" s="202"/>
      <c r="V723" s="201"/>
      <c r="W723" s="19" t="str">
        <f>IFERROR(VLOOKUP(Banco_Nacion[[#This Row],[RESPONSABLE]],Clientes_Proveedores[[Ruc / Dni]:[Razon Social]],2,0),"")</f>
        <v/>
      </c>
      <c r="X723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23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23" s="3"/>
      <c r="AA723" s="3"/>
      <c r="AB723" s="24">
        <f>IF(Banco_Nacion[[#This Row],[FECHA]]&gt;0,TEXT(Banco_Nacion[[#This Row],[FECHA]],"mmmm"),0)</f>
        <v>0</v>
      </c>
    </row>
    <row r="724" spans="2:28" x14ac:dyDescent="0.3">
      <c r="B724" s="195" t="str">
        <f>IF(Banco_Nacion[[#This Row],[TIPO DE R.]]="R",COUNTIFS($D$4:$D723,"R")+1,"")</f>
        <v/>
      </c>
      <c r="C724" s="19" t="str">
        <f t="shared" si="89"/>
        <v>B-Banco de la Nacion</v>
      </c>
      <c r="D724" s="3"/>
      <c r="E724" s="196"/>
      <c r="F724" s="197"/>
      <c r="G724" s="5"/>
      <c r="H724" s="6"/>
      <c r="I724" s="6"/>
      <c r="J724" s="6"/>
      <c r="K724" s="6"/>
      <c r="L724" s="198"/>
      <c r="M724" s="199"/>
      <c r="N724" s="199" t="str">
        <f t="shared" si="90"/>
        <v>PEN</v>
      </c>
      <c r="O724" s="13"/>
      <c r="P724" s="200"/>
      <c r="Q724" s="201">
        <f t="shared" si="91"/>
        <v>0</v>
      </c>
      <c r="R724" s="201">
        <f t="shared" si="92"/>
        <v>0</v>
      </c>
      <c r="S724" s="201">
        <f t="shared" si="88"/>
        <v>38247.220000000008</v>
      </c>
      <c r="T724" s="202"/>
      <c r="U724" s="202"/>
      <c r="V724" s="201"/>
      <c r="W724" s="19" t="str">
        <f>IFERROR(VLOOKUP(Banco_Nacion[[#This Row],[RESPONSABLE]],Clientes_Proveedores[[Ruc / Dni]:[Razon Social]],2,0),"")</f>
        <v/>
      </c>
      <c r="X724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24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24" s="3"/>
      <c r="AA724" s="3"/>
      <c r="AB724" s="24">
        <f>IF(Banco_Nacion[[#This Row],[FECHA]]&gt;0,TEXT(Banco_Nacion[[#This Row],[FECHA]],"mmmm"),0)</f>
        <v>0</v>
      </c>
    </row>
    <row r="725" spans="2:28" x14ac:dyDescent="0.3">
      <c r="B725" s="195" t="str">
        <f>IF(Banco_Nacion[[#This Row],[TIPO DE R.]]="R",COUNTIFS($D$4:$D613,"R")+1,"")</f>
        <v/>
      </c>
      <c r="C725" s="19" t="str">
        <f t="shared" si="89"/>
        <v>B-Banco de la Nacion</v>
      </c>
      <c r="D725" s="3"/>
      <c r="E725" s="196"/>
      <c r="F725" s="197"/>
      <c r="G725" s="5"/>
      <c r="H725" s="6"/>
      <c r="I725" s="6"/>
      <c r="J725" s="6"/>
      <c r="K725" s="6"/>
      <c r="L725" s="198"/>
      <c r="M725" s="199"/>
      <c r="N725" s="199" t="str">
        <f t="shared" si="90"/>
        <v>PEN</v>
      </c>
      <c r="O725" s="13"/>
      <c r="P725" s="200"/>
      <c r="Q725" s="201">
        <f t="shared" si="91"/>
        <v>0</v>
      </c>
      <c r="R725" s="201">
        <f t="shared" si="92"/>
        <v>0</v>
      </c>
      <c r="S725" s="201">
        <f>IFERROR(IF(G725="SALDO",Q725,S613+Q725-R725),0)</f>
        <v>38247.220000000008</v>
      </c>
      <c r="T725" s="202"/>
      <c r="U725" s="202"/>
      <c r="V725" s="201"/>
      <c r="W725" s="19" t="str">
        <f>IFERROR(VLOOKUP(Banco_Nacion[[#This Row],[RESPONSABLE]],Clientes_Proveedores[[Ruc / Dni]:[Razon Social]],2,0),"")</f>
        <v/>
      </c>
      <c r="X725" s="19" t="str">
        <f>IF(Banco_Nacion[[#This Row],[TIPO DE MOV.]]="INGRESO",Banco_Nacion[[#This Row],[SERIE]]&amp;Banco_Nacion[[#This Row],[NUMERO]]&amp;Banco_Nacion[[#This Row],[RESPONSABLE]]&amp;Banco_Nacion[[#This Row],[MONTO ]],"")</f>
        <v/>
      </c>
      <c r="Y725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/>
      </c>
      <c r="Z725" s="3"/>
      <c r="AA725" s="3"/>
      <c r="AB725" s="24">
        <f>IF(Banco_Nacion[[#This Row],[FECHA]]&gt;0,TEXT(Banco_Nacion[[#This Row],[FECHA]],"mmmm"),0)</f>
        <v>0</v>
      </c>
    </row>
    <row r="726" spans="2:28" x14ac:dyDescent="0.3">
      <c r="B726" s="195">
        <f>IF(Banco_Nacion[[#This Row],[TIPO DE R.]]="R",COUNTIFS($D$4:$D591,"R")+1,"")</f>
        <v>588</v>
      </c>
      <c r="C726" s="19" t="str">
        <f t="shared" si="62"/>
        <v>B-Banco de la Nacion</v>
      </c>
      <c r="D726" s="3" t="s">
        <v>1074</v>
      </c>
      <c r="E726" s="196">
        <v>45895</v>
      </c>
      <c r="F726" s="197">
        <v>20603536569</v>
      </c>
      <c r="G726" s="5" t="s">
        <v>1087</v>
      </c>
      <c r="H726" s="6"/>
      <c r="I726" s="6"/>
      <c r="J726" s="6"/>
      <c r="K726" s="6"/>
      <c r="L726" s="198" t="s">
        <v>4290</v>
      </c>
      <c r="M726" s="199">
        <v>87238001</v>
      </c>
      <c r="N726" s="199" t="str">
        <f t="shared" si="63"/>
        <v>PEN</v>
      </c>
      <c r="O726" s="13"/>
      <c r="P726" s="200">
        <v>1135</v>
      </c>
      <c r="Q726" s="201">
        <f t="shared" si="64"/>
        <v>1135</v>
      </c>
      <c r="R726" s="201">
        <f t="shared" si="65"/>
        <v>0</v>
      </c>
      <c r="S726" s="201">
        <f>IFERROR(IF(G726="SALDO",Q726,S591+Q726-R726),0)</f>
        <v>39382.220000000008</v>
      </c>
      <c r="T726" s="202"/>
      <c r="U726" s="202"/>
      <c r="V726" s="201"/>
      <c r="W726" s="19" t="str">
        <f>IFERROR(VLOOKUP(Banco_Nacion[[#This Row],[RESPONSABLE]],Clientes_Proveedores[[Ruc / Dni]:[Razon Social]],2,0),"")</f>
        <v>ANTILLA COPPER SOCIEDAD ANONIMA</v>
      </c>
      <c r="X726" s="19" t="str">
        <f>IF(Banco_Nacion[[#This Row],[TIPO DE MOV.]]="INGRESO",Banco_Nacion[[#This Row],[SERIE]]&amp;Banco_Nacion[[#This Row],[NUMERO]]&amp;Banco_Nacion[[#This Row],[RESPONSABLE]]&amp;Banco_Nacion[[#This Row],[MONTO ]],"")</f>
        <v>206035365691135</v>
      </c>
      <c r="Y726" s="123" t="str">
        <f>IF(Banco_Nacion[[#This Row],[ABONO]]&gt;0,"Por el cobro de Detraccion C.S. "&amp;(IFERROR(VLOOKUP(Banco_Nacion[[#This Row],[NOTA 2]],[1]!BD_Detracciones[[2]:[Numero Constancia]],4,0),""))&amp;" OP "&amp;Banco_Nacion[[#This Row],[N° OPERACIÓN]],"")</f>
        <v>Por el cobro de Detraccion C.S.  OP 87238001</v>
      </c>
      <c r="Z726" s="3"/>
      <c r="AA726" s="3"/>
      <c r="AB726" s="24" t="str">
        <f>IF(Banco_Nacion[[#This Row],[FECHA]]&gt;0,TEXT(Banco_Nacion[[#This Row],[FECHA]],"mmmm"),0)</f>
        <v>Agosto</v>
      </c>
    </row>
    <row r="729" spans="2:28" x14ac:dyDescent="0.3">
      <c r="G729" s="11"/>
      <c r="H729" s="11"/>
      <c r="I729" s="11"/>
      <c r="J729" s="11"/>
      <c r="K729" s="43" t="s">
        <v>8038</v>
      </c>
      <c r="M729" s="43" t="s">
        <v>8040</v>
      </c>
    </row>
    <row r="730" spans="2:28" x14ac:dyDescent="0.3">
      <c r="G730" s="11" t="s">
        <v>8035</v>
      </c>
      <c r="H730" s="11"/>
      <c r="I730" s="11"/>
      <c r="J730" s="234">
        <v>9359.91</v>
      </c>
      <c r="K730" s="235">
        <f>ROUND(J730,0)</f>
        <v>9360</v>
      </c>
      <c r="M730" s="82">
        <f>K730-J730</f>
        <v>9.0000000000145519E-2</v>
      </c>
    </row>
    <row r="731" spans="2:28" x14ac:dyDescent="0.3">
      <c r="G731" s="11" t="s">
        <v>8036</v>
      </c>
      <c r="H731" s="11"/>
      <c r="I731" s="11"/>
      <c r="J731" s="234">
        <v>2752.8</v>
      </c>
      <c r="K731" s="235">
        <f>ROUND(J731,0)</f>
        <v>2753</v>
      </c>
      <c r="M731" s="82">
        <f>K731-J731</f>
        <v>0.1999999999998181</v>
      </c>
    </row>
    <row r="732" spans="2:28" x14ac:dyDescent="0.3">
      <c r="G732" s="11" t="s">
        <v>8037</v>
      </c>
      <c r="H732" s="11"/>
      <c r="I732" s="11"/>
      <c r="J732" s="234">
        <v>231.37</v>
      </c>
      <c r="K732" s="235">
        <f>ROUND(J732,0)</f>
        <v>231</v>
      </c>
      <c r="M732" s="82">
        <f>K732-J732</f>
        <v>-0.37000000000000455</v>
      </c>
    </row>
    <row r="733" spans="2:28" x14ac:dyDescent="0.3">
      <c r="G733" s="49" t="s">
        <v>8039</v>
      </c>
      <c r="J733" s="236">
        <f>SUM(J730:J732)</f>
        <v>12344.08</v>
      </c>
      <c r="K733" s="236">
        <f>SUM(K730:K732)</f>
        <v>12344</v>
      </c>
      <c r="M733" s="236">
        <f>SUM(M730:M732)</f>
        <v>-8.0000000000040927E-2</v>
      </c>
    </row>
  </sheetData>
  <mergeCells count="1">
    <mergeCell ref="B2:AB2"/>
  </mergeCells>
  <conditionalFormatting sqref="B5:U726 AB5:AB726">
    <cfRule type="expression" dxfId="81" priority="4">
      <formula>$D5="D"</formula>
    </cfRule>
  </conditionalFormatting>
  <conditionalFormatting sqref="B5:AB10180">
    <cfRule type="expression" dxfId="80" priority="3">
      <formula>$U5="OK"</formula>
    </cfRule>
  </conditionalFormatting>
  <conditionalFormatting sqref="D586:D587">
    <cfRule type="expression" dxfId="79" priority="1">
      <formula>$D586="D"</formula>
    </cfRule>
  </conditionalFormatting>
  <dataValidations count="4">
    <dataValidation type="list" allowBlank="1" showInputMessage="1" showErrorMessage="1" sqref="I5:I726" xr:uid="{84E66A5C-83C7-43B9-B459-94BECFB8D78C}">
      <formula1>Documentos</formula1>
    </dataValidation>
    <dataValidation type="list" allowBlank="1" showInputMessage="1" showErrorMessage="1" sqref="H5:H726" xr:uid="{A70A423A-063D-4FB7-B9B0-526F34D4AE36}">
      <formula1>Proveedores_Clientes</formula1>
    </dataValidation>
    <dataValidation type="list" allowBlank="1" showInputMessage="1" showErrorMessage="1" sqref="G5:G726" xr:uid="{0DF92C80-10F6-4B0F-BFFE-6C9959362A2A}">
      <formula1>"SALDO,INGRESO,EGRESO"</formula1>
    </dataValidation>
    <dataValidation type="list" allowBlank="1" showInputMessage="1" showErrorMessage="1" sqref="D5:D726" xr:uid="{E4EDA516-CCE3-489B-A576-301F0C2BD1BC}">
      <formula1>"R,D"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37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0205-E818-4893-8A92-3130A72DD920}">
  <sheetPr codeName="Hoja7">
    <tabColor theme="0" tint="-0.499984740745262"/>
    <pageSetUpPr fitToPage="1"/>
  </sheetPr>
  <dimension ref="B2:AC738"/>
  <sheetViews>
    <sheetView showGridLines="0" topLeftCell="A700" zoomScaleNormal="100" zoomScaleSheetLayoutView="100" workbookViewId="0">
      <selection activeCell="B723" sqref="B723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5.44140625" bestFit="1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4.88671875" customWidth="1"/>
    <col min="9" max="9" width="17" bestFit="1" customWidth="1"/>
    <col min="10" max="10" width="16" customWidth="1"/>
    <col min="11" max="11" width="10.109375" bestFit="1" customWidth="1"/>
    <col min="12" max="12" width="12.44140625" bestFit="1" customWidth="1"/>
    <col min="13" max="13" width="40.44140625" bestFit="1" customWidth="1"/>
    <col min="14" max="14" width="15" bestFit="1" customWidth="1"/>
    <col min="15" max="15" width="12.44140625" bestFit="1" customWidth="1"/>
    <col min="16" max="16" width="12.109375" bestFit="1" customWidth="1"/>
    <col min="17" max="17" width="11.44140625" bestFit="1" customWidth="1"/>
    <col min="18" max="19" width="11.21875" bestFit="1" customWidth="1"/>
    <col min="20" max="20" width="10.88671875" bestFit="1" customWidth="1"/>
    <col min="21" max="21" width="12" bestFit="1" customWidth="1"/>
    <col min="22" max="22" width="13" bestFit="1" customWidth="1"/>
    <col min="23" max="23" width="15.88671875" bestFit="1" customWidth="1"/>
    <col min="24" max="28" width="17.109375" customWidth="1" outlineLevel="1"/>
    <col min="29" max="29" width="12.88671875" customWidth="1" outlineLevel="1"/>
  </cols>
  <sheetData>
    <row r="2" spans="2:29" ht="23.4" x14ac:dyDescent="0.3">
      <c r="B2" s="263" t="s">
        <v>4300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</row>
    <row r="4" spans="2:29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4301</v>
      </c>
      <c r="I4" s="1" t="s">
        <v>1053</v>
      </c>
      <c r="J4" s="1" t="s">
        <v>1054</v>
      </c>
      <c r="K4" s="1" t="s">
        <v>1055</v>
      </c>
      <c r="L4" s="1" t="s">
        <v>1056</v>
      </c>
      <c r="M4" s="1" t="s">
        <v>1057</v>
      </c>
      <c r="N4" s="1" t="s">
        <v>1058</v>
      </c>
      <c r="O4" s="1" t="s">
        <v>1059</v>
      </c>
      <c r="P4" s="1" t="s">
        <v>1060</v>
      </c>
      <c r="Q4" s="1" t="s">
        <v>1061</v>
      </c>
      <c r="R4" s="1" t="s">
        <v>1062</v>
      </c>
      <c r="S4" s="1" t="s">
        <v>1063</v>
      </c>
      <c r="T4" s="1" t="s">
        <v>1064</v>
      </c>
      <c r="U4" s="1" t="s">
        <v>1065</v>
      </c>
      <c r="V4" s="1" t="s">
        <v>1066</v>
      </c>
      <c r="W4" s="1" t="s">
        <v>1067</v>
      </c>
      <c r="X4" s="1" t="s">
        <v>1068</v>
      </c>
      <c r="Y4" s="1" t="s">
        <v>1069</v>
      </c>
      <c r="Z4" s="1" t="s">
        <v>1070</v>
      </c>
      <c r="AA4" s="1" t="s">
        <v>1071</v>
      </c>
      <c r="AB4" s="1" t="s">
        <v>1072</v>
      </c>
      <c r="AC4" s="1" t="s">
        <v>1073</v>
      </c>
    </row>
    <row r="5" spans="2:29" x14ac:dyDescent="0.3">
      <c r="B5" s="2">
        <f>IF(Caja_Arequipa[[#This Row],[TIPO DE R.]]="R",COUNTIFS($D$4:$D4,"R")+1,"")</f>
        <v>1</v>
      </c>
      <c r="C5" s="19" t="str">
        <f t="shared" ref="C5:C68" si="0">"C-Tesoreria"</f>
        <v>C-Tesoreria</v>
      </c>
      <c r="D5" s="3" t="s">
        <v>1074</v>
      </c>
      <c r="E5" s="4">
        <v>45658</v>
      </c>
      <c r="F5" s="5" t="s">
        <v>1131</v>
      </c>
      <c r="G5" s="6" t="s">
        <v>1064</v>
      </c>
      <c r="H5" s="15"/>
      <c r="I5" s="6"/>
      <c r="J5" s="6"/>
      <c r="K5" s="6"/>
      <c r="L5" s="6"/>
      <c r="M5" s="7" t="s">
        <v>1076</v>
      </c>
      <c r="N5" s="8" t="str">
        <f>IF(Caja_Arequipa[[#This Row],[TIPO DE R.]]="R","001-"&amp;12002+B5,N4)</f>
        <v>001-12003</v>
      </c>
      <c r="O5" s="8" t="str">
        <f t="shared" ref="O5" si="1">"PEN"</f>
        <v>PEN</v>
      </c>
      <c r="P5" s="13"/>
      <c r="Q5" s="9">
        <v>1054.0999999999999</v>
      </c>
      <c r="R5" s="9">
        <f t="shared" ref="R5:R68" si="2">+IF(OR($G5="SALDO",$G5="INGRESO"),$Q5,0)</f>
        <v>1054.0999999999999</v>
      </c>
      <c r="S5" s="9">
        <f t="shared" ref="S5:S68" si="3">+IF($G5="EGRESO",$Q5,0)</f>
        <v>0</v>
      </c>
      <c r="T5" s="9">
        <f t="shared" ref="T5:T68" si="4">IFERROR(IF(G5="SALDO",R5,T4+R5-S5),0)</f>
        <v>1054.0999999999999</v>
      </c>
      <c r="U5" s="24"/>
      <c r="V5" s="24"/>
      <c r="W5" s="15"/>
      <c r="X5" s="15"/>
      <c r="Y5" s="15"/>
      <c r="Z5" s="15"/>
      <c r="AA5" s="15"/>
      <c r="AB5" s="15"/>
      <c r="AC5" s="3" t="str">
        <f>IF(Caja_Arequipa[[#This Row],[FECHA]]&gt;0,TEXT(Caja_Arequipa[[#This Row],[FECHA]],"mmmm"),0)</f>
        <v>Enero</v>
      </c>
    </row>
    <row r="6" spans="2:29" ht="36" x14ac:dyDescent="0.3">
      <c r="B6" s="2">
        <f>IF(Caja_Arequipa[[#This Row],[TIPO DE R.]]="R",COUNTIFS($D$4:$D5,"R")+1,"")</f>
        <v>2</v>
      </c>
      <c r="C6" s="19" t="str">
        <f t="shared" si="0"/>
        <v>C-Tesoreria</v>
      </c>
      <c r="D6" s="3" t="s">
        <v>1074</v>
      </c>
      <c r="E6" s="14">
        <v>45664</v>
      </c>
      <c r="F6" s="5" t="s">
        <v>1131</v>
      </c>
      <c r="G6" s="5" t="s">
        <v>1079</v>
      </c>
      <c r="H6" s="3" t="s">
        <v>3016</v>
      </c>
      <c r="I6" s="6"/>
      <c r="J6" s="6"/>
      <c r="K6" s="6"/>
      <c r="L6" s="6"/>
      <c r="M6" s="7" t="s">
        <v>4302</v>
      </c>
      <c r="N6" s="8" t="str">
        <f>IF(Caja_Arequipa[[#This Row],[TIPO DE R.]]="R","001-"&amp;12002+B6,N5)</f>
        <v>001-12004</v>
      </c>
      <c r="O6" s="8" t="str">
        <f t="shared" ref="O6:O69" si="5">"PEN"</f>
        <v>PEN</v>
      </c>
      <c r="P6" s="13"/>
      <c r="Q6" s="13">
        <v>70</v>
      </c>
      <c r="R6" s="3">
        <f t="shared" si="2"/>
        <v>0</v>
      </c>
      <c r="S6" s="3">
        <f t="shared" si="3"/>
        <v>70</v>
      </c>
      <c r="T6" s="3">
        <f t="shared" si="4"/>
        <v>984.09999999999991</v>
      </c>
      <c r="U6" s="24"/>
      <c r="V6" s="24" t="s">
        <v>1081</v>
      </c>
      <c r="W6" s="3"/>
      <c r="X6" s="3" t="s">
        <v>3016</v>
      </c>
      <c r="Y6" s="3"/>
      <c r="Z6" s="3"/>
      <c r="AA6" s="3"/>
      <c r="AB6" s="3"/>
      <c r="AC6" s="3" t="str">
        <f>IF(Caja_Arequipa[[#This Row],[FECHA]]&gt;0,TEXT(Caja_Arequipa[[#This Row],[FECHA]],"mmmm"),0)</f>
        <v>Enero</v>
      </c>
    </row>
    <row r="7" spans="2:29" x14ac:dyDescent="0.3">
      <c r="B7" s="2">
        <f>IF(Caja_Arequipa[[#This Row],[TIPO DE R.]]="R",COUNTIFS($D$4:$D6,"R")+1,"")</f>
        <v>3</v>
      </c>
      <c r="C7" s="19" t="str">
        <f t="shared" si="0"/>
        <v>C-Tesoreria</v>
      </c>
      <c r="D7" s="3" t="s">
        <v>1074</v>
      </c>
      <c r="E7" s="14">
        <v>45665</v>
      </c>
      <c r="F7" s="5" t="s">
        <v>1131</v>
      </c>
      <c r="G7" s="5" t="s">
        <v>1087</v>
      </c>
      <c r="H7" s="3" t="s">
        <v>4303</v>
      </c>
      <c r="I7" s="6"/>
      <c r="J7" s="6"/>
      <c r="K7" s="6"/>
      <c r="L7" s="6"/>
      <c r="M7" s="7" t="s">
        <v>4304</v>
      </c>
      <c r="N7" s="8" t="str">
        <f>IF(Caja_Arequipa[[#This Row],[TIPO DE R.]]="R","001-"&amp;12002+B7,N6)</f>
        <v>001-12005</v>
      </c>
      <c r="O7" s="8" t="str">
        <f t="shared" si="5"/>
        <v>PEN</v>
      </c>
      <c r="P7" s="13"/>
      <c r="Q7" s="13">
        <v>45.6</v>
      </c>
      <c r="R7" s="3">
        <f t="shared" si="2"/>
        <v>45.6</v>
      </c>
      <c r="S7" s="3">
        <f t="shared" si="3"/>
        <v>0</v>
      </c>
      <c r="T7" s="3">
        <f t="shared" si="4"/>
        <v>1029.6999999999998</v>
      </c>
      <c r="U7" s="24"/>
      <c r="V7" s="24" t="s">
        <v>1081</v>
      </c>
      <c r="W7" s="3"/>
      <c r="X7" s="3" t="s">
        <v>4303</v>
      </c>
      <c r="Y7" s="3"/>
      <c r="Z7" s="3"/>
      <c r="AA7" s="3"/>
      <c r="AB7" s="3"/>
      <c r="AC7" s="3" t="str">
        <f>IF(Caja_Arequipa[[#This Row],[FECHA]]&gt;0,TEXT(Caja_Arequipa[[#This Row],[FECHA]],"mmmm"),0)</f>
        <v>Enero</v>
      </c>
    </row>
    <row r="8" spans="2:29" ht="24" x14ac:dyDescent="0.3">
      <c r="B8" s="2">
        <f>IF(Caja_Arequipa[[#This Row],[TIPO DE R.]]="R",COUNTIFS($D$4:$D7,"R")+1,"")</f>
        <v>4</v>
      </c>
      <c r="C8" s="19" t="str">
        <f t="shared" si="0"/>
        <v>C-Tesoreria</v>
      </c>
      <c r="D8" s="3" t="s">
        <v>1074</v>
      </c>
      <c r="E8" s="14">
        <v>45665</v>
      </c>
      <c r="F8" s="5" t="s">
        <v>1131</v>
      </c>
      <c r="G8" s="5" t="s">
        <v>1079</v>
      </c>
      <c r="H8" s="3" t="s">
        <v>4305</v>
      </c>
      <c r="I8" s="6"/>
      <c r="J8" s="6"/>
      <c r="K8" s="6"/>
      <c r="L8" s="6"/>
      <c r="M8" s="7" t="s">
        <v>4306</v>
      </c>
      <c r="N8" s="8" t="str">
        <f>IF(Caja_Arequipa[[#This Row],[TIPO DE R.]]="R","001-"&amp;12002+B8,N7)</f>
        <v>001-12006</v>
      </c>
      <c r="O8" s="8" t="str">
        <f t="shared" si="5"/>
        <v>PEN</v>
      </c>
      <c r="P8" s="13"/>
      <c r="Q8" s="13">
        <v>16.600000000000001</v>
      </c>
      <c r="R8" s="3">
        <f t="shared" si="2"/>
        <v>0</v>
      </c>
      <c r="S8" s="3">
        <f t="shared" si="3"/>
        <v>16.600000000000001</v>
      </c>
      <c r="T8" s="3">
        <f t="shared" si="4"/>
        <v>1013.0999999999998</v>
      </c>
      <c r="U8" s="24" t="s">
        <v>1081</v>
      </c>
      <c r="V8" s="24" t="s">
        <v>1081</v>
      </c>
      <c r="W8" s="3"/>
      <c r="X8" s="3" t="s">
        <v>4305</v>
      </c>
      <c r="Y8" s="3" t="s">
        <v>4307</v>
      </c>
      <c r="Z8" s="3"/>
      <c r="AA8" s="3"/>
      <c r="AB8" s="3"/>
      <c r="AC8" s="3" t="str">
        <f>IF(Caja_Arequipa[[#This Row],[FECHA]]&gt;0,TEXT(Caja_Arequipa[[#This Row],[FECHA]],"mmmm"),0)</f>
        <v>Enero</v>
      </c>
    </row>
    <row r="9" spans="2:29" ht="24" x14ac:dyDescent="0.3">
      <c r="B9" s="2">
        <f>IF(Caja_Arequipa[[#This Row],[TIPO DE R.]]="R",COUNTIFS($D$4:$D8,"R")+1,"")</f>
        <v>5</v>
      </c>
      <c r="C9" s="19" t="str">
        <f t="shared" si="0"/>
        <v>C-Tesoreria</v>
      </c>
      <c r="D9" s="3" t="s">
        <v>1074</v>
      </c>
      <c r="E9" s="14">
        <v>45665</v>
      </c>
      <c r="F9" s="5" t="s">
        <v>1131</v>
      </c>
      <c r="G9" s="5" t="s">
        <v>1079</v>
      </c>
      <c r="H9" s="3" t="s">
        <v>4305</v>
      </c>
      <c r="I9" s="6"/>
      <c r="J9" s="6"/>
      <c r="K9" s="6"/>
      <c r="L9" s="6"/>
      <c r="M9" s="7" t="s">
        <v>4308</v>
      </c>
      <c r="N9" s="8" t="str">
        <f>IF(Caja_Arequipa[[#This Row],[TIPO DE R.]]="R","001-"&amp;12002+B9,N8)</f>
        <v>001-12007</v>
      </c>
      <c r="O9" s="8" t="str">
        <f t="shared" si="5"/>
        <v>PEN</v>
      </c>
      <c r="P9" s="13"/>
      <c r="Q9" s="13">
        <v>16.600000000000001</v>
      </c>
      <c r="R9" s="3">
        <f t="shared" si="2"/>
        <v>0</v>
      </c>
      <c r="S9" s="3">
        <f t="shared" si="3"/>
        <v>16.600000000000001</v>
      </c>
      <c r="T9" s="3">
        <f t="shared" si="4"/>
        <v>996.49999999999977</v>
      </c>
      <c r="U9" s="24" t="s">
        <v>1081</v>
      </c>
      <c r="V9" s="24" t="s">
        <v>1081</v>
      </c>
      <c r="W9" s="3"/>
      <c r="X9" s="3" t="s">
        <v>4305</v>
      </c>
      <c r="Y9" s="3" t="s">
        <v>4309</v>
      </c>
      <c r="Z9" s="3"/>
      <c r="AA9" s="3"/>
      <c r="AB9" s="3"/>
      <c r="AC9" s="3" t="str">
        <f>IF(Caja_Arequipa[[#This Row],[FECHA]]&gt;0,TEXT(Caja_Arequipa[[#This Row],[FECHA]],"mmmm"),0)</f>
        <v>Enero</v>
      </c>
    </row>
    <row r="10" spans="2:29" ht="24" x14ac:dyDescent="0.3">
      <c r="B10" s="2">
        <f>IF(Caja_Arequipa[[#This Row],[TIPO DE R.]]="R",COUNTIFS($D$4:$D9,"R")+1,"")</f>
        <v>6</v>
      </c>
      <c r="C10" s="19" t="str">
        <f t="shared" si="0"/>
        <v>C-Tesoreria</v>
      </c>
      <c r="D10" s="3" t="s">
        <v>1074</v>
      </c>
      <c r="E10" s="14">
        <v>45665</v>
      </c>
      <c r="F10" s="5" t="s">
        <v>1131</v>
      </c>
      <c r="G10" s="5" t="s">
        <v>1079</v>
      </c>
      <c r="H10" s="3" t="s">
        <v>4305</v>
      </c>
      <c r="I10" s="6"/>
      <c r="J10" s="6"/>
      <c r="K10" s="6"/>
      <c r="L10" s="6"/>
      <c r="M10" s="7" t="s">
        <v>4310</v>
      </c>
      <c r="N10" s="8" t="str">
        <f>IF(Caja_Arequipa[[#This Row],[TIPO DE R.]]="R","001-"&amp;12002+B10,N9)</f>
        <v>001-12008</v>
      </c>
      <c r="O10" s="8" t="str">
        <f t="shared" si="5"/>
        <v>PEN</v>
      </c>
      <c r="P10" s="13"/>
      <c r="Q10" s="13">
        <v>16.600000000000001</v>
      </c>
      <c r="R10" s="3">
        <f t="shared" si="2"/>
        <v>0</v>
      </c>
      <c r="S10" s="3">
        <f t="shared" si="3"/>
        <v>16.600000000000001</v>
      </c>
      <c r="T10" s="3">
        <f t="shared" si="4"/>
        <v>979.89999999999975</v>
      </c>
      <c r="U10" s="24" t="s">
        <v>1081</v>
      </c>
      <c r="V10" s="24" t="s">
        <v>1081</v>
      </c>
      <c r="W10" s="3"/>
      <c r="X10" s="3" t="s">
        <v>4305</v>
      </c>
      <c r="Y10" s="3" t="s">
        <v>4311</v>
      </c>
      <c r="Z10" s="3"/>
      <c r="AA10" s="3"/>
      <c r="AB10" s="3"/>
      <c r="AC10" s="3" t="str">
        <f>IF(Caja_Arequipa[[#This Row],[FECHA]]&gt;0,TEXT(Caja_Arequipa[[#This Row],[FECHA]],"mmmm"),0)</f>
        <v>Enero</v>
      </c>
    </row>
    <row r="11" spans="2:29" ht="24" x14ac:dyDescent="0.3">
      <c r="B11" s="2">
        <f>IF(Caja_Arequipa[[#This Row],[TIPO DE R.]]="R",COUNTIFS($D$4:$D10,"R")+1,"")</f>
        <v>7</v>
      </c>
      <c r="C11" s="19" t="str">
        <f t="shared" si="0"/>
        <v>C-Tesoreria</v>
      </c>
      <c r="D11" s="3" t="s">
        <v>1074</v>
      </c>
      <c r="E11" s="14">
        <v>45665</v>
      </c>
      <c r="F11" s="5" t="s">
        <v>1131</v>
      </c>
      <c r="G11" s="5" t="s">
        <v>1079</v>
      </c>
      <c r="H11" s="3" t="s">
        <v>4305</v>
      </c>
      <c r="I11" s="6"/>
      <c r="J11" s="6"/>
      <c r="K11" s="6"/>
      <c r="L11" s="6"/>
      <c r="M11" s="7" t="s">
        <v>4312</v>
      </c>
      <c r="N11" s="8" t="str">
        <f>IF(Caja_Arequipa[[#This Row],[TIPO DE R.]]="R","001-"&amp;12002+B11,N10)</f>
        <v>001-12009</v>
      </c>
      <c r="O11" s="8" t="str">
        <f t="shared" si="5"/>
        <v>PEN</v>
      </c>
      <c r="P11" s="13"/>
      <c r="Q11" s="13">
        <v>10</v>
      </c>
      <c r="R11" s="3">
        <f t="shared" si="2"/>
        <v>0</v>
      </c>
      <c r="S11" s="3">
        <f t="shared" si="3"/>
        <v>10</v>
      </c>
      <c r="T11" s="3">
        <f t="shared" si="4"/>
        <v>969.89999999999975</v>
      </c>
      <c r="U11" s="24"/>
      <c r="V11" s="24" t="s">
        <v>1081</v>
      </c>
      <c r="W11" s="3"/>
      <c r="X11" s="3" t="s">
        <v>4305</v>
      </c>
      <c r="Y11" s="3" t="s">
        <v>4313</v>
      </c>
      <c r="Z11" s="3"/>
      <c r="AA11" s="3"/>
      <c r="AB11" s="3"/>
      <c r="AC11" s="3" t="str">
        <f>IF(Caja_Arequipa[[#This Row],[FECHA]]&gt;0,TEXT(Caja_Arequipa[[#This Row],[FECHA]],"mmmm"),0)</f>
        <v>Enero</v>
      </c>
    </row>
    <row r="12" spans="2:29" x14ac:dyDescent="0.3">
      <c r="B12" s="2">
        <f>IF(Caja_Arequipa[[#This Row],[TIPO DE R.]]="R",COUNTIFS($D$4:$D11,"R")+1,"")</f>
        <v>8</v>
      </c>
      <c r="C12" s="19" t="str">
        <f t="shared" si="0"/>
        <v>C-Tesoreria</v>
      </c>
      <c r="D12" s="3" t="s">
        <v>1074</v>
      </c>
      <c r="E12" s="14">
        <v>45665</v>
      </c>
      <c r="F12" s="5" t="s">
        <v>1131</v>
      </c>
      <c r="G12" s="5" t="s">
        <v>1079</v>
      </c>
      <c r="H12" s="3" t="s">
        <v>4314</v>
      </c>
      <c r="I12" s="6"/>
      <c r="J12" s="6"/>
      <c r="K12" s="6"/>
      <c r="L12" s="6"/>
      <c r="M12" s="7" t="s">
        <v>4315</v>
      </c>
      <c r="N12" s="8" t="str">
        <f>IF(Caja_Arequipa[[#This Row],[TIPO DE R.]]="R","001-"&amp;12002+B12,N11)</f>
        <v>001-12010</v>
      </c>
      <c r="O12" s="8" t="str">
        <f t="shared" si="5"/>
        <v>PEN</v>
      </c>
      <c r="P12" s="13"/>
      <c r="Q12" s="13">
        <v>62</v>
      </c>
      <c r="R12" s="3">
        <f t="shared" si="2"/>
        <v>0</v>
      </c>
      <c r="S12" s="3">
        <f t="shared" si="3"/>
        <v>62</v>
      </c>
      <c r="T12" s="3">
        <f t="shared" si="4"/>
        <v>907.89999999999975</v>
      </c>
      <c r="U12" s="24" t="s">
        <v>1081</v>
      </c>
      <c r="V12" s="24" t="s">
        <v>1081</v>
      </c>
      <c r="W12" s="3"/>
      <c r="X12" s="3" t="s">
        <v>4314</v>
      </c>
      <c r="Y12" s="3" t="s">
        <v>4316</v>
      </c>
      <c r="Z12" s="3"/>
      <c r="AA12" s="3"/>
      <c r="AB12" s="3"/>
      <c r="AC12" s="3" t="str">
        <f>IF(Caja_Arequipa[[#This Row],[FECHA]]&gt;0,TEXT(Caja_Arequipa[[#This Row],[FECHA]],"mmmm"),0)</f>
        <v>Enero</v>
      </c>
    </row>
    <row r="13" spans="2:29" x14ac:dyDescent="0.3">
      <c r="B13" s="2">
        <f>IF(Caja_Arequipa[[#This Row],[TIPO DE R.]]="R",COUNTIFS($D$4:$D12,"R")+1,"")</f>
        <v>9</v>
      </c>
      <c r="C13" s="19" t="str">
        <f t="shared" si="0"/>
        <v>C-Tesoreria</v>
      </c>
      <c r="D13" s="3" t="s">
        <v>1074</v>
      </c>
      <c r="E13" s="14">
        <v>45665</v>
      </c>
      <c r="F13" s="5" t="s">
        <v>1131</v>
      </c>
      <c r="G13" s="5" t="s">
        <v>1079</v>
      </c>
      <c r="H13" s="3" t="s">
        <v>4314</v>
      </c>
      <c r="I13" s="6"/>
      <c r="J13" s="6"/>
      <c r="K13" s="6"/>
      <c r="L13" s="6"/>
      <c r="M13" s="7" t="s">
        <v>4317</v>
      </c>
      <c r="N13" s="8" t="str">
        <f>IF(Caja_Arequipa[[#This Row],[TIPO DE R.]]="R","001-"&amp;12002+B13,N12)</f>
        <v>001-12011</v>
      </c>
      <c r="O13" s="8" t="str">
        <f t="shared" si="5"/>
        <v>PEN</v>
      </c>
      <c r="P13" s="13"/>
      <c r="Q13" s="13">
        <v>20</v>
      </c>
      <c r="R13" s="3">
        <f t="shared" si="2"/>
        <v>0</v>
      </c>
      <c r="S13" s="3">
        <f t="shared" si="3"/>
        <v>20</v>
      </c>
      <c r="T13" s="3">
        <f t="shared" si="4"/>
        <v>887.89999999999975</v>
      </c>
      <c r="U13" s="24" t="s">
        <v>1081</v>
      </c>
      <c r="V13" s="24" t="s">
        <v>1081</v>
      </c>
      <c r="W13" s="3"/>
      <c r="X13" s="3" t="s">
        <v>4314</v>
      </c>
      <c r="Y13" s="3" t="s">
        <v>4318</v>
      </c>
      <c r="Z13" s="3"/>
      <c r="AA13" s="3"/>
      <c r="AB13" s="3"/>
      <c r="AC13" s="3" t="str">
        <f>IF(Caja_Arequipa[[#This Row],[FECHA]]&gt;0,TEXT(Caja_Arequipa[[#This Row],[FECHA]],"mmmm"),0)</f>
        <v>Enero</v>
      </c>
    </row>
    <row r="14" spans="2:29" x14ac:dyDescent="0.3">
      <c r="B14" s="2">
        <f>IF(Caja_Arequipa[[#This Row],[TIPO DE R.]]="R",COUNTIFS($D$4:$D13,"R")+1,"")</f>
        <v>10</v>
      </c>
      <c r="C14" s="19" t="str">
        <f t="shared" si="0"/>
        <v>C-Tesoreria</v>
      </c>
      <c r="D14" s="3" t="s">
        <v>1074</v>
      </c>
      <c r="E14" s="14">
        <v>45665</v>
      </c>
      <c r="F14" s="5" t="s">
        <v>1131</v>
      </c>
      <c r="G14" s="5" t="s">
        <v>1079</v>
      </c>
      <c r="H14" s="3" t="s">
        <v>4314</v>
      </c>
      <c r="I14" s="6"/>
      <c r="J14" s="6"/>
      <c r="K14" s="6"/>
      <c r="L14" s="6"/>
      <c r="M14" s="7" t="s">
        <v>4319</v>
      </c>
      <c r="N14" s="8" t="str">
        <f>IF(Caja_Arequipa[[#This Row],[TIPO DE R.]]="R","001-"&amp;12002+B14,N13)</f>
        <v>001-12012</v>
      </c>
      <c r="O14" s="8" t="str">
        <f t="shared" si="5"/>
        <v>PEN</v>
      </c>
      <c r="P14" s="13"/>
      <c r="Q14" s="13">
        <v>38</v>
      </c>
      <c r="R14" s="3">
        <f t="shared" si="2"/>
        <v>0</v>
      </c>
      <c r="S14" s="3">
        <f t="shared" si="3"/>
        <v>38</v>
      </c>
      <c r="T14" s="3">
        <f t="shared" si="4"/>
        <v>849.89999999999975</v>
      </c>
      <c r="U14" s="24" t="s">
        <v>1081</v>
      </c>
      <c r="V14" s="24" t="s">
        <v>1081</v>
      </c>
      <c r="W14" s="3"/>
      <c r="X14" s="3" t="s">
        <v>4314</v>
      </c>
      <c r="Y14" s="3" t="s">
        <v>4320</v>
      </c>
      <c r="Z14" s="3"/>
      <c r="AA14" s="3"/>
      <c r="AB14" s="3"/>
      <c r="AC14" s="3" t="str">
        <f>IF(Caja_Arequipa[[#This Row],[FECHA]]&gt;0,TEXT(Caja_Arequipa[[#This Row],[FECHA]],"mmmm"),0)</f>
        <v>Enero</v>
      </c>
    </row>
    <row r="15" spans="2:29" x14ac:dyDescent="0.3">
      <c r="B15" s="2">
        <f>IF(Caja_Arequipa[[#This Row],[TIPO DE R.]]="R",COUNTIFS($D$4:$D14,"R")+1,"")</f>
        <v>11</v>
      </c>
      <c r="C15" s="19" t="str">
        <f t="shared" si="0"/>
        <v>C-Tesoreria</v>
      </c>
      <c r="D15" s="3" t="s">
        <v>1074</v>
      </c>
      <c r="E15" s="14">
        <v>45665</v>
      </c>
      <c r="F15" s="5" t="s">
        <v>1131</v>
      </c>
      <c r="G15" s="5" t="s">
        <v>1079</v>
      </c>
      <c r="H15" s="3" t="s">
        <v>4314</v>
      </c>
      <c r="I15" s="6"/>
      <c r="J15" s="6"/>
      <c r="K15" s="6"/>
      <c r="L15" s="6"/>
      <c r="M15" s="7" t="s">
        <v>4321</v>
      </c>
      <c r="N15" s="8" t="str">
        <f>IF(Caja_Arequipa[[#This Row],[TIPO DE R.]]="R","001-"&amp;12002+B15,N14)</f>
        <v>001-12013</v>
      </c>
      <c r="O15" s="8" t="str">
        <f t="shared" si="5"/>
        <v>PEN</v>
      </c>
      <c r="P15" s="13"/>
      <c r="Q15" s="13">
        <v>10</v>
      </c>
      <c r="R15" s="3">
        <f t="shared" si="2"/>
        <v>0</v>
      </c>
      <c r="S15" s="3">
        <f t="shared" si="3"/>
        <v>10</v>
      </c>
      <c r="T15" s="3">
        <f t="shared" si="4"/>
        <v>839.89999999999975</v>
      </c>
      <c r="U15" s="24" t="s">
        <v>1081</v>
      </c>
      <c r="V15" s="24" t="s">
        <v>1081</v>
      </c>
      <c r="W15" s="3"/>
      <c r="X15" s="3" t="s">
        <v>4314</v>
      </c>
      <c r="Y15" s="3" t="s">
        <v>4322</v>
      </c>
      <c r="Z15" s="3"/>
      <c r="AA15" s="3"/>
      <c r="AB15" s="3"/>
      <c r="AC15" s="3" t="str">
        <f>IF(Caja_Arequipa[[#This Row],[FECHA]]&gt;0,TEXT(Caja_Arequipa[[#This Row],[FECHA]],"mmmm"),0)</f>
        <v>Enero</v>
      </c>
    </row>
    <row r="16" spans="2:29" x14ac:dyDescent="0.3">
      <c r="B16" s="2">
        <f>IF(Caja_Arequipa[[#This Row],[TIPO DE R.]]="R",COUNTIFS($D$4:$D15,"R")+1,"")</f>
        <v>12</v>
      </c>
      <c r="C16" s="19" t="str">
        <f t="shared" si="0"/>
        <v>C-Tesoreria</v>
      </c>
      <c r="D16" s="3" t="s">
        <v>1074</v>
      </c>
      <c r="E16" s="14">
        <v>45665</v>
      </c>
      <c r="F16" s="5" t="s">
        <v>1131</v>
      </c>
      <c r="G16" s="5" t="s">
        <v>1079</v>
      </c>
      <c r="H16" s="3" t="s">
        <v>4314</v>
      </c>
      <c r="I16" s="6"/>
      <c r="J16" s="6"/>
      <c r="K16" s="6"/>
      <c r="L16" s="6"/>
      <c r="M16" s="7" t="s">
        <v>4323</v>
      </c>
      <c r="N16" s="8" t="str">
        <f>IF(Caja_Arequipa[[#This Row],[TIPO DE R.]]="R","001-"&amp;12002+B16,N15)</f>
        <v>001-12014</v>
      </c>
      <c r="O16" s="8" t="str">
        <f t="shared" si="5"/>
        <v>PEN</v>
      </c>
      <c r="P16" s="13"/>
      <c r="Q16" s="13">
        <v>10</v>
      </c>
      <c r="R16" s="3">
        <f t="shared" si="2"/>
        <v>0</v>
      </c>
      <c r="S16" s="3">
        <f t="shared" si="3"/>
        <v>10</v>
      </c>
      <c r="T16" s="3">
        <f t="shared" si="4"/>
        <v>829.89999999999975</v>
      </c>
      <c r="U16" s="24" t="s">
        <v>1081</v>
      </c>
      <c r="V16" s="24" t="s">
        <v>1081</v>
      </c>
      <c r="W16" s="3"/>
      <c r="X16" s="3" t="s">
        <v>4314</v>
      </c>
      <c r="Y16" s="3" t="s">
        <v>4324</v>
      </c>
      <c r="Z16" s="3"/>
      <c r="AA16" s="3"/>
      <c r="AB16" s="3"/>
      <c r="AC16" s="3" t="str">
        <f>IF(Caja_Arequipa[[#This Row],[FECHA]]&gt;0,TEXT(Caja_Arequipa[[#This Row],[FECHA]],"mmmm"),0)</f>
        <v>Enero</v>
      </c>
    </row>
    <row r="17" spans="2:29" x14ac:dyDescent="0.3">
      <c r="B17" s="2">
        <f>IF(Caja_Arequipa[[#This Row],[TIPO DE R.]]="R",COUNTIFS($D$4:$D16,"R")+1,"")</f>
        <v>13</v>
      </c>
      <c r="C17" s="19" t="str">
        <f t="shared" si="0"/>
        <v>C-Tesoreria</v>
      </c>
      <c r="D17" s="3" t="s">
        <v>1074</v>
      </c>
      <c r="E17" s="14">
        <v>45665</v>
      </c>
      <c r="F17" s="5" t="s">
        <v>1131</v>
      </c>
      <c r="G17" s="5" t="s">
        <v>1079</v>
      </c>
      <c r="H17" s="3" t="s">
        <v>4314</v>
      </c>
      <c r="I17" s="6"/>
      <c r="J17" s="6"/>
      <c r="K17" s="6"/>
      <c r="L17" s="6"/>
      <c r="M17" s="7" t="s">
        <v>4325</v>
      </c>
      <c r="N17" s="8" t="str">
        <f>IF(Caja_Arequipa[[#This Row],[TIPO DE R.]]="R","001-"&amp;12002+B17,N16)</f>
        <v>001-12015</v>
      </c>
      <c r="O17" s="8" t="str">
        <f t="shared" si="5"/>
        <v>PEN</v>
      </c>
      <c r="P17" s="13"/>
      <c r="Q17" s="13">
        <v>48</v>
      </c>
      <c r="R17" s="3">
        <f t="shared" si="2"/>
        <v>0</v>
      </c>
      <c r="S17" s="3">
        <f t="shared" si="3"/>
        <v>48</v>
      </c>
      <c r="T17" s="3">
        <f t="shared" si="4"/>
        <v>781.89999999999975</v>
      </c>
      <c r="U17" s="24" t="s">
        <v>1081</v>
      </c>
      <c r="V17" s="24" t="s">
        <v>1081</v>
      </c>
      <c r="W17" s="3"/>
      <c r="X17" s="3" t="s">
        <v>4314</v>
      </c>
      <c r="Y17" s="3" t="s">
        <v>4326</v>
      </c>
      <c r="Z17" s="3"/>
      <c r="AA17" s="3"/>
      <c r="AB17" s="3"/>
      <c r="AC17" s="3" t="str">
        <f>IF(Caja_Arequipa[[#This Row],[FECHA]]&gt;0,TEXT(Caja_Arequipa[[#This Row],[FECHA]],"mmmm"),0)</f>
        <v>Enero</v>
      </c>
    </row>
    <row r="18" spans="2:29" x14ac:dyDescent="0.3">
      <c r="B18" s="2">
        <f>IF(Caja_Arequipa[[#This Row],[TIPO DE R.]]="R",COUNTIFS($D$4:$D17,"R")+1,"")</f>
        <v>14</v>
      </c>
      <c r="C18" s="19" t="str">
        <f t="shared" si="0"/>
        <v>C-Tesoreria</v>
      </c>
      <c r="D18" s="3" t="s">
        <v>1074</v>
      </c>
      <c r="E18" s="14">
        <v>45665</v>
      </c>
      <c r="F18" s="5" t="s">
        <v>1131</v>
      </c>
      <c r="G18" s="5" t="s">
        <v>1079</v>
      </c>
      <c r="H18" s="3" t="s">
        <v>4314</v>
      </c>
      <c r="I18" s="6"/>
      <c r="J18" s="6"/>
      <c r="K18" s="6"/>
      <c r="L18" s="6"/>
      <c r="M18" s="7" t="s">
        <v>4327</v>
      </c>
      <c r="N18" s="8" t="str">
        <f>IF(Caja_Arequipa[[#This Row],[TIPO DE R.]]="R","001-"&amp;12002+B18,N17)</f>
        <v>001-12016</v>
      </c>
      <c r="O18" s="8" t="str">
        <f t="shared" si="5"/>
        <v>PEN</v>
      </c>
      <c r="P18" s="13"/>
      <c r="Q18" s="13">
        <v>5</v>
      </c>
      <c r="R18" s="3">
        <f t="shared" si="2"/>
        <v>0</v>
      </c>
      <c r="S18" s="3">
        <f t="shared" si="3"/>
        <v>5</v>
      </c>
      <c r="T18" s="3">
        <f t="shared" si="4"/>
        <v>776.89999999999975</v>
      </c>
      <c r="U18" s="24" t="s">
        <v>1081</v>
      </c>
      <c r="V18" s="24" t="s">
        <v>1081</v>
      </c>
      <c r="W18" s="3"/>
      <c r="X18" s="3" t="s">
        <v>4314</v>
      </c>
      <c r="Y18" s="3" t="s">
        <v>4328</v>
      </c>
      <c r="Z18" s="3"/>
      <c r="AA18" s="3"/>
      <c r="AB18" s="3"/>
      <c r="AC18" s="3" t="str">
        <f>IF(Caja_Arequipa[[#This Row],[FECHA]]&gt;0,TEXT(Caja_Arequipa[[#This Row],[FECHA]],"mmmm"),0)</f>
        <v>Enero</v>
      </c>
    </row>
    <row r="19" spans="2:29" ht="24" x14ac:dyDescent="0.3">
      <c r="B19" s="2">
        <f>IF(Caja_Arequipa[[#This Row],[TIPO DE R.]]="R",COUNTIFS($D$4:$D18,"R")+1,"")</f>
        <v>15</v>
      </c>
      <c r="C19" s="19" t="str">
        <f t="shared" si="0"/>
        <v>C-Tesoreria</v>
      </c>
      <c r="D19" s="3" t="s">
        <v>1074</v>
      </c>
      <c r="E19" s="14">
        <v>45665</v>
      </c>
      <c r="F19" s="5" t="s">
        <v>1131</v>
      </c>
      <c r="G19" s="5" t="s">
        <v>1079</v>
      </c>
      <c r="H19" s="3" t="s">
        <v>4329</v>
      </c>
      <c r="I19" s="6"/>
      <c r="J19" s="6"/>
      <c r="K19" s="6"/>
      <c r="L19" s="6"/>
      <c r="M19" s="7" t="s">
        <v>4330</v>
      </c>
      <c r="N19" s="8" t="str">
        <f>IF(Caja_Arequipa[[#This Row],[TIPO DE R.]]="R","001-"&amp;12002+B19,N18)</f>
        <v>001-12017</v>
      </c>
      <c r="O19" s="8" t="str">
        <f t="shared" si="5"/>
        <v>PEN</v>
      </c>
      <c r="P19" s="13"/>
      <c r="Q19" s="13">
        <v>45</v>
      </c>
      <c r="R19" s="3">
        <f t="shared" si="2"/>
        <v>0</v>
      </c>
      <c r="S19" s="3">
        <f t="shared" si="3"/>
        <v>45</v>
      </c>
      <c r="T19" s="3">
        <f t="shared" si="4"/>
        <v>731.89999999999975</v>
      </c>
      <c r="U19" s="24" t="s">
        <v>1081</v>
      </c>
      <c r="V19" s="24" t="s">
        <v>1081</v>
      </c>
      <c r="W19" s="3"/>
      <c r="X19" s="3" t="s">
        <v>4329</v>
      </c>
      <c r="Y19" s="3" t="s">
        <v>4331</v>
      </c>
      <c r="Z19" s="3"/>
      <c r="AA19" s="3"/>
      <c r="AB19" s="3"/>
      <c r="AC19" s="3" t="str">
        <f>IF(Caja_Arequipa[[#This Row],[FECHA]]&gt;0,TEXT(Caja_Arequipa[[#This Row],[FECHA]],"mmmm"),0)</f>
        <v>Enero</v>
      </c>
    </row>
    <row r="20" spans="2:29" ht="24" x14ac:dyDescent="0.3">
      <c r="B20" s="2">
        <f>IF(Caja_Arequipa[[#This Row],[TIPO DE R.]]="R",COUNTIFS($D$4:$D19,"R")+1,"")</f>
        <v>16</v>
      </c>
      <c r="C20" s="19" t="str">
        <f t="shared" si="0"/>
        <v>C-Tesoreria</v>
      </c>
      <c r="D20" s="3" t="s">
        <v>1074</v>
      </c>
      <c r="E20" s="14">
        <v>45666</v>
      </c>
      <c r="F20" s="5" t="s">
        <v>1131</v>
      </c>
      <c r="G20" s="5" t="s">
        <v>1087</v>
      </c>
      <c r="H20" s="3" t="s">
        <v>3353</v>
      </c>
      <c r="I20" s="6"/>
      <c r="J20" s="6"/>
      <c r="K20" s="6"/>
      <c r="L20" s="6"/>
      <c r="M20" s="7" t="s">
        <v>4332</v>
      </c>
      <c r="N20" s="8" t="str">
        <f>IF(Caja_Arequipa[[#This Row],[TIPO DE R.]]="R","001-"&amp;12002+B20,N19)</f>
        <v>001-12018</v>
      </c>
      <c r="O20" s="8" t="str">
        <f t="shared" si="5"/>
        <v>PEN</v>
      </c>
      <c r="P20" s="13"/>
      <c r="Q20" s="13">
        <v>50</v>
      </c>
      <c r="R20" s="3">
        <f t="shared" si="2"/>
        <v>50</v>
      </c>
      <c r="S20" s="3">
        <f t="shared" si="3"/>
        <v>0</v>
      </c>
      <c r="T20" s="3">
        <f t="shared" si="4"/>
        <v>781.89999999999975</v>
      </c>
      <c r="U20" s="24"/>
      <c r="V20" s="24" t="s">
        <v>1081</v>
      </c>
      <c r="W20" s="3"/>
      <c r="X20" s="3" t="s">
        <v>3353</v>
      </c>
      <c r="Y20" s="3"/>
      <c r="Z20" s="3"/>
      <c r="AA20" s="3"/>
      <c r="AB20" s="3"/>
      <c r="AC20" s="3" t="str">
        <f>IF(Caja_Arequipa[[#This Row],[FECHA]]&gt;0,TEXT(Caja_Arequipa[[#This Row],[FECHA]],"mmmm"),0)</f>
        <v>Enero</v>
      </c>
    </row>
    <row r="21" spans="2:29" ht="24" x14ac:dyDescent="0.3">
      <c r="B21" s="2">
        <f>IF(Caja_Arequipa[[#This Row],[TIPO DE R.]]="R",COUNTIFS($D$4:$D20,"R")+1,"")</f>
        <v>17</v>
      </c>
      <c r="C21" s="19" t="str">
        <f t="shared" si="0"/>
        <v>C-Tesoreria</v>
      </c>
      <c r="D21" s="3" t="s">
        <v>1074</v>
      </c>
      <c r="E21" s="14">
        <v>45666</v>
      </c>
      <c r="F21" s="5" t="s">
        <v>1131</v>
      </c>
      <c r="G21" s="5" t="s">
        <v>1087</v>
      </c>
      <c r="H21" s="3" t="s">
        <v>4329</v>
      </c>
      <c r="I21" s="6"/>
      <c r="J21" s="6"/>
      <c r="K21" s="6"/>
      <c r="L21" s="6"/>
      <c r="M21" s="7" t="s">
        <v>4333</v>
      </c>
      <c r="N21" s="8" t="str">
        <f>IF(Caja_Arequipa[[#This Row],[TIPO DE R.]]="R","001-"&amp;12002+B21,N20)</f>
        <v>001-12019</v>
      </c>
      <c r="O21" s="8" t="str">
        <f t="shared" si="5"/>
        <v>PEN</v>
      </c>
      <c r="P21" s="13"/>
      <c r="Q21" s="13">
        <v>14</v>
      </c>
      <c r="R21" s="3">
        <f t="shared" si="2"/>
        <v>14</v>
      </c>
      <c r="S21" s="3">
        <f t="shared" si="3"/>
        <v>0</v>
      </c>
      <c r="T21" s="3">
        <f t="shared" si="4"/>
        <v>795.89999999999975</v>
      </c>
      <c r="U21" s="24"/>
      <c r="V21" s="24" t="s">
        <v>1081</v>
      </c>
      <c r="W21" s="3"/>
      <c r="X21" s="3" t="s">
        <v>4329</v>
      </c>
      <c r="Y21" s="3" t="s">
        <v>4331</v>
      </c>
      <c r="Z21" s="3"/>
      <c r="AA21" s="3"/>
      <c r="AB21" s="3"/>
      <c r="AC21" s="3" t="str">
        <f>IF(Caja_Arequipa[[#This Row],[FECHA]]&gt;0,TEXT(Caja_Arequipa[[#This Row],[FECHA]],"mmmm"),0)</f>
        <v>Enero</v>
      </c>
    </row>
    <row r="22" spans="2:29" ht="24" x14ac:dyDescent="0.3">
      <c r="B22" s="2">
        <f>IF(Caja_Arequipa[[#This Row],[TIPO DE R.]]="R",COUNTIFS($D$4:$D21,"R")+1,"")</f>
        <v>18</v>
      </c>
      <c r="C22" s="19" t="str">
        <f t="shared" si="0"/>
        <v>C-Tesoreria</v>
      </c>
      <c r="D22" s="3" t="s">
        <v>1074</v>
      </c>
      <c r="E22" s="14">
        <v>45666</v>
      </c>
      <c r="F22" s="5" t="s">
        <v>1131</v>
      </c>
      <c r="G22" s="5" t="s">
        <v>1079</v>
      </c>
      <c r="H22" s="3" t="s">
        <v>4334</v>
      </c>
      <c r="I22" s="6"/>
      <c r="J22" s="6"/>
      <c r="K22" s="6"/>
      <c r="L22" s="6"/>
      <c r="M22" s="7" t="s">
        <v>4335</v>
      </c>
      <c r="N22" s="8" t="str">
        <f>IF(Caja_Arequipa[[#This Row],[TIPO DE R.]]="R","001-"&amp;12002+B22,N21)</f>
        <v>001-12020</v>
      </c>
      <c r="O22" s="8" t="str">
        <f t="shared" si="5"/>
        <v>PEN</v>
      </c>
      <c r="P22" s="13"/>
      <c r="Q22" s="13">
        <v>46</v>
      </c>
      <c r="R22" s="3">
        <f t="shared" si="2"/>
        <v>0</v>
      </c>
      <c r="S22" s="3">
        <f t="shared" si="3"/>
        <v>46</v>
      </c>
      <c r="T22" s="3">
        <f t="shared" si="4"/>
        <v>749.89999999999975</v>
      </c>
      <c r="U22" s="24" t="s">
        <v>1081</v>
      </c>
      <c r="V22" s="24" t="s">
        <v>1081</v>
      </c>
      <c r="W22" s="3"/>
      <c r="X22" s="3" t="s">
        <v>4334</v>
      </c>
      <c r="Y22" s="3" t="s">
        <v>4336</v>
      </c>
      <c r="Z22" s="3"/>
      <c r="AA22" s="3"/>
      <c r="AB22" s="3"/>
      <c r="AC22" s="3" t="str">
        <f>IF(Caja_Arequipa[[#This Row],[FECHA]]&gt;0,TEXT(Caja_Arequipa[[#This Row],[FECHA]],"mmmm"),0)</f>
        <v>Enero</v>
      </c>
    </row>
    <row r="23" spans="2:29" ht="24" x14ac:dyDescent="0.3">
      <c r="B23" s="2">
        <f>IF(Caja_Arequipa[[#This Row],[TIPO DE R.]]="R",COUNTIFS($D$4:$D22,"R")+1,"")</f>
        <v>19</v>
      </c>
      <c r="C23" s="19" t="str">
        <f t="shared" si="0"/>
        <v>C-Tesoreria</v>
      </c>
      <c r="D23" s="3" t="s">
        <v>1074</v>
      </c>
      <c r="E23" s="14">
        <v>45666</v>
      </c>
      <c r="F23" s="5" t="s">
        <v>1131</v>
      </c>
      <c r="G23" s="5" t="s">
        <v>1079</v>
      </c>
      <c r="H23" s="3" t="s">
        <v>3016</v>
      </c>
      <c r="I23" s="6"/>
      <c r="J23" s="6"/>
      <c r="K23" s="6"/>
      <c r="L23" s="6"/>
      <c r="M23" s="7" t="s">
        <v>4337</v>
      </c>
      <c r="N23" s="8" t="str">
        <f>IF(Caja_Arequipa[[#This Row],[TIPO DE R.]]="R","001-"&amp;12002+B23,N22)</f>
        <v>001-12021</v>
      </c>
      <c r="O23" s="8" t="str">
        <f t="shared" si="5"/>
        <v>PEN</v>
      </c>
      <c r="P23" s="13"/>
      <c r="Q23" s="13">
        <v>95.9</v>
      </c>
      <c r="R23" s="3">
        <f t="shared" si="2"/>
        <v>0</v>
      </c>
      <c r="S23" s="3">
        <f t="shared" si="3"/>
        <v>95.9</v>
      </c>
      <c r="T23" s="3">
        <f t="shared" si="4"/>
        <v>653.99999999999977</v>
      </c>
      <c r="U23" s="24" t="s">
        <v>1081</v>
      </c>
      <c r="V23" s="24" t="s">
        <v>1081</v>
      </c>
      <c r="W23" s="3"/>
      <c r="X23" s="3" t="s">
        <v>3016</v>
      </c>
      <c r="Y23" s="3" t="s">
        <v>4338</v>
      </c>
      <c r="Z23" s="3"/>
      <c r="AA23" s="3"/>
      <c r="AB23" s="3"/>
      <c r="AC23" s="3" t="str">
        <f>IF(Caja_Arequipa[[#This Row],[FECHA]]&gt;0,TEXT(Caja_Arequipa[[#This Row],[FECHA]],"mmmm"),0)</f>
        <v>Enero</v>
      </c>
    </row>
    <row r="24" spans="2:29" ht="24" x14ac:dyDescent="0.3">
      <c r="B24" s="2">
        <f>IF(Caja_Arequipa[[#This Row],[TIPO DE R.]]="R",COUNTIFS($D$4:$D23,"R")+1,"")</f>
        <v>20</v>
      </c>
      <c r="C24" s="19" t="str">
        <f t="shared" si="0"/>
        <v>C-Tesoreria</v>
      </c>
      <c r="D24" s="3" t="s">
        <v>1074</v>
      </c>
      <c r="E24" s="14">
        <v>45666</v>
      </c>
      <c r="F24" s="5" t="s">
        <v>1131</v>
      </c>
      <c r="G24" s="5" t="s">
        <v>1079</v>
      </c>
      <c r="H24" s="3" t="s">
        <v>4305</v>
      </c>
      <c r="I24" s="6"/>
      <c r="J24" s="6"/>
      <c r="K24" s="6"/>
      <c r="L24" s="6"/>
      <c r="M24" s="7" t="s">
        <v>4339</v>
      </c>
      <c r="N24" s="8" t="str">
        <f>IF(Caja_Arequipa[[#This Row],[TIPO DE R.]]="R","001-"&amp;12002+B24,N23)</f>
        <v>001-12022</v>
      </c>
      <c r="O24" s="8" t="str">
        <f t="shared" si="5"/>
        <v>PEN</v>
      </c>
      <c r="P24" s="13"/>
      <c r="Q24" s="13">
        <v>17</v>
      </c>
      <c r="R24" s="3">
        <f t="shared" si="2"/>
        <v>0</v>
      </c>
      <c r="S24" s="3">
        <f t="shared" si="3"/>
        <v>17</v>
      </c>
      <c r="T24" s="3">
        <f t="shared" si="4"/>
        <v>636.99999999999977</v>
      </c>
      <c r="U24" s="24" t="s">
        <v>1081</v>
      </c>
      <c r="V24" s="24" t="s">
        <v>1081</v>
      </c>
      <c r="W24" s="3"/>
      <c r="X24" s="3" t="s">
        <v>4305</v>
      </c>
      <c r="Y24" s="3" t="s">
        <v>4340</v>
      </c>
      <c r="Z24" s="3"/>
      <c r="AA24" s="3"/>
      <c r="AB24" s="3"/>
      <c r="AC24" s="3" t="str">
        <f>IF(Caja_Arequipa[[#This Row],[FECHA]]&gt;0,TEXT(Caja_Arequipa[[#This Row],[FECHA]],"mmmm"),0)</f>
        <v>Enero</v>
      </c>
    </row>
    <row r="25" spans="2:29" x14ac:dyDescent="0.3">
      <c r="B25" s="2">
        <f>IF(Caja_Arequipa[[#This Row],[TIPO DE R.]]="R",COUNTIFS($D$4:$D24,"R")+1,"")</f>
        <v>21</v>
      </c>
      <c r="C25" s="19" t="str">
        <f t="shared" si="0"/>
        <v>C-Tesoreria</v>
      </c>
      <c r="D25" s="3" t="s">
        <v>1074</v>
      </c>
      <c r="E25" s="14">
        <v>45666</v>
      </c>
      <c r="F25" s="5" t="s">
        <v>1131</v>
      </c>
      <c r="G25" s="5" t="s">
        <v>1079</v>
      </c>
      <c r="H25" s="3" t="s">
        <v>4341</v>
      </c>
      <c r="I25" s="6"/>
      <c r="J25" s="6"/>
      <c r="K25" s="6"/>
      <c r="L25" s="6"/>
      <c r="M25" s="7" t="s">
        <v>4342</v>
      </c>
      <c r="N25" s="8" t="str">
        <f>IF(Caja_Arequipa[[#This Row],[TIPO DE R.]]="R","001-"&amp;12002+B25,N24)</f>
        <v>001-12023</v>
      </c>
      <c r="O25" s="8" t="str">
        <f t="shared" si="5"/>
        <v>PEN</v>
      </c>
      <c r="P25" s="13"/>
      <c r="Q25" s="13">
        <v>10</v>
      </c>
      <c r="R25" s="3">
        <f t="shared" si="2"/>
        <v>0</v>
      </c>
      <c r="S25" s="3">
        <f t="shared" si="3"/>
        <v>10</v>
      </c>
      <c r="T25" s="3">
        <f t="shared" si="4"/>
        <v>626.99999999999977</v>
      </c>
      <c r="U25" s="24" t="s">
        <v>1081</v>
      </c>
      <c r="V25" s="24" t="s">
        <v>1081</v>
      </c>
      <c r="W25" s="3"/>
      <c r="X25" s="3" t="s">
        <v>4341</v>
      </c>
      <c r="Y25" s="3" t="s">
        <v>4343</v>
      </c>
      <c r="Z25" s="3"/>
      <c r="AA25" s="3"/>
      <c r="AB25" s="3"/>
      <c r="AC25" s="3" t="str">
        <f>IF(Caja_Arequipa[[#This Row],[FECHA]]&gt;0,TEXT(Caja_Arequipa[[#This Row],[FECHA]],"mmmm"),0)</f>
        <v>Enero</v>
      </c>
    </row>
    <row r="26" spans="2:29" x14ac:dyDescent="0.3">
      <c r="B26" s="2">
        <f>IF(Caja_Arequipa[[#This Row],[TIPO DE R.]]="R",COUNTIFS($D$4:$D25,"R")+1,"")</f>
        <v>22</v>
      </c>
      <c r="C26" s="19" t="str">
        <f t="shared" si="0"/>
        <v>C-Tesoreria</v>
      </c>
      <c r="D26" s="3" t="s">
        <v>1074</v>
      </c>
      <c r="E26" s="14">
        <v>45666</v>
      </c>
      <c r="F26" s="5" t="s">
        <v>1131</v>
      </c>
      <c r="G26" s="5" t="s">
        <v>1079</v>
      </c>
      <c r="H26" s="3" t="s">
        <v>4341</v>
      </c>
      <c r="I26" s="6"/>
      <c r="J26" s="6"/>
      <c r="K26" s="6"/>
      <c r="L26" s="6"/>
      <c r="M26" s="7" t="s">
        <v>4342</v>
      </c>
      <c r="N26" s="8" t="str">
        <f>IF(Caja_Arequipa[[#This Row],[TIPO DE R.]]="R","001-"&amp;12002+B26,N25)</f>
        <v>001-12024</v>
      </c>
      <c r="O26" s="8" t="str">
        <f t="shared" si="5"/>
        <v>PEN</v>
      </c>
      <c r="P26" s="13"/>
      <c r="Q26" s="13">
        <v>10</v>
      </c>
      <c r="R26" s="3">
        <f t="shared" si="2"/>
        <v>0</v>
      </c>
      <c r="S26" s="3">
        <f t="shared" si="3"/>
        <v>10</v>
      </c>
      <c r="T26" s="3">
        <f t="shared" si="4"/>
        <v>616.99999999999977</v>
      </c>
      <c r="U26" s="24" t="s">
        <v>1081</v>
      </c>
      <c r="V26" s="24" t="s">
        <v>1081</v>
      </c>
      <c r="W26" s="3"/>
      <c r="X26" s="3" t="s">
        <v>4341</v>
      </c>
      <c r="Y26" s="3" t="s">
        <v>4344</v>
      </c>
      <c r="Z26" s="3"/>
      <c r="AA26" s="3"/>
      <c r="AB26" s="3"/>
      <c r="AC26" s="3" t="str">
        <f>IF(Caja_Arequipa[[#This Row],[FECHA]]&gt;0,TEXT(Caja_Arequipa[[#This Row],[FECHA]],"mmmm"),0)</f>
        <v>Enero</v>
      </c>
    </row>
    <row r="27" spans="2:29" x14ac:dyDescent="0.3">
      <c r="B27" s="2">
        <f>IF(Caja_Arequipa[[#This Row],[TIPO DE R.]]="R",COUNTIFS($D$4:$D26,"R")+1,"")</f>
        <v>23</v>
      </c>
      <c r="C27" s="19" t="str">
        <f t="shared" si="0"/>
        <v>C-Tesoreria</v>
      </c>
      <c r="D27" s="3" t="s">
        <v>1074</v>
      </c>
      <c r="E27" s="14">
        <v>45666</v>
      </c>
      <c r="F27" s="5" t="s">
        <v>1131</v>
      </c>
      <c r="G27" s="5" t="s">
        <v>1079</v>
      </c>
      <c r="H27" s="3" t="s">
        <v>4341</v>
      </c>
      <c r="I27" s="6"/>
      <c r="J27" s="6"/>
      <c r="K27" s="6"/>
      <c r="L27" s="6"/>
      <c r="M27" s="7" t="s">
        <v>4342</v>
      </c>
      <c r="N27" s="8" t="str">
        <f>IF(Caja_Arequipa[[#This Row],[TIPO DE R.]]="R","001-"&amp;12002+B27,N26)</f>
        <v>001-12025</v>
      </c>
      <c r="O27" s="8" t="str">
        <f t="shared" si="5"/>
        <v>PEN</v>
      </c>
      <c r="P27" s="13"/>
      <c r="Q27" s="13">
        <v>10</v>
      </c>
      <c r="R27" s="3">
        <f t="shared" si="2"/>
        <v>0</v>
      </c>
      <c r="S27" s="3">
        <f t="shared" si="3"/>
        <v>10</v>
      </c>
      <c r="T27" s="3">
        <f t="shared" si="4"/>
        <v>606.99999999999977</v>
      </c>
      <c r="U27" s="24" t="s">
        <v>1081</v>
      </c>
      <c r="V27" s="24" t="s">
        <v>1081</v>
      </c>
      <c r="W27" s="3"/>
      <c r="X27" s="3" t="s">
        <v>4341</v>
      </c>
      <c r="Y27" s="3" t="s">
        <v>4345</v>
      </c>
      <c r="Z27" s="3"/>
      <c r="AA27" s="3"/>
      <c r="AB27" s="3"/>
      <c r="AC27" s="3" t="str">
        <f>IF(Caja_Arequipa[[#This Row],[FECHA]]&gt;0,TEXT(Caja_Arequipa[[#This Row],[FECHA]],"mmmm"),0)</f>
        <v>Enero</v>
      </c>
    </row>
    <row r="28" spans="2:29" x14ac:dyDescent="0.3">
      <c r="B28" s="2">
        <f>IF(Caja_Arequipa[[#This Row],[TIPO DE R.]]="R",COUNTIFS($D$4:$D27,"R")+1,"")</f>
        <v>24</v>
      </c>
      <c r="C28" s="19" t="str">
        <f t="shared" si="0"/>
        <v>C-Tesoreria</v>
      </c>
      <c r="D28" s="3" t="s">
        <v>1074</v>
      </c>
      <c r="E28" s="14">
        <v>45666</v>
      </c>
      <c r="F28" s="5" t="s">
        <v>1131</v>
      </c>
      <c r="G28" s="5" t="s">
        <v>1079</v>
      </c>
      <c r="H28" s="3" t="s">
        <v>4341</v>
      </c>
      <c r="I28" s="6"/>
      <c r="J28" s="6"/>
      <c r="K28" s="6"/>
      <c r="L28" s="6"/>
      <c r="M28" s="7" t="s">
        <v>4342</v>
      </c>
      <c r="N28" s="8" t="str">
        <f>IF(Caja_Arequipa[[#This Row],[TIPO DE R.]]="R","001-"&amp;12002+B28,N27)</f>
        <v>001-12026</v>
      </c>
      <c r="O28" s="8" t="str">
        <f t="shared" si="5"/>
        <v>PEN</v>
      </c>
      <c r="P28" s="13"/>
      <c r="Q28" s="13">
        <v>10</v>
      </c>
      <c r="R28" s="3">
        <f t="shared" si="2"/>
        <v>0</v>
      </c>
      <c r="S28" s="3">
        <f t="shared" si="3"/>
        <v>10</v>
      </c>
      <c r="T28" s="3">
        <f t="shared" si="4"/>
        <v>596.99999999999977</v>
      </c>
      <c r="U28" s="24" t="s">
        <v>1081</v>
      </c>
      <c r="V28" s="24" t="s">
        <v>1081</v>
      </c>
      <c r="W28" s="3"/>
      <c r="X28" s="3" t="s">
        <v>4341</v>
      </c>
      <c r="Y28" s="3" t="s">
        <v>4346</v>
      </c>
      <c r="Z28" s="3"/>
      <c r="AA28" s="3"/>
      <c r="AB28" s="3"/>
      <c r="AC28" s="3" t="str">
        <f>IF(Caja_Arequipa[[#This Row],[FECHA]]&gt;0,TEXT(Caja_Arequipa[[#This Row],[FECHA]],"mmmm"),0)</f>
        <v>Enero</v>
      </c>
    </row>
    <row r="29" spans="2:29" ht="24" x14ac:dyDescent="0.3">
      <c r="B29" s="2">
        <f>IF(Caja_Arequipa[[#This Row],[TIPO DE R.]]="R",COUNTIFS($D$4:$D28,"R")+1,"")</f>
        <v>25</v>
      </c>
      <c r="C29" s="19" t="str">
        <f t="shared" si="0"/>
        <v>C-Tesoreria</v>
      </c>
      <c r="D29" s="3" t="s">
        <v>1074</v>
      </c>
      <c r="E29" s="14">
        <v>45666</v>
      </c>
      <c r="F29" s="5" t="s">
        <v>1131</v>
      </c>
      <c r="G29" s="5" t="s">
        <v>1079</v>
      </c>
      <c r="H29" s="3" t="s">
        <v>3016</v>
      </c>
      <c r="I29" s="6"/>
      <c r="J29" s="6"/>
      <c r="K29" s="6"/>
      <c r="L29" s="6"/>
      <c r="M29" s="7" t="s">
        <v>4347</v>
      </c>
      <c r="N29" s="8" t="str">
        <f>IF(Caja_Arequipa[[#This Row],[TIPO DE R.]]="R","001-"&amp;12002+B29,N28)</f>
        <v>001-12027</v>
      </c>
      <c r="O29" s="8" t="str">
        <f t="shared" si="5"/>
        <v>PEN</v>
      </c>
      <c r="P29" s="13"/>
      <c r="Q29" s="13">
        <v>10</v>
      </c>
      <c r="R29" s="3">
        <f t="shared" si="2"/>
        <v>0</v>
      </c>
      <c r="S29" s="3">
        <f t="shared" si="3"/>
        <v>10</v>
      </c>
      <c r="T29" s="3">
        <f t="shared" si="4"/>
        <v>586.99999999999977</v>
      </c>
      <c r="U29" s="24" t="s">
        <v>1081</v>
      </c>
      <c r="V29" s="24" t="s">
        <v>1081</v>
      </c>
      <c r="W29" s="3"/>
      <c r="X29" s="3" t="s">
        <v>3016</v>
      </c>
      <c r="Y29" s="3" t="s">
        <v>4348</v>
      </c>
      <c r="Z29" s="3"/>
      <c r="AA29" s="3"/>
      <c r="AB29" s="3"/>
      <c r="AC29" s="3" t="str">
        <f>IF(Caja_Arequipa[[#This Row],[FECHA]]&gt;0,TEXT(Caja_Arequipa[[#This Row],[FECHA]],"mmmm"),0)</f>
        <v>Enero</v>
      </c>
    </row>
    <row r="30" spans="2:29" ht="24" x14ac:dyDescent="0.3">
      <c r="B30" s="2">
        <f>IF(Caja_Arequipa[[#This Row],[TIPO DE R.]]="R",COUNTIFS($D$4:$D29,"R")+1,"")</f>
        <v>26</v>
      </c>
      <c r="C30" s="19" t="str">
        <f t="shared" si="0"/>
        <v>C-Tesoreria</v>
      </c>
      <c r="D30" s="3" t="s">
        <v>1074</v>
      </c>
      <c r="E30" s="14">
        <v>45666</v>
      </c>
      <c r="F30" s="5" t="s">
        <v>1131</v>
      </c>
      <c r="G30" s="5" t="s">
        <v>1079</v>
      </c>
      <c r="H30" s="3" t="s">
        <v>4349</v>
      </c>
      <c r="I30" s="6"/>
      <c r="J30" s="6"/>
      <c r="K30" s="6"/>
      <c r="L30" s="6"/>
      <c r="M30" s="7" t="s">
        <v>4350</v>
      </c>
      <c r="N30" s="8" t="str">
        <f>IF(Caja_Arequipa[[#This Row],[TIPO DE R.]]="R","001-"&amp;12002+B30,N29)</f>
        <v>001-12028</v>
      </c>
      <c r="O30" s="8" t="str">
        <f t="shared" si="5"/>
        <v>PEN</v>
      </c>
      <c r="P30" s="13"/>
      <c r="Q30" s="13">
        <v>12</v>
      </c>
      <c r="R30" s="3">
        <f t="shared" si="2"/>
        <v>0</v>
      </c>
      <c r="S30" s="3">
        <f t="shared" si="3"/>
        <v>12</v>
      </c>
      <c r="T30" s="3">
        <f t="shared" si="4"/>
        <v>574.99999999999977</v>
      </c>
      <c r="U30" s="24" t="s">
        <v>1081</v>
      </c>
      <c r="V30" s="24" t="s">
        <v>1081</v>
      </c>
      <c r="W30" s="3"/>
      <c r="X30" s="3" t="s">
        <v>4349</v>
      </c>
      <c r="Y30" s="3" t="s">
        <v>4351</v>
      </c>
      <c r="Z30" s="3"/>
      <c r="AA30" s="3"/>
      <c r="AB30" s="3"/>
      <c r="AC30" s="3" t="str">
        <f>IF(Caja_Arequipa[[#This Row],[FECHA]]&gt;0,TEXT(Caja_Arequipa[[#This Row],[FECHA]],"mmmm"),0)</f>
        <v>Enero</v>
      </c>
    </row>
    <row r="31" spans="2:29" ht="24" x14ac:dyDescent="0.3">
      <c r="B31" s="2">
        <f>IF(Caja_Arequipa[[#This Row],[TIPO DE R.]]="R",COUNTIFS($D$4:$D30,"R")+1,"")</f>
        <v>27</v>
      </c>
      <c r="C31" s="19" t="str">
        <f t="shared" si="0"/>
        <v>C-Tesoreria</v>
      </c>
      <c r="D31" s="3" t="s">
        <v>1074</v>
      </c>
      <c r="E31" s="14">
        <v>45667</v>
      </c>
      <c r="F31" s="5" t="s">
        <v>1131</v>
      </c>
      <c r="G31" s="5" t="s">
        <v>1087</v>
      </c>
      <c r="H31" s="3" t="s">
        <v>3016</v>
      </c>
      <c r="I31" s="6"/>
      <c r="J31" s="6"/>
      <c r="K31" s="6"/>
      <c r="L31" s="6"/>
      <c r="M31" s="7" t="s">
        <v>4352</v>
      </c>
      <c r="N31" s="8" t="str">
        <f>IF(Caja_Arequipa[[#This Row],[TIPO DE R.]]="R","001-"&amp;12002+B31,N30)</f>
        <v>001-12029</v>
      </c>
      <c r="O31" s="8" t="str">
        <f t="shared" si="5"/>
        <v>PEN</v>
      </c>
      <c r="P31" s="13"/>
      <c r="Q31" s="13">
        <v>70</v>
      </c>
      <c r="R31" s="3">
        <f t="shared" si="2"/>
        <v>70</v>
      </c>
      <c r="S31" s="3">
        <f t="shared" si="3"/>
        <v>0</v>
      </c>
      <c r="T31" s="3">
        <f t="shared" si="4"/>
        <v>644.99999999999977</v>
      </c>
      <c r="U31" s="24"/>
      <c r="V31" s="24" t="s">
        <v>1081</v>
      </c>
      <c r="W31" s="3"/>
      <c r="X31" s="3" t="s">
        <v>3016</v>
      </c>
      <c r="Y31" s="3"/>
      <c r="Z31" s="3"/>
      <c r="AA31" s="3"/>
      <c r="AB31" s="3"/>
      <c r="AC31" s="3" t="str">
        <f>IF(Caja_Arequipa[[#This Row],[FECHA]]&gt;0,TEXT(Caja_Arequipa[[#This Row],[FECHA]],"mmmm"),0)</f>
        <v>Enero</v>
      </c>
    </row>
    <row r="32" spans="2:29" ht="24" x14ac:dyDescent="0.3">
      <c r="B32" s="2">
        <f>IF(Caja_Arequipa[[#This Row],[TIPO DE R.]]="R",COUNTIFS($D$4:$D31,"R")+1,"")</f>
        <v>28</v>
      </c>
      <c r="C32" s="19" t="str">
        <f t="shared" si="0"/>
        <v>C-Tesoreria</v>
      </c>
      <c r="D32" s="3" t="s">
        <v>1074</v>
      </c>
      <c r="E32" s="14">
        <v>45667</v>
      </c>
      <c r="F32" s="5" t="s">
        <v>1131</v>
      </c>
      <c r="G32" s="5" t="s">
        <v>1087</v>
      </c>
      <c r="H32" s="3" t="s">
        <v>4353</v>
      </c>
      <c r="I32" s="6"/>
      <c r="J32" s="6"/>
      <c r="K32" s="6"/>
      <c r="L32" s="6"/>
      <c r="M32" s="7" t="s">
        <v>4354</v>
      </c>
      <c r="N32" s="8" t="str">
        <f>IF(Caja_Arequipa[[#This Row],[TIPO DE R.]]="R","001-"&amp;12002+B32,N31)</f>
        <v>001-12030</v>
      </c>
      <c r="O32" s="8" t="str">
        <f t="shared" si="5"/>
        <v>PEN</v>
      </c>
      <c r="P32" s="13"/>
      <c r="Q32" s="13">
        <v>118.9</v>
      </c>
      <c r="R32" s="3">
        <f t="shared" si="2"/>
        <v>118.9</v>
      </c>
      <c r="S32" s="3">
        <f t="shared" si="3"/>
        <v>0</v>
      </c>
      <c r="T32" s="3">
        <f t="shared" si="4"/>
        <v>763.89999999999975</v>
      </c>
      <c r="U32" s="24"/>
      <c r="V32" s="24" t="s">
        <v>1081</v>
      </c>
      <c r="W32" s="3"/>
      <c r="X32" s="3" t="s">
        <v>4353</v>
      </c>
      <c r="Y32" s="3"/>
      <c r="Z32" s="3"/>
      <c r="AA32" s="3"/>
      <c r="AB32" s="3"/>
      <c r="AC32" s="3" t="str">
        <f>IF(Caja_Arequipa[[#This Row],[FECHA]]&gt;0,TEXT(Caja_Arequipa[[#This Row],[FECHA]],"mmmm"),0)</f>
        <v>Enero</v>
      </c>
    </row>
    <row r="33" spans="2:29" x14ac:dyDescent="0.3">
      <c r="B33" s="2">
        <f>IF(Caja_Arequipa[[#This Row],[TIPO DE R.]]="R",COUNTIFS($D$4:$D32,"R")+1,"")</f>
        <v>29</v>
      </c>
      <c r="C33" s="19" t="str">
        <f t="shared" si="0"/>
        <v>C-Tesoreria</v>
      </c>
      <c r="D33" s="3" t="s">
        <v>1074</v>
      </c>
      <c r="E33" s="14">
        <v>45667</v>
      </c>
      <c r="F33" s="5" t="s">
        <v>1131</v>
      </c>
      <c r="G33" s="5" t="s">
        <v>1079</v>
      </c>
      <c r="H33" s="3" t="s">
        <v>3016</v>
      </c>
      <c r="I33" s="6"/>
      <c r="J33" s="6"/>
      <c r="K33" s="6"/>
      <c r="L33" s="6"/>
      <c r="M33" s="7" t="s">
        <v>4355</v>
      </c>
      <c r="N33" s="8" t="str">
        <f>IF(Caja_Arequipa[[#This Row],[TIPO DE R.]]="R","001-"&amp;12002+B33,N32)</f>
        <v>001-12031</v>
      </c>
      <c r="O33" s="8" t="str">
        <f t="shared" si="5"/>
        <v>PEN</v>
      </c>
      <c r="P33" s="13"/>
      <c r="Q33" s="13">
        <v>9</v>
      </c>
      <c r="R33" s="3">
        <f t="shared" si="2"/>
        <v>0</v>
      </c>
      <c r="S33" s="3">
        <f t="shared" si="3"/>
        <v>9</v>
      </c>
      <c r="T33" s="3">
        <f t="shared" si="4"/>
        <v>754.89999999999975</v>
      </c>
      <c r="U33" s="24" t="s">
        <v>1081</v>
      </c>
      <c r="V33" s="24" t="s">
        <v>1081</v>
      </c>
      <c r="W33" s="3"/>
      <c r="X33" s="3" t="s">
        <v>3016</v>
      </c>
      <c r="Y33" s="3" t="s">
        <v>4356</v>
      </c>
      <c r="Z33" s="3"/>
      <c r="AA33" s="3"/>
      <c r="AB33" s="3"/>
      <c r="AC33" s="3" t="str">
        <f>IF(Caja_Arequipa[[#This Row],[FECHA]]&gt;0,TEXT(Caja_Arequipa[[#This Row],[FECHA]],"mmmm"),0)</f>
        <v>Enero</v>
      </c>
    </row>
    <row r="34" spans="2:29" ht="24" x14ac:dyDescent="0.3">
      <c r="B34" s="2">
        <f>IF(Caja_Arequipa[[#This Row],[TIPO DE R.]]="R",COUNTIFS($D$4:$D33,"R")+1,"")</f>
        <v>30</v>
      </c>
      <c r="C34" s="19" t="str">
        <f t="shared" si="0"/>
        <v>C-Tesoreria</v>
      </c>
      <c r="D34" s="3" t="s">
        <v>1074</v>
      </c>
      <c r="E34" s="14">
        <v>45667</v>
      </c>
      <c r="F34" s="5" t="s">
        <v>1131</v>
      </c>
      <c r="G34" s="5" t="s">
        <v>1079</v>
      </c>
      <c r="H34" s="3" t="s">
        <v>4357</v>
      </c>
      <c r="I34" s="6"/>
      <c r="J34" s="6"/>
      <c r="K34" s="6"/>
      <c r="L34" s="6"/>
      <c r="M34" s="7" t="s">
        <v>4358</v>
      </c>
      <c r="N34" s="8" t="str">
        <f>IF(Caja_Arequipa[[#This Row],[TIPO DE R.]]="R","001-"&amp;12002+B34,N33)</f>
        <v>001-12032</v>
      </c>
      <c r="O34" s="8" t="str">
        <f t="shared" si="5"/>
        <v>PEN</v>
      </c>
      <c r="P34" s="13"/>
      <c r="Q34" s="13">
        <v>13.9</v>
      </c>
      <c r="R34" s="3">
        <f t="shared" si="2"/>
        <v>0</v>
      </c>
      <c r="S34" s="3">
        <f t="shared" si="3"/>
        <v>13.9</v>
      </c>
      <c r="T34" s="3">
        <f t="shared" si="4"/>
        <v>740.99999999999977</v>
      </c>
      <c r="U34" s="24" t="s">
        <v>1081</v>
      </c>
      <c r="V34" s="24" t="s">
        <v>1081</v>
      </c>
      <c r="W34" s="3"/>
      <c r="X34" s="3" t="s">
        <v>4357</v>
      </c>
      <c r="Y34" s="3" t="s">
        <v>4359</v>
      </c>
      <c r="Z34" s="3"/>
      <c r="AA34" s="3"/>
      <c r="AB34" s="3"/>
      <c r="AC34" s="3" t="str">
        <f>IF(Caja_Arequipa[[#This Row],[FECHA]]&gt;0,TEXT(Caja_Arequipa[[#This Row],[FECHA]],"mmmm"),0)</f>
        <v>Enero</v>
      </c>
    </row>
    <row r="35" spans="2:29" x14ac:dyDescent="0.3">
      <c r="B35" s="2">
        <f>IF(Caja_Arequipa[[#This Row],[TIPO DE R.]]="R",COUNTIFS($D$4:$D34,"R")+1,"")</f>
        <v>31</v>
      </c>
      <c r="C35" s="19" t="str">
        <f t="shared" si="0"/>
        <v>C-Tesoreria</v>
      </c>
      <c r="D35" s="3" t="s">
        <v>1074</v>
      </c>
      <c r="E35" s="14">
        <v>45667</v>
      </c>
      <c r="F35" s="5" t="s">
        <v>1131</v>
      </c>
      <c r="G35" s="5" t="s">
        <v>1079</v>
      </c>
      <c r="H35" s="3" t="s">
        <v>4353</v>
      </c>
      <c r="I35" s="6"/>
      <c r="J35" s="6"/>
      <c r="K35" s="6"/>
      <c r="L35" s="6"/>
      <c r="M35" s="7" t="s">
        <v>4360</v>
      </c>
      <c r="N35" s="8" t="str">
        <f>IF(Caja_Arequipa[[#This Row],[TIPO DE R.]]="R","001-"&amp;12002+B35,N34)</f>
        <v>001-12033</v>
      </c>
      <c r="O35" s="8" t="str">
        <f t="shared" si="5"/>
        <v>PEN</v>
      </c>
      <c r="P35" s="13"/>
      <c r="Q35" s="13">
        <v>83</v>
      </c>
      <c r="R35" s="3">
        <f t="shared" si="2"/>
        <v>0</v>
      </c>
      <c r="S35" s="3">
        <f t="shared" si="3"/>
        <v>83</v>
      </c>
      <c r="T35" s="3">
        <f t="shared" si="4"/>
        <v>657.99999999999977</v>
      </c>
      <c r="U35" s="24" t="s">
        <v>1081</v>
      </c>
      <c r="V35" s="24" t="s">
        <v>1081</v>
      </c>
      <c r="W35" s="3"/>
      <c r="X35" s="3" t="s">
        <v>4353</v>
      </c>
      <c r="Y35" s="3" t="s">
        <v>4361</v>
      </c>
      <c r="Z35" s="3"/>
      <c r="AA35" s="3"/>
      <c r="AB35" s="3"/>
      <c r="AC35" s="3" t="str">
        <f>IF(Caja_Arequipa[[#This Row],[FECHA]]&gt;0,TEXT(Caja_Arequipa[[#This Row],[FECHA]],"mmmm"),0)</f>
        <v>Enero</v>
      </c>
    </row>
    <row r="36" spans="2:29" ht="24" x14ac:dyDescent="0.3">
      <c r="B36" s="2">
        <f>IF(Caja_Arequipa[[#This Row],[TIPO DE R.]]="R",COUNTIFS($D$4:$D35,"R")+1,"")</f>
        <v>32</v>
      </c>
      <c r="C36" s="19" t="str">
        <f t="shared" si="0"/>
        <v>C-Tesoreria</v>
      </c>
      <c r="D36" s="3" t="s">
        <v>1074</v>
      </c>
      <c r="E36" s="14">
        <v>45667</v>
      </c>
      <c r="F36" s="5" t="s">
        <v>1131</v>
      </c>
      <c r="G36" s="5" t="s">
        <v>1079</v>
      </c>
      <c r="H36" s="3" t="s">
        <v>4353</v>
      </c>
      <c r="I36" s="6"/>
      <c r="J36" s="6"/>
      <c r="K36" s="6"/>
      <c r="L36" s="6"/>
      <c r="M36" s="7" t="s">
        <v>4362</v>
      </c>
      <c r="N36" s="8" t="str">
        <f>IF(Caja_Arequipa[[#This Row],[TIPO DE R.]]="R","001-"&amp;12002+B36,N35)</f>
        <v>001-12034</v>
      </c>
      <c r="O36" s="8" t="str">
        <f t="shared" si="5"/>
        <v>PEN</v>
      </c>
      <c r="P36" s="13"/>
      <c r="Q36" s="13">
        <v>35.9</v>
      </c>
      <c r="R36" s="3">
        <f t="shared" si="2"/>
        <v>0</v>
      </c>
      <c r="S36" s="3">
        <f t="shared" si="3"/>
        <v>35.9</v>
      </c>
      <c r="T36" s="3">
        <f t="shared" si="4"/>
        <v>622.0999999999998</v>
      </c>
      <c r="U36" s="24" t="s">
        <v>1081</v>
      </c>
      <c r="V36" s="24" t="s">
        <v>1081</v>
      </c>
      <c r="W36" s="3"/>
      <c r="X36" s="3" t="s">
        <v>4353</v>
      </c>
      <c r="Y36" s="3" t="s">
        <v>4363</v>
      </c>
      <c r="Z36" s="3"/>
      <c r="AA36" s="3"/>
      <c r="AB36" s="3"/>
      <c r="AC36" s="3" t="str">
        <f>IF(Caja_Arequipa[[#This Row],[FECHA]]&gt;0,TEXT(Caja_Arequipa[[#This Row],[FECHA]],"mmmm"),0)</f>
        <v>Enero</v>
      </c>
    </row>
    <row r="37" spans="2:29" x14ac:dyDescent="0.3">
      <c r="B37" s="2">
        <f>IF(Caja_Arequipa[[#This Row],[TIPO DE R.]]="R",COUNTIFS($D$4:$D36,"R")+1,"")</f>
        <v>33</v>
      </c>
      <c r="C37" s="19" t="str">
        <f t="shared" si="0"/>
        <v>C-Tesoreria</v>
      </c>
      <c r="D37" s="3" t="s">
        <v>1074</v>
      </c>
      <c r="E37" s="14">
        <v>45670</v>
      </c>
      <c r="F37" s="5" t="s">
        <v>1082</v>
      </c>
      <c r="G37" s="5" t="s">
        <v>1079</v>
      </c>
      <c r="H37" s="3" t="s">
        <v>4305</v>
      </c>
      <c r="I37" s="6"/>
      <c r="J37" s="6"/>
      <c r="K37" s="6"/>
      <c r="L37" s="6"/>
      <c r="M37" s="7" t="s">
        <v>4364</v>
      </c>
      <c r="N37" s="8" t="str">
        <f>IF(Caja_Arequipa[[#This Row],[TIPO DE R.]]="R","001-"&amp;12002+B37,N36)</f>
        <v>001-12035</v>
      </c>
      <c r="O37" s="8" t="str">
        <f t="shared" si="5"/>
        <v>PEN</v>
      </c>
      <c r="P37" s="13"/>
      <c r="Q37" s="13">
        <v>16.600000000000001</v>
      </c>
      <c r="R37" s="3">
        <f t="shared" si="2"/>
        <v>0</v>
      </c>
      <c r="S37" s="3">
        <f t="shared" si="3"/>
        <v>16.600000000000001</v>
      </c>
      <c r="T37" s="3">
        <f t="shared" si="4"/>
        <v>605.49999999999977</v>
      </c>
      <c r="U37" s="24"/>
      <c r="V37" s="24" t="s">
        <v>1081</v>
      </c>
      <c r="W37" s="3"/>
      <c r="X37" s="3" t="s">
        <v>4305</v>
      </c>
      <c r="Y37" s="3" t="s">
        <v>4365</v>
      </c>
      <c r="Z37" s="3"/>
      <c r="AA37" s="3"/>
      <c r="AB37" s="3"/>
      <c r="AC37" s="3" t="str">
        <f>IF(Caja_Arequipa[[#This Row],[FECHA]]&gt;0,TEXT(Caja_Arequipa[[#This Row],[FECHA]],"mmmm"),0)</f>
        <v>Enero</v>
      </c>
    </row>
    <row r="38" spans="2:29" ht="24" x14ac:dyDescent="0.3">
      <c r="B38" s="2">
        <f>IF(Caja_Arequipa[[#This Row],[TIPO DE R.]]="R",COUNTIFS($D$4:$D37,"R")+1,"")</f>
        <v>34</v>
      </c>
      <c r="C38" s="19" t="str">
        <f t="shared" si="0"/>
        <v>C-Tesoreria</v>
      </c>
      <c r="D38" s="3" t="s">
        <v>1074</v>
      </c>
      <c r="E38" s="14">
        <v>45670</v>
      </c>
      <c r="F38" s="5" t="s">
        <v>1082</v>
      </c>
      <c r="G38" s="5" t="s">
        <v>1079</v>
      </c>
      <c r="H38" s="3" t="s">
        <v>4366</v>
      </c>
      <c r="I38" s="6"/>
      <c r="J38" s="6"/>
      <c r="K38" s="6"/>
      <c r="L38" s="6"/>
      <c r="M38" s="7" t="s">
        <v>4367</v>
      </c>
      <c r="N38" s="8" t="str">
        <f>IF(Caja_Arequipa[[#This Row],[TIPO DE R.]]="R","001-"&amp;12002+B38,N37)</f>
        <v>001-12036</v>
      </c>
      <c r="O38" s="8" t="str">
        <f t="shared" si="5"/>
        <v>PEN</v>
      </c>
      <c r="P38" s="13"/>
      <c r="Q38" s="13">
        <v>58</v>
      </c>
      <c r="R38" s="3">
        <f t="shared" si="2"/>
        <v>0</v>
      </c>
      <c r="S38" s="3">
        <f t="shared" si="3"/>
        <v>58</v>
      </c>
      <c r="T38" s="3">
        <f t="shared" si="4"/>
        <v>547.49999999999977</v>
      </c>
      <c r="U38" s="24" t="s">
        <v>1081</v>
      </c>
      <c r="V38" s="24" t="s">
        <v>1081</v>
      </c>
      <c r="W38" s="3"/>
      <c r="X38" s="3" t="s">
        <v>4366</v>
      </c>
      <c r="Y38" s="3" t="s">
        <v>4368</v>
      </c>
      <c r="Z38" s="3"/>
      <c r="AA38" s="3"/>
      <c r="AB38" s="3"/>
      <c r="AC38" s="3" t="str">
        <f>IF(Caja_Arequipa[[#This Row],[FECHA]]&gt;0,TEXT(Caja_Arequipa[[#This Row],[FECHA]],"mmmm"),0)</f>
        <v>Enero</v>
      </c>
    </row>
    <row r="39" spans="2:29" x14ac:dyDescent="0.3">
      <c r="B39" s="2">
        <f>IF(Caja_Arequipa[[#This Row],[TIPO DE R.]]="R",COUNTIFS($D$4:$D38,"R")+1,"")</f>
        <v>35</v>
      </c>
      <c r="C39" s="19" t="str">
        <f t="shared" si="0"/>
        <v>C-Tesoreria</v>
      </c>
      <c r="D39" s="3" t="s">
        <v>1074</v>
      </c>
      <c r="E39" s="14">
        <v>45671</v>
      </c>
      <c r="F39" s="5" t="s">
        <v>1082</v>
      </c>
      <c r="G39" s="5" t="s">
        <v>1079</v>
      </c>
      <c r="H39" s="3" t="s">
        <v>4303</v>
      </c>
      <c r="I39" s="6"/>
      <c r="J39" s="6"/>
      <c r="K39" s="6"/>
      <c r="L39" s="6"/>
      <c r="M39" s="7" t="s">
        <v>4369</v>
      </c>
      <c r="N39" s="8" t="str">
        <f>IF(Caja_Arequipa[[#This Row],[TIPO DE R.]]="R","001-"&amp;12002+B39,N38)</f>
        <v>001-12037</v>
      </c>
      <c r="O39" s="8" t="str">
        <f t="shared" si="5"/>
        <v>PEN</v>
      </c>
      <c r="P39" s="13"/>
      <c r="Q39" s="13">
        <v>25</v>
      </c>
      <c r="R39" s="3">
        <f t="shared" si="2"/>
        <v>0</v>
      </c>
      <c r="S39" s="3">
        <f t="shared" si="3"/>
        <v>25</v>
      </c>
      <c r="T39" s="3">
        <f t="shared" si="4"/>
        <v>522.49999999999977</v>
      </c>
      <c r="U39" s="24" t="s">
        <v>1081</v>
      </c>
      <c r="V39" s="24" t="s">
        <v>1081</v>
      </c>
      <c r="W39" s="3"/>
      <c r="X39" s="3" t="s">
        <v>4303</v>
      </c>
      <c r="Y39" s="3" t="s">
        <v>4370</v>
      </c>
      <c r="Z39" s="3"/>
      <c r="AA39" s="3"/>
      <c r="AB39" s="3"/>
      <c r="AC39" s="3" t="str">
        <f>IF(Caja_Arequipa[[#This Row],[FECHA]]&gt;0,TEXT(Caja_Arequipa[[#This Row],[FECHA]],"mmmm"),0)</f>
        <v>Enero</v>
      </c>
    </row>
    <row r="40" spans="2:29" ht="24" x14ac:dyDescent="0.3">
      <c r="B40" s="2">
        <f>IF(Caja_Arequipa[[#This Row],[TIPO DE R.]]="R",COUNTIFS($D$4:$D39,"R")+1,"")</f>
        <v>36</v>
      </c>
      <c r="C40" s="19" t="str">
        <f t="shared" si="0"/>
        <v>C-Tesoreria</v>
      </c>
      <c r="D40" s="3" t="s">
        <v>1074</v>
      </c>
      <c r="E40" s="14">
        <v>45671</v>
      </c>
      <c r="F40" s="5" t="s">
        <v>1082</v>
      </c>
      <c r="G40" s="5" t="s">
        <v>1079</v>
      </c>
      <c r="H40" s="3" t="s">
        <v>4371</v>
      </c>
      <c r="I40" s="6"/>
      <c r="J40" s="6"/>
      <c r="K40" s="6"/>
      <c r="L40" s="6"/>
      <c r="M40" s="7" t="s">
        <v>4372</v>
      </c>
      <c r="N40" s="8" t="str">
        <f>IF(Caja_Arequipa[[#This Row],[TIPO DE R.]]="R","001-"&amp;12002+B40,N39)</f>
        <v>001-12038</v>
      </c>
      <c r="O40" s="8" t="str">
        <f t="shared" si="5"/>
        <v>PEN</v>
      </c>
      <c r="P40" s="13"/>
      <c r="Q40" s="13">
        <v>94.5</v>
      </c>
      <c r="R40" s="3">
        <f t="shared" si="2"/>
        <v>0</v>
      </c>
      <c r="S40" s="3">
        <f t="shared" si="3"/>
        <v>94.5</v>
      </c>
      <c r="T40" s="3">
        <f t="shared" si="4"/>
        <v>427.99999999999977</v>
      </c>
      <c r="U40" s="24" t="s">
        <v>1081</v>
      </c>
      <c r="V40" s="24" t="s">
        <v>1081</v>
      </c>
      <c r="W40" s="3"/>
      <c r="X40" s="3" t="s">
        <v>4371</v>
      </c>
      <c r="Y40" s="3" t="s">
        <v>4373</v>
      </c>
      <c r="Z40" s="3"/>
      <c r="AA40" s="3"/>
      <c r="AB40" s="3"/>
      <c r="AC40" s="3" t="str">
        <f>IF(Caja_Arequipa[[#This Row],[FECHA]]&gt;0,TEXT(Caja_Arequipa[[#This Row],[FECHA]],"mmmm"),0)</f>
        <v>Enero</v>
      </c>
    </row>
    <row r="41" spans="2:29" x14ac:dyDescent="0.3">
      <c r="B41" s="2">
        <f>IF(Caja_Arequipa[[#This Row],[TIPO DE R.]]="R",COUNTIFS($D$4:$D40,"R")+1,"")</f>
        <v>37</v>
      </c>
      <c r="C41" s="19" t="str">
        <f t="shared" si="0"/>
        <v>C-Tesoreria</v>
      </c>
      <c r="D41" s="3" t="s">
        <v>1074</v>
      </c>
      <c r="E41" s="14">
        <v>45672</v>
      </c>
      <c r="F41" s="5" t="s">
        <v>1082</v>
      </c>
      <c r="G41" s="5" t="s">
        <v>1079</v>
      </c>
      <c r="H41" s="3" t="s">
        <v>4303</v>
      </c>
      <c r="I41" s="6"/>
      <c r="J41" s="6"/>
      <c r="K41" s="6"/>
      <c r="L41" s="6"/>
      <c r="M41" s="7" t="s">
        <v>4374</v>
      </c>
      <c r="N41" s="8" t="str">
        <f>IF(Caja_Arequipa[[#This Row],[TIPO DE R.]]="R","001-"&amp;12002+B41,N40)</f>
        <v>001-12039</v>
      </c>
      <c r="O41" s="8" t="str">
        <f t="shared" si="5"/>
        <v>PEN</v>
      </c>
      <c r="P41" s="13"/>
      <c r="Q41" s="13">
        <v>10</v>
      </c>
      <c r="R41" s="3">
        <f t="shared" si="2"/>
        <v>0</v>
      </c>
      <c r="S41" s="3">
        <f t="shared" si="3"/>
        <v>10</v>
      </c>
      <c r="T41" s="3">
        <f t="shared" si="4"/>
        <v>417.99999999999977</v>
      </c>
      <c r="U41" s="24" t="s">
        <v>1081</v>
      </c>
      <c r="V41" s="24" t="s">
        <v>1081</v>
      </c>
      <c r="W41" s="3"/>
      <c r="X41" s="3" t="s">
        <v>4303</v>
      </c>
      <c r="Y41" s="3" t="s">
        <v>4375</v>
      </c>
      <c r="Z41" s="3"/>
      <c r="AA41" s="3"/>
      <c r="AB41" s="3"/>
      <c r="AC41" s="3" t="str">
        <f>IF(Caja_Arequipa[[#This Row],[FECHA]]&gt;0,TEXT(Caja_Arequipa[[#This Row],[FECHA]],"mmmm"),0)</f>
        <v>Enero</v>
      </c>
    </row>
    <row r="42" spans="2:29" x14ac:dyDescent="0.3">
      <c r="B42" s="2">
        <f>IF(Caja_Arequipa[[#This Row],[TIPO DE R.]]="R",COUNTIFS($D$4:$D41,"R")+1,"")</f>
        <v>38</v>
      </c>
      <c r="C42" s="19" t="str">
        <f t="shared" si="0"/>
        <v>C-Tesoreria</v>
      </c>
      <c r="D42" s="3" t="s">
        <v>1074</v>
      </c>
      <c r="E42" s="14">
        <v>45672</v>
      </c>
      <c r="F42" s="5" t="s">
        <v>1082</v>
      </c>
      <c r="G42" s="5" t="s">
        <v>1079</v>
      </c>
      <c r="H42" s="3" t="s">
        <v>4353</v>
      </c>
      <c r="I42" s="6"/>
      <c r="J42" s="6"/>
      <c r="K42" s="6"/>
      <c r="L42" s="6"/>
      <c r="M42" s="7" t="s">
        <v>4376</v>
      </c>
      <c r="N42" s="8" t="str">
        <f>IF(Caja_Arequipa[[#This Row],[TIPO DE R.]]="R","001-"&amp;12002+B42,N41)</f>
        <v>001-12040</v>
      </c>
      <c r="O42" s="8" t="str">
        <f t="shared" si="5"/>
        <v>PEN</v>
      </c>
      <c r="P42" s="13"/>
      <c r="Q42" s="13">
        <v>107.7</v>
      </c>
      <c r="R42" s="3">
        <f t="shared" si="2"/>
        <v>0</v>
      </c>
      <c r="S42" s="3">
        <f t="shared" si="3"/>
        <v>107.7</v>
      </c>
      <c r="T42" s="3">
        <f t="shared" si="4"/>
        <v>310.29999999999978</v>
      </c>
      <c r="U42" s="24" t="s">
        <v>1081</v>
      </c>
      <c r="V42" s="24" t="s">
        <v>1081</v>
      </c>
      <c r="W42" s="3"/>
      <c r="X42" s="3" t="s">
        <v>4353</v>
      </c>
      <c r="Y42" s="3" t="s">
        <v>4377</v>
      </c>
      <c r="Z42" s="3"/>
      <c r="AA42" s="3"/>
      <c r="AB42" s="3"/>
      <c r="AC42" s="3" t="str">
        <f>IF(Caja_Arequipa[[#This Row],[FECHA]]&gt;0,TEXT(Caja_Arequipa[[#This Row],[FECHA]],"mmmm"),0)</f>
        <v>Enero</v>
      </c>
    </row>
    <row r="43" spans="2:29" ht="24" x14ac:dyDescent="0.3">
      <c r="B43" s="2">
        <f>IF(Caja_Arequipa[[#This Row],[TIPO DE R.]]="R",COUNTIFS($D$4:$D42,"R")+1,"")</f>
        <v>39</v>
      </c>
      <c r="C43" s="19" t="str">
        <f t="shared" si="0"/>
        <v>C-Tesoreria</v>
      </c>
      <c r="D43" s="3" t="s">
        <v>1074</v>
      </c>
      <c r="E43" s="14">
        <v>45672</v>
      </c>
      <c r="F43" s="5" t="s">
        <v>1082</v>
      </c>
      <c r="G43" s="5" t="s">
        <v>1079</v>
      </c>
      <c r="H43" s="3" t="s">
        <v>4371</v>
      </c>
      <c r="I43" s="6"/>
      <c r="J43" s="6"/>
      <c r="K43" s="6"/>
      <c r="L43" s="6"/>
      <c r="M43" s="7" t="s">
        <v>4378</v>
      </c>
      <c r="N43" s="8" t="str">
        <f>IF(Caja_Arequipa[[#This Row],[TIPO DE R.]]="R","001-"&amp;12002+B43,N42)</f>
        <v>001-12041</v>
      </c>
      <c r="O43" s="8" t="str">
        <f t="shared" si="5"/>
        <v>PEN</v>
      </c>
      <c r="P43" s="13"/>
      <c r="Q43" s="13">
        <v>13.5</v>
      </c>
      <c r="R43" s="3">
        <f t="shared" si="2"/>
        <v>0</v>
      </c>
      <c r="S43" s="3">
        <f t="shared" si="3"/>
        <v>13.5</v>
      </c>
      <c r="T43" s="3">
        <f t="shared" si="4"/>
        <v>296.79999999999978</v>
      </c>
      <c r="U43" s="24" t="s">
        <v>1081</v>
      </c>
      <c r="V43" s="24" t="s">
        <v>1081</v>
      </c>
      <c r="W43" s="3"/>
      <c r="X43" s="3" t="s">
        <v>4371</v>
      </c>
      <c r="Y43" s="3" t="s">
        <v>4373</v>
      </c>
      <c r="Z43" s="3"/>
      <c r="AA43" s="3"/>
      <c r="AB43" s="3"/>
      <c r="AC43" s="3" t="str">
        <f>IF(Caja_Arequipa[[#This Row],[FECHA]]&gt;0,TEXT(Caja_Arequipa[[#This Row],[FECHA]],"mmmm"),0)</f>
        <v>Enero</v>
      </c>
    </row>
    <row r="44" spans="2:29" ht="24" x14ac:dyDescent="0.3">
      <c r="B44" s="2">
        <f>IF(Caja_Arequipa[[#This Row],[TIPO DE R.]]="R",COUNTIFS($D$4:$D43,"R")+1,"")</f>
        <v>40</v>
      </c>
      <c r="C44" s="19" t="str">
        <f t="shared" si="0"/>
        <v>C-Tesoreria</v>
      </c>
      <c r="D44" s="3" t="s">
        <v>1074</v>
      </c>
      <c r="E44" s="14">
        <v>45673</v>
      </c>
      <c r="F44" s="5" t="s">
        <v>1158</v>
      </c>
      <c r="G44" s="5" t="s">
        <v>1079</v>
      </c>
      <c r="H44" s="3" t="s">
        <v>4303</v>
      </c>
      <c r="I44" s="6"/>
      <c r="J44" s="6"/>
      <c r="K44" s="6"/>
      <c r="L44" s="6"/>
      <c r="M44" s="7" t="s">
        <v>4379</v>
      </c>
      <c r="N44" s="8" t="str">
        <f>IF(Caja_Arequipa[[#This Row],[TIPO DE R.]]="R","001-"&amp;12002+B44,N43)</f>
        <v>001-12042</v>
      </c>
      <c r="O44" s="8" t="str">
        <f t="shared" si="5"/>
        <v>PEN</v>
      </c>
      <c r="P44" s="13"/>
      <c r="Q44" s="13">
        <v>11</v>
      </c>
      <c r="R44" s="3">
        <f t="shared" si="2"/>
        <v>0</v>
      </c>
      <c r="S44" s="3">
        <f t="shared" si="3"/>
        <v>11</v>
      </c>
      <c r="T44" s="3">
        <f t="shared" si="4"/>
        <v>285.79999999999978</v>
      </c>
      <c r="U44" s="24" t="s">
        <v>1081</v>
      </c>
      <c r="V44" s="24" t="s">
        <v>1081</v>
      </c>
      <c r="W44" s="3"/>
      <c r="X44" s="3" t="s">
        <v>4303</v>
      </c>
      <c r="Y44" s="3" t="s">
        <v>4380</v>
      </c>
      <c r="Z44" s="3"/>
      <c r="AA44" s="3"/>
      <c r="AB44" s="3"/>
      <c r="AC44" s="3" t="str">
        <f>IF(Caja_Arequipa[[#This Row],[FECHA]]&gt;0,TEXT(Caja_Arequipa[[#This Row],[FECHA]],"mmmm"),0)</f>
        <v>Enero</v>
      </c>
    </row>
    <row r="45" spans="2:29" ht="24" x14ac:dyDescent="0.3">
      <c r="B45" s="2">
        <f>IF(Caja_Arequipa[[#This Row],[TIPO DE R.]]="R",COUNTIFS($D$4:$D44,"R")+1,"")</f>
        <v>41</v>
      </c>
      <c r="C45" s="19" t="str">
        <f t="shared" si="0"/>
        <v>C-Tesoreria</v>
      </c>
      <c r="D45" s="3" t="s">
        <v>1074</v>
      </c>
      <c r="E45" s="14">
        <v>45674</v>
      </c>
      <c r="F45" s="5" t="s">
        <v>1158</v>
      </c>
      <c r="G45" s="5" t="s">
        <v>1079</v>
      </c>
      <c r="H45" s="3" t="s">
        <v>4353</v>
      </c>
      <c r="I45" s="6"/>
      <c r="J45" s="6"/>
      <c r="K45" s="6"/>
      <c r="L45" s="6"/>
      <c r="M45" s="7" t="s">
        <v>4381</v>
      </c>
      <c r="N45" s="8" t="str">
        <f>IF(Caja_Arequipa[[#This Row],[TIPO DE R.]]="R","001-"&amp;12002+B45,N44)</f>
        <v>001-12043</v>
      </c>
      <c r="O45" s="8" t="str">
        <f t="shared" si="5"/>
        <v>PEN</v>
      </c>
      <c r="P45" s="13"/>
      <c r="Q45" s="13">
        <v>22</v>
      </c>
      <c r="R45" s="3">
        <f t="shared" si="2"/>
        <v>0</v>
      </c>
      <c r="S45" s="3">
        <f t="shared" si="3"/>
        <v>22</v>
      </c>
      <c r="T45" s="3">
        <f t="shared" si="4"/>
        <v>263.79999999999978</v>
      </c>
      <c r="U45" s="24" t="s">
        <v>1081</v>
      </c>
      <c r="V45" s="24" t="s">
        <v>1081</v>
      </c>
      <c r="W45" s="3"/>
      <c r="X45" s="3" t="s">
        <v>4353</v>
      </c>
      <c r="Y45" s="3" t="s">
        <v>4382</v>
      </c>
      <c r="Z45" s="3"/>
      <c r="AA45" s="3"/>
      <c r="AB45" s="3"/>
      <c r="AC45" s="3" t="str">
        <f>IF(Caja_Arequipa[[#This Row],[FECHA]]&gt;0,TEXT(Caja_Arequipa[[#This Row],[FECHA]],"mmmm"),0)</f>
        <v>Enero</v>
      </c>
    </row>
    <row r="46" spans="2:29" ht="24" x14ac:dyDescent="0.3">
      <c r="B46" s="2">
        <f>IF(Caja_Arequipa[[#This Row],[TIPO DE R.]]="R",COUNTIFS($D$4:$D45,"R")+1,"")</f>
        <v>42</v>
      </c>
      <c r="C46" s="19" t="str">
        <f t="shared" si="0"/>
        <v>C-Tesoreria</v>
      </c>
      <c r="D46" s="3" t="s">
        <v>1074</v>
      </c>
      <c r="E46" s="14">
        <v>45674</v>
      </c>
      <c r="F46" s="5" t="s">
        <v>1158</v>
      </c>
      <c r="G46" s="5" t="s">
        <v>1079</v>
      </c>
      <c r="H46" s="3" t="s">
        <v>4353</v>
      </c>
      <c r="I46" s="6"/>
      <c r="J46" s="6"/>
      <c r="K46" s="6"/>
      <c r="L46" s="6"/>
      <c r="M46" s="7" t="s">
        <v>4383</v>
      </c>
      <c r="N46" s="8" t="str">
        <f>IF(Caja_Arequipa[[#This Row],[TIPO DE R.]]="R","001-"&amp;12002+B46,N45)</f>
        <v>001-12044</v>
      </c>
      <c r="O46" s="8" t="str">
        <f t="shared" si="5"/>
        <v>PEN</v>
      </c>
      <c r="P46" s="13"/>
      <c r="Q46" s="13">
        <v>16</v>
      </c>
      <c r="R46" s="3">
        <f t="shared" si="2"/>
        <v>0</v>
      </c>
      <c r="S46" s="3">
        <f t="shared" si="3"/>
        <v>16</v>
      </c>
      <c r="T46" s="3">
        <f t="shared" si="4"/>
        <v>247.79999999999978</v>
      </c>
      <c r="U46" s="24" t="s">
        <v>1081</v>
      </c>
      <c r="V46" s="24" t="s">
        <v>1081</v>
      </c>
      <c r="W46" s="3"/>
      <c r="X46" s="3" t="s">
        <v>4353</v>
      </c>
      <c r="Y46" s="3" t="s">
        <v>4384</v>
      </c>
      <c r="Z46" s="3"/>
      <c r="AA46" s="3"/>
      <c r="AB46" s="3"/>
      <c r="AC46" s="3" t="str">
        <f>IF(Caja_Arequipa[[#This Row],[FECHA]]&gt;0,TEXT(Caja_Arequipa[[#This Row],[FECHA]],"mmmm"),0)</f>
        <v>Enero</v>
      </c>
    </row>
    <row r="47" spans="2:29" x14ac:dyDescent="0.3">
      <c r="B47" s="2">
        <f>IF(Caja_Arequipa[[#This Row],[TIPO DE R.]]="R",COUNTIFS($D$4:$D46,"R")+1,"")</f>
        <v>43</v>
      </c>
      <c r="C47" s="19" t="str">
        <f t="shared" si="0"/>
        <v>C-Tesoreria</v>
      </c>
      <c r="D47" s="3" t="s">
        <v>1074</v>
      </c>
      <c r="E47" s="14">
        <v>45674</v>
      </c>
      <c r="F47" s="5" t="s">
        <v>1158</v>
      </c>
      <c r="G47" s="5" t="s">
        <v>1079</v>
      </c>
      <c r="H47" s="3" t="s">
        <v>4353</v>
      </c>
      <c r="I47" s="6"/>
      <c r="J47" s="6"/>
      <c r="K47" s="6"/>
      <c r="L47" s="6"/>
      <c r="M47" s="7" t="s">
        <v>4385</v>
      </c>
      <c r="N47" s="8" t="str">
        <f>IF(Caja_Arequipa[[#This Row],[TIPO DE R.]]="R","001-"&amp;12002+B47,N46)</f>
        <v>001-12045</v>
      </c>
      <c r="O47" s="8" t="str">
        <f t="shared" si="5"/>
        <v>PEN</v>
      </c>
      <c r="P47" s="13"/>
      <c r="Q47" s="13">
        <v>14</v>
      </c>
      <c r="R47" s="3">
        <f t="shared" si="2"/>
        <v>0</v>
      </c>
      <c r="S47" s="3">
        <f t="shared" si="3"/>
        <v>14</v>
      </c>
      <c r="T47" s="3">
        <f t="shared" si="4"/>
        <v>233.79999999999978</v>
      </c>
      <c r="U47" s="24" t="s">
        <v>1081</v>
      </c>
      <c r="V47" s="24" t="s">
        <v>1081</v>
      </c>
      <c r="W47" s="3"/>
      <c r="X47" s="3" t="s">
        <v>4353</v>
      </c>
      <c r="Y47" s="3" t="s">
        <v>4386</v>
      </c>
      <c r="Z47" s="3"/>
      <c r="AA47" s="3"/>
      <c r="AB47" s="3"/>
      <c r="AC47" s="3" t="str">
        <f>IF(Caja_Arequipa[[#This Row],[FECHA]]&gt;0,TEXT(Caja_Arequipa[[#This Row],[FECHA]],"mmmm"),0)</f>
        <v>Enero</v>
      </c>
    </row>
    <row r="48" spans="2:29" x14ac:dyDescent="0.3">
      <c r="B48" s="2">
        <f>IF(Caja_Arequipa[[#This Row],[TIPO DE R.]]="R",COUNTIFS($D$4:$D47,"R")+1,"")</f>
        <v>44</v>
      </c>
      <c r="C48" s="19" t="str">
        <f t="shared" si="0"/>
        <v>C-Tesoreria</v>
      </c>
      <c r="D48" s="3" t="s">
        <v>1074</v>
      </c>
      <c r="E48" s="14">
        <v>45674</v>
      </c>
      <c r="F48" s="5" t="s">
        <v>1158</v>
      </c>
      <c r="G48" s="5" t="s">
        <v>1079</v>
      </c>
      <c r="H48" s="3" t="s">
        <v>4303</v>
      </c>
      <c r="I48" s="6"/>
      <c r="J48" s="6"/>
      <c r="K48" s="6"/>
      <c r="L48" s="6"/>
      <c r="M48" s="7" t="s">
        <v>4387</v>
      </c>
      <c r="N48" s="8" t="str">
        <f>IF(Caja_Arequipa[[#This Row],[TIPO DE R.]]="R","001-"&amp;12002+B48,N47)</f>
        <v>001-12046</v>
      </c>
      <c r="O48" s="8" t="str">
        <f t="shared" si="5"/>
        <v>PEN</v>
      </c>
      <c r="P48" s="13"/>
      <c r="Q48" s="13">
        <v>30.1</v>
      </c>
      <c r="R48" s="3">
        <f t="shared" si="2"/>
        <v>0</v>
      </c>
      <c r="S48" s="3">
        <f t="shared" si="3"/>
        <v>30.1</v>
      </c>
      <c r="T48" s="3">
        <f t="shared" si="4"/>
        <v>203.69999999999979</v>
      </c>
      <c r="U48" s="24" t="s">
        <v>1081</v>
      </c>
      <c r="V48" s="24" t="s">
        <v>1081</v>
      </c>
      <c r="W48" s="3"/>
      <c r="X48" s="3" t="s">
        <v>4303</v>
      </c>
      <c r="Y48" s="3" t="s">
        <v>4388</v>
      </c>
      <c r="Z48" s="3"/>
      <c r="AA48" s="3"/>
      <c r="AB48" s="3"/>
      <c r="AC48" s="3" t="str">
        <f>IF(Caja_Arequipa[[#This Row],[FECHA]]&gt;0,TEXT(Caja_Arequipa[[#This Row],[FECHA]],"mmmm"),0)</f>
        <v>Enero</v>
      </c>
    </row>
    <row r="49" spans="2:29" ht="24" x14ac:dyDescent="0.3">
      <c r="B49" s="2">
        <f>IF(Caja_Arequipa[[#This Row],[TIPO DE R.]]="R",COUNTIFS($D$4:$D48,"R")+1,"")</f>
        <v>45</v>
      </c>
      <c r="C49" s="19" t="str">
        <f t="shared" si="0"/>
        <v>C-Tesoreria</v>
      </c>
      <c r="D49" s="3" t="s">
        <v>1074</v>
      </c>
      <c r="E49" s="14">
        <v>45674</v>
      </c>
      <c r="F49" s="5" t="s">
        <v>1158</v>
      </c>
      <c r="G49" s="5" t="s">
        <v>1079</v>
      </c>
      <c r="H49" s="3" t="s">
        <v>4329</v>
      </c>
      <c r="I49" s="6"/>
      <c r="J49" s="6"/>
      <c r="K49" s="6"/>
      <c r="L49" s="6"/>
      <c r="M49" s="7" t="s">
        <v>4389</v>
      </c>
      <c r="N49" s="8" t="str">
        <f>IF(Caja_Arequipa[[#This Row],[TIPO DE R.]]="R","001-"&amp;12002+B49,N48)</f>
        <v>001-12047</v>
      </c>
      <c r="O49" s="8" t="str">
        <f t="shared" si="5"/>
        <v>PEN</v>
      </c>
      <c r="P49" s="13"/>
      <c r="Q49" s="13">
        <v>24</v>
      </c>
      <c r="R49" s="3">
        <f t="shared" si="2"/>
        <v>0</v>
      </c>
      <c r="S49" s="3">
        <f t="shared" si="3"/>
        <v>24</v>
      </c>
      <c r="T49" s="3">
        <f t="shared" si="4"/>
        <v>179.69999999999979</v>
      </c>
      <c r="U49" s="24" t="s">
        <v>1081</v>
      </c>
      <c r="V49" s="24" t="s">
        <v>1081</v>
      </c>
      <c r="W49" s="3"/>
      <c r="X49" s="3" t="s">
        <v>4329</v>
      </c>
      <c r="Y49" s="3" t="s">
        <v>4390</v>
      </c>
      <c r="Z49" s="3"/>
      <c r="AA49" s="3"/>
      <c r="AB49" s="3"/>
      <c r="AC49" s="3" t="str">
        <f>IF(Caja_Arequipa[[#This Row],[FECHA]]&gt;0,TEXT(Caja_Arequipa[[#This Row],[FECHA]],"mmmm"),0)</f>
        <v>Enero</v>
      </c>
    </row>
    <row r="50" spans="2:29" x14ac:dyDescent="0.3">
      <c r="B50" s="2">
        <f>IF(Caja_Arequipa[[#This Row],[TIPO DE R.]]="R",COUNTIFS($D$4:$D49,"R")+1,"")</f>
        <v>46</v>
      </c>
      <c r="C50" s="19" t="str">
        <f t="shared" si="0"/>
        <v>C-Tesoreria</v>
      </c>
      <c r="D50" s="3" t="s">
        <v>1074</v>
      </c>
      <c r="E50" s="14">
        <v>45674</v>
      </c>
      <c r="F50" s="5" t="s">
        <v>1158</v>
      </c>
      <c r="G50" s="5" t="s">
        <v>1079</v>
      </c>
      <c r="H50" s="3" t="s">
        <v>3016</v>
      </c>
      <c r="I50" s="6"/>
      <c r="J50" s="6"/>
      <c r="K50" s="6"/>
      <c r="L50" s="6"/>
      <c r="M50" s="7" t="s">
        <v>4387</v>
      </c>
      <c r="N50" s="8" t="str">
        <f>IF(Caja_Arequipa[[#This Row],[TIPO DE R.]]="R","001-"&amp;12002+B50,N49)</f>
        <v>001-12048</v>
      </c>
      <c r="O50" s="8" t="str">
        <f t="shared" si="5"/>
        <v>PEN</v>
      </c>
      <c r="P50" s="13"/>
      <c r="Q50" s="13">
        <v>77</v>
      </c>
      <c r="R50" s="3">
        <f t="shared" si="2"/>
        <v>0</v>
      </c>
      <c r="S50" s="3">
        <f t="shared" si="3"/>
        <v>77</v>
      </c>
      <c r="T50" s="3">
        <f t="shared" si="4"/>
        <v>102.69999999999979</v>
      </c>
      <c r="U50" s="24" t="s">
        <v>1081</v>
      </c>
      <c r="V50" s="24" t="s">
        <v>1081</v>
      </c>
      <c r="W50" s="3"/>
      <c r="X50" s="3" t="s">
        <v>3016</v>
      </c>
      <c r="Y50" s="3" t="s">
        <v>4391</v>
      </c>
      <c r="Z50" s="3"/>
      <c r="AA50" s="3"/>
      <c r="AB50" s="3"/>
      <c r="AC50" s="3" t="str">
        <f>IF(Caja_Arequipa[[#This Row],[FECHA]]&gt;0,TEXT(Caja_Arequipa[[#This Row],[FECHA]],"mmmm"),0)</f>
        <v>Enero</v>
      </c>
    </row>
    <row r="51" spans="2:29" x14ac:dyDescent="0.3">
      <c r="B51" s="2">
        <f>IF(Caja_Arequipa[[#This Row],[TIPO DE R.]]="R",COUNTIFS($D$4:$D50,"R")+1,"")</f>
        <v>47</v>
      </c>
      <c r="C51" s="19" t="str">
        <f t="shared" si="0"/>
        <v>C-Tesoreria</v>
      </c>
      <c r="D51" s="3" t="s">
        <v>1074</v>
      </c>
      <c r="E51" s="14">
        <v>45674</v>
      </c>
      <c r="F51" s="5" t="s">
        <v>1158</v>
      </c>
      <c r="G51" s="5" t="s">
        <v>1079</v>
      </c>
      <c r="H51" s="3" t="s">
        <v>3016</v>
      </c>
      <c r="I51" s="6"/>
      <c r="J51" s="6"/>
      <c r="K51" s="6"/>
      <c r="L51" s="6"/>
      <c r="M51" s="7" t="s">
        <v>4387</v>
      </c>
      <c r="N51" s="8" t="str">
        <f>IF(Caja_Arequipa[[#This Row],[TIPO DE R.]]="R","001-"&amp;12002+B51,N50)</f>
        <v>001-12049</v>
      </c>
      <c r="O51" s="8" t="str">
        <f t="shared" si="5"/>
        <v>PEN</v>
      </c>
      <c r="P51" s="13"/>
      <c r="Q51" s="13">
        <v>8</v>
      </c>
      <c r="R51" s="3">
        <f t="shared" si="2"/>
        <v>0</v>
      </c>
      <c r="S51" s="3">
        <f t="shared" si="3"/>
        <v>8</v>
      </c>
      <c r="T51" s="3">
        <f t="shared" si="4"/>
        <v>94.69999999999979</v>
      </c>
      <c r="U51" s="24" t="s">
        <v>1081</v>
      </c>
      <c r="V51" s="24" t="s">
        <v>1081</v>
      </c>
      <c r="W51" s="3"/>
      <c r="X51" s="3" t="s">
        <v>3016</v>
      </c>
      <c r="Y51" s="3" t="s">
        <v>4392</v>
      </c>
      <c r="Z51" s="3"/>
      <c r="AA51" s="3"/>
      <c r="AB51" s="3"/>
      <c r="AC51" s="3" t="str">
        <f>IF(Caja_Arequipa[[#This Row],[FECHA]]&gt;0,TEXT(Caja_Arequipa[[#This Row],[FECHA]],"mmmm"),0)</f>
        <v>Enero</v>
      </c>
    </row>
    <row r="52" spans="2:29" x14ac:dyDescent="0.3">
      <c r="B52" s="2">
        <f>IF(Caja_Arequipa[[#This Row],[TIPO DE R.]]="R",COUNTIFS($D$4:$D51,"R")+1,"")</f>
        <v>48</v>
      </c>
      <c r="C52" s="19" t="str">
        <f t="shared" si="0"/>
        <v>C-Tesoreria</v>
      </c>
      <c r="D52" s="3" t="s">
        <v>1074</v>
      </c>
      <c r="E52" s="14">
        <v>45674</v>
      </c>
      <c r="F52" s="5" t="s">
        <v>1158</v>
      </c>
      <c r="G52" s="5" t="s">
        <v>1079</v>
      </c>
      <c r="H52" s="3" t="s">
        <v>3016</v>
      </c>
      <c r="I52" s="6"/>
      <c r="J52" s="6"/>
      <c r="K52" s="6"/>
      <c r="L52" s="6"/>
      <c r="M52" s="7" t="s">
        <v>4387</v>
      </c>
      <c r="N52" s="8" t="str">
        <f>IF(Caja_Arequipa[[#This Row],[TIPO DE R.]]="R","001-"&amp;12002+B52,N51)</f>
        <v>001-12050</v>
      </c>
      <c r="O52" s="8" t="str">
        <f t="shared" si="5"/>
        <v>PEN</v>
      </c>
      <c r="P52" s="13"/>
      <c r="Q52" s="13">
        <v>6.6</v>
      </c>
      <c r="R52" s="3">
        <f t="shared" si="2"/>
        <v>0</v>
      </c>
      <c r="S52" s="3">
        <f t="shared" si="3"/>
        <v>6.6</v>
      </c>
      <c r="T52" s="3">
        <f t="shared" si="4"/>
        <v>88.099999999999795</v>
      </c>
      <c r="U52" s="24" t="s">
        <v>1081</v>
      </c>
      <c r="V52" s="24" t="s">
        <v>1081</v>
      </c>
      <c r="W52" s="3"/>
      <c r="X52" s="3" t="s">
        <v>3016</v>
      </c>
      <c r="Y52" s="3" t="s">
        <v>4393</v>
      </c>
      <c r="Z52" s="3"/>
      <c r="AA52" s="3"/>
      <c r="AB52" s="3"/>
      <c r="AC52" s="3" t="str">
        <f>IF(Caja_Arequipa[[#This Row],[FECHA]]&gt;0,TEXT(Caja_Arequipa[[#This Row],[FECHA]],"mmmm"),0)</f>
        <v>Enero</v>
      </c>
    </row>
    <row r="53" spans="2:29" x14ac:dyDescent="0.3">
      <c r="B53" s="2">
        <f>IF(Caja_Arequipa[[#This Row],[TIPO DE R.]]="R",COUNTIFS($D$4:$D52,"R")+1,"")</f>
        <v>49</v>
      </c>
      <c r="C53" s="19" t="str">
        <f t="shared" si="0"/>
        <v>C-Tesoreria</v>
      </c>
      <c r="D53" s="3" t="s">
        <v>1074</v>
      </c>
      <c r="E53" s="14">
        <v>45674</v>
      </c>
      <c r="F53" s="5" t="s">
        <v>1158</v>
      </c>
      <c r="G53" s="5" t="s">
        <v>1087</v>
      </c>
      <c r="H53" s="3" t="s">
        <v>3353</v>
      </c>
      <c r="I53" s="6"/>
      <c r="J53" s="6"/>
      <c r="K53" s="6"/>
      <c r="L53" s="6"/>
      <c r="M53" s="7" t="s">
        <v>4394</v>
      </c>
      <c r="N53" s="8" t="str">
        <f>IF(Caja_Arequipa[[#This Row],[TIPO DE R.]]="R","001-"&amp;12002+B53,N52)</f>
        <v>001-12051</v>
      </c>
      <c r="O53" s="8" t="str">
        <f t="shared" si="5"/>
        <v>PEN</v>
      </c>
      <c r="P53" s="13"/>
      <c r="Q53" s="13">
        <v>700</v>
      </c>
      <c r="R53" s="3">
        <f t="shared" si="2"/>
        <v>700</v>
      </c>
      <c r="S53" s="3">
        <f t="shared" si="3"/>
        <v>0</v>
      </c>
      <c r="T53" s="3">
        <f t="shared" si="4"/>
        <v>788.0999999999998</v>
      </c>
      <c r="U53" s="24"/>
      <c r="V53" s="24" t="s">
        <v>1081</v>
      </c>
      <c r="W53" s="3"/>
      <c r="X53" s="3" t="s">
        <v>3353</v>
      </c>
      <c r="Y53" s="3"/>
      <c r="Z53" s="3"/>
      <c r="AA53" s="3"/>
      <c r="AB53" s="3"/>
      <c r="AC53" s="3" t="str">
        <f>IF(Caja_Arequipa[[#This Row],[FECHA]]&gt;0,TEXT(Caja_Arequipa[[#This Row],[FECHA]],"mmmm"),0)</f>
        <v>Enero</v>
      </c>
    </row>
    <row r="54" spans="2:29" ht="24" x14ac:dyDescent="0.3">
      <c r="B54" s="2">
        <f>IF(Caja_Arequipa[[#This Row],[TIPO DE R.]]="R",COUNTIFS($D$4:$D53,"R")+1,"")</f>
        <v>50</v>
      </c>
      <c r="C54" s="19" t="str">
        <f t="shared" si="0"/>
        <v>C-Tesoreria</v>
      </c>
      <c r="D54" s="3" t="s">
        <v>1074</v>
      </c>
      <c r="E54" s="14">
        <v>45674</v>
      </c>
      <c r="F54" s="5" t="s">
        <v>1158</v>
      </c>
      <c r="G54" s="5" t="s">
        <v>1079</v>
      </c>
      <c r="H54" s="3" t="s">
        <v>3016</v>
      </c>
      <c r="I54" s="6"/>
      <c r="J54" s="6"/>
      <c r="K54" s="6"/>
      <c r="L54" s="6"/>
      <c r="M54" s="7" t="s">
        <v>4395</v>
      </c>
      <c r="N54" s="8" t="str">
        <f>IF(Caja_Arequipa[[#This Row],[TIPO DE R.]]="R","001-"&amp;12002+B54,N53)</f>
        <v>001-12052</v>
      </c>
      <c r="O54" s="8" t="str">
        <f t="shared" si="5"/>
        <v>PEN</v>
      </c>
      <c r="P54" s="13"/>
      <c r="Q54" s="13">
        <v>112.5</v>
      </c>
      <c r="R54" s="3">
        <f t="shared" si="2"/>
        <v>0</v>
      </c>
      <c r="S54" s="3">
        <f t="shared" si="3"/>
        <v>112.5</v>
      </c>
      <c r="T54" s="3">
        <f t="shared" si="4"/>
        <v>675.5999999999998</v>
      </c>
      <c r="U54" s="24" t="s">
        <v>1081</v>
      </c>
      <c r="V54" s="24" t="s">
        <v>1081</v>
      </c>
      <c r="W54" s="3"/>
      <c r="X54" s="3" t="s">
        <v>3016</v>
      </c>
      <c r="Y54" s="3" t="s">
        <v>4396</v>
      </c>
      <c r="Z54" s="3"/>
      <c r="AA54" s="3"/>
      <c r="AB54" s="3"/>
      <c r="AC54" s="3" t="str">
        <f>IF(Caja_Arequipa[[#This Row],[FECHA]]&gt;0,TEXT(Caja_Arequipa[[#This Row],[FECHA]],"mmmm"),0)</f>
        <v>Enero</v>
      </c>
    </row>
    <row r="55" spans="2:29" ht="24" x14ac:dyDescent="0.3">
      <c r="B55" s="2">
        <f>IF(Caja_Arequipa[[#This Row],[TIPO DE R.]]="R",COUNTIFS($D$4:$D54,"R")+1,"")</f>
        <v>51</v>
      </c>
      <c r="C55" s="19" t="str">
        <f t="shared" si="0"/>
        <v>C-Tesoreria</v>
      </c>
      <c r="D55" s="3" t="s">
        <v>1074</v>
      </c>
      <c r="E55" s="14">
        <v>45674</v>
      </c>
      <c r="F55" s="5" t="s">
        <v>1158</v>
      </c>
      <c r="G55" s="5" t="s">
        <v>1079</v>
      </c>
      <c r="H55" s="3" t="s">
        <v>3016</v>
      </c>
      <c r="I55" s="6"/>
      <c r="J55" s="6"/>
      <c r="K55" s="6"/>
      <c r="L55" s="6"/>
      <c r="M55" s="7" t="s">
        <v>4397</v>
      </c>
      <c r="N55" s="8" t="str">
        <f>IF(Caja_Arequipa[[#This Row],[TIPO DE R.]]="R","001-"&amp;12002+B55,N54)</f>
        <v>001-12053</v>
      </c>
      <c r="O55" s="8" t="str">
        <f t="shared" si="5"/>
        <v>PEN</v>
      </c>
      <c r="P55" s="13"/>
      <c r="Q55" s="13">
        <v>18.5</v>
      </c>
      <c r="R55" s="3">
        <f t="shared" si="2"/>
        <v>0</v>
      </c>
      <c r="S55" s="3">
        <f t="shared" si="3"/>
        <v>18.5</v>
      </c>
      <c r="T55" s="3">
        <f t="shared" si="4"/>
        <v>657.0999999999998</v>
      </c>
      <c r="U55" s="24" t="s">
        <v>1081</v>
      </c>
      <c r="V55" s="24" t="s">
        <v>1081</v>
      </c>
      <c r="W55" s="3"/>
      <c r="X55" s="3" t="s">
        <v>3016</v>
      </c>
      <c r="Y55" s="3" t="s">
        <v>4398</v>
      </c>
      <c r="Z55" s="3"/>
      <c r="AA55" s="3"/>
      <c r="AB55" s="3"/>
      <c r="AC55" s="3" t="str">
        <f>IF(Caja_Arequipa[[#This Row],[FECHA]]&gt;0,TEXT(Caja_Arequipa[[#This Row],[FECHA]],"mmmm"),0)</f>
        <v>Enero</v>
      </c>
    </row>
    <row r="56" spans="2:29" ht="24" x14ac:dyDescent="0.3">
      <c r="B56" s="2">
        <f>IF(Caja_Arequipa[[#This Row],[TIPO DE R.]]="R",COUNTIFS($D$4:$D55,"R")+1,"")</f>
        <v>52</v>
      </c>
      <c r="C56" s="19" t="str">
        <f t="shared" si="0"/>
        <v>C-Tesoreria</v>
      </c>
      <c r="D56" s="3" t="s">
        <v>1074</v>
      </c>
      <c r="E56" s="14">
        <v>45674</v>
      </c>
      <c r="F56" s="5" t="s">
        <v>1158</v>
      </c>
      <c r="G56" s="5" t="s">
        <v>1079</v>
      </c>
      <c r="H56" s="3" t="s">
        <v>4357</v>
      </c>
      <c r="I56" s="6"/>
      <c r="J56" s="6"/>
      <c r="K56" s="6"/>
      <c r="L56" s="6"/>
      <c r="M56" s="7" t="s">
        <v>4399</v>
      </c>
      <c r="N56" s="8" t="str">
        <f>IF(Caja_Arequipa[[#This Row],[TIPO DE R.]]="R","001-"&amp;12002+B56,N55)</f>
        <v>001-12054</v>
      </c>
      <c r="O56" s="8" t="str">
        <f t="shared" si="5"/>
        <v>PEN</v>
      </c>
      <c r="P56" s="13"/>
      <c r="Q56" s="13">
        <v>26.4</v>
      </c>
      <c r="R56" s="3">
        <f t="shared" si="2"/>
        <v>0</v>
      </c>
      <c r="S56" s="3">
        <f t="shared" si="3"/>
        <v>26.4</v>
      </c>
      <c r="T56" s="3">
        <f t="shared" si="4"/>
        <v>630.69999999999982</v>
      </c>
      <c r="U56" s="24" t="s">
        <v>1081</v>
      </c>
      <c r="V56" s="24" t="s">
        <v>1081</v>
      </c>
      <c r="W56" s="3"/>
      <c r="X56" s="3" t="s">
        <v>4357</v>
      </c>
      <c r="Y56" s="3" t="s">
        <v>4400</v>
      </c>
      <c r="Z56" s="3"/>
      <c r="AA56" s="3"/>
      <c r="AB56" s="3"/>
      <c r="AC56" s="3" t="str">
        <f>IF(Caja_Arequipa[[#This Row],[FECHA]]&gt;0,TEXT(Caja_Arequipa[[#This Row],[FECHA]],"mmmm"),0)</f>
        <v>Enero</v>
      </c>
    </row>
    <row r="57" spans="2:29" ht="36" x14ac:dyDescent="0.3">
      <c r="B57" s="2">
        <f>IF(Caja_Arequipa[[#This Row],[TIPO DE R.]]="R",COUNTIFS($D$4:$D56,"R")+1,"")</f>
        <v>53</v>
      </c>
      <c r="C57" s="19" t="str">
        <f t="shared" si="0"/>
        <v>C-Tesoreria</v>
      </c>
      <c r="D57" s="3" t="s">
        <v>1074</v>
      </c>
      <c r="E57" s="14">
        <v>45678</v>
      </c>
      <c r="F57" s="5" t="s">
        <v>1158</v>
      </c>
      <c r="G57" s="5" t="s">
        <v>1079</v>
      </c>
      <c r="H57" s="3" t="s">
        <v>4353</v>
      </c>
      <c r="I57" s="6"/>
      <c r="J57" s="6"/>
      <c r="K57" s="6"/>
      <c r="L57" s="6"/>
      <c r="M57" s="7" t="s">
        <v>4401</v>
      </c>
      <c r="N57" s="8" t="str">
        <f>IF(Caja_Arequipa[[#This Row],[TIPO DE R.]]="R","001-"&amp;12002+B57,N56)</f>
        <v>001-12055</v>
      </c>
      <c r="O57" s="8" t="str">
        <f t="shared" si="5"/>
        <v>PEN</v>
      </c>
      <c r="P57" s="13"/>
      <c r="Q57" s="13">
        <v>18</v>
      </c>
      <c r="R57" s="3">
        <f t="shared" si="2"/>
        <v>0</v>
      </c>
      <c r="S57" s="3">
        <f t="shared" si="3"/>
        <v>18</v>
      </c>
      <c r="T57" s="3">
        <f t="shared" si="4"/>
        <v>612.69999999999982</v>
      </c>
      <c r="U57" s="24" t="s">
        <v>1081</v>
      </c>
      <c r="V57" s="24" t="s">
        <v>1081</v>
      </c>
      <c r="W57" s="3"/>
      <c r="X57" s="3" t="s">
        <v>4353</v>
      </c>
      <c r="Y57" s="3" t="s">
        <v>4402</v>
      </c>
      <c r="Z57" s="3"/>
      <c r="AA57" s="3"/>
      <c r="AB57" s="3"/>
      <c r="AC57" s="3" t="str">
        <f>IF(Caja_Arequipa[[#This Row],[FECHA]]&gt;0,TEXT(Caja_Arequipa[[#This Row],[FECHA]],"mmmm"),0)</f>
        <v>Enero</v>
      </c>
    </row>
    <row r="58" spans="2:29" x14ac:dyDescent="0.3">
      <c r="B58" s="2">
        <f>IF(Caja_Arequipa[[#This Row],[TIPO DE R.]]="R",COUNTIFS($D$4:$D57,"R")+1,"")</f>
        <v>54</v>
      </c>
      <c r="C58" s="19" t="str">
        <f t="shared" si="0"/>
        <v>C-Tesoreria</v>
      </c>
      <c r="D58" s="3" t="s">
        <v>1074</v>
      </c>
      <c r="E58" s="14">
        <v>45678</v>
      </c>
      <c r="F58" s="5" t="s">
        <v>1158</v>
      </c>
      <c r="G58" s="5" t="s">
        <v>1079</v>
      </c>
      <c r="H58" s="3" t="s">
        <v>4314</v>
      </c>
      <c r="I58" s="6"/>
      <c r="J58" s="6"/>
      <c r="K58" s="6"/>
      <c r="L58" s="6"/>
      <c r="M58" s="7" t="s">
        <v>4403</v>
      </c>
      <c r="N58" s="8" t="str">
        <f>IF(Caja_Arequipa[[#This Row],[TIPO DE R.]]="R","001-"&amp;12002+B58,N57)</f>
        <v>001-12056</v>
      </c>
      <c r="O58" s="8" t="str">
        <f t="shared" si="5"/>
        <v>PEN</v>
      </c>
      <c r="P58" s="13"/>
      <c r="Q58" s="13">
        <v>5</v>
      </c>
      <c r="R58" s="3">
        <f t="shared" si="2"/>
        <v>0</v>
      </c>
      <c r="S58" s="3">
        <f t="shared" si="3"/>
        <v>5</v>
      </c>
      <c r="T58" s="3">
        <f t="shared" si="4"/>
        <v>607.69999999999982</v>
      </c>
      <c r="U58" s="24" t="s">
        <v>1081</v>
      </c>
      <c r="V58" s="24" t="s">
        <v>1081</v>
      </c>
      <c r="W58" s="3"/>
      <c r="X58" s="3" t="s">
        <v>4314</v>
      </c>
      <c r="Y58" s="3" t="s">
        <v>4404</v>
      </c>
      <c r="Z58" s="3"/>
      <c r="AA58" s="3"/>
      <c r="AB58" s="3"/>
      <c r="AC58" s="3" t="str">
        <f>IF(Caja_Arequipa[[#This Row],[FECHA]]&gt;0,TEXT(Caja_Arequipa[[#This Row],[FECHA]],"mmmm"),0)</f>
        <v>Enero</v>
      </c>
    </row>
    <row r="59" spans="2:29" x14ac:dyDescent="0.3">
      <c r="B59" s="2">
        <f>IF(Caja_Arequipa[[#This Row],[TIPO DE R.]]="R",COUNTIFS($D$4:$D58,"R")+1,"")</f>
        <v>55</v>
      </c>
      <c r="C59" s="19" t="str">
        <f t="shared" si="0"/>
        <v>C-Tesoreria</v>
      </c>
      <c r="D59" s="3" t="s">
        <v>1074</v>
      </c>
      <c r="E59" s="14">
        <v>45678</v>
      </c>
      <c r="F59" s="5" t="s">
        <v>1158</v>
      </c>
      <c r="G59" s="5" t="s">
        <v>1079</v>
      </c>
      <c r="H59" s="3" t="s">
        <v>4314</v>
      </c>
      <c r="I59" s="6"/>
      <c r="J59" s="6"/>
      <c r="K59" s="6"/>
      <c r="L59" s="6"/>
      <c r="M59" s="7" t="s">
        <v>4405</v>
      </c>
      <c r="N59" s="8" t="str">
        <f>IF(Caja_Arequipa[[#This Row],[TIPO DE R.]]="R","001-"&amp;12002+B59,N58)</f>
        <v>001-12057</v>
      </c>
      <c r="O59" s="8" t="str">
        <f t="shared" si="5"/>
        <v>PEN</v>
      </c>
      <c r="P59" s="13"/>
      <c r="Q59" s="13">
        <v>22</v>
      </c>
      <c r="R59" s="3">
        <f t="shared" si="2"/>
        <v>0</v>
      </c>
      <c r="S59" s="3">
        <f t="shared" si="3"/>
        <v>22</v>
      </c>
      <c r="T59" s="3">
        <f t="shared" si="4"/>
        <v>585.69999999999982</v>
      </c>
      <c r="U59" s="24" t="s">
        <v>1081</v>
      </c>
      <c r="V59" s="24" t="s">
        <v>1081</v>
      </c>
      <c r="W59" s="3"/>
      <c r="X59" s="3" t="s">
        <v>4314</v>
      </c>
      <c r="Y59" s="3" t="s">
        <v>4406</v>
      </c>
      <c r="Z59" s="3"/>
      <c r="AA59" s="3"/>
      <c r="AB59" s="3"/>
      <c r="AC59" s="3" t="str">
        <f>IF(Caja_Arequipa[[#This Row],[FECHA]]&gt;0,TEXT(Caja_Arequipa[[#This Row],[FECHA]],"mmmm"),0)</f>
        <v>Enero</v>
      </c>
    </row>
    <row r="60" spans="2:29" x14ac:dyDescent="0.3">
      <c r="B60" s="2">
        <f>IF(Caja_Arequipa[[#This Row],[TIPO DE R.]]="R",COUNTIFS($D$4:$D59,"R")+1,"")</f>
        <v>56</v>
      </c>
      <c r="C60" s="19" t="str">
        <f t="shared" si="0"/>
        <v>C-Tesoreria</v>
      </c>
      <c r="D60" s="3" t="s">
        <v>1074</v>
      </c>
      <c r="E60" s="14">
        <v>45678</v>
      </c>
      <c r="F60" s="5" t="s">
        <v>1158</v>
      </c>
      <c r="G60" s="5" t="s">
        <v>1079</v>
      </c>
      <c r="H60" s="3" t="s">
        <v>4314</v>
      </c>
      <c r="I60" s="6"/>
      <c r="J60" s="6"/>
      <c r="K60" s="6"/>
      <c r="L60" s="6"/>
      <c r="M60" s="7" t="s">
        <v>4407</v>
      </c>
      <c r="N60" s="8" t="str">
        <f>IF(Caja_Arequipa[[#This Row],[TIPO DE R.]]="R","001-"&amp;12002+B60,N59)</f>
        <v>001-12058</v>
      </c>
      <c r="O60" s="8" t="str">
        <f t="shared" si="5"/>
        <v>PEN</v>
      </c>
      <c r="P60" s="13"/>
      <c r="Q60" s="13">
        <v>68</v>
      </c>
      <c r="R60" s="3">
        <f t="shared" si="2"/>
        <v>0</v>
      </c>
      <c r="S60" s="3">
        <f t="shared" si="3"/>
        <v>68</v>
      </c>
      <c r="T60" s="3">
        <f t="shared" si="4"/>
        <v>517.69999999999982</v>
      </c>
      <c r="U60" s="24" t="s">
        <v>1081</v>
      </c>
      <c r="V60" s="24" t="s">
        <v>1081</v>
      </c>
      <c r="W60" s="3"/>
      <c r="X60" s="3" t="s">
        <v>4314</v>
      </c>
      <c r="Y60" s="3" t="s">
        <v>4408</v>
      </c>
      <c r="Z60" s="3"/>
      <c r="AA60" s="3"/>
      <c r="AB60" s="3"/>
      <c r="AC60" s="3" t="str">
        <f>IF(Caja_Arequipa[[#This Row],[FECHA]]&gt;0,TEXT(Caja_Arequipa[[#This Row],[FECHA]],"mmmm"),0)</f>
        <v>Enero</v>
      </c>
    </row>
    <row r="61" spans="2:29" x14ac:dyDescent="0.3">
      <c r="B61" s="2">
        <f>IF(Caja_Arequipa[[#This Row],[TIPO DE R.]]="R",COUNTIFS($D$4:$D60,"R")+1,"")</f>
        <v>57</v>
      </c>
      <c r="C61" s="19" t="str">
        <f t="shared" si="0"/>
        <v>C-Tesoreria</v>
      </c>
      <c r="D61" s="3" t="s">
        <v>1074</v>
      </c>
      <c r="E61" s="14">
        <v>45678</v>
      </c>
      <c r="F61" s="5" t="s">
        <v>1158</v>
      </c>
      <c r="G61" s="5" t="s">
        <v>1079</v>
      </c>
      <c r="H61" s="3" t="s">
        <v>4314</v>
      </c>
      <c r="I61" s="6"/>
      <c r="J61" s="6"/>
      <c r="K61" s="6"/>
      <c r="L61" s="6"/>
      <c r="M61" s="7" t="s">
        <v>4409</v>
      </c>
      <c r="N61" s="8" t="str">
        <f>IF(Caja_Arequipa[[#This Row],[TIPO DE R.]]="R","001-"&amp;12002+B61,N60)</f>
        <v>001-12059</v>
      </c>
      <c r="O61" s="8" t="str">
        <f t="shared" si="5"/>
        <v>PEN</v>
      </c>
      <c r="P61" s="13"/>
      <c r="Q61" s="13">
        <v>34</v>
      </c>
      <c r="R61" s="3">
        <f t="shared" si="2"/>
        <v>0</v>
      </c>
      <c r="S61" s="3">
        <f t="shared" si="3"/>
        <v>34</v>
      </c>
      <c r="T61" s="3">
        <f t="shared" si="4"/>
        <v>483.69999999999982</v>
      </c>
      <c r="U61" s="24" t="s">
        <v>1081</v>
      </c>
      <c r="V61" s="24" t="s">
        <v>1081</v>
      </c>
      <c r="W61" s="3"/>
      <c r="X61" s="3" t="s">
        <v>4314</v>
      </c>
      <c r="Y61" s="3" t="s">
        <v>4410</v>
      </c>
      <c r="Z61" s="3"/>
      <c r="AA61" s="3"/>
      <c r="AB61" s="3"/>
      <c r="AC61" s="3" t="str">
        <f>IF(Caja_Arequipa[[#This Row],[FECHA]]&gt;0,TEXT(Caja_Arequipa[[#This Row],[FECHA]],"mmmm"),0)</f>
        <v>Enero</v>
      </c>
    </row>
    <row r="62" spans="2:29" x14ac:dyDescent="0.3">
      <c r="B62" s="2">
        <f>IF(Caja_Arequipa[[#This Row],[TIPO DE R.]]="R",COUNTIFS($D$4:$D61,"R")+1,"")</f>
        <v>58</v>
      </c>
      <c r="C62" s="19" t="str">
        <f t="shared" si="0"/>
        <v>C-Tesoreria</v>
      </c>
      <c r="D62" s="3" t="s">
        <v>1074</v>
      </c>
      <c r="E62" s="14">
        <v>45678</v>
      </c>
      <c r="F62" s="5" t="s">
        <v>1158</v>
      </c>
      <c r="G62" s="5" t="s">
        <v>1079</v>
      </c>
      <c r="H62" s="3" t="s">
        <v>4314</v>
      </c>
      <c r="I62" s="6"/>
      <c r="J62" s="6"/>
      <c r="K62" s="6"/>
      <c r="L62" s="6"/>
      <c r="M62" s="7" t="s">
        <v>4411</v>
      </c>
      <c r="N62" s="8" t="str">
        <f>IF(Caja_Arequipa[[#This Row],[TIPO DE R.]]="R","001-"&amp;12002+B62,N61)</f>
        <v>001-12060</v>
      </c>
      <c r="O62" s="8" t="str">
        <f t="shared" si="5"/>
        <v>PEN</v>
      </c>
      <c r="P62" s="13"/>
      <c r="Q62" s="13">
        <v>88</v>
      </c>
      <c r="R62" s="3">
        <f t="shared" si="2"/>
        <v>0</v>
      </c>
      <c r="S62" s="3">
        <f t="shared" si="3"/>
        <v>88</v>
      </c>
      <c r="T62" s="3">
        <f t="shared" si="4"/>
        <v>395.69999999999982</v>
      </c>
      <c r="U62" s="24" t="s">
        <v>1081</v>
      </c>
      <c r="V62" s="24" t="s">
        <v>1081</v>
      </c>
      <c r="W62" s="3"/>
      <c r="X62" s="3" t="s">
        <v>4314</v>
      </c>
      <c r="Y62" s="3" t="s">
        <v>4412</v>
      </c>
      <c r="Z62" s="3"/>
      <c r="AA62" s="3"/>
      <c r="AB62" s="3"/>
      <c r="AC62" s="3" t="str">
        <f>IF(Caja_Arequipa[[#This Row],[FECHA]]&gt;0,TEXT(Caja_Arequipa[[#This Row],[FECHA]],"mmmm"),0)</f>
        <v>Enero</v>
      </c>
    </row>
    <row r="63" spans="2:29" x14ac:dyDescent="0.3">
      <c r="B63" s="2">
        <f>IF(Caja_Arequipa[[#This Row],[TIPO DE R.]]="R",COUNTIFS($D$4:$D62,"R")+1,"")</f>
        <v>59</v>
      </c>
      <c r="C63" s="19" t="str">
        <f t="shared" si="0"/>
        <v>C-Tesoreria</v>
      </c>
      <c r="D63" s="3" t="s">
        <v>1074</v>
      </c>
      <c r="E63" s="14">
        <v>45678</v>
      </c>
      <c r="F63" s="5" t="s">
        <v>1158</v>
      </c>
      <c r="G63" s="5" t="s">
        <v>1079</v>
      </c>
      <c r="H63" s="3" t="s">
        <v>4314</v>
      </c>
      <c r="I63" s="6"/>
      <c r="J63" s="6"/>
      <c r="K63" s="6"/>
      <c r="L63" s="6"/>
      <c r="M63" s="7" t="s">
        <v>4413</v>
      </c>
      <c r="N63" s="8" t="str">
        <f>IF(Caja_Arequipa[[#This Row],[TIPO DE R.]]="R","001-"&amp;12002+B63,N62)</f>
        <v>001-12061</v>
      </c>
      <c r="O63" s="8" t="str">
        <f t="shared" si="5"/>
        <v>PEN</v>
      </c>
      <c r="P63" s="13"/>
      <c r="Q63" s="13">
        <v>87</v>
      </c>
      <c r="R63" s="3">
        <f t="shared" si="2"/>
        <v>0</v>
      </c>
      <c r="S63" s="3">
        <f t="shared" si="3"/>
        <v>87</v>
      </c>
      <c r="T63" s="3">
        <f t="shared" si="4"/>
        <v>308.69999999999982</v>
      </c>
      <c r="U63" s="24" t="s">
        <v>1081</v>
      </c>
      <c r="V63" s="24" t="s">
        <v>1081</v>
      </c>
      <c r="W63" s="3"/>
      <c r="X63" s="3" t="s">
        <v>4314</v>
      </c>
      <c r="Y63" s="3" t="s">
        <v>4414</v>
      </c>
      <c r="Z63" s="3"/>
      <c r="AA63" s="3"/>
      <c r="AB63" s="3"/>
      <c r="AC63" s="3" t="str">
        <f>IF(Caja_Arequipa[[#This Row],[FECHA]]&gt;0,TEXT(Caja_Arequipa[[#This Row],[FECHA]],"mmmm"),0)</f>
        <v>Enero</v>
      </c>
    </row>
    <row r="64" spans="2:29" ht="24" x14ac:dyDescent="0.3">
      <c r="B64" s="2">
        <f>IF(Caja_Arequipa[[#This Row],[TIPO DE R.]]="R",COUNTIFS($D$4:$D63,"R")+1,"")</f>
        <v>60</v>
      </c>
      <c r="C64" s="19" t="str">
        <f t="shared" si="0"/>
        <v>C-Tesoreria</v>
      </c>
      <c r="D64" s="3" t="s">
        <v>1074</v>
      </c>
      <c r="E64" s="14">
        <v>45678</v>
      </c>
      <c r="F64" s="5" t="s">
        <v>1158</v>
      </c>
      <c r="G64" s="5" t="s">
        <v>1079</v>
      </c>
      <c r="H64" s="3" t="s">
        <v>4305</v>
      </c>
      <c r="I64" s="6"/>
      <c r="J64" s="6"/>
      <c r="K64" s="6"/>
      <c r="L64" s="6"/>
      <c r="M64" s="7" t="s">
        <v>4415</v>
      </c>
      <c r="N64" s="8" t="str">
        <f>IF(Caja_Arequipa[[#This Row],[TIPO DE R.]]="R","001-"&amp;12002+B64,N63)</f>
        <v>001-12062</v>
      </c>
      <c r="O64" s="8" t="str">
        <f t="shared" si="5"/>
        <v>PEN</v>
      </c>
      <c r="P64" s="13"/>
      <c r="Q64" s="13">
        <v>16.600000000000001</v>
      </c>
      <c r="R64" s="3">
        <f t="shared" si="2"/>
        <v>0</v>
      </c>
      <c r="S64" s="3">
        <f t="shared" si="3"/>
        <v>16.600000000000001</v>
      </c>
      <c r="T64" s="3">
        <f t="shared" si="4"/>
        <v>292.0999999999998</v>
      </c>
      <c r="U64" s="24" t="s">
        <v>1081</v>
      </c>
      <c r="V64" s="24" t="s">
        <v>1081</v>
      </c>
      <c r="W64" s="3"/>
      <c r="X64" s="3" t="s">
        <v>4305</v>
      </c>
      <c r="Y64" s="3" t="s">
        <v>4416</v>
      </c>
      <c r="Z64" s="3"/>
      <c r="AA64" s="3"/>
      <c r="AB64" s="3"/>
      <c r="AC64" s="3" t="str">
        <f>IF(Caja_Arequipa[[#This Row],[FECHA]]&gt;0,TEXT(Caja_Arequipa[[#This Row],[FECHA]],"mmmm"),0)</f>
        <v>Enero</v>
      </c>
    </row>
    <row r="65" spans="2:29" ht="36" x14ac:dyDescent="0.3">
      <c r="B65" s="2">
        <f>IF(Caja_Arequipa[[#This Row],[TIPO DE R.]]="R",COUNTIFS($D$4:$D64,"R")+1,"")</f>
        <v>61</v>
      </c>
      <c r="C65" s="19" t="str">
        <f t="shared" si="0"/>
        <v>C-Tesoreria</v>
      </c>
      <c r="D65" s="3" t="s">
        <v>1074</v>
      </c>
      <c r="E65" s="14">
        <v>45678</v>
      </c>
      <c r="F65" s="5" t="s">
        <v>1158</v>
      </c>
      <c r="G65" s="5" t="s">
        <v>1079</v>
      </c>
      <c r="H65" s="3" t="s">
        <v>4303</v>
      </c>
      <c r="I65" s="6"/>
      <c r="J65" s="6"/>
      <c r="K65" s="6"/>
      <c r="L65" s="6"/>
      <c r="M65" s="7" t="s">
        <v>4417</v>
      </c>
      <c r="N65" s="8" t="str">
        <f>IF(Caja_Arequipa[[#This Row],[TIPO DE R.]]="R","001-"&amp;12002+B65,N64)</f>
        <v>001-12063</v>
      </c>
      <c r="O65" s="8" t="str">
        <f t="shared" si="5"/>
        <v>PEN</v>
      </c>
      <c r="P65" s="13"/>
      <c r="Q65" s="13">
        <v>210</v>
      </c>
      <c r="R65" s="3">
        <f t="shared" si="2"/>
        <v>0</v>
      </c>
      <c r="S65" s="3">
        <f t="shared" si="3"/>
        <v>210</v>
      </c>
      <c r="T65" s="3">
        <f t="shared" si="4"/>
        <v>82.099999999999795</v>
      </c>
      <c r="U65" s="24" t="s">
        <v>1081</v>
      </c>
      <c r="V65" s="24" t="s">
        <v>1081</v>
      </c>
      <c r="W65" s="3"/>
      <c r="X65" s="3" t="s">
        <v>4303</v>
      </c>
      <c r="Y65" s="3" t="s">
        <v>4418</v>
      </c>
      <c r="Z65" s="3"/>
      <c r="AA65" s="3"/>
      <c r="AB65" s="3"/>
      <c r="AC65" s="3" t="str">
        <f>IF(Caja_Arequipa[[#This Row],[FECHA]]&gt;0,TEXT(Caja_Arequipa[[#This Row],[FECHA]],"mmmm"),0)</f>
        <v>Enero</v>
      </c>
    </row>
    <row r="66" spans="2:29" ht="24" x14ac:dyDescent="0.3">
      <c r="B66" s="2">
        <f>IF(Caja_Arequipa[[#This Row],[TIPO DE R.]]="R",COUNTIFS($D$4:$D65,"R")+1,"")</f>
        <v>62</v>
      </c>
      <c r="C66" s="19" t="str">
        <f t="shared" si="0"/>
        <v>C-Tesoreria</v>
      </c>
      <c r="D66" s="3" t="s">
        <v>1074</v>
      </c>
      <c r="E66" s="14">
        <v>45678</v>
      </c>
      <c r="F66" s="5" t="s">
        <v>1158</v>
      </c>
      <c r="G66" s="5" t="s">
        <v>1079</v>
      </c>
      <c r="H66" s="3" t="s">
        <v>3016</v>
      </c>
      <c r="I66" s="6"/>
      <c r="J66" s="6"/>
      <c r="K66" s="6"/>
      <c r="L66" s="6"/>
      <c r="M66" s="7" t="s">
        <v>4419</v>
      </c>
      <c r="N66" s="8" t="str">
        <f>IF(Caja_Arequipa[[#This Row],[TIPO DE R.]]="R","001-"&amp;12002+B66,N65)</f>
        <v>001-12064</v>
      </c>
      <c r="O66" s="8" t="str">
        <f t="shared" si="5"/>
        <v>PEN</v>
      </c>
      <c r="P66" s="13"/>
      <c r="Q66" s="13">
        <v>11</v>
      </c>
      <c r="R66" s="3">
        <f t="shared" si="2"/>
        <v>0</v>
      </c>
      <c r="S66" s="3">
        <f t="shared" si="3"/>
        <v>11</v>
      </c>
      <c r="T66" s="3">
        <f t="shared" si="4"/>
        <v>71.099999999999795</v>
      </c>
      <c r="U66" s="24" t="s">
        <v>1081</v>
      </c>
      <c r="V66" s="24" t="s">
        <v>1081</v>
      </c>
      <c r="W66" s="3"/>
      <c r="X66" s="3" t="s">
        <v>3016</v>
      </c>
      <c r="Y66" s="3" t="s">
        <v>4420</v>
      </c>
      <c r="Z66" s="3"/>
      <c r="AA66" s="3"/>
      <c r="AB66" s="3"/>
      <c r="AC66" s="3" t="str">
        <f>IF(Caja_Arequipa[[#This Row],[FECHA]]&gt;0,TEXT(Caja_Arequipa[[#This Row],[FECHA]],"mmmm"),0)</f>
        <v>Enero</v>
      </c>
    </row>
    <row r="67" spans="2:29" ht="24" x14ac:dyDescent="0.3">
      <c r="B67" s="2">
        <f>IF(Caja_Arequipa[[#This Row],[TIPO DE R.]]="R",COUNTIFS($D$4:$D66,"R")+1,"")</f>
        <v>63</v>
      </c>
      <c r="C67" s="19" t="str">
        <f t="shared" si="0"/>
        <v>C-Tesoreria</v>
      </c>
      <c r="D67" s="3" t="s">
        <v>1074</v>
      </c>
      <c r="E67" s="14">
        <v>45684</v>
      </c>
      <c r="F67" s="5" t="s">
        <v>1158</v>
      </c>
      <c r="G67" s="5" t="s">
        <v>1079</v>
      </c>
      <c r="H67" s="3" t="s">
        <v>3016</v>
      </c>
      <c r="I67" s="6"/>
      <c r="J67" s="6"/>
      <c r="K67" s="6"/>
      <c r="L67" s="6"/>
      <c r="M67" s="7" t="s">
        <v>4421</v>
      </c>
      <c r="N67" s="8" t="str">
        <f>IF(Caja_Arequipa[[#This Row],[TIPO DE R.]]="R","001-"&amp;12002+B67,N66)</f>
        <v>001-12065</v>
      </c>
      <c r="O67" s="8" t="str">
        <f t="shared" si="5"/>
        <v>PEN</v>
      </c>
      <c r="P67" s="13"/>
      <c r="Q67" s="13">
        <v>31.5</v>
      </c>
      <c r="R67" s="3">
        <f t="shared" si="2"/>
        <v>0</v>
      </c>
      <c r="S67" s="3">
        <f t="shared" si="3"/>
        <v>31.5</v>
      </c>
      <c r="T67" s="3">
        <f t="shared" si="4"/>
        <v>39.599999999999795</v>
      </c>
      <c r="U67" s="24" t="s">
        <v>1081</v>
      </c>
      <c r="V67" s="24" t="s">
        <v>1081</v>
      </c>
      <c r="W67" s="3"/>
      <c r="X67" s="3" t="s">
        <v>3016</v>
      </c>
      <c r="Y67" s="3" t="s">
        <v>4422</v>
      </c>
      <c r="Z67" s="3"/>
      <c r="AA67" s="3"/>
      <c r="AB67" s="3"/>
      <c r="AC67" s="3" t="str">
        <f>IF(Caja_Arequipa[[#This Row],[FECHA]]&gt;0,TEXT(Caja_Arequipa[[#This Row],[FECHA]],"mmmm"),0)</f>
        <v>Enero</v>
      </c>
    </row>
    <row r="68" spans="2:29" ht="24" x14ac:dyDescent="0.3">
      <c r="B68" s="2">
        <f>IF(Caja_Arequipa[[#This Row],[TIPO DE R.]]="R",COUNTIFS($D$4:$D67,"R")+1,"")</f>
        <v>64</v>
      </c>
      <c r="C68" s="19" t="str">
        <f t="shared" si="0"/>
        <v>C-Tesoreria</v>
      </c>
      <c r="D68" s="3" t="s">
        <v>1074</v>
      </c>
      <c r="E68" s="14">
        <v>45684</v>
      </c>
      <c r="F68" s="5" t="s">
        <v>1158</v>
      </c>
      <c r="G68" s="5" t="s">
        <v>1079</v>
      </c>
      <c r="H68" s="3" t="s">
        <v>3016</v>
      </c>
      <c r="I68" s="6"/>
      <c r="J68" s="6"/>
      <c r="K68" s="6"/>
      <c r="L68" s="6"/>
      <c r="M68" s="7" t="s">
        <v>4423</v>
      </c>
      <c r="N68" s="8" t="str">
        <f>IF(Caja_Arequipa[[#This Row],[TIPO DE R.]]="R","001-"&amp;12002+B68,N67)</f>
        <v>001-12066</v>
      </c>
      <c r="O68" s="8" t="str">
        <f t="shared" si="5"/>
        <v>PEN</v>
      </c>
      <c r="P68" s="13"/>
      <c r="Q68" s="13">
        <v>27</v>
      </c>
      <c r="R68" s="3">
        <f t="shared" si="2"/>
        <v>0</v>
      </c>
      <c r="S68" s="3">
        <f t="shared" si="3"/>
        <v>27</v>
      </c>
      <c r="T68" s="3">
        <f t="shared" si="4"/>
        <v>12.599999999999795</v>
      </c>
      <c r="U68" s="24" t="s">
        <v>1081</v>
      </c>
      <c r="V68" s="24" t="s">
        <v>1081</v>
      </c>
      <c r="W68" s="3"/>
      <c r="X68" s="3" t="s">
        <v>3016</v>
      </c>
      <c r="Y68" s="3" t="s">
        <v>4424</v>
      </c>
      <c r="Z68" s="3"/>
      <c r="AA68" s="3"/>
      <c r="AB68" s="3"/>
      <c r="AC68" s="3" t="str">
        <f>IF(Caja_Arequipa[[#This Row],[FECHA]]&gt;0,TEXT(Caja_Arequipa[[#This Row],[FECHA]],"mmmm"),0)</f>
        <v>Enero</v>
      </c>
    </row>
    <row r="69" spans="2:29" x14ac:dyDescent="0.3">
      <c r="B69" s="2">
        <f>IF(Caja_Arequipa[[#This Row],[TIPO DE R.]]="R",COUNTIFS($D$4:$D68,"R")+1,"")</f>
        <v>65</v>
      </c>
      <c r="C69" s="19" t="str">
        <f t="shared" ref="C69:C132" si="6">"C-Tesoreria"</f>
        <v>C-Tesoreria</v>
      </c>
      <c r="D69" s="3" t="s">
        <v>1074</v>
      </c>
      <c r="E69" s="14">
        <v>45684</v>
      </c>
      <c r="F69" s="5" t="s">
        <v>1158</v>
      </c>
      <c r="G69" s="5" t="s">
        <v>1087</v>
      </c>
      <c r="H69" s="3" t="s">
        <v>3353</v>
      </c>
      <c r="I69" s="6"/>
      <c r="J69" s="6"/>
      <c r="K69" s="6"/>
      <c r="L69" s="6"/>
      <c r="M69" s="7" t="s">
        <v>4394</v>
      </c>
      <c r="N69" s="8" t="str">
        <f>IF(Caja_Arequipa[[#This Row],[TIPO DE R.]]="R","001-"&amp;12002+B69,N68)</f>
        <v>001-12067</v>
      </c>
      <c r="O69" s="8" t="str">
        <f t="shared" si="5"/>
        <v>PEN</v>
      </c>
      <c r="P69" s="13"/>
      <c r="Q69" s="13">
        <v>200</v>
      </c>
      <c r="R69" s="3">
        <f t="shared" ref="R69:R132" si="7">+IF(OR($G69="SALDO",$G69="INGRESO"),$Q69,0)</f>
        <v>200</v>
      </c>
      <c r="S69" s="3">
        <f t="shared" ref="S69:S132" si="8">+IF($G69="EGRESO",$Q69,0)</f>
        <v>0</v>
      </c>
      <c r="T69" s="3">
        <f t="shared" ref="T69:T132" si="9">IFERROR(IF(G69="SALDO",R69,T68+R69-S69),0)</f>
        <v>212.5999999999998</v>
      </c>
      <c r="U69" s="24"/>
      <c r="V69" s="24" t="s">
        <v>1081</v>
      </c>
      <c r="W69" s="3"/>
      <c r="X69" s="3" t="s">
        <v>3353</v>
      </c>
      <c r="Y69" s="3"/>
      <c r="Z69" s="3"/>
      <c r="AA69" s="3"/>
      <c r="AB69" s="3"/>
      <c r="AC69" s="3" t="str">
        <f>IF(Caja_Arequipa[[#This Row],[FECHA]]&gt;0,TEXT(Caja_Arequipa[[#This Row],[FECHA]],"mmmm"),0)</f>
        <v>Enero</v>
      </c>
    </row>
    <row r="70" spans="2:29" x14ac:dyDescent="0.3">
      <c r="B70" s="2">
        <f>IF(Caja_Arequipa[[#This Row],[TIPO DE R.]]="R",COUNTIFS($D$4:$D69,"R")+1,"")</f>
        <v>66</v>
      </c>
      <c r="C70" s="19" t="str">
        <f t="shared" si="6"/>
        <v>C-Tesoreria</v>
      </c>
      <c r="D70" s="3" t="s">
        <v>1074</v>
      </c>
      <c r="E70" s="14">
        <v>45684</v>
      </c>
      <c r="F70" s="5" t="s">
        <v>1158</v>
      </c>
      <c r="G70" s="5" t="s">
        <v>1079</v>
      </c>
      <c r="H70" s="3" t="s">
        <v>4329</v>
      </c>
      <c r="I70" s="6"/>
      <c r="J70" s="6"/>
      <c r="K70" s="6"/>
      <c r="L70" s="6"/>
      <c r="M70" s="7" t="s">
        <v>4425</v>
      </c>
      <c r="N70" s="8" t="str">
        <f>IF(Caja_Arequipa[[#This Row],[TIPO DE R.]]="R","001-"&amp;12002+B70,N69)</f>
        <v>001-12068</v>
      </c>
      <c r="O70" s="8" t="str">
        <f t="shared" ref="O70:O133" si="10">"PEN"</f>
        <v>PEN</v>
      </c>
      <c r="P70" s="13"/>
      <c r="Q70" s="13">
        <v>42</v>
      </c>
      <c r="R70" s="3">
        <f t="shared" si="7"/>
        <v>0</v>
      </c>
      <c r="S70" s="3">
        <f t="shared" si="8"/>
        <v>42</v>
      </c>
      <c r="T70" s="3">
        <f t="shared" si="9"/>
        <v>170.5999999999998</v>
      </c>
      <c r="U70" s="24" t="s">
        <v>1081</v>
      </c>
      <c r="V70" s="24" t="s">
        <v>1081</v>
      </c>
      <c r="W70" s="3"/>
      <c r="X70" s="3" t="s">
        <v>4329</v>
      </c>
      <c r="Y70" s="3" t="s">
        <v>4426</v>
      </c>
      <c r="Z70" s="3"/>
      <c r="AA70" s="3"/>
      <c r="AB70" s="3"/>
      <c r="AC70" s="3" t="str">
        <f>IF(Caja_Arequipa[[#This Row],[FECHA]]&gt;0,TEXT(Caja_Arequipa[[#This Row],[FECHA]],"mmmm"),0)</f>
        <v>Enero</v>
      </c>
    </row>
    <row r="71" spans="2:29" x14ac:dyDescent="0.3">
      <c r="B71" s="2">
        <f>IF(Caja_Arequipa[[#This Row],[TIPO DE R.]]="R",COUNTIFS($D$4:$D70,"R")+1,"")</f>
        <v>67</v>
      </c>
      <c r="C71" s="19" t="str">
        <f t="shared" si="6"/>
        <v>C-Tesoreria</v>
      </c>
      <c r="D71" s="3" t="s">
        <v>1074</v>
      </c>
      <c r="E71" s="14">
        <v>45684</v>
      </c>
      <c r="F71" s="5" t="s">
        <v>1158</v>
      </c>
      <c r="G71" s="5" t="s">
        <v>1079</v>
      </c>
      <c r="H71" s="3" t="s">
        <v>4329</v>
      </c>
      <c r="I71" s="6"/>
      <c r="J71" s="6"/>
      <c r="K71" s="6"/>
      <c r="L71" s="6"/>
      <c r="M71" s="7" t="s">
        <v>4427</v>
      </c>
      <c r="N71" s="8" t="str">
        <f>IF(Caja_Arequipa[[#This Row],[TIPO DE R.]]="R","001-"&amp;12002+B71,N70)</f>
        <v>001-12069</v>
      </c>
      <c r="O71" s="8" t="str">
        <f t="shared" si="10"/>
        <v>PEN</v>
      </c>
      <c r="P71" s="13"/>
      <c r="Q71" s="13">
        <v>2.4</v>
      </c>
      <c r="R71" s="3">
        <f t="shared" si="7"/>
        <v>0</v>
      </c>
      <c r="S71" s="3">
        <f t="shared" si="8"/>
        <v>2.4</v>
      </c>
      <c r="T71" s="3">
        <f t="shared" si="9"/>
        <v>168.19999999999979</v>
      </c>
      <c r="U71" s="24" t="s">
        <v>1081</v>
      </c>
      <c r="V71" s="24"/>
      <c r="W71" s="3"/>
      <c r="X71" s="3" t="s">
        <v>4329</v>
      </c>
      <c r="Y71" s="3" t="s">
        <v>4428</v>
      </c>
      <c r="Z71" s="3"/>
      <c r="AA71" s="3"/>
      <c r="AB71" s="3"/>
      <c r="AC71" s="3" t="str">
        <f>IF(Caja_Arequipa[[#This Row],[FECHA]]&gt;0,TEXT(Caja_Arequipa[[#This Row],[FECHA]],"mmmm"),0)</f>
        <v>Enero</v>
      </c>
    </row>
    <row r="72" spans="2:29" ht="24" x14ac:dyDescent="0.3">
      <c r="B72" s="2">
        <f>IF(Caja_Arequipa[[#This Row],[TIPO DE R.]]="R",COUNTIFS($D$4:$D71,"R")+1,"")</f>
        <v>68</v>
      </c>
      <c r="C72" s="19" t="str">
        <f t="shared" si="6"/>
        <v>C-Tesoreria</v>
      </c>
      <c r="D72" s="3" t="s">
        <v>1074</v>
      </c>
      <c r="E72" s="14">
        <v>45684</v>
      </c>
      <c r="F72" s="5" t="s">
        <v>1158</v>
      </c>
      <c r="G72" s="5" t="s">
        <v>1079</v>
      </c>
      <c r="H72" s="3" t="s">
        <v>4329</v>
      </c>
      <c r="I72" s="6"/>
      <c r="J72" s="6"/>
      <c r="K72" s="6"/>
      <c r="L72" s="6"/>
      <c r="M72" s="7" t="s">
        <v>4429</v>
      </c>
      <c r="N72" s="8" t="str">
        <f>IF(Caja_Arequipa[[#This Row],[TIPO DE R.]]="R","001-"&amp;12002+B72,N71)</f>
        <v>001-12070</v>
      </c>
      <c r="O72" s="8" t="str">
        <f t="shared" si="10"/>
        <v>PEN</v>
      </c>
      <c r="P72" s="13"/>
      <c r="Q72" s="13">
        <v>16</v>
      </c>
      <c r="R72" s="3">
        <f t="shared" si="7"/>
        <v>0</v>
      </c>
      <c r="S72" s="3">
        <f t="shared" si="8"/>
        <v>16</v>
      </c>
      <c r="T72" s="3">
        <f t="shared" si="9"/>
        <v>152.19999999999979</v>
      </c>
      <c r="U72" s="24" t="s">
        <v>1081</v>
      </c>
      <c r="V72" s="24"/>
      <c r="W72" s="3"/>
      <c r="X72" s="3" t="s">
        <v>4329</v>
      </c>
      <c r="Y72" s="3" t="s">
        <v>4430</v>
      </c>
      <c r="Z72" s="3"/>
      <c r="AA72" s="3"/>
      <c r="AB72" s="3"/>
      <c r="AC72" s="3" t="str">
        <f>IF(Caja_Arequipa[[#This Row],[FECHA]]&gt;0,TEXT(Caja_Arequipa[[#This Row],[FECHA]],"mmmm"),0)</f>
        <v>Enero</v>
      </c>
    </row>
    <row r="73" spans="2:29" x14ac:dyDescent="0.3">
      <c r="B73" s="2">
        <f>IF(Caja_Arequipa[[#This Row],[TIPO DE R.]]="R",COUNTIFS($D$4:$D72,"R")+1,"")</f>
        <v>69</v>
      </c>
      <c r="C73" s="19" t="str">
        <f t="shared" si="6"/>
        <v>C-Tesoreria</v>
      </c>
      <c r="D73" s="3" t="s">
        <v>1074</v>
      </c>
      <c r="E73" s="14">
        <v>45685</v>
      </c>
      <c r="F73" s="5" t="s">
        <v>1158</v>
      </c>
      <c r="G73" s="5" t="s">
        <v>1079</v>
      </c>
      <c r="H73" s="3" t="s">
        <v>4303</v>
      </c>
      <c r="I73" s="6"/>
      <c r="J73" s="6"/>
      <c r="K73" s="6"/>
      <c r="L73" s="6"/>
      <c r="M73" s="7" t="s">
        <v>4431</v>
      </c>
      <c r="N73" s="8" t="str">
        <f>IF(Caja_Arequipa[[#This Row],[TIPO DE R.]]="R","001-"&amp;12002+B73,N72)</f>
        <v>001-12071</v>
      </c>
      <c r="O73" s="8" t="str">
        <f t="shared" si="10"/>
        <v>PEN</v>
      </c>
      <c r="P73" s="13"/>
      <c r="Q73" s="13">
        <v>12.5</v>
      </c>
      <c r="R73" s="3">
        <f t="shared" si="7"/>
        <v>0</v>
      </c>
      <c r="S73" s="3">
        <f t="shared" si="8"/>
        <v>12.5</v>
      </c>
      <c r="T73" s="3">
        <f t="shared" si="9"/>
        <v>139.69999999999979</v>
      </c>
      <c r="U73" s="24" t="s">
        <v>1081</v>
      </c>
      <c r="V73" s="24"/>
      <c r="W73" s="3"/>
      <c r="X73" s="3" t="s">
        <v>4303</v>
      </c>
      <c r="Y73" s="3" t="s">
        <v>4432</v>
      </c>
      <c r="Z73" s="3"/>
      <c r="AA73" s="3"/>
      <c r="AB73" s="3"/>
      <c r="AC73" s="3" t="str">
        <f>IF(Caja_Arequipa[[#This Row],[FECHA]]&gt;0,TEXT(Caja_Arequipa[[#This Row],[FECHA]],"mmmm"),0)</f>
        <v>Enero</v>
      </c>
    </row>
    <row r="74" spans="2:29" x14ac:dyDescent="0.3">
      <c r="B74" s="2">
        <f>IF(Caja_Arequipa[[#This Row],[TIPO DE R.]]="R",COUNTIFS($D$4:$D73,"R")+1,"")</f>
        <v>70</v>
      </c>
      <c r="C74" s="19" t="str">
        <f t="shared" si="6"/>
        <v>C-Tesoreria</v>
      </c>
      <c r="D74" s="3" t="s">
        <v>1074</v>
      </c>
      <c r="E74" s="14">
        <v>45685</v>
      </c>
      <c r="F74" s="5" t="s">
        <v>1158</v>
      </c>
      <c r="G74" s="5" t="s">
        <v>1079</v>
      </c>
      <c r="H74" s="3" t="s">
        <v>4433</v>
      </c>
      <c r="I74" s="6"/>
      <c r="J74" s="6"/>
      <c r="K74" s="6"/>
      <c r="L74" s="6"/>
      <c r="M74" s="7" t="s">
        <v>4434</v>
      </c>
      <c r="N74" s="8" t="str">
        <f>IF(Caja_Arequipa[[#This Row],[TIPO DE R.]]="R","001-"&amp;12002+B74,N73)</f>
        <v>001-12072</v>
      </c>
      <c r="O74" s="8" t="str">
        <f t="shared" si="10"/>
        <v>PEN</v>
      </c>
      <c r="P74" s="13"/>
      <c r="Q74" s="13">
        <v>27</v>
      </c>
      <c r="R74" s="3">
        <f t="shared" si="7"/>
        <v>0</v>
      </c>
      <c r="S74" s="3">
        <f t="shared" si="8"/>
        <v>27</v>
      </c>
      <c r="T74" s="3">
        <f t="shared" si="9"/>
        <v>112.69999999999979</v>
      </c>
      <c r="U74" s="24" t="s">
        <v>1081</v>
      </c>
      <c r="V74" s="24"/>
      <c r="W74" s="3"/>
      <c r="X74" s="3" t="s">
        <v>4433</v>
      </c>
      <c r="Y74" s="3" t="s">
        <v>4435</v>
      </c>
      <c r="Z74" s="3"/>
      <c r="AA74" s="3"/>
      <c r="AB74" s="3"/>
      <c r="AC74" s="3" t="str">
        <f>IF(Caja_Arequipa[[#This Row],[FECHA]]&gt;0,TEXT(Caja_Arequipa[[#This Row],[FECHA]],"mmmm"),0)</f>
        <v>Enero</v>
      </c>
    </row>
    <row r="75" spans="2:29" x14ac:dyDescent="0.3">
      <c r="B75" s="2">
        <f>IF(Caja_Arequipa[[#This Row],[TIPO DE R.]]="R",COUNTIFS($D$4:$D74,"R")+1,"")</f>
        <v>71</v>
      </c>
      <c r="C75" s="19" t="str">
        <f t="shared" si="6"/>
        <v>C-Tesoreria</v>
      </c>
      <c r="D75" s="3" t="s">
        <v>1074</v>
      </c>
      <c r="E75" s="14">
        <v>45685</v>
      </c>
      <c r="F75" s="5" t="s">
        <v>1158</v>
      </c>
      <c r="G75" s="5" t="s">
        <v>1079</v>
      </c>
      <c r="H75" s="3" t="s">
        <v>4433</v>
      </c>
      <c r="I75" s="6"/>
      <c r="J75" s="6"/>
      <c r="K75" s="6"/>
      <c r="L75" s="6"/>
      <c r="M75" s="7" t="s">
        <v>4436</v>
      </c>
      <c r="N75" s="8" t="str">
        <f>IF(Caja_Arequipa[[#This Row],[TIPO DE R.]]="R","001-"&amp;12002+B75,N74)</f>
        <v>001-12073</v>
      </c>
      <c r="O75" s="8" t="str">
        <f t="shared" si="10"/>
        <v>PEN</v>
      </c>
      <c r="P75" s="13"/>
      <c r="Q75" s="13">
        <v>5</v>
      </c>
      <c r="R75" s="3">
        <f t="shared" si="7"/>
        <v>0</v>
      </c>
      <c r="S75" s="3">
        <f t="shared" si="8"/>
        <v>5</v>
      </c>
      <c r="T75" s="3">
        <f t="shared" si="9"/>
        <v>107.69999999999979</v>
      </c>
      <c r="U75" s="24" t="s">
        <v>1081</v>
      </c>
      <c r="V75" s="24"/>
      <c r="W75" s="3"/>
      <c r="X75" s="3" t="s">
        <v>4433</v>
      </c>
      <c r="Y75" s="3" t="s">
        <v>4437</v>
      </c>
      <c r="Z75" s="3"/>
      <c r="AA75" s="3"/>
      <c r="AB75" s="3"/>
      <c r="AC75" s="3" t="str">
        <f>IF(Caja_Arequipa[[#This Row],[FECHA]]&gt;0,TEXT(Caja_Arequipa[[#This Row],[FECHA]],"mmmm"),0)</f>
        <v>Enero</v>
      </c>
    </row>
    <row r="76" spans="2:29" x14ac:dyDescent="0.3">
      <c r="B76" s="2">
        <f>IF(Caja_Arequipa[[#This Row],[TIPO DE R.]]="R",COUNTIFS($D$4:$D75,"R")+1,"")</f>
        <v>72</v>
      </c>
      <c r="C76" s="19" t="str">
        <f t="shared" si="6"/>
        <v>C-Tesoreria</v>
      </c>
      <c r="D76" s="3" t="s">
        <v>1074</v>
      </c>
      <c r="E76" s="14">
        <v>45685</v>
      </c>
      <c r="F76" s="5" t="s">
        <v>1158</v>
      </c>
      <c r="G76" s="5" t="s">
        <v>1079</v>
      </c>
      <c r="H76" s="3" t="s">
        <v>4433</v>
      </c>
      <c r="I76" s="6"/>
      <c r="J76" s="6"/>
      <c r="K76" s="6"/>
      <c r="L76" s="6"/>
      <c r="M76" s="7" t="s">
        <v>4436</v>
      </c>
      <c r="N76" s="8" t="str">
        <f>IF(Caja_Arequipa[[#This Row],[TIPO DE R.]]="R","001-"&amp;12002+B76,N75)</f>
        <v>001-12074</v>
      </c>
      <c r="O76" s="8" t="str">
        <f t="shared" si="10"/>
        <v>PEN</v>
      </c>
      <c r="P76" s="13"/>
      <c r="Q76" s="13">
        <v>5</v>
      </c>
      <c r="R76" s="3">
        <f t="shared" si="7"/>
        <v>0</v>
      </c>
      <c r="S76" s="3">
        <f t="shared" si="8"/>
        <v>5</v>
      </c>
      <c r="T76" s="3">
        <f t="shared" si="9"/>
        <v>102.69999999999979</v>
      </c>
      <c r="U76" s="24" t="s">
        <v>1081</v>
      </c>
      <c r="V76" s="24"/>
      <c r="W76" s="3"/>
      <c r="X76" s="3" t="s">
        <v>4433</v>
      </c>
      <c r="Y76" s="3" t="s">
        <v>4438</v>
      </c>
      <c r="Z76" s="3"/>
      <c r="AA76" s="3"/>
      <c r="AB76" s="3"/>
      <c r="AC76" s="3" t="str">
        <f>IF(Caja_Arequipa[[#This Row],[FECHA]]&gt;0,TEXT(Caja_Arequipa[[#This Row],[FECHA]],"mmmm"),0)</f>
        <v>Enero</v>
      </c>
    </row>
    <row r="77" spans="2:29" x14ac:dyDescent="0.3">
      <c r="B77" s="2">
        <f>IF(Caja_Arequipa[[#This Row],[TIPO DE R.]]="R",COUNTIFS($D$4:$D76,"R")+1,"")</f>
        <v>73</v>
      </c>
      <c r="C77" s="19" t="str">
        <f t="shared" si="6"/>
        <v>C-Tesoreria</v>
      </c>
      <c r="D77" s="3" t="s">
        <v>1074</v>
      </c>
      <c r="E77" s="14">
        <v>45685</v>
      </c>
      <c r="F77" s="5" t="s">
        <v>1158</v>
      </c>
      <c r="G77" s="5" t="s">
        <v>1079</v>
      </c>
      <c r="H77" s="3" t="s">
        <v>4433</v>
      </c>
      <c r="I77" s="6"/>
      <c r="J77" s="6"/>
      <c r="K77" s="6"/>
      <c r="L77" s="6"/>
      <c r="M77" s="7" t="s">
        <v>4439</v>
      </c>
      <c r="N77" s="8" t="str">
        <f>IF(Caja_Arequipa[[#This Row],[TIPO DE R.]]="R","001-"&amp;12002+B77,N76)</f>
        <v>001-12075</v>
      </c>
      <c r="O77" s="8" t="str">
        <f t="shared" si="10"/>
        <v>PEN</v>
      </c>
      <c r="P77" s="13"/>
      <c r="Q77" s="13">
        <v>35</v>
      </c>
      <c r="R77" s="3">
        <f t="shared" si="7"/>
        <v>0</v>
      </c>
      <c r="S77" s="3">
        <f t="shared" si="8"/>
        <v>35</v>
      </c>
      <c r="T77" s="3">
        <f t="shared" si="9"/>
        <v>67.69999999999979</v>
      </c>
      <c r="U77" s="24" t="s">
        <v>1081</v>
      </c>
      <c r="V77" s="24"/>
      <c r="W77" s="3"/>
      <c r="X77" s="3" t="s">
        <v>4433</v>
      </c>
      <c r="Y77" s="3" t="s">
        <v>4440</v>
      </c>
      <c r="Z77" s="3"/>
      <c r="AA77" s="3"/>
      <c r="AB77" s="3"/>
      <c r="AC77" s="3" t="str">
        <f>IF(Caja_Arequipa[[#This Row],[FECHA]]&gt;0,TEXT(Caja_Arequipa[[#This Row],[FECHA]],"mmmm"),0)</f>
        <v>Enero</v>
      </c>
    </row>
    <row r="78" spans="2:29" x14ac:dyDescent="0.3">
      <c r="B78" s="2">
        <f>IF(Caja_Arequipa[[#This Row],[TIPO DE R.]]="R",COUNTIFS($D$4:$D77,"R")+1,"")</f>
        <v>74</v>
      </c>
      <c r="C78" s="19" t="str">
        <f t="shared" si="6"/>
        <v>C-Tesoreria</v>
      </c>
      <c r="D78" s="3" t="s">
        <v>1074</v>
      </c>
      <c r="E78" s="14">
        <v>45685</v>
      </c>
      <c r="F78" s="5" t="s">
        <v>1158</v>
      </c>
      <c r="G78" s="5" t="s">
        <v>1079</v>
      </c>
      <c r="H78" s="3" t="s">
        <v>4433</v>
      </c>
      <c r="I78" s="6"/>
      <c r="J78" s="6"/>
      <c r="K78" s="6"/>
      <c r="L78" s="6"/>
      <c r="M78" s="7" t="s">
        <v>4441</v>
      </c>
      <c r="N78" s="8" t="str">
        <f>IF(Caja_Arequipa[[#This Row],[TIPO DE R.]]="R","001-"&amp;12002+B78,N77)</f>
        <v>001-12076</v>
      </c>
      <c r="O78" s="8" t="str">
        <f t="shared" si="10"/>
        <v>PEN</v>
      </c>
      <c r="P78" s="13"/>
      <c r="Q78" s="13">
        <v>30</v>
      </c>
      <c r="R78" s="3">
        <f t="shared" si="7"/>
        <v>0</v>
      </c>
      <c r="S78" s="3">
        <f t="shared" si="8"/>
        <v>30</v>
      </c>
      <c r="T78" s="3">
        <f t="shared" si="9"/>
        <v>37.69999999999979</v>
      </c>
      <c r="U78" s="24" t="s">
        <v>1081</v>
      </c>
      <c r="V78" s="24"/>
      <c r="W78" s="3"/>
      <c r="X78" s="3" t="s">
        <v>4433</v>
      </c>
      <c r="Y78" s="3" t="s">
        <v>4442</v>
      </c>
      <c r="Z78" s="3"/>
      <c r="AA78" s="3"/>
      <c r="AB78" s="3"/>
      <c r="AC78" s="3" t="str">
        <f>IF(Caja_Arequipa[[#This Row],[FECHA]]&gt;0,TEXT(Caja_Arequipa[[#This Row],[FECHA]],"mmmm"),0)</f>
        <v>Enero</v>
      </c>
    </row>
    <row r="79" spans="2:29" ht="24" x14ac:dyDescent="0.3">
      <c r="B79" s="2">
        <f>IF(Caja_Arequipa[[#This Row],[TIPO DE R.]]="R",COUNTIFS($D$4:$D78,"R")+1,"")</f>
        <v>75</v>
      </c>
      <c r="C79" s="19" t="str">
        <f t="shared" si="6"/>
        <v>C-Tesoreria</v>
      </c>
      <c r="D79" s="3" t="s">
        <v>1074</v>
      </c>
      <c r="E79" s="14">
        <v>45685</v>
      </c>
      <c r="F79" s="5" t="s">
        <v>1158</v>
      </c>
      <c r="G79" s="5" t="s">
        <v>1087</v>
      </c>
      <c r="H79" s="3" t="s">
        <v>4303</v>
      </c>
      <c r="I79" s="6"/>
      <c r="J79" s="6"/>
      <c r="K79" s="6"/>
      <c r="L79" s="6"/>
      <c r="M79" s="7" t="s">
        <v>4443</v>
      </c>
      <c r="N79" s="8" t="str">
        <f>IF(Caja_Arequipa[[#This Row],[TIPO DE R.]]="R","001-"&amp;12002+B79,N78)</f>
        <v>001-12077</v>
      </c>
      <c r="O79" s="8" t="str">
        <f t="shared" si="10"/>
        <v>PEN</v>
      </c>
      <c r="P79" s="13"/>
      <c r="Q79" s="13">
        <v>89</v>
      </c>
      <c r="R79" s="3">
        <f t="shared" si="7"/>
        <v>89</v>
      </c>
      <c r="S79" s="3">
        <f t="shared" si="8"/>
        <v>0</v>
      </c>
      <c r="T79" s="3">
        <f t="shared" si="9"/>
        <v>126.69999999999979</v>
      </c>
      <c r="U79" s="24"/>
      <c r="V79" s="24"/>
      <c r="W79" s="3"/>
      <c r="X79" s="3" t="s">
        <v>4303</v>
      </c>
      <c r="Y79" s="3"/>
      <c r="Z79" s="3"/>
      <c r="AA79" s="3"/>
      <c r="AB79" s="3"/>
      <c r="AC79" s="3" t="str">
        <f>IF(Caja_Arequipa[[#This Row],[FECHA]]&gt;0,TEXT(Caja_Arequipa[[#This Row],[FECHA]],"mmmm"),0)</f>
        <v>Enero</v>
      </c>
    </row>
    <row r="80" spans="2:29" x14ac:dyDescent="0.3">
      <c r="B80" s="2">
        <f>IF(Caja_Arequipa[[#This Row],[TIPO DE R.]]="R",COUNTIFS($D$4:$D79,"R")+1,"")</f>
        <v>76</v>
      </c>
      <c r="C80" s="19" t="str">
        <f t="shared" si="6"/>
        <v>C-Tesoreria</v>
      </c>
      <c r="D80" s="3" t="s">
        <v>1074</v>
      </c>
      <c r="E80" s="14">
        <v>45686</v>
      </c>
      <c r="F80" s="5" t="s">
        <v>1158</v>
      </c>
      <c r="G80" s="5" t="s">
        <v>1079</v>
      </c>
      <c r="H80" s="3" t="s">
        <v>4314</v>
      </c>
      <c r="I80" s="6"/>
      <c r="J80" s="6"/>
      <c r="K80" s="6"/>
      <c r="L80" s="6"/>
      <c r="M80" s="7" t="s">
        <v>4444</v>
      </c>
      <c r="N80" s="8" t="str">
        <f>IF(Caja_Arequipa[[#This Row],[TIPO DE R.]]="R","001-"&amp;12002+B80,N79)</f>
        <v>001-12078</v>
      </c>
      <c r="O80" s="8" t="str">
        <f t="shared" si="10"/>
        <v>PEN</v>
      </c>
      <c r="P80" s="13"/>
      <c r="Q80" s="13">
        <v>35</v>
      </c>
      <c r="R80" s="3">
        <f t="shared" si="7"/>
        <v>0</v>
      </c>
      <c r="S80" s="3">
        <f t="shared" si="8"/>
        <v>35</v>
      </c>
      <c r="T80" s="3">
        <f t="shared" si="9"/>
        <v>91.69999999999979</v>
      </c>
      <c r="U80" s="24" t="s">
        <v>1081</v>
      </c>
      <c r="V80" s="24"/>
      <c r="W80" s="3"/>
      <c r="X80" s="3" t="s">
        <v>4314</v>
      </c>
      <c r="Y80" s="3" t="s">
        <v>4445</v>
      </c>
      <c r="Z80" s="3"/>
      <c r="AA80" s="3"/>
      <c r="AB80" s="3"/>
      <c r="AC80" s="3" t="str">
        <f>IF(Caja_Arequipa[[#This Row],[FECHA]]&gt;0,TEXT(Caja_Arequipa[[#This Row],[FECHA]],"mmmm"),0)</f>
        <v>Enero</v>
      </c>
    </row>
    <row r="81" spans="2:29" x14ac:dyDescent="0.3">
      <c r="B81" s="2">
        <f>IF(Caja_Arequipa[[#This Row],[TIPO DE R.]]="R",COUNTIFS($D$4:$D80,"R")+1,"")</f>
        <v>77</v>
      </c>
      <c r="C81" s="19" t="str">
        <f t="shared" si="6"/>
        <v>C-Tesoreria</v>
      </c>
      <c r="D81" s="3" t="s">
        <v>1074</v>
      </c>
      <c r="E81" s="14">
        <v>45686</v>
      </c>
      <c r="F81" s="5" t="s">
        <v>1158</v>
      </c>
      <c r="G81" s="5" t="s">
        <v>1079</v>
      </c>
      <c r="H81" s="3" t="s">
        <v>4314</v>
      </c>
      <c r="I81" s="6"/>
      <c r="J81" s="6"/>
      <c r="K81" s="6"/>
      <c r="L81" s="6"/>
      <c r="M81" s="7" t="s">
        <v>4446</v>
      </c>
      <c r="N81" s="8" t="str">
        <f>IF(Caja_Arequipa[[#This Row],[TIPO DE R.]]="R","001-"&amp;12002+B81,N80)</f>
        <v>001-12079</v>
      </c>
      <c r="O81" s="8" t="str">
        <f t="shared" si="10"/>
        <v>PEN</v>
      </c>
      <c r="P81" s="13"/>
      <c r="Q81" s="13">
        <v>5</v>
      </c>
      <c r="R81" s="3">
        <f t="shared" si="7"/>
        <v>0</v>
      </c>
      <c r="S81" s="3">
        <f t="shared" si="8"/>
        <v>5</v>
      </c>
      <c r="T81" s="3">
        <f t="shared" si="9"/>
        <v>86.69999999999979</v>
      </c>
      <c r="U81" s="24" t="s">
        <v>1081</v>
      </c>
      <c r="V81" s="24"/>
      <c r="W81" s="3"/>
      <c r="X81" s="3" t="s">
        <v>4314</v>
      </c>
      <c r="Y81" s="3" t="s">
        <v>4447</v>
      </c>
      <c r="Z81" s="3"/>
      <c r="AA81" s="3"/>
      <c r="AB81" s="3"/>
      <c r="AC81" s="3" t="str">
        <f>IF(Caja_Arequipa[[#This Row],[FECHA]]&gt;0,TEXT(Caja_Arequipa[[#This Row],[FECHA]],"mmmm"),0)</f>
        <v>Enero</v>
      </c>
    </row>
    <row r="82" spans="2:29" x14ac:dyDescent="0.3">
      <c r="B82" s="2">
        <f>IF(Caja_Arequipa[[#This Row],[TIPO DE R.]]="R",COUNTIFS($D$4:$D81,"R")+1,"")</f>
        <v>78</v>
      </c>
      <c r="C82" s="19" t="str">
        <f t="shared" si="6"/>
        <v>C-Tesoreria</v>
      </c>
      <c r="D82" s="3" t="s">
        <v>1074</v>
      </c>
      <c r="E82" s="14">
        <v>45686</v>
      </c>
      <c r="F82" s="5" t="s">
        <v>1158</v>
      </c>
      <c r="G82" s="5" t="s">
        <v>1079</v>
      </c>
      <c r="H82" s="3" t="s">
        <v>4314</v>
      </c>
      <c r="I82" s="6"/>
      <c r="J82" s="6"/>
      <c r="K82" s="6"/>
      <c r="L82" s="6"/>
      <c r="M82" s="7" t="s">
        <v>4448</v>
      </c>
      <c r="N82" s="8" t="str">
        <f>IF(Caja_Arequipa[[#This Row],[TIPO DE R.]]="R","001-"&amp;12002+B82,N81)</f>
        <v>001-12080</v>
      </c>
      <c r="O82" s="8" t="str">
        <f t="shared" si="10"/>
        <v>PEN</v>
      </c>
      <c r="P82" s="13"/>
      <c r="Q82" s="13">
        <v>17</v>
      </c>
      <c r="R82" s="3">
        <f t="shared" si="7"/>
        <v>0</v>
      </c>
      <c r="S82" s="3">
        <f t="shared" si="8"/>
        <v>17</v>
      </c>
      <c r="T82" s="3">
        <f t="shared" si="9"/>
        <v>69.69999999999979</v>
      </c>
      <c r="U82" s="24" t="s">
        <v>1081</v>
      </c>
      <c r="V82" s="24"/>
      <c r="W82" s="3"/>
      <c r="X82" s="3" t="s">
        <v>4314</v>
      </c>
      <c r="Y82" s="3" t="s">
        <v>4449</v>
      </c>
      <c r="Z82" s="3"/>
      <c r="AA82" s="3"/>
      <c r="AB82" s="3"/>
      <c r="AC82" s="3" t="str">
        <f>IF(Caja_Arequipa[[#This Row],[FECHA]]&gt;0,TEXT(Caja_Arequipa[[#This Row],[FECHA]],"mmmm"),0)</f>
        <v>Enero</v>
      </c>
    </row>
    <row r="83" spans="2:29" x14ac:dyDescent="0.3">
      <c r="B83" s="2">
        <f>IF(Caja_Arequipa[[#This Row],[TIPO DE R.]]="R",COUNTIFS($D$4:$D82,"R")+1,"")</f>
        <v>79</v>
      </c>
      <c r="C83" s="19" t="str">
        <f t="shared" si="6"/>
        <v>C-Tesoreria</v>
      </c>
      <c r="D83" s="3" t="s">
        <v>1074</v>
      </c>
      <c r="E83" s="14">
        <v>45686</v>
      </c>
      <c r="F83" s="5" t="s">
        <v>1158</v>
      </c>
      <c r="G83" s="5" t="s">
        <v>1079</v>
      </c>
      <c r="H83" s="3" t="s">
        <v>4314</v>
      </c>
      <c r="I83" s="6"/>
      <c r="J83" s="6"/>
      <c r="K83" s="6"/>
      <c r="L83" s="6"/>
      <c r="M83" s="7" t="s">
        <v>4450</v>
      </c>
      <c r="N83" s="8" t="str">
        <f>IF(Caja_Arequipa[[#This Row],[TIPO DE R.]]="R","001-"&amp;12002+B83,N82)</f>
        <v>001-12081</v>
      </c>
      <c r="O83" s="8" t="str">
        <f t="shared" si="10"/>
        <v>PEN</v>
      </c>
      <c r="P83" s="13"/>
      <c r="Q83" s="13">
        <v>27</v>
      </c>
      <c r="R83" s="3">
        <f t="shared" si="7"/>
        <v>0</v>
      </c>
      <c r="S83" s="3">
        <f t="shared" si="8"/>
        <v>27</v>
      </c>
      <c r="T83" s="3">
        <f t="shared" si="9"/>
        <v>42.69999999999979</v>
      </c>
      <c r="U83" s="24" t="s">
        <v>1081</v>
      </c>
      <c r="V83" s="24"/>
      <c r="W83" s="3"/>
      <c r="X83" s="3" t="s">
        <v>4314</v>
      </c>
      <c r="Y83" s="3" t="s">
        <v>4451</v>
      </c>
      <c r="Z83" s="3"/>
      <c r="AA83" s="3"/>
      <c r="AB83" s="3"/>
      <c r="AC83" s="3" t="str">
        <f>IF(Caja_Arequipa[[#This Row],[FECHA]]&gt;0,TEXT(Caja_Arequipa[[#This Row],[FECHA]],"mmmm"),0)</f>
        <v>Enero</v>
      </c>
    </row>
    <row r="84" spans="2:29" x14ac:dyDescent="0.3">
      <c r="B84" s="2">
        <f>IF(Caja_Arequipa[[#This Row],[TIPO DE R.]]="R",COUNTIFS($D$4:$D83,"R")+1,"")</f>
        <v>80</v>
      </c>
      <c r="C84" s="19" t="str">
        <f t="shared" si="6"/>
        <v>C-Tesoreria</v>
      </c>
      <c r="D84" s="3" t="s">
        <v>1074</v>
      </c>
      <c r="E84" s="14">
        <v>45686</v>
      </c>
      <c r="F84" s="5" t="s">
        <v>1158</v>
      </c>
      <c r="G84" s="5" t="s">
        <v>1079</v>
      </c>
      <c r="H84" s="3" t="s">
        <v>4314</v>
      </c>
      <c r="I84" s="6"/>
      <c r="J84" s="6"/>
      <c r="K84" s="6"/>
      <c r="L84" s="6"/>
      <c r="M84" s="7" t="s">
        <v>4452</v>
      </c>
      <c r="N84" s="8" t="str">
        <f>IF(Caja_Arequipa[[#This Row],[TIPO DE R.]]="R","001-"&amp;12002+B84,N83)</f>
        <v>001-12082</v>
      </c>
      <c r="O84" s="8" t="str">
        <f t="shared" si="10"/>
        <v>PEN</v>
      </c>
      <c r="P84" s="13"/>
      <c r="Q84" s="13">
        <v>10</v>
      </c>
      <c r="R84" s="3">
        <f t="shared" si="7"/>
        <v>0</v>
      </c>
      <c r="S84" s="3">
        <f t="shared" si="8"/>
        <v>10</v>
      </c>
      <c r="T84" s="3">
        <f t="shared" si="9"/>
        <v>32.69999999999979</v>
      </c>
      <c r="U84" s="24" t="s">
        <v>1081</v>
      </c>
      <c r="V84" s="24"/>
      <c r="W84" s="3"/>
      <c r="X84" s="3" t="s">
        <v>4314</v>
      </c>
      <c r="Y84" s="3" t="s">
        <v>4453</v>
      </c>
      <c r="Z84" s="3"/>
      <c r="AA84" s="3"/>
      <c r="AB84" s="3"/>
      <c r="AC84" s="3" t="str">
        <f>IF(Caja_Arequipa[[#This Row],[FECHA]]&gt;0,TEXT(Caja_Arequipa[[#This Row],[FECHA]],"mmmm"),0)</f>
        <v>Enero</v>
      </c>
    </row>
    <row r="85" spans="2:29" x14ac:dyDescent="0.3">
      <c r="B85" s="2">
        <f>IF(Caja_Arequipa[[#This Row],[TIPO DE R.]]="R",COUNTIFS($D$4:$D84,"R")+1,"")</f>
        <v>81</v>
      </c>
      <c r="C85" s="19" t="str">
        <f t="shared" si="6"/>
        <v>C-Tesoreria</v>
      </c>
      <c r="D85" s="3" t="s">
        <v>1074</v>
      </c>
      <c r="E85" s="14">
        <v>45686</v>
      </c>
      <c r="F85" s="5" t="s">
        <v>1158</v>
      </c>
      <c r="G85" s="5" t="s">
        <v>1079</v>
      </c>
      <c r="H85" s="3" t="s">
        <v>4303</v>
      </c>
      <c r="I85" s="6"/>
      <c r="J85" s="6"/>
      <c r="K85" s="6"/>
      <c r="L85" s="6"/>
      <c r="M85" s="7" t="s">
        <v>4454</v>
      </c>
      <c r="N85" s="8" t="str">
        <f>IF(Caja_Arequipa[[#This Row],[TIPO DE R.]]="R","001-"&amp;12002+B85,N84)</f>
        <v>001-12083</v>
      </c>
      <c r="O85" s="8" t="str">
        <f t="shared" si="10"/>
        <v>PEN</v>
      </c>
      <c r="P85" s="13"/>
      <c r="Q85" s="13">
        <v>20</v>
      </c>
      <c r="R85" s="3">
        <f t="shared" si="7"/>
        <v>0</v>
      </c>
      <c r="S85" s="3">
        <f t="shared" si="8"/>
        <v>20</v>
      </c>
      <c r="T85" s="3">
        <f t="shared" si="9"/>
        <v>12.69999999999979</v>
      </c>
      <c r="U85" s="24" t="s">
        <v>1081</v>
      </c>
      <c r="V85" s="24"/>
      <c r="W85" s="3"/>
      <c r="X85" s="3" t="s">
        <v>4303</v>
      </c>
      <c r="Y85" s="3" t="s">
        <v>4455</v>
      </c>
      <c r="Z85" s="3"/>
      <c r="AA85" s="3"/>
      <c r="AB85" s="3"/>
      <c r="AC85" s="3" t="str">
        <f>IF(Caja_Arequipa[[#This Row],[FECHA]]&gt;0,TEXT(Caja_Arequipa[[#This Row],[FECHA]],"mmmm"),0)</f>
        <v>Enero</v>
      </c>
    </row>
    <row r="86" spans="2:29" x14ac:dyDescent="0.3">
      <c r="B86" s="2">
        <f>IF(Caja_Arequipa[[#This Row],[TIPO DE R.]]="R",COUNTIFS($D$4:$D85,"R")+1,"")</f>
        <v>82</v>
      </c>
      <c r="C86" s="19" t="str">
        <f t="shared" si="6"/>
        <v>C-Tesoreria</v>
      </c>
      <c r="D86" s="3" t="s">
        <v>1074</v>
      </c>
      <c r="E86" s="14">
        <v>45688</v>
      </c>
      <c r="F86" s="5" t="s">
        <v>1158</v>
      </c>
      <c r="G86" s="5" t="s">
        <v>1087</v>
      </c>
      <c r="H86" s="3" t="s">
        <v>3353</v>
      </c>
      <c r="I86" s="6"/>
      <c r="J86" s="6"/>
      <c r="K86" s="6"/>
      <c r="L86" s="6"/>
      <c r="M86" s="7" t="s">
        <v>4394</v>
      </c>
      <c r="N86" s="8" t="str">
        <f>IF(Caja_Arequipa[[#This Row],[TIPO DE R.]]="R","001-"&amp;12002+B86,N85)</f>
        <v>001-12084</v>
      </c>
      <c r="O86" s="8" t="str">
        <f t="shared" si="10"/>
        <v>PEN</v>
      </c>
      <c r="P86" s="13"/>
      <c r="Q86" s="13">
        <v>200</v>
      </c>
      <c r="R86" s="3">
        <f t="shared" si="7"/>
        <v>200</v>
      </c>
      <c r="S86" s="3">
        <f t="shared" si="8"/>
        <v>0</v>
      </c>
      <c r="T86" s="3">
        <f t="shared" si="9"/>
        <v>212.69999999999979</v>
      </c>
      <c r="U86" s="24"/>
      <c r="V86" s="24"/>
      <c r="W86" s="3"/>
      <c r="X86" s="3" t="s">
        <v>3353</v>
      </c>
      <c r="Y86" s="3"/>
      <c r="Z86" s="3"/>
      <c r="AA86" s="3"/>
      <c r="AB86" s="3"/>
      <c r="AC86" s="3" t="str">
        <f>IF(Caja_Arequipa[[#This Row],[FECHA]]&gt;0,TEXT(Caja_Arequipa[[#This Row],[FECHA]],"mmmm"),0)</f>
        <v>Enero</v>
      </c>
    </row>
    <row r="87" spans="2:29" x14ac:dyDescent="0.3">
      <c r="B87" s="2">
        <f>IF(Caja_Arequipa[[#This Row],[TIPO DE R.]]="R",COUNTIFS($D$4:$D86,"R")+1,"")</f>
        <v>83</v>
      </c>
      <c r="C87" s="19" t="str">
        <f t="shared" si="6"/>
        <v>C-Tesoreria</v>
      </c>
      <c r="D87" s="3" t="s">
        <v>1074</v>
      </c>
      <c r="E87" s="14">
        <v>45688</v>
      </c>
      <c r="F87" s="5" t="s">
        <v>1158</v>
      </c>
      <c r="G87" s="5" t="s">
        <v>1079</v>
      </c>
      <c r="H87" s="3" t="s">
        <v>4329</v>
      </c>
      <c r="I87" s="6"/>
      <c r="J87" s="6"/>
      <c r="K87" s="6"/>
      <c r="L87" s="6"/>
      <c r="M87" s="7" t="s">
        <v>4456</v>
      </c>
      <c r="N87" s="8" t="str">
        <f>IF(Caja_Arequipa[[#This Row],[TIPO DE R.]]="R","001-"&amp;12002+B87,N86)</f>
        <v>001-12085</v>
      </c>
      <c r="O87" s="8" t="str">
        <f t="shared" si="10"/>
        <v>PEN</v>
      </c>
      <c r="P87" s="13"/>
      <c r="Q87" s="13">
        <v>15</v>
      </c>
      <c r="R87" s="3">
        <f t="shared" si="7"/>
        <v>0</v>
      </c>
      <c r="S87" s="3">
        <f t="shared" si="8"/>
        <v>15</v>
      </c>
      <c r="T87" s="3">
        <f t="shared" si="9"/>
        <v>197.69999999999979</v>
      </c>
      <c r="U87" s="24" t="s">
        <v>1081</v>
      </c>
      <c r="V87" s="24"/>
      <c r="W87" s="3"/>
      <c r="X87" s="3" t="s">
        <v>4329</v>
      </c>
      <c r="Y87" s="3" t="s">
        <v>4457</v>
      </c>
      <c r="Z87" s="3"/>
      <c r="AA87" s="3"/>
      <c r="AB87" s="3"/>
      <c r="AC87" s="3" t="str">
        <f>IF(Caja_Arequipa[[#This Row],[FECHA]]&gt;0,TEXT(Caja_Arequipa[[#This Row],[FECHA]],"mmmm"),0)</f>
        <v>Enero</v>
      </c>
    </row>
    <row r="88" spans="2:29" x14ac:dyDescent="0.3">
      <c r="B88" s="2">
        <f>IF(Caja_Arequipa[[#This Row],[TIPO DE R.]]="R",COUNTIFS($D$4:$D87,"R")+1,"")</f>
        <v>84</v>
      </c>
      <c r="C88" s="19" t="str">
        <f t="shared" si="6"/>
        <v>C-Tesoreria</v>
      </c>
      <c r="D88" s="3" t="s">
        <v>1074</v>
      </c>
      <c r="E88" s="14">
        <v>45688</v>
      </c>
      <c r="F88" s="5" t="s">
        <v>1158</v>
      </c>
      <c r="G88" s="5" t="s">
        <v>1079</v>
      </c>
      <c r="H88" s="3" t="s">
        <v>4334</v>
      </c>
      <c r="I88" s="6"/>
      <c r="J88" s="6"/>
      <c r="K88" s="6"/>
      <c r="L88" s="6"/>
      <c r="M88" s="7" t="s">
        <v>4456</v>
      </c>
      <c r="N88" s="8" t="str">
        <f>IF(Caja_Arequipa[[#This Row],[TIPO DE R.]]="R","001-"&amp;12002+B88,N87)</f>
        <v>001-12086</v>
      </c>
      <c r="O88" s="8" t="str">
        <f t="shared" si="10"/>
        <v>PEN</v>
      </c>
      <c r="P88" s="13"/>
      <c r="Q88" s="13">
        <v>50</v>
      </c>
      <c r="R88" s="3">
        <f t="shared" si="7"/>
        <v>0</v>
      </c>
      <c r="S88" s="3">
        <f t="shared" si="8"/>
        <v>50</v>
      </c>
      <c r="T88" s="3">
        <f t="shared" si="9"/>
        <v>147.69999999999979</v>
      </c>
      <c r="U88" s="24" t="s">
        <v>1081</v>
      </c>
      <c r="V88" s="24"/>
      <c r="W88" s="3"/>
      <c r="X88" s="3" t="s">
        <v>4334</v>
      </c>
      <c r="Y88" s="3" t="s">
        <v>4458</v>
      </c>
      <c r="Z88" s="3"/>
      <c r="AA88" s="3"/>
      <c r="AB88" s="3"/>
      <c r="AC88" s="3" t="str">
        <f>IF(Caja_Arequipa[[#This Row],[FECHA]]&gt;0,TEXT(Caja_Arequipa[[#This Row],[FECHA]],"mmmm"),0)</f>
        <v>Enero</v>
      </c>
    </row>
    <row r="89" spans="2:29" x14ac:dyDescent="0.3">
      <c r="B89" s="2">
        <f>IF(Caja_Arequipa[[#This Row],[TIPO DE R.]]="R",COUNTIFS($D$4:$D88,"R")+1,"")</f>
        <v>85</v>
      </c>
      <c r="C89" s="19" t="str">
        <f t="shared" si="6"/>
        <v>C-Tesoreria</v>
      </c>
      <c r="D89" s="3" t="s">
        <v>1074</v>
      </c>
      <c r="E89" s="14">
        <v>45688</v>
      </c>
      <c r="F89" s="5" t="s">
        <v>1158</v>
      </c>
      <c r="G89" s="5" t="s">
        <v>1079</v>
      </c>
      <c r="H89" s="3" t="s">
        <v>4305</v>
      </c>
      <c r="I89" s="6"/>
      <c r="J89" s="6"/>
      <c r="K89" s="6"/>
      <c r="L89" s="6"/>
      <c r="M89" s="7" t="s">
        <v>4459</v>
      </c>
      <c r="N89" s="8" t="str">
        <f>IF(Caja_Arequipa[[#This Row],[TIPO DE R.]]="R","001-"&amp;12002+B89,N88)</f>
        <v>001-12087</v>
      </c>
      <c r="O89" s="8" t="str">
        <f t="shared" si="10"/>
        <v>PEN</v>
      </c>
      <c r="P89" s="13"/>
      <c r="Q89" s="13">
        <v>15</v>
      </c>
      <c r="R89" s="3">
        <f t="shared" si="7"/>
        <v>0</v>
      </c>
      <c r="S89" s="3">
        <f t="shared" si="8"/>
        <v>15</v>
      </c>
      <c r="T89" s="3">
        <f t="shared" si="9"/>
        <v>132.69999999999979</v>
      </c>
      <c r="U89" s="24"/>
      <c r="V89" s="24"/>
      <c r="W89" s="3"/>
      <c r="X89" s="3" t="s">
        <v>4305</v>
      </c>
      <c r="Y89" s="3" t="s">
        <v>4460</v>
      </c>
      <c r="Z89" s="3"/>
      <c r="AA89" s="3"/>
      <c r="AB89" s="3"/>
      <c r="AC89" s="3" t="str">
        <f>IF(Caja_Arequipa[[#This Row],[FECHA]]&gt;0,TEXT(Caja_Arequipa[[#This Row],[FECHA]],"mmmm"),0)</f>
        <v>Enero</v>
      </c>
    </row>
    <row r="90" spans="2:29" ht="24" x14ac:dyDescent="0.3">
      <c r="B90" s="2">
        <f>IF(Caja_Arequipa[[#This Row],[TIPO DE R.]]="R",COUNTIFS($D$4:$D89,"R")+1,"")</f>
        <v>86</v>
      </c>
      <c r="C90" s="19" t="str">
        <f t="shared" si="6"/>
        <v>C-Tesoreria</v>
      </c>
      <c r="D90" s="3" t="s">
        <v>1074</v>
      </c>
      <c r="E90" s="14">
        <v>45688</v>
      </c>
      <c r="F90" s="5" t="s">
        <v>1158</v>
      </c>
      <c r="G90" s="5" t="s">
        <v>1079</v>
      </c>
      <c r="H90" s="3" t="s">
        <v>4357</v>
      </c>
      <c r="I90" s="6"/>
      <c r="J90" s="6"/>
      <c r="K90" s="6"/>
      <c r="L90" s="6"/>
      <c r="M90" s="7" t="s">
        <v>4399</v>
      </c>
      <c r="N90" s="8" t="str">
        <f>IF(Caja_Arequipa[[#This Row],[TIPO DE R.]]="R","001-"&amp;12002+B90,N89)</f>
        <v>001-12088</v>
      </c>
      <c r="O90" s="8" t="str">
        <f t="shared" si="10"/>
        <v>PEN</v>
      </c>
      <c r="P90" s="13"/>
      <c r="Q90" s="13">
        <v>44.9</v>
      </c>
      <c r="R90" s="3">
        <f t="shared" si="7"/>
        <v>0</v>
      </c>
      <c r="S90" s="3">
        <f t="shared" si="8"/>
        <v>44.9</v>
      </c>
      <c r="T90" s="3">
        <f t="shared" si="9"/>
        <v>87.799999999999784</v>
      </c>
      <c r="U90" s="24" t="s">
        <v>1081</v>
      </c>
      <c r="V90" s="24"/>
      <c r="W90" s="3"/>
      <c r="X90" s="3" t="s">
        <v>4357</v>
      </c>
      <c r="Y90" s="3" t="s">
        <v>4461</v>
      </c>
      <c r="Z90" s="3"/>
      <c r="AA90" s="3"/>
      <c r="AB90" s="3"/>
      <c r="AC90" s="3" t="str">
        <f>IF(Caja_Arequipa[[#This Row],[FECHA]]&gt;0,TEXT(Caja_Arequipa[[#This Row],[FECHA]],"mmmm"),0)</f>
        <v>Enero</v>
      </c>
    </row>
    <row r="91" spans="2:29" ht="24" x14ac:dyDescent="0.3">
      <c r="B91" s="2">
        <f>IF(Caja_Arequipa[[#This Row],[TIPO DE R.]]="R",COUNTIFS($D$4:$D90,"R")+1,"")</f>
        <v>87</v>
      </c>
      <c r="C91" s="19" t="str">
        <f t="shared" si="6"/>
        <v>C-Tesoreria</v>
      </c>
      <c r="D91" s="3" t="s">
        <v>1074</v>
      </c>
      <c r="E91" s="14">
        <v>45691</v>
      </c>
      <c r="F91" s="5" t="s">
        <v>1158</v>
      </c>
      <c r="G91" s="5" t="s">
        <v>1079</v>
      </c>
      <c r="H91" s="3" t="s">
        <v>4305</v>
      </c>
      <c r="I91" s="6"/>
      <c r="J91" s="6"/>
      <c r="K91" s="6"/>
      <c r="L91" s="6"/>
      <c r="M91" s="7" t="s">
        <v>4462</v>
      </c>
      <c r="N91" s="8" t="str">
        <f>IF(Caja_Arequipa[[#This Row],[TIPO DE R.]]="R","001-"&amp;12002+B91,N90)</f>
        <v>001-12089</v>
      </c>
      <c r="O91" s="8" t="str">
        <f t="shared" si="10"/>
        <v>PEN</v>
      </c>
      <c r="P91" s="13"/>
      <c r="Q91" s="13">
        <v>20</v>
      </c>
      <c r="R91" s="3">
        <f t="shared" si="7"/>
        <v>0</v>
      </c>
      <c r="S91" s="3">
        <f t="shared" si="8"/>
        <v>20</v>
      </c>
      <c r="T91" s="3">
        <f t="shared" si="9"/>
        <v>67.799999999999784</v>
      </c>
      <c r="U91" s="24"/>
      <c r="V91" s="24"/>
      <c r="W91" s="3"/>
      <c r="X91" s="3" t="s">
        <v>4305</v>
      </c>
      <c r="Y91" s="3" t="s">
        <v>4463</v>
      </c>
      <c r="Z91" s="3"/>
      <c r="AA91" s="3"/>
      <c r="AB91" s="3"/>
      <c r="AC91" s="3" t="str">
        <f>IF(Caja_Arequipa[[#This Row],[FECHA]]&gt;0,TEXT(Caja_Arequipa[[#This Row],[FECHA]],"mmmm"),0)</f>
        <v>Febrero</v>
      </c>
    </row>
    <row r="92" spans="2:29" x14ac:dyDescent="0.3">
      <c r="B92" s="2">
        <f>IF(Caja_Arequipa[[#This Row],[TIPO DE R.]]="R",COUNTIFS($D$4:$D91,"R")+1,"")</f>
        <v>88</v>
      </c>
      <c r="C92" s="19" t="str">
        <f t="shared" si="6"/>
        <v>C-Tesoreria</v>
      </c>
      <c r="D92" s="3" t="s">
        <v>1074</v>
      </c>
      <c r="E92" s="14">
        <v>45692</v>
      </c>
      <c r="F92" s="5" t="s">
        <v>1158</v>
      </c>
      <c r="G92" s="5" t="s">
        <v>1087</v>
      </c>
      <c r="H92" s="3" t="s">
        <v>3353</v>
      </c>
      <c r="I92" s="6"/>
      <c r="J92" s="6"/>
      <c r="K92" s="6"/>
      <c r="L92" s="6"/>
      <c r="M92" s="7" t="s">
        <v>4394</v>
      </c>
      <c r="N92" s="8" t="str">
        <f>IF(Caja_Arequipa[[#This Row],[TIPO DE R.]]="R","001-"&amp;12002+B92,N91)</f>
        <v>001-12090</v>
      </c>
      <c r="O92" s="8" t="str">
        <f t="shared" si="10"/>
        <v>PEN</v>
      </c>
      <c r="P92" s="13"/>
      <c r="Q92" s="13">
        <v>800</v>
      </c>
      <c r="R92" s="3">
        <f t="shared" si="7"/>
        <v>800</v>
      </c>
      <c r="S92" s="3">
        <f t="shared" si="8"/>
        <v>0</v>
      </c>
      <c r="T92" s="3">
        <f t="shared" si="9"/>
        <v>867.79999999999973</v>
      </c>
      <c r="U92" s="24"/>
      <c r="V92" s="24"/>
      <c r="W92" s="3"/>
      <c r="X92" s="3" t="s">
        <v>3353</v>
      </c>
      <c r="Y92" s="3"/>
      <c r="Z92" s="3"/>
      <c r="AA92" s="3"/>
      <c r="AB92" s="3"/>
      <c r="AC92" s="3" t="str">
        <f>IF(Caja_Arequipa[[#This Row],[FECHA]]&gt;0,TEXT(Caja_Arequipa[[#This Row],[FECHA]],"mmmm"),0)</f>
        <v>Febrero</v>
      </c>
    </row>
    <row r="93" spans="2:29" ht="36" x14ac:dyDescent="0.3">
      <c r="B93" s="2">
        <f>IF(Caja_Arequipa[[#This Row],[TIPO DE R.]]="R",COUNTIFS($D$4:$D92,"R")+1,"")</f>
        <v>89</v>
      </c>
      <c r="C93" s="19" t="str">
        <f t="shared" si="6"/>
        <v>C-Tesoreria</v>
      </c>
      <c r="D93" s="3" t="s">
        <v>1074</v>
      </c>
      <c r="E93" s="14">
        <v>45692</v>
      </c>
      <c r="F93" s="5" t="s">
        <v>1158</v>
      </c>
      <c r="G93" s="5" t="s">
        <v>1079</v>
      </c>
      <c r="H93" s="3" t="s">
        <v>4433</v>
      </c>
      <c r="I93" s="6"/>
      <c r="J93" s="6"/>
      <c r="K93" s="6"/>
      <c r="L93" s="6"/>
      <c r="M93" s="7" t="s">
        <v>4464</v>
      </c>
      <c r="N93" s="8" t="str">
        <f>IF(Caja_Arequipa[[#This Row],[TIPO DE R.]]="R","001-"&amp;12002+B93,N92)</f>
        <v>001-12091</v>
      </c>
      <c r="O93" s="8" t="str">
        <f t="shared" si="10"/>
        <v>PEN</v>
      </c>
      <c r="P93" s="13"/>
      <c r="Q93" s="13">
        <v>132</v>
      </c>
      <c r="R93" s="3">
        <f t="shared" si="7"/>
        <v>0</v>
      </c>
      <c r="S93" s="3">
        <f t="shared" si="8"/>
        <v>132</v>
      </c>
      <c r="T93" s="3">
        <f t="shared" si="9"/>
        <v>735.79999999999973</v>
      </c>
      <c r="U93" s="24" t="s">
        <v>1081</v>
      </c>
      <c r="V93" s="24"/>
      <c r="W93" s="3"/>
      <c r="X93" s="3" t="s">
        <v>4433</v>
      </c>
      <c r="Y93" s="3" t="s">
        <v>4465</v>
      </c>
      <c r="Z93" s="3"/>
      <c r="AA93" s="3"/>
      <c r="AB93" s="3"/>
      <c r="AC93" s="3" t="str">
        <f>IF(Caja_Arequipa[[#This Row],[FECHA]]&gt;0,TEXT(Caja_Arequipa[[#This Row],[FECHA]],"mmmm"),0)</f>
        <v>Febrero</v>
      </c>
    </row>
    <row r="94" spans="2:29" ht="24" x14ac:dyDescent="0.3">
      <c r="B94" s="2">
        <f>IF(Caja_Arequipa[[#This Row],[TIPO DE R.]]="R",COUNTIFS($D$4:$D93,"R")+1,"")</f>
        <v>90</v>
      </c>
      <c r="C94" s="19" t="str">
        <f t="shared" si="6"/>
        <v>C-Tesoreria</v>
      </c>
      <c r="D94" s="3" t="s">
        <v>1074</v>
      </c>
      <c r="E94" s="14">
        <v>45692</v>
      </c>
      <c r="F94" s="5" t="s">
        <v>1158</v>
      </c>
      <c r="G94" s="5" t="s">
        <v>1079</v>
      </c>
      <c r="H94" s="3" t="s">
        <v>4433</v>
      </c>
      <c r="I94" s="6"/>
      <c r="J94" s="6"/>
      <c r="K94" s="6"/>
      <c r="L94" s="6"/>
      <c r="M94" s="7" t="s">
        <v>4466</v>
      </c>
      <c r="N94" s="8" t="str">
        <f>IF(Caja_Arequipa[[#This Row],[TIPO DE R.]]="R","001-"&amp;12002+B94,N93)</f>
        <v>001-12092</v>
      </c>
      <c r="O94" s="8" t="str">
        <f t="shared" si="10"/>
        <v>PEN</v>
      </c>
      <c r="P94" s="13"/>
      <c r="Q94" s="13">
        <v>26</v>
      </c>
      <c r="R94" s="3">
        <f t="shared" si="7"/>
        <v>0</v>
      </c>
      <c r="S94" s="3">
        <f t="shared" si="8"/>
        <v>26</v>
      </c>
      <c r="T94" s="3">
        <f t="shared" si="9"/>
        <v>709.79999999999973</v>
      </c>
      <c r="U94" s="24" t="s">
        <v>1081</v>
      </c>
      <c r="V94" s="24"/>
      <c r="W94" s="3"/>
      <c r="X94" s="3" t="s">
        <v>4433</v>
      </c>
      <c r="Y94" s="3" t="s">
        <v>4467</v>
      </c>
      <c r="Z94" s="3"/>
      <c r="AA94" s="3"/>
      <c r="AB94" s="3"/>
      <c r="AC94" s="3" t="str">
        <f>IF(Caja_Arequipa[[#This Row],[FECHA]]&gt;0,TEXT(Caja_Arequipa[[#This Row],[FECHA]],"mmmm"),0)</f>
        <v>Febrero</v>
      </c>
    </row>
    <row r="95" spans="2:29" x14ac:dyDescent="0.3">
      <c r="B95" s="2">
        <f>IF(Caja_Arequipa[[#This Row],[TIPO DE R.]]="R",COUNTIFS($D$4:$D94,"R")+1,"")</f>
        <v>91</v>
      </c>
      <c r="C95" s="19" t="str">
        <f t="shared" si="6"/>
        <v>C-Tesoreria</v>
      </c>
      <c r="D95" s="3" t="s">
        <v>1074</v>
      </c>
      <c r="E95" s="14">
        <v>45692</v>
      </c>
      <c r="F95" s="5" t="s">
        <v>1158</v>
      </c>
      <c r="G95" s="5" t="s">
        <v>1079</v>
      </c>
      <c r="H95" s="3" t="s">
        <v>4303</v>
      </c>
      <c r="I95" s="6"/>
      <c r="J95" s="6"/>
      <c r="K95" s="6"/>
      <c r="L95" s="6"/>
      <c r="M95" s="7" t="s">
        <v>4468</v>
      </c>
      <c r="N95" s="8" t="str">
        <f>IF(Caja_Arequipa[[#This Row],[TIPO DE R.]]="R","001-"&amp;12002+B95,N94)</f>
        <v>001-12093</v>
      </c>
      <c r="O95" s="8" t="str">
        <f t="shared" si="10"/>
        <v>PEN</v>
      </c>
      <c r="P95" s="13"/>
      <c r="Q95" s="13">
        <v>9.5</v>
      </c>
      <c r="R95" s="3">
        <f t="shared" si="7"/>
        <v>0</v>
      </c>
      <c r="S95" s="3">
        <f t="shared" si="8"/>
        <v>9.5</v>
      </c>
      <c r="T95" s="3">
        <f t="shared" si="9"/>
        <v>700.29999999999973</v>
      </c>
      <c r="U95" s="24" t="s">
        <v>1081</v>
      </c>
      <c r="V95" s="24"/>
      <c r="W95" s="3"/>
      <c r="X95" s="3" t="s">
        <v>4303</v>
      </c>
      <c r="Y95" s="3" t="s">
        <v>4469</v>
      </c>
      <c r="Z95" s="3"/>
      <c r="AA95" s="3"/>
      <c r="AB95" s="3"/>
      <c r="AC95" s="3" t="str">
        <f>IF(Caja_Arequipa[[#This Row],[FECHA]]&gt;0,TEXT(Caja_Arequipa[[#This Row],[FECHA]],"mmmm"),0)</f>
        <v>Febrero</v>
      </c>
    </row>
    <row r="96" spans="2:29" x14ac:dyDescent="0.3">
      <c r="B96" s="2">
        <f>IF(Caja_Arequipa[[#This Row],[TIPO DE R.]]="R",COUNTIFS($D$4:$D95,"R")+1,"")</f>
        <v>92</v>
      </c>
      <c r="C96" s="19" t="str">
        <f t="shared" si="6"/>
        <v>C-Tesoreria</v>
      </c>
      <c r="D96" s="3" t="s">
        <v>1074</v>
      </c>
      <c r="E96" s="14">
        <v>45694</v>
      </c>
      <c r="F96" s="5" t="s">
        <v>1158</v>
      </c>
      <c r="G96" s="5" t="s">
        <v>1079</v>
      </c>
      <c r="H96" s="3" t="s">
        <v>4341</v>
      </c>
      <c r="I96" s="6"/>
      <c r="J96" s="6"/>
      <c r="K96" s="6"/>
      <c r="L96" s="6"/>
      <c r="M96" s="7" t="s">
        <v>4470</v>
      </c>
      <c r="N96" s="8" t="str">
        <f>IF(Caja_Arequipa[[#This Row],[TIPO DE R.]]="R","001-"&amp;12002+B96,N95)</f>
        <v>001-12094</v>
      </c>
      <c r="O96" s="8" t="str">
        <f t="shared" si="10"/>
        <v>PEN</v>
      </c>
      <c r="P96" s="13"/>
      <c r="Q96" s="13">
        <v>66</v>
      </c>
      <c r="R96" s="3">
        <f t="shared" si="7"/>
        <v>0</v>
      </c>
      <c r="S96" s="3">
        <f t="shared" si="8"/>
        <v>66</v>
      </c>
      <c r="T96" s="3">
        <f t="shared" si="9"/>
        <v>634.29999999999973</v>
      </c>
      <c r="U96" s="24" t="s">
        <v>1081</v>
      </c>
      <c r="V96" s="24"/>
      <c r="W96" s="3"/>
      <c r="X96" s="3" t="s">
        <v>4341</v>
      </c>
      <c r="Y96" s="3" t="s">
        <v>4471</v>
      </c>
      <c r="Z96" s="3"/>
      <c r="AA96" s="3"/>
      <c r="AB96" s="3"/>
      <c r="AC96" s="3" t="str">
        <f>IF(Caja_Arequipa[[#This Row],[FECHA]]&gt;0,TEXT(Caja_Arequipa[[#This Row],[FECHA]],"mmmm"),0)</f>
        <v>Febrero</v>
      </c>
    </row>
    <row r="97" spans="2:29" x14ac:dyDescent="0.3">
      <c r="B97" s="2">
        <f>IF(Caja_Arequipa[[#This Row],[TIPO DE R.]]="R",COUNTIFS($D$4:$D96,"R")+1,"")</f>
        <v>93</v>
      </c>
      <c r="C97" s="19" t="str">
        <f t="shared" si="6"/>
        <v>C-Tesoreria</v>
      </c>
      <c r="D97" s="3" t="s">
        <v>1074</v>
      </c>
      <c r="E97" s="14">
        <v>45694</v>
      </c>
      <c r="F97" s="5" t="s">
        <v>1158</v>
      </c>
      <c r="G97" s="5" t="s">
        <v>1079</v>
      </c>
      <c r="H97" s="3" t="s">
        <v>3016</v>
      </c>
      <c r="I97" s="6"/>
      <c r="J97" s="6"/>
      <c r="K97" s="6"/>
      <c r="L97" s="6"/>
      <c r="M97" s="7" t="s">
        <v>4472</v>
      </c>
      <c r="N97" s="8" t="str">
        <f>IF(Caja_Arequipa[[#This Row],[TIPO DE R.]]="R","001-"&amp;12002+B97,N96)</f>
        <v>001-12095</v>
      </c>
      <c r="O97" s="8" t="str">
        <f t="shared" si="10"/>
        <v>PEN</v>
      </c>
      <c r="P97" s="13"/>
      <c r="Q97" s="13">
        <v>53</v>
      </c>
      <c r="R97" s="3">
        <f t="shared" si="7"/>
        <v>0</v>
      </c>
      <c r="S97" s="3">
        <f t="shared" si="8"/>
        <v>53</v>
      </c>
      <c r="T97" s="3">
        <f t="shared" si="9"/>
        <v>581.29999999999973</v>
      </c>
      <c r="U97" s="24" t="s">
        <v>1081</v>
      </c>
      <c r="V97" s="24"/>
      <c r="W97" s="3"/>
      <c r="X97" s="3" t="s">
        <v>3016</v>
      </c>
      <c r="Y97" s="3" t="s">
        <v>4473</v>
      </c>
      <c r="Z97" s="3"/>
      <c r="AA97" s="3"/>
      <c r="AB97" s="3"/>
      <c r="AC97" s="3" t="str">
        <f>IF(Caja_Arequipa[[#This Row],[FECHA]]&gt;0,TEXT(Caja_Arequipa[[#This Row],[FECHA]],"mmmm"),0)</f>
        <v>Febrero</v>
      </c>
    </row>
    <row r="98" spans="2:29" ht="24" x14ac:dyDescent="0.3">
      <c r="B98" s="2">
        <f>IF(Caja_Arequipa[[#This Row],[TIPO DE R.]]="R",COUNTIFS($D$4:$D97,"R")+1,"")</f>
        <v>94</v>
      </c>
      <c r="C98" s="19" t="str">
        <f t="shared" si="6"/>
        <v>C-Tesoreria</v>
      </c>
      <c r="D98" s="3" t="s">
        <v>1074</v>
      </c>
      <c r="E98" s="14">
        <v>45695</v>
      </c>
      <c r="F98" s="5" t="s">
        <v>1158</v>
      </c>
      <c r="G98" s="5" t="s">
        <v>1079</v>
      </c>
      <c r="H98" s="3" t="s">
        <v>4353</v>
      </c>
      <c r="I98" s="6"/>
      <c r="J98" s="6"/>
      <c r="K98" s="6"/>
      <c r="L98" s="6"/>
      <c r="M98" s="7" t="s">
        <v>4474</v>
      </c>
      <c r="N98" s="8" t="str">
        <f>IF(Caja_Arequipa[[#This Row],[TIPO DE R.]]="R","001-"&amp;12002+B98,N97)</f>
        <v>001-12096</v>
      </c>
      <c r="O98" s="8" t="str">
        <f t="shared" si="10"/>
        <v>PEN</v>
      </c>
      <c r="P98" s="13"/>
      <c r="Q98" s="13">
        <v>10</v>
      </c>
      <c r="R98" s="3">
        <f t="shared" si="7"/>
        <v>0</v>
      </c>
      <c r="S98" s="3">
        <f t="shared" si="8"/>
        <v>10</v>
      </c>
      <c r="T98" s="3">
        <f t="shared" si="9"/>
        <v>571.29999999999973</v>
      </c>
      <c r="U98" s="24" t="s">
        <v>1081</v>
      </c>
      <c r="V98" s="24"/>
      <c r="W98" s="3"/>
      <c r="X98" s="3" t="s">
        <v>4353</v>
      </c>
      <c r="Y98" s="3" t="s">
        <v>4475</v>
      </c>
      <c r="Z98" s="3"/>
      <c r="AA98" s="3"/>
      <c r="AB98" s="3"/>
      <c r="AC98" s="3" t="str">
        <f>IF(Caja_Arequipa[[#This Row],[FECHA]]&gt;0,TEXT(Caja_Arequipa[[#This Row],[FECHA]],"mmmm"),0)</f>
        <v>Febrero</v>
      </c>
    </row>
    <row r="99" spans="2:29" x14ac:dyDescent="0.3">
      <c r="B99" s="2">
        <f>IF(Caja_Arequipa[[#This Row],[TIPO DE R.]]="R",COUNTIFS($D$4:$D98,"R")+1,"")</f>
        <v>95</v>
      </c>
      <c r="C99" s="19" t="str">
        <f t="shared" si="6"/>
        <v>C-Tesoreria</v>
      </c>
      <c r="D99" s="3" t="s">
        <v>1074</v>
      </c>
      <c r="E99" s="14">
        <v>45695</v>
      </c>
      <c r="F99" s="5" t="s">
        <v>1158</v>
      </c>
      <c r="G99" s="5" t="s">
        <v>1079</v>
      </c>
      <c r="H99" s="3" t="s">
        <v>4314</v>
      </c>
      <c r="I99" s="6"/>
      <c r="J99" s="6"/>
      <c r="K99" s="6"/>
      <c r="L99" s="6"/>
      <c r="M99" s="7" t="s">
        <v>4425</v>
      </c>
      <c r="N99" s="8" t="str">
        <f>IF(Caja_Arequipa[[#This Row],[TIPO DE R.]]="R","001-"&amp;12002+B99,N98)</f>
        <v>001-12097</v>
      </c>
      <c r="O99" s="8" t="str">
        <f t="shared" si="10"/>
        <v>PEN</v>
      </c>
      <c r="P99" s="13"/>
      <c r="Q99" s="13">
        <v>5</v>
      </c>
      <c r="R99" s="3">
        <f t="shared" si="7"/>
        <v>0</v>
      </c>
      <c r="S99" s="3">
        <f t="shared" si="8"/>
        <v>5</v>
      </c>
      <c r="T99" s="3">
        <f t="shared" si="9"/>
        <v>566.29999999999973</v>
      </c>
      <c r="U99" s="24" t="s">
        <v>1081</v>
      </c>
      <c r="V99" s="24"/>
      <c r="W99" s="3"/>
      <c r="X99" s="3" t="s">
        <v>4314</v>
      </c>
      <c r="Y99" s="3" t="s">
        <v>4476</v>
      </c>
      <c r="Z99" s="3"/>
      <c r="AA99" s="3"/>
      <c r="AB99" s="3"/>
      <c r="AC99" s="3" t="str">
        <f>IF(Caja_Arequipa[[#This Row],[FECHA]]&gt;0,TEXT(Caja_Arequipa[[#This Row],[FECHA]],"mmmm"),0)</f>
        <v>Febrero</v>
      </c>
    </row>
    <row r="100" spans="2:29" x14ac:dyDescent="0.3">
      <c r="B100" s="2">
        <f>IF(Caja_Arequipa[[#This Row],[TIPO DE R.]]="R",COUNTIFS($D$4:$D99,"R")+1,"")</f>
        <v>96</v>
      </c>
      <c r="C100" s="19" t="str">
        <f t="shared" si="6"/>
        <v>C-Tesoreria</v>
      </c>
      <c r="D100" s="3" t="s">
        <v>1074</v>
      </c>
      <c r="E100" s="14">
        <v>45695</v>
      </c>
      <c r="F100" s="5" t="s">
        <v>1158</v>
      </c>
      <c r="G100" s="5" t="s">
        <v>1079</v>
      </c>
      <c r="H100" s="3" t="s">
        <v>4314</v>
      </c>
      <c r="I100" s="6"/>
      <c r="J100" s="6"/>
      <c r="K100" s="6"/>
      <c r="L100" s="6"/>
      <c r="M100" s="7" t="s">
        <v>4477</v>
      </c>
      <c r="N100" s="8" t="str">
        <f>IF(Caja_Arequipa[[#This Row],[TIPO DE R.]]="R","001-"&amp;12002+B100,N99)</f>
        <v>001-12098</v>
      </c>
      <c r="O100" s="8" t="str">
        <f t="shared" si="10"/>
        <v>PEN</v>
      </c>
      <c r="P100" s="13"/>
      <c r="Q100" s="13">
        <v>13</v>
      </c>
      <c r="R100" s="3">
        <f t="shared" si="7"/>
        <v>0</v>
      </c>
      <c r="S100" s="3">
        <f t="shared" si="8"/>
        <v>13</v>
      </c>
      <c r="T100" s="3">
        <f t="shared" si="9"/>
        <v>553.29999999999973</v>
      </c>
      <c r="U100" s="24" t="s">
        <v>1081</v>
      </c>
      <c r="V100" s="24"/>
      <c r="W100" s="3"/>
      <c r="X100" s="3" t="s">
        <v>4314</v>
      </c>
      <c r="Y100" s="3" t="s">
        <v>4478</v>
      </c>
      <c r="Z100" s="3"/>
      <c r="AA100" s="3"/>
      <c r="AB100" s="3"/>
      <c r="AC100" s="3" t="str">
        <f>IF(Caja_Arequipa[[#This Row],[FECHA]]&gt;0,TEXT(Caja_Arequipa[[#This Row],[FECHA]],"mmmm"),0)</f>
        <v>Febrero</v>
      </c>
    </row>
    <row r="101" spans="2:29" x14ac:dyDescent="0.3">
      <c r="B101" s="2">
        <f>IF(Caja_Arequipa[[#This Row],[TIPO DE R.]]="R",COUNTIFS($D$4:$D100,"R")+1,"")</f>
        <v>97</v>
      </c>
      <c r="C101" s="19" t="str">
        <f t="shared" si="6"/>
        <v>C-Tesoreria</v>
      </c>
      <c r="D101" s="3" t="s">
        <v>1074</v>
      </c>
      <c r="E101" s="14">
        <v>45695</v>
      </c>
      <c r="F101" s="5" t="s">
        <v>1158</v>
      </c>
      <c r="G101" s="5" t="s">
        <v>1079</v>
      </c>
      <c r="H101" s="3" t="s">
        <v>4314</v>
      </c>
      <c r="I101" s="6"/>
      <c r="J101" s="6"/>
      <c r="K101" s="6"/>
      <c r="L101" s="6"/>
      <c r="M101" s="7" t="s">
        <v>4454</v>
      </c>
      <c r="N101" s="8" t="str">
        <f>IF(Caja_Arequipa[[#This Row],[TIPO DE R.]]="R","001-"&amp;12002+B101,N100)</f>
        <v>001-12099</v>
      </c>
      <c r="O101" s="8" t="str">
        <f t="shared" si="10"/>
        <v>PEN</v>
      </c>
      <c r="P101" s="13"/>
      <c r="Q101" s="13">
        <v>32</v>
      </c>
      <c r="R101" s="3">
        <f t="shared" si="7"/>
        <v>0</v>
      </c>
      <c r="S101" s="3">
        <f t="shared" si="8"/>
        <v>32</v>
      </c>
      <c r="T101" s="3">
        <f t="shared" si="9"/>
        <v>521.29999999999973</v>
      </c>
      <c r="U101" s="24" t="s">
        <v>1081</v>
      </c>
      <c r="V101" s="24"/>
      <c r="W101" s="3"/>
      <c r="X101" s="3" t="s">
        <v>4314</v>
      </c>
      <c r="Y101" s="3" t="s">
        <v>4479</v>
      </c>
      <c r="Z101" s="3"/>
      <c r="AA101" s="3"/>
      <c r="AB101" s="3"/>
      <c r="AC101" s="3" t="str">
        <f>IF(Caja_Arequipa[[#This Row],[FECHA]]&gt;0,TEXT(Caja_Arequipa[[#This Row],[FECHA]],"mmmm"),0)</f>
        <v>Febrero</v>
      </c>
    </row>
    <row r="102" spans="2:29" x14ac:dyDescent="0.3">
      <c r="B102" s="2">
        <f>IF(Caja_Arequipa[[#This Row],[TIPO DE R.]]="R",COUNTIFS($D$4:$D101,"R")+1,"")</f>
        <v>98</v>
      </c>
      <c r="C102" s="19" t="str">
        <f t="shared" si="6"/>
        <v>C-Tesoreria</v>
      </c>
      <c r="D102" s="3" t="s">
        <v>1074</v>
      </c>
      <c r="E102" s="14">
        <v>45695</v>
      </c>
      <c r="F102" s="5" t="s">
        <v>1158</v>
      </c>
      <c r="G102" s="5" t="s">
        <v>1079</v>
      </c>
      <c r="H102" s="3" t="s">
        <v>4314</v>
      </c>
      <c r="I102" s="6"/>
      <c r="J102" s="6"/>
      <c r="K102" s="6"/>
      <c r="L102" s="6"/>
      <c r="M102" s="7" t="s">
        <v>4480</v>
      </c>
      <c r="N102" s="8" t="str">
        <f>IF(Caja_Arequipa[[#This Row],[TIPO DE R.]]="R","001-"&amp;12002+B102,N101)</f>
        <v>001-12100</v>
      </c>
      <c r="O102" s="8" t="str">
        <f t="shared" si="10"/>
        <v>PEN</v>
      </c>
      <c r="P102" s="13"/>
      <c r="Q102" s="13">
        <v>53</v>
      </c>
      <c r="R102" s="3">
        <f t="shared" si="7"/>
        <v>0</v>
      </c>
      <c r="S102" s="3">
        <f t="shared" si="8"/>
        <v>53</v>
      </c>
      <c r="T102" s="3">
        <f t="shared" si="9"/>
        <v>468.29999999999973</v>
      </c>
      <c r="U102" s="24" t="s">
        <v>1081</v>
      </c>
      <c r="V102" s="24"/>
      <c r="W102" s="3"/>
      <c r="X102" s="3" t="s">
        <v>4314</v>
      </c>
      <c r="Y102" s="3" t="s">
        <v>4481</v>
      </c>
      <c r="Z102" s="3"/>
      <c r="AA102" s="3"/>
      <c r="AB102" s="3"/>
      <c r="AC102" s="3" t="str">
        <f>IF(Caja_Arequipa[[#This Row],[FECHA]]&gt;0,TEXT(Caja_Arequipa[[#This Row],[FECHA]],"mmmm"),0)</f>
        <v>Febrero</v>
      </c>
    </row>
    <row r="103" spans="2:29" x14ac:dyDescent="0.3">
      <c r="B103" s="2">
        <f>IF(Caja_Arequipa[[#This Row],[TIPO DE R.]]="R",COUNTIFS($D$4:$D102,"R")+1,"")</f>
        <v>99</v>
      </c>
      <c r="C103" s="19" t="str">
        <f t="shared" si="6"/>
        <v>C-Tesoreria</v>
      </c>
      <c r="D103" s="3" t="s">
        <v>1074</v>
      </c>
      <c r="E103" s="14">
        <v>45695</v>
      </c>
      <c r="F103" s="5" t="s">
        <v>1158</v>
      </c>
      <c r="G103" s="5" t="s">
        <v>1079</v>
      </c>
      <c r="H103" s="3" t="s">
        <v>4314</v>
      </c>
      <c r="I103" s="6"/>
      <c r="J103" s="6"/>
      <c r="K103" s="6"/>
      <c r="L103" s="6"/>
      <c r="M103" s="7" t="s">
        <v>4482</v>
      </c>
      <c r="N103" s="8" t="str">
        <f>IF(Caja_Arequipa[[#This Row],[TIPO DE R.]]="R","001-"&amp;12002+B103,N102)</f>
        <v>001-12101</v>
      </c>
      <c r="O103" s="8" t="str">
        <f t="shared" si="10"/>
        <v>PEN</v>
      </c>
      <c r="P103" s="13"/>
      <c r="Q103" s="13">
        <v>43</v>
      </c>
      <c r="R103" s="3">
        <f t="shared" si="7"/>
        <v>0</v>
      </c>
      <c r="S103" s="3">
        <f t="shared" si="8"/>
        <v>43</v>
      </c>
      <c r="T103" s="3">
        <f t="shared" si="9"/>
        <v>425.29999999999973</v>
      </c>
      <c r="U103" s="24" t="s">
        <v>1081</v>
      </c>
      <c r="V103" s="24"/>
      <c r="W103" s="3"/>
      <c r="X103" s="3" t="s">
        <v>4314</v>
      </c>
      <c r="Y103" s="3" t="s">
        <v>4483</v>
      </c>
      <c r="Z103" s="3"/>
      <c r="AA103" s="3"/>
      <c r="AB103" s="3"/>
      <c r="AC103" s="3" t="str">
        <f>IF(Caja_Arequipa[[#This Row],[FECHA]]&gt;0,TEXT(Caja_Arequipa[[#This Row],[FECHA]],"mmmm"),0)</f>
        <v>Febrero</v>
      </c>
    </row>
    <row r="104" spans="2:29" x14ac:dyDescent="0.3">
      <c r="B104" s="2">
        <f>IF(Caja_Arequipa[[#This Row],[TIPO DE R.]]="R",COUNTIFS($D$4:$D103,"R")+1,"")</f>
        <v>100</v>
      </c>
      <c r="C104" s="19" t="str">
        <f t="shared" si="6"/>
        <v>C-Tesoreria</v>
      </c>
      <c r="D104" s="3" t="s">
        <v>1074</v>
      </c>
      <c r="E104" s="14">
        <v>45695</v>
      </c>
      <c r="F104" s="5" t="s">
        <v>1158</v>
      </c>
      <c r="G104" s="5" t="s">
        <v>1079</v>
      </c>
      <c r="H104" s="3" t="s">
        <v>4314</v>
      </c>
      <c r="I104" s="6"/>
      <c r="J104" s="6"/>
      <c r="K104" s="6"/>
      <c r="L104" s="6"/>
      <c r="M104" s="7" t="s">
        <v>4472</v>
      </c>
      <c r="N104" s="8" t="str">
        <f>IF(Caja_Arequipa[[#This Row],[TIPO DE R.]]="R","001-"&amp;12002+B104,N103)</f>
        <v>001-12102</v>
      </c>
      <c r="O104" s="8" t="str">
        <f t="shared" si="10"/>
        <v>PEN</v>
      </c>
      <c r="P104" s="13"/>
      <c r="Q104" s="13">
        <v>91</v>
      </c>
      <c r="R104" s="3">
        <f t="shared" si="7"/>
        <v>0</v>
      </c>
      <c r="S104" s="3">
        <f t="shared" si="8"/>
        <v>91</v>
      </c>
      <c r="T104" s="3">
        <f t="shared" si="9"/>
        <v>334.29999999999973</v>
      </c>
      <c r="U104" s="24" t="s">
        <v>1081</v>
      </c>
      <c r="V104" s="24"/>
      <c r="W104" s="3"/>
      <c r="X104" s="3" t="s">
        <v>4314</v>
      </c>
      <c r="Y104" s="3" t="s">
        <v>4484</v>
      </c>
      <c r="Z104" s="3"/>
      <c r="AA104" s="3"/>
      <c r="AB104" s="3"/>
      <c r="AC104" s="3" t="str">
        <f>IF(Caja_Arequipa[[#This Row],[FECHA]]&gt;0,TEXT(Caja_Arequipa[[#This Row],[FECHA]],"mmmm"),0)</f>
        <v>Febrero</v>
      </c>
    </row>
    <row r="105" spans="2:29" x14ac:dyDescent="0.3">
      <c r="B105" s="2">
        <f>IF(Caja_Arequipa[[#This Row],[TIPO DE R.]]="R",COUNTIFS($D$4:$D104,"R")+1,"")</f>
        <v>101</v>
      </c>
      <c r="C105" s="19" t="str">
        <f t="shared" si="6"/>
        <v>C-Tesoreria</v>
      </c>
      <c r="D105" s="3" t="s">
        <v>1074</v>
      </c>
      <c r="E105" s="14">
        <v>45698</v>
      </c>
      <c r="F105" s="5" t="s">
        <v>1158</v>
      </c>
      <c r="G105" s="5" t="s">
        <v>1087</v>
      </c>
      <c r="H105" s="3" t="s">
        <v>4485</v>
      </c>
      <c r="I105" s="6"/>
      <c r="J105" s="6"/>
      <c r="K105" s="6"/>
      <c r="L105" s="6"/>
      <c r="M105" s="7" t="s">
        <v>1527</v>
      </c>
      <c r="N105" s="8" t="str">
        <f>IF(Caja_Arequipa[[#This Row],[TIPO DE R.]]="R","001-"&amp;12002+B105,N104)</f>
        <v>001-12103</v>
      </c>
      <c r="O105" s="8" t="str">
        <f t="shared" si="10"/>
        <v>PEN</v>
      </c>
      <c r="P105" s="13"/>
      <c r="Q105" s="13">
        <v>1987.3</v>
      </c>
      <c r="R105" s="3">
        <f t="shared" si="7"/>
        <v>1987.3</v>
      </c>
      <c r="S105" s="3">
        <f t="shared" si="8"/>
        <v>0</v>
      </c>
      <c r="T105" s="3">
        <f t="shared" si="9"/>
        <v>2321.5999999999995</v>
      </c>
      <c r="U105" s="24" t="s">
        <v>1081</v>
      </c>
      <c r="V105" s="24" t="s">
        <v>1081</v>
      </c>
      <c r="W105" s="3"/>
      <c r="X105" s="3" t="s">
        <v>4485</v>
      </c>
      <c r="Y105" s="3"/>
      <c r="Z105" s="3"/>
      <c r="AA105" s="3"/>
      <c r="AB105" s="3"/>
      <c r="AC105" s="3" t="str">
        <f>IF(Caja_Arequipa[[#This Row],[FECHA]]&gt;0,TEXT(Caja_Arequipa[[#This Row],[FECHA]],"mmmm"),0)</f>
        <v>Febrero</v>
      </c>
    </row>
    <row r="106" spans="2:29" x14ac:dyDescent="0.3">
      <c r="B106" s="2">
        <f>IF(Caja_Arequipa[[#This Row],[TIPO DE R.]]="R",COUNTIFS($D$4:$D105,"R")+1,"")</f>
        <v>102</v>
      </c>
      <c r="C106" s="19" t="str">
        <f t="shared" si="6"/>
        <v>C-Tesoreria</v>
      </c>
      <c r="D106" s="3" t="s">
        <v>1074</v>
      </c>
      <c r="E106" s="14">
        <v>45698</v>
      </c>
      <c r="F106" s="5" t="s">
        <v>1158</v>
      </c>
      <c r="G106" s="5" t="s">
        <v>1079</v>
      </c>
      <c r="H106" s="3" t="s">
        <v>3353</v>
      </c>
      <c r="I106" s="6"/>
      <c r="J106" s="6"/>
      <c r="K106" s="6"/>
      <c r="L106" s="6"/>
      <c r="M106" s="7" t="s">
        <v>4486</v>
      </c>
      <c r="N106" s="8" t="str">
        <f>IF(Caja_Arequipa[[#This Row],[TIPO DE R.]]="R","001-"&amp;12002+B106,N105)</f>
        <v>001-12104</v>
      </c>
      <c r="O106" s="8" t="str">
        <f t="shared" si="10"/>
        <v>PEN</v>
      </c>
      <c r="P106" s="13"/>
      <c r="Q106" s="13">
        <v>1100</v>
      </c>
      <c r="R106" s="3">
        <f t="shared" si="7"/>
        <v>0</v>
      </c>
      <c r="S106" s="3">
        <f t="shared" si="8"/>
        <v>1100</v>
      </c>
      <c r="T106" s="3">
        <f t="shared" si="9"/>
        <v>1221.5999999999995</v>
      </c>
      <c r="U106" s="24"/>
      <c r="V106" s="24"/>
      <c r="W106" s="3"/>
      <c r="X106" s="3" t="s">
        <v>3353</v>
      </c>
      <c r="Y106" s="3"/>
      <c r="Z106" s="3"/>
      <c r="AA106" s="3"/>
      <c r="AB106" s="3"/>
      <c r="AC106" s="3" t="str">
        <f>IF(Caja_Arequipa[[#This Row],[FECHA]]&gt;0,TEXT(Caja_Arequipa[[#This Row],[FECHA]],"mmmm"),0)</f>
        <v>Febrero</v>
      </c>
    </row>
    <row r="107" spans="2:29" x14ac:dyDescent="0.3">
      <c r="B107" s="2">
        <f>IF(Caja_Arequipa[[#This Row],[TIPO DE R.]]="R",COUNTIFS($D$4:$D106,"R")+1,"")</f>
        <v>103</v>
      </c>
      <c r="C107" s="19" t="str">
        <f t="shared" si="6"/>
        <v>C-Tesoreria</v>
      </c>
      <c r="D107" s="3" t="s">
        <v>1074</v>
      </c>
      <c r="E107" s="14">
        <v>45698</v>
      </c>
      <c r="F107" s="5" t="s">
        <v>1158</v>
      </c>
      <c r="G107" s="5" t="s">
        <v>1079</v>
      </c>
      <c r="H107" s="3" t="s">
        <v>4433</v>
      </c>
      <c r="I107" s="6"/>
      <c r="J107" s="6"/>
      <c r="K107" s="6"/>
      <c r="L107" s="6"/>
      <c r="M107" s="7" t="s">
        <v>4487</v>
      </c>
      <c r="N107" s="8" t="str">
        <f>IF(Caja_Arequipa[[#This Row],[TIPO DE R.]]="R","001-"&amp;12002+B107,N106)</f>
        <v>001-12105</v>
      </c>
      <c r="O107" s="8" t="str">
        <f t="shared" si="10"/>
        <v>PEN</v>
      </c>
      <c r="P107" s="13"/>
      <c r="Q107" s="13">
        <v>129</v>
      </c>
      <c r="R107" s="3">
        <f t="shared" si="7"/>
        <v>0</v>
      </c>
      <c r="S107" s="3">
        <f t="shared" si="8"/>
        <v>129</v>
      </c>
      <c r="T107" s="3">
        <f t="shared" si="9"/>
        <v>1092.5999999999995</v>
      </c>
      <c r="U107" s="24" t="s">
        <v>1081</v>
      </c>
      <c r="V107" s="24"/>
      <c r="W107" s="3"/>
      <c r="X107" s="3" t="s">
        <v>4433</v>
      </c>
      <c r="Y107" s="3" t="s">
        <v>2405</v>
      </c>
      <c r="Z107" s="3"/>
      <c r="AA107" s="3"/>
      <c r="AB107" s="3"/>
      <c r="AC107" s="3" t="str">
        <f>IF(Caja_Arequipa[[#This Row],[FECHA]]&gt;0,TEXT(Caja_Arequipa[[#This Row],[FECHA]],"mmmm"),0)</f>
        <v>Febrero</v>
      </c>
    </row>
    <row r="108" spans="2:29" x14ac:dyDescent="0.3">
      <c r="B108" s="2">
        <f>IF(Caja_Arequipa[[#This Row],[TIPO DE R.]]="R",COUNTIFS($D$4:$D107,"R")+1,"")</f>
        <v>104</v>
      </c>
      <c r="C108" s="19" t="str">
        <f t="shared" si="6"/>
        <v>C-Tesoreria</v>
      </c>
      <c r="D108" s="3" t="s">
        <v>1074</v>
      </c>
      <c r="E108" s="14">
        <v>45698</v>
      </c>
      <c r="F108" s="5" t="s">
        <v>1158</v>
      </c>
      <c r="G108" s="5" t="s">
        <v>1079</v>
      </c>
      <c r="H108" s="3" t="s">
        <v>4433</v>
      </c>
      <c r="I108" s="6"/>
      <c r="J108" s="6"/>
      <c r="K108" s="6"/>
      <c r="L108" s="6"/>
      <c r="M108" s="7" t="s">
        <v>4488</v>
      </c>
      <c r="N108" s="8" t="str">
        <f>IF(Caja_Arequipa[[#This Row],[TIPO DE R.]]="R","001-"&amp;12002+B108,N107)</f>
        <v>001-12106</v>
      </c>
      <c r="O108" s="8" t="str">
        <f t="shared" si="10"/>
        <v>PEN</v>
      </c>
      <c r="P108" s="13"/>
      <c r="Q108" s="13">
        <v>35</v>
      </c>
      <c r="R108" s="3">
        <f t="shared" si="7"/>
        <v>0</v>
      </c>
      <c r="S108" s="3">
        <f t="shared" si="8"/>
        <v>35</v>
      </c>
      <c r="T108" s="3">
        <f t="shared" si="9"/>
        <v>1057.5999999999995</v>
      </c>
      <c r="U108" s="24" t="s">
        <v>1081</v>
      </c>
      <c r="V108" s="24"/>
      <c r="W108" s="3"/>
      <c r="X108" s="3" t="s">
        <v>4433</v>
      </c>
      <c r="Y108" s="3" t="s">
        <v>4489</v>
      </c>
      <c r="Z108" s="3"/>
      <c r="AA108" s="3"/>
      <c r="AB108" s="3"/>
      <c r="AC108" s="3" t="str">
        <f>IF(Caja_Arequipa[[#This Row],[FECHA]]&gt;0,TEXT(Caja_Arequipa[[#This Row],[FECHA]],"mmmm"),0)</f>
        <v>Febrero</v>
      </c>
    </row>
    <row r="109" spans="2:29" x14ac:dyDescent="0.3">
      <c r="B109" s="2">
        <f>IF(Caja_Arequipa[[#This Row],[TIPO DE R.]]="R",COUNTIFS($D$4:$D108,"R")+1,"")</f>
        <v>105</v>
      </c>
      <c r="C109" s="19" t="str">
        <f t="shared" si="6"/>
        <v>C-Tesoreria</v>
      </c>
      <c r="D109" s="3" t="s">
        <v>1074</v>
      </c>
      <c r="E109" s="14">
        <v>45698</v>
      </c>
      <c r="F109" s="5" t="s">
        <v>1158</v>
      </c>
      <c r="G109" s="5" t="s">
        <v>1079</v>
      </c>
      <c r="H109" s="3" t="s">
        <v>4433</v>
      </c>
      <c r="I109" s="6"/>
      <c r="J109" s="6"/>
      <c r="K109" s="6"/>
      <c r="L109" s="6"/>
      <c r="M109" s="7" t="s">
        <v>4480</v>
      </c>
      <c r="N109" s="8" t="str">
        <f>IF(Caja_Arequipa[[#This Row],[TIPO DE R.]]="R","001-"&amp;12002+B109,N108)</f>
        <v>001-12107</v>
      </c>
      <c r="O109" s="8" t="str">
        <f t="shared" si="10"/>
        <v>PEN</v>
      </c>
      <c r="P109" s="13"/>
      <c r="Q109" s="13">
        <v>14</v>
      </c>
      <c r="R109" s="3">
        <f t="shared" si="7"/>
        <v>0</v>
      </c>
      <c r="S109" s="3">
        <f t="shared" si="8"/>
        <v>14</v>
      </c>
      <c r="T109" s="3">
        <f t="shared" si="9"/>
        <v>1043.5999999999995</v>
      </c>
      <c r="U109" s="24" t="s">
        <v>1081</v>
      </c>
      <c r="V109" s="24"/>
      <c r="W109" s="3"/>
      <c r="X109" s="3" t="s">
        <v>4433</v>
      </c>
      <c r="Y109" s="3" t="s">
        <v>4490</v>
      </c>
      <c r="Z109" s="3"/>
      <c r="AA109" s="3"/>
      <c r="AB109" s="3"/>
      <c r="AC109" s="3" t="str">
        <f>IF(Caja_Arequipa[[#This Row],[FECHA]]&gt;0,TEXT(Caja_Arequipa[[#This Row],[FECHA]],"mmmm"),0)</f>
        <v>Febrero</v>
      </c>
    </row>
    <row r="110" spans="2:29" x14ac:dyDescent="0.3">
      <c r="B110" s="2">
        <f>IF(Caja_Arequipa[[#This Row],[TIPO DE R.]]="R",COUNTIFS($D$4:$D109,"R")+1,"")</f>
        <v>106</v>
      </c>
      <c r="C110" s="19" t="str">
        <f t="shared" si="6"/>
        <v>C-Tesoreria</v>
      </c>
      <c r="D110" s="3" t="s">
        <v>1074</v>
      </c>
      <c r="E110" s="14">
        <v>45698</v>
      </c>
      <c r="F110" s="5" t="s">
        <v>1158</v>
      </c>
      <c r="G110" s="5" t="s">
        <v>1079</v>
      </c>
      <c r="H110" s="3" t="s">
        <v>4433</v>
      </c>
      <c r="I110" s="6"/>
      <c r="J110" s="6"/>
      <c r="K110" s="6"/>
      <c r="L110" s="6"/>
      <c r="M110" s="7" t="s">
        <v>4491</v>
      </c>
      <c r="N110" s="8" t="str">
        <f>IF(Caja_Arequipa[[#This Row],[TIPO DE R.]]="R","001-"&amp;12002+B110,N109)</f>
        <v>001-12108</v>
      </c>
      <c r="O110" s="8" t="str">
        <f t="shared" si="10"/>
        <v>PEN</v>
      </c>
      <c r="P110" s="13"/>
      <c r="Q110" s="13">
        <v>30</v>
      </c>
      <c r="R110" s="3">
        <f t="shared" si="7"/>
        <v>0</v>
      </c>
      <c r="S110" s="3">
        <f t="shared" si="8"/>
        <v>30</v>
      </c>
      <c r="T110" s="3">
        <f t="shared" si="9"/>
        <v>1013.5999999999995</v>
      </c>
      <c r="U110" s="24" t="s">
        <v>1081</v>
      </c>
      <c r="V110" s="24"/>
      <c r="W110" s="3"/>
      <c r="X110" s="3" t="s">
        <v>4433</v>
      </c>
      <c r="Y110" s="3" t="s">
        <v>4492</v>
      </c>
      <c r="Z110" s="3"/>
      <c r="AA110" s="3"/>
      <c r="AB110" s="3"/>
      <c r="AC110" s="3" t="str">
        <f>IF(Caja_Arequipa[[#This Row],[FECHA]]&gt;0,TEXT(Caja_Arequipa[[#This Row],[FECHA]],"mmmm"),0)</f>
        <v>Febrero</v>
      </c>
    </row>
    <row r="111" spans="2:29" x14ac:dyDescent="0.3">
      <c r="B111" s="2">
        <f>IF(Caja_Arequipa[[#This Row],[TIPO DE R.]]="R",COUNTIFS($D$4:$D110,"R")+1,"")</f>
        <v>107</v>
      </c>
      <c r="C111" s="19" t="str">
        <f t="shared" si="6"/>
        <v>C-Tesoreria</v>
      </c>
      <c r="D111" s="3" t="s">
        <v>1074</v>
      </c>
      <c r="E111" s="14">
        <v>45699</v>
      </c>
      <c r="F111" s="5" t="s">
        <v>1158</v>
      </c>
      <c r="G111" s="5" t="s">
        <v>1079</v>
      </c>
      <c r="H111" s="3" t="s">
        <v>4353</v>
      </c>
      <c r="I111" s="6"/>
      <c r="J111" s="6"/>
      <c r="K111" s="6"/>
      <c r="L111" s="6"/>
      <c r="M111" s="7" t="s">
        <v>4493</v>
      </c>
      <c r="N111" s="8" t="str">
        <f>IF(Caja_Arequipa[[#This Row],[TIPO DE R.]]="R","001-"&amp;12002+B111,N110)</f>
        <v>001-12109</v>
      </c>
      <c r="O111" s="8" t="str">
        <f t="shared" si="10"/>
        <v>PEN</v>
      </c>
      <c r="P111" s="13"/>
      <c r="Q111" s="13">
        <v>9</v>
      </c>
      <c r="R111" s="3">
        <f t="shared" si="7"/>
        <v>0</v>
      </c>
      <c r="S111" s="3">
        <f t="shared" si="8"/>
        <v>9</v>
      </c>
      <c r="T111" s="3">
        <f t="shared" si="9"/>
        <v>1004.5999999999995</v>
      </c>
      <c r="U111" s="24" t="s">
        <v>1081</v>
      </c>
      <c r="V111" s="24"/>
      <c r="W111" s="3"/>
      <c r="X111" s="3" t="s">
        <v>4353</v>
      </c>
      <c r="Y111" s="3" t="s">
        <v>4494</v>
      </c>
      <c r="Z111" s="3"/>
      <c r="AA111" s="3"/>
      <c r="AB111" s="3"/>
      <c r="AC111" s="3" t="str">
        <f>IF(Caja_Arequipa[[#This Row],[FECHA]]&gt;0,TEXT(Caja_Arequipa[[#This Row],[FECHA]],"mmmm"),0)</f>
        <v>Febrero</v>
      </c>
    </row>
    <row r="112" spans="2:29" ht="24" x14ac:dyDescent="0.3">
      <c r="B112" s="2">
        <f>IF(Caja_Arequipa[[#This Row],[TIPO DE R.]]="R",COUNTIFS($D$4:$D111,"R")+1,"")</f>
        <v>108</v>
      </c>
      <c r="C112" s="19" t="str">
        <f t="shared" si="6"/>
        <v>C-Tesoreria</v>
      </c>
      <c r="D112" s="3" t="s">
        <v>1074</v>
      </c>
      <c r="E112" s="14">
        <v>45699</v>
      </c>
      <c r="F112" s="5" t="s">
        <v>1158</v>
      </c>
      <c r="G112" s="5" t="s">
        <v>1079</v>
      </c>
      <c r="H112" s="3" t="s">
        <v>4303</v>
      </c>
      <c r="I112" s="6"/>
      <c r="J112" s="6"/>
      <c r="K112" s="6"/>
      <c r="L112" s="6"/>
      <c r="M112" s="7" t="s">
        <v>4495</v>
      </c>
      <c r="N112" s="8" t="str">
        <f>IF(Caja_Arequipa[[#This Row],[TIPO DE R.]]="R","001-"&amp;12002+B112,N111)</f>
        <v>001-12110</v>
      </c>
      <c r="O112" s="8" t="str">
        <f t="shared" si="10"/>
        <v>PEN</v>
      </c>
      <c r="P112" s="13"/>
      <c r="Q112" s="13">
        <v>143</v>
      </c>
      <c r="R112" s="3">
        <f t="shared" si="7"/>
        <v>0</v>
      </c>
      <c r="S112" s="3">
        <f t="shared" si="8"/>
        <v>143</v>
      </c>
      <c r="T112" s="3">
        <f t="shared" si="9"/>
        <v>861.59999999999945</v>
      </c>
      <c r="U112" s="24" t="s">
        <v>1081</v>
      </c>
      <c r="V112" s="24"/>
      <c r="W112" s="3"/>
      <c r="X112" s="3" t="s">
        <v>4303</v>
      </c>
      <c r="Y112" s="3" t="s">
        <v>4496</v>
      </c>
      <c r="Z112" s="3"/>
      <c r="AA112" s="3"/>
      <c r="AB112" s="3"/>
      <c r="AC112" s="3" t="str">
        <f>IF(Caja_Arequipa[[#This Row],[FECHA]]&gt;0,TEXT(Caja_Arequipa[[#This Row],[FECHA]],"mmmm"),0)</f>
        <v>Febrero</v>
      </c>
    </row>
    <row r="113" spans="2:29" x14ac:dyDescent="0.3">
      <c r="B113" s="2">
        <f>IF(Caja_Arequipa[[#This Row],[TIPO DE R.]]="R",COUNTIFS($D$4:$D112,"R")+1,"")</f>
        <v>109</v>
      </c>
      <c r="C113" s="19" t="str">
        <f t="shared" si="6"/>
        <v>C-Tesoreria</v>
      </c>
      <c r="D113" s="3" t="s">
        <v>1074</v>
      </c>
      <c r="E113" s="14">
        <v>45700</v>
      </c>
      <c r="F113" s="5" t="s">
        <v>1158</v>
      </c>
      <c r="G113" s="5" t="s">
        <v>1079</v>
      </c>
      <c r="H113" s="3" t="s">
        <v>4371</v>
      </c>
      <c r="I113" s="6"/>
      <c r="J113" s="6"/>
      <c r="K113" s="6"/>
      <c r="L113" s="6"/>
      <c r="M113" s="7" t="s">
        <v>4497</v>
      </c>
      <c r="N113" s="8" t="str">
        <f>IF(Caja_Arequipa[[#This Row],[TIPO DE R.]]="R","001-"&amp;12002+B113,N112)</f>
        <v>001-12111</v>
      </c>
      <c r="O113" s="8" t="str">
        <f t="shared" si="10"/>
        <v>PEN</v>
      </c>
      <c r="P113" s="13"/>
      <c r="Q113" s="13">
        <v>150</v>
      </c>
      <c r="R113" s="3">
        <f t="shared" si="7"/>
        <v>0</v>
      </c>
      <c r="S113" s="3">
        <f t="shared" si="8"/>
        <v>150</v>
      </c>
      <c r="T113" s="3">
        <f t="shared" si="9"/>
        <v>711.59999999999945</v>
      </c>
      <c r="U113" s="24" t="s">
        <v>1081</v>
      </c>
      <c r="V113" s="24"/>
      <c r="W113" s="3"/>
      <c r="X113" s="3" t="s">
        <v>4371</v>
      </c>
      <c r="Y113" s="3" t="s">
        <v>4498</v>
      </c>
      <c r="Z113" s="3"/>
      <c r="AA113" s="3"/>
      <c r="AB113" s="3"/>
      <c r="AC113" s="3" t="str">
        <f>IF(Caja_Arequipa[[#This Row],[FECHA]]&gt;0,TEXT(Caja_Arequipa[[#This Row],[FECHA]],"mmmm"),0)</f>
        <v>Febrero</v>
      </c>
    </row>
    <row r="114" spans="2:29" x14ac:dyDescent="0.3">
      <c r="B114" s="2">
        <f>IF(Caja_Arequipa[[#This Row],[TIPO DE R.]]="R",COUNTIFS($D$4:$D113,"R")+1,"")</f>
        <v>110</v>
      </c>
      <c r="C114" s="19" t="str">
        <f t="shared" si="6"/>
        <v>C-Tesoreria</v>
      </c>
      <c r="D114" s="3" t="s">
        <v>1074</v>
      </c>
      <c r="E114" s="14">
        <v>45700</v>
      </c>
      <c r="F114" s="5" t="s">
        <v>1158</v>
      </c>
      <c r="G114" s="5" t="s">
        <v>1079</v>
      </c>
      <c r="H114" s="3" t="s">
        <v>4341</v>
      </c>
      <c r="I114" s="6"/>
      <c r="J114" s="6"/>
      <c r="K114" s="6"/>
      <c r="L114" s="6"/>
      <c r="M114" s="7" t="s">
        <v>4499</v>
      </c>
      <c r="N114" s="8" t="str">
        <f>IF(Caja_Arequipa[[#This Row],[TIPO DE R.]]="R","001-"&amp;12002+B114,N113)</f>
        <v>001-12112</v>
      </c>
      <c r="O114" s="8" t="str">
        <f t="shared" si="10"/>
        <v>PEN</v>
      </c>
      <c r="P114" s="13"/>
      <c r="Q114" s="13">
        <v>30</v>
      </c>
      <c r="R114" s="3">
        <f t="shared" si="7"/>
        <v>0</v>
      </c>
      <c r="S114" s="3">
        <f t="shared" si="8"/>
        <v>30</v>
      </c>
      <c r="T114" s="3">
        <f t="shared" si="9"/>
        <v>681.59999999999945</v>
      </c>
      <c r="U114" s="24" t="s">
        <v>1081</v>
      </c>
      <c r="V114" s="24"/>
      <c r="W114" s="3"/>
      <c r="X114" s="3" t="s">
        <v>4341</v>
      </c>
      <c r="Y114" s="3" t="s">
        <v>4500</v>
      </c>
      <c r="Z114" s="3"/>
      <c r="AA114" s="3"/>
      <c r="AB114" s="3"/>
      <c r="AC114" s="3" t="str">
        <f>IF(Caja_Arequipa[[#This Row],[FECHA]]&gt;0,TEXT(Caja_Arequipa[[#This Row],[FECHA]],"mmmm"),0)</f>
        <v>Febrero</v>
      </c>
    </row>
    <row r="115" spans="2:29" ht="24" x14ac:dyDescent="0.3">
      <c r="B115" s="2">
        <f>IF(Caja_Arequipa[[#This Row],[TIPO DE R.]]="R",COUNTIFS($D$4:$D114,"R")+1,"")</f>
        <v>111</v>
      </c>
      <c r="C115" s="19" t="str">
        <f t="shared" si="6"/>
        <v>C-Tesoreria</v>
      </c>
      <c r="D115" s="3" t="s">
        <v>1074</v>
      </c>
      <c r="E115" s="14">
        <v>45700</v>
      </c>
      <c r="F115" s="5" t="s">
        <v>1158</v>
      </c>
      <c r="G115" s="5" t="s">
        <v>1079</v>
      </c>
      <c r="H115" s="3" t="s">
        <v>4501</v>
      </c>
      <c r="I115" s="6"/>
      <c r="J115" s="6"/>
      <c r="K115" s="6"/>
      <c r="L115" s="6"/>
      <c r="M115" s="7" t="s">
        <v>4502</v>
      </c>
      <c r="N115" s="8" t="str">
        <f>IF(Caja_Arequipa[[#This Row],[TIPO DE R.]]="R","001-"&amp;12002+B115,N114)</f>
        <v>001-12113</v>
      </c>
      <c r="O115" s="8" t="str">
        <f t="shared" si="10"/>
        <v>PEN</v>
      </c>
      <c r="P115" s="13"/>
      <c r="Q115" s="13">
        <v>69</v>
      </c>
      <c r="R115" s="3">
        <f t="shared" si="7"/>
        <v>0</v>
      </c>
      <c r="S115" s="3">
        <f t="shared" si="8"/>
        <v>69</v>
      </c>
      <c r="T115" s="3">
        <f t="shared" si="9"/>
        <v>612.59999999999945</v>
      </c>
      <c r="U115" s="24" t="s">
        <v>1081</v>
      </c>
      <c r="V115" s="24"/>
      <c r="W115" s="3"/>
      <c r="X115" s="3" t="s">
        <v>4501</v>
      </c>
      <c r="Y115" s="3" t="s">
        <v>4503</v>
      </c>
      <c r="Z115" s="3"/>
      <c r="AA115" s="3"/>
      <c r="AB115" s="3"/>
      <c r="AC115" s="3" t="str">
        <f>IF(Caja_Arequipa[[#This Row],[FECHA]]&gt;0,TEXT(Caja_Arequipa[[#This Row],[FECHA]],"mmmm"),0)</f>
        <v>Febrero</v>
      </c>
    </row>
    <row r="116" spans="2:29" x14ac:dyDescent="0.3">
      <c r="B116" s="2">
        <f>IF(Caja_Arequipa[[#This Row],[TIPO DE R.]]="R",COUNTIFS($D$4:$D115,"R")+1,"")</f>
        <v>112</v>
      </c>
      <c r="C116" s="19" t="str">
        <f t="shared" si="6"/>
        <v>C-Tesoreria</v>
      </c>
      <c r="D116" s="3" t="s">
        <v>1074</v>
      </c>
      <c r="E116" s="14">
        <v>45700</v>
      </c>
      <c r="F116" s="5" t="s">
        <v>1158</v>
      </c>
      <c r="G116" s="5" t="s">
        <v>1079</v>
      </c>
      <c r="H116" s="3" t="s">
        <v>4353</v>
      </c>
      <c r="I116" s="6"/>
      <c r="J116" s="6"/>
      <c r="K116" s="6"/>
      <c r="L116" s="6"/>
      <c r="M116" s="7" t="s">
        <v>4504</v>
      </c>
      <c r="N116" s="8" t="str">
        <f>IF(Caja_Arequipa[[#This Row],[TIPO DE R.]]="R","001-"&amp;12002+B116,N115)</f>
        <v>001-12114</v>
      </c>
      <c r="O116" s="8" t="str">
        <f t="shared" si="10"/>
        <v>PEN</v>
      </c>
      <c r="P116" s="13"/>
      <c r="Q116" s="13">
        <v>81</v>
      </c>
      <c r="R116" s="3">
        <f t="shared" si="7"/>
        <v>0</v>
      </c>
      <c r="S116" s="3">
        <f t="shared" si="8"/>
        <v>81</v>
      </c>
      <c r="T116" s="3">
        <f t="shared" si="9"/>
        <v>531.59999999999945</v>
      </c>
      <c r="U116" s="24" t="s">
        <v>1081</v>
      </c>
      <c r="V116" s="24"/>
      <c r="W116" s="3"/>
      <c r="X116" s="3" t="s">
        <v>4353</v>
      </c>
      <c r="Y116" s="3" t="s">
        <v>4505</v>
      </c>
      <c r="Z116" s="3"/>
      <c r="AA116" s="3"/>
      <c r="AB116" s="3"/>
      <c r="AC116" s="3" t="str">
        <f>IF(Caja_Arequipa[[#This Row],[FECHA]]&gt;0,TEXT(Caja_Arequipa[[#This Row],[FECHA]],"mmmm"),0)</f>
        <v>Febrero</v>
      </c>
    </row>
    <row r="117" spans="2:29" ht="24" x14ac:dyDescent="0.3">
      <c r="B117" s="2">
        <f>IF(Caja_Arequipa[[#This Row],[TIPO DE R.]]="R",COUNTIFS($D$4:$D116,"R")+1,"")</f>
        <v>113</v>
      </c>
      <c r="C117" s="19" t="str">
        <f t="shared" si="6"/>
        <v>C-Tesoreria</v>
      </c>
      <c r="D117" s="3" t="s">
        <v>1074</v>
      </c>
      <c r="E117" s="14">
        <v>45701</v>
      </c>
      <c r="F117" s="5" t="s">
        <v>1158</v>
      </c>
      <c r="G117" s="5" t="s">
        <v>1079</v>
      </c>
      <c r="H117" s="3" t="s">
        <v>4506</v>
      </c>
      <c r="I117" s="6"/>
      <c r="J117" s="6"/>
      <c r="K117" s="6"/>
      <c r="L117" s="6"/>
      <c r="M117" s="7" t="s">
        <v>4507</v>
      </c>
      <c r="N117" s="8" t="str">
        <f>IF(Caja_Arequipa[[#This Row],[TIPO DE R.]]="R","001-"&amp;12002+B117,N116)</f>
        <v>001-12115</v>
      </c>
      <c r="O117" s="8" t="str">
        <f t="shared" si="10"/>
        <v>PEN</v>
      </c>
      <c r="P117" s="13"/>
      <c r="Q117" s="13">
        <v>15</v>
      </c>
      <c r="R117" s="3">
        <f t="shared" si="7"/>
        <v>0</v>
      </c>
      <c r="S117" s="3">
        <f t="shared" si="8"/>
        <v>15</v>
      </c>
      <c r="T117" s="3">
        <f t="shared" si="9"/>
        <v>516.59999999999945</v>
      </c>
      <c r="U117" s="24" t="s">
        <v>1081</v>
      </c>
      <c r="V117" s="24"/>
      <c r="W117" s="3"/>
      <c r="X117" s="3" t="s">
        <v>4506</v>
      </c>
      <c r="Y117" s="3" t="s">
        <v>4508</v>
      </c>
      <c r="Z117" s="3"/>
      <c r="AA117" s="3"/>
      <c r="AB117" s="3"/>
      <c r="AC117" s="3" t="str">
        <f>IF(Caja_Arequipa[[#This Row],[FECHA]]&gt;0,TEXT(Caja_Arequipa[[#This Row],[FECHA]],"mmmm"),0)</f>
        <v>Febrero</v>
      </c>
    </row>
    <row r="118" spans="2:29" x14ac:dyDescent="0.3">
      <c r="B118" s="2">
        <f>IF(Caja_Arequipa[[#This Row],[TIPO DE R.]]="R",COUNTIFS($D$4:$D117,"R")+1,"")</f>
        <v>114</v>
      </c>
      <c r="C118" s="19" t="str">
        <f t="shared" si="6"/>
        <v>C-Tesoreria</v>
      </c>
      <c r="D118" s="3" t="s">
        <v>1074</v>
      </c>
      <c r="E118" s="14">
        <v>45705</v>
      </c>
      <c r="F118" s="5" t="s">
        <v>1158</v>
      </c>
      <c r="G118" s="5" t="s">
        <v>1079</v>
      </c>
      <c r="H118" s="3" t="s">
        <v>4353</v>
      </c>
      <c r="I118" s="6"/>
      <c r="J118" s="6"/>
      <c r="K118" s="6"/>
      <c r="L118" s="6"/>
      <c r="M118" s="7" t="s">
        <v>4509</v>
      </c>
      <c r="N118" s="8" t="str">
        <f>IF(Caja_Arequipa[[#This Row],[TIPO DE R.]]="R","001-"&amp;12002+B118,N117)</f>
        <v>001-12116</v>
      </c>
      <c r="O118" s="8" t="str">
        <f t="shared" si="10"/>
        <v>PEN</v>
      </c>
      <c r="P118" s="13"/>
      <c r="Q118" s="13">
        <v>65</v>
      </c>
      <c r="R118" s="3">
        <f t="shared" si="7"/>
        <v>0</v>
      </c>
      <c r="S118" s="3">
        <f t="shared" si="8"/>
        <v>65</v>
      </c>
      <c r="T118" s="3">
        <f t="shared" si="9"/>
        <v>451.59999999999945</v>
      </c>
      <c r="U118" s="24" t="s">
        <v>1081</v>
      </c>
      <c r="V118" s="24"/>
      <c r="W118" s="3"/>
      <c r="X118" s="3" t="s">
        <v>4353</v>
      </c>
      <c r="Y118" s="3" t="s">
        <v>4510</v>
      </c>
      <c r="Z118" s="3"/>
      <c r="AA118" s="3"/>
      <c r="AB118" s="3"/>
      <c r="AC118" s="3" t="str">
        <f>IF(Caja_Arequipa[[#This Row],[FECHA]]&gt;0,TEXT(Caja_Arequipa[[#This Row],[FECHA]],"mmmm"),0)</f>
        <v>Febrero</v>
      </c>
    </row>
    <row r="119" spans="2:29" x14ac:dyDescent="0.3">
      <c r="B119" s="2">
        <f>IF(Caja_Arequipa[[#This Row],[TIPO DE R.]]="R",COUNTIFS($D$4:$D118,"R")+1,"")</f>
        <v>115</v>
      </c>
      <c r="C119" s="19" t="str">
        <f t="shared" si="6"/>
        <v>C-Tesoreria</v>
      </c>
      <c r="D119" s="3" t="s">
        <v>1074</v>
      </c>
      <c r="E119" s="14">
        <v>45705</v>
      </c>
      <c r="F119" s="5" t="s">
        <v>1158</v>
      </c>
      <c r="G119" s="5" t="s">
        <v>1079</v>
      </c>
      <c r="H119" s="3" t="s">
        <v>4353</v>
      </c>
      <c r="I119" s="6"/>
      <c r="J119" s="6"/>
      <c r="K119" s="6"/>
      <c r="L119" s="6"/>
      <c r="M119" s="7" t="s">
        <v>4511</v>
      </c>
      <c r="N119" s="8" t="str">
        <f>IF(Caja_Arequipa[[#This Row],[TIPO DE R.]]="R","001-"&amp;12002+B119,N118)</f>
        <v>001-12117</v>
      </c>
      <c r="O119" s="8" t="str">
        <f t="shared" si="10"/>
        <v>PEN</v>
      </c>
      <c r="P119" s="13"/>
      <c r="Q119" s="13">
        <v>22</v>
      </c>
      <c r="R119" s="3">
        <f t="shared" si="7"/>
        <v>0</v>
      </c>
      <c r="S119" s="3">
        <f t="shared" si="8"/>
        <v>22</v>
      </c>
      <c r="T119" s="3">
        <f t="shared" si="9"/>
        <v>429.59999999999945</v>
      </c>
      <c r="U119" s="24" t="s">
        <v>1081</v>
      </c>
      <c r="V119" s="24"/>
      <c r="W119" s="3"/>
      <c r="X119" s="3" t="s">
        <v>4353</v>
      </c>
      <c r="Y119" s="3" t="s">
        <v>4512</v>
      </c>
      <c r="Z119" s="3"/>
      <c r="AA119" s="3"/>
      <c r="AB119" s="3"/>
      <c r="AC119" s="3" t="str">
        <f>IF(Caja_Arequipa[[#This Row],[FECHA]]&gt;0,TEXT(Caja_Arequipa[[#This Row],[FECHA]],"mmmm"),0)</f>
        <v>Febrero</v>
      </c>
    </row>
    <row r="120" spans="2:29" ht="24" x14ac:dyDescent="0.3">
      <c r="B120" s="2">
        <f>IF(Caja_Arequipa[[#This Row],[TIPO DE R.]]="R",COUNTIFS($D$4:$D119,"R")+1,"")</f>
        <v>116</v>
      </c>
      <c r="C120" s="19" t="str">
        <f t="shared" si="6"/>
        <v>C-Tesoreria</v>
      </c>
      <c r="D120" s="3" t="s">
        <v>1074</v>
      </c>
      <c r="E120" s="14">
        <v>45705</v>
      </c>
      <c r="F120" s="5" t="s">
        <v>1158</v>
      </c>
      <c r="G120" s="5" t="s">
        <v>1079</v>
      </c>
      <c r="H120" s="3" t="s">
        <v>4353</v>
      </c>
      <c r="I120" s="6"/>
      <c r="J120" s="6"/>
      <c r="K120" s="6"/>
      <c r="L120" s="6"/>
      <c r="M120" s="7" t="s">
        <v>4513</v>
      </c>
      <c r="N120" s="8" t="str">
        <f>IF(Caja_Arequipa[[#This Row],[TIPO DE R.]]="R","001-"&amp;12002+B120,N119)</f>
        <v>001-12118</v>
      </c>
      <c r="O120" s="8" t="str">
        <f t="shared" si="10"/>
        <v>PEN</v>
      </c>
      <c r="P120" s="13"/>
      <c r="Q120" s="13">
        <v>2</v>
      </c>
      <c r="R120" s="3">
        <f t="shared" si="7"/>
        <v>0</v>
      </c>
      <c r="S120" s="3">
        <f t="shared" si="8"/>
        <v>2</v>
      </c>
      <c r="T120" s="3">
        <f t="shared" si="9"/>
        <v>427.59999999999945</v>
      </c>
      <c r="U120" s="24" t="s">
        <v>1081</v>
      </c>
      <c r="V120" s="24"/>
      <c r="W120" s="3"/>
      <c r="X120" s="3" t="s">
        <v>4353</v>
      </c>
      <c r="Y120" s="3" t="s">
        <v>4514</v>
      </c>
      <c r="Z120" s="3"/>
      <c r="AA120" s="3"/>
      <c r="AB120" s="3"/>
      <c r="AC120" s="3" t="str">
        <f>IF(Caja_Arequipa[[#This Row],[FECHA]]&gt;0,TEXT(Caja_Arequipa[[#This Row],[FECHA]],"mmmm"),0)</f>
        <v>Febrero</v>
      </c>
    </row>
    <row r="121" spans="2:29" x14ac:dyDescent="0.3">
      <c r="B121" s="2">
        <f>IF(Caja_Arequipa[[#This Row],[TIPO DE R.]]="R",COUNTIFS($D$4:$D120,"R")+1,"")</f>
        <v>117</v>
      </c>
      <c r="C121" s="19" t="str">
        <f t="shared" si="6"/>
        <v>C-Tesoreria</v>
      </c>
      <c r="D121" s="3" t="s">
        <v>1074</v>
      </c>
      <c r="E121" s="14">
        <v>45706</v>
      </c>
      <c r="F121" s="5" t="s">
        <v>1158</v>
      </c>
      <c r="G121" s="5" t="s">
        <v>1079</v>
      </c>
      <c r="H121" s="3" t="s">
        <v>4433</v>
      </c>
      <c r="I121" s="6"/>
      <c r="J121" s="6"/>
      <c r="K121" s="6"/>
      <c r="L121" s="6"/>
      <c r="M121" s="7" t="s">
        <v>4515</v>
      </c>
      <c r="N121" s="8" t="str">
        <f>IF(Caja_Arequipa[[#This Row],[TIPO DE R.]]="R","001-"&amp;12002+B121,N120)</f>
        <v>001-12119</v>
      </c>
      <c r="O121" s="8" t="str">
        <f t="shared" si="10"/>
        <v>PEN</v>
      </c>
      <c r="P121" s="13"/>
      <c r="Q121" s="13">
        <v>92.7</v>
      </c>
      <c r="R121" s="3">
        <f t="shared" si="7"/>
        <v>0</v>
      </c>
      <c r="S121" s="3">
        <f t="shared" si="8"/>
        <v>92.7</v>
      </c>
      <c r="T121" s="3">
        <f t="shared" si="9"/>
        <v>334.89999999999947</v>
      </c>
      <c r="U121" s="24" t="s">
        <v>1081</v>
      </c>
      <c r="V121" s="24"/>
      <c r="W121" s="3"/>
      <c r="X121" s="3" t="s">
        <v>4433</v>
      </c>
      <c r="Y121" s="3" t="s">
        <v>4516</v>
      </c>
      <c r="Z121" s="3"/>
      <c r="AA121" s="3"/>
      <c r="AB121" s="3"/>
      <c r="AC121" s="3" t="str">
        <f>IF(Caja_Arequipa[[#This Row],[FECHA]]&gt;0,TEXT(Caja_Arequipa[[#This Row],[FECHA]],"mmmm"),0)</f>
        <v>Febrero</v>
      </c>
    </row>
    <row r="122" spans="2:29" ht="36" x14ac:dyDescent="0.3">
      <c r="B122" s="2">
        <f>IF(Caja_Arequipa[[#This Row],[TIPO DE R.]]="R",COUNTIFS($D$4:$D121,"R")+1,"")</f>
        <v>118</v>
      </c>
      <c r="C122" s="19" t="str">
        <f t="shared" si="6"/>
        <v>C-Tesoreria</v>
      </c>
      <c r="D122" s="3" t="s">
        <v>1074</v>
      </c>
      <c r="E122" s="14">
        <v>45706</v>
      </c>
      <c r="F122" s="5" t="s">
        <v>1158</v>
      </c>
      <c r="G122" s="5" t="s">
        <v>1079</v>
      </c>
      <c r="H122" s="3" t="s">
        <v>4329</v>
      </c>
      <c r="I122" s="6"/>
      <c r="J122" s="6"/>
      <c r="K122" s="6"/>
      <c r="L122" s="6"/>
      <c r="M122" s="7" t="s">
        <v>4517</v>
      </c>
      <c r="N122" s="8" t="str">
        <f>IF(Caja_Arequipa[[#This Row],[TIPO DE R.]]="R","001-"&amp;12002+B122,N121)</f>
        <v>001-12120</v>
      </c>
      <c r="O122" s="8" t="str">
        <f t="shared" si="10"/>
        <v>PEN</v>
      </c>
      <c r="P122" s="13"/>
      <c r="Q122" s="13">
        <v>15.6</v>
      </c>
      <c r="R122" s="3">
        <f t="shared" si="7"/>
        <v>0</v>
      </c>
      <c r="S122" s="3">
        <f t="shared" si="8"/>
        <v>15.6</v>
      </c>
      <c r="T122" s="3">
        <f t="shared" si="9"/>
        <v>319.29999999999944</v>
      </c>
      <c r="U122" s="24" t="s">
        <v>1081</v>
      </c>
      <c r="V122" s="24"/>
      <c r="W122" s="3"/>
      <c r="X122" s="3" t="s">
        <v>4329</v>
      </c>
      <c r="Y122" s="3" t="s">
        <v>4518</v>
      </c>
      <c r="Z122" s="3"/>
      <c r="AA122" s="3"/>
      <c r="AB122" s="3"/>
      <c r="AC122" s="3" t="str">
        <f>IF(Caja_Arequipa[[#This Row],[FECHA]]&gt;0,TEXT(Caja_Arequipa[[#This Row],[FECHA]],"mmmm"),0)</f>
        <v>Febrero</v>
      </c>
    </row>
    <row r="123" spans="2:29" ht="24" x14ac:dyDescent="0.3">
      <c r="B123" s="2">
        <f>IF(Caja_Arequipa[[#This Row],[TIPO DE R.]]="R",COUNTIFS($D$4:$D122,"R")+1,"")</f>
        <v>119</v>
      </c>
      <c r="C123" s="19" t="str">
        <f t="shared" si="6"/>
        <v>C-Tesoreria</v>
      </c>
      <c r="D123" s="3" t="s">
        <v>1074</v>
      </c>
      <c r="E123" s="14">
        <v>45706</v>
      </c>
      <c r="F123" s="5" t="s">
        <v>1158</v>
      </c>
      <c r="G123" s="5" t="s">
        <v>1079</v>
      </c>
      <c r="H123" s="3" t="s">
        <v>4353</v>
      </c>
      <c r="I123" s="6"/>
      <c r="J123" s="6"/>
      <c r="K123" s="6"/>
      <c r="L123" s="6"/>
      <c r="M123" s="7" t="s">
        <v>4519</v>
      </c>
      <c r="N123" s="8" t="str">
        <f>IF(Caja_Arequipa[[#This Row],[TIPO DE R.]]="R","001-"&amp;12002+B123,N122)</f>
        <v>001-12121</v>
      </c>
      <c r="O123" s="8" t="str">
        <f t="shared" si="10"/>
        <v>PEN</v>
      </c>
      <c r="P123" s="13"/>
      <c r="Q123" s="13">
        <v>52.6</v>
      </c>
      <c r="R123" s="3">
        <f t="shared" si="7"/>
        <v>0</v>
      </c>
      <c r="S123" s="3">
        <f t="shared" si="8"/>
        <v>52.6</v>
      </c>
      <c r="T123" s="3">
        <f t="shared" si="9"/>
        <v>266.69999999999942</v>
      </c>
      <c r="U123" s="24" t="s">
        <v>1081</v>
      </c>
      <c r="V123" s="24"/>
      <c r="W123" s="3"/>
      <c r="X123" s="3" t="s">
        <v>4353</v>
      </c>
      <c r="Y123" s="3" t="s">
        <v>4520</v>
      </c>
      <c r="Z123" s="3"/>
      <c r="AA123" s="3"/>
      <c r="AB123" s="3"/>
      <c r="AC123" s="3" t="str">
        <f>IF(Caja_Arequipa[[#This Row],[FECHA]]&gt;0,TEXT(Caja_Arequipa[[#This Row],[FECHA]],"mmmm"),0)</f>
        <v>Febrero</v>
      </c>
    </row>
    <row r="124" spans="2:29" x14ac:dyDescent="0.3">
      <c r="B124" s="2">
        <f>IF(Caja_Arequipa[[#This Row],[TIPO DE R.]]="R",COUNTIFS($D$4:$D123,"R")+1,"")</f>
        <v>120</v>
      </c>
      <c r="C124" s="19" t="str">
        <f t="shared" si="6"/>
        <v>C-Tesoreria</v>
      </c>
      <c r="D124" s="3" t="s">
        <v>1074</v>
      </c>
      <c r="E124" s="14">
        <v>45709</v>
      </c>
      <c r="F124" s="5" t="s">
        <v>1158</v>
      </c>
      <c r="G124" s="5" t="s">
        <v>1079</v>
      </c>
      <c r="H124" s="3" t="s">
        <v>4303</v>
      </c>
      <c r="I124" s="6"/>
      <c r="J124" s="6"/>
      <c r="K124" s="6"/>
      <c r="L124" s="6"/>
      <c r="M124" s="7" t="s">
        <v>4521</v>
      </c>
      <c r="N124" s="8" t="str">
        <f>IF(Caja_Arequipa[[#This Row],[TIPO DE R.]]="R","001-"&amp;12002+B124,N123)</f>
        <v>001-12122</v>
      </c>
      <c r="O124" s="8" t="str">
        <f t="shared" si="10"/>
        <v>PEN</v>
      </c>
      <c r="P124" s="13"/>
      <c r="Q124" s="13">
        <v>2</v>
      </c>
      <c r="R124" s="3">
        <f t="shared" si="7"/>
        <v>0</v>
      </c>
      <c r="S124" s="3">
        <f t="shared" si="8"/>
        <v>2</v>
      </c>
      <c r="T124" s="3">
        <f t="shared" si="9"/>
        <v>264.69999999999942</v>
      </c>
      <c r="U124" s="24" t="s">
        <v>1081</v>
      </c>
      <c r="V124" s="24"/>
      <c r="W124" s="3"/>
      <c r="X124" s="3" t="s">
        <v>4303</v>
      </c>
      <c r="Y124" s="3" t="s">
        <v>4522</v>
      </c>
      <c r="Z124" s="3"/>
      <c r="AA124" s="3"/>
      <c r="AB124" s="3"/>
      <c r="AC124" s="3" t="str">
        <f>IF(Caja_Arequipa[[#This Row],[FECHA]]&gt;0,TEXT(Caja_Arequipa[[#This Row],[FECHA]],"mmmm"),0)</f>
        <v>Febrero</v>
      </c>
    </row>
    <row r="125" spans="2:29" ht="24" x14ac:dyDescent="0.3">
      <c r="B125" s="2">
        <f>IF(Caja_Arequipa[[#This Row],[TIPO DE R.]]="R",COUNTIFS($D$4:$D124,"R")+1,"")</f>
        <v>121</v>
      </c>
      <c r="C125" s="19" t="str">
        <f t="shared" si="6"/>
        <v>C-Tesoreria</v>
      </c>
      <c r="D125" s="3" t="s">
        <v>1074</v>
      </c>
      <c r="E125" s="14">
        <v>45709</v>
      </c>
      <c r="F125" s="5" t="s">
        <v>1158</v>
      </c>
      <c r="G125" s="5" t="s">
        <v>1079</v>
      </c>
      <c r="H125" s="3" t="s">
        <v>4433</v>
      </c>
      <c r="I125" s="6"/>
      <c r="J125" s="6"/>
      <c r="K125" s="6"/>
      <c r="L125" s="6"/>
      <c r="M125" s="7" t="s">
        <v>4523</v>
      </c>
      <c r="N125" s="8" t="str">
        <f>IF(Caja_Arequipa[[#This Row],[TIPO DE R.]]="R","001-"&amp;12002+B125,N124)</f>
        <v>001-12123</v>
      </c>
      <c r="O125" s="8" t="str">
        <f t="shared" si="10"/>
        <v>PEN</v>
      </c>
      <c r="P125" s="13"/>
      <c r="Q125" s="13">
        <v>150</v>
      </c>
      <c r="R125" s="3">
        <f t="shared" si="7"/>
        <v>0</v>
      </c>
      <c r="S125" s="3">
        <f t="shared" si="8"/>
        <v>150</v>
      </c>
      <c r="T125" s="3">
        <f t="shared" si="9"/>
        <v>114.69999999999942</v>
      </c>
      <c r="U125" s="24" t="s">
        <v>1081</v>
      </c>
      <c r="V125" s="24"/>
      <c r="W125" s="3"/>
      <c r="X125" s="3" t="s">
        <v>4433</v>
      </c>
      <c r="Y125" s="3" t="s">
        <v>4524</v>
      </c>
      <c r="Z125" s="3"/>
      <c r="AA125" s="3"/>
      <c r="AB125" s="3"/>
      <c r="AC125" s="3" t="str">
        <f>IF(Caja_Arequipa[[#This Row],[FECHA]]&gt;0,TEXT(Caja_Arequipa[[#This Row],[FECHA]],"mmmm"),0)</f>
        <v>Febrero</v>
      </c>
    </row>
    <row r="126" spans="2:29" ht="24" x14ac:dyDescent="0.3">
      <c r="B126" s="2">
        <f>IF(Caja_Arequipa[[#This Row],[TIPO DE R.]]="R",COUNTIFS($D$4:$D125,"R")+1,"")</f>
        <v>122</v>
      </c>
      <c r="C126" s="19" t="str">
        <f t="shared" si="6"/>
        <v>C-Tesoreria</v>
      </c>
      <c r="D126" s="3" t="s">
        <v>1074</v>
      </c>
      <c r="E126" s="14">
        <v>45709</v>
      </c>
      <c r="F126" s="5" t="s">
        <v>1158</v>
      </c>
      <c r="G126" s="5" t="s">
        <v>1079</v>
      </c>
      <c r="H126" s="3" t="s">
        <v>4433</v>
      </c>
      <c r="I126" s="6"/>
      <c r="J126" s="6"/>
      <c r="K126" s="6"/>
      <c r="L126" s="6"/>
      <c r="M126" s="7" t="s">
        <v>4525</v>
      </c>
      <c r="N126" s="8" t="str">
        <f>IF(Caja_Arequipa[[#This Row],[TIPO DE R.]]="R","001-"&amp;12002+B126,N125)</f>
        <v>001-12124</v>
      </c>
      <c r="O126" s="8" t="str">
        <f t="shared" si="10"/>
        <v>PEN</v>
      </c>
      <c r="P126" s="13"/>
      <c r="Q126" s="13">
        <v>24</v>
      </c>
      <c r="R126" s="3">
        <f t="shared" si="7"/>
        <v>0</v>
      </c>
      <c r="S126" s="3">
        <f t="shared" si="8"/>
        <v>24</v>
      </c>
      <c r="T126" s="3">
        <f t="shared" si="9"/>
        <v>90.69999999999942</v>
      </c>
      <c r="U126" s="24" t="s">
        <v>1081</v>
      </c>
      <c r="V126" s="24"/>
      <c r="W126" s="3"/>
      <c r="X126" s="3" t="s">
        <v>4433</v>
      </c>
      <c r="Y126" s="3" t="s">
        <v>4526</v>
      </c>
      <c r="Z126" s="3"/>
      <c r="AA126" s="3"/>
      <c r="AB126" s="3"/>
      <c r="AC126" s="3" t="str">
        <f>IF(Caja_Arequipa[[#This Row],[FECHA]]&gt;0,TEXT(Caja_Arequipa[[#This Row],[FECHA]],"mmmm"),0)</f>
        <v>Febrero</v>
      </c>
    </row>
    <row r="127" spans="2:29" ht="24" x14ac:dyDescent="0.3">
      <c r="B127" s="2">
        <f>IF(Caja_Arequipa[[#This Row],[TIPO DE R.]]="R",COUNTIFS($D$4:$D126,"R")+1,"")</f>
        <v>123</v>
      </c>
      <c r="C127" s="19" t="str">
        <f t="shared" si="6"/>
        <v>C-Tesoreria</v>
      </c>
      <c r="D127" s="3" t="s">
        <v>1074</v>
      </c>
      <c r="E127" s="14">
        <v>45709</v>
      </c>
      <c r="F127" s="5" t="s">
        <v>1158</v>
      </c>
      <c r="G127" s="5" t="s">
        <v>1079</v>
      </c>
      <c r="H127" s="3" t="s">
        <v>4433</v>
      </c>
      <c r="I127" s="6"/>
      <c r="J127" s="6"/>
      <c r="K127" s="6"/>
      <c r="L127" s="6"/>
      <c r="M127" s="7" t="s">
        <v>4527</v>
      </c>
      <c r="N127" s="8" t="str">
        <f>IF(Caja_Arequipa[[#This Row],[TIPO DE R.]]="R","001-"&amp;12002+B127,N126)</f>
        <v>001-12125</v>
      </c>
      <c r="O127" s="8" t="str">
        <f t="shared" si="10"/>
        <v>PEN</v>
      </c>
      <c r="P127" s="13"/>
      <c r="Q127" s="13">
        <v>24</v>
      </c>
      <c r="R127" s="3">
        <f t="shared" si="7"/>
        <v>0</v>
      </c>
      <c r="S127" s="3">
        <f t="shared" si="8"/>
        <v>24</v>
      </c>
      <c r="T127" s="3">
        <f t="shared" si="9"/>
        <v>66.69999999999942</v>
      </c>
      <c r="U127" s="24" t="s">
        <v>1081</v>
      </c>
      <c r="V127" s="24"/>
      <c r="W127" s="3"/>
      <c r="X127" s="3" t="s">
        <v>4433</v>
      </c>
      <c r="Y127" s="3" t="s">
        <v>4528</v>
      </c>
      <c r="Z127" s="3"/>
      <c r="AA127" s="3"/>
      <c r="AB127" s="3"/>
      <c r="AC127" s="3" t="str">
        <f>IF(Caja_Arequipa[[#This Row],[FECHA]]&gt;0,TEXT(Caja_Arequipa[[#This Row],[FECHA]],"mmmm"),0)</f>
        <v>Febrero</v>
      </c>
    </row>
    <row r="128" spans="2:29" x14ac:dyDescent="0.3">
      <c r="B128" s="2">
        <f>IF(Caja_Arequipa[[#This Row],[TIPO DE R.]]="R",COUNTIFS($D$4:$D127,"R")+1,"")</f>
        <v>124</v>
      </c>
      <c r="C128" s="19" t="str">
        <f t="shared" si="6"/>
        <v>C-Tesoreria</v>
      </c>
      <c r="D128" s="3" t="s">
        <v>1074</v>
      </c>
      <c r="E128" s="14">
        <v>45709</v>
      </c>
      <c r="F128" s="5" t="s">
        <v>1158</v>
      </c>
      <c r="G128" s="5" t="s">
        <v>1079</v>
      </c>
      <c r="H128" s="3" t="s">
        <v>4433</v>
      </c>
      <c r="I128" s="6"/>
      <c r="J128" s="6"/>
      <c r="K128" s="6"/>
      <c r="L128" s="6"/>
      <c r="M128" s="7" t="s">
        <v>4529</v>
      </c>
      <c r="N128" s="8" t="str">
        <f>IF(Caja_Arequipa[[#This Row],[TIPO DE R.]]="R","001-"&amp;12002+B128,N127)</f>
        <v>001-12126</v>
      </c>
      <c r="O128" s="8" t="str">
        <f t="shared" si="10"/>
        <v>PEN</v>
      </c>
      <c r="P128" s="13"/>
      <c r="Q128" s="13">
        <v>12</v>
      </c>
      <c r="R128" s="3">
        <f t="shared" si="7"/>
        <v>0</v>
      </c>
      <c r="S128" s="3">
        <f t="shared" si="8"/>
        <v>12</v>
      </c>
      <c r="T128" s="3">
        <f t="shared" si="9"/>
        <v>54.69999999999942</v>
      </c>
      <c r="U128" s="24" t="s">
        <v>1081</v>
      </c>
      <c r="V128" s="24"/>
      <c r="W128" s="3"/>
      <c r="X128" s="3" t="s">
        <v>4433</v>
      </c>
      <c r="Y128" s="3" t="s">
        <v>4530</v>
      </c>
      <c r="Z128" s="3"/>
      <c r="AA128" s="3"/>
      <c r="AB128" s="3"/>
      <c r="AC128" s="3" t="str">
        <f>IF(Caja_Arequipa[[#This Row],[FECHA]]&gt;0,TEXT(Caja_Arequipa[[#This Row],[FECHA]],"mmmm"),0)</f>
        <v>Febrero</v>
      </c>
    </row>
    <row r="129" spans="2:29" ht="24" x14ac:dyDescent="0.3">
      <c r="B129" s="2">
        <f>IF(Caja_Arequipa[[#This Row],[TIPO DE R.]]="R",COUNTIFS($D$4:$D128,"R")+1,"")</f>
        <v>125</v>
      </c>
      <c r="C129" s="19" t="str">
        <f t="shared" si="6"/>
        <v>C-Tesoreria</v>
      </c>
      <c r="D129" s="3" t="s">
        <v>1074</v>
      </c>
      <c r="E129" s="14">
        <v>45709</v>
      </c>
      <c r="F129" s="5" t="s">
        <v>1158</v>
      </c>
      <c r="G129" s="5" t="s">
        <v>1079</v>
      </c>
      <c r="H129" s="3" t="s">
        <v>4303</v>
      </c>
      <c r="I129" s="6"/>
      <c r="J129" s="6"/>
      <c r="K129" s="6"/>
      <c r="L129" s="6"/>
      <c r="M129" s="7" t="s">
        <v>4531</v>
      </c>
      <c r="N129" s="8" t="str">
        <f>IF(Caja_Arequipa[[#This Row],[TIPO DE R.]]="R","001-"&amp;12002+B129,N128)</f>
        <v>001-12127</v>
      </c>
      <c r="O129" s="8" t="str">
        <f t="shared" si="10"/>
        <v>PEN</v>
      </c>
      <c r="P129" s="13"/>
      <c r="Q129" s="13">
        <v>37</v>
      </c>
      <c r="R129" s="3">
        <f t="shared" si="7"/>
        <v>0</v>
      </c>
      <c r="S129" s="3">
        <f t="shared" si="8"/>
        <v>37</v>
      </c>
      <c r="T129" s="3">
        <f t="shared" si="9"/>
        <v>17.69999999999942</v>
      </c>
      <c r="U129" s="24" t="s">
        <v>1081</v>
      </c>
      <c r="V129" s="24"/>
      <c r="W129" s="3"/>
      <c r="X129" s="3" t="s">
        <v>4303</v>
      </c>
      <c r="Y129" s="3" t="s">
        <v>4532</v>
      </c>
      <c r="Z129" s="3"/>
      <c r="AA129" s="3"/>
      <c r="AB129" s="3"/>
      <c r="AC129" s="3" t="str">
        <f>IF(Caja_Arequipa[[#This Row],[FECHA]]&gt;0,TEXT(Caja_Arequipa[[#This Row],[FECHA]],"mmmm"),0)</f>
        <v>Febrero</v>
      </c>
    </row>
    <row r="130" spans="2:29" ht="24" x14ac:dyDescent="0.3">
      <c r="B130" s="2">
        <f>IF(Caja_Arequipa[[#This Row],[TIPO DE R.]]="R",COUNTIFS($D$4:$D129,"R")+1,"")</f>
        <v>126</v>
      </c>
      <c r="C130" s="19" t="str">
        <f t="shared" si="6"/>
        <v>C-Tesoreria</v>
      </c>
      <c r="D130" s="3" t="s">
        <v>1074</v>
      </c>
      <c r="E130" s="14">
        <v>45712</v>
      </c>
      <c r="F130" s="5" t="s">
        <v>1158</v>
      </c>
      <c r="G130" s="5" t="s">
        <v>1079</v>
      </c>
      <c r="H130" s="3" t="s">
        <v>4357</v>
      </c>
      <c r="I130" s="6"/>
      <c r="J130" s="6"/>
      <c r="K130" s="6"/>
      <c r="L130" s="6"/>
      <c r="M130" s="7" t="s">
        <v>4533</v>
      </c>
      <c r="N130" s="8" t="str">
        <f>IF(Caja_Arequipa[[#This Row],[TIPO DE R.]]="R","001-"&amp;12002+B130,N129)</f>
        <v>001-12128</v>
      </c>
      <c r="O130" s="8" t="str">
        <f t="shared" si="10"/>
        <v>PEN</v>
      </c>
      <c r="P130" s="13"/>
      <c r="Q130" s="13">
        <v>15</v>
      </c>
      <c r="R130" s="3">
        <f t="shared" si="7"/>
        <v>0</v>
      </c>
      <c r="S130" s="3">
        <f t="shared" si="8"/>
        <v>15</v>
      </c>
      <c r="T130" s="3">
        <f t="shared" si="9"/>
        <v>2.6999999999994202</v>
      </c>
      <c r="U130" s="24" t="s">
        <v>1081</v>
      </c>
      <c r="V130" s="24"/>
      <c r="W130" s="3"/>
      <c r="X130" s="3" t="s">
        <v>4357</v>
      </c>
      <c r="Y130" s="3" t="s">
        <v>4534</v>
      </c>
      <c r="Z130" s="3"/>
      <c r="AA130" s="3"/>
      <c r="AB130" s="3"/>
      <c r="AC130" s="3" t="str">
        <f>IF(Caja_Arequipa[[#This Row],[FECHA]]&gt;0,TEXT(Caja_Arequipa[[#This Row],[FECHA]],"mmmm"),0)</f>
        <v>Febrero</v>
      </c>
    </row>
    <row r="131" spans="2:29" x14ac:dyDescent="0.3">
      <c r="B131" s="2">
        <f>IF(Caja_Arequipa[[#This Row],[TIPO DE R.]]="R",COUNTIFS($D$4:$D130,"R")+1,"")</f>
        <v>127</v>
      </c>
      <c r="C131" s="19" t="str">
        <f t="shared" si="6"/>
        <v>C-Tesoreria</v>
      </c>
      <c r="D131" s="3" t="s">
        <v>1074</v>
      </c>
      <c r="E131" s="14">
        <v>45713</v>
      </c>
      <c r="F131" s="5" t="s">
        <v>1158</v>
      </c>
      <c r="G131" s="5" t="s">
        <v>1087</v>
      </c>
      <c r="H131" s="3" t="s">
        <v>3353</v>
      </c>
      <c r="I131" s="6"/>
      <c r="J131" s="6"/>
      <c r="K131" s="6"/>
      <c r="L131" s="6"/>
      <c r="M131" s="7" t="s">
        <v>4394</v>
      </c>
      <c r="N131" s="8" t="str">
        <f>IF(Caja_Arequipa[[#This Row],[TIPO DE R.]]="R","001-"&amp;12002+B131,N130)</f>
        <v>001-12129</v>
      </c>
      <c r="O131" s="8" t="str">
        <f t="shared" si="10"/>
        <v>PEN</v>
      </c>
      <c r="P131" s="13"/>
      <c r="Q131" s="13">
        <v>760</v>
      </c>
      <c r="R131" s="3">
        <f t="shared" si="7"/>
        <v>760</v>
      </c>
      <c r="S131" s="3">
        <f t="shared" si="8"/>
        <v>0</v>
      </c>
      <c r="T131" s="3">
        <f t="shared" si="9"/>
        <v>762.69999999999936</v>
      </c>
      <c r="U131" s="24"/>
      <c r="V131" s="24"/>
      <c r="W131" s="3"/>
      <c r="X131" s="3" t="s">
        <v>3353</v>
      </c>
      <c r="Y131" s="3"/>
      <c r="Z131" s="3"/>
      <c r="AA131" s="3"/>
      <c r="AB131" s="3"/>
      <c r="AC131" s="3" t="str">
        <f>IF(Caja_Arequipa[[#This Row],[FECHA]]&gt;0,TEXT(Caja_Arequipa[[#This Row],[FECHA]],"mmmm"),0)</f>
        <v>Febrero</v>
      </c>
    </row>
    <row r="132" spans="2:29" ht="24" x14ac:dyDescent="0.3">
      <c r="B132" s="2">
        <f>IF(Caja_Arequipa[[#This Row],[TIPO DE R.]]="R",COUNTIFS($D$4:$D131,"R")+1,"")</f>
        <v>128</v>
      </c>
      <c r="C132" s="19" t="str">
        <f t="shared" si="6"/>
        <v>C-Tesoreria</v>
      </c>
      <c r="D132" s="3" t="s">
        <v>1074</v>
      </c>
      <c r="E132" s="14">
        <v>45713</v>
      </c>
      <c r="F132" s="5" t="s">
        <v>1158</v>
      </c>
      <c r="G132" s="5" t="s">
        <v>1079</v>
      </c>
      <c r="H132" s="3" t="s">
        <v>4371</v>
      </c>
      <c r="I132" s="6"/>
      <c r="J132" s="6"/>
      <c r="K132" s="6"/>
      <c r="L132" s="6"/>
      <c r="M132" s="7" t="s">
        <v>4535</v>
      </c>
      <c r="N132" s="8" t="str">
        <f>IF(Caja_Arequipa[[#This Row],[TIPO DE R.]]="R","001-"&amp;12002+B132,N131)</f>
        <v>001-12130</v>
      </c>
      <c r="O132" s="8" t="str">
        <f t="shared" si="10"/>
        <v>PEN</v>
      </c>
      <c r="P132" s="13"/>
      <c r="Q132" s="13">
        <v>55.7</v>
      </c>
      <c r="R132" s="3">
        <f t="shared" si="7"/>
        <v>0</v>
      </c>
      <c r="S132" s="3">
        <f t="shared" si="8"/>
        <v>55.7</v>
      </c>
      <c r="T132" s="3">
        <f t="shared" si="9"/>
        <v>706.99999999999932</v>
      </c>
      <c r="U132" s="24" t="s">
        <v>1081</v>
      </c>
      <c r="V132" s="24"/>
      <c r="W132" s="3"/>
      <c r="X132" s="3" t="s">
        <v>4371</v>
      </c>
      <c r="Y132" s="3" t="s">
        <v>4536</v>
      </c>
      <c r="Z132" s="3"/>
      <c r="AA132" s="3"/>
      <c r="AB132" s="3"/>
      <c r="AC132" s="3" t="str">
        <f>IF(Caja_Arequipa[[#This Row],[FECHA]]&gt;0,TEXT(Caja_Arequipa[[#This Row],[FECHA]],"mmmm"),0)</f>
        <v>Febrero</v>
      </c>
    </row>
    <row r="133" spans="2:29" ht="24" x14ac:dyDescent="0.3">
      <c r="B133" s="2">
        <f>IF(Caja_Arequipa[[#This Row],[TIPO DE R.]]="R",COUNTIFS($D$4:$D132,"R")+1,"")</f>
        <v>129</v>
      </c>
      <c r="C133" s="19" t="str">
        <f t="shared" ref="C133:C196" si="11">"C-Tesoreria"</f>
        <v>C-Tesoreria</v>
      </c>
      <c r="D133" s="3" t="s">
        <v>1074</v>
      </c>
      <c r="E133" s="14">
        <v>45714</v>
      </c>
      <c r="F133" s="5" t="s">
        <v>1082</v>
      </c>
      <c r="G133" s="5" t="s">
        <v>1079</v>
      </c>
      <c r="H133" s="3" t="s">
        <v>4371</v>
      </c>
      <c r="I133" s="6"/>
      <c r="J133" s="6"/>
      <c r="K133" s="6"/>
      <c r="L133" s="6"/>
      <c r="M133" s="7" t="s">
        <v>4537</v>
      </c>
      <c r="N133" s="8" t="str">
        <f>IF(Caja_Arequipa[[#This Row],[TIPO DE R.]]="R","001-"&amp;12002+B133,N132)</f>
        <v>001-12131</v>
      </c>
      <c r="O133" s="8" t="str">
        <f t="shared" si="10"/>
        <v>PEN</v>
      </c>
      <c r="P133" s="13"/>
      <c r="Q133" s="13">
        <v>180</v>
      </c>
      <c r="R133" s="3">
        <f t="shared" ref="R133:R196" si="12">+IF(OR($G133="SALDO",$G133="INGRESO"),$Q133,0)</f>
        <v>0</v>
      </c>
      <c r="S133" s="3">
        <f t="shared" ref="S133:S196" si="13">+IF($G133="EGRESO",$Q133,0)</f>
        <v>180</v>
      </c>
      <c r="T133" s="3">
        <f t="shared" ref="T133:T196" si="14">IFERROR(IF(G133="SALDO",R133,T132+R133-S133),0)</f>
        <v>526.99999999999932</v>
      </c>
      <c r="U133" s="24"/>
      <c r="V133" s="24"/>
      <c r="W133" s="3"/>
      <c r="X133" s="3" t="s">
        <v>4371</v>
      </c>
      <c r="Y133" s="3" t="s">
        <v>4538</v>
      </c>
      <c r="Z133" s="3"/>
      <c r="AA133" s="3"/>
      <c r="AB133" s="3"/>
      <c r="AC133" s="3" t="str">
        <f>IF(Caja_Arequipa[[#This Row],[FECHA]]&gt;0,TEXT(Caja_Arequipa[[#This Row],[FECHA]],"mmmm"),0)</f>
        <v>Febrero</v>
      </c>
    </row>
    <row r="134" spans="2:29" x14ac:dyDescent="0.3">
      <c r="B134" s="2">
        <f>IF(Caja_Arequipa[[#This Row],[TIPO DE R.]]="R",COUNTIFS($D$4:$D133,"R")+1,"")</f>
        <v>130</v>
      </c>
      <c r="C134" s="19" t="str">
        <f t="shared" si="11"/>
        <v>C-Tesoreria</v>
      </c>
      <c r="D134" s="3" t="s">
        <v>1074</v>
      </c>
      <c r="E134" s="14">
        <v>45715</v>
      </c>
      <c r="F134" s="5" t="s">
        <v>1082</v>
      </c>
      <c r="G134" s="5" t="s">
        <v>1079</v>
      </c>
      <c r="H134" s="3" t="s">
        <v>4334</v>
      </c>
      <c r="I134" s="6"/>
      <c r="J134" s="6"/>
      <c r="K134" s="6"/>
      <c r="L134" s="6"/>
      <c r="M134" s="7" t="s">
        <v>4539</v>
      </c>
      <c r="N134" s="8" t="str">
        <f>IF(Caja_Arequipa[[#This Row],[TIPO DE R.]]="R","001-"&amp;12002+B134,N133)</f>
        <v>001-12132</v>
      </c>
      <c r="O134" s="8" t="str">
        <f t="shared" ref="O134:O197" si="15">"PEN"</f>
        <v>PEN</v>
      </c>
      <c r="P134" s="13"/>
      <c r="Q134" s="13">
        <v>55</v>
      </c>
      <c r="R134" s="3">
        <f t="shared" si="12"/>
        <v>0</v>
      </c>
      <c r="S134" s="3">
        <f t="shared" si="13"/>
        <v>55</v>
      </c>
      <c r="T134" s="3">
        <f t="shared" si="14"/>
        <v>471.99999999999932</v>
      </c>
      <c r="U134" s="24" t="s">
        <v>1081</v>
      </c>
      <c r="V134" s="24"/>
      <c r="W134" s="3"/>
      <c r="X134" s="3" t="s">
        <v>4334</v>
      </c>
      <c r="Y134" s="3" t="s">
        <v>4540</v>
      </c>
      <c r="Z134" s="3"/>
      <c r="AA134" s="3"/>
      <c r="AB134" s="3"/>
      <c r="AC134" s="3" t="str">
        <f>IF(Caja_Arequipa[[#This Row],[FECHA]]&gt;0,TEXT(Caja_Arequipa[[#This Row],[FECHA]],"mmmm"),0)</f>
        <v>Febrero</v>
      </c>
    </row>
    <row r="135" spans="2:29" ht="24" x14ac:dyDescent="0.3">
      <c r="B135" s="2">
        <f>IF(Caja_Arequipa[[#This Row],[TIPO DE R.]]="R",COUNTIFS($D$4:$D134,"R")+1,"")</f>
        <v>131</v>
      </c>
      <c r="C135" s="19" t="str">
        <f t="shared" si="11"/>
        <v>C-Tesoreria</v>
      </c>
      <c r="D135" s="3" t="s">
        <v>1074</v>
      </c>
      <c r="E135" s="14">
        <v>45715</v>
      </c>
      <c r="F135" s="5" t="s">
        <v>1082</v>
      </c>
      <c r="G135" s="5" t="s">
        <v>1079</v>
      </c>
      <c r="H135" s="3" t="s">
        <v>4334</v>
      </c>
      <c r="I135" s="6"/>
      <c r="J135" s="6"/>
      <c r="K135" s="6"/>
      <c r="L135" s="6"/>
      <c r="M135" s="7" t="s">
        <v>4541</v>
      </c>
      <c r="N135" s="8" t="str">
        <f>IF(Caja_Arequipa[[#This Row],[TIPO DE R.]]="R","001-"&amp;12002+B135,N134)</f>
        <v>001-12133</v>
      </c>
      <c r="O135" s="8" t="str">
        <f t="shared" si="15"/>
        <v>PEN</v>
      </c>
      <c r="P135" s="13"/>
      <c r="Q135" s="13">
        <v>42</v>
      </c>
      <c r="R135" s="3">
        <f t="shared" si="12"/>
        <v>0</v>
      </c>
      <c r="S135" s="3">
        <f t="shared" si="13"/>
        <v>42</v>
      </c>
      <c r="T135" s="3">
        <f t="shared" si="14"/>
        <v>429.99999999999932</v>
      </c>
      <c r="U135" s="24" t="s">
        <v>1081</v>
      </c>
      <c r="V135" s="24"/>
      <c r="W135" s="3"/>
      <c r="X135" s="3" t="s">
        <v>4334</v>
      </c>
      <c r="Y135" s="3" t="s">
        <v>4542</v>
      </c>
      <c r="Z135" s="3"/>
      <c r="AA135" s="3"/>
      <c r="AB135" s="3"/>
      <c r="AC135" s="3" t="str">
        <f>IF(Caja_Arequipa[[#This Row],[FECHA]]&gt;0,TEXT(Caja_Arequipa[[#This Row],[FECHA]],"mmmm"),0)</f>
        <v>Febrero</v>
      </c>
    </row>
    <row r="136" spans="2:29" ht="24" x14ac:dyDescent="0.3">
      <c r="B136" s="2">
        <f>IF(Caja_Arequipa[[#This Row],[TIPO DE R.]]="R",COUNTIFS($D$4:$D135,"R")+1,"")</f>
        <v>132</v>
      </c>
      <c r="C136" s="19" t="str">
        <f t="shared" si="11"/>
        <v>C-Tesoreria</v>
      </c>
      <c r="D136" s="3" t="s">
        <v>1074</v>
      </c>
      <c r="E136" s="14">
        <v>45716</v>
      </c>
      <c r="F136" s="5" t="s">
        <v>1082</v>
      </c>
      <c r="G136" s="5" t="s">
        <v>1079</v>
      </c>
      <c r="H136" s="3" t="s">
        <v>4305</v>
      </c>
      <c r="I136" s="6"/>
      <c r="J136" s="6"/>
      <c r="K136" s="6"/>
      <c r="L136" s="6"/>
      <c r="M136" s="7" t="s">
        <v>4543</v>
      </c>
      <c r="N136" s="8" t="str">
        <f>IF(Caja_Arequipa[[#This Row],[TIPO DE R.]]="R","001-"&amp;12002+B136,N135)</f>
        <v>001-12134</v>
      </c>
      <c r="O136" s="8" t="str">
        <f t="shared" si="15"/>
        <v>PEN</v>
      </c>
      <c r="P136" s="13"/>
      <c r="Q136" s="13">
        <v>20</v>
      </c>
      <c r="R136" s="3">
        <f t="shared" si="12"/>
        <v>0</v>
      </c>
      <c r="S136" s="3">
        <f t="shared" si="13"/>
        <v>20</v>
      </c>
      <c r="T136" s="3">
        <f t="shared" si="14"/>
        <v>409.99999999999932</v>
      </c>
      <c r="U136" s="24" t="s">
        <v>1081</v>
      </c>
      <c r="V136" s="24"/>
      <c r="W136" s="3"/>
      <c r="X136" s="3" t="s">
        <v>4305</v>
      </c>
      <c r="Y136" s="3" t="s">
        <v>4544</v>
      </c>
      <c r="Z136" s="3"/>
      <c r="AA136" s="3"/>
      <c r="AB136" s="3"/>
      <c r="AC136" s="3" t="str">
        <f>IF(Caja_Arequipa[[#This Row],[FECHA]]&gt;0,TEXT(Caja_Arequipa[[#This Row],[FECHA]],"mmmm"),0)</f>
        <v>Febrero</v>
      </c>
    </row>
    <row r="137" spans="2:29" x14ac:dyDescent="0.3">
      <c r="B137" s="2">
        <f>IF(Caja_Arequipa[[#This Row],[TIPO DE R.]]="R",COUNTIFS($D$4:$D136,"R")+1,"")</f>
        <v>133</v>
      </c>
      <c r="C137" s="19" t="str">
        <f t="shared" si="11"/>
        <v>C-Tesoreria</v>
      </c>
      <c r="D137" s="3" t="s">
        <v>1074</v>
      </c>
      <c r="E137" s="14">
        <v>45716</v>
      </c>
      <c r="F137" s="5" t="s">
        <v>1082</v>
      </c>
      <c r="G137" s="5" t="s">
        <v>1079</v>
      </c>
      <c r="H137" s="3" t="s">
        <v>3016</v>
      </c>
      <c r="I137" s="6"/>
      <c r="J137" s="6"/>
      <c r="K137" s="6"/>
      <c r="L137" s="6"/>
      <c r="M137" s="7" t="s">
        <v>4545</v>
      </c>
      <c r="N137" s="8" t="str">
        <f>IF(Caja_Arequipa[[#This Row],[TIPO DE R.]]="R","001-"&amp;12002+B137,N136)</f>
        <v>001-12135</v>
      </c>
      <c r="O137" s="8" t="str">
        <f t="shared" si="15"/>
        <v>PEN</v>
      </c>
      <c r="P137" s="13"/>
      <c r="Q137" s="13">
        <v>11</v>
      </c>
      <c r="R137" s="3">
        <f t="shared" si="12"/>
        <v>0</v>
      </c>
      <c r="S137" s="3">
        <f t="shared" si="13"/>
        <v>11</v>
      </c>
      <c r="T137" s="3">
        <f t="shared" si="14"/>
        <v>398.99999999999932</v>
      </c>
      <c r="U137" s="24" t="s">
        <v>1081</v>
      </c>
      <c r="V137" s="24"/>
      <c r="W137" s="3"/>
      <c r="X137" s="3" t="s">
        <v>3016</v>
      </c>
      <c r="Y137" s="3" t="s">
        <v>4546</v>
      </c>
      <c r="Z137" s="3"/>
      <c r="AA137" s="3"/>
      <c r="AB137" s="3"/>
      <c r="AC137" s="3" t="str">
        <f>IF(Caja_Arequipa[[#This Row],[FECHA]]&gt;0,TEXT(Caja_Arequipa[[#This Row],[FECHA]],"mmmm"),0)</f>
        <v>Febrero</v>
      </c>
    </row>
    <row r="138" spans="2:29" x14ac:dyDescent="0.3">
      <c r="B138" s="2">
        <f>IF(Caja_Arequipa[[#This Row],[TIPO DE R.]]="R",COUNTIFS($D$4:$D137,"R")+1,"")</f>
        <v>134</v>
      </c>
      <c r="C138" s="19" t="str">
        <f t="shared" si="11"/>
        <v>C-Tesoreria</v>
      </c>
      <c r="D138" s="3" t="s">
        <v>1074</v>
      </c>
      <c r="E138" s="14">
        <v>45716</v>
      </c>
      <c r="F138" s="5" t="s">
        <v>1158</v>
      </c>
      <c r="G138" s="5" t="s">
        <v>1079</v>
      </c>
      <c r="H138" s="3" t="s">
        <v>4353</v>
      </c>
      <c r="I138" s="6"/>
      <c r="J138" s="6"/>
      <c r="K138" s="6"/>
      <c r="L138" s="6"/>
      <c r="M138" s="7" t="s">
        <v>4547</v>
      </c>
      <c r="N138" s="8" t="str">
        <f>IF(Caja_Arequipa[[#This Row],[TIPO DE R.]]="R","001-"&amp;12002+B138,N137)</f>
        <v>001-12136</v>
      </c>
      <c r="O138" s="8" t="str">
        <f t="shared" si="15"/>
        <v>PEN</v>
      </c>
      <c r="P138" s="13"/>
      <c r="Q138" s="13">
        <v>199.2</v>
      </c>
      <c r="R138" s="3">
        <f t="shared" si="12"/>
        <v>0</v>
      </c>
      <c r="S138" s="3">
        <f t="shared" si="13"/>
        <v>199.2</v>
      </c>
      <c r="T138" s="3">
        <f t="shared" si="14"/>
        <v>199.79999999999933</v>
      </c>
      <c r="U138" s="24" t="s">
        <v>1081</v>
      </c>
      <c r="V138" s="24"/>
      <c r="W138" s="3"/>
      <c r="X138" s="3" t="s">
        <v>4353</v>
      </c>
      <c r="Y138" s="3" t="s">
        <v>4548</v>
      </c>
      <c r="Z138" s="3"/>
      <c r="AA138" s="3"/>
      <c r="AB138" s="3"/>
      <c r="AC138" s="3" t="str">
        <f>IF(Caja_Arequipa[[#This Row],[FECHA]]&gt;0,TEXT(Caja_Arequipa[[#This Row],[FECHA]],"mmmm"),0)</f>
        <v>Febrero</v>
      </c>
    </row>
    <row r="139" spans="2:29" x14ac:dyDescent="0.3">
      <c r="B139" s="2">
        <f>IF(Caja_Arequipa[[#This Row],[TIPO DE R.]]="R",COUNTIFS($D$4:$D138,"R")+1,"")</f>
        <v>135</v>
      </c>
      <c r="C139" s="19" t="str">
        <f t="shared" si="11"/>
        <v>C-Tesoreria</v>
      </c>
      <c r="D139" s="3" t="s">
        <v>1074</v>
      </c>
      <c r="E139" s="14">
        <v>45716</v>
      </c>
      <c r="F139" s="5" t="s">
        <v>1158</v>
      </c>
      <c r="G139" s="5" t="s">
        <v>1079</v>
      </c>
      <c r="H139" s="3" t="s">
        <v>4341</v>
      </c>
      <c r="I139" s="6"/>
      <c r="J139" s="6"/>
      <c r="K139" s="6"/>
      <c r="L139" s="6"/>
      <c r="M139" s="7" t="s">
        <v>4549</v>
      </c>
      <c r="N139" s="8" t="str">
        <f>IF(Caja_Arequipa[[#This Row],[TIPO DE R.]]="R","001-"&amp;12002+B139,N138)</f>
        <v>001-12137</v>
      </c>
      <c r="O139" s="8" t="str">
        <f t="shared" si="15"/>
        <v>PEN</v>
      </c>
      <c r="P139" s="13"/>
      <c r="Q139" s="13">
        <v>18</v>
      </c>
      <c r="R139" s="3">
        <f t="shared" si="12"/>
        <v>0</v>
      </c>
      <c r="S139" s="3">
        <f t="shared" si="13"/>
        <v>18</v>
      </c>
      <c r="T139" s="3">
        <f t="shared" si="14"/>
        <v>181.79999999999933</v>
      </c>
      <c r="U139" s="24" t="s">
        <v>1081</v>
      </c>
      <c r="V139" s="24"/>
      <c r="W139" s="3"/>
      <c r="X139" s="3" t="s">
        <v>4341</v>
      </c>
      <c r="Y139" s="3" t="s">
        <v>4550</v>
      </c>
      <c r="Z139" s="3"/>
      <c r="AA139" s="3"/>
      <c r="AB139" s="3"/>
      <c r="AC139" s="3" t="str">
        <f>IF(Caja_Arequipa[[#This Row],[FECHA]]&gt;0,TEXT(Caja_Arequipa[[#This Row],[FECHA]],"mmmm"),0)</f>
        <v>Febrero</v>
      </c>
    </row>
    <row r="140" spans="2:29" x14ac:dyDescent="0.3">
      <c r="B140" s="2">
        <f>IF(Caja_Arequipa[[#This Row],[TIPO DE R.]]="R",COUNTIFS($D$4:$D139,"R")+1,"")</f>
        <v>136</v>
      </c>
      <c r="C140" s="19" t="str">
        <f t="shared" si="11"/>
        <v>C-Tesoreria</v>
      </c>
      <c r="D140" s="3" t="s">
        <v>1074</v>
      </c>
      <c r="E140" s="14">
        <v>45716</v>
      </c>
      <c r="F140" s="5" t="s">
        <v>1158</v>
      </c>
      <c r="G140" s="5" t="s">
        <v>1079</v>
      </c>
      <c r="H140" s="3" t="s">
        <v>4329</v>
      </c>
      <c r="I140" s="6"/>
      <c r="J140" s="6"/>
      <c r="K140" s="6"/>
      <c r="L140" s="6"/>
      <c r="M140" s="7" t="s">
        <v>4551</v>
      </c>
      <c r="N140" s="8" t="str">
        <f>IF(Caja_Arequipa[[#This Row],[TIPO DE R.]]="R","001-"&amp;12002+B140,N139)</f>
        <v>001-12138</v>
      </c>
      <c r="O140" s="8" t="str">
        <f t="shared" si="15"/>
        <v>PEN</v>
      </c>
      <c r="P140" s="13"/>
      <c r="Q140" s="13">
        <v>15</v>
      </c>
      <c r="R140" s="3">
        <f t="shared" si="12"/>
        <v>0</v>
      </c>
      <c r="S140" s="3">
        <f t="shared" si="13"/>
        <v>15</v>
      </c>
      <c r="T140" s="3">
        <f t="shared" si="14"/>
        <v>166.79999999999933</v>
      </c>
      <c r="U140" s="24" t="s">
        <v>1081</v>
      </c>
      <c r="V140" s="24"/>
      <c r="W140" s="3"/>
      <c r="X140" s="3" t="s">
        <v>4329</v>
      </c>
      <c r="Y140" s="3" t="s">
        <v>4552</v>
      </c>
      <c r="Z140" s="3"/>
      <c r="AA140" s="3"/>
      <c r="AB140" s="3"/>
      <c r="AC140" s="3" t="str">
        <f>IF(Caja_Arequipa[[#This Row],[FECHA]]&gt;0,TEXT(Caja_Arequipa[[#This Row],[FECHA]],"mmmm"),0)</f>
        <v>Febrero</v>
      </c>
    </row>
    <row r="141" spans="2:29" x14ac:dyDescent="0.3">
      <c r="B141" s="2">
        <f>IF(Caja_Arequipa[[#This Row],[TIPO DE R.]]="R",COUNTIFS($D$4:$D140,"R")+1,"")</f>
        <v>137</v>
      </c>
      <c r="C141" s="19" t="str">
        <f t="shared" si="11"/>
        <v>C-Tesoreria</v>
      </c>
      <c r="D141" s="3" t="s">
        <v>1074</v>
      </c>
      <c r="E141" s="14">
        <v>45719</v>
      </c>
      <c r="F141" s="5" t="s">
        <v>1158</v>
      </c>
      <c r="G141" s="5" t="s">
        <v>1079</v>
      </c>
      <c r="H141" s="3" t="s">
        <v>4353</v>
      </c>
      <c r="I141" s="6"/>
      <c r="J141" s="6"/>
      <c r="K141" s="6"/>
      <c r="L141" s="6"/>
      <c r="M141" s="7" t="s">
        <v>4553</v>
      </c>
      <c r="N141" s="8" t="str">
        <f>IF(Caja_Arequipa[[#This Row],[TIPO DE R.]]="R","001-"&amp;12002+B141,N140)</f>
        <v>001-12139</v>
      </c>
      <c r="O141" s="8" t="str">
        <f t="shared" si="15"/>
        <v>PEN</v>
      </c>
      <c r="P141" s="13"/>
      <c r="Q141" s="13">
        <v>120</v>
      </c>
      <c r="R141" s="3">
        <f t="shared" si="12"/>
        <v>0</v>
      </c>
      <c r="S141" s="3">
        <f t="shared" si="13"/>
        <v>120</v>
      </c>
      <c r="T141" s="3">
        <f t="shared" si="14"/>
        <v>46.799999999999329</v>
      </c>
      <c r="U141" s="24" t="s">
        <v>4554</v>
      </c>
      <c r="V141" s="24"/>
      <c r="W141" s="3"/>
      <c r="X141" s="3" t="s">
        <v>4353</v>
      </c>
      <c r="Y141" s="3" t="s">
        <v>4555</v>
      </c>
      <c r="Z141" s="3"/>
      <c r="AA141" s="3"/>
      <c r="AB141" s="3"/>
      <c r="AC141" s="3" t="str">
        <f>IF(Caja_Arequipa[[#This Row],[FECHA]]&gt;0,TEXT(Caja_Arequipa[[#This Row],[FECHA]],"mmmm"),0)</f>
        <v>Marzo</v>
      </c>
    </row>
    <row r="142" spans="2:29" ht="24" x14ac:dyDescent="0.3">
      <c r="B142" s="2">
        <f>IF(Caja_Arequipa[[#This Row],[TIPO DE R.]]="R",COUNTIFS($D$4:$D141,"R")+1,"")</f>
        <v>138</v>
      </c>
      <c r="C142" s="19" t="str">
        <f t="shared" si="11"/>
        <v>C-Tesoreria</v>
      </c>
      <c r="D142" s="3" t="s">
        <v>1074</v>
      </c>
      <c r="E142" s="14">
        <v>45719</v>
      </c>
      <c r="F142" s="5" t="s">
        <v>1158</v>
      </c>
      <c r="G142" s="5" t="s">
        <v>1079</v>
      </c>
      <c r="H142" s="3" t="s">
        <v>4353</v>
      </c>
      <c r="I142" s="6"/>
      <c r="J142" s="6"/>
      <c r="K142" s="6"/>
      <c r="L142" s="6"/>
      <c r="M142" s="7" t="s">
        <v>4556</v>
      </c>
      <c r="N142" s="8" t="str">
        <f>IF(Caja_Arequipa[[#This Row],[TIPO DE R.]]="R","001-"&amp;12002+B142,N141)</f>
        <v>001-12140</v>
      </c>
      <c r="O142" s="8" t="str">
        <f t="shared" si="15"/>
        <v>PEN</v>
      </c>
      <c r="P142" s="13"/>
      <c r="Q142" s="13">
        <v>20</v>
      </c>
      <c r="R142" s="3">
        <f t="shared" si="12"/>
        <v>0</v>
      </c>
      <c r="S142" s="3">
        <f t="shared" si="13"/>
        <v>20</v>
      </c>
      <c r="T142" s="3">
        <f t="shared" si="14"/>
        <v>26.799999999999329</v>
      </c>
      <c r="U142" s="24"/>
      <c r="V142" s="24"/>
      <c r="W142" s="3"/>
      <c r="X142" s="3" t="s">
        <v>4353</v>
      </c>
      <c r="Y142" s="3" t="s">
        <v>4557</v>
      </c>
      <c r="Z142" s="3"/>
      <c r="AA142" s="3"/>
      <c r="AB142" s="3"/>
      <c r="AC142" s="3" t="str">
        <f>IF(Caja_Arequipa[[#This Row],[FECHA]]&gt;0,TEXT(Caja_Arequipa[[#This Row],[FECHA]],"mmmm"),0)</f>
        <v>Marzo</v>
      </c>
    </row>
    <row r="143" spans="2:29" x14ac:dyDescent="0.3">
      <c r="B143" s="2">
        <f>IF(Caja_Arequipa[[#This Row],[TIPO DE R.]]="R",COUNTIFS($D$4:$D142,"R")+1,"")</f>
        <v>139</v>
      </c>
      <c r="C143" s="19" t="str">
        <f t="shared" si="11"/>
        <v>C-Tesoreria</v>
      </c>
      <c r="D143" s="3" t="s">
        <v>1074</v>
      </c>
      <c r="E143" s="14">
        <v>45719</v>
      </c>
      <c r="F143" s="5" t="s">
        <v>1158</v>
      </c>
      <c r="G143" s="5" t="s">
        <v>1087</v>
      </c>
      <c r="H143" s="3" t="s">
        <v>3353</v>
      </c>
      <c r="I143" s="6"/>
      <c r="J143" s="6"/>
      <c r="K143" s="6"/>
      <c r="L143" s="6"/>
      <c r="M143" s="7" t="s">
        <v>4394</v>
      </c>
      <c r="N143" s="8" t="str">
        <f>IF(Caja_Arequipa[[#This Row],[TIPO DE R.]]="R","001-"&amp;12002+B143,N142)</f>
        <v>001-12141</v>
      </c>
      <c r="O143" s="8" t="str">
        <f t="shared" si="15"/>
        <v>PEN</v>
      </c>
      <c r="P143" s="13"/>
      <c r="Q143" s="13">
        <v>900</v>
      </c>
      <c r="R143" s="3">
        <f t="shared" si="12"/>
        <v>900</v>
      </c>
      <c r="S143" s="3">
        <f t="shared" si="13"/>
        <v>0</v>
      </c>
      <c r="T143" s="3">
        <f t="shared" si="14"/>
        <v>926.79999999999927</v>
      </c>
      <c r="U143" s="24"/>
      <c r="V143" s="24"/>
      <c r="W143" s="3"/>
      <c r="X143" s="3" t="s">
        <v>3353</v>
      </c>
      <c r="Y143" s="3"/>
      <c r="Z143" s="3"/>
      <c r="AA143" s="3"/>
      <c r="AB143" s="3"/>
      <c r="AC143" s="3" t="str">
        <f>IF(Caja_Arequipa[[#This Row],[FECHA]]&gt;0,TEXT(Caja_Arequipa[[#This Row],[FECHA]],"mmmm"),0)</f>
        <v>Marzo</v>
      </c>
    </row>
    <row r="144" spans="2:29" ht="60" x14ac:dyDescent="0.3">
      <c r="B144" s="2">
        <f>IF(Caja_Arequipa[[#This Row],[TIPO DE R.]]="R",COUNTIFS($D$4:$D143,"R")+1,"")</f>
        <v>140</v>
      </c>
      <c r="C144" s="19" t="str">
        <f t="shared" si="11"/>
        <v>C-Tesoreria</v>
      </c>
      <c r="D144" s="3" t="s">
        <v>1074</v>
      </c>
      <c r="E144" s="14">
        <v>45719</v>
      </c>
      <c r="F144" s="5" t="s">
        <v>1158</v>
      </c>
      <c r="G144" s="5" t="s">
        <v>1079</v>
      </c>
      <c r="H144" s="3" t="s">
        <v>4433</v>
      </c>
      <c r="I144" s="6"/>
      <c r="J144" s="6"/>
      <c r="K144" s="6"/>
      <c r="L144" s="6"/>
      <c r="M144" s="7" t="s">
        <v>4558</v>
      </c>
      <c r="N144" s="8" t="str">
        <f>IF(Caja_Arequipa[[#This Row],[TIPO DE R.]]="R","001-"&amp;12002+B144,N143)</f>
        <v>001-12142</v>
      </c>
      <c r="O144" s="8" t="str">
        <f t="shared" si="15"/>
        <v>PEN</v>
      </c>
      <c r="P144" s="13"/>
      <c r="Q144" s="13">
        <v>329</v>
      </c>
      <c r="R144" s="3">
        <f t="shared" si="12"/>
        <v>0</v>
      </c>
      <c r="S144" s="3">
        <f t="shared" si="13"/>
        <v>329</v>
      </c>
      <c r="T144" s="3">
        <f t="shared" si="14"/>
        <v>597.79999999999927</v>
      </c>
      <c r="U144" s="24" t="s">
        <v>1081</v>
      </c>
      <c r="V144" s="24"/>
      <c r="W144" s="3"/>
      <c r="X144" s="3" t="s">
        <v>4433</v>
      </c>
      <c r="Y144" s="3" t="s">
        <v>4559</v>
      </c>
      <c r="Z144" s="3"/>
      <c r="AA144" s="3"/>
      <c r="AB144" s="3"/>
      <c r="AC144" s="3" t="str">
        <f>IF(Caja_Arequipa[[#This Row],[FECHA]]&gt;0,TEXT(Caja_Arequipa[[#This Row],[FECHA]],"mmmm"),0)</f>
        <v>Marzo</v>
      </c>
    </row>
    <row r="145" spans="2:29" x14ac:dyDescent="0.3">
      <c r="B145" s="2">
        <f>IF(Caja_Arequipa[[#This Row],[TIPO DE R.]]="R",COUNTIFS($D$4:$D144,"R")+1,"")</f>
        <v>141</v>
      </c>
      <c r="C145" s="19" t="str">
        <f t="shared" si="11"/>
        <v>C-Tesoreria</v>
      </c>
      <c r="D145" s="3" t="s">
        <v>1074</v>
      </c>
      <c r="E145" s="14">
        <v>45719</v>
      </c>
      <c r="F145" s="5" t="s">
        <v>1158</v>
      </c>
      <c r="G145" s="5" t="s">
        <v>1087</v>
      </c>
      <c r="H145" s="3" t="s">
        <v>3353</v>
      </c>
      <c r="I145" s="6"/>
      <c r="J145" s="6"/>
      <c r="K145" s="6"/>
      <c r="L145" s="6"/>
      <c r="M145" s="7" t="s">
        <v>1855</v>
      </c>
      <c r="N145" s="8" t="str">
        <f>IF(Caja_Arequipa[[#This Row],[TIPO DE R.]]="R","001-"&amp;12002+B145,N144)</f>
        <v>001-12143</v>
      </c>
      <c r="O145" s="8" t="str">
        <f t="shared" si="15"/>
        <v>PEN</v>
      </c>
      <c r="P145" s="13"/>
      <c r="Q145" s="13">
        <v>3993.6</v>
      </c>
      <c r="R145" s="3">
        <f t="shared" si="12"/>
        <v>3993.6</v>
      </c>
      <c r="S145" s="3">
        <f t="shared" si="13"/>
        <v>0</v>
      </c>
      <c r="T145" s="3">
        <f t="shared" si="14"/>
        <v>4591.3999999999996</v>
      </c>
      <c r="U145" s="24"/>
      <c r="V145" s="24"/>
      <c r="W145" s="3"/>
      <c r="X145" s="3" t="s">
        <v>3353</v>
      </c>
      <c r="Y145" s="3"/>
      <c r="Z145" s="3"/>
      <c r="AA145" s="3"/>
      <c r="AB145" s="3"/>
      <c r="AC145" s="3" t="str">
        <f>IF(Caja_Arequipa[[#This Row],[FECHA]]&gt;0,TEXT(Caja_Arequipa[[#This Row],[FECHA]],"mmmm"),0)</f>
        <v>Marzo</v>
      </c>
    </row>
    <row r="146" spans="2:29" ht="24" x14ac:dyDescent="0.3">
      <c r="B146" s="2">
        <f>IF(Caja_Arequipa[[#This Row],[TIPO DE R.]]="R",COUNTIFS($D$4:$D145,"R")+1,"")</f>
        <v>142</v>
      </c>
      <c r="C146" s="19" t="str">
        <f t="shared" si="11"/>
        <v>C-Tesoreria</v>
      </c>
      <c r="D146" s="3" t="s">
        <v>1074</v>
      </c>
      <c r="E146" s="14">
        <v>45720</v>
      </c>
      <c r="F146" s="5" t="s">
        <v>1158</v>
      </c>
      <c r="G146" s="5" t="s">
        <v>1079</v>
      </c>
      <c r="H146" s="3" t="s">
        <v>3016</v>
      </c>
      <c r="I146" s="6"/>
      <c r="J146" s="6"/>
      <c r="K146" s="6"/>
      <c r="L146" s="6"/>
      <c r="M146" s="7" t="s">
        <v>4560</v>
      </c>
      <c r="N146" s="8" t="str">
        <f>IF(Caja_Arequipa[[#This Row],[TIPO DE R.]]="R","001-"&amp;12002+B146,N145)</f>
        <v>001-12144</v>
      </c>
      <c r="O146" s="8" t="str">
        <f t="shared" si="15"/>
        <v>PEN</v>
      </c>
      <c r="P146" s="13"/>
      <c r="Q146" s="13">
        <v>12</v>
      </c>
      <c r="R146" s="3">
        <f t="shared" si="12"/>
        <v>0</v>
      </c>
      <c r="S146" s="3">
        <f t="shared" si="13"/>
        <v>12</v>
      </c>
      <c r="T146" s="3">
        <f t="shared" si="14"/>
        <v>4579.3999999999996</v>
      </c>
      <c r="U146" s="24" t="s">
        <v>1081</v>
      </c>
      <c r="V146" s="24"/>
      <c r="W146" s="3"/>
      <c r="X146" s="3" t="s">
        <v>3016</v>
      </c>
      <c r="Y146" s="3" t="s">
        <v>4561</v>
      </c>
      <c r="Z146" s="3"/>
      <c r="AA146" s="3"/>
      <c r="AB146" s="3"/>
      <c r="AC146" s="3" t="str">
        <f>IF(Caja_Arequipa[[#This Row],[FECHA]]&gt;0,TEXT(Caja_Arequipa[[#This Row],[FECHA]],"mmmm"),0)</f>
        <v>Marzo</v>
      </c>
    </row>
    <row r="147" spans="2:29" ht="24" x14ac:dyDescent="0.3">
      <c r="B147" s="2">
        <f>IF(Caja_Arequipa[[#This Row],[TIPO DE R.]]="R",COUNTIFS($D$4:$D146,"R")+1,"")</f>
        <v>143</v>
      </c>
      <c r="C147" s="19" t="str">
        <f t="shared" si="11"/>
        <v>C-Tesoreria</v>
      </c>
      <c r="D147" s="3" t="s">
        <v>1074</v>
      </c>
      <c r="E147" s="14">
        <v>45720</v>
      </c>
      <c r="F147" s="5" t="s">
        <v>1158</v>
      </c>
      <c r="G147" s="5" t="s">
        <v>1079</v>
      </c>
      <c r="H147" s="3" t="s">
        <v>4353</v>
      </c>
      <c r="I147" s="6"/>
      <c r="J147" s="6"/>
      <c r="K147" s="6"/>
      <c r="L147" s="6"/>
      <c r="M147" s="7" t="s">
        <v>4562</v>
      </c>
      <c r="N147" s="8" t="str">
        <f>IF(Caja_Arequipa[[#This Row],[TIPO DE R.]]="R","001-"&amp;12002+B147,N146)</f>
        <v>001-12145</v>
      </c>
      <c r="O147" s="8" t="str">
        <f t="shared" si="15"/>
        <v>PEN</v>
      </c>
      <c r="P147" s="13"/>
      <c r="Q147" s="13">
        <v>2</v>
      </c>
      <c r="R147" s="3">
        <f t="shared" si="12"/>
        <v>0</v>
      </c>
      <c r="S147" s="3">
        <f t="shared" si="13"/>
        <v>2</v>
      </c>
      <c r="T147" s="3">
        <f t="shared" si="14"/>
        <v>4577.3999999999996</v>
      </c>
      <c r="U147" s="24" t="s">
        <v>1081</v>
      </c>
      <c r="V147" s="24"/>
      <c r="W147" s="3"/>
      <c r="X147" s="3" t="s">
        <v>4353</v>
      </c>
      <c r="Y147" s="3" t="s">
        <v>4563</v>
      </c>
      <c r="Z147" s="3"/>
      <c r="AA147" s="3"/>
      <c r="AB147" s="3"/>
      <c r="AC147" s="3" t="str">
        <f>IF(Caja_Arequipa[[#This Row],[FECHA]]&gt;0,TEXT(Caja_Arequipa[[#This Row],[FECHA]],"mmmm"),0)</f>
        <v>Marzo</v>
      </c>
    </row>
    <row r="148" spans="2:29" ht="24" x14ac:dyDescent="0.3">
      <c r="B148" s="2">
        <f>IF(Caja_Arequipa[[#This Row],[TIPO DE R.]]="R",COUNTIFS($D$4:$D147,"R")+1,"")</f>
        <v>144</v>
      </c>
      <c r="C148" s="19" t="str">
        <f t="shared" si="11"/>
        <v>C-Tesoreria</v>
      </c>
      <c r="D148" s="3" t="s">
        <v>1074</v>
      </c>
      <c r="E148" s="14">
        <v>45721</v>
      </c>
      <c r="F148" s="5" t="s">
        <v>1158</v>
      </c>
      <c r="G148" s="5" t="s">
        <v>1079</v>
      </c>
      <c r="H148" s="3" t="s">
        <v>4353</v>
      </c>
      <c r="I148" s="6"/>
      <c r="J148" s="6"/>
      <c r="K148" s="6"/>
      <c r="L148" s="6"/>
      <c r="M148" s="7" t="s">
        <v>4564</v>
      </c>
      <c r="N148" s="8" t="str">
        <f>IF(Caja_Arequipa[[#This Row],[TIPO DE R.]]="R","001-"&amp;12002+B148,N147)</f>
        <v>001-12146</v>
      </c>
      <c r="O148" s="8" t="str">
        <f t="shared" si="15"/>
        <v>PEN</v>
      </c>
      <c r="P148" s="13"/>
      <c r="Q148" s="13">
        <v>249</v>
      </c>
      <c r="R148" s="3">
        <f t="shared" si="12"/>
        <v>0</v>
      </c>
      <c r="S148" s="3">
        <f t="shared" si="13"/>
        <v>249</v>
      </c>
      <c r="T148" s="3">
        <f t="shared" si="14"/>
        <v>4328.3999999999996</v>
      </c>
      <c r="U148" s="24" t="s">
        <v>1081</v>
      </c>
      <c r="V148" s="24"/>
      <c r="W148" s="3"/>
      <c r="X148" s="3" t="s">
        <v>4353</v>
      </c>
      <c r="Y148" s="3" t="s">
        <v>4565</v>
      </c>
      <c r="Z148" s="3"/>
      <c r="AA148" s="3"/>
      <c r="AB148" s="3"/>
      <c r="AC148" s="3" t="str">
        <f>IF(Caja_Arequipa[[#This Row],[FECHA]]&gt;0,TEXT(Caja_Arequipa[[#This Row],[FECHA]],"mmmm"),0)</f>
        <v>Marzo</v>
      </c>
    </row>
    <row r="149" spans="2:29" x14ac:dyDescent="0.3">
      <c r="B149" s="2">
        <f>IF(Caja_Arequipa[[#This Row],[TIPO DE R.]]="R",COUNTIFS($D$4:$D148,"R")+1,"")</f>
        <v>145</v>
      </c>
      <c r="C149" s="19" t="str">
        <f t="shared" si="11"/>
        <v>C-Tesoreria</v>
      </c>
      <c r="D149" s="3" t="s">
        <v>1074</v>
      </c>
      <c r="E149" s="14">
        <v>45721</v>
      </c>
      <c r="F149" s="5" t="s">
        <v>1082</v>
      </c>
      <c r="G149" s="5" t="s">
        <v>1079</v>
      </c>
      <c r="H149" s="3" t="s">
        <v>4501</v>
      </c>
      <c r="I149" s="6"/>
      <c r="J149" s="6"/>
      <c r="K149" s="6"/>
      <c r="L149" s="6"/>
      <c r="M149" s="7" t="s">
        <v>4566</v>
      </c>
      <c r="N149" s="8" t="str">
        <f>IF(Caja_Arequipa[[#This Row],[TIPO DE R.]]="R","001-"&amp;12002+B149,N148)</f>
        <v>001-12147</v>
      </c>
      <c r="O149" s="8" t="str">
        <f t="shared" si="15"/>
        <v>PEN</v>
      </c>
      <c r="P149" s="13"/>
      <c r="Q149" s="13">
        <v>35</v>
      </c>
      <c r="R149" s="3">
        <f t="shared" si="12"/>
        <v>0</v>
      </c>
      <c r="S149" s="3">
        <f t="shared" si="13"/>
        <v>35</v>
      </c>
      <c r="T149" s="3">
        <f t="shared" si="14"/>
        <v>4293.3999999999996</v>
      </c>
      <c r="U149" s="24" t="s">
        <v>1081</v>
      </c>
      <c r="V149" s="24"/>
      <c r="W149" s="3"/>
      <c r="X149" s="3" t="s">
        <v>4501</v>
      </c>
      <c r="Y149" s="3" t="s">
        <v>4567</v>
      </c>
      <c r="Z149" s="3"/>
      <c r="AA149" s="3"/>
      <c r="AB149" s="3"/>
      <c r="AC149" s="3" t="str">
        <f>IF(Caja_Arequipa[[#This Row],[FECHA]]&gt;0,TEXT(Caja_Arequipa[[#This Row],[FECHA]],"mmmm"),0)</f>
        <v>Marzo</v>
      </c>
    </row>
    <row r="150" spans="2:29" ht="24" x14ac:dyDescent="0.3">
      <c r="B150" s="2">
        <f>IF(Caja_Arequipa[[#This Row],[TIPO DE R.]]="R",COUNTIFS($D$4:$D149,"R")+1,"")</f>
        <v>146</v>
      </c>
      <c r="C150" s="19" t="str">
        <f t="shared" si="11"/>
        <v>C-Tesoreria</v>
      </c>
      <c r="D150" s="3" t="s">
        <v>1074</v>
      </c>
      <c r="E150" s="14">
        <v>45721</v>
      </c>
      <c r="F150" s="5" t="s">
        <v>1158</v>
      </c>
      <c r="G150" s="5" t="s">
        <v>1079</v>
      </c>
      <c r="H150" s="3" t="s">
        <v>4329</v>
      </c>
      <c r="I150" s="6"/>
      <c r="J150" s="6"/>
      <c r="K150" s="6"/>
      <c r="L150" s="6"/>
      <c r="M150" s="7" t="s">
        <v>4568</v>
      </c>
      <c r="N150" s="8" t="str">
        <f>IF(Caja_Arequipa[[#This Row],[TIPO DE R.]]="R","001-"&amp;12002+B150,N149)</f>
        <v>001-12148</v>
      </c>
      <c r="O150" s="8" t="str">
        <f t="shared" si="15"/>
        <v>PEN</v>
      </c>
      <c r="P150" s="13"/>
      <c r="Q150" s="13">
        <v>10</v>
      </c>
      <c r="R150" s="3">
        <f t="shared" si="12"/>
        <v>0</v>
      </c>
      <c r="S150" s="3">
        <f t="shared" si="13"/>
        <v>10</v>
      </c>
      <c r="T150" s="3">
        <f t="shared" si="14"/>
        <v>4283.3999999999996</v>
      </c>
      <c r="U150" s="24" t="s">
        <v>1081</v>
      </c>
      <c r="V150" s="24"/>
      <c r="W150" s="3"/>
      <c r="X150" s="3" t="s">
        <v>4329</v>
      </c>
      <c r="Y150" s="3" t="s">
        <v>4569</v>
      </c>
      <c r="Z150" s="3"/>
      <c r="AA150" s="3"/>
      <c r="AB150" s="3"/>
      <c r="AC150" s="3" t="str">
        <f>IF(Caja_Arequipa[[#This Row],[FECHA]]&gt;0,TEXT(Caja_Arequipa[[#This Row],[FECHA]],"mmmm"),0)</f>
        <v>Marzo</v>
      </c>
    </row>
    <row r="151" spans="2:29" ht="36" x14ac:dyDescent="0.3">
      <c r="B151" s="2">
        <f>IF(Caja_Arequipa[[#This Row],[TIPO DE R.]]="R",COUNTIFS($D$4:$D150,"R")+1,"")</f>
        <v>147</v>
      </c>
      <c r="C151" s="19" t="str">
        <f t="shared" si="11"/>
        <v>C-Tesoreria</v>
      </c>
      <c r="D151" s="3" t="s">
        <v>1074</v>
      </c>
      <c r="E151" s="14">
        <v>45721</v>
      </c>
      <c r="F151" s="5" t="s">
        <v>1158</v>
      </c>
      <c r="G151" s="5" t="s">
        <v>1079</v>
      </c>
      <c r="H151" s="3" t="s">
        <v>4329</v>
      </c>
      <c r="I151" s="6"/>
      <c r="J151" s="6"/>
      <c r="K151" s="6"/>
      <c r="L151" s="6"/>
      <c r="M151" s="7" t="s">
        <v>4570</v>
      </c>
      <c r="N151" s="8" t="str">
        <f>IF(Caja_Arequipa[[#This Row],[TIPO DE R.]]="R","001-"&amp;12002+B151,N150)</f>
        <v>001-12149</v>
      </c>
      <c r="O151" s="8" t="str">
        <f t="shared" si="15"/>
        <v>PEN</v>
      </c>
      <c r="P151" s="13"/>
      <c r="Q151" s="13">
        <v>83.5</v>
      </c>
      <c r="R151" s="3">
        <f t="shared" si="12"/>
        <v>0</v>
      </c>
      <c r="S151" s="3">
        <f t="shared" si="13"/>
        <v>83.5</v>
      </c>
      <c r="T151" s="3">
        <f t="shared" si="14"/>
        <v>4199.8999999999996</v>
      </c>
      <c r="U151" s="24" t="s">
        <v>1081</v>
      </c>
      <c r="V151" s="24"/>
      <c r="W151" s="3"/>
      <c r="X151" s="3" t="s">
        <v>4329</v>
      </c>
      <c r="Y151" s="3" t="s">
        <v>4571</v>
      </c>
      <c r="Z151" s="3"/>
      <c r="AA151" s="3"/>
      <c r="AB151" s="3"/>
      <c r="AC151" s="3" t="str">
        <f>IF(Caja_Arequipa[[#This Row],[FECHA]]&gt;0,TEXT(Caja_Arequipa[[#This Row],[FECHA]],"mmmm"),0)</f>
        <v>Marzo</v>
      </c>
    </row>
    <row r="152" spans="2:29" ht="24" x14ac:dyDescent="0.3">
      <c r="B152" s="2">
        <f>IF(Caja_Arequipa[[#This Row],[TIPO DE R.]]="R",COUNTIFS($D$4:$D151,"R")+1,"")</f>
        <v>148</v>
      </c>
      <c r="C152" s="19" t="str">
        <f t="shared" si="11"/>
        <v>C-Tesoreria</v>
      </c>
      <c r="D152" s="3" t="s">
        <v>1074</v>
      </c>
      <c r="E152" s="14">
        <v>45721</v>
      </c>
      <c r="F152" s="5" t="s">
        <v>1158</v>
      </c>
      <c r="G152" s="5" t="s">
        <v>1079</v>
      </c>
      <c r="H152" s="3" t="s">
        <v>4329</v>
      </c>
      <c r="I152" s="6"/>
      <c r="J152" s="6"/>
      <c r="K152" s="6"/>
      <c r="L152" s="6"/>
      <c r="M152" s="7" t="s">
        <v>4572</v>
      </c>
      <c r="N152" s="8" t="str">
        <f>IF(Caja_Arequipa[[#This Row],[TIPO DE R.]]="R","001-"&amp;12002+B152,N151)</f>
        <v>001-12150</v>
      </c>
      <c r="O152" s="8" t="str">
        <f t="shared" si="15"/>
        <v>PEN</v>
      </c>
      <c r="P152" s="13"/>
      <c r="Q152" s="13">
        <v>10</v>
      </c>
      <c r="R152" s="3">
        <f t="shared" si="12"/>
        <v>0</v>
      </c>
      <c r="S152" s="3">
        <f t="shared" si="13"/>
        <v>10</v>
      </c>
      <c r="T152" s="3">
        <f t="shared" si="14"/>
        <v>4189.8999999999996</v>
      </c>
      <c r="U152" s="24" t="s">
        <v>1081</v>
      </c>
      <c r="V152" s="24"/>
      <c r="W152" s="3"/>
      <c r="X152" s="3" t="s">
        <v>4329</v>
      </c>
      <c r="Y152" s="3" t="s">
        <v>4573</v>
      </c>
      <c r="Z152" s="3"/>
      <c r="AA152" s="3"/>
      <c r="AB152" s="3"/>
      <c r="AC152" s="3" t="str">
        <f>IF(Caja_Arequipa[[#This Row],[FECHA]]&gt;0,TEXT(Caja_Arequipa[[#This Row],[FECHA]],"mmmm"),0)</f>
        <v>Marzo</v>
      </c>
    </row>
    <row r="153" spans="2:29" x14ac:dyDescent="0.3">
      <c r="B153" s="2">
        <f>IF(Caja_Arequipa[[#This Row],[TIPO DE R.]]="R",COUNTIFS($D$4:$D152,"R")+1,"")</f>
        <v>149</v>
      </c>
      <c r="C153" s="19" t="str">
        <f t="shared" si="11"/>
        <v>C-Tesoreria</v>
      </c>
      <c r="D153" s="3" t="s">
        <v>1074</v>
      </c>
      <c r="E153" s="14">
        <v>45721</v>
      </c>
      <c r="F153" s="5" t="s">
        <v>1158</v>
      </c>
      <c r="G153" s="5" t="s">
        <v>1079</v>
      </c>
      <c r="H153" s="3" t="s">
        <v>4329</v>
      </c>
      <c r="I153" s="6"/>
      <c r="J153" s="6"/>
      <c r="K153" s="6"/>
      <c r="L153" s="6"/>
      <c r="M153" s="7" t="s">
        <v>4545</v>
      </c>
      <c r="N153" s="8" t="str">
        <f>IF(Caja_Arequipa[[#This Row],[TIPO DE R.]]="R","001-"&amp;12002+B153,N152)</f>
        <v>001-12151</v>
      </c>
      <c r="O153" s="8" t="str">
        <f t="shared" si="15"/>
        <v>PEN</v>
      </c>
      <c r="P153" s="13"/>
      <c r="Q153" s="13">
        <v>13</v>
      </c>
      <c r="R153" s="3">
        <f t="shared" si="12"/>
        <v>0</v>
      </c>
      <c r="S153" s="3">
        <f t="shared" si="13"/>
        <v>13</v>
      </c>
      <c r="T153" s="3">
        <f t="shared" si="14"/>
        <v>4176.8999999999996</v>
      </c>
      <c r="U153" s="24" t="s">
        <v>1081</v>
      </c>
      <c r="V153" s="24"/>
      <c r="W153" s="3"/>
      <c r="X153" s="3" t="s">
        <v>4329</v>
      </c>
      <c r="Y153" s="3" t="s">
        <v>4574</v>
      </c>
      <c r="Z153" s="3"/>
      <c r="AA153" s="3"/>
      <c r="AB153" s="3"/>
      <c r="AC153" s="3" t="str">
        <f>IF(Caja_Arequipa[[#This Row],[FECHA]]&gt;0,TEXT(Caja_Arequipa[[#This Row],[FECHA]],"mmmm"),0)</f>
        <v>Marzo</v>
      </c>
    </row>
    <row r="154" spans="2:29" ht="36" x14ac:dyDescent="0.3">
      <c r="B154" s="2">
        <f>IF(Caja_Arequipa[[#This Row],[TIPO DE R.]]="R",COUNTIFS($D$4:$D153,"R")+1,"")</f>
        <v>150</v>
      </c>
      <c r="C154" s="19" t="str">
        <f t="shared" si="11"/>
        <v>C-Tesoreria</v>
      </c>
      <c r="D154" s="3" t="s">
        <v>1074</v>
      </c>
      <c r="E154" s="14">
        <v>45721</v>
      </c>
      <c r="F154" s="5" t="s">
        <v>1158</v>
      </c>
      <c r="G154" s="5" t="s">
        <v>1079</v>
      </c>
      <c r="H154" s="3" t="s">
        <v>3016</v>
      </c>
      <c r="I154" s="6"/>
      <c r="J154" s="6"/>
      <c r="K154" s="6"/>
      <c r="L154" s="6"/>
      <c r="M154" s="7" t="s">
        <v>4575</v>
      </c>
      <c r="N154" s="8" t="str">
        <f>IF(Caja_Arequipa[[#This Row],[TIPO DE R.]]="R","001-"&amp;12002+B154,N153)</f>
        <v>001-12152</v>
      </c>
      <c r="O154" s="8" t="str">
        <f t="shared" si="15"/>
        <v>PEN</v>
      </c>
      <c r="P154" s="13"/>
      <c r="Q154" s="13">
        <v>65.900000000000006</v>
      </c>
      <c r="R154" s="3">
        <f t="shared" si="12"/>
        <v>0</v>
      </c>
      <c r="S154" s="3">
        <f t="shared" si="13"/>
        <v>65.900000000000006</v>
      </c>
      <c r="T154" s="3">
        <f t="shared" si="14"/>
        <v>4111</v>
      </c>
      <c r="U154" s="24" t="s">
        <v>1081</v>
      </c>
      <c r="V154" s="24"/>
      <c r="W154" s="3"/>
      <c r="X154" s="3" t="s">
        <v>3016</v>
      </c>
      <c r="Y154" s="3" t="s">
        <v>4576</v>
      </c>
      <c r="Z154" s="3"/>
      <c r="AA154" s="3"/>
      <c r="AB154" s="3"/>
      <c r="AC154" s="3" t="str">
        <f>IF(Caja_Arequipa[[#This Row],[FECHA]]&gt;0,TEXT(Caja_Arequipa[[#This Row],[FECHA]],"mmmm"),0)</f>
        <v>Marzo</v>
      </c>
    </row>
    <row r="155" spans="2:29" x14ac:dyDescent="0.3">
      <c r="B155" s="2">
        <f>IF(Caja_Arequipa[[#This Row],[TIPO DE R.]]="R",COUNTIFS($D$4:$D154,"R")+1,"")</f>
        <v>151</v>
      </c>
      <c r="C155" s="19" t="str">
        <f t="shared" si="11"/>
        <v>C-Tesoreria</v>
      </c>
      <c r="D155" s="3" t="s">
        <v>1074</v>
      </c>
      <c r="E155" s="14">
        <v>45721</v>
      </c>
      <c r="F155" s="5" t="s">
        <v>1158</v>
      </c>
      <c r="G155" s="5" t="s">
        <v>1079</v>
      </c>
      <c r="H155" s="3" t="s">
        <v>3016</v>
      </c>
      <c r="I155" s="6"/>
      <c r="J155" s="6"/>
      <c r="K155" s="6"/>
      <c r="L155" s="6"/>
      <c r="M155" s="7" t="s">
        <v>4577</v>
      </c>
      <c r="N155" s="8" t="str">
        <f>IF(Caja_Arequipa[[#This Row],[TIPO DE R.]]="R","001-"&amp;12002+B155,N154)</f>
        <v>001-12153</v>
      </c>
      <c r="O155" s="8" t="str">
        <f t="shared" si="15"/>
        <v>PEN</v>
      </c>
      <c r="P155" s="13"/>
      <c r="Q155" s="13">
        <v>38</v>
      </c>
      <c r="R155" s="3">
        <f t="shared" si="12"/>
        <v>0</v>
      </c>
      <c r="S155" s="3">
        <f t="shared" si="13"/>
        <v>38</v>
      </c>
      <c r="T155" s="3">
        <f t="shared" si="14"/>
        <v>4073</v>
      </c>
      <c r="U155" s="24" t="s">
        <v>1081</v>
      </c>
      <c r="V155" s="24"/>
      <c r="W155" s="3"/>
      <c r="X155" s="3" t="s">
        <v>3016</v>
      </c>
      <c r="Y155" s="3" t="s">
        <v>4578</v>
      </c>
      <c r="Z155" s="3"/>
      <c r="AA155" s="3"/>
      <c r="AB155" s="3"/>
      <c r="AC155" s="3" t="str">
        <f>IF(Caja_Arequipa[[#This Row],[FECHA]]&gt;0,TEXT(Caja_Arequipa[[#This Row],[FECHA]],"mmmm"),0)</f>
        <v>Marzo</v>
      </c>
    </row>
    <row r="156" spans="2:29" x14ac:dyDescent="0.3">
      <c r="B156" s="2">
        <f>IF(Caja_Arequipa[[#This Row],[TIPO DE R.]]="R",COUNTIFS($D$4:$D155,"R")+1,"")</f>
        <v>152</v>
      </c>
      <c r="C156" s="19" t="str">
        <f t="shared" si="11"/>
        <v>C-Tesoreria</v>
      </c>
      <c r="D156" s="3" t="s">
        <v>1074</v>
      </c>
      <c r="E156" s="14">
        <v>45721</v>
      </c>
      <c r="F156" s="5" t="s">
        <v>1158</v>
      </c>
      <c r="G156" s="5" t="s">
        <v>1079</v>
      </c>
      <c r="H156" s="3" t="s">
        <v>3016</v>
      </c>
      <c r="I156" s="6"/>
      <c r="J156" s="6"/>
      <c r="K156" s="6"/>
      <c r="L156" s="6"/>
      <c r="M156" s="7" t="s">
        <v>4579</v>
      </c>
      <c r="N156" s="8" t="str">
        <f>IF(Caja_Arequipa[[#This Row],[TIPO DE R.]]="R","001-"&amp;12002+B156,N155)</f>
        <v>001-12154</v>
      </c>
      <c r="O156" s="8" t="str">
        <f t="shared" si="15"/>
        <v>PEN</v>
      </c>
      <c r="P156" s="13"/>
      <c r="Q156" s="13">
        <v>8</v>
      </c>
      <c r="R156" s="3">
        <f t="shared" si="12"/>
        <v>0</v>
      </c>
      <c r="S156" s="3">
        <f t="shared" si="13"/>
        <v>8</v>
      </c>
      <c r="T156" s="3">
        <f t="shared" si="14"/>
        <v>4065</v>
      </c>
      <c r="U156" s="24" t="s">
        <v>1081</v>
      </c>
      <c r="V156" s="24"/>
      <c r="W156" s="3"/>
      <c r="X156" s="3" t="s">
        <v>3016</v>
      </c>
      <c r="Y156" s="3" t="s">
        <v>4580</v>
      </c>
      <c r="Z156" s="3"/>
      <c r="AA156" s="3"/>
      <c r="AB156" s="3"/>
      <c r="AC156" s="3" t="str">
        <f>IF(Caja_Arequipa[[#This Row],[FECHA]]&gt;0,TEXT(Caja_Arequipa[[#This Row],[FECHA]],"mmmm"),0)</f>
        <v>Marzo</v>
      </c>
    </row>
    <row r="157" spans="2:29" ht="24" x14ac:dyDescent="0.3">
      <c r="B157" s="2">
        <f>IF(Caja_Arequipa[[#This Row],[TIPO DE R.]]="R",COUNTIFS($D$4:$D156,"R")+1,"")</f>
        <v>153</v>
      </c>
      <c r="C157" s="19" t="str">
        <f t="shared" si="11"/>
        <v>C-Tesoreria</v>
      </c>
      <c r="D157" s="3" t="s">
        <v>1074</v>
      </c>
      <c r="E157" s="14">
        <v>45721</v>
      </c>
      <c r="F157" s="5" t="s">
        <v>1158</v>
      </c>
      <c r="G157" s="5" t="s">
        <v>1079</v>
      </c>
      <c r="H157" s="3" t="s">
        <v>4357</v>
      </c>
      <c r="I157" s="6"/>
      <c r="J157" s="6"/>
      <c r="K157" s="6"/>
      <c r="L157" s="6"/>
      <c r="M157" s="7" t="s">
        <v>4581</v>
      </c>
      <c r="N157" s="8" t="str">
        <f>IF(Caja_Arequipa[[#This Row],[TIPO DE R.]]="R","001-"&amp;12002+B157,N156)</f>
        <v>001-12155</v>
      </c>
      <c r="O157" s="8" t="str">
        <f t="shared" si="15"/>
        <v>PEN</v>
      </c>
      <c r="P157" s="13"/>
      <c r="Q157" s="13">
        <v>12</v>
      </c>
      <c r="R157" s="3">
        <f t="shared" si="12"/>
        <v>0</v>
      </c>
      <c r="S157" s="3">
        <f t="shared" si="13"/>
        <v>12</v>
      </c>
      <c r="T157" s="3">
        <f t="shared" si="14"/>
        <v>4053</v>
      </c>
      <c r="U157" s="24" t="s">
        <v>1081</v>
      </c>
      <c r="V157" s="24"/>
      <c r="W157" s="3"/>
      <c r="X157" s="3" t="s">
        <v>4357</v>
      </c>
      <c r="Y157" s="3" t="s">
        <v>4582</v>
      </c>
      <c r="Z157" s="3"/>
      <c r="AA157" s="3"/>
      <c r="AB157" s="3"/>
      <c r="AC157" s="3" t="str">
        <f>IF(Caja_Arequipa[[#This Row],[FECHA]]&gt;0,TEXT(Caja_Arequipa[[#This Row],[FECHA]],"mmmm"),0)</f>
        <v>Marzo</v>
      </c>
    </row>
    <row r="158" spans="2:29" x14ac:dyDescent="0.3">
      <c r="B158" s="2">
        <f>IF(Caja_Arequipa[[#This Row],[TIPO DE R.]]="R",COUNTIFS($D$4:$D157,"R")+1,"")</f>
        <v>154</v>
      </c>
      <c r="C158" s="19" t="str">
        <f t="shared" si="11"/>
        <v>C-Tesoreria</v>
      </c>
      <c r="D158" s="3" t="s">
        <v>1074</v>
      </c>
      <c r="E158" s="14">
        <v>45721</v>
      </c>
      <c r="F158" s="5" t="s">
        <v>1158</v>
      </c>
      <c r="G158" s="5" t="s">
        <v>1079</v>
      </c>
      <c r="H158" s="3" t="s">
        <v>4357</v>
      </c>
      <c r="I158" s="6"/>
      <c r="J158" s="6"/>
      <c r="K158" s="6"/>
      <c r="L158" s="6"/>
      <c r="M158" s="7" t="s">
        <v>4583</v>
      </c>
      <c r="N158" s="8" t="str">
        <f>IF(Caja_Arequipa[[#This Row],[TIPO DE R.]]="R","001-"&amp;12002+B158,N157)</f>
        <v>001-12156</v>
      </c>
      <c r="O158" s="8" t="str">
        <f t="shared" si="15"/>
        <v>PEN</v>
      </c>
      <c r="P158" s="13"/>
      <c r="Q158" s="13">
        <v>14.9</v>
      </c>
      <c r="R158" s="3">
        <f t="shared" si="12"/>
        <v>0</v>
      </c>
      <c r="S158" s="3">
        <f t="shared" si="13"/>
        <v>14.9</v>
      </c>
      <c r="T158" s="3">
        <f t="shared" si="14"/>
        <v>4038.1</v>
      </c>
      <c r="U158" s="24" t="s">
        <v>1081</v>
      </c>
      <c r="V158" s="24"/>
      <c r="W158" s="3"/>
      <c r="X158" s="3" t="s">
        <v>4357</v>
      </c>
      <c r="Y158" s="3" t="s">
        <v>4584</v>
      </c>
      <c r="Z158" s="3"/>
      <c r="AA158" s="3"/>
      <c r="AB158" s="3"/>
      <c r="AC158" s="3" t="str">
        <f>IF(Caja_Arequipa[[#This Row],[FECHA]]&gt;0,TEXT(Caja_Arequipa[[#This Row],[FECHA]],"mmmm"),0)</f>
        <v>Marzo</v>
      </c>
    </row>
    <row r="159" spans="2:29" x14ac:dyDescent="0.3">
      <c r="B159" s="2">
        <f>IF(Caja_Arequipa[[#This Row],[TIPO DE R.]]="R",COUNTIFS($D$4:$D158,"R")+1,"")</f>
        <v>155</v>
      </c>
      <c r="C159" s="19" t="str">
        <f t="shared" si="11"/>
        <v>C-Tesoreria</v>
      </c>
      <c r="D159" s="3" t="s">
        <v>1074</v>
      </c>
      <c r="E159" s="14">
        <v>45721</v>
      </c>
      <c r="F159" s="5" t="s">
        <v>1158</v>
      </c>
      <c r="G159" s="5" t="s">
        <v>1079</v>
      </c>
      <c r="H159" s="3" t="s">
        <v>4353</v>
      </c>
      <c r="I159" s="6"/>
      <c r="J159" s="6"/>
      <c r="K159" s="6"/>
      <c r="L159" s="6"/>
      <c r="M159" s="7" t="s">
        <v>4585</v>
      </c>
      <c r="N159" s="8" t="str">
        <f>IF(Caja_Arequipa[[#This Row],[TIPO DE R.]]="R","001-"&amp;12002+B159,N158)</f>
        <v>001-12157</v>
      </c>
      <c r="O159" s="8" t="str">
        <f t="shared" si="15"/>
        <v>PEN</v>
      </c>
      <c r="P159" s="13"/>
      <c r="Q159" s="13">
        <v>134</v>
      </c>
      <c r="R159" s="3">
        <f t="shared" si="12"/>
        <v>0</v>
      </c>
      <c r="S159" s="3">
        <f t="shared" si="13"/>
        <v>134</v>
      </c>
      <c r="T159" s="3">
        <f t="shared" si="14"/>
        <v>3904.1</v>
      </c>
      <c r="U159" s="24" t="s">
        <v>1081</v>
      </c>
      <c r="V159" s="24"/>
      <c r="W159" s="3"/>
      <c r="X159" s="3" t="s">
        <v>4353</v>
      </c>
      <c r="Y159" s="3" t="s">
        <v>4586</v>
      </c>
      <c r="Z159" s="3"/>
      <c r="AA159" s="3"/>
      <c r="AB159" s="3"/>
      <c r="AC159" s="3" t="str">
        <f>IF(Caja_Arequipa[[#This Row],[FECHA]]&gt;0,TEXT(Caja_Arequipa[[#This Row],[FECHA]],"mmmm"),0)</f>
        <v>Marzo</v>
      </c>
    </row>
    <row r="160" spans="2:29" x14ac:dyDescent="0.3">
      <c r="B160" s="2">
        <f>IF(Caja_Arequipa[[#This Row],[TIPO DE R.]]="R",COUNTIFS($D$4:$D159,"R")+1,"")</f>
        <v>156</v>
      </c>
      <c r="C160" s="19" t="str">
        <f t="shared" si="11"/>
        <v>C-Tesoreria</v>
      </c>
      <c r="D160" s="3" t="s">
        <v>1074</v>
      </c>
      <c r="E160" s="14">
        <v>45722</v>
      </c>
      <c r="F160" s="5" t="s">
        <v>1158</v>
      </c>
      <c r="G160" s="5" t="s">
        <v>1079</v>
      </c>
      <c r="H160" s="3" t="s">
        <v>4506</v>
      </c>
      <c r="I160" s="6"/>
      <c r="J160" s="6"/>
      <c r="K160" s="6"/>
      <c r="L160" s="6"/>
      <c r="M160" s="7" t="s">
        <v>4587</v>
      </c>
      <c r="N160" s="8" t="str">
        <f>IF(Caja_Arequipa[[#This Row],[TIPO DE R.]]="R","001-"&amp;12002+B160,N159)</f>
        <v>001-12158</v>
      </c>
      <c r="O160" s="8" t="str">
        <f t="shared" si="15"/>
        <v>PEN</v>
      </c>
      <c r="P160" s="13"/>
      <c r="Q160" s="13">
        <v>5</v>
      </c>
      <c r="R160" s="3">
        <f t="shared" si="12"/>
        <v>0</v>
      </c>
      <c r="S160" s="3">
        <f t="shared" si="13"/>
        <v>5</v>
      </c>
      <c r="T160" s="3">
        <f t="shared" si="14"/>
        <v>3899.1</v>
      </c>
      <c r="U160" s="24" t="s">
        <v>1081</v>
      </c>
      <c r="V160" s="24"/>
      <c r="W160" s="3"/>
      <c r="X160" s="3" t="s">
        <v>4506</v>
      </c>
      <c r="Y160" s="3" t="s">
        <v>4588</v>
      </c>
      <c r="Z160" s="3"/>
      <c r="AA160" s="3"/>
      <c r="AB160" s="3"/>
      <c r="AC160" s="3" t="str">
        <f>IF(Caja_Arequipa[[#This Row],[FECHA]]&gt;0,TEXT(Caja_Arequipa[[#This Row],[FECHA]],"mmmm"),0)</f>
        <v>Marzo</v>
      </c>
    </row>
    <row r="161" spans="2:29" x14ac:dyDescent="0.3">
      <c r="B161" s="2">
        <f>IF(Caja_Arequipa[[#This Row],[TIPO DE R.]]="R",COUNTIFS($D$4:$D160,"R")+1,"")</f>
        <v>157</v>
      </c>
      <c r="C161" s="19" t="str">
        <f t="shared" si="11"/>
        <v>C-Tesoreria</v>
      </c>
      <c r="D161" s="3" t="s">
        <v>1074</v>
      </c>
      <c r="E161" s="14">
        <v>45722</v>
      </c>
      <c r="F161" s="5" t="s">
        <v>1158</v>
      </c>
      <c r="G161" s="5" t="s">
        <v>1079</v>
      </c>
      <c r="H161" s="3" t="s">
        <v>4506</v>
      </c>
      <c r="I161" s="6"/>
      <c r="J161" s="6"/>
      <c r="K161" s="6"/>
      <c r="L161" s="6"/>
      <c r="M161" s="7" t="s">
        <v>4589</v>
      </c>
      <c r="N161" s="8" t="str">
        <f>IF(Caja_Arequipa[[#This Row],[TIPO DE R.]]="R","001-"&amp;12002+B161,N160)</f>
        <v>001-12159</v>
      </c>
      <c r="O161" s="8" t="str">
        <f t="shared" si="15"/>
        <v>PEN</v>
      </c>
      <c r="P161" s="13"/>
      <c r="Q161" s="13">
        <v>44</v>
      </c>
      <c r="R161" s="3">
        <f t="shared" si="12"/>
        <v>0</v>
      </c>
      <c r="S161" s="3">
        <f t="shared" si="13"/>
        <v>44</v>
      </c>
      <c r="T161" s="3">
        <f t="shared" si="14"/>
        <v>3855.1</v>
      </c>
      <c r="U161" s="24" t="s">
        <v>1081</v>
      </c>
      <c r="V161" s="24"/>
      <c r="W161" s="3"/>
      <c r="X161" s="3" t="s">
        <v>4506</v>
      </c>
      <c r="Y161" s="3" t="s">
        <v>4590</v>
      </c>
      <c r="Z161" s="3"/>
      <c r="AA161" s="3"/>
      <c r="AB161" s="3"/>
      <c r="AC161" s="3" t="str">
        <f>IF(Caja_Arequipa[[#This Row],[FECHA]]&gt;0,TEXT(Caja_Arequipa[[#This Row],[FECHA]],"mmmm"),0)</f>
        <v>Marzo</v>
      </c>
    </row>
    <row r="162" spans="2:29" x14ac:dyDescent="0.3">
      <c r="B162" s="2">
        <f>IF(Caja_Arequipa[[#This Row],[TIPO DE R.]]="R",COUNTIFS($D$4:$D161,"R")+1,"")</f>
        <v>158</v>
      </c>
      <c r="C162" s="19" t="str">
        <f t="shared" si="11"/>
        <v>C-Tesoreria</v>
      </c>
      <c r="D162" s="3" t="s">
        <v>1074</v>
      </c>
      <c r="E162" s="14">
        <v>45722</v>
      </c>
      <c r="F162" s="5" t="s">
        <v>1158</v>
      </c>
      <c r="G162" s="5" t="s">
        <v>1079</v>
      </c>
      <c r="H162" s="3" t="s">
        <v>4506</v>
      </c>
      <c r="I162" s="6"/>
      <c r="J162" s="6"/>
      <c r="K162" s="6"/>
      <c r="L162" s="6"/>
      <c r="M162" s="7" t="s">
        <v>4591</v>
      </c>
      <c r="N162" s="8" t="str">
        <f>IF(Caja_Arequipa[[#This Row],[TIPO DE R.]]="R","001-"&amp;12002+B162,N161)</f>
        <v>001-12160</v>
      </c>
      <c r="O162" s="8" t="str">
        <f t="shared" si="15"/>
        <v>PEN</v>
      </c>
      <c r="P162" s="13"/>
      <c r="Q162" s="13">
        <v>44</v>
      </c>
      <c r="R162" s="3">
        <f t="shared" si="12"/>
        <v>0</v>
      </c>
      <c r="S162" s="3">
        <f t="shared" si="13"/>
        <v>44</v>
      </c>
      <c r="T162" s="3">
        <f t="shared" si="14"/>
        <v>3811.1</v>
      </c>
      <c r="U162" s="24" t="s">
        <v>1081</v>
      </c>
      <c r="V162" s="24"/>
      <c r="W162" s="3"/>
      <c r="X162" s="3" t="s">
        <v>4506</v>
      </c>
      <c r="Y162" s="3" t="s">
        <v>4592</v>
      </c>
      <c r="Z162" s="3"/>
      <c r="AA162" s="3"/>
      <c r="AB162" s="3"/>
      <c r="AC162" s="3" t="str">
        <f>IF(Caja_Arequipa[[#This Row],[FECHA]]&gt;0,TEXT(Caja_Arequipa[[#This Row],[FECHA]],"mmmm"),0)</f>
        <v>Marzo</v>
      </c>
    </row>
    <row r="163" spans="2:29" x14ac:dyDescent="0.3">
      <c r="B163" s="2">
        <f>IF(Caja_Arequipa[[#This Row],[TIPO DE R.]]="R",COUNTIFS($D$4:$D162,"R")+1,"")</f>
        <v>159</v>
      </c>
      <c r="C163" s="19" t="str">
        <f t="shared" si="11"/>
        <v>C-Tesoreria</v>
      </c>
      <c r="D163" s="3" t="s">
        <v>1074</v>
      </c>
      <c r="E163" s="14">
        <v>45722</v>
      </c>
      <c r="F163" s="5" t="s">
        <v>1158</v>
      </c>
      <c r="G163" s="5" t="s">
        <v>1079</v>
      </c>
      <c r="H163" s="3" t="s">
        <v>4506</v>
      </c>
      <c r="I163" s="6"/>
      <c r="J163" s="6"/>
      <c r="K163" s="6"/>
      <c r="L163" s="6"/>
      <c r="M163" s="7" t="s">
        <v>4593</v>
      </c>
      <c r="N163" s="8" t="str">
        <f>IF(Caja_Arequipa[[#This Row],[TIPO DE R.]]="R","001-"&amp;12002+B163,N162)</f>
        <v>001-12161</v>
      </c>
      <c r="O163" s="8" t="str">
        <f t="shared" si="15"/>
        <v>PEN</v>
      </c>
      <c r="P163" s="13"/>
      <c r="Q163" s="13">
        <v>3</v>
      </c>
      <c r="R163" s="3">
        <f t="shared" si="12"/>
        <v>0</v>
      </c>
      <c r="S163" s="3">
        <f t="shared" si="13"/>
        <v>3</v>
      </c>
      <c r="T163" s="3">
        <f t="shared" si="14"/>
        <v>3808.1</v>
      </c>
      <c r="U163" s="24" t="s">
        <v>1081</v>
      </c>
      <c r="V163" s="24"/>
      <c r="W163" s="3"/>
      <c r="X163" s="3" t="s">
        <v>4506</v>
      </c>
      <c r="Y163" s="3" t="s">
        <v>4594</v>
      </c>
      <c r="Z163" s="3"/>
      <c r="AA163" s="3"/>
      <c r="AB163" s="3"/>
      <c r="AC163" s="3" t="str">
        <f>IF(Caja_Arequipa[[#This Row],[FECHA]]&gt;0,TEXT(Caja_Arequipa[[#This Row],[FECHA]],"mmmm"),0)</f>
        <v>Marzo</v>
      </c>
    </row>
    <row r="164" spans="2:29" x14ac:dyDescent="0.3">
      <c r="B164" s="2">
        <f>IF(Caja_Arequipa[[#This Row],[TIPO DE R.]]="R",COUNTIFS($D$4:$D163,"R")+1,"")</f>
        <v>160</v>
      </c>
      <c r="C164" s="19" t="str">
        <f t="shared" si="11"/>
        <v>C-Tesoreria</v>
      </c>
      <c r="D164" s="3" t="s">
        <v>1074</v>
      </c>
      <c r="E164" s="14">
        <v>45722</v>
      </c>
      <c r="F164" s="5" t="s">
        <v>1158</v>
      </c>
      <c r="G164" s="5" t="s">
        <v>1079</v>
      </c>
      <c r="H164" s="3" t="s">
        <v>4506</v>
      </c>
      <c r="I164" s="6"/>
      <c r="J164" s="6"/>
      <c r="K164" s="6"/>
      <c r="L164" s="6"/>
      <c r="M164" s="7" t="s">
        <v>4595</v>
      </c>
      <c r="N164" s="8" t="str">
        <f>IF(Caja_Arequipa[[#This Row],[TIPO DE R.]]="R","001-"&amp;12002+B164,N163)</f>
        <v>001-12162</v>
      </c>
      <c r="O164" s="8" t="str">
        <f t="shared" si="15"/>
        <v>PEN</v>
      </c>
      <c r="P164" s="13"/>
      <c r="Q164" s="13">
        <v>107.7</v>
      </c>
      <c r="R164" s="3">
        <f t="shared" si="12"/>
        <v>0</v>
      </c>
      <c r="S164" s="3">
        <f t="shared" si="13"/>
        <v>107.7</v>
      </c>
      <c r="T164" s="3">
        <f t="shared" si="14"/>
        <v>3700.4</v>
      </c>
      <c r="U164" s="24" t="s">
        <v>1081</v>
      </c>
      <c r="V164" s="24"/>
      <c r="W164" s="3"/>
      <c r="X164" s="3" t="s">
        <v>4506</v>
      </c>
      <c r="Y164" s="3" t="s">
        <v>4596</v>
      </c>
      <c r="Z164" s="3"/>
      <c r="AA164" s="3"/>
      <c r="AB164" s="3"/>
      <c r="AC164" s="3" t="str">
        <f>IF(Caja_Arequipa[[#This Row],[FECHA]]&gt;0,TEXT(Caja_Arequipa[[#This Row],[FECHA]],"mmmm"),0)</f>
        <v>Marzo</v>
      </c>
    </row>
    <row r="165" spans="2:29" x14ac:dyDescent="0.3">
      <c r="B165" s="2">
        <f>IF(Caja_Arequipa[[#This Row],[TIPO DE R.]]="R",COUNTIFS($D$4:$D164,"R")+1,"")</f>
        <v>161</v>
      </c>
      <c r="C165" s="19" t="str">
        <f t="shared" si="11"/>
        <v>C-Tesoreria</v>
      </c>
      <c r="D165" s="3" t="s">
        <v>1074</v>
      </c>
      <c r="E165" s="14">
        <v>45722</v>
      </c>
      <c r="F165" s="5" t="s">
        <v>1158</v>
      </c>
      <c r="G165" s="5" t="s">
        <v>1079</v>
      </c>
      <c r="H165" s="3" t="s">
        <v>4506</v>
      </c>
      <c r="I165" s="6"/>
      <c r="J165" s="6"/>
      <c r="K165" s="6"/>
      <c r="L165" s="6"/>
      <c r="M165" s="7" t="s">
        <v>4597</v>
      </c>
      <c r="N165" s="8" t="str">
        <f>IF(Caja_Arequipa[[#This Row],[TIPO DE R.]]="R","001-"&amp;12002+B165,N164)</f>
        <v>001-12163</v>
      </c>
      <c r="O165" s="8" t="str">
        <f t="shared" si="15"/>
        <v>PEN</v>
      </c>
      <c r="P165" s="13"/>
      <c r="Q165" s="13">
        <v>145.9</v>
      </c>
      <c r="R165" s="3">
        <f t="shared" si="12"/>
        <v>0</v>
      </c>
      <c r="S165" s="3">
        <f t="shared" si="13"/>
        <v>145.9</v>
      </c>
      <c r="T165" s="3">
        <f t="shared" si="14"/>
        <v>3554.5</v>
      </c>
      <c r="U165" s="24" t="s">
        <v>1081</v>
      </c>
      <c r="V165" s="24"/>
      <c r="W165" s="3"/>
      <c r="X165" s="3" t="s">
        <v>4506</v>
      </c>
      <c r="Y165" s="3" t="s">
        <v>4598</v>
      </c>
      <c r="Z165" s="3"/>
      <c r="AA165" s="3"/>
      <c r="AB165" s="3"/>
      <c r="AC165" s="3" t="str">
        <f>IF(Caja_Arequipa[[#This Row],[FECHA]]&gt;0,TEXT(Caja_Arequipa[[#This Row],[FECHA]],"mmmm"),0)</f>
        <v>Marzo</v>
      </c>
    </row>
    <row r="166" spans="2:29" x14ac:dyDescent="0.3">
      <c r="B166" s="2">
        <f>IF(Caja_Arequipa[[#This Row],[TIPO DE R.]]="R",COUNTIFS($D$4:$D165,"R")+1,"")</f>
        <v>162</v>
      </c>
      <c r="C166" s="19" t="str">
        <f t="shared" si="11"/>
        <v>C-Tesoreria</v>
      </c>
      <c r="D166" s="3" t="s">
        <v>1074</v>
      </c>
      <c r="E166" s="14">
        <v>45722</v>
      </c>
      <c r="F166" s="5" t="s">
        <v>1158</v>
      </c>
      <c r="G166" s="5" t="s">
        <v>1079</v>
      </c>
      <c r="H166" s="3" t="s">
        <v>4506</v>
      </c>
      <c r="I166" s="6"/>
      <c r="J166" s="6"/>
      <c r="K166" s="6"/>
      <c r="L166" s="6"/>
      <c r="M166" s="7" t="s">
        <v>4599</v>
      </c>
      <c r="N166" s="8" t="str">
        <f>IF(Caja_Arequipa[[#This Row],[TIPO DE R.]]="R","001-"&amp;12002+B166,N165)</f>
        <v>001-12164</v>
      </c>
      <c r="O166" s="8" t="str">
        <f t="shared" si="15"/>
        <v>PEN</v>
      </c>
      <c r="P166" s="13"/>
      <c r="Q166" s="13">
        <v>16</v>
      </c>
      <c r="R166" s="3">
        <f t="shared" si="12"/>
        <v>0</v>
      </c>
      <c r="S166" s="3">
        <f t="shared" si="13"/>
        <v>16</v>
      </c>
      <c r="T166" s="3">
        <f t="shared" si="14"/>
        <v>3538.5</v>
      </c>
      <c r="U166" s="24" t="s">
        <v>1081</v>
      </c>
      <c r="V166" s="24"/>
      <c r="W166" s="3"/>
      <c r="X166" s="3" t="s">
        <v>4506</v>
      </c>
      <c r="Y166" s="3" t="s">
        <v>4600</v>
      </c>
      <c r="Z166" s="3"/>
      <c r="AA166" s="3"/>
      <c r="AB166" s="3"/>
      <c r="AC166" s="3" t="str">
        <f>IF(Caja_Arequipa[[#This Row],[FECHA]]&gt;0,TEXT(Caja_Arequipa[[#This Row],[FECHA]],"mmmm"),0)</f>
        <v>Marzo</v>
      </c>
    </row>
    <row r="167" spans="2:29" x14ac:dyDescent="0.3">
      <c r="B167" s="2">
        <f>IF(Caja_Arequipa[[#This Row],[TIPO DE R.]]="R",COUNTIFS($D$4:$D166,"R")+1,"")</f>
        <v>163</v>
      </c>
      <c r="C167" s="19" t="str">
        <f t="shared" si="11"/>
        <v>C-Tesoreria</v>
      </c>
      <c r="D167" s="3" t="s">
        <v>1074</v>
      </c>
      <c r="E167" s="14">
        <v>45722</v>
      </c>
      <c r="F167" s="5" t="s">
        <v>1158</v>
      </c>
      <c r="G167" s="5" t="s">
        <v>1079</v>
      </c>
      <c r="H167" s="3" t="s">
        <v>4506</v>
      </c>
      <c r="I167" s="6"/>
      <c r="J167" s="6"/>
      <c r="K167" s="6"/>
      <c r="L167" s="6"/>
      <c r="M167" s="7" t="s">
        <v>4601</v>
      </c>
      <c r="N167" s="8" t="str">
        <f>IF(Caja_Arequipa[[#This Row],[TIPO DE R.]]="R","001-"&amp;12002+B167,N166)</f>
        <v>001-12165</v>
      </c>
      <c r="O167" s="8" t="str">
        <f t="shared" si="15"/>
        <v>PEN</v>
      </c>
      <c r="P167" s="13"/>
      <c r="Q167" s="13">
        <v>30</v>
      </c>
      <c r="R167" s="3">
        <f t="shared" si="12"/>
        <v>0</v>
      </c>
      <c r="S167" s="3">
        <f t="shared" si="13"/>
        <v>30</v>
      </c>
      <c r="T167" s="3">
        <f t="shared" si="14"/>
        <v>3508.5</v>
      </c>
      <c r="U167" s="24" t="s">
        <v>1081</v>
      </c>
      <c r="V167" s="24"/>
      <c r="W167" s="3"/>
      <c r="X167" s="3" t="s">
        <v>4506</v>
      </c>
      <c r="Y167" s="3" t="s">
        <v>4602</v>
      </c>
      <c r="Z167" s="3"/>
      <c r="AA167" s="3"/>
      <c r="AB167" s="3"/>
      <c r="AC167" s="3" t="str">
        <f>IF(Caja_Arequipa[[#This Row],[FECHA]]&gt;0,TEXT(Caja_Arequipa[[#This Row],[FECHA]],"mmmm"),0)</f>
        <v>Marzo</v>
      </c>
    </row>
    <row r="168" spans="2:29" x14ac:dyDescent="0.3">
      <c r="B168" s="2">
        <f>IF(Caja_Arequipa[[#This Row],[TIPO DE R.]]="R",COUNTIFS($D$4:$D167,"R")+1,"")</f>
        <v>164</v>
      </c>
      <c r="C168" s="19" t="str">
        <f t="shared" si="11"/>
        <v>C-Tesoreria</v>
      </c>
      <c r="D168" s="3" t="s">
        <v>1074</v>
      </c>
      <c r="E168" s="14">
        <v>45722</v>
      </c>
      <c r="F168" s="5" t="s">
        <v>1158</v>
      </c>
      <c r="G168" s="5" t="s">
        <v>1079</v>
      </c>
      <c r="H168" s="3" t="s">
        <v>4353</v>
      </c>
      <c r="I168" s="6"/>
      <c r="J168" s="6"/>
      <c r="K168" s="6"/>
      <c r="L168" s="6"/>
      <c r="M168" s="7" t="s">
        <v>4603</v>
      </c>
      <c r="N168" s="8" t="str">
        <f>IF(Caja_Arequipa[[#This Row],[TIPO DE R.]]="R","001-"&amp;12002+B168,N167)</f>
        <v>001-12166</v>
      </c>
      <c r="O168" s="8" t="str">
        <f t="shared" si="15"/>
        <v>PEN</v>
      </c>
      <c r="P168" s="13"/>
      <c r="Q168" s="13">
        <v>10</v>
      </c>
      <c r="R168" s="3">
        <f t="shared" si="12"/>
        <v>0</v>
      </c>
      <c r="S168" s="3">
        <f t="shared" si="13"/>
        <v>10</v>
      </c>
      <c r="T168" s="3">
        <f t="shared" si="14"/>
        <v>3498.5</v>
      </c>
      <c r="U168" s="24" t="s">
        <v>1081</v>
      </c>
      <c r="V168" s="24"/>
      <c r="W168" s="3"/>
      <c r="X168" s="3" t="s">
        <v>4353</v>
      </c>
      <c r="Y168" s="3" t="s">
        <v>4604</v>
      </c>
      <c r="Z168" s="3"/>
      <c r="AA168" s="3"/>
      <c r="AB168" s="3"/>
      <c r="AC168" s="3" t="str">
        <f>IF(Caja_Arequipa[[#This Row],[FECHA]]&gt;0,TEXT(Caja_Arequipa[[#This Row],[FECHA]],"mmmm"),0)</f>
        <v>Marzo</v>
      </c>
    </row>
    <row r="169" spans="2:29" x14ac:dyDescent="0.3">
      <c r="B169" s="2">
        <f>IF(Caja_Arequipa[[#This Row],[TIPO DE R.]]="R",COUNTIFS($D$4:$D168,"R")+1,"")</f>
        <v>165</v>
      </c>
      <c r="C169" s="19" t="str">
        <f t="shared" si="11"/>
        <v>C-Tesoreria</v>
      </c>
      <c r="D169" s="3" t="s">
        <v>1074</v>
      </c>
      <c r="E169" s="14">
        <v>45722</v>
      </c>
      <c r="F169" s="5" t="s">
        <v>1158</v>
      </c>
      <c r="G169" s="5" t="s">
        <v>1079</v>
      </c>
      <c r="H169" s="3" t="s">
        <v>4314</v>
      </c>
      <c r="I169" s="6"/>
      <c r="J169" s="6"/>
      <c r="K169" s="6"/>
      <c r="L169" s="6"/>
      <c r="M169" s="7" t="s">
        <v>4605</v>
      </c>
      <c r="N169" s="8" t="str">
        <f>IF(Caja_Arequipa[[#This Row],[TIPO DE R.]]="R","001-"&amp;12002+B169,N168)</f>
        <v>001-12167</v>
      </c>
      <c r="O169" s="8" t="str">
        <f t="shared" si="15"/>
        <v>PEN</v>
      </c>
      <c r="P169" s="13"/>
      <c r="Q169" s="13">
        <v>5</v>
      </c>
      <c r="R169" s="3">
        <f t="shared" si="12"/>
        <v>0</v>
      </c>
      <c r="S169" s="3">
        <f t="shared" si="13"/>
        <v>5</v>
      </c>
      <c r="T169" s="3">
        <f t="shared" si="14"/>
        <v>3493.5</v>
      </c>
      <c r="U169" s="24" t="s">
        <v>1081</v>
      </c>
      <c r="V169" s="24"/>
      <c r="W169" s="3"/>
      <c r="X169" s="3" t="s">
        <v>4314</v>
      </c>
      <c r="Y169" s="3" t="s">
        <v>4606</v>
      </c>
      <c r="Z169" s="3"/>
      <c r="AA169" s="3"/>
      <c r="AB169" s="3"/>
      <c r="AC169" s="3" t="str">
        <f>IF(Caja_Arequipa[[#This Row],[FECHA]]&gt;0,TEXT(Caja_Arequipa[[#This Row],[FECHA]],"mmmm"),0)</f>
        <v>Marzo</v>
      </c>
    </row>
    <row r="170" spans="2:29" x14ac:dyDescent="0.3">
      <c r="B170" s="2">
        <f>IF(Caja_Arequipa[[#This Row],[TIPO DE R.]]="R",COUNTIFS($D$4:$D169,"R")+1,"")</f>
        <v>166</v>
      </c>
      <c r="C170" s="19" t="str">
        <f t="shared" si="11"/>
        <v>C-Tesoreria</v>
      </c>
      <c r="D170" s="3" t="s">
        <v>1074</v>
      </c>
      <c r="E170" s="14">
        <v>45722</v>
      </c>
      <c r="F170" s="5" t="s">
        <v>1158</v>
      </c>
      <c r="G170" s="5" t="s">
        <v>1079</v>
      </c>
      <c r="H170" s="3" t="s">
        <v>4314</v>
      </c>
      <c r="I170" s="6"/>
      <c r="J170" s="6"/>
      <c r="K170" s="6"/>
      <c r="L170" s="6"/>
      <c r="M170" s="7" t="s">
        <v>4607</v>
      </c>
      <c r="N170" s="8" t="str">
        <f>IF(Caja_Arequipa[[#This Row],[TIPO DE R.]]="R","001-"&amp;12002+B170,N169)</f>
        <v>001-12168</v>
      </c>
      <c r="O170" s="8" t="str">
        <f t="shared" si="15"/>
        <v>PEN</v>
      </c>
      <c r="P170" s="13"/>
      <c r="Q170" s="13">
        <v>5</v>
      </c>
      <c r="R170" s="3">
        <f t="shared" si="12"/>
        <v>0</v>
      </c>
      <c r="S170" s="3">
        <f t="shared" si="13"/>
        <v>5</v>
      </c>
      <c r="T170" s="3">
        <f t="shared" si="14"/>
        <v>3488.5</v>
      </c>
      <c r="U170" s="24" t="s">
        <v>1081</v>
      </c>
      <c r="V170" s="24"/>
      <c r="W170" s="3"/>
      <c r="X170" s="3" t="s">
        <v>4314</v>
      </c>
      <c r="Y170" s="3" t="s">
        <v>4608</v>
      </c>
      <c r="Z170" s="3"/>
      <c r="AA170" s="3"/>
      <c r="AB170" s="3"/>
      <c r="AC170" s="3" t="str">
        <f>IF(Caja_Arequipa[[#This Row],[FECHA]]&gt;0,TEXT(Caja_Arequipa[[#This Row],[FECHA]],"mmmm"),0)</f>
        <v>Marzo</v>
      </c>
    </row>
    <row r="171" spans="2:29" x14ac:dyDescent="0.3">
      <c r="B171" s="2">
        <f>IF(Caja_Arequipa[[#This Row],[TIPO DE R.]]="R",COUNTIFS($D$4:$D170,"R")+1,"")</f>
        <v>167</v>
      </c>
      <c r="C171" s="19" t="str">
        <f t="shared" si="11"/>
        <v>C-Tesoreria</v>
      </c>
      <c r="D171" s="3" t="s">
        <v>1074</v>
      </c>
      <c r="E171" s="14">
        <v>45722</v>
      </c>
      <c r="F171" s="5" t="s">
        <v>1158</v>
      </c>
      <c r="G171" s="5" t="s">
        <v>1079</v>
      </c>
      <c r="H171" s="3" t="s">
        <v>4314</v>
      </c>
      <c r="I171" s="6"/>
      <c r="J171" s="6"/>
      <c r="K171" s="6"/>
      <c r="L171" s="6"/>
      <c r="M171" s="7" t="s">
        <v>4609</v>
      </c>
      <c r="N171" s="8" t="str">
        <f>IF(Caja_Arequipa[[#This Row],[TIPO DE R.]]="R","001-"&amp;12002+B171,N170)</f>
        <v>001-12169</v>
      </c>
      <c r="O171" s="8" t="str">
        <f t="shared" si="15"/>
        <v>PEN</v>
      </c>
      <c r="P171" s="13"/>
      <c r="Q171" s="13">
        <v>61</v>
      </c>
      <c r="R171" s="3">
        <f t="shared" si="12"/>
        <v>0</v>
      </c>
      <c r="S171" s="3">
        <f t="shared" si="13"/>
        <v>61</v>
      </c>
      <c r="T171" s="3">
        <f t="shared" si="14"/>
        <v>3427.5</v>
      </c>
      <c r="U171" s="24" t="s">
        <v>1081</v>
      </c>
      <c r="V171" s="24"/>
      <c r="W171" s="3"/>
      <c r="X171" s="3" t="s">
        <v>4314</v>
      </c>
      <c r="Y171" s="3" t="s">
        <v>4610</v>
      </c>
      <c r="Z171" s="3"/>
      <c r="AA171" s="3"/>
      <c r="AB171" s="3"/>
      <c r="AC171" s="3" t="str">
        <f>IF(Caja_Arequipa[[#This Row],[FECHA]]&gt;0,TEXT(Caja_Arequipa[[#This Row],[FECHA]],"mmmm"),0)</f>
        <v>Marzo</v>
      </c>
    </row>
    <row r="172" spans="2:29" x14ac:dyDescent="0.3">
      <c r="B172" s="2">
        <f>IF(Caja_Arequipa[[#This Row],[TIPO DE R.]]="R",COUNTIFS($D$4:$D171,"R")+1,"")</f>
        <v>168</v>
      </c>
      <c r="C172" s="19" t="str">
        <f t="shared" si="11"/>
        <v>C-Tesoreria</v>
      </c>
      <c r="D172" s="3" t="s">
        <v>1074</v>
      </c>
      <c r="E172" s="14">
        <v>45722</v>
      </c>
      <c r="F172" s="5" t="s">
        <v>1158</v>
      </c>
      <c r="G172" s="5" t="s">
        <v>1079</v>
      </c>
      <c r="H172" s="3" t="s">
        <v>4314</v>
      </c>
      <c r="I172" s="6"/>
      <c r="J172" s="6"/>
      <c r="K172" s="6"/>
      <c r="L172" s="6"/>
      <c r="M172" s="7" t="s">
        <v>4611</v>
      </c>
      <c r="N172" s="8" t="str">
        <f>IF(Caja_Arequipa[[#This Row],[TIPO DE R.]]="R","001-"&amp;12002+B172,N171)</f>
        <v>001-12170</v>
      </c>
      <c r="O172" s="8" t="str">
        <f t="shared" si="15"/>
        <v>PEN</v>
      </c>
      <c r="P172" s="13"/>
      <c r="Q172" s="13">
        <v>10</v>
      </c>
      <c r="R172" s="3">
        <f t="shared" si="12"/>
        <v>0</v>
      </c>
      <c r="S172" s="3">
        <f t="shared" si="13"/>
        <v>10</v>
      </c>
      <c r="T172" s="3">
        <f t="shared" si="14"/>
        <v>3417.5</v>
      </c>
      <c r="U172" s="24" t="s">
        <v>1081</v>
      </c>
      <c r="V172" s="24"/>
      <c r="W172" s="3"/>
      <c r="X172" s="3" t="s">
        <v>4314</v>
      </c>
      <c r="Y172" s="3" t="s">
        <v>4612</v>
      </c>
      <c r="Z172" s="3"/>
      <c r="AA172" s="3"/>
      <c r="AB172" s="3"/>
      <c r="AC172" s="3" t="str">
        <f>IF(Caja_Arequipa[[#This Row],[FECHA]]&gt;0,TEXT(Caja_Arequipa[[#This Row],[FECHA]],"mmmm"),0)</f>
        <v>Marzo</v>
      </c>
    </row>
    <row r="173" spans="2:29" x14ac:dyDescent="0.3">
      <c r="B173" s="2">
        <f>IF(Caja_Arequipa[[#This Row],[TIPO DE R.]]="R",COUNTIFS($D$4:$D172,"R")+1,"")</f>
        <v>169</v>
      </c>
      <c r="C173" s="19" t="str">
        <f t="shared" si="11"/>
        <v>C-Tesoreria</v>
      </c>
      <c r="D173" s="3" t="s">
        <v>1074</v>
      </c>
      <c r="E173" s="14">
        <v>45722</v>
      </c>
      <c r="F173" s="5" t="s">
        <v>1158</v>
      </c>
      <c r="G173" s="5" t="s">
        <v>1079</v>
      </c>
      <c r="H173" s="3" t="s">
        <v>4314</v>
      </c>
      <c r="I173" s="6"/>
      <c r="J173" s="6"/>
      <c r="K173" s="6"/>
      <c r="L173" s="6"/>
      <c r="M173" s="7" t="s">
        <v>4613</v>
      </c>
      <c r="N173" s="8" t="str">
        <f>IF(Caja_Arequipa[[#This Row],[TIPO DE R.]]="R","001-"&amp;12002+B173,N172)</f>
        <v>001-12171</v>
      </c>
      <c r="O173" s="8" t="str">
        <f t="shared" si="15"/>
        <v>PEN</v>
      </c>
      <c r="P173" s="13"/>
      <c r="Q173" s="13">
        <v>15</v>
      </c>
      <c r="R173" s="3">
        <f t="shared" si="12"/>
        <v>0</v>
      </c>
      <c r="S173" s="3">
        <f t="shared" si="13"/>
        <v>15</v>
      </c>
      <c r="T173" s="3">
        <f t="shared" si="14"/>
        <v>3402.5</v>
      </c>
      <c r="U173" s="24" t="s">
        <v>1081</v>
      </c>
      <c r="V173" s="24"/>
      <c r="W173" s="3"/>
      <c r="X173" s="3" t="s">
        <v>4314</v>
      </c>
      <c r="Y173" s="3" t="s">
        <v>4614</v>
      </c>
      <c r="Z173" s="3"/>
      <c r="AA173" s="3"/>
      <c r="AB173" s="3"/>
      <c r="AC173" s="3" t="str">
        <f>IF(Caja_Arequipa[[#This Row],[FECHA]]&gt;0,TEXT(Caja_Arequipa[[#This Row],[FECHA]],"mmmm"),0)</f>
        <v>Marzo</v>
      </c>
    </row>
    <row r="174" spans="2:29" x14ac:dyDescent="0.3">
      <c r="B174" s="2">
        <f>IF(Caja_Arequipa[[#This Row],[TIPO DE R.]]="R",COUNTIFS($D$4:$D173,"R")+1,"")</f>
        <v>170</v>
      </c>
      <c r="C174" s="19" t="str">
        <f t="shared" si="11"/>
        <v>C-Tesoreria</v>
      </c>
      <c r="D174" s="3" t="s">
        <v>1074</v>
      </c>
      <c r="E174" s="14">
        <v>45722</v>
      </c>
      <c r="F174" s="5" t="s">
        <v>1158</v>
      </c>
      <c r="G174" s="5" t="s">
        <v>1079</v>
      </c>
      <c r="H174" s="3" t="s">
        <v>4314</v>
      </c>
      <c r="I174" s="6"/>
      <c r="J174" s="6"/>
      <c r="K174" s="6"/>
      <c r="L174" s="6"/>
      <c r="M174" s="7" t="s">
        <v>4579</v>
      </c>
      <c r="N174" s="8" t="str">
        <f>IF(Caja_Arequipa[[#This Row],[TIPO DE R.]]="R","001-"&amp;12002+B174,N173)</f>
        <v>001-12172</v>
      </c>
      <c r="O174" s="8" t="str">
        <f t="shared" si="15"/>
        <v>PEN</v>
      </c>
      <c r="P174" s="13"/>
      <c r="Q174" s="13">
        <v>5</v>
      </c>
      <c r="R174" s="3">
        <f t="shared" si="12"/>
        <v>0</v>
      </c>
      <c r="S174" s="3">
        <f t="shared" si="13"/>
        <v>5</v>
      </c>
      <c r="T174" s="3">
        <f t="shared" si="14"/>
        <v>3397.5</v>
      </c>
      <c r="U174" s="24" t="s">
        <v>1081</v>
      </c>
      <c r="V174" s="24"/>
      <c r="W174" s="3"/>
      <c r="X174" s="3" t="s">
        <v>4314</v>
      </c>
      <c r="Y174" s="3" t="s">
        <v>4615</v>
      </c>
      <c r="Z174" s="3"/>
      <c r="AA174" s="3"/>
      <c r="AB174" s="3"/>
      <c r="AC174" s="3" t="str">
        <f>IF(Caja_Arequipa[[#This Row],[FECHA]]&gt;0,TEXT(Caja_Arequipa[[#This Row],[FECHA]],"mmmm"),0)</f>
        <v>Marzo</v>
      </c>
    </row>
    <row r="175" spans="2:29" x14ac:dyDescent="0.3">
      <c r="B175" s="2">
        <f>IF(Caja_Arequipa[[#This Row],[TIPO DE R.]]="R",COUNTIFS($D$4:$D174,"R")+1,"")</f>
        <v>171</v>
      </c>
      <c r="C175" s="19" t="str">
        <f t="shared" si="11"/>
        <v>C-Tesoreria</v>
      </c>
      <c r="D175" s="3" t="s">
        <v>1074</v>
      </c>
      <c r="E175" s="14">
        <v>45722</v>
      </c>
      <c r="F175" s="5" t="s">
        <v>1158</v>
      </c>
      <c r="G175" s="5" t="s">
        <v>1079</v>
      </c>
      <c r="H175" s="3" t="s">
        <v>4314</v>
      </c>
      <c r="I175" s="6"/>
      <c r="J175" s="6"/>
      <c r="K175" s="6"/>
      <c r="L175" s="6"/>
      <c r="M175" s="7" t="s">
        <v>4549</v>
      </c>
      <c r="N175" s="8" t="str">
        <f>IF(Caja_Arequipa[[#This Row],[TIPO DE R.]]="R","001-"&amp;12002+B175,N174)</f>
        <v>001-12173</v>
      </c>
      <c r="O175" s="8" t="str">
        <f t="shared" si="15"/>
        <v>PEN</v>
      </c>
      <c r="P175" s="13"/>
      <c r="Q175" s="13">
        <v>17</v>
      </c>
      <c r="R175" s="3">
        <f t="shared" si="12"/>
        <v>0</v>
      </c>
      <c r="S175" s="3">
        <f t="shared" si="13"/>
        <v>17</v>
      </c>
      <c r="T175" s="3">
        <f t="shared" si="14"/>
        <v>3380.5</v>
      </c>
      <c r="U175" s="24" t="s">
        <v>1081</v>
      </c>
      <c r="V175" s="24"/>
      <c r="W175" s="3"/>
      <c r="X175" s="3" t="s">
        <v>4314</v>
      </c>
      <c r="Y175" s="3" t="s">
        <v>4616</v>
      </c>
      <c r="Z175" s="3"/>
      <c r="AA175" s="3"/>
      <c r="AB175" s="3"/>
      <c r="AC175" s="3" t="str">
        <f>IF(Caja_Arequipa[[#This Row],[FECHA]]&gt;0,TEXT(Caja_Arequipa[[#This Row],[FECHA]],"mmmm"),0)</f>
        <v>Marzo</v>
      </c>
    </row>
    <row r="176" spans="2:29" x14ac:dyDescent="0.3">
      <c r="B176" s="2">
        <f>IF(Caja_Arequipa[[#This Row],[TIPO DE R.]]="R",COUNTIFS($D$4:$D175,"R")+1,"")</f>
        <v>172</v>
      </c>
      <c r="C176" s="19" t="str">
        <f t="shared" si="11"/>
        <v>C-Tesoreria</v>
      </c>
      <c r="D176" s="3" t="s">
        <v>1074</v>
      </c>
      <c r="E176" s="14">
        <v>45722</v>
      </c>
      <c r="F176" s="5" t="s">
        <v>1158</v>
      </c>
      <c r="G176" s="5" t="s">
        <v>1079</v>
      </c>
      <c r="H176" s="3" t="s">
        <v>4314</v>
      </c>
      <c r="I176" s="6"/>
      <c r="J176" s="6"/>
      <c r="K176" s="6"/>
      <c r="L176" s="6"/>
      <c r="M176" s="7" t="s">
        <v>4617</v>
      </c>
      <c r="N176" s="8" t="str">
        <f>IF(Caja_Arequipa[[#This Row],[TIPO DE R.]]="R","001-"&amp;12002+B176,N175)</f>
        <v>001-12174</v>
      </c>
      <c r="O176" s="8" t="str">
        <f t="shared" si="15"/>
        <v>PEN</v>
      </c>
      <c r="P176" s="13"/>
      <c r="Q176" s="13">
        <v>25</v>
      </c>
      <c r="R176" s="3">
        <f t="shared" si="12"/>
        <v>0</v>
      </c>
      <c r="S176" s="3">
        <f t="shared" si="13"/>
        <v>25</v>
      </c>
      <c r="T176" s="3">
        <f t="shared" si="14"/>
        <v>3355.5</v>
      </c>
      <c r="U176" s="24" t="s">
        <v>1081</v>
      </c>
      <c r="V176" s="24"/>
      <c r="W176" s="3"/>
      <c r="X176" s="3" t="s">
        <v>4314</v>
      </c>
      <c r="Y176" s="3" t="s">
        <v>4618</v>
      </c>
      <c r="Z176" s="3"/>
      <c r="AA176" s="3"/>
      <c r="AB176" s="3"/>
      <c r="AC176" s="3" t="str">
        <f>IF(Caja_Arequipa[[#This Row],[FECHA]]&gt;0,TEXT(Caja_Arequipa[[#This Row],[FECHA]],"mmmm"),0)</f>
        <v>Marzo</v>
      </c>
    </row>
    <row r="177" spans="2:29" x14ac:dyDescent="0.3">
      <c r="B177" s="2">
        <f>IF(Caja_Arequipa[[#This Row],[TIPO DE R.]]="R",COUNTIFS($D$4:$D176,"R")+1,"")</f>
        <v>173</v>
      </c>
      <c r="C177" s="19" t="str">
        <f t="shared" si="11"/>
        <v>C-Tesoreria</v>
      </c>
      <c r="D177" s="3" t="s">
        <v>1074</v>
      </c>
      <c r="E177" s="14">
        <v>45722</v>
      </c>
      <c r="F177" s="5" t="s">
        <v>1158</v>
      </c>
      <c r="G177" s="5" t="s">
        <v>1079</v>
      </c>
      <c r="H177" s="3" t="s">
        <v>4314</v>
      </c>
      <c r="I177" s="6"/>
      <c r="J177" s="6"/>
      <c r="K177" s="6"/>
      <c r="L177" s="6"/>
      <c r="M177" s="7" t="s">
        <v>4619</v>
      </c>
      <c r="N177" s="8" t="str">
        <f>IF(Caja_Arequipa[[#This Row],[TIPO DE R.]]="R","001-"&amp;12002+B177,N176)</f>
        <v>001-12175</v>
      </c>
      <c r="O177" s="8" t="str">
        <f t="shared" si="15"/>
        <v>PEN</v>
      </c>
      <c r="P177" s="13"/>
      <c r="Q177" s="13">
        <v>10</v>
      </c>
      <c r="R177" s="3">
        <f t="shared" si="12"/>
        <v>0</v>
      </c>
      <c r="S177" s="3">
        <f t="shared" si="13"/>
        <v>10</v>
      </c>
      <c r="T177" s="3">
        <f t="shared" si="14"/>
        <v>3345.5</v>
      </c>
      <c r="U177" s="24" t="s">
        <v>1081</v>
      </c>
      <c r="V177" s="24"/>
      <c r="W177" s="3"/>
      <c r="X177" s="3" t="s">
        <v>4314</v>
      </c>
      <c r="Y177" s="3" t="s">
        <v>4620</v>
      </c>
      <c r="Z177" s="3"/>
      <c r="AA177" s="3"/>
      <c r="AB177" s="3"/>
      <c r="AC177" s="3" t="str">
        <f>IF(Caja_Arequipa[[#This Row],[FECHA]]&gt;0,TEXT(Caja_Arequipa[[#This Row],[FECHA]],"mmmm"),0)</f>
        <v>Marzo</v>
      </c>
    </row>
    <row r="178" spans="2:29" x14ac:dyDescent="0.3">
      <c r="B178" s="2">
        <f>IF(Caja_Arequipa[[#This Row],[TIPO DE R.]]="R",COUNTIFS($D$4:$D177,"R")+1,"")</f>
        <v>174</v>
      </c>
      <c r="C178" s="19" t="str">
        <f t="shared" si="11"/>
        <v>C-Tesoreria</v>
      </c>
      <c r="D178" s="3" t="s">
        <v>1074</v>
      </c>
      <c r="E178" s="14">
        <v>45722</v>
      </c>
      <c r="F178" s="5" t="s">
        <v>1158</v>
      </c>
      <c r="G178" s="5" t="s">
        <v>1079</v>
      </c>
      <c r="H178" s="3" t="s">
        <v>4314</v>
      </c>
      <c r="I178" s="6"/>
      <c r="J178" s="6"/>
      <c r="K178" s="6"/>
      <c r="L178" s="6"/>
      <c r="M178" s="7" t="s">
        <v>4621</v>
      </c>
      <c r="N178" s="8" t="str">
        <f>IF(Caja_Arequipa[[#This Row],[TIPO DE R.]]="R","001-"&amp;12002+B178,N177)</f>
        <v>001-12176</v>
      </c>
      <c r="O178" s="8" t="str">
        <f t="shared" si="15"/>
        <v>PEN</v>
      </c>
      <c r="P178" s="13"/>
      <c r="Q178" s="13">
        <v>5</v>
      </c>
      <c r="R178" s="3">
        <f t="shared" si="12"/>
        <v>0</v>
      </c>
      <c r="S178" s="3">
        <f t="shared" si="13"/>
        <v>5</v>
      </c>
      <c r="T178" s="3">
        <f t="shared" si="14"/>
        <v>3340.5</v>
      </c>
      <c r="U178" s="24" t="s">
        <v>1081</v>
      </c>
      <c r="V178" s="24"/>
      <c r="W178" s="3"/>
      <c r="X178" s="3" t="s">
        <v>4314</v>
      </c>
      <c r="Y178" s="3" t="s">
        <v>4622</v>
      </c>
      <c r="Z178" s="3"/>
      <c r="AA178" s="3"/>
      <c r="AB178" s="3"/>
      <c r="AC178" s="3" t="str">
        <f>IF(Caja_Arequipa[[#This Row],[FECHA]]&gt;0,TEXT(Caja_Arequipa[[#This Row],[FECHA]],"mmmm"),0)</f>
        <v>Marzo</v>
      </c>
    </row>
    <row r="179" spans="2:29" x14ac:dyDescent="0.3">
      <c r="B179" s="2">
        <f>IF(Caja_Arequipa[[#This Row],[TIPO DE R.]]="R",COUNTIFS($D$4:$D178,"R")+1,"")</f>
        <v>175</v>
      </c>
      <c r="C179" s="19" t="str">
        <f t="shared" si="11"/>
        <v>C-Tesoreria</v>
      </c>
      <c r="D179" s="3" t="s">
        <v>1074</v>
      </c>
      <c r="E179" s="14">
        <v>45722</v>
      </c>
      <c r="F179" s="5" t="s">
        <v>1158</v>
      </c>
      <c r="G179" s="5" t="s">
        <v>1079</v>
      </c>
      <c r="H179" s="3" t="s">
        <v>4314</v>
      </c>
      <c r="I179" s="6"/>
      <c r="J179" s="6"/>
      <c r="K179" s="6"/>
      <c r="L179" s="6"/>
      <c r="M179" s="7" t="s">
        <v>4623</v>
      </c>
      <c r="N179" s="8" t="str">
        <f>IF(Caja_Arequipa[[#This Row],[TIPO DE R.]]="R","001-"&amp;12002+B179,N178)</f>
        <v>001-12177</v>
      </c>
      <c r="O179" s="8" t="str">
        <f t="shared" si="15"/>
        <v>PEN</v>
      </c>
      <c r="P179" s="13"/>
      <c r="Q179" s="13">
        <v>22</v>
      </c>
      <c r="R179" s="3">
        <f t="shared" si="12"/>
        <v>0</v>
      </c>
      <c r="S179" s="3">
        <f t="shared" si="13"/>
        <v>22</v>
      </c>
      <c r="T179" s="3">
        <f t="shared" si="14"/>
        <v>3318.5</v>
      </c>
      <c r="U179" s="24" t="s">
        <v>1081</v>
      </c>
      <c r="V179" s="24"/>
      <c r="W179" s="3"/>
      <c r="X179" s="3" t="s">
        <v>4314</v>
      </c>
      <c r="Y179" s="3" t="s">
        <v>4624</v>
      </c>
      <c r="Z179" s="3"/>
      <c r="AA179" s="3"/>
      <c r="AB179" s="3"/>
      <c r="AC179" s="3" t="str">
        <f>IF(Caja_Arequipa[[#This Row],[FECHA]]&gt;0,TEXT(Caja_Arequipa[[#This Row],[FECHA]],"mmmm"),0)</f>
        <v>Marzo</v>
      </c>
    </row>
    <row r="180" spans="2:29" x14ac:dyDescent="0.3">
      <c r="B180" s="2">
        <f>IF(Caja_Arequipa[[#This Row],[TIPO DE R.]]="R",COUNTIFS($D$4:$D179,"R")+1,"")</f>
        <v>176</v>
      </c>
      <c r="C180" s="19" t="str">
        <f t="shared" si="11"/>
        <v>C-Tesoreria</v>
      </c>
      <c r="D180" s="3" t="s">
        <v>1074</v>
      </c>
      <c r="E180" s="14">
        <v>45722</v>
      </c>
      <c r="F180" s="5" t="s">
        <v>1158</v>
      </c>
      <c r="G180" s="5" t="s">
        <v>1079</v>
      </c>
      <c r="H180" s="3" t="s">
        <v>4314</v>
      </c>
      <c r="I180" s="6"/>
      <c r="J180" s="6"/>
      <c r="K180" s="6"/>
      <c r="L180" s="6"/>
      <c r="M180" s="7" t="s">
        <v>4625</v>
      </c>
      <c r="N180" s="8" t="str">
        <f>IF(Caja_Arequipa[[#This Row],[TIPO DE R.]]="R","001-"&amp;12002+B180,N179)</f>
        <v>001-12178</v>
      </c>
      <c r="O180" s="8" t="str">
        <f t="shared" si="15"/>
        <v>PEN</v>
      </c>
      <c r="P180" s="13"/>
      <c r="Q180" s="13">
        <v>29</v>
      </c>
      <c r="R180" s="3">
        <f t="shared" si="12"/>
        <v>0</v>
      </c>
      <c r="S180" s="3">
        <f t="shared" si="13"/>
        <v>29</v>
      </c>
      <c r="T180" s="3">
        <f t="shared" si="14"/>
        <v>3289.5</v>
      </c>
      <c r="U180" s="24" t="s">
        <v>1081</v>
      </c>
      <c r="V180" s="24"/>
      <c r="W180" s="3"/>
      <c r="X180" s="3" t="s">
        <v>4314</v>
      </c>
      <c r="Y180" s="3" t="s">
        <v>4626</v>
      </c>
      <c r="Z180" s="3"/>
      <c r="AA180" s="3"/>
      <c r="AB180" s="3"/>
      <c r="AC180" s="3" t="str">
        <f>IF(Caja_Arequipa[[#This Row],[FECHA]]&gt;0,TEXT(Caja_Arequipa[[#This Row],[FECHA]],"mmmm"),0)</f>
        <v>Marzo</v>
      </c>
    </row>
    <row r="181" spans="2:29" x14ac:dyDescent="0.3">
      <c r="B181" s="2">
        <f>IF(Caja_Arequipa[[#This Row],[TIPO DE R.]]="R",COUNTIFS($D$4:$D180,"R")+1,"")</f>
        <v>177</v>
      </c>
      <c r="C181" s="19" t="str">
        <f t="shared" si="11"/>
        <v>C-Tesoreria</v>
      </c>
      <c r="D181" s="3" t="s">
        <v>1074</v>
      </c>
      <c r="E181" s="14">
        <v>45722</v>
      </c>
      <c r="F181" s="5" t="s">
        <v>1158</v>
      </c>
      <c r="G181" s="5" t="s">
        <v>1079</v>
      </c>
      <c r="H181" s="3" t="s">
        <v>4314</v>
      </c>
      <c r="I181" s="6"/>
      <c r="J181" s="6"/>
      <c r="K181" s="6"/>
      <c r="L181" s="6"/>
      <c r="M181" s="7" t="s">
        <v>4627</v>
      </c>
      <c r="N181" s="8" t="str">
        <f>IF(Caja_Arequipa[[#This Row],[TIPO DE R.]]="R","001-"&amp;12002+B181,N180)</f>
        <v>001-12179</v>
      </c>
      <c r="O181" s="8" t="str">
        <f t="shared" si="15"/>
        <v>PEN</v>
      </c>
      <c r="P181" s="13"/>
      <c r="Q181" s="13">
        <v>5</v>
      </c>
      <c r="R181" s="3">
        <f t="shared" si="12"/>
        <v>0</v>
      </c>
      <c r="S181" s="3">
        <f t="shared" si="13"/>
        <v>5</v>
      </c>
      <c r="T181" s="3">
        <f t="shared" si="14"/>
        <v>3284.5</v>
      </c>
      <c r="U181" s="24" t="s">
        <v>1081</v>
      </c>
      <c r="V181" s="24"/>
      <c r="W181" s="3"/>
      <c r="X181" s="3" t="s">
        <v>4314</v>
      </c>
      <c r="Y181" s="3" t="s">
        <v>4628</v>
      </c>
      <c r="Z181" s="3"/>
      <c r="AA181" s="3"/>
      <c r="AB181" s="3"/>
      <c r="AC181" s="3" t="str">
        <f>IF(Caja_Arequipa[[#This Row],[FECHA]]&gt;0,TEXT(Caja_Arequipa[[#This Row],[FECHA]],"mmmm"),0)</f>
        <v>Marzo</v>
      </c>
    </row>
    <row r="182" spans="2:29" ht="24" x14ac:dyDescent="0.3">
      <c r="B182" s="2">
        <f>IF(Caja_Arequipa[[#This Row],[TIPO DE R.]]="R",COUNTIFS($D$4:$D181,"R")+1,"")</f>
        <v>178</v>
      </c>
      <c r="C182" s="19" t="str">
        <f t="shared" si="11"/>
        <v>C-Tesoreria</v>
      </c>
      <c r="D182" s="3" t="s">
        <v>1074</v>
      </c>
      <c r="E182" s="14">
        <v>45722</v>
      </c>
      <c r="F182" s="5" t="s">
        <v>1158</v>
      </c>
      <c r="G182" s="5" t="s">
        <v>1079</v>
      </c>
      <c r="H182" s="3" t="s">
        <v>4353</v>
      </c>
      <c r="I182" s="6"/>
      <c r="J182" s="6"/>
      <c r="K182" s="6"/>
      <c r="L182" s="6"/>
      <c r="M182" s="7" t="s">
        <v>4629</v>
      </c>
      <c r="N182" s="8" t="str">
        <f>IF(Caja_Arequipa[[#This Row],[TIPO DE R.]]="R","001-"&amp;12002+B182,N181)</f>
        <v>001-12180</v>
      </c>
      <c r="O182" s="8" t="str">
        <f t="shared" si="15"/>
        <v>PEN</v>
      </c>
      <c r="P182" s="13"/>
      <c r="Q182" s="13">
        <v>75</v>
      </c>
      <c r="R182" s="3">
        <f t="shared" si="12"/>
        <v>0</v>
      </c>
      <c r="S182" s="3">
        <f t="shared" si="13"/>
        <v>75</v>
      </c>
      <c r="T182" s="3">
        <f t="shared" si="14"/>
        <v>3209.5</v>
      </c>
      <c r="U182" s="24" t="s">
        <v>1081</v>
      </c>
      <c r="V182" s="24"/>
      <c r="W182" s="3"/>
      <c r="X182" s="3" t="s">
        <v>4353</v>
      </c>
      <c r="Y182" s="3" t="s">
        <v>4630</v>
      </c>
      <c r="Z182" s="3"/>
      <c r="AA182" s="3"/>
      <c r="AB182" s="3"/>
      <c r="AC182" s="3" t="str">
        <f>IF(Caja_Arequipa[[#This Row],[FECHA]]&gt;0,TEXT(Caja_Arequipa[[#This Row],[FECHA]],"mmmm"),0)</f>
        <v>Marzo</v>
      </c>
    </row>
    <row r="183" spans="2:29" x14ac:dyDescent="0.3">
      <c r="B183" s="2">
        <f>IF(Caja_Arequipa[[#This Row],[TIPO DE R.]]="R",COUNTIFS($D$4:$D182,"R")+1,"")</f>
        <v>179</v>
      </c>
      <c r="C183" s="19" t="str">
        <f t="shared" si="11"/>
        <v>C-Tesoreria</v>
      </c>
      <c r="D183" s="3" t="s">
        <v>1074</v>
      </c>
      <c r="E183" s="14">
        <v>45722</v>
      </c>
      <c r="F183" s="5" t="s">
        <v>1158</v>
      </c>
      <c r="G183" s="5" t="s">
        <v>1079</v>
      </c>
      <c r="H183" s="3" t="s">
        <v>4371</v>
      </c>
      <c r="I183" s="6"/>
      <c r="J183" s="6"/>
      <c r="K183" s="6"/>
      <c r="L183" s="6"/>
      <c r="M183" s="7" t="s">
        <v>4631</v>
      </c>
      <c r="N183" s="8" t="str">
        <f>IF(Caja_Arequipa[[#This Row],[TIPO DE R.]]="R","001-"&amp;12002+B183,N182)</f>
        <v>001-12181</v>
      </c>
      <c r="O183" s="8" t="str">
        <f t="shared" si="15"/>
        <v>PEN</v>
      </c>
      <c r="P183" s="13"/>
      <c r="Q183" s="13">
        <v>13</v>
      </c>
      <c r="R183" s="3">
        <f t="shared" si="12"/>
        <v>0</v>
      </c>
      <c r="S183" s="3">
        <f t="shared" si="13"/>
        <v>13</v>
      </c>
      <c r="T183" s="3">
        <f t="shared" si="14"/>
        <v>3196.5</v>
      </c>
      <c r="U183" s="24" t="s">
        <v>1081</v>
      </c>
      <c r="V183" s="24"/>
      <c r="W183" s="3"/>
      <c r="X183" s="3" t="s">
        <v>4371</v>
      </c>
      <c r="Y183" s="3" t="s">
        <v>4632</v>
      </c>
      <c r="Z183" s="3"/>
      <c r="AA183" s="3"/>
      <c r="AB183" s="3"/>
      <c r="AC183" s="3" t="str">
        <f>IF(Caja_Arequipa[[#This Row],[FECHA]]&gt;0,TEXT(Caja_Arequipa[[#This Row],[FECHA]],"mmmm"),0)</f>
        <v>Marzo</v>
      </c>
    </row>
    <row r="184" spans="2:29" x14ac:dyDescent="0.3">
      <c r="B184" s="2">
        <f>IF(Caja_Arequipa[[#This Row],[TIPO DE R.]]="R",COUNTIFS($D$4:$D183,"R")+1,"")</f>
        <v>180</v>
      </c>
      <c r="C184" s="19" t="str">
        <f t="shared" si="11"/>
        <v>C-Tesoreria</v>
      </c>
      <c r="D184" s="3" t="s">
        <v>1074</v>
      </c>
      <c r="E184" s="14">
        <v>45723</v>
      </c>
      <c r="F184" s="5" t="s">
        <v>1158</v>
      </c>
      <c r="G184" s="5" t="s">
        <v>1079</v>
      </c>
      <c r="H184" s="3" t="s">
        <v>4334</v>
      </c>
      <c r="I184" s="6"/>
      <c r="J184" s="6"/>
      <c r="K184" s="6"/>
      <c r="L184" s="6"/>
      <c r="M184" s="7" t="s">
        <v>4633</v>
      </c>
      <c r="N184" s="8" t="str">
        <f>IF(Caja_Arequipa[[#This Row],[TIPO DE R.]]="R","001-"&amp;12002+B184,N183)</f>
        <v>001-12182</v>
      </c>
      <c r="O184" s="8" t="str">
        <f t="shared" si="15"/>
        <v>PEN</v>
      </c>
      <c r="P184" s="13"/>
      <c r="Q184" s="13">
        <v>11</v>
      </c>
      <c r="R184" s="3">
        <f t="shared" si="12"/>
        <v>0</v>
      </c>
      <c r="S184" s="3">
        <f t="shared" si="13"/>
        <v>11</v>
      </c>
      <c r="T184" s="3">
        <f t="shared" si="14"/>
        <v>3185.5</v>
      </c>
      <c r="U184" s="24" t="s">
        <v>1081</v>
      </c>
      <c r="V184" s="24"/>
      <c r="W184" s="3"/>
      <c r="X184" s="3" t="s">
        <v>4334</v>
      </c>
      <c r="Y184" s="3" t="s">
        <v>4634</v>
      </c>
      <c r="Z184" s="3"/>
      <c r="AA184" s="3"/>
      <c r="AB184" s="3"/>
      <c r="AC184" s="3" t="str">
        <f>IF(Caja_Arequipa[[#This Row],[FECHA]]&gt;0,TEXT(Caja_Arequipa[[#This Row],[FECHA]],"mmmm"),0)</f>
        <v>Marzo</v>
      </c>
    </row>
    <row r="185" spans="2:29" x14ac:dyDescent="0.3">
      <c r="B185" s="2">
        <f>IF(Caja_Arequipa[[#This Row],[TIPO DE R.]]="R",COUNTIFS($D$4:$D184,"R")+1,"")</f>
        <v>181</v>
      </c>
      <c r="C185" s="19" t="str">
        <f t="shared" si="11"/>
        <v>C-Tesoreria</v>
      </c>
      <c r="D185" s="3" t="s">
        <v>1074</v>
      </c>
      <c r="E185" s="14">
        <v>45723</v>
      </c>
      <c r="F185" s="5" t="s">
        <v>1158</v>
      </c>
      <c r="G185" s="5" t="s">
        <v>1079</v>
      </c>
      <c r="H185" s="3" t="s">
        <v>3016</v>
      </c>
      <c r="I185" s="6"/>
      <c r="J185" s="6"/>
      <c r="K185" s="6"/>
      <c r="L185" s="6"/>
      <c r="M185" s="7" t="s">
        <v>4635</v>
      </c>
      <c r="N185" s="8" t="str">
        <f>IF(Caja_Arequipa[[#This Row],[TIPO DE R.]]="R","001-"&amp;12002+B185,N184)</f>
        <v>001-12183</v>
      </c>
      <c r="O185" s="8" t="str">
        <f t="shared" si="15"/>
        <v>PEN</v>
      </c>
      <c r="P185" s="13"/>
      <c r="Q185" s="13">
        <v>104</v>
      </c>
      <c r="R185" s="3">
        <f t="shared" si="12"/>
        <v>0</v>
      </c>
      <c r="S185" s="3">
        <f t="shared" si="13"/>
        <v>104</v>
      </c>
      <c r="T185" s="3">
        <f t="shared" si="14"/>
        <v>3081.5</v>
      </c>
      <c r="U185" s="24" t="s">
        <v>1081</v>
      </c>
      <c r="V185" s="24"/>
      <c r="W185" s="3"/>
      <c r="X185" s="3" t="s">
        <v>3016</v>
      </c>
      <c r="Y185" s="3" t="s">
        <v>4636</v>
      </c>
      <c r="Z185" s="3"/>
      <c r="AA185" s="3"/>
      <c r="AB185" s="3"/>
      <c r="AC185" s="3" t="str">
        <f>IF(Caja_Arequipa[[#This Row],[FECHA]]&gt;0,TEXT(Caja_Arequipa[[#This Row],[FECHA]],"mmmm"),0)</f>
        <v>Marzo</v>
      </c>
    </row>
    <row r="186" spans="2:29" x14ac:dyDescent="0.3">
      <c r="B186" s="2">
        <f>IF(Caja_Arequipa[[#This Row],[TIPO DE R.]]="R",COUNTIFS($D$4:$D185,"R")+1,"")</f>
        <v>182</v>
      </c>
      <c r="C186" s="19" t="str">
        <f t="shared" si="11"/>
        <v>C-Tesoreria</v>
      </c>
      <c r="D186" s="3" t="s">
        <v>1074</v>
      </c>
      <c r="E186" s="14">
        <v>45723</v>
      </c>
      <c r="F186" s="5" t="s">
        <v>1158</v>
      </c>
      <c r="G186" s="5" t="s">
        <v>1079</v>
      </c>
      <c r="H186" s="3" t="s">
        <v>4506</v>
      </c>
      <c r="I186" s="6"/>
      <c r="J186" s="6"/>
      <c r="K186" s="6"/>
      <c r="L186" s="6"/>
      <c r="M186" s="7" t="s">
        <v>4601</v>
      </c>
      <c r="N186" s="8" t="str">
        <f>IF(Caja_Arequipa[[#This Row],[TIPO DE R.]]="R","001-"&amp;12002+B186,N185)</f>
        <v>001-12184</v>
      </c>
      <c r="O186" s="8" t="str">
        <f t="shared" si="15"/>
        <v>PEN</v>
      </c>
      <c r="P186" s="13"/>
      <c r="Q186" s="13">
        <v>30</v>
      </c>
      <c r="R186" s="3">
        <f t="shared" si="12"/>
        <v>0</v>
      </c>
      <c r="S186" s="3">
        <f t="shared" si="13"/>
        <v>30</v>
      </c>
      <c r="T186" s="3">
        <f t="shared" si="14"/>
        <v>3051.5</v>
      </c>
      <c r="U186" s="24" t="s">
        <v>1081</v>
      </c>
      <c r="V186" s="24"/>
      <c r="W186" s="3"/>
      <c r="X186" s="3" t="s">
        <v>4506</v>
      </c>
      <c r="Y186" s="3" t="s">
        <v>4637</v>
      </c>
      <c r="Z186" s="3"/>
      <c r="AA186" s="3"/>
      <c r="AB186" s="3"/>
      <c r="AC186" s="3" t="str">
        <f>IF(Caja_Arequipa[[#This Row],[FECHA]]&gt;0,TEXT(Caja_Arequipa[[#This Row],[FECHA]],"mmmm"),0)</f>
        <v>Marzo</v>
      </c>
    </row>
    <row r="187" spans="2:29" x14ac:dyDescent="0.3">
      <c r="B187" s="2">
        <f>IF(Caja_Arequipa[[#This Row],[TIPO DE R.]]="R",COUNTIFS($D$4:$D186,"R")+1,"")</f>
        <v>183</v>
      </c>
      <c r="C187" s="19" t="str">
        <f t="shared" si="11"/>
        <v>C-Tesoreria</v>
      </c>
      <c r="D187" s="3" t="s">
        <v>1074</v>
      </c>
      <c r="E187" s="14">
        <v>45723</v>
      </c>
      <c r="F187" s="5" t="s">
        <v>1158</v>
      </c>
      <c r="G187" s="5" t="s">
        <v>1079</v>
      </c>
      <c r="H187" s="3" t="s">
        <v>4506</v>
      </c>
      <c r="I187" s="6"/>
      <c r="J187" s="6"/>
      <c r="K187" s="6"/>
      <c r="L187" s="6"/>
      <c r="M187" s="7" t="s">
        <v>4638</v>
      </c>
      <c r="N187" s="8" t="str">
        <f>IF(Caja_Arequipa[[#This Row],[TIPO DE R.]]="R","001-"&amp;12002+B187,N186)</f>
        <v>001-12185</v>
      </c>
      <c r="O187" s="8" t="str">
        <f t="shared" si="15"/>
        <v>PEN</v>
      </c>
      <c r="P187" s="13"/>
      <c r="Q187" s="13">
        <v>110</v>
      </c>
      <c r="R187" s="3">
        <f t="shared" si="12"/>
        <v>0</v>
      </c>
      <c r="S187" s="3">
        <f t="shared" si="13"/>
        <v>110</v>
      </c>
      <c r="T187" s="3">
        <f t="shared" si="14"/>
        <v>2941.5</v>
      </c>
      <c r="U187" s="24" t="s">
        <v>1081</v>
      </c>
      <c r="V187" s="24"/>
      <c r="W187" s="3"/>
      <c r="X187" s="3" t="s">
        <v>4506</v>
      </c>
      <c r="Y187" s="3" t="s">
        <v>4639</v>
      </c>
      <c r="Z187" s="3"/>
      <c r="AA187" s="3"/>
      <c r="AB187" s="3"/>
      <c r="AC187" s="3" t="str">
        <f>IF(Caja_Arequipa[[#This Row],[FECHA]]&gt;0,TEXT(Caja_Arequipa[[#This Row],[FECHA]],"mmmm"),0)</f>
        <v>Marzo</v>
      </c>
    </row>
    <row r="188" spans="2:29" ht="24" x14ac:dyDescent="0.3">
      <c r="B188" s="2">
        <f>IF(Caja_Arequipa[[#This Row],[TIPO DE R.]]="R",COUNTIFS($D$4:$D187,"R")+1,"")</f>
        <v>184</v>
      </c>
      <c r="C188" s="19" t="str">
        <f t="shared" si="11"/>
        <v>C-Tesoreria</v>
      </c>
      <c r="D188" s="3" t="s">
        <v>1074</v>
      </c>
      <c r="E188" s="14">
        <v>45723</v>
      </c>
      <c r="F188" s="5" t="s">
        <v>1158</v>
      </c>
      <c r="G188" s="5" t="s">
        <v>1079</v>
      </c>
      <c r="H188" s="3" t="s">
        <v>4506</v>
      </c>
      <c r="I188" s="6"/>
      <c r="J188" s="6"/>
      <c r="K188" s="6"/>
      <c r="L188" s="6"/>
      <c r="M188" s="7" t="s">
        <v>4640</v>
      </c>
      <c r="N188" s="8" t="str">
        <f>IF(Caja_Arequipa[[#This Row],[TIPO DE R.]]="R","001-"&amp;12002+B188,N187)</f>
        <v>001-12186</v>
      </c>
      <c r="O188" s="8" t="str">
        <f t="shared" si="15"/>
        <v>PEN</v>
      </c>
      <c r="P188" s="13"/>
      <c r="Q188" s="13">
        <v>91</v>
      </c>
      <c r="R188" s="3">
        <f t="shared" si="12"/>
        <v>0</v>
      </c>
      <c r="S188" s="3">
        <f t="shared" si="13"/>
        <v>91</v>
      </c>
      <c r="T188" s="3">
        <f t="shared" si="14"/>
        <v>2850.5</v>
      </c>
      <c r="U188" s="24" t="s">
        <v>1081</v>
      </c>
      <c r="V188" s="24"/>
      <c r="W188" s="3"/>
      <c r="X188" s="3" t="s">
        <v>4506</v>
      </c>
      <c r="Y188" s="3" t="s">
        <v>4641</v>
      </c>
      <c r="Z188" s="3"/>
      <c r="AA188" s="3"/>
      <c r="AB188" s="3"/>
      <c r="AC188" s="3" t="str">
        <f>IF(Caja_Arequipa[[#This Row],[FECHA]]&gt;0,TEXT(Caja_Arequipa[[#This Row],[FECHA]],"mmmm"),0)</f>
        <v>Marzo</v>
      </c>
    </row>
    <row r="189" spans="2:29" ht="24" x14ac:dyDescent="0.3">
      <c r="B189" s="2">
        <f>IF(Caja_Arequipa[[#This Row],[TIPO DE R.]]="R",COUNTIFS($D$4:$D188,"R")+1,"")</f>
        <v>185</v>
      </c>
      <c r="C189" s="19" t="str">
        <f t="shared" si="11"/>
        <v>C-Tesoreria</v>
      </c>
      <c r="D189" s="3" t="s">
        <v>1074</v>
      </c>
      <c r="E189" s="14">
        <v>45726</v>
      </c>
      <c r="F189" s="5" t="s">
        <v>1158</v>
      </c>
      <c r="G189" s="5" t="s">
        <v>1079</v>
      </c>
      <c r="H189" s="3" t="s">
        <v>3016</v>
      </c>
      <c r="I189" s="6"/>
      <c r="J189" s="6"/>
      <c r="K189" s="6"/>
      <c r="L189" s="6"/>
      <c r="M189" s="7" t="s">
        <v>4642</v>
      </c>
      <c r="N189" s="8" t="str">
        <f>IF(Caja_Arequipa[[#This Row],[TIPO DE R.]]="R","001-"&amp;12002+B189,N188)</f>
        <v>001-12187</v>
      </c>
      <c r="O189" s="8" t="str">
        <f t="shared" si="15"/>
        <v>PEN</v>
      </c>
      <c r="P189" s="13"/>
      <c r="Q189" s="13">
        <v>11</v>
      </c>
      <c r="R189" s="3">
        <f t="shared" si="12"/>
        <v>0</v>
      </c>
      <c r="S189" s="3">
        <f t="shared" si="13"/>
        <v>11</v>
      </c>
      <c r="T189" s="3">
        <f t="shared" si="14"/>
        <v>2839.5</v>
      </c>
      <c r="U189" s="24" t="s">
        <v>1081</v>
      </c>
      <c r="V189" s="24"/>
      <c r="W189" s="3"/>
      <c r="X189" s="3" t="s">
        <v>3016</v>
      </c>
      <c r="Y189" s="3" t="s">
        <v>4643</v>
      </c>
      <c r="Z189" s="3"/>
      <c r="AA189" s="3"/>
      <c r="AB189" s="3"/>
      <c r="AC189" s="3" t="str">
        <f>IF(Caja_Arequipa[[#This Row],[FECHA]]&gt;0,TEXT(Caja_Arequipa[[#This Row],[FECHA]],"mmmm"),0)</f>
        <v>Marzo</v>
      </c>
    </row>
    <row r="190" spans="2:29" x14ac:dyDescent="0.3">
      <c r="B190" s="2">
        <f>IF(Caja_Arequipa[[#This Row],[TIPO DE R.]]="R",COUNTIFS($D$4:$D189,"R")+1,"")</f>
        <v>186</v>
      </c>
      <c r="C190" s="19" t="str">
        <f t="shared" si="11"/>
        <v>C-Tesoreria</v>
      </c>
      <c r="D190" s="3" t="s">
        <v>1074</v>
      </c>
      <c r="E190" s="14">
        <v>45727</v>
      </c>
      <c r="F190" s="5" t="s">
        <v>1158</v>
      </c>
      <c r="G190" s="5" t="s">
        <v>1079</v>
      </c>
      <c r="H190" s="3" t="s">
        <v>4644</v>
      </c>
      <c r="I190" s="6"/>
      <c r="J190" s="6"/>
      <c r="K190" s="6"/>
      <c r="L190" s="6"/>
      <c r="M190" s="7" t="s">
        <v>4645</v>
      </c>
      <c r="N190" s="8" t="str">
        <f>IF(Caja_Arequipa[[#This Row],[TIPO DE R.]]="R","001-"&amp;12002+B190,N189)</f>
        <v>001-12188</v>
      </c>
      <c r="O190" s="8" t="str">
        <f t="shared" si="15"/>
        <v>PEN</v>
      </c>
      <c r="P190" s="13"/>
      <c r="Q190" s="13">
        <v>7</v>
      </c>
      <c r="R190" s="3">
        <f t="shared" si="12"/>
        <v>0</v>
      </c>
      <c r="S190" s="3">
        <f t="shared" si="13"/>
        <v>7</v>
      </c>
      <c r="T190" s="3">
        <f t="shared" si="14"/>
        <v>2832.5</v>
      </c>
      <c r="U190" s="24" t="s">
        <v>1081</v>
      </c>
      <c r="V190" s="24"/>
      <c r="W190" s="3"/>
      <c r="X190" s="3" t="s">
        <v>4644</v>
      </c>
      <c r="Y190" s="3" t="s">
        <v>4646</v>
      </c>
      <c r="Z190" s="3"/>
      <c r="AA190" s="3"/>
      <c r="AB190" s="3"/>
      <c r="AC190" s="3" t="str">
        <f>IF(Caja_Arequipa[[#This Row],[FECHA]]&gt;0,TEXT(Caja_Arequipa[[#This Row],[FECHA]],"mmmm"),0)</f>
        <v>Marzo</v>
      </c>
    </row>
    <row r="191" spans="2:29" ht="24" x14ac:dyDescent="0.3">
      <c r="B191" s="2">
        <f>IF(Caja_Arequipa[[#This Row],[TIPO DE R.]]="R",COUNTIFS($D$4:$D190,"R")+1,"")</f>
        <v>187</v>
      </c>
      <c r="C191" s="19" t="str">
        <f t="shared" si="11"/>
        <v>C-Tesoreria</v>
      </c>
      <c r="D191" s="3" t="s">
        <v>1074</v>
      </c>
      <c r="E191" s="14">
        <v>45727</v>
      </c>
      <c r="F191" s="5" t="s">
        <v>1158</v>
      </c>
      <c r="G191" s="5" t="s">
        <v>1079</v>
      </c>
      <c r="H191" s="3" t="s">
        <v>4303</v>
      </c>
      <c r="I191" s="6"/>
      <c r="J191" s="6"/>
      <c r="K191" s="6"/>
      <c r="L191" s="6"/>
      <c r="M191" s="7" t="s">
        <v>4647</v>
      </c>
      <c r="N191" s="8" t="str">
        <f>IF(Caja_Arequipa[[#This Row],[TIPO DE R.]]="R","001-"&amp;12002+B191,N190)</f>
        <v>001-12189</v>
      </c>
      <c r="O191" s="8" t="str">
        <f t="shared" si="15"/>
        <v>PEN</v>
      </c>
      <c r="P191" s="13"/>
      <c r="Q191" s="13">
        <v>42</v>
      </c>
      <c r="R191" s="3">
        <f t="shared" si="12"/>
        <v>0</v>
      </c>
      <c r="S191" s="3">
        <f t="shared" si="13"/>
        <v>42</v>
      </c>
      <c r="T191" s="3">
        <f t="shared" si="14"/>
        <v>2790.5</v>
      </c>
      <c r="U191" s="24" t="s">
        <v>4554</v>
      </c>
      <c r="V191" s="24"/>
      <c r="W191" s="3"/>
      <c r="X191" s="3" t="s">
        <v>4303</v>
      </c>
      <c r="Y191" s="3" t="s">
        <v>4648</v>
      </c>
      <c r="Z191" s="3"/>
      <c r="AA191" s="3"/>
      <c r="AB191" s="3"/>
      <c r="AC191" s="3" t="str">
        <f>IF(Caja_Arequipa[[#This Row],[FECHA]]&gt;0,TEXT(Caja_Arequipa[[#This Row],[FECHA]],"mmmm"),0)</f>
        <v>Marzo</v>
      </c>
    </row>
    <row r="192" spans="2:29" x14ac:dyDescent="0.3">
      <c r="B192" s="2">
        <f>IF(Caja_Arequipa[[#This Row],[TIPO DE R.]]="R",COUNTIFS($D$4:$D191,"R")+1,"")</f>
        <v>188</v>
      </c>
      <c r="C192" s="19" t="str">
        <f t="shared" si="11"/>
        <v>C-Tesoreria</v>
      </c>
      <c r="D192" s="3" t="s">
        <v>1074</v>
      </c>
      <c r="E192" s="14">
        <v>45728</v>
      </c>
      <c r="F192" s="5" t="s">
        <v>1158</v>
      </c>
      <c r="G192" s="5" t="s">
        <v>1079</v>
      </c>
      <c r="H192" s="3" t="s">
        <v>4433</v>
      </c>
      <c r="I192" s="6"/>
      <c r="J192" s="6"/>
      <c r="K192" s="6"/>
      <c r="L192" s="6"/>
      <c r="M192" s="7" t="s">
        <v>4649</v>
      </c>
      <c r="N192" s="8" t="str">
        <f>IF(Caja_Arequipa[[#This Row],[TIPO DE R.]]="R","001-"&amp;12002+B192,N191)</f>
        <v>001-12190</v>
      </c>
      <c r="O192" s="8" t="str">
        <f t="shared" si="15"/>
        <v>PEN</v>
      </c>
      <c r="P192" s="13"/>
      <c r="Q192" s="13">
        <v>30</v>
      </c>
      <c r="R192" s="3">
        <f t="shared" si="12"/>
        <v>0</v>
      </c>
      <c r="S192" s="3">
        <f t="shared" si="13"/>
        <v>30</v>
      </c>
      <c r="T192" s="3">
        <f t="shared" si="14"/>
        <v>2760.5</v>
      </c>
      <c r="U192" s="24" t="s">
        <v>1081</v>
      </c>
      <c r="V192" s="24"/>
      <c r="W192" s="3"/>
      <c r="X192" s="3" t="s">
        <v>4433</v>
      </c>
      <c r="Y192" s="3" t="s">
        <v>4650</v>
      </c>
      <c r="Z192" s="3"/>
      <c r="AA192" s="3"/>
      <c r="AB192" s="3"/>
      <c r="AC192" s="3" t="str">
        <f>IF(Caja_Arequipa[[#This Row],[FECHA]]&gt;0,TEXT(Caja_Arequipa[[#This Row],[FECHA]],"mmmm"),0)</f>
        <v>Marzo</v>
      </c>
    </row>
    <row r="193" spans="2:29" x14ac:dyDescent="0.3">
      <c r="B193" s="2">
        <f>IF(Caja_Arequipa[[#This Row],[TIPO DE R.]]="R",COUNTIFS($D$4:$D192,"R")+1,"")</f>
        <v>189</v>
      </c>
      <c r="C193" s="19" t="str">
        <f t="shared" si="11"/>
        <v>C-Tesoreria</v>
      </c>
      <c r="D193" s="3" t="s">
        <v>1074</v>
      </c>
      <c r="E193" s="14">
        <v>45729</v>
      </c>
      <c r="F193" s="5" t="s">
        <v>1082</v>
      </c>
      <c r="G193" s="5" t="s">
        <v>1079</v>
      </c>
      <c r="H193" s="3" t="s">
        <v>4501</v>
      </c>
      <c r="I193" s="6"/>
      <c r="J193" s="6"/>
      <c r="K193" s="6"/>
      <c r="L193" s="6"/>
      <c r="M193" s="7" t="s">
        <v>4651</v>
      </c>
      <c r="N193" s="8" t="str">
        <f>IF(Caja_Arequipa[[#This Row],[TIPO DE R.]]="R","001-"&amp;12002+B193,N192)</f>
        <v>001-12191</v>
      </c>
      <c r="O193" s="8" t="str">
        <f t="shared" si="15"/>
        <v>PEN</v>
      </c>
      <c r="P193" s="13"/>
      <c r="Q193" s="13">
        <v>20</v>
      </c>
      <c r="R193" s="3">
        <f t="shared" si="12"/>
        <v>0</v>
      </c>
      <c r="S193" s="3">
        <f t="shared" si="13"/>
        <v>20</v>
      </c>
      <c r="T193" s="3">
        <f t="shared" si="14"/>
        <v>2740.5</v>
      </c>
      <c r="U193" s="24" t="s">
        <v>1081</v>
      </c>
      <c r="V193" s="24"/>
      <c r="W193" s="3"/>
      <c r="X193" s="3" t="s">
        <v>4501</v>
      </c>
      <c r="Y193" s="3" t="s">
        <v>4652</v>
      </c>
      <c r="Z193" s="3"/>
      <c r="AA193" s="3"/>
      <c r="AB193" s="3"/>
      <c r="AC193" s="3" t="str">
        <f>IF(Caja_Arequipa[[#This Row],[FECHA]]&gt;0,TEXT(Caja_Arequipa[[#This Row],[FECHA]],"mmmm"),0)</f>
        <v>Marzo</v>
      </c>
    </row>
    <row r="194" spans="2:29" x14ac:dyDescent="0.3">
      <c r="B194" s="2">
        <f>IF(Caja_Arequipa[[#This Row],[TIPO DE R.]]="R",COUNTIFS($D$4:$D193,"R")+1,"")</f>
        <v>190</v>
      </c>
      <c r="C194" s="19" t="str">
        <f t="shared" si="11"/>
        <v>C-Tesoreria</v>
      </c>
      <c r="D194" s="3" t="s">
        <v>1074</v>
      </c>
      <c r="E194" s="14">
        <v>45730</v>
      </c>
      <c r="F194" s="5" t="s">
        <v>1158</v>
      </c>
      <c r="G194" s="5" t="s">
        <v>1079</v>
      </c>
      <c r="H194" s="3" t="s">
        <v>3016</v>
      </c>
      <c r="I194" s="6"/>
      <c r="J194" s="6"/>
      <c r="K194" s="6"/>
      <c r="L194" s="6"/>
      <c r="M194" s="7" t="s">
        <v>4651</v>
      </c>
      <c r="N194" s="8" t="str">
        <f>IF(Caja_Arequipa[[#This Row],[TIPO DE R.]]="R","001-"&amp;12002+B194,N193)</f>
        <v>001-12192</v>
      </c>
      <c r="O194" s="8" t="str">
        <f t="shared" si="15"/>
        <v>PEN</v>
      </c>
      <c r="P194" s="13"/>
      <c r="Q194" s="13">
        <v>2</v>
      </c>
      <c r="R194" s="3">
        <f t="shared" si="12"/>
        <v>0</v>
      </c>
      <c r="S194" s="3">
        <f t="shared" si="13"/>
        <v>2</v>
      </c>
      <c r="T194" s="3">
        <f t="shared" si="14"/>
        <v>2738.5</v>
      </c>
      <c r="U194" s="24" t="s">
        <v>1081</v>
      </c>
      <c r="V194" s="24"/>
      <c r="W194" s="3"/>
      <c r="X194" s="3" t="s">
        <v>3016</v>
      </c>
      <c r="Y194" s="3" t="s">
        <v>4653</v>
      </c>
      <c r="Z194" s="3"/>
      <c r="AA194" s="3"/>
      <c r="AB194" s="3"/>
      <c r="AC194" s="3" t="str">
        <f>IF(Caja_Arequipa[[#This Row],[FECHA]]&gt;0,TEXT(Caja_Arequipa[[#This Row],[FECHA]],"mmmm"),0)</f>
        <v>Marzo</v>
      </c>
    </row>
    <row r="195" spans="2:29" x14ac:dyDescent="0.3">
      <c r="B195" s="2">
        <f>IF(Caja_Arequipa[[#This Row],[TIPO DE R.]]="R",COUNTIFS($D$4:$D194,"R")+1,"")</f>
        <v>191</v>
      </c>
      <c r="C195" s="19" t="str">
        <f t="shared" si="11"/>
        <v>C-Tesoreria</v>
      </c>
      <c r="D195" s="3" t="s">
        <v>1074</v>
      </c>
      <c r="E195" s="14">
        <v>45730</v>
      </c>
      <c r="F195" s="5" t="s">
        <v>1158</v>
      </c>
      <c r="G195" s="5" t="s">
        <v>1079</v>
      </c>
      <c r="H195" s="3" t="s">
        <v>4433</v>
      </c>
      <c r="I195" s="6"/>
      <c r="J195" s="6"/>
      <c r="K195" s="6"/>
      <c r="L195" s="6"/>
      <c r="M195" s="7" t="s">
        <v>4654</v>
      </c>
      <c r="N195" s="8" t="str">
        <f>IF(Caja_Arequipa[[#This Row],[TIPO DE R.]]="R","001-"&amp;12002+B195,N194)</f>
        <v>001-12193</v>
      </c>
      <c r="O195" s="8" t="str">
        <f t="shared" si="15"/>
        <v>PEN</v>
      </c>
      <c r="P195" s="13"/>
      <c r="Q195" s="13">
        <v>70</v>
      </c>
      <c r="R195" s="3">
        <f t="shared" si="12"/>
        <v>0</v>
      </c>
      <c r="S195" s="3">
        <f t="shared" si="13"/>
        <v>70</v>
      </c>
      <c r="T195" s="3">
        <f t="shared" si="14"/>
        <v>2668.5</v>
      </c>
      <c r="U195" s="24" t="s">
        <v>1081</v>
      </c>
      <c r="V195" s="24"/>
      <c r="W195" s="3"/>
      <c r="X195" s="3" t="s">
        <v>4433</v>
      </c>
      <c r="Y195" s="3" t="s">
        <v>4655</v>
      </c>
      <c r="Z195" s="3"/>
      <c r="AA195" s="3"/>
      <c r="AB195" s="3"/>
      <c r="AC195" s="3" t="str">
        <f>IF(Caja_Arequipa[[#This Row],[FECHA]]&gt;0,TEXT(Caja_Arequipa[[#This Row],[FECHA]],"mmmm"),0)</f>
        <v>Marzo</v>
      </c>
    </row>
    <row r="196" spans="2:29" x14ac:dyDescent="0.3">
      <c r="B196" s="2">
        <f>IF(Caja_Arequipa[[#This Row],[TIPO DE R.]]="R",COUNTIFS($D$4:$D195,"R")+1,"")</f>
        <v>192</v>
      </c>
      <c r="C196" s="19" t="str">
        <f t="shared" si="11"/>
        <v>C-Tesoreria</v>
      </c>
      <c r="D196" s="3" t="s">
        <v>1074</v>
      </c>
      <c r="E196" s="14">
        <v>45730</v>
      </c>
      <c r="F196" s="5" t="s">
        <v>1158</v>
      </c>
      <c r="G196" s="5" t="s">
        <v>1079</v>
      </c>
      <c r="H196" s="3" t="s">
        <v>4353</v>
      </c>
      <c r="I196" s="6"/>
      <c r="J196" s="6"/>
      <c r="K196" s="6"/>
      <c r="L196" s="6"/>
      <c r="M196" s="7" t="s">
        <v>4656</v>
      </c>
      <c r="N196" s="8" t="str">
        <f>IF(Caja_Arequipa[[#This Row],[TIPO DE R.]]="R","001-"&amp;12002+B196,N195)</f>
        <v>001-12194</v>
      </c>
      <c r="O196" s="8" t="str">
        <f t="shared" si="15"/>
        <v>PEN</v>
      </c>
      <c r="P196" s="13"/>
      <c r="Q196" s="13">
        <v>8</v>
      </c>
      <c r="R196" s="3">
        <f t="shared" si="12"/>
        <v>0</v>
      </c>
      <c r="S196" s="3">
        <f t="shared" si="13"/>
        <v>8</v>
      </c>
      <c r="T196" s="3">
        <f t="shared" si="14"/>
        <v>2660.5</v>
      </c>
      <c r="U196" s="24" t="s">
        <v>1081</v>
      </c>
      <c r="V196" s="24"/>
      <c r="W196" s="3"/>
      <c r="X196" s="3" t="s">
        <v>4353</v>
      </c>
      <c r="Y196" s="3" t="s">
        <v>4657</v>
      </c>
      <c r="Z196" s="3"/>
      <c r="AA196" s="3"/>
      <c r="AB196" s="3"/>
      <c r="AC196" s="3" t="str">
        <f>IF(Caja_Arequipa[[#This Row],[FECHA]]&gt;0,TEXT(Caja_Arequipa[[#This Row],[FECHA]],"mmmm"),0)</f>
        <v>Marzo</v>
      </c>
    </row>
    <row r="197" spans="2:29" ht="24" x14ac:dyDescent="0.3">
      <c r="B197" s="2">
        <f>IF(Caja_Arequipa[[#This Row],[TIPO DE R.]]="R",COUNTIFS($D$4:$D196,"R")+1,"")</f>
        <v>193</v>
      </c>
      <c r="C197" s="19" t="str">
        <f t="shared" ref="C197:C260" si="16">"C-Tesoreria"</f>
        <v>C-Tesoreria</v>
      </c>
      <c r="D197" s="3" t="s">
        <v>1074</v>
      </c>
      <c r="E197" s="14">
        <v>45730</v>
      </c>
      <c r="F197" s="5" t="s">
        <v>1158</v>
      </c>
      <c r="G197" s="5" t="s">
        <v>1079</v>
      </c>
      <c r="H197" s="3" t="s">
        <v>4353</v>
      </c>
      <c r="I197" s="6"/>
      <c r="J197" s="6"/>
      <c r="K197" s="6"/>
      <c r="L197" s="6"/>
      <c r="M197" s="7" t="s">
        <v>4658</v>
      </c>
      <c r="N197" s="8" t="str">
        <f>IF(Caja_Arequipa[[#This Row],[TIPO DE R.]]="R","001-"&amp;12002+B197,N196)</f>
        <v>001-12195</v>
      </c>
      <c r="O197" s="8" t="str">
        <f t="shared" si="15"/>
        <v>PEN</v>
      </c>
      <c r="P197" s="13"/>
      <c r="Q197" s="13">
        <v>20</v>
      </c>
      <c r="R197" s="3">
        <f t="shared" ref="R197:R260" si="17">+IF(OR($G197="SALDO",$G197="INGRESO"),$Q197,0)</f>
        <v>0</v>
      </c>
      <c r="S197" s="3">
        <f t="shared" ref="S197:S260" si="18">+IF($G197="EGRESO",$Q197,0)</f>
        <v>20</v>
      </c>
      <c r="T197" s="3">
        <f t="shared" ref="T197:T260" si="19">IFERROR(IF(G197="SALDO",R197,T196+R197-S197),0)</f>
        <v>2640.5</v>
      </c>
      <c r="U197" s="24" t="s">
        <v>1081</v>
      </c>
      <c r="V197" s="24"/>
      <c r="W197" s="3"/>
      <c r="X197" s="3" t="s">
        <v>4353</v>
      </c>
      <c r="Y197" s="3" t="s">
        <v>4659</v>
      </c>
      <c r="Z197" s="3"/>
      <c r="AA197" s="3"/>
      <c r="AB197" s="3"/>
      <c r="AC197" s="3" t="str">
        <f>IF(Caja_Arequipa[[#This Row],[FECHA]]&gt;0,TEXT(Caja_Arequipa[[#This Row],[FECHA]],"mmmm"),0)</f>
        <v>Marzo</v>
      </c>
    </row>
    <row r="198" spans="2:29" x14ac:dyDescent="0.3">
      <c r="B198" s="2">
        <f>IF(Caja_Arequipa[[#This Row],[TIPO DE R.]]="R",COUNTIFS($D$4:$D197,"R")+1,"")</f>
        <v>194</v>
      </c>
      <c r="C198" s="19" t="str">
        <f t="shared" si="16"/>
        <v>C-Tesoreria</v>
      </c>
      <c r="D198" s="3" t="s">
        <v>1074</v>
      </c>
      <c r="E198" s="14">
        <v>45730</v>
      </c>
      <c r="F198" s="5" t="s">
        <v>1158</v>
      </c>
      <c r="G198" s="5" t="s">
        <v>1079</v>
      </c>
      <c r="H198" s="3" t="s">
        <v>4353</v>
      </c>
      <c r="I198" s="6"/>
      <c r="J198" s="6"/>
      <c r="K198" s="6"/>
      <c r="L198" s="6"/>
      <c r="M198" s="7" t="s">
        <v>4660</v>
      </c>
      <c r="N198" s="8" t="str">
        <f>IF(Caja_Arequipa[[#This Row],[TIPO DE R.]]="R","001-"&amp;12002+B198,N197)</f>
        <v>001-12196</v>
      </c>
      <c r="O198" s="8" t="str">
        <f t="shared" ref="O198:O261" si="20">"PEN"</f>
        <v>PEN</v>
      </c>
      <c r="P198" s="13"/>
      <c r="Q198" s="13">
        <v>20</v>
      </c>
      <c r="R198" s="3">
        <f t="shared" si="17"/>
        <v>0</v>
      </c>
      <c r="S198" s="3">
        <f t="shared" si="18"/>
        <v>20</v>
      </c>
      <c r="T198" s="3">
        <f t="shared" si="19"/>
        <v>2620.5</v>
      </c>
      <c r="U198" s="24" t="s">
        <v>1081</v>
      </c>
      <c r="V198" s="24"/>
      <c r="W198" s="3"/>
      <c r="X198" s="3" t="s">
        <v>4353</v>
      </c>
      <c r="Y198" s="3" t="s">
        <v>4661</v>
      </c>
      <c r="Z198" s="3"/>
      <c r="AA198" s="3"/>
      <c r="AB198" s="3"/>
      <c r="AC198" s="3" t="str">
        <f>IF(Caja_Arequipa[[#This Row],[FECHA]]&gt;0,TEXT(Caja_Arequipa[[#This Row],[FECHA]],"mmmm"),0)</f>
        <v>Marzo</v>
      </c>
    </row>
    <row r="199" spans="2:29" x14ac:dyDescent="0.3">
      <c r="B199" s="2">
        <f>IF(Caja_Arequipa[[#This Row],[TIPO DE R.]]="R",COUNTIFS($D$4:$D198,"R")+1,"")</f>
        <v>195</v>
      </c>
      <c r="C199" s="19" t="str">
        <f t="shared" si="16"/>
        <v>C-Tesoreria</v>
      </c>
      <c r="D199" s="3" t="s">
        <v>1074</v>
      </c>
      <c r="E199" s="14">
        <v>45730</v>
      </c>
      <c r="F199" s="5" t="s">
        <v>1158</v>
      </c>
      <c r="G199" s="5" t="s">
        <v>1079</v>
      </c>
      <c r="H199" s="3" t="s">
        <v>4353</v>
      </c>
      <c r="I199" s="6"/>
      <c r="J199" s="6"/>
      <c r="K199" s="6"/>
      <c r="L199" s="6"/>
      <c r="M199" s="7" t="s">
        <v>4662</v>
      </c>
      <c r="N199" s="8" t="str">
        <f>IF(Caja_Arequipa[[#This Row],[TIPO DE R.]]="R","001-"&amp;12002+B199,N198)</f>
        <v>001-12197</v>
      </c>
      <c r="O199" s="8" t="str">
        <f t="shared" si="20"/>
        <v>PEN</v>
      </c>
      <c r="P199" s="13"/>
      <c r="Q199" s="13">
        <v>3</v>
      </c>
      <c r="R199" s="3">
        <f t="shared" si="17"/>
        <v>0</v>
      </c>
      <c r="S199" s="3">
        <f t="shared" si="18"/>
        <v>3</v>
      </c>
      <c r="T199" s="3">
        <f t="shared" si="19"/>
        <v>2617.5</v>
      </c>
      <c r="U199" s="24" t="s">
        <v>1081</v>
      </c>
      <c r="V199" s="24"/>
      <c r="W199" s="3"/>
      <c r="X199" s="3" t="s">
        <v>4353</v>
      </c>
      <c r="Y199" s="3" t="s">
        <v>4663</v>
      </c>
      <c r="Z199" s="3"/>
      <c r="AA199" s="3"/>
      <c r="AB199" s="3"/>
      <c r="AC199" s="3" t="str">
        <f>IF(Caja_Arequipa[[#This Row],[FECHA]]&gt;0,TEXT(Caja_Arequipa[[#This Row],[FECHA]],"mmmm"),0)</f>
        <v>Marzo</v>
      </c>
    </row>
    <row r="200" spans="2:29" ht="24" x14ac:dyDescent="0.3">
      <c r="B200" s="2">
        <f>IF(Caja_Arequipa[[#This Row],[TIPO DE R.]]="R",COUNTIFS($D$4:$D199,"R")+1,"")</f>
        <v>196</v>
      </c>
      <c r="C200" s="19" t="str">
        <f t="shared" si="16"/>
        <v>C-Tesoreria</v>
      </c>
      <c r="D200" s="3" t="s">
        <v>1074</v>
      </c>
      <c r="E200" s="14">
        <v>45730</v>
      </c>
      <c r="F200" s="5" t="s">
        <v>1158</v>
      </c>
      <c r="G200" s="5" t="s">
        <v>1079</v>
      </c>
      <c r="H200" s="3" t="s">
        <v>4353</v>
      </c>
      <c r="I200" s="6"/>
      <c r="J200" s="6"/>
      <c r="K200" s="6"/>
      <c r="L200" s="6"/>
      <c r="M200" s="7" t="s">
        <v>4664</v>
      </c>
      <c r="N200" s="8" t="str">
        <f>IF(Caja_Arequipa[[#This Row],[TIPO DE R.]]="R","001-"&amp;12002+B200,N199)</f>
        <v>001-12198</v>
      </c>
      <c r="O200" s="8" t="str">
        <f t="shared" si="20"/>
        <v>PEN</v>
      </c>
      <c r="P200" s="13"/>
      <c r="Q200" s="13">
        <v>20</v>
      </c>
      <c r="R200" s="3">
        <f t="shared" si="17"/>
        <v>0</v>
      </c>
      <c r="S200" s="3">
        <f t="shared" si="18"/>
        <v>20</v>
      </c>
      <c r="T200" s="3">
        <f t="shared" si="19"/>
        <v>2597.5</v>
      </c>
      <c r="U200" s="24" t="s">
        <v>1081</v>
      </c>
      <c r="V200" s="24"/>
      <c r="W200" s="3"/>
      <c r="X200" s="3" t="s">
        <v>4353</v>
      </c>
      <c r="Y200" s="3" t="s">
        <v>4665</v>
      </c>
      <c r="Z200" s="3"/>
      <c r="AA200" s="3"/>
      <c r="AB200" s="3"/>
      <c r="AC200" s="3" t="str">
        <f>IF(Caja_Arequipa[[#This Row],[FECHA]]&gt;0,TEXT(Caja_Arequipa[[#This Row],[FECHA]],"mmmm"),0)</f>
        <v>Marzo</v>
      </c>
    </row>
    <row r="201" spans="2:29" ht="24" x14ac:dyDescent="0.3">
      <c r="B201" s="2">
        <f>IF(Caja_Arequipa[[#This Row],[TIPO DE R.]]="R",COUNTIFS($D$4:$D200,"R")+1,"")</f>
        <v>197</v>
      </c>
      <c r="C201" s="19" t="str">
        <f t="shared" si="16"/>
        <v>C-Tesoreria</v>
      </c>
      <c r="D201" s="3" t="s">
        <v>1074</v>
      </c>
      <c r="E201" s="14">
        <v>45730</v>
      </c>
      <c r="F201" s="5" t="s">
        <v>1158</v>
      </c>
      <c r="G201" s="5" t="s">
        <v>1079</v>
      </c>
      <c r="H201" s="3" t="s">
        <v>4353</v>
      </c>
      <c r="I201" s="6"/>
      <c r="J201" s="6"/>
      <c r="K201" s="6"/>
      <c r="L201" s="6"/>
      <c r="M201" s="7" t="s">
        <v>4664</v>
      </c>
      <c r="N201" s="8" t="str">
        <f>IF(Caja_Arequipa[[#This Row],[TIPO DE R.]]="R","001-"&amp;12002+B201,N200)</f>
        <v>001-12199</v>
      </c>
      <c r="O201" s="8" t="str">
        <f t="shared" si="20"/>
        <v>PEN</v>
      </c>
      <c r="P201" s="13"/>
      <c r="Q201" s="13">
        <v>10</v>
      </c>
      <c r="R201" s="3">
        <f t="shared" si="17"/>
        <v>0</v>
      </c>
      <c r="S201" s="3">
        <f t="shared" si="18"/>
        <v>10</v>
      </c>
      <c r="T201" s="3">
        <f t="shared" si="19"/>
        <v>2587.5</v>
      </c>
      <c r="U201" s="24" t="s">
        <v>1081</v>
      </c>
      <c r="V201" s="24"/>
      <c r="W201" s="3"/>
      <c r="X201" s="3" t="s">
        <v>4353</v>
      </c>
      <c r="Y201" s="3" t="s">
        <v>4666</v>
      </c>
      <c r="Z201" s="3"/>
      <c r="AA201" s="3"/>
      <c r="AB201" s="3"/>
      <c r="AC201" s="3" t="str">
        <f>IF(Caja_Arequipa[[#This Row],[FECHA]]&gt;0,TEXT(Caja_Arequipa[[#This Row],[FECHA]],"mmmm"),0)</f>
        <v>Marzo</v>
      </c>
    </row>
    <row r="202" spans="2:29" ht="24" x14ac:dyDescent="0.3">
      <c r="B202" s="2">
        <f>IF(Caja_Arequipa[[#This Row],[TIPO DE R.]]="R",COUNTIFS($D$4:$D201,"R")+1,"")</f>
        <v>198</v>
      </c>
      <c r="C202" s="19" t="str">
        <f t="shared" si="16"/>
        <v>C-Tesoreria</v>
      </c>
      <c r="D202" s="3" t="s">
        <v>1074</v>
      </c>
      <c r="E202" s="14">
        <v>45730</v>
      </c>
      <c r="F202" s="5" t="s">
        <v>1158</v>
      </c>
      <c r="G202" s="5" t="s">
        <v>1079</v>
      </c>
      <c r="H202" s="3" t="s">
        <v>4353</v>
      </c>
      <c r="I202" s="6"/>
      <c r="J202" s="6"/>
      <c r="K202" s="6"/>
      <c r="L202" s="6"/>
      <c r="M202" s="7" t="s">
        <v>4664</v>
      </c>
      <c r="N202" s="8" t="str">
        <f>IF(Caja_Arequipa[[#This Row],[TIPO DE R.]]="R","001-"&amp;12002+B202,N201)</f>
        <v>001-12200</v>
      </c>
      <c r="O202" s="8" t="str">
        <f t="shared" si="20"/>
        <v>PEN</v>
      </c>
      <c r="P202" s="13"/>
      <c r="Q202" s="13">
        <v>10</v>
      </c>
      <c r="R202" s="3">
        <f t="shared" si="17"/>
        <v>0</v>
      </c>
      <c r="S202" s="3">
        <f t="shared" si="18"/>
        <v>10</v>
      </c>
      <c r="T202" s="3">
        <f t="shared" si="19"/>
        <v>2577.5</v>
      </c>
      <c r="U202" s="24" t="s">
        <v>1081</v>
      </c>
      <c r="V202" s="24"/>
      <c r="W202" s="3"/>
      <c r="X202" s="3" t="s">
        <v>4353</v>
      </c>
      <c r="Y202" s="3" t="s">
        <v>4667</v>
      </c>
      <c r="Z202" s="3"/>
      <c r="AA202" s="3"/>
      <c r="AB202" s="3"/>
      <c r="AC202" s="3" t="str">
        <f>IF(Caja_Arequipa[[#This Row],[FECHA]]&gt;0,TEXT(Caja_Arequipa[[#This Row],[FECHA]],"mmmm"),0)</f>
        <v>Marzo</v>
      </c>
    </row>
    <row r="203" spans="2:29" ht="24" x14ac:dyDescent="0.3">
      <c r="B203" s="2">
        <f>IF(Caja_Arequipa[[#This Row],[TIPO DE R.]]="R",COUNTIFS($D$4:$D202,"R")+1,"")</f>
        <v>199</v>
      </c>
      <c r="C203" s="19" t="str">
        <f t="shared" si="16"/>
        <v>C-Tesoreria</v>
      </c>
      <c r="D203" s="3" t="s">
        <v>1074</v>
      </c>
      <c r="E203" s="14">
        <v>45730</v>
      </c>
      <c r="F203" s="5" t="s">
        <v>1158</v>
      </c>
      <c r="G203" s="5" t="s">
        <v>1087</v>
      </c>
      <c r="H203" s="3" t="s">
        <v>4303</v>
      </c>
      <c r="I203" s="6"/>
      <c r="J203" s="6"/>
      <c r="K203" s="6"/>
      <c r="L203" s="6"/>
      <c r="M203" s="7" t="s">
        <v>4668</v>
      </c>
      <c r="N203" s="8" t="str">
        <f>IF(Caja_Arequipa[[#This Row],[TIPO DE R.]]="R","001-"&amp;12002+B203,N202)</f>
        <v>001-12201</v>
      </c>
      <c r="O203" s="8" t="str">
        <f t="shared" si="20"/>
        <v>PEN</v>
      </c>
      <c r="P203" s="13"/>
      <c r="Q203" s="13">
        <v>42</v>
      </c>
      <c r="R203" s="3">
        <f t="shared" si="17"/>
        <v>42</v>
      </c>
      <c r="S203" s="3">
        <f t="shared" si="18"/>
        <v>0</v>
      </c>
      <c r="T203" s="3">
        <f t="shared" si="19"/>
        <v>2619.5</v>
      </c>
      <c r="U203" s="24" t="s">
        <v>4554</v>
      </c>
      <c r="V203" s="24"/>
      <c r="W203" s="3"/>
      <c r="X203" s="3" t="s">
        <v>4303</v>
      </c>
      <c r="Y203" s="3" t="s">
        <v>4648</v>
      </c>
      <c r="Z203" s="3"/>
      <c r="AA203" s="3"/>
      <c r="AB203" s="3"/>
      <c r="AC203" s="3" t="str">
        <f>IF(Caja_Arequipa[[#This Row],[FECHA]]&gt;0,TEXT(Caja_Arequipa[[#This Row],[FECHA]],"mmmm"),0)</f>
        <v>Marzo</v>
      </c>
    </row>
    <row r="204" spans="2:29" ht="24" x14ac:dyDescent="0.3">
      <c r="B204" s="2">
        <f>IF(Caja_Arequipa[[#This Row],[TIPO DE R.]]="R",COUNTIFS($D$4:$D203,"R")+1,"")</f>
        <v>200</v>
      </c>
      <c r="C204" s="19" t="str">
        <f t="shared" si="16"/>
        <v>C-Tesoreria</v>
      </c>
      <c r="D204" s="3" t="s">
        <v>1074</v>
      </c>
      <c r="E204" s="14">
        <v>45730</v>
      </c>
      <c r="F204" s="5" t="s">
        <v>1158</v>
      </c>
      <c r="G204" s="5" t="s">
        <v>1087</v>
      </c>
      <c r="H204" s="3" t="s">
        <v>4353</v>
      </c>
      <c r="I204" s="6"/>
      <c r="J204" s="6"/>
      <c r="K204" s="6"/>
      <c r="L204" s="6"/>
      <c r="M204" s="7" t="s">
        <v>4669</v>
      </c>
      <c r="N204" s="8" t="str">
        <f>IF(Caja_Arequipa[[#This Row],[TIPO DE R.]]="R","001-"&amp;12002+B204,N203)</f>
        <v>001-12202</v>
      </c>
      <c r="O204" s="8" t="str">
        <f t="shared" si="20"/>
        <v>PEN</v>
      </c>
      <c r="P204" s="13"/>
      <c r="Q204" s="13">
        <v>120</v>
      </c>
      <c r="R204" s="3">
        <f t="shared" si="17"/>
        <v>120</v>
      </c>
      <c r="S204" s="3">
        <f t="shared" si="18"/>
        <v>0</v>
      </c>
      <c r="T204" s="3">
        <f t="shared" si="19"/>
        <v>2739.5</v>
      </c>
      <c r="U204" s="24" t="s">
        <v>4554</v>
      </c>
      <c r="V204" s="24"/>
      <c r="W204" s="3"/>
      <c r="X204" s="3" t="s">
        <v>4353</v>
      </c>
      <c r="Y204" s="3" t="s">
        <v>4555</v>
      </c>
      <c r="Z204" s="3"/>
      <c r="AA204" s="3"/>
      <c r="AB204" s="3"/>
      <c r="AC204" s="3" t="str">
        <f>IF(Caja_Arequipa[[#This Row],[FECHA]]&gt;0,TEXT(Caja_Arequipa[[#This Row],[FECHA]],"mmmm"),0)</f>
        <v>Marzo</v>
      </c>
    </row>
    <row r="205" spans="2:29" ht="24" x14ac:dyDescent="0.3">
      <c r="B205" s="2">
        <f>IF(Caja_Arequipa[[#This Row],[TIPO DE R.]]="R",COUNTIFS($D$4:$D204,"R")+1,"")</f>
        <v>201</v>
      </c>
      <c r="C205" s="19" t="str">
        <f t="shared" si="16"/>
        <v>C-Tesoreria</v>
      </c>
      <c r="D205" s="3" t="s">
        <v>1074</v>
      </c>
      <c r="E205" s="14">
        <v>45733</v>
      </c>
      <c r="F205" s="5" t="s">
        <v>1158</v>
      </c>
      <c r="G205" s="5" t="s">
        <v>1079</v>
      </c>
      <c r="H205" s="3" t="s">
        <v>4357</v>
      </c>
      <c r="I205" s="6"/>
      <c r="J205" s="6"/>
      <c r="K205" s="6"/>
      <c r="L205" s="6"/>
      <c r="M205" s="7" t="s">
        <v>4670</v>
      </c>
      <c r="N205" s="8" t="str">
        <f>IF(Caja_Arequipa[[#This Row],[TIPO DE R.]]="R","001-"&amp;12002+B205,N204)</f>
        <v>001-12203</v>
      </c>
      <c r="O205" s="8" t="str">
        <f t="shared" si="20"/>
        <v>PEN</v>
      </c>
      <c r="P205" s="13"/>
      <c r="Q205" s="13">
        <v>26.9</v>
      </c>
      <c r="R205" s="3">
        <f t="shared" si="17"/>
        <v>0</v>
      </c>
      <c r="S205" s="3">
        <f t="shared" si="18"/>
        <v>26.9</v>
      </c>
      <c r="T205" s="3">
        <f t="shared" si="19"/>
        <v>2712.6</v>
      </c>
      <c r="U205" s="24" t="s">
        <v>1081</v>
      </c>
      <c r="V205" s="24"/>
      <c r="W205" s="3"/>
      <c r="X205" s="3" t="s">
        <v>4357</v>
      </c>
      <c r="Y205" s="3" t="s">
        <v>4671</v>
      </c>
      <c r="Z205" s="3"/>
      <c r="AA205" s="3"/>
      <c r="AB205" s="3"/>
      <c r="AC205" s="3" t="str">
        <f>IF(Caja_Arequipa[[#This Row],[FECHA]]&gt;0,TEXT(Caja_Arequipa[[#This Row],[FECHA]],"mmmm"),0)</f>
        <v>Marzo</v>
      </c>
    </row>
    <row r="206" spans="2:29" x14ac:dyDescent="0.3">
      <c r="B206" s="2">
        <f>IF(Caja_Arequipa[[#This Row],[TIPO DE R.]]="R",COUNTIFS($D$4:$D205,"R")+1,"")</f>
        <v>202</v>
      </c>
      <c r="C206" s="19" t="str">
        <f t="shared" si="16"/>
        <v>C-Tesoreria</v>
      </c>
      <c r="D206" s="3" t="s">
        <v>1074</v>
      </c>
      <c r="E206" s="14">
        <v>45733</v>
      </c>
      <c r="F206" s="5" t="s">
        <v>1158</v>
      </c>
      <c r="G206" s="5" t="s">
        <v>1079</v>
      </c>
      <c r="H206" s="3" t="s">
        <v>4357</v>
      </c>
      <c r="I206" s="6"/>
      <c r="J206" s="6"/>
      <c r="K206" s="6"/>
      <c r="L206" s="6"/>
      <c r="M206" s="7" t="s">
        <v>4672</v>
      </c>
      <c r="N206" s="8" t="str">
        <f>IF(Caja_Arequipa[[#This Row],[TIPO DE R.]]="R","001-"&amp;12002+B206,N205)</f>
        <v>001-12204</v>
      </c>
      <c r="O206" s="8" t="str">
        <f t="shared" si="20"/>
        <v>PEN</v>
      </c>
      <c r="P206" s="13"/>
      <c r="Q206" s="13">
        <v>24</v>
      </c>
      <c r="R206" s="3">
        <f t="shared" si="17"/>
        <v>0</v>
      </c>
      <c r="S206" s="3">
        <f t="shared" si="18"/>
        <v>24</v>
      </c>
      <c r="T206" s="3">
        <f t="shared" si="19"/>
        <v>2688.6</v>
      </c>
      <c r="U206" s="24" t="s">
        <v>1081</v>
      </c>
      <c r="V206" s="24"/>
      <c r="W206" s="3"/>
      <c r="X206" s="3" t="s">
        <v>4357</v>
      </c>
      <c r="Y206" s="3" t="s">
        <v>4673</v>
      </c>
      <c r="Z206" s="3"/>
      <c r="AA206" s="3"/>
      <c r="AB206" s="3"/>
      <c r="AC206" s="3" t="str">
        <f>IF(Caja_Arequipa[[#This Row],[FECHA]]&gt;0,TEXT(Caja_Arequipa[[#This Row],[FECHA]],"mmmm"),0)</f>
        <v>Marzo</v>
      </c>
    </row>
    <row r="207" spans="2:29" ht="24" x14ac:dyDescent="0.3">
      <c r="B207" s="2">
        <f>IF(Caja_Arequipa[[#This Row],[TIPO DE R.]]="R",COUNTIFS($D$4:$D206,"R")+1,"")</f>
        <v>203</v>
      </c>
      <c r="C207" s="19" t="str">
        <f t="shared" si="16"/>
        <v>C-Tesoreria</v>
      </c>
      <c r="D207" s="3" t="s">
        <v>1074</v>
      </c>
      <c r="E207" s="14">
        <v>45733</v>
      </c>
      <c r="F207" s="5" t="s">
        <v>1158</v>
      </c>
      <c r="G207" s="5" t="s">
        <v>1079</v>
      </c>
      <c r="H207" s="3" t="s">
        <v>4353</v>
      </c>
      <c r="I207" s="6"/>
      <c r="J207" s="6"/>
      <c r="K207" s="6"/>
      <c r="L207" s="6"/>
      <c r="M207" s="7" t="s">
        <v>4674</v>
      </c>
      <c r="N207" s="8" t="str">
        <f>IF(Caja_Arequipa[[#This Row],[TIPO DE R.]]="R","001-"&amp;12002+B207,N206)</f>
        <v>001-12205</v>
      </c>
      <c r="O207" s="8" t="str">
        <f t="shared" si="20"/>
        <v>PEN</v>
      </c>
      <c r="P207" s="13"/>
      <c r="Q207" s="13">
        <v>65</v>
      </c>
      <c r="R207" s="3">
        <f t="shared" si="17"/>
        <v>0</v>
      </c>
      <c r="S207" s="3">
        <f t="shared" si="18"/>
        <v>65</v>
      </c>
      <c r="T207" s="3">
        <f t="shared" si="19"/>
        <v>2623.6</v>
      </c>
      <c r="U207" s="24"/>
      <c r="V207" s="24"/>
      <c r="W207" s="3"/>
      <c r="X207" s="3" t="s">
        <v>4353</v>
      </c>
      <c r="Y207" s="3" t="s">
        <v>4675</v>
      </c>
      <c r="Z207" s="3"/>
      <c r="AA207" s="3"/>
      <c r="AB207" s="3"/>
      <c r="AC207" s="3" t="str">
        <f>IF(Caja_Arequipa[[#This Row],[FECHA]]&gt;0,TEXT(Caja_Arequipa[[#This Row],[FECHA]],"mmmm"),0)</f>
        <v>Marzo</v>
      </c>
    </row>
    <row r="208" spans="2:29" x14ac:dyDescent="0.3">
      <c r="B208" s="2">
        <f>IF(Caja_Arequipa[[#This Row],[TIPO DE R.]]="R",COUNTIFS($D$4:$D207,"R")+1,"")</f>
        <v>204</v>
      </c>
      <c r="C208" s="19" t="str">
        <f t="shared" si="16"/>
        <v>C-Tesoreria</v>
      </c>
      <c r="D208" s="3" t="s">
        <v>1074</v>
      </c>
      <c r="E208" s="14">
        <v>45733</v>
      </c>
      <c r="F208" s="5" t="s">
        <v>1158</v>
      </c>
      <c r="G208" s="5" t="s">
        <v>1079</v>
      </c>
      <c r="H208" s="3" t="s">
        <v>4314</v>
      </c>
      <c r="I208" s="6"/>
      <c r="J208" s="6"/>
      <c r="K208" s="6"/>
      <c r="L208" s="6"/>
      <c r="M208" s="7" t="s">
        <v>4545</v>
      </c>
      <c r="N208" s="8" t="str">
        <f>IF(Caja_Arequipa[[#This Row],[TIPO DE R.]]="R","001-"&amp;12002+B208,N207)</f>
        <v>001-12206</v>
      </c>
      <c r="O208" s="8" t="str">
        <f t="shared" si="20"/>
        <v>PEN</v>
      </c>
      <c r="P208" s="13"/>
      <c r="Q208" s="13">
        <v>40</v>
      </c>
      <c r="R208" s="3">
        <f t="shared" si="17"/>
        <v>0</v>
      </c>
      <c r="S208" s="3">
        <f t="shared" si="18"/>
        <v>40</v>
      </c>
      <c r="T208" s="3">
        <f t="shared" si="19"/>
        <v>2583.6</v>
      </c>
      <c r="U208" s="24" t="s">
        <v>1081</v>
      </c>
      <c r="V208" s="24"/>
      <c r="W208" s="3"/>
      <c r="X208" s="3" t="s">
        <v>4314</v>
      </c>
      <c r="Y208" s="3" t="s">
        <v>4676</v>
      </c>
      <c r="Z208" s="3"/>
      <c r="AA208" s="3"/>
      <c r="AB208" s="3"/>
      <c r="AC208" s="3" t="str">
        <f>IF(Caja_Arequipa[[#This Row],[FECHA]]&gt;0,TEXT(Caja_Arequipa[[#This Row],[FECHA]],"mmmm"),0)</f>
        <v>Marzo</v>
      </c>
    </row>
    <row r="209" spans="2:29" x14ac:dyDescent="0.3">
      <c r="B209" s="2">
        <f>IF(Caja_Arequipa[[#This Row],[TIPO DE R.]]="R",COUNTIFS($D$4:$D208,"R")+1,"")</f>
        <v>205</v>
      </c>
      <c r="C209" s="19" t="str">
        <f t="shared" si="16"/>
        <v>C-Tesoreria</v>
      </c>
      <c r="D209" s="3" t="s">
        <v>1074</v>
      </c>
      <c r="E209" s="14">
        <v>45733</v>
      </c>
      <c r="F209" s="5" t="s">
        <v>1158</v>
      </c>
      <c r="G209" s="5" t="s">
        <v>1079</v>
      </c>
      <c r="H209" s="3" t="s">
        <v>4314</v>
      </c>
      <c r="I209" s="6"/>
      <c r="J209" s="6"/>
      <c r="K209" s="6"/>
      <c r="L209" s="6"/>
      <c r="M209" s="7" t="s">
        <v>4677</v>
      </c>
      <c r="N209" s="8" t="str">
        <f>IF(Caja_Arequipa[[#This Row],[TIPO DE R.]]="R","001-"&amp;12002+B209,N208)</f>
        <v>001-12207</v>
      </c>
      <c r="O209" s="8" t="str">
        <f t="shared" si="20"/>
        <v>PEN</v>
      </c>
      <c r="P209" s="13"/>
      <c r="Q209" s="13">
        <v>5</v>
      </c>
      <c r="R209" s="3">
        <f t="shared" si="17"/>
        <v>0</v>
      </c>
      <c r="S209" s="3">
        <f t="shared" si="18"/>
        <v>5</v>
      </c>
      <c r="T209" s="3">
        <f t="shared" si="19"/>
        <v>2578.6</v>
      </c>
      <c r="U209" s="24" t="s">
        <v>1081</v>
      </c>
      <c r="V209" s="24"/>
      <c r="W209" s="3"/>
      <c r="X209" s="3" t="s">
        <v>4314</v>
      </c>
      <c r="Y209" s="3" t="s">
        <v>4678</v>
      </c>
      <c r="Z209" s="3"/>
      <c r="AA209" s="3"/>
      <c r="AB209" s="3"/>
      <c r="AC209" s="3" t="str">
        <f>IF(Caja_Arequipa[[#This Row],[FECHA]]&gt;0,TEXT(Caja_Arequipa[[#This Row],[FECHA]],"mmmm"),0)</f>
        <v>Marzo</v>
      </c>
    </row>
    <row r="210" spans="2:29" x14ac:dyDescent="0.3">
      <c r="B210" s="2">
        <f>IF(Caja_Arequipa[[#This Row],[TIPO DE R.]]="R",COUNTIFS($D$4:$D209,"R")+1,"")</f>
        <v>206</v>
      </c>
      <c r="C210" s="19" t="str">
        <f t="shared" si="16"/>
        <v>C-Tesoreria</v>
      </c>
      <c r="D210" s="3" t="s">
        <v>1074</v>
      </c>
      <c r="E210" s="14">
        <v>45733</v>
      </c>
      <c r="F210" s="5" t="s">
        <v>1158</v>
      </c>
      <c r="G210" s="5" t="s">
        <v>1079</v>
      </c>
      <c r="H210" s="3" t="s">
        <v>4314</v>
      </c>
      <c r="I210" s="6"/>
      <c r="J210" s="6"/>
      <c r="K210" s="6"/>
      <c r="L210" s="6"/>
      <c r="M210" s="7" t="s">
        <v>4679</v>
      </c>
      <c r="N210" s="8" t="str">
        <f>IF(Caja_Arequipa[[#This Row],[TIPO DE R.]]="R","001-"&amp;12002+B210,N209)</f>
        <v>001-12208</v>
      </c>
      <c r="O210" s="8" t="str">
        <f t="shared" si="20"/>
        <v>PEN</v>
      </c>
      <c r="P210" s="13"/>
      <c r="Q210" s="13">
        <v>126</v>
      </c>
      <c r="R210" s="3">
        <f t="shared" si="17"/>
        <v>0</v>
      </c>
      <c r="S210" s="3">
        <f t="shared" si="18"/>
        <v>126</v>
      </c>
      <c r="T210" s="3">
        <f t="shared" si="19"/>
        <v>2452.6</v>
      </c>
      <c r="U210" s="24" t="s">
        <v>1081</v>
      </c>
      <c r="V210" s="24"/>
      <c r="W210" s="3"/>
      <c r="X210" s="3" t="s">
        <v>4314</v>
      </c>
      <c r="Y210" s="3" t="s">
        <v>4680</v>
      </c>
      <c r="Z210" s="3"/>
      <c r="AA210" s="3"/>
      <c r="AB210" s="3"/>
      <c r="AC210" s="3" t="str">
        <f>IF(Caja_Arequipa[[#This Row],[FECHA]]&gt;0,TEXT(Caja_Arequipa[[#This Row],[FECHA]],"mmmm"),0)</f>
        <v>Marzo</v>
      </c>
    </row>
    <row r="211" spans="2:29" x14ac:dyDescent="0.3">
      <c r="B211" s="2">
        <f>IF(Caja_Arequipa[[#This Row],[TIPO DE R.]]="R",COUNTIFS($D$4:$D210,"R")+1,"")</f>
        <v>207</v>
      </c>
      <c r="C211" s="19" t="str">
        <f t="shared" si="16"/>
        <v>C-Tesoreria</v>
      </c>
      <c r="D211" s="3" t="s">
        <v>1074</v>
      </c>
      <c r="E211" s="14">
        <v>45733</v>
      </c>
      <c r="F211" s="5" t="s">
        <v>1158</v>
      </c>
      <c r="G211" s="5" t="s">
        <v>1079</v>
      </c>
      <c r="H211" s="3" t="s">
        <v>4314</v>
      </c>
      <c r="I211" s="6"/>
      <c r="J211" s="6"/>
      <c r="K211" s="6"/>
      <c r="L211" s="6"/>
      <c r="M211" s="7" t="s">
        <v>4566</v>
      </c>
      <c r="N211" s="8" t="str">
        <f>IF(Caja_Arequipa[[#This Row],[TIPO DE R.]]="R","001-"&amp;12002+B211,N210)</f>
        <v>001-12209</v>
      </c>
      <c r="O211" s="8" t="str">
        <f t="shared" si="20"/>
        <v>PEN</v>
      </c>
      <c r="P211" s="13"/>
      <c r="Q211" s="13">
        <v>25</v>
      </c>
      <c r="R211" s="3">
        <f t="shared" si="17"/>
        <v>0</v>
      </c>
      <c r="S211" s="3">
        <f t="shared" si="18"/>
        <v>25</v>
      </c>
      <c r="T211" s="3">
        <f t="shared" si="19"/>
        <v>2427.6</v>
      </c>
      <c r="U211" s="24" t="s">
        <v>1081</v>
      </c>
      <c r="V211" s="24"/>
      <c r="W211" s="3"/>
      <c r="X211" s="3" t="s">
        <v>4314</v>
      </c>
      <c r="Y211" s="3" t="s">
        <v>4681</v>
      </c>
      <c r="Z211" s="3"/>
      <c r="AA211" s="3"/>
      <c r="AB211" s="3"/>
      <c r="AC211" s="3" t="str">
        <f>IF(Caja_Arequipa[[#This Row],[FECHA]]&gt;0,TEXT(Caja_Arequipa[[#This Row],[FECHA]],"mmmm"),0)</f>
        <v>Marzo</v>
      </c>
    </row>
    <row r="212" spans="2:29" x14ac:dyDescent="0.3">
      <c r="B212" s="2">
        <f>IF(Caja_Arequipa[[#This Row],[TIPO DE R.]]="R",COUNTIFS($D$4:$D211,"R")+1,"")</f>
        <v>208</v>
      </c>
      <c r="C212" s="19" t="str">
        <f t="shared" si="16"/>
        <v>C-Tesoreria</v>
      </c>
      <c r="D212" s="3" t="s">
        <v>1074</v>
      </c>
      <c r="E212" s="14">
        <v>45733</v>
      </c>
      <c r="F212" s="5" t="s">
        <v>1158</v>
      </c>
      <c r="G212" s="5" t="s">
        <v>1079</v>
      </c>
      <c r="H212" s="3" t="s">
        <v>4314</v>
      </c>
      <c r="I212" s="6"/>
      <c r="J212" s="6"/>
      <c r="K212" s="6"/>
      <c r="L212" s="6"/>
      <c r="M212" s="7" t="s">
        <v>4603</v>
      </c>
      <c r="N212" s="8" t="str">
        <f>IF(Caja_Arequipa[[#This Row],[TIPO DE R.]]="R","001-"&amp;12002+B212,N211)</f>
        <v>001-12210</v>
      </c>
      <c r="O212" s="8" t="str">
        <f t="shared" si="20"/>
        <v>PEN</v>
      </c>
      <c r="P212" s="13"/>
      <c r="Q212" s="13">
        <v>34</v>
      </c>
      <c r="R212" s="3">
        <f t="shared" si="17"/>
        <v>0</v>
      </c>
      <c r="S212" s="3">
        <f t="shared" si="18"/>
        <v>34</v>
      </c>
      <c r="T212" s="3">
        <f t="shared" si="19"/>
        <v>2393.6</v>
      </c>
      <c r="U212" s="24" t="s">
        <v>1081</v>
      </c>
      <c r="V212" s="24"/>
      <c r="W212" s="3"/>
      <c r="X212" s="3" t="s">
        <v>4314</v>
      </c>
      <c r="Y212" s="3" t="s">
        <v>4682</v>
      </c>
      <c r="Z212" s="3"/>
      <c r="AA212" s="3"/>
      <c r="AB212" s="3"/>
      <c r="AC212" s="3" t="str">
        <f>IF(Caja_Arequipa[[#This Row],[FECHA]]&gt;0,TEXT(Caja_Arequipa[[#This Row],[FECHA]],"mmmm"),0)</f>
        <v>Marzo</v>
      </c>
    </row>
    <row r="213" spans="2:29" x14ac:dyDescent="0.3">
      <c r="B213" s="2">
        <f>IF(Caja_Arequipa[[#This Row],[TIPO DE R.]]="R",COUNTIFS($D$4:$D212,"R")+1,"")</f>
        <v>209</v>
      </c>
      <c r="C213" s="19" t="str">
        <f t="shared" si="16"/>
        <v>C-Tesoreria</v>
      </c>
      <c r="D213" s="3" t="s">
        <v>1074</v>
      </c>
      <c r="E213" s="14">
        <v>45733</v>
      </c>
      <c r="F213" s="5" t="s">
        <v>1158</v>
      </c>
      <c r="G213" s="5" t="s">
        <v>1079</v>
      </c>
      <c r="H213" s="3" t="s">
        <v>4314</v>
      </c>
      <c r="I213" s="6"/>
      <c r="J213" s="6"/>
      <c r="K213" s="6"/>
      <c r="L213" s="6"/>
      <c r="M213" s="7" t="s">
        <v>4683</v>
      </c>
      <c r="N213" s="8" t="str">
        <f>IF(Caja_Arequipa[[#This Row],[TIPO DE R.]]="R","001-"&amp;12002+B213,N212)</f>
        <v>001-12211</v>
      </c>
      <c r="O213" s="8" t="str">
        <f t="shared" si="20"/>
        <v>PEN</v>
      </c>
      <c r="P213" s="13"/>
      <c r="Q213" s="13">
        <v>5</v>
      </c>
      <c r="R213" s="3">
        <f t="shared" si="17"/>
        <v>0</v>
      </c>
      <c r="S213" s="3">
        <f t="shared" si="18"/>
        <v>5</v>
      </c>
      <c r="T213" s="3">
        <f t="shared" si="19"/>
        <v>2388.6</v>
      </c>
      <c r="U213" s="24" t="s">
        <v>1081</v>
      </c>
      <c r="V213" s="24"/>
      <c r="W213" s="3"/>
      <c r="X213" s="3" t="s">
        <v>4314</v>
      </c>
      <c r="Y213" s="3" t="s">
        <v>4684</v>
      </c>
      <c r="Z213" s="3"/>
      <c r="AA213" s="3"/>
      <c r="AB213" s="3"/>
      <c r="AC213" s="3" t="str">
        <f>IF(Caja_Arequipa[[#This Row],[FECHA]]&gt;0,TEXT(Caja_Arequipa[[#This Row],[FECHA]],"mmmm"),0)</f>
        <v>Marzo</v>
      </c>
    </row>
    <row r="214" spans="2:29" ht="24" x14ac:dyDescent="0.3">
      <c r="B214" s="2">
        <f>IF(Caja_Arequipa[[#This Row],[TIPO DE R.]]="R",COUNTIFS($D$4:$D213,"R")+1,"")</f>
        <v>210</v>
      </c>
      <c r="C214" s="19" t="str">
        <f t="shared" si="16"/>
        <v>C-Tesoreria</v>
      </c>
      <c r="D214" s="3" t="s">
        <v>1074</v>
      </c>
      <c r="E214" s="14">
        <v>45734</v>
      </c>
      <c r="F214" s="5" t="s">
        <v>1158</v>
      </c>
      <c r="G214" s="5" t="s">
        <v>1079</v>
      </c>
      <c r="H214" s="3" t="s">
        <v>4329</v>
      </c>
      <c r="I214" s="6"/>
      <c r="J214" s="6"/>
      <c r="K214" s="6"/>
      <c r="L214" s="6"/>
      <c r="M214" s="7" t="s">
        <v>4685</v>
      </c>
      <c r="N214" s="8" t="str">
        <f>IF(Caja_Arequipa[[#This Row],[TIPO DE R.]]="R","001-"&amp;12002+B214,N213)</f>
        <v>001-12212</v>
      </c>
      <c r="O214" s="8" t="str">
        <f t="shared" si="20"/>
        <v>PEN</v>
      </c>
      <c r="P214" s="13"/>
      <c r="Q214" s="13">
        <v>10</v>
      </c>
      <c r="R214" s="3">
        <f t="shared" si="17"/>
        <v>0</v>
      </c>
      <c r="S214" s="3">
        <f t="shared" si="18"/>
        <v>10</v>
      </c>
      <c r="T214" s="3">
        <f t="shared" si="19"/>
        <v>2378.6</v>
      </c>
      <c r="U214" s="24" t="s">
        <v>1081</v>
      </c>
      <c r="V214" s="24"/>
      <c r="W214" s="3"/>
      <c r="X214" s="3" t="s">
        <v>4329</v>
      </c>
      <c r="Y214" s="3" t="s">
        <v>4686</v>
      </c>
      <c r="Z214" s="3"/>
      <c r="AA214" s="3"/>
      <c r="AB214" s="3"/>
      <c r="AC214" s="3" t="str">
        <f>IF(Caja_Arequipa[[#This Row],[FECHA]]&gt;0,TEXT(Caja_Arequipa[[#This Row],[FECHA]],"mmmm"),0)</f>
        <v>Marzo</v>
      </c>
    </row>
    <row r="215" spans="2:29" ht="24" x14ac:dyDescent="0.3">
      <c r="B215" s="2">
        <f>IF(Caja_Arequipa[[#This Row],[TIPO DE R.]]="R",COUNTIFS($D$4:$D214,"R")+1,"")</f>
        <v>211</v>
      </c>
      <c r="C215" s="19" t="str">
        <f t="shared" si="16"/>
        <v>C-Tesoreria</v>
      </c>
      <c r="D215" s="3" t="s">
        <v>1074</v>
      </c>
      <c r="E215" s="14">
        <v>45734</v>
      </c>
      <c r="F215" s="5" t="s">
        <v>1158</v>
      </c>
      <c r="G215" s="5" t="s">
        <v>1079</v>
      </c>
      <c r="H215" s="3" t="s">
        <v>4329</v>
      </c>
      <c r="I215" s="6"/>
      <c r="J215" s="6"/>
      <c r="K215" s="6"/>
      <c r="L215" s="6"/>
      <c r="M215" s="7" t="s">
        <v>4687</v>
      </c>
      <c r="N215" s="8" t="str">
        <f>IF(Caja_Arequipa[[#This Row],[TIPO DE R.]]="R","001-"&amp;12002+B215,N214)</f>
        <v>001-12213</v>
      </c>
      <c r="O215" s="8" t="str">
        <f t="shared" si="20"/>
        <v>PEN</v>
      </c>
      <c r="P215" s="13"/>
      <c r="Q215" s="13">
        <v>20</v>
      </c>
      <c r="R215" s="3">
        <f t="shared" si="17"/>
        <v>0</v>
      </c>
      <c r="S215" s="3">
        <f t="shared" si="18"/>
        <v>20</v>
      </c>
      <c r="T215" s="3">
        <f t="shared" si="19"/>
        <v>2358.6</v>
      </c>
      <c r="U215" s="24" t="s">
        <v>1081</v>
      </c>
      <c r="V215" s="24"/>
      <c r="W215" s="3"/>
      <c r="X215" s="3" t="s">
        <v>4329</v>
      </c>
      <c r="Y215" s="3" t="s">
        <v>4688</v>
      </c>
      <c r="Z215" s="3"/>
      <c r="AA215" s="3"/>
      <c r="AB215" s="3"/>
      <c r="AC215" s="3" t="str">
        <f>IF(Caja_Arequipa[[#This Row],[FECHA]]&gt;0,TEXT(Caja_Arequipa[[#This Row],[FECHA]],"mmmm"),0)</f>
        <v>Marzo</v>
      </c>
    </row>
    <row r="216" spans="2:29" x14ac:dyDescent="0.3">
      <c r="B216" s="2">
        <f>IF(Caja_Arequipa[[#This Row],[TIPO DE R.]]="R",COUNTIFS($D$4:$D215,"R")+1,"")</f>
        <v>212</v>
      </c>
      <c r="C216" s="19" t="str">
        <f t="shared" si="16"/>
        <v>C-Tesoreria</v>
      </c>
      <c r="D216" s="3" t="s">
        <v>1074</v>
      </c>
      <c r="E216" s="14">
        <v>45734</v>
      </c>
      <c r="F216" s="5" t="s">
        <v>1158</v>
      </c>
      <c r="G216" s="5" t="s">
        <v>1079</v>
      </c>
      <c r="H216" s="3" t="s">
        <v>3353</v>
      </c>
      <c r="I216" s="6"/>
      <c r="J216" s="6"/>
      <c r="K216" s="6"/>
      <c r="L216" s="6"/>
      <c r="M216" s="7" t="s">
        <v>4486</v>
      </c>
      <c r="N216" s="8" t="str">
        <f>IF(Caja_Arequipa[[#This Row],[TIPO DE R.]]="R","001-"&amp;12002+B216,N215)</f>
        <v>001-12214</v>
      </c>
      <c r="O216" s="8" t="str">
        <f t="shared" si="20"/>
        <v>PEN</v>
      </c>
      <c r="P216" s="13"/>
      <c r="Q216" s="13">
        <v>1500</v>
      </c>
      <c r="R216" s="3">
        <f t="shared" si="17"/>
        <v>0</v>
      </c>
      <c r="S216" s="3">
        <f t="shared" si="18"/>
        <v>1500</v>
      </c>
      <c r="T216" s="3">
        <f t="shared" si="19"/>
        <v>858.59999999999991</v>
      </c>
      <c r="U216" s="24"/>
      <c r="V216" s="24"/>
      <c r="W216" s="3"/>
      <c r="X216" s="3" t="s">
        <v>3353</v>
      </c>
      <c r="Y216" s="3"/>
      <c r="Z216" s="3"/>
      <c r="AA216" s="3"/>
      <c r="AB216" s="3"/>
      <c r="AC216" s="3" t="str">
        <f>IF(Caja_Arequipa[[#This Row],[FECHA]]&gt;0,TEXT(Caja_Arequipa[[#This Row],[FECHA]],"mmmm"),0)</f>
        <v>Marzo</v>
      </c>
    </row>
    <row r="217" spans="2:29" x14ac:dyDescent="0.3">
      <c r="B217" s="2">
        <f>IF(Caja_Arequipa[[#This Row],[TIPO DE R.]]="R",COUNTIFS($D$4:$D216,"R")+1,"")</f>
        <v>213</v>
      </c>
      <c r="C217" s="19" t="str">
        <f t="shared" si="16"/>
        <v>C-Tesoreria</v>
      </c>
      <c r="D217" s="3" t="s">
        <v>1074</v>
      </c>
      <c r="E217" s="14">
        <v>45735</v>
      </c>
      <c r="F217" s="5" t="s">
        <v>1082</v>
      </c>
      <c r="G217" s="5" t="s">
        <v>1079</v>
      </c>
      <c r="H217" s="3" t="s">
        <v>4366</v>
      </c>
      <c r="I217" s="6"/>
      <c r="J217" s="6"/>
      <c r="K217" s="6"/>
      <c r="L217" s="6"/>
      <c r="M217" s="7" t="s">
        <v>4689</v>
      </c>
      <c r="N217" s="8" t="str">
        <f>IF(Caja_Arequipa[[#This Row],[TIPO DE R.]]="R","001-"&amp;12002+B217,N216)</f>
        <v>001-12215</v>
      </c>
      <c r="O217" s="8" t="str">
        <f t="shared" si="20"/>
        <v>PEN</v>
      </c>
      <c r="P217" s="13"/>
      <c r="Q217" s="13">
        <v>15</v>
      </c>
      <c r="R217" s="3">
        <f t="shared" si="17"/>
        <v>0</v>
      </c>
      <c r="S217" s="3">
        <f t="shared" si="18"/>
        <v>15</v>
      </c>
      <c r="T217" s="3">
        <f t="shared" si="19"/>
        <v>843.59999999999991</v>
      </c>
      <c r="U217" s="24" t="s">
        <v>1081</v>
      </c>
      <c r="V217" s="24"/>
      <c r="W217" s="3"/>
      <c r="X217" s="3" t="s">
        <v>4366</v>
      </c>
      <c r="Y217" s="3" t="s">
        <v>4690</v>
      </c>
      <c r="Z217" s="3"/>
      <c r="AA217" s="3"/>
      <c r="AB217" s="3"/>
      <c r="AC217" s="3" t="str">
        <f>IF(Caja_Arequipa[[#This Row],[FECHA]]&gt;0,TEXT(Caja_Arequipa[[#This Row],[FECHA]],"mmmm"),0)</f>
        <v>Marzo</v>
      </c>
    </row>
    <row r="218" spans="2:29" x14ac:dyDescent="0.3">
      <c r="B218" s="2">
        <f>IF(Caja_Arequipa[[#This Row],[TIPO DE R.]]="R",COUNTIFS($D$4:$D217,"R")+1,"")</f>
        <v>214</v>
      </c>
      <c r="C218" s="19" t="str">
        <f t="shared" si="16"/>
        <v>C-Tesoreria</v>
      </c>
      <c r="D218" s="3" t="s">
        <v>1074</v>
      </c>
      <c r="E218" s="14">
        <v>45735</v>
      </c>
      <c r="F218" s="5" t="s">
        <v>1082</v>
      </c>
      <c r="G218" s="5" t="s">
        <v>1079</v>
      </c>
      <c r="H218" s="3" t="s">
        <v>4433</v>
      </c>
      <c r="I218" s="6"/>
      <c r="J218" s="6"/>
      <c r="K218" s="6"/>
      <c r="L218" s="6"/>
      <c r="M218" s="7" t="s">
        <v>4691</v>
      </c>
      <c r="N218" s="8" t="str">
        <f>IF(Caja_Arequipa[[#This Row],[TIPO DE R.]]="R","001-"&amp;12002+B218,N217)</f>
        <v>001-12216</v>
      </c>
      <c r="O218" s="8" t="str">
        <f t="shared" si="20"/>
        <v>PEN</v>
      </c>
      <c r="P218" s="13"/>
      <c r="Q218" s="13">
        <v>20</v>
      </c>
      <c r="R218" s="3">
        <f t="shared" si="17"/>
        <v>0</v>
      </c>
      <c r="S218" s="3">
        <f t="shared" si="18"/>
        <v>20</v>
      </c>
      <c r="T218" s="3">
        <f t="shared" si="19"/>
        <v>823.59999999999991</v>
      </c>
      <c r="U218" s="24" t="s">
        <v>1081</v>
      </c>
      <c r="V218" s="24"/>
      <c r="W218" s="3"/>
      <c r="X218" s="3" t="s">
        <v>4433</v>
      </c>
      <c r="Y218" s="3" t="s">
        <v>4692</v>
      </c>
      <c r="Z218" s="3"/>
      <c r="AA218" s="3"/>
      <c r="AB218" s="3"/>
      <c r="AC218" s="3" t="str">
        <f>IF(Caja_Arequipa[[#This Row],[FECHA]]&gt;0,TEXT(Caja_Arequipa[[#This Row],[FECHA]],"mmmm"),0)</f>
        <v>Marzo</v>
      </c>
    </row>
    <row r="219" spans="2:29" ht="24" x14ac:dyDescent="0.3">
      <c r="B219" s="2">
        <f>IF(Caja_Arequipa[[#This Row],[TIPO DE R.]]="R",COUNTIFS($D$4:$D218,"R")+1,"")</f>
        <v>215</v>
      </c>
      <c r="C219" s="19" t="str">
        <f t="shared" si="16"/>
        <v>C-Tesoreria</v>
      </c>
      <c r="D219" s="3" t="s">
        <v>1074</v>
      </c>
      <c r="E219" s="14">
        <v>45735</v>
      </c>
      <c r="F219" s="5" t="s">
        <v>1082</v>
      </c>
      <c r="G219" s="5" t="s">
        <v>1079</v>
      </c>
      <c r="H219" s="3" t="s">
        <v>4433</v>
      </c>
      <c r="I219" s="6"/>
      <c r="J219" s="6"/>
      <c r="K219" s="6"/>
      <c r="L219" s="6"/>
      <c r="M219" s="7" t="s">
        <v>4693</v>
      </c>
      <c r="N219" s="8" t="str">
        <f>IF(Caja_Arequipa[[#This Row],[TIPO DE R.]]="R","001-"&amp;12002+B219,N218)</f>
        <v>001-12217</v>
      </c>
      <c r="O219" s="8" t="str">
        <f t="shared" si="20"/>
        <v>PEN</v>
      </c>
      <c r="P219" s="13"/>
      <c r="Q219" s="13">
        <v>60</v>
      </c>
      <c r="R219" s="3">
        <f t="shared" si="17"/>
        <v>0</v>
      </c>
      <c r="S219" s="3">
        <f t="shared" si="18"/>
        <v>60</v>
      </c>
      <c r="T219" s="3">
        <f t="shared" si="19"/>
        <v>763.59999999999991</v>
      </c>
      <c r="U219" s="24" t="s">
        <v>1081</v>
      </c>
      <c r="V219" s="24"/>
      <c r="W219" s="3"/>
      <c r="X219" s="3" t="s">
        <v>4433</v>
      </c>
      <c r="Y219" s="3" t="s">
        <v>4694</v>
      </c>
      <c r="Z219" s="3"/>
      <c r="AA219" s="3"/>
      <c r="AB219" s="3"/>
      <c r="AC219" s="3" t="str">
        <f>IF(Caja_Arequipa[[#This Row],[FECHA]]&gt;0,TEXT(Caja_Arequipa[[#This Row],[FECHA]],"mmmm"),0)</f>
        <v>Marzo</v>
      </c>
    </row>
    <row r="220" spans="2:29" x14ac:dyDescent="0.3">
      <c r="B220" s="2">
        <f>IF(Caja_Arequipa[[#This Row],[TIPO DE R.]]="R",COUNTIFS($D$4:$D219,"R")+1,"")</f>
        <v>216</v>
      </c>
      <c r="C220" s="19" t="str">
        <f t="shared" si="16"/>
        <v>C-Tesoreria</v>
      </c>
      <c r="D220" s="3" t="s">
        <v>1074</v>
      </c>
      <c r="E220" s="14">
        <v>45735</v>
      </c>
      <c r="F220" s="5" t="s">
        <v>1082</v>
      </c>
      <c r="G220" s="5" t="s">
        <v>1079</v>
      </c>
      <c r="H220" s="3" t="s">
        <v>4433</v>
      </c>
      <c r="I220" s="6"/>
      <c r="J220" s="6"/>
      <c r="K220" s="6"/>
      <c r="L220" s="6"/>
      <c r="M220" s="7" t="s">
        <v>4695</v>
      </c>
      <c r="N220" s="8" t="str">
        <f>IF(Caja_Arequipa[[#This Row],[TIPO DE R.]]="R","001-"&amp;12002+B220,N219)</f>
        <v>001-12218</v>
      </c>
      <c r="O220" s="8" t="str">
        <f t="shared" si="20"/>
        <v>PEN</v>
      </c>
      <c r="P220" s="13"/>
      <c r="Q220" s="13">
        <v>50</v>
      </c>
      <c r="R220" s="3">
        <f t="shared" si="17"/>
        <v>0</v>
      </c>
      <c r="S220" s="3">
        <f t="shared" si="18"/>
        <v>50</v>
      </c>
      <c r="T220" s="3">
        <f t="shared" si="19"/>
        <v>713.59999999999991</v>
      </c>
      <c r="U220" s="24" t="s">
        <v>1081</v>
      </c>
      <c r="V220" s="24"/>
      <c r="W220" s="3"/>
      <c r="X220" s="3" t="s">
        <v>4433</v>
      </c>
      <c r="Y220" s="3" t="s">
        <v>4696</v>
      </c>
      <c r="Z220" s="3"/>
      <c r="AA220" s="3"/>
      <c r="AB220" s="3"/>
      <c r="AC220" s="3" t="str">
        <f>IF(Caja_Arequipa[[#This Row],[FECHA]]&gt;0,TEXT(Caja_Arequipa[[#This Row],[FECHA]],"mmmm"),0)</f>
        <v>Marzo</v>
      </c>
    </row>
    <row r="221" spans="2:29" x14ac:dyDescent="0.3">
      <c r="B221" s="2">
        <f>IF(Caja_Arequipa[[#This Row],[TIPO DE R.]]="R",COUNTIFS($D$4:$D220,"R")+1,"")</f>
        <v>217</v>
      </c>
      <c r="C221" s="19" t="str">
        <f t="shared" si="16"/>
        <v>C-Tesoreria</v>
      </c>
      <c r="D221" s="3" t="s">
        <v>1074</v>
      </c>
      <c r="E221" s="14">
        <v>45736</v>
      </c>
      <c r="F221" s="5" t="s">
        <v>1082</v>
      </c>
      <c r="G221" s="5" t="s">
        <v>1079</v>
      </c>
      <c r="H221" s="3" t="s">
        <v>4329</v>
      </c>
      <c r="I221" s="6"/>
      <c r="J221" s="6"/>
      <c r="K221" s="6"/>
      <c r="L221" s="6"/>
      <c r="M221" s="7" t="s">
        <v>4697</v>
      </c>
      <c r="N221" s="8" t="str">
        <f>IF(Caja_Arequipa[[#This Row],[TIPO DE R.]]="R","001-"&amp;12002+B221,N220)</f>
        <v>001-12219</v>
      </c>
      <c r="O221" s="8" t="str">
        <f t="shared" si="20"/>
        <v>PEN</v>
      </c>
      <c r="P221" s="13"/>
      <c r="Q221" s="13">
        <v>50</v>
      </c>
      <c r="R221" s="3">
        <f t="shared" si="17"/>
        <v>0</v>
      </c>
      <c r="S221" s="3">
        <f t="shared" si="18"/>
        <v>50</v>
      </c>
      <c r="T221" s="3">
        <f t="shared" si="19"/>
        <v>663.59999999999991</v>
      </c>
      <c r="U221" s="24" t="s">
        <v>1081</v>
      </c>
      <c r="V221" s="24"/>
      <c r="W221" s="3"/>
      <c r="X221" s="3" t="s">
        <v>4329</v>
      </c>
      <c r="Y221" s="3" t="s">
        <v>4698</v>
      </c>
      <c r="Z221" s="3"/>
      <c r="AA221" s="3"/>
      <c r="AB221" s="3"/>
      <c r="AC221" s="3" t="str">
        <f>IF(Caja_Arequipa[[#This Row],[FECHA]]&gt;0,TEXT(Caja_Arequipa[[#This Row],[FECHA]],"mmmm"),0)</f>
        <v>Marzo</v>
      </c>
    </row>
    <row r="222" spans="2:29" ht="24" x14ac:dyDescent="0.3">
      <c r="B222" s="2">
        <f>IF(Caja_Arequipa[[#This Row],[TIPO DE R.]]="R",COUNTIFS($D$4:$D221,"R")+1,"")</f>
        <v>218</v>
      </c>
      <c r="C222" s="19" t="str">
        <f t="shared" si="16"/>
        <v>C-Tesoreria</v>
      </c>
      <c r="D222" s="3" t="s">
        <v>1074</v>
      </c>
      <c r="E222" s="14">
        <v>45736</v>
      </c>
      <c r="F222" s="5" t="s">
        <v>1082</v>
      </c>
      <c r="G222" s="5" t="s">
        <v>1079</v>
      </c>
      <c r="H222" s="3" t="s">
        <v>4353</v>
      </c>
      <c r="I222" s="6"/>
      <c r="J222" s="6"/>
      <c r="K222" s="6"/>
      <c r="L222" s="6"/>
      <c r="M222" s="7" t="s">
        <v>4699</v>
      </c>
      <c r="N222" s="8" t="str">
        <f>IF(Caja_Arequipa[[#This Row],[TIPO DE R.]]="R","001-"&amp;12002+B222,N221)</f>
        <v>001-12220</v>
      </c>
      <c r="O222" s="8" t="str">
        <f t="shared" si="20"/>
        <v>PEN</v>
      </c>
      <c r="P222" s="13"/>
      <c r="Q222" s="13">
        <v>10</v>
      </c>
      <c r="R222" s="3">
        <f t="shared" si="17"/>
        <v>0</v>
      </c>
      <c r="S222" s="3">
        <f t="shared" si="18"/>
        <v>10</v>
      </c>
      <c r="T222" s="3">
        <f t="shared" si="19"/>
        <v>653.59999999999991</v>
      </c>
      <c r="U222" s="24" t="s">
        <v>1081</v>
      </c>
      <c r="V222" s="24"/>
      <c r="W222" s="3"/>
      <c r="X222" s="3" t="s">
        <v>4353</v>
      </c>
      <c r="Y222" s="3" t="s">
        <v>4700</v>
      </c>
      <c r="Z222" s="3"/>
      <c r="AA222" s="3"/>
      <c r="AB222" s="3"/>
      <c r="AC222" s="3" t="str">
        <f>IF(Caja_Arequipa[[#This Row],[FECHA]]&gt;0,TEXT(Caja_Arequipa[[#This Row],[FECHA]],"mmmm"),0)</f>
        <v>Marzo</v>
      </c>
    </row>
    <row r="223" spans="2:29" x14ac:dyDescent="0.3">
      <c r="B223" s="2">
        <f>IF(Caja_Arequipa[[#This Row],[TIPO DE R.]]="R",COUNTIFS($D$4:$D222,"R")+1,"")</f>
        <v>219</v>
      </c>
      <c r="C223" s="19" t="str">
        <f t="shared" si="16"/>
        <v>C-Tesoreria</v>
      </c>
      <c r="D223" s="3" t="s">
        <v>1074</v>
      </c>
      <c r="E223" s="14">
        <v>45736</v>
      </c>
      <c r="F223" s="5" t="s">
        <v>1082</v>
      </c>
      <c r="G223" s="5" t="s">
        <v>1079</v>
      </c>
      <c r="H223" s="3" t="s">
        <v>4303</v>
      </c>
      <c r="I223" s="6"/>
      <c r="J223" s="6"/>
      <c r="K223" s="6"/>
      <c r="L223" s="6"/>
      <c r="M223" s="7" t="s">
        <v>4701</v>
      </c>
      <c r="N223" s="8" t="str">
        <f>IF(Caja_Arequipa[[#This Row],[TIPO DE R.]]="R","001-"&amp;12002+B223,N222)</f>
        <v>001-12221</v>
      </c>
      <c r="O223" s="8" t="str">
        <f t="shared" si="20"/>
        <v>PEN</v>
      </c>
      <c r="P223" s="13"/>
      <c r="Q223" s="13">
        <v>16</v>
      </c>
      <c r="R223" s="3">
        <f t="shared" si="17"/>
        <v>0</v>
      </c>
      <c r="S223" s="3">
        <f t="shared" si="18"/>
        <v>16</v>
      </c>
      <c r="T223" s="3">
        <f t="shared" si="19"/>
        <v>637.59999999999991</v>
      </c>
      <c r="U223" s="24" t="s">
        <v>1081</v>
      </c>
      <c r="V223" s="24"/>
      <c r="W223" s="3"/>
      <c r="X223" s="3" t="s">
        <v>4303</v>
      </c>
      <c r="Y223" s="3" t="s">
        <v>4702</v>
      </c>
      <c r="Z223" s="3"/>
      <c r="AA223" s="3"/>
      <c r="AB223" s="3"/>
      <c r="AC223" s="3" t="str">
        <f>IF(Caja_Arequipa[[#This Row],[FECHA]]&gt;0,TEXT(Caja_Arequipa[[#This Row],[FECHA]],"mmmm"),0)</f>
        <v>Marzo</v>
      </c>
    </row>
    <row r="224" spans="2:29" ht="24" x14ac:dyDescent="0.3">
      <c r="B224" s="2">
        <f>IF(Caja_Arequipa[[#This Row],[TIPO DE R.]]="R",COUNTIFS($D$4:$D223,"R")+1,"")</f>
        <v>220</v>
      </c>
      <c r="C224" s="19" t="str">
        <f t="shared" si="16"/>
        <v>C-Tesoreria</v>
      </c>
      <c r="D224" s="3" t="s">
        <v>1074</v>
      </c>
      <c r="E224" s="14">
        <v>45736</v>
      </c>
      <c r="F224" s="5" t="s">
        <v>1082</v>
      </c>
      <c r="G224" s="5" t="s">
        <v>1079</v>
      </c>
      <c r="H224" s="3" t="s">
        <v>4303</v>
      </c>
      <c r="I224" s="6"/>
      <c r="J224" s="6"/>
      <c r="K224" s="6"/>
      <c r="L224" s="6"/>
      <c r="M224" s="7" t="s">
        <v>4703</v>
      </c>
      <c r="N224" s="8" t="str">
        <f>IF(Caja_Arequipa[[#This Row],[TIPO DE R.]]="R","001-"&amp;12002+B224,N223)</f>
        <v>001-12222</v>
      </c>
      <c r="O224" s="8" t="str">
        <f t="shared" si="20"/>
        <v>PEN</v>
      </c>
      <c r="P224" s="13"/>
      <c r="Q224" s="13">
        <v>159</v>
      </c>
      <c r="R224" s="3">
        <f t="shared" si="17"/>
        <v>0</v>
      </c>
      <c r="S224" s="3">
        <f t="shared" si="18"/>
        <v>159</v>
      </c>
      <c r="T224" s="3">
        <f t="shared" si="19"/>
        <v>478.59999999999991</v>
      </c>
      <c r="U224" s="24" t="s">
        <v>1081</v>
      </c>
      <c r="V224" s="24"/>
      <c r="W224" s="3"/>
      <c r="X224" s="3" t="s">
        <v>4303</v>
      </c>
      <c r="Y224" s="3" t="s">
        <v>4704</v>
      </c>
      <c r="Z224" s="3"/>
      <c r="AA224" s="3"/>
      <c r="AB224" s="3"/>
      <c r="AC224" s="3" t="str">
        <f>IF(Caja_Arequipa[[#This Row],[FECHA]]&gt;0,TEXT(Caja_Arequipa[[#This Row],[FECHA]],"mmmm"),0)</f>
        <v>Marzo</v>
      </c>
    </row>
    <row r="225" spans="2:29" ht="24" x14ac:dyDescent="0.3">
      <c r="B225" s="2">
        <f>IF(Caja_Arequipa[[#This Row],[TIPO DE R.]]="R",COUNTIFS($D$4:$D224,"R")+1,"")</f>
        <v>221</v>
      </c>
      <c r="C225" s="19" t="str">
        <f t="shared" si="16"/>
        <v>C-Tesoreria</v>
      </c>
      <c r="D225" s="3" t="s">
        <v>1074</v>
      </c>
      <c r="E225" s="14">
        <v>45737</v>
      </c>
      <c r="F225" s="5" t="s">
        <v>1158</v>
      </c>
      <c r="G225" s="5" t="s">
        <v>1079</v>
      </c>
      <c r="H225" s="3" t="s">
        <v>4433</v>
      </c>
      <c r="I225" s="6"/>
      <c r="J225" s="6"/>
      <c r="K225" s="6"/>
      <c r="L225" s="6"/>
      <c r="M225" s="7" t="s">
        <v>4705</v>
      </c>
      <c r="N225" s="8" t="str">
        <f>IF(Caja_Arequipa[[#This Row],[TIPO DE R.]]="R","001-"&amp;12002+B225,N224)</f>
        <v>001-12223</v>
      </c>
      <c r="O225" s="8" t="str">
        <f t="shared" si="20"/>
        <v>PEN</v>
      </c>
      <c r="P225" s="13"/>
      <c r="Q225" s="13">
        <v>90</v>
      </c>
      <c r="R225" s="3">
        <f t="shared" si="17"/>
        <v>0</v>
      </c>
      <c r="S225" s="3">
        <f t="shared" si="18"/>
        <v>90</v>
      </c>
      <c r="T225" s="3">
        <f t="shared" si="19"/>
        <v>388.59999999999991</v>
      </c>
      <c r="U225" s="24" t="s">
        <v>1081</v>
      </c>
      <c r="V225" s="24"/>
      <c r="W225" s="3"/>
      <c r="X225" s="3" t="s">
        <v>4433</v>
      </c>
      <c r="Y225" s="3" t="s">
        <v>4706</v>
      </c>
      <c r="Z225" s="3"/>
      <c r="AA225" s="3"/>
      <c r="AB225" s="3"/>
      <c r="AC225" s="3" t="str">
        <f>IF(Caja_Arequipa[[#This Row],[FECHA]]&gt;0,TEXT(Caja_Arequipa[[#This Row],[FECHA]],"mmmm"),0)</f>
        <v>Marzo</v>
      </c>
    </row>
    <row r="226" spans="2:29" ht="24" x14ac:dyDescent="0.3">
      <c r="B226" s="2">
        <f>IF(Caja_Arequipa[[#This Row],[TIPO DE R.]]="R",COUNTIFS($D$4:$D225,"R")+1,"")</f>
        <v>222</v>
      </c>
      <c r="C226" s="19" t="str">
        <f t="shared" si="16"/>
        <v>C-Tesoreria</v>
      </c>
      <c r="D226" s="3" t="s">
        <v>1074</v>
      </c>
      <c r="E226" s="14">
        <v>45737</v>
      </c>
      <c r="F226" s="5" t="s">
        <v>1158</v>
      </c>
      <c r="G226" s="5" t="s">
        <v>1079</v>
      </c>
      <c r="H226" s="3" t="s">
        <v>4353</v>
      </c>
      <c r="I226" s="6"/>
      <c r="J226" s="6"/>
      <c r="K226" s="6"/>
      <c r="L226" s="6"/>
      <c r="M226" s="7" t="s">
        <v>4707</v>
      </c>
      <c r="N226" s="8" t="str">
        <f>IF(Caja_Arequipa[[#This Row],[TIPO DE R.]]="R","001-"&amp;12002+B226,N225)</f>
        <v>001-12224</v>
      </c>
      <c r="O226" s="8" t="str">
        <f t="shared" si="20"/>
        <v>PEN</v>
      </c>
      <c r="P226" s="13"/>
      <c r="Q226" s="13">
        <v>207.2</v>
      </c>
      <c r="R226" s="3">
        <f t="shared" si="17"/>
        <v>0</v>
      </c>
      <c r="S226" s="3">
        <f t="shared" si="18"/>
        <v>207.2</v>
      </c>
      <c r="T226" s="3">
        <f t="shared" si="19"/>
        <v>181.39999999999992</v>
      </c>
      <c r="U226" s="24" t="s">
        <v>1081</v>
      </c>
      <c r="V226" s="24"/>
      <c r="W226" s="3"/>
      <c r="X226" s="3" t="s">
        <v>4353</v>
      </c>
      <c r="Y226" s="3" t="s">
        <v>4708</v>
      </c>
      <c r="Z226" s="3"/>
      <c r="AA226" s="3"/>
      <c r="AB226" s="3"/>
      <c r="AC226" s="3" t="str">
        <f>IF(Caja_Arequipa[[#This Row],[FECHA]]&gt;0,TEXT(Caja_Arequipa[[#This Row],[FECHA]],"mmmm"),0)</f>
        <v>Marzo</v>
      </c>
    </row>
    <row r="227" spans="2:29" x14ac:dyDescent="0.3">
      <c r="B227" s="2">
        <f>IF(Caja_Arequipa[[#This Row],[TIPO DE R.]]="R",COUNTIFS($D$4:$D226,"R")+1,"")</f>
        <v>223</v>
      </c>
      <c r="C227" s="19" t="str">
        <f t="shared" si="16"/>
        <v>C-Tesoreria</v>
      </c>
      <c r="D227" s="3" t="s">
        <v>1074</v>
      </c>
      <c r="E227" s="14">
        <v>45737</v>
      </c>
      <c r="F227" s="5" t="s">
        <v>1158</v>
      </c>
      <c r="G227" s="5" t="s">
        <v>1079</v>
      </c>
      <c r="H227" s="3" t="s">
        <v>4353</v>
      </c>
      <c r="I227" s="6"/>
      <c r="J227" s="6"/>
      <c r="K227" s="6"/>
      <c r="L227" s="6"/>
      <c r="M227" s="7" t="s">
        <v>4709</v>
      </c>
      <c r="N227" s="8" t="str">
        <f>IF(Caja_Arequipa[[#This Row],[TIPO DE R.]]="R","001-"&amp;12002+B227,N226)</f>
        <v>001-12225</v>
      </c>
      <c r="O227" s="8" t="str">
        <f t="shared" si="20"/>
        <v>PEN</v>
      </c>
      <c r="P227" s="13"/>
      <c r="Q227" s="13">
        <v>63</v>
      </c>
      <c r="R227" s="3">
        <f t="shared" si="17"/>
        <v>0</v>
      </c>
      <c r="S227" s="3">
        <f t="shared" si="18"/>
        <v>63</v>
      </c>
      <c r="T227" s="3">
        <f t="shared" si="19"/>
        <v>118.39999999999992</v>
      </c>
      <c r="U227" s="24" t="s">
        <v>1081</v>
      </c>
      <c r="V227" s="24"/>
      <c r="W227" s="3"/>
      <c r="X227" s="3" t="s">
        <v>4353</v>
      </c>
      <c r="Y227" s="3" t="s">
        <v>4710</v>
      </c>
      <c r="Z227" s="3"/>
      <c r="AA227" s="3"/>
      <c r="AB227" s="3"/>
      <c r="AC227" s="3" t="str">
        <f>IF(Caja_Arequipa[[#This Row],[FECHA]]&gt;0,TEXT(Caja_Arequipa[[#This Row],[FECHA]],"mmmm"),0)</f>
        <v>Marzo</v>
      </c>
    </row>
    <row r="228" spans="2:29" x14ac:dyDescent="0.3">
      <c r="B228" s="2">
        <f>IF(Caja_Arequipa[[#This Row],[TIPO DE R.]]="R",COUNTIFS($D$4:$D227,"R")+1,"")</f>
        <v>224</v>
      </c>
      <c r="C228" s="19" t="str">
        <f t="shared" si="16"/>
        <v>C-Tesoreria</v>
      </c>
      <c r="D228" s="3" t="s">
        <v>1074</v>
      </c>
      <c r="E228" s="14">
        <v>45740</v>
      </c>
      <c r="F228" s="5" t="s">
        <v>1158</v>
      </c>
      <c r="G228" s="5" t="s">
        <v>1087</v>
      </c>
      <c r="H228" s="3" t="s">
        <v>3353</v>
      </c>
      <c r="I228" s="6"/>
      <c r="J228" s="6"/>
      <c r="K228" s="6"/>
      <c r="L228" s="6"/>
      <c r="M228" s="7" t="s">
        <v>4394</v>
      </c>
      <c r="N228" s="8" t="str">
        <f>IF(Caja_Arequipa[[#This Row],[TIPO DE R.]]="R","001-"&amp;12002+B228,N227)</f>
        <v>001-12226</v>
      </c>
      <c r="O228" s="8" t="str">
        <f t="shared" si="20"/>
        <v>PEN</v>
      </c>
      <c r="P228" s="13"/>
      <c r="Q228" s="13">
        <v>400</v>
      </c>
      <c r="R228" s="3">
        <f t="shared" si="17"/>
        <v>400</v>
      </c>
      <c r="S228" s="3">
        <f t="shared" si="18"/>
        <v>0</v>
      </c>
      <c r="T228" s="3">
        <f t="shared" si="19"/>
        <v>518.39999999999986</v>
      </c>
      <c r="U228" s="24"/>
      <c r="V228" s="24"/>
      <c r="W228" s="3"/>
      <c r="X228" s="3" t="s">
        <v>3353</v>
      </c>
      <c r="Y228" s="3"/>
      <c r="Z228" s="3"/>
      <c r="AA228" s="3"/>
      <c r="AB228" s="3"/>
      <c r="AC228" s="3" t="str">
        <f>IF(Caja_Arequipa[[#This Row],[FECHA]]&gt;0,TEXT(Caja_Arequipa[[#This Row],[FECHA]],"mmmm"),0)</f>
        <v>Marzo</v>
      </c>
    </row>
    <row r="229" spans="2:29" ht="108" x14ac:dyDescent="0.3">
      <c r="B229" s="2">
        <f>IF(Caja_Arequipa[[#This Row],[TIPO DE R.]]="R",COUNTIFS($D$4:$D228,"R")+1,"")</f>
        <v>225</v>
      </c>
      <c r="C229" s="19" t="str">
        <f t="shared" si="16"/>
        <v>C-Tesoreria</v>
      </c>
      <c r="D229" s="3" t="s">
        <v>1074</v>
      </c>
      <c r="E229" s="14">
        <v>45740</v>
      </c>
      <c r="F229" s="5" t="s">
        <v>1158</v>
      </c>
      <c r="G229" s="5" t="s">
        <v>1079</v>
      </c>
      <c r="H229" s="3" t="s">
        <v>4433</v>
      </c>
      <c r="I229" s="6"/>
      <c r="J229" s="6"/>
      <c r="K229" s="6"/>
      <c r="L229" s="6"/>
      <c r="M229" s="7" t="s">
        <v>4558</v>
      </c>
      <c r="N229" s="8" t="str">
        <f>IF(Caja_Arequipa[[#This Row],[TIPO DE R.]]="R","001-"&amp;12002+B229,N228)</f>
        <v>001-12227</v>
      </c>
      <c r="O229" s="8" t="str">
        <f t="shared" si="20"/>
        <v>PEN</v>
      </c>
      <c r="P229" s="13"/>
      <c r="Q229" s="13">
        <v>211</v>
      </c>
      <c r="R229" s="3">
        <f t="shared" si="17"/>
        <v>0</v>
      </c>
      <c r="S229" s="3">
        <f t="shared" si="18"/>
        <v>211</v>
      </c>
      <c r="T229" s="3">
        <f t="shared" si="19"/>
        <v>307.39999999999986</v>
      </c>
      <c r="U229" s="24" t="s">
        <v>1081</v>
      </c>
      <c r="V229" s="24"/>
      <c r="W229" s="3"/>
      <c r="X229" s="3" t="s">
        <v>4433</v>
      </c>
      <c r="Y229" s="3" t="s">
        <v>4711</v>
      </c>
      <c r="Z229" s="3"/>
      <c r="AA229" s="3"/>
      <c r="AB229" s="3"/>
      <c r="AC229" s="3" t="str">
        <f>IF(Caja_Arequipa[[#This Row],[FECHA]]&gt;0,TEXT(Caja_Arequipa[[#This Row],[FECHA]],"mmmm"),0)</f>
        <v>Marzo</v>
      </c>
    </row>
    <row r="230" spans="2:29" x14ac:dyDescent="0.3">
      <c r="B230" s="2">
        <f>IF(Caja_Arequipa[[#This Row],[TIPO DE R.]]="R",COUNTIFS($D$4:$D229,"R")+1,"")</f>
        <v>226</v>
      </c>
      <c r="C230" s="19" t="str">
        <f t="shared" si="16"/>
        <v>C-Tesoreria</v>
      </c>
      <c r="D230" s="3" t="s">
        <v>1074</v>
      </c>
      <c r="E230" s="14">
        <v>45741</v>
      </c>
      <c r="F230" s="5" t="s">
        <v>1158</v>
      </c>
      <c r="G230" s="5" t="s">
        <v>1079</v>
      </c>
      <c r="H230" s="3" t="s">
        <v>4712</v>
      </c>
      <c r="I230" s="6"/>
      <c r="J230" s="6"/>
      <c r="K230" s="6"/>
      <c r="L230" s="6"/>
      <c r="M230" s="7" t="s">
        <v>4713</v>
      </c>
      <c r="N230" s="8" t="str">
        <f>IF(Caja_Arequipa[[#This Row],[TIPO DE R.]]="R","001-"&amp;12002+B230,N229)</f>
        <v>001-12228</v>
      </c>
      <c r="O230" s="8" t="str">
        <f t="shared" si="20"/>
        <v>PEN</v>
      </c>
      <c r="P230" s="13"/>
      <c r="Q230" s="13">
        <v>22</v>
      </c>
      <c r="R230" s="3">
        <f t="shared" si="17"/>
        <v>0</v>
      </c>
      <c r="S230" s="3">
        <f t="shared" si="18"/>
        <v>22</v>
      </c>
      <c r="T230" s="3">
        <f t="shared" si="19"/>
        <v>285.39999999999986</v>
      </c>
      <c r="U230" s="24" t="s">
        <v>1081</v>
      </c>
      <c r="V230" s="24"/>
      <c r="W230" s="3"/>
      <c r="X230" s="3" t="s">
        <v>4712</v>
      </c>
      <c r="Y230" s="3" t="s">
        <v>4714</v>
      </c>
      <c r="Z230" s="3"/>
      <c r="AA230" s="3"/>
      <c r="AB230" s="3"/>
      <c r="AC230" s="3" t="str">
        <f>IF(Caja_Arequipa[[#This Row],[FECHA]]&gt;0,TEXT(Caja_Arequipa[[#This Row],[FECHA]],"mmmm"),0)</f>
        <v>Marzo</v>
      </c>
    </row>
    <row r="231" spans="2:29" x14ac:dyDescent="0.3">
      <c r="B231" s="2">
        <f>IF(Caja_Arequipa[[#This Row],[TIPO DE R.]]="R",COUNTIFS($D$4:$D230,"R")+1,"")</f>
        <v>227</v>
      </c>
      <c r="C231" s="19" t="str">
        <f t="shared" si="16"/>
        <v>C-Tesoreria</v>
      </c>
      <c r="D231" s="3" t="s">
        <v>1074</v>
      </c>
      <c r="E231" s="14">
        <v>45741</v>
      </c>
      <c r="F231" s="5" t="s">
        <v>1158</v>
      </c>
      <c r="G231" s="5" t="s">
        <v>1079</v>
      </c>
      <c r="H231" s="3" t="s">
        <v>4501</v>
      </c>
      <c r="I231" s="6"/>
      <c r="J231" s="6"/>
      <c r="K231" s="6"/>
      <c r="L231" s="6"/>
      <c r="M231" s="7" t="s">
        <v>4715</v>
      </c>
      <c r="N231" s="8" t="str">
        <f>IF(Caja_Arequipa[[#This Row],[TIPO DE R.]]="R","001-"&amp;12002+B231,N230)</f>
        <v>001-12229</v>
      </c>
      <c r="O231" s="8" t="str">
        <f t="shared" si="20"/>
        <v>PEN</v>
      </c>
      <c r="P231" s="13"/>
      <c r="Q231" s="13">
        <v>20</v>
      </c>
      <c r="R231" s="3">
        <f t="shared" si="17"/>
        <v>0</v>
      </c>
      <c r="S231" s="3">
        <f t="shared" si="18"/>
        <v>20</v>
      </c>
      <c r="T231" s="3">
        <f t="shared" si="19"/>
        <v>265.39999999999986</v>
      </c>
      <c r="U231" s="24" t="s">
        <v>1081</v>
      </c>
      <c r="V231" s="24"/>
      <c r="W231" s="3"/>
      <c r="X231" s="3" t="s">
        <v>4501</v>
      </c>
      <c r="Y231" s="3" t="s">
        <v>4716</v>
      </c>
      <c r="Z231" s="3"/>
      <c r="AA231" s="3"/>
      <c r="AB231" s="3"/>
      <c r="AC231" s="3" t="str">
        <f>IF(Caja_Arequipa[[#This Row],[FECHA]]&gt;0,TEXT(Caja_Arequipa[[#This Row],[FECHA]],"mmmm"),0)</f>
        <v>Marzo</v>
      </c>
    </row>
    <row r="232" spans="2:29" ht="24" x14ac:dyDescent="0.3">
      <c r="B232" s="2">
        <f>IF(Caja_Arequipa[[#This Row],[TIPO DE R.]]="R",COUNTIFS($D$4:$D231,"R")+1,"")</f>
        <v>228</v>
      </c>
      <c r="C232" s="19" t="str">
        <f t="shared" si="16"/>
        <v>C-Tesoreria</v>
      </c>
      <c r="D232" s="3" t="s">
        <v>1074</v>
      </c>
      <c r="E232" s="14">
        <v>45741</v>
      </c>
      <c r="F232" s="5" t="s">
        <v>1158</v>
      </c>
      <c r="G232" s="5" t="s">
        <v>1079</v>
      </c>
      <c r="H232" s="3" t="s">
        <v>4353</v>
      </c>
      <c r="I232" s="6"/>
      <c r="J232" s="6"/>
      <c r="K232" s="6"/>
      <c r="L232" s="6"/>
      <c r="M232" s="7" t="s">
        <v>4717</v>
      </c>
      <c r="N232" s="8" t="str">
        <f>IF(Caja_Arequipa[[#This Row],[TIPO DE R.]]="R","001-"&amp;12002+B232,N231)</f>
        <v>001-12230</v>
      </c>
      <c r="O232" s="8" t="str">
        <f t="shared" si="20"/>
        <v>PEN</v>
      </c>
      <c r="P232" s="13"/>
      <c r="Q232" s="13">
        <v>31</v>
      </c>
      <c r="R232" s="3">
        <f t="shared" si="17"/>
        <v>0</v>
      </c>
      <c r="S232" s="3">
        <f t="shared" si="18"/>
        <v>31</v>
      </c>
      <c r="T232" s="3">
        <f t="shared" si="19"/>
        <v>234.39999999999986</v>
      </c>
      <c r="U232" s="24" t="s">
        <v>1081</v>
      </c>
      <c r="V232" s="24"/>
      <c r="W232" s="3"/>
      <c r="X232" s="3" t="s">
        <v>4353</v>
      </c>
      <c r="Y232" s="3" t="s">
        <v>4718</v>
      </c>
      <c r="Z232" s="3"/>
      <c r="AA232" s="3"/>
      <c r="AB232" s="3"/>
      <c r="AC232" s="3" t="str">
        <f>IF(Caja_Arequipa[[#This Row],[FECHA]]&gt;0,TEXT(Caja_Arequipa[[#This Row],[FECHA]],"mmmm"),0)</f>
        <v>Marzo</v>
      </c>
    </row>
    <row r="233" spans="2:29" x14ac:dyDescent="0.3">
      <c r="B233" s="2">
        <f>IF(Caja_Arequipa[[#This Row],[TIPO DE R.]]="R",COUNTIFS($D$4:$D232,"R")+1,"")</f>
        <v>229</v>
      </c>
      <c r="C233" s="19" t="str">
        <f t="shared" si="16"/>
        <v>C-Tesoreria</v>
      </c>
      <c r="D233" s="3" t="s">
        <v>1074</v>
      </c>
      <c r="E233" s="14">
        <v>45743</v>
      </c>
      <c r="F233" s="5" t="s">
        <v>1158</v>
      </c>
      <c r="G233" s="5" t="s">
        <v>1087</v>
      </c>
      <c r="H233" s="3" t="s">
        <v>4485</v>
      </c>
      <c r="I233" s="6"/>
      <c r="J233" s="6"/>
      <c r="K233" s="6"/>
      <c r="L233" s="6"/>
      <c r="M233" s="7" t="s">
        <v>2147</v>
      </c>
      <c r="N233" s="8" t="str">
        <f>IF(Caja_Arequipa[[#This Row],[TIPO DE R.]]="R","001-"&amp;12002+B233,N232)</f>
        <v>001-12231</v>
      </c>
      <c r="O233" s="8" t="str">
        <f t="shared" si="20"/>
        <v>PEN</v>
      </c>
      <c r="P233" s="13"/>
      <c r="Q233" s="13">
        <v>1896.4</v>
      </c>
      <c r="R233" s="3">
        <f t="shared" si="17"/>
        <v>1896.4</v>
      </c>
      <c r="S233" s="3">
        <f t="shared" si="18"/>
        <v>0</v>
      </c>
      <c r="T233" s="3">
        <f t="shared" si="19"/>
        <v>2130.8000000000002</v>
      </c>
      <c r="U233" s="24"/>
      <c r="V233" s="24"/>
      <c r="W233" s="3"/>
      <c r="X233" s="3" t="s">
        <v>4485</v>
      </c>
      <c r="Y233" s="3"/>
      <c r="Z233" s="3"/>
      <c r="AA233" s="3"/>
      <c r="AB233" s="3"/>
      <c r="AC233" s="3" t="str">
        <f>IF(Caja_Arequipa[[#This Row],[FECHA]]&gt;0,TEXT(Caja_Arequipa[[#This Row],[FECHA]],"mmmm"),0)</f>
        <v>Marzo</v>
      </c>
    </row>
    <row r="234" spans="2:29" x14ac:dyDescent="0.3">
      <c r="B234" s="2">
        <f>IF(Caja_Arequipa[[#This Row],[TIPO DE R.]]="R",COUNTIFS($D$4:$D233,"R")+1,"")</f>
        <v>230</v>
      </c>
      <c r="C234" s="19" t="str">
        <f t="shared" si="16"/>
        <v>C-Tesoreria</v>
      </c>
      <c r="D234" s="3" t="s">
        <v>1074</v>
      </c>
      <c r="E234" s="14">
        <v>45743</v>
      </c>
      <c r="F234" s="5" t="s">
        <v>1158</v>
      </c>
      <c r="G234" s="5" t="s">
        <v>1079</v>
      </c>
      <c r="H234" s="3" t="s">
        <v>3353</v>
      </c>
      <c r="I234" s="6"/>
      <c r="J234" s="6"/>
      <c r="K234" s="6"/>
      <c r="L234" s="6"/>
      <c r="M234" s="7" t="s">
        <v>4486</v>
      </c>
      <c r="N234" s="8" t="str">
        <f>IF(Caja_Arequipa[[#This Row],[TIPO DE R.]]="R","001-"&amp;12002+B234,N233)</f>
        <v>001-12232</v>
      </c>
      <c r="O234" s="8" t="str">
        <f t="shared" si="20"/>
        <v>PEN</v>
      </c>
      <c r="P234" s="13"/>
      <c r="Q234" s="13">
        <v>400</v>
      </c>
      <c r="R234" s="3">
        <f t="shared" si="17"/>
        <v>0</v>
      </c>
      <c r="S234" s="3">
        <f t="shared" si="18"/>
        <v>400</v>
      </c>
      <c r="T234" s="3">
        <f t="shared" si="19"/>
        <v>1730.8000000000002</v>
      </c>
      <c r="U234" s="24"/>
      <c r="V234" s="24"/>
      <c r="W234" s="3"/>
      <c r="X234" s="3" t="s">
        <v>3353</v>
      </c>
      <c r="Y234" s="3"/>
      <c r="Z234" s="3"/>
      <c r="AA234" s="3"/>
      <c r="AB234" s="3"/>
      <c r="AC234" s="3" t="str">
        <f>IF(Caja_Arequipa[[#This Row],[FECHA]]&gt;0,TEXT(Caja_Arequipa[[#This Row],[FECHA]],"mmmm"),0)</f>
        <v>Marzo</v>
      </c>
    </row>
    <row r="235" spans="2:29" x14ac:dyDescent="0.3">
      <c r="B235" s="2">
        <f>IF(Caja_Arequipa[[#This Row],[TIPO DE R.]]="R",COUNTIFS($D$4:$D234,"R")+1,"")</f>
        <v>231</v>
      </c>
      <c r="C235" s="19" t="str">
        <f t="shared" si="16"/>
        <v>C-Tesoreria</v>
      </c>
      <c r="D235" s="3" t="s">
        <v>1074</v>
      </c>
      <c r="E235" s="14">
        <v>45743</v>
      </c>
      <c r="F235" s="5" t="s">
        <v>1158</v>
      </c>
      <c r="G235" s="5" t="s">
        <v>1079</v>
      </c>
      <c r="H235" s="3" t="s">
        <v>3016</v>
      </c>
      <c r="I235" s="6"/>
      <c r="J235" s="6"/>
      <c r="K235" s="6"/>
      <c r="L235" s="6"/>
      <c r="M235" s="7" t="s">
        <v>4719</v>
      </c>
      <c r="N235" s="8" t="str">
        <f>IF(Caja_Arequipa[[#This Row],[TIPO DE R.]]="R","001-"&amp;12002+B235,N234)</f>
        <v>001-12233</v>
      </c>
      <c r="O235" s="8" t="str">
        <f t="shared" si="20"/>
        <v>PEN</v>
      </c>
      <c r="P235" s="13"/>
      <c r="Q235" s="13">
        <v>35</v>
      </c>
      <c r="R235" s="3">
        <f t="shared" si="17"/>
        <v>0</v>
      </c>
      <c r="S235" s="3">
        <f t="shared" si="18"/>
        <v>35</v>
      </c>
      <c r="T235" s="3">
        <f t="shared" si="19"/>
        <v>1695.8000000000002</v>
      </c>
      <c r="U235" s="24" t="s">
        <v>1081</v>
      </c>
      <c r="V235" s="24"/>
      <c r="W235" s="3"/>
      <c r="X235" s="3" t="s">
        <v>3016</v>
      </c>
      <c r="Y235" s="3" t="s">
        <v>4720</v>
      </c>
      <c r="Z235" s="3"/>
      <c r="AA235" s="3"/>
      <c r="AB235" s="3"/>
      <c r="AC235" s="3" t="str">
        <f>IF(Caja_Arequipa[[#This Row],[FECHA]]&gt;0,TEXT(Caja_Arequipa[[#This Row],[FECHA]],"mmmm"),0)</f>
        <v>Marzo</v>
      </c>
    </row>
    <row r="236" spans="2:29" x14ac:dyDescent="0.3">
      <c r="B236" s="2">
        <f>IF(Caja_Arequipa[[#This Row],[TIPO DE R.]]="R",COUNTIFS($D$4:$D235,"R")+1,"")</f>
        <v>232</v>
      </c>
      <c r="C236" s="19" t="str">
        <f t="shared" si="16"/>
        <v>C-Tesoreria</v>
      </c>
      <c r="D236" s="3" t="s">
        <v>1074</v>
      </c>
      <c r="E236" s="14">
        <v>45744</v>
      </c>
      <c r="F236" s="5" t="s">
        <v>1158</v>
      </c>
      <c r="G236" s="5" t="s">
        <v>1079</v>
      </c>
      <c r="H236" s="3" t="s">
        <v>4501</v>
      </c>
      <c r="I236" s="6"/>
      <c r="J236" s="6"/>
      <c r="K236" s="6"/>
      <c r="L236" s="6"/>
      <c r="M236" s="7" t="s">
        <v>4721</v>
      </c>
      <c r="N236" s="8" t="str">
        <f>IF(Caja_Arequipa[[#This Row],[TIPO DE R.]]="R","001-"&amp;12002+B236,N235)</f>
        <v>001-12234</v>
      </c>
      <c r="O236" s="8" t="str">
        <f t="shared" si="20"/>
        <v>PEN</v>
      </c>
      <c r="P236" s="13"/>
      <c r="Q236" s="13">
        <v>15</v>
      </c>
      <c r="R236" s="3">
        <f t="shared" si="17"/>
        <v>0</v>
      </c>
      <c r="S236" s="3">
        <f t="shared" si="18"/>
        <v>15</v>
      </c>
      <c r="T236" s="3">
        <f t="shared" si="19"/>
        <v>1680.8000000000002</v>
      </c>
      <c r="U236" s="24" t="s">
        <v>1081</v>
      </c>
      <c r="V236" s="24"/>
      <c r="W236" s="3"/>
      <c r="X236" s="3" t="s">
        <v>4501</v>
      </c>
      <c r="Y236" s="3" t="s">
        <v>4722</v>
      </c>
      <c r="Z236" s="3"/>
      <c r="AA236" s="3"/>
      <c r="AB236" s="3"/>
      <c r="AC236" s="3" t="str">
        <f>IF(Caja_Arequipa[[#This Row],[FECHA]]&gt;0,TEXT(Caja_Arequipa[[#This Row],[FECHA]],"mmmm"),0)</f>
        <v>Marzo</v>
      </c>
    </row>
    <row r="237" spans="2:29" x14ac:dyDescent="0.3">
      <c r="B237" s="2">
        <f>IF(Caja_Arequipa[[#This Row],[TIPO DE R.]]="R",COUNTIFS($D$4:$D236,"R")+1,"")</f>
        <v>233</v>
      </c>
      <c r="C237" s="19" t="str">
        <f t="shared" si="16"/>
        <v>C-Tesoreria</v>
      </c>
      <c r="D237" s="3" t="s">
        <v>1074</v>
      </c>
      <c r="E237" s="14">
        <v>45744</v>
      </c>
      <c r="F237" s="5" t="s">
        <v>1158</v>
      </c>
      <c r="G237" s="5" t="s">
        <v>1079</v>
      </c>
      <c r="H237" s="3" t="s">
        <v>4305</v>
      </c>
      <c r="I237" s="6"/>
      <c r="J237" s="6"/>
      <c r="K237" s="6"/>
      <c r="L237" s="6"/>
      <c r="M237" s="7" t="s">
        <v>4721</v>
      </c>
      <c r="N237" s="8" t="str">
        <f>IF(Caja_Arequipa[[#This Row],[TIPO DE R.]]="R","001-"&amp;12002+B237,N236)</f>
        <v>001-12235</v>
      </c>
      <c r="O237" s="8" t="str">
        <f t="shared" si="20"/>
        <v>PEN</v>
      </c>
      <c r="P237" s="13"/>
      <c r="Q237" s="13">
        <v>15</v>
      </c>
      <c r="R237" s="3">
        <f t="shared" si="17"/>
        <v>0</v>
      </c>
      <c r="S237" s="3">
        <f t="shared" si="18"/>
        <v>15</v>
      </c>
      <c r="T237" s="3">
        <f t="shared" si="19"/>
        <v>1665.8000000000002</v>
      </c>
      <c r="U237" s="24" t="s">
        <v>1081</v>
      </c>
      <c r="V237" s="24"/>
      <c r="W237" s="3"/>
      <c r="X237" s="3" t="s">
        <v>4305</v>
      </c>
      <c r="Y237" s="3" t="s">
        <v>4723</v>
      </c>
      <c r="Z237" s="3"/>
      <c r="AA237" s="3"/>
      <c r="AB237" s="3"/>
      <c r="AC237" s="3" t="str">
        <f>IF(Caja_Arequipa[[#This Row],[FECHA]]&gt;0,TEXT(Caja_Arequipa[[#This Row],[FECHA]],"mmmm"),0)</f>
        <v>Marzo</v>
      </c>
    </row>
    <row r="238" spans="2:29" x14ac:dyDescent="0.3">
      <c r="B238" s="2">
        <f>IF(Caja_Arequipa[[#This Row],[TIPO DE R.]]="R",COUNTIFS($D$4:$D237,"R")+1,"")</f>
        <v>234</v>
      </c>
      <c r="C238" s="19" t="str">
        <f t="shared" si="16"/>
        <v>C-Tesoreria</v>
      </c>
      <c r="D238" s="3" t="s">
        <v>1074</v>
      </c>
      <c r="E238" s="14">
        <v>45744</v>
      </c>
      <c r="F238" s="5" t="s">
        <v>1158</v>
      </c>
      <c r="G238" s="5" t="s">
        <v>1079</v>
      </c>
      <c r="H238" s="3" t="s">
        <v>4353</v>
      </c>
      <c r="I238" s="6"/>
      <c r="J238" s="6"/>
      <c r="K238" s="6"/>
      <c r="L238" s="6"/>
      <c r="M238" s="7" t="s">
        <v>4724</v>
      </c>
      <c r="N238" s="8" t="str">
        <f>IF(Caja_Arequipa[[#This Row],[TIPO DE R.]]="R","001-"&amp;12002+B238,N237)</f>
        <v>001-12236</v>
      </c>
      <c r="O238" s="8" t="str">
        <f t="shared" si="20"/>
        <v>PEN</v>
      </c>
      <c r="P238" s="13"/>
      <c r="Q238" s="13">
        <v>95</v>
      </c>
      <c r="R238" s="3">
        <f t="shared" si="17"/>
        <v>0</v>
      </c>
      <c r="S238" s="3">
        <f t="shared" si="18"/>
        <v>95</v>
      </c>
      <c r="T238" s="3">
        <f t="shared" si="19"/>
        <v>1570.8000000000002</v>
      </c>
      <c r="U238" s="24" t="s">
        <v>1081</v>
      </c>
      <c r="V238" s="24"/>
      <c r="W238" s="3"/>
      <c r="X238" s="3" t="s">
        <v>4353</v>
      </c>
      <c r="Y238" s="3" t="s">
        <v>4725</v>
      </c>
      <c r="Z238" s="3"/>
      <c r="AA238" s="3"/>
      <c r="AB238" s="3"/>
      <c r="AC238" s="3" t="str">
        <f>IF(Caja_Arequipa[[#This Row],[FECHA]]&gt;0,TEXT(Caja_Arequipa[[#This Row],[FECHA]],"mmmm"),0)</f>
        <v>Marzo</v>
      </c>
    </row>
    <row r="239" spans="2:29" ht="24" x14ac:dyDescent="0.3">
      <c r="B239" s="2">
        <f>IF(Caja_Arequipa[[#This Row],[TIPO DE R.]]="R",COUNTIFS($D$4:$D238,"R")+1,"")</f>
        <v>235</v>
      </c>
      <c r="C239" s="19" t="str">
        <f t="shared" si="16"/>
        <v>C-Tesoreria</v>
      </c>
      <c r="D239" s="3" t="s">
        <v>1074</v>
      </c>
      <c r="E239" s="14">
        <v>45744</v>
      </c>
      <c r="F239" s="5" t="s">
        <v>1158</v>
      </c>
      <c r="G239" s="5" t="s">
        <v>1079</v>
      </c>
      <c r="H239" s="3" t="s">
        <v>4329</v>
      </c>
      <c r="I239" s="6"/>
      <c r="J239" s="6"/>
      <c r="K239" s="6"/>
      <c r="L239" s="6"/>
      <c r="M239" s="7" t="s">
        <v>4726</v>
      </c>
      <c r="N239" s="8" t="str">
        <f>IF(Caja_Arequipa[[#This Row],[TIPO DE R.]]="R","001-"&amp;12002+B239,N238)</f>
        <v>001-12237</v>
      </c>
      <c r="O239" s="8" t="str">
        <f t="shared" si="20"/>
        <v>PEN</v>
      </c>
      <c r="P239" s="13"/>
      <c r="Q239" s="13">
        <v>20</v>
      </c>
      <c r="R239" s="3">
        <f t="shared" si="17"/>
        <v>0</v>
      </c>
      <c r="S239" s="3">
        <f t="shared" si="18"/>
        <v>20</v>
      </c>
      <c r="T239" s="3">
        <f t="shared" si="19"/>
        <v>1550.8000000000002</v>
      </c>
      <c r="U239" s="24" t="s">
        <v>1081</v>
      </c>
      <c r="V239" s="24"/>
      <c r="W239" s="3"/>
      <c r="X239" s="3" t="s">
        <v>4329</v>
      </c>
      <c r="Y239" s="3" t="s">
        <v>4727</v>
      </c>
      <c r="Z239" s="3"/>
      <c r="AA239" s="3"/>
      <c r="AB239" s="3"/>
      <c r="AC239" s="3" t="str">
        <f>IF(Caja_Arequipa[[#This Row],[FECHA]]&gt;0,TEXT(Caja_Arequipa[[#This Row],[FECHA]],"mmmm"),0)</f>
        <v>Marzo</v>
      </c>
    </row>
    <row r="240" spans="2:29" ht="24" x14ac:dyDescent="0.3">
      <c r="B240" s="2">
        <f>IF(Caja_Arequipa[[#This Row],[TIPO DE R.]]="R",COUNTIFS($D$4:$D239,"R")+1,"")</f>
        <v>236</v>
      </c>
      <c r="C240" s="19" t="str">
        <f t="shared" si="16"/>
        <v>C-Tesoreria</v>
      </c>
      <c r="D240" s="3" t="s">
        <v>1074</v>
      </c>
      <c r="E240" s="14">
        <v>45744</v>
      </c>
      <c r="F240" s="5" t="s">
        <v>1158</v>
      </c>
      <c r="G240" s="5" t="s">
        <v>1079</v>
      </c>
      <c r="H240" s="3" t="s">
        <v>4353</v>
      </c>
      <c r="I240" s="6"/>
      <c r="J240" s="6"/>
      <c r="K240" s="6"/>
      <c r="L240" s="6"/>
      <c r="M240" s="7" t="s">
        <v>4728</v>
      </c>
      <c r="N240" s="8" t="str">
        <f>IF(Caja_Arequipa[[#This Row],[TIPO DE R.]]="R","001-"&amp;12002+B240,N239)</f>
        <v>001-12238</v>
      </c>
      <c r="O240" s="8" t="str">
        <f t="shared" si="20"/>
        <v>PEN</v>
      </c>
      <c r="P240" s="13"/>
      <c r="Q240" s="13">
        <v>10</v>
      </c>
      <c r="R240" s="3">
        <f t="shared" si="17"/>
        <v>0</v>
      </c>
      <c r="S240" s="3">
        <f t="shared" si="18"/>
        <v>10</v>
      </c>
      <c r="T240" s="3">
        <f t="shared" si="19"/>
        <v>1540.8000000000002</v>
      </c>
      <c r="U240" s="24" t="s">
        <v>1081</v>
      </c>
      <c r="V240" s="24"/>
      <c r="W240" s="3"/>
      <c r="X240" s="3" t="s">
        <v>4353</v>
      </c>
      <c r="Y240" s="3" t="s">
        <v>4729</v>
      </c>
      <c r="Z240" s="3"/>
      <c r="AA240" s="3"/>
      <c r="AB240" s="3"/>
      <c r="AC240" s="3" t="str">
        <f>IF(Caja_Arequipa[[#This Row],[FECHA]]&gt;0,TEXT(Caja_Arequipa[[#This Row],[FECHA]],"mmmm"),0)</f>
        <v>Marzo</v>
      </c>
    </row>
    <row r="241" spans="2:29" ht="24" x14ac:dyDescent="0.3">
      <c r="B241" s="2">
        <f>IF(Caja_Arequipa[[#This Row],[TIPO DE R.]]="R",COUNTIFS($D$4:$D240,"R")+1,"")</f>
        <v>237</v>
      </c>
      <c r="C241" s="19" t="str">
        <f t="shared" si="16"/>
        <v>C-Tesoreria</v>
      </c>
      <c r="D241" s="3" t="s">
        <v>1074</v>
      </c>
      <c r="E241" s="14">
        <v>45744</v>
      </c>
      <c r="F241" s="5" t="s">
        <v>1158</v>
      </c>
      <c r="G241" s="5" t="s">
        <v>1079</v>
      </c>
      <c r="H241" s="3" t="s">
        <v>4303</v>
      </c>
      <c r="I241" s="6"/>
      <c r="J241" s="6"/>
      <c r="K241" s="6"/>
      <c r="L241" s="6"/>
      <c r="M241" s="7" t="s">
        <v>4730</v>
      </c>
      <c r="N241" s="8" t="str">
        <f>IF(Caja_Arequipa[[#This Row],[TIPO DE R.]]="R","001-"&amp;12002+B241,N240)</f>
        <v>001-12239</v>
      </c>
      <c r="O241" s="8" t="str">
        <f t="shared" si="20"/>
        <v>PEN</v>
      </c>
      <c r="P241" s="13"/>
      <c r="Q241" s="13">
        <v>113</v>
      </c>
      <c r="R241" s="3">
        <f t="shared" si="17"/>
        <v>0</v>
      </c>
      <c r="S241" s="3">
        <f t="shared" si="18"/>
        <v>113</v>
      </c>
      <c r="T241" s="3">
        <f t="shared" si="19"/>
        <v>1427.8000000000002</v>
      </c>
      <c r="U241" s="24"/>
      <c r="V241" s="24"/>
      <c r="W241" s="3"/>
      <c r="X241" s="3" t="s">
        <v>4303</v>
      </c>
      <c r="Y241" s="3" t="s">
        <v>4731</v>
      </c>
      <c r="Z241" s="3"/>
      <c r="AA241" s="3"/>
      <c r="AB241" s="3"/>
      <c r="AC241" s="3" t="str">
        <f>IF(Caja_Arequipa[[#This Row],[FECHA]]&gt;0,TEXT(Caja_Arequipa[[#This Row],[FECHA]],"mmmm"),0)</f>
        <v>Marzo</v>
      </c>
    </row>
    <row r="242" spans="2:29" ht="24" x14ac:dyDescent="0.3">
      <c r="B242" s="2">
        <f>IF(Caja_Arequipa[[#This Row],[TIPO DE R.]]="R",COUNTIFS($D$4:$D241,"R")+1,"")</f>
        <v>238</v>
      </c>
      <c r="C242" s="19" t="str">
        <f t="shared" si="16"/>
        <v>C-Tesoreria</v>
      </c>
      <c r="D242" s="3" t="s">
        <v>1074</v>
      </c>
      <c r="E242" s="14">
        <v>45744</v>
      </c>
      <c r="F242" s="5" t="s">
        <v>1158</v>
      </c>
      <c r="G242" s="5" t="s">
        <v>1079</v>
      </c>
      <c r="H242" s="3" t="s">
        <v>4433</v>
      </c>
      <c r="I242" s="6"/>
      <c r="J242" s="6"/>
      <c r="K242" s="6"/>
      <c r="L242" s="6"/>
      <c r="M242" s="7" t="s">
        <v>4732</v>
      </c>
      <c r="N242" s="8" t="str">
        <f>IF(Caja_Arequipa[[#This Row],[TIPO DE R.]]="R","001-"&amp;12002+B242,N241)</f>
        <v>001-12240</v>
      </c>
      <c r="O242" s="8" t="str">
        <f t="shared" si="20"/>
        <v>PEN</v>
      </c>
      <c r="P242" s="13"/>
      <c r="Q242" s="13">
        <v>18</v>
      </c>
      <c r="R242" s="3">
        <f t="shared" si="17"/>
        <v>0</v>
      </c>
      <c r="S242" s="3">
        <f t="shared" si="18"/>
        <v>18</v>
      </c>
      <c r="T242" s="3">
        <f t="shared" si="19"/>
        <v>1409.8000000000002</v>
      </c>
      <c r="U242" s="24" t="s">
        <v>1081</v>
      </c>
      <c r="V242" s="24"/>
      <c r="W242" s="3"/>
      <c r="X242" s="3" t="s">
        <v>4433</v>
      </c>
      <c r="Y242" s="3" t="s">
        <v>4733</v>
      </c>
      <c r="Z242" s="3"/>
      <c r="AA242" s="3"/>
      <c r="AB242" s="3"/>
      <c r="AC242" s="3" t="str">
        <f>IF(Caja_Arequipa[[#This Row],[FECHA]]&gt;0,TEXT(Caja_Arequipa[[#This Row],[FECHA]],"mmmm"),0)</f>
        <v>Marzo</v>
      </c>
    </row>
    <row r="243" spans="2:29" ht="24" x14ac:dyDescent="0.3">
      <c r="B243" s="2">
        <f>IF(Caja_Arequipa[[#This Row],[TIPO DE R.]]="R",COUNTIFS($D$4:$D242,"R")+1,"")</f>
        <v>239</v>
      </c>
      <c r="C243" s="19" t="str">
        <f t="shared" si="16"/>
        <v>C-Tesoreria</v>
      </c>
      <c r="D243" s="3" t="s">
        <v>1074</v>
      </c>
      <c r="E243" s="14">
        <v>45744</v>
      </c>
      <c r="F243" s="5" t="s">
        <v>1158</v>
      </c>
      <c r="G243" s="5" t="s">
        <v>1079</v>
      </c>
      <c r="H243" s="3" t="s">
        <v>4433</v>
      </c>
      <c r="I243" s="6"/>
      <c r="J243" s="6"/>
      <c r="K243" s="6"/>
      <c r="L243" s="6"/>
      <c r="M243" s="7" t="s">
        <v>4734</v>
      </c>
      <c r="N243" s="8" t="str">
        <f>IF(Caja_Arequipa[[#This Row],[TIPO DE R.]]="R","001-"&amp;12002+B243,N242)</f>
        <v>001-12241</v>
      </c>
      <c r="O243" s="8" t="str">
        <f t="shared" si="20"/>
        <v>PEN</v>
      </c>
      <c r="P243" s="13"/>
      <c r="Q243" s="13">
        <v>20</v>
      </c>
      <c r="R243" s="3">
        <f t="shared" si="17"/>
        <v>0</v>
      </c>
      <c r="S243" s="3">
        <f t="shared" si="18"/>
        <v>20</v>
      </c>
      <c r="T243" s="3">
        <f t="shared" si="19"/>
        <v>1389.8000000000002</v>
      </c>
      <c r="U243" s="24" t="s">
        <v>1081</v>
      </c>
      <c r="V243" s="24"/>
      <c r="W243" s="3"/>
      <c r="X243" s="3" t="s">
        <v>4433</v>
      </c>
      <c r="Y243" s="3" t="s">
        <v>4735</v>
      </c>
      <c r="Z243" s="3"/>
      <c r="AA243" s="3"/>
      <c r="AB243" s="3"/>
      <c r="AC243" s="3" t="str">
        <f>IF(Caja_Arequipa[[#This Row],[FECHA]]&gt;0,TEXT(Caja_Arequipa[[#This Row],[FECHA]],"mmmm"),0)</f>
        <v>Marzo</v>
      </c>
    </row>
    <row r="244" spans="2:29" ht="24" x14ac:dyDescent="0.3">
      <c r="B244" s="2">
        <f>IF(Caja_Arequipa[[#This Row],[TIPO DE R.]]="R",COUNTIFS($D$4:$D243,"R")+1,"")</f>
        <v>240</v>
      </c>
      <c r="C244" s="19" t="str">
        <f t="shared" si="16"/>
        <v>C-Tesoreria</v>
      </c>
      <c r="D244" s="3" t="s">
        <v>1074</v>
      </c>
      <c r="E244" s="14">
        <v>45744</v>
      </c>
      <c r="F244" s="5" t="s">
        <v>1158</v>
      </c>
      <c r="G244" s="5" t="s">
        <v>1079</v>
      </c>
      <c r="H244" s="3" t="s">
        <v>4305</v>
      </c>
      <c r="I244" s="6"/>
      <c r="J244" s="6"/>
      <c r="K244" s="6"/>
      <c r="L244" s="6"/>
      <c r="M244" s="7" t="s">
        <v>4736</v>
      </c>
      <c r="N244" s="8" t="str">
        <f>IF(Caja_Arequipa[[#This Row],[TIPO DE R.]]="R","001-"&amp;12002+B244,N243)</f>
        <v>001-12242</v>
      </c>
      <c r="O244" s="8" t="str">
        <f t="shared" si="20"/>
        <v>PEN</v>
      </c>
      <c r="P244" s="13"/>
      <c r="Q244" s="13">
        <v>20</v>
      </c>
      <c r="R244" s="3">
        <f t="shared" si="17"/>
        <v>0</v>
      </c>
      <c r="S244" s="3">
        <f t="shared" si="18"/>
        <v>20</v>
      </c>
      <c r="T244" s="3">
        <f t="shared" si="19"/>
        <v>1369.8000000000002</v>
      </c>
      <c r="U244" s="24" t="s">
        <v>1081</v>
      </c>
      <c r="V244" s="24"/>
      <c r="W244" s="3"/>
      <c r="X244" s="3" t="s">
        <v>4305</v>
      </c>
      <c r="Y244" s="3" t="s">
        <v>4737</v>
      </c>
      <c r="Z244" s="3"/>
      <c r="AA244" s="3"/>
      <c r="AB244" s="3"/>
      <c r="AC244" s="3" t="str">
        <f>IF(Caja_Arequipa[[#This Row],[FECHA]]&gt;0,TEXT(Caja_Arequipa[[#This Row],[FECHA]],"mmmm"),0)</f>
        <v>Marzo</v>
      </c>
    </row>
    <row r="245" spans="2:29" x14ac:dyDescent="0.3">
      <c r="B245" s="2">
        <f>IF(Caja_Arequipa[[#This Row],[TIPO DE R.]]="R",COUNTIFS($D$4:$D244,"R")+1,"")</f>
        <v>241</v>
      </c>
      <c r="C245" s="19" t="str">
        <f t="shared" si="16"/>
        <v>C-Tesoreria</v>
      </c>
      <c r="D245" s="3" t="s">
        <v>1074</v>
      </c>
      <c r="E245" s="14">
        <v>45747</v>
      </c>
      <c r="F245" s="5" t="s">
        <v>1158</v>
      </c>
      <c r="G245" s="5" t="s">
        <v>1079</v>
      </c>
      <c r="H245" s="3" t="s">
        <v>4314</v>
      </c>
      <c r="I245" s="6"/>
      <c r="J245" s="6"/>
      <c r="K245" s="6"/>
      <c r="L245" s="6"/>
      <c r="M245" s="7" t="s">
        <v>4738</v>
      </c>
      <c r="N245" s="8" t="str">
        <f>IF(Caja_Arequipa[[#This Row],[TIPO DE R.]]="R","001-"&amp;12002+B245,N244)</f>
        <v>001-12243</v>
      </c>
      <c r="O245" s="8" t="str">
        <f t="shared" si="20"/>
        <v>PEN</v>
      </c>
      <c r="P245" s="13"/>
      <c r="Q245" s="13">
        <v>20</v>
      </c>
      <c r="R245" s="3">
        <f t="shared" si="17"/>
        <v>0</v>
      </c>
      <c r="S245" s="3">
        <f t="shared" si="18"/>
        <v>20</v>
      </c>
      <c r="T245" s="3">
        <f t="shared" si="19"/>
        <v>1349.8000000000002</v>
      </c>
      <c r="U245" s="24" t="s">
        <v>1081</v>
      </c>
      <c r="V245" s="24"/>
      <c r="W245" s="3"/>
      <c r="X245" s="3" t="s">
        <v>4314</v>
      </c>
      <c r="Y245" s="3" t="s">
        <v>4739</v>
      </c>
      <c r="Z245" s="3"/>
      <c r="AA245" s="3"/>
      <c r="AB245" s="3"/>
      <c r="AC245" s="3" t="str">
        <f>IF(Caja_Arequipa[[#This Row],[FECHA]]&gt;0,TEXT(Caja_Arequipa[[#This Row],[FECHA]],"mmmm"),0)</f>
        <v>Marzo</v>
      </c>
    </row>
    <row r="246" spans="2:29" x14ac:dyDescent="0.3">
      <c r="B246" s="2">
        <f>IF(Caja_Arequipa[[#This Row],[TIPO DE R.]]="R",COUNTIFS($D$4:$D245,"R")+1,"")</f>
        <v>242</v>
      </c>
      <c r="C246" s="19" t="str">
        <f t="shared" si="16"/>
        <v>C-Tesoreria</v>
      </c>
      <c r="D246" s="3" t="s">
        <v>1074</v>
      </c>
      <c r="E246" s="14">
        <v>45747</v>
      </c>
      <c r="F246" s="5" t="s">
        <v>1158</v>
      </c>
      <c r="G246" s="5" t="s">
        <v>1079</v>
      </c>
      <c r="H246" s="3" t="s">
        <v>4314</v>
      </c>
      <c r="I246" s="6"/>
      <c r="J246" s="6"/>
      <c r="K246" s="6"/>
      <c r="L246" s="6"/>
      <c r="M246" s="7" t="s">
        <v>4740</v>
      </c>
      <c r="N246" s="8" t="str">
        <f>IF(Caja_Arequipa[[#This Row],[TIPO DE R.]]="R","001-"&amp;12002+B246,N245)</f>
        <v>001-12244</v>
      </c>
      <c r="O246" s="8" t="str">
        <f t="shared" si="20"/>
        <v>PEN</v>
      </c>
      <c r="P246" s="13"/>
      <c r="Q246" s="13">
        <v>48</v>
      </c>
      <c r="R246" s="3">
        <f t="shared" si="17"/>
        <v>0</v>
      </c>
      <c r="S246" s="3">
        <f t="shared" si="18"/>
        <v>48</v>
      </c>
      <c r="T246" s="3">
        <f t="shared" si="19"/>
        <v>1301.8000000000002</v>
      </c>
      <c r="U246" s="24" t="s">
        <v>1081</v>
      </c>
      <c r="V246" s="24"/>
      <c r="W246" s="3"/>
      <c r="X246" s="3" t="s">
        <v>4314</v>
      </c>
      <c r="Y246" s="3" t="s">
        <v>4741</v>
      </c>
      <c r="Z246" s="3"/>
      <c r="AA246" s="3"/>
      <c r="AB246" s="3"/>
      <c r="AC246" s="3" t="str">
        <f>IF(Caja_Arequipa[[#This Row],[FECHA]]&gt;0,TEXT(Caja_Arequipa[[#This Row],[FECHA]],"mmmm"),0)</f>
        <v>Marzo</v>
      </c>
    </row>
    <row r="247" spans="2:29" x14ac:dyDescent="0.3">
      <c r="B247" s="2">
        <f>IF(Caja_Arequipa[[#This Row],[TIPO DE R.]]="R",COUNTIFS($D$4:$D246,"R")+1,"")</f>
        <v>243</v>
      </c>
      <c r="C247" s="19" t="str">
        <f t="shared" si="16"/>
        <v>C-Tesoreria</v>
      </c>
      <c r="D247" s="3" t="s">
        <v>1074</v>
      </c>
      <c r="E247" s="14">
        <v>45747</v>
      </c>
      <c r="F247" s="5" t="s">
        <v>1158</v>
      </c>
      <c r="G247" s="5" t="s">
        <v>1079</v>
      </c>
      <c r="H247" s="3" t="s">
        <v>4314</v>
      </c>
      <c r="I247" s="6"/>
      <c r="J247" s="6"/>
      <c r="K247" s="6"/>
      <c r="L247" s="6"/>
      <c r="M247" s="7" t="s">
        <v>4742</v>
      </c>
      <c r="N247" s="8" t="str">
        <f>IF(Caja_Arequipa[[#This Row],[TIPO DE R.]]="R","001-"&amp;12002+B247,N246)</f>
        <v>001-12245</v>
      </c>
      <c r="O247" s="8" t="str">
        <f t="shared" si="20"/>
        <v>PEN</v>
      </c>
      <c r="P247" s="13"/>
      <c r="Q247" s="13">
        <v>5</v>
      </c>
      <c r="R247" s="3">
        <f t="shared" si="17"/>
        <v>0</v>
      </c>
      <c r="S247" s="3">
        <f t="shared" si="18"/>
        <v>5</v>
      </c>
      <c r="T247" s="3">
        <f t="shared" si="19"/>
        <v>1296.8000000000002</v>
      </c>
      <c r="U247" s="24" t="s">
        <v>1081</v>
      </c>
      <c r="V247" s="24"/>
      <c r="W247" s="3"/>
      <c r="X247" s="3" t="s">
        <v>4314</v>
      </c>
      <c r="Y247" s="3" t="s">
        <v>4743</v>
      </c>
      <c r="Z247" s="3"/>
      <c r="AA247" s="3"/>
      <c r="AB247" s="3"/>
      <c r="AC247" s="3" t="str">
        <f>IF(Caja_Arequipa[[#This Row],[FECHA]]&gt;0,TEXT(Caja_Arequipa[[#This Row],[FECHA]],"mmmm"),0)</f>
        <v>Marzo</v>
      </c>
    </row>
    <row r="248" spans="2:29" x14ac:dyDescent="0.3">
      <c r="B248" s="2">
        <f>IF(Caja_Arequipa[[#This Row],[TIPO DE R.]]="R",COUNTIFS($D$4:$D247,"R")+1,"")</f>
        <v>244</v>
      </c>
      <c r="C248" s="19" t="str">
        <f t="shared" si="16"/>
        <v>C-Tesoreria</v>
      </c>
      <c r="D248" s="3" t="s">
        <v>1074</v>
      </c>
      <c r="E248" s="14">
        <v>45747</v>
      </c>
      <c r="F248" s="5" t="s">
        <v>1158</v>
      </c>
      <c r="G248" s="5" t="s">
        <v>1079</v>
      </c>
      <c r="H248" s="3" t="s">
        <v>4314</v>
      </c>
      <c r="I248" s="6"/>
      <c r="J248" s="6"/>
      <c r="K248" s="6"/>
      <c r="L248" s="6"/>
      <c r="M248" s="7" t="s">
        <v>4651</v>
      </c>
      <c r="N248" s="8" t="str">
        <f>IF(Caja_Arequipa[[#This Row],[TIPO DE R.]]="R","001-"&amp;12002+B248,N247)</f>
        <v>001-12246</v>
      </c>
      <c r="O248" s="8" t="str">
        <f t="shared" si="20"/>
        <v>PEN</v>
      </c>
      <c r="P248" s="13"/>
      <c r="Q248" s="13">
        <v>5</v>
      </c>
      <c r="R248" s="3">
        <f t="shared" si="17"/>
        <v>0</v>
      </c>
      <c r="S248" s="3">
        <f t="shared" si="18"/>
        <v>5</v>
      </c>
      <c r="T248" s="3">
        <f t="shared" si="19"/>
        <v>1291.8000000000002</v>
      </c>
      <c r="U248" s="24" t="s">
        <v>1081</v>
      </c>
      <c r="V248" s="24"/>
      <c r="W248" s="3"/>
      <c r="X248" s="3" t="s">
        <v>4314</v>
      </c>
      <c r="Y248" s="3" t="s">
        <v>4744</v>
      </c>
      <c r="Z248" s="3"/>
      <c r="AA248" s="3"/>
      <c r="AB248" s="3"/>
      <c r="AC248" s="3" t="str">
        <f>IF(Caja_Arequipa[[#This Row],[FECHA]]&gt;0,TEXT(Caja_Arequipa[[#This Row],[FECHA]],"mmmm"),0)</f>
        <v>Marzo</v>
      </c>
    </row>
    <row r="249" spans="2:29" x14ac:dyDescent="0.3">
      <c r="B249" s="2">
        <f>IF(Caja_Arequipa[[#This Row],[TIPO DE R.]]="R",COUNTIFS($D$4:$D248,"R")+1,"")</f>
        <v>245</v>
      </c>
      <c r="C249" s="19" t="str">
        <f t="shared" si="16"/>
        <v>C-Tesoreria</v>
      </c>
      <c r="D249" s="3" t="s">
        <v>1074</v>
      </c>
      <c r="E249" s="14">
        <v>45747</v>
      </c>
      <c r="F249" s="5" t="s">
        <v>1158</v>
      </c>
      <c r="G249" s="5" t="s">
        <v>1079</v>
      </c>
      <c r="H249" s="3" t="s">
        <v>4314</v>
      </c>
      <c r="I249" s="6"/>
      <c r="J249" s="6"/>
      <c r="K249" s="6"/>
      <c r="L249" s="6"/>
      <c r="M249" s="7" t="s">
        <v>4745</v>
      </c>
      <c r="N249" s="8" t="str">
        <f>IF(Caja_Arequipa[[#This Row],[TIPO DE R.]]="R","001-"&amp;12002+B249,N248)</f>
        <v>001-12247</v>
      </c>
      <c r="O249" s="8" t="str">
        <f t="shared" si="20"/>
        <v>PEN</v>
      </c>
      <c r="P249" s="13"/>
      <c r="Q249" s="13">
        <v>10</v>
      </c>
      <c r="R249" s="3">
        <f t="shared" si="17"/>
        <v>0</v>
      </c>
      <c r="S249" s="3">
        <f t="shared" si="18"/>
        <v>10</v>
      </c>
      <c r="T249" s="3">
        <f t="shared" si="19"/>
        <v>1281.8000000000002</v>
      </c>
      <c r="U249" s="24" t="s">
        <v>1081</v>
      </c>
      <c r="V249" s="24"/>
      <c r="W249" s="3"/>
      <c r="X249" s="3" t="s">
        <v>4314</v>
      </c>
      <c r="Y249" s="3" t="s">
        <v>4746</v>
      </c>
      <c r="Z249" s="3"/>
      <c r="AA249" s="3"/>
      <c r="AB249" s="3"/>
      <c r="AC249" s="3" t="str">
        <f>IF(Caja_Arequipa[[#This Row],[FECHA]]&gt;0,TEXT(Caja_Arequipa[[#This Row],[FECHA]],"mmmm"),0)</f>
        <v>Marzo</v>
      </c>
    </row>
    <row r="250" spans="2:29" x14ac:dyDescent="0.3">
      <c r="B250" s="2">
        <f>IF(Caja_Arequipa[[#This Row],[TIPO DE R.]]="R",COUNTIFS($D$4:$D249,"R")+1,"")</f>
        <v>246</v>
      </c>
      <c r="C250" s="19" t="str">
        <f t="shared" si="16"/>
        <v>C-Tesoreria</v>
      </c>
      <c r="D250" s="3" t="s">
        <v>1074</v>
      </c>
      <c r="E250" s="14">
        <v>45747</v>
      </c>
      <c r="F250" s="5" t="s">
        <v>1158</v>
      </c>
      <c r="G250" s="5" t="s">
        <v>1079</v>
      </c>
      <c r="H250" s="3" t="s">
        <v>4314</v>
      </c>
      <c r="I250" s="6"/>
      <c r="J250" s="6"/>
      <c r="K250" s="6"/>
      <c r="L250" s="6"/>
      <c r="M250" s="7" t="s">
        <v>4747</v>
      </c>
      <c r="N250" s="8" t="str">
        <f>IF(Caja_Arequipa[[#This Row],[TIPO DE R.]]="R","001-"&amp;12002+B250,N249)</f>
        <v>001-12248</v>
      </c>
      <c r="O250" s="8" t="str">
        <f t="shared" si="20"/>
        <v>PEN</v>
      </c>
      <c r="P250" s="13"/>
      <c r="Q250" s="13">
        <v>15</v>
      </c>
      <c r="R250" s="3">
        <f t="shared" si="17"/>
        <v>0</v>
      </c>
      <c r="S250" s="3">
        <f t="shared" si="18"/>
        <v>15</v>
      </c>
      <c r="T250" s="3">
        <f t="shared" si="19"/>
        <v>1266.8000000000002</v>
      </c>
      <c r="U250" s="24" t="s">
        <v>1081</v>
      </c>
      <c r="V250" s="24"/>
      <c r="W250" s="3"/>
      <c r="X250" s="3" t="s">
        <v>4314</v>
      </c>
      <c r="Y250" s="3" t="s">
        <v>4748</v>
      </c>
      <c r="Z250" s="3"/>
      <c r="AA250" s="3"/>
      <c r="AB250" s="3"/>
      <c r="AC250" s="3" t="str">
        <f>IF(Caja_Arequipa[[#This Row],[FECHA]]&gt;0,TEXT(Caja_Arequipa[[#This Row],[FECHA]],"mmmm"),0)</f>
        <v>Marzo</v>
      </c>
    </row>
    <row r="251" spans="2:29" x14ac:dyDescent="0.3">
      <c r="B251" s="2">
        <f>IF(Caja_Arequipa[[#This Row],[TIPO DE R.]]="R",COUNTIFS($D$4:$D250,"R")+1,"")</f>
        <v>247</v>
      </c>
      <c r="C251" s="19" t="str">
        <f t="shared" si="16"/>
        <v>C-Tesoreria</v>
      </c>
      <c r="D251" s="3" t="s">
        <v>1074</v>
      </c>
      <c r="E251" s="14">
        <v>45747</v>
      </c>
      <c r="F251" s="5" t="s">
        <v>1158</v>
      </c>
      <c r="G251" s="5" t="s">
        <v>1079</v>
      </c>
      <c r="H251" s="3" t="s">
        <v>4314</v>
      </c>
      <c r="I251" s="6"/>
      <c r="J251" s="6"/>
      <c r="K251" s="6"/>
      <c r="L251" s="6"/>
      <c r="M251" s="7" t="s">
        <v>4749</v>
      </c>
      <c r="N251" s="8" t="str">
        <f>IF(Caja_Arequipa[[#This Row],[TIPO DE R.]]="R","001-"&amp;12002+B251,N250)</f>
        <v>001-12249</v>
      </c>
      <c r="O251" s="8" t="str">
        <f t="shared" si="20"/>
        <v>PEN</v>
      </c>
      <c r="P251" s="13"/>
      <c r="Q251" s="13">
        <v>5</v>
      </c>
      <c r="R251" s="3">
        <f t="shared" si="17"/>
        <v>0</v>
      </c>
      <c r="S251" s="3">
        <f t="shared" si="18"/>
        <v>5</v>
      </c>
      <c r="T251" s="3">
        <f t="shared" si="19"/>
        <v>1261.8000000000002</v>
      </c>
      <c r="U251" s="24" t="s">
        <v>1081</v>
      </c>
      <c r="V251" s="24"/>
      <c r="W251" s="3"/>
      <c r="X251" s="3" t="s">
        <v>4314</v>
      </c>
      <c r="Y251" s="3" t="s">
        <v>4750</v>
      </c>
      <c r="Z251" s="3"/>
      <c r="AA251" s="3"/>
      <c r="AB251" s="3"/>
      <c r="AC251" s="3" t="str">
        <f>IF(Caja_Arequipa[[#This Row],[FECHA]]&gt;0,TEXT(Caja_Arequipa[[#This Row],[FECHA]],"mmmm"),0)</f>
        <v>Marzo</v>
      </c>
    </row>
    <row r="252" spans="2:29" x14ac:dyDescent="0.3">
      <c r="B252" s="2">
        <f>IF(Caja_Arequipa[[#This Row],[TIPO DE R.]]="R",COUNTIFS($D$4:$D251,"R")+1,"")</f>
        <v>248</v>
      </c>
      <c r="C252" s="19" t="str">
        <f t="shared" si="16"/>
        <v>C-Tesoreria</v>
      </c>
      <c r="D252" s="3" t="s">
        <v>1074</v>
      </c>
      <c r="E252" s="14">
        <v>45747</v>
      </c>
      <c r="F252" s="5" t="s">
        <v>1158</v>
      </c>
      <c r="G252" s="5" t="s">
        <v>1079</v>
      </c>
      <c r="H252" s="3" t="s">
        <v>4314</v>
      </c>
      <c r="I252" s="6"/>
      <c r="J252" s="6"/>
      <c r="K252" s="6"/>
      <c r="L252" s="6"/>
      <c r="M252" s="7" t="s">
        <v>4689</v>
      </c>
      <c r="N252" s="8" t="str">
        <f>IF(Caja_Arequipa[[#This Row],[TIPO DE R.]]="R","001-"&amp;12002+B252,N251)</f>
        <v>001-12250</v>
      </c>
      <c r="O252" s="8" t="str">
        <f t="shared" si="20"/>
        <v>PEN</v>
      </c>
      <c r="P252" s="13"/>
      <c r="Q252" s="13">
        <v>30</v>
      </c>
      <c r="R252" s="3">
        <f t="shared" si="17"/>
        <v>0</v>
      </c>
      <c r="S252" s="3">
        <f t="shared" si="18"/>
        <v>30</v>
      </c>
      <c r="T252" s="3">
        <f t="shared" si="19"/>
        <v>1231.8000000000002</v>
      </c>
      <c r="U252" s="24" t="s">
        <v>1081</v>
      </c>
      <c r="V252" s="24"/>
      <c r="W252" s="3"/>
      <c r="X252" s="3" t="s">
        <v>4314</v>
      </c>
      <c r="Y252" s="3" t="s">
        <v>4751</v>
      </c>
      <c r="Z252" s="3"/>
      <c r="AA252" s="3"/>
      <c r="AB252" s="3"/>
      <c r="AC252" s="3" t="str">
        <f>IF(Caja_Arequipa[[#This Row],[FECHA]]&gt;0,TEXT(Caja_Arequipa[[#This Row],[FECHA]],"mmmm"),0)</f>
        <v>Marzo</v>
      </c>
    </row>
    <row r="253" spans="2:29" x14ac:dyDescent="0.3">
      <c r="B253" s="2">
        <f>IF(Caja_Arequipa[[#This Row],[TIPO DE R.]]="R",COUNTIFS($D$4:$D252,"R")+1,"")</f>
        <v>249</v>
      </c>
      <c r="C253" s="19" t="str">
        <f t="shared" si="16"/>
        <v>C-Tesoreria</v>
      </c>
      <c r="D253" s="3" t="s">
        <v>1074</v>
      </c>
      <c r="E253" s="14">
        <v>45747</v>
      </c>
      <c r="F253" s="5" t="s">
        <v>1158</v>
      </c>
      <c r="G253" s="5" t="s">
        <v>1079</v>
      </c>
      <c r="H253" s="3" t="s">
        <v>4314</v>
      </c>
      <c r="I253" s="6"/>
      <c r="J253" s="6"/>
      <c r="K253" s="6"/>
      <c r="L253" s="6"/>
      <c r="M253" s="7" t="s">
        <v>4752</v>
      </c>
      <c r="N253" s="8" t="str">
        <f>IF(Caja_Arequipa[[#This Row],[TIPO DE R.]]="R","001-"&amp;12002+B253,N252)</f>
        <v>001-12251</v>
      </c>
      <c r="O253" s="8" t="str">
        <f t="shared" si="20"/>
        <v>PEN</v>
      </c>
      <c r="P253" s="13"/>
      <c r="Q253" s="13">
        <v>5</v>
      </c>
      <c r="R253" s="3">
        <f t="shared" si="17"/>
        <v>0</v>
      </c>
      <c r="S253" s="3">
        <f t="shared" si="18"/>
        <v>5</v>
      </c>
      <c r="T253" s="3">
        <f t="shared" si="19"/>
        <v>1226.8000000000002</v>
      </c>
      <c r="U253" s="24" t="s">
        <v>1081</v>
      </c>
      <c r="V253" s="24"/>
      <c r="W253" s="3"/>
      <c r="X253" s="3" t="s">
        <v>4314</v>
      </c>
      <c r="Y253" s="3" t="s">
        <v>4753</v>
      </c>
      <c r="Z253" s="3"/>
      <c r="AA253" s="3"/>
      <c r="AB253" s="3"/>
      <c r="AC253" s="3" t="str">
        <f>IF(Caja_Arequipa[[#This Row],[FECHA]]&gt;0,TEXT(Caja_Arequipa[[#This Row],[FECHA]],"mmmm"),0)</f>
        <v>Marzo</v>
      </c>
    </row>
    <row r="254" spans="2:29" x14ac:dyDescent="0.3">
      <c r="B254" s="2">
        <f>IF(Caja_Arequipa[[#This Row],[TIPO DE R.]]="R",COUNTIFS($D$4:$D253,"R")+1,"")</f>
        <v>250</v>
      </c>
      <c r="C254" s="19" t="str">
        <f t="shared" si="16"/>
        <v>C-Tesoreria</v>
      </c>
      <c r="D254" s="3" t="s">
        <v>1074</v>
      </c>
      <c r="E254" s="14">
        <v>45748</v>
      </c>
      <c r="F254" s="5" t="s">
        <v>1158</v>
      </c>
      <c r="G254" s="5" t="s">
        <v>1079</v>
      </c>
      <c r="H254" s="3" t="s">
        <v>4754</v>
      </c>
      <c r="I254" s="6"/>
      <c r="J254" s="6"/>
      <c r="K254" s="6"/>
      <c r="L254" s="6"/>
      <c r="M254" s="7" t="s">
        <v>4755</v>
      </c>
      <c r="N254" s="8" t="str">
        <f>IF(Caja_Arequipa[[#This Row],[TIPO DE R.]]="R","001-"&amp;12002+B254,N253)</f>
        <v>001-12252</v>
      </c>
      <c r="O254" s="8" t="str">
        <f t="shared" si="20"/>
        <v>PEN</v>
      </c>
      <c r="P254" s="13"/>
      <c r="Q254" s="13">
        <v>30</v>
      </c>
      <c r="R254" s="3">
        <f t="shared" si="17"/>
        <v>0</v>
      </c>
      <c r="S254" s="3">
        <f t="shared" si="18"/>
        <v>30</v>
      </c>
      <c r="T254" s="3">
        <f t="shared" si="19"/>
        <v>1196.8000000000002</v>
      </c>
      <c r="U254" s="24" t="s">
        <v>1081</v>
      </c>
      <c r="V254" s="24"/>
      <c r="W254" s="3"/>
      <c r="X254" s="3" t="s">
        <v>4754</v>
      </c>
      <c r="Y254" s="3" t="s">
        <v>4756</v>
      </c>
      <c r="Z254" s="3"/>
      <c r="AA254" s="3"/>
      <c r="AB254" s="3"/>
      <c r="AC254" s="3" t="str">
        <f>IF(Caja_Arequipa[[#This Row],[FECHA]]&gt;0,TEXT(Caja_Arequipa[[#This Row],[FECHA]],"mmmm"),0)</f>
        <v>Abril</v>
      </c>
    </row>
    <row r="255" spans="2:29" x14ac:dyDescent="0.3">
      <c r="B255" s="2">
        <f>IF(Caja_Arequipa[[#This Row],[TIPO DE R.]]="R",COUNTIFS($D$4:$D254,"R")+1,"")</f>
        <v>251</v>
      </c>
      <c r="C255" s="19" t="str">
        <f t="shared" si="16"/>
        <v>C-Tesoreria</v>
      </c>
      <c r="D255" s="3" t="s">
        <v>1074</v>
      </c>
      <c r="E255" s="14">
        <v>45748</v>
      </c>
      <c r="F255" s="5" t="s">
        <v>1158</v>
      </c>
      <c r="G255" s="5" t="s">
        <v>1079</v>
      </c>
      <c r="H255" s="3" t="s">
        <v>3016</v>
      </c>
      <c r="I255" s="6"/>
      <c r="J255" s="6"/>
      <c r="K255" s="6"/>
      <c r="L255" s="6"/>
      <c r="M255" s="7" t="s">
        <v>4757</v>
      </c>
      <c r="N255" s="8" t="str">
        <f>IF(Caja_Arequipa[[#This Row],[TIPO DE R.]]="R","001-"&amp;12002+B255,N254)</f>
        <v>001-12253</v>
      </c>
      <c r="O255" s="8" t="str">
        <f t="shared" si="20"/>
        <v>PEN</v>
      </c>
      <c r="P255" s="13"/>
      <c r="Q255" s="13">
        <v>10</v>
      </c>
      <c r="R255" s="3">
        <f t="shared" si="17"/>
        <v>0</v>
      </c>
      <c r="S255" s="3">
        <f t="shared" si="18"/>
        <v>10</v>
      </c>
      <c r="T255" s="3">
        <f t="shared" si="19"/>
        <v>1186.8000000000002</v>
      </c>
      <c r="U255" s="24" t="s">
        <v>1081</v>
      </c>
      <c r="V255" s="24"/>
      <c r="W255" s="3"/>
      <c r="X255" s="3" t="s">
        <v>3016</v>
      </c>
      <c r="Y255" s="3" t="s">
        <v>4758</v>
      </c>
      <c r="Z255" s="3"/>
      <c r="AA255" s="3"/>
      <c r="AB255" s="3"/>
      <c r="AC255" s="3" t="str">
        <f>IF(Caja_Arequipa[[#This Row],[FECHA]]&gt;0,TEXT(Caja_Arequipa[[#This Row],[FECHA]],"mmmm"),0)</f>
        <v>Abril</v>
      </c>
    </row>
    <row r="256" spans="2:29" x14ac:dyDescent="0.3">
      <c r="B256" s="2">
        <f>IF(Caja_Arequipa[[#This Row],[TIPO DE R.]]="R",COUNTIFS($D$4:$D255,"R")+1,"")</f>
        <v>252</v>
      </c>
      <c r="C256" s="19" t="str">
        <f t="shared" si="16"/>
        <v>C-Tesoreria</v>
      </c>
      <c r="D256" s="3" t="s">
        <v>1074</v>
      </c>
      <c r="E256" s="14">
        <v>45749</v>
      </c>
      <c r="F256" s="5" t="s">
        <v>1158</v>
      </c>
      <c r="G256" s="5" t="s">
        <v>1079</v>
      </c>
      <c r="H256" s="3" t="s">
        <v>4334</v>
      </c>
      <c r="I256" s="6"/>
      <c r="J256" s="6"/>
      <c r="K256" s="6"/>
      <c r="L256" s="6"/>
      <c r="M256" s="7" t="s">
        <v>4759</v>
      </c>
      <c r="N256" s="8" t="str">
        <f>IF(Caja_Arequipa[[#This Row],[TIPO DE R.]]="R","001-"&amp;12002+B256,N255)</f>
        <v>001-12254</v>
      </c>
      <c r="O256" s="8" t="str">
        <f t="shared" si="20"/>
        <v>PEN</v>
      </c>
      <c r="P256" s="13"/>
      <c r="Q256" s="13">
        <v>20</v>
      </c>
      <c r="R256" s="3">
        <f t="shared" si="17"/>
        <v>0</v>
      </c>
      <c r="S256" s="3">
        <f t="shared" si="18"/>
        <v>20</v>
      </c>
      <c r="T256" s="3">
        <f t="shared" si="19"/>
        <v>1166.8000000000002</v>
      </c>
      <c r="U256" s="24" t="s">
        <v>1081</v>
      </c>
      <c r="V256" s="24"/>
      <c r="W256" s="3"/>
      <c r="X256" s="3" t="s">
        <v>4334</v>
      </c>
      <c r="Y256" s="3" t="s">
        <v>4760</v>
      </c>
      <c r="Z256" s="3"/>
      <c r="AA256" s="3"/>
      <c r="AB256" s="3"/>
      <c r="AC256" s="3" t="str">
        <f>IF(Caja_Arequipa[[#This Row],[FECHA]]&gt;0,TEXT(Caja_Arequipa[[#This Row],[FECHA]],"mmmm"),0)</f>
        <v>Abril</v>
      </c>
    </row>
    <row r="257" spans="2:29" ht="36" x14ac:dyDescent="0.3">
      <c r="B257" s="2">
        <f>IF(Caja_Arequipa[[#This Row],[TIPO DE R.]]="R",COUNTIFS($D$4:$D256,"R")+1,"")</f>
        <v>253</v>
      </c>
      <c r="C257" s="19" t="str">
        <f t="shared" si="16"/>
        <v>C-Tesoreria</v>
      </c>
      <c r="D257" s="3" t="s">
        <v>1074</v>
      </c>
      <c r="E257" s="14">
        <v>45750</v>
      </c>
      <c r="F257" s="5" t="s">
        <v>1158</v>
      </c>
      <c r="G257" s="5" t="s">
        <v>1079</v>
      </c>
      <c r="H257" s="3" t="s">
        <v>4501</v>
      </c>
      <c r="I257" s="6"/>
      <c r="J257" s="6"/>
      <c r="K257" s="6"/>
      <c r="L257" s="6"/>
      <c r="M257" s="7" t="s">
        <v>4761</v>
      </c>
      <c r="N257" s="8" t="str">
        <f>IF(Caja_Arequipa[[#This Row],[TIPO DE R.]]="R","001-"&amp;12002+B257,N256)</f>
        <v>001-12255</v>
      </c>
      <c r="O257" s="8" t="str">
        <f t="shared" si="20"/>
        <v>PEN</v>
      </c>
      <c r="P257" s="13"/>
      <c r="Q257" s="13">
        <v>40</v>
      </c>
      <c r="R257" s="3">
        <f t="shared" si="17"/>
        <v>0</v>
      </c>
      <c r="S257" s="3">
        <f t="shared" si="18"/>
        <v>40</v>
      </c>
      <c r="T257" s="3">
        <f t="shared" si="19"/>
        <v>1126.8000000000002</v>
      </c>
      <c r="U257" s="24" t="s">
        <v>1081</v>
      </c>
      <c r="V257" s="24"/>
      <c r="W257" s="3"/>
      <c r="X257" s="3" t="s">
        <v>4501</v>
      </c>
      <c r="Y257" s="3" t="s">
        <v>4762</v>
      </c>
      <c r="Z257" s="3"/>
      <c r="AA257" s="3"/>
      <c r="AB257" s="3"/>
      <c r="AC257" s="3" t="str">
        <f>IF(Caja_Arequipa[[#This Row],[FECHA]]&gt;0,TEXT(Caja_Arequipa[[#This Row],[FECHA]],"mmmm"),0)</f>
        <v>Abril</v>
      </c>
    </row>
    <row r="258" spans="2:29" x14ac:dyDescent="0.3">
      <c r="B258" s="2">
        <f>IF(Caja_Arequipa[[#This Row],[TIPO DE R.]]="R",COUNTIFS($D$4:$D257,"R")+1,"")</f>
        <v>254</v>
      </c>
      <c r="C258" s="19" t="str">
        <f t="shared" si="16"/>
        <v>C-Tesoreria</v>
      </c>
      <c r="D258" s="3" t="s">
        <v>1074</v>
      </c>
      <c r="E258" s="14">
        <v>45751</v>
      </c>
      <c r="F258" s="5" t="s">
        <v>1158</v>
      </c>
      <c r="G258" s="5" t="s">
        <v>1079</v>
      </c>
      <c r="H258" s="3" t="s">
        <v>4305</v>
      </c>
      <c r="I258" s="6"/>
      <c r="J258" s="6"/>
      <c r="K258" s="6"/>
      <c r="L258" s="6"/>
      <c r="M258" s="7" t="s">
        <v>4763</v>
      </c>
      <c r="N258" s="8" t="str">
        <f>IF(Caja_Arequipa[[#This Row],[TIPO DE R.]]="R","001-"&amp;12002+B258,N257)</f>
        <v>001-12256</v>
      </c>
      <c r="O258" s="8" t="str">
        <f t="shared" si="20"/>
        <v>PEN</v>
      </c>
      <c r="P258" s="13"/>
      <c r="Q258" s="13">
        <v>15</v>
      </c>
      <c r="R258" s="3">
        <f t="shared" si="17"/>
        <v>0</v>
      </c>
      <c r="S258" s="3">
        <f t="shared" si="18"/>
        <v>15</v>
      </c>
      <c r="T258" s="3">
        <f t="shared" si="19"/>
        <v>1111.8000000000002</v>
      </c>
      <c r="U258" s="24"/>
      <c r="V258" s="24"/>
      <c r="W258" s="3"/>
      <c r="X258" s="3" t="s">
        <v>4305</v>
      </c>
      <c r="Y258" s="3" t="s">
        <v>4764</v>
      </c>
      <c r="Z258" s="3"/>
      <c r="AA258" s="3"/>
      <c r="AB258" s="3"/>
      <c r="AC258" s="3" t="str">
        <f>IF(Caja_Arequipa[[#This Row],[FECHA]]&gt;0,TEXT(Caja_Arequipa[[#This Row],[FECHA]],"mmmm"),0)</f>
        <v>Abril</v>
      </c>
    </row>
    <row r="259" spans="2:29" x14ac:dyDescent="0.3">
      <c r="B259" s="2">
        <f>IF(Caja_Arequipa[[#This Row],[TIPO DE R.]]="R",COUNTIFS($D$4:$D258,"R")+1,"")</f>
        <v>255</v>
      </c>
      <c r="C259" s="19" t="str">
        <f t="shared" si="16"/>
        <v>C-Tesoreria</v>
      </c>
      <c r="D259" s="3" t="s">
        <v>1074</v>
      </c>
      <c r="E259" s="14">
        <v>45751</v>
      </c>
      <c r="F259" s="5" t="s">
        <v>1158</v>
      </c>
      <c r="G259" s="5" t="s">
        <v>1079</v>
      </c>
      <c r="H259" s="3" t="s">
        <v>4353</v>
      </c>
      <c r="I259" s="6"/>
      <c r="J259" s="6"/>
      <c r="K259" s="6"/>
      <c r="L259" s="6"/>
      <c r="M259" s="7" t="s">
        <v>4765</v>
      </c>
      <c r="N259" s="8" t="str">
        <f>IF(Caja_Arequipa[[#This Row],[TIPO DE R.]]="R","001-"&amp;12002+B259,N258)</f>
        <v>001-12257</v>
      </c>
      <c r="O259" s="8" t="str">
        <f t="shared" si="20"/>
        <v>PEN</v>
      </c>
      <c r="P259" s="13"/>
      <c r="Q259" s="13">
        <v>12</v>
      </c>
      <c r="R259" s="3">
        <f t="shared" si="17"/>
        <v>0</v>
      </c>
      <c r="S259" s="3">
        <f t="shared" si="18"/>
        <v>12</v>
      </c>
      <c r="T259" s="3">
        <f t="shared" si="19"/>
        <v>1099.8000000000002</v>
      </c>
      <c r="U259" s="24" t="s">
        <v>1081</v>
      </c>
      <c r="V259" s="24"/>
      <c r="W259" s="3"/>
      <c r="X259" s="3" t="s">
        <v>4353</v>
      </c>
      <c r="Y259" s="3" t="s">
        <v>4766</v>
      </c>
      <c r="Z259" s="3"/>
      <c r="AA259" s="3"/>
      <c r="AB259" s="3"/>
      <c r="AC259" s="3" t="str">
        <f>IF(Caja_Arequipa[[#This Row],[FECHA]]&gt;0,TEXT(Caja_Arequipa[[#This Row],[FECHA]],"mmmm"),0)</f>
        <v>Abril</v>
      </c>
    </row>
    <row r="260" spans="2:29" x14ac:dyDescent="0.3">
      <c r="B260" s="2">
        <f>IF(Caja_Arequipa[[#This Row],[TIPO DE R.]]="R",COUNTIFS($D$4:$D259,"R")+1,"")</f>
        <v>256</v>
      </c>
      <c r="C260" s="19" t="str">
        <f t="shared" si="16"/>
        <v>C-Tesoreria</v>
      </c>
      <c r="D260" s="3" t="s">
        <v>1074</v>
      </c>
      <c r="E260" s="14">
        <v>45751</v>
      </c>
      <c r="F260" s="5" t="s">
        <v>1158</v>
      </c>
      <c r="G260" s="5" t="s">
        <v>1079</v>
      </c>
      <c r="H260" s="3" t="s">
        <v>4353</v>
      </c>
      <c r="I260" s="6"/>
      <c r="J260" s="6"/>
      <c r="K260" s="6"/>
      <c r="L260" s="6"/>
      <c r="M260" s="7" t="s">
        <v>4767</v>
      </c>
      <c r="N260" s="8" t="str">
        <f>IF(Caja_Arequipa[[#This Row],[TIPO DE R.]]="R","001-"&amp;12002+B260,N259)</f>
        <v>001-12258</v>
      </c>
      <c r="O260" s="8" t="str">
        <f t="shared" si="20"/>
        <v>PEN</v>
      </c>
      <c r="P260" s="13"/>
      <c r="Q260" s="13">
        <v>60</v>
      </c>
      <c r="R260" s="3">
        <f t="shared" si="17"/>
        <v>0</v>
      </c>
      <c r="S260" s="3">
        <f t="shared" si="18"/>
        <v>60</v>
      </c>
      <c r="T260" s="3">
        <f t="shared" si="19"/>
        <v>1039.8000000000002</v>
      </c>
      <c r="U260" s="24" t="s">
        <v>1081</v>
      </c>
      <c r="V260" s="24"/>
      <c r="W260" s="3"/>
      <c r="X260" s="3" t="s">
        <v>4353</v>
      </c>
      <c r="Y260" s="3" t="s">
        <v>4768</v>
      </c>
      <c r="Z260" s="3"/>
      <c r="AA260" s="3"/>
      <c r="AB260" s="3"/>
      <c r="AC260" s="3" t="str">
        <f>IF(Caja_Arequipa[[#This Row],[FECHA]]&gt;0,TEXT(Caja_Arequipa[[#This Row],[FECHA]],"mmmm"),0)</f>
        <v>Abril</v>
      </c>
    </row>
    <row r="261" spans="2:29" x14ac:dyDescent="0.3">
      <c r="B261" s="2">
        <f>IF(Caja_Arequipa[[#This Row],[TIPO DE R.]]="R",COUNTIFS($D$4:$D260,"R")+1,"")</f>
        <v>257</v>
      </c>
      <c r="C261" s="19" t="str">
        <f t="shared" ref="C261:C324" si="21">"C-Tesoreria"</f>
        <v>C-Tesoreria</v>
      </c>
      <c r="D261" s="3" t="s">
        <v>1074</v>
      </c>
      <c r="E261" s="14">
        <v>45751</v>
      </c>
      <c r="F261" s="5" t="s">
        <v>1158</v>
      </c>
      <c r="G261" s="5" t="s">
        <v>1079</v>
      </c>
      <c r="H261" s="3" t="s">
        <v>4353</v>
      </c>
      <c r="I261" s="6"/>
      <c r="J261" s="6"/>
      <c r="K261" s="6"/>
      <c r="L261" s="6"/>
      <c r="M261" s="7" t="s">
        <v>4769</v>
      </c>
      <c r="N261" s="8" t="str">
        <f>IF(Caja_Arequipa[[#This Row],[TIPO DE R.]]="R","001-"&amp;12002+B261,N260)</f>
        <v>001-12259</v>
      </c>
      <c r="O261" s="8" t="str">
        <f t="shared" si="20"/>
        <v>PEN</v>
      </c>
      <c r="P261" s="13"/>
      <c r="Q261" s="13">
        <v>15</v>
      </c>
      <c r="R261" s="3">
        <f t="shared" ref="R261:R324" si="22">+IF(OR($G261="SALDO",$G261="INGRESO"),$Q261,0)</f>
        <v>0</v>
      </c>
      <c r="S261" s="3">
        <f t="shared" ref="S261:S324" si="23">+IF($G261="EGRESO",$Q261,0)</f>
        <v>15</v>
      </c>
      <c r="T261" s="3">
        <f t="shared" ref="T261:T324" si="24">IFERROR(IF(G261="SALDO",R261,T260+R261-S261),0)</f>
        <v>1024.8000000000002</v>
      </c>
      <c r="U261" s="24" t="s">
        <v>1081</v>
      </c>
      <c r="V261" s="24"/>
      <c r="W261" s="3"/>
      <c r="X261" s="3" t="s">
        <v>4353</v>
      </c>
      <c r="Y261" s="3" t="s">
        <v>4770</v>
      </c>
      <c r="Z261" s="3"/>
      <c r="AA261" s="3"/>
      <c r="AB261" s="3"/>
      <c r="AC261" s="3" t="str">
        <f>IF(Caja_Arequipa[[#This Row],[FECHA]]&gt;0,TEXT(Caja_Arequipa[[#This Row],[FECHA]],"mmmm"),0)</f>
        <v>Abril</v>
      </c>
    </row>
    <row r="262" spans="2:29" x14ac:dyDescent="0.3">
      <c r="B262" s="2">
        <f>IF(Caja_Arequipa[[#This Row],[TIPO DE R.]]="R",COUNTIFS($D$4:$D261,"R")+1,"")</f>
        <v>258</v>
      </c>
      <c r="C262" s="19" t="str">
        <f t="shared" si="21"/>
        <v>C-Tesoreria</v>
      </c>
      <c r="D262" s="3" t="s">
        <v>1074</v>
      </c>
      <c r="E262" s="14">
        <v>45751</v>
      </c>
      <c r="F262" s="5" t="s">
        <v>1158</v>
      </c>
      <c r="G262" s="5" t="s">
        <v>1079</v>
      </c>
      <c r="H262" s="3" t="s">
        <v>4353</v>
      </c>
      <c r="I262" s="6"/>
      <c r="J262" s="6"/>
      <c r="K262" s="6"/>
      <c r="L262" s="6"/>
      <c r="M262" s="7" t="s">
        <v>4769</v>
      </c>
      <c r="N262" s="8" t="str">
        <f>IF(Caja_Arequipa[[#This Row],[TIPO DE R.]]="R","001-"&amp;12002+B262,N261)</f>
        <v>001-12260</v>
      </c>
      <c r="O262" s="8" t="str">
        <f t="shared" ref="O262:O325" si="25">"PEN"</f>
        <v>PEN</v>
      </c>
      <c r="P262" s="13"/>
      <c r="Q262" s="13">
        <v>20</v>
      </c>
      <c r="R262" s="3">
        <f t="shared" si="22"/>
        <v>0</v>
      </c>
      <c r="S262" s="3">
        <f t="shared" si="23"/>
        <v>20</v>
      </c>
      <c r="T262" s="3">
        <f t="shared" si="24"/>
        <v>1004.8000000000002</v>
      </c>
      <c r="U262" s="24" t="s">
        <v>1081</v>
      </c>
      <c r="V262" s="24"/>
      <c r="W262" s="3"/>
      <c r="X262" s="3" t="s">
        <v>4353</v>
      </c>
      <c r="Y262" s="3" t="s">
        <v>4771</v>
      </c>
      <c r="Z262" s="3"/>
      <c r="AA262" s="3"/>
      <c r="AB262" s="3"/>
      <c r="AC262" s="3" t="str">
        <f>IF(Caja_Arequipa[[#This Row],[FECHA]]&gt;0,TEXT(Caja_Arequipa[[#This Row],[FECHA]],"mmmm"),0)</f>
        <v>Abril</v>
      </c>
    </row>
    <row r="263" spans="2:29" x14ac:dyDescent="0.3">
      <c r="B263" s="2">
        <f>IF(Caja_Arequipa[[#This Row],[TIPO DE R.]]="R",COUNTIFS($D$4:$D262,"R")+1,"")</f>
        <v>259</v>
      </c>
      <c r="C263" s="19" t="str">
        <f t="shared" si="21"/>
        <v>C-Tesoreria</v>
      </c>
      <c r="D263" s="3" t="s">
        <v>1074</v>
      </c>
      <c r="E263" s="14">
        <v>45751</v>
      </c>
      <c r="F263" s="5" t="s">
        <v>1158</v>
      </c>
      <c r="G263" s="5" t="s">
        <v>1079</v>
      </c>
      <c r="H263" s="3" t="s">
        <v>4353</v>
      </c>
      <c r="I263" s="6"/>
      <c r="J263" s="6"/>
      <c r="K263" s="6"/>
      <c r="L263" s="6"/>
      <c r="M263" s="7" t="s">
        <v>4721</v>
      </c>
      <c r="N263" s="8" t="str">
        <f>IF(Caja_Arequipa[[#This Row],[TIPO DE R.]]="R","001-"&amp;12002+B263,N262)</f>
        <v>001-12261</v>
      </c>
      <c r="O263" s="8" t="str">
        <f t="shared" si="25"/>
        <v>PEN</v>
      </c>
      <c r="P263" s="13"/>
      <c r="Q263" s="13">
        <v>42</v>
      </c>
      <c r="R263" s="3">
        <f t="shared" si="22"/>
        <v>0</v>
      </c>
      <c r="S263" s="3">
        <f t="shared" si="23"/>
        <v>42</v>
      </c>
      <c r="T263" s="3">
        <f t="shared" si="24"/>
        <v>962.80000000000018</v>
      </c>
      <c r="U263" s="24" t="s">
        <v>1081</v>
      </c>
      <c r="V263" s="24"/>
      <c r="W263" s="3"/>
      <c r="X263" s="3" t="s">
        <v>4353</v>
      </c>
      <c r="Y263" s="3" t="s">
        <v>4772</v>
      </c>
      <c r="Z263" s="3"/>
      <c r="AA263" s="3"/>
      <c r="AB263" s="3"/>
      <c r="AC263" s="3" t="str">
        <f>IF(Caja_Arequipa[[#This Row],[FECHA]]&gt;0,TEXT(Caja_Arequipa[[#This Row],[FECHA]],"mmmm"),0)</f>
        <v>Abril</v>
      </c>
    </row>
    <row r="264" spans="2:29" x14ac:dyDescent="0.3">
      <c r="B264" s="2">
        <f>IF(Caja_Arequipa[[#This Row],[TIPO DE R.]]="R",COUNTIFS($D$4:$D263,"R")+1,"")</f>
        <v>260</v>
      </c>
      <c r="C264" s="19" t="str">
        <f t="shared" si="21"/>
        <v>C-Tesoreria</v>
      </c>
      <c r="D264" s="3" t="s">
        <v>1074</v>
      </c>
      <c r="E264" s="14">
        <v>45751</v>
      </c>
      <c r="F264" s="5" t="s">
        <v>1158</v>
      </c>
      <c r="G264" s="5" t="s">
        <v>1079</v>
      </c>
      <c r="H264" s="3" t="s">
        <v>4353</v>
      </c>
      <c r="I264" s="6"/>
      <c r="J264" s="6"/>
      <c r="K264" s="6"/>
      <c r="L264" s="6"/>
      <c r="M264" s="7" t="s">
        <v>4773</v>
      </c>
      <c r="N264" s="8" t="str">
        <f>IF(Caja_Arequipa[[#This Row],[TIPO DE R.]]="R","001-"&amp;12002+B264,N263)</f>
        <v>001-12262</v>
      </c>
      <c r="O264" s="8" t="str">
        <f t="shared" si="25"/>
        <v>PEN</v>
      </c>
      <c r="P264" s="13"/>
      <c r="Q264" s="13">
        <v>14</v>
      </c>
      <c r="R264" s="3">
        <f t="shared" si="22"/>
        <v>0</v>
      </c>
      <c r="S264" s="3">
        <f t="shared" si="23"/>
        <v>14</v>
      </c>
      <c r="T264" s="3">
        <f t="shared" si="24"/>
        <v>948.80000000000018</v>
      </c>
      <c r="U264" s="24" t="s">
        <v>1081</v>
      </c>
      <c r="V264" s="24"/>
      <c r="W264" s="3"/>
      <c r="X264" s="3" t="s">
        <v>4353</v>
      </c>
      <c r="Y264" s="3" t="s">
        <v>4774</v>
      </c>
      <c r="Z264" s="3"/>
      <c r="AA264" s="3"/>
      <c r="AB264" s="3"/>
      <c r="AC264" s="3" t="str">
        <f>IF(Caja_Arequipa[[#This Row],[FECHA]]&gt;0,TEXT(Caja_Arequipa[[#This Row],[FECHA]],"mmmm"),0)</f>
        <v>Abril</v>
      </c>
    </row>
    <row r="265" spans="2:29" x14ac:dyDescent="0.3">
      <c r="B265" s="2">
        <f>IF(Caja_Arequipa[[#This Row],[TIPO DE R.]]="R",COUNTIFS($D$4:$D264,"R")+1,"")</f>
        <v>261</v>
      </c>
      <c r="C265" s="19" t="str">
        <f t="shared" si="21"/>
        <v>C-Tesoreria</v>
      </c>
      <c r="D265" s="3" t="s">
        <v>1074</v>
      </c>
      <c r="E265" s="14">
        <v>45751</v>
      </c>
      <c r="F265" s="5" t="s">
        <v>1158</v>
      </c>
      <c r="G265" s="5" t="s">
        <v>1079</v>
      </c>
      <c r="H265" s="3" t="s">
        <v>4712</v>
      </c>
      <c r="I265" s="6"/>
      <c r="J265" s="6"/>
      <c r="K265" s="6"/>
      <c r="L265" s="6"/>
      <c r="M265" s="7" t="s">
        <v>4775</v>
      </c>
      <c r="N265" s="8" t="str">
        <f>IF(Caja_Arequipa[[#This Row],[TIPO DE R.]]="R","001-"&amp;12002+B265,N264)</f>
        <v>001-12263</v>
      </c>
      <c r="O265" s="8" t="str">
        <f t="shared" si="25"/>
        <v>PEN</v>
      </c>
      <c r="P265" s="13"/>
      <c r="Q265" s="13">
        <v>20</v>
      </c>
      <c r="R265" s="3">
        <f t="shared" si="22"/>
        <v>0</v>
      </c>
      <c r="S265" s="3">
        <f t="shared" si="23"/>
        <v>20</v>
      </c>
      <c r="T265" s="3">
        <f t="shared" si="24"/>
        <v>928.80000000000018</v>
      </c>
      <c r="U265" s="24" t="s">
        <v>1081</v>
      </c>
      <c r="V265" s="24"/>
      <c r="W265" s="3"/>
      <c r="X265" s="3" t="s">
        <v>4712</v>
      </c>
      <c r="Y265" s="3" t="s">
        <v>4776</v>
      </c>
      <c r="Z265" s="3"/>
      <c r="AA265" s="3"/>
      <c r="AB265" s="3"/>
      <c r="AC265" s="3" t="str">
        <f>IF(Caja_Arequipa[[#This Row],[FECHA]]&gt;0,TEXT(Caja_Arequipa[[#This Row],[FECHA]],"mmmm"),0)</f>
        <v>Abril</v>
      </c>
    </row>
    <row r="266" spans="2:29" ht="24" x14ac:dyDescent="0.3">
      <c r="B266" s="2">
        <f>IF(Caja_Arequipa[[#This Row],[TIPO DE R.]]="R",COUNTIFS($D$4:$D265,"R")+1,"")</f>
        <v>262</v>
      </c>
      <c r="C266" s="19" t="str">
        <f t="shared" si="21"/>
        <v>C-Tesoreria</v>
      </c>
      <c r="D266" s="3" t="s">
        <v>1074</v>
      </c>
      <c r="E266" s="14">
        <v>45751</v>
      </c>
      <c r="F266" s="5" t="s">
        <v>1158</v>
      </c>
      <c r="G266" s="5" t="s">
        <v>1079</v>
      </c>
      <c r="H266" s="3" t="s">
        <v>4303</v>
      </c>
      <c r="I266" s="6"/>
      <c r="J266" s="6"/>
      <c r="K266" s="6"/>
      <c r="L266" s="6"/>
      <c r="M266" s="7" t="s">
        <v>4777</v>
      </c>
      <c r="N266" s="8" t="str">
        <f>IF(Caja_Arequipa[[#This Row],[TIPO DE R.]]="R","001-"&amp;12002+B266,N265)</f>
        <v>001-12264</v>
      </c>
      <c r="O266" s="8" t="str">
        <f t="shared" si="25"/>
        <v>PEN</v>
      </c>
      <c r="P266" s="13"/>
      <c r="Q266" s="13">
        <v>14.7</v>
      </c>
      <c r="R266" s="3">
        <f t="shared" si="22"/>
        <v>0</v>
      </c>
      <c r="S266" s="3">
        <f t="shared" si="23"/>
        <v>14.7</v>
      </c>
      <c r="T266" s="3">
        <f t="shared" si="24"/>
        <v>914.10000000000014</v>
      </c>
      <c r="U266" s="24" t="s">
        <v>1081</v>
      </c>
      <c r="V266" s="24"/>
      <c r="W266" s="3"/>
      <c r="X266" s="3" t="s">
        <v>4303</v>
      </c>
      <c r="Y266" s="3" t="s">
        <v>4778</v>
      </c>
      <c r="Z266" s="3"/>
      <c r="AA266" s="3"/>
      <c r="AB266" s="3"/>
      <c r="AC266" s="3" t="str">
        <f>IF(Caja_Arequipa[[#This Row],[FECHA]]&gt;0,TEXT(Caja_Arequipa[[#This Row],[FECHA]],"mmmm"),0)</f>
        <v>Abril</v>
      </c>
    </row>
    <row r="267" spans="2:29" x14ac:dyDescent="0.3">
      <c r="B267" s="2">
        <f>IF(Caja_Arequipa[[#This Row],[TIPO DE R.]]="R",COUNTIFS($D$4:$D266,"R")+1,"")</f>
        <v>263</v>
      </c>
      <c r="C267" s="19" t="str">
        <f t="shared" si="21"/>
        <v>C-Tesoreria</v>
      </c>
      <c r="D267" s="3" t="s">
        <v>1074</v>
      </c>
      <c r="E267" s="14">
        <v>45754</v>
      </c>
      <c r="F267" s="5" t="s">
        <v>1082</v>
      </c>
      <c r="G267" s="5" t="s">
        <v>1079</v>
      </c>
      <c r="H267" s="3" t="s">
        <v>3016</v>
      </c>
      <c r="I267" s="6"/>
      <c r="J267" s="6"/>
      <c r="K267" s="6"/>
      <c r="L267" s="6"/>
      <c r="M267" s="7" t="s">
        <v>4779</v>
      </c>
      <c r="N267" s="8" t="str">
        <f>IF(Caja_Arequipa[[#This Row],[TIPO DE R.]]="R","001-"&amp;12002+B267,N266)</f>
        <v>001-12265</v>
      </c>
      <c r="O267" s="8" t="str">
        <f t="shared" si="25"/>
        <v>PEN</v>
      </c>
      <c r="P267" s="13"/>
      <c r="Q267" s="13">
        <v>24</v>
      </c>
      <c r="R267" s="3">
        <f t="shared" si="22"/>
        <v>0</v>
      </c>
      <c r="S267" s="3">
        <f t="shared" si="23"/>
        <v>24</v>
      </c>
      <c r="T267" s="3">
        <f t="shared" si="24"/>
        <v>890.10000000000014</v>
      </c>
      <c r="U267" s="24" t="s">
        <v>1081</v>
      </c>
      <c r="V267" s="24"/>
      <c r="W267" s="3"/>
      <c r="X267" s="3" t="s">
        <v>3016</v>
      </c>
      <c r="Y267" s="3" t="s">
        <v>4780</v>
      </c>
      <c r="Z267" s="3"/>
      <c r="AA267" s="3"/>
      <c r="AB267" s="3"/>
      <c r="AC267" s="3" t="str">
        <f>IF(Caja_Arequipa[[#This Row],[FECHA]]&gt;0,TEXT(Caja_Arequipa[[#This Row],[FECHA]],"mmmm"),0)</f>
        <v>Abril</v>
      </c>
    </row>
    <row r="268" spans="2:29" x14ac:dyDescent="0.3">
      <c r="B268" s="2">
        <f>IF(Caja_Arequipa[[#This Row],[TIPO DE R.]]="R",COUNTIFS($D$4:$D267,"R")+1,"")</f>
        <v>264</v>
      </c>
      <c r="C268" s="19" t="str">
        <f t="shared" si="21"/>
        <v>C-Tesoreria</v>
      </c>
      <c r="D268" s="3" t="s">
        <v>1074</v>
      </c>
      <c r="E268" s="14">
        <v>45754</v>
      </c>
      <c r="F268" s="5" t="s">
        <v>1158</v>
      </c>
      <c r="G268" s="5" t="s">
        <v>1079</v>
      </c>
      <c r="H268" s="3" t="s">
        <v>4712</v>
      </c>
      <c r="I268" s="6"/>
      <c r="J268" s="6"/>
      <c r="K268" s="6"/>
      <c r="L268" s="6"/>
      <c r="M268" s="7" t="s">
        <v>4781</v>
      </c>
      <c r="N268" s="8" t="str">
        <f>IF(Caja_Arequipa[[#This Row],[TIPO DE R.]]="R","001-"&amp;12002+B268,N267)</f>
        <v>001-12266</v>
      </c>
      <c r="O268" s="8" t="str">
        <f t="shared" si="25"/>
        <v>PEN</v>
      </c>
      <c r="P268" s="13"/>
      <c r="Q268" s="13">
        <v>32</v>
      </c>
      <c r="R268" s="3">
        <f t="shared" si="22"/>
        <v>0</v>
      </c>
      <c r="S268" s="3">
        <f t="shared" si="23"/>
        <v>32</v>
      </c>
      <c r="T268" s="3">
        <f t="shared" si="24"/>
        <v>858.10000000000014</v>
      </c>
      <c r="U268" s="24" t="s">
        <v>1081</v>
      </c>
      <c r="V268" s="24"/>
      <c r="W268" s="3"/>
      <c r="X268" s="3" t="s">
        <v>4712</v>
      </c>
      <c r="Y268" s="3" t="s">
        <v>4782</v>
      </c>
      <c r="Z268" s="3"/>
      <c r="AA268" s="3"/>
      <c r="AB268" s="3"/>
      <c r="AC268" s="3" t="str">
        <f>IF(Caja_Arequipa[[#This Row],[FECHA]]&gt;0,TEXT(Caja_Arequipa[[#This Row],[FECHA]],"mmmm"),0)</f>
        <v>Abril</v>
      </c>
    </row>
    <row r="269" spans="2:29" ht="24" x14ac:dyDescent="0.3">
      <c r="B269" s="2">
        <f>IF(Caja_Arequipa[[#This Row],[TIPO DE R.]]="R",COUNTIFS($D$4:$D268,"R")+1,"")</f>
        <v>265</v>
      </c>
      <c r="C269" s="19" t="str">
        <f t="shared" si="21"/>
        <v>C-Tesoreria</v>
      </c>
      <c r="D269" s="3" t="s">
        <v>1074</v>
      </c>
      <c r="E269" s="14">
        <v>45754</v>
      </c>
      <c r="F269" s="5" t="s">
        <v>1158</v>
      </c>
      <c r="G269" s="5" t="s">
        <v>1079</v>
      </c>
      <c r="H269" s="3" t="s">
        <v>4329</v>
      </c>
      <c r="I269" s="6"/>
      <c r="J269" s="6"/>
      <c r="K269" s="6"/>
      <c r="L269" s="6"/>
      <c r="M269" s="7" t="s">
        <v>4783</v>
      </c>
      <c r="N269" s="8" t="str">
        <f>IF(Caja_Arequipa[[#This Row],[TIPO DE R.]]="R","001-"&amp;12002+B269,N268)</f>
        <v>001-12267</v>
      </c>
      <c r="O269" s="8" t="str">
        <f t="shared" si="25"/>
        <v>PEN</v>
      </c>
      <c r="P269" s="13"/>
      <c r="Q269" s="13">
        <v>20</v>
      </c>
      <c r="R269" s="3">
        <f t="shared" si="22"/>
        <v>0</v>
      </c>
      <c r="S269" s="3">
        <f t="shared" si="23"/>
        <v>20</v>
      </c>
      <c r="T269" s="3">
        <f t="shared" si="24"/>
        <v>838.10000000000014</v>
      </c>
      <c r="U269" s="24" t="s">
        <v>1081</v>
      </c>
      <c r="V269" s="24"/>
      <c r="W269" s="3"/>
      <c r="X269" s="3" t="s">
        <v>4329</v>
      </c>
      <c r="Y269" s="3" t="s">
        <v>4784</v>
      </c>
      <c r="Z269" s="3"/>
      <c r="AA269" s="3"/>
      <c r="AB269" s="3"/>
      <c r="AC269" s="3" t="str">
        <f>IF(Caja_Arequipa[[#This Row],[FECHA]]&gt;0,TEXT(Caja_Arequipa[[#This Row],[FECHA]],"mmmm"),0)</f>
        <v>Abril</v>
      </c>
    </row>
    <row r="270" spans="2:29" ht="24" x14ac:dyDescent="0.3">
      <c r="B270" s="2">
        <f>IF(Caja_Arequipa[[#This Row],[TIPO DE R.]]="R",COUNTIFS($D$4:$D269,"R")+1,"")</f>
        <v>266</v>
      </c>
      <c r="C270" s="19" t="str">
        <f t="shared" si="21"/>
        <v>C-Tesoreria</v>
      </c>
      <c r="D270" s="3" t="s">
        <v>1074</v>
      </c>
      <c r="E270" s="14">
        <v>45755</v>
      </c>
      <c r="F270" s="5" t="s">
        <v>1158</v>
      </c>
      <c r="G270" s="5" t="s">
        <v>1079</v>
      </c>
      <c r="H270" s="3" t="s">
        <v>4353</v>
      </c>
      <c r="I270" s="6"/>
      <c r="J270" s="6"/>
      <c r="K270" s="6"/>
      <c r="L270" s="6"/>
      <c r="M270" s="7" t="s">
        <v>4785</v>
      </c>
      <c r="N270" s="8" t="str">
        <f>IF(Caja_Arequipa[[#This Row],[TIPO DE R.]]="R","001-"&amp;12002+B270,N269)</f>
        <v>001-12268</v>
      </c>
      <c r="O270" s="8" t="str">
        <f t="shared" si="25"/>
        <v>PEN</v>
      </c>
      <c r="P270" s="13"/>
      <c r="Q270" s="13">
        <v>159</v>
      </c>
      <c r="R270" s="3">
        <f t="shared" si="22"/>
        <v>0</v>
      </c>
      <c r="S270" s="3">
        <f t="shared" si="23"/>
        <v>159</v>
      </c>
      <c r="T270" s="3">
        <f t="shared" si="24"/>
        <v>679.10000000000014</v>
      </c>
      <c r="U270" s="24" t="s">
        <v>1081</v>
      </c>
      <c r="V270" s="24"/>
      <c r="W270" s="3"/>
      <c r="X270" s="3" t="s">
        <v>4353</v>
      </c>
      <c r="Y270" s="3" t="s">
        <v>4786</v>
      </c>
      <c r="Z270" s="3"/>
      <c r="AA270" s="3"/>
      <c r="AB270" s="3"/>
      <c r="AC270" s="3" t="str">
        <f>IF(Caja_Arequipa[[#This Row],[FECHA]]&gt;0,TEXT(Caja_Arequipa[[#This Row],[FECHA]],"mmmm"),0)</f>
        <v>Abril</v>
      </c>
    </row>
    <row r="271" spans="2:29" ht="36" x14ac:dyDescent="0.3">
      <c r="B271" s="2">
        <f>IF(Caja_Arequipa[[#This Row],[TIPO DE R.]]="R",COUNTIFS($D$4:$D270,"R")+1,"")</f>
        <v>267</v>
      </c>
      <c r="C271" s="19" t="str">
        <f t="shared" si="21"/>
        <v>C-Tesoreria</v>
      </c>
      <c r="D271" s="3" t="s">
        <v>1074</v>
      </c>
      <c r="E271" s="14">
        <v>45755</v>
      </c>
      <c r="F271" s="5" t="s">
        <v>1158</v>
      </c>
      <c r="G271" s="5" t="s">
        <v>1079</v>
      </c>
      <c r="H271" s="3" t="s">
        <v>4712</v>
      </c>
      <c r="I271" s="6"/>
      <c r="J271" s="6"/>
      <c r="K271" s="6"/>
      <c r="L271" s="6"/>
      <c r="M271" s="7" t="s">
        <v>4787</v>
      </c>
      <c r="N271" s="8" t="str">
        <f>IF(Caja_Arequipa[[#This Row],[TIPO DE R.]]="R","001-"&amp;12002+B271,N270)</f>
        <v>001-12269</v>
      </c>
      <c r="O271" s="8" t="str">
        <f t="shared" si="25"/>
        <v>PEN</v>
      </c>
      <c r="P271" s="13"/>
      <c r="Q271" s="13">
        <v>10</v>
      </c>
      <c r="R271" s="3">
        <f t="shared" si="22"/>
        <v>0</v>
      </c>
      <c r="S271" s="3">
        <f t="shared" si="23"/>
        <v>10</v>
      </c>
      <c r="T271" s="3">
        <f t="shared" si="24"/>
        <v>669.10000000000014</v>
      </c>
      <c r="U271" s="24" t="s">
        <v>1081</v>
      </c>
      <c r="V271" s="24"/>
      <c r="W271" s="3"/>
      <c r="X271" s="3" t="s">
        <v>4712</v>
      </c>
      <c r="Y271" s="3" t="s">
        <v>4788</v>
      </c>
      <c r="Z271" s="3"/>
      <c r="AA271" s="3"/>
      <c r="AB271" s="3"/>
      <c r="AC271" s="3" t="str">
        <f>IF(Caja_Arequipa[[#This Row],[FECHA]]&gt;0,TEXT(Caja_Arequipa[[#This Row],[FECHA]],"mmmm"),0)</f>
        <v>Abril</v>
      </c>
    </row>
    <row r="272" spans="2:29" x14ac:dyDescent="0.3">
      <c r="B272" s="2">
        <f>IF(Caja_Arequipa[[#This Row],[TIPO DE R.]]="R",COUNTIFS($D$4:$D271,"R")+1,"")</f>
        <v>268</v>
      </c>
      <c r="C272" s="19" t="str">
        <f t="shared" si="21"/>
        <v>C-Tesoreria</v>
      </c>
      <c r="D272" s="3" t="s">
        <v>1074</v>
      </c>
      <c r="E272" s="14">
        <v>45756</v>
      </c>
      <c r="F272" s="5" t="s">
        <v>1158</v>
      </c>
      <c r="G272" s="5" t="s">
        <v>1079</v>
      </c>
      <c r="H272" s="3" t="s">
        <v>4314</v>
      </c>
      <c r="I272" s="6"/>
      <c r="J272" s="6"/>
      <c r="K272" s="6"/>
      <c r="L272" s="6"/>
      <c r="M272" s="7" t="s">
        <v>4789</v>
      </c>
      <c r="N272" s="8" t="str">
        <f>IF(Caja_Arequipa[[#This Row],[TIPO DE R.]]="R","001-"&amp;12002+B272,N271)</f>
        <v>001-12270</v>
      </c>
      <c r="O272" s="8" t="str">
        <f t="shared" si="25"/>
        <v>PEN</v>
      </c>
      <c r="P272" s="13"/>
      <c r="Q272" s="13">
        <v>10</v>
      </c>
      <c r="R272" s="3">
        <f t="shared" si="22"/>
        <v>0</v>
      </c>
      <c r="S272" s="3">
        <f t="shared" si="23"/>
        <v>10</v>
      </c>
      <c r="T272" s="3">
        <f t="shared" si="24"/>
        <v>659.10000000000014</v>
      </c>
      <c r="U272" s="24" t="s">
        <v>1081</v>
      </c>
      <c r="V272" s="24"/>
      <c r="W272" s="3"/>
      <c r="X272" s="3" t="s">
        <v>4314</v>
      </c>
      <c r="Y272" s="3" t="s">
        <v>4790</v>
      </c>
      <c r="Z272" s="3"/>
      <c r="AA272" s="3"/>
      <c r="AB272" s="3"/>
      <c r="AC272" s="3" t="str">
        <f>IF(Caja_Arequipa[[#This Row],[FECHA]]&gt;0,TEXT(Caja_Arequipa[[#This Row],[FECHA]],"mmmm"),0)</f>
        <v>Abril</v>
      </c>
    </row>
    <row r="273" spans="2:29" x14ac:dyDescent="0.3">
      <c r="B273" s="2">
        <f>IF(Caja_Arequipa[[#This Row],[TIPO DE R.]]="R",COUNTIFS($D$4:$D272,"R")+1,"")</f>
        <v>269</v>
      </c>
      <c r="C273" s="19" t="str">
        <f t="shared" si="21"/>
        <v>C-Tesoreria</v>
      </c>
      <c r="D273" s="3" t="s">
        <v>1074</v>
      </c>
      <c r="E273" s="14">
        <v>45756</v>
      </c>
      <c r="F273" s="5" t="s">
        <v>1158</v>
      </c>
      <c r="G273" s="5" t="s">
        <v>1079</v>
      </c>
      <c r="H273" s="3" t="s">
        <v>4314</v>
      </c>
      <c r="I273" s="6"/>
      <c r="J273" s="6"/>
      <c r="K273" s="6"/>
      <c r="L273" s="6"/>
      <c r="M273" s="7" t="s">
        <v>4719</v>
      </c>
      <c r="N273" s="8" t="str">
        <f>IF(Caja_Arequipa[[#This Row],[TIPO DE R.]]="R","001-"&amp;12002+B273,N272)</f>
        <v>001-12271</v>
      </c>
      <c r="O273" s="8" t="str">
        <f t="shared" si="25"/>
        <v>PEN</v>
      </c>
      <c r="P273" s="13"/>
      <c r="Q273" s="13">
        <v>50</v>
      </c>
      <c r="R273" s="3">
        <f t="shared" si="22"/>
        <v>0</v>
      </c>
      <c r="S273" s="3">
        <f t="shared" si="23"/>
        <v>50</v>
      </c>
      <c r="T273" s="3">
        <f t="shared" si="24"/>
        <v>609.10000000000014</v>
      </c>
      <c r="U273" s="24" t="s">
        <v>1081</v>
      </c>
      <c r="V273" s="24"/>
      <c r="W273" s="3"/>
      <c r="X273" s="3" t="s">
        <v>4314</v>
      </c>
      <c r="Y273" s="3" t="s">
        <v>4791</v>
      </c>
      <c r="Z273" s="3"/>
      <c r="AA273" s="3"/>
      <c r="AB273" s="3"/>
      <c r="AC273" s="3" t="str">
        <f>IF(Caja_Arequipa[[#This Row],[FECHA]]&gt;0,TEXT(Caja_Arequipa[[#This Row],[FECHA]],"mmmm"),0)</f>
        <v>Abril</v>
      </c>
    </row>
    <row r="274" spans="2:29" x14ac:dyDescent="0.3">
      <c r="B274" s="2">
        <f>IF(Caja_Arequipa[[#This Row],[TIPO DE R.]]="R",COUNTIFS($D$4:$D273,"R")+1,"")</f>
        <v>270</v>
      </c>
      <c r="C274" s="19" t="str">
        <f t="shared" si="21"/>
        <v>C-Tesoreria</v>
      </c>
      <c r="D274" s="3" t="s">
        <v>1074</v>
      </c>
      <c r="E274" s="14">
        <v>45756</v>
      </c>
      <c r="F274" s="5" t="s">
        <v>1158</v>
      </c>
      <c r="G274" s="5" t="s">
        <v>1079</v>
      </c>
      <c r="H274" s="3" t="s">
        <v>4314</v>
      </c>
      <c r="I274" s="6"/>
      <c r="J274" s="6"/>
      <c r="K274" s="6"/>
      <c r="L274" s="6"/>
      <c r="M274" s="7" t="s">
        <v>4792</v>
      </c>
      <c r="N274" s="8" t="str">
        <f>IF(Caja_Arequipa[[#This Row],[TIPO DE R.]]="R","001-"&amp;12002+B274,N273)</f>
        <v>001-12272</v>
      </c>
      <c r="O274" s="8" t="str">
        <f t="shared" si="25"/>
        <v>PEN</v>
      </c>
      <c r="P274" s="13"/>
      <c r="Q274" s="13">
        <v>35</v>
      </c>
      <c r="R274" s="3">
        <f t="shared" si="22"/>
        <v>0</v>
      </c>
      <c r="S274" s="3">
        <f t="shared" si="23"/>
        <v>35</v>
      </c>
      <c r="T274" s="3">
        <f t="shared" si="24"/>
        <v>574.10000000000014</v>
      </c>
      <c r="U274" s="24" t="s">
        <v>1081</v>
      </c>
      <c r="V274" s="24"/>
      <c r="W274" s="3"/>
      <c r="X274" s="3" t="s">
        <v>4314</v>
      </c>
      <c r="Y274" s="3" t="s">
        <v>4793</v>
      </c>
      <c r="Z274" s="3"/>
      <c r="AA274" s="3"/>
      <c r="AB274" s="3"/>
      <c r="AC274" s="3" t="str">
        <f>IF(Caja_Arequipa[[#This Row],[FECHA]]&gt;0,TEXT(Caja_Arequipa[[#This Row],[FECHA]],"mmmm"),0)</f>
        <v>Abril</v>
      </c>
    </row>
    <row r="275" spans="2:29" x14ac:dyDescent="0.3">
      <c r="B275" s="2">
        <f>IF(Caja_Arequipa[[#This Row],[TIPO DE R.]]="R",COUNTIFS($D$4:$D274,"R")+1,"")</f>
        <v>271</v>
      </c>
      <c r="C275" s="19" t="str">
        <f t="shared" si="21"/>
        <v>C-Tesoreria</v>
      </c>
      <c r="D275" s="3" t="s">
        <v>1074</v>
      </c>
      <c r="E275" s="14">
        <v>45756</v>
      </c>
      <c r="F275" s="5" t="s">
        <v>1158</v>
      </c>
      <c r="G275" s="5" t="s">
        <v>1079</v>
      </c>
      <c r="H275" s="3" t="s">
        <v>4314</v>
      </c>
      <c r="I275" s="6"/>
      <c r="J275" s="6"/>
      <c r="K275" s="6"/>
      <c r="L275" s="6"/>
      <c r="M275" s="7" t="s">
        <v>4721</v>
      </c>
      <c r="N275" s="8" t="str">
        <f>IF(Caja_Arequipa[[#This Row],[TIPO DE R.]]="R","001-"&amp;12002+B275,N274)</f>
        <v>001-12273</v>
      </c>
      <c r="O275" s="8" t="str">
        <f t="shared" si="25"/>
        <v>PEN</v>
      </c>
      <c r="P275" s="13"/>
      <c r="Q275" s="13">
        <v>5</v>
      </c>
      <c r="R275" s="3">
        <f t="shared" si="22"/>
        <v>0</v>
      </c>
      <c r="S275" s="3">
        <f t="shared" si="23"/>
        <v>5</v>
      </c>
      <c r="T275" s="3">
        <f t="shared" si="24"/>
        <v>569.10000000000014</v>
      </c>
      <c r="U275" s="24" t="s">
        <v>1081</v>
      </c>
      <c r="V275" s="24"/>
      <c r="W275" s="3"/>
      <c r="X275" s="3" t="s">
        <v>4314</v>
      </c>
      <c r="Y275" s="3" t="s">
        <v>4794</v>
      </c>
      <c r="Z275" s="3"/>
      <c r="AA275" s="3"/>
      <c r="AB275" s="3"/>
      <c r="AC275" s="3" t="str">
        <f>IF(Caja_Arequipa[[#This Row],[FECHA]]&gt;0,TEXT(Caja_Arequipa[[#This Row],[FECHA]],"mmmm"),0)</f>
        <v>Abril</v>
      </c>
    </row>
    <row r="276" spans="2:29" x14ac:dyDescent="0.3">
      <c r="B276" s="2">
        <f>IF(Caja_Arequipa[[#This Row],[TIPO DE R.]]="R",COUNTIFS($D$4:$D275,"R")+1,"")</f>
        <v>272</v>
      </c>
      <c r="C276" s="19" t="str">
        <f t="shared" si="21"/>
        <v>C-Tesoreria</v>
      </c>
      <c r="D276" s="3" t="s">
        <v>1074</v>
      </c>
      <c r="E276" s="14">
        <v>45756</v>
      </c>
      <c r="F276" s="5" t="s">
        <v>1158</v>
      </c>
      <c r="G276" s="5" t="s">
        <v>1079</v>
      </c>
      <c r="H276" s="3" t="s">
        <v>4314</v>
      </c>
      <c r="I276" s="6"/>
      <c r="J276" s="6"/>
      <c r="K276" s="6"/>
      <c r="L276" s="6"/>
      <c r="M276" s="7" t="s">
        <v>4795</v>
      </c>
      <c r="N276" s="8" t="str">
        <f>IF(Caja_Arequipa[[#This Row],[TIPO DE R.]]="R","001-"&amp;12002+B276,N275)</f>
        <v>001-12274</v>
      </c>
      <c r="O276" s="8" t="str">
        <f t="shared" si="25"/>
        <v>PEN</v>
      </c>
      <c r="P276" s="13"/>
      <c r="Q276" s="13">
        <v>86</v>
      </c>
      <c r="R276" s="3">
        <f t="shared" si="22"/>
        <v>0</v>
      </c>
      <c r="S276" s="3">
        <f t="shared" si="23"/>
        <v>86</v>
      </c>
      <c r="T276" s="3">
        <f t="shared" si="24"/>
        <v>483.10000000000014</v>
      </c>
      <c r="U276" s="24" t="s">
        <v>1081</v>
      </c>
      <c r="V276" s="24"/>
      <c r="W276" s="3"/>
      <c r="X276" s="3" t="s">
        <v>4314</v>
      </c>
      <c r="Y276" s="3" t="s">
        <v>4796</v>
      </c>
      <c r="Z276" s="3"/>
      <c r="AA276" s="3"/>
      <c r="AB276" s="3"/>
      <c r="AC276" s="3" t="str">
        <f>IF(Caja_Arequipa[[#This Row],[FECHA]]&gt;0,TEXT(Caja_Arequipa[[#This Row],[FECHA]],"mmmm"),0)</f>
        <v>Abril</v>
      </c>
    </row>
    <row r="277" spans="2:29" ht="24" x14ac:dyDescent="0.3">
      <c r="B277" s="2">
        <f>IF(Caja_Arequipa[[#This Row],[TIPO DE R.]]="R",COUNTIFS($D$4:$D276,"R")+1,"")</f>
        <v>273</v>
      </c>
      <c r="C277" s="19" t="str">
        <f t="shared" si="21"/>
        <v>C-Tesoreria</v>
      </c>
      <c r="D277" s="3" t="s">
        <v>1074</v>
      </c>
      <c r="E277" s="14">
        <v>45756</v>
      </c>
      <c r="F277" s="5" t="s">
        <v>1158</v>
      </c>
      <c r="G277" s="5" t="s">
        <v>1079</v>
      </c>
      <c r="H277" s="3" t="s">
        <v>4433</v>
      </c>
      <c r="I277" s="6"/>
      <c r="J277" s="6"/>
      <c r="K277" s="6"/>
      <c r="L277" s="6"/>
      <c r="M277" s="7" t="s">
        <v>4797</v>
      </c>
      <c r="N277" s="8" t="str">
        <f>IF(Caja_Arequipa[[#This Row],[TIPO DE R.]]="R","001-"&amp;12002+B277,N276)</f>
        <v>001-12275</v>
      </c>
      <c r="O277" s="8" t="str">
        <f t="shared" si="25"/>
        <v>PEN</v>
      </c>
      <c r="P277" s="13"/>
      <c r="Q277" s="13">
        <v>49</v>
      </c>
      <c r="R277" s="3">
        <f t="shared" si="22"/>
        <v>0</v>
      </c>
      <c r="S277" s="3">
        <f t="shared" si="23"/>
        <v>49</v>
      </c>
      <c r="T277" s="3">
        <f t="shared" si="24"/>
        <v>434.10000000000014</v>
      </c>
      <c r="U277" s="24" t="s">
        <v>1081</v>
      </c>
      <c r="V277" s="24"/>
      <c r="W277" s="3"/>
      <c r="X277" s="3" t="s">
        <v>4433</v>
      </c>
      <c r="Y277" s="3" t="s">
        <v>4798</v>
      </c>
      <c r="Z277" s="3"/>
      <c r="AA277" s="3"/>
      <c r="AB277" s="3"/>
      <c r="AC277" s="3" t="str">
        <f>IF(Caja_Arequipa[[#This Row],[FECHA]]&gt;0,TEXT(Caja_Arequipa[[#This Row],[FECHA]],"mmmm"),0)</f>
        <v>Abril</v>
      </c>
    </row>
    <row r="278" spans="2:29" x14ac:dyDescent="0.3">
      <c r="B278" s="2">
        <f>IF(Caja_Arequipa[[#This Row],[TIPO DE R.]]="R",COUNTIFS($D$4:$D277,"R")+1,"")</f>
        <v>274</v>
      </c>
      <c r="C278" s="19" t="str">
        <f t="shared" si="21"/>
        <v>C-Tesoreria</v>
      </c>
      <c r="D278" s="3" t="s">
        <v>1074</v>
      </c>
      <c r="E278" s="14">
        <v>45756</v>
      </c>
      <c r="F278" s="5" t="s">
        <v>1158</v>
      </c>
      <c r="G278" s="5" t="s">
        <v>1079</v>
      </c>
      <c r="H278" s="3" t="s">
        <v>3016</v>
      </c>
      <c r="I278" s="6"/>
      <c r="J278" s="6"/>
      <c r="K278" s="6"/>
      <c r="L278" s="6"/>
      <c r="M278" s="7" t="s">
        <v>4799</v>
      </c>
      <c r="N278" s="8" t="str">
        <f>IF(Caja_Arequipa[[#This Row],[TIPO DE R.]]="R","001-"&amp;12002+B278,N277)</f>
        <v>001-12276</v>
      </c>
      <c r="O278" s="8" t="str">
        <f t="shared" si="25"/>
        <v>PEN</v>
      </c>
      <c r="P278" s="13"/>
      <c r="Q278" s="13">
        <v>69.900000000000006</v>
      </c>
      <c r="R278" s="3">
        <f t="shared" si="22"/>
        <v>0</v>
      </c>
      <c r="S278" s="3">
        <f t="shared" si="23"/>
        <v>69.900000000000006</v>
      </c>
      <c r="T278" s="3">
        <f t="shared" si="24"/>
        <v>364.20000000000016</v>
      </c>
      <c r="U278" s="24" t="s">
        <v>1081</v>
      </c>
      <c r="V278" s="24"/>
      <c r="W278" s="3"/>
      <c r="X278" s="3" t="s">
        <v>3016</v>
      </c>
      <c r="Y278" s="3" t="s">
        <v>4800</v>
      </c>
      <c r="Z278" s="3"/>
      <c r="AA278" s="3"/>
      <c r="AB278" s="3"/>
      <c r="AC278" s="3" t="str">
        <f>IF(Caja_Arequipa[[#This Row],[FECHA]]&gt;0,TEXT(Caja_Arequipa[[#This Row],[FECHA]],"mmmm"),0)</f>
        <v>Abril</v>
      </c>
    </row>
    <row r="279" spans="2:29" ht="24" x14ac:dyDescent="0.3">
      <c r="B279" s="2">
        <f>IF(Caja_Arequipa[[#This Row],[TIPO DE R.]]="R",COUNTIFS($D$4:$D278,"R")+1,"")</f>
        <v>275</v>
      </c>
      <c r="C279" s="19" t="str">
        <f t="shared" si="21"/>
        <v>C-Tesoreria</v>
      </c>
      <c r="D279" s="3" t="s">
        <v>1074</v>
      </c>
      <c r="E279" s="14">
        <v>45756</v>
      </c>
      <c r="F279" s="5" t="s">
        <v>1158</v>
      </c>
      <c r="G279" s="5" t="s">
        <v>1079</v>
      </c>
      <c r="H279" s="3" t="s">
        <v>4357</v>
      </c>
      <c r="I279" s="6"/>
      <c r="J279" s="6"/>
      <c r="K279" s="6"/>
      <c r="L279" s="6"/>
      <c r="M279" s="7" t="s">
        <v>4801</v>
      </c>
      <c r="N279" s="8" t="str">
        <f>IF(Caja_Arequipa[[#This Row],[TIPO DE R.]]="R","001-"&amp;12002+B279,N278)</f>
        <v>001-12277</v>
      </c>
      <c r="O279" s="8" t="str">
        <f t="shared" si="25"/>
        <v>PEN</v>
      </c>
      <c r="P279" s="13"/>
      <c r="Q279" s="13">
        <v>20</v>
      </c>
      <c r="R279" s="3">
        <f t="shared" si="22"/>
        <v>0</v>
      </c>
      <c r="S279" s="3">
        <f t="shared" si="23"/>
        <v>20</v>
      </c>
      <c r="T279" s="3">
        <f t="shared" si="24"/>
        <v>344.20000000000016</v>
      </c>
      <c r="U279" s="24" t="s">
        <v>1081</v>
      </c>
      <c r="V279" s="24"/>
      <c r="W279" s="3"/>
      <c r="X279" s="3" t="s">
        <v>4357</v>
      </c>
      <c r="Y279" s="3" t="s">
        <v>4802</v>
      </c>
      <c r="Z279" s="3"/>
      <c r="AA279" s="3"/>
      <c r="AB279" s="3"/>
      <c r="AC279" s="3" t="str">
        <f>IF(Caja_Arequipa[[#This Row],[FECHA]]&gt;0,TEXT(Caja_Arequipa[[#This Row],[FECHA]],"mmmm"),0)</f>
        <v>Abril</v>
      </c>
    </row>
    <row r="280" spans="2:29" x14ac:dyDescent="0.3">
      <c r="B280" s="2">
        <f>IF(Caja_Arequipa[[#This Row],[TIPO DE R.]]="R",COUNTIFS($D$4:$D279,"R")+1,"")</f>
        <v>276</v>
      </c>
      <c r="C280" s="19" t="str">
        <f t="shared" si="21"/>
        <v>C-Tesoreria</v>
      </c>
      <c r="D280" s="3" t="s">
        <v>1074</v>
      </c>
      <c r="E280" s="14">
        <v>45757</v>
      </c>
      <c r="F280" s="5" t="s">
        <v>1158</v>
      </c>
      <c r="G280" s="5" t="s">
        <v>1079</v>
      </c>
      <c r="H280" s="3" t="s">
        <v>4329</v>
      </c>
      <c r="I280" s="6"/>
      <c r="J280" s="6"/>
      <c r="K280" s="6"/>
      <c r="L280" s="6"/>
      <c r="M280" s="7" t="s">
        <v>4803</v>
      </c>
      <c r="N280" s="8" t="str">
        <f>IF(Caja_Arequipa[[#This Row],[TIPO DE R.]]="R","001-"&amp;12002+B280,N279)</f>
        <v>001-12278</v>
      </c>
      <c r="O280" s="8" t="str">
        <f t="shared" si="25"/>
        <v>PEN</v>
      </c>
      <c r="P280" s="13"/>
      <c r="Q280" s="13">
        <v>24</v>
      </c>
      <c r="R280" s="3">
        <f t="shared" si="22"/>
        <v>0</v>
      </c>
      <c r="S280" s="3">
        <f t="shared" si="23"/>
        <v>24</v>
      </c>
      <c r="T280" s="3">
        <f t="shared" si="24"/>
        <v>320.20000000000016</v>
      </c>
      <c r="U280" s="24" t="s">
        <v>1081</v>
      </c>
      <c r="V280" s="24"/>
      <c r="W280" s="3"/>
      <c r="X280" s="3" t="s">
        <v>4329</v>
      </c>
      <c r="Y280" s="3" t="s">
        <v>4804</v>
      </c>
      <c r="Z280" s="3"/>
      <c r="AA280" s="3"/>
      <c r="AB280" s="3"/>
      <c r="AC280" s="3" t="str">
        <f>IF(Caja_Arequipa[[#This Row],[FECHA]]&gt;0,TEXT(Caja_Arequipa[[#This Row],[FECHA]],"mmmm"),0)</f>
        <v>Abril</v>
      </c>
    </row>
    <row r="281" spans="2:29" x14ac:dyDescent="0.3">
      <c r="B281" s="2">
        <f>IF(Caja_Arequipa[[#This Row],[TIPO DE R.]]="R",COUNTIFS($D$4:$D280,"R")+1,"")</f>
        <v>277</v>
      </c>
      <c r="C281" s="19" t="str">
        <f t="shared" si="21"/>
        <v>C-Tesoreria</v>
      </c>
      <c r="D281" s="3" t="s">
        <v>1074</v>
      </c>
      <c r="E281" s="14">
        <v>45757</v>
      </c>
      <c r="F281" s="5" t="s">
        <v>1158</v>
      </c>
      <c r="G281" s="5" t="s">
        <v>1079</v>
      </c>
      <c r="H281" s="3" t="s">
        <v>4329</v>
      </c>
      <c r="I281" s="6"/>
      <c r="J281" s="6"/>
      <c r="K281" s="6"/>
      <c r="L281" s="6"/>
      <c r="M281" s="7" t="s">
        <v>4805</v>
      </c>
      <c r="N281" s="8" t="str">
        <f>IF(Caja_Arequipa[[#This Row],[TIPO DE R.]]="R","001-"&amp;12002+B281,N280)</f>
        <v>001-12279</v>
      </c>
      <c r="O281" s="8" t="str">
        <f t="shared" si="25"/>
        <v>PEN</v>
      </c>
      <c r="P281" s="13"/>
      <c r="Q281" s="13">
        <v>32</v>
      </c>
      <c r="R281" s="3">
        <f t="shared" si="22"/>
        <v>0</v>
      </c>
      <c r="S281" s="3">
        <f t="shared" si="23"/>
        <v>32</v>
      </c>
      <c r="T281" s="3">
        <f t="shared" si="24"/>
        <v>288.20000000000016</v>
      </c>
      <c r="U281" s="24" t="s">
        <v>1081</v>
      </c>
      <c r="V281" s="24"/>
      <c r="W281" s="3"/>
      <c r="X281" s="3" t="s">
        <v>4329</v>
      </c>
      <c r="Y281" s="3" t="s">
        <v>4806</v>
      </c>
      <c r="Z281" s="3"/>
      <c r="AA281" s="3"/>
      <c r="AB281" s="3"/>
      <c r="AC281" s="3" t="str">
        <f>IF(Caja_Arequipa[[#This Row],[FECHA]]&gt;0,TEXT(Caja_Arequipa[[#This Row],[FECHA]],"mmmm"),0)</f>
        <v>Abril</v>
      </c>
    </row>
    <row r="282" spans="2:29" ht="24" x14ac:dyDescent="0.3">
      <c r="B282" s="2">
        <f>IF(Caja_Arequipa[[#This Row],[TIPO DE R.]]="R",COUNTIFS($D$4:$D281,"R")+1,"")</f>
        <v>278</v>
      </c>
      <c r="C282" s="19" t="str">
        <f t="shared" si="21"/>
        <v>C-Tesoreria</v>
      </c>
      <c r="D282" s="3" t="s">
        <v>1074</v>
      </c>
      <c r="E282" s="14">
        <v>45757</v>
      </c>
      <c r="F282" s="5" t="s">
        <v>1158</v>
      </c>
      <c r="G282" s="5" t="s">
        <v>1079</v>
      </c>
      <c r="H282" s="3" t="s">
        <v>4329</v>
      </c>
      <c r="I282" s="6"/>
      <c r="J282" s="6"/>
      <c r="K282" s="6"/>
      <c r="L282" s="6"/>
      <c r="M282" s="7" t="s">
        <v>4807</v>
      </c>
      <c r="N282" s="8" t="str">
        <f>IF(Caja_Arequipa[[#This Row],[TIPO DE R.]]="R","001-"&amp;12002+B282,N281)</f>
        <v>001-12280</v>
      </c>
      <c r="O282" s="8" t="str">
        <f t="shared" si="25"/>
        <v>PEN</v>
      </c>
      <c r="P282" s="13"/>
      <c r="Q282" s="13">
        <v>91</v>
      </c>
      <c r="R282" s="3">
        <f t="shared" si="22"/>
        <v>0</v>
      </c>
      <c r="S282" s="3">
        <f t="shared" si="23"/>
        <v>91</v>
      </c>
      <c r="T282" s="3">
        <f t="shared" si="24"/>
        <v>197.20000000000016</v>
      </c>
      <c r="U282" s="24" t="s">
        <v>1081</v>
      </c>
      <c r="V282" s="24"/>
      <c r="W282" s="3"/>
      <c r="X282" s="3" t="s">
        <v>4329</v>
      </c>
      <c r="Y282" s="3" t="s">
        <v>4808</v>
      </c>
      <c r="Z282" s="3"/>
      <c r="AA282" s="3"/>
      <c r="AB282" s="3"/>
      <c r="AC282" s="3" t="str">
        <f>IF(Caja_Arequipa[[#This Row],[FECHA]]&gt;0,TEXT(Caja_Arequipa[[#This Row],[FECHA]],"mmmm"),0)</f>
        <v>Abril</v>
      </c>
    </row>
    <row r="283" spans="2:29" x14ac:dyDescent="0.3">
      <c r="B283" s="2">
        <f>IF(Caja_Arequipa[[#This Row],[TIPO DE R.]]="R",COUNTIFS($D$4:$D282,"R")+1,"")</f>
        <v>279</v>
      </c>
      <c r="C283" s="19" t="str">
        <f t="shared" si="21"/>
        <v>C-Tesoreria</v>
      </c>
      <c r="D283" s="3" t="s">
        <v>1074</v>
      </c>
      <c r="E283" s="14">
        <v>45757</v>
      </c>
      <c r="F283" s="5" t="s">
        <v>1158</v>
      </c>
      <c r="G283" s="5" t="s">
        <v>1079</v>
      </c>
      <c r="H283" s="3" t="s">
        <v>4353</v>
      </c>
      <c r="I283" s="6"/>
      <c r="J283" s="6"/>
      <c r="K283" s="6"/>
      <c r="L283" s="6"/>
      <c r="M283" s="7" t="s">
        <v>4809</v>
      </c>
      <c r="N283" s="8" t="str">
        <f>IF(Caja_Arequipa[[#This Row],[TIPO DE R.]]="R","001-"&amp;12002+B283,N282)</f>
        <v>001-12281</v>
      </c>
      <c r="O283" s="8" t="str">
        <f t="shared" si="25"/>
        <v>PEN</v>
      </c>
      <c r="P283" s="13"/>
      <c r="Q283" s="13">
        <v>5</v>
      </c>
      <c r="R283" s="3">
        <f t="shared" si="22"/>
        <v>0</v>
      </c>
      <c r="S283" s="3">
        <f t="shared" si="23"/>
        <v>5</v>
      </c>
      <c r="T283" s="3">
        <f t="shared" si="24"/>
        <v>192.20000000000016</v>
      </c>
      <c r="U283" s="24"/>
      <c r="V283" s="24"/>
      <c r="W283" s="3"/>
      <c r="X283" s="3" t="s">
        <v>4353</v>
      </c>
      <c r="Y283" s="3" t="s">
        <v>4810</v>
      </c>
      <c r="Z283" s="3"/>
      <c r="AA283" s="3"/>
      <c r="AB283" s="3"/>
      <c r="AC283" s="3" t="str">
        <f>IF(Caja_Arequipa[[#This Row],[FECHA]]&gt;0,TEXT(Caja_Arequipa[[#This Row],[FECHA]],"mmmm"),0)</f>
        <v>Abril</v>
      </c>
    </row>
    <row r="284" spans="2:29" x14ac:dyDescent="0.3">
      <c r="B284" s="2">
        <f>IF(Caja_Arequipa[[#This Row],[TIPO DE R.]]="R",COUNTIFS($D$4:$D283,"R")+1,"")</f>
        <v>280</v>
      </c>
      <c r="C284" s="19" t="str">
        <f t="shared" si="21"/>
        <v>C-Tesoreria</v>
      </c>
      <c r="D284" s="3" t="s">
        <v>1074</v>
      </c>
      <c r="E284" s="14">
        <v>45758</v>
      </c>
      <c r="F284" s="5" t="s">
        <v>1158</v>
      </c>
      <c r="G284" s="5" t="s">
        <v>1087</v>
      </c>
      <c r="H284" s="3" t="s">
        <v>3353</v>
      </c>
      <c r="I284" s="6"/>
      <c r="J284" s="6"/>
      <c r="K284" s="6"/>
      <c r="L284" s="6"/>
      <c r="M284" s="7" t="s">
        <v>4394</v>
      </c>
      <c r="N284" s="8" t="str">
        <f>IF(Caja_Arequipa[[#This Row],[TIPO DE R.]]="R","001-"&amp;12002+B284,N283)</f>
        <v>001-12282</v>
      </c>
      <c r="O284" s="8" t="str">
        <f t="shared" si="25"/>
        <v>PEN</v>
      </c>
      <c r="P284" s="13"/>
      <c r="Q284" s="13">
        <v>1500</v>
      </c>
      <c r="R284" s="3">
        <f t="shared" si="22"/>
        <v>1500</v>
      </c>
      <c r="S284" s="3">
        <f t="shared" si="23"/>
        <v>0</v>
      </c>
      <c r="T284" s="3">
        <f t="shared" si="24"/>
        <v>1692.2000000000003</v>
      </c>
      <c r="U284" s="24"/>
      <c r="V284" s="24"/>
      <c r="W284" s="3"/>
      <c r="X284" s="3" t="s">
        <v>3353</v>
      </c>
      <c r="Y284" s="3"/>
      <c r="Z284" s="3"/>
      <c r="AA284" s="3"/>
      <c r="AB284" s="3"/>
      <c r="AC284" s="3" t="str">
        <f>IF(Caja_Arequipa[[#This Row],[FECHA]]&gt;0,TEXT(Caja_Arequipa[[#This Row],[FECHA]],"mmmm"),0)</f>
        <v>Abril</v>
      </c>
    </row>
    <row r="285" spans="2:29" ht="24" x14ac:dyDescent="0.3">
      <c r="B285" s="2">
        <f>IF(Caja_Arequipa[[#This Row],[TIPO DE R.]]="R",COUNTIFS($D$4:$D284,"R")+1,"")</f>
        <v>281</v>
      </c>
      <c r="C285" s="19" t="str">
        <f t="shared" si="21"/>
        <v>C-Tesoreria</v>
      </c>
      <c r="D285" s="3" t="s">
        <v>1074</v>
      </c>
      <c r="E285" s="14">
        <v>45758</v>
      </c>
      <c r="F285" s="5" t="s">
        <v>1158</v>
      </c>
      <c r="G285" s="5" t="s">
        <v>1079</v>
      </c>
      <c r="H285" s="3" t="s">
        <v>3016</v>
      </c>
      <c r="I285" s="6"/>
      <c r="J285" s="6"/>
      <c r="K285" s="6"/>
      <c r="L285" s="6"/>
      <c r="M285" s="7" t="s">
        <v>4811</v>
      </c>
      <c r="N285" s="8" t="str">
        <f>IF(Caja_Arequipa[[#This Row],[TIPO DE R.]]="R","001-"&amp;12002+B285,N284)</f>
        <v>001-12283</v>
      </c>
      <c r="O285" s="8" t="str">
        <f t="shared" si="25"/>
        <v>PEN</v>
      </c>
      <c r="P285" s="13"/>
      <c r="Q285" s="13">
        <v>73</v>
      </c>
      <c r="R285" s="3">
        <f t="shared" si="22"/>
        <v>0</v>
      </c>
      <c r="S285" s="3">
        <f t="shared" si="23"/>
        <v>73</v>
      </c>
      <c r="T285" s="3">
        <f t="shared" si="24"/>
        <v>1619.2000000000003</v>
      </c>
      <c r="U285" s="24" t="s">
        <v>1081</v>
      </c>
      <c r="V285" s="24"/>
      <c r="W285" s="3"/>
      <c r="X285" s="3" t="s">
        <v>3016</v>
      </c>
      <c r="Y285" s="3" t="s">
        <v>4812</v>
      </c>
      <c r="Z285" s="3"/>
      <c r="AA285" s="3"/>
      <c r="AB285" s="3"/>
      <c r="AC285" s="3" t="str">
        <f>IF(Caja_Arequipa[[#This Row],[FECHA]]&gt;0,TEXT(Caja_Arequipa[[#This Row],[FECHA]],"mmmm"),0)</f>
        <v>Abril</v>
      </c>
    </row>
    <row r="286" spans="2:29" ht="24" x14ac:dyDescent="0.3">
      <c r="B286" s="2">
        <f>IF(Caja_Arequipa[[#This Row],[TIPO DE R.]]="R",COUNTIFS($D$4:$D285,"R")+1,"")</f>
        <v>282</v>
      </c>
      <c r="C286" s="19" t="str">
        <f t="shared" si="21"/>
        <v>C-Tesoreria</v>
      </c>
      <c r="D286" s="3" t="s">
        <v>1074</v>
      </c>
      <c r="E286" s="14">
        <v>45758</v>
      </c>
      <c r="F286" s="5" t="s">
        <v>1158</v>
      </c>
      <c r="G286" s="5" t="s">
        <v>1079</v>
      </c>
      <c r="H286" s="3" t="s">
        <v>4334</v>
      </c>
      <c r="I286" s="6"/>
      <c r="J286" s="6"/>
      <c r="K286" s="6"/>
      <c r="L286" s="6"/>
      <c r="M286" s="7" t="s">
        <v>4813</v>
      </c>
      <c r="N286" s="8" t="str">
        <f>IF(Caja_Arequipa[[#This Row],[TIPO DE R.]]="R","001-"&amp;12002+B286,N285)</f>
        <v>001-12284</v>
      </c>
      <c r="O286" s="8" t="str">
        <f t="shared" si="25"/>
        <v>PEN</v>
      </c>
      <c r="P286" s="13"/>
      <c r="Q286" s="13">
        <v>66</v>
      </c>
      <c r="R286" s="3">
        <f t="shared" si="22"/>
        <v>0</v>
      </c>
      <c r="S286" s="3">
        <f t="shared" si="23"/>
        <v>66</v>
      </c>
      <c r="T286" s="3">
        <f t="shared" si="24"/>
        <v>1553.2000000000003</v>
      </c>
      <c r="U286" s="24" t="s">
        <v>1081</v>
      </c>
      <c r="V286" s="24"/>
      <c r="W286" s="3"/>
      <c r="X286" s="3" t="s">
        <v>4334</v>
      </c>
      <c r="Y286" s="3" t="s">
        <v>4814</v>
      </c>
      <c r="Z286" s="3"/>
      <c r="AA286" s="3"/>
      <c r="AB286" s="3"/>
      <c r="AC286" s="3" t="str">
        <f>IF(Caja_Arequipa[[#This Row],[FECHA]]&gt;0,TEXT(Caja_Arequipa[[#This Row],[FECHA]],"mmmm"),0)</f>
        <v>Abril</v>
      </c>
    </row>
    <row r="287" spans="2:29" ht="24" x14ac:dyDescent="0.3">
      <c r="B287" s="2">
        <f>IF(Caja_Arequipa[[#This Row],[TIPO DE R.]]="R",COUNTIFS($D$4:$D286,"R")+1,"")</f>
        <v>283</v>
      </c>
      <c r="C287" s="19" t="str">
        <f t="shared" si="21"/>
        <v>C-Tesoreria</v>
      </c>
      <c r="D287" s="3" t="s">
        <v>1074</v>
      </c>
      <c r="E287" s="14">
        <v>45758</v>
      </c>
      <c r="F287" s="5" t="s">
        <v>1158</v>
      </c>
      <c r="G287" s="5" t="s">
        <v>1087</v>
      </c>
      <c r="H287" s="3" t="s">
        <v>4274</v>
      </c>
      <c r="I287" s="6"/>
      <c r="J287" s="6"/>
      <c r="K287" s="6"/>
      <c r="L287" s="6"/>
      <c r="M287" s="7" t="s">
        <v>4815</v>
      </c>
      <c r="N287" s="8" t="str">
        <f>IF(Caja_Arequipa[[#This Row],[TIPO DE R.]]="R","001-"&amp;12002+B287,N286)</f>
        <v>001-12285</v>
      </c>
      <c r="O287" s="8" t="str">
        <f t="shared" si="25"/>
        <v>PEN</v>
      </c>
      <c r="P287" s="13"/>
      <c r="Q287" s="13">
        <v>1.2</v>
      </c>
      <c r="R287" s="3">
        <f t="shared" si="22"/>
        <v>1.2</v>
      </c>
      <c r="S287" s="3">
        <f t="shared" si="23"/>
        <v>0</v>
      </c>
      <c r="T287" s="3">
        <f t="shared" si="24"/>
        <v>1554.4000000000003</v>
      </c>
      <c r="U287" s="24"/>
      <c r="V287" s="24"/>
      <c r="W287" s="3"/>
      <c r="X287" s="3" t="s">
        <v>4274</v>
      </c>
      <c r="Y287" s="3"/>
      <c r="Z287" s="3"/>
      <c r="AA287" s="3"/>
      <c r="AB287" s="3"/>
      <c r="AC287" s="3" t="str">
        <f>IF(Caja_Arequipa[[#This Row],[FECHA]]&gt;0,TEXT(Caja_Arequipa[[#This Row],[FECHA]],"mmmm"),0)</f>
        <v>Abril</v>
      </c>
    </row>
    <row r="288" spans="2:29" ht="24" x14ac:dyDescent="0.3">
      <c r="B288" s="2">
        <f>IF(Caja_Arequipa[[#This Row],[TIPO DE R.]]="R",COUNTIFS($D$4:$D287,"R")+1,"")</f>
        <v>284</v>
      </c>
      <c r="C288" s="19" t="str">
        <f t="shared" si="21"/>
        <v>C-Tesoreria</v>
      </c>
      <c r="D288" s="3" t="s">
        <v>1074</v>
      </c>
      <c r="E288" s="14">
        <v>45758</v>
      </c>
      <c r="F288" s="5" t="s">
        <v>1158</v>
      </c>
      <c r="G288" s="5" t="s">
        <v>1079</v>
      </c>
      <c r="H288" s="3" t="s">
        <v>4712</v>
      </c>
      <c r="I288" s="6"/>
      <c r="J288" s="6"/>
      <c r="K288" s="6"/>
      <c r="L288" s="6"/>
      <c r="M288" s="7" t="s">
        <v>4816</v>
      </c>
      <c r="N288" s="8" t="str">
        <f>IF(Caja_Arequipa[[#This Row],[TIPO DE R.]]="R","001-"&amp;12002+B288,N287)</f>
        <v>001-12286</v>
      </c>
      <c r="O288" s="8" t="str">
        <f t="shared" si="25"/>
        <v>PEN</v>
      </c>
      <c r="P288" s="13"/>
      <c r="Q288" s="13">
        <v>20</v>
      </c>
      <c r="R288" s="3">
        <f t="shared" si="22"/>
        <v>0</v>
      </c>
      <c r="S288" s="3">
        <f t="shared" si="23"/>
        <v>20</v>
      </c>
      <c r="T288" s="3">
        <f t="shared" si="24"/>
        <v>1534.4000000000003</v>
      </c>
      <c r="U288" s="24" t="s">
        <v>1081</v>
      </c>
      <c r="V288" s="24"/>
      <c r="W288" s="3"/>
      <c r="X288" s="3" t="s">
        <v>4712</v>
      </c>
      <c r="Y288" s="3" t="s">
        <v>4817</v>
      </c>
      <c r="Z288" s="3"/>
      <c r="AA288" s="3"/>
      <c r="AB288" s="3"/>
      <c r="AC288" s="3" t="str">
        <f>IF(Caja_Arequipa[[#This Row],[FECHA]]&gt;0,TEXT(Caja_Arequipa[[#This Row],[FECHA]],"mmmm"),0)</f>
        <v>Abril</v>
      </c>
    </row>
    <row r="289" spans="2:29" x14ac:dyDescent="0.3">
      <c r="B289" s="2">
        <f>IF(Caja_Arequipa[[#This Row],[TIPO DE R.]]="R",COUNTIFS($D$4:$D288,"R")+1,"")</f>
        <v>285</v>
      </c>
      <c r="C289" s="19" t="str">
        <f t="shared" si="21"/>
        <v>C-Tesoreria</v>
      </c>
      <c r="D289" s="3" t="s">
        <v>1074</v>
      </c>
      <c r="E289" s="14">
        <v>45758</v>
      </c>
      <c r="F289" s="5" t="s">
        <v>1158</v>
      </c>
      <c r="G289" s="5" t="s">
        <v>1079</v>
      </c>
      <c r="H289" s="3" t="s">
        <v>4334</v>
      </c>
      <c r="I289" s="6"/>
      <c r="J289" s="6"/>
      <c r="K289" s="6"/>
      <c r="L289" s="6"/>
      <c r="M289" s="7" t="s">
        <v>4818</v>
      </c>
      <c r="N289" s="8" t="str">
        <f>IF(Caja_Arequipa[[#This Row],[TIPO DE R.]]="R","001-"&amp;12002+B289,N288)</f>
        <v>001-12287</v>
      </c>
      <c r="O289" s="8" t="str">
        <f t="shared" si="25"/>
        <v>PEN</v>
      </c>
      <c r="P289" s="13"/>
      <c r="Q289" s="13">
        <v>122</v>
      </c>
      <c r="R289" s="3">
        <f t="shared" si="22"/>
        <v>0</v>
      </c>
      <c r="S289" s="3">
        <f t="shared" si="23"/>
        <v>122</v>
      </c>
      <c r="T289" s="3">
        <f t="shared" si="24"/>
        <v>1412.4000000000003</v>
      </c>
      <c r="U289" s="24" t="s">
        <v>1081</v>
      </c>
      <c r="V289" s="24"/>
      <c r="W289" s="3"/>
      <c r="X289" s="3" t="s">
        <v>4334</v>
      </c>
      <c r="Y289" s="3" t="s">
        <v>4819</v>
      </c>
      <c r="Z289" s="3"/>
      <c r="AA289" s="3"/>
      <c r="AB289" s="3"/>
      <c r="AC289" s="3" t="str">
        <f>IF(Caja_Arequipa[[#This Row],[FECHA]]&gt;0,TEXT(Caja_Arequipa[[#This Row],[FECHA]],"mmmm"),0)</f>
        <v>Abril</v>
      </c>
    </row>
    <row r="290" spans="2:29" x14ac:dyDescent="0.3">
      <c r="B290" s="2">
        <f>IF(Caja_Arequipa[[#This Row],[TIPO DE R.]]="R",COUNTIFS($D$4:$D289,"R")+1,"")</f>
        <v>286</v>
      </c>
      <c r="C290" s="19" t="str">
        <f t="shared" si="21"/>
        <v>C-Tesoreria</v>
      </c>
      <c r="D290" s="3" t="s">
        <v>1074</v>
      </c>
      <c r="E290" s="14">
        <v>45761</v>
      </c>
      <c r="F290" s="5" t="s">
        <v>1158</v>
      </c>
      <c r="G290" s="5" t="s">
        <v>1079</v>
      </c>
      <c r="H290" s="3" t="s">
        <v>4314</v>
      </c>
      <c r="I290" s="6"/>
      <c r="J290" s="6"/>
      <c r="K290" s="6"/>
      <c r="L290" s="6"/>
      <c r="M290" s="7" t="s">
        <v>4820</v>
      </c>
      <c r="N290" s="8" t="str">
        <f>IF(Caja_Arequipa[[#This Row],[TIPO DE R.]]="R","001-"&amp;12002+B290,N289)</f>
        <v>001-12288</v>
      </c>
      <c r="O290" s="8" t="str">
        <f t="shared" si="25"/>
        <v>PEN</v>
      </c>
      <c r="P290" s="13"/>
      <c r="Q290" s="13">
        <v>20</v>
      </c>
      <c r="R290" s="3">
        <f t="shared" si="22"/>
        <v>0</v>
      </c>
      <c r="S290" s="3">
        <f t="shared" si="23"/>
        <v>20</v>
      </c>
      <c r="T290" s="3">
        <f t="shared" si="24"/>
        <v>1392.4000000000003</v>
      </c>
      <c r="U290" s="24" t="s">
        <v>1081</v>
      </c>
      <c r="V290" s="24"/>
      <c r="W290" s="3"/>
      <c r="X290" s="3" t="s">
        <v>4314</v>
      </c>
      <c r="Y290" s="3" t="s">
        <v>4821</v>
      </c>
      <c r="Z290" s="3"/>
      <c r="AA290" s="3"/>
      <c r="AB290" s="3"/>
      <c r="AC290" s="3" t="str">
        <f>IF(Caja_Arequipa[[#This Row],[FECHA]]&gt;0,TEXT(Caja_Arequipa[[#This Row],[FECHA]],"mmmm"),0)</f>
        <v>Abril</v>
      </c>
    </row>
    <row r="291" spans="2:29" x14ac:dyDescent="0.3">
      <c r="B291" s="2">
        <f>IF(Caja_Arequipa[[#This Row],[TIPO DE R.]]="R",COUNTIFS($D$4:$D290,"R")+1,"")</f>
        <v>287</v>
      </c>
      <c r="C291" s="19" t="str">
        <f t="shared" si="21"/>
        <v>C-Tesoreria</v>
      </c>
      <c r="D291" s="3" t="s">
        <v>1074</v>
      </c>
      <c r="E291" s="14">
        <v>45761</v>
      </c>
      <c r="F291" s="5" t="s">
        <v>1158</v>
      </c>
      <c r="G291" s="5" t="s">
        <v>1079</v>
      </c>
      <c r="H291" s="3" t="s">
        <v>4314</v>
      </c>
      <c r="I291" s="6"/>
      <c r="J291" s="6"/>
      <c r="K291" s="6"/>
      <c r="L291" s="6"/>
      <c r="M291" s="7" t="s">
        <v>4822</v>
      </c>
      <c r="N291" s="8" t="str">
        <f>IF(Caja_Arequipa[[#This Row],[TIPO DE R.]]="R","001-"&amp;12002+B291,N290)</f>
        <v>001-12289</v>
      </c>
      <c r="O291" s="8" t="str">
        <f t="shared" si="25"/>
        <v>PEN</v>
      </c>
      <c r="P291" s="13"/>
      <c r="Q291" s="13">
        <v>15</v>
      </c>
      <c r="R291" s="3">
        <f t="shared" si="22"/>
        <v>0</v>
      </c>
      <c r="S291" s="3">
        <f t="shared" si="23"/>
        <v>15</v>
      </c>
      <c r="T291" s="3">
        <f t="shared" si="24"/>
        <v>1377.4000000000003</v>
      </c>
      <c r="U291" s="24" t="s">
        <v>1081</v>
      </c>
      <c r="V291" s="24"/>
      <c r="W291" s="3"/>
      <c r="X291" s="3" t="s">
        <v>4314</v>
      </c>
      <c r="Y291" s="3" t="s">
        <v>4823</v>
      </c>
      <c r="Z291" s="3"/>
      <c r="AA291" s="3"/>
      <c r="AB291" s="3"/>
      <c r="AC291" s="3" t="str">
        <f>IF(Caja_Arequipa[[#This Row],[FECHA]]&gt;0,TEXT(Caja_Arequipa[[#This Row],[FECHA]],"mmmm"),0)</f>
        <v>Abril</v>
      </c>
    </row>
    <row r="292" spans="2:29" x14ac:dyDescent="0.3">
      <c r="B292" s="2">
        <f>IF(Caja_Arequipa[[#This Row],[TIPO DE R.]]="R",COUNTIFS($D$4:$D291,"R")+1,"")</f>
        <v>288</v>
      </c>
      <c r="C292" s="19" t="str">
        <f t="shared" si="21"/>
        <v>C-Tesoreria</v>
      </c>
      <c r="D292" s="3" t="s">
        <v>1074</v>
      </c>
      <c r="E292" s="14">
        <v>45761</v>
      </c>
      <c r="F292" s="5" t="s">
        <v>1158</v>
      </c>
      <c r="G292" s="5" t="s">
        <v>1079</v>
      </c>
      <c r="H292" s="3" t="s">
        <v>4314</v>
      </c>
      <c r="I292" s="6"/>
      <c r="J292" s="6"/>
      <c r="K292" s="6"/>
      <c r="L292" s="6"/>
      <c r="M292" s="7" t="s">
        <v>4805</v>
      </c>
      <c r="N292" s="8" t="str">
        <f>IF(Caja_Arequipa[[#This Row],[TIPO DE R.]]="R","001-"&amp;12002+B292,N291)</f>
        <v>001-12290</v>
      </c>
      <c r="O292" s="8" t="str">
        <f t="shared" si="25"/>
        <v>PEN</v>
      </c>
      <c r="P292" s="13"/>
      <c r="Q292" s="13">
        <v>69</v>
      </c>
      <c r="R292" s="3">
        <f t="shared" si="22"/>
        <v>0</v>
      </c>
      <c r="S292" s="3">
        <f t="shared" si="23"/>
        <v>69</v>
      </c>
      <c r="T292" s="3">
        <f t="shared" si="24"/>
        <v>1308.4000000000003</v>
      </c>
      <c r="U292" s="24" t="s">
        <v>1081</v>
      </c>
      <c r="V292" s="24"/>
      <c r="W292" s="3"/>
      <c r="X292" s="3" t="s">
        <v>4314</v>
      </c>
      <c r="Y292" s="3" t="s">
        <v>4824</v>
      </c>
      <c r="Z292" s="3"/>
      <c r="AA292" s="3"/>
      <c r="AB292" s="3"/>
      <c r="AC292" s="3" t="str">
        <f>IF(Caja_Arequipa[[#This Row],[FECHA]]&gt;0,TEXT(Caja_Arequipa[[#This Row],[FECHA]],"mmmm"),0)</f>
        <v>Abril</v>
      </c>
    </row>
    <row r="293" spans="2:29" x14ac:dyDescent="0.3">
      <c r="B293" s="2">
        <f>IF(Caja_Arequipa[[#This Row],[TIPO DE R.]]="R",COUNTIFS($D$4:$D292,"R")+1,"")</f>
        <v>289</v>
      </c>
      <c r="C293" s="19" t="str">
        <f t="shared" si="21"/>
        <v>C-Tesoreria</v>
      </c>
      <c r="D293" s="3" t="s">
        <v>1074</v>
      </c>
      <c r="E293" s="14">
        <v>45761</v>
      </c>
      <c r="F293" s="5" t="s">
        <v>1158</v>
      </c>
      <c r="G293" s="5" t="s">
        <v>1079</v>
      </c>
      <c r="H293" s="3" t="s">
        <v>4314</v>
      </c>
      <c r="I293" s="6"/>
      <c r="J293" s="6"/>
      <c r="K293" s="6"/>
      <c r="L293" s="6"/>
      <c r="M293" s="7" t="s">
        <v>4779</v>
      </c>
      <c r="N293" s="8" t="str">
        <f>IF(Caja_Arequipa[[#This Row],[TIPO DE R.]]="R","001-"&amp;12002+B293,N292)</f>
        <v>001-12291</v>
      </c>
      <c r="O293" s="8" t="str">
        <f t="shared" si="25"/>
        <v>PEN</v>
      </c>
      <c r="P293" s="13"/>
      <c r="Q293" s="13">
        <v>16</v>
      </c>
      <c r="R293" s="3">
        <f t="shared" si="22"/>
        <v>0</v>
      </c>
      <c r="S293" s="3">
        <f t="shared" si="23"/>
        <v>16</v>
      </c>
      <c r="T293" s="3">
        <f t="shared" si="24"/>
        <v>1292.4000000000003</v>
      </c>
      <c r="U293" s="24" t="s">
        <v>1081</v>
      </c>
      <c r="V293" s="24"/>
      <c r="W293" s="3"/>
      <c r="X293" s="3" t="s">
        <v>4314</v>
      </c>
      <c r="Y293" s="3" t="s">
        <v>4825</v>
      </c>
      <c r="Z293" s="3"/>
      <c r="AA293" s="3"/>
      <c r="AB293" s="3"/>
      <c r="AC293" s="3" t="str">
        <f>IF(Caja_Arequipa[[#This Row],[FECHA]]&gt;0,TEXT(Caja_Arequipa[[#This Row],[FECHA]],"mmmm"),0)</f>
        <v>Abril</v>
      </c>
    </row>
    <row r="294" spans="2:29" x14ac:dyDescent="0.3">
      <c r="B294" s="2">
        <f>IF(Caja_Arequipa[[#This Row],[TIPO DE R.]]="R",COUNTIFS($D$4:$D293,"R")+1,"")</f>
        <v>290</v>
      </c>
      <c r="C294" s="19" t="str">
        <f t="shared" si="21"/>
        <v>C-Tesoreria</v>
      </c>
      <c r="D294" s="3" t="s">
        <v>1074</v>
      </c>
      <c r="E294" s="14">
        <v>45761</v>
      </c>
      <c r="F294" s="5" t="s">
        <v>1158</v>
      </c>
      <c r="G294" s="5" t="s">
        <v>1079</v>
      </c>
      <c r="H294" s="3" t="s">
        <v>4314</v>
      </c>
      <c r="I294" s="6"/>
      <c r="J294" s="6"/>
      <c r="K294" s="6"/>
      <c r="L294" s="6"/>
      <c r="M294" s="7" t="s">
        <v>4826</v>
      </c>
      <c r="N294" s="8" t="str">
        <f>IF(Caja_Arequipa[[#This Row],[TIPO DE R.]]="R","001-"&amp;12002+B294,N293)</f>
        <v>001-12292</v>
      </c>
      <c r="O294" s="8" t="str">
        <f t="shared" si="25"/>
        <v>PEN</v>
      </c>
      <c r="P294" s="13"/>
      <c r="Q294" s="13">
        <v>150</v>
      </c>
      <c r="R294" s="3">
        <f t="shared" si="22"/>
        <v>0</v>
      </c>
      <c r="S294" s="3">
        <f t="shared" si="23"/>
        <v>150</v>
      </c>
      <c r="T294" s="3">
        <f t="shared" si="24"/>
        <v>1142.4000000000003</v>
      </c>
      <c r="U294" s="24" t="s">
        <v>1081</v>
      </c>
      <c r="V294" s="24"/>
      <c r="W294" s="3"/>
      <c r="X294" s="3" t="s">
        <v>4314</v>
      </c>
      <c r="Y294" s="3" t="s">
        <v>4827</v>
      </c>
      <c r="Z294" s="3"/>
      <c r="AA294" s="3"/>
      <c r="AB294" s="3"/>
      <c r="AC294" s="3" t="str">
        <f>IF(Caja_Arequipa[[#This Row],[FECHA]]&gt;0,TEXT(Caja_Arequipa[[#This Row],[FECHA]],"mmmm"),0)</f>
        <v>Abril</v>
      </c>
    </row>
    <row r="295" spans="2:29" x14ac:dyDescent="0.3">
      <c r="B295" s="2">
        <f>IF(Caja_Arequipa[[#This Row],[TIPO DE R.]]="R",COUNTIFS($D$4:$D294,"R")+1,"")</f>
        <v>291</v>
      </c>
      <c r="C295" s="19" t="str">
        <f t="shared" si="21"/>
        <v>C-Tesoreria</v>
      </c>
      <c r="D295" s="3" t="s">
        <v>1074</v>
      </c>
      <c r="E295" s="14">
        <v>45761</v>
      </c>
      <c r="F295" s="5" t="s">
        <v>1158</v>
      </c>
      <c r="G295" s="5" t="s">
        <v>1079</v>
      </c>
      <c r="H295" s="3" t="s">
        <v>4314</v>
      </c>
      <c r="I295" s="6"/>
      <c r="J295" s="6"/>
      <c r="K295" s="6"/>
      <c r="L295" s="6"/>
      <c r="M295" s="7" t="s">
        <v>4828</v>
      </c>
      <c r="N295" s="8" t="str">
        <f>IF(Caja_Arequipa[[#This Row],[TIPO DE R.]]="R","001-"&amp;12002+B295,N294)</f>
        <v>001-12293</v>
      </c>
      <c r="O295" s="8" t="str">
        <f t="shared" si="25"/>
        <v>PEN</v>
      </c>
      <c r="P295" s="13"/>
      <c r="Q295" s="13">
        <v>123</v>
      </c>
      <c r="R295" s="3">
        <f t="shared" si="22"/>
        <v>0</v>
      </c>
      <c r="S295" s="3">
        <f t="shared" si="23"/>
        <v>123</v>
      </c>
      <c r="T295" s="3">
        <f t="shared" si="24"/>
        <v>1019.4000000000003</v>
      </c>
      <c r="U295" s="24" t="s">
        <v>1081</v>
      </c>
      <c r="V295" s="24"/>
      <c r="W295" s="3"/>
      <c r="X295" s="3" t="s">
        <v>4314</v>
      </c>
      <c r="Y295" s="3" t="s">
        <v>4829</v>
      </c>
      <c r="Z295" s="3"/>
      <c r="AA295" s="3"/>
      <c r="AB295" s="3"/>
      <c r="AC295" s="3" t="str">
        <f>IF(Caja_Arequipa[[#This Row],[FECHA]]&gt;0,TEXT(Caja_Arequipa[[#This Row],[FECHA]],"mmmm"),0)</f>
        <v>Abril</v>
      </c>
    </row>
    <row r="296" spans="2:29" x14ac:dyDescent="0.3">
      <c r="B296" s="2">
        <f>IF(Caja_Arequipa[[#This Row],[TIPO DE R.]]="R",COUNTIFS($D$4:$D295,"R")+1,"")</f>
        <v>292</v>
      </c>
      <c r="C296" s="19" t="str">
        <f t="shared" si="21"/>
        <v>C-Tesoreria</v>
      </c>
      <c r="D296" s="3" t="s">
        <v>1074</v>
      </c>
      <c r="E296" s="14">
        <v>45761</v>
      </c>
      <c r="F296" s="5" t="s">
        <v>1158</v>
      </c>
      <c r="G296" s="5" t="s">
        <v>1079</v>
      </c>
      <c r="H296" s="3" t="s">
        <v>4314</v>
      </c>
      <c r="I296" s="6"/>
      <c r="J296" s="6"/>
      <c r="K296" s="6"/>
      <c r="L296" s="6"/>
      <c r="M296" s="7" t="s">
        <v>4803</v>
      </c>
      <c r="N296" s="8" t="str">
        <f>IF(Caja_Arequipa[[#This Row],[TIPO DE R.]]="R","001-"&amp;12002+B296,N295)</f>
        <v>001-12294</v>
      </c>
      <c r="O296" s="8" t="str">
        <f t="shared" si="25"/>
        <v>PEN</v>
      </c>
      <c r="P296" s="13"/>
      <c r="Q296" s="13">
        <v>100</v>
      </c>
      <c r="R296" s="3">
        <f t="shared" si="22"/>
        <v>0</v>
      </c>
      <c r="S296" s="3">
        <f t="shared" si="23"/>
        <v>100</v>
      </c>
      <c r="T296" s="3">
        <f t="shared" si="24"/>
        <v>919.40000000000032</v>
      </c>
      <c r="U296" s="24" t="s">
        <v>1081</v>
      </c>
      <c r="V296" s="24"/>
      <c r="W296" s="3"/>
      <c r="X296" s="3" t="s">
        <v>4314</v>
      </c>
      <c r="Y296" s="3" t="s">
        <v>4830</v>
      </c>
      <c r="Z296" s="3"/>
      <c r="AA296" s="3"/>
      <c r="AB296" s="3"/>
      <c r="AC296" s="3" t="str">
        <f>IF(Caja_Arequipa[[#This Row],[FECHA]]&gt;0,TEXT(Caja_Arequipa[[#This Row],[FECHA]],"mmmm"),0)</f>
        <v>Abril</v>
      </c>
    </row>
    <row r="297" spans="2:29" x14ac:dyDescent="0.3">
      <c r="B297" s="2">
        <f>IF(Caja_Arequipa[[#This Row],[TIPO DE R.]]="R",COUNTIFS($D$4:$D296,"R")+1,"")</f>
        <v>293</v>
      </c>
      <c r="C297" s="19" t="str">
        <f t="shared" si="21"/>
        <v>C-Tesoreria</v>
      </c>
      <c r="D297" s="3" t="s">
        <v>1074</v>
      </c>
      <c r="E297" s="14">
        <v>45761</v>
      </c>
      <c r="F297" s="5" t="s">
        <v>1158</v>
      </c>
      <c r="G297" s="5" t="s">
        <v>1079</v>
      </c>
      <c r="H297" s="3" t="s">
        <v>4314</v>
      </c>
      <c r="I297" s="6"/>
      <c r="J297" s="6"/>
      <c r="K297" s="6"/>
      <c r="L297" s="6"/>
      <c r="M297" s="7" t="s">
        <v>4818</v>
      </c>
      <c r="N297" s="8" t="str">
        <f>IF(Caja_Arequipa[[#This Row],[TIPO DE R.]]="R","001-"&amp;12002+B297,N296)</f>
        <v>001-12295</v>
      </c>
      <c r="O297" s="8" t="str">
        <f t="shared" si="25"/>
        <v>PEN</v>
      </c>
      <c r="P297" s="13"/>
      <c r="Q297" s="13">
        <v>35</v>
      </c>
      <c r="R297" s="3">
        <f t="shared" si="22"/>
        <v>0</v>
      </c>
      <c r="S297" s="3">
        <f t="shared" si="23"/>
        <v>35</v>
      </c>
      <c r="T297" s="3">
        <f t="shared" si="24"/>
        <v>884.40000000000032</v>
      </c>
      <c r="U297" s="24" t="s">
        <v>1081</v>
      </c>
      <c r="V297" s="24"/>
      <c r="W297" s="3"/>
      <c r="X297" s="3" t="s">
        <v>4314</v>
      </c>
      <c r="Y297" s="3" t="s">
        <v>4831</v>
      </c>
      <c r="Z297" s="3"/>
      <c r="AA297" s="3"/>
      <c r="AB297" s="3"/>
      <c r="AC297" s="3" t="str">
        <f>IF(Caja_Arequipa[[#This Row],[FECHA]]&gt;0,TEXT(Caja_Arequipa[[#This Row],[FECHA]],"mmmm"),0)</f>
        <v>Abril</v>
      </c>
    </row>
    <row r="298" spans="2:29" ht="24" x14ac:dyDescent="0.3">
      <c r="B298" s="2">
        <f>IF(Caja_Arequipa[[#This Row],[TIPO DE R.]]="R",COUNTIFS($D$4:$D297,"R")+1,"")</f>
        <v>294</v>
      </c>
      <c r="C298" s="19" t="str">
        <f t="shared" si="21"/>
        <v>C-Tesoreria</v>
      </c>
      <c r="D298" s="3" t="s">
        <v>1074</v>
      </c>
      <c r="E298" s="14">
        <v>45761</v>
      </c>
      <c r="F298" s="5" t="s">
        <v>1158</v>
      </c>
      <c r="G298" s="5" t="s">
        <v>1079</v>
      </c>
      <c r="H298" s="3" t="s">
        <v>4329</v>
      </c>
      <c r="I298" s="6"/>
      <c r="J298" s="6"/>
      <c r="K298" s="6"/>
      <c r="L298" s="6"/>
      <c r="M298" s="7" t="s">
        <v>4832</v>
      </c>
      <c r="N298" s="8" t="str">
        <f>IF(Caja_Arequipa[[#This Row],[TIPO DE R.]]="R","001-"&amp;12002+B298,N297)</f>
        <v>001-12296</v>
      </c>
      <c r="O298" s="8" t="str">
        <f t="shared" si="25"/>
        <v>PEN</v>
      </c>
      <c r="P298" s="13"/>
      <c r="Q298" s="13">
        <v>10</v>
      </c>
      <c r="R298" s="3">
        <f t="shared" si="22"/>
        <v>0</v>
      </c>
      <c r="S298" s="3">
        <f t="shared" si="23"/>
        <v>10</v>
      </c>
      <c r="T298" s="3">
        <f t="shared" si="24"/>
        <v>874.40000000000032</v>
      </c>
      <c r="U298" s="24" t="s">
        <v>1081</v>
      </c>
      <c r="V298" s="24"/>
      <c r="W298" s="3"/>
      <c r="X298" s="3" t="s">
        <v>4329</v>
      </c>
      <c r="Y298" s="3" t="s">
        <v>4833</v>
      </c>
      <c r="Z298" s="3"/>
      <c r="AA298" s="3"/>
      <c r="AB298" s="3"/>
      <c r="AC298" s="3" t="str">
        <f>IF(Caja_Arequipa[[#This Row],[FECHA]]&gt;0,TEXT(Caja_Arequipa[[#This Row],[FECHA]],"mmmm"),0)</f>
        <v>Abril</v>
      </c>
    </row>
    <row r="299" spans="2:29" ht="24" x14ac:dyDescent="0.3">
      <c r="B299" s="2">
        <f>IF(Caja_Arequipa[[#This Row],[TIPO DE R.]]="R",COUNTIFS($D$4:$D298,"R")+1,"")</f>
        <v>295</v>
      </c>
      <c r="C299" s="19" t="str">
        <f t="shared" si="21"/>
        <v>C-Tesoreria</v>
      </c>
      <c r="D299" s="3" t="s">
        <v>1074</v>
      </c>
      <c r="E299" s="14">
        <v>45761</v>
      </c>
      <c r="F299" s="5" t="s">
        <v>1158</v>
      </c>
      <c r="G299" s="5" t="s">
        <v>1079</v>
      </c>
      <c r="H299" s="3" t="s">
        <v>4329</v>
      </c>
      <c r="I299" s="6"/>
      <c r="J299" s="6"/>
      <c r="K299" s="6"/>
      <c r="L299" s="6"/>
      <c r="M299" s="7" t="s">
        <v>4834</v>
      </c>
      <c r="N299" s="8" t="str">
        <f>IF(Caja_Arequipa[[#This Row],[TIPO DE R.]]="R","001-"&amp;12002+B299,N298)</f>
        <v>001-12297</v>
      </c>
      <c r="O299" s="8" t="str">
        <f t="shared" si="25"/>
        <v>PEN</v>
      </c>
      <c r="P299" s="13"/>
      <c r="Q299" s="13">
        <v>16</v>
      </c>
      <c r="R299" s="3">
        <f t="shared" si="22"/>
        <v>0</v>
      </c>
      <c r="S299" s="3">
        <f t="shared" si="23"/>
        <v>16</v>
      </c>
      <c r="T299" s="3">
        <f t="shared" si="24"/>
        <v>858.40000000000032</v>
      </c>
      <c r="U299" s="24" t="s">
        <v>1081</v>
      </c>
      <c r="V299" s="24"/>
      <c r="W299" s="3"/>
      <c r="X299" s="3" t="s">
        <v>4329</v>
      </c>
      <c r="Y299" s="3" t="s">
        <v>4835</v>
      </c>
      <c r="Z299" s="3"/>
      <c r="AA299" s="3"/>
      <c r="AB299" s="3"/>
      <c r="AC299" s="3" t="str">
        <f>IF(Caja_Arequipa[[#This Row],[FECHA]]&gt;0,TEXT(Caja_Arequipa[[#This Row],[FECHA]],"mmmm"),0)</f>
        <v>Abril</v>
      </c>
    </row>
    <row r="300" spans="2:29" ht="24" x14ac:dyDescent="0.3">
      <c r="B300" s="2">
        <f>IF(Caja_Arequipa[[#This Row],[TIPO DE R.]]="R",COUNTIFS($D$4:$D299,"R")+1,"")</f>
        <v>296</v>
      </c>
      <c r="C300" s="19" t="str">
        <f t="shared" si="21"/>
        <v>C-Tesoreria</v>
      </c>
      <c r="D300" s="3" t="s">
        <v>1074</v>
      </c>
      <c r="E300" s="14">
        <v>45761</v>
      </c>
      <c r="F300" s="5" t="s">
        <v>1158</v>
      </c>
      <c r="G300" s="5" t="s">
        <v>1079</v>
      </c>
      <c r="H300" s="3" t="s">
        <v>4329</v>
      </c>
      <c r="I300" s="6"/>
      <c r="J300" s="6"/>
      <c r="K300" s="6"/>
      <c r="L300" s="6"/>
      <c r="M300" s="7" t="s">
        <v>4836</v>
      </c>
      <c r="N300" s="8" t="str">
        <f>IF(Caja_Arequipa[[#This Row],[TIPO DE R.]]="R","001-"&amp;12002+B300,N299)</f>
        <v>001-12298</v>
      </c>
      <c r="O300" s="8" t="str">
        <f t="shared" si="25"/>
        <v>PEN</v>
      </c>
      <c r="P300" s="13"/>
      <c r="Q300" s="13">
        <v>30</v>
      </c>
      <c r="R300" s="3">
        <f t="shared" si="22"/>
        <v>0</v>
      </c>
      <c r="S300" s="3">
        <f t="shared" si="23"/>
        <v>30</v>
      </c>
      <c r="T300" s="3">
        <f t="shared" si="24"/>
        <v>828.40000000000032</v>
      </c>
      <c r="U300" s="24" t="s">
        <v>1081</v>
      </c>
      <c r="V300" s="24"/>
      <c r="W300" s="3"/>
      <c r="X300" s="3" t="s">
        <v>4329</v>
      </c>
      <c r="Y300" s="3" t="s">
        <v>4837</v>
      </c>
      <c r="Z300" s="3"/>
      <c r="AA300" s="3"/>
      <c r="AB300" s="3"/>
      <c r="AC300" s="3" t="str">
        <f>IF(Caja_Arequipa[[#This Row],[FECHA]]&gt;0,TEXT(Caja_Arequipa[[#This Row],[FECHA]],"mmmm"),0)</f>
        <v>Abril</v>
      </c>
    </row>
    <row r="301" spans="2:29" ht="24" x14ac:dyDescent="0.3">
      <c r="B301" s="2">
        <f>IF(Caja_Arequipa[[#This Row],[TIPO DE R.]]="R",COUNTIFS($D$4:$D300,"R")+1,"")</f>
        <v>297</v>
      </c>
      <c r="C301" s="19" t="str">
        <f t="shared" si="21"/>
        <v>C-Tesoreria</v>
      </c>
      <c r="D301" s="3" t="s">
        <v>1074</v>
      </c>
      <c r="E301" s="14">
        <v>45761</v>
      </c>
      <c r="F301" s="5" t="s">
        <v>1158</v>
      </c>
      <c r="G301" s="5" t="s">
        <v>1079</v>
      </c>
      <c r="H301" s="3" t="s">
        <v>4303</v>
      </c>
      <c r="I301" s="6"/>
      <c r="J301" s="6"/>
      <c r="K301" s="6"/>
      <c r="L301" s="6"/>
      <c r="M301" s="7" t="s">
        <v>4838</v>
      </c>
      <c r="N301" s="8" t="str">
        <f>IF(Caja_Arequipa[[#This Row],[TIPO DE R.]]="R","001-"&amp;12002+B301,N300)</f>
        <v>001-12299</v>
      </c>
      <c r="O301" s="8" t="str">
        <f t="shared" si="25"/>
        <v>PEN</v>
      </c>
      <c r="P301" s="13"/>
      <c r="Q301" s="13">
        <v>60</v>
      </c>
      <c r="R301" s="3">
        <f t="shared" si="22"/>
        <v>0</v>
      </c>
      <c r="S301" s="3">
        <f t="shared" si="23"/>
        <v>60</v>
      </c>
      <c r="T301" s="3">
        <f t="shared" si="24"/>
        <v>768.40000000000032</v>
      </c>
      <c r="U301" s="24" t="s">
        <v>1081</v>
      </c>
      <c r="V301" s="24"/>
      <c r="W301" s="3"/>
      <c r="X301" s="3" t="s">
        <v>4303</v>
      </c>
      <c r="Y301" s="3" t="s">
        <v>4839</v>
      </c>
      <c r="Z301" s="3"/>
      <c r="AA301" s="3"/>
      <c r="AB301" s="3"/>
      <c r="AC301" s="3" t="str">
        <f>IF(Caja_Arequipa[[#This Row],[FECHA]]&gt;0,TEXT(Caja_Arequipa[[#This Row],[FECHA]],"mmmm"),0)</f>
        <v>Abril</v>
      </c>
    </row>
    <row r="302" spans="2:29" x14ac:dyDescent="0.3">
      <c r="B302" s="2">
        <f>IF(Caja_Arequipa[[#This Row],[TIPO DE R.]]="R",COUNTIFS($D$4:$D301,"R")+1,"")</f>
        <v>298</v>
      </c>
      <c r="C302" s="19" t="str">
        <f t="shared" si="21"/>
        <v>C-Tesoreria</v>
      </c>
      <c r="D302" s="3" t="s">
        <v>1074</v>
      </c>
      <c r="E302" s="14">
        <v>45762</v>
      </c>
      <c r="F302" s="5" t="s">
        <v>1158</v>
      </c>
      <c r="G302" s="5" t="s">
        <v>1079</v>
      </c>
      <c r="H302" s="3" t="s">
        <v>4501</v>
      </c>
      <c r="I302" s="6"/>
      <c r="J302" s="6"/>
      <c r="K302" s="6"/>
      <c r="L302" s="6"/>
      <c r="M302" s="7" t="s">
        <v>4840</v>
      </c>
      <c r="N302" s="8" t="str">
        <f>IF(Caja_Arequipa[[#This Row],[TIPO DE R.]]="R","001-"&amp;12002+B302,N301)</f>
        <v>001-12300</v>
      </c>
      <c r="O302" s="8" t="str">
        <f t="shared" si="25"/>
        <v>PEN</v>
      </c>
      <c r="P302" s="13"/>
      <c r="Q302" s="13">
        <v>7</v>
      </c>
      <c r="R302" s="3">
        <f t="shared" si="22"/>
        <v>0</v>
      </c>
      <c r="S302" s="3">
        <f t="shared" si="23"/>
        <v>7</v>
      </c>
      <c r="T302" s="3">
        <f t="shared" si="24"/>
        <v>761.40000000000032</v>
      </c>
      <c r="U302" s="24" t="s">
        <v>1081</v>
      </c>
      <c r="V302" s="24"/>
      <c r="W302" s="3"/>
      <c r="X302" s="3" t="s">
        <v>4501</v>
      </c>
      <c r="Y302" s="3" t="s">
        <v>4841</v>
      </c>
      <c r="Z302" s="3"/>
      <c r="AA302" s="3"/>
      <c r="AB302" s="3"/>
      <c r="AC302" s="3" t="str">
        <f>IF(Caja_Arequipa[[#This Row],[FECHA]]&gt;0,TEXT(Caja_Arequipa[[#This Row],[FECHA]],"mmmm"),0)</f>
        <v>Abril</v>
      </c>
    </row>
    <row r="303" spans="2:29" ht="24" x14ac:dyDescent="0.3">
      <c r="B303" s="2">
        <f>IF(Caja_Arequipa[[#This Row],[TIPO DE R.]]="R",COUNTIFS($D$4:$D302,"R")+1,"")</f>
        <v>299</v>
      </c>
      <c r="C303" s="19" t="str">
        <f t="shared" si="21"/>
        <v>C-Tesoreria</v>
      </c>
      <c r="D303" s="3" t="s">
        <v>1074</v>
      </c>
      <c r="E303" s="14">
        <v>45762</v>
      </c>
      <c r="F303" s="5" t="s">
        <v>1082</v>
      </c>
      <c r="G303" s="5" t="s">
        <v>1079</v>
      </c>
      <c r="H303" s="3" t="s">
        <v>4501</v>
      </c>
      <c r="I303" s="6"/>
      <c r="J303" s="6"/>
      <c r="K303" s="6"/>
      <c r="L303" s="6"/>
      <c r="M303" s="7" t="s">
        <v>4842</v>
      </c>
      <c r="N303" s="8" t="str">
        <f>IF(Caja_Arequipa[[#This Row],[TIPO DE R.]]="R","001-"&amp;12002+B303,N302)</f>
        <v>001-12301</v>
      </c>
      <c r="O303" s="8" t="str">
        <f t="shared" si="25"/>
        <v>PEN</v>
      </c>
      <c r="P303" s="13"/>
      <c r="Q303" s="13">
        <v>7</v>
      </c>
      <c r="R303" s="3">
        <f t="shared" si="22"/>
        <v>0</v>
      </c>
      <c r="S303" s="3">
        <f t="shared" si="23"/>
        <v>7</v>
      </c>
      <c r="T303" s="3">
        <f t="shared" si="24"/>
        <v>754.40000000000032</v>
      </c>
      <c r="U303" s="24" t="s">
        <v>1081</v>
      </c>
      <c r="V303" s="24"/>
      <c r="W303" s="3"/>
      <c r="X303" s="3" t="s">
        <v>4501</v>
      </c>
      <c r="Y303" s="3" t="s">
        <v>4843</v>
      </c>
      <c r="Z303" s="3"/>
      <c r="AA303" s="3"/>
      <c r="AB303" s="3"/>
      <c r="AC303" s="3" t="str">
        <f>IF(Caja_Arequipa[[#This Row],[FECHA]]&gt;0,TEXT(Caja_Arequipa[[#This Row],[FECHA]],"mmmm"),0)</f>
        <v>Abril</v>
      </c>
    </row>
    <row r="304" spans="2:29" x14ac:dyDescent="0.3">
      <c r="B304" s="2">
        <f>IF(Caja_Arequipa[[#This Row],[TIPO DE R.]]="R",COUNTIFS($D$4:$D303,"R")+1,"")</f>
        <v>300</v>
      </c>
      <c r="C304" s="19" t="str">
        <f t="shared" si="21"/>
        <v>C-Tesoreria</v>
      </c>
      <c r="D304" s="3" t="s">
        <v>1074</v>
      </c>
      <c r="E304" s="14">
        <v>45762</v>
      </c>
      <c r="F304" s="5" t="s">
        <v>1082</v>
      </c>
      <c r="G304" s="5" t="s">
        <v>1079</v>
      </c>
      <c r="H304" s="3" t="s">
        <v>4303</v>
      </c>
      <c r="I304" s="6"/>
      <c r="J304" s="6"/>
      <c r="K304" s="6"/>
      <c r="L304" s="6"/>
      <c r="M304" s="7" t="s">
        <v>4840</v>
      </c>
      <c r="N304" s="8" t="str">
        <f>IF(Caja_Arequipa[[#This Row],[TIPO DE R.]]="R","001-"&amp;12002+B304,N303)</f>
        <v>001-12302</v>
      </c>
      <c r="O304" s="8" t="str">
        <f t="shared" si="25"/>
        <v>PEN</v>
      </c>
      <c r="P304" s="13"/>
      <c r="Q304" s="13">
        <v>9.6</v>
      </c>
      <c r="R304" s="3">
        <f t="shared" si="22"/>
        <v>0</v>
      </c>
      <c r="S304" s="3">
        <f t="shared" si="23"/>
        <v>9.6</v>
      </c>
      <c r="T304" s="3">
        <f t="shared" si="24"/>
        <v>744.8000000000003</v>
      </c>
      <c r="U304" s="24" t="s">
        <v>1081</v>
      </c>
      <c r="V304" s="24"/>
      <c r="W304" s="3"/>
      <c r="X304" s="3" t="s">
        <v>4303</v>
      </c>
      <c r="Y304" s="3" t="s">
        <v>4844</v>
      </c>
      <c r="Z304" s="3"/>
      <c r="AA304" s="3"/>
      <c r="AB304" s="3"/>
      <c r="AC304" s="3" t="str">
        <f>IF(Caja_Arequipa[[#This Row],[FECHA]]&gt;0,TEXT(Caja_Arequipa[[#This Row],[FECHA]],"mmmm"),0)</f>
        <v>Abril</v>
      </c>
    </row>
    <row r="305" spans="2:29" ht="24" x14ac:dyDescent="0.3">
      <c r="B305" s="2">
        <f>IF(Caja_Arequipa[[#This Row],[TIPO DE R.]]="R",COUNTIFS($D$4:$D304,"R")+1,"")</f>
        <v>301</v>
      </c>
      <c r="C305" s="19" t="str">
        <f t="shared" si="21"/>
        <v>C-Tesoreria</v>
      </c>
      <c r="D305" s="3" t="s">
        <v>1074</v>
      </c>
      <c r="E305" s="14">
        <v>45762</v>
      </c>
      <c r="F305" s="5" t="s">
        <v>1158</v>
      </c>
      <c r="G305" s="5" t="s">
        <v>1079</v>
      </c>
      <c r="H305" s="3" t="s">
        <v>4303</v>
      </c>
      <c r="I305" s="6"/>
      <c r="J305" s="6" t="s">
        <v>74</v>
      </c>
      <c r="K305" s="6">
        <v>1</v>
      </c>
      <c r="L305" s="6">
        <v>122</v>
      </c>
      <c r="M305" s="7" t="s">
        <v>4845</v>
      </c>
      <c r="N305" s="8" t="str">
        <f>IF(Caja_Arequipa[[#This Row],[TIPO DE R.]]="R","001-"&amp;12002+B305,N304)</f>
        <v>001-12303</v>
      </c>
      <c r="O305" s="8" t="str">
        <f t="shared" si="25"/>
        <v>PEN</v>
      </c>
      <c r="P305" s="13"/>
      <c r="Q305" s="13">
        <v>7</v>
      </c>
      <c r="R305" s="3">
        <f t="shared" si="22"/>
        <v>0</v>
      </c>
      <c r="S305" s="3">
        <f t="shared" si="23"/>
        <v>7</v>
      </c>
      <c r="T305" s="3">
        <f t="shared" si="24"/>
        <v>737.8000000000003</v>
      </c>
      <c r="U305" s="24"/>
      <c r="V305" s="24"/>
      <c r="W305" s="3"/>
      <c r="X305" s="3" t="s">
        <v>4303</v>
      </c>
      <c r="Y305" s="3" t="s">
        <v>4846</v>
      </c>
      <c r="Z305" s="3"/>
      <c r="AA305" s="3"/>
      <c r="AB305" s="3"/>
      <c r="AC305" s="3" t="str">
        <f>IF(Caja_Arequipa[[#This Row],[FECHA]]&gt;0,TEXT(Caja_Arequipa[[#This Row],[FECHA]],"mmmm"),0)</f>
        <v>Abril</v>
      </c>
    </row>
    <row r="306" spans="2:29" x14ac:dyDescent="0.3">
      <c r="B306" s="2">
        <f>IF(Caja_Arequipa[[#This Row],[TIPO DE R.]]="R",COUNTIFS($D$4:$D305,"R")+1,"")</f>
        <v>302</v>
      </c>
      <c r="C306" s="19" t="str">
        <f t="shared" si="21"/>
        <v>C-Tesoreria</v>
      </c>
      <c r="D306" s="3" t="s">
        <v>1074</v>
      </c>
      <c r="E306" s="14">
        <v>45762</v>
      </c>
      <c r="F306" s="5" t="s">
        <v>1158</v>
      </c>
      <c r="G306" s="5" t="s">
        <v>1079</v>
      </c>
      <c r="H306" s="3" t="s">
        <v>4329</v>
      </c>
      <c r="I306" s="6"/>
      <c r="J306" s="6"/>
      <c r="K306" s="6"/>
      <c r="L306" s="6"/>
      <c r="M306" s="7" t="s">
        <v>4820</v>
      </c>
      <c r="N306" s="8" t="str">
        <f>IF(Caja_Arequipa[[#This Row],[TIPO DE R.]]="R","001-"&amp;12002+B306,N305)</f>
        <v>001-12304</v>
      </c>
      <c r="O306" s="8" t="str">
        <f t="shared" si="25"/>
        <v>PEN</v>
      </c>
      <c r="P306" s="13"/>
      <c r="Q306" s="13">
        <v>12</v>
      </c>
      <c r="R306" s="3">
        <f t="shared" si="22"/>
        <v>0</v>
      </c>
      <c r="S306" s="3">
        <f t="shared" si="23"/>
        <v>12</v>
      </c>
      <c r="T306" s="3">
        <f t="shared" si="24"/>
        <v>725.8000000000003</v>
      </c>
      <c r="U306" s="24" t="s">
        <v>1081</v>
      </c>
      <c r="V306" s="24"/>
      <c r="W306" s="3"/>
      <c r="X306" s="3" t="s">
        <v>4329</v>
      </c>
      <c r="Y306" s="3" t="s">
        <v>4847</v>
      </c>
      <c r="Z306" s="3"/>
      <c r="AA306" s="3"/>
      <c r="AB306" s="3"/>
      <c r="AC306" s="3" t="str">
        <f>IF(Caja_Arequipa[[#This Row],[FECHA]]&gt;0,TEXT(Caja_Arequipa[[#This Row],[FECHA]],"mmmm"),0)</f>
        <v>Abril</v>
      </c>
    </row>
    <row r="307" spans="2:29" ht="36" x14ac:dyDescent="0.3">
      <c r="B307" s="2">
        <f>IF(Caja_Arequipa[[#This Row],[TIPO DE R.]]="R",COUNTIFS($D$4:$D306,"R")+1,"")</f>
        <v>303</v>
      </c>
      <c r="C307" s="19" t="str">
        <f t="shared" si="21"/>
        <v>C-Tesoreria</v>
      </c>
      <c r="D307" s="3" t="s">
        <v>1074</v>
      </c>
      <c r="E307" s="14">
        <v>45762</v>
      </c>
      <c r="F307" s="5" t="s">
        <v>1158</v>
      </c>
      <c r="G307" s="5" t="s">
        <v>1079</v>
      </c>
      <c r="H307" s="3" t="s">
        <v>3016</v>
      </c>
      <c r="I307" s="6"/>
      <c r="J307" s="6"/>
      <c r="K307" s="6"/>
      <c r="L307" s="6"/>
      <c r="M307" s="7" t="s">
        <v>4848</v>
      </c>
      <c r="N307" s="8" t="str">
        <f>IF(Caja_Arequipa[[#This Row],[TIPO DE R.]]="R","001-"&amp;12002+B307,N306)</f>
        <v>001-12305</v>
      </c>
      <c r="O307" s="8" t="str">
        <f t="shared" si="25"/>
        <v>PEN</v>
      </c>
      <c r="P307" s="13"/>
      <c r="Q307" s="13">
        <v>109.2</v>
      </c>
      <c r="R307" s="3">
        <f t="shared" si="22"/>
        <v>0</v>
      </c>
      <c r="S307" s="3">
        <f t="shared" si="23"/>
        <v>109.2</v>
      </c>
      <c r="T307" s="3">
        <f t="shared" si="24"/>
        <v>616.60000000000025</v>
      </c>
      <c r="U307" s="24" t="s">
        <v>1081</v>
      </c>
      <c r="V307" s="24"/>
      <c r="W307" s="3"/>
      <c r="X307" s="3" t="s">
        <v>3016</v>
      </c>
      <c r="Y307" s="3" t="s">
        <v>4849</v>
      </c>
      <c r="Z307" s="3"/>
      <c r="AA307" s="3"/>
      <c r="AB307" s="3"/>
      <c r="AC307" s="3" t="str">
        <f>IF(Caja_Arequipa[[#This Row],[FECHA]]&gt;0,TEXT(Caja_Arequipa[[#This Row],[FECHA]],"mmmm"),0)</f>
        <v>Abril</v>
      </c>
    </row>
    <row r="308" spans="2:29" x14ac:dyDescent="0.3">
      <c r="B308" s="2">
        <f>IF(Caja_Arequipa[[#This Row],[TIPO DE R.]]="R",COUNTIFS($D$4:$D307,"R")+1,"")</f>
        <v>304</v>
      </c>
      <c r="C308" s="19" t="str">
        <f t="shared" si="21"/>
        <v>C-Tesoreria</v>
      </c>
      <c r="D308" s="3" t="s">
        <v>1074</v>
      </c>
      <c r="E308" s="14">
        <v>45762</v>
      </c>
      <c r="F308" s="5" t="s">
        <v>1158</v>
      </c>
      <c r="G308" s="5" t="s">
        <v>1079</v>
      </c>
      <c r="H308" s="3" t="s">
        <v>3353</v>
      </c>
      <c r="I308" s="6"/>
      <c r="J308" s="6"/>
      <c r="K308" s="6"/>
      <c r="L308" s="6"/>
      <c r="M308" s="7" t="s">
        <v>4850</v>
      </c>
      <c r="N308" s="8" t="str">
        <f>IF(Caja_Arequipa[[#This Row],[TIPO DE R.]]="R","001-"&amp;12002+B308,N307)</f>
        <v>001-12306</v>
      </c>
      <c r="O308" s="8" t="str">
        <f t="shared" si="25"/>
        <v>PEN</v>
      </c>
      <c r="P308" s="13"/>
      <c r="Q308" s="13">
        <v>179</v>
      </c>
      <c r="R308" s="3">
        <f t="shared" si="22"/>
        <v>0</v>
      </c>
      <c r="S308" s="3">
        <f t="shared" si="23"/>
        <v>179</v>
      </c>
      <c r="T308" s="3">
        <f t="shared" si="24"/>
        <v>437.60000000000025</v>
      </c>
      <c r="U308" s="24" t="s">
        <v>1081</v>
      </c>
      <c r="V308" s="24"/>
      <c r="W308" s="3"/>
      <c r="X308" s="3" t="s">
        <v>3353</v>
      </c>
      <c r="Y308" s="3" t="s">
        <v>4851</v>
      </c>
      <c r="Z308" s="3"/>
      <c r="AA308" s="3"/>
      <c r="AB308" s="3"/>
      <c r="AC308" s="3" t="str">
        <f>IF(Caja_Arequipa[[#This Row],[FECHA]]&gt;0,TEXT(Caja_Arequipa[[#This Row],[FECHA]],"mmmm"),0)</f>
        <v>Abril</v>
      </c>
    </row>
    <row r="309" spans="2:29" x14ac:dyDescent="0.3">
      <c r="B309" s="2">
        <f>IF(Caja_Arequipa[[#This Row],[TIPO DE R.]]="R",COUNTIFS($D$4:$D308,"R")+1,"")</f>
        <v>305</v>
      </c>
      <c r="C309" s="19" t="str">
        <f t="shared" si="21"/>
        <v>C-Tesoreria</v>
      </c>
      <c r="D309" s="3" t="s">
        <v>1074</v>
      </c>
      <c r="E309" s="14">
        <v>45762</v>
      </c>
      <c r="F309" s="5" t="s">
        <v>1158</v>
      </c>
      <c r="G309" s="5" t="s">
        <v>1079</v>
      </c>
      <c r="H309" s="3" t="s">
        <v>4353</v>
      </c>
      <c r="I309" s="6"/>
      <c r="J309" s="6"/>
      <c r="K309" s="6"/>
      <c r="L309" s="6"/>
      <c r="M309" s="7" t="s">
        <v>4852</v>
      </c>
      <c r="N309" s="8" t="str">
        <f>IF(Caja_Arequipa[[#This Row],[TIPO DE R.]]="R","001-"&amp;12002+B309,N308)</f>
        <v>001-12307</v>
      </c>
      <c r="O309" s="8" t="str">
        <f t="shared" si="25"/>
        <v>PEN</v>
      </c>
      <c r="P309" s="13"/>
      <c r="Q309" s="13">
        <v>103.7</v>
      </c>
      <c r="R309" s="3">
        <f t="shared" si="22"/>
        <v>0</v>
      </c>
      <c r="S309" s="3">
        <f t="shared" si="23"/>
        <v>103.7</v>
      </c>
      <c r="T309" s="3">
        <f t="shared" si="24"/>
        <v>333.90000000000026</v>
      </c>
      <c r="U309" s="24" t="s">
        <v>1081</v>
      </c>
      <c r="V309" s="24"/>
      <c r="W309" s="3"/>
      <c r="X309" s="3" t="s">
        <v>4353</v>
      </c>
      <c r="Y309" s="3" t="s">
        <v>4853</v>
      </c>
      <c r="Z309" s="3"/>
      <c r="AA309" s="3"/>
      <c r="AB309" s="3"/>
      <c r="AC309" s="3" t="str">
        <f>IF(Caja_Arequipa[[#This Row],[FECHA]]&gt;0,TEXT(Caja_Arequipa[[#This Row],[FECHA]],"mmmm"),0)</f>
        <v>Abril</v>
      </c>
    </row>
    <row r="310" spans="2:29" x14ac:dyDescent="0.3">
      <c r="B310" s="2">
        <f>IF(Caja_Arequipa[[#This Row],[TIPO DE R.]]="R",COUNTIFS($D$4:$D309,"R")+1,"")</f>
        <v>306</v>
      </c>
      <c r="C310" s="19" t="str">
        <f t="shared" si="21"/>
        <v>C-Tesoreria</v>
      </c>
      <c r="D310" s="3" t="s">
        <v>1074</v>
      </c>
      <c r="E310" s="14">
        <v>45763</v>
      </c>
      <c r="F310" s="5" t="s">
        <v>1158</v>
      </c>
      <c r="G310" s="5" t="s">
        <v>1079</v>
      </c>
      <c r="H310" s="3" t="s">
        <v>3532</v>
      </c>
      <c r="I310" s="6"/>
      <c r="J310" s="6"/>
      <c r="K310" s="6"/>
      <c r="L310" s="6"/>
      <c r="M310" s="7" t="s">
        <v>4854</v>
      </c>
      <c r="N310" s="8" t="str">
        <f>IF(Caja_Arequipa[[#This Row],[TIPO DE R.]]="R","001-"&amp;12002+B310,N309)</f>
        <v>001-12308</v>
      </c>
      <c r="O310" s="8" t="str">
        <f t="shared" si="25"/>
        <v>PEN</v>
      </c>
      <c r="P310" s="13"/>
      <c r="Q310" s="13">
        <v>157.6</v>
      </c>
      <c r="R310" s="3">
        <f t="shared" si="22"/>
        <v>0</v>
      </c>
      <c r="S310" s="3">
        <f t="shared" si="23"/>
        <v>157.6</v>
      </c>
      <c r="T310" s="3">
        <f t="shared" si="24"/>
        <v>176.30000000000027</v>
      </c>
      <c r="U310" s="24" t="s">
        <v>1081</v>
      </c>
      <c r="V310" s="24"/>
      <c r="W310" s="3"/>
      <c r="X310" s="3" t="s">
        <v>3532</v>
      </c>
      <c r="Y310" s="3" t="s">
        <v>4855</v>
      </c>
      <c r="Z310" s="3"/>
      <c r="AA310" s="3"/>
      <c r="AB310" s="3"/>
      <c r="AC310" s="3" t="str">
        <f>IF(Caja_Arequipa[[#This Row],[FECHA]]&gt;0,TEXT(Caja_Arequipa[[#This Row],[FECHA]],"mmmm"),0)</f>
        <v>Abril</v>
      </c>
    </row>
    <row r="311" spans="2:29" x14ac:dyDescent="0.3">
      <c r="B311" s="2">
        <f>IF(Caja_Arequipa[[#This Row],[TIPO DE R.]]="R",COUNTIFS($D$4:$D310,"R")+1,"")</f>
        <v>307</v>
      </c>
      <c r="C311" s="19" t="str">
        <f t="shared" si="21"/>
        <v>C-Tesoreria</v>
      </c>
      <c r="D311" s="3" t="s">
        <v>1074</v>
      </c>
      <c r="E311" s="14">
        <v>45763</v>
      </c>
      <c r="F311" s="5" t="s">
        <v>1158</v>
      </c>
      <c r="G311" s="5" t="s">
        <v>1087</v>
      </c>
      <c r="H311" s="3" t="s">
        <v>3353</v>
      </c>
      <c r="I311" s="6"/>
      <c r="J311" s="6"/>
      <c r="K311" s="6"/>
      <c r="L311" s="6"/>
      <c r="M311" s="7" t="s">
        <v>4856</v>
      </c>
      <c r="N311" s="8" t="str">
        <f>IF(Caja_Arequipa[[#This Row],[TIPO DE R.]]="R","001-"&amp;12002+B311,N310)</f>
        <v>001-12309</v>
      </c>
      <c r="O311" s="8" t="str">
        <f t="shared" si="25"/>
        <v>PEN</v>
      </c>
      <c r="P311" s="13"/>
      <c r="Q311" s="13">
        <v>1967.1</v>
      </c>
      <c r="R311" s="3">
        <f t="shared" si="22"/>
        <v>1967.1</v>
      </c>
      <c r="S311" s="3">
        <f t="shared" si="23"/>
        <v>0</v>
      </c>
      <c r="T311" s="3">
        <f t="shared" si="24"/>
        <v>2143.4</v>
      </c>
      <c r="U311" s="24"/>
      <c r="V311" s="24"/>
      <c r="W311" s="3"/>
      <c r="X311" s="3" t="s">
        <v>3353</v>
      </c>
      <c r="Y311" s="3"/>
      <c r="Z311" s="3"/>
      <c r="AA311" s="3"/>
      <c r="AB311" s="3"/>
      <c r="AC311" s="3" t="str">
        <f>IF(Caja_Arequipa[[#This Row],[FECHA]]&gt;0,TEXT(Caja_Arequipa[[#This Row],[FECHA]],"mmmm"),0)</f>
        <v>Abril</v>
      </c>
    </row>
    <row r="312" spans="2:29" x14ac:dyDescent="0.3">
      <c r="B312" s="2">
        <f>IF(Caja_Arequipa[[#This Row],[TIPO DE R.]]="R",COUNTIFS($D$4:$D311,"R")+1,"")</f>
        <v>308</v>
      </c>
      <c r="C312" s="19" t="str">
        <f t="shared" si="21"/>
        <v>C-Tesoreria</v>
      </c>
      <c r="D312" s="3" t="s">
        <v>1074</v>
      </c>
      <c r="E312" s="14">
        <v>45763</v>
      </c>
      <c r="F312" s="5" t="s">
        <v>1158</v>
      </c>
      <c r="G312" s="5" t="s">
        <v>1087</v>
      </c>
      <c r="H312" s="3" t="s">
        <v>3353</v>
      </c>
      <c r="I312" s="6"/>
      <c r="J312" s="6"/>
      <c r="K312" s="6"/>
      <c r="L312" s="6"/>
      <c r="M312" s="7" t="s">
        <v>4394</v>
      </c>
      <c r="N312" s="8" t="str">
        <f>IF(Caja_Arequipa[[#This Row],[TIPO DE R.]]="R","001-"&amp;12002+B312,N311)</f>
        <v>001-12310</v>
      </c>
      <c r="O312" s="8" t="str">
        <f t="shared" si="25"/>
        <v>PEN</v>
      </c>
      <c r="P312" s="13"/>
      <c r="Q312" s="13">
        <v>2900</v>
      </c>
      <c r="R312" s="3">
        <f t="shared" si="22"/>
        <v>2900</v>
      </c>
      <c r="S312" s="3">
        <f t="shared" si="23"/>
        <v>0</v>
      </c>
      <c r="T312" s="3">
        <f t="shared" si="24"/>
        <v>5043.3999999999996</v>
      </c>
      <c r="U312" s="24"/>
      <c r="V312" s="24"/>
      <c r="W312" s="3"/>
      <c r="X312" s="3" t="s">
        <v>3353</v>
      </c>
      <c r="Y312" s="3"/>
      <c r="Z312" s="3"/>
      <c r="AA312" s="3"/>
      <c r="AB312" s="3"/>
      <c r="AC312" s="3" t="str">
        <f>IF(Caja_Arequipa[[#This Row],[FECHA]]&gt;0,TEXT(Caja_Arequipa[[#This Row],[FECHA]],"mmmm"),0)</f>
        <v>Abril</v>
      </c>
    </row>
    <row r="313" spans="2:29" ht="24" x14ac:dyDescent="0.3">
      <c r="B313" s="2">
        <f>IF(Caja_Arequipa[[#This Row],[TIPO DE R.]]="R",COUNTIFS($D$4:$D312,"R")+1,"")</f>
        <v>309</v>
      </c>
      <c r="C313" s="19" t="str">
        <f t="shared" si="21"/>
        <v>C-Tesoreria</v>
      </c>
      <c r="D313" s="3" t="s">
        <v>1074</v>
      </c>
      <c r="E313" s="14">
        <v>45763</v>
      </c>
      <c r="F313" s="5" t="s">
        <v>1158</v>
      </c>
      <c r="G313" s="5" t="s">
        <v>1079</v>
      </c>
      <c r="H313" s="3" t="s">
        <v>4433</v>
      </c>
      <c r="I313" s="6"/>
      <c r="J313" s="6"/>
      <c r="K313" s="6"/>
      <c r="L313" s="6"/>
      <c r="M313" s="7" t="s">
        <v>4857</v>
      </c>
      <c r="N313" s="8" t="str">
        <f>IF(Caja_Arequipa[[#This Row],[TIPO DE R.]]="R","001-"&amp;12002+B313,N312)</f>
        <v>001-12311</v>
      </c>
      <c r="O313" s="8" t="str">
        <f t="shared" si="25"/>
        <v>PEN</v>
      </c>
      <c r="P313" s="13"/>
      <c r="Q313" s="13">
        <v>172</v>
      </c>
      <c r="R313" s="3">
        <f t="shared" si="22"/>
        <v>0</v>
      </c>
      <c r="S313" s="3">
        <f t="shared" si="23"/>
        <v>172</v>
      </c>
      <c r="T313" s="3">
        <f t="shared" si="24"/>
        <v>4871.3999999999996</v>
      </c>
      <c r="U313" s="24" t="s">
        <v>1081</v>
      </c>
      <c r="V313" s="24"/>
      <c r="W313" s="3"/>
      <c r="X313" s="3" t="s">
        <v>4433</v>
      </c>
      <c r="Y313" s="3" t="s">
        <v>4858</v>
      </c>
      <c r="Z313" s="3"/>
      <c r="AA313" s="3"/>
      <c r="AB313" s="3"/>
      <c r="AC313" s="3" t="str">
        <f>IF(Caja_Arequipa[[#This Row],[FECHA]]&gt;0,TEXT(Caja_Arequipa[[#This Row],[FECHA]],"mmmm"),0)</f>
        <v>Abril</v>
      </c>
    </row>
    <row r="314" spans="2:29" ht="24" x14ac:dyDescent="0.3">
      <c r="B314" s="2">
        <f>IF(Caja_Arequipa[[#This Row],[TIPO DE R.]]="R",COUNTIFS($D$4:$D313,"R")+1,"")</f>
        <v>310</v>
      </c>
      <c r="C314" s="19" t="str">
        <f t="shared" si="21"/>
        <v>C-Tesoreria</v>
      </c>
      <c r="D314" s="3" t="s">
        <v>1074</v>
      </c>
      <c r="E314" s="14">
        <v>45768</v>
      </c>
      <c r="F314" s="5" t="s">
        <v>1158</v>
      </c>
      <c r="G314" s="5" t="s">
        <v>1079</v>
      </c>
      <c r="H314" s="3" t="s">
        <v>4303</v>
      </c>
      <c r="I314" s="6"/>
      <c r="J314" s="6"/>
      <c r="K314" s="6"/>
      <c r="L314" s="6"/>
      <c r="M314" s="7" t="s">
        <v>4859</v>
      </c>
      <c r="N314" s="8" t="str">
        <f>IF(Caja_Arequipa[[#This Row],[TIPO DE R.]]="R","001-"&amp;12002+B314,N313)</f>
        <v>001-12312</v>
      </c>
      <c r="O314" s="8" t="str">
        <f t="shared" si="25"/>
        <v>PEN</v>
      </c>
      <c r="P314" s="13"/>
      <c r="Q314" s="13">
        <v>320</v>
      </c>
      <c r="R314" s="3">
        <f t="shared" si="22"/>
        <v>0</v>
      </c>
      <c r="S314" s="3">
        <f t="shared" si="23"/>
        <v>320</v>
      </c>
      <c r="T314" s="3">
        <f t="shared" si="24"/>
        <v>4551.3999999999996</v>
      </c>
      <c r="U314" s="24"/>
      <c r="V314" s="24"/>
      <c r="W314" s="3"/>
      <c r="X314" s="3" t="s">
        <v>4303</v>
      </c>
      <c r="Y314" s="3" t="s">
        <v>4860</v>
      </c>
      <c r="Z314" s="3"/>
      <c r="AA314" s="3"/>
      <c r="AB314" s="3"/>
      <c r="AC314" s="3" t="str">
        <f>IF(Caja_Arequipa[[#This Row],[FECHA]]&gt;0,TEXT(Caja_Arequipa[[#This Row],[FECHA]],"mmmm"),0)</f>
        <v>Abril</v>
      </c>
    </row>
    <row r="315" spans="2:29" ht="24" x14ac:dyDescent="0.3">
      <c r="B315" s="2">
        <f>IF(Caja_Arequipa[[#This Row],[TIPO DE R.]]="R",COUNTIFS($D$4:$D314,"R")+1,"")</f>
        <v>311</v>
      </c>
      <c r="C315" s="19" t="str">
        <f t="shared" si="21"/>
        <v>C-Tesoreria</v>
      </c>
      <c r="D315" s="3" t="s">
        <v>1074</v>
      </c>
      <c r="E315" s="14">
        <v>45768</v>
      </c>
      <c r="F315" s="5" t="s">
        <v>1158</v>
      </c>
      <c r="G315" s="5" t="s">
        <v>1079</v>
      </c>
      <c r="H315" s="3" t="s">
        <v>3532</v>
      </c>
      <c r="I315" s="6"/>
      <c r="J315" s="6"/>
      <c r="K315" s="6"/>
      <c r="L315" s="6"/>
      <c r="M315" s="7" t="s">
        <v>4861</v>
      </c>
      <c r="N315" s="8" t="str">
        <f>IF(Caja_Arequipa[[#This Row],[TIPO DE R.]]="R","001-"&amp;12002+B315,N314)</f>
        <v>001-12313</v>
      </c>
      <c r="O315" s="8" t="str">
        <f t="shared" si="25"/>
        <v>PEN</v>
      </c>
      <c r="P315" s="13"/>
      <c r="Q315" s="13">
        <v>148</v>
      </c>
      <c r="R315" s="3">
        <f t="shared" si="22"/>
        <v>0</v>
      </c>
      <c r="S315" s="3">
        <f t="shared" si="23"/>
        <v>148</v>
      </c>
      <c r="T315" s="3">
        <f t="shared" si="24"/>
        <v>4403.3999999999996</v>
      </c>
      <c r="U315" s="24" t="s">
        <v>1081</v>
      </c>
      <c r="V315" s="24"/>
      <c r="W315" s="3"/>
      <c r="X315" s="3" t="s">
        <v>3532</v>
      </c>
      <c r="Y315" s="3" t="s">
        <v>4862</v>
      </c>
      <c r="Z315" s="3"/>
      <c r="AA315" s="3"/>
      <c r="AB315" s="3"/>
      <c r="AC315" s="3" t="str">
        <f>IF(Caja_Arequipa[[#This Row],[FECHA]]&gt;0,TEXT(Caja_Arequipa[[#This Row],[FECHA]],"mmmm"),0)</f>
        <v>Abril</v>
      </c>
    </row>
    <row r="316" spans="2:29" x14ac:dyDescent="0.3">
      <c r="B316" s="2">
        <f>IF(Caja_Arequipa[[#This Row],[TIPO DE R.]]="R",COUNTIFS($D$4:$D315,"R")+1,"")</f>
        <v>312</v>
      </c>
      <c r="C316" s="19" t="str">
        <f t="shared" si="21"/>
        <v>C-Tesoreria</v>
      </c>
      <c r="D316" s="3" t="s">
        <v>1074</v>
      </c>
      <c r="E316" s="14">
        <v>45769</v>
      </c>
      <c r="F316" s="5" t="s">
        <v>1082</v>
      </c>
      <c r="G316" s="5" t="s">
        <v>1079</v>
      </c>
      <c r="H316" s="3" t="s">
        <v>4501</v>
      </c>
      <c r="I316" s="6"/>
      <c r="J316" s="6"/>
      <c r="K316" s="6"/>
      <c r="L316" s="6"/>
      <c r="M316" s="7" t="s">
        <v>4863</v>
      </c>
      <c r="N316" s="8" t="str">
        <f>IF(Caja_Arequipa[[#This Row],[TIPO DE R.]]="R","001-"&amp;12002+B316,N315)</f>
        <v>001-12314</v>
      </c>
      <c r="O316" s="8" t="str">
        <f t="shared" si="25"/>
        <v>PEN</v>
      </c>
      <c r="P316" s="13"/>
      <c r="Q316" s="13">
        <v>19</v>
      </c>
      <c r="R316" s="3">
        <f t="shared" si="22"/>
        <v>0</v>
      </c>
      <c r="S316" s="3">
        <f t="shared" si="23"/>
        <v>19</v>
      </c>
      <c r="T316" s="3">
        <f t="shared" si="24"/>
        <v>4384.3999999999996</v>
      </c>
      <c r="U316" s="24" t="s">
        <v>1081</v>
      </c>
      <c r="V316" s="24"/>
      <c r="W316" s="3"/>
      <c r="X316" s="3" t="s">
        <v>4501</v>
      </c>
      <c r="Y316" s="3" t="s">
        <v>4864</v>
      </c>
      <c r="Z316" s="3"/>
      <c r="AA316" s="3"/>
      <c r="AB316" s="3"/>
      <c r="AC316" s="3" t="str">
        <f>IF(Caja_Arequipa[[#This Row],[FECHA]]&gt;0,TEXT(Caja_Arequipa[[#This Row],[FECHA]],"mmmm"),0)</f>
        <v>Abril</v>
      </c>
    </row>
    <row r="317" spans="2:29" ht="36" x14ac:dyDescent="0.3">
      <c r="B317" s="2">
        <f>IF(Caja_Arequipa[[#This Row],[TIPO DE R.]]="R",COUNTIFS($D$4:$D316,"R")+1,"")</f>
        <v>313</v>
      </c>
      <c r="C317" s="19" t="str">
        <f t="shared" si="21"/>
        <v>C-Tesoreria</v>
      </c>
      <c r="D317" s="3" t="s">
        <v>1074</v>
      </c>
      <c r="E317" s="14">
        <v>45769</v>
      </c>
      <c r="F317" s="5" t="s">
        <v>1082</v>
      </c>
      <c r="G317" s="5" t="s">
        <v>1079</v>
      </c>
      <c r="H317" s="3" t="s">
        <v>4501</v>
      </c>
      <c r="I317" s="6"/>
      <c r="J317" s="6"/>
      <c r="K317" s="6"/>
      <c r="L317" s="6"/>
      <c r="M317" s="7" t="s">
        <v>4865</v>
      </c>
      <c r="N317" s="8" t="str">
        <f>IF(Caja_Arequipa[[#This Row],[TIPO DE R.]]="R","001-"&amp;12002+B317,N316)</f>
        <v>001-12315</v>
      </c>
      <c r="O317" s="8" t="str">
        <f t="shared" si="25"/>
        <v>PEN</v>
      </c>
      <c r="P317" s="13"/>
      <c r="Q317" s="13">
        <v>10</v>
      </c>
      <c r="R317" s="3">
        <f t="shared" si="22"/>
        <v>0</v>
      </c>
      <c r="S317" s="3">
        <f t="shared" si="23"/>
        <v>10</v>
      </c>
      <c r="T317" s="3">
        <f t="shared" si="24"/>
        <v>4374.3999999999996</v>
      </c>
      <c r="U317" s="24" t="s">
        <v>1081</v>
      </c>
      <c r="V317" s="24"/>
      <c r="W317" s="3"/>
      <c r="X317" s="3" t="s">
        <v>4501</v>
      </c>
      <c r="Y317" s="3" t="s">
        <v>4866</v>
      </c>
      <c r="Z317" s="3"/>
      <c r="AA317" s="3"/>
      <c r="AB317" s="3"/>
      <c r="AC317" s="3" t="str">
        <f>IF(Caja_Arequipa[[#This Row],[FECHA]]&gt;0,TEXT(Caja_Arequipa[[#This Row],[FECHA]],"mmmm"),0)</f>
        <v>Abril</v>
      </c>
    </row>
    <row r="318" spans="2:29" x14ac:dyDescent="0.3">
      <c r="B318" s="2">
        <f>IF(Caja_Arequipa[[#This Row],[TIPO DE R.]]="R",COUNTIFS($D$4:$D317,"R")+1,"")</f>
        <v>314</v>
      </c>
      <c r="C318" s="19" t="str">
        <f t="shared" si="21"/>
        <v>C-Tesoreria</v>
      </c>
      <c r="D318" s="3" t="s">
        <v>1074</v>
      </c>
      <c r="E318" s="14">
        <v>45769</v>
      </c>
      <c r="F318" s="5" t="s">
        <v>1082</v>
      </c>
      <c r="G318" s="5" t="s">
        <v>1079</v>
      </c>
      <c r="H318" s="3" t="s">
        <v>4305</v>
      </c>
      <c r="I318" s="6"/>
      <c r="J318" s="6"/>
      <c r="K318" s="6"/>
      <c r="L318" s="6"/>
      <c r="M318" s="7" t="s">
        <v>4863</v>
      </c>
      <c r="N318" s="8" t="str">
        <f>IF(Caja_Arequipa[[#This Row],[TIPO DE R.]]="R","001-"&amp;12002+B318,N317)</f>
        <v>001-12316</v>
      </c>
      <c r="O318" s="8" t="str">
        <f t="shared" si="25"/>
        <v>PEN</v>
      </c>
      <c r="P318" s="13"/>
      <c r="Q318" s="13">
        <v>22</v>
      </c>
      <c r="R318" s="3">
        <f t="shared" si="22"/>
        <v>0</v>
      </c>
      <c r="S318" s="3">
        <f t="shared" si="23"/>
        <v>22</v>
      </c>
      <c r="T318" s="3">
        <f t="shared" si="24"/>
        <v>4352.3999999999996</v>
      </c>
      <c r="U318" s="24" t="s">
        <v>1081</v>
      </c>
      <c r="V318" s="24"/>
      <c r="W318" s="3"/>
      <c r="X318" s="3" t="s">
        <v>4305</v>
      </c>
      <c r="Y318" s="3" t="s">
        <v>4867</v>
      </c>
      <c r="Z318" s="3"/>
      <c r="AA318" s="3"/>
      <c r="AB318" s="3"/>
      <c r="AC318" s="3" t="str">
        <f>IF(Caja_Arequipa[[#This Row],[FECHA]]&gt;0,TEXT(Caja_Arequipa[[#This Row],[FECHA]],"mmmm"),0)</f>
        <v>Abril</v>
      </c>
    </row>
    <row r="319" spans="2:29" ht="24" x14ac:dyDescent="0.3">
      <c r="B319" s="2">
        <f>IF(Caja_Arequipa[[#This Row],[TIPO DE R.]]="R",COUNTIFS($D$4:$D318,"R")+1,"")</f>
        <v>315</v>
      </c>
      <c r="C319" s="19" t="str">
        <f t="shared" si="21"/>
        <v>C-Tesoreria</v>
      </c>
      <c r="D319" s="3" t="s">
        <v>1074</v>
      </c>
      <c r="E319" s="14">
        <v>45770</v>
      </c>
      <c r="F319" s="5" t="s">
        <v>1158</v>
      </c>
      <c r="G319" s="5" t="s">
        <v>1079</v>
      </c>
      <c r="H319" s="3" t="s">
        <v>4334</v>
      </c>
      <c r="I319" s="6"/>
      <c r="J319" s="6" t="s">
        <v>74</v>
      </c>
      <c r="K319" s="6">
        <v>1</v>
      </c>
      <c r="L319" s="6"/>
      <c r="M319" s="7" t="s">
        <v>4868</v>
      </c>
      <c r="N319" s="8" t="str">
        <f>IF(Caja_Arequipa[[#This Row],[TIPO DE R.]]="R","001-"&amp;12002+B319,N318)</f>
        <v>001-12317</v>
      </c>
      <c r="O319" s="8" t="str">
        <f t="shared" si="25"/>
        <v>PEN</v>
      </c>
      <c r="P319" s="13"/>
      <c r="Q319" s="13">
        <v>50</v>
      </c>
      <c r="R319" s="3">
        <f t="shared" si="22"/>
        <v>0</v>
      </c>
      <c r="S319" s="3">
        <f t="shared" si="23"/>
        <v>50</v>
      </c>
      <c r="T319" s="3">
        <f t="shared" si="24"/>
        <v>4302.3999999999996</v>
      </c>
      <c r="U319" s="24"/>
      <c r="V319" s="24"/>
      <c r="W319" s="3"/>
      <c r="X319" s="3" t="s">
        <v>4334</v>
      </c>
      <c r="Y319" s="3" t="s">
        <v>75</v>
      </c>
      <c r="Z319" s="3"/>
      <c r="AA319" s="3"/>
      <c r="AB319" s="3"/>
      <c r="AC319" s="3" t="str">
        <f>IF(Caja_Arequipa[[#This Row],[FECHA]]&gt;0,TEXT(Caja_Arequipa[[#This Row],[FECHA]],"mmmm"),0)</f>
        <v>Abril</v>
      </c>
    </row>
    <row r="320" spans="2:29" x14ac:dyDescent="0.3">
      <c r="B320" s="2">
        <f>IF(Caja_Arequipa[[#This Row],[TIPO DE R.]]="R",COUNTIFS($D$4:$D319,"R")+1,"")</f>
        <v>316</v>
      </c>
      <c r="C320" s="19" t="str">
        <f t="shared" si="21"/>
        <v>C-Tesoreria</v>
      </c>
      <c r="D320" s="3" t="s">
        <v>1074</v>
      </c>
      <c r="E320" s="14">
        <v>45770</v>
      </c>
      <c r="F320" s="5" t="s">
        <v>1082</v>
      </c>
      <c r="G320" s="5" t="s">
        <v>1079</v>
      </c>
      <c r="H320" s="3" t="s">
        <v>3562</v>
      </c>
      <c r="I320" s="6"/>
      <c r="J320" s="6"/>
      <c r="K320" s="6"/>
      <c r="L320" s="6"/>
      <c r="M320" s="7" t="s">
        <v>4869</v>
      </c>
      <c r="N320" s="8" t="str">
        <f>IF(Caja_Arequipa[[#This Row],[TIPO DE R.]]="R","001-"&amp;12002+B320,N319)</f>
        <v>001-12318</v>
      </c>
      <c r="O320" s="8" t="str">
        <f t="shared" si="25"/>
        <v>PEN</v>
      </c>
      <c r="P320" s="13"/>
      <c r="Q320" s="13">
        <v>10</v>
      </c>
      <c r="R320" s="3">
        <f t="shared" si="22"/>
        <v>0</v>
      </c>
      <c r="S320" s="3">
        <f t="shared" si="23"/>
        <v>10</v>
      </c>
      <c r="T320" s="3">
        <f t="shared" si="24"/>
        <v>4292.3999999999996</v>
      </c>
      <c r="U320" s="24" t="s">
        <v>1081</v>
      </c>
      <c r="V320" s="24"/>
      <c r="W320" s="3"/>
      <c r="X320" s="3" t="s">
        <v>3562</v>
      </c>
      <c r="Y320" s="3" t="s">
        <v>4870</v>
      </c>
      <c r="Z320" s="3"/>
      <c r="AA320" s="3"/>
      <c r="AB320" s="3"/>
      <c r="AC320" s="3" t="str">
        <f>IF(Caja_Arequipa[[#This Row],[FECHA]]&gt;0,TEXT(Caja_Arequipa[[#This Row],[FECHA]],"mmmm"),0)</f>
        <v>Abril</v>
      </c>
    </row>
    <row r="321" spans="2:29" x14ac:dyDescent="0.3">
      <c r="B321" s="2">
        <f>IF(Caja_Arequipa[[#This Row],[TIPO DE R.]]="R",COUNTIFS($D$4:$D320,"R")+1,"")</f>
        <v>317</v>
      </c>
      <c r="C321" s="19" t="str">
        <f t="shared" si="21"/>
        <v>C-Tesoreria</v>
      </c>
      <c r="D321" s="3" t="s">
        <v>1074</v>
      </c>
      <c r="E321" s="14">
        <v>45771</v>
      </c>
      <c r="F321" s="5" t="s">
        <v>1082</v>
      </c>
      <c r="G321" s="5" t="s">
        <v>1079</v>
      </c>
      <c r="H321" s="3" t="s">
        <v>4501</v>
      </c>
      <c r="I321" s="6"/>
      <c r="J321" s="6"/>
      <c r="K321" s="6"/>
      <c r="L321" s="6"/>
      <c r="M321" s="7" t="s">
        <v>4871</v>
      </c>
      <c r="N321" s="8" t="str">
        <f>IF(Caja_Arequipa[[#This Row],[TIPO DE R.]]="R","001-"&amp;12002+B321,N320)</f>
        <v>001-12319</v>
      </c>
      <c r="O321" s="8" t="str">
        <f t="shared" si="25"/>
        <v>PEN</v>
      </c>
      <c r="P321" s="13"/>
      <c r="Q321" s="13">
        <v>20</v>
      </c>
      <c r="R321" s="3">
        <f t="shared" si="22"/>
        <v>0</v>
      </c>
      <c r="S321" s="3">
        <f t="shared" si="23"/>
        <v>20</v>
      </c>
      <c r="T321" s="3">
        <f t="shared" si="24"/>
        <v>4272.3999999999996</v>
      </c>
      <c r="U321" s="24" t="s">
        <v>1081</v>
      </c>
      <c r="V321" s="24"/>
      <c r="W321" s="3"/>
      <c r="X321" s="3" t="s">
        <v>4501</v>
      </c>
      <c r="Y321" s="3" t="s">
        <v>4872</v>
      </c>
      <c r="Z321" s="3"/>
      <c r="AA321" s="3"/>
      <c r="AB321" s="3"/>
      <c r="AC321" s="3" t="str">
        <f>IF(Caja_Arequipa[[#This Row],[FECHA]]&gt;0,TEXT(Caja_Arequipa[[#This Row],[FECHA]],"mmmm"),0)</f>
        <v>Abril</v>
      </c>
    </row>
    <row r="322" spans="2:29" x14ac:dyDescent="0.3">
      <c r="B322" s="2">
        <f>IF(Caja_Arequipa[[#This Row],[TIPO DE R.]]="R",COUNTIFS($D$4:$D321,"R")+1,"")</f>
        <v>318</v>
      </c>
      <c r="C322" s="19" t="str">
        <f t="shared" si="21"/>
        <v>C-Tesoreria</v>
      </c>
      <c r="D322" s="3" t="s">
        <v>1074</v>
      </c>
      <c r="E322" s="14">
        <v>45771</v>
      </c>
      <c r="F322" s="5" t="s">
        <v>1082</v>
      </c>
      <c r="G322" s="5" t="s">
        <v>1079</v>
      </c>
      <c r="H322" s="3" t="s">
        <v>4501</v>
      </c>
      <c r="I322" s="6"/>
      <c r="J322" s="6"/>
      <c r="K322" s="6"/>
      <c r="L322" s="6"/>
      <c r="M322" s="7" t="s">
        <v>4871</v>
      </c>
      <c r="N322" s="8" t="str">
        <f>IF(Caja_Arequipa[[#This Row],[TIPO DE R.]]="R","001-"&amp;12002+B322,N321)</f>
        <v>001-12320</v>
      </c>
      <c r="O322" s="8" t="str">
        <f t="shared" si="25"/>
        <v>PEN</v>
      </c>
      <c r="P322" s="13"/>
      <c r="Q322" s="13">
        <v>14</v>
      </c>
      <c r="R322" s="3">
        <f t="shared" si="22"/>
        <v>0</v>
      </c>
      <c r="S322" s="3">
        <f t="shared" si="23"/>
        <v>14</v>
      </c>
      <c r="T322" s="3">
        <f t="shared" si="24"/>
        <v>4258.3999999999996</v>
      </c>
      <c r="U322" s="24" t="s">
        <v>1081</v>
      </c>
      <c r="V322" s="24"/>
      <c r="W322" s="3"/>
      <c r="X322" s="3" t="s">
        <v>4501</v>
      </c>
      <c r="Y322" s="3" t="s">
        <v>4873</v>
      </c>
      <c r="Z322" s="3"/>
      <c r="AA322" s="3"/>
      <c r="AB322" s="3"/>
      <c r="AC322" s="3" t="str">
        <f>IF(Caja_Arequipa[[#This Row],[FECHA]]&gt;0,TEXT(Caja_Arequipa[[#This Row],[FECHA]],"mmmm"),0)</f>
        <v>Abril</v>
      </c>
    </row>
    <row r="323" spans="2:29" ht="24" x14ac:dyDescent="0.3">
      <c r="B323" s="2">
        <f>IF(Caja_Arequipa[[#This Row],[TIPO DE R.]]="R",COUNTIFS($D$4:$D322,"R")+1,"")</f>
        <v>319</v>
      </c>
      <c r="C323" s="19" t="str">
        <f t="shared" si="21"/>
        <v>C-Tesoreria</v>
      </c>
      <c r="D323" s="3" t="s">
        <v>1074</v>
      </c>
      <c r="E323" s="14">
        <v>45771</v>
      </c>
      <c r="F323" s="5" t="s">
        <v>1082</v>
      </c>
      <c r="G323" s="5" t="s">
        <v>1079</v>
      </c>
      <c r="H323" s="3" t="s">
        <v>4712</v>
      </c>
      <c r="I323" s="6"/>
      <c r="J323" s="6"/>
      <c r="K323" s="6"/>
      <c r="L323" s="6"/>
      <c r="M323" s="7" t="s">
        <v>4874</v>
      </c>
      <c r="N323" s="8" t="str">
        <f>IF(Caja_Arequipa[[#This Row],[TIPO DE R.]]="R","001-"&amp;12002+B323,N322)</f>
        <v>001-12321</v>
      </c>
      <c r="O323" s="8" t="str">
        <f t="shared" si="25"/>
        <v>PEN</v>
      </c>
      <c r="P323" s="13"/>
      <c r="Q323" s="13">
        <v>320</v>
      </c>
      <c r="R323" s="3">
        <f t="shared" si="22"/>
        <v>0</v>
      </c>
      <c r="S323" s="3">
        <f t="shared" si="23"/>
        <v>320</v>
      </c>
      <c r="T323" s="3">
        <f t="shared" si="24"/>
        <v>3938.3999999999996</v>
      </c>
      <c r="U323" s="24" t="s">
        <v>1081</v>
      </c>
      <c r="V323" s="24"/>
      <c r="W323" s="3"/>
      <c r="X323" s="3" t="s">
        <v>4712</v>
      </c>
      <c r="Y323" s="3" t="s">
        <v>4875</v>
      </c>
      <c r="Z323" s="3"/>
      <c r="AA323" s="3"/>
      <c r="AB323" s="3"/>
      <c r="AC323" s="3" t="str">
        <f>IF(Caja_Arequipa[[#This Row],[FECHA]]&gt;0,TEXT(Caja_Arequipa[[#This Row],[FECHA]],"mmmm"),0)</f>
        <v>Abril</v>
      </c>
    </row>
    <row r="324" spans="2:29" x14ac:dyDescent="0.3">
      <c r="B324" s="2">
        <f>IF(Caja_Arequipa[[#This Row],[TIPO DE R.]]="R",COUNTIFS($D$4:$D323,"R")+1,"")</f>
        <v>320</v>
      </c>
      <c r="C324" s="19" t="str">
        <f t="shared" si="21"/>
        <v>C-Tesoreria</v>
      </c>
      <c r="D324" s="3" t="s">
        <v>1074</v>
      </c>
      <c r="E324" s="14">
        <v>45772</v>
      </c>
      <c r="F324" s="5" t="s">
        <v>1158</v>
      </c>
      <c r="G324" s="5" t="s">
        <v>1079</v>
      </c>
      <c r="H324" s="3" t="s">
        <v>4305</v>
      </c>
      <c r="I324" s="6"/>
      <c r="J324" s="6"/>
      <c r="K324" s="6"/>
      <c r="L324" s="6"/>
      <c r="M324" s="7" t="s">
        <v>4876</v>
      </c>
      <c r="N324" s="8" t="str">
        <f>IF(Caja_Arequipa[[#This Row],[TIPO DE R.]]="R","001-"&amp;12002+B324,N323)</f>
        <v>001-12322</v>
      </c>
      <c r="O324" s="8" t="str">
        <f t="shared" si="25"/>
        <v>PEN</v>
      </c>
      <c r="P324" s="13"/>
      <c r="Q324" s="13">
        <v>20</v>
      </c>
      <c r="R324" s="3">
        <f t="shared" si="22"/>
        <v>0</v>
      </c>
      <c r="S324" s="3">
        <f t="shared" si="23"/>
        <v>20</v>
      </c>
      <c r="T324" s="3">
        <f t="shared" si="24"/>
        <v>3918.3999999999996</v>
      </c>
      <c r="U324" s="24" t="s">
        <v>1081</v>
      </c>
      <c r="V324" s="24"/>
      <c r="W324" s="3"/>
      <c r="X324" s="3" t="s">
        <v>4305</v>
      </c>
      <c r="Y324" s="3" t="s">
        <v>4877</v>
      </c>
      <c r="Z324" s="3"/>
      <c r="AA324" s="3"/>
      <c r="AB324" s="3"/>
      <c r="AC324" s="3" t="str">
        <f>IF(Caja_Arequipa[[#This Row],[FECHA]]&gt;0,TEXT(Caja_Arequipa[[#This Row],[FECHA]],"mmmm"),0)</f>
        <v>Abril</v>
      </c>
    </row>
    <row r="325" spans="2:29" x14ac:dyDescent="0.3">
      <c r="B325" s="2">
        <f>IF(Caja_Arequipa[[#This Row],[TIPO DE R.]]="R",COUNTIFS($D$4:$D324,"R")+1,"")</f>
        <v>321</v>
      </c>
      <c r="C325" s="19" t="str">
        <f t="shared" ref="C325:C388" si="26">"C-Tesoreria"</f>
        <v>C-Tesoreria</v>
      </c>
      <c r="D325" s="3" t="s">
        <v>1074</v>
      </c>
      <c r="E325" s="14">
        <v>45772</v>
      </c>
      <c r="F325" s="5" t="s">
        <v>1158</v>
      </c>
      <c r="G325" s="5" t="s">
        <v>1079</v>
      </c>
      <c r="H325" s="3" t="s">
        <v>3016</v>
      </c>
      <c r="I325" s="6"/>
      <c r="J325" s="6"/>
      <c r="K325" s="6"/>
      <c r="L325" s="6"/>
      <c r="M325" s="7" t="s">
        <v>4878</v>
      </c>
      <c r="N325" s="8" t="str">
        <f>IF(Caja_Arequipa[[#This Row],[TIPO DE R.]]="R","001-"&amp;12002+B325,N324)</f>
        <v>001-12323</v>
      </c>
      <c r="O325" s="8" t="str">
        <f t="shared" si="25"/>
        <v>PEN</v>
      </c>
      <c r="P325" s="13"/>
      <c r="Q325" s="13">
        <v>17</v>
      </c>
      <c r="R325" s="3">
        <f t="shared" ref="R325:R388" si="27">+IF(OR($G325="SALDO",$G325="INGRESO"),$Q325,0)</f>
        <v>0</v>
      </c>
      <c r="S325" s="3">
        <f t="shared" ref="S325:S388" si="28">+IF($G325="EGRESO",$Q325,0)</f>
        <v>17</v>
      </c>
      <c r="T325" s="3">
        <f t="shared" ref="T325:T388" si="29">IFERROR(IF(G325="SALDO",R325,T324+R325-S325),0)</f>
        <v>3901.3999999999996</v>
      </c>
      <c r="U325" s="24" t="s">
        <v>1081</v>
      </c>
      <c r="V325" s="24"/>
      <c r="W325" s="3"/>
      <c r="X325" s="3" t="s">
        <v>3016</v>
      </c>
      <c r="Y325" s="3" t="s">
        <v>4879</v>
      </c>
      <c r="Z325" s="3"/>
      <c r="AA325" s="3"/>
      <c r="AB325" s="3"/>
      <c r="AC325" s="3" t="str">
        <f>IF(Caja_Arequipa[[#This Row],[FECHA]]&gt;0,TEXT(Caja_Arequipa[[#This Row],[FECHA]],"mmmm"),0)</f>
        <v>Abril</v>
      </c>
    </row>
    <row r="326" spans="2:29" x14ac:dyDescent="0.3">
      <c r="B326" s="2">
        <f>IF(Caja_Arequipa[[#This Row],[TIPO DE R.]]="R",COUNTIFS($D$4:$D325,"R")+1,"")</f>
        <v>322</v>
      </c>
      <c r="C326" s="19" t="str">
        <f t="shared" si="26"/>
        <v>C-Tesoreria</v>
      </c>
      <c r="D326" s="3" t="s">
        <v>1074</v>
      </c>
      <c r="E326" s="14">
        <v>45772</v>
      </c>
      <c r="F326" s="5" t="s">
        <v>1158</v>
      </c>
      <c r="G326" s="5" t="s">
        <v>1079</v>
      </c>
      <c r="H326" s="3" t="s">
        <v>4880</v>
      </c>
      <c r="I326" s="6"/>
      <c r="J326" s="6"/>
      <c r="K326" s="6"/>
      <c r="L326" s="6"/>
      <c r="M326" s="7" t="s">
        <v>4881</v>
      </c>
      <c r="N326" s="8" t="str">
        <f>IF(Caja_Arequipa[[#This Row],[TIPO DE R.]]="R","001-"&amp;12002+B326,N325)</f>
        <v>001-12324</v>
      </c>
      <c r="O326" s="8" t="str">
        <f t="shared" ref="O326:O392" si="30">"PEN"</f>
        <v>PEN</v>
      </c>
      <c r="P326" s="13"/>
      <c r="Q326" s="13">
        <v>100</v>
      </c>
      <c r="R326" s="3">
        <f t="shared" si="27"/>
        <v>0</v>
      </c>
      <c r="S326" s="3">
        <f t="shared" si="28"/>
        <v>100</v>
      </c>
      <c r="T326" s="3">
        <f t="shared" si="29"/>
        <v>3801.3999999999996</v>
      </c>
      <c r="U326" s="24" t="s">
        <v>1081</v>
      </c>
      <c r="V326" s="24"/>
      <c r="W326" s="3"/>
      <c r="X326" s="3" t="s">
        <v>4880</v>
      </c>
      <c r="Y326" s="3" t="s">
        <v>4882</v>
      </c>
      <c r="Z326" s="3"/>
      <c r="AA326" s="3"/>
      <c r="AB326" s="3"/>
      <c r="AC326" s="3" t="str">
        <f>IF(Caja_Arequipa[[#This Row],[FECHA]]&gt;0,TEXT(Caja_Arequipa[[#This Row],[FECHA]],"mmmm"),0)</f>
        <v>Abril</v>
      </c>
    </row>
    <row r="327" spans="2:29" ht="36" x14ac:dyDescent="0.3">
      <c r="B327" s="2">
        <f>IF(Caja_Arequipa[[#This Row],[TIPO DE R.]]="R",COUNTIFS($D$4:$D326,"R")+1,"")</f>
        <v>323</v>
      </c>
      <c r="C327" s="19" t="str">
        <f t="shared" si="26"/>
        <v>C-Tesoreria</v>
      </c>
      <c r="D327" s="3" t="s">
        <v>1074</v>
      </c>
      <c r="E327" s="14">
        <v>45772</v>
      </c>
      <c r="F327" s="5" t="s">
        <v>1158</v>
      </c>
      <c r="G327" s="5" t="s">
        <v>1079</v>
      </c>
      <c r="H327" s="3" t="s">
        <v>4329</v>
      </c>
      <c r="I327" s="6"/>
      <c r="J327" s="6"/>
      <c r="K327" s="6"/>
      <c r="L327" s="6"/>
      <c r="M327" s="7" t="s">
        <v>4883</v>
      </c>
      <c r="N327" s="8" t="str">
        <f>IF(Caja_Arequipa[[#This Row],[TIPO DE R.]]="R","001-"&amp;12002+B327,N326)</f>
        <v>001-12325</v>
      </c>
      <c r="O327" s="8" t="str">
        <f t="shared" si="30"/>
        <v>PEN</v>
      </c>
      <c r="P327" s="13"/>
      <c r="Q327" s="13">
        <v>59</v>
      </c>
      <c r="R327" s="3">
        <f t="shared" si="27"/>
        <v>0</v>
      </c>
      <c r="S327" s="3">
        <f t="shared" si="28"/>
        <v>59</v>
      </c>
      <c r="T327" s="3">
        <f t="shared" si="29"/>
        <v>3742.3999999999996</v>
      </c>
      <c r="U327" s="24" t="s">
        <v>1081</v>
      </c>
      <c r="V327" s="24"/>
      <c r="W327" s="3"/>
      <c r="X327" s="3" t="s">
        <v>4329</v>
      </c>
      <c r="Y327" s="3" t="s">
        <v>4884</v>
      </c>
      <c r="Z327" s="3"/>
      <c r="AA327" s="3"/>
      <c r="AB327" s="3"/>
      <c r="AC327" s="3" t="str">
        <f>IF(Caja_Arequipa[[#This Row],[FECHA]]&gt;0,TEXT(Caja_Arequipa[[#This Row],[FECHA]],"mmmm"),0)</f>
        <v>Abril</v>
      </c>
    </row>
    <row r="328" spans="2:29" ht="24" x14ac:dyDescent="0.3">
      <c r="B328" s="2">
        <f>IF(Caja_Arequipa[[#This Row],[TIPO DE R.]]="R",COUNTIFS($D$4:$D327,"R")+1,"")</f>
        <v>324</v>
      </c>
      <c r="C328" s="19" t="str">
        <f t="shared" si="26"/>
        <v>C-Tesoreria</v>
      </c>
      <c r="D328" s="3" t="s">
        <v>1074</v>
      </c>
      <c r="E328" s="14">
        <v>45772</v>
      </c>
      <c r="F328" s="5" t="s">
        <v>1158</v>
      </c>
      <c r="G328" s="5" t="s">
        <v>1079</v>
      </c>
      <c r="H328" s="3" t="s">
        <v>4880</v>
      </c>
      <c r="I328" s="6"/>
      <c r="J328" s="6"/>
      <c r="K328" s="6"/>
      <c r="L328" s="6"/>
      <c r="M328" s="7" t="s">
        <v>4885</v>
      </c>
      <c r="N328" s="8" t="str">
        <f>IF(Caja_Arequipa[[#This Row],[TIPO DE R.]]="R","001-"&amp;12002+B328,N327)</f>
        <v>001-12326</v>
      </c>
      <c r="O328" s="8" t="str">
        <f t="shared" si="30"/>
        <v>PEN</v>
      </c>
      <c r="P328" s="13"/>
      <c r="Q328" s="13">
        <v>80</v>
      </c>
      <c r="R328" s="3">
        <f t="shared" si="27"/>
        <v>0</v>
      </c>
      <c r="S328" s="3">
        <f t="shared" si="28"/>
        <v>80</v>
      </c>
      <c r="T328" s="3">
        <f t="shared" si="29"/>
        <v>3662.3999999999996</v>
      </c>
      <c r="U328" s="24" t="s">
        <v>1081</v>
      </c>
      <c r="V328" s="24"/>
      <c r="W328" s="3"/>
      <c r="X328" s="3" t="s">
        <v>4880</v>
      </c>
      <c r="Y328" s="3" t="s">
        <v>4886</v>
      </c>
      <c r="Z328" s="3"/>
      <c r="AA328" s="3"/>
      <c r="AB328" s="3"/>
      <c r="AC328" s="3" t="str">
        <f>IF(Caja_Arequipa[[#This Row],[FECHA]]&gt;0,TEXT(Caja_Arequipa[[#This Row],[FECHA]],"mmmm"),0)</f>
        <v>Abril</v>
      </c>
    </row>
    <row r="329" spans="2:29" ht="24" x14ac:dyDescent="0.3">
      <c r="B329" s="2">
        <f>IF(Caja_Arequipa[[#This Row],[TIPO DE R.]]="R",COUNTIFS($D$4:$D328,"R")+1,"")</f>
        <v>325</v>
      </c>
      <c r="C329" s="19" t="str">
        <f t="shared" si="26"/>
        <v>C-Tesoreria</v>
      </c>
      <c r="D329" s="3" t="s">
        <v>1074</v>
      </c>
      <c r="E329" s="14">
        <v>45772</v>
      </c>
      <c r="F329" s="5" t="s">
        <v>1158</v>
      </c>
      <c r="G329" s="5" t="s">
        <v>1079</v>
      </c>
      <c r="H329" s="3" t="s">
        <v>4880</v>
      </c>
      <c r="I329" s="6"/>
      <c r="J329" s="6"/>
      <c r="K329" s="6"/>
      <c r="L329" s="6"/>
      <c r="M329" s="7" t="s">
        <v>4887</v>
      </c>
      <c r="N329" s="8" t="str">
        <f>IF(Caja_Arequipa[[#This Row],[TIPO DE R.]]="R","001-"&amp;12002+B329,N328)</f>
        <v>001-12327</v>
      </c>
      <c r="O329" s="8" t="str">
        <f t="shared" si="30"/>
        <v>PEN</v>
      </c>
      <c r="P329" s="13"/>
      <c r="Q329" s="13">
        <v>12.9</v>
      </c>
      <c r="R329" s="3">
        <f t="shared" si="27"/>
        <v>0</v>
      </c>
      <c r="S329" s="3">
        <f t="shared" si="28"/>
        <v>12.9</v>
      </c>
      <c r="T329" s="3">
        <f t="shared" si="29"/>
        <v>3649.4999999999995</v>
      </c>
      <c r="U329" s="24" t="s">
        <v>1081</v>
      </c>
      <c r="V329" s="24"/>
      <c r="W329" s="3"/>
      <c r="X329" s="3" t="s">
        <v>4880</v>
      </c>
      <c r="Y329" s="3" t="s">
        <v>4888</v>
      </c>
      <c r="Z329" s="3"/>
      <c r="AA329" s="3"/>
      <c r="AB329" s="3"/>
      <c r="AC329" s="3" t="str">
        <f>IF(Caja_Arequipa[[#This Row],[FECHA]]&gt;0,TEXT(Caja_Arequipa[[#This Row],[FECHA]],"mmmm"),0)</f>
        <v>Abril</v>
      </c>
    </row>
    <row r="330" spans="2:29" ht="24" x14ac:dyDescent="0.3">
      <c r="B330" s="2">
        <f>IF(Caja_Arequipa[[#This Row],[TIPO DE R.]]="R",COUNTIFS($D$4:$D329,"R")+1,"")</f>
        <v>326</v>
      </c>
      <c r="C330" s="19" t="str">
        <f t="shared" si="26"/>
        <v>C-Tesoreria</v>
      </c>
      <c r="D330" s="3" t="s">
        <v>1074</v>
      </c>
      <c r="E330" s="14">
        <v>45772</v>
      </c>
      <c r="F330" s="5" t="s">
        <v>1158</v>
      </c>
      <c r="G330" s="5" t="s">
        <v>1079</v>
      </c>
      <c r="H330" s="3" t="s">
        <v>4357</v>
      </c>
      <c r="I330" s="6"/>
      <c r="J330" s="6"/>
      <c r="K330" s="6"/>
      <c r="L330" s="6"/>
      <c r="M330" s="7" t="s">
        <v>4889</v>
      </c>
      <c r="N330" s="8" t="str">
        <f>IF(Caja_Arequipa[[#This Row],[TIPO DE R.]]="R","001-"&amp;12002+B330,N329)</f>
        <v>001-12328</v>
      </c>
      <c r="O330" s="8" t="str">
        <f t="shared" si="30"/>
        <v>PEN</v>
      </c>
      <c r="P330" s="13"/>
      <c r="Q330" s="13">
        <v>39</v>
      </c>
      <c r="R330" s="3">
        <f t="shared" si="27"/>
        <v>0</v>
      </c>
      <c r="S330" s="3">
        <f t="shared" si="28"/>
        <v>39</v>
      </c>
      <c r="T330" s="3">
        <f t="shared" si="29"/>
        <v>3610.4999999999995</v>
      </c>
      <c r="U330" s="24" t="s">
        <v>1081</v>
      </c>
      <c r="V330" s="24"/>
      <c r="W330" s="3"/>
      <c r="X330" s="3" t="s">
        <v>4357</v>
      </c>
      <c r="Y330" s="3" t="s">
        <v>4890</v>
      </c>
      <c r="Z330" s="3"/>
      <c r="AA330" s="3"/>
      <c r="AB330" s="3"/>
      <c r="AC330" s="3" t="str">
        <f>IF(Caja_Arequipa[[#This Row],[FECHA]]&gt;0,TEXT(Caja_Arequipa[[#This Row],[FECHA]],"mmmm"),0)</f>
        <v>Abril</v>
      </c>
    </row>
    <row r="331" spans="2:29" ht="24" x14ac:dyDescent="0.3">
      <c r="B331" s="2">
        <f>IF(Caja_Arequipa[[#This Row],[TIPO DE R.]]="R",COUNTIFS($D$4:$D330,"R")+1,"")</f>
        <v>327</v>
      </c>
      <c r="C331" s="19" t="str">
        <f t="shared" si="26"/>
        <v>C-Tesoreria</v>
      </c>
      <c r="D331" s="3" t="s">
        <v>1074</v>
      </c>
      <c r="E331" s="14">
        <v>45772</v>
      </c>
      <c r="F331" s="5" t="s">
        <v>1158</v>
      </c>
      <c r="G331" s="5" t="s">
        <v>1079</v>
      </c>
      <c r="H331" s="3" t="s">
        <v>4303</v>
      </c>
      <c r="I331" s="6"/>
      <c r="J331" s="6"/>
      <c r="K331" s="6"/>
      <c r="L331" s="6"/>
      <c r="M331" s="7" t="s">
        <v>4891</v>
      </c>
      <c r="N331" s="8" t="str">
        <f>IF(Caja_Arequipa[[#This Row],[TIPO DE R.]]="R","001-"&amp;12002+B331,N330)</f>
        <v>001-12329</v>
      </c>
      <c r="O331" s="8" t="str">
        <f t="shared" si="30"/>
        <v>PEN</v>
      </c>
      <c r="P331" s="13"/>
      <c r="Q331" s="13">
        <v>34</v>
      </c>
      <c r="R331" s="3">
        <f t="shared" si="27"/>
        <v>0</v>
      </c>
      <c r="S331" s="3">
        <f t="shared" si="28"/>
        <v>34</v>
      </c>
      <c r="T331" s="3">
        <f t="shared" si="29"/>
        <v>3576.4999999999995</v>
      </c>
      <c r="U331" s="24" t="s">
        <v>1081</v>
      </c>
      <c r="V331" s="24"/>
      <c r="W331" s="3"/>
      <c r="X331" s="3" t="s">
        <v>4303</v>
      </c>
      <c r="Y331" s="3" t="s">
        <v>4892</v>
      </c>
      <c r="Z331" s="3"/>
      <c r="AA331" s="3"/>
      <c r="AB331" s="3"/>
      <c r="AC331" s="3" t="str">
        <f>IF(Caja_Arequipa[[#This Row],[FECHA]]&gt;0,TEXT(Caja_Arequipa[[#This Row],[FECHA]],"mmmm"),0)</f>
        <v>Abril</v>
      </c>
    </row>
    <row r="332" spans="2:29" x14ac:dyDescent="0.3">
      <c r="B332" s="2">
        <f>IF(Caja_Arequipa[[#This Row],[TIPO DE R.]]="R",COUNTIFS($D$4:$D331,"R")+1,"")</f>
        <v>328</v>
      </c>
      <c r="C332" s="19" t="str">
        <f t="shared" si="26"/>
        <v>C-Tesoreria</v>
      </c>
      <c r="D332" s="3" t="s">
        <v>1074</v>
      </c>
      <c r="E332" s="14">
        <v>45775</v>
      </c>
      <c r="F332" s="5" t="s">
        <v>1158</v>
      </c>
      <c r="G332" s="5" t="s">
        <v>1079</v>
      </c>
      <c r="H332" s="3" t="s">
        <v>4314</v>
      </c>
      <c r="I332" s="6"/>
      <c r="J332" s="6"/>
      <c r="K332" s="6"/>
      <c r="L332" s="6"/>
      <c r="M332" s="7" t="s">
        <v>4893</v>
      </c>
      <c r="N332" s="8" t="str">
        <f>IF(Caja_Arequipa[[#This Row],[TIPO DE R.]]="R","001-"&amp;12002+B332,N331)</f>
        <v>001-12330</v>
      </c>
      <c r="O332" s="8" t="str">
        <f t="shared" si="30"/>
        <v>PEN</v>
      </c>
      <c r="P332" s="13"/>
      <c r="Q332" s="13">
        <v>36</v>
      </c>
      <c r="R332" s="3">
        <f t="shared" si="27"/>
        <v>0</v>
      </c>
      <c r="S332" s="3">
        <f t="shared" si="28"/>
        <v>36</v>
      </c>
      <c r="T332" s="3">
        <f t="shared" si="29"/>
        <v>3540.4999999999995</v>
      </c>
      <c r="U332" s="24" t="s">
        <v>1081</v>
      </c>
      <c r="V332" s="24"/>
      <c r="W332" s="3"/>
      <c r="X332" s="3" t="s">
        <v>4314</v>
      </c>
      <c r="Y332" s="3" t="s">
        <v>4894</v>
      </c>
      <c r="Z332" s="3"/>
      <c r="AA332" s="3"/>
      <c r="AB332" s="3"/>
      <c r="AC332" s="3" t="str">
        <f>IF(Caja_Arequipa[[#This Row],[FECHA]]&gt;0,TEXT(Caja_Arequipa[[#This Row],[FECHA]],"mmmm"),0)</f>
        <v>Abril</v>
      </c>
    </row>
    <row r="333" spans="2:29" x14ac:dyDescent="0.3">
      <c r="B333" s="2">
        <f>IF(Caja_Arequipa[[#This Row],[TIPO DE R.]]="R",COUNTIFS($D$4:$D332,"R")+1,"")</f>
        <v>329</v>
      </c>
      <c r="C333" s="19" t="str">
        <f t="shared" si="26"/>
        <v>C-Tesoreria</v>
      </c>
      <c r="D333" s="3" t="s">
        <v>1074</v>
      </c>
      <c r="E333" s="14">
        <v>45775</v>
      </c>
      <c r="F333" s="5" t="s">
        <v>1158</v>
      </c>
      <c r="G333" s="5" t="s">
        <v>1079</v>
      </c>
      <c r="H333" s="3" t="s">
        <v>4314</v>
      </c>
      <c r="I333" s="6"/>
      <c r="J333" s="6"/>
      <c r="K333" s="6"/>
      <c r="L333" s="6"/>
      <c r="M333" s="7" t="s">
        <v>4840</v>
      </c>
      <c r="N333" s="8" t="str">
        <f>IF(Caja_Arequipa[[#This Row],[TIPO DE R.]]="R","001-"&amp;12002+B333,N332)</f>
        <v>001-12331</v>
      </c>
      <c r="O333" s="8" t="str">
        <f t="shared" si="30"/>
        <v>PEN</v>
      </c>
      <c r="P333" s="13"/>
      <c r="Q333" s="13">
        <v>12.5</v>
      </c>
      <c r="R333" s="3">
        <f t="shared" si="27"/>
        <v>0</v>
      </c>
      <c r="S333" s="3">
        <f t="shared" si="28"/>
        <v>12.5</v>
      </c>
      <c r="T333" s="3">
        <f t="shared" si="29"/>
        <v>3527.9999999999995</v>
      </c>
      <c r="U333" s="24" t="s">
        <v>1081</v>
      </c>
      <c r="V333" s="24"/>
      <c r="W333" s="3"/>
      <c r="X333" s="3" t="s">
        <v>4314</v>
      </c>
      <c r="Y333" s="3" t="s">
        <v>4895</v>
      </c>
      <c r="Z333" s="3"/>
      <c r="AA333" s="3"/>
      <c r="AB333" s="3"/>
      <c r="AC333" s="3" t="str">
        <f>IF(Caja_Arequipa[[#This Row],[FECHA]]&gt;0,TEXT(Caja_Arequipa[[#This Row],[FECHA]],"mmmm"),0)</f>
        <v>Abril</v>
      </c>
    </row>
    <row r="334" spans="2:29" x14ac:dyDescent="0.3">
      <c r="B334" s="2">
        <f>IF(Caja_Arequipa[[#This Row],[TIPO DE R.]]="R",COUNTIFS($D$4:$D333,"R")+1,"")</f>
        <v>330</v>
      </c>
      <c r="C334" s="19" t="str">
        <f t="shared" si="26"/>
        <v>C-Tesoreria</v>
      </c>
      <c r="D334" s="3" t="s">
        <v>1074</v>
      </c>
      <c r="E334" s="14">
        <v>45775</v>
      </c>
      <c r="F334" s="5" t="s">
        <v>1158</v>
      </c>
      <c r="G334" s="5" t="s">
        <v>1079</v>
      </c>
      <c r="H334" s="3" t="s">
        <v>4314</v>
      </c>
      <c r="I334" s="6"/>
      <c r="J334" s="6"/>
      <c r="K334" s="6"/>
      <c r="L334" s="6"/>
      <c r="M334" s="7" t="s">
        <v>4896</v>
      </c>
      <c r="N334" s="8" t="str">
        <f>IF(Caja_Arequipa[[#This Row],[TIPO DE R.]]="R","001-"&amp;12002+B334,N333)</f>
        <v>001-12332</v>
      </c>
      <c r="O334" s="8" t="str">
        <f t="shared" si="30"/>
        <v>PEN</v>
      </c>
      <c r="P334" s="13"/>
      <c r="Q334" s="13">
        <v>12</v>
      </c>
      <c r="R334" s="3">
        <f t="shared" si="27"/>
        <v>0</v>
      </c>
      <c r="S334" s="3">
        <f t="shared" si="28"/>
        <v>12</v>
      </c>
      <c r="T334" s="3">
        <f t="shared" si="29"/>
        <v>3515.9999999999995</v>
      </c>
      <c r="U334" s="24" t="s">
        <v>1081</v>
      </c>
      <c r="V334" s="24"/>
      <c r="W334" s="3"/>
      <c r="X334" s="3" t="s">
        <v>4314</v>
      </c>
      <c r="Y334" s="3" t="s">
        <v>4897</v>
      </c>
      <c r="Z334" s="3"/>
      <c r="AA334" s="3"/>
      <c r="AB334" s="3"/>
      <c r="AC334" s="3" t="str">
        <f>IF(Caja_Arequipa[[#This Row],[FECHA]]&gt;0,TEXT(Caja_Arequipa[[#This Row],[FECHA]],"mmmm"),0)</f>
        <v>Abril</v>
      </c>
    </row>
    <row r="335" spans="2:29" x14ac:dyDescent="0.3">
      <c r="B335" s="2">
        <f>IF(Caja_Arequipa[[#This Row],[TIPO DE R.]]="R",COUNTIFS($D$4:$D334,"R")+1,"")</f>
        <v>331</v>
      </c>
      <c r="C335" s="19" t="str">
        <f t="shared" si="26"/>
        <v>C-Tesoreria</v>
      </c>
      <c r="D335" s="3" t="s">
        <v>1074</v>
      </c>
      <c r="E335" s="14">
        <v>45775</v>
      </c>
      <c r="F335" s="5" t="s">
        <v>1158</v>
      </c>
      <c r="G335" s="5" t="s">
        <v>1079</v>
      </c>
      <c r="H335" s="3" t="s">
        <v>4314</v>
      </c>
      <c r="I335" s="6"/>
      <c r="J335" s="6"/>
      <c r="K335" s="6"/>
      <c r="L335" s="6"/>
      <c r="M335" s="7" t="s">
        <v>4898</v>
      </c>
      <c r="N335" s="8" t="str">
        <f>IF(Caja_Arequipa[[#This Row],[TIPO DE R.]]="R","001-"&amp;12002+B335,N334)</f>
        <v>001-12333</v>
      </c>
      <c r="O335" s="8" t="str">
        <f t="shared" si="30"/>
        <v>PEN</v>
      </c>
      <c r="P335" s="13"/>
      <c r="Q335" s="13">
        <v>118</v>
      </c>
      <c r="R335" s="3">
        <f t="shared" si="27"/>
        <v>0</v>
      </c>
      <c r="S335" s="3">
        <f t="shared" si="28"/>
        <v>118</v>
      </c>
      <c r="T335" s="3">
        <f t="shared" si="29"/>
        <v>3397.9999999999995</v>
      </c>
      <c r="U335" s="24" t="s">
        <v>1081</v>
      </c>
      <c r="V335" s="24"/>
      <c r="W335" s="3"/>
      <c r="X335" s="3" t="s">
        <v>4314</v>
      </c>
      <c r="Y335" s="3" t="s">
        <v>4899</v>
      </c>
      <c r="Z335" s="3"/>
      <c r="AA335" s="3"/>
      <c r="AB335" s="3"/>
      <c r="AC335" s="3" t="str">
        <f>IF(Caja_Arequipa[[#This Row],[FECHA]]&gt;0,TEXT(Caja_Arequipa[[#This Row],[FECHA]],"mmmm"),0)</f>
        <v>Abril</v>
      </c>
    </row>
    <row r="336" spans="2:29" x14ac:dyDescent="0.3">
      <c r="B336" s="2">
        <f>IF(Caja_Arequipa[[#This Row],[TIPO DE R.]]="R",COUNTIFS($D$4:$D335,"R")+1,"")</f>
        <v>332</v>
      </c>
      <c r="C336" s="19" t="str">
        <f t="shared" si="26"/>
        <v>C-Tesoreria</v>
      </c>
      <c r="D336" s="3" t="s">
        <v>1074</v>
      </c>
      <c r="E336" s="14">
        <v>45775</v>
      </c>
      <c r="F336" s="5" t="s">
        <v>1158</v>
      </c>
      <c r="G336" s="5" t="s">
        <v>1079</v>
      </c>
      <c r="H336" s="3" t="s">
        <v>4314</v>
      </c>
      <c r="I336" s="6"/>
      <c r="J336" s="6"/>
      <c r="K336" s="6"/>
      <c r="L336" s="6"/>
      <c r="M336" s="7" t="s">
        <v>4898</v>
      </c>
      <c r="N336" s="8" t="str">
        <f>IF(Caja_Arequipa[[#This Row],[TIPO DE R.]]="R","001-"&amp;12002+B336,N335)</f>
        <v>001-12334</v>
      </c>
      <c r="O336" s="8" t="str">
        <f t="shared" si="30"/>
        <v>PEN</v>
      </c>
      <c r="P336" s="13"/>
      <c r="Q336" s="13">
        <v>30</v>
      </c>
      <c r="R336" s="3">
        <f t="shared" si="27"/>
        <v>0</v>
      </c>
      <c r="S336" s="3">
        <f t="shared" si="28"/>
        <v>30</v>
      </c>
      <c r="T336" s="3">
        <f t="shared" si="29"/>
        <v>3367.9999999999995</v>
      </c>
      <c r="U336" s="24" t="s">
        <v>1081</v>
      </c>
      <c r="V336" s="24"/>
      <c r="W336" s="3"/>
      <c r="X336" s="3" t="s">
        <v>4314</v>
      </c>
      <c r="Y336" s="3" t="s">
        <v>4900</v>
      </c>
      <c r="Z336" s="3"/>
      <c r="AA336" s="3"/>
      <c r="AB336" s="3"/>
      <c r="AC336" s="3" t="str">
        <f>IF(Caja_Arequipa[[#This Row],[FECHA]]&gt;0,TEXT(Caja_Arequipa[[#This Row],[FECHA]],"mmmm"),0)</f>
        <v>Abril</v>
      </c>
    </row>
    <row r="337" spans="2:29" x14ac:dyDescent="0.3">
      <c r="B337" s="2">
        <f>IF(Caja_Arequipa[[#This Row],[TIPO DE R.]]="R",COUNTIFS($D$4:$D336,"R")+1,"")</f>
        <v>333</v>
      </c>
      <c r="C337" s="19" t="str">
        <f t="shared" si="26"/>
        <v>C-Tesoreria</v>
      </c>
      <c r="D337" s="3" t="s">
        <v>1074</v>
      </c>
      <c r="E337" s="14">
        <v>45775</v>
      </c>
      <c r="F337" s="5" t="s">
        <v>1158</v>
      </c>
      <c r="G337" s="5" t="s">
        <v>1079</v>
      </c>
      <c r="H337" s="3" t="s">
        <v>4314</v>
      </c>
      <c r="I337" s="6"/>
      <c r="J337" s="6"/>
      <c r="K337" s="6"/>
      <c r="L337" s="6"/>
      <c r="M337" s="7" t="s">
        <v>4863</v>
      </c>
      <c r="N337" s="8" t="str">
        <f>IF(Caja_Arequipa[[#This Row],[TIPO DE R.]]="R","001-"&amp;12002+B337,N336)</f>
        <v>001-12335</v>
      </c>
      <c r="O337" s="8" t="str">
        <f t="shared" si="30"/>
        <v>PEN</v>
      </c>
      <c r="P337" s="13"/>
      <c r="Q337" s="13">
        <v>66</v>
      </c>
      <c r="R337" s="3">
        <f t="shared" si="27"/>
        <v>0</v>
      </c>
      <c r="S337" s="3">
        <f t="shared" si="28"/>
        <v>66</v>
      </c>
      <c r="T337" s="3">
        <f t="shared" si="29"/>
        <v>3301.9999999999995</v>
      </c>
      <c r="U337" s="24" t="s">
        <v>1081</v>
      </c>
      <c r="V337" s="24"/>
      <c r="W337" s="3"/>
      <c r="X337" s="3" t="s">
        <v>4314</v>
      </c>
      <c r="Y337" s="3" t="s">
        <v>4901</v>
      </c>
      <c r="Z337" s="3"/>
      <c r="AA337" s="3"/>
      <c r="AB337" s="3"/>
      <c r="AC337" s="3" t="str">
        <f>IF(Caja_Arequipa[[#This Row],[FECHA]]&gt;0,TEXT(Caja_Arequipa[[#This Row],[FECHA]],"mmmm"),0)</f>
        <v>Abril</v>
      </c>
    </row>
    <row r="338" spans="2:29" ht="24" x14ac:dyDescent="0.3">
      <c r="B338" s="2">
        <f>IF(Caja_Arequipa[[#This Row],[TIPO DE R.]]="R",COUNTIFS($D$4:$D337,"R")+1,"")</f>
        <v>334</v>
      </c>
      <c r="C338" s="19" t="str">
        <f t="shared" si="26"/>
        <v>C-Tesoreria</v>
      </c>
      <c r="D338" s="3" t="s">
        <v>1074</v>
      </c>
      <c r="E338" s="14">
        <v>45776</v>
      </c>
      <c r="F338" s="5" t="s">
        <v>1158</v>
      </c>
      <c r="G338" s="5" t="s">
        <v>1079</v>
      </c>
      <c r="H338" s="3" t="s">
        <v>4334</v>
      </c>
      <c r="I338" s="6"/>
      <c r="J338" s="6"/>
      <c r="K338" s="6"/>
      <c r="L338" s="6"/>
      <c r="M338" s="7" t="s">
        <v>4902</v>
      </c>
      <c r="N338" s="8" t="str">
        <f>IF(Caja_Arequipa[[#This Row],[TIPO DE R.]]="R","001-"&amp;12002+B338,N337)</f>
        <v>001-12336</v>
      </c>
      <c r="O338" s="8" t="str">
        <f t="shared" si="30"/>
        <v>PEN</v>
      </c>
      <c r="P338" s="13"/>
      <c r="Q338" s="13">
        <v>37</v>
      </c>
      <c r="R338" s="3">
        <f t="shared" si="27"/>
        <v>0</v>
      </c>
      <c r="S338" s="3">
        <f t="shared" si="28"/>
        <v>37</v>
      </c>
      <c r="T338" s="3">
        <f t="shared" si="29"/>
        <v>3264.9999999999995</v>
      </c>
      <c r="U338" s="24" t="s">
        <v>1081</v>
      </c>
      <c r="V338" s="24"/>
      <c r="W338" s="3"/>
      <c r="X338" s="3" t="s">
        <v>4334</v>
      </c>
      <c r="Y338" s="3" t="s">
        <v>4903</v>
      </c>
      <c r="Z338" s="3"/>
      <c r="AA338" s="3"/>
      <c r="AB338" s="3"/>
      <c r="AC338" s="3" t="str">
        <f>IF(Caja_Arequipa[[#This Row],[FECHA]]&gt;0,TEXT(Caja_Arequipa[[#This Row],[FECHA]],"mmmm"),0)</f>
        <v>Abril</v>
      </c>
    </row>
    <row r="339" spans="2:29" ht="24" x14ac:dyDescent="0.3">
      <c r="B339" s="2">
        <f>IF(Caja_Arequipa[[#This Row],[TIPO DE R.]]="R",COUNTIFS($D$4:$D338,"R")+1,"")</f>
        <v>335</v>
      </c>
      <c r="C339" s="19" t="str">
        <f t="shared" si="26"/>
        <v>C-Tesoreria</v>
      </c>
      <c r="D339" s="3" t="s">
        <v>1074</v>
      </c>
      <c r="E339" s="14">
        <v>45776</v>
      </c>
      <c r="F339" s="5" t="s">
        <v>1158</v>
      </c>
      <c r="G339" s="5" t="s">
        <v>1079</v>
      </c>
      <c r="H339" s="3" t="s">
        <v>4303</v>
      </c>
      <c r="I339" s="6"/>
      <c r="J339" s="6" t="s">
        <v>74</v>
      </c>
      <c r="K339" s="6">
        <v>1</v>
      </c>
      <c r="L339" s="6">
        <v>124</v>
      </c>
      <c r="M339" s="7" t="s">
        <v>4904</v>
      </c>
      <c r="N339" s="8" t="str">
        <f>IF(Caja_Arequipa[[#This Row],[TIPO DE R.]]="R","001-"&amp;12002+B339,N338)</f>
        <v>001-12337</v>
      </c>
      <c r="O339" s="8" t="str">
        <f t="shared" si="30"/>
        <v>PEN</v>
      </c>
      <c r="P339" s="13"/>
      <c r="Q339" s="13">
        <v>70</v>
      </c>
      <c r="R339" s="3">
        <f t="shared" si="27"/>
        <v>0</v>
      </c>
      <c r="S339" s="3">
        <f t="shared" si="28"/>
        <v>70</v>
      </c>
      <c r="T339" s="3">
        <f t="shared" si="29"/>
        <v>3194.9999999999995</v>
      </c>
      <c r="U339" s="24"/>
      <c r="V339" s="24"/>
      <c r="W339" s="3"/>
      <c r="X339" s="3" t="s">
        <v>4303</v>
      </c>
      <c r="Y339" s="3" t="s">
        <v>4905</v>
      </c>
      <c r="Z339" s="3"/>
      <c r="AA339" s="3"/>
      <c r="AB339" s="3"/>
      <c r="AC339" s="3" t="str">
        <f>IF(Caja_Arequipa[[#This Row],[FECHA]]&gt;0,TEXT(Caja_Arequipa[[#This Row],[FECHA]],"mmmm"),0)</f>
        <v>Abril</v>
      </c>
    </row>
    <row r="340" spans="2:29" x14ac:dyDescent="0.3">
      <c r="B340" s="2">
        <f>IF(Caja_Arequipa[[#This Row],[TIPO DE R.]]="R",COUNTIFS($D$4:$D339,"R")+1,"")</f>
        <v>336</v>
      </c>
      <c r="C340" s="19" t="str">
        <f t="shared" si="26"/>
        <v>C-Tesoreria</v>
      </c>
      <c r="D340" s="3" t="s">
        <v>1074</v>
      </c>
      <c r="E340" s="14">
        <v>45776</v>
      </c>
      <c r="F340" s="5" t="s">
        <v>1158</v>
      </c>
      <c r="G340" s="5" t="s">
        <v>1079</v>
      </c>
      <c r="H340" s="3" t="s">
        <v>3532</v>
      </c>
      <c r="I340" s="6"/>
      <c r="J340" s="6"/>
      <c r="K340" s="6"/>
      <c r="L340" s="6"/>
      <c r="M340" s="7" t="s">
        <v>4906</v>
      </c>
      <c r="N340" s="8" t="str">
        <f>IF(Caja_Arequipa[[#This Row],[TIPO DE R.]]="R","001-"&amp;12002+B340,N339)</f>
        <v>001-12338</v>
      </c>
      <c r="O340" s="8" t="str">
        <f t="shared" si="30"/>
        <v>PEN</v>
      </c>
      <c r="P340" s="13"/>
      <c r="Q340" s="13">
        <v>40</v>
      </c>
      <c r="R340" s="3">
        <f t="shared" si="27"/>
        <v>0</v>
      </c>
      <c r="S340" s="3">
        <f t="shared" si="28"/>
        <v>40</v>
      </c>
      <c r="T340" s="3">
        <f t="shared" si="29"/>
        <v>3154.9999999999995</v>
      </c>
      <c r="U340" s="24" t="s">
        <v>1081</v>
      </c>
      <c r="V340" s="24"/>
      <c r="W340" s="3"/>
      <c r="X340" s="3" t="s">
        <v>3532</v>
      </c>
      <c r="Y340" s="3" t="s">
        <v>4907</v>
      </c>
      <c r="Z340" s="3"/>
      <c r="AA340" s="3"/>
      <c r="AB340" s="3"/>
      <c r="AC340" s="3" t="str">
        <f>IF(Caja_Arequipa[[#This Row],[FECHA]]&gt;0,TEXT(Caja_Arequipa[[#This Row],[FECHA]],"mmmm"),0)</f>
        <v>Abril</v>
      </c>
    </row>
    <row r="341" spans="2:29" ht="24" x14ac:dyDescent="0.3">
      <c r="B341" s="2">
        <f>IF(Caja_Arequipa[[#This Row],[TIPO DE R.]]="R",COUNTIFS($D$4:$D340,"R")+1,"")</f>
        <v>337</v>
      </c>
      <c r="C341" s="19" t="str">
        <f t="shared" si="26"/>
        <v>C-Tesoreria</v>
      </c>
      <c r="D341" s="3" t="s">
        <v>1074</v>
      </c>
      <c r="E341" s="14">
        <v>45776</v>
      </c>
      <c r="F341" s="5" t="s">
        <v>1158</v>
      </c>
      <c r="G341" s="5" t="s">
        <v>1079</v>
      </c>
      <c r="H341" s="3" t="s">
        <v>4501</v>
      </c>
      <c r="I341" s="6"/>
      <c r="J341" s="6"/>
      <c r="K341" s="6"/>
      <c r="L341" s="6"/>
      <c r="M341" s="7" t="s">
        <v>4908</v>
      </c>
      <c r="N341" s="8" t="str">
        <f>IF(Caja_Arequipa[[#This Row],[TIPO DE R.]]="R","001-"&amp;12002+B341,N340)</f>
        <v>001-12339</v>
      </c>
      <c r="O341" s="8" t="str">
        <f t="shared" si="30"/>
        <v>PEN</v>
      </c>
      <c r="P341" s="13"/>
      <c r="Q341" s="13">
        <v>20</v>
      </c>
      <c r="R341" s="3">
        <f t="shared" si="27"/>
        <v>0</v>
      </c>
      <c r="S341" s="3">
        <f t="shared" si="28"/>
        <v>20</v>
      </c>
      <c r="T341" s="3">
        <f t="shared" si="29"/>
        <v>3134.9999999999995</v>
      </c>
      <c r="U341" s="24" t="s">
        <v>1081</v>
      </c>
      <c r="V341" s="24"/>
      <c r="W341" s="3"/>
      <c r="X341" s="3" t="s">
        <v>4501</v>
      </c>
      <c r="Y341" s="3" t="s">
        <v>4909</v>
      </c>
      <c r="Z341" s="3"/>
      <c r="AA341" s="3"/>
      <c r="AB341" s="3"/>
      <c r="AC341" s="3" t="str">
        <f>IF(Caja_Arequipa[[#This Row],[FECHA]]&gt;0,TEXT(Caja_Arequipa[[#This Row],[FECHA]],"mmmm"),0)</f>
        <v>Abril</v>
      </c>
    </row>
    <row r="342" spans="2:29" x14ac:dyDescent="0.3">
      <c r="B342" s="2">
        <f>IF(Caja_Arequipa[[#This Row],[TIPO DE R.]]="R",COUNTIFS($D$4:$D341,"R")+1,"")</f>
        <v>338</v>
      </c>
      <c r="C342" s="19" t="str">
        <f t="shared" si="26"/>
        <v>C-Tesoreria</v>
      </c>
      <c r="D342" s="3" t="s">
        <v>1074</v>
      </c>
      <c r="E342" s="14">
        <v>45776</v>
      </c>
      <c r="F342" s="5" t="s">
        <v>1158</v>
      </c>
      <c r="G342" s="5" t="s">
        <v>1079</v>
      </c>
      <c r="H342" s="3" t="s">
        <v>3532</v>
      </c>
      <c r="I342" s="6"/>
      <c r="J342" s="6"/>
      <c r="K342" s="6"/>
      <c r="L342" s="6"/>
      <c r="M342" s="7" t="s">
        <v>4910</v>
      </c>
      <c r="N342" s="8" t="str">
        <f>IF(Caja_Arequipa[[#This Row],[TIPO DE R.]]="R","001-"&amp;12002+B342,N341)</f>
        <v>001-12340</v>
      </c>
      <c r="O342" s="8" t="str">
        <f t="shared" si="30"/>
        <v>PEN</v>
      </c>
      <c r="P342" s="13"/>
      <c r="Q342" s="13">
        <v>7</v>
      </c>
      <c r="R342" s="3">
        <f t="shared" si="27"/>
        <v>0</v>
      </c>
      <c r="S342" s="3">
        <f t="shared" si="28"/>
        <v>7</v>
      </c>
      <c r="T342" s="3">
        <f t="shared" si="29"/>
        <v>3127.9999999999995</v>
      </c>
      <c r="U342" s="24" t="s">
        <v>1081</v>
      </c>
      <c r="V342" s="24"/>
      <c r="W342" s="3"/>
      <c r="X342" s="3" t="s">
        <v>3532</v>
      </c>
      <c r="Y342" s="3" t="s">
        <v>4911</v>
      </c>
      <c r="Z342" s="3"/>
      <c r="AA342" s="3"/>
      <c r="AB342" s="3"/>
      <c r="AC342" s="3" t="str">
        <f>IF(Caja_Arequipa[[#This Row],[FECHA]]&gt;0,TEXT(Caja_Arequipa[[#This Row],[FECHA]],"mmmm"),0)</f>
        <v>Abril</v>
      </c>
    </row>
    <row r="343" spans="2:29" x14ac:dyDescent="0.3">
      <c r="B343" s="2">
        <f>IF(Caja_Arequipa[[#This Row],[TIPO DE R.]]="R",COUNTIFS($D$4:$D342,"R")+1,"")</f>
        <v>339</v>
      </c>
      <c r="C343" s="19" t="str">
        <f t="shared" si="26"/>
        <v>C-Tesoreria</v>
      </c>
      <c r="D343" s="3" t="s">
        <v>1074</v>
      </c>
      <c r="E343" s="14">
        <v>45777</v>
      </c>
      <c r="F343" s="5" t="s">
        <v>1158</v>
      </c>
      <c r="G343" s="5" t="s">
        <v>1079</v>
      </c>
      <c r="H343" s="3" t="s">
        <v>4912</v>
      </c>
      <c r="I343" s="6"/>
      <c r="J343" s="6"/>
      <c r="K343" s="6"/>
      <c r="L343" s="6"/>
      <c r="M343" s="7" t="s">
        <v>4913</v>
      </c>
      <c r="N343" s="8" t="str">
        <f>IF(Caja_Arequipa[[#This Row],[TIPO DE R.]]="R","001-"&amp;12002+B343,N342)</f>
        <v>001-12341</v>
      </c>
      <c r="O343" s="8" t="str">
        <f t="shared" si="30"/>
        <v>PEN</v>
      </c>
      <c r="P343" s="13"/>
      <c r="Q343" s="13">
        <v>26</v>
      </c>
      <c r="R343" s="3">
        <f t="shared" si="27"/>
        <v>0</v>
      </c>
      <c r="S343" s="3">
        <f t="shared" si="28"/>
        <v>26</v>
      </c>
      <c r="T343" s="3">
        <f t="shared" si="29"/>
        <v>3101.9999999999995</v>
      </c>
      <c r="U343" s="24" t="s">
        <v>1081</v>
      </c>
      <c r="V343" s="24"/>
      <c r="W343" s="3"/>
      <c r="X343" s="3" t="s">
        <v>4912</v>
      </c>
      <c r="Y343" s="3" t="s">
        <v>4914</v>
      </c>
      <c r="Z343" s="3"/>
      <c r="AA343" s="3"/>
      <c r="AB343" s="3"/>
      <c r="AC343" s="3" t="str">
        <f>IF(Caja_Arequipa[[#This Row],[FECHA]]&gt;0,TEXT(Caja_Arequipa[[#This Row],[FECHA]],"mmmm"),0)</f>
        <v>Abril</v>
      </c>
    </row>
    <row r="344" spans="2:29" ht="24" x14ac:dyDescent="0.3">
      <c r="B344" s="2">
        <f>IF(Caja_Arequipa[[#This Row],[TIPO DE R.]]="R",COUNTIFS($D$4:$D343,"R")+1,"")</f>
        <v>340</v>
      </c>
      <c r="C344" s="19" t="str">
        <f t="shared" si="26"/>
        <v>C-Tesoreria</v>
      </c>
      <c r="D344" s="3" t="s">
        <v>1074</v>
      </c>
      <c r="E344" s="14">
        <v>45779</v>
      </c>
      <c r="F344" s="5" t="s">
        <v>1158</v>
      </c>
      <c r="G344" s="5" t="s">
        <v>1079</v>
      </c>
      <c r="H344" s="3" t="s">
        <v>4712</v>
      </c>
      <c r="I344" s="6"/>
      <c r="J344" s="6"/>
      <c r="K344" s="6"/>
      <c r="L344" s="6"/>
      <c r="M344" s="7" t="s">
        <v>4915</v>
      </c>
      <c r="N344" s="8" t="str">
        <f>IF(Caja_Arequipa[[#This Row],[TIPO DE R.]]="R","001-"&amp;12002+B344,N343)</f>
        <v>001-12342</v>
      </c>
      <c r="O344" s="8" t="str">
        <f t="shared" si="30"/>
        <v>PEN</v>
      </c>
      <c r="P344" s="13"/>
      <c r="Q344" s="13">
        <v>20</v>
      </c>
      <c r="R344" s="3">
        <f t="shared" si="27"/>
        <v>0</v>
      </c>
      <c r="S344" s="3">
        <f t="shared" si="28"/>
        <v>20</v>
      </c>
      <c r="T344" s="3">
        <f t="shared" si="29"/>
        <v>3081.9999999999995</v>
      </c>
      <c r="U344" s="24" t="s">
        <v>1081</v>
      </c>
      <c r="V344" s="24"/>
      <c r="W344" s="3"/>
      <c r="X344" s="3" t="s">
        <v>4712</v>
      </c>
      <c r="Y344" s="3" t="s">
        <v>4916</v>
      </c>
      <c r="Z344" s="3"/>
      <c r="AA344" s="3"/>
      <c r="AB344" s="3"/>
      <c r="AC344" s="3" t="str">
        <f>IF(Caja_Arequipa[[#This Row],[FECHA]]&gt;0,TEXT(Caja_Arequipa[[#This Row],[FECHA]],"mmmm"),0)</f>
        <v>Mayo</v>
      </c>
    </row>
    <row r="345" spans="2:29" x14ac:dyDescent="0.3">
      <c r="B345" s="2">
        <f>IF(Caja_Arequipa[[#This Row],[TIPO DE R.]]="R",COUNTIFS($D$4:$D344,"R")+1,"")</f>
        <v>341</v>
      </c>
      <c r="C345" s="19" t="str">
        <f t="shared" si="26"/>
        <v>C-Tesoreria</v>
      </c>
      <c r="D345" s="3" t="s">
        <v>1074</v>
      </c>
      <c r="E345" s="14">
        <v>45779</v>
      </c>
      <c r="F345" s="5" t="s">
        <v>1158</v>
      </c>
      <c r="G345" s="5" t="s">
        <v>1079</v>
      </c>
      <c r="H345" s="3" t="s">
        <v>4712</v>
      </c>
      <c r="I345" s="6"/>
      <c r="J345" s="6"/>
      <c r="K345" s="6"/>
      <c r="L345" s="6"/>
      <c r="M345" s="7" t="s">
        <v>4917</v>
      </c>
      <c r="N345" s="8" t="str">
        <f>IF(Caja_Arequipa[[#This Row],[TIPO DE R.]]="R","001-"&amp;12002+B345,N344)</f>
        <v>001-12343</v>
      </c>
      <c r="O345" s="8" t="str">
        <f t="shared" si="30"/>
        <v>PEN</v>
      </c>
      <c r="P345" s="13"/>
      <c r="Q345" s="13">
        <v>32</v>
      </c>
      <c r="R345" s="3">
        <f t="shared" si="27"/>
        <v>0</v>
      </c>
      <c r="S345" s="3">
        <f t="shared" si="28"/>
        <v>32</v>
      </c>
      <c r="T345" s="3">
        <f t="shared" si="29"/>
        <v>3049.9999999999995</v>
      </c>
      <c r="U345" s="24" t="s">
        <v>1081</v>
      </c>
      <c r="V345" s="24"/>
      <c r="W345" s="3"/>
      <c r="X345" s="3" t="s">
        <v>4712</v>
      </c>
      <c r="Y345" s="3" t="s">
        <v>4918</v>
      </c>
      <c r="Z345" s="3"/>
      <c r="AA345" s="3"/>
      <c r="AB345" s="3"/>
      <c r="AC345" s="3" t="str">
        <f>IF(Caja_Arequipa[[#This Row],[FECHA]]&gt;0,TEXT(Caja_Arequipa[[#This Row],[FECHA]],"mmmm"),0)</f>
        <v>Mayo</v>
      </c>
    </row>
    <row r="346" spans="2:29" ht="36" x14ac:dyDescent="0.3">
      <c r="B346" s="2">
        <f>IF(Caja_Arequipa[[#This Row],[TIPO DE R.]]="R",COUNTIFS($D$4:$D345,"R")+1,"")</f>
        <v>342</v>
      </c>
      <c r="C346" s="19" t="str">
        <f t="shared" si="26"/>
        <v>C-Tesoreria</v>
      </c>
      <c r="D346" s="3" t="s">
        <v>1074</v>
      </c>
      <c r="E346" s="14">
        <v>45779</v>
      </c>
      <c r="F346" s="5" t="s">
        <v>1158</v>
      </c>
      <c r="G346" s="5" t="s">
        <v>1079</v>
      </c>
      <c r="H346" s="3" t="s">
        <v>4712</v>
      </c>
      <c r="I346" s="6"/>
      <c r="J346" s="6"/>
      <c r="K346" s="6"/>
      <c r="L346" s="6"/>
      <c r="M346" s="7" t="s">
        <v>4919</v>
      </c>
      <c r="N346" s="8" t="str">
        <f>IF(Caja_Arequipa[[#This Row],[TIPO DE R.]]="R","001-"&amp;12002+B346,N345)</f>
        <v>001-12344</v>
      </c>
      <c r="O346" s="8" t="str">
        <f t="shared" si="30"/>
        <v>PEN</v>
      </c>
      <c r="P346" s="13"/>
      <c r="Q346" s="13">
        <v>15</v>
      </c>
      <c r="R346" s="3">
        <f t="shared" si="27"/>
        <v>0</v>
      </c>
      <c r="S346" s="3">
        <f t="shared" si="28"/>
        <v>15</v>
      </c>
      <c r="T346" s="3">
        <f t="shared" si="29"/>
        <v>3034.9999999999995</v>
      </c>
      <c r="U346" s="24" t="s">
        <v>1081</v>
      </c>
      <c r="V346" s="24"/>
      <c r="W346" s="3"/>
      <c r="X346" s="3" t="s">
        <v>4712</v>
      </c>
      <c r="Y346" s="3" t="s">
        <v>4920</v>
      </c>
      <c r="Z346" s="3"/>
      <c r="AA346" s="3"/>
      <c r="AB346" s="3"/>
      <c r="AC346" s="3" t="str">
        <f>IF(Caja_Arequipa[[#This Row],[FECHA]]&gt;0,TEXT(Caja_Arequipa[[#This Row],[FECHA]],"mmmm"),0)</f>
        <v>Mayo</v>
      </c>
    </row>
    <row r="347" spans="2:29" ht="24" x14ac:dyDescent="0.3">
      <c r="B347" s="2">
        <f>IF(Caja_Arequipa[[#This Row],[TIPO DE R.]]="R",COUNTIFS($D$4:$D346,"R")+1,"")</f>
        <v>343</v>
      </c>
      <c r="C347" s="19" t="str">
        <f t="shared" si="26"/>
        <v>C-Tesoreria</v>
      </c>
      <c r="D347" s="3" t="s">
        <v>1074</v>
      </c>
      <c r="E347" s="14">
        <v>45779</v>
      </c>
      <c r="F347" s="5" t="s">
        <v>1158</v>
      </c>
      <c r="G347" s="5" t="s">
        <v>1079</v>
      </c>
      <c r="H347" s="3" t="s">
        <v>4329</v>
      </c>
      <c r="I347" s="6"/>
      <c r="J347" s="6"/>
      <c r="K347" s="6"/>
      <c r="L347" s="6"/>
      <c r="M347" s="7" t="s">
        <v>4921</v>
      </c>
      <c r="N347" s="8" t="str">
        <f>IF(Caja_Arequipa[[#This Row],[TIPO DE R.]]="R","001-"&amp;12002+B347,N346)</f>
        <v>001-12345</v>
      </c>
      <c r="O347" s="8" t="str">
        <f t="shared" si="30"/>
        <v>PEN</v>
      </c>
      <c r="P347" s="13"/>
      <c r="Q347" s="13">
        <v>48</v>
      </c>
      <c r="R347" s="3">
        <f t="shared" si="27"/>
        <v>0</v>
      </c>
      <c r="S347" s="3">
        <f t="shared" si="28"/>
        <v>48</v>
      </c>
      <c r="T347" s="3">
        <f t="shared" si="29"/>
        <v>2986.9999999999995</v>
      </c>
      <c r="U347" s="24" t="s">
        <v>1081</v>
      </c>
      <c r="V347" s="24"/>
      <c r="W347" s="3"/>
      <c r="X347" s="3" t="s">
        <v>4329</v>
      </c>
      <c r="Y347" s="3" t="s">
        <v>4922</v>
      </c>
      <c r="Z347" s="3"/>
      <c r="AA347" s="3"/>
      <c r="AB347" s="3"/>
      <c r="AC347" s="3" t="str">
        <f>IF(Caja_Arequipa[[#This Row],[FECHA]]&gt;0,TEXT(Caja_Arequipa[[#This Row],[FECHA]],"mmmm"),0)</f>
        <v>Mayo</v>
      </c>
    </row>
    <row r="348" spans="2:29" x14ac:dyDescent="0.3">
      <c r="B348" s="2">
        <f>IF(Caja_Arequipa[[#This Row],[TIPO DE R.]]="R",COUNTIFS($D$4:$D347,"R")+1,"")</f>
        <v>344</v>
      </c>
      <c r="C348" s="19" t="str">
        <f t="shared" si="26"/>
        <v>C-Tesoreria</v>
      </c>
      <c r="D348" s="3" t="s">
        <v>1074</v>
      </c>
      <c r="E348" s="14">
        <v>45779</v>
      </c>
      <c r="F348" s="5" t="s">
        <v>1158</v>
      </c>
      <c r="G348" s="5" t="s">
        <v>1079</v>
      </c>
      <c r="H348" s="3" t="s">
        <v>4329</v>
      </c>
      <c r="I348" s="6"/>
      <c r="J348" s="6"/>
      <c r="K348" s="6"/>
      <c r="L348" s="6"/>
      <c r="M348" s="7" t="s">
        <v>4923</v>
      </c>
      <c r="N348" s="8" t="str">
        <f>IF(Caja_Arequipa[[#This Row],[TIPO DE R.]]="R","001-"&amp;12002+B348,N347)</f>
        <v>001-12346</v>
      </c>
      <c r="O348" s="8" t="str">
        <f t="shared" si="30"/>
        <v>PEN</v>
      </c>
      <c r="P348" s="13"/>
      <c r="Q348" s="13">
        <v>60</v>
      </c>
      <c r="R348" s="3">
        <f t="shared" si="27"/>
        <v>0</v>
      </c>
      <c r="S348" s="3">
        <f t="shared" si="28"/>
        <v>60</v>
      </c>
      <c r="T348" s="3">
        <f t="shared" si="29"/>
        <v>2926.9999999999995</v>
      </c>
      <c r="U348" s="24" t="s">
        <v>1081</v>
      </c>
      <c r="V348" s="24"/>
      <c r="W348" s="3"/>
      <c r="X348" s="3" t="s">
        <v>4329</v>
      </c>
      <c r="Y348" s="3" t="s">
        <v>4924</v>
      </c>
      <c r="Z348" s="3"/>
      <c r="AA348" s="3"/>
      <c r="AB348" s="3"/>
      <c r="AC348" s="3" t="str">
        <f>IF(Caja_Arequipa[[#This Row],[FECHA]]&gt;0,TEXT(Caja_Arequipa[[#This Row],[FECHA]],"mmmm"),0)</f>
        <v>Mayo</v>
      </c>
    </row>
    <row r="349" spans="2:29" x14ac:dyDescent="0.3">
      <c r="B349" s="2">
        <f>IF(Caja_Arequipa[[#This Row],[TIPO DE R.]]="R",COUNTIFS($D$4:$D348,"R")+1,"")</f>
        <v>345</v>
      </c>
      <c r="C349" s="19" t="str">
        <f t="shared" si="26"/>
        <v>C-Tesoreria</v>
      </c>
      <c r="D349" s="3" t="s">
        <v>1074</v>
      </c>
      <c r="E349" s="14">
        <v>45779</v>
      </c>
      <c r="F349" s="5" t="s">
        <v>1158</v>
      </c>
      <c r="G349" s="5" t="s">
        <v>1079</v>
      </c>
      <c r="H349" s="3" t="s">
        <v>4329</v>
      </c>
      <c r="I349" s="6"/>
      <c r="J349" s="6"/>
      <c r="K349" s="6"/>
      <c r="L349" s="6"/>
      <c r="M349" s="7" t="s">
        <v>4917</v>
      </c>
      <c r="N349" s="8" t="str">
        <f>IF(Caja_Arequipa[[#This Row],[TIPO DE R.]]="R","001-"&amp;12002+B349,N348)</f>
        <v>001-12347</v>
      </c>
      <c r="O349" s="8" t="str">
        <f t="shared" si="30"/>
        <v>PEN</v>
      </c>
      <c r="P349" s="13"/>
      <c r="Q349" s="13">
        <v>60</v>
      </c>
      <c r="R349" s="3">
        <f t="shared" si="27"/>
        <v>0</v>
      </c>
      <c r="S349" s="3">
        <f t="shared" si="28"/>
        <v>60</v>
      </c>
      <c r="T349" s="3">
        <f t="shared" si="29"/>
        <v>2866.9999999999995</v>
      </c>
      <c r="U349" s="24" t="s">
        <v>1081</v>
      </c>
      <c r="V349" s="24"/>
      <c r="W349" s="3"/>
      <c r="X349" s="3" t="s">
        <v>4329</v>
      </c>
      <c r="Y349" s="3" t="s">
        <v>4925</v>
      </c>
      <c r="Z349" s="3"/>
      <c r="AA349" s="3"/>
      <c r="AB349" s="3"/>
      <c r="AC349" s="3" t="str">
        <f>IF(Caja_Arequipa[[#This Row],[FECHA]]&gt;0,TEXT(Caja_Arequipa[[#This Row],[FECHA]],"mmmm"),0)</f>
        <v>Mayo</v>
      </c>
    </row>
    <row r="350" spans="2:29" x14ac:dyDescent="0.3">
      <c r="B350" s="2">
        <f>IF(Caja_Arequipa[[#This Row],[TIPO DE R.]]="R",COUNTIFS($D$4:$D349,"R")+1,"")</f>
        <v>346</v>
      </c>
      <c r="C350" s="19" t="str">
        <f t="shared" si="26"/>
        <v>C-Tesoreria</v>
      </c>
      <c r="D350" s="3" t="s">
        <v>1074</v>
      </c>
      <c r="E350" s="14">
        <v>45779</v>
      </c>
      <c r="F350" s="5" t="s">
        <v>1158</v>
      </c>
      <c r="G350" s="5" t="s">
        <v>1079</v>
      </c>
      <c r="H350" s="3" t="s">
        <v>4433</v>
      </c>
      <c r="I350" s="6"/>
      <c r="J350" s="6"/>
      <c r="K350" s="6"/>
      <c r="L350" s="6"/>
      <c r="M350" s="7" t="s">
        <v>4926</v>
      </c>
      <c r="N350" s="8" t="str">
        <f>IF(Caja_Arequipa[[#This Row],[TIPO DE R.]]="R","001-"&amp;12002+B350,N349)</f>
        <v>001-12348</v>
      </c>
      <c r="O350" s="8" t="str">
        <f t="shared" si="30"/>
        <v>PEN</v>
      </c>
      <c r="P350" s="13"/>
      <c r="Q350" s="13">
        <v>25.5</v>
      </c>
      <c r="R350" s="3">
        <f t="shared" si="27"/>
        <v>0</v>
      </c>
      <c r="S350" s="3">
        <f t="shared" si="28"/>
        <v>25.5</v>
      </c>
      <c r="T350" s="3">
        <f t="shared" si="29"/>
        <v>2841.4999999999995</v>
      </c>
      <c r="U350" s="24" t="s">
        <v>4927</v>
      </c>
      <c r="V350" s="24"/>
      <c r="W350" s="3"/>
      <c r="X350" s="3" t="s">
        <v>4433</v>
      </c>
      <c r="Y350" s="3" t="s">
        <v>4928</v>
      </c>
      <c r="Z350" s="3"/>
      <c r="AA350" s="3"/>
      <c r="AB350" s="3"/>
      <c r="AC350" s="3" t="str">
        <f>IF(Caja_Arequipa[[#This Row],[FECHA]]&gt;0,TEXT(Caja_Arequipa[[#This Row],[FECHA]],"mmmm"),0)</f>
        <v>Mayo</v>
      </c>
    </row>
    <row r="351" spans="2:29" x14ac:dyDescent="0.3">
      <c r="B351" s="2">
        <f>IF(Caja_Arequipa[[#This Row],[TIPO DE R.]]="R",COUNTIFS($D$4:$D350,"R")+1,"")</f>
        <v>347</v>
      </c>
      <c r="C351" s="19" t="str">
        <f t="shared" si="26"/>
        <v>C-Tesoreria</v>
      </c>
      <c r="D351" s="3" t="s">
        <v>1074</v>
      </c>
      <c r="E351" s="14">
        <v>45782</v>
      </c>
      <c r="F351" s="5" t="s">
        <v>1158</v>
      </c>
      <c r="G351" s="5" t="s">
        <v>1079</v>
      </c>
      <c r="H351" s="3" t="s">
        <v>3532</v>
      </c>
      <c r="I351" s="6"/>
      <c r="J351" s="6"/>
      <c r="K351" s="6"/>
      <c r="L351" s="6"/>
      <c r="M351" s="7" t="s">
        <v>4929</v>
      </c>
      <c r="N351" s="8" t="str">
        <f>IF(Caja_Arequipa[[#This Row],[TIPO DE R.]]="R","001-"&amp;12002+B351,N350)</f>
        <v>001-12349</v>
      </c>
      <c r="O351" s="8" t="str">
        <f t="shared" si="30"/>
        <v>PEN</v>
      </c>
      <c r="P351" s="13"/>
      <c r="Q351" s="13">
        <v>36</v>
      </c>
      <c r="R351" s="3">
        <f t="shared" si="27"/>
        <v>0</v>
      </c>
      <c r="S351" s="3">
        <f t="shared" si="28"/>
        <v>36</v>
      </c>
      <c r="T351" s="3">
        <f t="shared" si="29"/>
        <v>2805.4999999999995</v>
      </c>
      <c r="U351" s="24" t="s">
        <v>4927</v>
      </c>
      <c r="V351" s="24"/>
      <c r="W351" s="3"/>
      <c r="X351" s="3" t="s">
        <v>3532</v>
      </c>
      <c r="Y351" s="3" t="s">
        <v>4930</v>
      </c>
      <c r="Z351" s="3"/>
      <c r="AA351" s="3"/>
      <c r="AB351" s="3"/>
      <c r="AC351" s="3" t="str">
        <f>IF(Caja_Arequipa[[#This Row],[FECHA]]&gt;0,TEXT(Caja_Arequipa[[#This Row],[FECHA]],"mmmm"),0)</f>
        <v>Mayo</v>
      </c>
    </row>
    <row r="352" spans="2:29" ht="24" x14ac:dyDescent="0.3">
      <c r="B352" s="2">
        <f>IF(Caja_Arequipa[[#This Row],[TIPO DE R.]]="R",COUNTIFS($D$4:$D351,"R")+1,"")</f>
        <v>348</v>
      </c>
      <c r="C352" s="19" t="str">
        <f t="shared" si="26"/>
        <v>C-Tesoreria</v>
      </c>
      <c r="D352" s="3" t="s">
        <v>1074</v>
      </c>
      <c r="E352" s="14">
        <v>45782</v>
      </c>
      <c r="F352" s="5" t="s">
        <v>1158</v>
      </c>
      <c r="G352" s="5" t="s">
        <v>1079</v>
      </c>
      <c r="H352" s="3" t="s">
        <v>3532</v>
      </c>
      <c r="I352" s="6"/>
      <c r="J352" s="6"/>
      <c r="K352" s="6"/>
      <c r="L352" s="6"/>
      <c r="M352" s="7" t="s">
        <v>4931</v>
      </c>
      <c r="N352" s="8" t="str">
        <f>IF(Caja_Arequipa[[#This Row],[TIPO DE R.]]="R","001-"&amp;12002+B352,N351)</f>
        <v>001-12350</v>
      </c>
      <c r="O352" s="8" t="str">
        <f t="shared" si="30"/>
        <v>PEN</v>
      </c>
      <c r="P352" s="13"/>
      <c r="Q352" s="13">
        <v>109.3</v>
      </c>
      <c r="R352" s="3">
        <f t="shared" si="27"/>
        <v>0</v>
      </c>
      <c r="S352" s="3">
        <f t="shared" si="28"/>
        <v>109.3</v>
      </c>
      <c r="T352" s="3">
        <f t="shared" si="29"/>
        <v>2696.1999999999994</v>
      </c>
      <c r="U352" s="24" t="s">
        <v>4927</v>
      </c>
      <c r="V352" s="24"/>
      <c r="W352" s="3"/>
      <c r="X352" s="3" t="s">
        <v>3532</v>
      </c>
      <c r="Y352" s="3" t="s">
        <v>4932</v>
      </c>
      <c r="Z352" s="3"/>
      <c r="AA352" s="3"/>
      <c r="AB352" s="3"/>
      <c r="AC352" s="3" t="str">
        <f>IF(Caja_Arequipa[[#This Row],[FECHA]]&gt;0,TEXT(Caja_Arequipa[[#This Row],[FECHA]],"mmmm"),0)</f>
        <v>Mayo</v>
      </c>
    </row>
    <row r="353" spans="2:29" ht="36" x14ac:dyDescent="0.3">
      <c r="B353" s="2">
        <f>IF(Caja_Arequipa[[#This Row],[TIPO DE R.]]="R",COUNTIFS($D$4:$D352,"R")+1,"")</f>
        <v>349</v>
      </c>
      <c r="C353" s="19" t="str">
        <f t="shared" si="26"/>
        <v>C-Tesoreria</v>
      </c>
      <c r="D353" s="3" t="s">
        <v>1074</v>
      </c>
      <c r="E353" s="14">
        <v>45782</v>
      </c>
      <c r="F353" s="5" t="s">
        <v>1158</v>
      </c>
      <c r="G353" s="5" t="s">
        <v>1079</v>
      </c>
      <c r="H353" s="3" t="s">
        <v>3532</v>
      </c>
      <c r="I353" s="6"/>
      <c r="J353" s="6"/>
      <c r="K353" s="6"/>
      <c r="L353" s="6"/>
      <c r="M353" s="7" t="s">
        <v>4933</v>
      </c>
      <c r="N353" s="8" t="str">
        <f>IF(Caja_Arequipa[[#This Row],[TIPO DE R.]]="R","001-"&amp;12002+B353,N352)</f>
        <v>001-12351</v>
      </c>
      <c r="O353" s="8" t="str">
        <f t="shared" si="30"/>
        <v>PEN</v>
      </c>
      <c r="P353" s="13"/>
      <c r="Q353" s="13">
        <v>40</v>
      </c>
      <c r="R353" s="3">
        <f t="shared" si="27"/>
        <v>0</v>
      </c>
      <c r="S353" s="3">
        <f t="shared" si="28"/>
        <v>40</v>
      </c>
      <c r="T353" s="3">
        <f t="shared" si="29"/>
        <v>2656.1999999999994</v>
      </c>
      <c r="U353" s="24" t="s">
        <v>1081</v>
      </c>
      <c r="V353" s="24"/>
      <c r="W353" s="3"/>
      <c r="X353" s="3" t="s">
        <v>3532</v>
      </c>
      <c r="Y353" s="3" t="s">
        <v>4934</v>
      </c>
      <c r="Z353" s="3"/>
      <c r="AA353" s="3"/>
      <c r="AB353" s="3"/>
      <c r="AC353" s="3" t="str">
        <f>IF(Caja_Arequipa[[#This Row],[FECHA]]&gt;0,TEXT(Caja_Arequipa[[#This Row],[FECHA]],"mmmm"),0)</f>
        <v>Mayo</v>
      </c>
    </row>
    <row r="354" spans="2:29" x14ac:dyDescent="0.3">
      <c r="B354" s="2">
        <f>IF(Caja_Arequipa[[#This Row],[TIPO DE R.]]="R",COUNTIFS($D$4:$D353,"R")+1,"")</f>
        <v>350</v>
      </c>
      <c r="C354" s="19" t="str">
        <f t="shared" si="26"/>
        <v>C-Tesoreria</v>
      </c>
      <c r="D354" s="3" t="s">
        <v>1074</v>
      </c>
      <c r="E354" s="14">
        <v>45783</v>
      </c>
      <c r="F354" s="5" t="s">
        <v>1158</v>
      </c>
      <c r="G354" s="5" t="s">
        <v>1079</v>
      </c>
      <c r="H354" s="3" t="s">
        <v>4314</v>
      </c>
      <c r="I354" s="6"/>
      <c r="J354" s="6"/>
      <c r="K354" s="6"/>
      <c r="L354" s="6"/>
      <c r="M354" s="7" t="s">
        <v>4869</v>
      </c>
      <c r="N354" s="8" t="str">
        <f>IF(Caja_Arequipa[[#This Row],[TIPO DE R.]]="R","001-"&amp;12002+B354,N353)</f>
        <v>001-12352</v>
      </c>
      <c r="O354" s="8" t="str">
        <f t="shared" si="30"/>
        <v>PEN</v>
      </c>
      <c r="P354" s="13"/>
      <c r="Q354" s="13">
        <v>53</v>
      </c>
      <c r="R354" s="3">
        <f t="shared" si="27"/>
        <v>0</v>
      </c>
      <c r="S354" s="3">
        <f t="shared" si="28"/>
        <v>53</v>
      </c>
      <c r="T354" s="3">
        <f t="shared" si="29"/>
        <v>2603.1999999999994</v>
      </c>
      <c r="U354" s="24" t="s">
        <v>1081</v>
      </c>
      <c r="V354" s="24"/>
      <c r="W354" s="3"/>
      <c r="X354" s="3" t="s">
        <v>4314</v>
      </c>
      <c r="Y354" s="3" t="s">
        <v>4935</v>
      </c>
      <c r="Z354" s="3"/>
      <c r="AA354" s="3"/>
      <c r="AB354" s="3"/>
      <c r="AC354" s="3" t="str">
        <f>IF(Caja_Arequipa[[#This Row],[FECHA]]&gt;0,TEXT(Caja_Arequipa[[#This Row],[FECHA]],"mmmm"),0)</f>
        <v>Mayo</v>
      </c>
    </row>
    <row r="355" spans="2:29" x14ac:dyDescent="0.3">
      <c r="B355" s="2">
        <f>IF(Caja_Arequipa[[#This Row],[TIPO DE R.]]="R",COUNTIFS($D$4:$D354,"R")+1,"")</f>
        <v>351</v>
      </c>
      <c r="C355" s="19" t="str">
        <f t="shared" si="26"/>
        <v>C-Tesoreria</v>
      </c>
      <c r="D355" s="3" t="s">
        <v>1074</v>
      </c>
      <c r="E355" s="14">
        <v>45783</v>
      </c>
      <c r="F355" s="5" t="s">
        <v>1158</v>
      </c>
      <c r="G355" s="5" t="s">
        <v>1079</v>
      </c>
      <c r="H355" s="3" t="s">
        <v>4314</v>
      </c>
      <c r="I355" s="6"/>
      <c r="J355" s="6"/>
      <c r="K355" s="6"/>
      <c r="L355" s="6"/>
      <c r="M355" s="7" t="s">
        <v>4871</v>
      </c>
      <c r="N355" s="8" t="str">
        <f>IF(Caja_Arequipa[[#This Row],[TIPO DE R.]]="R","001-"&amp;12002+B355,N354)</f>
        <v>001-12353</v>
      </c>
      <c r="O355" s="8" t="str">
        <f t="shared" si="30"/>
        <v>PEN</v>
      </c>
      <c r="P355" s="13"/>
      <c r="Q355" s="13">
        <v>10</v>
      </c>
      <c r="R355" s="3">
        <f t="shared" si="27"/>
        <v>0</v>
      </c>
      <c r="S355" s="3">
        <f t="shared" si="28"/>
        <v>10</v>
      </c>
      <c r="T355" s="3">
        <f t="shared" si="29"/>
        <v>2593.1999999999994</v>
      </c>
      <c r="U355" s="24" t="s">
        <v>1081</v>
      </c>
      <c r="V355" s="24"/>
      <c r="W355" s="3"/>
      <c r="X355" s="3" t="s">
        <v>4314</v>
      </c>
      <c r="Y355" s="3" t="s">
        <v>4936</v>
      </c>
      <c r="Z355" s="3"/>
      <c r="AA355" s="3"/>
      <c r="AB355" s="3"/>
      <c r="AC355" s="3" t="str">
        <f>IF(Caja_Arequipa[[#This Row],[FECHA]]&gt;0,TEXT(Caja_Arequipa[[#This Row],[FECHA]],"mmmm"),0)</f>
        <v>Mayo</v>
      </c>
    </row>
    <row r="356" spans="2:29" x14ac:dyDescent="0.3">
      <c r="B356" s="2">
        <f>IF(Caja_Arequipa[[#This Row],[TIPO DE R.]]="R",COUNTIFS($D$4:$D355,"R")+1,"")</f>
        <v>352</v>
      </c>
      <c r="C356" s="19" t="str">
        <f t="shared" si="26"/>
        <v>C-Tesoreria</v>
      </c>
      <c r="D356" s="3" t="s">
        <v>1074</v>
      </c>
      <c r="E356" s="14">
        <v>45783</v>
      </c>
      <c r="F356" s="5" t="s">
        <v>1158</v>
      </c>
      <c r="G356" s="5" t="s">
        <v>1079</v>
      </c>
      <c r="H356" s="3" t="s">
        <v>4314</v>
      </c>
      <c r="I356" s="6"/>
      <c r="J356" s="6"/>
      <c r="K356" s="6"/>
      <c r="L356" s="6"/>
      <c r="M356" s="7" t="s">
        <v>4878</v>
      </c>
      <c r="N356" s="8" t="str">
        <f>IF(Caja_Arequipa[[#This Row],[TIPO DE R.]]="R","001-"&amp;12002+B356,N355)</f>
        <v>001-12354</v>
      </c>
      <c r="O356" s="8" t="str">
        <f t="shared" si="30"/>
        <v>PEN</v>
      </c>
      <c r="P356" s="13"/>
      <c r="Q356" s="13">
        <v>56</v>
      </c>
      <c r="R356" s="3">
        <f t="shared" si="27"/>
        <v>0</v>
      </c>
      <c r="S356" s="3">
        <f t="shared" si="28"/>
        <v>56</v>
      </c>
      <c r="T356" s="3">
        <f t="shared" si="29"/>
        <v>2537.1999999999994</v>
      </c>
      <c r="U356" s="24" t="s">
        <v>1081</v>
      </c>
      <c r="V356" s="24"/>
      <c r="W356" s="3"/>
      <c r="X356" s="3" t="s">
        <v>4314</v>
      </c>
      <c r="Y356" s="3" t="s">
        <v>4937</v>
      </c>
      <c r="Z356" s="3"/>
      <c r="AA356" s="3"/>
      <c r="AB356" s="3"/>
      <c r="AC356" s="3" t="str">
        <f>IF(Caja_Arequipa[[#This Row],[FECHA]]&gt;0,TEXT(Caja_Arequipa[[#This Row],[FECHA]],"mmmm"),0)</f>
        <v>Mayo</v>
      </c>
    </row>
    <row r="357" spans="2:29" x14ac:dyDescent="0.3">
      <c r="B357" s="2">
        <f>IF(Caja_Arequipa[[#This Row],[TIPO DE R.]]="R",COUNTIFS($D$4:$D356,"R")+1,"")</f>
        <v>353</v>
      </c>
      <c r="C357" s="19" t="str">
        <f t="shared" si="26"/>
        <v>C-Tesoreria</v>
      </c>
      <c r="D357" s="3" t="s">
        <v>1074</v>
      </c>
      <c r="E357" s="14">
        <v>45783</v>
      </c>
      <c r="F357" s="5" t="s">
        <v>1158</v>
      </c>
      <c r="G357" s="5" t="s">
        <v>1079</v>
      </c>
      <c r="H357" s="3" t="s">
        <v>4314</v>
      </c>
      <c r="I357" s="6"/>
      <c r="J357" s="6"/>
      <c r="K357" s="6"/>
      <c r="L357" s="6"/>
      <c r="M357" s="7" t="s">
        <v>4917</v>
      </c>
      <c r="N357" s="8" t="str">
        <f>IF(Caja_Arequipa[[#This Row],[TIPO DE R.]]="R","001-"&amp;12002+B357,N356)</f>
        <v>001-12355</v>
      </c>
      <c r="O357" s="8" t="str">
        <f t="shared" si="30"/>
        <v>PEN</v>
      </c>
      <c r="P357" s="13"/>
      <c r="Q357" s="13">
        <v>5</v>
      </c>
      <c r="R357" s="3">
        <f t="shared" si="27"/>
        <v>0</v>
      </c>
      <c r="S357" s="3">
        <f t="shared" si="28"/>
        <v>5</v>
      </c>
      <c r="T357" s="3">
        <f t="shared" si="29"/>
        <v>2532.1999999999994</v>
      </c>
      <c r="U357" s="24" t="s">
        <v>1081</v>
      </c>
      <c r="V357" s="24"/>
      <c r="W357" s="3"/>
      <c r="X357" s="3" t="s">
        <v>4314</v>
      </c>
      <c r="Y357" s="3" t="s">
        <v>4938</v>
      </c>
      <c r="Z357" s="3"/>
      <c r="AA357" s="3"/>
      <c r="AB357" s="3"/>
      <c r="AC357" s="3" t="str">
        <f>IF(Caja_Arequipa[[#This Row],[FECHA]]&gt;0,TEXT(Caja_Arequipa[[#This Row],[FECHA]],"mmmm"),0)</f>
        <v>Mayo</v>
      </c>
    </row>
    <row r="358" spans="2:29" x14ac:dyDescent="0.3">
      <c r="B358" s="2">
        <f>IF(Caja_Arequipa[[#This Row],[TIPO DE R.]]="R",COUNTIFS($D$4:$D357,"R")+1,"")</f>
        <v>354</v>
      </c>
      <c r="C358" s="19" t="str">
        <f t="shared" si="26"/>
        <v>C-Tesoreria</v>
      </c>
      <c r="D358" s="3" t="s">
        <v>1074</v>
      </c>
      <c r="E358" s="14">
        <v>45783</v>
      </c>
      <c r="F358" s="5" t="s">
        <v>1158</v>
      </c>
      <c r="G358" s="5" t="s">
        <v>1079</v>
      </c>
      <c r="H358" s="3" t="s">
        <v>4314</v>
      </c>
      <c r="I358" s="6"/>
      <c r="J358" s="6"/>
      <c r="K358" s="6"/>
      <c r="L358" s="6"/>
      <c r="M358" s="7" t="s">
        <v>4923</v>
      </c>
      <c r="N358" s="8" t="str">
        <f>IF(Caja_Arequipa[[#This Row],[TIPO DE R.]]="R","001-"&amp;12002+B358,N357)</f>
        <v>001-12356</v>
      </c>
      <c r="O358" s="8" t="str">
        <f t="shared" si="30"/>
        <v>PEN</v>
      </c>
      <c r="P358" s="13"/>
      <c r="Q358" s="13">
        <v>18</v>
      </c>
      <c r="R358" s="3">
        <f t="shared" si="27"/>
        <v>0</v>
      </c>
      <c r="S358" s="3">
        <f t="shared" si="28"/>
        <v>18</v>
      </c>
      <c r="T358" s="3">
        <f t="shared" si="29"/>
        <v>2514.1999999999994</v>
      </c>
      <c r="U358" s="24" t="s">
        <v>1081</v>
      </c>
      <c r="V358" s="24"/>
      <c r="W358" s="3"/>
      <c r="X358" s="3" t="s">
        <v>4314</v>
      </c>
      <c r="Y358" s="3" t="s">
        <v>4939</v>
      </c>
      <c r="Z358" s="3"/>
      <c r="AA358" s="3"/>
      <c r="AB358" s="3"/>
      <c r="AC358" s="3" t="str">
        <f>IF(Caja_Arequipa[[#This Row],[FECHA]]&gt;0,TEXT(Caja_Arequipa[[#This Row],[FECHA]],"mmmm"),0)</f>
        <v>Mayo</v>
      </c>
    </row>
    <row r="359" spans="2:29" ht="24" x14ac:dyDescent="0.3">
      <c r="B359" s="2">
        <f>IF(Caja_Arequipa[[#This Row],[TIPO DE R.]]="R",COUNTIFS($D$4:$D358,"R")+1,"")</f>
        <v>355</v>
      </c>
      <c r="C359" s="19" t="str">
        <f t="shared" si="26"/>
        <v>C-Tesoreria</v>
      </c>
      <c r="D359" s="3" t="s">
        <v>1074</v>
      </c>
      <c r="E359" s="14">
        <v>45783</v>
      </c>
      <c r="F359" s="5" t="s">
        <v>1158</v>
      </c>
      <c r="G359" s="5" t="s">
        <v>1079</v>
      </c>
      <c r="H359" s="3" t="s">
        <v>3532</v>
      </c>
      <c r="I359" s="6"/>
      <c r="J359" s="6"/>
      <c r="K359" s="6"/>
      <c r="L359" s="6"/>
      <c r="M359" s="7" t="s">
        <v>4940</v>
      </c>
      <c r="N359" s="8" t="str">
        <f>IF(Caja_Arequipa[[#This Row],[TIPO DE R.]]="R","001-"&amp;12002+B359,N358)</f>
        <v>001-12357</v>
      </c>
      <c r="O359" s="8" t="str">
        <f t="shared" si="30"/>
        <v>PEN</v>
      </c>
      <c r="P359" s="13"/>
      <c r="Q359" s="13">
        <v>377.4</v>
      </c>
      <c r="R359" s="3">
        <f t="shared" si="27"/>
        <v>0</v>
      </c>
      <c r="S359" s="3">
        <f t="shared" si="28"/>
        <v>377.4</v>
      </c>
      <c r="T359" s="3">
        <f t="shared" si="29"/>
        <v>2136.7999999999993</v>
      </c>
      <c r="U359" s="24" t="s">
        <v>1081</v>
      </c>
      <c r="V359" s="24"/>
      <c r="W359" s="3"/>
      <c r="X359" s="3" t="s">
        <v>3532</v>
      </c>
      <c r="Y359" s="3" t="s">
        <v>4941</v>
      </c>
      <c r="Z359" s="3"/>
      <c r="AA359" s="3"/>
      <c r="AB359" s="3"/>
      <c r="AC359" s="3" t="str">
        <f>IF(Caja_Arequipa[[#This Row],[FECHA]]&gt;0,TEXT(Caja_Arequipa[[#This Row],[FECHA]],"mmmm"),0)</f>
        <v>Mayo</v>
      </c>
    </row>
    <row r="360" spans="2:29" x14ac:dyDescent="0.3">
      <c r="B360" s="2">
        <f>IF(Caja_Arequipa[[#This Row],[TIPO DE R.]]="R",COUNTIFS($D$4:$D359,"R")+1,"")</f>
        <v>356</v>
      </c>
      <c r="C360" s="19" t="str">
        <f t="shared" si="26"/>
        <v>C-Tesoreria</v>
      </c>
      <c r="D360" s="3" t="s">
        <v>1074</v>
      </c>
      <c r="E360" s="14">
        <v>45785</v>
      </c>
      <c r="F360" s="5" t="s">
        <v>1996</v>
      </c>
      <c r="G360" s="5" t="s">
        <v>1079</v>
      </c>
      <c r="H360" s="3" t="s">
        <v>3016</v>
      </c>
      <c r="I360" s="6"/>
      <c r="J360" s="6"/>
      <c r="K360" s="6"/>
      <c r="L360" s="6"/>
      <c r="M360" s="7" t="s">
        <v>4942</v>
      </c>
      <c r="N360" s="8" t="str">
        <f>IF(Caja_Arequipa[[#This Row],[TIPO DE R.]]="R","001-"&amp;12002+B360,N359)</f>
        <v>001-12358</v>
      </c>
      <c r="O360" s="8" t="str">
        <f t="shared" si="30"/>
        <v>PEN</v>
      </c>
      <c r="P360" s="13"/>
      <c r="Q360" s="13">
        <v>11</v>
      </c>
      <c r="R360" s="3">
        <f t="shared" si="27"/>
        <v>0</v>
      </c>
      <c r="S360" s="3">
        <f t="shared" si="28"/>
        <v>11</v>
      </c>
      <c r="T360" s="3">
        <f t="shared" si="29"/>
        <v>2125.7999999999993</v>
      </c>
      <c r="U360" s="24" t="s">
        <v>1081</v>
      </c>
      <c r="V360" s="24"/>
      <c r="W360" s="3"/>
      <c r="X360" s="3" t="s">
        <v>3016</v>
      </c>
      <c r="Y360" s="3" t="s">
        <v>4943</v>
      </c>
      <c r="Z360" s="3"/>
      <c r="AA360" s="3"/>
      <c r="AB360" s="3"/>
      <c r="AC360" s="3" t="str">
        <f>IF(Caja_Arequipa[[#This Row],[FECHA]]&gt;0,TEXT(Caja_Arequipa[[#This Row],[FECHA]],"mmmm"),0)</f>
        <v>Mayo</v>
      </c>
    </row>
    <row r="361" spans="2:29" x14ac:dyDescent="0.3">
      <c r="B361" s="2">
        <f>IF(Caja_Arequipa[[#This Row],[TIPO DE R.]]="R",COUNTIFS($D$4:$D360,"R")+1,"")</f>
        <v>357</v>
      </c>
      <c r="C361" s="19" t="str">
        <f t="shared" si="26"/>
        <v>C-Tesoreria</v>
      </c>
      <c r="D361" s="3" t="s">
        <v>1074</v>
      </c>
      <c r="E361" s="14">
        <v>45785</v>
      </c>
      <c r="F361" s="5" t="s">
        <v>1996</v>
      </c>
      <c r="G361" s="5" t="s">
        <v>1079</v>
      </c>
      <c r="H361" s="3" t="s">
        <v>3532</v>
      </c>
      <c r="I361" s="6"/>
      <c r="J361" s="6"/>
      <c r="K361" s="6"/>
      <c r="L361" s="6"/>
      <c r="M361" s="7" t="s">
        <v>4944</v>
      </c>
      <c r="N361" s="8" t="str">
        <f>IF(Caja_Arequipa[[#This Row],[TIPO DE R.]]="R","001-"&amp;12002+B361,N360)</f>
        <v>001-12359</v>
      </c>
      <c r="O361" s="8" t="str">
        <f t="shared" si="30"/>
        <v>PEN</v>
      </c>
      <c r="P361" s="13"/>
      <c r="Q361" s="13">
        <v>24</v>
      </c>
      <c r="R361" s="3">
        <f t="shared" si="27"/>
        <v>0</v>
      </c>
      <c r="S361" s="3">
        <f t="shared" si="28"/>
        <v>24</v>
      </c>
      <c r="T361" s="3">
        <f t="shared" si="29"/>
        <v>2101.7999999999993</v>
      </c>
      <c r="U361" s="24" t="s">
        <v>1081</v>
      </c>
      <c r="V361" s="24"/>
      <c r="W361" s="3"/>
      <c r="X361" s="3" t="s">
        <v>3532</v>
      </c>
      <c r="Y361" s="3" t="s">
        <v>4945</v>
      </c>
      <c r="Z361" s="3"/>
      <c r="AA361" s="3"/>
      <c r="AB361" s="3"/>
      <c r="AC361" s="3" t="str">
        <f>IF(Caja_Arequipa[[#This Row],[FECHA]]&gt;0,TEXT(Caja_Arequipa[[#This Row],[FECHA]],"mmmm"),0)</f>
        <v>Mayo</v>
      </c>
    </row>
    <row r="362" spans="2:29" x14ac:dyDescent="0.3">
      <c r="B362" s="2">
        <f>IF(Caja_Arequipa[[#This Row],[TIPO DE R.]]="R",COUNTIFS($D$4:$D361,"R")+1,"")</f>
        <v>358</v>
      </c>
      <c r="C362" s="19" t="str">
        <f t="shared" si="26"/>
        <v>C-Tesoreria</v>
      </c>
      <c r="D362" s="3" t="s">
        <v>1074</v>
      </c>
      <c r="E362" s="14">
        <v>45785</v>
      </c>
      <c r="F362" s="5" t="s">
        <v>1996</v>
      </c>
      <c r="G362" s="5" t="s">
        <v>1079</v>
      </c>
      <c r="H362" s="3" t="s">
        <v>4501</v>
      </c>
      <c r="I362" s="6"/>
      <c r="J362" s="6"/>
      <c r="K362" s="6"/>
      <c r="L362" s="6"/>
      <c r="M362" s="7" t="s">
        <v>4946</v>
      </c>
      <c r="N362" s="8" t="str">
        <f>IF(Caja_Arequipa[[#This Row],[TIPO DE R.]]="R","001-"&amp;12002+B362,N361)</f>
        <v>001-12360</v>
      </c>
      <c r="O362" s="8" t="str">
        <f t="shared" si="30"/>
        <v>PEN</v>
      </c>
      <c r="P362" s="13"/>
      <c r="Q362" s="13">
        <v>18</v>
      </c>
      <c r="R362" s="3">
        <f t="shared" si="27"/>
        <v>0</v>
      </c>
      <c r="S362" s="3">
        <f t="shared" si="28"/>
        <v>18</v>
      </c>
      <c r="T362" s="3">
        <f t="shared" si="29"/>
        <v>2083.7999999999993</v>
      </c>
      <c r="U362" s="24" t="s">
        <v>1081</v>
      </c>
      <c r="V362" s="24"/>
      <c r="W362" s="3"/>
      <c r="X362" s="3" t="s">
        <v>4501</v>
      </c>
      <c r="Y362" s="3" t="s">
        <v>4947</v>
      </c>
      <c r="Z362" s="3"/>
      <c r="AA362" s="3"/>
      <c r="AB362" s="3"/>
      <c r="AC362" s="3" t="str">
        <f>IF(Caja_Arequipa[[#This Row],[FECHA]]&gt;0,TEXT(Caja_Arequipa[[#This Row],[FECHA]],"mmmm"),0)</f>
        <v>Mayo</v>
      </c>
    </row>
    <row r="363" spans="2:29" x14ac:dyDescent="0.3">
      <c r="B363" s="2">
        <f>IF(Caja_Arequipa[[#This Row],[TIPO DE R.]]="R",COUNTIFS($D$4:$D362,"R")+1,"")</f>
        <v>359</v>
      </c>
      <c r="C363" s="19" t="str">
        <f t="shared" si="26"/>
        <v>C-Tesoreria</v>
      </c>
      <c r="D363" s="3" t="s">
        <v>1074</v>
      </c>
      <c r="E363" s="14">
        <v>45786</v>
      </c>
      <c r="F363" s="5" t="s">
        <v>1158</v>
      </c>
      <c r="G363" s="5" t="s">
        <v>1087</v>
      </c>
      <c r="H363" s="3" t="s">
        <v>3353</v>
      </c>
      <c r="I363" s="6"/>
      <c r="J363" s="6"/>
      <c r="K363" s="6"/>
      <c r="L363" s="6"/>
      <c r="M363" s="7" t="s">
        <v>4394</v>
      </c>
      <c r="N363" s="8" t="str">
        <f>IF(Caja_Arequipa[[#This Row],[TIPO DE R.]]="R","001-"&amp;12002+B363,N362)</f>
        <v>001-12361</v>
      </c>
      <c r="O363" s="8" t="str">
        <f t="shared" si="30"/>
        <v>PEN</v>
      </c>
      <c r="P363" s="13"/>
      <c r="Q363" s="13">
        <v>350</v>
      </c>
      <c r="R363" s="3">
        <f t="shared" si="27"/>
        <v>350</v>
      </c>
      <c r="S363" s="3">
        <f t="shared" si="28"/>
        <v>0</v>
      </c>
      <c r="T363" s="3">
        <f t="shared" si="29"/>
        <v>2433.7999999999993</v>
      </c>
      <c r="U363" s="24"/>
      <c r="V363" s="24"/>
      <c r="W363" s="3"/>
      <c r="X363" s="3" t="s">
        <v>3353</v>
      </c>
      <c r="Y363" s="3"/>
      <c r="Z363" s="3"/>
      <c r="AA363" s="3"/>
      <c r="AB363" s="3"/>
      <c r="AC363" s="3" t="str">
        <f>IF(Caja_Arequipa[[#This Row],[FECHA]]&gt;0,TEXT(Caja_Arequipa[[#This Row],[FECHA]],"mmmm"),0)</f>
        <v>Mayo</v>
      </c>
    </row>
    <row r="364" spans="2:29" ht="24" x14ac:dyDescent="0.3">
      <c r="B364" s="2">
        <f>IF(Caja_Arequipa[[#This Row],[TIPO DE R.]]="R",COUNTIFS($D$4:$D363,"R")+1,"")</f>
        <v>360</v>
      </c>
      <c r="C364" s="19" t="str">
        <f t="shared" si="26"/>
        <v>C-Tesoreria</v>
      </c>
      <c r="D364" s="3" t="s">
        <v>1074</v>
      </c>
      <c r="E364" s="14">
        <v>45786</v>
      </c>
      <c r="F364" s="5" t="s">
        <v>1996</v>
      </c>
      <c r="G364" s="5" t="s">
        <v>1079</v>
      </c>
      <c r="H364" s="3" t="s">
        <v>3016</v>
      </c>
      <c r="I364" s="6"/>
      <c r="J364" s="6" t="s">
        <v>74</v>
      </c>
      <c r="K364" s="6">
        <v>1</v>
      </c>
      <c r="L364" s="6">
        <v>128</v>
      </c>
      <c r="M364" s="7" t="s">
        <v>4948</v>
      </c>
      <c r="N364" s="8" t="str">
        <f>IF(Caja_Arequipa[[#This Row],[TIPO DE R.]]="R","001-"&amp;12002+B364,N363)</f>
        <v>001-12362</v>
      </c>
      <c r="O364" s="8" t="str">
        <f t="shared" si="30"/>
        <v>PEN</v>
      </c>
      <c r="P364" s="13"/>
      <c r="Q364" s="13">
        <v>64</v>
      </c>
      <c r="R364" s="3">
        <f t="shared" si="27"/>
        <v>0</v>
      </c>
      <c r="S364" s="3">
        <f t="shared" si="28"/>
        <v>64</v>
      </c>
      <c r="T364" s="3">
        <f t="shared" si="29"/>
        <v>2369.7999999999993</v>
      </c>
      <c r="U364" s="24"/>
      <c r="V364" s="24"/>
      <c r="W364" s="3"/>
      <c r="X364" s="3" t="s">
        <v>3016</v>
      </c>
      <c r="Y364" s="3" t="s">
        <v>4949</v>
      </c>
      <c r="Z364" s="3"/>
      <c r="AA364" s="3"/>
      <c r="AB364" s="3"/>
      <c r="AC364" s="3" t="str">
        <f>IF(Caja_Arequipa[[#This Row],[FECHA]]&gt;0,TEXT(Caja_Arequipa[[#This Row],[FECHA]],"mmmm"),0)</f>
        <v>Mayo</v>
      </c>
    </row>
    <row r="365" spans="2:29" x14ac:dyDescent="0.3">
      <c r="B365" s="2">
        <f>IF(Caja_Arequipa[[#This Row],[TIPO DE R.]]="R",COUNTIFS($D$4:$D364,"R")+1,"")</f>
        <v>361</v>
      </c>
      <c r="C365" s="19" t="str">
        <f t="shared" si="26"/>
        <v>C-Tesoreria</v>
      </c>
      <c r="D365" s="3" t="s">
        <v>1074</v>
      </c>
      <c r="E365" s="14">
        <v>45786</v>
      </c>
      <c r="F365" s="5" t="s">
        <v>1996</v>
      </c>
      <c r="G365" s="5" t="s">
        <v>1079</v>
      </c>
      <c r="H365" s="3" t="s">
        <v>4433</v>
      </c>
      <c r="I365" s="6"/>
      <c r="J365" s="6"/>
      <c r="K365" s="6"/>
      <c r="L365" s="6"/>
      <c r="M365" s="7" t="s">
        <v>4950</v>
      </c>
      <c r="N365" s="8" t="str">
        <f>IF(Caja_Arequipa[[#This Row],[TIPO DE R.]]="R","001-"&amp;12002+B365,N364)</f>
        <v>001-12363</v>
      </c>
      <c r="O365" s="8" t="str">
        <f t="shared" si="30"/>
        <v>PEN</v>
      </c>
      <c r="P365" s="13"/>
      <c r="Q365" s="13">
        <v>35</v>
      </c>
      <c r="R365" s="3">
        <f t="shared" si="27"/>
        <v>0</v>
      </c>
      <c r="S365" s="3">
        <f t="shared" si="28"/>
        <v>35</v>
      </c>
      <c r="T365" s="3">
        <f t="shared" si="29"/>
        <v>2334.7999999999993</v>
      </c>
      <c r="U365" s="24" t="s">
        <v>1081</v>
      </c>
      <c r="V365" s="24"/>
      <c r="W365" s="3"/>
      <c r="X365" s="3" t="s">
        <v>4433</v>
      </c>
      <c r="Y365" s="3" t="s">
        <v>4951</v>
      </c>
      <c r="Z365" s="3"/>
      <c r="AA365" s="3"/>
      <c r="AB365" s="3"/>
      <c r="AC365" s="3" t="str">
        <f>IF(Caja_Arequipa[[#This Row],[FECHA]]&gt;0,TEXT(Caja_Arequipa[[#This Row],[FECHA]],"mmmm"),0)</f>
        <v>Mayo</v>
      </c>
    </row>
    <row r="366" spans="2:29" x14ac:dyDescent="0.3">
      <c r="B366" s="2">
        <f>IF(Caja_Arequipa[[#This Row],[TIPO DE R.]]="R",COUNTIFS($D$4:$D365,"R")+1,"")</f>
        <v>362</v>
      </c>
      <c r="C366" s="19" t="str">
        <f t="shared" si="26"/>
        <v>C-Tesoreria</v>
      </c>
      <c r="D366" s="3" t="s">
        <v>1074</v>
      </c>
      <c r="E366" s="14">
        <v>45786</v>
      </c>
      <c r="F366" s="5" t="s">
        <v>1996</v>
      </c>
      <c r="G366" s="5" t="s">
        <v>1079</v>
      </c>
      <c r="H366" s="3" t="s">
        <v>4433</v>
      </c>
      <c r="I366" s="6"/>
      <c r="J366" s="6"/>
      <c r="K366" s="6"/>
      <c r="L366" s="6"/>
      <c r="M366" s="7" t="s">
        <v>4601</v>
      </c>
      <c r="N366" s="8" t="str">
        <f>IF(Caja_Arequipa[[#This Row],[TIPO DE R.]]="R","001-"&amp;12002+B366,N365)</f>
        <v>001-12364</v>
      </c>
      <c r="O366" s="8" t="str">
        <f t="shared" si="30"/>
        <v>PEN</v>
      </c>
      <c r="P366" s="13"/>
      <c r="Q366" s="13">
        <v>30</v>
      </c>
      <c r="R366" s="3">
        <f t="shared" si="27"/>
        <v>0</v>
      </c>
      <c r="S366" s="3">
        <f t="shared" si="28"/>
        <v>30</v>
      </c>
      <c r="T366" s="3">
        <f t="shared" si="29"/>
        <v>2304.7999999999993</v>
      </c>
      <c r="U366" s="24" t="s">
        <v>1081</v>
      </c>
      <c r="V366" s="24"/>
      <c r="W366" s="3"/>
      <c r="X366" s="3" t="s">
        <v>4433</v>
      </c>
      <c r="Y366" s="3" t="s">
        <v>4952</v>
      </c>
      <c r="Z366" s="3"/>
      <c r="AA366" s="3"/>
      <c r="AB366" s="3"/>
      <c r="AC366" s="3" t="str">
        <f>IF(Caja_Arequipa[[#This Row],[FECHA]]&gt;0,TEXT(Caja_Arequipa[[#This Row],[FECHA]],"mmmm"),0)</f>
        <v>Mayo</v>
      </c>
    </row>
    <row r="367" spans="2:29" x14ac:dyDescent="0.3">
      <c r="B367" s="2">
        <f>IF(Caja_Arequipa[[#This Row],[TIPO DE R.]]="R",COUNTIFS($D$4:$D366,"R")+1,"")</f>
        <v>363</v>
      </c>
      <c r="C367" s="19" t="str">
        <f t="shared" si="26"/>
        <v>C-Tesoreria</v>
      </c>
      <c r="D367" s="3" t="s">
        <v>1074</v>
      </c>
      <c r="E367" s="14">
        <v>45786</v>
      </c>
      <c r="F367" s="5" t="s">
        <v>1996</v>
      </c>
      <c r="G367" s="5" t="s">
        <v>1079</v>
      </c>
      <c r="H367" s="3" t="s">
        <v>4433</v>
      </c>
      <c r="I367" s="6"/>
      <c r="J367" s="6"/>
      <c r="K367" s="6"/>
      <c r="L367" s="6"/>
      <c r="M367" s="7" t="s">
        <v>4953</v>
      </c>
      <c r="N367" s="8" t="str">
        <f>IF(Caja_Arequipa[[#This Row],[TIPO DE R.]]="R","001-"&amp;12002+B367,N366)</f>
        <v>001-12365</v>
      </c>
      <c r="O367" s="8" t="str">
        <f t="shared" si="30"/>
        <v>PEN</v>
      </c>
      <c r="P367" s="13"/>
      <c r="Q367" s="13">
        <v>14</v>
      </c>
      <c r="R367" s="3">
        <f t="shared" si="27"/>
        <v>0</v>
      </c>
      <c r="S367" s="3">
        <f t="shared" si="28"/>
        <v>14</v>
      </c>
      <c r="T367" s="3">
        <f t="shared" si="29"/>
        <v>2290.7999999999993</v>
      </c>
      <c r="U367" s="24" t="s">
        <v>1081</v>
      </c>
      <c r="V367" s="24"/>
      <c r="W367" s="3"/>
      <c r="X367" s="3" t="s">
        <v>4433</v>
      </c>
      <c r="Y367" s="3" t="s">
        <v>4954</v>
      </c>
      <c r="Z367" s="3"/>
      <c r="AA367" s="3"/>
      <c r="AB367" s="3"/>
      <c r="AC367" s="3" t="str">
        <f>IF(Caja_Arequipa[[#This Row],[FECHA]]&gt;0,TEXT(Caja_Arequipa[[#This Row],[FECHA]],"mmmm"),0)</f>
        <v>Mayo</v>
      </c>
    </row>
    <row r="368" spans="2:29" ht="60" x14ac:dyDescent="0.3">
      <c r="B368" s="2">
        <f>IF(Caja_Arequipa[[#This Row],[TIPO DE R.]]="R",COUNTIFS($D$4:$D367,"R")+1,"")</f>
        <v>364</v>
      </c>
      <c r="C368" s="19" t="str">
        <f t="shared" si="26"/>
        <v>C-Tesoreria</v>
      </c>
      <c r="D368" s="3" t="s">
        <v>1074</v>
      </c>
      <c r="E368" s="14">
        <v>45786</v>
      </c>
      <c r="F368" s="5" t="s">
        <v>1996</v>
      </c>
      <c r="G368" s="5" t="s">
        <v>1079</v>
      </c>
      <c r="H368" s="3" t="s">
        <v>4329</v>
      </c>
      <c r="I368" s="6"/>
      <c r="J368" s="6"/>
      <c r="K368" s="6"/>
      <c r="L368" s="6"/>
      <c r="M368" s="7" t="s">
        <v>4955</v>
      </c>
      <c r="N368" s="8" t="str">
        <f>IF(Caja_Arequipa[[#This Row],[TIPO DE R.]]="R","001-"&amp;12002+B368,N367)</f>
        <v>001-12366</v>
      </c>
      <c r="O368" s="8" t="str">
        <f t="shared" si="30"/>
        <v>PEN</v>
      </c>
      <c r="P368" s="13"/>
      <c r="Q368" s="13">
        <v>140</v>
      </c>
      <c r="R368" s="3">
        <f t="shared" si="27"/>
        <v>0</v>
      </c>
      <c r="S368" s="3">
        <f t="shared" si="28"/>
        <v>140</v>
      </c>
      <c r="T368" s="3">
        <f t="shared" si="29"/>
        <v>2150.7999999999993</v>
      </c>
      <c r="U368" s="24" t="s">
        <v>1081</v>
      </c>
      <c r="V368" s="24"/>
      <c r="W368" s="3"/>
      <c r="X368" s="3" t="s">
        <v>4329</v>
      </c>
      <c r="Y368" s="3" t="s">
        <v>4956</v>
      </c>
      <c r="Z368" s="3"/>
      <c r="AA368" s="3"/>
      <c r="AB368" s="3"/>
      <c r="AC368" s="3" t="str">
        <f>IF(Caja_Arequipa[[#This Row],[FECHA]]&gt;0,TEXT(Caja_Arequipa[[#This Row],[FECHA]],"mmmm"),0)</f>
        <v>Mayo</v>
      </c>
    </row>
    <row r="369" spans="2:29" ht="24" x14ac:dyDescent="0.3">
      <c r="B369" s="2">
        <f>IF(Caja_Arequipa[[#This Row],[TIPO DE R.]]="R",COUNTIFS($D$4:$D368,"R")+1,"")</f>
        <v>365</v>
      </c>
      <c r="C369" s="19" t="str">
        <f t="shared" si="26"/>
        <v>C-Tesoreria</v>
      </c>
      <c r="D369" s="3" t="s">
        <v>1074</v>
      </c>
      <c r="E369" s="14">
        <v>45786</v>
      </c>
      <c r="F369" s="5" t="s">
        <v>1996</v>
      </c>
      <c r="G369" s="5" t="s">
        <v>1079</v>
      </c>
      <c r="H369" s="3" t="s">
        <v>3532</v>
      </c>
      <c r="I369" s="6"/>
      <c r="J369" s="6"/>
      <c r="K369" s="6"/>
      <c r="L369" s="6"/>
      <c r="M369" s="7" t="s">
        <v>4957</v>
      </c>
      <c r="N369" s="8" t="str">
        <f>IF(Caja_Arequipa[[#This Row],[TIPO DE R.]]="R","001-"&amp;12002+B369,N368)</f>
        <v>001-12367</v>
      </c>
      <c r="O369" s="8" t="str">
        <f t="shared" si="30"/>
        <v>PEN</v>
      </c>
      <c r="P369" s="13"/>
      <c r="Q369" s="13">
        <v>80</v>
      </c>
      <c r="R369" s="3">
        <f t="shared" si="27"/>
        <v>0</v>
      </c>
      <c r="S369" s="3">
        <f t="shared" si="28"/>
        <v>80</v>
      </c>
      <c r="T369" s="3">
        <f t="shared" si="29"/>
        <v>2070.7999999999993</v>
      </c>
      <c r="U369" s="24" t="s">
        <v>1081</v>
      </c>
      <c r="V369" s="24"/>
      <c r="W369" s="3"/>
      <c r="X369" s="3" t="s">
        <v>3532</v>
      </c>
      <c r="Y369" s="3" t="s">
        <v>4958</v>
      </c>
      <c r="Z369" s="3"/>
      <c r="AA369" s="3"/>
      <c r="AB369" s="3"/>
      <c r="AC369" s="3" t="str">
        <f>IF(Caja_Arequipa[[#This Row],[FECHA]]&gt;0,TEXT(Caja_Arequipa[[#This Row],[FECHA]],"mmmm"),0)</f>
        <v>Mayo</v>
      </c>
    </row>
    <row r="370" spans="2:29" x14ac:dyDescent="0.3">
      <c r="B370" s="2">
        <f>IF(Caja_Arequipa[[#This Row],[TIPO DE R.]]="R",COUNTIFS($D$4:$D369,"R")+1,"")</f>
        <v>366</v>
      </c>
      <c r="C370" s="19" t="str">
        <f t="shared" si="26"/>
        <v>C-Tesoreria</v>
      </c>
      <c r="D370" s="3" t="s">
        <v>1074</v>
      </c>
      <c r="E370" s="14">
        <v>45789</v>
      </c>
      <c r="F370" s="5" t="s">
        <v>1158</v>
      </c>
      <c r="G370" s="5" t="s">
        <v>1087</v>
      </c>
      <c r="H370" s="3" t="s">
        <v>3353</v>
      </c>
      <c r="I370" s="6"/>
      <c r="J370" s="6"/>
      <c r="K370" s="6"/>
      <c r="L370" s="6"/>
      <c r="M370" s="7" t="s">
        <v>4394</v>
      </c>
      <c r="N370" s="8" t="str">
        <f>IF(Caja_Arequipa[[#This Row],[TIPO DE R.]]="R","001-"&amp;12002+B370,N369)</f>
        <v>001-12368</v>
      </c>
      <c r="O370" s="8" t="str">
        <f t="shared" si="30"/>
        <v>PEN</v>
      </c>
      <c r="P370" s="13"/>
      <c r="Q370" s="13">
        <v>100</v>
      </c>
      <c r="R370" s="3">
        <f t="shared" si="27"/>
        <v>100</v>
      </c>
      <c r="S370" s="3">
        <f t="shared" si="28"/>
        <v>0</v>
      </c>
      <c r="T370" s="3">
        <f t="shared" si="29"/>
        <v>2170.7999999999993</v>
      </c>
      <c r="U370" s="24"/>
      <c r="V370" s="24"/>
      <c r="W370" s="3"/>
      <c r="X370" s="3" t="s">
        <v>3353</v>
      </c>
      <c r="Y370" s="3"/>
      <c r="Z370" s="3"/>
      <c r="AA370" s="3"/>
      <c r="AB370" s="3"/>
      <c r="AC370" s="3" t="str">
        <f>IF(Caja_Arequipa[[#This Row],[FECHA]]&gt;0,TEXT(Caja_Arequipa[[#This Row],[FECHA]],"mmmm"),0)</f>
        <v>Mayo</v>
      </c>
    </row>
    <row r="371" spans="2:29" ht="24" x14ac:dyDescent="0.3">
      <c r="B371" s="2">
        <f>IF(Caja_Arequipa[[#This Row],[TIPO DE R.]]="R",COUNTIFS($D$4:$D370,"R")+1,"")</f>
        <v>367</v>
      </c>
      <c r="C371" s="19" t="str">
        <f t="shared" si="26"/>
        <v>C-Tesoreria</v>
      </c>
      <c r="D371" s="3" t="s">
        <v>1074</v>
      </c>
      <c r="E371" s="14">
        <v>45789</v>
      </c>
      <c r="F371" s="5" t="s">
        <v>1158</v>
      </c>
      <c r="G371" s="5" t="s">
        <v>1079</v>
      </c>
      <c r="H371" s="3" t="s">
        <v>3016</v>
      </c>
      <c r="I371" s="6"/>
      <c r="J371" s="6"/>
      <c r="K371" s="6"/>
      <c r="L371" s="6"/>
      <c r="M371" s="7" t="s">
        <v>4959</v>
      </c>
      <c r="N371" s="8" t="str">
        <f>IF(Caja_Arequipa[[#This Row],[TIPO DE R.]]="R","001-"&amp;12002+B371,N370)</f>
        <v>001-12369</v>
      </c>
      <c r="O371" s="8" t="str">
        <f t="shared" si="30"/>
        <v>PEN</v>
      </c>
      <c r="P371" s="13"/>
      <c r="Q371" s="13">
        <v>65</v>
      </c>
      <c r="R371" s="3">
        <f t="shared" si="27"/>
        <v>0</v>
      </c>
      <c r="S371" s="3">
        <f t="shared" si="28"/>
        <v>65</v>
      </c>
      <c r="T371" s="3">
        <f t="shared" si="29"/>
        <v>2105.7999999999993</v>
      </c>
      <c r="U371" s="24" t="s">
        <v>1081</v>
      </c>
      <c r="V371" s="24"/>
      <c r="W371" s="3"/>
      <c r="X371" s="3" t="s">
        <v>3016</v>
      </c>
      <c r="Y371" s="3" t="s">
        <v>4960</v>
      </c>
      <c r="Z371" s="3"/>
      <c r="AA371" s="3"/>
      <c r="AB371" s="3"/>
      <c r="AC371" s="3" t="str">
        <f>IF(Caja_Arequipa[[#This Row],[FECHA]]&gt;0,TEXT(Caja_Arequipa[[#This Row],[FECHA]],"mmmm"),0)</f>
        <v>Mayo</v>
      </c>
    </row>
    <row r="372" spans="2:29" x14ac:dyDescent="0.3">
      <c r="B372" s="2">
        <f>IF(Caja_Arequipa[[#This Row],[TIPO DE R.]]="R",COUNTIFS($D$4:$D371,"R")+1,"")</f>
        <v>368</v>
      </c>
      <c r="C372" s="19" t="str">
        <f t="shared" si="26"/>
        <v>C-Tesoreria</v>
      </c>
      <c r="D372" s="3" t="s">
        <v>1074</v>
      </c>
      <c r="E372" s="14">
        <v>45791</v>
      </c>
      <c r="F372" s="5" t="s">
        <v>1996</v>
      </c>
      <c r="G372" s="5" t="s">
        <v>1079</v>
      </c>
      <c r="H372" s="3" t="s">
        <v>4303</v>
      </c>
      <c r="I372" s="6"/>
      <c r="J372" s="6"/>
      <c r="K372" s="6"/>
      <c r="L372" s="6"/>
      <c r="M372" s="7" t="s">
        <v>4961</v>
      </c>
      <c r="N372" s="8" t="str">
        <f>IF(Caja_Arequipa[[#This Row],[TIPO DE R.]]="R","001-"&amp;12002+B372,N371)</f>
        <v>001-12370</v>
      </c>
      <c r="O372" s="8" t="str">
        <f t="shared" si="30"/>
        <v>PEN</v>
      </c>
      <c r="P372" s="13"/>
      <c r="Q372" s="13">
        <v>16</v>
      </c>
      <c r="R372" s="3">
        <f t="shared" si="27"/>
        <v>0</v>
      </c>
      <c r="S372" s="3">
        <f t="shared" si="28"/>
        <v>16</v>
      </c>
      <c r="T372" s="3">
        <f t="shared" si="29"/>
        <v>2089.7999999999993</v>
      </c>
      <c r="U372" s="24" t="s">
        <v>1081</v>
      </c>
      <c r="V372" s="24"/>
      <c r="W372" s="3"/>
      <c r="X372" s="3" t="s">
        <v>4303</v>
      </c>
      <c r="Y372" s="3" t="s">
        <v>4962</v>
      </c>
      <c r="Z372" s="3"/>
      <c r="AA372" s="3"/>
      <c r="AB372" s="3"/>
      <c r="AC372" s="3" t="str">
        <f>IF(Caja_Arequipa[[#This Row],[FECHA]]&gt;0,TEXT(Caja_Arequipa[[#This Row],[FECHA]],"mmmm"),0)</f>
        <v>Mayo</v>
      </c>
    </row>
    <row r="373" spans="2:29" x14ac:dyDescent="0.3">
      <c r="B373" s="2">
        <f>IF(Caja_Arequipa[[#This Row],[TIPO DE R.]]="R",COUNTIFS($D$4:$D372,"R")+1,"")</f>
        <v>369</v>
      </c>
      <c r="C373" s="19" t="str">
        <f t="shared" si="26"/>
        <v>C-Tesoreria</v>
      </c>
      <c r="D373" s="3" t="s">
        <v>1074</v>
      </c>
      <c r="E373" s="14">
        <v>45793</v>
      </c>
      <c r="F373" s="5" t="s">
        <v>1158</v>
      </c>
      <c r="G373" s="5" t="s">
        <v>1079</v>
      </c>
      <c r="H373" s="3" t="s">
        <v>4912</v>
      </c>
      <c r="I373" s="6"/>
      <c r="J373" s="6"/>
      <c r="K373" s="6"/>
      <c r="L373" s="6"/>
      <c r="M373" s="7" t="s">
        <v>4963</v>
      </c>
      <c r="N373" s="8" t="str">
        <f>IF(Caja_Arequipa[[#This Row],[TIPO DE R.]]="R","001-"&amp;12002+B373,N372)</f>
        <v>001-12371</v>
      </c>
      <c r="O373" s="8" t="str">
        <f t="shared" si="30"/>
        <v>PEN</v>
      </c>
      <c r="P373" s="13"/>
      <c r="Q373" s="13">
        <v>10</v>
      </c>
      <c r="R373" s="3">
        <f t="shared" si="27"/>
        <v>0</v>
      </c>
      <c r="S373" s="3">
        <f t="shared" si="28"/>
        <v>10</v>
      </c>
      <c r="T373" s="3">
        <f t="shared" si="29"/>
        <v>2079.7999999999993</v>
      </c>
      <c r="U373" s="24" t="s">
        <v>1081</v>
      </c>
      <c r="V373" s="24"/>
      <c r="W373" s="3"/>
      <c r="X373" s="3" t="s">
        <v>4912</v>
      </c>
      <c r="Y373" s="3" t="s">
        <v>4964</v>
      </c>
      <c r="Z373" s="3"/>
      <c r="AA373" s="3"/>
      <c r="AB373" s="3"/>
      <c r="AC373" s="3" t="str">
        <f>IF(Caja_Arequipa[[#This Row],[FECHA]]&gt;0,TEXT(Caja_Arequipa[[#This Row],[FECHA]],"mmmm"),0)</f>
        <v>Mayo</v>
      </c>
    </row>
    <row r="374" spans="2:29" x14ac:dyDescent="0.3">
      <c r="B374" s="2">
        <f>IF(Caja_Arequipa[[#This Row],[TIPO DE R.]]="R",COUNTIFS($D$4:$D373,"R")+1,"")</f>
        <v>370</v>
      </c>
      <c r="C374" s="19" t="str">
        <f t="shared" si="26"/>
        <v>C-Tesoreria</v>
      </c>
      <c r="D374" s="3" t="s">
        <v>1074</v>
      </c>
      <c r="E374" s="14">
        <v>45798</v>
      </c>
      <c r="F374" s="5" t="s">
        <v>1158</v>
      </c>
      <c r="G374" s="5" t="s">
        <v>1087</v>
      </c>
      <c r="H374" s="3" t="s">
        <v>3353</v>
      </c>
      <c r="I374" s="6"/>
      <c r="J374" s="6"/>
      <c r="K374" s="6"/>
      <c r="L374" s="6"/>
      <c r="M374" s="7" t="s">
        <v>4965</v>
      </c>
      <c r="N374" s="8" t="str">
        <f>IF(Caja_Arequipa[[#This Row],[TIPO DE R.]]="R","001-"&amp;12002+B374,N373)</f>
        <v>001-12372</v>
      </c>
      <c r="O374" s="8" t="str">
        <f t="shared" si="30"/>
        <v>PEN</v>
      </c>
      <c r="P374" s="13"/>
      <c r="Q374" s="13">
        <v>5200</v>
      </c>
      <c r="R374" s="3">
        <f t="shared" si="27"/>
        <v>5200</v>
      </c>
      <c r="S374" s="3">
        <f t="shared" si="28"/>
        <v>0</v>
      </c>
      <c r="T374" s="3">
        <f t="shared" si="29"/>
        <v>7279.7999999999993</v>
      </c>
      <c r="U374" s="24"/>
      <c r="V374" s="24"/>
      <c r="W374" s="3"/>
      <c r="X374" s="3" t="s">
        <v>3353</v>
      </c>
      <c r="Y374" s="3"/>
      <c r="Z374" s="3"/>
      <c r="AA374" s="3"/>
      <c r="AB374" s="3"/>
      <c r="AC374" s="3" t="str">
        <f>IF(Caja_Arequipa[[#This Row],[FECHA]]&gt;0,TEXT(Caja_Arequipa[[#This Row],[FECHA]],"mmmm"),0)</f>
        <v>Mayo</v>
      </c>
    </row>
    <row r="375" spans="2:29" ht="36" x14ac:dyDescent="0.3">
      <c r="B375" s="2">
        <f>IF(Caja_Arequipa[[#This Row],[TIPO DE R.]]="R",COUNTIFS($D$4:$D374,"R")+1,"")</f>
        <v>371</v>
      </c>
      <c r="C375" s="19" t="str">
        <f t="shared" si="26"/>
        <v>C-Tesoreria</v>
      </c>
      <c r="D375" s="3" t="s">
        <v>1074</v>
      </c>
      <c r="E375" s="14">
        <v>45798</v>
      </c>
      <c r="F375" s="5" t="s">
        <v>1158</v>
      </c>
      <c r="G375" s="5" t="s">
        <v>1079</v>
      </c>
      <c r="H375" s="3" t="s">
        <v>3016</v>
      </c>
      <c r="I375" s="6"/>
      <c r="J375" s="6"/>
      <c r="K375" s="6"/>
      <c r="L375" s="6"/>
      <c r="M375" s="7" t="s">
        <v>4966</v>
      </c>
      <c r="N375" s="8" t="str">
        <f>IF(Caja_Arequipa[[#This Row],[TIPO DE R.]]="R","001-"&amp;12002+B375,N374)</f>
        <v>001-12373</v>
      </c>
      <c r="O375" s="8" t="str">
        <f t="shared" si="30"/>
        <v>PEN</v>
      </c>
      <c r="P375" s="13"/>
      <c r="Q375" s="13">
        <v>119.6</v>
      </c>
      <c r="R375" s="3">
        <f t="shared" si="27"/>
        <v>0</v>
      </c>
      <c r="S375" s="3">
        <f t="shared" si="28"/>
        <v>119.6</v>
      </c>
      <c r="T375" s="3">
        <f t="shared" si="29"/>
        <v>7160.1999999999989</v>
      </c>
      <c r="U375" s="24" t="s">
        <v>1081</v>
      </c>
      <c r="V375" s="24"/>
      <c r="W375" s="3"/>
      <c r="X375" s="3" t="s">
        <v>3016</v>
      </c>
      <c r="Y375" s="3" t="s">
        <v>4967</v>
      </c>
      <c r="Z375" s="3"/>
      <c r="AA375" s="3"/>
      <c r="AB375" s="3"/>
      <c r="AC375" s="3" t="str">
        <f>IF(Caja_Arequipa[[#This Row],[FECHA]]&gt;0,TEXT(Caja_Arequipa[[#This Row],[FECHA]],"mmmm"),0)</f>
        <v>Mayo</v>
      </c>
    </row>
    <row r="376" spans="2:29" x14ac:dyDescent="0.3">
      <c r="B376" s="2">
        <f>IF(Caja_Arequipa[[#This Row],[TIPO DE R.]]="R",COUNTIFS($D$4:$D375,"R")+1,"")</f>
        <v>372</v>
      </c>
      <c r="C376" s="19" t="str">
        <f t="shared" si="26"/>
        <v>C-Tesoreria</v>
      </c>
      <c r="D376" s="3" t="s">
        <v>1074</v>
      </c>
      <c r="E376" s="14">
        <v>45798</v>
      </c>
      <c r="F376" s="5" t="s">
        <v>1158</v>
      </c>
      <c r="G376" s="5" t="s">
        <v>1079</v>
      </c>
      <c r="H376" s="3" t="s">
        <v>3016</v>
      </c>
      <c r="I376" s="6"/>
      <c r="J376" s="6"/>
      <c r="K376" s="6"/>
      <c r="L376" s="6"/>
      <c r="M376" s="7" t="s">
        <v>4968</v>
      </c>
      <c r="N376" s="8" t="str">
        <f>IF(Caja_Arequipa[[#This Row],[TIPO DE R.]]="R","001-"&amp;12002+B376,N375)</f>
        <v>001-12374</v>
      </c>
      <c r="O376" s="8" t="str">
        <f t="shared" si="30"/>
        <v>PEN</v>
      </c>
      <c r="P376" s="13"/>
      <c r="Q376" s="13">
        <v>11.2</v>
      </c>
      <c r="R376" s="3">
        <f t="shared" si="27"/>
        <v>0</v>
      </c>
      <c r="S376" s="3">
        <f t="shared" si="28"/>
        <v>11.2</v>
      </c>
      <c r="T376" s="3">
        <f t="shared" si="29"/>
        <v>7148.9999999999991</v>
      </c>
      <c r="U376" s="24" t="s">
        <v>1081</v>
      </c>
      <c r="V376" s="24"/>
      <c r="W376" s="3"/>
      <c r="X376" s="3" t="s">
        <v>3016</v>
      </c>
      <c r="Y376" s="3" t="s">
        <v>4969</v>
      </c>
      <c r="Z376" s="3"/>
      <c r="AA376" s="3"/>
      <c r="AB376" s="3"/>
      <c r="AC376" s="3" t="str">
        <f>IF(Caja_Arequipa[[#This Row],[FECHA]]&gt;0,TEXT(Caja_Arequipa[[#This Row],[FECHA]],"mmmm"),0)</f>
        <v>Mayo</v>
      </c>
    </row>
    <row r="377" spans="2:29" ht="24" x14ac:dyDescent="0.3">
      <c r="B377" s="2">
        <f>IF(Caja_Arequipa[[#This Row],[TIPO DE R.]]="R",COUNTIFS($D$4:$D376,"R")+1,"")</f>
        <v>373</v>
      </c>
      <c r="C377" s="19" t="str">
        <f t="shared" si="26"/>
        <v>C-Tesoreria</v>
      </c>
      <c r="D377" s="3" t="s">
        <v>1074</v>
      </c>
      <c r="E377" s="14">
        <v>45798</v>
      </c>
      <c r="F377" s="5" t="s">
        <v>1158</v>
      </c>
      <c r="G377" s="5" t="s">
        <v>1079</v>
      </c>
      <c r="H377" s="3" t="s">
        <v>4912</v>
      </c>
      <c r="I377" s="6"/>
      <c r="J377" s="6"/>
      <c r="K377" s="6"/>
      <c r="L377" s="6"/>
      <c r="M377" s="7" t="s">
        <v>4970</v>
      </c>
      <c r="N377" s="8" t="str">
        <f>IF(Caja_Arequipa[[#This Row],[TIPO DE R.]]="R","001-"&amp;12002+B377,N376)</f>
        <v>001-12375</v>
      </c>
      <c r="O377" s="8" t="str">
        <f t="shared" si="30"/>
        <v>PEN</v>
      </c>
      <c r="P377" s="13"/>
      <c r="Q377" s="13">
        <v>20</v>
      </c>
      <c r="R377" s="3">
        <f t="shared" si="27"/>
        <v>0</v>
      </c>
      <c r="S377" s="3">
        <f t="shared" si="28"/>
        <v>20</v>
      </c>
      <c r="T377" s="3">
        <f t="shared" si="29"/>
        <v>7128.9999999999991</v>
      </c>
      <c r="U377" s="24"/>
      <c r="V377" s="24"/>
      <c r="W377" s="3"/>
      <c r="X377" s="3" t="s">
        <v>4912</v>
      </c>
      <c r="Y377" s="3" t="s">
        <v>4971</v>
      </c>
      <c r="Z377" s="3"/>
      <c r="AA377" s="3"/>
      <c r="AB377" s="3"/>
      <c r="AC377" s="3" t="str">
        <f>IF(Caja_Arequipa[[#This Row],[FECHA]]&gt;0,TEXT(Caja_Arequipa[[#This Row],[FECHA]],"mmmm"),0)</f>
        <v>Mayo</v>
      </c>
    </row>
    <row r="378" spans="2:29" x14ac:dyDescent="0.3">
      <c r="B378" s="2">
        <f>IF(Caja_Arequipa[[#This Row],[TIPO DE R.]]="R",COUNTIFS($D$4:$D377,"R")+1,"")</f>
        <v>374</v>
      </c>
      <c r="C378" s="19" t="str">
        <f t="shared" si="26"/>
        <v>C-Tesoreria</v>
      </c>
      <c r="D378" s="3" t="s">
        <v>1074</v>
      </c>
      <c r="E378" s="14">
        <v>45798</v>
      </c>
      <c r="F378" s="5" t="s">
        <v>1158</v>
      </c>
      <c r="G378" s="5" t="s">
        <v>1079</v>
      </c>
      <c r="H378" s="3" t="s">
        <v>4501</v>
      </c>
      <c r="I378" s="6"/>
      <c r="J378" s="6"/>
      <c r="K378" s="6"/>
      <c r="L378" s="6"/>
      <c r="M378" s="7" t="s">
        <v>4972</v>
      </c>
      <c r="N378" s="8" t="str">
        <f>IF(Caja_Arequipa[[#This Row],[TIPO DE R.]]="R","001-"&amp;12002+B378,N377)</f>
        <v>001-12376</v>
      </c>
      <c r="O378" s="8" t="str">
        <f t="shared" si="30"/>
        <v>PEN</v>
      </c>
      <c r="P378" s="13"/>
      <c r="Q378" s="13">
        <v>10</v>
      </c>
      <c r="R378" s="3">
        <f t="shared" si="27"/>
        <v>0</v>
      </c>
      <c r="S378" s="3">
        <f t="shared" si="28"/>
        <v>10</v>
      </c>
      <c r="T378" s="3">
        <f t="shared" si="29"/>
        <v>7118.9999999999991</v>
      </c>
      <c r="U378" s="24" t="s">
        <v>1081</v>
      </c>
      <c r="V378" s="24"/>
      <c r="W378" s="3"/>
      <c r="X378" s="3" t="s">
        <v>4501</v>
      </c>
      <c r="Y378" s="3" t="s">
        <v>4973</v>
      </c>
      <c r="Z378" s="3"/>
      <c r="AA378" s="3"/>
      <c r="AB378" s="3"/>
      <c r="AC378" s="3" t="str">
        <f>IF(Caja_Arequipa[[#This Row],[FECHA]]&gt;0,TEXT(Caja_Arequipa[[#This Row],[FECHA]],"mmmm"),0)</f>
        <v>Mayo</v>
      </c>
    </row>
    <row r="379" spans="2:29" x14ac:dyDescent="0.3">
      <c r="B379" s="2">
        <f>IF(Caja_Arequipa[[#This Row],[TIPO DE R.]]="R",COUNTIFS($D$4:$D378,"R")+1,"")</f>
        <v>375</v>
      </c>
      <c r="C379" s="19" t="str">
        <f t="shared" si="26"/>
        <v>C-Tesoreria</v>
      </c>
      <c r="D379" s="3" t="s">
        <v>1074</v>
      </c>
      <c r="E379" s="14">
        <v>45798</v>
      </c>
      <c r="F379" s="5" t="s">
        <v>1158</v>
      </c>
      <c r="G379" s="5" t="s">
        <v>1079</v>
      </c>
      <c r="H379" s="3" t="s">
        <v>4501</v>
      </c>
      <c r="I379" s="6"/>
      <c r="J379" s="6"/>
      <c r="K379" s="6"/>
      <c r="L379" s="6"/>
      <c r="M379" s="7" t="s">
        <v>4972</v>
      </c>
      <c r="N379" s="8" t="str">
        <f>IF(Caja_Arequipa[[#This Row],[TIPO DE R.]]="R","001-"&amp;12002+B379,N378)</f>
        <v>001-12377</v>
      </c>
      <c r="O379" s="8" t="str">
        <f t="shared" si="30"/>
        <v>PEN</v>
      </c>
      <c r="P379" s="13"/>
      <c r="Q379" s="13">
        <v>20</v>
      </c>
      <c r="R379" s="3">
        <f t="shared" si="27"/>
        <v>0</v>
      </c>
      <c r="S379" s="3">
        <f t="shared" si="28"/>
        <v>20</v>
      </c>
      <c r="T379" s="3">
        <f t="shared" si="29"/>
        <v>7098.9999999999991</v>
      </c>
      <c r="U379" s="24" t="s">
        <v>1081</v>
      </c>
      <c r="V379" s="24"/>
      <c r="W379" s="3"/>
      <c r="X379" s="3" t="s">
        <v>4501</v>
      </c>
      <c r="Y379" s="3" t="s">
        <v>4974</v>
      </c>
      <c r="Z379" s="3"/>
      <c r="AA379" s="3"/>
      <c r="AB379" s="3"/>
      <c r="AC379" s="3" t="str">
        <f>IF(Caja_Arequipa[[#This Row],[FECHA]]&gt;0,TEXT(Caja_Arequipa[[#This Row],[FECHA]],"mmmm"),0)</f>
        <v>Mayo</v>
      </c>
    </row>
    <row r="380" spans="2:29" x14ac:dyDescent="0.3">
      <c r="B380" s="2">
        <f>IF(Caja_Arequipa[[#This Row],[TIPO DE R.]]="R",COUNTIFS($D$4:$D379,"R")+1,"")</f>
        <v>376</v>
      </c>
      <c r="C380" s="19" t="str">
        <f t="shared" si="26"/>
        <v>C-Tesoreria</v>
      </c>
      <c r="D380" s="3" t="s">
        <v>1074</v>
      </c>
      <c r="E380" s="14">
        <v>45798</v>
      </c>
      <c r="F380" s="5" t="s">
        <v>1158</v>
      </c>
      <c r="G380" s="5" t="s">
        <v>1079</v>
      </c>
      <c r="H380" s="3" t="s">
        <v>3353</v>
      </c>
      <c r="I380" s="6"/>
      <c r="J380" s="6"/>
      <c r="K380" s="6"/>
      <c r="L380" s="6"/>
      <c r="M380" s="7" t="s">
        <v>4486</v>
      </c>
      <c r="N380" s="8" t="str">
        <f>IF(Caja_Arequipa[[#This Row],[TIPO DE R.]]="R","001-"&amp;12002+B380,N379)</f>
        <v>001-12378</v>
      </c>
      <c r="O380" s="8" t="str">
        <f t="shared" si="30"/>
        <v>PEN</v>
      </c>
      <c r="P380" s="13"/>
      <c r="Q380" s="13">
        <v>4800</v>
      </c>
      <c r="R380" s="3">
        <f t="shared" si="27"/>
        <v>0</v>
      </c>
      <c r="S380" s="3">
        <f t="shared" si="28"/>
        <v>4800</v>
      </c>
      <c r="T380" s="3">
        <f t="shared" si="29"/>
        <v>2298.9999999999991</v>
      </c>
      <c r="U380" s="24"/>
      <c r="V380" s="24"/>
      <c r="W380" s="3"/>
      <c r="X380" s="3" t="s">
        <v>3353</v>
      </c>
      <c r="Y380" s="3"/>
      <c r="Z380" s="3"/>
      <c r="AA380" s="3"/>
      <c r="AB380" s="3"/>
      <c r="AC380" s="3" t="str">
        <f>IF(Caja_Arequipa[[#This Row],[FECHA]]&gt;0,TEXT(Caja_Arequipa[[#This Row],[FECHA]],"mmmm"),0)</f>
        <v>Mayo</v>
      </c>
    </row>
    <row r="381" spans="2:29" ht="24" x14ac:dyDescent="0.3">
      <c r="B381" s="2">
        <f>IF(Caja_Arequipa[[#This Row],[TIPO DE R.]]="R",COUNTIFS($D$4:$D380,"R")+1,"")</f>
        <v>377</v>
      </c>
      <c r="C381" s="19" t="str">
        <f t="shared" si="26"/>
        <v>C-Tesoreria</v>
      </c>
      <c r="D381" s="3" t="s">
        <v>1074</v>
      </c>
      <c r="E381" s="14">
        <v>45798</v>
      </c>
      <c r="F381" s="5" t="s">
        <v>1158</v>
      </c>
      <c r="G381" s="5" t="s">
        <v>1087</v>
      </c>
      <c r="H381" s="3" t="s">
        <v>4303</v>
      </c>
      <c r="I381" s="6"/>
      <c r="J381" s="6" t="s">
        <v>74</v>
      </c>
      <c r="K381" s="6">
        <v>1</v>
      </c>
      <c r="L381" s="6">
        <v>122</v>
      </c>
      <c r="M381" s="7" t="s">
        <v>4975</v>
      </c>
      <c r="N381" s="8" t="str">
        <f>IF(Caja_Arequipa[[#This Row],[TIPO DE R.]]="R","001-"&amp;12002+B381,N380)</f>
        <v>001-12379</v>
      </c>
      <c r="O381" s="8" t="str">
        <f t="shared" si="30"/>
        <v>PEN</v>
      </c>
      <c r="P381" s="13"/>
      <c r="Q381" s="13">
        <v>7</v>
      </c>
      <c r="R381" s="3">
        <f t="shared" si="27"/>
        <v>7</v>
      </c>
      <c r="S381" s="3">
        <f t="shared" si="28"/>
        <v>0</v>
      </c>
      <c r="T381" s="3">
        <f t="shared" si="29"/>
        <v>2305.9999999999991</v>
      </c>
      <c r="U381" s="24"/>
      <c r="V381" s="24"/>
      <c r="W381" s="3"/>
      <c r="X381" s="3" t="s">
        <v>4303</v>
      </c>
      <c r="Y381" s="3" t="s">
        <v>4846</v>
      </c>
      <c r="Z381" s="3"/>
      <c r="AA381" s="3"/>
      <c r="AB381" s="3"/>
      <c r="AC381" s="3" t="str">
        <f>IF(Caja_Arequipa[[#This Row],[FECHA]]&gt;0,TEXT(Caja_Arequipa[[#This Row],[FECHA]],"mmmm"),0)</f>
        <v>Mayo</v>
      </c>
    </row>
    <row r="382" spans="2:29" ht="24" x14ac:dyDescent="0.3">
      <c r="B382" s="2">
        <f>IF(Caja_Arequipa[[#This Row],[TIPO DE R.]]="R",COUNTIFS($D$4:$D381,"R")+1,"")</f>
        <v>378</v>
      </c>
      <c r="C382" s="19" t="str">
        <f t="shared" si="26"/>
        <v>C-Tesoreria</v>
      </c>
      <c r="D382" s="3" t="s">
        <v>1074</v>
      </c>
      <c r="E382" s="14">
        <v>45798</v>
      </c>
      <c r="F382" s="5" t="s">
        <v>1158</v>
      </c>
      <c r="G382" s="5" t="s">
        <v>1079</v>
      </c>
      <c r="H382" s="3" t="s">
        <v>4303</v>
      </c>
      <c r="I382" s="6"/>
      <c r="J382" s="6"/>
      <c r="K382" s="6"/>
      <c r="L382" s="6"/>
      <c r="M382" s="7" t="s">
        <v>4976</v>
      </c>
      <c r="N382" s="8" t="str">
        <f>IF(Caja_Arequipa[[#This Row],[TIPO DE R.]]="R","001-"&amp;12002+B382,N381)</f>
        <v>001-12380</v>
      </c>
      <c r="O382" s="8" t="str">
        <f t="shared" si="30"/>
        <v>PEN</v>
      </c>
      <c r="P382" s="13"/>
      <c r="Q382" s="13">
        <v>153</v>
      </c>
      <c r="R382" s="3">
        <f t="shared" si="27"/>
        <v>0</v>
      </c>
      <c r="S382" s="3">
        <f t="shared" si="28"/>
        <v>153</v>
      </c>
      <c r="T382" s="3">
        <f t="shared" si="29"/>
        <v>2152.9999999999991</v>
      </c>
      <c r="U382" s="24" t="s">
        <v>1081</v>
      </c>
      <c r="V382" s="24"/>
      <c r="W382" s="3"/>
      <c r="X382" s="3" t="s">
        <v>4303</v>
      </c>
      <c r="Y382" s="3" t="s">
        <v>4977</v>
      </c>
      <c r="Z382" s="3"/>
      <c r="AA382" s="3"/>
      <c r="AB382" s="3"/>
      <c r="AC382" s="3" t="str">
        <f>IF(Caja_Arequipa[[#This Row],[FECHA]]&gt;0,TEXT(Caja_Arequipa[[#This Row],[FECHA]],"mmmm"),0)</f>
        <v>Mayo</v>
      </c>
    </row>
    <row r="383" spans="2:29" ht="36" x14ac:dyDescent="0.3">
      <c r="B383" s="2">
        <f>IF(Caja_Arequipa[[#This Row],[TIPO DE R.]]="R",COUNTIFS($D$4:$D382,"R")+1,"")</f>
        <v>379</v>
      </c>
      <c r="C383" s="19" t="str">
        <f t="shared" si="26"/>
        <v>C-Tesoreria</v>
      </c>
      <c r="D383" s="3" t="s">
        <v>1074</v>
      </c>
      <c r="E383" s="14">
        <v>45798</v>
      </c>
      <c r="F383" s="5" t="s">
        <v>1158</v>
      </c>
      <c r="G383" s="5" t="s">
        <v>1079</v>
      </c>
      <c r="H383" s="3" t="s">
        <v>4329</v>
      </c>
      <c r="I383" s="6"/>
      <c r="J383" s="6"/>
      <c r="K383" s="6"/>
      <c r="L383" s="6"/>
      <c r="M383" s="7" t="s">
        <v>4933</v>
      </c>
      <c r="N383" s="8" t="str">
        <f>IF(Caja_Arequipa[[#This Row],[TIPO DE R.]]="R","001-"&amp;12002+B383,N382)</f>
        <v>001-12381</v>
      </c>
      <c r="O383" s="8" t="str">
        <f t="shared" si="30"/>
        <v>PEN</v>
      </c>
      <c r="P383" s="13"/>
      <c r="Q383" s="13">
        <v>35.5</v>
      </c>
      <c r="R383" s="3">
        <f t="shared" si="27"/>
        <v>0</v>
      </c>
      <c r="S383" s="3">
        <f t="shared" si="28"/>
        <v>35.5</v>
      </c>
      <c r="T383" s="3">
        <f t="shared" si="29"/>
        <v>2117.4999999999991</v>
      </c>
      <c r="U383" s="24" t="s">
        <v>1081</v>
      </c>
      <c r="V383" s="24"/>
      <c r="W383" s="3"/>
      <c r="X383" s="3" t="s">
        <v>4329</v>
      </c>
      <c r="Y383" s="3" t="s">
        <v>4978</v>
      </c>
      <c r="Z383" s="3"/>
      <c r="AA383" s="3"/>
      <c r="AB383" s="3"/>
      <c r="AC383" s="3" t="str">
        <f>IF(Caja_Arequipa[[#This Row],[FECHA]]&gt;0,TEXT(Caja_Arequipa[[#This Row],[FECHA]],"mmmm"),0)</f>
        <v>Mayo</v>
      </c>
    </row>
    <row r="384" spans="2:29" x14ac:dyDescent="0.3">
      <c r="B384" s="2">
        <f>IF(Caja_Arequipa[[#This Row],[TIPO DE R.]]="R",COUNTIFS($D$4:$D383,"R")+1,"")</f>
        <v>380</v>
      </c>
      <c r="C384" s="19" t="str">
        <f t="shared" si="26"/>
        <v>C-Tesoreria</v>
      </c>
      <c r="D384" s="3" t="s">
        <v>1074</v>
      </c>
      <c r="E384" s="14">
        <v>45799</v>
      </c>
      <c r="F384" s="5" t="s">
        <v>1158</v>
      </c>
      <c r="G384" s="5" t="s">
        <v>1087</v>
      </c>
      <c r="H384" s="3" t="s">
        <v>3353</v>
      </c>
      <c r="I384" s="6"/>
      <c r="J384" s="6"/>
      <c r="K384" s="6"/>
      <c r="L384" s="6"/>
      <c r="M384" s="7" t="s">
        <v>4394</v>
      </c>
      <c r="N384" s="8" t="str">
        <f>IF(Caja_Arequipa[[#This Row],[TIPO DE R.]]="R","001-"&amp;12002+B384,N383)</f>
        <v>001-12382</v>
      </c>
      <c r="O384" s="8" t="str">
        <f t="shared" si="30"/>
        <v>PEN</v>
      </c>
      <c r="P384" s="13"/>
      <c r="Q384" s="13">
        <v>200</v>
      </c>
      <c r="R384" s="3">
        <f t="shared" si="27"/>
        <v>200</v>
      </c>
      <c r="S384" s="3">
        <f t="shared" si="28"/>
        <v>0</v>
      </c>
      <c r="T384" s="3">
        <f t="shared" si="29"/>
        <v>2317.4999999999991</v>
      </c>
      <c r="U384" s="24"/>
      <c r="V384" s="24"/>
      <c r="W384" s="3"/>
      <c r="X384" s="3" t="s">
        <v>3353</v>
      </c>
      <c r="Y384" s="3"/>
      <c r="Z384" s="3"/>
      <c r="AA384" s="3"/>
      <c r="AB384" s="3"/>
      <c r="AC384" s="3" t="str">
        <f>IF(Caja_Arequipa[[#This Row],[FECHA]]&gt;0,TEXT(Caja_Arequipa[[#This Row],[FECHA]],"mmmm"),0)</f>
        <v>Mayo</v>
      </c>
    </row>
    <row r="385" spans="2:29" ht="24" x14ac:dyDescent="0.3">
      <c r="B385" s="2">
        <f>IF(Caja_Arequipa[[#This Row],[TIPO DE R.]]="R",COUNTIFS($D$4:$D384,"R")+1,"")</f>
        <v>381</v>
      </c>
      <c r="C385" s="19" t="str">
        <f t="shared" si="26"/>
        <v>C-Tesoreria</v>
      </c>
      <c r="D385" s="3" t="s">
        <v>1074</v>
      </c>
      <c r="E385" s="14">
        <v>45799</v>
      </c>
      <c r="F385" s="5" t="s">
        <v>1158</v>
      </c>
      <c r="G385" s="5" t="s">
        <v>1079</v>
      </c>
      <c r="H385" s="3" t="s">
        <v>4334</v>
      </c>
      <c r="I385" s="6"/>
      <c r="J385" s="6"/>
      <c r="K385" s="6"/>
      <c r="L385" s="6"/>
      <c r="M385" s="7" t="s">
        <v>4979</v>
      </c>
      <c r="N385" s="8" t="str">
        <f>IF(Caja_Arequipa[[#This Row],[TIPO DE R.]]="R","001-"&amp;12002+B385,N384)</f>
        <v>001-12383</v>
      </c>
      <c r="O385" s="8" t="str">
        <f t="shared" si="30"/>
        <v>PEN</v>
      </c>
      <c r="P385" s="13"/>
      <c r="Q385" s="13">
        <v>92</v>
      </c>
      <c r="R385" s="3">
        <f t="shared" si="27"/>
        <v>0</v>
      </c>
      <c r="S385" s="3">
        <f t="shared" si="28"/>
        <v>92</v>
      </c>
      <c r="T385" s="3">
        <f t="shared" si="29"/>
        <v>2225.4999999999991</v>
      </c>
      <c r="U385" s="24" t="s">
        <v>1081</v>
      </c>
      <c r="V385" s="24"/>
      <c r="W385" s="3"/>
      <c r="X385" s="3" t="s">
        <v>4334</v>
      </c>
      <c r="Y385" s="3" t="s">
        <v>4980</v>
      </c>
      <c r="Z385" s="3"/>
      <c r="AA385" s="3"/>
      <c r="AB385" s="3"/>
      <c r="AC385" s="3" t="str">
        <f>IF(Caja_Arequipa[[#This Row],[FECHA]]&gt;0,TEXT(Caja_Arequipa[[#This Row],[FECHA]],"mmmm"),0)</f>
        <v>Mayo</v>
      </c>
    </row>
    <row r="386" spans="2:29" x14ac:dyDescent="0.3">
      <c r="B386" s="2">
        <f>IF(Caja_Arequipa[[#This Row],[TIPO DE R.]]="R",COUNTIFS($D$4:$D385,"R")+1,"")</f>
        <v>382</v>
      </c>
      <c r="C386" s="19" t="str">
        <f t="shared" si="26"/>
        <v>C-Tesoreria</v>
      </c>
      <c r="D386" s="3" t="s">
        <v>1074</v>
      </c>
      <c r="E386" s="14">
        <v>45799</v>
      </c>
      <c r="F386" s="5" t="s">
        <v>1158</v>
      </c>
      <c r="G386" s="5" t="s">
        <v>1079</v>
      </c>
      <c r="H386" s="3" t="s">
        <v>4329</v>
      </c>
      <c r="I386" s="6"/>
      <c r="J386" s="6"/>
      <c r="K386" s="6"/>
      <c r="L386" s="6"/>
      <c r="M386" s="7" t="s">
        <v>4981</v>
      </c>
      <c r="N386" s="8" t="str">
        <f>IF(Caja_Arequipa[[#This Row],[TIPO DE R.]]="R","001-"&amp;12002+B386,N385)</f>
        <v>001-12384</v>
      </c>
      <c r="O386" s="8" t="str">
        <f t="shared" si="30"/>
        <v>PEN</v>
      </c>
      <c r="P386" s="13"/>
      <c r="Q386" s="13">
        <v>45</v>
      </c>
      <c r="R386" s="3">
        <f t="shared" si="27"/>
        <v>0</v>
      </c>
      <c r="S386" s="3">
        <f t="shared" si="28"/>
        <v>45</v>
      </c>
      <c r="T386" s="3">
        <f t="shared" si="29"/>
        <v>2180.4999999999991</v>
      </c>
      <c r="U386" s="24" t="s">
        <v>1081</v>
      </c>
      <c r="V386" s="24"/>
      <c r="W386" s="3"/>
      <c r="X386" s="3" t="s">
        <v>4329</v>
      </c>
      <c r="Y386" s="3" t="s">
        <v>4982</v>
      </c>
      <c r="Z386" s="3"/>
      <c r="AA386" s="3"/>
      <c r="AB386" s="3"/>
      <c r="AC386" s="3" t="str">
        <f>IF(Caja_Arequipa[[#This Row],[FECHA]]&gt;0,TEXT(Caja_Arequipa[[#This Row],[FECHA]],"mmmm"),0)</f>
        <v>Mayo</v>
      </c>
    </row>
    <row r="387" spans="2:29" ht="24" x14ac:dyDescent="0.3">
      <c r="B387" s="2">
        <f>IF(Caja_Arequipa[[#This Row],[TIPO DE R.]]="R",COUNTIFS($D$4:$D386,"R")+1,"")</f>
        <v>383</v>
      </c>
      <c r="C387" s="19" t="str">
        <f t="shared" si="26"/>
        <v>C-Tesoreria</v>
      </c>
      <c r="D387" s="3" t="s">
        <v>1074</v>
      </c>
      <c r="E387" s="14">
        <v>45800</v>
      </c>
      <c r="F387" s="5" t="s">
        <v>1158</v>
      </c>
      <c r="G387" s="5" t="s">
        <v>1079</v>
      </c>
      <c r="H387" s="3" t="s">
        <v>4433</v>
      </c>
      <c r="I387" s="6"/>
      <c r="J387" s="6"/>
      <c r="K387" s="6"/>
      <c r="L387" s="6"/>
      <c r="M387" s="7" t="s">
        <v>4983</v>
      </c>
      <c r="N387" s="8" t="str">
        <f>IF(Caja_Arequipa[[#This Row],[TIPO DE R.]]="R","001-"&amp;12002+B387,N386)</f>
        <v>001-12385</v>
      </c>
      <c r="O387" s="8" t="str">
        <f t="shared" si="30"/>
        <v>PEN</v>
      </c>
      <c r="P387" s="13"/>
      <c r="Q387" s="13">
        <v>100</v>
      </c>
      <c r="R387" s="3">
        <f t="shared" si="27"/>
        <v>0</v>
      </c>
      <c r="S387" s="3">
        <f t="shared" si="28"/>
        <v>100</v>
      </c>
      <c r="T387" s="3">
        <f t="shared" si="29"/>
        <v>2080.4999999999991</v>
      </c>
      <c r="U387" s="24" t="s">
        <v>1081</v>
      </c>
      <c r="V387" s="24"/>
      <c r="W387" s="3"/>
      <c r="X387" s="3" t="s">
        <v>4433</v>
      </c>
      <c r="Y387" s="3" t="s">
        <v>4984</v>
      </c>
      <c r="Z387" s="3"/>
      <c r="AA387" s="3"/>
      <c r="AB387" s="3"/>
      <c r="AC387" s="3" t="str">
        <f>IF(Caja_Arequipa[[#This Row],[FECHA]]&gt;0,TEXT(Caja_Arequipa[[#This Row],[FECHA]],"mmmm"),0)</f>
        <v>Mayo</v>
      </c>
    </row>
    <row r="388" spans="2:29" ht="36" x14ac:dyDescent="0.3">
      <c r="B388" s="2">
        <f>IF(Caja_Arequipa[[#This Row],[TIPO DE R.]]="R",COUNTIFS($D$4:$D387,"R")+1,"")</f>
        <v>384</v>
      </c>
      <c r="C388" s="19" t="str">
        <f t="shared" si="26"/>
        <v>C-Tesoreria</v>
      </c>
      <c r="D388" s="3" t="s">
        <v>1074</v>
      </c>
      <c r="E388" s="14">
        <v>45800</v>
      </c>
      <c r="F388" s="5" t="s">
        <v>1158</v>
      </c>
      <c r="G388" s="5" t="s">
        <v>1079</v>
      </c>
      <c r="H388" s="3" t="s">
        <v>4912</v>
      </c>
      <c r="I388" s="6"/>
      <c r="J388" s="6"/>
      <c r="K388" s="6"/>
      <c r="L388" s="6"/>
      <c r="M388" s="7" t="s">
        <v>4985</v>
      </c>
      <c r="N388" s="8" t="str">
        <f>IF(Caja_Arequipa[[#This Row],[TIPO DE R.]]="R","001-"&amp;12002+B388,N387)</f>
        <v>001-12386</v>
      </c>
      <c r="O388" s="8" t="str">
        <f t="shared" si="30"/>
        <v>PEN</v>
      </c>
      <c r="P388" s="13"/>
      <c r="Q388" s="13">
        <v>330</v>
      </c>
      <c r="R388" s="3">
        <f t="shared" si="27"/>
        <v>0</v>
      </c>
      <c r="S388" s="3">
        <f t="shared" si="28"/>
        <v>330</v>
      </c>
      <c r="T388" s="3">
        <f t="shared" si="29"/>
        <v>1750.4999999999991</v>
      </c>
      <c r="U388" s="24"/>
      <c r="V388" s="24"/>
      <c r="W388" s="3"/>
      <c r="X388" s="3" t="s">
        <v>4912</v>
      </c>
      <c r="Y388" s="3" t="s">
        <v>4986</v>
      </c>
      <c r="Z388" s="3"/>
      <c r="AA388" s="3"/>
      <c r="AB388" s="3"/>
      <c r="AC388" s="3" t="str">
        <f>IF(Caja_Arequipa[[#This Row],[FECHA]]&gt;0,TEXT(Caja_Arequipa[[#This Row],[FECHA]],"mmmm"),0)</f>
        <v>Mayo</v>
      </c>
    </row>
    <row r="389" spans="2:29" ht="24" x14ac:dyDescent="0.3">
      <c r="B389" s="2" t="str">
        <f>IF(Caja_Arequipa[[#This Row],[TIPO DE R.]]="R",COUNTIFS($D$4:$D388,"R")+1,"")</f>
        <v/>
      </c>
      <c r="C389" s="19" t="str">
        <f t="shared" ref="C389:C452" si="31">"C-Tesoreria"</f>
        <v>C-Tesoreria</v>
      </c>
      <c r="D389" s="3" t="s">
        <v>1101</v>
      </c>
      <c r="E389" s="14">
        <v>45800</v>
      </c>
      <c r="F389" s="5" t="s">
        <v>1158</v>
      </c>
      <c r="G389" s="5"/>
      <c r="H389" s="3"/>
      <c r="I389" s="6" t="s">
        <v>913</v>
      </c>
      <c r="J389" s="6" t="s">
        <v>14</v>
      </c>
      <c r="K389" s="6" t="s">
        <v>1119</v>
      </c>
      <c r="L389" s="6">
        <v>217</v>
      </c>
      <c r="M389" s="7" t="s">
        <v>4985</v>
      </c>
      <c r="N389" s="8" t="str">
        <f>IF(Caja_Arequipa[[#This Row],[TIPO DE R.]]="R","001-"&amp;12002+B389,N388)</f>
        <v>001-12386</v>
      </c>
      <c r="O389" s="8" t="str">
        <f>"PEN"</f>
        <v>PEN</v>
      </c>
      <c r="P389" s="13">
        <v>31</v>
      </c>
      <c r="Q389" s="13"/>
      <c r="R389" s="3">
        <f t="shared" ref="R389:R452" si="32">+IF(OR($G389="SALDO",$G389="INGRESO"),$Q389,0)</f>
        <v>0</v>
      </c>
      <c r="S389" s="3">
        <f t="shared" ref="S389:S452" si="33">+IF($G389="EGRESO",$Q389,0)</f>
        <v>0</v>
      </c>
      <c r="T389" s="3">
        <f t="shared" ref="T389:T452" si="34">IFERROR(IF(G389="SALDO",R389,T388+R389-S389),0)</f>
        <v>1750.4999999999991</v>
      </c>
      <c r="U389" s="24"/>
      <c r="V389" s="24"/>
      <c r="W389" s="3"/>
      <c r="X389" s="3"/>
      <c r="Y389" s="3"/>
      <c r="Z389" s="3"/>
      <c r="AA389" s="3"/>
      <c r="AB389" s="3"/>
      <c r="AC389" s="3" t="str">
        <f>IF(Caja_Arequipa[[#This Row],[FECHA]]&gt;0,TEXT(Caja_Arequipa[[#This Row],[FECHA]],"mmmm"),0)</f>
        <v>Mayo</v>
      </c>
    </row>
    <row r="390" spans="2:29" ht="24" x14ac:dyDescent="0.3">
      <c r="B390" s="2" t="str">
        <f>IF(Caja_Arequipa[[#This Row],[TIPO DE R.]]="R",COUNTIFS($D$4:$D389,"R")+1,"")</f>
        <v/>
      </c>
      <c r="C390" s="19" t="str">
        <f t="shared" si="31"/>
        <v>C-Tesoreria</v>
      </c>
      <c r="D390" s="3" t="s">
        <v>1101</v>
      </c>
      <c r="E390" s="14">
        <v>45800</v>
      </c>
      <c r="F390" s="5" t="s">
        <v>1158</v>
      </c>
      <c r="G390" s="5"/>
      <c r="H390" s="3"/>
      <c r="I390" s="6" t="s">
        <v>914</v>
      </c>
      <c r="J390" s="6" t="s">
        <v>14</v>
      </c>
      <c r="K390" s="6" t="s">
        <v>1121</v>
      </c>
      <c r="L390" s="6">
        <v>450</v>
      </c>
      <c r="M390" s="7" t="s">
        <v>4985</v>
      </c>
      <c r="N390" s="8" t="str">
        <f>IF(Caja_Arequipa[[#This Row],[TIPO DE R.]]="R","001-"&amp;12002+B390,N389)</f>
        <v>001-12386</v>
      </c>
      <c r="O390" s="8" t="str">
        <f>"PEN"</f>
        <v>PEN</v>
      </c>
      <c r="P390" s="13">
        <v>261</v>
      </c>
      <c r="Q390" s="13"/>
      <c r="R390" s="3">
        <f t="shared" si="32"/>
        <v>0</v>
      </c>
      <c r="S390" s="3">
        <f t="shared" si="33"/>
        <v>0</v>
      </c>
      <c r="T390" s="3">
        <f t="shared" si="34"/>
        <v>1750.4999999999991</v>
      </c>
      <c r="U390" s="24"/>
      <c r="V390" s="24"/>
      <c r="W390" s="3"/>
      <c r="X390" s="3"/>
      <c r="Y390" s="3"/>
      <c r="Z390" s="3"/>
      <c r="AA390" s="3"/>
      <c r="AB390" s="3"/>
      <c r="AC390" s="3" t="str">
        <f>IF(Caja_Arequipa[[#This Row],[FECHA]]&gt;0,TEXT(Caja_Arequipa[[#This Row],[FECHA]],"mmmm"),0)</f>
        <v>Mayo</v>
      </c>
    </row>
    <row r="391" spans="2:29" ht="24" x14ac:dyDescent="0.3">
      <c r="B391" s="2" t="str">
        <f>IF(Caja_Arequipa[[#This Row],[TIPO DE R.]]="R",COUNTIFS($D$4:$D390,"R")+1,"")</f>
        <v/>
      </c>
      <c r="C391" s="19" t="str">
        <f t="shared" si="31"/>
        <v>C-Tesoreria</v>
      </c>
      <c r="D391" s="3" t="s">
        <v>1101</v>
      </c>
      <c r="E391" s="14">
        <v>45800</v>
      </c>
      <c r="F391" s="5" t="s">
        <v>1158</v>
      </c>
      <c r="G391" s="5"/>
      <c r="H391" s="3"/>
      <c r="I391" s="6"/>
      <c r="J391" s="6" t="s">
        <v>55</v>
      </c>
      <c r="K391" s="6">
        <v>3</v>
      </c>
      <c r="L391" s="6">
        <v>236</v>
      </c>
      <c r="M391" s="7" t="s">
        <v>4985</v>
      </c>
      <c r="N391" s="8" t="str">
        <f>IF(Caja_Arequipa[[#This Row],[TIPO DE R.]]="R","001-"&amp;12002+B391,N390)</f>
        <v>001-12386</v>
      </c>
      <c r="O391" s="8" t="str">
        <f>"PEN"</f>
        <v>PEN</v>
      </c>
      <c r="P391" s="13">
        <v>38</v>
      </c>
      <c r="Q391" s="13"/>
      <c r="R391" s="3">
        <f t="shared" si="32"/>
        <v>0</v>
      </c>
      <c r="S391" s="3">
        <f t="shared" si="33"/>
        <v>0</v>
      </c>
      <c r="T391" s="3">
        <f t="shared" si="34"/>
        <v>1750.4999999999991</v>
      </c>
      <c r="U391" s="24"/>
      <c r="V391" s="24"/>
      <c r="W391" s="3"/>
      <c r="X391" s="3"/>
      <c r="Y391" s="3"/>
      <c r="Z391" s="3"/>
      <c r="AA391" s="3"/>
      <c r="AB391" s="3"/>
      <c r="AC391" s="3" t="str">
        <f>IF(Caja_Arequipa[[#This Row],[FECHA]]&gt;0,TEXT(Caja_Arequipa[[#This Row],[FECHA]],"mmmm"),0)</f>
        <v>Mayo</v>
      </c>
    </row>
    <row r="392" spans="2:29" ht="24" x14ac:dyDescent="0.3">
      <c r="B392" s="2">
        <f>IF(Caja_Arequipa[[#This Row],[TIPO DE R.]]="R",COUNTIFS($D$4:$D391,"R")+1,"")</f>
        <v>385</v>
      </c>
      <c r="C392" s="19" t="str">
        <f t="shared" si="31"/>
        <v>C-Tesoreria</v>
      </c>
      <c r="D392" s="3" t="s">
        <v>1074</v>
      </c>
      <c r="E392" s="14">
        <v>45800</v>
      </c>
      <c r="F392" s="5" t="s">
        <v>1158</v>
      </c>
      <c r="G392" s="5" t="s">
        <v>1079</v>
      </c>
      <c r="H392" s="3" t="s">
        <v>3532</v>
      </c>
      <c r="I392" s="6"/>
      <c r="J392" s="6"/>
      <c r="K392" s="6"/>
      <c r="L392" s="6"/>
      <c r="M392" s="7" t="s">
        <v>4987</v>
      </c>
      <c r="N392" s="8" t="str">
        <f>IF(Caja_Arequipa[[#This Row],[TIPO DE R.]]="R","001-"&amp;12002+B392,N391)</f>
        <v>001-12387</v>
      </c>
      <c r="O392" s="8" t="str">
        <f t="shared" si="30"/>
        <v>PEN</v>
      </c>
      <c r="P392" s="13"/>
      <c r="Q392" s="13">
        <v>124</v>
      </c>
      <c r="R392" s="3">
        <f t="shared" si="32"/>
        <v>0</v>
      </c>
      <c r="S392" s="3">
        <f t="shared" si="33"/>
        <v>124</v>
      </c>
      <c r="T392" s="3">
        <f t="shared" si="34"/>
        <v>1626.4999999999991</v>
      </c>
      <c r="U392" s="24" t="s">
        <v>1081</v>
      </c>
      <c r="V392" s="24"/>
      <c r="W392" s="3"/>
      <c r="X392" s="3" t="s">
        <v>3532</v>
      </c>
      <c r="Y392" s="3" t="s">
        <v>4988</v>
      </c>
      <c r="Z392" s="3"/>
      <c r="AA392" s="3"/>
      <c r="AB392" s="3"/>
      <c r="AC392" s="3" t="str">
        <f>IF(Caja_Arequipa[[#This Row],[FECHA]]&gt;0,TEXT(Caja_Arequipa[[#This Row],[FECHA]],"mmmm"),0)</f>
        <v>Mayo</v>
      </c>
    </row>
    <row r="393" spans="2:29" x14ac:dyDescent="0.3">
      <c r="B393" s="2">
        <f>IF(Caja_Arequipa[[#This Row],[TIPO DE R.]]="R",COUNTIFS($D$4:$D392,"R")+1,"")</f>
        <v>386</v>
      </c>
      <c r="C393" s="19" t="str">
        <f t="shared" si="31"/>
        <v>C-Tesoreria</v>
      </c>
      <c r="D393" s="3" t="s">
        <v>1074</v>
      </c>
      <c r="E393" s="14">
        <v>45803</v>
      </c>
      <c r="F393" s="5" t="s">
        <v>1158</v>
      </c>
      <c r="G393" s="5" t="s">
        <v>1087</v>
      </c>
      <c r="H393" s="3" t="s">
        <v>3353</v>
      </c>
      <c r="I393" s="6"/>
      <c r="J393" s="6"/>
      <c r="K393" s="6"/>
      <c r="L393" s="6"/>
      <c r="M393" s="7" t="s">
        <v>4965</v>
      </c>
      <c r="N393" s="8" t="str">
        <f>IF(Caja_Arequipa[[#This Row],[TIPO DE R.]]="R","001-"&amp;12002+B393,N392)</f>
        <v>001-12388</v>
      </c>
      <c r="O393" s="8" t="str">
        <f t="shared" ref="O393:O458" si="35">"PEN"</f>
        <v>PEN</v>
      </c>
      <c r="P393" s="13"/>
      <c r="Q393" s="13">
        <v>610</v>
      </c>
      <c r="R393" s="3">
        <f t="shared" si="32"/>
        <v>610</v>
      </c>
      <c r="S393" s="3">
        <f t="shared" si="33"/>
        <v>0</v>
      </c>
      <c r="T393" s="3">
        <f t="shared" si="34"/>
        <v>2236.4999999999991</v>
      </c>
      <c r="U393" s="24"/>
      <c r="V393" s="24"/>
      <c r="W393" s="3"/>
      <c r="X393" s="3" t="s">
        <v>3353</v>
      </c>
      <c r="Y393" s="3"/>
      <c r="Z393" s="3"/>
      <c r="AA393" s="3"/>
      <c r="AB393" s="3"/>
      <c r="AC393" s="3" t="str">
        <f>IF(Caja_Arequipa[[#This Row],[FECHA]]&gt;0,TEXT(Caja_Arequipa[[#This Row],[FECHA]],"mmmm"),0)</f>
        <v>Mayo</v>
      </c>
    </row>
    <row r="394" spans="2:29" x14ac:dyDescent="0.3">
      <c r="B394" s="2">
        <f>IF(Caja_Arequipa[[#This Row],[TIPO DE R.]]="R",COUNTIFS($D$4:$D393,"R")+1,"")</f>
        <v>387</v>
      </c>
      <c r="C394" s="19" t="str">
        <f t="shared" si="31"/>
        <v>C-Tesoreria</v>
      </c>
      <c r="D394" s="3" t="s">
        <v>1074</v>
      </c>
      <c r="E394" s="14">
        <v>45803</v>
      </c>
      <c r="F394" s="5" t="s">
        <v>1158</v>
      </c>
      <c r="G394" s="5" t="s">
        <v>1079</v>
      </c>
      <c r="H394" s="3" t="s">
        <v>3016</v>
      </c>
      <c r="I394" s="6"/>
      <c r="J394" s="6"/>
      <c r="K394" s="6"/>
      <c r="L394" s="6"/>
      <c r="M394" s="7" t="s">
        <v>4989</v>
      </c>
      <c r="N394" s="8" t="str">
        <f>IF(Caja_Arequipa[[#This Row],[TIPO DE R.]]="R","001-"&amp;12002+B394,N393)</f>
        <v>001-12389</v>
      </c>
      <c r="O394" s="8" t="str">
        <f t="shared" si="35"/>
        <v>PEN</v>
      </c>
      <c r="P394" s="13"/>
      <c r="Q394" s="13">
        <v>8</v>
      </c>
      <c r="R394" s="3">
        <f t="shared" si="32"/>
        <v>0</v>
      </c>
      <c r="S394" s="3">
        <f t="shared" si="33"/>
        <v>8</v>
      </c>
      <c r="T394" s="3">
        <f t="shared" si="34"/>
        <v>2228.4999999999991</v>
      </c>
      <c r="U394" s="24" t="s">
        <v>1081</v>
      </c>
      <c r="V394" s="24"/>
      <c r="W394" s="3"/>
      <c r="X394" s="3" t="s">
        <v>3016</v>
      </c>
      <c r="Y394" s="3" t="s">
        <v>4990</v>
      </c>
      <c r="Z394" s="3"/>
      <c r="AA394" s="3"/>
      <c r="AB394" s="3"/>
      <c r="AC394" s="3" t="str">
        <f>IF(Caja_Arequipa[[#This Row],[FECHA]]&gt;0,TEXT(Caja_Arequipa[[#This Row],[FECHA]],"mmmm"),0)</f>
        <v>Mayo</v>
      </c>
    </row>
    <row r="395" spans="2:29" x14ac:dyDescent="0.3">
      <c r="B395" s="2">
        <f>IF(Caja_Arequipa[[#This Row],[TIPO DE R.]]="R",COUNTIFS($D$4:$D394,"R")+1,"")</f>
        <v>388</v>
      </c>
      <c r="C395" s="19" t="str">
        <f t="shared" si="31"/>
        <v>C-Tesoreria</v>
      </c>
      <c r="D395" s="3" t="s">
        <v>1074</v>
      </c>
      <c r="E395" s="14">
        <v>45803</v>
      </c>
      <c r="F395" s="5" t="s">
        <v>1158</v>
      </c>
      <c r="G395" s="5" t="s">
        <v>1079</v>
      </c>
      <c r="H395" s="3" t="s">
        <v>3016</v>
      </c>
      <c r="I395" s="6"/>
      <c r="J395" s="6"/>
      <c r="K395" s="6"/>
      <c r="L395" s="6"/>
      <c r="M395" s="7" t="s">
        <v>4991</v>
      </c>
      <c r="N395" s="8" t="str">
        <f>IF(Caja_Arequipa[[#This Row],[TIPO DE R.]]="R","001-"&amp;12002+B395,N394)</f>
        <v>001-12390</v>
      </c>
      <c r="O395" s="8" t="str">
        <f t="shared" si="35"/>
        <v>PEN</v>
      </c>
      <c r="P395" s="13"/>
      <c r="Q395" s="13">
        <v>1</v>
      </c>
      <c r="R395" s="3">
        <f t="shared" si="32"/>
        <v>0</v>
      </c>
      <c r="S395" s="3">
        <f t="shared" si="33"/>
        <v>1</v>
      </c>
      <c r="T395" s="3">
        <f t="shared" si="34"/>
        <v>2227.4999999999991</v>
      </c>
      <c r="U395" s="24" t="s">
        <v>1081</v>
      </c>
      <c r="V395" s="24"/>
      <c r="W395" s="3"/>
      <c r="X395" s="3" t="s">
        <v>3016</v>
      </c>
      <c r="Y395" s="3" t="s">
        <v>4992</v>
      </c>
      <c r="Z395" s="3"/>
      <c r="AA395" s="3"/>
      <c r="AB395" s="3"/>
      <c r="AC395" s="3" t="str">
        <f>IF(Caja_Arequipa[[#This Row],[FECHA]]&gt;0,TEXT(Caja_Arequipa[[#This Row],[FECHA]],"mmmm"),0)</f>
        <v>Mayo</v>
      </c>
    </row>
    <row r="396" spans="2:29" x14ac:dyDescent="0.3">
      <c r="B396" s="2">
        <f>IF(Caja_Arequipa[[#This Row],[TIPO DE R.]]="R",COUNTIFS($D$4:$D395,"R")+1,"")</f>
        <v>389</v>
      </c>
      <c r="C396" s="19" t="str">
        <f t="shared" si="31"/>
        <v>C-Tesoreria</v>
      </c>
      <c r="D396" s="3" t="s">
        <v>1074</v>
      </c>
      <c r="E396" s="14">
        <v>45803</v>
      </c>
      <c r="F396" s="5" t="s">
        <v>1158</v>
      </c>
      <c r="G396" s="5" t="s">
        <v>1079</v>
      </c>
      <c r="H396" s="3" t="s">
        <v>4754</v>
      </c>
      <c r="I396" s="6"/>
      <c r="J396" s="6"/>
      <c r="K396" s="6"/>
      <c r="L396" s="6"/>
      <c r="M396" s="7" t="s">
        <v>4993</v>
      </c>
      <c r="N396" s="8" t="str">
        <f>IF(Caja_Arequipa[[#This Row],[TIPO DE R.]]="R","001-"&amp;12002+B396,N395)</f>
        <v>001-12391</v>
      </c>
      <c r="O396" s="8" t="str">
        <f t="shared" si="35"/>
        <v>PEN</v>
      </c>
      <c r="P396" s="13"/>
      <c r="Q396" s="13">
        <v>28.3</v>
      </c>
      <c r="R396" s="3">
        <f t="shared" si="32"/>
        <v>0</v>
      </c>
      <c r="S396" s="3">
        <f t="shared" si="33"/>
        <v>28.3</v>
      </c>
      <c r="T396" s="3">
        <f t="shared" si="34"/>
        <v>2199.1999999999989</v>
      </c>
      <c r="U396" s="24" t="s">
        <v>1081</v>
      </c>
      <c r="V396" s="24"/>
      <c r="W396" s="3"/>
      <c r="X396" s="3" t="s">
        <v>4754</v>
      </c>
      <c r="Y396" s="3" t="s">
        <v>4994</v>
      </c>
      <c r="Z396" s="3"/>
      <c r="AA396" s="3"/>
      <c r="AB396" s="3"/>
      <c r="AC396" s="3" t="str">
        <f>IF(Caja_Arequipa[[#This Row],[FECHA]]&gt;0,TEXT(Caja_Arequipa[[#This Row],[FECHA]],"mmmm"),0)</f>
        <v>Mayo</v>
      </c>
    </row>
    <row r="397" spans="2:29" x14ac:dyDescent="0.3">
      <c r="B397" s="2">
        <f>IF(Caja_Arequipa[[#This Row],[TIPO DE R.]]="R",COUNTIFS($D$4:$D396,"R")+1,"")</f>
        <v>390</v>
      </c>
      <c r="C397" s="19" t="str">
        <f t="shared" si="31"/>
        <v>C-Tesoreria</v>
      </c>
      <c r="D397" s="3" t="s">
        <v>1074</v>
      </c>
      <c r="E397" s="14">
        <v>45803</v>
      </c>
      <c r="F397" s="5" t="s">
        <v>1158</v>
      </c>
      <c r="G397" s="5" t="s">
        <v>1079</v>
      </c>
      <c r="H397" s="3" t="s">
        <v>3016</v>
      </c>
      <c r="I397" s="6"/>
      <c r="J397" s="6"/>
      <c r="K397" s="6"/>
      <c r="L397" s="6"/>
      <c r="M397" s="7" t="s">
        <v>4995</v>
      </c>
      <c r="N397" s="8" t="str">
        <f>IF(Caja_Arequipa[[#This Row],[TIPO DE R.]]="R","001-"&amp;12002+B397,N396)</f>
        <v>001-12392</v>
      </c>
      <c r="O397" s="8" t="str">
        <f t="shared" si="35"/>
        <v>PEN</v>
      </c>
      <c r="P397" s="13"/>
      <c r="Q397" s="13">
        <v>20</v>
      </c>
      <c r="R397" s="3">
        <f t="shared" si="32"/>
        <v>0</v>
      </c>
      <c r="S397" s="3">
        <f t="shared" si="33"/>
        <v>20</v>
      </c>
      <c r="T397" s="3">
        <f t="shared" si="34"/>
        <v>2179.1999999999989</v>
      </c>
      <c r="U397" s="24" t="s">
        <v>1081</v>
      </c>
      <c r="V397" s="24"/>
      <c r="W397" s="3"/>
      <c r="X397" s="3" t="s">
        <v>3016</v>
      </c>
      <c r="Y397" s="3" t="s">
        <v>4996</v>
      </c>
      <c r="Z397" s="3"/>
      <c r="AA397" s="3"/>
      <c r="AB397" s="3"/>
      <c r="AC397" s="3" t="str">
        <f>IF(Caja_Arequipa[[#This Row],[FECHA]]&gt;0,TEXT(Caja_Arequipa[[#This Row],[FECHA]],"mmmm"),0)</f>
        <v>Mayo</v>
      </c>
    </row>
    <row r="398" spans="2:29" x14ac:dyDescent="0.3">
      <c r="B398" s="2">
        <f>IF(Caja_Arequipa[[#This Row],[TIPO DE R.]]="R",COUNTIFS($D$4:$D397,"R")+1,"")</f>
        <v>391</v>
      </c>
      <c r="C398" s="19" t="str">
        <f t="shared" si="31"/>
        <v>C-Tesoreria</v>
      </c>
      <c r="D398" s="3" t="s">
        <v>1074</v>
      </c>
      <c r="E398" s="14">
        <v>45803</v>
      </c>
      <c r="F398" s="5" t="s">
        <v>1158</v>
      </c>
      <c r="G398" s="5" t="s">
        <v>1079</v>
      </c>
      <c r="H398" s="3" t="s">
        <v>4912</v>
      </c>
      <c r="I398" s="6"/>
      <c r="J398" s="6"/>
      <c r="K398" s="6"/>
      <c r="L398" s="6"/>
      <c r="M398" s="7" t="s">
        <v>4995</v>
      </c>
      <c r="N398" s="8" t="str">
        <f>IF(Caja_Arequipa[[#This Row],[TIPO DE R.]]="R","001-"&amp;12002+B398,N397)</f>
        <v>001-12393</v>
      </c>
      <c r="O398" s="8" t="str">
        <f t="shared" si="35"/>
        <v>PEN</v>
      </c>
      <c r="P398" s="13"/>
      <c r="Q398" s="13">
        <v>40</v>
      </c>
      <c r="R398" s="3">
        <f t="shared" si="32"/>
        <v>0</v>
      </c>
      <c r="S398" s="3">
        <f t="shared" si="33"/>
        <v>40</v>
      </c>
      <c r="T398" s="3">
        <f t="shared" si="34"/>
        <v>2139.1999999999989</v>
      </c>
      <c r="U398" s="24" t="s">
        <v>1081</v>
      </c>
      <c r="V398" s="24"/>
      <c r="W398" s="3"/>
      <c r="X398" s="3" t="s">
        <v>4912</v>
      </c>
      <c r="Y398" s="3" t="s">
        <v>4997</v>
      </c>
      <c r="Z398" s="3"/>
      <c r="AA398" s="3"/>
      <c r="AB398" s="3"/>
      <c r="AC398" s="3" t="str">
        <f>IF(Caja_Arequipa[[#This Row],[FECHA]]&gt;0,TEXT(Caja_Arequipa[[#This Row],[FECHA]],"mmmm"),0)</f>
        <v>Mayo</v>
      </c>
    </row>
    <row r="399" spans="2:29" ht="24" x14ac:dyDescent="0.3">
      <c r="B399" s="2">
        <f>IF(Caja_Arequipa[[#This Row],[TIPO DE R.]]="R",COUNTIFS($D$4:$D398,"R")+1,"")</f>
        <v>392</v>
      </c>
      <c r="C399" s="19" t="str">
        <f t="shared" si="31"/>
        <v>C-Tesoreria</v>
      </c>
      <c r="D399" s="3" t="s">
        <v>1074</v>
      </c>
      <c r="E399" s="14">
        <v>45803</v>
      </c>
      <c r="F399" s="5" t="s">
        <v>1158</v>
      </c>
      <c r="G399" s="5" t="s">
        <v>1079</v>
      </c>
      <c r="H399" s="3" t="s">
        <v>4912</v>
      </c>
      <c r="I399" s="6"/>
      <c r="J399" s="6"/>
      <c r="K399" s="6"/>
      <c r="L399" s="6"/>
      <c r="M399" s="7" t="s">
        <v>4998</v>
      </c>
      <c r="N399" s="8" t="str">
        <f>IF(Caja_Arequipa[[#This Row],[TIPO DE R.]]="R","001-"&amp;12002+B399,N398)</f>
        <v>001-12394</v>
      </c>
      <c r="O399" s="8" t="str">
        <f t="shared" si="35"/>
        <v>PEN</v>
      </c>
      <c r="P399" s="13"/>
      <c r="Q399" s="13">
        <v>187</v>
      </c>
      <c r="R399" s="3">
        <f t="shared" si="32"/>
        <v>0</v>
      </c>
      <c r="S399" s="3">
        <f t="shared" si="33"/>
        <v>187</v>
      </c>
      <c r="T399" s="3">
        <f t="shared" si="34"/>
        <v>1952.1999999999989</v>
      </c>
      <c r="U399" s="24" t="s">
        <v>1081</v>
      </c>
      <c r="V399" s="24"/>
      <c r="W399" s="3"/>
      <c r="X399" s="3" t="s">
        <v>4912</v>
      </c>
      <c r="Y399" s="3" t="s">
        <v>4999</v>
      </c>
      <c r="Z399" s="3"/>
      <c r="AA399" s="3"/>
      <c r="AB399" s="3"/>
      <c r="AC399" s="3" t="str">
        <f>IF(Caja_Arequipa[[#This Row],[FECHA]]&gt;0,TEXT(Caja_Arequipa[[#This Row],[FECHA]],"mmmm"),0)</f>
        <v>Mayo</v>
      </c>
    </row>
    <row r="400" spans="2:29" ht="24" x14ac:dyDescent="0.3">
      <c r="B400" s="2">
        <f>IF(Caja_Arequipa[[#This Row],[TIPO DE R.]]="R",COUNTIFS($D$4:$D399,"R")+1,"")</f>
        <v>393</v>
      </c>
      <c r="C400" s="19" t="str">
        <f t="shared" si="31"/>
        <v>C-Tesoreria</v>
      </c>
      <c r="D400" s="3" t="s">
        <v>1074</v>
      </c>
      <c r="E400" s="14">
        <v>45803</v>
      </c>
      <c r="F400" s="5" t="s">
        <v>1158</v>
      </c>
      <c r="G400" s="5" t="s">
        <v>1079</v>
      </c>
      <c r="H400" s="3" t="s">
        <v>4912</v>
      </c>
      <c r="I400" s="6"/>
      <c r="J400" s="6"/>
      <c r="K400" s="6"/>
      <c r="L400" s="6"/>
      <c r="M400" s="7" t="s">
        <v>5000</v>
      </c>
      <c r="N400" s="8" t="str">
        <f>IF(Caja_Arequipa[[#This Row],[TIPO DE R.]]="R","001-"&amp;12002+B400,N399)</f>
        <v>001-12395</v>
      </c>
      <c r="O400" s="8" t="str">
        <f t="shared" si="35"/>
        <v>PEN</v>
      </c>
      <c r="P400" s="13"/>
      <c r="Q400" s="13">
        <v>140</v>
      </c>
      <c r="R400" s="3">
        <f t="shared" si="32"/>
        <v>0</v>
      </c>
      <c r="S400" s="3">
        <f t="shared" si="33"/>
        <v>140</v>
      </c>
      <c r="T400" s="3">
        <f t="shared" si="34"/>
        <v>1812.1999999999989</v>
      </c>
      <c r="U400" s="24"/>
      <c r="V400" s="24"/>
      <c r="W400" s="3"/>
      <c r="X400" s="3" t="s">
        <v>4912</v>
      </c>
      <c r="Y400" s="3" t="s">
        <v>5001</v>
      </c>
      <c r="Z400" s="3"/>
      <c r="AA400" s="3"/>
      <c r="AB400" s="3"/>
      <c r="AC400" s="3" t="str">
        <f>IF(Caja_Arequipa[[#This Row],[FECHA]]&gt;0,TEXT(Caja_Arequipa[[#This Row],[FECHA]],"mmmm"),0)</f>
        <v>Mayo</v>
      </c>
    </row>
    <row r="401" spans="2:29" ht="24" x14ac:dyDescent="0.3">
      <c r="B401" s="2" t="str">
        <f>IF(Caja_Arequipa[[#This Row],[TIPO DE R.]]="R",COUNTIFS($D$4:$D400,"R")+1,"")</f>
        <v/>
      </c>
      <c r="C401" s="19" t="str">
        <f t="shared" si="31"/>
        <v>C-Tesoreria</v>
      </c>
      <c r="D401" s="3" t="s">
        <v>1101</v>
      </c>
      <c r="E401" s="14">
        <v>45803</v>
      </c>
      <c r="F401" s="5" t="s">
        <v>1158</v>
      </c>
      <c r="G401" s="5"/>
      <c r="H401" s="3"/>
      <c r="I401" s="6" t="s">
        <v>910</v>
      </c>
      <c r="J401" s="6" t="s">
        <v>14</v>
      </c>
      <c r="K401" s="6" t="s">
        <v>1119</v>
      </c>
      <c r="L401" s="6">
        <v>1014</v>
      </c>
      <c r="M401" s="7" t="s">
        <v>5000</v>
      </c>
      <c r="N401" s="8" t="str">
        <f>IF(Caja_Arequipa[[#This Row],[TIPO DE R.]]="R","001-"&amp;12002+B401,N400)</f>
        <v>001-12395</v>
      </c>
      <c r="O401" s="8" t="str">
        <f>"PEN"</f>
        <v>PEN</v>
      </c>
      <c r="P401" s="13">
        <v>100</v>
      </c>
      <c r="Q401" s="13"/>
      <c r="R401" s="3">
        <f t="shared" si="32"/>
        <v>0</v>
      </c>
      <c r="S401" s="3">
        <f t="shared" si="33"/>
        <v>0</v>
      </c>
      <c r="T401" s="3">
        <f t="shared" si="34"/>
        <v>1812.1999999999989</v>
      </c>
      <c r="U401" s="24"/>
      <c r="V401" s="24"/>
      <c r="W401" s="3"/>
      <c r="X401" s="3"/>
      <c r="Y401" s="3"/>
      <c r="Z401" s="3"/>
      <c r="AA401" s="3"/>
      <c r="AB401" s="3"/>
      <c r="AC401" s="3" t="str">
        <f>IF(Caja_Arequipa[[#This Row],[FECHA]]&gt;0,TEXT(Caja_Arequipa[[#This Row],[FECHA]],"mmmm"),0)</f>
        <v>Mayo</v>
      </c>
    </row>
    <row r="402" spans="2:29" ht="24" x14ac:dyDescent="0.3">
      <c r="B402" s="2" t="str">
        <f>IF(Caja_Arequipa[[#This Row],[TIPO DE R.]]="R",COUNTIFS($D$4:$D401,"R")+1,"")</f>
        <v/>
      </c>
      <c r="C402" s="19" t="str">
        <f t="shared" si="31"/>
        <v>C-Tesoreria</v>
      </c>
      <c r="D402" s="3" t="s">
        <v>1101</v>
      </c>
      <c r="E402" s="14">
        <v>45803</v>
      </c>
      <c r="F402" s="5" t="s">
        <v>1158</v>
      </c>
      <c r="G402" s="5"/>
      <c r="H402" s="3"/>
      <c r="I402" s="6"/>
      <c r="J402" s="6" t="s">
        <v>55</v>
      </c>
      <c r="K402" s="6">
        <v>3</v>
      </c>
      <c r="L402" s="6">
        <v>239</v>
      </c>
      <c r="M402" s="7" t="s">
        <v>5000</v>
      </c>
      <c r="N402" s="8" t="str">
        <f>IF(Caja_Arequipa[[#This Row],[TIPO DE R.]]="R","001-"&amp;12002+B402,N401)</f>
        <v>001-12395</v>
      </c>
      <c r="O402" s="8" t="str">
        <f>"PEN"</f>
        <v>PEN</v>
      </c>
      <c r="P402" s="13">
        <v>40</v>
      </c>
      <c r="Q402" s="13"/>
      <c r="R402" s="3">
        <f t="shared" si="32"/>
        <v>0</v>
      </c>
      <c r="S402" s="3">
        <f t="shared" si="33"/>
        <v>0</v>
      </c>
      <c r="T402" s="3">
        <f t="shared" si="34"/>
        <v>1812.1999999999989</v>
      </c>
      <c r="U402" s="24"/>
      <c r="V402" s="24"/>
      <c r="W402" s="3"/>
      <c r="X402" s="3"/>
      <c r="Y402" s="3"/>
      <c r="Z402" s="3"/>
      <c r="AA402" s="3"/>
      <c r="AB402" s="3"/>
      <c r="AC402" s="3" t="str">
        <f>IF(Caja_Arequipa[[#This Row],[FECHA]]&gt;0,TEXT(Caja_Arequipa[[#This Row],[FECHA]],"mmmm"),0)</f>
        <v>Mayo</v>
      </c>
    </row>
    <row r="403" spans="2:29" x14ac:dyDescent="0.3">
      <c r="B403" s="2">
        <f>IF(Caja_Arequipa[[#This Row],[TIPO DE R.]]="R",COUNTIFS($D$4:$D402,"R")+1,"")</f>
        <v>394</v>
      </c>
      <c r="C403" s="19" t="str">
        <f t="shared" si="31"/>
        <v>C-Tesoreria</v>
      </c>
      <c r="D403" s="3" t="s">
        <v>1074</v>
      </c>
      <c r="E403" s="14">
        <v>45804</v>
      </c>
      <c r="F403" s="5" t="s">
        <v>1158</v>
      </c>
      <c r="G403" s="5" t="s">
        <v>1079</v>
      </c>
      <c r="H403" s="3" t="s">
        <v>4314</v>
      </c>
      <c r="I403" s="6"/>
      <c r="J403" s="6"/>
      <c r="K403" s="6"/>
      <c r="L403" s="6"/>
      <c r="M403" s="7" t="s">
        <v>5002</v>
      </c>
      <c r="N403" s="8" t="str">
        <f>IF(Caja_Arequipa[[#This Row],[TIPO DE R.]]="R","001-"&amp;12002+B403,N402)</f>
        <v>001-12396</v>
      </c>
      <c r="O403" s="8" t="str">
        <f t="shared" si="35"/>
        <v>PEN</v>
      </c>
      <c r="P403" s="13"/>
      <c r="Q403" s="13">
        <v>5</v>
      </c>
      <c r="R403" s="3">
        <f t="shared" si="32"/>
        <v>0</v>
      </c>
      <c r="S403" s="3">
        <f t="shared" si="33"/>
        <v>5</v>
      </c>
      <c r="T403" s="3">
        <f t="shared" si="34"/>
        <v>1807.1999999999989</v>
      </c>
      <c r="U403" s="24" t="s">
        <v>1081</v>
      </c>
      <c r="V403" s="24"/>
      <c r="W403" s="3"/>
      <c r="X403" s="3" t="s">
        <v>4314</v>
      </c>
      <c r="Y403" s="3" t="s">
        <v>5003</v>
      </c>
      <c r="Z403" s="3"/>
      <c r="AA403" s="3"/>
      <c r="AB403" s="3"/>
      <c r="AC403" s="3" t="str">
        <f>IF(Caja_Arequipa[[#This Row],[FECHA]]&gt;0,TEXT(Caja_Arequipa[[#This Row],[FECHA]],"mmmm"),0)</f>
        <v>Mayo</v>
      </c>
    </row>
    <row r="404" spans="2:29" x14ac:dyDescent="0.3">
      <c r="B404" s="2">
        <f>IF(Caja_Arequipa[[#This Row],[TIPO DE R.]]="R",COUNTIFS($D$4:$D403,"R")+1,"")</f>
        <v>395</v>
      </c>
      <c r="C404" s="19" t="str">
        <f t="shared" si="31"/>
        <v>C-Tesoreria</v>
      </c>
      <c r="D404" s="3" t="s">
        <v>1074</v>
      </c>
      <c r="E404" s="14">
        <v>45804</v>
      </c>
      <c r="F404" s="5" t="s">
        <v>1158</v>
      </c>
      <c r="G404" s="5" t="s">
        <v>1079</v>
      </c>
      <c r="H404" s="3" t="s">
        <v>4314</v>
      </c>
      <c r="I404" s="6"/>
      <c r="J404" s="6"/>
      <c r="K404" s="6"/>
      <c r="L404" s="6"/>
      <c r="M404" s="7" t="s">
        <v>5004</v>
      </c>
      <c r="N404" s="8" t="str">
        <f>IF(Caja_Arequipa[[#This Row],[TIPO DE R.]]="R","001-"&amp;12002+B404,N403)</f>
        <v>001-12397</v>
      </c>
      <c r="O404" s="8" t="str">
        <f t="shared" si="35"/>
        <v>PEN</v>
      </c>
      <c r="P404" s="13"/>
      <c r="Q404" s="13">
        <v>13</v>
      </c>
      <c r="R404" s="3">
        <f t="shared" si="32"/>
        <v>0</v>
      </c>
      <c r="S404" s="3">
        <f t="shared" si="33"/>
        <v>13</v>
      </c>
      <c r="T404" s="3">
        <f t="shared" si="34"/>
        <v>1794.1999999999989</v>
      </c>
      <c r="U404" s="24" t="s">
        <v>1081</v>
      </c>
      <c r="V404" s="24"/>
      <c r="W404" s="3"/>
      <c r="X404" s="3" t="s">
        <v>4314</v>
      </c>
      <c r="Y404" s="3" t="s">
        <v>5005</v>
      </c>
      <c r="Z404" s="3"/>
      <c r="AA404" s="3"/>
      <c r="AB404" s="3"/>
      <c r="AC404" s="3" t="str">
        <f>IF(Caja_Arequipa[[#This Row],[FECHA]]&gt;0,TEXT(Caja_Arequipa[[#This Row],[FECHA]],"mmmm"),0)</f>
        <v>Mayo</v>
      </c>
    </row>
    <row r="405" spans="2:29" x14ac:dyDescent="0.3">
      <c r="B405" s="2">
        <f>IF(Caja_Arequipa[[#This Row],[TIPO DE R.]]="R",COUNTIFS($D$4:$D404,"R")+1,"")</f>
        <v>396</v>
      </c>
      <c r="C405" s="19" t="str">
        <f t="shared" si="31"/>
        <v>C-Tesoreria</v>
      </c>
      <c r="D405" s="3" t="s">
        <v>1074</v>
      </c>
      <c r="E405" s="14">
        <v>45804</v>
      </c>
      <c r="F405" s="5" t="s">
        <v>1158</v>
      </c>
      <c r="G405" s="5" t="s">
        <v>1079</v>
      </c>
      <c r="H405" s="3" t="s">
        <v>4314</v>
      </c>
      <c r="I405" s="6"/>
      <c r="J405" s="6"/>
      <c r="K405" s="6"/>
      <c r="L405" s="6"/>
      <c r="M405" s="7" t="s">
        <v>5006</v>
      </c>
      <c r="N405" s="8" t="str">
        <f>IF(Caja_Arequipa[[#This Row],[TIPO DE R.]]="R","001-"&amp;12002+B405,N404)</f>
        <v>001-12398</v>
      </c>
      <c r="O405" s="8" t="str">
        <f t="shared" si="35"/>
        <v>PEN</v>
      </c>
      <c r="P405" s="13"/>
      <c r="Q405" s="13">
        <v>30</v>
      </c>
      <c r="R405" s="3">
        <f t="shared" si="32"/>
        <v>0</v>
      </c>
      <c r="S405" s="3">
        <f t="shared" si="33"/>
        <v>30</v>
      </c>
      <c r="T405" s="3">
        <f t="shared" si="34"/>
        <v>1764.1999999999989</v>
      </c>
      <c r="U405" s="24" t="s">
        <v>1081</v>
      </c>
      <c r="V405" s="24"/>
      <c r="W405" s="3"/>
      <c r="X405" s="3" t="s">
        <v>4314</v>
      </c>
      <c r="Y405" s="3" t="s">
        <v>5007</v>
      </c>
      <c r="Z405" s="3"/>
      <c r="AA405" s="3"/>
      <c r="AB405" s="3"/>
      <c r="AC405" s="3" t="str">
        <f>IF(Caja_Arequipa[[#This Row],[FECHA]]&gt;0,TEXT(Caja_Arequipa[[#This Row],[FECHA]],"mmmm"),0)</f>
        <v>Mayo</v>
      </c>
    </row>
    <row r="406" spans="2:29" x14ac:dyDescent="0.3">
      <c r="B406" s="2">
        <f>IF(Caja_Arequipa[[#This Row],[TIPO DE R.]]="R",COUNTIFS($D$4:$D405,"R")+1,"")</f>
        <v>397</v>
      </c>
      <c r="C406" s="19" t="str">
        <f t="shared" si="31"/>
        <v>C-Tesoreria</v>
      </c>
      <c r="D406" s="3" t="s">
        <v>1074</v>
      </c>
      <c r="E406" s="14">
        <v>45804</v>
      </c>
      <c r="F406" s="5" t="s">
        <v>1158</v>
      </c>
      <c r="G406" s="5" t="s">
        <v>1079</v>
      </c>
      <c r="H406" s="3" t="s">
        <v>4314</v>
      </c>
      <c r="I406" s="6"/>
      <c r="J406" s="6"/>
      <c r="K406" s="6"/>
      <c r="L406" s="6"/>
      <c r="M406" s="7" t="s">
        <v>5008</v>
      </c>
      <c r="N406" s="8" t="str">
        <f>IF(Caja_Arequipa[[#This Row],[TIPO DE R.]]="R","001-"&amp;12002+B406,N405)</f>
        <v>001-12399</v>
      </c>
      <c r="O406" s="8" t="str">
        <f t="shared" si="35"/>
        <v>PEN</v>
      </c>
      <c r="P406" s="13"/>
      <c r="Q406" s="13">
        <v>68</v>
      </c>
      <c r="R406" s="3">
        <f t="shared" si="32"/>
        <v>0</v>
      </c>
      <c r="S406" s="3">
        <f t="shared" si="33"/>
        <v>68</v>
      </c>
      <c r="T406" s="3">
        <f t="shared" si="34"/>
        <v>1696.1999999999989</v>
      </c>
      <c r="U406" s="24" t="s">
        <v>1081</v>
      </c>
      <c r="V406" s="24"/>
      <c r="W406" s="3"/>
      <c r="X406" s="3" t="s">
        <v>4314</v>
      </c>
      <c r="Y406" s="3" t="s">
        <v>5009</v>
      </c>
      <c r="Z406" s="3"/>
      <c r="AA406" s="3"/>
      <c r="AB406" s="3"/>
      <c r="AC406" s="3" t="str">
        <f>IF(Caja_Arequipa[[#This Row],[FECHA]]&gt;0,TEXT(Caja_Arequipa[[#This Row],[FECHA]],"mmmm"),0)</f>
        <v>Mayo</v>
      </c>
    </row>
    <row r="407" spans="2:29" x14ac:dyDescent="0.3">
      <c r="B407" s="2">
        <f>IF(Caja_Arequipa[[#This Row],[TIPO DE R.]]="R",COUNTIFS($D$4:$D406,"R")+1,"")</f>
        <v>398</v>
      </c>
      <c r="C407" s="19" t="str">
        <f t="shared" si="31"/>
        <v>C-Tesoreria</v>
      </c>
      <c r="D407" s="3" t="s">
        <v>1074</v>
      </c>
      <c r="E407" s="14">
        <v>45804</v>
      </c>
      <c r="F407" s="5" t="s">
        <v>1158</v>
      </c>
      <c r="G407" s="5" t="s">
        <v>1079</v>
      </c>
      <c r="H407" s="3" t="s">
        <v>4314</v>
      </c>
      <c r="I407" s="6"/>
      <c r="J407" s="6"/>
      <c r="K407" s="6"/>
      <c r="L407" s="6"/>
      <c r="M407" s="7" t="s">
        <v>5010</v>
      </c>
      <c r="N407" s="8" t="str">
        <f>IF(Caja_Arequipa[[#This Row],[TIPO DE R.]]="R","001-"&amp;12002+B407,N406)</f>
        <v>001-12400</v>
      </c>
      <c r="O407" s="8" t="str">
        <f t="shared" si="35"/>
        <v>PEN</v>
      </c>
      <c r="P407" s="13"/>
      <c r="Q407" s="13">
        <v>5</v>
      </c>
      <c r="R407" s="3">
        <f t="shared" si="32"/>
        <v>0</v>
      </c>
      <c r="S407" s="3">
        <f t="shared" si="33"/>
        <v>5</v>
      </c>
      <c r="T407" s="3">
        <f t="shared" si="34"/>
        <v>1691.1999999999989</v>
      </c>
      <c r="U407" s="24" t="s">
        <v>1081</v>
      </c>
      <c r="V407" s="24"/>
      <c r="W407" s="3"/>
      <c r="X407" s="3" t="s">
        <v>4314</v>
      </c>
      <c r="Y407" s="3" t="s">
        <v>5011</v>
      </c>
      <c r="Z407" s="3"/>
      <c r="AA407" s="3"/>
      <c r="AB407" s="3"/>
      <c r="AC407" s="3" t="str">
        <f>IF(Caja_Arequipa[[#This Row],[FECHA]]&gt;0,TEXT(Caja_Arequipa[[#This Row],[FECHA]],"mmmm"),0)</f>
        <v>Mayo</v>
      </c>
    </row>
    <row r="408" spans="2:29" x14ac:dyDescent="0.3">
      <c r="B408" s="2">
        <f>IF(Caja_Arequipa[[#This Row],[TIPO DE R.]]="R",COUNTIFS($D$4:$D407,"R")+1,"")</f>
        <v>399</v>
      </c>
      <c r="C408" s="19" t="str">
        <f t="shared" si="31"/>
        <v>C-Tesoreria</v>
      </c>
      <c r="D408" s="3" t="s">
        <v>1074</v>
      </c>
      <c r="E408" s="14">
        <v>45804</v>
      </c>
      <c r="F408" s="5" t="s">
        <v>1158</v>
      </c>
      <c r="G408" s="5" t="s">
        <v>1079</v>
      </c>
      <c r="H408" s="3" t="s">
        <v>4314</v>
      </c>
      <c r="I408" s="6"/>
      <c r="J408" s="6"/>
      <c r="K408" s="6"/>
      <c r="L408" s="6"/>
      <c r="M408" s="7" t="s">
        <v>5012</v>
      </c>
      <c r="N408" s="8" t="str">
        <f>IF(Caja_Arequipa[[#This Row],[TIPO DE R.]]="R","001-"&amp;12002+B408,N407)</f>
        <v>001-12401</v>
      </c>
      <c r="O408" s="8" t="str">
        <f t="shared" si="35"/>
        <v>PEN</v>
      </c>
      <c r="P408" s="13"/>
      <c r="Q408" s="13">
        <v>25</v>
      </c>
      <c r="R408" s="3">
        <f t="shared" si="32"/>
        <v>0</v>
      </c>
      <c r="S408" s="3">
        <f t="shared" si="33"/>
        <v>25</v>
      </c>
      <c r="T408" s="3">
        <f t="shared" si="34"/>
        <v>1666.1999999999989</v>
      </c>
      <c r="U408" s="24" t="s">
        <v>1081</v>
      </c>
      <c r="V408" s="24"/>
      <c r="W408" s="3"/>
      <c r="X408" s="3" t="s">
        <v>4314</v>
      </c>
      <c r="Y408" s="3" t="s">
        <v>5013</v>
      </c>
      <c r="Z408" s="3"/>
      <c r="AA408" s="3"/>
      <c r="AB408" s="3"/>
      <c r="AC408" s="3" t="str">
        <f>IF(Caja_Arequipa[[#This Row],[FECHA]]&gt;0,TEXT(Caja_Arequipa[[#This Row],[FECHA]],"mmmm"),0)</f>
        <v>Mayo</v>
      </c>
    </row>
    <row r="409" spans="2:29" x14ac:dyDescent="0.3">
      <c r="B409" s="2">
        <f>IF(Caja_Arequipa[[#This Row],[TIPO DE R.]]="R",COUNTIFS($D$4:$D408,"R")+1,"")</f>
        <v>400</v>
      </c>
      <c r="C409" s="19" t="str">
        <f t="shared" si="31"/>
        <v>C-Tesoreria</v>
      </c>
      <c r="D409" s="3" t="s">
        <v>1074</v>
      </c>
      <c r="E409" s="14">
        <v>45804</v>
      </c>
      <c r="F409" s="5" t="s">
        <v>1158</v>
      </c>
      <c r="G409" s="5" t="s">
        <v>1079</v>
      </c>
      <c r="H409" s="3" t="s">
        <v>4314</v>
      </c>
      <c r="I409" s="6"/>
      <c r="J409" s="6"/>
      <c r="K409" s="6"/>
      <c r="L409" s="6"/>
      <c r="M409" s="7" t="s">
        <v>5014</v>
      </c>
      <c r="N409" s="8" t="str">
        <f>IF(Caja_Arequipa[[#This Row],[TIPO DE R.]]="R","001-"&amp;12002+B409,N408)</f>
        <v>001-12402</v>
      </c>
      <c r="O409" s="8" t="str">
        <f t="shared" si="35"/>
        <v>PEN</v>
      </c>
      <c r="P409" s="13"/>
      <c r="Q409" s="13">
        <v>10</v>
      </c>
      <c r="R409" s="3">
        <f t="shared" si="32"/>
        <v>0</v>
      </c>
      <c r="S409" s="3">
        <f t="shared" si="33"/>
        <v>10</v>
      </c>
      <c r="T409" s="3">
        <f t="shared" si="34"/>
        <v>1656.1999999999989</v>
      </c>
      <c r="U409" s="24" t="s">
        <v>1081</v>
      </c>
      <c r="V409" s="24"/>
      <c r="W409" s="3"/>
      <c r="X409" s="3" t="s">
        <v>4314</v>
      </c>
      <c r="Y409" s="3" t="s">
        <v>5015</v>
      </c>
      <c r="Z409" s="3"/>
      <c r="AA409" s="3"/>
      <c r="AB409" s="3"/>
      <c r="AC409" s="3" t="str">
        <f>IF(Caja_Arequipa[[#This Row],[FECHA]]&gt;0,TEXT(Caja_Arequipa[[#This Row],[FECHA]],"mmmm"),0)</f>
        <v>Mayo</v>
      </c>
    </row>
    <row r="410" spans="2:29" x14ac:dyDescent="0.3">
      <c r="B410" s="2">
        <f>IF(Caja_Arequipa[[#This Row],[TIPO DE R.]]="R",COUNTIFS($D$4:$D409,"R")+1,"")</f>
        <v>401</v>
      </c>
      <c r="C410" s="19" t="str">
        <f t="shared" si="31"/>
        <v>C-Tesoreria</v>
      </c>
      <c r="D410" s="3" t="s">
        <v>1074</v>
      </c>
      <c r="E410" s="14">
        <v>45804</v>
      </c>
      <c r="F410" s="5" t="s">
        <v>1158</v>
      </c>
      <c r="G410" s="5" t="s">
        <v>1079</v>
      </c>
      <c r="H410" s="3" t="s">
        <v>4314</v>
      </c>
      <c r="I410" s="6"/>
      <c r="J410" s="6"/>
      <c r="K410" s="6"/>
      <c r="L410" s="6"/>
      <c r="M410" s="7" t="s">
        <v>5016</v>
      </c>
      <c r="N410" s="8" t="str">
        <f>IF(Caja_Arequipa[[#This Row],[TIPO DE R.]]="R","001-"&amp;12002+B410,N409)</f>
        <v>001-12403</v>
      </c>
      <c r="O410" s="8" t="str">
        <f t="shared" si="35"/>
        <v>PEN</v>
      </c>
      <c r="P410" s="13"/>
      <c r="Q410" s="13">
        <v>25</v>
      </c>
      <c r="R410" s="3">
        <f t="shared" si="32"/>
        <v>0</v>
      </c>
      <c r="S410" s="3">
        <f t="shared" si="33"/>
        <v>25</v>
      </c>
      <c r="T410" s="3">
        <f t="shared" si="34"/>
        <v>1631.1999999999989</v>
      </c>
      <c r="U410" s="24" t="s">
        <v>1081</v>
      </c>
      <c r="V410" s="24"/>
      <c r="W410" s="3"/>
      <c r="X410" s="3" t="s">
        <v>4314</v>
      </c>
      <c r="Y410" s="3" t="s">
        <v>5017</v>
      </c>
      <c r="Z410" s="3"/>
      <c r="AA410" s="3"/>
      <c r="AB410" s="3"/>
      <c r="AC410" s="3" t="str">
        <f>IF(Caja_Arequipa[[#This Row],[FECHA]]&gt;0,TEXT(Caja_Arequipa[[#This Row],[FECHA]],"mmmm"),0)</f>
        <v>Mayo</v>
      </c>
    </row>
    <row r="411" spans="2:29" x14ac:dyDescent="0.3">
      <c r="B411" s="2">
        <f>IF(Caja_Arequipa[[#This Row],[TIPO DE R.]]="R",COUNTIFS($D$4:$D410,"R")+1,"")</f>
        <v>402</v>
      </c>
      <c r="C411" s="19" t="str">
        <f t="shared" si="31"/>
        <v>C-Tesoreria</v>
      </c>
      <c r="D411" s="3" t="s">
        <v>1074</v>
      </c>
      <c r="E411" s="14">
        <v>45804</v>
      </c>
      <c r="F411" s="5" t="s">
        <v>1158</v>
      </c>
      <c r="G411" s="5" t="s">
        <v>1079</v>
      </c>
      <c r="H411" s="3" t="s">
        <v>4314</v>
      </c>
      <c r="I411" s="6"/>
      <c r="J411" s="6"/>
      <c r="K411" s="6"/>
      <c r="L411" s="6"/>
      <c r="M411" s="7" t="s">
        <v>5018</v>
      </c>
      <c r="N411" s="8" t="str">
        <f>IF(Caja_Arequipa[[#This Row],[TIPO DE R.]]="R","001-"&amp;12002+B411,N410)</f>
        <v>001-12404</v>
      </c>
      <c r="O411" s="8" t="str">
        <f t="shared" si="35"/>
        <v>PEN</v>
      </c>
      <c r="P411" s="13"/>
      <c r="Q411" s="13">
        <v>20</v>
      </c>
      <c r="R411" s="3">
        <f t="shared" si="32"/>
        <v>0</v>
      </c>
      <c r="S411" s="3">
        <f t="shared" si="33"/>
        <v>20</v>
      </c>
      <c r="T411" s="3">
        <f t="shared" si="34"/>
        <v>1611.1999999999989</v>
      </c>
      <c r="U411" s="24" t="s">
        <v>1081</v>
      </c>
      <c r="V411" s="24"/>
      <c r="W411" s="3"/>
      <c r="X411" s="3" t="s">
        <v>4314</v>
      </c>
      <c r="Y411" s="3" t="s">
        <v>5019</v>
      </c>
      <c r="Z411" s="3"/>
      <c r="AA411" s="3"/>
      <c r="AB411" s="3"/>
      <c r="AC411" s="3" t="str">
        <f>IF(Caja_Arequipa[[#This Row],[FECHA]]&gt;0,TEXT(Caja_Arequipa[[#This Row],[FECHA]],"mmmm"),0)</f>
        <v>Mayo</v>
      </c>
    </row>
    <row r="412" spans="2:29" x14ac:dyDescent="0.3">
      <c r="B412" s="2">
        <f>IF(Caja_Arequipa[[#This Row],[TIPO DE R.]]="R",COUNTIFS($D$4:$D411,"R")+1,"")</f>
        <v>403</v>
      </c>
      <c r="C412" s="19" t="str">
        <f t="shared" si="31"/>
        <v>C-Tesoreria</v>
      </c>
      <c r="D412" s="3" t="s">
        <v>1074</v>
      </c>
      <c r="E412" s="14">
        <v>45805</v>
      </c>
      <c r="F412" s="5" t="s">
        <v>1158</v>
      </c>
      <c r="G412" s="5" t="s">
        <v>1079</v>
      </c>
      <c r="H412" s="3" t="s">
        <v>4329</v>
      </c>
      <c r="I412" s="6"/>
      <c r="J412" s="6"/>
      <c r="K412" s="6"/>
      <c r="L412" s="6"/>
      <c r="M412" s="7" t="s">
        <v>5020</v>
      </c>
      <c r="N412" s="8" t="str">
        <f>IF(Caja_Arequipa[[#This Row],[TIPO DE R.]]="R","001-"&amp;12002+B412,N411)</f>
        <v>001-12405</v>
      </c>
      <c r="O412" s="8" t="str">
        <f t="shared" si="35"/>
        <v>PEN</v>
      </c>
      <c r="P412" s="13"/>
      <c r="Q412" s="13">
        <v>68</v>
      </c>
      <c r="R412" s="3">
        <f t="shared" si="32"/>
        <v>0</v>
      </c>
      <c r="S412" s="3">
        <f t="shared" si="33"/>
        <v>68</v>
      </c>
      <c r="T412" s="3">
        <f t="shared" si="34"/>
        <v>1543.1999999999989</v>
      </c>
      <c r="U412" s="24" t="s">
        <v>1081</v>
      </c>
      <c r="V412" s="24"/>
      <c r="W412" s="3"/>
      <c r="X412" s="3" t="s">
        <v>4329</v>
      </c>
      <c r="Y412" s="3" t="s">
        <v>5021</v>
      </c>
      <c r="Z412" s="3"/>
      <c r="AA412" s="3"/>
      <c r="AB412" s="3"/>
      <c r="AC412" s="3" t="str">
        <f>IF(Caja_Arequipa[[#This Row],[FECHA]]&gt;0,TEXT(Caja_Arequipa[[#This Row],[FECHA]],"mmmm"),0)</f>
        <v>Mayo</v>
      </c>
    </row>
    <row r="413" spans="2:29" x14ac:dyDescent="0.3">
      <c r="B413" s="2">
        <f>IF(Caja_Arequipa[[#This Row],[TIPO DE R.]]="R",COUNTIFS($D$4:$D412,"R")+1,"")</f>
        <v>404</v>
      </c>
      <c r="C413" s="19" t="str">
        <f t="shared" si="31"/>
        <v>C-Tesoreria</v>
      </c>
      <c r="D413" s="3" t="s">
        <v>1074</v>
      </c>
      <c r="E413" s="14">
        <v>45805</v>
      </c>
      <c r="F413" s="5" t="s">
        <v>1158</v>
      </c>
      <c r="G413" s="5" t="s">
        <v>1079</v>
      </c>
      <c r="H413" s="3" t="s">
        <v>3532</v>
      </c>
      <c r="I413" s="6"/>
      <c r="J413" s="6"/>
      <c r="K413" s="6"/>
      <c r="L413" s="6"/>
      <c r="M413" s="7" t="s">
        <v>5022</v>
      </c>
      <c r="N413" s="8" t="str">
        <f>IF(Caja_Arequipa[[#This Row],[TIPO DE R.]]="R","001-"&amp;12002+B413,N412)</f>
        <v>001-12406</v>
      </c>
      <c r="O413" s="8" t="str">
        <f t="shared" si="35"/>
        <v>PEN</v>
      </c>
      <c r="P413" s="13"/>
      <c r="Q413" s="13">
        <v>12.5</v>
      </c>
      <c r="R413" s="3">
        <f t="shared" si="32"/>
        <v>0</v>
      </c>
      <c r="S413" s="3">
        <f t="shared" si="33"/>
        <v>12.5</v>
      </c>
      <c r="T413" s="3">
        <f t="shared" si="34"/>
        <v>1530.6999999999989</v>
      </c>
      <c r="U413" s="24" t="s">
        <v>1081</v>
      </c>
      <c r="V413" s="24"/>
      <c r="W413" s="3"/>
      <c r="X413" s="3" t="s">
        <v>3532</v>
      </c>
      <c r="Y413" s="3" t="s">
        <v>5023</v>
      </c>
      <c r="Z413" s="3"/>
      <c r="AA413" s="3"/>
      <c r="AB413" s="3"/>
      <c r="AC413" s="3" t="str">
        <f>IF(Caja_Arequipa[[#This Row],[FECHA]]&gt;0,TEXT(Caja_Arequipa[[#This Row],[FECHA]],"mmmm"),0)</f>
        <v>Mayo</v>
      </c>
    </row>
    <row r="414" spans="2:29" ht="24" x14ac:dyDescent="0.3">
      <c r="B414" s="2">
        <f>IF(Caja_Arequipa[[#This Row],[TIPO DE R.]]="R",COUNTIFS($D$4:$D413,"R")+1,"")</f>
        <v>405</v>
      </c>
      <c r="C414" s="19" t="str">
        <f t="shared" si="31"/>
        <v>C-Tesoreria</v>
      </c>
      <c r="D414" s="3" t="s">
        <v>1074</v>
      </c>
      <c r="E414" s="14">
        <v>45805</v>
      </c>
      <c r="F414" s="5" t="s">
        <v>1158</v>
      </c>
      <c r="G414" s="5" t="s">
        <v>1079</v>
      </c>
      <c r="H414" s="3" t="s">
        <v>4433</v>
      </c>
      <c r="I414" s="6"/>
      <c r="J414" s="6"/>
      <c r="K414" s="6"/>
      <c r="L414" s="6"/>
      <c r="M414" s="7" t="s">
        <v>4933</v>
      </c>
      <c r="N414" s="8" t="str">
        <f>IF(Caja_Arequipa[[#This Row],[TIPO DE R.]]="R","001-"&amp;12002+B414,N413)</f>
        <v>001-12407</v>
      </c>
      <c r="O414" s="8" t="str">
        <f t="shared" si="35"/>
        <v>PEN</v>
      </c>
      <c r="P414" s="13"/>
      <c r="Q414" s="13">
        <v>200</v>
      </c>
      <c r="R414" s="3">
        <f t="shared" si="32"/>
        <v>0</v>
      </c>
      <c r="S414" s="3">
        <f t="shared" si="33"/>
        <v>200</v>
      </c>
      <c r="T414" s="3">
        <f t="shared" si="34"/>
        <v>1330.6999999999989</v>
      </c>
      <c r="U414" s="24" t="s">
        <v>1081</v>
      </c>
      <c r="V414" s="24"/>
      <c r="W414" s="3"/>
      <c r="X414" s="3" t="s">
        <v>4433</v>
      </c>
      <c r="Y414" s="3" t="s">
        <v>5024</v>
      </c>
      <c r="Z414" s="3"/>
      <c r="AA414" s="3"/>
      <c r="AB414" s="3"/>
      <c r="AC414" s="3" t="str">
        <f>IF(Caja_Arequipa[[#This Row],[FECHA]]&gt;0,TEXT(Caja_Arequipa[[#This Row],[FECHA]],"mmmm"),0)</f>
        <v>Mayo</v>
      </c>
    </row>
    <row r="415" spans="2:29" ht="48" x14ac:dyDescent="0.3">
      <c r="B415" s="2">
        <f>IF(Caja_Arequipa[[#This Row],[TIPO DE R.]]="R",COUNTIFS($D$4:$D414,"R")+1,"")</f>
        <v>406</v>
      </c>
      <c r="C415" s="19" t="str">
        <f t="shared" si="31"/>
        <v>C-Tesoreria</v>
      </c>
      <c r="D415" s="3" t="s">
        <v>1074</v>
      </c>
      <c r="E415" s="14">
        <v>45805</v>
      </c>
      <c r="F415" s="5" t="s">
        <v>1158</v>
      </c>
      <c r="G415" s="5" t="s">
        <v>1079</v>
      </c>
      <c r="H415" s="3" t="s">
        <v>4433</v>
      </c>
      <c r="I415" s="6"/>
      <c r="J415" s="6"/>
      <c r="K415" s="6"/>
      <c r="L415" s="6"/>
      <c r="M415" s="7" t="s">
        <v>4933</v>
      </c>
      <c r="N415" s="8" t="str">
        <f>IF(Caja_Arequipa[[#This Row],[TIPO DE R.]]="R","001-"&amp;12002+B415,N414)</f>
        <v>001-12408</v>
      </c>
      <c r="O415" s="8" t="str">
        <f t="shared" si="35"/>
        <v>PEN</v>
      </c>
      <c r="P415" s="13"/>
      <c r="Q415" s="13">
        <v>600</v>
      </c>
      <c r="R415" s="3">
        <f t="shared" si="32"/>
        <v>0</v>
      </c>
      <c r="S415" s="3">
        <f t="shared" si="33"/>
        <v>600</v>
      </c>
      <c r="T415" s="3">
        <f t="shared" si="34"/>
        <v>730.69999999999891</v>
      </c>
      <c r="U415" s="24" t="s">
        <v>1081</v>
      </c>
      <c r="V415" s="24"/>
      <c r="W415" s="3"/>
      <c r="X415" s="3" t="s">
        <v>4433</v>
      </c>
      <c r="Y415" s="3" t="s">
        <v>5025</v>
      </c>
      <c r="Z415" s="3"/>
      <c r="AA415" s="3"/>
      <c r="AB415" s="3"/>
      <c r="AC415" s="3" t="str">
        <f>IF(Caja_Arequipa[[#This Row],[FECHA]]&gt;0,TEXT(Caja_Arequipa[[#This Row],[FECHA]],"mmmm"),0)</f>
        <v>Mayo</v>
      </c>
    </row>
    <row r="416" spans="2:29" x14ac:dyDescent="0.3">
      <c r="B416" s="2">
        <f>IF(Caja_Arequipa[[#This Row],[TIPO DE R.]]="R",COUNTIFS($D$4:$D415,"R")+1,"")</f>
        <v>407</v>
      </c>
      <c r="C416" s="19" t="str">
        <f t="shared" si="31"/>
        <v>C-Tesoreria</v>
      </c>
      <c r="D416" s="3" t="s">
        <v>1074</v>
      </c>
      <c r="E416" s="14">
        <v>45807</v>
      </c>
      <c r="F416" s="5" t="s">
        <v>1158</v>
      </c>
      <c r="G416" s="5" t="s">
        <v>1079</v>
      </c>
      <c r="H416" s="3" t="s">
        <v>4303</v>
      </c>
      <c r="I416" s="6"/>
      <c r="J416" s="6"/>
      <c r="K416" s="6"/>
      <c r="L416" s="6"/>
      <c r="M416" s="7" t="s">
        <v>5026</v>
      </c>
      <c r="N416" s="8" t="str">
        <f>IF(Caja_Arequipa[[#This Row],[TIPO DE R.]]="R","001-"&amp;12002+B416,N415)</f>
        <v>001-12409</v>
      </c>
      <c r="O416" s="8" t="str">
        <f t="shared" si="35"/>
        <v>PEN</v>
      </c>
      <c r="P416" s="13"/>
      <c r="Q416" s="13">
        <v>8.5</v>
      </c>
      <c r="R416" s="3">
        <f t="shared" si="32"/>
        <v>0</v>
      </c>
      <c r="S416" s="3">
        <f t="shared" si="33"/>
        <v>8.5</v>
      </c>
      <c r="T416" s="3">
        <f t="shared" si="34"/>
        <v>722.19999999999891</v>
      </c>
      <c r="U416" s="24" t="s">
        <v>1081</v>
      </c>
      <c r="V416" s="24"/>
      <c r="W416" s="3"/>
      <c r="X416" s="3" t="s">
        <v>4303</v>
      </c>
      <c r="Y416" s="3" t="s">
        <v>5027</v>
      </c>
      <c r="Z416" s="3"/>
      <c r="AA416" s="3"/>
      <c r="AB416" s="3"/>
      <c r="AC416" s="3" t="str">
        <f>IF(Caja_Arequipa[[#This Row],[FECHA]]&gt;0,TEXT(Caja_Arequipa[[#This Row],[FECHA]],"mmmm"),0)</f>
        <v>Mayo</v>
      </c>
    </row>
    <row r="417" spans="2:29" x14ac:dyDescent="0.3">
      <c r="B417" s="2">
        <f>IF(Caja_Arequipa[[#This Row],[TIPO DE R.]]="R",COUNTIFS($D$4:$D416,"R")+1,"")</f>
        <v>408</v>
      </c>
      <c r="C417" s="19" t="str">
        <f t="shared" si="31"/>
        <v>C-Tesoreria</v>
      </c>
      <c r="D417" s="3" t="s">
        <v>1074</v>
      </c>
      <c r="E417" s="14">
        <v>45807</v>
      </c>
      <c r="F417" s="5" t="s">
        <v>1158</v>
      </c>
      <c r="G417" s="5" t="s">
        <v>1079</v>
      </c>
      <c r="H417" s="3" t="s">
        <v>4485</v>
      </c>
      <c r="I417" s="6"/>
      <c r="J417" s="6"/>
      <c r="K417" s="6"/>
      <c r="L417" s="6"/>
      <c r="M417" s="7" t="s">
        <v>5028</v>
      </c>
      <c r="N417" s="8" t="str">
        <f>IF(Caja_Arequipa[[#This Row],[TIPO DE R.]]="R","001-"&amp;12002+B417,N416)</f>
        <v>001-12410</v>
      </c>
      <c r="O417" s="8" t="str">
        <f t="shared" si="35"/>
        <v>PEN</v>
      </c>
      <c r="P417" s="13"/>
      <c r="Q417" s="13">
        <v>164</v>
      </c>
      <c r="R417" s="3">
        <f t="shared" si="32"/>
        <v>0</v>
      </c>
      <c r="S417" s="3">
        <f t="shared" si="33"/>
        <v>164</v>
      </c>
      <c r="T417" s="3">
        <f t="shared" si="34"/>
        <v>558.19999999999891</v>
      </c>
      <c r="U417" s="24" t="s">
        <v>1081</v>
      </c>
      <c r="V417" s="24"/>
      <c r="W417" s="3"/>
      <c r="X417" s="3" t="s">
        <v>4485</v>
      </c>
      <c r="Y417" s="3" t="s">
        <v>5029</v>
      </c>
      <c r="Z417" s="3"/>
      <c r="AA417" s="3"/>
      <c r="AB417" s="3"/>
      <c r="AC417" s="3" t="str">
        <f>IF(Caja_Arequipa[[#This Row],[FECHA]]&gt;0,TEXT(Caja_Arequipa[[#This Row],[FECHA]],"mmmm"),0)</f>
        <v>Mayo</v>
      </c>
    </row>
    <row r="418" spans="2:29" x14ac:dyDescent="0.3">
      <c r="B418" s="2">
        <f>IF(Caja_Arequipa[[#This Row],[TIPO DE R.]]="R",COUNTIFS($D$4:$D417,"R")+1,"")</f>
        <v>409</v>
      </c>
      <c r="C418" s="19" t="str">
        <f t="shared" si="31"/>
        <v>C-Tesoreria</v>
      </c>
      <c r="D418" s="3" t="s">
        <v>1074</v>
      </c>
      <c r="E418" s="14">
        <v>45807</v>
      </c>
      <c r="F418" s="5" t="s">
        <v>1158</v>
      </c>
      <c r="G418" s="5" t="s">
        <v>1079</v>
      </c>
      <c r="H418" s="3" t="s">
        <v>3353</v>
      </c>
      <c r="I418" s="6"/>
      <c r="J418" s="6"/>
      <c r="K418" s="6"/>
      <c r="L418" s="6"/>
      <c r="M418" s="7" t="s">
        <v>5030</v>
      </c>
      <c r="N418" s="8" t="str">
        <f>IF(Caja_Arequipa[[#This Row],[TIPO DE R.]]="R","001-"&amp;12002+B418,N417)</f>
        <v>001-12411</v>
      </c>
      <c r="O418" s="8" t="str">
        <f t="shared" si="35"/>
        <v>PEN</v>
      </c>
      <c r="P418" s="13"/>
      <c r="Q418" s="13">
        <v>30</v>
      </c>
      <c r="R418" s="3">
        <f t="shared" si="32"/>
        <v>0</v>
      </c>
      <c r="S418" s="3">
        <f t="shared" si="33"/>
        <v>30</v>
      </c>
      <c r="T418" s="3">
        <f t="shared" si="34"/>
        <v>528.19999999999891</v>
      </c>
      <c r="U418" s="24" t="s">
        <v>1081</v>
      </c>
      <c r="V418" s="24"/>
      <c r="W418" s="3"/>
      <c r="X418" s="3" t="s">
        <v>3353</v>
      </c>
      <c r="Y418" s="3" t="s">
        <v>5031</v>
      </c>
      <c r="Z418" s="3"/>
      <c r="AA418" s="3"/>
      <c r="AB418" s="3"/>
      <c r="AC418" s="3" t="str">
        <f>IF(Caja_Arequipa[[#This Row],[FECHA]]&gt;0,TEXT(Caja_Arequipa[[#This Row],[FECHA]],"mmmm"),0)</f>
        <v>Mayo</v>
      </c>
    </row>
    <row r="419" spans="2:29" x14ac:dyDescent="0.3">
      <c r="B419" s="2">
        <f>IF(Caja_Arequipa[[#This Row],[TIPO DE R.]]="R",COUNTIFS($D$4:$D418,"R")+1,"")</f>
        <v>410</v>
      </c>
      <c r="C419" s="19" t="str">
        <f t="shared" si="31"/>
        <v>C-Tesoreria</v>
      </c>
      <c r="D419" s="3" t="s">
        <v>1074</v>
      </c>
      <c r="E419" s="14">
        <v>45807</v>
      </c>
      <c r="F419" s="5" t="s">
        <v>1158</v>
      </c>
      <c r="G419" s="5" t="s">
        <v>1079</v>
      </c>
      <c r="H419" s="3" t="s">
        <v>3016</v>
      </c>
      <c r="I419" s="6"/>
      <c r="J419" s="6"/>
      <c r="K419" s="6"/>
      <c r="L419" s="6"/>
      <c r="M419" s="7" t="s">
        <v>5032</v>
      </c>
      <c r="N419" s="8" t="str">
        <f>IF(Caja_Arequipa[[#This Row],[TIPO DE R.]]="R","001-"&amp;12002+B419,N418)</f>
        <v>001-12412</v>
      </c>
      <c r="O419" s="8" t="str">
        <f t="shared" si="35"/>
        <v>PEN</v>
      </c>
      <c r="P419" s="13"/>
      <c r="Q419" s="13">
        <v>25</v>
      </c>
      <c r="R419" s="3">
        <f t="shared" si="32"/>
        <v>0</v>
      </c>
      <c r="S419" s="3">
        <f t="shared" si="33"/>
        <v>25</v>
      </c>
      <c r="T419" s="3">
        <f t="shared" si="34"/>
        <v>503.19999999999891</v>
      </c>
      <c r="U419" s="24" t="s">
        <v>1081</v>
      </c>
      <c r="V419" s="24"/>
      <c r="W419" s="3"/>
      <c r="X419" s="3" t="s">
        <v>3016</v>
      </c>
      <c r="Y419" s="3" t="s">
        <v>5033</v>
      </c>
      <c r="Z419" s="3"/>
      <c r="AA419" s="3"/>
      <c r="AB419" s="3"/>
      <c r="AC419" s="3" t="str">
        <f>IF(Caja_Arequipa[[#This Row],[FECHA]]&gt;0,TEXT(Caja_Arequipa[[#This Row],[FECHA]],"mmmm"),0)</f>
        <v>Mayo</v>
      </c>
    </row>
    <row r="420" spans="2:29" ht="24" x14ac:dyDescent="0.3">
      <c r="B420" s="2">
        <f>IF(Caja_Arequipa[[#This Row],[TIPO DE R.]]="R",COUNTIFS($D$4:$D419,"R")+1,"")</f>
        <v>411</v>
      </c>
      <c r="C420" s="19" t="str">
        <f t="shared" si="31"/>
        <v>C-Tesoreria</v>
      </c>
      <c r="D420" s="3" t="s">
        <v>1074</v>
      </c>
      <c r="E420" s="14">
        <v>45810</v>
      </c>
      <c r="F420" s="5" t="s">
        <v>1082</v>
      </c>
      <c r="G420" s="5" t="s">
        <v>1079</v>
      </c>
      <c r="H420" s="3" t="s">
        <v>4357</v>
      </c>
      <c r="I420" s="6"/>
      <c r="J420" s="6"/>
      <c r="K420" s="6"/>
      <c r="L420" s="6"/>
      <c r="M420" s="7" t="s">
        <v>5034</v>
      </c>
      <c r="N420" s="8" t="str">
        <f>IF(Caja_Arequipa[[#This Row],[TIPO DE R.]]="R","001-"&amp;12002+B420,N419)</f>
        <v>001-12413</v>
      </c>
      <c r="O420" s="8" t="str">
        <f t="shared" si="35"/>
        <v>PEN</v>
      </c>
      <c r="P420" s="13"/>
      <c r="Q420" s="13">
        <v>17</v>
      </c>
      <c r="R420" s="3">
        <f t="shared" si="32"/>
        <v>0</v>
      </c>
      <c r="S420" s="3">
        <f t="shared" si="33"/>
        <v>17</v>
      </c>
      <c r="T420" s="3">
        <f t="shared" si="34"/>
        <v>486.19999999999891</v>
      </c>
      <c r="U420" s="24" t="s">
        <v>1081</v>
      </c>
      <c r="V420" s="24"/>
      <c r="W420" s="3"/>
      <c r="X420" s="3" t="s">
        <v>4357</v>
      </c>
      <c r="Y420" s="3" t="s">
        <v>5035</v>
      </c>
      <c r="Z420" s="3"/>
      <c r="AA420" s="3"/>
      <c r="AB420" s="3"/>
      <c r="AC420" s="3" t="str">
        <f>IF(Caja_Arequipa[[#This Row],[FECHA]]&gt;0,TEXT(Caja_Arequipa[[#This Row],[FECHA]],"mmmm"),0)</f>
        <v>Junio</v>
      </c>
    </row>
    <row r="421" spans="2:29" x14ac:dyDescent="0.3">
      <c r="B421" s="2">
        <f>IF(Caja_Arequipa[[#This Row],[TIPO DE R.]]="R",COUNTIFS($D$4:$D420,"R")+1,"")</f>
        <v>412</v>
      </c>
      <c r="C421" s="19" t="str">
        <f t="shared" si="31"/>
        <v>C-Tesoreria</v>
      </c>
      <c r="D421" s="3" t="s">
        <v>1074</v>
      </c>
      <c r="E421" s="14">
        <v>45810</v>
      </c>
      <c r="F421" s="5" t="s">
        <v>1082</v>
      </c>
      <c r="G421" s="5" t="s">
        <v>1079</v>
      </c>
      <c r="H421" s="3" t="s">
        <v>4912</v>
      </c>
      <c r="I421" s="6"/>
      <c r="J421" s="6"/>
      <c r="K421" s="6"/>
      <c r="L421" s="6"/>
      <c r="M421" s="7" t="s">
        <v>5036</v>
      </c>
      <c r="N421" s="8" t="str">
        <f>IF(Caja_Arequipa[[#This Row],[TIPO DE R.]]="R","001-"&amp;12002+B421,N420)</f>
        <v>001-12414</v>
      </c>
      <c r="O421" s="8" t="str">
        <f t="shared" si="35"/>
        <v>PEN</v>
      </c>
      <c r="P421" s="13"/>
      <c r="Q421" s="13">
        <v>44</v>
      </c>
      <c r="R421" s="3">
        <f t="shared" si="32"/>
        <v>0</v>
      </c>
      <c r="S421" s="3">
        <f t="shared" si="33"/>
        <v>44</v>
      </c>
      <c r="T421" s="3">
        <f t="shared" si="34"/>
        <v>442.19999999999891</v>
      </c>
      <c r="U421" s="24" t="s">
        <v>1081</v>
      </c>
      <c r="V421" s="24"/>
      <c r="W421" s="3"/>
      <c r="X421" s="3" t="s">
        <v>4912</v>
      </c>
      <c r="Y421" s="3" t="s">
        <v>5037</v>
      </c>
      <c r="Z421" s="3"/>
      <c r="AA421" s="3"/>
      <c r="AB421" s="3"/>
      <c r="AC421" s="3" t="str">
        <f>IF(Caja_Arequipa[[#This Row],[FECHA]]&gt;0,TEXT(Caja_Arequipa[[#This Row],[FECHA]],"mmmm"),0)</f>
        <v>Junio</v>
      </c>
    </row>
    <row r="422" spans="2:29" x14ac:dyDescent="0.3">
      <c r="B422" s="2">
        <f>IF(Caja_Arequipa[[#This Row],[TIPO DE R.]]="R",COUNTIFS($D$4:$D421,"R")+1,"")</f>
        <v>413</v>
      </c>
      <c r="C422" s="19" t="str">
        <f t="shared" si="31"/>
        <v>C-Tesoreria</v>
      </c>
      <c r="D422" s="3" t="s">
        <v>1074</v>
      </c>
      <c r="E422" s="14">
        <v>45810</v>
      </c>
      <c r="F422" s="5" t="s">
        <v>1082</v>
      </c>
      <c r="G422" s="5" t="s">
        <v>1079</v>
      </c>
      <c r="H422" s="3" t="s">
        <v>4912</v>
      </c>
      <c r="I422" s="6"/>
      <c r="J422" s="6"/>
      <c r="K422" s="6"/>
      <c r="L422" s="6"/>
      <c r="M422" s="7" t="s">
        <v>5038</v>
      </c>
      <c r="N422" s="8" t="str">
        <f>IF(Caja_Arequipa[[#This Row],[TIPO DE R.]]="R","001-"&amp;12002+B422,N421)</f>
        <v>001-12415</v>
      </c>
      <c r="O422" s="8" t="str">
        <f t="shared" si="35"/>
        <v>PEN</v>
      </c>
      <c r="P422" s="13"/>
      <c r="Q422" s="13">
        <v>19</v>
      </c>
      <c r="R422" s="3">
        <f t="shared" si="32"/>
        <v>0</v>
      </c>
      <c r="S422" s="3">
        <f t="shared" si="33"/>
        <v>19</v>
      </c>
      <c r="T422" s="3">
        <f t="shared" si="34"/>
        <v>423.19999999999891</v>
      </c>
      <c r="U422" s="24" t="s">
        <v>1081</v>
      </c>
      <c r="V422" s="24"/>
      <c r="W422" s="3"/>
      <c r="X422" s="3" t="s">
        <v>4912</v>
      </c>
      <c r="Y422" s="3" t="s">
        <v>5039</v>
      </c>
      <c r="Z422" s="3"/>
      <c r="AA422" s="3"/>
      <c r="AB422" s="3"/>
      <c r="AC422" s="3" t="str">
        <f>IF(Caja_Arequipa[[#This Row],[FECHA]]&gt;0,TEXT(Caja_Arequipa[[#This Row],[FECHA]],"mmmm"),0)</f>
        <v>Junio</v>
      </c>
    </row>
    <row r="423" spans="2:29" x14ac:dyDescent="0.3">
      <c r="B423" s="2">
        <f>IF(Caja_Arequipa[[#This Row],[TIPO DE R.]]="R",COUNTIFS($D$4:$D422,"R")+1,"")</f>
        <v>414</v>
      </c>
      <c r="C423" s="19" t="str">
        <f t="shared" si="31"/>
        <v>C-Tesoreria</v>
      </c>
      <c r="D423" s="3" t="s">
        <v>1074</v>
      </c>
      <c r="E423" s="14">
        <v>45812</v>
      </c>
      <c r="F423" s="5" t="s">
        <v>1158</v>
      </c>
      <c r="G423" s="5" t="s">
        <v>1079</v>
      </c>
      <c r="H423" s="3" t="s">
        <v>4314</v>
      </c>
      <c r="I423" s="6"/>
      <c r="J423" s="6"/>
      <c r="K423" s="6"/>
      <c r="L423" s="6"/>
      <c r="M423" s="7" t="s">
        <v>5030</v>
      </c>
      <c r="N423" s="8" t="str">
        <f>IF(Caja_Arequipa[[#This Row],[TIPO DE R.]]="R","001-"&amp;12002+B423,N422)</f>
        <v>001-12416</v>
      </c>
      <c r="O423" s="8" t="str">
        <f t="shared" si="35"/>
        <v>PEN</v>
      </c>
      <c r="P423" s="13"/>
      <c r="Q423" s="13">
        <v>59</v>
      </c>
      <c r="R423" s="3">
        <f t="shared" si="32"/>
        <v>0</v>
      </c>
      <c r="S423" s="3">
        <f t="shared" si="33"/>
        <v>59</v>
      </c>
      <c r="T423" s="3">
        <f t="shared" si="34"/>
        <v>364.19999999999891</v>
      </c>
      <c r="U423" s="24" t="s">
        <v>1081</v>
      </c>
      <c r="V423" s="24"/>
      <c r="W423" s="3"/>
      <c r="X423" s="3" t="s">
        <v>4314</v>
      </c>
      <c r="Y423" s="3" t="s">
        <v>5040</v>
      </c>
      <c r="Z423" s="3"/>
      <c r="AA423" s="3"/>
      <c r="AB423" s="3"/>
      <c r="AC423" s="3" t="str">
        <f>IF(Caja_Arequipa[[#This Row],[FECHA]]&gt;0,TEXT(Caja_Arequipa[[#This Row],[FECHA]],"mmmm"),0)</f>
        <v>Junio</v>
      </c>
    </row>
    <row r="424" spans="2:29" x14ac:dyDescent="0.3">
      <c r="B424" s="2">
        <f>IF(Caja_Arequipa[[#This Row],[TIPO DE R.]]="R",COUNTIFS($D$4:$D423,"R")+1,"")</f>
        <v>415</v>
      </c>
      <c r="C424" s="19" t="str">
        <f t="shared" si="31"/>
        <v>C-Tesoreria</v>
      </c>
      <c r="D424" s="3" t="s">
        <v>1074</v>
      </c>
      <c r="E424" s="14">
        <v>45812</v>
      </c>
      <c r="F424" s="5" t="s">
        <v>1158</v>
      </c>
      <c r="G424" s="5" t="s">
        <v>1079</v>
      </c>
      <c r="H424" s="3" t="s">
        <v>4314</v>
      </c>
      <c r="I424" s="6"/>
      <c r="J424" s="6"/>
      <c r="K424" s="6"/>
      <c r="L424" s="6"/>
      <c r="M424" s="7" t="s">
        <v>5041</v>
      </c>
      <c r="N424" s="8" t="str">
        <f>IF(Caja_Arequipa[[#This Row],[TIPO DE R.]]="R","001-"&amp;12002+B424,N423)</f>
        <v>001-12417</v>
      </c>
      <c r="O424" s="8" t="str">
        <f t="shared" si="35"/>
        <v>PEN</v>
      </c>
      <c r="P424" s="13"/>
      <c r="Q424" s="13">
        <v>15</v>
      </c>
      <c r="R424" s="3">
        <f t="shared" si="32"/>
        <v>0</v>
      </c>
      <c r="S424" s="3">
        <f t="shared" si="33"/>
        <v>15</v>
      </c>
      <c r="T424" s="3">
        <f t="shared" si="34"/>
        <v>349.19999999999891</v>
      </c>
      <c r="U424" s="24" t="s">
        <v>1081</v>
      </c>
      <c r="V424" s="24"/>
      <c r="W424" s="3"/>
      <c r="X424" s="3" t="s">
        <v>4314</v>
      </c>
      <c r="Y424" s="3" t="s">
        <v>5042</v>
      </c>
      <c r="Z424" s="3"/>
      <c r="AA424" s="3"/>
      <c r="AB424" s="3"/>
      <c r="AC424" s="3" t="str">
        <f>IF(Caja_Arequipa[[#This Row],[FECHA]]&gt;0,TEXT(Caja_Arequipa[[#This Row],[FECHA]],"mmmm"),0)</f>
        <v>Junio</v>
      </c>
    </row>
    <row r="425" spans="2:29" x14ac:dyDescent="0.3">
      <c r="B425" s="2">
        <f>IF(Caja_Arequipa[[#This Row],[TIPO DE R.]]="R",COUNTIFS($D$4:$D424,"R")+1,"")</f>
        <v>416</v>
      </c>
      <c r="C425" s="19" t="str">
        <f t="shared" si="31"/>
        <v>C-Tesoreria</v>
      </c>
      <c r="D425" s="3" t="s">
        <v>1074</v>
      </c>
      <c r="E425" s="14">
        <v>45812</v>
      </c>
      <c r="F425" s="5" t="s">
        <v>1158</v>
      </c>
      <c r="G425" s="5" t="s">
        <v>1079</v>
      </c>
      <c r="H425" s="3" t="s">
        <v>4314</v>
      </c>
      <c r="I425" s="6"/>
      <c r="J425" s="6"/>
      <c r="K425" s="6"/>
      <c r="L425" s="6"/>
      <c r="M425" s="7" t="s">
        <v>5043</v>
      </c>
      <c r="N425" s="8" t="str">
        <f>IF(Caja_Arequipa[[#This Row],[TIPO DE R.]]="R","001-"&amp;12002+B425,N424)</f>
        <v>001-12418</v>
      </c>
      <c r="O425" s="8" t="str">
        <f t="shared" si="35"/>
        <v>PEN</v>
      </c>
      <c r="P425" s="13"/>
      <c r="Q425" s="13">
        <v>43</v>
      </c>
      <c r="R425" s="3">
        <f t="shared" si="32"/>
        <v>0</v>
      </c>
      <c r="S425" s="3">
        <f t="shared" si="33"/>
        <v>43</v>
      </c>
      <c r="T425" s="3">
        <f t="shared" si="34"/>
        <v>306.19999999999891</v>
      </c>
      <c r="U425" s="24" t="s">
        <v>1081</v>
      </c>
      <c r="V425" s="24"/>
      <c r="W425" s="3"/>
      <c r="X425" s="3" t="s">
        <v>4314</v>
      </c>
      <c r="Y425" s="3" t="s">
        <v>5044</v>
      </c>
      <c r="Z425" s="3"/>
      <c r="AA425" s="3"/>
      <c r="AB425" s="3"/>
      <c r="AC425" s="3" t="str">
        <f>IF(Caja_Arequipa[[#This Row],[FECHA]]&gt;0,TEXT(Caja_Arequipa[[#This Row],[FECHA]],"mmmm"),0)</f>
        <v>Junio</v>
      </c>
    </row>
    <row r="426" spans="2:29" x14ac:dyDescent="0.3">
      <c r="B426" s="2">
        <f>IF(Caja_Arequipa[[#This Row],[TIPO DE R.]]="R",COUNTIFS($D$4:$D425,"R")+1,"")</f>
        <v>417</v>
      </c>
      <c r="C426" s="19" t="str">
        <f t="shared" si="31"/>
        <v>C-Tesoreria</v>
      </c>
      <c r="D426" s="3" t="s">
        <v>1074</v>
      </c>
      <c r="E426" s="14">
        <v>45812</v>
      </c>
      <c r="F426" s="5" t="s">
        <v>1158</v>
      </c>
      <c r="G426" s="5" t="s">
        <v>1079</v>
      </c>
      <c r="H426" s="3" t="s">
        <v>4314</v>
      </c>
      <c r="I426" s="6"/>
      <c r="J426" s="6"/>
      <c r="K426" s="6"/>
      <c r="L426" s="6"/>
      <c r="M426" s="7" t="s">
        <v>4995</v>
      </c>
      <c r="N426" s="8" t="str">
        <f>IF(Caja_Arequipa[[#This Row],[TIPO DE R.]]="R","001-"&amp;12002+B426,N425)</f>
        <v>001-12419</v>
      </c>
      <c r="O426" s="8" t="str">
        <f t="shared" si="35"/>
        <v>PEN</v>
      </c>
      <c r="P426" s="13"/>
      <c r="Q426" s="13">
        <v>53</v>
      </c>
      <c r="R426" s="3">
        <f t="shared" si="32"/>
        <v>0</v>
      </c>
      <c r="S426" s="3">
        <f t="shared" si="33"/>
        <v>53</v>
      </c>
      <c r="T426" s="3">
        <f t="shared" si="34"/>
        <v>253.19999999999891</v>
      </c>
      <c r="U426" s="24" t="s">
        <v>1081</v>
      </c>
      <c r="V426" s="24"/>
      <c r="W426" s="3"/>
      <c r="X426" s="3" t="s">
        <v>4314</v>
      </c>
      <c r="Y426" s="3" t="s">
        <v>5045</v>
      </c>
      <c r="Z426" s="3"/>
      <c r="AA426" s="3"/>
      <c r="AB426" s="3"/>
      <c r="AC426" s="3" t="str">
        <f>IF(Caja_Arequipa[[#This Row],[FECHA]]&gt;0,TEXT(Caja_Arequipa[[#This Row],[FECHA]],"mmmm"),0)</f>
        <v>Junio</v>
      </c>
    </row>
    <row r="427" spans="2:29" x14ac:dyDescent="0.3">
      <c r="B427" s="2">
        <f>IF(Caja_Arequipa[[#This Row],[TIPO DE R.]]="R",COUNTIFS($D$4:$D426,"R")+1,"")</f>
        <v>418</v>
      </c>
      <c r="C427" s="19" t="str">
        <f t="shared" si="31"/>
        <v>C-Tesoreria</v>
      </c>
      <c r="D427" s="3" t="s">
        <v>1074</v>
      </c>
      <c r="E427" s="14">
        <v>45812</v>
      </c>
      <c r="F427" s="5" t="s">
        <v>1158</v>
      </c>
      <c r="G427" s="5" t="s">
        <v>1079</v>
      </c>
      <c r="H427" s="3" t="s">
        <v>4314</v>
      </c>
      <c r="I427" s="6"/>
      <c r="J427" s="6"/>
      <c r="K427" s="6"/>
      <c r="L427" s="6"/>
      <c r="M427" s="7" t="s">
        <v>5022</v>
      </c>
      <c r="N427" s="8" t="str">
        <f>IF(Caja_Arequipa[[#This Row],[TIPO DE R.]]="R","001-"&amp;12002+B427,N426)</f>
        <v>001-12420</v>
      </c>
      <c r="O427" s="8" t="str">
        <f t="shared" si="35"/>
        <v>PEN</v>
      </c>
      <c r="P427" s="13"/>
      <c r="Q427" s="13">
        <v>5</v>
      </c>
      <c r="R427" s="3">
        <f t="shared" si="32"/>
        <v>0</v>
      </c>
      <c r="S427" s="3">
        <f t="shared" si="33"/>
        <v>5</v>
      </c>
      <c r="T427" s="3">
        <f t="shared" si="34"/>
        <v>248.19999999999891</v>
      </c>
      <c r="U427" s="24" t="s">
        <v>1081</v>
      </c>
      <c r="V427" s="24"/>
      <c r="W427" s="3"/>
      <c r="X427" s="3" t="s">
        <v>4314</v>
      </c>
      <c r="Y427" s="3" t="s">
        <v>5046</v>
      </c>
      <c r="Z427" s="3"/>
      <c r="AA427" s="3"/>
      <c r="AB427" s="3"/>
      <c r="AC427" s="3" t="str">
        <f>IF(Caja_Arequipa[[#This Row],[FECHA]]&gt;0,TEXT(Caja_Arequipa[[#This Row],[FECHA]],"mmmm"),0)</f>
        <v>Junio</v>
      </c>
    </row>
    <row r="428" spans="2:29" x14ac:dyDescent="0.3">
      <c r="B428" s="2">
        <f>IF(Caja_Arequipa[[#This Row],[TIPO DE R.]]="R",COUNTIFS($D$4:$D427,"R")+1,"")</f>
        <v>419</v>
      </c>
      <c r="C428" s="19" t="str">
        <f t="shared" si="31"/>
        <v>C-Tesoreria</v>
      </c>
      <c r="D428" s="3" t="s">
        <v>1074</v>
      </c>
      <c r="E428" s="14">
        <v>45812</v>
      </c>
      <c r="F428" s="5" t="s">
        <v>1158</v>
      </c>
      <c r="G428" s="5" t="s">
        <v>1079</v>
      </c>
      <c r="H428" s="3" t="s">
        <v>4314</v>
      </c>
      <c r="I428" s="6"/>
      <c r="J428" s="6"/>
      <c r="K428" s="6"/>
      <c r="L428" s="6"/>
      <c r="M428" s="7" t="s">
        <v>5047</v>
      </c>
      <c r="N428" s="8" t="str">
        <f>IF(Caja_Arequipa[[#This Row],[TIPO DE R.]]="R","001-"&amp;12002+B428,N427)</f>
        <v>001-12421</v>
      </c>
      <c r="O428" s="8" t="str">
        <f t="shared" si="35"/>
        <v>PEN</v>
      </c>
      <c r="P428" s="13"/>
      <c r="Q428" s="13">
        <v>74</v>
      </c>
      <c r="R428" s="3">
        <f t="shared" si="32"/>
        <v>0</v>
      </c>
      <c r="S428" s="3">
        <f t="shared" si="33"/>
        <v>74</v>
      </c>
      <c r="T428" s="3">
        <f t="shared" si="34"/>
        <v>174.19999999999891</v>
      </c>
      <c r="U428" s="24" t="s">
        <v>1081</v>
      </c>
      <c r="V428" s="24"/>
      <c r="W428" s="3"/>
      <c r="X428" s="3" t="s">
        <v>4314</v>
      </c>
      <c r="Y428" s="3" t="s">
        <v>5048</v>
      </c>
      <c r="Z428" s="3"/>
      <c r="AA428" s="3"/>
      <c r="AB428" s="3"/>
      <c r="AC428" s="3" t="str">
        <f>IF(Caja_Arequipa[[#This Row],[FECHA]]&gt;0,TEXT(Caja_Arequipa[[#This Row],[FECHA]],"mmmm"),0)</f>
        <v>Junio</v>
      </c>
    </row>
    <row r="429" spans="2:29" x14ac:dyDescent="0.3">
      <c r="B429" s="2">
        <f>IF(Caja_Arequipa[[#This Row],[TIPO DE R.]]="R",COUNTIFS($D$4:$D428,"R")+1,"")</f>
        <v>420</v>
      </c>
      <c r="C429" s="19" t="str">
        <f t="shared" si="31"/>
        <v>C-Tesoreria</v>
      </c>
      <c r="D429" s="3" t="s">
        <v>1074</v>
      </c>
      <c r="E429" s="14">
        <v>45812</v>
      </c>
      <c r="F429" s="5" t="s">
        <v>1158</v>
      </c>
      <c r="G429" s="5" t="s">
        <v>1079</v>
      </c>
      <c r="H429" s="3" t="s">
        <v>4314</v>
      </c>
      <c r="I429" s="6"/>
      <c r="J429" s="6"/>
      <c r="K429" s="6"/>
      <c r="L429" s="6"/>
      <c r="M429" s="7" t="s">
        <v>5049</v>
      </c>
      <c r="N429" s="8" t="str">
        <f>IF(Caja_Arequipa[[#This Row],[TIPO DE R.]]="R","001-"&amp;12002+B429,N428)</f>
        <v>001-12422</v>
      </c>
      <c r="O429" s="8" t="str">
        <f t="shared" si="35"/>
        <v>PEN</v>
      </c>
      <c r="P429" s="13"/>
      <c r="Q429" s="13">
        <v>34</v>
      </c>
      <c r="R429" s="3">
        <f t="shared" si="32"/>
        <v>0</v>
      </c>
      <c r="S429" s="3">
        <f t="shared" si="33"/>
        <v>34</v>
      </c>
      <c r="T429" s="3">
        <f t="shared" si="34"/>
        <v>140.19999999999891</v>
      </c>
      <c r="U429" s="24" t="s">
        <v>1081</v>
      </c>
      <c r="V429" s="24"/>
      <c r="W429" s="3"/>
      <c r="X429" s="3" t="s">
        <v>4314</v>
      </c>
      <c r="Y429" s="3" t="s">
        <v>5050</v>
      </c>
      <c r="Z429" s="3"/>
      <c r="AA429" s="3"/>
      <c r="AB429" s="3"/>
      <c r="AC429" s="3" t="str">
        <f>IF(Caja_Arequipa[[#This Row],[FECHA]]&gt;0,TEXT(Caja_Arequipa[[#This Row],[FECHA]],"mmmm"),0)</f>
        <v>Junio</v>
      </c>
    </row>
    <row r="430" spans="2:29" x14ac:dyDescent="0.3">
      <c r="B430" s="2">
        <f>IF(Caja_Arequipa[[#This Row],[TIPO DE R.]]="R",COUNTIFS($D$4:$D429,"R")+1,"")</f>
        <v>421</v>
      </c>
      <c r="C430" s="19" t="str">
        <f t="shared" si="31"/>
        <v>C-Tesoreria</v>
      </c>
      <c r="D430" s="3" t="s">
        <v>1074</v>
      </c>
      <c r="E430" s="14">
        <v>45812</v>
      </c>
      <c r="F430" s="5" t="s">
        <v>1996</v>
      </c>
      <c r="G430" s="5" t="s">
        <v>1079</v>
      </c>
      <c r="H430" s="3" t="s">
        <v>4501</v>
      </c>
      <c r="I430" s="6"/>
      <c r="J430" s="6"/>
      <c r="K430" s="6"/>
      <c r="L430" s="6"/>
      <c r="M430" s="7" t="s">
        <v>5038</v>
      </c>
      <c r="N430" s="8" t="str">
        <f>IF(Caja_Arequipa[[#This Row],[TIPO DE R.]]="R","001-"&amp;12002+B430,N429)</f>
        <v>001-12423</v>
      </c>
      <c r="O430" s="8" t="str">
        <f t="shared" si="35"/>
        <v>PEN</v>
      </c>
      <c r="P430" s="13"/>
      <c r="Q430" s="13">
        <v>20</v>
      </c>
      <c r="R430" s="3">
        <f t="shared" si="32"/>
        <v>0</v>
      </c>
      <c r="S430" s="3">
        <f t="shared" si="33"/>
        <v>20</v>
      </c>
      <c r="T430" s="3">
        <f t="shared" si="34"/>
        <v>120.19999999999891</v>
      </c>
      <c r="U430" s="24" t="s">
        <v>1081</v>
      </c>
      <c r="V430" s="24"/>
      <c r="W430" s="3"/>
      <c r="X430" s="3" t="s">
        <v>4501</v>
      </c>
      <c r="Y430" s="3" t="s">
        <v>5051</v>
      </c>
      <c r="Z430" s="3"/>
      <c r="AA430" s="3"/>
      <c r="AB430" s="3"/>
      <c r="AC430" s="3" t="str">
        <f>IF(Caja_Arequipa[[#This Row],[FECHA]]&gt;0,TEXT(Caja_Arequipa[[#This Row],[FECHA]],"mmmm"),0)</f>
        <v>Junio</v>
      </c>
    </row>
    <row r="431" spans="2:29" x14ac:dyDescent="0.3">
      <c r="B431" s="2">
        <f>IF(Caja_Arequipa[[#This Row],[TIPO DE R.]]="R",COUNTIFS($D$4:$D430,"R")+1,"")</f>
        <v>422</v>
      </c>
      <c r="C431" s="19" t="str">
        <f t="shared" si="31"/>
        <v>C-Tesoreria</v>
      </c>
      <c r="D431" s="3" t="s">
        <v>1074</v>
      </c>
      <c r="E431" s="14">
        <v>45812</v>
      </c>
      <c r="F431" s="5" t="s">
        <v>1082</v>
      </c>
      <c r="G431" s="5" t="s">
        <v>1079</v>
      </c>
      <c r="H431" s="3" t="s">
        <v>4501</v>
      </c>
      <c r="I431" s="6"/>
      <c r="J431" s="6"/>
      <c r="K431" s="6"/>
      <c r="L431" s="6"/>
      <c r="M431" s="7" t="s">
        <v>5052</v>
      </c>
      <c r="N431" s="8" t="str">
        <f>IF(Caja_Arequipa[[#This Row],[TIPO DE R.]]="R","001-"&amp;12002+B431,N430)</f>
        <v>001-12424</v>
      </c>
      <c r="O431" s="8" t="str">
        <f t="shared" si="35"/>
        <v>PEN</v>
      </c>
      <c r="P431" s="13"/>
      <c r="Q431" s="13">
        <v>20</v>
      </c>
      <c r="R431" s="3">
        <f t="shared" si="32"/>
        <v>0</v>
      </c>
      <c r="S431" s="3">
        <f t="shared" si="33"/>
        <v>20</v>
      </c>
      <c r="T431" s="3">
        <f t="shared" si="34"/>
        <v>100.19999999999891</v>
      </c>
      <c r="U431" s="24" t="s">
        <v>1081</v>
      </c>
      <c r="V431" s="24"/>
      <c r="W431" s="3"/>
      <c r="X431" s="3" t="s">
        <v>4501</v>
      </c>
      <c r="Y431" s="3" t="s">
        <v>5053</v>
      </c>
      <c r="Z431" s="3"/>
      <c r="AA431" s="3"/>
      <c r="AB431" s="3"/>
      <c r="AC431" s="3" t="str">
        <f>IF(Caja_Arequipa[[#This Row],[FECHA]]&gt;0,TEXT(Caja_Arequipa[[#This Row],[FECHA]],"mmmm"),0)</f>
        <v>Junio</v>
      </c>
    </row>
    <row r="432" spans="2:29" x14ac:dyDescent="0.3">
      <c r="B432" s="2">
        <f>IF(Caja_Arequipa[[#This Row],[TIPO DE R.]]="R",COUNTIFS($D$4:$D431,"R")+1,"")</f>
        <v>423</v>
      </c>
      <c r="C432" s="19" t="str">
        <f t="shared" si="31"/>
        <v>C-Tesoreria</v>
      </c>
      <c r="D432" s="3" t="s">
        <v>1074</v>
      </c>
      <c r="E432" s="14">
        <v>45812</v>
      </c>
      <c r="F432" s="5" t="s">
        <v>1082</v>
      </c>
      <c r="G432" s="5" t="s">
        <v>1079</v>
      </c>
      <c r="H432" s="3" t="s">
        <v>4305</v>
      </c>
      <c r="I432" s="6"/>
      <c r="J432" s="6"/>
      <c r="K432" s="6"/>
      <c r="L432" s="6"/>
      <c r="M432" s="7" t="s">
        <v>5054</v>
      </c>
      <c r="N432" s="8" t="str">
        <f>IF(Caja_Arequipa[[#This Row],[TIPO DE R.]]="R","001-"&amp;12002+B432,N431)</f>
        <v>001-12425</v>
      </c>
      <c r="O432" s="8" t="str">
        <f t="shared" si="35"/>
        <v>PEN</v>
      </c>
      <c r="P432" s="13"/>
      <c r="Q432" s="13">
        <v>20</v>
      </c>
      <c r="R432" s="3">
        <f t="shared" si="32"/>
        <v>0</v>
      </c>
      <c r="S432" s="3">
        <f t="shared" si="33"/>
        <v>20</v>
      </c>
      <c r="T432" s="3">
        <f t="shared" si="34"/>
        <v>80.199999999998909</v>
      </c>
      <c r="U432" s="24" t="s">
        <v>1081</v>
      </c>
      <c r="V432" s="24"/>
      <c r="W432" s="3"/>
      <c r="X432" s="3" t="s">
        <v>4305</v>
      </c>
      <c r="Y432" s="3" t="s">
        <v>5055</v>
      </c>
      <c r="Z432" s="3"/>
      <c r="AA432" s="3"/>
      <c r="AB432" s="3"/>
      <c r="AC432" s="3" t="str">
        <f>IF(Caja_Arequipa[[#This Row],[FECHA]]&gt;0,TEXT(Caja_Arequipa[[#This Row],[FECHA]],"mmmm"),0)</f>
        <v>Junio</v>
      </c>
    </row>
    <row r="433" spans="2:29" x14ac:dyDescent="0.3">
      <c r="B433" s="2">
        <f>IF(Caja_Arequipa[[#This Row],[TIPO DE R.]]="R",COUNTIFS($D$4:$D432,"R")+1,"")</f>
        <v>424</v>
      </c>
      <c r="C433" s="19" t="str">
        <f t="shared" si="31"/>
        <v>C-Tesoreria</v>
      </c>
      <c r="D433" s="3" t="s">
        <v>1074</v>
      </c>
      <c r="E433" s="14">
        <v>45812</v>
      </c>
      <c r="F433" s="5" t="s">
        <v>1082</v>
      </c>
      <c r="G433" s="5" t="s">
        <v>1079</v>
      </c>
      <c r="H433" s="3" t="s">
        <v>3532</v>
      </c>
      <c r="I433" s="6"/>
      <c r="J433" s="6"/>
      <c r="K433" s="6"/>
      <c r="L433" s="6"/>
      <c r="M433" s="7" t="s">
        <v>5056</v>
      </c>
      <c r="N433" s="8" t="str">
        <f>IF(Caja_Arequipa[[#This Row],[TIPO DE R.]]="R","001-"&amp;12002+B433,N432)</f>
        <v>001-12426</v>
      </c>
      <c r="O433" s="8" t="str">
        <f t="shared" si="35"/>
        <v>PEN</v>
      </c>
      <c r="P433" s="13"/>
      <c r="Q433" s="13">
        <v>13</v>
      </c>
      <c r="R433" s="3">
        <f t="shared" si="32"/>
        <v>0</v>
      </c>
      <c r="S433" s="3">
        <f t="shared" si="33"/>
        <v>13</v>
      </c>
      <c r="T433" s="3">
        <f t="shared" si="34"/>
        <v>67.199999999998909</v>
      </c>
      <c r="U433" s="24" t="s">
        <v>1081</v>
      </c>
      <c r="V433" s="24"/>
      <c r="W433" s="3"/>
      <c r="X433" s="3" t="s">
        <v>3532</v>
      </c>
      <c r="Y433" s="3" t="s">
        <v>5057</v>
      </c>
      <c r="Z433" s="3"/>
      <c r="AA433" s="3"/>
      <c r="AB433" s="3"/>
      <c r="AC433" s="3" t="str">
        <f>IF(Caja_Arequipa[[#This Row],[FECHA]]&gt;0,TEXT(Caja_Arequipa[[#This Row],[FECHA]],"mmmm"),0)</f>
        <v>Junio</v>
      </c>
    </row>
    <row r="434" spans="2:29" x14ac:dyDescent="0.3">
      <c r="B434" s="2">
        <f>IF(Caja_Arequipa[[#This Row],[TIPO DE R.]]="R",COUNTIFS($D$4:$D433,"R")+1,"")</f>
        <v>425</v>
      </c>
      <c r="C434" s="19" t="str">
        <f t="shared" si="31"/>
        <v>C-Tesoreria</v>
      </c>
      <c r="D434" s="3" t="s">
        <v>1074</v>
      </c>
      <c r="E434" s="14">
        <v>45813</v>
      </c>
      <c r="F434" s="5" t="s">
        <v>1158</v>
      </c>
      <c r="G434" s="5" t="s">
        <v>1087</v>
      </c>
      <c r="H434" s="3" t="s">
        <v>3353</v>
      </c>
      <c r="I434" s="6"/>
      <c r="J434" s="6"/>
      <c r="K434" s="6"/>
      <c r="L434" s="6"/>
      <c r="M434" s="7" t="s">
        <v>4394</v>
      </c>
      <c r="N434" s="8" t="str">
        <f>IF(Caja_Arequipa[[#This Row],[TIPO DE R.]]="R","001-"&amp;12002+B434,N433)</f>
        <v>001-12427</v>
      </c>
      <c r="O434" s="8" t="str">
        <f t="shared" si="35"/>
        <v>PEN</v>
      </c>
      <c r="P434" s="13"/>
      <c r="Q434" s="13">
        <v>450</v>
      </c>
      <c r="R434" s="3">
        <f t="shared" si="32"/>
        <v>450</v>
      </c>
      <c r="S434" s="3">
        <f t="shared" si="33"/>
        <v>0</v>
      </c>
      <c r="T434" s="3">
        <f t="shared" si="34"/>
        <v>517.19999999999891</v>
      </c>
      <c r="U434" s="24"/>
      <c r="V434" s="24"/>
      <c r="W434" s="3"/>
      <c r="X434" s="3" t="s">
        <v>3353</v>
      </c>
      <c r="Y434" s="3"/>
      <c r="Z434" s="3"/>
      <c r="AA434" s="3"/>
      <c r="AB434" s="3"/>
      <c r="AC434" s="3" t="str">
        <f>IF(Caja_Arequipa[[#This Row],[FECHA]]&gt;0,TEXT(Caja_Arequipa[[#This Row],[FECHA]],"mmmm"),0)</f>
        <v>Junio</v>
      </c>
    </row>
    <row r="435" spans="2:29" ht="48" x14ac:dyDescent="0.3">
      <c r="B435" s="2">
        <f>IF(Caja_Arequipa[[#This Row],[TIPO DE R.]]="R",COUNTIFS($D$4:$D434,"R")+1,"")</f>
        <v>426</v>
      </c>
      <c r="C435" s="19" t="str">
        <f t="shared" si="31"/>
        <v>C-Tesoreria</v>
      </c>
      <c r="D435" s="3" t="s">
        <v>1074</v>
      </c>
      <c r="E435" s="14">
        <v>45813</v>
      </c>
      <c r="F435" s="5" t="s">
        <v>1082</v>
      </c>
      <c r="G435" s="5" t="s">
        <v>1079</v>
      </c>
      <c r="H435" s="3" t="s">
        <v>4303</v>
      </c>
      <c r="I435" s="6"/>
      <c r="J435" s="6"/>
      <c r="K435" s="6"/>
      <c r="L435" s="6"/>
      <c r="M435" s="7" t="s">
        <v>5058</v>
      </c>
      <c r="N435" s="8" t="str">
        <f>IF(Caja_Arequipa[[#This Row],[TIPO DE R.]]="R","001-"&amp;12002+B435,N434)</f>
        <v>001-12428</v>
      </c>
      <c r="O435" s="8" t="str">
        <f t="shared" si="35"/>
        <v>PEN</v>
      </c>
      <c r="P435" s="13"/>
      <c r="Q435" s="13">
        <v>91.3</v>
      </c>
      <c r="R435" s="3">
        <f t="shared" si="32"/>
        <v>0</v>
      </c>
      <c r="S435" s="3">
        <f t="shared" si="33"/>
        <v>91.3</v>
      </c>
      <c r="T435" s="3">
        <f t="shared" si="34"/>
        <v>425.8999999999989</v>
      </c>
      <c r="U435" s="24" t="s">
        <v>1081</v>
      </c>
      <c r="V435" s="24"/>
      <c r="W435" s="3"/>
      <c r="X435" s="3" t="s">
        <v>4303</v>
      </c>
      <c r="Y435" s="3" t="s">
        <v>5059</v>
      </c>
      <c r="Z435" s="3"/>
      <c r="AA435" s="3"/>
      <c r="AB435" s="3"/>
      <c r="AC435" s="3" t="str">
        <f>IF(Caja_Arequipa[[#This Row],[FECHA]]&gt;0,TEXT(Caja_Arequipa[[#This Row],[FECHA]],"mmmm"),0)</f>
        <v>Junio</v>
      </c>
    </row>
    <row r="436" spans="2:29" x14ac:dyDescent="0.3">
      <c r="B436" s="2">
        <f>IF(Caja_Arequipa[[#This Row],[TIPO DE R.]]="R",COUNTIFS($D$4:$D435,"R")+1,"")</f>
        <v>427</v>
      </c>
      <c r="C436" s="19" t="str">
        <f t="shared" si="31"/>
        <v>C-Tesoreria</v>
      </c>
      <c r="D436" s="3" t="s">
        <v>1074</v>
      </c>
      <c r="E436" s="14">
        <v>45813</v>
      </c>
      <c r="F436" s="5" t="s">
        <v>1082</v>
      </c>
      <c r="G436" s="5" t="s">
        <v>1079</v>
      </c>
      <c r="H436" s="3" t="s">
        <v>3532</v>
      </c>
      <c r="I436" s="6"/>
      <c r="J436" s="6"/>
      <c r="K436" s="6"/>
      <c r="L436" s="6"/>
      <c r="M436" s="7" t="s">
        <v>5060</v>
      </c>
      <c r="N436" s="8" t="str">
        <f>IF(Caja_Arequipa[[#This Row],[TIPO DE R.]]="R","001-"&amp;12002+B436,N435)</f>
        <v>001-12429</v>
      </c>
      <c r="O436" s="8" t="str">
        <f t="shared" si="35"/>
        <v>PEN</v>
      </c>
      <c r="P436" s="13"/>
      <c r="Q436" s="13">
        <v>15</v>
      </c>
      <c r="R436" s="3">
        <f t="shared" si="32"/>
        <v>0</v>
      </c>
      <c r="S436" s="3">
        <f t="shared" si="33"/>
        <v>15</v>
      </c>
      <c r="T436" s="3">
        <f t="shared" si="34"/>
        <v>410.8999999999989</v>
      </c>
      <c r="U436" s="24" t="s">
        <v>1081</v>
      </c>
      <c r="V436" s="24"/>
      <c r="W436" s="3"/>
      <c r="X436" s="3" t="s">
        <v>3532</v>
      </c>
      <c r="Y436" s="3" t="s">
        <v>5061</v>
      </c>
      <c r="Z436" s="3"/>
      <c r="AA436" s="3"/>
      <c r="AB436" s="3"/>
      <c r="AC436" s="3" t="str">
        <f>IF(Caja_Arequipa[[#This Row],[FECHA]]&gt;0,TEXT(Caja_Arequipa[[#This Row],[FECHA]],"mmmm"),0)</f>
        <v>Junio</v>
      </c>
    </row>
    <row r="437" spans="2:29" x14ac:dyDescent="0.3">
      <c r="B437" s="2">
        <f>IF(Caja_Arequipa[[#This Row],[TIPO DE R.]]="R",COUNTIFS($D$4:$D436,"R")+1,"")</f>
        <v>428</v>
      </c>
      <c r="C437" s="19" t="str">
        <f t="shared" si="31"/>
        <v>C-Tesoreria</v>
      </c>
      <c r="D437" s="3" t="s">
        <v>1074</v>
      </c>
      <c r="E437" s="14">
        <v>45814</v>
      </c>
      <c r="F437" s="5" t="s">
        <v>1158</v>
      </c>
      <c r="G437" s="5" t="s">
        <v>1079</v>
      </c>
      <c r="H437" s="3" t="s">
        <v>3532</v>
      </c>
      <c r="I437" s="6"/>
      <c r="J437" s="6"/>
      <c r="K437" s="6"/>
      <c r="L437" s="6"/>
      <c r="M437" s="7" t="s">
        <v>5062</v>
      </c>
      <c r="N437" s="8" t="str">
        <f>IF(Caja_Arequipa[[#This Row],[TIPO DE R.]]="R","001-"&amp;12002+B437,N436)</f>
        <v>001-12430</v>
      </c>
      <c r="O437" s="8" t="str">
        <f t="shared" si="35"/>
        <v>PEN</v>
      </c>
      <c r="P437" s="13"/>
      <c r="Q437" s="13">
        <v>6</v>
      </c>
      <c r="R437" s="3">
        <f t="shared" si="32"/>
        <v>0</v>
      </c>
      <c r="S437" s="3">
        <f t="shared" si="33"/>
        <v>6</v>
      </c>
      <c r="T437" s="3">
        <f t="shared" si="34"/>
        <v>404.8999999999989</v>
      </c>
      <c r="U437" s="24" t="s">
        <v>1081</v>
      </c>
      <c r="V437" s="24"/>
      <c r="W437" s="3"/>
      <c r="X437" s="3" t="s">
        <v>3532</v>
      </c>
      <c r="Y437" s="3" t="s">
        <v>5063</v>
      </c>
      <c r="Z437" s="3"/>
      <c r="AA437" s="3"/>
      <c r="AB437" s="3"/>
      <c r="AC437" s="3" t="str">
        <f>IF(Caja_Arequipa[[#This Row],[FECHA]]&gt;0,TEXT(Caja_Arequipa[[#This Row],[FECHA]],"mmmm"),0)</f>
        <v>Junio</v>
      </c>
    </row>
    <row r="438" spans="2:29" ht="24" x14ac:dyDescent="0.3">
      <c r="B438" s="2">
        <f>IF(Caja_Arequipa[[#This Row],[TIPO DE R.]]="R",COUNTIFS($D$4:$D437,"R")+1,"")</f>
        <v>429</v>
      </c>
      <c r="C438" s="19" t="str">
        <f t="shared" si="31"/>
        <v>C-Tesoreria</v>
      </c>
      <c r="D438" s="3" t="s">
        <v>1074</v>
      </c>
      <c r="E438" s="14">
        <v>45814</v>
      </c>
      <c r="F438" s="5" t="s">
        <v>1082</v>
      </c>
      <c r="G438" s="5" t="s">
        <v>1079</v>
      </c>
      <c r="H438" s="3" t="s">
        <v>3532</v>
      </c>
      <c r="I438" s="6"/>
      <c r="J438" s="6"/>
      <c r="K438" s="6"/>
      <c r="L438" s="6"/>
      <c r="M438" s="7" t="s">
        <v>5064</v>
      </c>
      <c r="N438" s="8" t="str">
        <f>IF(Caja_Arequipa[[#This Row],[TIPO DE R.]]="R","001-"&amp;12002+B438,N437)</f>
        <v>001-12431</v>
      </c>
      <c r="O438" s="8" t="str">
        <f t="shared" si="35"/>
        <v>PEN</v>
      </c>
      <c r="P438" s="13"/>
      <c r="Q438" s="13">
        <v>60</v>
      </c>
      <c r="R438" s="3">
        <f t="shared" si="32"/>
        <v>0</v>
      </c>
      <c r="S438" s="3">
        <f t="shared" si="33"/>
        <v>60</v>
      </c>
      <c r="T438" s="3">
        <f t="shared" si="34"/>
        <v>344.8999999999989</v>
      </c>
      <c r="U438" s="24"/>
      <c r="V438" s="24"/>
      <c r="W438" s="3"/>
      <c r="X438" s="3" t="s">
        <v>3532</v>
      </c>
      <c r="Y438" s="3" t="s">
        <v>5065</v>
      </c>
      <c r="Z438" s="3"/>
      <c r="AA438" s="3"/>
      <c r="AB438" s="3"/>
      <c r="AC438" s="3" t="str">
        <f>IF(Caja_Arequipa[[#This Row],[FECHA]]&gt;0,TEXT(Caja_Arequipa[[#This Row],[FECHA]],"mmmm"),0)</f>
        <v>Junio</v>
      </c>
    </row>
    <row r="439" spans="2:29" x14ac:dyDescent="0.3">
      <c r="B439" s="2">
        <f>IF(Caja_Arequipa[[#This Row],[TIPO DE R.]]="R",COUNTIFS($D$4:$D438,"R")+1,"")</f>
        <v>430</v>
      </c>
      <c r="C439" s="19" t="str">
        <f t="shared" si="31"/>
        <v>C-Tesoreria</v>
      </c>
      <c r="D439" s="3" t="s">
        <v>1074</v>
      </c>
      <c r="E439" s="14">
        <v>45818</v>
      </c>
      <c r="F439" s="5" t="s">
        <v>1158</v>
      </c>
      <c r="G439" s="5" t="s">
        <v>1087</v>
      </c>
      <c r="H439" s="3" t="s">
        <v>3353</v>
      </c>
      <c r="I439" s="6"/>
      <c r="J439" s="6"/>
      <c r="K439" s="6"/>
      <c r="L439" s="6"/>
      <c r="M439" s="7" t="s">
        <v>4394</v>
      </c>
      <c r="N439" s="8" t="str">
        <f>IF(Caja_Arequipa[[#This Row],[TIPO DE R.]]="R","001-"&amp;12002+B439,N438)</f>
        <v>001-12432</v>
      </c>
      <c r="O439" s="8" t="str">
        <f t="shared" si="35"/>
        <v>PEN</v>
      </c>
      <c r="P439" s="13"/>
      <c r="Q439" s="13">
        <v>500</v>
      </c>
      <c r="R439" s="3">
        <f t="shared" si="32"/>
        <v>500</v>
      </c>
      <c r="S439" s="3">
        <f t="shared" si="33"/>
        <v>0</v>
      </c>
      <c r="T439" s="3">
        <f t="shared" si="34"/>
        <v>844.89999999999895</v>
      </c>
      <c r="U439" s="24"/>
      <c r="V439" s="24"/>
      <c r="W439" s="3"/>
      <c r="X439" s="3" t="s">
        <v>3353</v>
      </c>
      <c r="Y439" s="3"/>
      <c r="Z439" s="3"/>
      <c r="AA439" s="3"/>
      <c r="AB439" s="3"/>
      <c r="AC439" s="3" t="str">
        <f>IF(Caja_Arequipa[[#This Row],[FECHA]]&gt;0,TEXT(Caja_Arequipa[[#This Row],[FECHA]],"mmmm"),0)</f>
        <v>Junio</v>
      </c>
    </row>
    <row r="440" spans="2:29" x14ac:dyDescent="0.3">
      <c r="B440" s="2">
        <f>IF(Caja_Arequipa[[#This Row],[TIPO DE R.]]="R",COUNTIFS($D$4:$D439,"R")+1,"")</f>
        <v>431</v>
      </c>
      <c r="C440" s="19" t="str">
        <f t="shared" si="31"/>
        <v>C-Tesoreria</v>
      </c>
      <c r="D440" s="3" t="s">
        <v>1074</v>
      </c>
      <c r="E440" s="14">
        <v>45818</v>
      </c>
      <c r="F440" s="5" t="s">
        <v>1082</v>
      </c>
      <c r="G440" s="5" t="s">
        <v>1079</v>
      </c>
      <c r="H440" s="3" t="s">
        <v>4912</v>
      </c>
      <c r="I440" s="6"/>
      <c r="J440" s="6"/>
      <c r="K440" s="6"/>
      <c r="L440" s="6"/>
      <c r="M440" s="7" t="s">
        <v>5066</v>
      </c>
      <c r="N440" s="8" t="str">
        <f>IF(Caja_Arequipa[[#This Row],[TIPO DE R.]]="R","001-"&amp;12002+B440,N439)</f>
        <v>001-12433</v>
      </c>
      <c r="O440" s="8" t="str">
        <f t="shared" si="35"/>
        <v>PEN</v>
      </c>
      <c r="P440" s="13"/>
      <c r="Q440" s="13">
        <v>40</v>
      </c>
      <c r="R440" s="3">
        <f t="shared" si="32"/>
        <v>0</v>
      </c>
      <c r="S440" s="3">
        <f t="shared" si="33"/>
        <v>40</v>
      </c>
      <c r="T440" s="3">
        <f t="shared" si="34"/>
        <v>804.89999999999895</v>
      </c>
      <c r="U440" s="24" t="s">
        <v>1081</v>
      </c>
      <c r="V440" s="24"/>
      <c r="W440" s="3"/>
      <c r="X440" s="3" t="s">
        <v>4912</v>
      </c>
      <c r="Y440" s="3" t="s">
        <v>5067</v>
      </c>
      <c r="Z440" s="3"/>
      <c r="AA440" s="3"/>
      <c r="AB440" s="3"/>
      <c r="AC440" s="3" t="str">
        <f>IF(Caja_Arequipa[[#This Row],[FECHA]]&gt;0,TEXT(Caja_Arequipa[[#This Row],[FECHA]],"mmmm"),0)</f>
        <v>Junio</v>
      </c>
    </row>
    <row r="441" spans="2:29" ht="24" x14ac:dyDescent="0.3">
      <c r="B441" s="2">
        <f>IF(Caja_Arequipa[[#This Row],[TIPO DE R.]]="R",COUNTIFS($D$4:$D440,"R")+1,"")</f>
        <v>432</v>
      </c>
      <c r="C441" s="19" t="str">
        <f t="shared" si="31"/>
        <v>C-Tesoreria</v>
      </c>
      <c r="D441" s="3" t="s">
        <v>1074</v>
      </c>
      <c r="E441" s="14">
        <v>45818</v>
      </c>
      <c r="F441" s="5" t="s">
        <v>1082</v>
      </c>
      <c r="G441" s="5" t="s">
        <v>1079</v>
      </c>
      <c r="H441" s="3" t="s">
        <v>4303</v>
      </c>
      <c r="I441" s="6"/>
      <c r="J441" s="6"/>
      <c r="K441" s="6"/>
      <c r="L441" s="6"/>
      <c r="M441" s="7" t="s">
        <v>5068</v>
      </c>
      <c r="N441" s="8" t="str">
        <f>IF(Caja_Arequipa[[#This Row],[TIPO DE R.]]="R","001-"&amp;12002+B441,N440)</f>
        <v>001-12434</v>
      </c>
      <c r="O441" s="8" t="str">
        <f t="shared" si="35"/>
        <v>PEN</v>
      </c>
      <c r="P441" s="13"/>
      <c r="Q441" s="13">
        <v>92</v>
      </c>
      <c r="R441" s="3">
        <f t="shared" si="32"/>
        <v>0</v>
      </c>
      <c r="S441" s="3">
        <f t="shared" si="33"/>
        <v>92</v>
      </c>
      <c r="T441" s="3">
        <f t="shared" si="34"/>
        <v>712.89999999999895</v>
      </c>
      <c r="U441" s="24" t="s">
        <v>1081</v>
      </c>
      <c r="V441" s="24"/>
      <c r="W441" s="3"/>
      <c r="X441" s="3" t="s">
        <v>4303</v>
      </c>
      <c r="Y441" s="3" t="s">
        <v>5069</v>
      </c>
      <c r="Z441" s="3"/>
      <c r="AA441" s="3"/>
      <c r="AB441" s="3"/>
      <c r="AC441" s="3" t="str">
        <f>IF(Caja_Arequipa[[#This Row],[FECHA]]&gt;0,TEXT(Caja_Arequipa[[#This Row],[FECHA]],"mmmm"),0)</f>
        <v>Junio</v>
      </c>
    </row>
    <row r="442" spans="2:29" ht="24" x14ac:dyDescent="0.3">
      <c r="B442" s="2">
        <f>IF(Caja_Arequipa[[#This Row],[TIPO DE R.]]="R",COUNTIFS($D$4:$D441,"R")+1,"")</f>
        <v>433</v>
      </c>
      <c r="C442" s="19" t="str">
        <f t="shared" si="31"/>
        <v>C-Tesoreria</v>
      </c>
      <c r="D442" s="3" t="s">
        <v>1074</v>
      </c>
      <c r="E442" s="14">
        <v>45818</v>
      </c>
      <c r="F442" s="5" t="s">
        <v>1082</v>
      </c>
      <c r="G442" s="5" t="s">
        <v>1079</v>
      </c>
      <c r="H442" s="3" t="s">
        <v>4912</v>
      </c>
      <c r="I442" s="6"/>
      <c r="J442" s="6"/>
      <c r="K442" s="6"/>
      <c r="L442" s="6"/>
      <c r="M442" s="7" t="s">
        <v>5070</v>
      </c>
      <c r="N442" s="8" t="str">
        <f>IF(Caja_Arequipa[[#This Row],[TIPO DE R.]]="R","001-"&amp;12002+B442,N441)</f>
        <v>001-12435</v>
      </c>
      <c r="O442" s="8" t="str">
        <f t="shared" si="35"/>
        <v>PEN</v>
      </c>
      <c r="P442" s="13"/>
      <c r="Q442" s="13">
        <v>240.5</v>
      </c>
      <c r="R442" s="3">
        <f t="shared" si="32"/>
        <v>0</v>
      </c>
      <c r="S442" s="3">
        <f t="shared" si="33"/>
        <v>240.5</v>
      </c>
      <c r="T442" s="3">
        <f t="shared" si="34"/>
        <v>472.39999999999895</v>
      </c>
      <c r="U442" s="24" t="s">
        <v>1081</v>
      </c>
      <c r="V442" s="24"/>
      <c r="W442" s="3"/>
      <c r="X442" s="3" t="s">
        <v>4912</v>
      </c>
      <c r="Y442" s="3" t="s">
        <v>5071</v>
      </c>
      <c r="Z442" s="3"/>
      <c r="AA442" s="3"/>
      <c r="AB442" s="3"/>
      <c r="AC442" s="3" t="str">
        <f>IF(Caja_Arequipa[[#This Row],[FECHA]]&gt;0,TEXT(Caja_Arequipa[[#This Row],[FECHA]],"mmmm"),0)</f>
        <v>Junio</v>
      </c>
    </row>
    <row r="443" spans="2:29" ht="24" x14ac:dyDescent="0.3">
      <c r="B443" s="2">
        <f>IF(Caja_Arequipa[[#This Row],[TIPO DE R.]]="R",COUNTIFS($D$4:$D442,"R")+1,"")</f>
        <v>434</v>
      </c>
      <c r="C443" s="19" t="str">
        <f t="shared" si="31"/>
        <v>C-Tesoreria</v>
      </c>
      <c r="D443" s="3" t="s">
        <v>1074</v>
      </c>
      <c r="E443" s="14">
        <v>45818</v>
      </c>
      <c r="F443" s="5" t="s">
        <v>1082</v>
      </c>
      <c r="G443" s="5" t="s">
        <v>1079</v>
      </c>
      <c r="H443" s="3" t="s">
        <v>4712</v>
      </c>
      <c r="I443" s="6"/>
      <c r="J443" s="6"/>
      <c r="K443" s="6"/>
      <c r="L443" s="6"/>
      <c r="M443" s="7" t="s">
        <v>5072</v>
      </c>
      <c r="N443" s="8" t="str">
        <f>IF(Caja_Arequipa[[#This Row],[TIPO DE R.]]="R","001-"&amp;12002+B443,N442)</f>
        <v>001-12436</v>
      </c>
      <c r="O443" s="8" t="str">
        <f t="shared" si="35"/>
        <v>PEN</v>
      </c>
      <c r="P443" s="13"/>
      <c r="Q443" s="13">
        <v>34</v>
      </c>
      <c r="R443" s="3">
        <f t="shared" si="32"/>
        <v>0</v>
      </c>
      <c r="S443" s="3">
        <f t="shared" si="33"/>
        <v>34</v>
      </c>
      <c r="T443" s="3">
        <f t="shared" si="34"/>
        <v>438.39999999999895</v>
      </c>
      <c r="U443" s="24" t="s">
        <v>1081</v>
      </c>
      <c r="V443" s="24"/>
      <c r="W443" s="3"/>
      <c r="X443" s="3" t="s">
        <v>4712</v>
      </c>
      <c r="Y443" s="3" t="s">
        <v>5073</v>
      </c>
      <c r="Z443" s="3"/>
      <c r="AA443" s="3"/>
      <c r="AB443" s="3"/>
      <c r="AC443" s="3" t="str">
        <f>IF(Caja_Arequipa[[#This Row],[FECHA]]&gt;0,TEXT(Caja_Arequipa[[#This Row],[FECHA]],"mmmm"),0)</f>
        <v>Junio</v>
      </c>
    </row>
    <row r="444" spans="2:29" x14ac:dyDescent="0.3">
      <c r="B444" s="2">
        <f>IF(Caja_Arequipa[[#This Row],[TIPO DE R.]]="R",COUNTIFS($D$4:$D443,"R")+1,"")</f>
        <v>435</v>
      </c>
      <c r="C444" s="19" t="str">
        <f t="shared" si="31"/>
        <v>C-Tesoreria</v>
      </c>
      <c r="D444" s="3" t="s">
        <v>1074</v>
      </c>
      <c r="E444" s="14">
        <v>45818</v>
      </c>
      <c r="F444" s="5" t="s">
        <v>1082</v>
      </c>
      <c r="G444" s="5" t="s">
        <v>1079</v>
      </c>
      <c r="H444" s="3" t="s">
        <v>3532</v>
      </c>
      <c r="I444" s="6"/>
      <c r="J444" s="6"/>
      <c r="K444" s="6"/>
      <c r="L444" s="6"/>
      <c r="M444" s="7" t="s">
        <v>5074</v>
      </c>
      <c r="N444" s="8" t="str">
        <f>IF(Caja_Arequipa[[#This Row],[TIPO DE R.]]="R","001-"&amp;12002+B444,N443)</f>
        <v>001-12437</v>
      </c>
      <c r="O444" s="8" t="str">
        <f t="shared" si="35"/>
        <v>PEN</v>
      </c>
      <c r="P444" s="13"/>
      <c r="Q444" s="13">
        <v>12</v>
      </c>
      <c r="R444" s="3">
        <f t="shared" si="32"/>
        <v>0</v>
      </c>
      <c r="S444" s="3">
        <f t="shared" si="33"/>
        <v>12</v>
      </c>
      <c r="T444" s="3">
        <f t="shared" si="34"/>
        <v>426.39999999999895</v>
      </c>
      <c r="U444" s="24" t="s">
        <v>1081</v>
      </c>
      <c r="V444" s="24"/>
      <c r="W444" s="3"/>
      <c r="X444" s="3" t="s">
        <v>3532</v>
      </c>
      <c r="Y444" s="3" t="s">
        <v>5075</v>
      </c>
      <c r="Z444" s="3"/>
      <c r="AA444" s="3"/>
      <c r="AB444" s="3"/>
      <c r="AC444" s="3" t="str">
        <f>IF(Caja_Arequipa[[#This Row],[FECHA]]&gt;0,TEXT(Caja_Arequipa[[#This Row],[FECHA]],"mmmm"),0)</f>
        <v>Junio</v>
      </c>
    </row>
    <row r="445" spans="2:29" x14ac:dyDescent="0.3">
      <c r="B445" s="2">
        <f>IF(Caja_Arequipa[[#This Row],[TIPO DE R.]]="R",COUNTIFS($D$4:$D444,"R")+1,"")</f>
        <v>436</v>
      </c>
      <c r="C445" s="19" t="str">
        <f t="shared" si="31"/>
        <v>C-Tesoreria</v>
      </c>
      <c r="D445" s="3" t="s">
        <v>1074</v>
      </c>
      <c r="E445" s="14">
        <v>45818</v>
      </c>
      <c r="F445" s="5" t="s">
        <v>1082</v>
      </c>
      <c r="G445" s="5" t="s">
        <v>1079</v>
      </c>
      <c r="H445" s="3" t="s">
        <v>3532</v>
      </c>
      <c r="I445" s="6"/>
      <c r="J445" s="6"/>
      <c r="K445" s="6"/>
      <c r="L445" s="6"/>
      <c r="M445" s="7" t="s">
        <v>5066</v>
      </c>
      <c r="N445" s="8" t="str">
        <f>IF(Caja_Arequipa[[#This Row],[TIPO DE R.]]="R","001-"&amp;12002+B445,N444)</f>
        <v>001-12438</v>
      </c>
      <c r="O445" s="8" t="str">
        <f t="shared" si="35"/>
        <v>PEN</v>
      </c>
      <c r="P445" s="13"/>
      <c r="Q445" s="13">
        <v>15</v>
      </c>
      <c r="R445" s="3">
        <f t="shared" si="32"/>
        <v>0</v>
      </c>
      <c r="S445" s="3">
        <f t="shared" si="33"/>
        <v>15</v>
      </c>
      <c r="T445" s="3">
        <f t="shared" si="34"/>
        <v>411.39999999999895</v>
      </c>
      <c r="U445" s="24" t="s">
        <v>1081</v>
      </c>
      <c r="V445" s="24"/>
      <c r="W445" s="3"/>
      <c r="X445" s="3" t="s">
        <v>3532</v>
      </c>
      <c r="Y445" s="3" t="s">
        <v>5076</v>
      </c>
      <c r="Z445" s="3"/>
      <c r="AA445" s="3"/>
      <c r="AB445" s="3"/>
      <c r="AC445" s="3" t="str">
        <f>IF(Caja_Arequipa[[#This Row],[FECHA]]&gt;0,TEXT(Caja_Arequipa[[#This Row],[FECHA]],"mmmm"),0)</f>
        <v>Junio</v>
      </c>
    </row>
    <row r="446" spans="2:29" x14ac:dyDescent="0.3">
      <c r="B446" s="2">
        <f>IF(Caja_Arequipa[[#This Row],[TIPO DE R.]]="R",COUNTIFS($D$4:$D445,"R")+1,"")</f>
        <v>437</v>
      </c>
      <c r="C446" s="19" t="str">
        <f t="shared" si="31"/>
        <v>C-Tesoreria</v>
      </c>
      <c r="D446" s="3" t="s">
        <v>1074</v>
      </c>
      <c r="E446" s="14">
        <v>45818</v>
      </c>
      <c r="F446" s="5" t="s">
        <v>1158</v>
      </c>
      <c r="G446" s="5" t="s">
        <v>1087</v>
      </c>
      <c r="H446" s="3" t="s">
        <v>3353</v>
      </c>
      <c r="I446" s="6"/>
      <c r="J446" s="6"/>
      <c r="K446" s="6"/>
      <c r="L446" s="6"/>
      <c r="M446" s="7" t="s">
        <v>4394</v>
      </c>
      <c r="N446" s="8" t="str">
        <f>IF(Caja_Arequipa[[#This Row],[TIPO DE R.]]="R","001-"&amp;12002+B446,N445)</f>
        <v>001-12439</v>
      </c>
      <c r="O446" s="8" t="str">
        <f t="shared" si="35"/>
        <v>PEN</v>
      </c>
      <c r="P446" s="13"/>
      <c r="Q446" s="13">
        <v>300</v>
      </c>
      <c r="R446" s="3">
        <f t="shared" si="32"/>
        <v>300</v>
      </c>
      <c r="S446" s="3">
        <f t="shared" si="33"/>
        <v>0</v>
      </c>
      <c r="T446" s="3">
        <f t="shared" si="34"/>
        <v>711.39999999999895</v>
      </c>
      <c r="U446" s="24"/>
      <c r="V446" s="24"/>
      <c r="W446" s="3"/>
      <c r="X446" s="3" t="s">
        <v>3353</v>
      </c>
      <c r="Y446" s="3"/>
      <c r="Z446" s="3"/>
      <c r="AA446" s="3"/>
      <c r="AB446" s="3"/>
      <c r="AC446" s="3" t="str">
        <f>IF(Caja_Arequipa[[#This Row],[FECHA]]&gt;0,TEXT(Caja_Arequipa[[#This Row],[FECHA]],"mmmm"),0)</f>
        <v>Junio</v>
      </c>
    </row>
    <row r="447" spans="2:29" x14ac:dyDescent="0.3">
      <c r="B447" s="2">
        <f>IF(Caja_Arequipa[[#This Row],[TIPO DE R.]]="R",COUNTIFS($D$4:$D446,"R")+1,"")</f>
        <v>438</v>
      </c>
      <c r="C447" s="19" t="str">
        <f t="shared" si="31"/>
        <v>C-Tesoreria</v>
      </c>
      <c r="D447" s="3" t="s">
        <v>1074</v>
      </c>
      <c r="E447" s="14">
        <v>45818</v>
      </c>
      <c r="F447" s="5" t="s">
        <v>1082</v>
      </c>
      <c r="G447" s="5" t="s">
        <v>1079</v>
      </c>
      <c r="H447" s="3" t="s">
        <v>4329</v>
      </c>
      <c r="I447" s="6"/>
      <c r="J447" s="6"/>
      <c r="K447" s="6"/>
      <c r="L447" s="6"/>
      <c r="M447" s="7" t="s">
        <v>5077</v>
      </c>
      <c r="N447" s="8" t="str">
        <f>IF(Caja_Arequipa[[#This Row],[TIPO DE R.]]="R","001-"&amp;12002+B447,N446)</f>
        <v>001-12440</v>
      </c>
      <c r="O447" s="8" t="str">
        <f t="shared" si="35"/>
        <v>PEN</v>
      </c>
      <c r="P447" s="13"/>
      <c r="Q447" s="13">
        <v>250</v>
      </c>
      <c r="R447" s="3">
        <f t="shared" si="32"/>
        <v>0</v>
      </c>
      <c r="S447" s="3">
        <f t="shared" si="33"/>
        <v>250</v>
      </c>
      <c r="T447" s="3">
        <f t="shared" si="34"/>
        <v>461.39999999999895</v>
      </c>
      <c r="U447" s="24" t="s">
        <v>1081</v>
      </c>
      <c r="V447" s="24"/>
      <c r="W447" s="3"/>
      <c r="X447" s="3" t="s">
        <v>4329</v>
      </c>
      <c r="Y447" s="3" t="s">
        <v>5078</v>
      </c>
      <c r="Z447" s="3"/>
      <c r="AA447" s="3"/>
      <c r="AB447" s="3"/>
      <c r="AC447" s="3" t="str">
        <f>IF(Caja_Arequipa[[#This Row],[FECHA]]&gt;0,TEXT(Caja_Arequipa[[#This Row],[FECHA]],"mmmm"),0)</f>
        <v>Junio</v>
      </c>
    </row>
    <row r="448" spans="2:29" ht="24" x14ac:dyDescent="0.3">
      <c r="B448" s="2">
        <f>IF(Caja_Arequipa[[#This Row],[TIPO DE R.]]="R",COUNTIFS($D$4:$D447,"R")+1,"")</f>
        <v>439</v>
      </c>
      <c r="C448" s="19" t="str">
        <f t="shared" si="31"/>
        <v>C-Tesoreria</v>
      </c>
      <c r="D448" s="3" t="s">
        <v>1074</v>
      </c>
      <c r="E448" s="14">
        <v>45819</v>
      </c>
      <c r="F448" s="5" t="s">
        <v>1082</v>
      </c>
      <c r="G448" s="5" t="s">
        <v>1079</v>
      </c>
      <c r="H448" s="3" t="s">
        <v>4303</v>
      </c>
      <c r="I448" s="6"/>
      <c r="J448" s="6" t="s">
        <v>74</v>
      </c>
      <c r="K448" s="6">
        <v>1</v>
      </c>
      <c r="L448" s="6">
        <v>145</v>
      </c>
      <c r="M448" s="7" t="s">
        <v>5079</v>
      </c>
      <c r="N448" s="8" t="str">
        <f>IF(Caja_Arequipa[[#This Row],[TIPO DE R.]]="R","001-"&amp;12002+B448,N447)</f>
        <v>001-12441</v>
      </c>
      <c r="O448" s="8" t="str">
        <f t="shared" si="35"/>
        <v>PEN</v>
      </c>
      <c r="P448" s="13"/>
      <c r="Q448" s="13">
        <v>100</v>
      </c>
      <c r="R448" s="3">
        <f t="shared" si="32"/>
        <v>0</v>
      </c>
      <c r="S448" s="3">
        <f t="shared" si="33"/>
        <v>100</v>
      </c>
      <c r="T448" s="3">
        <f t="shared" si="34"/>
        <v>361.39999999999895</v>
      </c>
      <c r="U448" s="24"/>
      <c r="V448" s="24"/>
      <c r="W448" s="3"/>
      <c r="X448" s="3" t="s">
        <v>4303</v>
      </c>
      <c r="Y448" s="3" t="s">
        <v>5080</v>
      </c>
      <c r="Z448" s="3"/>
      <c r="AA448" s="3"/>
      <c r="AB448" s="3"/>
      <c r="AC448" s="3" t="str">
        <f>IF(Caja_Arequipa[[#This Row],[FECHA]]&gt;0,TEXT(Caja_Arequipa[[#This Row],[FECHA]],"mmmm"),0)</f>
        <v>Junio</v>
      </c>
    </row>
    <row r="449" spans="2:29" x14ac:dyDescent="0.3">
      <c r="B449" s="2">
        <f>IF(Caja_Arequipa[[#This Row],[TIPO DE R.]]="R",COUNTIFS($D$4:$D448,"R")+1,"")</f>
        <v>440</v>
      </c>
      <c r="C449" s="19" t="str">
        <f t="shared" si="31"/>
        <v>C-Tesoreria</v>
      </c>
      <c r="D449" s="3" t="s">
        <v>1074</v>
      </c>
      <c r="E449" s="14">
        <v>45819</v>
      </c>
      <c r="F449" s="5" t="s">
        <v>1082</v>
      </c>
      <c r="G449" s="5" t="s">
        <v>1079</v>
      </c>
      <c r="H449" s="3" t="s">
        <v>3532</v>
      </c>
      <c r="I449" s="6"/>
      <c r="J449" s="6"/>
      <c r="K449" s="6"/>
      <c r="L449" s="6"/>
      <c r="M449" s="7" t="s">
        <v>5081</v>
      </c>
      <c r="N449" s="8" t="str">
        <f>IF(Caja_Arequipa[[#This Row],[TIPO DE R.]]="R","001-"&amp;12002+B449,N448)</f>
        <v>001-12442</v>
      </c>
      <c r="O449" s="8" t="str">
        <f t="shared" si="35"/>
        <v>PEN</v>
      </c>
      <c r="P449" s="13"/>
      <c r="Q449" s="13">
        <v>15</v>
      </c>
      <c r="R449" s="3">
        <f t="shared" si="32"/>
        <v>0</v>
      </c>
      <c r="S449" s="3">
        <f t="shared" si="33"/>
        <v>15</v>
      </c>
      <c r="T449" s="3">
        <f t="shared" si="34"/>
        <v>346.39999999999895</v>
      </c>
      <c r="U449" s="24" t="s">
        <v>1081</v>
      </c>
      <c r="V449" s="24"/>
      <c r="W449" s="3"/>
      <c r="X449" s="3" t="s">
        <v>3532</v>
      </c>
      <c r="Y449" s="3" t="s">
        <v>5082</v>
      </c>
      <c r="Z449" s="3"/>
      <c r="AA449" s="3"/>
      <c r="AB449" s="3"/>
      <c r="AC449" s="3" t="str">
        <f>IF(Caja_Arequipa[[#This Row],[FECHA]]&gt;0,TEXT(Caja_Arequipa[[#This Row],[FECHA]],"mmmm"),0)</f>
        <v>Junio</v>
      </c>
    </row>
    <row r="450" spans="2:29" x14ac:dyDescent="0.3">
      <c r="B450" s="2">
        <f>IF(Caja_Arequipa[[#This Row],[TIPO DE R.]]="R",COUNTIFS($D$4:$D449,"R")+1,"")</f>
        <v>441</v>
      </c>
      <c r="C450" s="19" t="str">
        <f t="shared" si="31"/>
        <v>C-Tesoreria</v>
      </c>
      <c r="D450" s="3" t="s">
        <v>1074</v>
      </c>
      <c r="E450" s="14">
        <v>45820</v>
      </c>
      <c r="F450" s="5" t="s">
        <v>1158</v>
      </c>
      <c r="G450" s="5" t="s">
        <v>1087</v>
      </c>
      <c r="H450" s="3" t="s">
        <v>3353</v>
      </c>
      <c r="I450" s="6"/>
      <c r="J450" s="6"/>
      <c r="K450" s="6"/>
      <c r="L450" s="6"/>
      <c r="M450" s="7" t="s">
        <v>3101</v>
      </c>
      <c r="N450" s="8" t="str">
        <f>IF(Caja_Arequipa[[#This Row],[TIPO DE R.]]="R","001-"&amp;12002+B450,N449)</f>
        <v>001-12443</v>
      </c>
      <c r="O450" s="8" t="str">
        <f t="shared" si="35"/>
        <v>PEN</v>
      </c>
      <c r="P450" s="13"/>
      <c r="Q450" s="13">
        <v>1960.3</v>
      </c>
      <c r="R450" s="3">
        <f t="shared" si="32"/>
        <v>1960.3</v>
      </c>
      <c r="S450" s="3">
        <f t="shared" si="33"/>
        <v>0</v>
      </c>
      <c r="T450" s="3">
        <f t="shared" si="34"/>
        <v>2306.6999999999989</v>
      </c>
      <c r="U450" s="24"/>
      <c r="V450" s="24"/>
      <c r="W450" s="3"/>
      <c r="X450" s="3" t="s">
        <v>3353</v>
      </c>
      <c r="Y450" s="3"/>
      <c r="Z450" s="3"/>
      <c r="AA450" s="3"/>
      <c r="AB450" s="3"/>
      <c r="AC450" s="3" t="str">
        <f>IF(Caja_Arequipa[[#This Row],[FECHA]]&gt;0,TEXT(Caja_Arequipa[[#This Row],[FECHA]],"mmmm"),0)</f>
        <v>Junio</v>
      </c>
    </row>
    <row r="451" spans="2:29" x14ac:dyDescent="0.3">
      <c r="B451" s="2">
        <f>IF(Caja_Arequipa[[#This Row],[TIPO DE R.]]="R",COUNTIFS($D$4:$D450,"R")+1,"")</f>
        <v>442</v>
      </c>
      <c r="C451" s="19" t="str">
        <f t="shared" si="31"/>
        <v>C-Tesoreria</v>
      </c>
      <c r="D451" s="3" t="s">
        <v>1074</v>
      </c>
      <c r="E451" s="14">
        <v>45820</v>
      </c>
      <c r="F451" s="5" t="s">
        <v>1082</v>
      </c>
      <c r="G451" s="5" t="s">
        <v>1079</v>
      </c>
      <c r="H451" s="3" t="s">
        <v>4433</v>
      </c>
      <c r="I451" s="6"/>
      <c r="J451" s="6"/>
      <c r="K451" s="6"/>
      <c r="L451" s="6"/>
      <c r="M451" s="7" t="s">
        <v>5083</v>
      </c>
      <c r="N451" s="8" t="str">
        <f>IF(Caja_Arequipa[[#This Row],[TIPO DE R.]]="R","001-"&amp;12002+B451,N450)</f>
        <v>001-12444</v>
      </c>
      <c r="O451" s="8" t="str">
        <f t="shared" si="35"/>
        <v>PEN</v>
      </c>
      <c r="P451" s="13"/>
      <c r="Q451" s="13">
        <v>170</v>
      </c>
      <c r="R451" s="3">
        <f t="shared" si="32"/>
        <v>0</v>
      </c>
      <c r="S451" s="3">
        <f t="shared" si="33"/>
        <v>170</v>
      </c>
      <c r="T451" s="3">
        <f t="shared" si="34"/>
        <v>2136.6999999999989</v>
      </c>
      <c r="U451" s="24" t="s">
        <v>1081</v>
      </c>
      <c r="V451" s="24"/>
      <c r="W451" s="3"/>
      <c r="X451" s="3" t="s">
        <v>4433</v>
      </c>
      <c r="Y451" s="3" t="s">
        <v>5084</v>
      </c>
      <c r="Z451" s="3"/>
      <c r="AA451" s="3"/>
      <c r="AB451" s="3"/>
      <c r="AC451" s="3" t="str">
        <f>IF(Caja_Arequipa[[#This Row],[FECHA]]&gt;0,TEXT(Caja_Arequipa[[#This Row],[FECHA]],"mmmm"),0)</f>
        <v>Junio</v>
      </c>
    </row>
    <row r="452" spans="2:29" ht="60" x14ac:dyDescent="0.3">
      <c r="B452" s="2">
        <f>IF(Caja_Arequipa[[#This Row],[TIPO DE R.]]="R",COUNTIFS($D$4:$D451,"R")+1,"")</f>
        <v>443</v>
      </c>
      <c r="C452" s="19" t="str">
        <f t="shared" si="31"/>
        <v>C-Tesoreria</v>
      </c>
      <c r="D452" s="3" t="s">
        <v>1074</v>
      </c>
      <c r="E452" s="14">
        <v>45820</v>
      </c>
      <c r="F452" s="5" t="s">
        <v>1082</v>
      </c>
      <c r="G452" s="5" t="s">
        <v>1079</v>
      </c>
      <c r="H452" s="3" t="s">
        <v>4329</v>
      </c>
      <c r="I452" s="6"/>
      <c r="J452" s="6"/>
      <c r="K452" s="6"/>
      <c r="L452" s="6"/>
      <c r="M452" s="7" t="s">
        <v>5066</v>
      </c>
      <c r="N452" s="8" t="str">
        <f>IF(Caja_Arequipa[[#This Row],[TIPO DE R.]]="R","001-"&amp;12002+B452,N451)</f>
        <v>001-12445</v>
      </c>
      <c r="O452" s="8" t="str">
        <f t="shared" si="35"/>
        <v>PEN</v>
      </c>
      <c r="P452" s="13"/>
      <c r="Q452" s="13">
        <v>190</v>
      </c>
      <c r="R452" s="3">
        <f t="shared" si="32"/>
        <v>0</v>
      </c>
      <c r="S452" s="3">
        <f t="shared" si="33"/>
        <v>190</v>
      </c>
      <c r="T452" s="3">
        <f t="shared" si="34"/>
        <v>1946.6999999999989</v>
      </c>
      <c r="U452" s="24" t="s">
        <v>1081</v>
      </c>
      <c r="V452" s="24"/>
      <c r="W452" s="3"/>
      <c r="X452" s="3" t="s">
        <v>4329</v>
      </c>
      <c r="Y452" s="3" t="s">
        <v>5085</v>
      </c>
      <c r="Z452" s="3"/>
      <c r="AA452" s="3"/>
      <c r="AB452" s="3"/>
      <c r="AC452" s="3" t="str">
        <f>IF(Caja_Arequipa[[#This Row],[FECHA]]&gt;0,TEXT(Caja_Arequipa[[#This Row],[FECHA]],"mmmm"),0)</f>
        <v>Junio</v>
      </c>
    </row>
    <row r="453" spans="2:29" ht="24" x14ac:dyDescent="0.3">
      <c r="B453" s="2">
        <f>IF(Caja_Arequipa[[#This Row],[TIPO DE R.]]="R",COUNTIFS($D$4:$D452,"R")+1,"")</f>
        <v>444</v>
      </c>
      <c r="C453" s="19" t="str">
        <f t="shared" ref="C453:C516" si="36">"C-Tesoreria"</f>
        <v>C-Tesoreria</v>
      </c>
      <c r="D453" s="3" t="s">
        <v>1074</v>
      </c>
      <c r="E453" s="14">
        <v>45820</v>
      </c>
      <c r="F453" s="5" t="s">
        <v>1082</v>
      </c>
      <c r="G453" s="5" t="s">
        <v>1079</v>
      </c>
      <c r="H453" s="3" t="s">
        <v>4329</v>
      </c>
      <c r="I453" s="6"/>
      <c r="J453" s="6"/>
      <c r="K453" s="6"/>
      <c r="L453" s="6"/>
      <c r="M453" s="7" t="s">
        <v>5081</v>
      </c>
      <c r="N453" s="8" t="str">
        <f>IF(Caja_Arequipa[[#This Row],[TIPO DE R.]]="R","001-"&amp;12002+B453,N452)</f>
        <v>001-12446</v>
      </c>
      <c r="O453" s="8" t="str">
        <f t="shared" si="35"/>
        <v>PEN</v>
      </c>
      <c r="P453" s="13"/>
      <c r="Q453" s="13">
        <v>70</v>
      </c>
      <c r="R453" s="3">
        <f t="shared" ref="R453:R516" si="37">+IF(OR($G453="SALDO",$G453="INGRESO"),$Q453,0)</f>
        <v>0</v>
      </c>
      <c r="S453" s="3">
        <f t="shared" ref="S453:S516" si="38">+IF($G453="EGRESO",$Q453,0)</f>
        <v>70</v>
      </c>
      <c r="T453" s="3">
        <f t="shared" ref="T453:T516" si="39">IFERROR(IF(G453="SALDO",R453,T452+R453-S453),0)</f>
        <v>1876.6999999999989</v>
      </c>
      <c r="U453" s="24" t="s">
        <v>1081</v>
      </c>
      <c r="V453" s="24"/>
      <c r="W453" s="3"/>
      <c r="X453" s="3" t="s">
        <v>4329</v>
      </c>
      <c r="Y453" s="3" t="s">
        <v>5086</v>
      </c>
      <c r="Z453" s="3"/>
      <c r="AA453" s="3"/>
      <c r="AB453" s="3"/>
      <c r="AC453" s="3" t="str">
        <f>IF(Caja_Arequipa[[#This Row],[FECHA]]&gt;0,TEXT(Caja_Arequipa[[#This Row],[FECHA]],"mmmm"),0)</f>
        <v>Junio</v>
      </c>
    </row>
    <row r="454" spans="2:29" x14ac:dyDescent="0.3">
      <c r="B454" s="2">
        <f>IF(Caja_Arequipa[[#This Row],[TIPO DE R.]]="R",COUNTIFS($D$4:$D453,"R")+1,"")</f>
        <v>445</v>
      </c>
      <c r="C454" s="19" t="str">
        <f t="shared" si="36"/>
        <v>C-Tesoreria</v>
      </c>
      <c r="D454" s="3" t="s">
        <v>1074</v>
      </c>
      <c r="E454" s="14">
        <v>45820</v>
      </c>
      <c r="F454" s="5" t="s">
        <v>1082</v>
      </c>
      <c r="G454" s="5" t="s">
        <v>1079</v>
      </c>
      <c r="H454" s="3" t="s">
        <v>4329</v>
      </c>
      <c r="I454" s="6"/>
      <c r="J454" s="6"/>
      <c r="K454" s="6"/>
      <c r="L454" s="6"/>
      <c r="M454" s="7" t="s">
        <v>5087</v>
      </c>
      <c r="N454" s="8" t="str">
        <f>IF(Caja_Arequipa[[#This Row],[TIPO DE R.]]="R","001-"&amp;12002+B454,N453)</f>
        <v>001-12447</v>
      </c>
      <c r="O454" s="8" t="str">
        <f t="shared" si="35"/>
        <v>PEN</v>
      </c>
      <c r="P454" s="13"/>
      <c r="Q454" s="13">
        <v>68</v>
      </c>
      <c r="R454" s="3">
        <f t="shared" si="37"/>
        <v>0</v>
      </c>
      <c r="S454" s="3">
        <f t="shared" si="38"/>
        <v>68</v>
      </c>
      <c r="T454" s="3">
        <f t="shared" si="39"/>
        <v>1808.6999999999989</v>
      </c>
      <c r="U454" s="24" t="s">
        <v>1081</v>
      </c>
      <c r="V454" s="24"/>
      <c r="W454" s="3"/>
      <c r="X454" s="3" t="s">
        <v>4329</v>
      </c>
      <c r="Y454" s="3" t="s">
        <v>5088</v>
      </c>
      <c r="Z454" s="3"/>
      <c r="AA454" s="3"/>
      <c r="AB454" s="3"/>
      <c r="AC454" s="3" t="str">
        <f>IF(Caja_Arequipa[[#This Row],[FECHA]]&gt;0,TEXT(Caja_Arequipa[[#This Row],[FECHA]],"mmmm"),0)</f>
        <v>Junio</v>
      </c>
    </row>
    <row r="455" spans="2:29" x14ac:dyDescent="0.3">
      <c r="B455" s="2">
        <f>IF(Caja_Arequipa[[#This Row],[TIPO DE R.]]="R",COUNTIFS($D$4:$D454,"R")+1,"")</f>
        <v>446</v>
      </c>
      <c r="C455" s="19" t="str">
        <f t="shared" si="36"/>
        <v>C-Tesoreria</v>
      </c>
      <c r="D455" s="3" t="s">
        <v>1074</v>
      </c>
      <c r="E455" s="14">
        <v>45820</v>
      </c>
      <c r="F455" s="5" t="s">
        <v>1082</v>
      </c>
      <c r="G455" s="5" t="s">
        <v>1079</v>
      </c>
      <c r="H455" s="3" t="s">
        <v>3532</v>
      </c>
      <c r="I455" s="6"/>
      <c r="J455" s="6"/>
      <c r="K455" s="6"/>
      <c r="L455" s="6"/>
      <c r="M455" s="7" t="s">
        <v>5089</v>
      </c>
      <c r="N455" s="8" t="str">
        <f>IF(Caja_Arequipa[[#This Row],[TIPO DE R.]]="R","001-"&amp;12002+B455,N454)</f>
        <v>001-12448</v>
      </c>
      <c r="O455" s="8" t="str">
        <f t="shared" si="35"/>
        <v>PEN</v>
      </c>
      <c r="P455" s="13"/>
      <c r="Q455" s="13">
        <v>36</v>
      </c>
      <c r="R455" s="3">
        <f t="shared" si="37"/>
        <v>0</v>
      </c>
      <c r="S455" s="3">
        <f t="shared" si="38"/>
        <v>36</v>
      </c>
      <c r="T455" s="3">
        <f t="shared" si="39"/>
        <v>1772.6999999999989</v>
      </c>
      <c r="U455" s="24" t="s">
        <v>1081</v>
      </c>
      <c r="V455" s="24"/>
      <c r="W455" s="3"/>
      <c r="X455" s="3" t="s">
        <v>3532</v>
      </c>
      <c r="Y455" s="3" t="s">
        <v>5090</v>
      </c>
      <c r="Z455" s="3"/>
      <c r="AA455" s="3"/>
      <c r="AB455" s="3"/>
      <c r="AC455" s="3" t="str">
        <f>IF(Caja_Arequipa[[#This Row],[FECHA]]&gt;0,TEXT(Caja_Arequipa[[#This Row],[FECHA]],"mmmm"),0)</f>
        <v>Junio</v>
      </c>
    </row>
    <row r="456" spans="2:29" ht="24" x14ac:dyDescent="0.3">
      <c r="B456" s="2">
        <f>IF(Caja_Arequipa[[#This Row],[TIPO DE R.]]="R",COUNTIFS($D$4:$D455,"R")+1,"")</f>
        <v>447</v>
      </c>
      <c r="C456" s="19" t="str">
        <f t="shared" si="36"/>
        <v>C-Tesoreria</v>
      </c>
      <c r="D456" s="3" t="s">
        <v>1074</v>
      </c>
      <c r="E456" s="14">
        <v>45821</v>
      </c>
      <c r="F456" s="5" t="s">
        <v>1082</v>
      </c>
      <c r="G456" s="5" t="s">
        <v>1079</v>
      </c>
      <c r="H456" s="3" t="s">
        <v>4433</v>
      </c>
      <c r="I456" s="6"/>
      <c r="J456" s="6"/>
      <c r="K456" s="6"/>
      <c r="L456" s="6"/>
      <c r="M456" s="7" t="s">
        <v>5091</v>
      </c>
      <c r="N456" s="8" t="str">
        <f>IF(Caja_Arequipa[[#This Row],[TIPO DE R.]]="R","001-"&amp;12002+B456,N455)</f>
        <v>001-12449</v>
      </c>
      <c r="O456" s="8" t="str">
        <f t="shared" si="35"/>
        <v>PEN</v>
      </c>
      <c r="P456" s="13"/>
      <c r="Q456" s="13">
        <v>200</v>
      </c>
      <c r="R456" s="3">
        <f t="shared" si="37"/>
        <v>0</v>
      </c>
      <c r="S456" s="3">
        <f t="shared" si="38"/>
        <v>200</v>
      </c>
      <c r="T456" s="3">
        <f t="shared" si="39"/>
        <v>1572.6999999999989</v>
      </c>
      <c r="U456" s="24" t="s">
        <v>1081</v>
      </c>
      <c r="V456" s="24"/>
      <c r="W456" s="3"/>
      <c r="X456" s="3" t="s">
        <v>4433</v>
      </c>
      <c r="Y456" s="3" t="s">
        <v>5092</v>
      </c>
      <c r="Z456" s="3"/>
      <c r="AA456" s="3"/>
      <c r="AB456" s="3"/>
      <c r="AC456" s="3" t="str">
        <f>IF(Caja_Arequipa[[#This Row],[FECHA]]&gt;0,TEXT(Caja_Arequipa[[#This Row],[FECHA]],"mmmm"),0)</f>
        <v>Junio</v>
      </c>
    </row>
    <row r="457" spans="2:29" x14ac:dyDescent="0.3">
      <c r="B457" s="2">
        <f>IF(Caja_Arequipa[[#This Row],[TIPO DE R.]]="R",COUNTIFS($D$4:$D456,"R")+1,"")</f>
        <v>448</v>
      </c>
      <c r="C457" s="19" t="str">
        <f t="shared" si="36"/>
        <v>C-Tesoreria</v>
      </c>
      <c r="D457" s="3" t="s">
        <v>1074</v>
      </c>
      <c r="E457" s="14">
        <v>45821</v>
      </c>
      <c r="F457" s="5" t="s">
        <v>1158</v>
      </c>
      <c r="G457" s="5" t="s">
        <v>1079</v>
      </c>
      <c r="H457" s="3" t="s">
        <v>4314</v>
      </c>
      <c r="I457" s="6"/>
      <c r="J457" s="6"/>
      <c r="K457" s="6"/>
      <c r="L457" s="6"/>
      <c r="M457" s="7" t="s">
        <v>5093</v>
      </c>
      <c r="N457" s="8" t="str">
        <f>IF(Caja_Arequipa[[#This Row],[TIPO DE R.]]="R","001-"&amp;12002+B457,N456)</f>
        <v>001-12450</v>
      </c>
      <c r="O457" s="8" t="str">
        <f t="shared" si="35"/>
        <v>PEN</v>
      </c>
      <c r="P457" s="13"/>
      <c r="Q457" s="13">
        <v>111</v>
      </c>
      <c r="R457" s="3">
        <f t="shared" si="37"/>
        <v>0</v>
      </c>
      <c r="S457" s="3">
        <f t="shared" si="38"/>
        <v>111</v>
      </c>
      <c r="T457" s="3">
        <f t="shared" si="39"/>
        <v>1461.6999999999989</v>
      </c>
      <c r="U457" s="24" t="s">
        <v>1081</v>
      </c>
      <c r="V457" s="24"/>
      <c r="W457" s="3"/>
      <c r="X457" s="3" t="s">
        <v>4314</v>
      </c>
      <c r="Y457" s="3" t="s">
        <v>5094</v>
      </c>
      <c r="Z457" s="3"/>
      <c r="AA457" s="3"/>
      <c r="AB457" s="3"/>
      <c r="AC457" s="3" t="str">
        <f>IF(Caja_Arequipa[[#This Row],[FECHA]]&gt;0,TEXT(Caja_Arequipa[[#This Row],[FECHA]],"mmmm"),0)</f>
        <v>Junio</v>
      </c>
    </row>
    <row r="458" spans="2:29" x14ac:dyDescent="0.3">
      <c r="B458" s="2">
        <f>IF(Caja_Arequipa[[#This Row],[TIPO DE R.]]="R",COUNTIFS($D$4:$D457,"R")+1,"")</f>
        <v>449</v>
      </c>
      <c r="C458" s="19" t="str">
        <f t="shared" si="36"/>
        <v>C-Tesoreria</v>
      </c>
      <c r="D458" s="3" t="s">
        <v>1074</v>
      </c>
      <c r="E458" s="14">
        <v>45821</v>
      </c>
      <c r="F458" s="5" t="s">
        <v>1158</v>
      </c>
      <c r="G458" s="5" t="s">
        <v>1079</v>
      </c>
      <c r="H458" s="3" t="s">
        <v>4314</v>
      </c>
      <c r="I458" s="6"/>
      <c r="J458" s="6"/>
      <c r="K458" s="6"/>
      <c r="L458" s="6"/>
      <c r="M458" s="7" t="s">
        <v>5095</v>
      </c>
      <c r="N458" s="8" t="str">
        <f>IF(Caja_Arequipa[[#This Row],[TIPO DE R.]]="R","001-"&amp;12002+B458,N457)</f>
        <v>001-12451</v>
      </c>
      <c r="O458" s="8" t="str">
        <f t="shared" si="35"/>
        <v>PEN</v>
      </c>
      <c r="P458" s="13"/>
      <c r="Q458" s="13">
        <v>38</v>
      </c>
      <c r="R458" s="3">
        <f t="shared" si="37"/>
        <v>0</v>
      </c>
      <c r="S458" s="3">
        <f t="shared" si="38"/>
        <v>38</v>
      </c>
      <c r="T458" s="3">
        <f t="shared" si="39"/>
        <v>1423.6999999999989</v>
      </c>
      <c r="U458" s="24" t="s">
        <v>1081</v>
      </c>
      <c r="V458" s="24"/>
      <c r="W458" s="3"/>
      <c r="X458" s="3" t="s">
        <v>4314</v>
      </c>
      <c r="Y458" s="3" t="s">
        <v>5096</v>
      </c>
      <c r="Z458" s="3"/>
      <c r="AA458" s="3"/>
      <c r="AB458" s="3"/>
      <c r="AC458" s="3" t="str">
        <f>IF(Caja_Arequipa[[#This Row],[FECHA]]&gt;0,TEXT(Caja_Arequipa[[#This Row],[FECHA]],"mmmm"),0)</f>
        <v>Junio</v>
      </c>
    </row>
    <row r="459" spans="2:29" x14ac:dyDescent="0.3">
      <c r="B459" s="2">
        <f>IF(Caja_Arequipa[[#This Row],[TIPO DE R.]]="R",COUNTIFS($D$4:$D458,"R")+1,"")</f>
        <v>450</v>
      </c>
      <c r="C459" s="19" t="str">
        <f t="shared" si="36"/>
        <v>C-Tesoreria</v>
      </c>
      <c r="D459" s="3" t="s">
        <v>1074</v>
      </c>
      <c r="E459" s="14">
        <v>45821</v>
      </c>
      <c r="F459" s="5" t="s">
        <v>1158</v>
      </c>
      <c r="G459" s="5" t="s">
        <v>1079</v>
      </c>
      <c r="H459" s="3" t="s">
        <v>4314</v>
      </c>
      <c r="I459" s="6"/>
      <c r="J459" s="6"/>
      <c r="K459" s="6"/>
      <c r="L459" s="6"/>
      <c r="M459" s="7" t="s">
        <v>5097</v>
      </c>
      <c r="N459" s="8" t="str">
        <f>IF(Caja_Arequipa[[#This Row],[TIPO DE R.]]="R","001-"&amp;12002+B459,N458)</f>
        <v>001-12452</v>
      </c>
      <c r="O459" s="8" t="str">
        <f t="shared" ref="O459:O517" si="40">"PEN"</f>
        <v>PEN</v>
      </c>
      <c r="P459" s="13"/>
      <c r="Q459" s="13">
        <v>5</v>
      </c>
      <c r="R459" s="3">
        <f t="shared" si="37"/>
        <v>0</v>
      </c>
      <c r="S459" s="3">
        <f t="shared" si="38"/>
        <v>5</v>
      </c>
      <c r="T459" s="3">
        <f t="shared" si="39"/>
        <v>1418.6999999999989</v>
      </c>
      <c r="U459" s="24" t="s">
        <v>1081</v>
      </c>
      <c r="V459" s="24"/>
      <c r="W459" s="3"/>
      <c r="X459" s="3" t="s">
        <v>4314</v>
      </c>
      <c r="Y459" s="3" t="s">
        <v>5098</v>
      </c>
      <c r="Z459" s="3"/>
      <c r="AA459" s="3"/>
      <c r="AB459" s="3"/>
      <c r="AC459" s="3" t="str">
        <f>IF(Caja_Arequipa[[#This Row],[FECHA]]&gt;0,TEXT(Caja_Arequipa[[#This Row],[FECHA]],"mmmm"),0)</f>
        <v>Junio</v>
      </c>
    </row>
    <row r="460" spans="2:29" x14ac:dyDescent="0.3">
      <c r="B460" s="2">
        <f>IF(Caja_Arequipa[[#This Row],[TIPO DE R.]]="R",COUNTIFS($D$4:$D459,"R")+1,"")</f>
        <v>451</v>
      </c>
      <c r="C460" s="19" t="str">
        <f t="shared" si="36"/>
        <v>C-Tesoreria</v>
      </c>
      <c r="D460" s="3" t="s">
        <v>1074</v>
      </c>
      <c r="E460" s="14">
        <v>45821</v>
      </c>
      <c r="F460" s="5" t="s">
        <v>1158</v>
      </c>
      <c r="G460" s="5" t="s">
        <v>1079</v>
      </c>
      <c r="H460" s="3" t="s">
        <v>4314</v>
      </c>
      <c r="I460" s="6"/>
      <c r="J460" s="6"/>
      <c r="K460" s="6"/>
      <c r="L460" s="6"/>
      <c r="M460" s="7" t="s">
        <v>5099</v>
      </c>
      <c r="N460" s="8" t="str">
        <f>IF(Caja_Arequipa[[#This Row],[TIPO DE R.]]="R","001-"&amp;12002+B460,N459)</f>
        <v>001-12453</v>
      </c>
      <c r="O460" s="8" t="str">
        <f t="shared" si="40"/>
        <v>PEN</v>
      </c>
      <c r="P460" s="13"/>
      <c r="Q460" s="13">
        <v>43</v>
      </c>
      <c r="R460" s="3">
        <f t="shared" si="37"/>
        <v>0</v>
      </c>
      <c r="S460" s="3">
        <f t="shared" si="38"/>
        <v>43</v>
      </c>
      <c r="T460" s="3">
        <f t="shared" si="39"/>
        <v>1375.6999999999989</v>
      </c>
      <c r="U460" s="24" t="s">
        <v>1081</v>
      </c>
      <c r="V460" s="24"/>
      <c r="W460" s="3"/>
      <c r="X460" s="3" t="s">
        <v>4314</v>
      </c>
      <c r="Y460" s="3" t="s">
        <v>5100</v>
      </c>
      <c r="Z460" s="3"/>
      <c r="AA460" s="3"/>
      <c r="AB460" s="3"/>
      <c r="AC460" s="3" t="str">
        <f>IF(Caja_Arequipa[[#This Row],[FECHA]]&gt;0,TEXT(Caja_Arequipa[[#This Row],[FECHA]],"mmmm"),0)</f>
        <v>Junio</v>
      </c>
    </row>
    <row r="461" spans="2:29" ht="24" x14ac:dyDescent="0.3">
      <c r="B461" s="2">
        <f>IF(Caja_Arequipa[[#This Row],[TIPO DE R.]]="R",COUNTIFS($D$4:$D460,"R")+1,"")</f>
        <v>452</v>
      </c>
      <c r="C461" s="19" t="str">
        <f t="shared" si="36"/>
        <v>C-Tesoreria</v>
      </c>
      <c r="D461" s="3" t="s">
        <v>1074</v>
      </c>
      <c r="E461" s="14">
        <v>45821</v>
      </c>
      <c r="F461" s="5" t="s">
        <v>1158</v>
      </c>
      <c r="G461" s="5" t="s">
        <v>1087</v>
      </c>
      <c r="H461" s="3" t="s">
        <v>3016</v>
      </c>
      <c r="I461" s="6"/>
      <c r="J461" s="6" t="s">
        <v>74</v>
      </c>
      <c r="K461" s="6">
        <v>1</v>
      </c>
      <c r="L461" s="6">
        <v>128</v>
      </c>
      <c r="M461" s="7" t="s">
        <v>5101</v>
      </c>
      <c r="N461" s="8" t="str">
        <f>IF(Caja_Arequipa[[#This Row],[TIPO DE R.]]="R","001-"&amp;12002+B461,N460)</f>
        <v>001-12454</v>
      </c>
      <c r="O461" s="8" t="str">
        <f t="shared" si="40"/>
        <v>PEN</v>
      </c>
      <c r="P461" s="13"/>
      <c r="Q461" s="13">
        <v>64</v>
      </c>
      <c r="R461" s="3">
        <f t="shared" si="37"/>
        <v>64</v>
      </c>
      <c r="S461" s="3">
        <f t="shared" si="38"/>
        <v>0</v>
      </c>
      <c r="T461" s="3">
        <f t="shared" si="39"/>
        <v>1439.6999999999989</v>
      </c>
      <c r="U461" s="24"/>
      <c r="V461" s="24"/>
      <c r="W461" s="3"/>
      <c r="X461" s="3" t="s">
        <v>3016</v>
      </c>
      <c r="Y461" s="3" t="s">
        <v>4949</v>
      </c>
      <c r="Z461" s="3"/>
      <c r="AA461" s="3"/>
      <c r="AB461" s="3"/>
      <c r="AC461" s="3" t="str">
        <f>IF(Caja_Arequipa[[#This Row],[FECHA]]&gt;0,TEXT(Caja_Arequipa[[#This Row],[FECHA]],"mmmm"),0)</f>
        <v>Junio</v>
      </c>
    </row>
    <row r="462" spans="2:29" ht="24" x14ac:dyDescent="0.3">
      <c r="B462" s="2">
        <f>IF(Caja_Arequipa[[#This Row],[TIPO DE R.]]="R",COUNTIFS($D$4:$D461,"R")+1,"")</f>
        <v>453</v>
      </c>
      <c r="C462" s="19" t="str">
        <f t="shared" si="36"/>
        <v>C-Tesoreria</v>
      </c>
      <c r="D462" s="3" t="s">
        <v>1074</v>
      </c>
      <c r="E462" s="14">
        <v>45825</v>
      </c>
      <c r="F462" s="5" t="s">
        <v>1158</v>
      </c>
      <c r="G462" s="5" t="s">
        <v>1079</v>
      </c>
      <c r="H462" s="3" t="s">
        <v>4912</v>
      </c>
      <c r="I462" s="6" t="s">
        <v>909</v>
      </c>
      <c r="J462" s="6" t="s">
        <v>21</v>
      </c>
      <c r="K462" s="6">
        <v>1</v>
      </c>
      <c r="L462" s="6">
        <v>21501</v>
      </c>
      <c r="M462" s="7" t="s">
        <v>5102</v>
      </c>
      <c r="N462" s="8" t="str">
        <f>IF(Caja_Arequipa[[#This Row],[TIPO DE R.]]="R","001-"&amp;12002+B462,N461)</f>
        <v>001-12455</v>
      </c>
      <c r="O462" s="8" t="str">
        <f t="shared" si="40"/>
        <v>PEN</v>
      </c>
      <c r="P462" s="13"/>
      <c r="Q462" s="13">
        <v>230</v>
      </c>
      <c r="R462" s="3">
        <f t="shared" si="37"/>
        <v>0</v>
      </c>
      <c r="S462" s="3">
        <f t="shared" si="38"/>
        <v>230</v>
      </c>
      <c r="T462" s="3">
        <f t="shared" si="39"/>
        <v>1209.6999999999989</v>
      </c>
      <c r="U462" s="24"/>
      <c r="V462" s="24"/>
      <c r="W462" s="3"/>
      <c r="X462" s="3" t="s">
        <v>4912</v>
      </c>
      <c r="Y462" s="3" t="s">
        <v>5103</v>
      </c>
      <c r="Z462" s="3"/>
      <c r="AA462" s="3"/>
      <c r="AB462" s="3"/>
      <c r="AC462" s="3" t="str">
        <f>IF(Caja_Arequipa[[#This Row],[FECHA]]&gt;0,TEXT(Caja_Arequipa[[#This Row],[FECHA]],"mmmm"),0)</f>
        <v>Junio</v>
      </c>
    </row>
    <row r="463" spans="2:29" x14ac:dyDescent="0.3">
      <c r="B463" s="2">
        <f>IF(Caja_Arequipa[[#This Row],[TIPO DE R.]]="R",COUNTIFS($D$4:$D462,"R")+1,"")</f>
        <v>454</v>
      </c>
      <c r="C463" s="19" t="str">
        <f t="shared" si="36"/>
        <v>C-Tesoreria</v>
      </c>
      <c r="D463" s="3" t="s">
        <v>1074</v>
      </c>
      <c r="E463" s="14">
        <v>45826</v>
      </c>
      <c r="F463" s="5" t="s">
        <v>1158</v>
      </c>
      <c r="G463" s="5" t="s">
        <v>1079</v>
      </c>
      <c r="H463" s="3" t="s">
        <v>4314</v>
      </c>
      <c r="I463" s="6"/>
      <c r="J463" s="6"/>
      <c r="K463" s="6"/>
      <c r="L463" s="6"/>
      <c r="M463" s="7" t="s">
        <v>5104</v>
      </c>
      <c r="N463" s="8" t="str">
        <f>IF(Caja_Arequipa[[#This Row],[TIPO DE R.]]="R","001-"&amp;12002+B463,N462)</f>
        <v>001-12456</v>
      </c>
      <c r="O463" s="8" t="str">
        <f t="shared" si="40"/>
        <v>PEN</v>
      </c>
      <c r="P463" s="13"/>
      <c r="Q463" s="13">
        <v>136</v>
      </c>
      <c r="R463" s="3">
        <f t="shared" si="37"/>
        <v>0</v>
      </c>
      <c r="S463" s="3">
        <f t="shared" si="38"/>
        <v>136</v>
      </c>
      <c r="T463" s="3">
        <f t="shared" si="39"/>
        <v>1073.6999999999989</v>
      </c>
      <c r="U463" s="24" t="s">
        <v>1081</v>
      </c>
      <c r="V463" s="24"/>
      <c r="W463" s="3"/>
      <c r="X463" s="3" t="s">
        <v>4314</v>
      </c>
      <c r="Y463" s="3" t="s">
        <v>5105</v>
      </c>
      <c r="Z463" s="3"/>
      <c r="AA463" s="3"/>
      <c r="AB463" s="3"/>
      <c r="AC463" s="3" t="str">
        <f>IF(Caja_Arequipa[[#This Row],[FECHA]]&gt;0,TEXT(Caja_Arequipa[[#This Row],[FECHA]],"mmmm"),0)</f>
        <v>Junio</v>
      </c>
    </row>
    <row r="464" spans="2:29" x14ac:dyDescent="0.3">
      <c r="B464" s="2">
        <f>IF(Caja_Arequipa[[#This Row],[TIPO DE R.]]="R",COUNTIFS($D$4:$D463,"R")+1,"")</f>
        <v>455</v>
      </c>
      <c r="C464" s="19" t="str">
        <f t="shared" si="36"/>
        <v>C-Tesoreria</v>
      </c>
      <c r="D464" s="3" t="s">
        <v>1074</v>
      </c>
      <c r="E464" s="14">
        <v>45826</v>
      </c>
      <c r="F464" s="5" t="s">
        <v>1158</v>
      </c>
      <c r="G464" s="5" t="s">
        <v>1079</v>
      </c>
      <c r="H464" s="3" t="s">
        <v>4314</v>
      </c>
      <c r="I464" s="6"/>
      <c r="J464" s="6"/>
      <c r="K464" s="6"/>
      <c r="L464" s="6"/>
      <c r="M464" s="7" t="s">
        <v>5106</v>
      </c>
      <c r="N464" s="8" t="str">
        <f>IF(Caja_Arequipa[[#This Row],[TIPO DE R.]]="R","001-"&amp;12002+B464,N463)</f>
        <v>001-12457</v>
      </c>
      <c r="O464" s="8" t="str">
        <f t="shared" si="40"/>
        <v>PEN</v>
      </c>
      <c r="P464" s="13"/>
      <c r="Q464" s="13">
        <v>84</v>
      </c>
      <c r="R464" s="3">
        <f t="shared" si="37"/>
        <v>0</v>
      </c>
      <c r="S464" s="3">
        <f t="shared" si="38"/>
        <v>84</v>
      </c>
      <c r="T464" s="3">
        <f t="shared" si="39"/>
        <v>989.69999999999891</v>
      </c>
      <c r="U464" s="24" t="s">
        <v>1081</v>
      </c>
      <c r="V464" s="24"/>
      <c r="W464" s="3"/>
      <c r="X464" s="3" t="s">
        <v>4314</v>
      </c>
      <c r="Y464" s="3" t="s">
        <v>5107</v>
      </c>
      <c r="Z464" s="3"/>
      <c r="AA464" s="3"/>
      <c r="AB464" s="3"/>
      <c r="AC464" s="3" t="str">
        <f>IF(Caja_Arequipa[[#This Row],[FECHA]]&gt;0,TEXT(Caja_Arequipa[[#This Row],[FECHA]],"mmmm"),0)</f>
        <v>Junio</v>
      </c>
    </row>
    <row r="465" spans="2:29" x14ac:dyDescent="0.3">
      <c r="B465" s="2">
        <f>IF(Caja_Arequipa[[#This Row],[TIPO DE R.]]="R",COUNTIFS($D$4:$D464,"R")+1,"")</f>
        <v>456</v>
      </c>
      <c r="C465" s="19" t="str">
        <f t="shared" si="36"/>
        <v>C-Tesoreria</v>
      </c>
      <c r="D465" s="3" t="s">
        <v>1074</v>
      </c>
      <c r="E465" s="14">
        <v>45826</v>
      </c>
      <c r="F465" s="5" t="s">
        <v>1158</v>
      </c>
      <c r="G465" s="5" t="s">
        <v>1079</v>
      </c>
      <c r="H465" s="3" t="s">
        <v>4314</v>
      </c>
      <c r="I465" s="6"/>
      <c r="J465" s="6"/>
      <c r="K465" s="6"/>
      <c r="L465" s="6"/>
      <c r="M465" s="7" t="s">
        <v>5108</v>
      </c>
      <c r="N465" s="8" t="str">
        <f>IF(Caja_Arequipa[[#This Row],[TIPO DE R.]]="R","001-"&amp;12002+B465,N464)</f>
        <v>001-12458</v>
      </c>
      <c r="O465" s="8" t="str">
        <f t="shared" si="40"/>
        <v>PEN</v>
      </c>
      <c r="P465" s="13"/>
      <c r="Q465" s="13">
        <v>27</v>
      </c>
      <c r="R465" s="3">
        <f t="shared" si="37"/>
        <v>0</v>
      </c>
      <c r="S465" s="3">
        <f t="shared" si="38"/>
        <v>27</v>
      </c>
      <c r="T465" s="3">
        <f t="shared" si="39"/>
        <v>962.69999999999891</v>
      </c>
      <c r="U465" s="24" t="s">
        <v>1081</v>
      </c>
      <c r="V465" s="24"/>
      <c r="W465" s="3"/>
      <c r="X465" s="3" t="s">
        <v>4314</v>
      </c>
      <c r="Y465" s="3" t="s">
        <v>5109</v>
      </c>
      <c r="Z465" s="3"/>
      <c r="AA465" s="3"/>
      <c r="AB465" s="3"/>
      <c r="AC465" s="3" t="str">
        <f>IF(Caja_Arequipa[[#This Row],[FECHA]]&gt;0,TEXT(Caja_Arequipa[[#This Row],[FECHA]],"mmmm"),0)</f>
        <v>Junio</v>
      </c>
    </row>
    <row r="466" spans="2:29" x14ac:dyDescent="0.3">
      <c r="B466" s="2">
        <f>IF(Caja_Arequipa[[#This Row],[TIPO DE R.]]="R",COUNTIFS($D$4:$D465,"R")+1,"")</f>
        <v>457</v>
      </c>
      <c r="C466" s="19" t="str">
        <f t="shared" si="36"/>
        <v>C-Tesoreria</v>
      </c>
      <c r="D466" s="3" t="s">
        <v>1074</v>
      </c>
      <c r="E466" s="14">
        <v>45826</v>
      </c>
      <c r="F466" s="5" t="s">
        <v>1158</v>
      </c>
      <c r="G466" s="5" t="s">
        <v>1079</v>
      </c>
      <c r="H466" s="3" t="s">
        <v>4314</v>
      </c>
      <c r="I466" s="6"/>
      <c r="J466" s="6"/>
      <c r="K466" s="6"/>
      <c r="L466" s="6"/>
      <c r="M466" s="7" t="s">
        <v>5110</v>
      </c>
      <c r="N466" s="8" t="str">
        <f>IF(Caja_Arequipa[[#This Row],[TIPO DE R.]]="R","001-"&amp;12002+B466,N465)</f>
        <v>001-12459</v>
      </c>
      <c r="O466" s="8" t="str">
        <f t="shared" si="40"/>
        <v>PEN</v>
      </c>
      <c r="P466" s="13"/>
      <c r="Q466" s="13">
        <v>64</v>
      </c>
      <c r="R466" s="3">
        <f t="shared" si="37"/>
        <v>0</v>
      </c>
      <c r="S466" s="3">
        <f t="shared" si="38"/>
        <v>64</v>
      </c>
      <c r="T466" s="3">
        <f t="shared" si="39"/>
        <v>898.69999999999891</v>
      </c>
      <c r="U466" s="24" t="s">
        <v>1081</v>
      </c>
      <c r="V466" s="24"/>
      <c r="W466" s="3"/>
      <c r="X466" s="3" t="s">
        <v>4314</v>
      </c>
      <c r="Y466" s="3" t="s">
        <v>5111</v>
      </c>
      <c r="Z466" s="3"/>
      <c r="AA466" s="3"/>
      <c r="AB466" s="3"/>
      <c r="AC466" s="3" t="str">
        <f>IF(Caja_Arequipa[[#This Row],[FECHA]]&gt;0,TEXT(Caja_Arequipa[[#This Row],[FECHA]],"mmmm"),0)</f>
        <v>Junio</v>
      </c>
    </row>
    <row r="467" spans="2:29" x14ac:dyDescent="0.3">
      <c r="B467" s="2">
        <f>IF(Caja_Arequipa[[#This Row],[TIPO DE R.]]="R",COUNTIFS($D$4:$D466,"R")+1,"")</f>
        <v>458</v>
      </c>
      <c r="C467" s="19" t="str">
        <f t="shared" si="36"/>
        <v>C-Tesoreria</v>
      </c>
      <c r="D467" s="3" t="s">
        <v>1074</v>
      </c>
      <c r="E467" s="14">
        <v>45826</v>
      </c>
      <c r="F467" s="5" t="s">
        <v>1158</v>
      </c>
      <c r="G467" s="5" t="s">
        <v>1079</v>
      </c>
      <c r="H467" s="3" t="s">
        <v>4314</v>
      </c>
      <c r="I467" s="6"/>
      <c r="J467" s="6"/>
      <c r="K467" s="6"/>
      <c r="L467" s="6"/>
      <c r="M467" s="7" t="s">
        <v>5112</v>
      </c>
      <c r="N467" s="8" t="str">
        <f>IF(Caja_Arequipa[[#This Row],[TIPO DE R.]]="R","001-"&amp;12002+B467,N466)</f>
        <v>001-12460</v>
      </c>
      <c r="O467" s="8" t="str">
        <f t="shared" si="40"/>
        <v>PEN</v>
      </c>
      <c r="P467" s="13"/>
      <c r="Q467" s="13">
        <v>69</v>
      </c>
      <c r="R467" s="3">
        <f t="shared" si="37"/>
        <v>0</v>
      </c>
      <c r="S467" s="3">
        <f t="shared" si="38"/>
        <v>69</v>
      </c>
      <c r="T467" s="3">
        <f t="shared" si="39"/>
        <v>829.69999999999891</v>
      </c>
      <c r="U467" s="24" t="s">
        <v>1081</v>
      </c>
      <c r="V467" s="24"/>
      <c r="W467" s="3"/>
      <c r="X467" s="3" t="s">
        <v>4314</v>
      </c>
      <c r="Y467" s="3" t="s">
        <v>5113</v>
      </c>
      <c r="Z467" s="3"/>
      <c r="AA467" s="3"/>
      <c r="AB467" s="3"/>
      <c r="AC467" s="3" t="str">
        <f>IF(Caja_Arequipa[[#This Row],[FECHA]]&gt;0,TEXT(Caja_Arequipa[[#This Row],[FECHA]],"mmmm"),0)</f>
        <v>Junio</v>
      </c>
    </row>
    <row r="468" spans="2:29" x14ac:dyDescent="0.3">
      <c r="B468" s="2">
        <f>IF(Caja_Arequipa[[#This Row],[TIPO DE R.]]="R",COUNTIFS($D$4:$D467,"R")+1,"")</f>
        <v>459</v>
      </c>
      <c r="C468" s="19" t="str">
        <f t="shared" si="36"/>
        <v>C-Tesoreria</v>
      </c>
      <c r="D468" s="3" t="s">
        <v>1074</v>
      </c>
      <c r="E468" s="14">
        <v>45826</v>
      </c>
      <c r="F468" s="5" t="s">
        <v>1996</v>
      </c>
      <c r="G468" s="5" t="s">
        <v>1079</v>
      </c>
      <c r="H468" s="3" t="s">
        <v>4912</v>
      </c>
      <c r="I468" s="6"/>
      <c r="J468" s="6"/>
      <c r="K468" s="6"/>
      <c r="L468" s="6"/>
      <c r="M468" s="7" t="s">
        <v>5114</v>
      </c>
      <c r="N468" s="8" t="str">
        <f>IF(Caja_Arequipa[[#This Row],[TIPO DE R.]]="R","001-"&amp;12002+B468,N467)</f>
        <v>001-12461</v>
      </c>
      <c r="O468" s="8" t="str">
        <f t="shared" si="40"/>
        <v>PEN</v>
      </c>
      <c r="P468" s="13"/>
      <c r="Q468" s="13">
        <v>20</v>
      </c>
      <c r="R468" s="3">
        <f t="shared" si="37"/>
        <v>0</v>
      </c>
      <c r="S468" s="3">
        <f t="shared" si="38"/>
        <v>20</v>
      </c>
      <c r="T468" s="3">
        <f t="shared" si="39"/>
        <v>809.69999999999891</v>
      </c>
      <c r="U468" s="24" t="s">
        <v>1081</v>
      </c>
      <c r="V468" s="24"/>
      <c r="W468" s="3"/>
      <c r="X468" s="3" t="s">
        <v>4912</v>
      </c>
      <c r="Y468" s="3" t="s">
        <v>5115</v>
      </c>
      <c r="Z468" s="3"/>
      <c r="AA468" s="3"/>
      <c r="AB468" s="3"/>
      <c r="AC468" s="3" t="str">
        <f>IF(Caja_Arequipa[[#This Row],[FECHA]]&gt;0,TEXT(Caja_Arequipa[[#This Row],[FECHA]],"mmmm"),0)</f>
        <v>Junio</v>
      </c>
    </row>
    <row r="469" spans="2:29" ht="24" x14ac:dyDescent="0.3">
      <c r="B469" s="2">
        <f>IF(Caja_Arequipa[[#This Row],[TIPO DE R.]]="R",COUNTIFS($D$4:$D468,"R")+1,"")</f>
        <v>460</v>
      </c>
      <c r="C469" s="19" t="str">
        <f t="shared" si="36"/>
        <v>C-Tesoreria</v>
      </c>
      <c r="D469" s="3" t="s">
        <v>1074</v>
      </c>
      <c r="E469" s="14">
        <v>45826</v>
      </c>
      <c r="F469" s="5" t="s">
        <v>1996</v>
      </c>
      <c r="G469" s="5" t="s">
        <v>1079</v>
      </c>
      <c r="H469" s="3" t="s">
        <v>4712</v>
      </c>
      <c r="I469" s="6"/>
      <c r="J469" s="6"/>
      <c r="K469" s="6"/>
      <c r="L469" s="6"/>
      <c r="M469" s="7" t="s">
        <v>5091</v>
      </c>
      <c r="N469" s="8" t="str">
        <f>IF(Caja_Arequipa[[#This Row],[TIPO DE R.]]="R","001-"&amp;12002+B469,N468)</f>
        <v>001-12462</v>
      </c>
      <c r="O469" s="8" t="str">
        <f t="shared" si="40"/>
        <v>PEN</v>
      </c>
      <c r="P469" s="13"/>
      <c r="Q469" s="13">
        <v>42</v>
      </c>
      <c r="R469" s="3">
        <f t="shared" si="37"/>
        <v>0</v>
      </c>
      <c r="S469" s="3">
        <f t="shared" si="38"/>
        <v>42</v>
      </c>
      <c r="T469" s="3">
        <f t="shared" si="39"/>
        <v>767.69999999999891</v>
      </c>
      <c r="U469" s="24" t="s">
        <v>1081</v>
      </c>
      <c r="V469" s="24"/>
      <c r="W469" s="3"/>
      <c r="X469" s="3" t="s">
        <v>4712</v>
      </c>
      <c r="Y469" s="3" t="s">
        <v>5116</v>
      </c>
      <c r="Z469" s="3"/>
      <c r="AA469" s="3"/>
      <c r="AB469" s="3"/>
      <c r="AC469" s="3" t="str">
        <f>IF(Caja_Arequipa[[#This Row],[FECHA]]&gt;0,TEXT(Caja_Arequipa[[#This Row],[FECHA]],"mmmm"),0)</f>
        <v>Junio</v>
      </c>
    </row>
    <row r="470" spans="2:29" ht="24" x14ac:dyDescent="0.3">
      <c r="B470" s="2">
        <f>IF(Caja_Arequipa[[#This Row],[TIPO DE R.]]="R",COUNTIFS($D$4:$D469,"R")+1,"")</f>
        <v>461</v>
      </c>
      <c r="C470" s="19" t="str">
        <f t="shared" si="36"/>
        <v>C-Tesoreria</v>
      </c>
      <c r="D470" s="3" t="s">
        <v>1074</v>
      </c>
      <c r="E470" s="14">
        <v>45826</v>
      </c>
      <c r="F470" s="5" t="s">
        <v>1082</v>
      </c>
      <c r="G470" s="5" t="s">
        <v>1079</v>
      </c>
      <c r="H470" s="3" t="s">
        <v>4305</v>
      </c>
      <c r="I470" s="6"/>
      <c r="J470" s="6" t="s">
        <v>74</v>
      </c>
      <c r="K470" s="6">
        <v>1</v>
      </c>
      <c r="L470" s="6">
        <v>147</v>
      </c>
      <c r="M470" s="7" t="s">
        <v>5117</v>
      </c>
      <c r="N470" s="8" t="str">
        <f>IF(Caja_Arequipa[[#This Row],[TIPO DE R.]]="R","001-"&amp;12002+B470,N469)</f>
        <v>001-12463</v>
      </c>
      <c r="O470" s="8" t="str">
        <f t="shared" si="40"/>
        <v>PEN</v>
      </c>
      <c r="P470" s="13"/>
      <c r="Q470" s="13">
        <v>30</v>
      </c>
      <c r="R470" s="3">
        <f t="shared" si="37"/>
        <v>0</v>
      </c>
      <c r="S470" s="3">
        <f t="shared" si="38"/>
        <v>30</v>
      </c>
      <c r="T470" s="3">
        <f t="shared" si="39"/>
        <v>737.69999999999891</v>
      </c>
      <c r="U470" s="24"/>
      <c r="V470" s="24"/>
      <c r="W470" s="3"/>
      <c r="X470" s="3" t="s">
        <v>4305</v>
      </c>
      <c r="Y470" s="3" t="s">
        <v>5118</v>
      </c>
      <c r="Z470" s="3"/>
      <c r="AA470" s="3"/>
      <c r="AB470" s="3"/>
      <c r="AC470" s="3" t="str">
        <f>IF(Caja_Arequipa[[#This Row],[FECHA]]&gt;0,TEXT(Caja_Arequipa[[#This Row],[FECHA]],"mmmm"),0)</f>
        <v>Junio</v>
      </c>
    </row>
    <row r="471" spans="2:29" ht="24" x14ac:dyDescent="0.3">
      <c r="B471" s="2">
        <f>IF(Caja_Arequipa[[#This Row],[TIPO DE R.]]="R",COUNTIFS($D$4:$D470,"R")+1,"")</f>
        <v>462</v>
      </c>
      <c r="C471" s="19" t="str">
        <f t="shared" si="36"/>
        <v>C-Tesoreria</v>
      </c>
      <c r="D471" s="3" t="s">
        <v>1074</v>
      </c>
      <c r="E471" s="14">
        <v>45826</v>
      </c>
      <c r="F471" s="5" t="s">
        <v>1082</v>
      </c>
      <c r="G471" s="5" t="s">
        <v>1079</v>
      </c>
      <c r="H471" s="3" t="s">
        <v>4912</v>
      </c>
      <c r="I471" s="6"/>
      <c r="J471" s="6" t="s">
        <v>55</v>
      </c>
      <c r="K471" s="6">
        <v>3</v>
      </c>
      <c r="L471" s="6">
        <v>240</v>
      </c>
      <c r="M471" s="7" t="s">
        <v>5119</v>
      </c>
      <c r="N471" s="8" t="str">
        <f>IF(Caja_Arequipa[[#This Row],[TIPO DE R.]]="R","001-"&amp;12002+B471,N470)</f>
        <v>001-12464</v>
      </c>
      <c r="O471" s="8" t="str">
        <f t="shared" si="40"/>
        <v>PEN</v>
      </c>
      <c r="P471" s="13"/>
      <c r="Q471" s="13">
        <v>20</v>
      </c>
      <c r="R471" s="3">
        <f t="shared" si="37"/>
        <v>0</v>
      </c>
      <c r="S471" s="3">
        <f t="shared" si="38"/>
        <v>20</v>
      </c>
      <c r="T471" s="3">
        <f t="shared" si="39"/>
        <v>717.69999999999891</v>
      </c>
      <c r="U471" s="24"/>
      <c r="V471" s="24"/>
      <c r="W471" s="3"/>
      <c r="X471" s="3" t="s">
        <v>4912</v>
      </c>
      <c r="Y471" s="3" t="s">
        <v>5120</v>
      </c>
      <c r="Z471" s="3"/>
      <c r="AA471" s="3"/>
      <c r="AB471" s="3"/>
      <c r="AC471" s="3" t="str">
        <f>IF(Caja_Arequipa[[#This Row],[FECHA]]&gt;0,TEXT(Caja_Arequipa[[#This Row],[FECHA]],"mmmm"),0)</f>
        <v>Junio</v>
      </c>
    </row>
    <row r="472" spans="2:29" ht="24" x14ac:dyDescent="0.3">
      <c r="B472" s="2">
        <f>IF(Caja_Arequipa[[#This Row],[TIPO DE R.]]="R",COUNTIFS($D$4:$D471,"R")+1,"")</f>
        <v>463</v>
      </c>
      <c r="C472" s="19" t="str">
        <f t="shared" si="36"/>
        <v>C-Tesoreria</v>
      </c>
      <c r="D472" s="3" t="s">
        <v>1074</v>
      </c>
      <c r="E472" s="14">
        <v>45826</v>
      </c>
      <c r="F472" s="5" t="s">
        <v>1158</v>
      </c>
      <c r="G472" s="5" t="s">
        <v>1079</v>
      </c>
      <c r="H472" s="3" t="s">
        <v>4501</v>
      </c>
      <c r="I472" s="6"/>
      <c r="J472" s="6"/>
      <c r="K472" s="6"/>
      <c r="L472" s="6"/>
      <c r="M472" s="7" t="s">
        <v>5121</v>
      </c>
      <c r="N472" s="8" t="str">
        <f>IF(Caja_Arequipa[[#This Row],[TIPO DE R.]]="R","001-"&amp;12002+B472,N471)</f>
        <v>001-12465</v>
      </c>
      <c r="O472" s="8" t="str">
        <f t="shared" si="40"/>
        <v>PEN</v>
      </c>
      <c r="P472" s="13"/>
      <c r="Q472" s="13">
        <v>40</v>
      </c>
      <c r="R472" s="3">
        <f t="shared" si="37"/>
        <v>0</v>
      </c>
      <c r="S472" s="3">
        <f t="shared" si="38"/>
        <v>40</v>
      </c>
      <c r="T472" s="3">
        <f t="shared" si="39"/>
        <v>677.69999999999891</v>
      </c>
      <c r="U472" s="24" t="s">
        <v>1081</v>
      </c>
      <c r="V472" s="24"/>
      <c r="W472" s="3"/>
      <c r="X472" s="3" t="s">
        <v>4501</v>
      </c>
      <c r="Y472" s="3" t="s">
        <v>5122</v>
      </c>
      <c r="Z472" s="3"/>
      <c r="AA472" s="3"/>
      <c r="AB472" s="3"/>
      <c r="AC472" s="3" t="str">
        <f>IF(Caja_Arequipa[[#This Row],[FECHA]]&gt;0,TEXT(Caja_Arequipa[[#This Row],[FECHA]],"mmmm"),0)</f>
        <v>Junio</v>
      </c>
    </row>
    <row r="473" spans="2:29" x14ac:dyDescent="0.3">
      <c r="B473" s="53">
        <f>IF(Caja_Arequipa[[#This Row],[TIPO DE R.]]="R",COUNTIFS($D$4:$D472,"R")+1,"")</f>
        <v>464</v>
      </c>
      <c r="C473" s="19" t="str">
        <f t="shared" si="36"/>
        <v>C-Tesoreria</v>
      </c>
      <c r="D473" s="3" t="s">
        <v>1074</v>
      </c>
      <c r="E473" s="14">
        <v>45826</v>
      </c>
      <c r="F473" s="5" t="s">
        <v>1158</v>
      </c>
      <c r="G473" s="5" t="s">
        <v>1087</v>
      </c>
      <c r="H473" s="3" t="s">
        <v>3353</v>
      </c>
      <c r="I473" s="6"/>
      <c r="J473" s="6"/>
      <c r="K473" s="6"/>
      <c r="L473" s="6"/>
      <c r="M473" s="7" t="s">
        <v>4965</v>
      </c>
      <c r="N473" s="8" t="str">
        <f>IF(Caja_Arequipa[[#This Row],[TIPO DE R.]]="R","001-"&amp;12002+B473,N472)</f>
        <v>001-12466</v>
      </c>
      <c r="O473" s="8" t="str">
        <f t="shared" si="40"/>
        <v>PEN</v>
      </c>
      <c r="P473" s="13"/>
      <c r="Q473" s="13">
        <v>2460</v>
      </c>
      <c r="R473" s="3">
        <f t="shared" si="37"/>
        <v>2460</v>
      </c>
      <c r="S473" s="3">
        <f t="shared" si="38"/>
        <v>0</v>
      </c>
      <c r="T473" s="3">
        <f t="shared" si="39"/>
        <v>3137.6999999999989</v>
      </c>
      <c r="U473" s="24"/>
      <c r="V473" s="24"/>
      <c r="W473" s="3"/>
      <c r="X473" s="3" t="s">
        <v>3353</v>
      </c>
      <c r="Y473" s="3"/>
      <c r="Z473" s="3"/>
      <c r="AA473" s="3"/>
      <c r="AB473" s="3"/>
      <c r="AC473" s="3" t="str">
        <f>IF(Caja_Arequipa[[#This Row],[FECHA]]&gt;0,TEXT(Caja_Arequipa[[#This Row],[FECHA]],"mmmm"),0)</f>
        <v>Junio</v>
      </c>
    </row>
    <row r="474" spans="2:29" x14ac:dyDescent="0.3">
      <c r="B474" s="54">
        <f>IF(Caja_Arequipa[[#This Row],[TIPO DE R.]]="R",COUNTIFS($D$4:$D473,"R")+1,"")</f>
        <v>465</v>
      </c>
      <c r="C474" s="19" t="str">
        <f t="shared" si="36"/>
        <v>C-Tesoreria</v>
      </c>
      <c r="D474" s="3" t="s">
        <v>1074</v>
      </c>
      <c r="E474" s="14">
        <v>45827</v>
      </c>
      <c r="F474" s="5" t="s">
        <v>1158</v>
      </c>
      <c r="G474" s="5" t="s">
        <v>1079</v>
      </c>
      <c r="H474" s="3" t="s">
        <v>3353</v>
      </c>
      <c r="I474" s="6"/>
      <c r="J474" s="58"/>
      <c r="K474" s="6"/>
      <c r="L474" s="6"/>
      <c r="M474" s="7" t="s">
        <v>4486</v>
      </c>
      <c r="N474" s="8" t="str">
        <f>IF(Caja_Arequipa[[#This Row],[TIPO DE R.]]="R","001-"&amp;12002+B474,N473)</f>
        <v>001-12467</v>
      </c>
      <c r="O474" s="8" t="str">
        <f t="shared" si="40"/>
        <v>PEN</v>
      </c>
      <c r="P474" s="13"/>
      <c r="Q474" s="13">
        <v>2460</v>
      </c>
      <c r="R474" s="3">
        <f t="shared" si="37"/>
        <v>0</v>
      </c>
      <c r="S474" s="3">
        <f t="shared" si="38"/>
        <v>2460</v>
      </c>
      <c r="T474" s="3">
        <f t="shared" si="39"/>
        <v>677.69999999999891</v>
      </c>
      <c r="U474" s="24"/>
      <c r="V474" s="24"/>
      <c r="W474" s="3"/>
      <c r="X474" s="3" t="s">
        <v>3353</v>
      </c>
      <c r="Y474" s="3"/>
      <c r="Z474" s="3"/>
      <c r="AA474" s="3"/>
      <c r="AB474" s="3"/>
      <c r="AC474" s="3" t="str">
        <f>IF(Caja_Arequipa[[#This Row],[FECHA]]&gt;0,TEXT(Caja_Arequipa[[#This Row],[FECHA]],"mmmm"),0)</f>
        <v>Junio</v>
      </c>
    </row>
    <row r="475" spans="2:29" ht="24" x14ac:dyDescent="0.3">
      <c r="B475" s="54">
        <f>IF(Caja_Arequipa[[#This Row],[TIPO DE R.]]="R",COUNTIFS($D$4:$D474,"R")+1,"")</f>
        <v>466</v>
      </c>
      <c r="C475" s="19" t="str">
        <f t="shared" si="36"/>
        <v>C-Tesoreria</v>
      </c>
      <c r="D475" s="3" t="s">
        <v>1074</v>
      </c>
      <c r="E475" s="14">
        <v>45827</v>
      </c>
      <c r="F475" s="5" t="s">
        <v>1082</v>
      </c>
      <c r="G475" s="5" t="s">
        <v>1079</v>
      </c>
      <c r="H475" s="3" t="s">
        <v>4712</v>
      </c>
      <c r="I475" s="6" t="s">
        <v>878</v>
      </c>
      <c r="J475" s="55" t="s">
        <v>55</v>
      </c>
      <c r="K475" s="6">
        <v>3</v>
      </c>
      <c r="L475" s="6">
        <v>216</v>
      </c>
      <c r="M475" s="7" t="s">
        <v>5123</v>
      </c>
      <c r="N475" s="8" t="str">
        <f>IF(Caja_Arequipa[[#This Row],[TIPO DE R.]]="R","001-"&amp;12002+B475,N474)</f>
        <v>001-12468</v>
      </c>
      <c r="O475" s="8" t="str">
        <f t="shared" si="40"/>
        <v>PEN</v>
      </c>
      <c r="P475" s="13"/>
      <c r="Q475" s="13">
        <v>8</v>
      </c>
      <c r="R475" s="3">
        <f t="shared" si="37"/>
        <v>0</v>
      </c>
      <c r="S475" s="3">
        <f t="shared" si="38"/>
        <v>8</v>
      </c>
      <c r="T475" s="3">
        <f t="shared" si="39"/>
        <v>669.69999999999891</v>
      </c>
      <c r="U475" s="24" t="s">
        <v>1081</v>
      </c>
      <c r="V475" s="24"/>
      <c r="W475" s="3"/>
      <c r="X475" s="3" t="s">
        <v>4712</v>
      </c>
      <c r="Y475" s="3" t="s">
        <v>5124</v>
      </c>
      <c r="Z475" s="3"/>
      <c r="AA475" s="3"/>
      <c r="AB475" s="3"/>
      <c r="AC475" s="3" t="str">
        <f>IF(Caja_Arequipa[[#This Row],[FECHA]]&gt;0,TEXT(Caja_Arequipa[[#This Row],[FECHA]],"mmmm"),0)</f>
        <v>Junio</v>
      </c>
    </row>
    <row r="476" spans="2:29" ht="24" x14ac:dyDescent="0.3">
      <c r="B476" s="54">
        <f>IF(Caja_Arequipa[[#This Row],[TIPO DE R.]]="R",COUNTIFS($D$4:$D475,"R")+1,"")</f>
        <v>467</v>
      </c>
      <c r="C476" s="19" t="str">
        <f t="shared" si="36"/>
        <v>C-Tesoreria</v>
      </c>
      <c r="D476" s="3" t="s">
        <v>1074</v>
      </c>
      <c r="E476" s="14">
        <v>45828</v>
      </c>
      <c r="F476" s="5" t="s">
        <v>1082</v>
      </c>
      <c r="G476" s="5" t="s">
        <v>1079</v>
      </c>
      <c r="H476" s="3" t="s">
        <v>4712</v>
      </c>
      <c r="I476" s="6"/>
      <c r="J476" s="58"/>
      <c r="K476" s="6"/>
      <c r="L476" s="6"/>
      <c r="M476" s="7" t="s">
        <v>5091</v>
      </c>
      <c r="N476" s="8" t="str">
        <f>IF(Caja_Arequipa[[#This Row],[TIPO DE R.]]="R","001-"&amp;12002+B476,N475)</f>
        <v>001-12469</v>
      </c>
      <c r="O476" s="8" t="str">
        <f t="shared" si="40"/>
        <v>PEN</v>
      </c>
      <c r="P476" s="13"/>
      <c r="Q476" s="13">
        <v>28</v>
      </c>
      <c r="R476" s="3">
        <f t="shared" si="37"/>
        <v>0</v>
      </c>
      <c r="S476" s="3">
        <f t="shared" si="38"/>
        <v>28</v>
      </c>
      <c r="T476" s="3">
        <f t="shared" si="39"/>
        <v>641.69999999999891</v>
      </c>
      <c r="U476" s="24" t="s">
        <v>1081</v>
      </c>
      <c r="V476" s="24"/>
      <c r="W476" s="3"/>
      <c r="X476" s="3" t="s">
        <v>4712</v>
      </c>
      <c r="Y476" s="3" t="s">
        <v>5125</v>
      </c>
      <c r="Z476" s="3"/>
      <c r="AA476" s="3"/>
      <c r="AB476" s="3"/>
      <c r="AC476" s="3" t="str">
        <f>IF(Caja_Arequipa[[#This Row],[FECHA]]&gt;0,TEXT(Caja_Arequipa[[#This Row],[FECHA]],"mmmm"),0)</f>
        <v>Junio</v>
      </c>
    </row>
    <row r="477" spans="2:29" ht="36" x14ac:dyDescent="0.3">
      <c r="B477" s="54" t="str">
        <f>IF(Caja_Arequipa[[#This Row],[TIPO DE R.]]="R",COUNTIFS($D$4:$D476,"R")+1,"")</f>
        <v/>
      </c>
      <c r="C477" s="19" t="str">
        <f t="shared" si="36"/>
        <v>C-Tesoreria</v>
      </c>
      <c r="D477" s="3" t="s">
        <v>1101</v>
      </c>
      <c r="E477" s="14">
        <v>45828</v>
      </c>
      <c r="F477" s="5" t="s">
        <v>1082</v>
      </c>
      <c r="G477" s="5"/>
      <c r="H477" s="3"/>
      <c r="I477" s="6" t="s">
        <v>878</v>
      </c>
      <c r="J477" s="58" t="s">
        <v>55</v>
      </c>
      <c r="K477" s="6">
        <v>3</v>
      </c>
      <c r="L477" s="6">
        <v>217</v>
      </c>
      <c r="M477" s="7"/>
      <c r="N477" s="8" t="str">
        <f>IF(Caja_Arequipa[[#This Row],[TIPO DE R.]]="R","001-"&amp;12002+B477,N476)</f>
        <v>001-12469</v>
      </c>
      <c r="O477" s="8" t="str">
        <f>"PEN"</f>
        <v>PEN</v>
      </c>
      <c r="P477" s="13">
        <v>18</v>
      </c>
      <c r="Q477" s="13"/>
      <c r="R477" s="3">
        <f t="shared" si="37"/>
        <v>0</v>
      </c>
      <c r="S477" s="3">
        <f t="shared" si="38"/>
        <v>0</v>
      </c>
      <c r="T477" s="3">
        <f t="shared" si="39"/>
        <v>641.69999999999891</v>
      </c>
      <c r="U477" s="24"/>
      <c r="V477" s="24"/>
      <c r="W477" s="3"/>
      <c r="X477" s="3"/>
      <c r="Y477" s="3"/>
      <c r="Z477" s="3"/>
      <c r="AA477" s="3"/>
      <c r="AB477" s="3"/>
      <c r="AC477" s="3" t="str">
        <f>IF(Caja_Arequipa[[#This Row],[FECHA]]&gt;0,TEXT(Caja_Arequipa[[#This Row],[FECHA]],"mmmm"),0)</f>
        <v>Junio</v>
      </c>
    </row>
    <row r="478" spans="2:29" ht="36" x14ac:dyDescent="0.3">
      <c r="B478" s="54" t="str">
        <f>IF(Caja_Arequipa[[#This Row],[TIPO DE R.]]="R",COUNTIFS($D$4:$D477,"R")+1,"")</f>
        <v/>
      </c>
      <c r="C478" s="19" t="str">
        <f t="shared" si="36"/>
        <v>C-Tesoreria</v>
      </c>
      <c r="D478" s="3" t="s">
        <v>1101</v>
      </c>
      <c r="E478" s="14">
        <v>45828</v>
      </c>
      <c r="F478" s="5" t="s">
        <v>1082</v>
      </c>
      <c r="G478" s="5"/>
      <c r="H478" s="3"/>
      <c r="I478" s="6" t="s">
        <v>170</v>
      </c>
      <c r="J478" s="58" t="s">
        <v>14</v>
      </c>
      <c r="K478" s="6" t="s">
        <v>1148</v>
      </c>
      <c r="L478" s="6">
        <v>133154</v>
      </c>
      <c r="M478" s="7"/>
      <c r="N478" s="8" t="str">
        <f>IF(Caja_Arequipa[[#This Row],[TIPO DE R.]]="R","001-"&amp;12002+B478,N477)</f>
        <v>001-12469</v>
      </c>
      <c r="O478" s="8" t="str">
        <f>"PEN"</f>
        <v>PEN</v>
      </c>
      <c r="P478" s="13">
        <v>10</v>
      </c>
      <c r="Q478" s="13"/>
      <c r="R478" s="3">
        <f t="shared" si="37"/>
        <v>0</v>
      </c>
      <c r="S478" s="3">
        <f t="shared" si="38"/>
        <v>0</v>
      </c>
      <c r="T478" s="3">
        <f t="shared" si="39"/>
        <v>641.69999999999891</v>
      </c>
      <c r="U478" s="24"/>
      <c r="V478" s="24"/>
      <c r="W478" s="3"/>
      <c r="X478" s="3"/>
      <c r="Y478" s="3"/>
      <c r="Z478" s="3"/>
      <c r="AA478" s="3"/>
      <c r="AB478" s="3"/>
      <c r="AC478" s="3" t="str">
        <f>IF(Caja_Arequipa[[#This Row],[FECHA]]&gt;0,TEXT(Caja_Arequipa[[#This Row],[FECHA]],"mmmm"),0)</f>
        <v>Junio</v>
      </c>
    </row>
    <row r="479" spans="2:29" x14ac:dyDescent="0.3">
      <c r="B479" s="54">
        <f>IF(Caja_Arequipa[[#This Row],[TIPO DE R.]]="R",COUNTIFS($D$4:$D478,"R")+1,"")</f>
        <v>468</v>
      </c>
      <c r="C479" s="19" t="str">
        <f t="shared" si="36"/>
        <v>C-Tesoreria</v>
      </c>
      <c r="D479" s="3" t="s">
        <v>1074</v>
      </c>
      <c r="E479" s="14">
        <v>45828</v>
      </c>
      <c r="F479" s="5" t="s">
        <v>1082</v>
      </c>
      <c r="G479" s="5" t="s">
        <v>1079</v>
      </c>
      <c r="H479" s="3" t="s">
        <v>3532</v>
      </c>
      <c r="I479" s="6"/>
      <c r="J479" s="55" t="s">
        <v>55</v>
      </c>
      <c r="K479" s="6">
        <v>3</v>
      </c>
      <c r="L479" s="6">
        <v>220</v>
      </c>
      <c r="M479" s="7" t="s">
        <v>5126</v>
      </c>
      <c r="N479" s="8" t="str">
        <f>IF(Caja_Arequipa[[#This Row],[TIPO DE R.]]="R","001-"&amp;12002+B479,N478)</f>
        <v>001-12470</v>
      </c>
      <c r="O479" s="8" t="str">
        <f t="shared" si="40"/>
        <v>PEN</v>
      </c>
      <c r="P479" s="13"/>
      <c r="Q479" s="13">
        <v>30</v>
      </c>
      <c r="R479" s="3">
        <f t="shared" si="37"/>
        <v>0</v>
      </c>
      <c r="S479" s="3">
        <f t="shared" si="38"/>
        <v>30</v>
      </c>
      <c r="T479" s="3">
        <f t="shared" si="39"/>
        <v>611.69999999999891</v>
      </c>
      <c r="U479" s="24" t="s">
        <v>1081</v>
      </c>
      <c r="V479" s="24"/>
      <c r="W479" s="3"/>
      <c r="X479" s="3" t="s">
        <v>3532</v>
      </c>
      <c r="Y479" s="3" t="s">
        <v>5127</v>
      </c>
      <c r="Z479" s="3"/>
      <c r="AA479" s="3"/>
      <c r="AB479" s="3"/>
      <c r="AC479" s="3" t="str">
        <f>IF(Caja_Arequipa[[#This Row],[FECHA]]&gt;0,TEXT(Caja_Arequipa[[#This Row],[FECHA]],"mmmm"),0)</f>
        <v>Junio</v>
      </c>
    </row>
    <row r="480" spans="2:29" ht="24" x14ac:dyDescent="0.3">
      <c r="B480" s="54">
        <f>IF(Caja_Arequipa[[#This Row],[TIPO DE R.]]="R",COUNTIFS($D$4:$D479,"R")+1,"")</f>
        <v>469</v>
      </c>
      <c r="C480" s="19" t="str">
        <f t="shared" si="36"/>
        <v>C-Tesoreria</v>
      </c>
      <c r="D480" s="3" t="s">
        <v>1074</v>
      </c>
      <c r="E480" s="14">
        <v>45828</v>
      </c>
      <c r="F480" s="5" t="s">
        <v>1082</v>
      </c>
      <c r="G480" s="5" t="s">
        <v>1079</v>
      </c>
      <c r="H480" s="3" t="s">
        <v>4912</v>
      </c>
      <c r="I480" s="6"/>
      <c r="J480" s="58"/>
      <c r="K480" s="6"/>
      <c r="L480" s="6"/>
      <c r="M480" s="7" t="s">
        <v>5128</v>
      </c>
      <c r="N480" s="8" t="str">
        <f>IF(Caja_Arequipa[[#This Row],[TIPO DE R.]]="R","001-"&amp;12002+B480,N479)</f>
        <v>001-12471</v>
      </c>
      <c r="O480" s="8" t="str">
        <f t="shared" si="40"/>
        <v>PEN</v>
      </c>
      <c r="P480" s="13"/>
      <c r="Q480" s="13">
        <v>37</v>
      </c>
      <c r="R480" s="3">
        <f t="shared" si="37"/>
        <v>0</v>
      </c>
      <c r="S480" s="3">
        <f t="shared" si="38"/>
        <v>37</v>
      </c>
      <c r="T480" s="3">
        <f t="shared" si="39"/>
        <v>574.69999999999891</v>
      </c>
      <c r="U480" s="24"/>
      <c r="V480" s="24"/>
      <c r="W480" s="3"/>
      <c r="X480" s="3" t="s">
        <v>4912</v>
      </c>
      <c r="Y480" s="3" t="s">
        <v>5129</v>
      </c>
      <c r="Z480" s="3"/>
      <c r="AA480" s="3"/>
      <c r="AB480" s="3"/>
      <c r="AC480" s="3" t="str">
        <f>IF(Caja_Arequipa[[#This Row],[FECHA]]&gt;0,TEXT(Caja_Arequipa[[#This Row],[FECHA]],"mmmm"),0)</f>
        <v>Junio</v>
      </c>
    </row>
    <row r="481" spans="2:29" ht="24" x14ac:dyDescent="0.3">
      <c r="B481" s="54" t="str">
        <f>IF(Caja_Arequipa[[#This Row],[TIPO DE R.]]="R",COUNTIFS($D$4:$D480,"R")+1,"")</f>
        <v/>
      </c>
      <c r="C481" s="19" t="str">
        <f t="shared" si="36"/>
        <v>C-Tesoreria</v>
      </c>
      <c r="D481" s="3" t="s">
        <v>1101</v>
      </c>
      <c r="E481" s="14">
        <v>45828</v>
      </c>
      <c r="F481" s="5" t="s">
        <v>1082</v>
      </c>
      <c r="G481" s="5"/>
      <c r="H481" s="3"/>
      <c r="I481" s="6" t="s">
        <v>625</v>
      </c>
      <c r="J481" s="58" t="s">
        <v>14</v>
      </c>
      <c r="K481" s="6" t="s">
        <v>5130</v>
      </c>
      <c r="L481" s="6">
        <v>285896</v>
      </c>
      <c r="M481" s="7" t="s">
        <v>5128</v>
      </c>
      <c r="N481" s="8" t="str">
        <f>IF(Caja_Arequipa[[#This Row],[TIPO DE R.]]="R","001-"&amp;12002+B481,N480)</f>
        <v>001-12471</v>
      </c>
      <c r="O481" s="8" t="str">
        <f>"PEN"</f>
        <v>PEN</v>
      </c>
      <c r="P481" s="13">
        <v>22</v>
      </c>
      <c r="Q481" s="13"/>
      <c r="R481" s="3">
        <f t="shared" si="37"/>
        <v>0</v>
      </c>
      <c r="S481" s="3">
        <f t="shared" si="38"/>
        <v>0</v>
      </c>
      <c r="T481" s="3">
        <f t="shared" si="39"/>
        <v>574.69999999999891</v>
      </c>
      <c r="U481" s="24"/>
      <c r="V481" s="24"/>
      <c r="W481" s="3"/>
      <c r="X481" s="3"/>
      <c r="Y481" s="3"/>
      <c r="Z481" s="3"/>
      <c r="AA481" s="3"/>
      <c r="AB481" s="3"/>
      <c r="AC481" s="3" t="str">
        <f>IF(Caja_Arequipa[[#This Row],[FECHA]]&gt;0,TEXT(Caja_Arequipa[[#This Row],[FECHA]],"mmmm"),0)</f>
        <v>Junio</v>
      </c>
    </row>
    <row r="482" spans="2:29" ht="24" x14ac:dyDescent="0.3">
      <c r="B482" s="54" t="str">
        <f>IF(Caja_Arequipa[[#This Row],[TIPO DE R.]]="R",COUNTIFS($D$4:$D481,"R")+1,"")</f>
        <v/>
      </c>
      <c r="C482" s="19" t="str">
        <f t="shared" si="36"/>
        <v>C-Tesoreria</v>
      </c>
      <c r="D482" s="3" t="s">
        <v>1101</v>
      </c>
      <c r="E482" s="14">
        <v>45828</v>
      </c>
      <c r="F482" s="5" t="s">
        <v>1082</v>
      </c>
      <c r="G482" s="5"/>
      <c r="H482" s="3"/>
      <c r="I482" s="6" t="s">
        <v>908</v>
      </c>
      <c r="J482" s="58" t="s">
        <v>55</v>
      </c>
      <c r="K482" s="6">
        <v>3</v>
      </c>
      <c r="L482" s="6">
        <v>237</v>
      </c>
      <c r="M482" s="7" t="s">
        <v>5128</v>
      </c>
      <c r="N482" s="8" t="str">
        <f>IF(Caja_Arequipa[[#This Row],[TIPO DE R.]]="R","001-"&amp;12002+B482,N481)</f>
        <v>001-12471</v>
      </c>
      <c r="O482" s="8" t="str">
        <f>"PEN"</f>
        <v>PEN</v>
      </c>
      <c r="P482" s="13">
        <v>15</v>
      </c>
      <c r="Q482" s="13"/>
      <c r="R482" s="3">
        <f t="shared" si="37"/>
        <v>0</v>
      </c>
      <c r="S482" s="3">
        <f t="shared" si="38"/>
        <v>0</v>
      </c>
      <c r="T482" s="3">
        <f t="shared" si="39"/>
        <v>574.69999999999891</v>
      </c>
      <c r="U482" s="24"/>
      <c r="V482" s="24"/>
      <c r="W482" s="3"/>
      <c r="X482" s="3"/>
      <c r="Y482" s="3"/>
      <c r="Z482" s="3"/>
      <c r="AA482" s="3"/>
      <c r="AB482" s="3"/>
      <c r="AC482" s="3" t="str">
        <f>IF(Caja_Arequipa[[#This Row],[FECHA]]&gt;0,TEXT(Caja_Arequipa[[#This Row],[FECHA]],"mmmm"),0)</f>
        <v>Junio</v>
      </c>
    </row>
    <row r="483" spans="2:29" ht="24" x14ac:dyDescent="0.3">
      <c r="B483" s="54">
        <f>IF(Caja_Arequipa[[#This Row],[TIPO DE R.]]="R",COUNTIFS($D$4:$D482,"R")+1,"")</f>
        <v>470</v>
      </c>
      <c r="C483" s="19" t="str">
        <f t="shared" si="36"/>
        <v>C-Tesoreria</v>
      </c>
      <c r="D483" s="3" t="s">
        <v>1074</v>
      </c>
      <c r="E483" s="14">
        <v>45828</v>
      </c>
      <c r="F483" s="5" t="s">
        <v>1082</v>
      </c>
      <c r="G483" s="5" t="s">
        <v>1087</v>
      </c>
      <c r="H483" s="3" t="s">
        <v>4305</v>
      </c>
      <c r="I483" s="6"/>
      <c r="J483" s="56"/>
      <c r="K483" s="6"/>
      <c r="L483" s="6"/>
      <c r="M483" s="7" t="s">
        <v>5131</v>
      </c>
      <c r="N483" s="8" t="str">
        <f>IF(Caja_Arequipa[[#This Row],[TIPO DE R.]]="R","001-"&amp;12002+B483,N482)</f>
        <v>001-12472</v>
      </c>
      <c r="O483" s="8" t="str">
        <f t="shared" si="40"/>
        <v>PEN</v>
      </c>
      <c r="P483" s="13"/>
      <c r="Q483" s="13">
        <v>30</v>
      </c>
      <c r="R483" s="3">
        <f t="shared" si="37"/>
        <v>30</v>
      </c>
      <c r="S483" s="3">
        <f t="shared" si="38"/>
        <v>0</v>
      </c>
      <c r="T483" s="3">
        <f t="shared" si="39"/>
        <v>604.69999999999891</v>
      </c>
      <c r="U483" s="24"/>
      <c r="V483" s="24"/>
      <c r="W483" s="3"/>
      <c r="X483" s="3" t="s">
        <v>4305</v>
      </c>
      <c r="Y483" s="3" t="s">
        <v>5118</v>
      </c>
      <c r="Z483" s="3"/>
      <c r="AA483" s="3"/>
      <c r="AB483" s="3"/>
      <c r="AC483" s="3" t="str">
        <f>IF(Caja_Arequipa[[#This Row],[FECHA]]&gt;0,TEXT(Caja_Arequipa[[#This Row],[FECHA]],"mmmm"),0)</f>
        <v>Junio</v>
      </c>
    </row>
    <row r="484" spans="2:29" ht="24" x14ac:dyDescent="0.3">
      <c r="B484" s="54">
        <f>IF(Caja_Arequipa[[#This Row],[TIPO DE R.]]="R",COUNTIFS($D$4:$D483,"R")+1,"")</f>
        <v>471</v>
      </c>
      <c r="C484" s="19" t="str">
        <f t="shared" si="36"/>
        <v>C-Tesoreria</v>
      </c>
      <c r="D484" s="3" t="s">
        <v>1074</v>
      </c>
      <c r="E484" s="14">
        <v>45831</v>
      </c>
      <c r="F484" s="5" t="s">
        <v>1082</v>
      </c>
      <c r="G484" s="5" t="s">
        <v>1079</v>
      </c>
      <c r="H484" s="3" t="s">
        <v>3562</v>
      </c>
      <c r="I484" s="6"/>
      <c r="J484" s="55" t="s">
        <v>55</v>
      </c>
      <c r="K484" s="6">
        <v>3</v>
      </c>
      <c r="L484" s="6">
        <v>222</v>
      </c>
      <c r="M484" s="7" t="s">
        <v>5132</v>
      </c>
      <c r="N484" s="8" t="str">
        <f>IF(Caja_Arequipa[[#This Row],[TIPO DE R.]]="R","001-"&amp;12002+B484,N483)</f>
        <v>001-12473</v>
      </c>
      <c r="O484" s="8" t="str">
        <f t="shared" si="40"/>
        <v>PEN</v>
      </c>
      <c r="P484" s="13"/>
      <c r="Q484" s="13">
        <v>16</v>
      </c>
      <c r="R484" s="3">
        <f t="shared" si="37"/>
        <v>0</v>
      </c>
      <c r="S484" s="3">
        <f t="shared" si="38"/>
        <v>16</v>
      </c>
      <c r="T484" s="3">
        <f t="shared" si="39"/>
        <v>588.69999999999891</v>
      </c>
      <c r="U484" s="24" t="s">
        <v>1081</v>
      </c>
      <c r="V484" s="24"/>
      <c r="W484" s="3"/>
      <c r="X484" s="3" t="s">
        <v>3562</v>
      </c>
      <c r="Y484" s="3" t="s">
        <v>5133</v>
      </c>
      <c r="Z484" s="3"/>
      <c r="AA484" s="3"/>
      <c r="AB484" s="3"/>
      <c r="AC484" s="3" t="str">
        <f>IF(Caja_Arequipa[[#This Row],[FECHA]]&gt;0,TEXT(Caja_Arequipa[[#This Row],[FECHA]],"mmmm"),0)</f>
        <v>Junio</v>
      </c>
    </row>
    <row r="485" spans="2:29" x14ac:dyDescent="0.3">
      <c r="B485" s="54">
        <f>IF(Caja_Arequipa[[#This Row],[TIPO DE R.]]="R",COUNTIFS($D$4:$D484,"R")+1,"")</f>
        <v>472</v>
      </c>
      <c r="C485" s="19" t="str">
        <f t="shared" si="36"/>
        <v>C-Tesoreria</v>
      </c>
      <c r="D485" s="3" t="s">
        <v>1074</v>
      </c>
      <c r="E485" s="14">
        <v>45832</v>
      </c>
      <c r="F485" s="5" t="s">
        <v>1158</v>
      </c>
      <c r="G485" s="5" t="s">
        <v>1087</v>
      </c>
      <c r="H485" s="3" t="s">
        <v>3353</v>
      </c>
      <c r="I485" s="6"/>
      <c r="J485" s="56"/>
      <c r="K485" s="6"/>
      <c r="L485" s="6"/>
      <c r="M485" s="7" t="s">
        <v>3263</v>
      </c>
      <c r="N485" s="8" t="str">
        <f>IF(Caja_Arequipa[[#This Row],[TIPO DE R.]]="R","001-"&amp;12002+B485,N484)</f>
        <v>001-12474</v>
      </c>
      <c r="O485" s="8" t="str">
        <f t="shared" si="40"/>
        <v>PEN</v>
      </c>
      <c r="P485" s="13"/>
      <c r="Q485" s="13">
        <v>1816.5</v>
      </c>
      <c r="R485" s="3">
        <f t="shared" si="37"/>
        <v>1816.5</v>
      </c>
      <c r="S485" s="3">
        <f t="shared" si="38"/>
        <v>0</v>
      </c>
      <c r="T485" s="3">
        <f t="shared" si="39"/>
        <v>2405.1999999999989</v>
      </c>
      <c r="U485" s="24"/>
      <c r="V485" s="24"/>
      <c r="W485" s="3"/>
      <c r="X485" s="3" t="s">
        <v>3353</v>
      </c>
      <c r="Y485" s="3"/>
      <c r="Z485" s="3"/>
      <c r="AA485" s="3"/>
      <c r="AB485" s="3"/>
      <c r="AC485" s="3" t="str">
        <f>IF(Caja_Arequipa[[#This Row],[FECHA]]&gt;0,TEXT(Caja_Arequipa[[#This Row],[FECHA]],"mmmm"),0)</f>
        <v>Junio</v>
      </c>
    </row>
    <row r="486" spans="2:29" x14ac:dyDescent="0.3">
      <c r="B486" s="54">
        <f>IF(Caja_Arequipa[[#This Row],[TIPO DE R.]]="R",COUNTIFS($D$4:$D485,"R")+1,"")</f>
        <v>473</v>
      </c>
      <c r="C486" s="19" t="str">
        <f t="shared" si="36"/>
        <v>C-Tesoreria</v>
      </c>
      <c r="D486" s="3" t="s">
        <v>1074</v>
      </c>
      <c r="E486" s="14">
        <v>45832</v>
      </c>
      <c r="F486" s="5" t="s">
        <v>1082</v>
      </c>
      <c r="G486" s="5" t="s">
        <v>1079</v>
      </c>
      <c r="H486" s="3" t="s">
        <v>3532</v>
      </c>
      <c r="I486" s="6"/>
      <c r="J486" s="55" t="s">
        <v>55</v>
      </c>
      <c r="K486" s="6">
        <v>3</v>
      </c>
      <c r="L486" s="6">
        <v>221</v>
      </c>
      <c r="M486" s="7" t="s">
        <v>5134</v>
      </c>
      <c r="N486" s="8" t="str">
        <f>IF(Caja_Arequipa[[#This Row],[TIPO DE R.]]="R","001-"&amp;12002+B486,N485)</f>
        <v>001-12475</v>
      </c>
      <c r="O486" s="8" t="str">
        <f t="shared" si="40"/>
        <v>PEN</v>
      </c>
      <c r="P486" s="13"/>
      <c r="Q486" s="13">
        <v>35</v>
      </c>
      <c r="R486" s="3">
        <f t="shared" si="37"/>
        <v>0</v>
      </c>
      <c r="S486" s="3">
        <f t="shared" si="38"/>
        <v>35</v>
      </c>
      <c r="T486" s="3">
        <f t="shared" si="39"/>
        <v>2370.1999999999989</v>
      </c>
      <c r="U486" s="24" t="s">
        <v>1081</v>
      </c>
      <c r="V486" s="24"/>
      <c r="W486" s="3"/>
      <c r="X486" s="3" t="s">
        <v>3532</v>
      </c>
      <c r="Y486" s="3" t="s">
        <v>5135</v>
      </c>
      <c r="Z486" s="3"/>
      <c r="AA486" s="3"/>
      <c r="AB486" s="3"/>
      <c r="AC486" s="3" t="str">
        <f>IF(Caja_Arequipa[[#This Row],[FECHA]]&gt;0,TEXT(Caja_Arequipa[[#This Row],[FECHA]],"mmmm"),0)</f>
        <v>Junio</v>
      </c>
    </row>
    <row r="487" spans="2:29" ht="24" x14ac:dyDescent="0.3">
      <c r="B487" s="54">
        <f>IF(Caja_Arequipa[[#This Row],[TIPO DE R.]]="R",COUNTIFS($D$4:$D486,"R")+1,"")</f>
        <v>474</v>
      </c>
      <c r="C487" s="19" t="str">
        <f t="shared" si="36"/>
        <v>C-Tesoreria</v>
      </c>
      <c r="D487" s="3" t="s">
        <v>1074</v>
      </c>
      <c r="E487" s="14">
        <v>45832</v>
      </c>
      <c r="F487" s="5" t="s">
        <v>1082</v>
      </c>
      <c r="G487" s="5" t="s">
        <v>1079</v>
      </c>
      <c r="H487" s="3" t="s">
        <v>4329</v>
      </c>
      <c r="I487" s="6"/>
      <c r="J487" s="58"/>
      <c r="K487" s="6"/>
      <c r="L487" s="6"/>
      <c r="M487" s="7" t="s">
        <v>5091</v>
      </c>
      <c r="N487" s="8" t="str">
        <f>IF(Caja_Arequipa[[#This Row],[TIPO DE R.]]="R","001-"&amp;12002+B487,N486)</f>
        <v>001-12476</v>
      </c>
      <c r="O487" s="8" t="str">
        <f t="shared" si="40"/>
        <v>PEN</v>
      </c>
      <c r="P487" s="13"/>
      <c r="Q487" s="13">
        <v>64</v>
      </c>
      <c r="R487" s="3">
        <f t="shared" si="37"/>
        <v>0</v>
      </c>
      <c r="S487" s="3">
        <f t="shared" si="38"/>
        <v>64</v>
      </c>
      <c r="T487" s="3">
        <f t="shared" si="39"/>
        <v>2306.1999999999989</v>
      </c>
      <c r="U487" s="24" t="s">
        <v>1081</v>
      </c>
      <c r="V487" s="24"/>
      <c r="W487" s="3"/>
      <c r="X487" s="3" t="s">
        <v>4329</v>
      </c>
      <c r="Y487" s="3" t="s">
        <v>5136</v>
      </c>
      <c r="Z487" s="3"/>
      <c r="AA487" s="3"/>
      <c r="AB487" s="3"/>
      <c r="AC487" s="3" t="str">
        <f>IF(Caja_Arequipa[[#This Row],[FECHA]]&gt;0,TEXT(Caja_Arequipa[[#This Row],[FECHA]],"mmmm"),0)</f>
        <v>Junio</v>
      </c>
    </row>
    <row r="488" spans="2:29" ht="24" x14ac:dyDescent="0.3">
      <c r="B488" s="54" t="str">
        <f>IF(Caja_Arequipa[[#This Row],[TIPO DE R.]]="R",COUNTIFS($D$4:$D487,"R")+1,"")</f>
        <v/>
      </c>
      <c r="C488" s="19" t="str">
        <f t="shared" si="36"/>
        <v>C-Tesoreria</v>
      </c>
      <c r="D488" s="3" t="s">
        <v>1101</v>
      </c>
      <c r="E488" s="14">
        <v>45832</v>
      </c>
      <c r="F488" s="5" t="s">
        <v>1082</v>
      </c>
      <c r="G488" s="5"/>
      <c r="H488" s="3"/>
      <c r="I488" s="6" t="s">
        <v>823</v>
      </c>
      <c r="J488" s="58" t="s">
        <v>55</v>
      </c>
      <c r="K488" s="6">
        <v>3</v>
      </c>
      <c r="L488" s="6">
        <v>218</v>
      </c>
      <c r="M488" s="7"/>
      <c r="N488" s="8" t="str">
        <f>IF(Caja_Arequipa[[#This Row],[TIPO DE R.]]="R","001-"&amp;12002+B488,N487)</f>
        <v>001-12476</v>
      </c>
      <c r="O488" s="8" t="str">
        <f>"PEN"</f>
        <v>PEN</v>
      </c>
      <c r="P488" s="13">
        <v>30</v>
      </c>
      <c r="Q488" s="13"/>
      <c r="R488" s="3">
        <f t="shared" si="37"/>
        <v>0</v>
      </c>
      <c r="S488" s="3">
        <f t="shared" si="38"/>
        <v>0</v>
      </c>
      <c r="T488" s="3">
        <f t="shared" si="39"/>
        <v>2306.1999999999989</v>
      </c>
      <c r="U488" s="24"/>
      <c r="V488" s="24"/>
      <c r="W488" s="3"/>
      <c r="X488" s="3"/>
      <c r="Y488" s="3"/>
      <c r="Z488" s="3"/>
      <c r="AA488" s="3"/>
      <c r="AB488" s="3"/>
      <c r="AC488" s="3" t="str">
        <f>IF(Caja_Arequipa[[#This Row],[FECHA]]&gt;0,TEXT(Caja_Arequipa[[#This Row],[FECHA]],"mmmm"),0)</f>
        <v>Junio</v>
      </c>
    </row>
    <row r="489" spans="2:29" ht="24" x14ac:dyDescent="0.3">
      <c r="B489" s="54" t="str">
        <f>IF(Caja_Arequipa[[#This Row],[TIPO DE R.]]="R",COUNTIFS($D$4:$D488,"R")+1,"")</f>
        <v/>
      </c>
      <c r="C489" s="19" t="str">
        <f t="shared" si="36"/>
        <v>C-Tesoreria</v>
      </c>
      <c r="D489" s="3" t="s">
        <v>1101</v>
      </c>
      <c r="E489" s="14">
        <v>45832</v>
      </c>
      <c r="F489" s="5" t="s">
        <v>1082</v>
      </c>
      <c r="G489" s="5"/>
      <c r="H489" s="3"/>
      <c r="I489" s="6" t="s">
        <v>915</v>
      </c>
      <c r="J489" s="58" t="s">
        <v>14</v>
      </c>
      <c r="K489" s="6" t="s">
        <v>5137</v>
      </c>
      <c r="L489" s="6">
        <v>5189</v>
      </c>
      <c r="M489" s="7"/>
      <c r="N489" s="8" t="str">
        <f>IF(Caja_Arequipa[[#This Row],[TIPO DE R.]]="R","001-"&amp;12002+B489,N488)</f>
        <v>001-12476</v>
      </c>
      <c r="O489" s="8" t="str">
        <f>"PEN"</f>
        <v>PEN</v>
      </c>
      <c r="P489" s="13">
        <v>34</v>
      </c>
      <c r="Q489" s="13"/>
      <c r="R489" s="3">
        <f t="shared" si="37"/>
        <v>0</v>
      </c>
      <c r="S489" s="3">
        <f t="shared" si="38"/>
        <v>0</v>
      </c>
      <c r="T489" s="3">
        <f t="shared" si="39"/>
        <v>2306.1999999999989</v>
      </c>
      <c r="U489" s="24"/>
      <c r="V489" s="24"/>
      <c r="W489" s="3"/>
      <c r="X489" s="3"/>
      <c r="Y489" s="3"/>
      <c r="Z489" s="3"/>
      <c r="AA489" s="3"/>
      <c r="AB489" s="3"/>
      <c r="AC489" s="3" t="str">
        <f>IF(Caja_Arequipa[[#This Row],[FECHA]]&gt;0,TEXT(Caja_Arequipa[[#This Row],[FECHA]],"mmmm"),0)</f>
        <v>Junio</v>
      </c>
    </row>
    <row r="490" spans="2:29" ht="24" x14ac:dyDescent="0.3">
      <c r="B490" s="54">
        <f>IF(Caja_Arequipa[[#This Row],[TIPO DE R.]]="R",COUNTIFS($D$4:$D489,"R")+1,"")</f>
        <v>475</v>
      </c>
      <c r="C490" s="19" t="str">
        <f t="shared" si="36"/>
        <v>C-Tesoreria</v>
      </c>
      <c r="D490" s="3" t="s">
        <v>1074</v>
      </c>
      <c r="E490" s="14">
        <v>45833</v>
      </c>
      <c r="F490" s="5" t="s">
        <v>1082</v>
      </c>
      <c r="G490" s="5" t="s">
        <v>1079</v>
      </c>
      <c r="H490" s="3" t="s">
        <v>4433</v>
      </c>
      <c r="I490" s="6"/>
      <c r="J490" s="58"/>
      <c r="K490" s="6"/>
      <c r="L490" s="6"/>
      <c r="M490" s="7" t="s">
        <v>5091</v>
      </c>
      <c r="N490" s="8" t="str">
        <f>IF(Caja_Arequipa[[#This Row],[TIPO DE R.]]="R","001-"&amp;12002+B490,N489)</f>
        <v>001-12477</v>
      </c>
      <c r="O490" s="8" t="str">
        <f t="shared" si="40"/>
        <v>PEN</v>
      </c>
      <c r="P490" s="13"/>
      <c r="Q490" s="13">
        <v>273</v>
      </c>
      <c r="R490" s="3">
        <f t="shared" si="37"/>
        <v>0</v>
      </c>
      <c r="S490" s="3">
        <f t="shared" si="38"/>
        <v>273</v>
      </c>
      <c r="T490" s="3">
        <f t="shared" si="39"/>
        <v>2033.1999999999989</v>
      </c>
      <c r="U490" s="24" t="s">
        <v>1081</v>
      </c>
      <c r="V490" s="24"/>
      <c r="W490" s="3"/>
      <c r="X490" s="3" t="s">
        <v>4433</v>
      </c>
      <c r="Y490" s="3" t="s">
        <v>5138</v>
      </c>
      <c r="Z490" s="3"/>
      <c r="AA490" s="3"/>
      <c r="AB490" s="3"/>
      <c r="AC490" s="3" t="str">
        <f>IF(Caja_Arequipa[[#This Row],[FECHA]]&gt;0,TEXT(Caja_Arequipa[[#This Row],[FECHA]],"mmmm"),0)</f>
        <v>Junio</v>
      </c>
    </row>
    <row r="491" spans="2:29" ht="24" x14ac:dyDescent="0.3">
      <c r="B491" s="54" t="str">
        <f>IF(Caja_Arequipa[[#This Row],[TIPO DE R.]]="R",COUNTIFS($D$4:$D490,"R")+1,"")</f>
        <v/>
      </c>
      <c r="C491" s="19" t="str">
        <f t="shared" si="36"/>
        <v>C-Tesoreria</v>
      </c>
      <c r="D491" s="3" t="s">
        <v>1101</v>
      </c>
      <c r="E491" s="14">
        <v>45833</v>
      </c>
      <c r="F491" s="5" t="s">
        <v>1082</v>
      </c>
      <c r="G491" s="5"/>
      <c r="H491" s="3"/>
      <c r="I491" s="6" t="s">
        <v>540</v>
      </c>
      <c r="J491" s="58" t="s">
        <v>14</v>
      </c>
      <c r="K491" s="6" t="s">
        <v>1121</v>
      </c>
      <c r="L491" s="6">
        <v>306</v>
      </c>
      <c r="M491" s="7"/>
      <c r="N491" s="8" t="str">
        <f>IF(Caja_Arequipa[[#This Row],[TIPO DE R.]]="R","001-"&amp;12002+B491,N490)</f>
        <v>001-12477</v>
      </c>
      <c r="O491" s="8" t="str">
        <f>"PEN"</f>
        <v>PEN</v>
      </c>
      <c r="P491" s="13">
        <v>220</v>
      </c>
      <c r="Q491" s="13"/>
      <c r="R491" s="3">
        <f t="shared" si="37"/>
        <v>0</v>
      </c>
      <c r="S491" s="3">
        <f t="shared" si="38"/>
        <v>0</v>
      </c>
      <c r="T491" s="3">
        <f t="shared" si="39"/>
        <v>2033.1999999999989</v>
      </c>
      <c r="U491" s="24"/>
      <c r="V491" s="24"/>
      <c r="W491" s="3"/>
      <c r="X491" s="3"/>
      <c r="Y491" s="3"/>
      <c r="Z491" s="3"/>
      <c r="AA491" s="3"/>
      <c r="AB491" s="3"/>
      <c r="AC491" s="3" t="str">
        <f>IF(Caja_Arequipa[[#This Row],[FECHA]]&gt;0,TEXT(Caja_Arequipa[[#This Row],[FECHA]],"mmmm"),0)</f>
        <v>Junio</v>
      </c>
    </row>
    <row r="492" spans="2:29" ht="24" x14ac:dyDescent="0.3">
      <c r="B492" s="54" t="str">
        <f>IF(Caja_Arequipa[[#This Row],[TIPO DE R.]]="R",COUNTIFS($D$4:$D491,"R")+1,"")</f>
        <v/>
      </c>
      <c r="C492" s="19" t="str">
        <f t="shared" si="36"/>
        <v>C-Tesoreria</v>
      </c>
      <c r="D492" s="3" t="s">
        <v>1101</v>
      </c>
      <c r="E492" s="14">
        <v>45833</v>
      </c>
      <c r="F492" s="5" t="s">
        <v>1082</v>
      </c>
      <c r="G492" s="5"/>
      <c r="H492" s="3"/>
      <c r="I492" s="6" t="s">
        <v>932</v>
      </c>
      <c r="J492" s="58" t="s">
        <v>14</v>
      </c>
      <c r="K492" s="6" t="s">
        <v>1121</v>
      </c>
      <c r="L492" s="6">
        <v>921</v>
      </c>
      <c r="M492" s="7"/>
      <c r="N492" s="8" t="str">
        <f>IF(Caja_Arequipa[[#This Row],[TIPO DE R.]]="R","001-"&amp;12002+B492,N491)</f>
        <v>001-12477</v>
      </c>
      <c r="O492" s="8" t="str">
        <f>"PEN"</f>
        <v>PEN</v>
      </c>
      <c r="P492" s="13">
        <v>35</v>
      </c>
      <c r="Q492" s="13"/>
      <c r="R492" s="3">
        <f t="shared" si="37"/>
        <v>0</v>
      </c>
      <c r="S492" s="3">
        <f t="shared" si="38"/>
        <v>0</v>
      </c>
      <c r="T492" s="3">
        <f t="shared" si="39"/>
        <v>2033.1999999999989</v>
      </c>
      <c r="U492" s="24"/>
      <c r="V492" s="24"/>
      <c r="W492" s="59">
        <v>10305624930</v>
      </c>
      <c r="X492" s="3"/>
      <c r="Y492" s="3"/>
      <c r="Z492" s="3"/>
      <c r="AA492" s="3"/>
      <c r="AB492" s="3"/>
      <c r="AC492" s="3" t="str">
        <f>IF(Caja_Arequipa[[#This Row],[FECHA]]&gt;0,TEXT(Caja_Arequipa[[#This Row],[FECHA]],"mmmm"),0)</f>
        <v>Junio</v>
      </c>
    </row>
    <row r="493" spans="2:29" ht="24" x14ac:dyDescent="0.3">
      <c r="B493" s="54" t="str">
        <f>IF(Caja_Arequipa[[#This Row],[TIPO DE R.]]="R",COUNTIFS($D$4:$D492,"R")+1,"")</f>
        <v/>
      </c>
      <c r="C493" s="19" t="str">
        <f t="shared" si="36"/>
        <v>C-Tesoreria</v>
      </c>
      <c r="D493" s="3" t="s">
        <v>1101</v>
      </c>
      <c r="E493" s="14">
        <v>45833</v>
      </c>
      <c r="F493" s="5" t="s">
        <v>1082</v>
      </c>
      <c r="G493" s="5"/>
      <c r="H493" s="3"/>
      <c r="I493" s="6" t="s">
        <v>933</v>
      </c>
      <c r="J493" s="58" t="s">
        <v>14</v>
      </c>
      <c r="K493" s="6" t="s">
        <v>1119</v>
      </c>
      <c r="L493" s="6">
        <v>70114</v>
      </c>
      <c r="M493" s="7"/>
      <c r="N493" s="8" t="str">
        <f>IF(Caja_Arequipa[[#This Row],[TIPO DE R.]]="R","001-"&amp;12002+B493,N492)</f>
        <v>001-12477</v>
      </c>
      <c r="O493" s="8" t="str">
        <f>"PEN"</f>
        <v>PEN</v>
      </c>
      <c r="P493" s="13">
        <v>18</v>
      </c>
      <c r="Q493" s="13"/>
      <c r="R493" s="3">
        <f t="shared" si="37"/>
        <v>0</v>
      </c>
      <c r="S493" s="3">
        <f t="shared" si="38"/>
        <v>0</v>
      </c>
      <c r="T493" s="3">
        <f t="shared" si="39"/>
        <v>2033.1999999999989</v>
      </c>
      <c r="U493" s="24"/>
      <c r="V493" s="24"/>
      <c r="W493" s="59">
        <v>20497914885</v>
      </c>
      <c r="X493" s="3"/>
      <c r="Y493" s="3"/>
      <c r="Z493" s="3"/>
      <c r="AA493" s="3"/>
      <c r="AB493" s="3"/>
      <c r="AC493" s="3" t="str">
        <f>IF(Caja_Arequipa[[#This Row],[FECHA]]&gt;0,TEXT(Caja_Arequipa[[#This Row],[FECHA]],"mmmm"),0)</f>
        <v>Junio</v>
      </c>
    </row>
    <row r="494" spans="2:29" ht="24" x14ac:dyDescent="0.3">
      <c r="B494" s="54">
        <f>IF(Caja_Arequipa[[#This Row],[TIPO DE R.]]="R",COUNTIFS($D$4:$D493,"R")+1,"")</f>
        <v>476</v>
      </c>
      <c r="C494" s="19" t="str">
        <f t="shared" si="36"/>
        <v>C-Tesoreria</v>
      </c>
      <c r="D494" s="3" t="s">
        <v>1074</v>
      </c>
      <c r="E494" s="14">
        <v>45833</v>
      </c>
      <c r="F494" s="5" t="s">
        <v>1082</v>
      </c>
      <c r="G494" s="5" t="s">
        <v>1079</v>
      </c>
      <c r="H494" s="3" t="s">
        <v>4433</v>
      </c>
      <c r="I494" s="6" t="s">
        <v>863</v>
      </c>
      <c r="J494" s="55" t="s">
        <v>55</v>
      </c>
      <c r="K494" s="6">
        <v>3</v>
      </c>
      <c r="L494" s="6">
        <v>224</v>
      </c>
      <c r="M494" s="7" t="s">
        <v>5139</v>
      </c>
      <c r="N494" s="8" t="str">
        <f>IF(Caja_Arequipa[[#This Row],[TIPO DE R.]]="R","001-"&amp;12002+B494,N493)</f>
        <v>001-12478</v>
      </c>
      <c r="O494" s="8" t="str">
        <f t="shared" si="40"/>
        <v>PEN</v>
      </c>
      <c r="P494" s="13"/>
      <c r="Q494" s="13">
        <v>7</v>
      </c>
      <c r="R494" s="3">
        <f t="shared" si="37"/>
        <v>0</v>
      </c>
      <c r="S494" s="3">
        <f t="shared" si="38"/>
        <v>7</v>
      </c>
      <c r="T494" s="3">
        <f t="shared" si="39"/>
        <v>2026.1999999999989</v>
      </c>
      <c r="U494" s="24" t="s">
        <v>1081</v>
      </c>
      <c r="V494" s="24"/>
      <c r="W494" s="3"/>
      <c r="X494" s="3" t="s">
        <v>4433</v>
      </c>
      <c r="Y494" s="3" t="s">
        <v>5140</v>
      </c>
      <c r="Z494" s="3"/>
      <c r="AA494" s="3"/>
      <c r="AB494" s="3"/>
      <c r="AC494" s="3" t="str">
        <f>IF(Caja_Arequipa[[#This Row],[FECHA]]&gt;0,TEXT(Caja_Arequipa[[#This Row],[FECHA]],"mmmm"),0)</f>
        <v>Junio</v>
      </c>
    </row>
    <row r="495" spans="2:29" ht="24" x14ac:dyDescent="0.3">
      <c r="B495" s="54">
        <f>IF(Caja_Arequipa[[#This Row],[TIPO DE R.]]="R",COUNTIFS($D$4:$D494,"R")+1,"")</f>
        <v>477</v>
      </c>
      <c r="C495" s="19" t="str">
        <f t="shared" si="36"/>
        <v>C-Tesoreria</v>
      </c>
      <c r="D495" s="3" t="s">
        <v>1074</v>
      </c>
      <c r="E495" s="14">
        <v>45833</v>
      </c>
      <c r="F495" s="5" t="s">
        <v>1082</v>
      </c>
      <c r="G495" s="5" t="s">
        <v>1079</v>
      </c>
      <c r="H495" s="3" t="s">
        <v>4334</v>
      </c>
      <c r="I495" s="6"/>
      <c r="J495" s="58"/>
      <c r="K495" s="6"/>
      <c r="L495" s="6"/>
      <c r="M495" s="7" t="s">
        <v>5091</v>
      </c>
      <c r="N495" s="8" t="str">
        <f>IF(Caja_Arequipa[[#This Row],[TIPO DE R.]]="R","001-"&amp;12002+B495,N494)</f>
        <v>001-12479</v>
      </c>
      <c r="O495" s="8" t="str">
        <f t="shared" si="40"/>
        <v>PEN</v>
      </c>
      <c r="P495" s="13"/>
      <c r="Q495" s="13">
        <v>61</v>
      </c>
      <c r="R495" s="3">
        <f t="shared" si="37"/>
        <v>0</v>
      </c>
      <c r="S495" s="3">
        <f t="shared" si="38"/>
        <v>61</v>
      </c>
      <c r="T495" s="3">
        <f t="shared" si="39"/>
        <v>1965.1999999999989</v>
      </c>
      <c r="U495" s="24" t="s">
        <v>1081</v>
      </c>
      <c r="V495" s="24"/>
      <c r="W495" s="3"/>
      <c r="X495" s="3" t="s">
        <v>4334</v>
      </c>
      <c r="Y495" s="3" t="s">
        <v>5141</v>
      </c>
      <c r="Z495" s="3"/>
      <c r="AA495" s="3"/>
      <c r="AB495" s="3"/>
      <c r="AC495" s="3" t="str">
        <f>IF(Caja_Arequipa[[#This Row],[FECHA]]&gt;0,TEXT(Caja_Arequipa[[#This Row],[FECHA]],"mmmm"),0)</f>
        <v>Junio</v>
      </c>
    </row>
    <row r="496" spans="2:29" ht="24" x14ac:dyDescent="0.3">
      <c r="B496" s="54" t="str">
        <f>IF(Caja_Arequipa[[#This Row],[TIPO DE R.]]="R",COUNTIFS($D$4:$D495,"R")+1,"")</f>
        <v/>
      </c>
      <c r="C496" s="19" t="str">
        <f t="shared" si="36"/>
        <v>C-Tesoreria</v>
      </c>
      <c r="D496" s="3" t="s">
        <v>1101</v>
      </c>
      <c r="E496" s="14">
        <v>45833</v>
      </c>
      <c r="F496" s="5" t="s">
        <v>1082</v>
      </c>
      <c r="G496" s="5"/>
      <c r="H496" s="3"/>
      <c r="I496" s="6" t="s">
        <v>915</v>
      </c>
      <c r="J496" s="58" t="s">
        <v>14</v>
      </c>
      <c r="K496" s="6" t="s">
        <v>5142</v>
      </c>
      <c r="L496" s="6">
        <v>13862</v>
      </c>
      <c r="M496" s="7"/>
      <c r="N496" s="8" t="str">
        <f>IF(Caja_Arequipa[[#This Row],[TIPO DE R.]]="R","001-"&amp;12002+B496,N495)</f>
        <v>001-12479</v>
      </c>
      <c r="O496" s="8" t="str">
        <f>"PEN"</f>
        <v>PEN</v>
      </c>
      <c r="P496" s="13">
        <v>22</v>
      </c>
      <c r="Q496" s="13"/>
      <c r="R496" s="3">
        <f t="shared" si="37"/>
        <v>0</v>
      </c>
      <c r="S496" s="3">
        <f t="shared" si="38"/>
        <v>0</v>
      </c>
      <c r="T496" s="3">
        <f t="shared" si="39"/>
        <v>1965.1999999999989</v>
      </c>
      <c r="U496" s="24"/>
      <c r="V496" s="24"/>
      <c r="W496" s="3"/>
      <c r="X496" s="3"/>
      <c r="Y496" s="3"/>
      <c r="Z496" s="3"/>
      <c r="AA496" s="3"/>
      <c r="AB496" s="3"/>
      <c r="AC496" s="3" t="str">
        <f>IF(Caja_Arequipa[[#This Row],[FECHA]]&gt;0,TEXT(Caja_Arequipa[[#This Row],[FECHA]],"mmmm"),0)</f>
        <v>Junio</v>
      </c>
    </row>
    <row r="497" spans="2:29" ht="24" x14ac:dyDescent="0.3">
      <c r="B497" s="54" t="str">
        <f>IF(Caja_Arequipa[[#This Row],[TIPO DE R.]]="R",COUNTIFS($D$4:$D496,"R")+1,"")</f>
        <v/>
      </c>
      <c r="C497" s="19" t="str">
        <f t="shared" si="36"/>
        <v>C-Tesoreria</v>
      </c>
      <c r="D497" s="3" t="s">
        <v>1101</v>
      </c>
      <c r="E497" s="14">
        <v>45833</v>
      </c>
      <c r="F497" s="5" t="s">
        <v>1082</v>
      </c>
      <c r="G497" s="5"/>
      <c r="H497" s="3"/>
      <c r="I497" s="6" t="s">
        <v>874</v>
      </c>
      <c r="J497" s="58" t="s">
        <v>55</v>
      </c>
      <c r="K497" s="6">
        <v>3</v>
      </c>
      <c r="L497" s="6">
        <v>225</v>
      </c>
      <c r="M497" s="7"/>
      <c r="N497" s="8" t="str">
        <f>IF(Caja_Arequipa[[#This Row],[TIPO DE R.]]="R","001-"&amp;12002+B497,N496)</f>
        <v>001-12479</v>
      </c>
      <c r="O497" s="8" t="str">
        <f>"PEN"</f>
        <v>PEN</v>
      </c>
      <c r="P497" s="13">
        <v>39</v>
      </c>
      <c r="Q497" s="13"/>
      <c r="R497" s="3">
        <f t="shared" si="37"/>
        <v>0</v>
      </c>
      <c r="S497" s="3">
        <f t="shared" si="38"/>
        <v>0</v>
      </c>
      <c r="T497" s="3">
        <f t="shared" si="39"/>
        <v>1965.1999999999989</v>
      </c>
      <c r="U497" s="24"/>
      <c r="V497" s="24"/>
      <c r="W497" s="3"/>
      <c r="X497" s="3"/>
      <c r="Y497" s="3"/>
      <c r="Z497" s="3"/>
      <c r="AA497" s="3"/>
      <c r="AB497" s="3"/>
      <c r="AC497" s="3" t="str">
        <f>IF(Caja_Arequipa[[#This Row],[FECHA]]&gt;0,TEXT(Caja_Arequipa[[#This Row],[FECHA]],"mmmm"),0)</f>
        <v>Junio</v>
      </c>
    </row>
    <row r="498" spans="2:29" ht="24" x14ac:dyDescent="0.3">
      <c r="B498" s="54">
        <f>IF(Caja_Arequipa[[#This Row],[TIPO DE R.]]="R",COUNTIFS($D$4:$D497,"R")+1,"")</f>
        <v>478</v>
      </c>
      <c r="C498" s="19" t="str">
        <f t="shared" si="36"/>
        <v>C-Tesoreria</v>
      </c>
      <c r="D498" s="3" t="s">
        <v>1074</v>
      </c>
      <c r="E498" s="14">
        <v>45834</v>
      </c>
      <c r="F498" s="5" t="s">
        <v>1158</v>
      </c>
      <c r="G498" s="5" t="s">
        <v>1079</v>
      </c>
      <c r="H498" s="3" t="s">
        <v>4314</v>
      </c>
      <c r="I498" s="6" t="s">
        <v>634</v>
      </c>
      <c r="J498" s="55" t="s">
        <v>55</v>
      </c>
      <c r="K498" s="6">
        <v>3</v>
      </c>
      <c r="L498" s="6">
        <v>226</v>
      </c>
      <c r="M498" s="7" t="s">
        <v>5114</v>
      </c>
      <c r="N498" s="8" t="str">
        <f>IF(Caja_Arequipa[[#This Row],[TIPO DE R.]]="R","001-"&amp;12002+B498,N497)</f>
        <v>001-12480</v>
      </c>
      <c r="O498" s="8" t="str">
        <f t="shared" si="40"/>
        <v>PEN</v>
      </c>
      <c r="P498" s="13"/>
      <c r="Q498" s="13">
        <v>15</v>
      </c>
      <c r="R498" s="3">
        <f t="shared" si="37"/>
        <v>0</v>
      </c>
      <c r="S498" s="3">
        <f t="shared" si="38"/>
        <v>15</v>
      </c>
      <c r="T498" s="3">
        <f t="shared" si="39"/>
        <v>1950.1999999999989</v>
      </c>
      <c r="U498" s="24"/>
      <c r="V498" s="24"/>
      <c r="W498" s="3"/>
      <c r="X498" s="3" t="s">
        <v>4314</v>
      </c>
      <c r="Y498" s="3" t="s">
        <v>5143</v>
      </c>
      <c r="Z498" s="3"/>
      <c r="AA498" s="3"/>
      <c r="AB498" s="3"/>
      <c r="AC498" s="3" t="str">
        <f>IF(Caja_Arequipa[[#This Row],[FECHA]]&gt;0,TEXT(Caja_Arequipa[[#This Row],[FECHA]],"mmmm"),0)</f>
        <v>Junio</v>
      </c>
    </row>
    <row r="499" spans="2:29" ht="24" x14ac:dyDescent="0.3">
      <c r="B499" s="54">
        <f>IF(Caja_Arequipa[[#This Row],[TIPO DE R.]]="R",COUNTIFS($D$4:$D498,"R")+1,"")</f>
        <v>479</v>
      </c>
      <c r="C499" s="19" t="str">
        <f t="shared" si="36"/>
        <v>C-Tesoreria</v>
      </c>
      <c r="D499" s="3" t="s">
        <v>1074</v>
      </c>
      <c r="E499" s="14">
        <v>45834</v>
      </c>
      <c r="F499" s="5" t="s">
        <v>1158</v>
      </c>
      <c r="G499" s="5" t="s">
        <v>1079</v>
      </c>
      <c r="H499" s="3" t="s">
        <v>4314</v>
      </c>
      <c r="I499" s="6" t="s">
        <v>634</v>
      </c>
      <c r="J499" s="55" t="s">
        <v>55</v>
      </c>
      <c r="K499" s="6">
        <v>3</v>
      </c>
      <c r="L499" s="6">
        <v>227</v>
      </c>
      <c r="M499" s="7" t="s">
        <v>5144</v>
      </c>
      <c r="N499" s="8" t="str">
        <f>IF(Caja_Arequipa[[#This Row],[TIPO DE R.]]="R","001-"&amp;12002+B499,N498)</f>
        <v>001-12481</v>
      </c>
      <c r="O499" s="8" t="str">
        <f t="shared" si="40"/>
        <v>PEN</v>
      </c>
      <c r="P499" s="13"/>
      <c r="Q499" s="13">
        <v>41</v>
      </c>
      <c r="R499" s="3">
        <f t="shared" si="37"/>
        <v>0</v>
      </c>
      <c r="S499" s="3">
        <f t="shared" si="38"/>
        <v>41</v>
      </c>
      <c r="T499" s="3">
        <f t="shared" si="39"/>
        <v>1909.1999999999989</v>
      </c>
      <c r="U499" s="24"/>
      <c r="V499" s="24"/>
      <c r="W499" s="3"/>
      <c r="X499" s="3" t="s">
        <v>4314</v>
      </c>
      <c r="Y499" s="3" t="s">
        <v>5145</v>
      </c>
      <c r="Z499" s="3"/>
      <c r="AA499" s="3"/>
      <c r="AB499" s="3"/>
      <c r="AC499" s="3" t="str">
        <f>IF(Caja_Arequipa[[#This Row],[FECHA]]&gt;0,TEXT(Caja_Arequipa[[#This Row],[FECHA]],"mmmm"),0)</f>
        <v>Junio</v>
      </c>
    </row>
    <row r="500" spans="2:29" ht="24" x14ac:dyDescent="0.3">
      <c r="B500" s="54">
        <f>IF(Caja_Arequipa[[#This Row],[TIPO DE R.]]="R",COUNTIFS($D$4:$D499,"R")+1,"")</f>
        <v>480</v>
      </c>
      <c r="C500" s="19" t="str">
        <f t="shared" si="36"/>
        <v>C-Tesoreria</v>
      </c>
      <c r="D500" s="3" t="s">
        <v>1074</v>
      </c>
      <c r="E500" s="14">
        <v>45834</v>
      </c>
      <c r="F500" s="5" t="s">
        <v>1158</v>
      </c>
      <c r="G500" s="5" t="s">
        <v>1079</v>
      </c>
      <c r="H500" s="3" t="s">
        <v>4314</v>
      </c>
      <c r="I500" s="6" t="s">
        <v>634</v>
      </c>
      <c r="J500" s="55" t="s">
        <v>55</v>
      </c>
      <c r="K500" s="6">
        <v>3</v>
      </c>
      <c r="L500" s="6">
        <v>228</v>
      </c>
      <c r="M500" s="7" t="s">
        <v>5123</v>
      </c>
      <c r="N500" s="8" t="str">
        <f>IF(Caja_Arequipa[[#This Row],[TIPO DE R.]]="R","001-"&amp;12002+B500,N499)</f>
        <v>001-12482</v>
      </c>
      <c r="O500" s="8" t="str">
        <f t="shared" si="40"/>
        <v>PEN</v>
      </c>
      <c r="P500" s="13"/>
      <c r="Q500" s="13">
        <v>75</v>
      </c>
      <c r="R500" s="3">
        <f t="shared" si="37"/>
        <v>0</v>
      </c>
      <c r="S500" s="3">
        <f t="shared" si="38"/>
        <v>75</v>
      </c>
      <c r="T500" s="3">
        <f t="shared" si="39"/>
        <v>1834.1999999999989</v>
      </c>
      <c r="U500" s="24"/>
      <c r="V500" s="24"/>
      <c r="W500" s="3"/>
      <c r="X500" s="3" t="s">
        <v>4314</v>
      </c>
      <c r="Y500" s="3" t="s">
        <v>5146</v>
      </c>
      <c r="Z500" s="3"/>
      <c r="AA500" s="3"/>
      <c r="AB500" s="3"/>
      <c r="AC500" s="3" t="str">
        <f>IF(Caja_Arequipa[[#This Row],[FECHA]]&gt;0,TEXT(Caja_Arequipa[[#This Row],[FECHA]],"mmmm"),0)</f>
        <v>Junio</v>
      </c>
    </row>
    <row r="501" spans="2:29" ht="24" x14ac:dyDescent="0.3">
      <c r="B501" s="54">
        <f>IF(Caja_Arequipa[[#This Row],[TIPO DE R.]]="R",COUNTIFS($D$4:$D500,"R")+1,"")</f>
        <v>481</v>
      </c>
      <c r="C501" s="19" t="str">
        <f t="shared" si="36"/>
        <v>C-Tesoreria</v>
      </c>
      <c r="D501" s="3" t="s">
        <v>1074</v>
      </c>
      <c r="E501" s="14">
        <v>45834</v>
      </c>
      <c r="F501" s="5" t="s">
        <v>1158</v>
      </c>
      <c r="G501" s="5" t="s">
        <v>1079</v>
      </c>
      <c r="H501" s="3" t="s">
        <v>4314</v>
      </c>
      <c r="I501" s="6" t="s">
        <v>634</v>
      </c>
      <c r="J501" s="55" t="s">
        <v>55</v>
      </c>
      <c r="K501" s="6">
        <v>3</v>
      </c>
      <c r="L501" s="6">
        <v>229</v>
      </c>
      <c r="M501" s="7" t="s">
        <v>5147</v>
      </c>
      <c r="N501" s="8" t="str">
        <f>IF(Caja_Arequipa[[#This Row],[TIPO DE R.]]="R","001-"&amp;12002+B501,N500)</f>
        <v>001-12483</v>
      </c>
      <c r="O501" s="8" t="str">
        <f t="shared" si="40"/>
        <v>PEN</v>
      </c>
      <c r="P501" s="13"/>
      <c r="Q501" s="13">
        <v>32</v>
      </c>
      <c r="R501" s="3">
        <f t="shared" si="37"/>
        <v>0</v>
      </c>
      <c r="S501" s="3">
        <f t="shared" si="38"/>
        <v>32</v>
      </c>
      <c r="T501" s="3">
        <f t="shared" si="39"/>
        <v>1802.1999999999989</v>
      </c>
      <c r="U501" s="24"/>
      <c r="V501" s="24"/>
      <c r="W501" s="3"/>
      <c r="X501" s="3" t="s">
        <v>4314</v>
      </c>
      <c r="Y501" s="3" t="s">
        <v>5148</v>
      </c>
      <c r="Z501" s="3"/>
      <c r="AA501" s="3"/>
      <c r="AB501" s="3"/>
      <c r="AC501" s="3" t="str">
        <f>IF(Caja_Arequipa[[#This Row],[FECHA]]&gt;0,TEXT(Caja_Arequipa[[#This Row],[FECHA]],"mmmm"),0)</f>
        <v>Junio</v>
      </c>
    </row>
    <row r="502" spans="2:29" ht="24" x14ac:dyDescent="0.3">
      <c r="B502" s="54">
        <f>IF(Caja_Arequipa[[#This Row],[TIPO DE R.]]="R",COUNTIFS($D$4:$D501,"R")+1,"")</f>
        <v>482</v>
      </c>
      <c r="C502" s="19" t="str">
        <f t="shared" si="36"/>
        <v>C-Tesoreria</v>
      </c>
      <c r="D502" s="3" t="s">
        <v>1074</v>
      </c>
      <c r="E502" s="14">
        <v>45834</v>
      </c>
      <c r="F502" s="5" t="s">
        <v>1158</v>
      </c>
      <c r="G502" s="5" t="s">
        <v>1079</v>
      </c>
      <c r="H502" s="3" t="s">
        <v>4314</v>
      </c>
      <c r="I502" s="6" t="s">
        <v>634</v>
      </c>
      <c r="J502" s="55" t="s">
        <v>55</v>
      </c>
      <c r="K502" s="6">
        <v>3</v>
      </c>
      <c r="L502" s="6">
        <v>230</v>
      </c>
      <c r="M502" s="7" t="s">
        <v>5149</v>
      </c>
      <c r="N502" s="8" t="str">
        <f>IF(Caja_Arequipa[[#This Row],[TIPO DE R.]]="R","001-"&amp;12002+B502,N501)</f>
        <v>001-12484</v>
      </c>
      <c r="O502" s="8" t="str">
        <f t="shared" si="40"/>
        <v>PEN</v>
      </c>
      <c r="P502" s="13"/>
      <c r="Q502" s="13">
        <v>15</v>
      </c>
      <c r="R502" s="3">
        <f t="shared" si="37"/>
        <v>0</v>
      </c>
      <c r="S502" s="3">
        <f t="shared" si="38"/>
        <v>15</v>
      </c>
      <c r="T502" s="3">
        <f t="shared" si="39"/>
        <v>1787.1999999999989</v>
      </c>
      <c r="U502" s="24"/>
      <c r="V502" s="24"/>
      <c r="W502" s="3"/>
      <c r="X502" s="3" t="s">
        <v>4314</v>
      </c>
      <c r="Y502" s="3" t="s">
        <v>5150</v>
      </c>
      <c r="Z502" s="3"/>
      <c r="AA502" s="3"/>
      <c r="AB502" s="3"/>
      <c r="AC502" s="3" t="str">
        <f>IF(Caja_Arequipa[[#This Row],[FECHA]]&gt;0,TEXT(Caja_Arequipa[[#This Row],[FECHA]],"mmmm"),0)</f>
        <v>Junio</v>
      </c>
    </row>
    <row r="503" spans="2:29" ht="24" x14ac:dyDescent="0.3">
      <c r="B503" s="54">
        <f>IF(Caja_Arequipa[[#This Row],[TIPO DE R.]]="R",COUNTIFS($D$4:$D502,"R")+1,"")</f>
        <v>483</v>
      </c>
      <c r="C503" s="19" t="str">
        <f t="shared" si="36"/>
        <v>C-Tesoreria</v>
      </c>
      <c r="D503" s="3" t="s">
        <v>1074</v>
      </c>
      <c r="E503" s="14">
        <v>45835</v>
      </c>
      <c r="F503" s="5" t="s">
        <v>1158</v>
      </c>
      <c r="G503" s="5" t="s">
        <v>1079</v>
      </c>
      <c r="H503" s="3" t="s">
        <v>4357</v>
      </c>
      <c r="I503" s="6" t="s">
        <v>626</v>
      </c>
      <c r="J503" s="58" t="s">
        <v>14</v>
      </c>
      <c r="K503" s="6" t="s">
        <v>1119</v>
      </c>
      <c r="L503" s="6">
        <v>6514</v>
      </c>
      <c r="M503" s="7" t="s">
        <v>5151</v>
      </c>
      <c r="N503" s="8" t="str">
        <f>IF(Caja_Arequipa[[#This Row],[TIPO DE R.]]="R","001-"&amp;12002+B503,N502)</f>
        <v>001-12485</v>
      </c>
      <c r="O503" s="8" t="str">
        <f t="shared" si="40"/>
        <v>PEN</v>
      </c>
      <c r="P503" s="13"/>
      <c r="Q503" s="13">
        <v>24.5</v>
      </c>
      <c r="R503" s="3">
        <f t="shared" si="37"/>
        <v>0</v>
      </c>
      <c r="S503" s="3">
        <f t="shared" si="38"/>
        <v>24.5</v>
      </c>
      <c r="T503" s="3">
        <f t="shared" si="39"/>
        <v>1762.6999999999989</v>
      </c>
      <c r="U503" s="24"/>
      <c r="V503" s="24"/>
      <c r="W503" s="3"/>
      <c r="X503" s="3" t="s">
        <v>4357</v>
      </c>
      <c r="Y503" s="3" t="s">
        <v>5152</v>
      </c>
      <c r="Z503" s="3"/>
      <c r="AA503" s="3"/>
      <c r="AB503" s="3"/>
      <c r="AC503" s="3" t="str">
        <f>IF(Caja_Arequipa[[#This Row],[FECHA]]&gt;0,TEXT(Caja_Arequipa[[#This Row],[FECHA]],"mmmm"),0)</f>
        <v>Junio</v>
      </c>
    </row>
    <row r="504" spans="2:29" ht="24" x14ac:dyDescent="0.3">
      <c r="B504" s="54">
        <f>IF(Caja_Arequipa[[#This Row],[TIPO DE R.]]="R",COUNTIFS($D$4:$D503,"R")+1,"")</f>
        <v>484</v>
      </c>
      <c r="C504" s="19" t="str">
        <f t="shared" si="36"/>
        <v>C-Tesoreria</v>
      </c>
      <c r="D504" s="3" t="s">
        <v>1074</v>
      </c>
      <c r="E504" s="14">
        <v>45835</v>
      </c>
      <c r="F504" s="5" t="s">
        <v>1158</v>
      </c>
      <c r="G504" s="5" t="s">
        <v>1079</v>
      </c>
      <c r="H504" s="3" t="s">
        <v>4912</v>
      </c>
      <c r="I504" s="6" t="s">
        <v>105</v>
      </c>
      <c r="J504" s="58" t="s">
        <v>14</v>
      </c>
      <c r="K504" s="6" t="s">
        <v>1121</v>
      </c>
      <c r="L504" s="6">
        <v>289</v>
      </c>
      <c r="M504" s="7" t="s">
        <v>5153</v>
      </c>
      <c r="N504" s="8" t="str">
        <f>IF(Caja_Arequipa[[#This Row],[TIPO DE R.]]="R","001-"&amp;12002+B504,N503)</f>
        <v>001-12486</v>
      </c>
      <c r="O504" s="8" t="str">
        <f t="shared" si="40"/>
        <v>PEN</v>
      </c>
      <c r="P504" s="13"/>
      <c r="Q504" s="13">
        <v>82.5</v>
      </c>
      <c r="R504" s="3">
        <f t="shared" si="37"/>
        <v>0</v>
      </c>
      <c r="S504" s="3">
        <f t="shared" si="38"/>
        <v>82.5</v>
      </c>
      <c r="T504" s="3">
        <f t="shared" si="39"/>
        <v>1680.1999999999989</v>
      </c>
      <c r="U504" s="24"/>
      <c r="V504" s="24"/>
      <c r="W504" s="3"/>
      <c r="X504" s="3" t="s">
        <v>4912</v>
      </c>
      <c r="Y504" s="3" t="s">
        <v>5154</v>
      </c>
      <c r="Z504" s="3"/>
      <c r="AA504" s="3"/>
      <c r="AB504" s="3"/>
      <c r="AC504" s="3" t="str">
        <f>IF(Caja_Arequipa[[#This Row],[FECHA]]&gt;0,TEXT(Caja_Arequipa[[#This Row],[FECHA]],"mmmm"),0)</f>
        <v>Junio</v>
      </c>
    </row>
    <row r="505" spans="2:29" ht="36" x14ac:dyDescent="0.3">
      <c r="B505" s="54">
        <f>IF(Caja_Arequipa[[#This Row],[TIPO DE R.]]="R",COUNTIFS($D$4:$D504,"R")+1,"")</f>
        <v>485</v>
      </c>
      <c r="C505" s="19" t="str">
        <f t="shared" si="36"/>
        <v>C-Tesoreria</v>
      </c>
      <c r="D505" s="3" t="s">
        <v>1074</v>
      </c>
      <c r="E505" s="14">
        <v>45835</v>
      </c>
      <c r="F505" s="5" t="s">
        <v>1082</v>
      </c>
      <c r="G505" s="5" t="s">
        <v>1079</v>
      </c>
      <c r="H505" s="3" t="s">
        <v>4329</v>
      </c>
      <c r="I505" s="6"/>
      <c r="J505" s="58"/>
      <c r="K505" s="6"/>
      <c r="L505" s="6"/>
      <c r="M505" s="7" t="s">
        <v>5091</v>
      </c>
      <c r="N505" s="8" t="str">
        <f>IF(Caja_Arequipa[[#This Row],[TIPO DE R.]]="R","001-"&amp;12002+B505,N504)</f>
        <v>001-12487</v>
      </c>
      <c r="O505" s="8" t="str">
        <f t="shared" si="40"/>
        <v>PEN</v>
      </c>
      <c r="P505" s="13"/>
      <c r="Q505" s="13">
        <v>64</v>
      </c>
      <c r="R505" s="3">
        <f t="shared" si="37"/>
        <v>0</v>
      </c>
      <c r="S505" s="3">
        <f t="shared" si="38"/>
        <v>64</v>
      </c>
      <c r="T505" s="3">
        <f t="shared" si="39"/>
        <v>1616.1999999999989</v>
      </c>
      <c r="U505" s="24"/>
      <c r="V505" s="24"/>
      <c r="W505" s="3"/>
      <c r="X505" s="3" t="s">
        <v>4329</v>
      </c>
      <c r="Y505" s="3" t="s">
        <v>5155</v>
      </c>
      <c r="Z505" s="3"/>
      <c r="AA505" s="3"/>
      <c r="AB505" s="3"/>
      <c r="AC505" s="3" t="str">
        <f>IF(Caja_Arequipa[[#This Row],[FECHA]]&gt;0,TEXT(Caja_Arequipa[[#This Row],[FECHA]],"mmmm"),0)</f>
        <v>Junio</v>
      </c>
    </row>
    <row r="506" spans="2:29" ht="24" x14ac:dyDescent="0.3">
      <c r="B506" s="54" t="str">
        <f>IF(Caja_Arequipa[[#This Row],[TIPO DE R.]]="R",COUNTIFS($D$4:$D505,"R")+1,"")</f>
        <v/>
      </c>
      <c r="C506" s="19" t="str">
        <f t="shared" si="36"/>
        <v>C-Tesoreria</v>
      </c>
      <c r="D506" s="3" t="s">
        <v>1101</v>
      </c>
      <c r="E506" s="14">
        <v>45835</v>
      </c>
      <c r="F506" s="5" t="s">
        <v>1082</v>
      </c>
      <c r="G506" s="5"/>
      <c r="H506" s="3"/>
      <c r="I506" s="6" t="s">
        <v>915</v>
      </c>
      <c r="J506" s="58" t="s">
        <v>14</v>
      </c>
      <c r="K506" s="6" t="s">
        <v>5142</v>
      </c>
      <c r="L506" s="6">
        <v>13874</v>
      </c>
      <c r="M506" s="7"/>
      <c r="N506" s="8" t="str">
        <f>IF(Caja_Arequipa[[#This Row],[TIPO DE R.]]="R","001-"&amp;12002+B506,N505)</f>
        <v>001-12487</v>
      </c>
      <c r="O506" s="8" t="str">
        <f>"PEN"</f>
        <v>PEN</v>
      </c>
      <c r="P506" s="13">
        <v>20</v>
      </c>
      <c r="Q506" s="13"/>
      <c r="R506" s="3">
        <f t="shared" si="37"/>
        <v>0</v>
      </c>
      <c r="S506" s="3">
        <f t="shared" si="38"/>
        <v>0</v>
      </c>
      <c r="T506" s="3">
        <f t="shared" si="39"/>
        <v>1616.1999999999989</v>
      </c>
      <c r="U506" s="24"/>
      <c r="V506" s="24"/>
      <c r="W506" s="3"/>
      <c r="X506" s="3"/>
      <c r="Y506" s="3"/>
      <c r="Z506" s="3"/>
      <c r="AA506" s="3"/>
      <c r="AB506" s="3"/>
      <c r="AC506" s="3" t="str">
        <f>IF(Caja_Arequipa[[#This Row],[FECHA]]&gt;0,TEXT(Caja_Arequipa[[#This Row],[FECHA]],"mmmm"),0)</f>
        <v>Junio</v>
      </c>
    </row>
    <row r="507" spans="2:29" ht="24" x14ac:dyDescent="0.3">
      <c r="B507" s="54" t="str">
        <f>IF(Caja_Arequipa[[#This Row],[TIPO DE R.]]="R",COUNTIFS($D$4:$D506,"R")+1,"")</f>
        <v/>
      </c>
      <c r="C507" s="19" t="str">
        <f t="shared" si="36"/>
        <v>C-Tesoreria</v>
      </c>
      <c r="D507" s="3" t="s">
        <v>1101</v>
      </c>
      <c r="E507" s="14">
        <v>45835</v>
      </c>
      <c r="F507" s="5" t="s">
        <v>1082</v>
      </c>
      <c r="G507" s="5"/>
      <c r="H507" s="3"/>
      <c r="I507" s="6" t="s">
        <v>625</v>
      </c>
      <c r="J507" s="58" t="s">
        <v>14</v>
      </c>
      <c r="K507" s="6" t="s">
        <v>5130</v>
      </c>
      <c r="L507" s="6">
        <v>286505</v>
      </c>
      <c r="M507" s="7"/>
      <c r="N507" s="8" t="str">
        <f>IF(Caja_Arequipa[[#This Row],[TIPO DE R.]]="R","001-"&amp;12002+B507,N506)</f>
        <v>001-12487</v>
      </c>
      <c r="O507" s="8" t="str">
        <f>"PEN"</f>
        <v>PEN</v>
      </c>
      <c r="P507" s="13">
        <v>20</v>
      </c>
      <c r="Q507" s="13"/>
      <c r="R507" s="3">
        <f t="shared" si="37"/>
        <v>0</v>
      </c>
      <c r="S507" s="3">
        <f t="shared" si="38"/>
        <v>0</v>
      </c>
      <c r="T507" s="3">
        <f t="shared" si="39"/>
        <v>1616.1999999999989</v>
      </c>
      <c r="U507" s="24"/>
      <c r="V507" s="24"/>
      <c r="W507" s="3"/>
      <c r="X507" s="3"/>
      <c r="Y507" s="3"/>
      <c r="Z507" s="3"/>
      <c r="AA507" s="3"/>
      <c r="AB507" s="3"/>
      <c r="AC507" s="3" t="str">
        <f>IF(Caja_Arequipa[[#This Row],[FECHA]]&gt;0,TEXT(Caja_Arequipa[[#This Row],[FECHA]],"mmmm"),0)</f>
        <v>Junio</v>
      </c>
    </row>
    <row r="508" spans="2:29" ht="24" x14ac:dyDescent="0.3">
      <c r="B508" s="54" t="str">
        <f>IF(Caja_Arequipa[[#This Row],[TIPO DE R.]]="R",COUNTIFS($D$4:$D507,"R")+1,"")</f>
        <v/>
      </c>
      <c r="C508" s="19" t="str">
        <f t="shared" si="36"/>
        <v>C-Tesoreria</v>
      </c>
      <c r="D508" s="3" t="s">
        <v>1101</v>
      </c>
      <c r="E508" s="14">
        <v>45835</v>
      </c>
      <c r="F508" s="5" t="s">
        <v>1082</v>
      </c>
      <c r="G508" s="5"/>
      <c r="H508" s="3"/>
      <c r="I508" s="6" t="s">
        <v>823</v>
      </c>
      <c r="J508" s="58" t="s">
        <v>55</v>
      </c>
      <c r="K508" s="6">
        <v>3</v>
      </c>
      <c r="L508" s="6">
        <v>231</v>
      </c>
      <c r="M508" s="7"/>
      <c r="N508" s="8" t="str">
        <f>IF(Caja_Arequipa[[#This Row],[TIPO DE R.]]="R","001-"&amp;12002+B508,N507)</f>
        <v>001-12487</v>
      </c>
      <c r="O508" s="8" t="str">
        <f>"PEN"</f>
        <v>PEN</v>
      </c>
      <c r="P508" s="13">
        <v>24</v>
      </c>
      <c r="Q508" s="13"/>
      <c r="R508" s="3">
        <f t="shared" si="37"/>
        <v>0</v>
      </c>
      <c r="S508" s="3">
        <f t="shared" si="38"/>
        <v>0</v>
      </c>
      <c r="T508" s="3">
        <f t="shared" si="39"/>
        <v>1616.1999999999989</v>
      </c>
      <c r="U508" s="24"/>
      <c r="V508" s="24"/>
      <c r="W508" s="3"/>
      <c r="X508" s="3"/>
      <c r="Y508" s="3"/>
      <c r="Z508" s="3"/>
      <c r="AA508" s="3"/>
      <c r="AB508" s="3"/>
      <c r="AC508" s="3" t="str">
        <f>IF(Caja_Arequipa[[#This Row],[FECHA]]&gt;0,TEXT(Caja_Arequipa[[#This Row],[FECHA]],"mmmm"),0)</f>
        <v>Junio</v>
      </c>
    </row>
    <row r="509" spans="2:29" x14ac:dyDescent="0.3">
      <c r="B509" s="54">
        <f>IF(Caja_Arequipa[[#This Row],[TIPO DE R.]]="R",COUNTIFS($D$4:$D508,"R")+1,"")</f>
        <v>486</v>
      </c>
      <c r="C509" s="19" t="str">
        <f t="shared" si="36"/>
        <v>C-Tesoreria</v>
      </c>
      <c r="D509" s="3" t="s">
        <v>1074</v>
      </c>
      <c r="E509" s="14">
        <v>45838</v>
      </c>
      <c r="F509" s="5" t="s">
        <v>1158</v>
      </c>
      <c r="G509" s="5" t="s">
        <v>1087</v>
      </c>
      <c r="H509" s="3" t="s">
        <v>368</v>
      </c>
      <c r="I509" s="6"/>
      <c r="J509" s="56"/>
      <c r="K509" s="6"/>
      <c r="L509" s="6"/>
      <c r="M509" s="7" t="s">
        <v>5156</v>
      </c>
      <c r="N509" s="8" t="str">
        <f>IF(Caja_Arequipa[[#This Row],[TIPO DE R.]]="R","001-"&amp;12002+B509,N508)</f>
        <v>001-12488</v>
      </c>
      <c r="O509" s="8" t="str">
        <f t="shared" si="40"/>
        <v>PEN</v>
      </c>
      <c r="P509" s="13"/>
      <c r="Q509" s="13">
        <v>88.5</v>
      </c>
      <c r="R509" s="3">
        <f t="shared" si="37"/>
        <v>88.5</v>
      </c>
      <c r="S509" s="3">
        <f t="shared" si="38"/>
        <v>0</v>
      </c>
      <c r="T509" s="3">
        <f t="shared" si="39"/>
        <v>1704.6999999999989</v>
      </c>
      <c r="U509" s="24"/>
      <c r="V509" s="24"/>
      <c r="W509" s="3"/>
      <c r="X509" s="3" t="s">
        <v>368</v>
      </c>
      <c r="Y509" s="3" t="s">
        <v>5157</v>
      </c>
      <c r="Z509" s="3"/>
      <c r="AA509" s="3"/>
      <c r="AB509" s="3"/>
      <c r="AC509" s="3" t="str">
        <f>IF(Caja_Arequipa[[#This Row],[FECHA]]&gt;0,TEXT(Caja_Arequipa[[#This Row],[FECHA]],"mmmm"),0)</f>
        <v>Junio</v>
      </c>
    </row>
    <row r="510" spans="2:29" ht="24" x14ac:dyDescent="0.3">
      <c r="B510" s="54">
        <f>IF(Caja_Arequipa[[#This Row],[TIPO DE R.]]="R",COUNTIFS($D$4:$D509,"R")+1,"")</f>
        <v>487</v>
      </c>
      <c r="C510" s="19" t="str">
        <f t="shared" si="36"/>
        <v>C-Tesoreria</v>
      </c>
      <c r="D510" s="3" t="s">
        <v>1074</v>
      </c>
      <c r="E510" s="14">
        <v>45839</v>
      </c>
      <c r="F510" s="5" t="s">
        <v>1082</v>
      </c>
      <c r="G510" s="5" t="s">
        <v>1079</v>
      </c>
      <c r="H510" s="3" t="s">
        <v>3562</v>
      </c>
      <c r="I510" s="6"/>
      <c r="J510" s="55" t="s">
        <v>55</v>
      </c>
      <c r="K510" s="6">
        <v>3</v>
      </c>
      <c r="L510" s="6">
        <v>234</v>
      </c>
      <c r="M510" s="7" t="s">
        <v>5158</v>
      </c>
      <c r="N510" s="8" t="str">
        <f>IF(Caja_Arequipa[[#This Row],[TIPO DE R.]]="R","001-"&amp;12002+B510,N509)</f>
        <v>001-12489</v>
      </c>
      <c r="O510" s="8" t="str">
        <f t="shared" si="40"/>
        <v>PEN</v>
      </c>
      <c r="P510" s="13"/>
      <c r="Q510" s="13">
        <v>14</v>
      </c>
      <c r="R510" s="3">
        <f t="shared" si="37"/>
        <v>0</v>
      </c>
      <c r="S510" s="3">
        <f t="shared" si="38"/>
        <v>14</v>
      </c>
      <c r="T510" s="3">
        <f t="shared" si="39"/>
        <v>1690.6999999999989</v>
      </c>
      <c r="U510" s="24"/>
      <c r="V510" s="24"/>
      <c r="W510" s="3"/>
      <c r="X510" s="3" t="s">
        <v>3562</v>
      </c>
      <c r="Y510" s="3" t="s">
        <v>5159</v>
      </c>
      <c r="Z510" s="3"/>
      <c r="AA510" s="3"/>
      <c r="AB510" s="3"/>
      <c r="AC510" s="3" t="str">
        <f>IF(Caja_Arequipa[[#This Row],[FECHA]]&gt;0,TEXT(Caja_Arequipa[[#This Row],[FECHA]],"mmmm"),0)</f>
        <v>Julio</v>
      </c>
    </row>
    <row r="511" spans="2:29" ht="24" x14ac:dyDescent="0.3">
      <c r="B511" s="54">
        <f>IF(Caja_Arequipa[[#This Row],[TIPO DE R.]]="R",COUNTIFS($D$4:$D510,"R")+1,"")</f>
        <v>488</v>
      </c>
      <c r="C511" s="78" t="str">
        <f t="shared" si="36"/>
        <v>C-Tesoreria</v>
      </c>
      <c r="D511" s="3" t="s">
        <v>1074</v>
      </c>
      <c r="E511" s="14">
        <v>45839</v>
      </c>
      <c r="F511" s="5" t="s">
        <v>1158</v>
      </c>
      <c r="G511" s="5" t="s">
        <v>1079</v>
      </c>
      <c r="H511" s="3" t="s">
        <v>4303</v>
      </c>
      <c r="I511" s="6" t="s">
        <v>952</v>
      </c>
      <c r="J511" s="58" t="s">
        <v>21</v>
      </c>
      <c r="K511" s="6">
        <v>1</v>
      </c>
      <c r="L511" s="6">
        <v>80</v>
      </c>
      <c r="M511" s="7" t="s">
        <v>5160</v>
      </c>
      <c r="N511" s="8" t="str">
        <f>IF(Caja_Arequipa[[#This Row],[TIPO DE R.]]="R","001-"&amp;12002+B511,N510)</f>
        <v>001-12490</v>
      </c>
      <c r="O511" s="8" t="str">
        <f t="shared" si="40"/>
        <v>PEN</v>
      </c>
      <c r="P511" s="13"/>
      <c r="Q511" s="13">
        <v>47</v>
      </c>
      <c r="R511" s="3">
        <f t="shared" si="37"/>
        <v>0</v>
      </c>
      <c r="S511" s="3">
        <f t="shared" si="38"/>
        <v>47</v>
      </c>
      <c r="T511" s="3">
        <f t="shared" si="39"/>
        <v>1643.6999999999989</v>
      </c>
      <c r="U511" s="24"/>
      <c r="V511" s="24"/>
      <c r="W511" s="3"/>
      <c r="X511" s="3" t="s">
        <v>4303</v>
      </c>
      <c r="Y511" s="3" t="s">
        <v>5161</v>
      </c>
      <c r="Z511" s="3"/>
      <c r="AA511" s="3"/>
      <c r="AB511" s="3"/>
      <c r="AC511" s="3" t="str">
        <f>IF(Caja_Arequipa[[#This Row],[FECHA]]&gt;0,TEXT(Caja_Arequipa[[#This Row],[FECHA]],"mmmm"),0)</f>
        <v>Julio</v>
      </c>
    </row>
    <row r="512" spans="2:29" x14ac:dyDescent="0.3">
      <c r="B512" s="54">
        <f>IF(Caja_Arequipa[[#This Row],[TIPO DE R.]]="R",COUNTIFS($D$4:$D511,"R")+1,"")</f>
        <v>489</v>
      </c>
      <c r="C512" s="19" t="str">
        <f t="shared" si="36"/>
        <v>C-Tesoreria</v>
      </c>
      <c r="D512" s="3" t="s">
        <v>1074</v>
      </c>
      <c r="E512" s="14">
        <v>45840</v>
      </c>
      <c r="F512" s="5" t="s">
        <v>1082</v>
      </c>
      <c r="G512" s="5" t="s">
        <v>1079</v>
      </c>
      <c r="H512" s="3" t="s">
        <v>4314</v>
      </c>
      <c r="I512" s="6"/>
      <c r="J512" s="58" t="s">
        <v>14</v>
      </c>
      <c r="K512" s="6" t="s">
        <v>5162</v>
      </c>
      <c r="L512" s="6">
        <v>39254</v>
      </c>
      <c r="M512" s="7" t="s">
        <v>5163</v>
      </c>
      <c r="N512" s="8" t="str">
        <f>IF(Caja_Arequipa[[#This Row],[TIPO DE R.]]="R","001-"&amp;12002+B512,N511)</f>
        <v>001-12491</v>
      </c>
      <c r="O512" s="8" t="str">
        <f t="shared" si="40"/>
        <v>PEN</v>
      </c>
      <c r="P512" s="13"/>
      <c r="Q512" s="13">
        <v>30</v>
      </c>
      <c r="R512" s="3">
        <f t="shared" si="37"/>
        <v>0</v>
      </c>
      <c r="S512" s="3">
        <f t="shared" si="38"/>
        <v>30</v>
      </c>
      <c r="T512" s="3">
        <f t="shared" si="39"/>
        <v>1613.6999999999989</v>
      </c>
      <c r="U512" s="24"/>
      <c r="V512" s="24"/>
      <c r="W512" s="3"/>
      <c r="X512" s="3" t="s">
        <v>4314</v>
      </c>
      <c r="Y512" s="3" t="s">
        <v>5164</v>
      </c>
      <c r="Z512" s="3"/>
      <c r="AA512" s="3"/>
      <c r="AB512" s="3"/>
      <c r="AC512" s="3" t="str">
        <f>IF(Caja_Arequipa[[#This Row],[FECHA]]&gt;0,TEXT(Caja_Arequipa[[#This Row],[FECHA]],"mmmm"),0)</f>
        <v>Julio</v>
      </c>
    </row>
    <row r="513" spans="2:29" ht="24" x14ac:dyDescent="0.3">
      <c r="B513" s="54">
        <f>IF(Caja_Arequipa[[#This Row],[TIPO DE R.]]="R",COUNTIFS($D$4:$D512,"R")+1,"")</f>
        <v>490</v>
      </c>
      <c r="C513" s="19" t="str">
        <f t="shared" si="36"/>
        <v>C-Tesoreria</v>
      </c>
      <c r="D513" s="3" t="s">
        <v>1074</v>
      </c>
      <c r="E513" s="14">
        <v>45840</v>
      </c>
      <c r="F513" s="5" t="s">
        <v>1158</v>
      </c>
      <c r="G513" s="5" t="s">
        <v>1079</v>
      </c>
      <c r="H513" s="3" t="s">
        <v>4314</v>
      </c>
      <c r="I513" s="6" t="s">
        <v>634</v>
      </c>
      <c r="J513" s="55" t="s">
        <v>55</v>
      </c>
      <c r="K513" s="6">
        <v>3</v>
      </c>
      <c r="L513" s="6">
        <v>231</v>
      </c>
      <c r="M513" s="7" t="s">
        <v>5165</v>
      </c>
      <c r="N513" s="8" t="str">
        <f>IF(Caja_Arequipa[[#This Row],[TIPO DE R.]]="R","001-"&amp;12002+B513,N512)</f>
        <v>001-12492</v>
      </c>
      <c r="O513" s="8" t="str">
        <f t="shared" si="40"/>
        <v>PEN</v>
      </c>
      <c r="P513" s="13"/>
      <c r="Q513" s="13">
        <v>9</v>
      </c>
      <c r="R513" s="3">
        <f t="shared" si="37"/>
        <v>0</v>
      </c>
      <c r="S513" s="3">
        <f t="shared" si="38"/>
        <v>9</v>
      </c>
      <c r="T513" s="3">
        <f t="shared" si="39"/>
        <v>1604.6999999999989</v>
      </c>
      <c r="U513" s="24"/>
      <c r="V513" s="24"/>
      <c r="W513" s="3"/>
      <c r="X513" s="3" t="s">
        <v>4314</v>
      </c>
      <c r="Y513" s="3" t="s">
        <v>5166</v>
      </c>
      <c r="Z513" s="3"/>
      <c r="AA513" s="3"/>
      <c r="AB513" s="3"/>
      <c r="AC513" s="3" t="str">
        <f>IF(Caja_Arequipa[[#This Row],[FECHA]]&gt;0,TEXT(Caja_Arequipa[[#This Row],[FECHA]],"mmmm"),0)</f>
        <v>Julio</v>
      </c>
    </row>
    <row r="514" spans="2:29" ht="24" x14ac:dyDescent="0.3">
      <c r="B514" s="54">
        <f>IF(Caja_Arequipa[[#This Row],[TIPO DE R.]]="R",COUNTIFS($D$4:$D513,"R")+1,"")</f>
        <v>491</v>
      </c>
      <c r="C514" s="19" t="str">
        <f t="shared" si="36"/>
        <v>C-Tesoreria</v>
      </c>
      <c r="D514" s="3" t="s">
        <v>1074</v>
      </c>
      <c r="E514" s="14">
        <v>45840</v>
      </c>
      <c r="F514" s="5" t="s">
        <v>1158</v>
      </c>
      <c r="G514" s="5" t="s">
        <v>1079</v>
      </c>
      <c r="H514" s="3" t="s">
        <v>4314</v>
      </c>
      <c r="I514" s="6" t="s">
        <v>634</v>
      </c>
      <c r="J514" s="55" t="s">
        <v>55</v>
      </c>
      <c r="K514" s="6">
        <v>3</v>
      </c>
      <c r="L514" s="6">
        <v>232</v>
      </c>
      <c r="M514" s="7" t="s">
        <v>5167</v>
      </c>
      <c r="N514" s="8" t="str">
        <f>IF(Caja_Arequipa[[#This Row],[TIPO DE R.]]="R","001-"&amp;12002+B514,N513)</f>
        <v>001-12493</v>
      </c>
      <c r="O514" s="8" t="str">
        <f t="shared" si="40"/>
        <v>PEN</v>
      </c>
      <c r="P514" s="13"/>
      <c r="Q514" s="13">
        <v>58</v>
      </c>
      <c r="R514" s="3">
        <f t="shared" si="37"/>
        <v>0</v>
      </c>
      <c r="S514" s="3">
        <f t="shared" si="38"/>
        <v>58</v>
      </c>
      <c r="T514" s="3">
        <f t="shared" si="39"/>
        <v>1546.6999999999989</v>
      </c>
      <c r="U514" s="24"/>
      <c r="V514" s="24"/>
      <c r="W514" s="3"/>
      <c r="X514" s="3" t="s">
        <v>4314</v>
      </c>
      <c r="Y514" s="3" t="s">
        <v>5168</v>
      </c>
      <c r="Z514" s="3"/>
      <c r="AA514" s="3"/>
      <c r="AB514" s="3"/>
      <c r="AC514" s="3" t="str">
        <f>IF(Caja_Arequipa[[#This Row],[FECHA]]&gt;0,TEXT(Caja_Arequipa[[#This Row],[FECHA]],"mmmm"),0)</f>
        <v>Julio</v>
      </c>
    </row>
    <row r="515" spans="2:29" ht="24" x14ac:dyDescent="0.3">
      <c r="B515" s="54">
        <f>IF(Caja_Arequipa[[#This Row],[TIPO DE R.]]="R",COUNTIFS($D$4:$D514,"R")+1,"")</f>
        <v>492</v>
      </c>
      <c r="C515" s="19" t="str">
        <f t="shared" si="36"/>
        <v>C-Tesoreria</v>
      </c>
      <c r="D515" s="3" t="s">
        <v>1074</v>
      </c>
      <c r="E515" s="14">
        <v>45840</v>
      </c>
      <c r="F515" s="5" t="s">
        <v>1158</v>
      </c>
      <c r="G515" s="5" t="s">
        <v>1079</v>
      </c>
      <c r="H515" s="3" t="s">
        <v>4314</v>
      </c>
      <c r="I515" s="6" t="s">
        <v>634</v>
      </c>
      <c r="J515" s="55" t="s">
        <v>55</v>
      </c>
      <c r="K515" s="6">
        <v>3</v>
      </c>
      <c r="L515" s="6">
        <v>233</v>
      </c>
      <c r="M515" s="7" t="s">
        <v>5169</v>
      </c>
      <c r="N515" s="8" t="str">
        <f>IF(Caja_Arequipa[[#This Row],[TIPO DE R.]]="R","001-"&amp;12002+B515,N514)</f>
        <v>001-12494</v>
      </c>
      <c r="O515" s="8" t="str">
        <f t="shared" si="40"/>
        <v>PEN</v>
      </c>
      <c r="P515" s="13"/>
      <c r="Q515" s="13">
        <v>129</v>
      </c>
      <c r="R515" s="3">
        <f t="shared" si="37"/>
        <v>0</v>
      </c>
      <c r="S515" s="3">
        <f t="shared" si="38"/>
        <v>129</v>
      </c>
      <c r="T515" s="3">
        <f t="shared" si="39"/>
        <v>1417.6999999999989</v>
      </c>
      <c r="U515" s="24"/>
      <c r="V515" s="24"/>
      <c r="W515" s="3"/>
      <c r="X515" s="3" t="s">
        <v>4314</v>
      </c>
      <c r="Y515" s="3" t="s">
        <v>5170</v>
      </c>
      <c r="Z515" s="3"/>
      <c r="AA515" s="3"/>
      <c r="AB515" s="3"/>
      <c r="AC515" s="3" t="str">
        <f>IF(Caja_Arequipa[[#This Row],[FECHA]]&gt;0,TEXT(Caja_Arequipa[[#This Row],[FECHA]],"mmmm"),0)</f>
        <v>Julio</v>
      </c>
    </row>
    <row r="516" spans="2:29" ht="24" x14ac:dyDescent="0.3">
      <c r="B516" s="54">
        <f>IF(Caja_Arequipa[[#This Row],[TIPO DE R.]]="R",COUNTIFS($D$4:$D515,"R")+1,"")</f>
        <v>493</v>
      </c>
      <c r="C516" s="19" t="str">
        <f t="shared" si="36"/>
        <v>C-Tesoreria</v>
      </c>
      <c r="D516" s="3" t="s">
        <v>1074</v>
      </c>
      <c r="E516" s="14">
        <v>45840</v>
      </c>
      <c r="F516" s="5" t="s">
        <v>1158</v>
      </c>
      <c r="G516" s="5" t="s">
        <v>1079</v>
      </c>
      <c r="H516" s="3" t="s">
        <v>4314</v>
      </c>
      <c r="I516" s="6" t="s">
        <v>634</v>
      </c>
      <c r="J516" s="55" t="s">
        <v>55</v>
      </c>
      <c r="K516" s="6">
        <v>3</v>
      </c>
      <c r="L516" s="6">
        <v>234</v>
      </c>
      <c r="M516" s="7" t="s">
        <v>5171</v>
      </c>
      <c r="N516" s="8" t="str">
        <f>IF(Caja_Arequipa[[#This Row],[TIPO DE R.]]="R","001-"&amp;12002+B516,N515)</f>
        <v>001-12495</v>
      </c>
      <c r="O516" s="8" t="str">
        <f t="shared" si="40"/>
        <v>PEN</v>
      </c>
      <c r="P516" s="13"/>
      <c r="Q516" s="13">
        <v>130</v>
      </c>
      <c r="R516" s="3">
        <f t="shared" si="37"/>
        <v>0</v>
      </c>
      <c r="S516" s="3">
        <f t="shared" si="38"/>
        <v>130</v>
      </c>
      <c r="T516" s="3">
        <f t="shared" si="39"/>
        <v>1287.6999999999989</v>
      </c>
      <c r="U516" s="24"/>
      <c r="V516" s="24"/>
      <c r="W516" s="3"/>
      <c r="X516" s="3" t="s">
        <v>4314</v>
      </c>
      <c r="Y516" s="3" t="s">
        <v>5159</v>
      </c>
      <c r="Z516" s="3"/>
      <c r="AA516" s="3"/>
      <c r="AB516" s="3"/>
      <c r="AC516" s="3" t="str">
        <f>IF(Caja_Arequipa[[#This Row],[FECHA]]&gt;0,TEXT(Caja_Arequipa[[#This Row],[FECHA]],"mmmm"),0)</f>
        <v>Julio</v>
      </c>
    </row>
    <row r="517" spans="2:29" ht="24" x14ac:dyDescent="0.3">
      <c r="B517" s="54">
        <f>IF(Caja_Arequipa[[#This Row],[TIPO DE R.]]="R",COUNTIFS($D$4:$D516,"R")+1,"")</f>
        <v>494</v>
      </c>
      <c r="C517" s="19" t="str">
        <f t="shared" ref="C517:C567" si="41">"C-Tesoreria"</f>
        <v>C-Tesoreria</v>
      </c>
      <c r="D517" s="3" t="s">
        <v>1074</v>
      </c>
      <c r="E517" s="14">
        <v>45840</v>
      </c>
      <c r="F517" s="5" t="s">
        <v>1158</v>
      </c>
      <c r="G517" s="5" t="s">
        <v>1079</v>
      </c>
      <c r="H517" s="3" t="s">
        <v>4314</v>
      </c>
      <c r="I517" s="6" t="s">
        <v>634</v>
      </c>
      <c r="J517" s="55" t="s">
        <v>55</v>
      </c>
      <c r="K517" s="6">
        <v>3</v>
      </c>
      <c r="L517" s="6">
        <v>235</v>
      </c>
      <c r="M517" s="7" t="s">
        <v>5134</v>
      </c>
      <c r="N517" s="8" t="str">
        <f>IF(Caja_Arequipa[[#This Row],[TIPO DE R.]]="R","001-"&amp;12002+B517,N516)</f>
        <v>001-12496</v>
      </c>
      <c r="O517" s="8" t="str">
        <f t="shared" si="40"/>
        <v>PEN</v>
      </c>
      <c r="P517" s="13"/>
      <c r="Q517" s="13">
        <v>43</v>
      </c>
      <c r="R517" s="3">
        <f t="shared" ref="R517:R572" si="42">+IF(OR($G517="SALDO",$G517="INGRESO"),$Q517,0)</f>
        <v>0</v>
      </c>
      <c r="S517" s="3">
        <f t="shared" ref="S517:S572" si="43">+IF($G517="EGRESO",$Q517,0)</f>
        <v>43</v>
      </c>
      <c r="T517" s="3">
        <f t="shared" ref="T517:T564" si="44">IFERROR(IF(G517="SALDO",R517,T516+R517-S517),0)</f>
        <v>1244.6999999999989</v>
      </c>
      <c r="U517" s="24"/>
      <c r="V517" s="24"/>
      <c r="W517" s="3"/>
      <c r="X517" s="3" t="s">
        <v>4314</v>
      </c>
      <c r="Y517" s="3" t="s">
        <v>5172</v>
      </c>
      <c r="Z517" s="3"/>
      <c r="AA517" s="3"/>
      <c r="AB517" s="3"/>
      <c r="AC517" s="3" t="str">
        <f>IF(Caja_Arequipa[[#This Row],[FECHA]]&gt;0,TEXT(Caja_Arequipa[[#This Row],[FECHA]],"mmmm"),0)</f>
        <v>Julio</v>
      </c>
    </row>
    <row r="518" spans="2:29" ht="24" x14ac:dyDescent="0.3">
      <c r="B518" s="54">
        <f>IF(Caja_Arequipa[[#This Row],[TIPO DE R.]]="R",COUNTIFS($D$4:$D517,"R")+1,"")</f>
        <v>495</v>
      </c>
      <c r="C518" s="19" t="str">
        <f t="shared" si="41"/>
        <v>C-Tesoreria</v>
      </c>
      <c r="D518" s="3" t="s">
        <v>1074</v>
      </c>
      <c r="E518" s="14">
        <v>45840</v>
      </c>
      <c r="F518" s="5" t="s">
        <v>1158</v>
      </c>
      <c r="G518" s="5" t="s">
        <v>1079</v>
      </c>
      <c r="H518" s="3" t="s">
        <v>3562</v>
      </c>
      <c r="I518" s="6"/>
      <c r="J518" s="58"/>
      <c r="K518" s="6"/>
      <c r="L518" s="6"/>
      <c r="M518" s="7" t="s">
        <v>5173</v>
      </c>
      <c r="N518" s="8" t="str">
        <f>IF(Caja_Arequipa[[#This Row],[TIPO DE R.]]="R","001-"&amp;12002+B518,N517)</f>
        <v>001-12497</v>
      </c>
      <c r="O518" s="8" t="str">
        <f t="shared" ref="O518:O533" si="45">"PEN"</f>
        <v>PEN</v>
      </c>
      <c r="P518" s="13"/>
      <c r="Q518" s="13">
        <v>84.6</v>
      </c>
      <c r="R518" s="3">
        <f t="shared" si="42"/>
        <v>0</v>
      </c>
      <c r="S518" s="3">
        <f t="shared" si="43"/>
        <v>84.6</v>
      </c>
      <c r="T518" s="3">
        <f t="shared" si="44"/>
        <v>1160.099999999999</v>
      </c>
      <c r="U518" s="24"/>
      <c r="V518" s="24"/>
      <c r="W518" s="3"/>
      <c r="X518" s="3" t="s">
        <v>3562</v>
      </c>
      <c r="Y518" s="3" t="s">
        <v>5174</v>
      </c>
      <c r="Z518" s="3"/>
      <c r="AA518" s="3"/>
      <c r="AB518" s="3"/>
      <c r="AC518" s="3" t="str">
        <f>IF(Caja_Arequipa[[#This Row],[FECHA]]&gt;0,TEXT(Caja_Arequipa[[#This Row],[FECHA]],"mmmm"),0)</f>
        <v>Julio</v>
      </c>
    </row>
    <row r="519" spans="2:29" ht="24" x14ac:dyDescent="0.3">
      <c r="B519" s="54" t="str">
        <f>IF(Caja_Arequipa[[#This Row],[TIPO DE R.]]="R",COUNTIFS($D$4:$D518,"R")+1,"")</f>
        <v/>
      </c>
      <c r="C519" s="19" t="str">
        <f t="shared" si="41"/>
        <v>C-Tesoreria</v>
      </c>
      <c r="D519" s="3" t="s">
        <v>1101</v>
      </c>
      <c r="E519" s="14">
        <v>45840</v>
      </c>
      <c r="F519" s="5" t="s">
        <v>1158</v>
      </c>
      <c r="G519" s="5"/>
      <c r="H519" s="3" t="s">
        <v>3562</v>
      </c>
      <c r="I519" s="6" t="s">
        <v>5175</v>
      </c>
      <c r="J519" s="58" t="s">
        <v>55</v>
      </c>
      <c r="K519" s="6">
        <v>3</v>
      </c>
      <c r="L519" s="6">
        <v>238</v>
      </c>
      <c r="M519" s="7"/>
      <c r="N519" s="8" t="str">
        <f>IF(Caja_Arequipa[[#This Row],[TIPO DE R.]]="R","001-"&amp;12002+B519,N518)</f>
        <v>001-12497</v>
      </c>
      <c r="O519" s="8" t="str">
        <f>"PEN"</f>
        <v>PEN</v>
      </c>
      <c r="P519" s="13">
        <v>21</v>
      </c>
      <c r="Q519" s="13"/>
      <c r="R519" s="3">
        <f t="shared" si="42"/>
        <v>0</v>
      </c>
      <c r="S519" s="3">
        <f t="shared" si="43"/>
        <v>0</v>
      </c>
      <c r="T519" s="3">
        <f t="shared" si="44"/>
        <v>1160.099999999999</v>
      </c>
      <c r="U519" s="24"/>
      <c r="V519" s="24"/>
      <c r="W519" s="3"/>
      <c r="X519" s="3"/>
      <c r="Y519" s="3"/>
      <c r="Z519" s="3"/>
      <c r="AA519" s="3"/>
      <c r="AB519" s="3"/>
      <c r="AC519" s="3" t="str">
        <f>IF(Caja_Arequipa[[#This Row],[FECHA]]&gt;0,TEXT(Caja_Arequipa[[#This Row],[FECHA]],"mmmm"),0)</f>
        <v>Julio</v>
      </c>
    </row>
    <row r="520" spans="2:29" ht="24" x14ac:dyDescent="0.3">
      <c r="B520" s="54" t="str">
        <f>IF(Caja_Arequipa[[#This Row],[TIPO DE R.]]="R",COUNTIFS($D$4:$D519,"R")+1,"")</f>
        <v/>
      </c>
      <c r="C520" s="19" t="str">
        <f t="shared" si="41"/>
        <v>C-Tesoreria</v>
      </c>
      <c r="D520" s="3" t="s">
        <v>1101</v>
      </c>
      <c r="E520" s="14">
        <v>45840</v>
      </c>
      <c r="F520" s="5" t="s">
        <v>1158</v>
      </c>
      <c r="G520" s="5"/>
      <c r="H520" s="3" t="s">
        <v>3562</v>
      </c>
      <c r="I520" s="6" t="s">
        <v>918</v>
      </c>
      <c r="J520" s="58" t="s">
        <v>14</v>
      </c>
      <c r="K520" s="6" t="s">
        <v>5176</v>
      </c>
      <c r="L520" s="6">
        <v>12503</v>
      </c>
      <c r="M520" s="7"/>
      <c r="N520" s="8" t="str">
        <f>IF(Caja_Arequipa[[#This Row],[TIPO DE R.]]="R","001-"&amp;12002+B520,N519)</f>
        <v>001-12497</v>
      </c>
      <c r="O520" s="8" t="str">
        <f>"PEN"</f>
        <v>PEN</v>
      </c>
      <c r="P520" s="13">
        <v>63.6</v>
      </c>
      <c r="Q520" s="13"/>
      <c r="R520" s="3">
        <f t="shared" si="42"/>
        <v>0</v>
      </c>
      <c r="S520" s="3">
        <f t="shared" si="43"/>
        <v>0</v>
      </c>
      <c r="T520" s="3">
        <f t="shared" si="44"/>
        <v>1160.099999999999</v>
      </c>
      <c r="U520" s="24"/>
      <c r="V520" s="24"/>
      <c r="W520" s="3"/>
      <c r="X520" s="3"/>
      <c r="Y520" s="3"/>
      <c r="Z520" s="3"/>
      <c r="AA520" s="3"/>
      <c r="AB520" s="3"/>
      <c r="AC520" s="3" t="str">
        <f>IF(Caja_Arequipa[[#This Row],[FECHA]]&gt;0,TEXT(Caja_Arequipa[[#This Row],[FECHA]],"mmmm"),0)</f>
        <v>Julio</v>
      </c>
    </row>
    <row r="521" spans="2:29" ht="24" x14ac:dyDescent="0.3">
      <c r="B521" s="54">
        <f>IF(Caja_Arequipa[[#This Row],[TIPO DE R.]]="R",COUNTIFS($D$4:$D520,"R")+1,"")</f>
        <v>496</v>
      </c>
      <c r="C521" s="19" t="str">
        <f t="shared" si="41"/>
        <v>C-Tesoreria</v>
      </c>
      <c r="D521" s="3" t="s">
        <v>1074</v>
      </c>
      <c r="E521" s="14">
        <v>45841</v>
      </c>
      <c r="F521" s="5" t="s">
        <v>1158</v>
      </c>
      <c r="G521" s="5" t="s">
        <v>1087</v>
      </c>
      <c r="H521" s="3" t="s">
        <v>368</v>
      </c>
      <c r="I521" s="6"/>
      <c r="J521" s="56"/>
      <c r="K521" s="6"/>
      <c r="L521" s="6"/>
      <c r="M521" s="7" t="s">
        <v>5177</v>
      </c>
      <c r="N521" s="8" t="str">
        <f>IF(Caja_Arequipa[[#This Row],[TIPO DE R.]]="R","001-"&amp;12002+B521,N520)</f>
        <v>001-12498</v>
      </c>
      <c r="O521" s="8" t="str">
        <f t="shared" si="45"/>
        <v>PEN</v>
      </c>
      <c r="P521" s="13"/>
      <c r="Q521" s="13">
        <v>259.8</v>
      </c>
      <c r="R521" s="3">
        <f t="shared" si="42"/>
        <v>259.8</v>
      </c>
      <c r="S521" s="3">
        <f t="shared" si="43"/>
        <v>0</v>
      </c>
      <c r="T521" s="3">
        <f t="shared" si="44"/>
        <v>1419.899999999999</v>
      </c>
      <c r="U521" s="24"/>
      <c r="V521" s="24"/>
      <c r="W521" s="3"/>
      <c r="X521" s="3"/>
      <c r="Y521" s="3" t="s">
        <v>2673</v>
      </c>
      <c r="Z521" s="3"/>
      <c r="AA521" s="3"/>
      <c r="AB521" s="3"/>
      <c r="AC521" s="3" t="str">
        <f>IF(Caja_Arequipa[[#This Row],[FECHA]]&gt;0,TEXT(Caja_Arequipa[[#This Row],[FECHA]],"mmmm"),0)</f>
        <v>Julio</v>
      </c>
    </row>
    <row r="522" spans="2:29" ht="24" x14ac:dyDescent="0.3">
      <c r="B522" s="54">
        <f>IF(Caja_Arequipa[[#This Row],[TIPO DE R.]]="R",COUNTIFS($D$4:$D521,"R")+1,"")</f>
        <v>497</v>
      </c>
      <c r="C522" s="19" t="str">
        <f t="shared" si="41"/>
        <v>C-Tesoreria</v>
      </c>
      <c r="D522" s="3" t="s">
        <v>1074</v>
      </c>
      <c r="E522" s="14">
        <v>45841</v>
      </c>
      <c r="F522" s="5" t="s">
        <v>1158</v>
      </c>
      <c r="G522" s="5" t="s">
        <v>1079</v>
      </c>
      <c r="H522" s="3" t="s">
        <v>4433</v>
      </c>
      <c r="I522" s="6"/>
      <c r="J522" s="58"/>
      <c r="K522" s="6"/>
      <c r="L522" s="6"/>
      <c r="M522" s="7" t="s">
        <v>4983</v>
      </c>
      <c r="N522" s="8" t="str">
        <f>IF(Caja_Arequipa[[#This Row],[TIPO DE R.]]="R","001-"&amp;12002+B522,N521)</f>
        <v>001-12499</v>
      </c>
      <c r="O522" s="8" t="str">
        <f t="shared" si="45"/>
        <v>PEN</v>
      </c>
      <c r="P522" s="13"/>
      <c r="Q522" s="13">
        <v>68</v>
      </c>
      <c r="R522" s="3">
        <f t="shared" si="42"/>
        <v>0</v>
      </c>
      <c r="S522" s="3">
        <f t="shared" si="43"/>
        <v>68</v>
      </c>
      <c r="T522" s="3">
        <f t="shared" si="44"/>
        <v>1351.899999999999</v>
      </c>
      <c r="U522" s="24"/>
      <c r="V522" s="24"/>
      <c r="W522" s="3"/>
      <c r="X522" s="3" t="s">
        <v>4433</v>
      </c>
      <c r="Y522" s="3" t="s">
        <v>5178</v>
      </c>
      <c r="Z522" s="3"/>
      <c r="AA522" s="3"/>
      <c r="AB522" s="3"/>
      <c r="AC522" s="3" t="str">
        <f>IF(Caja_Arequipa[[#This Row],[FECHA]]&gt;0,TEXT(Caja_Arequipa[[#This Row],[FECHA]],"mmmm"),0)</f>
        <v>Julio</v>
      </c>
    </row>
    <row r="523" spans="2:29" ht="24" x14ac:dyDescent="0.3">
      <c r="B523" s="54" t="str">
        <f>IF(Caja_Arequipa[[#This Row],[TIPO DE R.]]="R",COUNTIFS($D$4:$D522,"R")+1,"")</f>
        <v/>
      </c>
      <c r="C523" s="19" t="str">
        <f t="shared" si="41"/>
        <v>C-Tesoreria</v>
      </c>
      <c r="D523" s="3" t="s">
        <v>1101</v>
      </c>
      <c r="E523" s="14">
        <v>45841</v>
      </c>
      <c r="F523" s="5" t="s">
        <v>1158</v>
      </c>
      <c r="G523" s="5"/>
      <c r="H523" s="3"/>
      <c r="I523" s="6" t="s">
        <v>932</v>
      </c>
      <c r="J523" s="58" t="s">
        <v>14</v>
      </c>
      <c r="K523" s="6" t="s">
        <v>1121</v>
      </c>
      <c r="L523" s="6">
        <v>927</v>
      </c>
      <c r="M523" s="7"/>
      <c r="N523" s="8" t="str">
        <f>IF(Caja_Arequipa[[#This Row],[TIPO DE R.]]="R","001-"&amp;12002+B523,N522)</f>
        <v>001-12499</v>
      </c>
      <c r="O523" s="8" t="str">
        <f>"PEN"</f>
        <v>PEN</v>
      </c>
      <c r="P523" s="13">
        <v>35</v>
      </c>
      <c r="Q523" s="13"/>
      <c r="R523" s="3">
        <f t="shared" si="42"/>
        <v>0</v>
      </c>
      <c r="S523" s="3">
        <f t="shared" si="43"/>
        <v>0</v>
      </c>
      <c r="T523" s="3">
        <f t="shared" si="44"/>
        <v>1351.899999999999</v>
      </c>
      <c r="U523" s="24"/>
      <c r="V523" s="24"/>
      <c r="W523" s="3"/>
      <c r="X523" s="3"/>
      <c r="Y523" s="3"/>
      <c r="Z523" s="3"/>
      <c r="AA523" s="3"/>
      <c r="AB523" s="3"/>
      <c r="AC523" s="3" t="str">
        <f>IF(Caja_Arequipa[[#This Row],[FECHA]]&gt;0,TEXT(Caja_Arequipa[[#This Row],[FECHA]],"mmmm"),0)</f>
        <v>Julio</v>
      </c>
    </row>
    <row r="524" spans="2:29" ht="36" x14ac:dyDescent="0.3">
      <c r="B524" s="54" t="str">
        <f>IF(Caja_Arequipa[[#This Row],[TIPO DE R.]]="R",COUNTIFS($D$4:$D523,"R")+1,"")</f>
        <v/>
      </c>
      <c r="C524" s="19" t="str">
        <f t="shared" si="41"/>
        <v>C-Tesoreria</v>
      </c>
      <c r="D524" s="3" t="s">
        <v>1101</v>
      </c>
      <c r="E524" s="14">
        <v>45841</v>
      </c>
      <c r="F524" s="5" t="s">
        <v>1158</v>
      </c>
      <c r="G524" s="5"/>
      <c r="H524" s="3"/>
      <c r="I524" s="6" t="s">
        <v>440</v>
      </c>
      <c r="J524" s="58" t="s">
        <v>14</v>
      </c>
      <c r="K524" s="6" t="s">
        <v>1148</v>
      </c>
      <c r="L524" s="6">
        <v>20048</v>
      </c>
      <c r="M524" s="7"/>
      <c r="N524" s="8" t="str">
        <f>IF(Caja_Arequipa[[#This Row],[TIPO DE R.]]="R","001-"&amp;12002+B524,N523)</f>
        <v>001-12499</v>
      </c>
      <c r="O524" s="8" t="str">
        <f>"PEN"</f>
        <v>PEN</v>
      </c>
      <c r="P524" s="13">
        <v>33</v>
      </c>
      <c r="Q524" s="13"/>
      <c r="R524" s="3">
        <f t="shared" si="42"/>
        <v>0</v>
      </c>
      <c r="S524" s="3">
        <f t="shared" si="43"/>
        <v>0</v>
      </c>
      <c r="T524" s="3">
        <f t="shared" si="44"/>
        <v>1351.899999999999</v>
      </c>
      <c r="U524" s="24"/>
      <c r="V524" s="24"/>
      <c r="W524" s="3"/>
      <c r="X524" s="3"/>
      <c r="Y524" s="3"/>
      <c r="Z524" s="3"/>
      <c r="AA524" s="3"/>
      <c r="AB524" s="3"/>
      <c r="AC524" s="3" t="str">
        <f>IF(Caja_Arequipa[[#This Row],[FECHA]]&gt;0,TEXT(Caja_Arequipa[[#This Row],[FECHA]],"mmmm"),0)</f>
        <v>Julio</v>
      </c>
    </row>
    <row r="525" spans="2:29" ht="24" x14ac:dyDescent="0.3">
      <c r="B525" s="54">
        <f>IF(Caja_Arequipa[[#This Row],[TIPO DE R.]]="R",COUNTIFS($D$4:$D524,"R")+1,"")</f>
        <v>498</v>
      </c>
      <c r="C525" s="19" t="str">
        <f t="shared" si="41"/>
        <v>C-Tesoreria</v>
      </c>
      <c r="D525" s="3" t="s">
        <v>1074</v>
      </c>
      <c r="E525" s="14">
        <v>45841</v>
      </c>
      <c r="F525" s="5" t="s">
        <v>1158</v>
      </c>
      <c r="G525" s="5" t="s">
        <v>1079</v>
      </c>
      <c r="H525" s="3" t="s">
        <v>4912</v>
      </c>
      <c r="I525" s="6"/>
      <c r="J525" s="57" t="s">
        <v>74</v>
      </c>
      <c r="K525" s="6" t="s">
        <v>5179</v>
      </c>
      <c r="L525" s="6">
        <v>153</v>
      </c>
      <c r="M525" s="7" t="s">
        <v>5180</v>
      </c>
      <c r="N525" s="8" t="str">
        <f>IF(Caja_Arequipa[[#This Row],[TIPO DE R.]]="R","001-"&amp;12002+B525,N524)</f>
        <v>001-12500</v>
      </c>
      <c r="O525" s="8" t="str">
        <f t="shared" si="45"/>
        <v>PEN</v>
      </c>
      <c r="P525" s="13"/>
      <c r="Q525" s="13">
        <v>11</v>
      </c>
      <c r="R525" s="3">
        <f t="shared" si="42"/>
        <v>0</v>
      </c>
      <c r="S525" s="3">
        <f t="shared" si="43"/>
        <v>11</v>
      </c>
      <c r="T525" s="3">
        <f t="shared" si="44"/>
        <v>1340.899999999999</v>
      </c>
      <c r="U525" s="24"/>
      <c r="V525" s="24"/>
      <c r="W525" s="3"/>
      <c r="X525" s="3" t="s">
        <v>4912</v>
      </c>
      <c r="Y525" s="3" t="s">
        <v>5181</v>
      </c>
      <c r="Z525" s="3" t="s">
        <v>5182</v>
      </c>
      <c r="AA525" s="3"/>
      <c r="AB525" s="3"/>
      <c r="AC525" s="3" t="str">
        <f>IF(Caja_Arequipa[[#This Row],[FECHA]]&gt;0,TEXT(Caja_Arequipa[[#This Row],[FECHA]],"mmmm"),0)</f>
        <v>Julio</v>
      </c>
    </row>
    <row r="526" spans="2:29" ht="24" x14ac:dyDescent="0.3">
      <c r="B526" s="54">
        <f>IF(Caja_Arequipa[[#This Row],[TIPO DE R.]]="R",COUNTIFS($D$4:$D525,"R")+1,"")</f>
        <v>499</v>
      </c>
      <c r="C526" s="19" t="str">
        <f t="shared" si="41"/>
        <v>C-Tesoreria</v>
      </c>
      <c r="D526" s="3" t="s">
        <v>1074</v>
      </c>
      <c r="E526" s="14">
        <v>45842</v>
      </c>
      <c r="F526" s="5" t="s">
        <v>1082</v>
      </c>
      <c r="G526" s="5" t="s">
        <v>1079</v>
      </c>
      <c r="H526" s="3" t="s">
        <v>3562</v>
      </c>
      <c r="I526" s="6"/>
      <c r="J526" s="55"/>
      <c r="K526" s="6"/>
      <c r="L526" s="6"/>
      <c r="M526" s="7" t="s">
        <v>5183</v>
      </c>
      <c r="N526" s="8" t="str">
        <f>IF(Caja_Arequipa[[#This Row],[TIPO DE R.]]="R","001-"&amp;12002+B526,N525)</f>
        <v>001-12501</v>
      </c>
      <c r="O526" s="8" t="str">
        <f t="shared" si="45"/>
        <v>PEN</v>
      </c>
      <c r="P526" s="13"/>
      <c r="Q526" s="13">
        <v>38</v>
      </c>
      <c r="R526" s="3">
        <f t="shared" si="42"/>
        <v>0</v>
      </c>
      <c r="S526" s="3">
        <f t="shared" si="43"/>
        <v>38</v>
      </c>
      <c r="T526" s="3">
        <f t="shared" si="44"/>
        <v>1302.899999999999</v>
      </c>
      <c r="U526" s="24"/>
      <c r="V526" s="24"/>
      <c r="W526" s="3"/>
      <c r="X526" s="3" t="s">
        <v>3562</v>
      </c>
      <c r="Y526" s="3" t="s">
        <v>5184</v>
      </c>
      <c r="Z526" s="3"/>
      <c r="AA526" s="3"/>
      <c r="AB526" s="3"/>
      <c r="AC526" s="3" t="str">
        <f>IF(Caja_Arequipa[[#This Row],[FECHA]]&gt;0,TEXT(Caja_Arequipa[[#This Row],[FECHA]],"mmmm"),0)</f>
        <v>Julio</v>
      </c>
    </row>
    <row r="527" spans="2:29" x14ac:dyDescent="0.3">
      <c r="B527" s="54" t="str">
        <f>IF(Caja_Arequipa[[#This Row],[TIPO DE R.]]="R",COUNTIFS($D$4:$D526,"R")+1,"")</f>
        <v/>
      </c>
      <c r="C527" s="19" t="str">
        <f t="shared" si="41"/>
        <v>C-Tesoreria</v>
      </c>
      <c r="D527" s="3" t="s">
        <v>1101</v>
      </c>
      <c r="E527" s="14">
        <v>45842</v>
      </c>
      <c r="F527" s="5" t="s">
        <v>1082</v>
      </c>
      <c r="G527" s="5" t="s">
        <v>1079</v>
      </c>
      <c r="H527" s="3"/>
      <c r="I527" s="6"/>
      <c r="J527" s="55" t="s">
        <v>55</v>
      </c>
      <c r="K527" s="6">
        <v>3</v>
      </c>
      <c r="L527" s="6">
        <v>245</v>
      </c>
      <c r="M527" s="7" t="s">
        <v>5183</v>
      </c>
      <c r="N527" s="8" t="str">
        <f>IF(Caja_Arequipa[[#This Row],[TIPO DE R.]]="R","001-"&amp;12002+B527,N526)</f>
        <v>001-12501</v>
      </c>
      <c r="O527" s="8" t="str">
        <f>"PEN"</f>
        <v>PEN</v>
      </c>
      <c r="P527" s="13">
        <v>35</v>
      </c>
      <c r="Q527" s="13"/>
      <c r="R527" s="3">
        <f t="shared" si="42"/>
        <v>0</v>
      </c>
      <c r="S527" s="3">
        <f t="shared" si="43"/>
        <v>0</v>
      </c>
      <c r="T527" s="3">
        <f t="shared" si="44"/>
        <v>1302.899999999999</v>
      </c>
      <c r="U527" s="24"/>
      <c r="V527" s="24"/>
      <c r="W527" s="3"/>
      <c r="X527" s="3"/>
      <c r="Y527" s="3"/>
      <c r="Z527" s="3"/>
      <c r="AA527" s="3"/>
      <c r="AB527" s="3"/>
      <c r="AC527" s="3" t="str">
        <f>IF(Caja_Arequipa[[#This Row],[FECHA]]&gt;0,TEXT(Caja_Arequipa[[#This Row],[FECHA]],"mmmm"),0)</f>
        <v>Julio</v>
      </c>
    </row>
    <row r="528" spans="2:29" x14ac:dyDescent="0.3">
      <c r="B528" s="54" t="str">
        <f>IF(Caja_Arequipa[[#This Row],[TIPO DE R.]]="R",COUNTIFS($D$4:$D527,"R")+1,"")</f>
        <v/>
      </c>
      <c r="C528" s="19" t="str">
        <f t="shared" si="41"/>
        <v>C-Tesoreria</v>
      </c>
      <c r="D528" s="3" t="s">
        <v>1101</v>
      </c>
      <c r="E528" s="14">
        <v>45842</v>
      </c>
      <c r="F528" s="5" t="s">
        <v>1082</v>
      </c>
      <c r="G528" s="5" t="s">
        <v>1079</v>
      </c>
      <c r="H528" s="3"/>
      <c r="I528" s="6"/>
      <c r="J528" s="55" t="s">
        <v>55</v>
      </c>
      <c r="K528" s="6">
        <v>3</v>
      </c>
      <c r="L528" s="6">
        <v>244</v>
      </c>
      <c r="M528" s="7" t="s">
        <v>5183</v>
      </c>
      <c r="N528" s="8" t="str">
        <f>IF(Caja_Arequipa[[#This Row],[TIPO DE R.]]="R","001-"&amp;12002+B528,N527)</f>
        <v>001-12501</v>
      </c>
      <c r="O528" s="8" t="str">
        <f>"PEN"</f>
        <v>PEN</v>
      </c>
      <c r="P528" s="13">
        <v>3</v>
      </c>
      <c r="Q528" s="13"/>
      <c r="R528" s="3">
        <f t="shared" si="42"/>
        <v>0</v>
      </c>
      <c r="S528" s="3">
        <f t="shared" si="43"/>
        <v>0</v>
      </c>
      <c r="T528" s="3">
        <f t="shared" si="44"/>
        <v>1302.899999999999</v>
      </c>
      <c r="U528" s="24"/>
      <c r="V528" s="24"/>
      <c r="W528" s="3"/>
      <c r="X528" s="3"/>
      <c r="Y528" s="3"/>
      <c r="Z528" s="3"/>
      <c r="AA528" s="3"/>
      <c r="AB528" s="3"/>
      <c r="AC528" s="3" t="str">
        <f>IF(Caja_Arequipa[[#This Row],[FECHA]]&gt;0,TEXT(Caja_Arequipa[[#This Row],[FECHA]],"mmmm"),0)</f>
        <v>Julio</v>
      </c>
    </row>
    <row r="529" spans="2:29" x14ac:dyDescent="0.3">
      <c r="B529" s="54">
        <f>IF(Caja_Arequipa[[#This Row],[TIPO DE R.]]="R",COUNTIFS($D$4:$D528,"R")+1,"")</f>
        <v>500</v>
      </c>
      <c r="C529" s="19" t="str">
        <f t="shared" si="41"/>
        <v>C-Tesoreria</v>
      </c>
      <c r="D529" s="3" t="s">
        <v>1074</v>
      </c>
      <c r="E529" s="14">
        <v>45842</v>
      </c>
      <c r="F529" s="5" t="s">
        <v>1158</v>
      </c>
      <c r="G529" s="5" t="s">
        <v>1079</v>
      </c>
      <c r="H529" s="3" t="s">
        <v>4305</v>
      </c>
      <c r="I529" s="6"/>
      <c r="J529" s="58"/>
      <c r="K529" s="6"/>
      <c r="L529" s="6"/>
      <c r="M529" s="7" t="s">
        <v>5185</v>
      </c>
      <c r="N529" s="8" t="str">
        <f>IF(Caja_Arequipa[[#This Row],[TIPO DE R.]]="R","001-"&amp;12002+B529,N528)</f>
        <v>001-12502</v>
      </c>
      <c r="O529" s="8" t="str">
        <f t="shared" si="45"/>
        <v>PEN</v>
      </c>
      <c r="P529" s="13"/>
      <c r="Q529" s="13">
        <v>40</v>
      </c>
      <c r="R529" s="3">
        <f t="shared" si="42"/>
        <v>0</v>
      </c>
      <c r="S529" s="3">
        <f t="shared" si="43"/>
        <v>40</v>
      </c>
      <c r="T529" s="3">
        <f t="shared" si="44"/>
        <v>1262.899999999999</v>
      </c>
      <c r="U529" s="24"/>
      <c r="V529" s="24"/>
      <c r="W529" s="3"/>
      <c r="X529" s="3" t="s">
        <v>4305</v>
      </c>
      <c r="Y529" s="3" t="s">
        <v>5186</v>
      </c>
      <c r="Z529" s="3"/>
      <c r="AA529" s="3"/>
      <c r="AB529" s="3"/>
      <c r="AC529" s="3" t="str">
        <f>IF(Caja_Arequipa[[#This Row],[FECHA]]&gt;0,TEXT(Caja_Arequipa[[#This Row],[FECHA]],"mmmm"),0)</f>
        <v>Julio</v>
      </c>
    </row>
    <row r="530" spans="2:29" ht="24" x14ac:dyDescent="0.3">
      <c r="B530" s="54" t="str">
        <f>IF(Caja_Arequipa[[#This Row],[TIPO DE R.]]="R",COUNTIFS($D$4:$D529,"R")+1,"")</f>
        <v/>
      </c>
      <c r="C530" s="19" t="str">
        <f t="shared" si="41"/>
        <v>C-Tesoreria</v>
      </c>
      <c r="D530" s="3" t="s">
        <v>1101</v>
      </c>
      <c r="E530" s="14">
        <v>45842</v>
      </c>
      <c r="F530" s="5" t="s">
        <v>1158</v>
      </c>
      <c r="G530" s="5"/>
      <c r="H530" s="3"/>
      <c r="I530" s="6" t="s">
        <v>915</v>
      </c>
      <c r="J530" s="58" t="s">
        <v>14</v>
      </c>
      <c r="K530" s="6" t="s">
        <v>5137</v>
      </c>
      <c r="L530" s="6">
        <v>5276</v>
      </c>
      <c r="M530" s="7" t="s">
        <v>5187</v>
      </c>
      <c r="N530" s="8" t="str">
        <f>IF(Caja_Arequipa[[#This Row],[TIPO DE R.]]="R","001-"&amp;12002+B530,N529)</f>
        <v>001-12502</v>
      </c>
      <c r="O530" s="8" t="str">
        <f>"PEN"</f>
        <v>PEN</v>
      </c>
      <c r="P530" s="13">
        <v>20</v>
      </c>
      <c r="Q530" s="13"/>
      <c r="R530" s="3">
        <f t="shared" si="42"/>
        <v>0</v>
      </c>
      <c r="S530" s="3">
        <f t="shared" si="43"/>
        <v>0</v>
      </c>
      <c r="T530" s="3">
        <f t="shared" si="44"/>
        <v>1262.899999999999</v>
      </c>
      <c r="U530" s="24"/>
      <c r="V530" s="24"/>
      <c r="W530" s="3"/>
      <c r="X530" s="3"/>
      <c r="Y530" s="3"/>
      <c r="Z530" s="3"/>
      <c r="AA530" s="3"/>
      <c r="AB530" s="3"/>
      <c r="AC530" s="3" t="str">
        <f>IF(Caja_Arequipa[[#This Row],[FECHA]]&gt;0,TEXT(Caja_Arequipa[[#This Row],[FECHA]],"mmmm"),0)</f>
        <v>Julio</v>
      </c>
    </row>
    <row r="531" spans="2:29" ht="24" x14ac:dyDescent="0.3">
      <c r="B531" s="54" t="str">
        <f>IF(Caja_Arequipa[[#This Row],[TIPO DE R.]]="R",COUNTIFS($D$4:$D530,"R")+1,"")</f>
        <v/>
      </c>
      <c r="C531" s="19" t="str">
        <f t="shared" si="41"/>
        <v>C-Tesoreria</v>
      </c>
      <c r="D531" s="3" t="s">
        <v>1101</v>
      </c>
      <c r="E531" s="14">
        <v>45842</v>
      </c>
      <c r="F531" s="5" t="s">
        <v>1158</v>
      </c>
      <c r="G531" s="5"/>
      <c r="H531" s="3"/>
      <c r="I531" s="6" t="s">
        <v>894</v>
      </c>
      <c r="J531" s="58" t="s">
        <v>55</v>
      </c>
      <c r="K531" s="6">
        <v>3</v>
      </c>
      <c r="L531" s="6">
        <v>250</v>
      </c>
      <c r="M531" s="7" t="s">
        <v>5187</v>
      </c>
      <c r="N531" s="8" t="str">
        <f>IF(Caja_Arequipa[[#This Row],[TIPO DE R.]]="R","001-"&amp;12002+B531,N530)</f>
        <v>001-12502</v>
      </c>
      <c r="O531" s="8" t="str">
        <f>"PEN"</f>
        <v>PEN</v>
      </c>
      <c r="P531" s="13">
        <v>20</v>
      </c>
      <c r="Q531" s="13"/>
      <c r="R531" s="3">
        <f t="shared" si="42"/>
        <v>0</v>
      </c>
      <c r="S531" s="3">
        <f t="shared" si="43"/>
        <v>0</v>
      </c>
      <c r="T531" s="3">
        <f t="shared" si="44"/>
        <v>1262.899999999999</v>
      </c>
      <c r="U531" s="24"/>
      <c r="V531" s="24"/>
      <c r="W531" s="3"/>
      <c r="X531" s="3"/>
      <c r="Y531" s="3"/>
      <c r="Z531" s="3"/>
      <c r="AA531" s="3"/>
      <c r="AB531" s="3"/>
      <c r="AC531" s="3" t="str">
        <f>IF(Caja_Arequipa[[#This Row],[FECHA]]&gt;0,TEXT(Caja_Arequipa[[#This Row],[FECHA]],"mmmm"),0)</f>
        <v>Julio</v>
      </c>
    </row>
    <row r="532" spans="2:29" ht="24" x14ac:dyDescent="0.3">
      <c r="B532" s="54">
        <f>IF(Caja_Arequipa[[#This Row],[TIPO DE R.]]="R",COUNTIFS($D$4:$D531,"R")+1,"")</f>
        <v>501</v>
      </c>
      <c r="C532" s="19" t="str">
        <f t="shared" si="41"/>
        <v>C-Tesoreria</v>
      </c>
      <c r="D532" s="3" t="s">
        <v>1074</v>
      </c>
      <c r="E532" s="14">
        <v>45842</v>
      </c>
      <c r="F532" s="5" t="s">
        <v>1082</v>
      </c>
      <c r="G532" s="5" t="s">
        <v>1079</v>
      </c>
      <c r="H532" s="3" t="s">
        <v>5188</v>
      </c>
      <c r="I532" s="6" t="s">
        <v>918</v>
      </c>
      <c r="J532" s="58" t="s">
        <v>14</v>
      </c>
      <c r="K532" s="6" t="s">
        <v>5189</v>
      </c>
      <c r="L532" s="6">
        <v>17266</v>
      </c>
      <c r="M532" s="7" t="s">
        <v>5190</v>
      </c>
      <c r="N532" s="8" t="str">
        <f>IF(Caja_Arequipa[[#This Row],[TIPO DE R.]]="R","001-"&amp;12002+B532,N531)</f>
        <v>001-12503</v>
      </c>
      <c r="O532" s="8" t="str">
        <f t="shared" si="45"/>
        <v>PEN</v>
      </c>
      <c r="P532" s="13"/>
      <c r="Q532" s="13">
        <v>11.5</v>
      </c>
      <c r="R532" s="3">
        <f t="shared" si="42"/>
        <v>0</v>
      </c>
      <c r="S532" s="3">
        <f t="shared" si="43"/>
        <v>11.5</v>
      </c>
      <c r="T532" s="3">
        <f t="shared" si="44"/>
        <v>1251.399999999999</v>
      </c>
      <c r="U532" s="24"/>
      <c r="V532" s="24"/>
      <c r="W532" s="3"/>
      <c r="X532" s="3" t="s">
        <v>5188</v>
      </c>
      <c r="Y532" s="3" t="s">
        <v>5191</v>
      </c>
      <c r="Z532" s="3"/>
      <c r="AA532" s="3"/>
      <c r="AB532" s="3"/>
      <c r="AC532" s="3" t="str">
        <f>IF(Caja_Arequipa[[#This Row],[FECHA]]&gt;0,TEXT(Caja_Arequipa[[#This Row],[FECHA]],"mmmm"),0)</f>
        <v>Julio</v>
      </c>
    </row>
    <row r="533" spans="2:29" ht="24" x14ac:dyDescent="0.3">
      <c r="B533" s="54">
        <f>IF(Caja_Arequipa[[#This Row],[TIPO DE R.]]="R",COUNTIFS($D$4:$D532,"R")+1,"")</f>
        <v>502</v>
      </c>
      <c r="C533" s="19" t="str">
        <f t="shared" si="41"/>
        <v>C-Tesoreria</v>
      </c>
      <c r="D533" s="3" t="s">
        <v>1074</v>
      </c>
      <c r="E533" s="14">
        <v>45842</v>
      </c>
      <c r="F533" s="5" t="s">
        <v>1158</v>
      </c>
      <c r="G533" s="5" t="s">
        <v>1079</v>
      </c>
      <c r="H533" s="3" t="s">
        <v>4357</v>
      </c>
      <c r="I533" s="6"/>
      <c r="J533" s="58"/>
      <c r="K533" s="6"/>
      <c r="L533" s="6"/>
      <c r="M533" s="7" t="s">
        <v>4983</v>
      </c>
      <c r="N533" s="8" t="str">
        <f>IF(Caja_Arequipa[[#This Row],[TIPO DE R.]]="R","001-"&amp;12002+B533,N532)</f>
        <v>001-12504</v>
      </c>
      <c r="O533" s="8" t="str">
        <f t="shared" si="45"/>
        <v>PEN</v>
      </c>
      <c r="P533" s="13"/>
      <c r="Q533" s="13">
        <v>31</v>
      </c>
      <c r="R533" s="3">
        <f t="shared" si="42"/>
        <v>0</v>
      </c>
      <c r="S533" s="3">
        <f t="shared" si="43"/>
        <v>31</v>
      </c>
      <c r="T533" s="3">
        <f t="shared" si="44"/>
        <v>1220.399999999999</v>
      </c>
      <c r="U533" s="24"/>
      <c r="V533" s="24"/>
      <c r="W533" s="3"/>
      <c r="X533" s="3" t="s">
        <v>4357</v>
      </c>
      <c r="Y533" s="3" t="s">
        <v>5192</v>
      </c>
      <c r="Z533" s="3"/>
      <c r="AA533" s="3"/>
      <c r="AB533" s="3"/>
      <c r="AC533" s="3" t="str">
        <f>IF(Caja_Arequipa[[#This Row],[FECHA]]&gt;0,TEXT(Caja_Arequipa[[#This Row],[FECHA]],"mmmm"),0)</f>
        <v>Julio</v>
      </c>
    </row>
    <row r="534" spans="2:29" ht="24" x14ac:dyDescent="0.3">
      <c r="B534" s="54" t="str">
        <f>IF(Caja_Arequipa[[#This Row],[TIPO DE R.]]="R",COUNTIFS($D$4:$D533,"R")+1,"")</f>
        <v/>
      </c>
      <c r="C534" s="19" t="str">
        <f t="shared" si="41"/>
        <v>C-Tesoreria</v>
      </c>
      <c r="D534" s="3" t="s">
        <v>1101</v>
      </c>
      <c r="E534" s="14">
        <v>45842</v>
      </c>
      <c r="F534" s="5" t="s">
        <v>1158</v>
      </c>
      <c r="G534" s="5"/>
      <c r="H534" s="3"/>
      <c r="I534" s="6" t="s">
        <v>626</v>
      </c>
      <c r="J534" s="58" t="s">
        <v>14</v>
      </c>
      <c r="K534" s="6" t="s">
        <v>1119</v>
      </c>
      <c r="L534" s="6">
        <v>6607</v>
      </c>
      <c r="M534" s="7" t="s">
        <v>4983</v>
      </c>
      <c r="N534" s="8" t="str">
        <f>IF(Caja_Arequipa[[#This Row],[TIPO DE R.]]="R","001-"&amp;12002+B534,N533)</f>
        <v>001-12504</v>
      </c>
      <c r="O534" s="8" t="str">
        <f t="shared" ref="O534:O535" si="46">"PEN"</f>
        <v>PEN</v>
      </c>
      <c r="P534" s="13">
        <v>24.5</v>
      </c>
      <c r="Q534" s="13"/>
      <c r="R534" s="3">
        <f t="shared" si="42"/>
        <v>0</v>
      </c>
      <c r="S534" s="3">
        <f t="shared" si="43"/>
        <v>0</v>
      </c>
      <c r="T534" s="3">
        <f t="shared" si="44"/>
        <v>1220.399999999999</v>
      </c>
      <c r="U534" s="24"/>
      <c r="V534" s="24"/>
      <c r="W534" s="3"/>
      <c r="X534" s="3"/>
      <c r="Y534" s="3"/>
      <c r="Z534" s="3"/>
      <c r="AA534" s="3"/>
      <c r="AB534" s="3"/>
      <c r="AC534" s="3" t="str">
        <f>IF(Caja_Arequipa[[#This Row],[FECHA]]&gt;0,TEXT(Caja_Arequipa[[#This Row],[FECHA]],"mmmm"),0)</f>
        <v>Julio</v>
      </c>
    </row>
    <row r="535" spans="2:29" ht="48" x14ac:dyDescent="0.3">
      <c r="B535" s="54" t="str">
        <f>IF(Caja_Arequipa[[#This Row],[TIPO DE R.]]="R",COUNTIFS($D$4:$D534,"R")+1,"")</f>
        <v/>
      </c>
      <c r="C535" s="19" t="str">
        <f t="shared" si="41"/>
        <v>C-Tesoreria</v>
      </c>
      <c r="D535" s="3" t="s">
        <v>1101</v>
      </c>
      <c r="E535" s="14">
        <v>45842</v>
      </c>
      <c r="F535" s="5" t="s">
        <v>1158</v>
      </c>
      <c r="G535" s="5"/>
      <c r="H535" s="3"/>
      <c r="I535" s="6" t="s">
        <v>916</v>
      </c>
      <c r="J535" s="58" t="s">
        <v>14</v>
      </c>
      <c r="K535" s="6" t="s">
        <v>1119</v>
      </c>
      <c r="L535" s="6">
        <v>947</v>
      </c>
      <c r="M535" s="7" t="s">
        <v>4983</v>
      </c>
      <c r="N535" s="8" t="str">
        <f>IF(Caja_Arequipa[[#This Row],[TIPO DE R.]]="R","001-"&amp;12002+B535,N534)</f>
        <v>001-12504</v>
      </c>
      <c r="O535" s="8" t="str">
        <f t="shared" si="46"/>
        <v>PEN</v>
      </c>
      <c r="P535" s="13">
        <v>6.5</v>
      </c>
      <c r="Q535" s="13"/>
      <c r="R535" s="3">
        <f t="shared" si="42"/>
        <v>0</v>
      </c>
      <c r="S535" s="3">
        <f t="shared" si="43"/>
        <v>0</v>
      </c>
      <c r="T535" s="3">
        <f t="shared" si="44"/>
        <v>1220.399999999999</v>
      </c>
      <c r="U535" s="24"/>
      <c r="V535" s="24"/>
      <c r="W535" s="3"/>
      <c r="X535" s="3"/>
      <c r="Y535" s="3"/>
      <c r="Z535" s="3"/>
      <c r="AA535" s="3"/>
      <c r="AB535" s="3"/>
      <c r="AC535" s="3" t="str">
        <f>IF(Caja_Arequipa[[#This Row],[FECHA]]&gt;0,TEXT(Caja_Arequipa[[#This Row],[FECHA]],"mmmm"),0)</f>
        <v>Julio</v>
      </c>
    </row>
    <row r="536" spans="2:29" ht="24" x14ac:dyDescent="0.3">
      <c r="B536" s="54">
        <f>IF(Caja_Arequipa[[#This Row],[TIPO DE R.]]="R",COUNTIFS($D$4:$D535,"R")+1,"")</f>
        <v>503</v>
      </c>
      <c r="C536" s="19" t="str">
        <f t="shared" si="41"/>
        <v>C-Tesoreria</v>
      </c>
      <c r="D536" s="3" t="s">
        <v>1074</v>
      </c>
      <c r="E536" s="14">
        <v>45846</v>
      </c>
      <c r="F536" s="5" t="s">
        <v>1158</v>
      </c>
      <c r="G536" s="5" t="s">
        <v>1079</v>
      </c>
      <c r="H536" s="3" t="s">
        <v>4912</v>
      </c>
      <c r="I536" s="6" t="s">
        <v>620</v>
      </c>
      <c r="J536" s="58" t="s">
        <v>21</v>
      </c>
      <c r="K536" s="6">
        <v>1</v>
      </c>
      <c r="L536" s="6">
        <v>4379</v>
      </c>
      <c r="M536" s="7" t="s">
        <v>5193</v>
      </c>
      <c r="N536" s="8" t="str">
        <f>IF(Caja_Arequipa[[#This Row],[TIPO DE R.]]="R","001-"&amp;12002+B536,N535)</f>
        <v>001-12505</v>
      </c>
      <c r="O536" s="8" t="str">
        <f t="shared" ref="O536:O544" si="47">"PEN"</f>
        <v>PEN</v>
      </c>
      <c r="P536" s="13"/>
      <c r="Q536" s="13">
        <v>10</v>
      </c>
      <c r="R536" s="3">
        <f t="shared" si="42"/>
        <v>0</v>
      </c>
      <c r="S536" s="3">
        <f t="shared" si="43"/>
        <v>10</v>
      </c>
      <c r="T536" s="3">
        <f t="shared" si="44"/>
        <v>1210.399999999999</v>
      </c>
      <c r="U536" s="24"/>
      <c r="V536" s="24"/>
      <c r="W536" s="3"/>
      <c r="X536" s="3" t="s">
        <v>4912</v>
      </c>
      <c r="Y536" s="3"/>
      <c r="Z536" s="3"/>
      <c r="AA536" s="3"/>
      <c r="AB536" s="3"/>
      <c r="AC536" s="3" t="str">
        <f>IF(Caja_Arequipa[[#This Row],[FECHA]]&gt;0,TEXT(Caja_Arequipa[[#This Row],[FECHA]],"mmmm"),0)</f>
        <v>Julio</v>
      </c>
    </row>
    <row r="537" spans="2:29" ht="24" x14ac:dyDescent="0.3">
      <c r="B537" s="54">
        <f>IF(Caja_Arequipa[[#This Row],[TIPO DE R.]]="R",COUNTIFS($D$4:$D536,"R")+1,"")</f>
        <v>504</v>
      </c>
      <c r="C537" s="19" t="str">
        <f t="shared" si="41"/>
        <v>C-Tesoreria</v>
      </c>
      <c r="D537" s="3" t="s">
        <v>1074</v>
      </c>
      <c r="E537" s="14">
        <v>45846</v>
      </c>
      <c r="F537" s="5" t="s">
        <v>1158</v>
      </c>
      <c r="G537" s="5" t="s">
        <v>1079</v>
      </c>
      <c r="H537" s="3" t="s">
        <v>4329</v>
      </c>
      <c r="I537" s="6" t="s">
        <v>823</v>
      </c>
      <c r="J537" s="55" t="s">
        <v>55</v>
      </c>
      <c r="K537" s="6">
        <v>3</v>
      </c>
      <c r="L537" s="6">
        <v>246</v>
      </c>
      <c r="M537" s="7" t="s">
        <v>5194</v>
      </c>
      <c r="N537" s="8" t="str">
        <f>IF(Caja_Arequipa[[#This Row],[TIPO DE R.]]="R","001-"&amp;12002+B537,N536)</f>
        <v>001-12506</v>
      </c>
      <c r="O537" s="8" t="str">
        <f t="shared" si="47"/>
        <v>PEN</v>
      </c>
      <c r="P537" s="13"/>
      <c r="Q537" s="13">
        <v>40</v>
      </c>
      <c r="R537" s="3">
        <f t="shared" si="42"/>
        <v>0</v>
      </c>
      <c r="S537" s="3">
        <f t="shared" si="43"/>
        <v>40</v>
      </c>
      <c r="T537" s="3">
        <f t="shared" si="44"/>
        <v>1170.399999999999</v>
      </c>
      <c r="U537" s="24"/>
      <c r="V537" s="24"/>
      <c r="W537" s="3"/>
      <c r="X537" s="3" t="s">
        <v>4329</v>
      </c>
      <c r="Y537" s="3"/>
      <c r="Z537" s="3"/>
      <c r="AA537" s="3"/>
      <c r="AB537" s="3"/>
      <c r="AC537" s="3" t="str">
        <f>IF(Caja_Arequipa[[#This Row],[FECHA]]&gt;0,TEXT(Caja_Arequipa[[#This Row],[FECHA]],"mmmm"),0)</f>
        <v>Julio</v>
      </c>
    </row>
    <row r="538" spans="2:29" ht="24" x14ac:dyDescent="0.3">
      <c r="B538" s="54" t="str">
        <f>IF(Caja_Arequipa[[#This Row],[TIPO DE R.]]="R",COUNTIFS($D$4:$D537,"R")+1,"")</f>
        <v/>
      </c>
      <c r="C538" s="19" t="str">
        <f>"C-Tesoreria"</f>
        <v>C-Tesoreria</v>
      </c>
      <c r="D538" s="3" t="s">
        <v>1101</v>
      </c>
      <c r="E538" s="14">
        <v>45846</v>
      </c>
      <c r="F538" s="5" t="s">
        <v>1158</v>
      </c>
      <c r="G538" s="5"/>
      <c r="H538" s="3"/>
      <c r="I538" s="6" t="s">
        <v>823</v>
      </c>
      <c r="J538" s="55" t="s">
        <v>55</v>
      </c>
      <c r="K538" s="6">
        <v>3</v>
      </c>
      <c r="L538" s="6">
        <v>251</v>
      </c>
      <c r="M538" s="7" t="s">
        <v>5194</v>
      </c>
      <c r="N538" s="8" t="str">
        <f>IF(Caja_Arequipa[[#This Row],[TIPO DE R.]]="R","001-"&amp;12002+B538,N537)</f>
        <v>001-12506</v>
      </c>
      <c r="O538" s="8" t="str">
        <f>"PEN"</f>
        <v>PEN</v>
      </c>
      <c r="P538" s="13">
        <v>20</v>
      </c>
      <c r="Q538" s="13"/>
      <c r="R538" s="3">
        <f t="shared" si="42"/>
        <v>0</v>
      </c>
      <c r="S538" s="3">
        <f t="shared" si="43"/>
        <v>0</v>
      </c>
      <c r="T538" s="3">
        <f t="shared" si="44"/>
        <v>1170.399999999999</v>
      </c>
      <c r="U538" s="24"/>
      <c r="V538" s="24"/>
      <c r="W538" s="3"/>
      <c r="X538" s="3"/>
      <c r="Y538" s="3"/>
      <c r="Z538" s="3"/>
      <c r="AA538" s="3"/>
      <c r="AB538" s="3"/>
      <c r="AC538" s="3" t="str">
        <f>IF(Caja_Arequipa[[#This Row],[FECHA]]&gt;0,TEXT(Caja_Arequipa[[#This Row],[FECHA]],"mmmm"),0)</f>
        <v>Julio</v>
      </c>
    </row>
    <row r="539" spans="2:29" ht="24" x14ac:dyDescent="0.3">
      <c r="B539" s="54" t="str">
        <f>IF(Caja_Arequipa[[#This Row],[TIPO DE R.]]="R",COUNTIFS($D$4:$D538,"R")+1,"")</f>
        <v/>
      </c>
      <c r="C539" s="19" t="str">
        <f>"C-Tesoreria"</f>
        <v>C-Tesoreria</v>
      </c>
      <c r="D539" s="3" t="s">
        <v>1101</v>
      </c>
      <c r="E539" s="14">
        <v>45846</v>
      </c>
      <c r="F539" s="5" t="s">
        <v>1158</v>
      </c>
      <c r="G539" s="5"/>
      <c r="H539" s="3"/>
      <c r="I539" s="6" t="s">
        <v>863</v>
      </c>
      <c r="J539" s="55" t="s">
        <v>55</v>
      </c>
      <c r="K539" s="6">
        <v>3</v>
      </c>
      <c r="L539" s="6">
        <v>246</v>
      </c>
      <c r="M539" s="7" t="s">
        <v>5194</v>
      </c>
      <c r="N539" s="8" t="str">
        <f>IF(Caja_Arequipa[[#This Row],[TIPO DE R.]]="R","001-"&amp;12002+B539,N538)</f>
        <v>001-12506</v>
      </c>
      <c r="O539" s="8" t="str">
        <f>"PEN"</f>
        <v>PEN</v>
      </c>
      <c r="P539" s="13">
        <v>20</v>
      </c>
      <c r="Q539" s="13"/>
      <c r="R539" s="3">
        <f t="shared" si="42"/>
        <v>0</v>
      </c>
      <c r="S539" s="3">
        <f t="shared" si="43"/>
        <v>0</v>
      </c>
      <c r="T539" s="3">
        <f t="shared" si="44"/>
        <v>1170.399999999999</v>
      </c>
      <c r="U539" s="24"/>
      <c r="V539" s="24"/>
      <c r="W539" s="3"/>
      <c r="X539" s="3"/>
      <c r="Y539" s="3"/>
      <c r="Z539" s="3"/>
      <c r="AA539" s="3"/>
      <c r="AB539" s="3"/>
      <c r="AC539" s="3" t="str">
        <f>IF(Caja_Arequipa[[#This Row],[FECHA]]&gt;0,TEXT(Caja_Arequipa[[#This Row],[FECHA]],"mmmm"),0)</f>
        <v>Julio</v>
      </c>
    </row>
    <row r="540" spans="2:29" ht="24" x14ac:dyDescent="0.3">
      <c r="B540" s="54">
        <f>IF(Caja_Arequipa[[#This Row],[TIPO DE R.]]="R",COUNTIFS($D$4:$D539,"R")+1,"")</f>
        <v>505</v>
      </c>
      <c r="C540" s="19" t="str">
        <f t="shared" si="41"/>
        <v>C-Tesoreria</v>
      </c>
      <c r="D540" s="3" t="s">
        <v>1074</v>
      </c>
      <c r="E540" s="14">
        <v>45846</v>
      </c>
      <c r="F540" s="5" t="s">
        <v>1158</v>
      </c>
      <c r="G540" s="5" t="s">
        <v>1079</v>
      </c>
      <c r="H540" s="3" t="s">
        <v>4912</v>
      </c>
      <c r="I540" s="6" t="s">
        <v>908</v>
      </c>
      <c r="J540" s="55" t="s">
        <v>55</v>
      </c>
      <c r="K540" s="6">
        <v>3</v>
      </c>
      <c r="L540" s="6">
        <v>247</v>
      </c>
      <c r="M540" s="7" t="s">
        <v>5194</v>
      </c>
      <c r="N540" s="8" t="str">
        <f>IF(Caja_Arequipa[[#This Row],[TIPO DE R.]]="R","001-"&amp;12002+B540,N539)</f>
        <v>001-12507</v>
      </c>
      <c r="O540" s="8" t="str">
        <f t="shared" si="47"/>
        <v>PEN</v>
      </c>
      <c r="P540" s="13"/>
      <c r="Q540" s="13">
        <v>20</v>
      </c>
      <c r="R540" s="3">
        <f t="shared" si="42"/>
        <v>0</v>
      </c>
      <c r="S540" s="3">
        <f t="shared" si="43"/>
        <v>20</v>
      </c>
      <c r="T540" s="3">
        <f t="shared" si="44"/>
        <v>1150.399999999999</v>
      </c>
      <c r="U540" s="24"/>
      <c r="V540" s="24"/>
      <c r="W540" s="3"/>
      <c r="X540" s="3" t="s">
        <v>4912</v>
      </c>
      <c r="Y540" s="3"/>
      <c r="Z540" s="3"/>
      <c r="AA540" s="3"/>
      <c r="AB540" s="3"/>
      <c r="AC540" s="3" t="str">
        <f>IF(Caja_Arequipa[[#This Row],[FECHA]]&gt;0,TEXT(Caja_Arequipa[[#This Row],[FECHA]],"mmmm"),0)</f>
        <v>Julio</v>
      </c>
    </row>
    <row r="541" spans="2:29" ht="24" x14ac:dyDescent="0.3">
      <c r="B541" s="54">
        <f>IF(Caja_Arequipa[[#This Row],[TIPO DE R.]]="R",COUNTIFS($D$4:$D540,"R")+1,"")</f>
        <v>506</v>
      </c>
      <c r="C541" s="19" t="str">
        <f t="shared" si="41"/>
        <v>C-Tesoreria</v>
      </c>
      <c r="D541" s="3" t="s">
        <v>1074</v>
      </c>
      <c r="E541" s="14">
        <v>45846</v>
      </c>
      <c r="F541" s="5" t="s">
        <v>1158</v>
      </c>
      <c r="G541" s="5" t="s">
        <v>1079</v>
      </c>
      <c r="H541" s="3" t="s">
        <v>4371</v>
      </c>
      <c r="I541" s="6" t="s">
        <v>731</v>
      </c>
      <c r="J541" s="55" t="s">
        <v>55</v>
      </c>
      <c r="K541" s="6">
        <v>3</v>
      </c>
      <c r="L541" s="6">
        <v>248</v>
      </c>
      <c r="M541" s="7" t="s">
        <v>5195</v>
      </c>
      <c r="N541" s="8" t="str">
        <f>IF(Caja_Arequipa[[#This Row],[TIPO DE R.]]="R","001-"&amp;12002+B541,N540)</f>
        <v>001-12508</v>
      </c>
      <c r="O541" s="8" t="str">
        <f t="shared" si="47"/>
        <v>PEN</v>
      </c>
      <c r="P541" s="13"/>
      <c r="Q541" s="13">
        <v>25</v>
      </c>
      <c r="R541" s="3">
        <f t="shared" si="42"/>
        <v>0</v>
      </c>
      <c r="S541" s="3">
        <f t="shared" si="43"/>
        <v>25</v>
      </c>
      <c r="T541" s="3">
        <f t="shared" si="44"/>
        <v>1125.399999999999</v>
      </c>
      <c r="U541" s="24"/>
      <c r="V541" s="24"/>
      <c r="W541" s="3"/>
      <c r="X541" s="3" t="s">
        <v>4371</v>
      </c>
      <c r="Y541" s="3"/>
      <c r="Z541" s="3"/>
      <c r="AA541" s="3"/>
      <c r="AB541" s="3"/>
      <c r="AC541" s="3" t="str">
        <f>IF(Caja_Arequipa[[#This Row],[FECHA]]&gt;0,TEXT(Caja_Arequipa[[#This Row],[FECHA]],"mmmm"),0)</f>
        <v>Julio</v>
      </c>
    </row>
    <row r="542" spans="2:29" ht="24" x14ac:dyDescent="0.3">
      <c r="B542" s="54">
        <f>IF(Caja_Arequipa[[#This Row],[TIPO DE R.]]="R",COUNTIFS($D$4:$D541,"R")+1,"")</f>
        <v>507</v>
      </c>
      <c r="C542" s="19" t="str">
        <f t="shared" si="41"/>
        <v>C-Tesoreria</v>
      </c>
      <c r="D542" s="3" t="s">
        <v>1074</v>
      </c>
      <c r="E542" s="14">
        <v>45846</v>
      </c>
      <c r="F542" s="5" t="s">
        <v>1158</v>
      </c>
      <c r="G542" s="5" t="s">
        <v>1079</v>
      </c>
      <c r="H542" s="3" t="s">
        <v>4329</v>
      </c>
      <c r="I542" s="6" t="s">
        <v>823</v>
      </c>
      <c r="J542" s="55" t="s">
        <v>55</v>
      </c>
      <c r="K542" s="6">
        <v>3</v>
      </c>
      <c r="L542" s="6">
        <v>249</v>
      </c>
      <c r="M542" s="7" t="s">
        <v>5196</v>
      </c>
      <c r="N542" s="8" t="str">
        <f>IF(Caja_Arequipa[[#This Row],[TIPO DE R.]]="R","001-"&amp;12002+B542,N541)</f>
        <v>001-12509</v>
      </c>
      <c r="O542" s="8" t="str">
        <f t="shared" si="47"/>
        <v>PEN</v>
      </c>
      <c r="P542" s="13"/>
      <c r="Q542" s="13">
        <v>25</v>
      </c>
      <c r="R542" s="3">
        <f t="shared" si="42"/>
        <v>0</v>
      </c>
      <c r="S542" s="3">
        <f t="shared" si="43"/>
        <v>25</v>
      </c>
      <c r="T542" s="3">
        <f t="shared" si="44"/>
        <v>1100.399999999999</v>
      </c>
      <c r="U542" s="24"/>
      <c r="V542" s="24"/>
      <c r="W542" s="3"/>
      <c r="X542" s="3" t="s">
        <v>4329</v>
      </c>
      <c r="Y542" s="3"/>
      <c r="Z542" s="3"/>
      <c r="AA542" s="3"/>
      <c r="AB542" s="3"/>
      <c r="AC542" s="3" t="str">
        <f>IF(Caja_Arequipa[[#This Row],[FECHA]]&gt;0,TEXT(Caja_Arequipa[[#This Row],[FECHA]],"mmmm"),0)</f>
        <v>Julio</v>
      </c>
    </row>
    <row r="543" spans="2:29" ht="36" x14ac:dyDescent="0.3">
      <c r="B543" s="54">
        <f>IF(Caja_Arequipa[[#This Row],[TIPO DE R.]]="R",COUNTIFS($D$4:$D542,"R")+1,"")</f>
        <v>508</v>
      </c>
      <c r="C543" s="19" t="str">
        <f t="shared" si="41"/>
        <v>C-Tesoreria</v>
      </c>
      <c r="D543" s="3" t="s">
        <v>1074</v>
      </c>
      <c r="E543" s="14">
        <v>45847</v>
      </c>
      <c r="F543" s="5" t="s">
        <v>1158</v>
      </c>
      <c r="G543" s="5" t="s">
        <v>1079</v>
      </c>
      <c r="H543" s="3" t="s">
        <v>4912</v>
      </c>
      <c r="I543" s="6" t="s">
        <v>921</v>
      </c>
      <c r="J543" s="58" t="s">
        <v>14</v>
      </c>
      <c r="K543" s="6" t="s">
        <v>1121</v>
      </c>
      <c r="L543" s="6">
        <v>8919</v>
      </c>
      <c r="M543" s="7" t="s">
        <v>5197</v>
      </c>
      <c r="N543" s="8" t="str">
        <f>IF(Caja_Arequipa[[#This Row],[TIPO DE R.]]="R","001-"&amp;12002+B543,N542)</f>
        <v>001-12510</v>
      </c>
      <c r="O543" s="8" t="str">
        <f t="shared" si="47"/>
        <v>PEN</v>
      </c>
      <c r="P543" s="13"/>
      <c r="Q543" s="13">
        <v>43</v>
      </c>
      <c r="R543" s="3">
        <f t="shared" si="42"/>
        <v>0</v>
      </c>
      <c r="S543" s="3">
        <f t="shared" si="43"/>
        <v>43</v>
      </c>
      <c r="T543" s="3">
        <f t="shared" si="44"/>
        <v>1057.399999999999</v>
      </c>
      <c r="U543" s="24"/>
      <c r="V543" s="24"/>
      <c r="W543" s="3"/>
      <c r="X543" s="3"/>
      <c r="Y543" s="3"/>
      <c r="Z543" s="52" t="s">
        <v>5198</v>
      </c>
      <c r="AA543" s="3"/>
      <c r="AB543" s="3"/>
      <c r="AC543" s="3" t="str">
        <f>IF(Caja_Arequipa[[#This Row],[FECHA]]&gt;0,TEXT(Caja_Arequipa[[#This Row],[FECHA]],"mmmm"),0)</f>
        <v>Julio</v>
      </c>
    </row>
    <row r="544" spans="2:29" x14ac:dyDescent="0.3">
      <c r="B544" s="54">
        <f>IF(Caja_Arequipa[[#This Row],[TIPO DE R.]]="R",COUNTIFS($D$4:$D543,"R")+1,"")</f>
        <v>509</v>
      </c>
      <c r="C544" s="19" t="str">
        <f t="shared" si="41"/>
        <v>C-Tesoreria</v>
      </c>
      <c r="D544" s="3" t="s">
        <v>1074</v>
      </c>
      <c r="E544" s="14">
        <v>45847</v>
      </c>
      <c r="F544" s="5" t="s">
        <v>1158</v>
      </c>
      <c r="G544" s="5" t="s">
        <v>1079</v>
      </c>
      <c r="H544" s="3" t="s">
        <v>4912</v>
      </c>
      <c r="I544" s="6" t="s">
        <v>922</v>
      </c>
      <c r="J544" s="58" t="s">
        <v>14</v>
      </c>
      <c r="K544" s="60" t="s">
        <v>5199</v>
      </c>
      <c r="L544" s="60">
        <v>8789</v>
      </c>
      <c r="M544" s="7" t="s">
        <v>5200</v>
      </c>
      <c r="N544" s="8" t="str">
        <f>IF(Caja_Arequipa[[#This Row],[TIPO DE R.]]="R","001-"&amp;12002+B544,N543)</f>
        <v>001-12511</v>
      </c>
      <c r="O544" s="8" t="str">
        <f t="shared" si="47"/>
        <v>PEN</v>
      </c>
      <c r="P544" s="13"/>
      <c r="Q544" s="13">
        <v>75.7</v>
      </c>
      <c r="R544" s="3">
        <f t="shared" si="42"/>
        <v>0</v>
      </c>
      <c r="S544" s="3">
        <f t="shared" si="43"/>
        <v>75.7</v>
      </c>
      <c r="T544" s="3">
        <f t="shared" si="44"/>
        <v>981.69999999999891</v>
      </c>
      <c r="U544" s="24"/>
      <c r="V544" s="24"/>
      <c r="W544" s="3"/>
      <c r="X544" s="3"/>
      <c r="Y544" s="3"/>
      <c r="Z544" s="3"/>
      <c r="AA544" s="3"/>
      <c r="AB544" s="3"/>
      <c r="AC544" s="3" t="str">
        <f>IF(Caja_Arequipa[[#This Row],[FECHA]]&gt;0,TEXT(Caja_Arequipa[[#This Row],[FECHA]],"mmmm"),0)</f>
        <v>Julio</v>
      </c>
    </row>
    <row r="545" spans="2:29" ht="24" x14ac:dyDescent="0.3">
      <c r="B545" s="54">
        <f>IF(Caja_Arequipa[[#This Row],[TIPO DE R.]]="R",COUNTIFS($D$4:$D544,"R")+1,"")</f>
        <v>510</v>
      </c>
      <c r="C545" s="19" t="str">
        <f t="shared" si="41"/>
        <v>C-Tesoreria</v>
      </c>
      <c r="D545" s="3" t="s">
        <v>1074</v>
      </c>
      <c r="E545" s="14">
        <v>45845</v>
      </c>
      <c r="F545" s="5" t="s">
        <v>1082</v>
      </c>
      <c r="G545" s="5" t="s">
        <v>1079</v>
      </c>
      <c r="H545" s="3" t="s">
        <v>4433</v>
      </c>
      <c r="I545" s="6" t="s">
        <v>863</v>
      </c>
      <c r="J545" s="55" t="s">
        <v>55</v>
      </c>
      <c r="K545" s="6">
        <v>3</v>
      </c>
      <c r="L545" s="6">
        <v>252</v>
      </c>
      <c r="M545" s="7" t="s">
        <v>5194</v>
      </c>
      <c r="N545" s="8" t="str">
        <f>IF(Caja_Arequipa[[#This Row],[TIPO DE R.]]="R","001-"&amp;12002+B545,N544)</f>
        <v>001-12512</v>
      </c>
      <c r="O545" s="8" t="str">
        <f t="shared" ref="O545:O555" si="48">"PEN"</f>
        <v>PEN</v>
      </c>
      <c r="P545" s="13"/>
      <c r="Q545" s="13">
        <v>10</v>
      </c>
      <c r="R545" s="3">
        <f t="shared" si="42"/>
        <v>0</v>
      </c>
      <c r="S545" s="3">
        <f t="shared" si="43"/>
        <v>10</v>
      </c>
      <c r="T545" s="3">
        <f t="shared" si="44"/>
        <v>971.69999999999891</v>
      </c>
      <c r="U545" s="24"/>
      <c r="V545" s="24"/>
      <c r="W545" s="3"/>
      <c r="X545" s="3"/>
      <c r="Y545" s="3"/>
      <c r="Z545" s="3"/>
      <c r="AA545" s="3"/>
      <c r="AB545" s="3"/>
      <c r="AC545" s="3" t="str">
        <f>IF(Caja_Arequipa[[#This Row],[FECHA]]&gt;0,TEXT(Caja_Arequipa[[#This Row],[FECHA]],"mmmm"),0)</f>
        <v>Julio</v>
      </c>
    </row>
    <row r="546" spans="2:29" ht="24" x14ac:dyDescent="0.3">
      <c r="B546" s="54">
        <f>IF(Caja_Arequipa[[#This Row],[TIPO DE R.]]="R",COUNTIFS($D$4:$D545,"R")+1,"")</f>
        <v>511</v>
      </c>
      <c r="C546" s="19" t="str">
        <f t="shared" si="41"/>
        <v>C-Tesoreria</v>
      </c>
      <c r="D546" s="3" t="s">
        <v>1074</v>
      </c>
      <c r="E546" s="14">
        <v>45845</v>
      </c>
      <c r="F546" s="5" t="s">
        <v>1082</v>
      </c>
      <c r="G546" s="5" t="s">
        <v>1079</v>
      </c>
      <c r="H546" s="3" t="s">
        <v>4433</v>
      </c>
      <c r="I546" s="6" t="s">
        <v>863</v>
      </c>
      <c r="J546" s="55" t="s">
        <v>55</v>
      </c>
      <c r="K546" s="6">
        <v>3</v>
      </c>
      <c r="L546" s="6">
        <v>253</v>
      </c>
      <c r="M546" s="7" t="s">
        <v>5196</v>
      </c>
      <c r="N546" s="8" t="str">
        <f>IF(Caja_Arequipa[[#This Row],[TIPO DE R.]]="R","001-"&amp;12002+B546,N545)</f>
        <v>001-12513</v>
      </c>
      <c r="O546" s="8" t="str">
        <f t="shared" si="48"/>
        <v>PEN</v>
      </c>
      <c r="P546" s="13"/>
      <c r="Q546" s="13">
        <v>20</v>
      </c>
      <c r="R546" s="3">
        <f t="shared" si="42"/>
        <v>0</v>
      </c>
      <c r="S546" s="3">
        <f t="shared" si="43"/>
        <v>20</v>
      </c>
      <c r="T546" s="3">
        <f t="shared" si="44"/>
        <v>951.69999999999891</v>
      </c>
      <c r="U546" s="24"/>
      <c r="V546" s="24"/>
      <c r="W546" s="3"/>
      <c r="X546" s="3"/>
      <c r="Y546" s="3"/>
      <c r="Z546" s="3"/>
      <c r="AA546" s="3"/>
      <c r="AB546" s="3"/>
      <c r="AC546" s="3" t="str">
        <f>IF(Caja_Arequipa[[#This Row],[FECHA]]&gt;0,TEXT(Caja_Arequipa[[#This Row],[FECHA]],"mmmm"),0)</f>
        <v>Julio</v>
      </c>
    </row>
    <row r="547" spans="2:29" ht="24" x14ac:dyDescent="0.3">
      <c r="B547" s="54">
        <f>IF(Caja_Arequipa[[#This Row],[TIPO DE R.]]="R",COUNTIFS($D$4:$D546,"R")+1,"")</f>
        <v>512</v>
      </c>
      <c r="C547" s="19" t="str">
        <f t="shared" si="41"/>
        <v>C-Tesoreria</v>
      </c>
      <c r="D547" s="3" t="s">
        <v>1074</v>
      </c>
      <c r="E547" s="14">
        <v>45848</v>
      </c>
      <c r="F547" s="5" t="s">
        <v>1158</v>
      </c>
      <c r="G547" s="5" t="s">
        <v>1079</v>
      </c>
      <c r="H547" s="3" t="s">
        <v>4371</v>
      </c>
      <c r="I547" s="6" t="s">
        <v>731</v>
      </c>
      <c r="J547" s="55" t="s">
        <v>55</v>
      </c>
      <c r="K547" s="6">
        <v>3</v>
      </c>
      <c r="L547" s="6">
        <v>254</v>
      </c>
      <c r="M547" s="7" t="s">
        <v>5201</v>
      </c>
      <c r="N547" s="8" t="str">
        <f>IF(Caja_Arequipa[[#This Row],[TIPO DE R.]]="R","001-"&amp;12002+B547,N546)</f>
        <v>001-12514</v>
      </c>
      <c r="O547" s="8" t="str">
        <f t="shared" si="48"/>
        <v>PEN</v>
      </c>
      <c r="P547" s="13"/>
      <c r="Q547" s="13">
        <v>25</v>
      </c>
      <c r="R547" s="3">
        <f t="shared" si="42"/>
        <v>0</v>
      </c>
      <c r="S547" s="3">
        <f t="shared" si="43"/>
        <v>25</v>
      </c>
      <c r="T547" s="3">
        <f t="shared" si="44"/>
        <v>926.69999999999891</v>
      </c>
      <c r="U547" s="24"/>
      <c r="V547" s="24"/>
      <c r="W547" s="3"/>
      <c r="X547" s="3"/>
      <c r="Y547" s="3"/>
      <c r="Z547" s="3"/>
      <c r="AA547" s="3"/>
      <c r="AB547" s="3"/>
      <c r="AC547" s="3" t="str">
        <f>IF(Caja_Arequipa[[#This Row],[FECHA]]&gt;0,TEXT(Caja_Arequipa[[#This Row],[FECHA]],"mmmm"),0)</f>
        <v>Julio</v>
      </c>
    </row>
    <row r="548" spans="2:29" ht="24" x14ac:dyDescent="0.3">
      <c r="B548" s="54">
        <f>IF(Caja_Arequipa[[#This Row],[TIPO DE R.]]="R",COUNTIFS($D$4:$D547,"R")+1,"")</f>
        <v>513</v>
      </c>
      <c r="C548" s="19" t="str">
        <f t="shared" si="41"/>
        <v>C-Tesoreria</v>
      </c>
      <c r="D548" s="3" t="s">
        <v>1074</v>
      </c>
      <c r="E548" s="14">
        <v>45848</v>
      </c>
      <c r="F548" s="5" t="s">
        <v>1158</v>
      </c>
      <c r="G548" s="5" t="s">
        <v>1079</v>
      </c>
      <c r="H548" s="3" t="s">
        <v>4912</v>
      </c>
      <c r="I548" s="6"/>
      <c r="J548" s="57" t="s">
        <v>74</v>
      </c>
      <c r="K548" s="6" t="s">
        <v>5179</v>
      </c>
      <c r="L548" s="6">
        <v>170</v>
      </c>
      <c r="M548" s="7" t="s">
        <v>5202</v>
      </c>
      <c r="N548" s="8" t="str">
        <f>IF(Caja_Arequipa[[#This Row],[TIPO DE R.]]="R","001-"&amp;12002+B548,N547)</f>
        <v>001-12515</v>
      </c>
      <c r="O548" s="8" t="str">
        <f t="shared" si="48"/>
        <v>PEN</v>
      </c>
      <c r="P548" s="13"/>
      <c r="Q548" s="13">
        <v>40</v>
      </c>
      <c r="R548" s="3">
        <f t="shared" si="42"/>
        <v>0</v>
      </c>
      <c r="S548" s="3">
        <f t="shared" si="43"/>
        <v>40</v>
      </c>
      <c r="T548" s="3">
        <f t="shared" si="44"/>
        <v>886.69999999999891</v>
      </c>
      <c r="U548" s="24"/>
      <c r="V548" s="24"/>
      <c r="W548" s="3"/>
      <c r="X548" s="3"/>
      <c r="Y548" s="3"/>
      <c r="Z548" s="3"/>
      <c r="AA548" s="3"/>
      <c r="AB548" s="3"/>
      <c r="AC548" s="3" t="str">
        <f>IF(Caja_Arequipa[[#This Row],[FECHA]]&gt;0,TEXT(Caja_Arequipa[[#This Row],[FECHA]],"mmmm"),0)</f>
        <v>Julio</v>
      </c>
    </row>
    <row r="549" spans="2:29" x14ac:dyDescent="0.3">
      <c r="B549" s="54">
        <f>IF(Caja_Arequipa[[#This Row],[TIPO DE R.]]="R",COUNTIFS($D$4:$D548,"R")+1,"")</f>
        <v>514</v>
      </c>
      <c r="C549" s="19" t="str">
        <f t="shared" si="41"/>
        <v>C-Tesoreria</v>
      </c>
      <c r="D549" s="3" t="s">
        <v>1074</v>
      </c>
      <c r="E549" s="14">
        <v>45849</v>
      </c>
      <c r="F549" s="5" t="s">
        <v>1996</v>
      </c>
      <c r="G549" s="5" t="s">
        <v>1079</v>
      </c>
      <c r="H549" s="3" t="s">
        <v>4433</v>
      </c>
      <c r="I549" s="6"/>
      <c r="J549" s="58"/>
      <c r="K549" s="6"/>
      <c r="L549" s="6"/>
      <c r="M549" s="7" t="s">
        <v>5091</v>
      </c>
      <c r="N549" s="8" t="str">
        <f>IF(Caja_Arequipa[[#This Row],[TIPO DE R.]]="R","001-"&amp;12002+B549,N548)</f>
        <v>001-12516</v>
      </c>
      <c r="O549" s="8" t="str">
        <f t="shared" si="48"/>
        <v>PEN</v>
      </c>
      <c r="P549" s="13"/>
      <c r="Q549" s="13">
        <v>511</v>
      </c>
      <c r="R549" s="3">
        <f t="shared" si="42"/>
        <v>0</v>
      </c>
      <c r="S549" s="3">
        <f t="shared" si="43"/>
        <v>511</v>
      </c>
      <c r="T549" s="3">
        <f t="shared" si="44"/>
        <v>375.69999999999891</v>
      </c>
      <c r="U549" s="24"/>
      <c r="V549" s="24"/>
      <c r="W549" s="3"/>
      <c r="X549" s="3"/>
      <c r="Y549" s="3"/>
      <c r="Z549" s="3"/>
      <c r="AA549" s="3"/>
      <c r="AB549" s="3"/>
      <c r="AC549" s="3" t="str">
        <f>IF(Caja_Arequipa[[#This Row],[FECHA]]&gt;0,TEXT(Caja_Arequipa[[#This Row],[FECHA]],"mmmm"),0)</f>
        <v>Julio</v>
      </c>
    </row>
    <row r="550" spans="2:29" ht="24" x14ac:dyDescent="0.3">
      <c r="B550" s="54" t="str">
        <f>IF(Caja_Arequipa[[#This Row],[TIPO DE R.]]="R",COUNTIFS($D$4:$D549,"R")+1,"")</f>
        <v/>
      </c>
      <c r="C550" s="19" t="str">
        <f t="shared" si="41"/>
        <v>C-Tesoreria</v>
      </c>
      <c r="D550" s="3" t="s">
        <v>1101</v>
      </c>
      <c r="E550" s="14">
        <v>45849</v>
      </c>
      <c r="F550" s="5" t="s">
        <v>1996</v>
      </c>
      <c r="G550" s="5"/>
      <c r="H550" s="3"/>
      <c r="I550" s="6" t="s">
        <v>931</v>
      </c>
      <c r="J550" s="58" t="s">
        <v>14</v>
      </c>
      <c r="K550" s="6" t="s">
        <v>1121</v>
      </c>
      <c r="L550" s="6">
        <v>12726</v>
      </c>
      <c r="M550" s="7" t="s">
        <v>5091</v>
      </c>
      <c r="N550" s="8" t="str">
        <f>IF(Caja_Arequipa[[#This Row],[TIPO DE R.]]="R","001-"&amp;12002+B550,N549)</f>
        <v>001-12516</v>
      </c>
      <c r="O550" s="8" t="str">
        <f t="shared" si="48"/>
        <v>PEN</v>
      </c>
      <c r="P550" s="13">
        <v>226.01</v>
      </c>
      <c r="Q550" s="13"/>
      <c r="R550" s="3">
        <f t="shared" si="42"/>
        <v>0</v>
      </c>
      <c r="S550" s="3">
        <f t="shared" si="43"/>
        <v>0</v>
      </c>
      <c r="T550" s="3">
        <f t="shared" si="44"/>
        <v>375.69999999999891</v>
      </c>
      <c r="U550" s="24"/>
      <c r="V550" s="24"/>
      <c r="W550" s="3"/>
      <c r="X550" s="3"/>
      <c r="Y550" s="3"/>
      <c r="Z550" s="3"/>
      <c r="AA550" s="3"/>
      <c r="AB550" s="3"/>
      <c r="AC550" s="3" t="str">
        <f>IF(Caja_Arequipa[[#This Row],[FECHA]]&gt;0,TEXT(Caja_Arequipa[[#This Row],[FECHA]],"mmmm"),0)</f>
        <v>Julio</v>
      </c>
    </row>
    <row r="551" spans="2:29" ht="36" x14ac:dyDescent="0.3">
      <c r="B551" s="54" t="str">
        <f>IF(Caja_Arequipa[[#This Row],[TIPO DE R.]]="R",COUNTIFS($D$4:$D550,"R")+1,"")</f>
        <v/>
      </c>
      <c r="C551" s="19" t="str">
        <f t="shared" si="41"/>
        <v>C-Tesoreria</v>
      </c>
      <c r="D551" s="3" t="s">
        <v>1101</v>
      </c>
      <c r="E551" s="14">
        <v>45849</v>
      </c>
      <c r="F551" s="5" t="s">
        <v>1996</v>
      </c>
      <c r="G551" s="5"/>
      <c r="H551" s="3"/>
      <c r="I551" s="6" t="s">
        <v>930</v>
      </c>
      <c r="J551" s="58" t="s">
        <v>14</v>
      </c>
      <c r="K551" s="6" t="s">
        <v>1088</v>
      </c>
      <c r="L551" s="6">
        <v>11180</v>
      </c>
      <c r="M551" s="7" t="s">
        <v>5091</v>
      </c>
      <c r="N551" s="8" t="str">
        <f>IF(Caja_Arequipa[[#This Row],[TIPO DE R.]]="R","001-"&amp;12002+B551,N550)</f>
        <v>001-12516</v>
      </c>
      <c r="O551" s="8" t="str">
        <f t="shared" si="48"/>
        <v>PEN</v>
      </c>
      <c r="P551" s="13">
        <v>120</v>
      </c>
      <c r="Q551" s="13"/>
      <c r="R551" s="3">
        <f t="shared" si="42"/>
        <v>0</v>
      </c>
      <c r="S551" s="3">
        <f t="shared" si="43"/>
        <v>0</v>
      </c>
      <c r="T551" s="3">
        <f t="shared" si="44"/>
        <v>375.69999999999891</v>
      </c>
      <c r="U551" s="24"/>
      <c r="V551" s="24"/>
      <c r="W551" s="3"/>
      <c r="X551" s="3"/>
      <c r="Y551" s="3"/>
      <c r="Z551" s="3"/>
      <c r="AA551" s="3"/>
      <c r="AB551" s="3"/>
      <c r="AC551" s="3" t="str">
        <f>IF(Caja_Arequipa[[#This Row],[FECHA]]&gt;0,TEXT(Caja_Arequipa[[#This Row],[FECHA]],"mmmm"),0)</f>
        <v>Julio</v>
      </c>
    </row>
    <row r="552" spans="2:29" x14ac:dyDescent="0.3">
      <c r="B552" s="54" t="str">
        <f>IF(Caja_Arequipa[[#This Row],[TIPO DE R.]]="R",COUNTIFS($D$4:$D551,"R")+1,"")</f>
        <v/>
      </c>
      <c r="C552" s="19" t="str">
        <f t="shared" si="41"/>
        <v>C-Tesoreria</v>
      </c>
      <c r="D552" s="3" t="s">
        <v>1101</v>
      </c>
      <c r="E552" s="14">
        <v>45849</v>
      </c>
      <c r="F552" s="5" t="s">
        <v>1996</v>
      </c>
      <c r="G552" s="5"/>
      <c r="H552" s="3"/>
      <c r="I552" s="6" t="s">
        <v>929</v>
      </c>
      <c r="J552" s="58" t="s">
        <v>14</v>
      </c>
      <c r="K552" s="6" t="s">
        <v>1119</v>
      </c>
      <c r="L552" s="6">
        <v>16941</v>
      </c>
      <c r="M552" s="7" t="s">
        <v>5091</v>
      </c>
      <c r="N552" s="8" t="str">
        <f>IF(Caja_Arequipa[[#This Row],[TIPO DE R.]]="R","001-"&amp;12002+B552,N551)</f>
        <v>001-12516</v>
      </c>
      <c r="O552" s="8" t="str">
        <f t="shared" si="48"/>
        <v>PEN</v>
      </c>
      <c r="P552" s="13">
        <v>40</v>
      </c>
      <c r="Q552" s="13"/>
      <c r="R552" s="3">
        <f t="shared" si="42"/>
        <v>0</v>
      </c>
      <c r="S552" s="3">
        <f t="shared" si="43"/>
        <v>0</v>
      </c>
      <c r="T552" s="3">
        <f t="shared" si="44"/>
        <v>375.69999999999891</v>
      </c>
      <c r="U552" s="24"/>
      <c r="V552" s="24"/>
      <c r="W552" s="3"/>
      <c r="X552" s="3"/>
      <c r="Y552" s="3"/>
      <c r="Z552" s="3"/>
      <c r="AA552" s="3"/>
      <c r="AB552" s="3"/>
      <c r="AC552" s="3" t="str">
        <f>IF(Caja_Arequipa[[#This Row],[FECHA]]&gt;0,TEXT(Caja_Arequipa[[#This Row],[FECHA]],"mmmm"),0)</f>
        <v>Julio</v>
      </c>
    </row>
    <row r="553" spans="2:29" ht="24" x14ac:dyDescent="0.3">
      <c r="B553" s="54" t="str">
        <f>IF(Caja_Arequipa[[#This Row],[TIPO DE R.]]="R",COUNTIFS($D$4:$D552,"R")+1,"")</f>
        <v/>
      </c>
      <c r="C553" s="19" t="str">
        <f t="shared" si="41"/>
        <v>C-Tesoreria</v>
      </c>
      <c r="D553" s="3" t="s">
        <v>1101</v>
      </c>
      <c r="E553" s="14">
        <v>45849</v>
      </c>
      <c r="F553" s="5" t="s">
        <v>1996</v>
      </c>
      <c r="G553" s="5"/>
      <c r="H553" s="3"/>
      <c r="I553" s="6" t="s">
        <v>911</v>
      </c>
      <c r="J553" s="58" t="s">
        <v>14</v>
      </c>
      <c r="K553" s="6" t="s">
        <v>1121</v>
      </c>
      <c r="L553" s="6">
        <v>1710</v>
      </c>
      <c r="M553" s="7" t="s">
        <v>5091</v>
      </c>
      <c r="N553" s="8" t="str">
        <f>IF(Caja_Arequipa[[#This Row],[TIPO DE R.]]="R","001-"&amp;12002+B553,N552)</f>
        <v>001-12516</v>
      </c>
      <c r="O553" s="8" t="str">
        <f t="shared" si="48"/>
        <v>PEN</v>
      </c>
      <c r="P553" s="13">
        <v>90</v>
      </c>
      <c r="Q553" s="13"/>
      <c r="R553" s="3">
        <f t="shared" si="42"/>
        <v>0</v>
      </c>
      <c r="S553" s="3">
        <f t="shared" si="43"/>
        <v>0</v>
      </c>
      <c r="T553" s="3">
        <f t="shared" si="44"/>
        <v>375.69999999999891</v>
      </c>
      <c r="U553" s="24"/>
      <c r="V553" s="24"/>
      <c r="W553" s="3"/>
      <c r="X553" s="3"/>
      <c r="Y553" s="3"/>
      <c r="Z553" s="3"/>
      <c r="AA553" s="3"/>
      <c r="AB553" s="3"/>
      <c r="AC553" s="3" t="str">
        <f>IF(Caja_Arequipa[[#This Row],[FECHA]]&gt;0,TEXT(Caja_Arequipa[[#This Row],[FECHA]],"mmmm"),0)</f>
        <v>Julio</v>
      </c>
    </row>
    <row r="554" spans="2:29" ht="36" x14ac:dyDescent="0.3">
      <c r="B554" s="54" t="str">
        <f>IF(Caja_Arequipa[[#This Row],[TIPO DE R.]]="R",COUNTIFS($D$4:$D553,"R")+1,"")</f>
        <v/>
      </c>
      <c r="C554" s="19" t="str">
        <f t="shared" si="41"/>
        <v>C-Tesoreria</v>
      </c>
      <c r="D554" s="3" t="s">
        <v>1101</v>
      </c>
      <c r="E554" s="14">
        <v>45849</v>
      </c>
      <c r="F554" s="5" t="s">
        <v>1996</v>
      </c>
      <c r="G554" s="5"/>
      <c r="H554" s="3"/>
      <c r="I554" s="6" t="s">
        <v>912</v>
      </c>
      <c r="J554" s="58" t="s">
        <v>14</v>
      </c>
      <c r="K554" s="6" t="s">
        <v>1121</v>
      </c>
      <c r="L554" s="6">
        <v>30</v>
      </c>
      <c r="M554" s="7" t="s">
        <v>5091</v>
      </c>
      <c r="N554" s="8" t="str">
        <f>IF(Caja_Arequipa[[#This Row],[TIPO DE R.]]="R","001-"&amp;12002+B554,N553)</f>
        <v>001-12516</v>
      </c>
      <c r="O554" s="8" t="str">
        <f t="shared" si="48"/>
        <v>PEN</v>
      </c>
      <c r="P554" s="13">
        <v>35</v>
      </c>
      <c r="Q554" s="13"/>
      <c r="R554" s="3">
        <f t="shared" si="42"/>
        <v>0</v>
      </c>
      <c r="S554" s="3">
        <f t="shared" si="43"/>
        <v>0</v>
      </c>
      <c r="T554" s="3">
        <f t="shared" si="44"/>
        <v>375.69999999999891</v>
      </c>
      <c r="U554" s="24"/>
      <c r="V554" s="24"/>
      <c r="W554" s="3"/>
      <c r="X554" s="3"/>
      <c r="Y554" s="3"/>
      <c r="Z554" s="3"/>
      <c r="AA554" s="3"/>
      <c r="AB554" s="3"/>
      <c r="AC554" s="3" t="str">
        <f>IF(Caja_Arequipa[[#This Row],[FECHA]]&gt;0,TEXT(Caja_Arequipa[[#This Row],[FECHA]],"mmmm"),0)</f>
        <v>Julio</v>
      </c>
    </row>
    <row r="555" spans="2:29" x14ac:dyDescent="0.3">
      <c r="B555" s="54">
        <f>IF(Caja_Arequipa[[#This Row],[TIPO DE R.]]="R",COUNTIFS($D$4:$D554,"R")+1,"")</f>
        <v>515</v>
      </c>
      <c r="C555" s="19" t="str">
        <f t="shared" si="41"/>
        <v>C-Tesoreria</v>
      </c>
      <c r="D555" s="3" t="s">
        <v>1074</v>
      </c>
      <c r="E555" s="14">
        <v>45849</v>
      </c>
      <c r="F555" s="5" t="s">
        <v>1996</v>
      </c>
      <c r="G555" s="5" t="s">
        <v>1079</v>
      </c>
      <c r="H555" s="3" t="s">
        <v>4329</v>
      </c>
      <c r="I555" s="6" t="s">
        <v>917</v>
      </c>
      <c r="J555" s="58" t="s">
        <v>14</v>
      </c>
      <c r="K555" s="6" t="s">
        <v>1119</v>
      </c>
      <c r="L555" s="6">
        <v>1791</v>
      </c>
      <c r="M555" s="7" t="s">
        <v>5203</v>
      </c>
      <c r="N555" s="8" t="str">
        <f>IF(Caja_Arequipa[[#This Row],[TIPO DE R.]]="R","001-"&amp;12002+B555,N554)</f>
        <v>001-12517</v>
      </c>
      <c r="O555" s="8" t="str">
        <f t="shared" si="48"/>
        <v>PEN</v>
      </c>
      <c r="P555" s="13"/>
      <c r="Q555" s="13">
        <v>340.9</v>
      </c>
      <c r="R555" s="3">
        <f t="shared" si="42"/>
        <v>0</v>
      </c>
      <c r="S555" s="3">
        <f t="shared" si="43"/>
        <v>340.9</v>
      </c>
      <c r="T555" s="3">
        <f t="shared" si="44"/>
        <v>34.799999999998931</v>
      </c>
      <c r="U555" s="24"/>
      <c r="V555" s="24"/>
      <c r="W555" s="3"/>
      <c r="X555" s="3"/>
      <c r="Y555" s="3"/>
      <c r="Z555" s="3"/>
      <c r="AA555" s="3"/>
      <c r="AB555" s="3"/>
      <c r="AC555" s="3" t="str">
        <f>IF(Caja_Arequipa[[#This Row],[FECHA]]&gt;0,TEXT(Caja_Arequipa[[#This Row],[FECHA]],"mmmm"),0)</f>
        <v>Julio</v>
      </c>
    </row>
    <row r="556" spans="2:29" s="183" customFormat="1" x14ac:dyDescent="0.3">
      <c r="B556" s="174">
        <f>IF(Caja_Arequipa[[#This Row],[TIPO DE R.]]="R",COUNTIFS($D$4:$D555,"R")+1,"")</f>
        <v>516</v>
      </c>
      <c r="C556" s="175" t="str">
        <f t="shared" si="41"/>
        <v>C-Tesoreria</v>
      </c>
      <c r="D556" s="176" t="s">
        <v>1074</v>
      </c>
      <c r="E556" s="177">
        <v>45849</v>
      </c>
      <c r="F556" s="178" t="s">
        <v>1158</v>
      </c>
      <c r="G556" s="178" t="s">
        <v>1087</v>
      </c>
      <c r="H556" s="176" t="s">
        <v>3353</v>
      </c>
      <c r="I556" s="179"/>
      <c r="J556" s="179"/>
      <c r="K556" s="179"/>
      <c r="L556" s="179"/>
      <c r="M556" s="180" t="s">
        <v>4394</v>
      </c>
      <c r="N556" s="181" t="str">
        <f>IF(Caja_Arequipa[[#This Row],[TIPO DE R.]]="R","001-"&amp;12002+B556,N555)</f>
        <v>001-12518</v>
      </c>
      <c r="O556" s="181" t="str">
        <f t="shared" ref="O556:O564" si="49">"PEN"</f>
        <v>PEN</v>
      </c>
      <c r="P556" s="176"/>
      <c r="Q556" s="176">
        <v>500</v>
      </c>
      <c r="R556" s="176">
        <f t="shared" si="42"/>
        <v>500</v>
      </c>
      <c r="S556" s="176">
        <f t="shared" si="43"/>
        <v>0</v>
      </c>
      <c r="T556" s="176">
        <f t="shared" si="44"/>
        <v>534.79999999999893</v>
      </c>
      <c r="U556" s="182" t="s">
        <v>1081</v>
      </c>
      <c r="V556" s="182"/>
      <c r="W556" s="176"/>
      <c r="X556" s="176"/>
      <c r="Y556" s="176"/>
      <c r="Z556" s="176"/>
      <c r="AA556" s="176"/>
      <c r="AB556" s="176"/>
      <c r="AC556" s="176" t="str">
        <f>IF(Caja_Arequipa[[#This Row],[FECHA]]&gt;0,TEXT(Caja_Arequipa[[#This Row],[FECHA]],"mmmm"),0)</f>
        <v>Julio</v>
      </c>
    </row>
    <row r="557" spans="2:29" s="144" customFormat="1" ht="24" x14ac:dyDescent="0.3">
      <c r="B557" s="135">
        <f>IF(Caja_Arequipa[[#This Row],[TIPO DE R.]]="R",COUNTIFS($D$4:$D556,"R")+1,"")</f>
        <v>517</v>
      </c>
      <c r="C557" s="136" t="str">
        <f>"C-Tesoreria"</f>
        <v>C-Tesoreria</v>
      </c>
      <c r="D557" s="137" t="s">
        <v>1074</v>
      </c>
      <c r="E557" s="138">
        <v>45849</v>
      </c>
      <c r="F557" s="139" t="s">
        <v>1158</v>
      </c>
      <c r="G557" s="139" t="s">
        <v>1079</v>
      </c>
      <c r="H557" s="137" t="s">
        <v>4912</v>
      </c>
      <c r="I557" s="140" t="s">
        <v>915</v>
      </c>
      <c r="J557" s="140"/>
      <c r="K557" s="140"/>
      <c r="L557" s="140"/>
      <c r="M557" s="141" t="s">
        <v>5204</v>
      </c>
      <c r="N557" s="142" t="str">
        <f>IF(Caja_Arequipa[[#This Row],[TIPO DE R.]]="R","001-"&amp;12002+B557,N556)</f>
        <v>001-12519</v>
      </c>
      <c r="O557" s="142" t="str">
        <f t="shared" ref="O557:O562" si="50">"PEN"</f>
        <v>PEN</v>
      </c>
      <c r="P557" s="137"/>
      <c r="Q557" s="137">
        <v>40</v>
      </c>
      <c r="R557" s="137">
        <f t="shared" si="42"/>
        <v>0</v>
      </c>
      <c r="S557" s="137">
        <f t="shared" si="43"/>
        <v>40</v>
      </c>
      <c r="T557" s="137">
        <f t="shared" si="44"/>
        <v>494.79999999999893</v>
      </c>
      <c r="U557" s="143" t="s">
        <v>1081</v>
      </c>
      <c r="V557" s="143"/>
      <c r="W557" s="137"/>
      <c r="X557" s="137"/>
      <c r="Y557" s="137"/>
      <c r="Z557" s="137"/>
      <c r="AA557" s="137"/>
      <c r="AB557" s="137"/>
      <c r="AC557" s="137" t="str">
        <f>IF(Caja_Arequipa[[#This Row],[FECHA]]&gt;0,TEXT(Caja_Arequipa[[#This Row],[FECHA]],"mmmm"),0)</f>
        <v>Julio</v>
      </c>
    </row>
    <row r="558" spans="2:29" s="144" customFormat="1" ht="24" x14ac:dyDescent="0.3">
      <c r="B558" s="135" t="str">
        <f>IF(Caja_Arequipa[[#This Row],[TIPO DE R.]]="R",COUNTIFS($D$4:$D557,"R")+1,"")</f>
        <v/>
      </c>
      <c r="C558" s="136" t="str">
        <f>"C-Tesoreria"</f>
        <v>C-Tesoreria</v>
      </c>
      <c r="D558" s="137" t="s">
        <v>1101</v>
      </c>
      <c r="E558" s="138">
        <v>45849</v>
      </c>
      <c r="F558" s="139" t="s">
        <v>1158</v>
      </c>
      <c r="G558" s="139"/>
      <c r="H558" s="137"/>
      <c r="I558" s="140" t="s">
        <v>908</v>
      </c>
      <c r="J558" s="140" t="s">
        <v>55</v>
      </c>
      <c r="K558" s="140">
        <v>3</v>
      </c>
      <c r="L558" s="140">
        <v>284</v>
      </c>
      <c r="M558" s="141"/>
      <c r="N558" s="142" t="str">
        <f>IF(Caja_Arequipa[[#This Row],[TIPO DE R.]]="R","001-"&amp;12002+B558,N557)</f>
        <v>001-12519</v>
      </c>
      <c r="O558" s="142" t="str">
        <f t="shared" si="50"/>
        <v>PEN</v>
      </c>
      <c r="P558" s="137">
        <v>20</v>
      </c>
      <c r="Q558" s="137"/>
      <c r="R558" s="137">
        <f>+IF(OR($G558="SALDO",$G558="INGRESO"),$Q558,0)</f>
        <v>0</v>
      </c>
      <c r="S558" s="137">
        <f>+IF($G558="EGRESO",$Q558,0)</f>
        <v>0</v>
      </c>
      <c r="T558" s="137">
        <f>IFERROR(IF(G558="SALDO",R558,T557+R558-S558),0)</f>
        <v>494.79999999999893</v>
      </c>
      <c r="U558" s="143" t="s">
        <v>1081</v>
      </c>
      <c r="V558" s="143"/>
      <c r="W558" s="137"/>
      <c r="X558" s="137"/>
      <c r="Y558" s="137"/>
      <c r="Z558" s="137"/>
      <c r="AA558" s="137"/>
      <c r="AB558" s="137"/>
      <c r="AC558" s="137" t="str">
        <f>IF(Caja_Arequipa[[#This Row],[FECHA]]&gt;0,TEXT(Caja_Arequipa[[#This Row],[FECHA]],"mmmm"),0)</f>
        <v>Julio</v>
      </c>
    </row>
    <row r="559" spans="2:29" s="144" customFormat="1" ht="24" x14ac:dyDescent="0.3">
      <c r="B559" s="135" t="str">
        <f>IF(Caja_Arequipa[[#This Row],[TIPO DE R.]]="R",COUNTIFS($D$4:$D558,"R")+1,"")</f>
        <v/>
      </c>
      <c r="C559" s="136" t="str">
        <f>"C-Tesoreria"</f>
        <v>C-Tesoreria</v>
      </c>
      <c r="D559" s="137" t="s">
        <v>1101</v>
      </c>
      <c r="E559" s="138">
        <v>45849</v>
      </c>
      <c r="F559" s="139" t="s">
        <v>1158</v>
      </c>
      <c r="G559" s="139"/>
      <c r="H559" s="137"/>
      <c r="I559" s="140" t="s">
        <v>915</v>
      </c>
      <c r="J559" s="140" t="s">
        <v>14</v>
      </c>
      <c r="K559" s="140" t="s">
        <v>5137</v>
      </c>
      <c r="L559" s="140">
        <v>5312</v>
      </c>
      <c r="M559" s="141"/>
      <c r="N559" s="142" t="str">
        <f>IF(Caja_Arequipa[[#This Row],[TIPO DE R.]]="R","001-"&amp;12002+B559,N558)</f>
        <v>001-12519</v>
      </c>
      <c r="O559" s="142" t="str">
        <f t="shared" si="50"/>
        <v>PEN</v>
      </c>
      <c r="P559" s="137">
        <v>20</v>
      </c>
      <c r="Q559" s="137"/>
      <c r="R559" s="137">
        <f>+IF(OR($G559="SALDO",$G559="INGRESO"),$Q559,0)</f>
        <v>0</v>
      </c>
      <c r="S559" s="137">
        <f>+IF($G559="EGRESO",$Q559,0)</f>
        <v>0</v>
      </c>
      <c r="T559" s="137">
        <f>IFERROR(IF(G559="SALDO",R559,T558+R559-S559),0)</f>
        <v>494.79999999999893</v>
      </c>
      <c r="U559" s="143" t="s">
        <v>1081</v>
      </c>
      <c r="V559" s="143"/>
      <c r="W559" s="137"/>
      <c r="X559" s="137"/>
      <c r="Y559" s="137"/>
      <c r="Z559" s="137"/>
      <c r="AA559" s="137"/>
      <c r="AB559" s="137"/>
      <c r="AC559" s="137" t="str">
        <f>IF(Caja_Arequipa[[#This Row],[FECHA]]&gt;0,TEXT(Caja_Arequipa[[#This Row],[FECHA]],"mmmm"),0)</f>
        <v>Julio</v>
      </c>
    </row>
    <row r="560" spans="2:29" s="144" customFormat="1" ht="24" x14ac:dyDescent="0.3">
      <c r="B560" s="135">
        <f>IF(Caja_Arequipa[[#This Row],[TIPO DE R.]]="R",COUNTIFS($D$4:$D559,"R")+1,"")</f>
        <v>518</v>
      </c>
      <c r="C560" s="136" t="str">
        <f>"C-Tesoreria"</f>
        <v>C-Tesoreria</v>
      </c>
      <c r="D560" s="137" t="s">
        <v>1074</v>
      </c>
      <c r="E560" s="138">
        <v>45849</v>
      </c>
      <c r="F560" s="139" t="s">
        <v>1158</v>
      </c>
      <c r="G560" s="139" t="s">
        <v>1079</v>
      </c>
      <c r="H560" s="137" t="s">
        <v>4305</v>
      </c>
      <c r="I560" s="140"/>
      <c r="J560" s="140"/>
      <c r="K560" s="140"/>
      <c r="L560" s="140"/>
      <c r="M560" s="141" t="s">
        <v>5205</v>
      </c>
      <c r="N560" s="142" t="str">
        <f>IF(Caja_Arequipa[[#This Row],[TIPO DE R.]]="R","001-"&amp;12002+B560,N559)</f>
        <v>001-12520</v>
      </c>
      <c r="O560" s="142" t="str">
        <f t="shared" si="50"/>
        <v>PEN</v>
      </c>
      <c r="P560" s="137"/>
      <c r="Q560" s="137">
        <v>45</v>
      </c>
      <c r="R560" s="137">
        <f>+IF(OR($G560="SALDO",$G560="INGRESO"),$Q560,0)</f>
        <v>0</v>
      </c>
      <c r="S560" s="137">
        <f>+IF($G560="EGRESO",$Q560,0)</f>
        <v>45</v>
      </c>
      <c r="T560" s="137">
        <f>IFERROR(IF(G560="SALDO",R560,T559+R560-S560),0)</f>
        <v>449.79999999999893</v>
      </c>
      <c r="U560" s="143" t="s">
        <v>1081</v>
      </c>
      <c r="V560" s="143"/>
      <c r="W560" s="137"/>
      <c r="X560" s="137"/>
      <c r="Y560" s="137"/>
      <c r="Z560" s="137"/>
      <c r="AA560" s="137"/>
      <c r="AB560" s="137"/>
      <c r="AC560" s="137" t="str">
        <f>IF(Caja_Arequipa[[#This Row],[FECHA]]&gt;0,TEXT(Caja_Arequipa[[#This Row],[FECHA]],"mmmm"),0)</f>
        <v>Julio</v>
      </c>
    </row>
    <row r="561" spans="2:29" s="144" customFormat="1" ht="24" x14ac:dyDescent="0.3">
      <c r="B561" s="135" t="str">
        <f>IF(Caja_Arequipa[[#This Row],[TIPO DE R.]]="R",COUNTIFS($D$4:$D560,"R")+1,"")</f>
        <v/>
      </c>
      <c r="C561" s="136" t="str">
        <f t="shared" si="41"/>
        <v>C-Tesoreria</v>
      </c>
      <c r="D561" s="137" t="s">
        <v>1101</v>
      </c>
      <c r="E561" s="138">
        <v>45849</v>
      </c>
      <c r="F561" s="139" t="s">
        <v>1158</v>
      </c>
      <c r="G561" s="139"/>
      <c r="H561" s="137"/>
      <c r="I561" s="140" t="s">
        <v>915</v>
      </c>
      <c r="J561" s="140" t="s">
        <v>14</v>
      </c>
      <c r="K561" s="140" t="s">
        <v>5137</v>
      </c>
      <c r="L561" s="140">
        <v>5338</v>
      </c>
      <c r="M561" s="141" t="s">
        <v>5206</v>
      </c>
      <c r="N561" s="142" t="str">
        <f>IF(Caja_Arequipa[[#This Row],[TIPO DE R.]]="R","001-"&amp;12002+B561,N560)</f>
        <v>001-12520</v>
      </c>
      <c r="O561" s="142" t="str">
        <f t="shared" si="50"/>
        <v>PEN</v>
      </c>
      <c r="P561" s="137">
        <v>20</v>
      </c>
      <c r="Q561" s="137"/>
      <c r="R561" s="137">
        <f t="shared" si="42"/>
        <v>0</v>
      </c>
      <c r="S561" s="137">
        <f t="shared" si="43"/>
        <v>0</v>
      </c>
      <c r="T561" s="137">
        <f t="shared" si="44"/>
        <v>449.79999999999893</v>
      </c>
      <c r="U561" s="143" t="s">
        <v>1081</v>
      </c>
      <c r="V561" s="143"/>
      <c r="W561" s="137"/>
      <c r="X561" s="137"/>
      <c r="Y561" s="137"/>
      <c r="Z561" s="137"/>
      <c r="AA561" s="137"/>
      <c r="AB561" s="137"/>
      <c r="AC561" s="137" t="str">
        <f>IF(Caja_Arequipa[[#This Row],[FECHA]]&gt;0,TEXT(Caja_Arequipa[[#This Row],[FECHA]],"mmmm"),0)</f>
        <v>Julio</v>
      </c>
    </row>
    <row r="562" spans="2:29" s="144" customFormat="1" ht="24" x14ac:dyDescent="0.3">
      <c r="B562" s="135" t="str">
        <f>IF(Caja_Arequipa[[#This Row],[TIPO DE R.]]="R",COUNTIFS($D$4:$D561,"R")+1,"")</f>
        <v/>
      </c>
      <c r="C562" s="136" t="str">
        <f t="shared" si="41"/>
        <v>C-Tesoreria</v>
      </c>
      <c r="D562" s="137" t="s">
        <v>1101</v>
      </c>
      <c r="E562" s="138">
        <v>45849</v>
      </c>
      <c r="F562" s="139" t="s">
        <v>1158</v>
      </c>
      <c r="G562" s="139"/>
      <c r="H562" s="137"/>
      <c r="I562" s="140" t="s">
        <v>894</v>
      </c>
      <c r="J562" s="140" t="s">
        <v>55</v>
      </c>
      <c r="K562" s="140">
        <v>3</v>
      </c>
      <c r="L562" s="140">
        <v>255</v>
      </c>
      <c r="M562" s="141" t="s">
        <v>5207</v>
      </c>
      <c r="N562" s="142" t="str">
        <f>IF(Caja_Arequipa[[#This Row],[TIPO DE R.]]="R","001-"&amp;12002+B562,N561)</f>
        <v>001-12520</v>
      </c>
      <c r="O562" s="142" t="str">
        <f t="shared" si="50"/>
        <v>PEN</v>
      </c>
      <c r="P562" s="137">
        <v>25</v>
      </c>
      <c r="Q562" s="137"/>
      <c r="R562" s="137">
        <f t="shared" si="42"/>
        <v>0</v>
      </c>
      <c r="S562" s="137">
        <f t="shared" si="43"/>
        <v>0</v>
      </c>
      <c r="T562" s="137">
        <f t="shared" si="44"/>
        <v>449.79999999999893</v>
      </c>
      <c r="U562" s="143" t="s">
        <v>1081</v>
      </c>
      <c r="V562" s="143"/>
      <c r="W562" s="137"/>
      <c r="X562" s="137"/>
      <c r="Y562" s="137"/>
      <c r="Z562" s="137"/>
      <c r="AA562" s="137"/>
      <c r="AB562" s="137"/>
      <c r="AC562" s="137" t="str">
        <f>IF(Caja_Arequipa[[#This Row],[FECHA]]&gt;0,TEXT(Caja_Arequipa[[#This Row],[FECHA]],"mmmm"),0)</f>
        <v>Julio</v>
      </c>
    </row>
    <row r="563" spans="2:29" s="144" customFormat="1" ht="24" x14ac:dyDescent="0.3">
      <c r="B563" s="135">
        <f>IF(Caja_Arequipa[[#This Row],[TIPO DE R.]]="R",COUNTIFS($D$4:$D562,"R")+1,"")</f>
        <v>519</v>
      </c>
      <c r="C563" s="136" t="str">
        <f t="shared" si="41"/>
        <v>C-Tesoreria</v>
      </c>
      <c r="D563" s="137" t="s">
        <v>1074</v>
      </c>
      <c r="E563" s="138">
        <v>45849</v>
      </c>
      <c r="F563" s="139" t="s">
        <v>1082</v>
      </c>
      <c r="G563" s="139" t="s">
        <v>1079</v>
      </c>
      <c r="H563" s="137" t="s">
        <v>4433</v>
      </c>
      <c r="I563" s="140" t="s">
        <v>928</v>
      </c>
      <c r="J563" s="140" t="s">
        <v>14</v>
      </c>
      <c r="K563" s="140" t="s">
        <v>1121</v>
      </c>
      <c r="L563" s="140">
        <v>408</v>
      </c>
      <c r="M563" s="141" t="s">
        <v>5208</v>
      </c>
      <c r="N563" s="142" t="str">
        <f>IF(Caja_Arequipa[[#This Row],[TIPO DE R.]]="R","001-"&amp;12002+B563,N562)</f>
        <v>001-12521</v>
      </c>
      <c r="O563" s="142" t="str">
        <f t="shared" si="49"/>
        <v>PEN</v>
      </c>
      <c r="P563" s="137"/>
      <c r="Q563" s="137">
        <v>140</v>
      </c>
      <c r="R563" s="137">
        <f t="shared" si="42"/>
        <v>0</v>
      </c>
      <c r="S563" s="137">
        <f t="shared" si="43"/>
        <v>140</v>
      </c>
      <c r="T563" s="137">
        <f t="shared" si="44"/>
        <v>309.79999999999893</v>
      </c>
      <c r="U563" s="143" t="s">
        <v>1081</v>
      </c>
      <c r="V563" s="143"/>
      <c r="W563" s="137"/>
      <c r="X563" s="137"/>
      <c r="Y563" s="137"/>
      <c r="Z563" s="137"/>
      <c r="AA563" s="137"/>
      <c r="AB563" s="137"/>
      <c r="AC563" s="137" t="str">
        <f>IF(Caja_Arequipa[[#This Row],[FECHA]]&gt;0,TEXT(Caja_Arequipa[[#This Row],[FECHA]],"mmmm"),0)</f>
        <v>Julio</v>
      </c>
    </row>
    <row r="564" spans="2:29" s="144" customFormat="1" ht="24" x14ac:dyDescent="0.3">
      <c r="B564" s="135">
        <f>IF(Caja_Arequipa[[#This Row],[TIPO DE R.]]="R",COUNTIFS($D$4:$D563,"R")+1,"")</f>
        <v>520</v>
      </c>
      <c r="C564" s="136" t="str">
        <f t="shared" si="41"/>
        <v>C-Tesoreria</v>
      </c>
      <c r="D564" s="137" t="s">
        <v>1074</v>
      </c>
      <c r="E564" s="138">
        <v>45849</v>
      </c>
      <c r="F564" s="139" t="s">
        <v>1158</v>
      </c>
      <c r="G564" s="139" t="s">
        <v>1079</v>
      </c>
      <c r="H564" s="137" t="s">
        <v>4433</v>
      </c>
      <c r="I564" s="140" t="s">
        <v>863</v>
      </c>
      <c r="J564" s="140" t="s">
        <v>55</v>
      </c>
      <c r="K564" s="140">
        <v>3</v>
      </c>
      <c r="L564" s="140">
        <v>258</v>
      </c>
      <c r="M564" s="141" t="s">
        <v>5209</v>
      </c>
      <c r="N564" s="142" t="str">
        <f>IF(Caja_Arequipa[[#This Row],[TIPO DE R.]]="R","001-"&amp;12002+B564,N563)</f>
        <v>001-12522</v>
      </c>
      <c r="O564" s="142" t="str">
        <f t="shared" si="49"/>
        <v>PEN</v>
      </c>
      <c r="P564" s="137"/>
      <c r="Q564" s="137">
        <v>9</v>
      </c>
      <c r="R564" s="137">
        <f t="shared" si="42"/>
        <v>0</v>
      </c>
      <c r="S564" s="137">
        <f t="shared" si="43"/>
        <v>9</v>
      </c>
      <c r="T564" s="137">
        <f t="shared" si="44"/>
        <v>300.79999999999893</v>
      </c>
      <c r="U564" s="143" t="s">
        <v>1081</v>
      </c>
      <c r="V564" s="143"/>
      <c r="W564" s="137"/>
      <c r="X564" s="137"/>
      <c r="Y564" s="137"/>
      <c r="Z564" s="137"/>
      <c r="AA564" s="137"/>
      <c r="AB564" s="137"/>
      <c r="AC564" s="137" t="str">
        <f>IF(Caja_Arequipa[[#This Row],[FECHA]]&gt;0,TEXT(Caja_Arequipa[[#This Row],[FECHA]],"mmmm"),0)</f>
        <v>Julio</v>
      </c>
    </row>
    <row r="565" spans="2:29" s="144" customFormat="1" ht="24" x14ac:dyDescent="0.3">
      <c r="B565" s="135">
        <f>IF(Caja_Arequipa[[#This Row],[TIPO DE R.]]="R",COUNTIFS($D$4:$D564,"R")+1,"")</f>
        <v>521</v>
      </c>
      <c r="C565" s="136" t="str">
        <f t="shared" si="41"/>
        <v>C-Tesoreria</v>
      </c>
      <c r="D565" s="137" t="s">
        <v>1074</v>
      </c>
      <c r="E565" s="138">
        <v>45852</v>
      </c>
      <c r="F565" s="139" t="s">
        <v>1158</v>
      </c>
      <c r="G565" s="139" t="s">
        <v>1079</v>
      </c>
      <c r="H565" s="137" t="s">
        <v>4912</v>
      </c>
      <c r="I565" s="140" t="s">
        <v>908</v>
      </c>
      <c r="J565" s="140" t="s">
        <v>55</v>
      </c>
      <c r="K565" s="140">
        <v>3</v>
      </c>
      <c r="L565" s="140">
        <v>261</v>
      </c>
      <c r="M565" s="141" t="s">
        <v>5210</v>
      </c>
      <c r="N565" s="142" t="str">
        <f>IF(Caja_Arequipa[[#This Row],[TIPO DE R.]]="R","001-"&amp;12002+B565,N564)</f>
        <v>001-12523</v>
      </c>
      <c r="O565" s="142" t="str">
        <f t="shared" ref="O565:O572" si="51">"PEN"</f>
        <v>PEN</v>
      </c>
      <c r="P565" s="137"/>
      <c r="Q565" s="137">
        <v>26</v>
      </c>
      <c r="R565" s="137">
        <f>+IF(OR($G565="SALDO",$G565="INGRESO"),$Q565,0)</f>
        <v>0</v>
      </c>
      <c r="S565" s="137">
        <f t="shared" si="43"/>
        <v>26</v>
      </c>
      <c r="T565" s="137">
        <f>IFERROR(IF(G565="SALDO",R565,T564+R565-S565),0)</f>
        <v>274.79999999999893</v>
      </c>
      <c r="U565" s="143" t="s">
        <v>1081</v>
      </c>
      <c r="V565" s="143"/>
      <c r="W565" s="137"/>
      <c r="X565" s="137"/>
      <c r="Y565" s="137"/>
      <c r="Z565" s="137"/>
      <c r="AA565" s="137"/>
      <c r="AB565" s="137"/>
      <c r="AC565" s="137" t="str">
        <f>IF(Caja_Arequipa[[#This Row],[FECHA]]&gt;0,TEXT(Caja_Arequipa[[#This Row],[FECHA]],"mmmm"),0)</f>
        <v>Julio</v>
      </c>
    </row>
    <row r="566" spans="2:29" s="144" customFormat="1" ht="24" x14ac:dyDescent="0.3">
      <c r="B566" s="135">
        <f>IF(Caja_Arequipa[[#This Row],[TIPO DE R.]]="R",COUNTIFS($D$4:$D565,"R")+1,"")</f>
        <v>522</v>
      </c>
      <c r="C566" s="136" t="str">
        <f t="shared" si="41"/>
        <v>C-Tesoreria</v>
      </c>
      <c r="D566" s="137" t="s">
        <v>1074</v>
      </c>
      <c r="E566" s="138">
        <v>45852</v>
      </c>
      <c r="F566" s="139" t="s">
        <v>1996</v>
      </c>
      <c r="G566" s="139" t="s">
        <v>1079</v>
      </c>
      <c r="H566" s="137" t="s">
        <v>3562</v>
      </c>
      <c r="I566" s="140" t="s">
        <v>687</v>
      </c>
      <c r="J566" s="140" t="s">
        <v>18</v>
      </c>
      <c r="K566" s="140" t="s">
        <v>1121</v>
      </c>
      <c r="L566" s="140">
        <v>18</v>
      </c>
      <c r="M566" s="141" t="s">
        <v>5211</v>
      </c>
      <c r="N566" s="142" t="str">
        <f>IF(Caja_Arequipa[[#This Row],[TIPO DE R.]]="R","001-"&amp;12002+B566,N565)</f>
        <v>001-12524</v>
      </c>
      <c r="O566" s="142" t="str">
        <f t="shared" si="51"/>
        <v>PEN</v>
      </c>
      <c r="P566" s="137"/>
      <c r="Q566" s="137">
        <v>160</v>
      </c>
      <c r="R566" s="137">
        <f t="shared" si="42"/>
        <v>0</v>
      </c>
      <c r="S566" s="137">
        <f>+IF($G566="EGRESO",$Q566,0)</f>
        <v>160</v>
      </c>
      <c r="T566" s="137">
        <f t="shared" ref="T566:T572" si="52">IFERROR(IF(G566="SALDO",R566,T565+R566-S566),0)</f>
        <v>114.79999999999893</v>
      </c>
      <c r="U566" s="143" t="s">
        <v>1081</v>
      </c>
      <c r="V566" s="143"/>
      <c r="W566" s="137"/>
      <c r="X566" s="137"/>
      <c r="Y566" s="137"/>
      <c r="Z566" s="137"/>
      <c r="AA566" s="137"/>
      <c r="AB566" s="137"/>
      <c r="AC566" s="137" t="str">
        <f>IF(Caja_Arequipa[[#This Row],[FECHA]]&gt;0,TEXT(Caja_Arequipa[[#This Row],[FECHA]],"mmmm"),0)</f>
        <v>Julio</v>
      </c>
    </row>
    <row r="567" spans="2:29" s="144" customFormat="1" ht="24" x14ac:dyDescent="0.3">
      <c r="B567" s="135">
        <f>IF(Caja_Arequipa[[#This Row],[TIPO DE R.]]="R",COUNTIFS($D$4:$D566,"R")+1,"")</f>
        <v>523</v>
      </c>
      <c r="C567" s="136" t="str">
        <f t="shared" si="41"/>
        <v>C-Tesoreria</v>
      </c>
      <c r="D567" s="137" t="s">
        <v>1074</v>
      </c>
      <c r="E567" s="138">
        <v>45852</v>
      </c>
      <c r="F567" s="139" t="s">
        <v>1158</v>
      </c>
      <c r="G567" s="139" t="s">
        <v>1079</v>
      </c>
      <c r="H567" s="137" t="s">
        <v>4712</v>
      </c>
      <c r="I567" s="140" t="s">
        <v>927</v>
      </c>
      <c r="J567" s="140" t="s">
        <v>21</v>
      </c>
      <c r="K567" s="140">
        <v>1</v>
      </c>
      <c r="L567" s="140">
        <v>168</v>
      </c>
      <c r="M567" s="141" t="s">
        <v>5212</v>
      </c>
      <c r="N567" s="142" t="str">
        <f>IF(Caja_Arequipa[[#This Row],[TIPO DE R.]]="R","001-"&amp;12002+B567,N566)</f>
        <v>001-12525</v>
      </c>
      <c r="O567" s="142" t="str">
        <f t="shared" si="51"/>
        <v>PEN</v>
      </c>
      <c r="P567" s="137"/>
      <c r="Q567" s="137">
        <v>21.4</v>
      </c>
      <c r="R567" s="137">
        <f t="shared" si="42"/>
        <v>0</v>
      </c>
      <c r="S567" s="137">
        <f t="shared" si="43"/>
        <v>21.4</v>
      </c>
      <c r="T567" s="137">
        <f t="shared" si="52"/>
        <v>93.399999999998926</v>
      </c>
      <c r="U567" s="143" t="s">
        <v>1081</v>
      </c>
      <c r="V567" s="143"/>
      <c r="W567" s="137"/>
      <c r="X567" s="137"/>
      <c r="Y567" s="137"/>
      <c r="Z567" s="137"/>
      <c r="AA567" s="137"/>
      <c r="AB567" s="137"/>
      <c r="AC567" s="137"/>
    </row>
    <row r="568" spans="2:29" s="144" customFormat="1" ht="24" x14ac:dyDescent="0.3">
      <c r="B568" s="135">
        <f>IF(Caja_Arequipa[[#This Row],[TIPO DE R.]]="R",COUNTIFS($D$4:$D567,"R")+1,"")</f>
        <v>524</v>
      </c>
      <c r="C568" s="136" t="str">
        <f t="shared" ref="C568:C575" si="53">"C-Tesoreria"</f>
        <v>C-Tesoreria</v>
      </c>
      <c r="D568" s="137" t="s">
        <v>1074</v>
      </c>
      <c r="E568" s="138">
        <v>45853</v>
      </c>
      <c r="F568" s="139" t="s">
        <v>1082</v>
      </c>
      <c r="G568" s="139" t="s">
        <v>1079</v>
      </c>
      <c r="H568" s="137" t="s">
        <v>4912</v>
      </c>
      <c r="I568" s="140"/>
      <c r="J568" s="140"/>
      <c r="K568" s="140"/>
      <c r="L568" s="140"/>
      <c r="M568" s="141" t="s">
        <v>5213</v>
      </c>
      <c r="N568" s="142" t="str">
        <f>IF(Caja_Arequipa[[#This Row],[TIPO DE R.]]="R","001-"&amp;12002+B568,N567)</f>
        <v>001-12526</v>
      </c>
      <c r="O568" s="142" t="str">
        <f t="shared" si="51"/>
        <v>PEN</v>
      </c>
      <c r="P568" s="137"/>
      <c r="Q568" s="137">
        <v>74</v>
      </c>
      <c r="R568" s="137">
        <f t="shared" si="42"/>
        <v>0</v>
      </c>
      <c r="S568" s="137">
        <f t="shared" si="43"/>
        <v>74</v>
      </c>
      <c r="T568" s="137">
        <f t="shared" si="52"/>
        <v>19.399999999998926</v>
      </c>
      <c r="U568" s="143" t="s">
        <v>1081</v>
      </c>
      <c r="V568" s="143"/>
      <c r="W568" s="137"/>
      <c r="X568" s="137"/>
      <c r="Y568" s="137"/>
      <c r="Z568" s="137"/>
      <c r="AA568" s="137"/>
      <c r="AB568" s="137"/>
      <c r="AC568" s="137" t="str">
        <f>IF(Caja_Arequipa[[#This Row],[FECHA]]&gt;0,TEXT(Caja_Arequipa[[#This Row],[FECHA]],"mmmm"),0)</f>
        <v>Julio</v>
      </c>
    </row>
    <row r="569" spans="2:29" s="144" customFormat="1" ht="24" x14ac:dyDescent="0.3">
      <c r="B569" s="135" t="str">
        <f>IF(Caja_Arequipa[[#This Row],[TIPO DE R.]]="R",COUNTIFS($D$4:$D568,"R")+1,"")</f>
        <v/>
      </c>
      <c r="C569" s="136" t="str">
        <f>"C-Tesoreria"</f>
        <v>C-Tesoreria</v>
      </c>
      <c r="D569" s="137" t="s">
        <v>1101</v>
      </c>
      <c r="E569" s="138">
        <v>45853</v>
      </c>
      <c r="F569" s="139" t="s">
        <v>1082</v>
      </c>
      <c r="G569" s="139"/>
      <c r="H569" s="137"/>
      <c r="I569" s="140" t="s">
        <v>908</v>
      </c>
      <c r="J569" s="140" t="s">
        <v>55</v>
      </c>
      <c r="K569" s="140">
        <v>3</v>
      </c>
      <c r="L569" s="140">
        <v>262</v>
      </c>
      <c r="M569" s="141" t="s">
        <v>5214</v>
      </c>
      <c r="N569" s="142" t="str">
        <f>IF(Caja_Arequipa[[#This Row],[TIPO DE R.]]="R","001-"&amp;12002+B569,N568)</f>
        <v>001-12526</v>
      </c>
      <c r="O569" s="142" t="str">
        <f>"PEN"</f>
        <v>PEN</v>
      </c>
      <c r="P569" s="137">
        <v>29</v>
      </c>
      <c r="Q569" s="137"/>
      <c r="R569" s="137">
        <f>+IF(OR($G569="SALDO",$G569="INGRESO"),$Q569,0)</f>
        <v>0</v>
      </c>
      <c r="S569" s="137">
        <f>+IF($G569="EGRESO",$Q569,0)</f>
        <v>0</v>
      </c>
      <c r="T569" s="137">
        <f>IFERROR(IF(G569="SALDO",R569,T568+R569-S569),0)</f>
        <v>19.399999999998926</v>
      </c>
      <c r="U569" s="143" t="s">
        <v>1081</v>
      </c>
      <c r="V569" s="143"/>
      <c r="W569" s="137"/>
      <c r="X569" s="137"/>
      <c r="Y569" s="137"/>
      <c r="Z569" s="137"/>
      <c r="AA569" s="137"/>
      <c r="AB569" s="137"/>
      <c r="AC569" s="137" t="str">
        <f>IF(Caja_Arequipa[[#This Row],[FECHA]]&gt;0,TEXT(Caja_Arequipa[[#This Row],[FECHA]],"mmmm"),0)</f>
        <v>Julio</v>
      </c>
    </row>
    <row r="570" spans="2:29" s="144" customFormat="1" ht="36" x14ac:dyDescent="0.3">
      <c r="B570" s="135" t="str">
        <f>IF(Caja_Arequipa[[#This Row],[TIPO DE R.]]="R",COUNTIFS($D$4:$D569,"R")+1,"")</f>
        <v/>
      </c>
      <c r="C570" s="136" t="str">
        <f>"C-Tesoreria"</f>
        <v>C-Tesoreria</v>
      </c>
      <c r="D570" s="137" t="s">
        <v>1101</v>
      </c>
      <c r="E570" s="138">
        <v>45853</v>
      </c>
      <c r="F570" s="139" t="s">
        <v>1082</v>
      </c>
      <c r="G570" s="139"/>
      <c r="H570" s="137"/>
      <c r="I570" s="140" t="s">
        <v>971</v>
      </c>
      <c r="J570" s="140" t="s">
        <v>14</v>
      </c>
      <c r="K570" s="140" t="s">
        <v>5215</v>
      </c>
      <c r="L570" s="140">
        <v>415</v>
      </c>
      <c r="M570" s="141" t="s">
        <v>5214</v>
      </c>
      <c r="N570" s="142" t="str">
        <f>IF(Caja_Arequipa[[#This Row],[TIPO DE R.]]="R","001-"&amp;12002+B570,N569)</f>
        <v>001-12526</v>
      </c>
      <c r="O570" s="142" t="str">
        <f>"PEN"</f>
        <v>PEN</v>
      </c>
      <c r="P570" s="137">
        <v>45</v>
      </c>
      <c r="Q570" s="137"/>
      <c r="R570" s="137">
        <f>+IF(OR($G570="SALDO",$G570="INGRESO"),$Q570,0)</f>
        <v>0</v>
      </c>
      <c r="S570" s="137">
        <f>+IF($G570="EGRESO",$Q570,0)</f>
        <v>0</v>
      </c>
      <c r="T570" s="137">
        <f t="shared" ref="T570:T571" si="54">IFERROR(IF(G570="SALDO",R570,T569+R570-S570),0)</f>
        <v>19.399999999998926</v>
      </c>
      <c r="U570" s="143" t="s">
        <v>1081</v>
      </c>
      <c r="V570" s="143"/>
      <c r="W570" s="137"/>
      <c r="X570" s="137"/>
      <c r="Y570" s="137"/>
      <c r="Z570" s="137"/>
      <c r="AA570" s="137"/>
      <c r="AB570" s="137"/>
      <c r="AC570" s="137" t="str">
        <f>IF(Caja_Arequipa[[#This Row],[FECHA]]&gt;0,TEXT(Caja_Arequipa[[#This Row],[FECHA]],"mmmm"),0)</f>
        <v>Julio</v>
      </c>
    </row>
    <row r="571" spans="2:29" s="154" customFormat="1" ht="24" x14ac:dyDescent="0.3">
      <c r="B571" s="145">
        <f>IF(Caja_Arequipa[[#This Row],[TIPO DE R.]]="R",COUNTIFS($D$4:$D570,"R")+1,"")</f>
        <v>525</v>
      </c>
      <c r="C571" s="146" t="str">
        <f t="shared" si="53"/>
        <v>C-Tesoreria</v>
      </c>
      <c r="D571" s="147" t="s">
        <v>1074</v>
      </c>
      <c r="E571" s="148">
        <v>45853</v>
      </c>
      <c r="F571" s="149" t="s">
        <v>1996</v>
      </c>
      <c r="G571" s="149" t="s">
        <v>1087</v>
      </c>
      <c r="H571" s="147" t="s">
        <v>4912</v>
      </c>
      <c r="I571" s="150"/>
      <c r="J571" s="150" t="s">
        <v>74</v>
      </c>
      <c r="K571" s="150">
        <v>1</v>
      </c>
      <c r="L571" s="150">
        <v>153</v>
      </c>
      <c r="M571" s="151" t="s">
        <v>5180</v>
      </c>
      <c r="N571" s="152" t="str">
        <f>IF(Caja_Arequipa[[#This Row],[TIPO DE R.]]="R","001-"&amp;12002+B571,N570)</f>
        <v>001-12527</v>
      </c>
      <c r="O571" s="152" t="str">
        <f t="shared" si="51"/>
        <v>PEN</v>
      </c>
      <c r="P571" s="147"/>
      <c r="Q571" s="147">
        <v>11</v>
      </c>
      <c r="R571" s="147">
        <f t="shared" si="42"/>
        <v>11</v>
      </c>
      <c r="S571" s="147">
        <f t="shared" si="43"/>
        <v>0</v>
      </c>
      <c r="T571" s="147">
        <f t="shared" si="54"/>
        <v>30.399999999998926</v>
      </c>
      <c r="U571" s="153" t="s">
        <v>1081</v>
      </c>
      <c r="V571" s="153"/>
      <c r="W571" s="147"/>
      <c r="X571" s="147"/>
      <c r="Y571" s="147"/>
      <c r="Z571" s="147"/>
      <c r="AA571" s="147"/>
      <c r="AB571" s="147"/>
      <c r="AC571" s="147" t="str">
        <f>IF(Caja_Arequipa[[#This Row],[FECHA]]&gt;0,TEXT(Caja_Arequipa[[#This Row],[FECHA]],"mmmm"),0)</f>
        <v>Julio</v>
      </c>
    </row>
    <row r="572" spans="2:29" s="154" customFormat="1" x14ac:dyDescent="0.3">
      <c r="B572" s="145">
        <f>IF(Caja_Arequipa[[#This Row],[TIPO DE R.]]="R",COUNTIFS($D$4:$D571,"R")+1,"")</f>
        <v>526</v>
      </c>
      <c r="C572" s="146" t="str">
        <f t="shared" si="53"/>
        <v>C-Tesoreria</v>
      </c>
      <c r="D572" s="147" t="s">
        <v>1074</v>
      </c>
      <c r="E572" s="148">
        <v>45854</v>
      </c>
      <c r="F572" s="149" t="s">
        <v>1158</v>
      </c>
      <c r="G572" s="149" t="s">
        <v>1087</v>
      </c>
      <c r="H572" s="147" t="s">
        <v>3353</v>
      </c>
      <c r="I572" s="150"/>
      <c r="J572" s="150"/>
      <c r="K572" s="150"/>
      <c r="L572" s="150"/>
      <c r="M572" s="151" t="s">
        <v>5216</v>
      </c>
      <c r="N572" s="152" t="str">
        <f>IF(Caja_Arequipa[[#This Row],[TIPO DE R.]]="R","001-"&amp;12002+B572,N571)</f>
        <v>001-12528</v>
      </c>
      <c r="O572" s="152" t="str">
        <f t="shared" si="51"/>
        <v>PEN</v>
      </c>
      <c r="P572" s="147"/>
      <c r="Q572" s="147">
        <v>1931.2</v>
      </c>
      <c r="R572" s="147">
        <f t="shared" si="42"/>
        <v>1931.2</v>
      </c>
      <c r="S572" s="147">
        <f t="shared" si="43"/>
        <v>0</v>
      </c>
      <c r="T572" s="147">
        <f t="shared" si="52"/>
        <v>1961.599999999999</v>
      </c>
      <c r="U572" s="153" t="s">
        <v>1081</v>
      </c>
      <c r="V572" s="153"/>
      <c r="W572" s="147"/>
      <c r="X572" s="147"/>
      <c r="Y572" s="147"/>
      <c r="Z572" s="147"/>
      <c r="AA572" s="147"/>
      <c r="AB572" s="147"/>
      <c r="AC572" s="147" t="str">
        <f>IF(Caja_Arequipa[[#This Row],[FECHA]]&gt;0,TEXT(Caja_Arequipa[[#This Row],[FECHA]],"mmmm"),0)</f>
        <v>Julio</v>
      </c>
    </row>
    <row r="573" spans="2:29" s="144" customFormat="1" ht="24" x14ac:dyDescent="0.3">
      <c r="B573" s="135">
        <f>IF(Caja_Arequipa[[#This Row],[TIPO DE R.]]="R",COUNTIFS($D$4:$D572,"R")+1,"")</f>
        <v>527</v>
      </c>
      <c r="C573" s="136" t="str">
        <f t="shared" si="53"/>
        <v>C-Tesoreria</v>
      </c>
      <c r="D573" s="137" t="s">
        <v>1074</v>
      </c>
      <c r="E573" s="138">
        <v>45855</v>
      </c>
      <c r="F573" s="139" t="s">
        <v>1996</v>
      </c>
      <c r="G573" s="139" t="s">
        <v>1079</v>
      </c>
      <c r="H573" s="137" t="s">
        <v>4329</v>
      </c>
      <c r="I573" s="140" t="s">
        <v>823</v>
      </c>
      <c r="J573" s="140" t="s">
        <v>55</v>
      </c>
      <c r="K573" s="140">
        <v>3</v>
      </c>
      <c r="L573" s="140">
        <v>256</v>
      </c>
      <c r="M573" s="141" t="s">
        <v>5217</v>
      </c>
      <c r="N573" s="142" t="str">
        <f>IF(Caja_Arequipa[[#This Row],[TIPO DE R.]]="R","001-"&amp;12002+B573,N572)</f>
        <v>001-12529</v>
      </c>
      <c r="O573" s="142" t="str">
        <f t="shared" ref="O573:O579" si="55">"PEN"</f>
        <v>PEN</v>
      </c>
      <c r="P573" s="137"/>
      <c r="Q573" s="137">
        <v>12</v>
      </c>
      <c r="R573" s="137">
        <f t="shared" ref="R573:R579" si="56">+IF(OR($G573="SALDO",$G573="INGRESO"),$Q573,0)</f>
        <v>0</v>
      </c>
      <c r="S573" s="137">
        <f t="shared" ref="S573:S579" si="57">+IF($G573="EGRESO",$Q573,0)</f>
        <v>12</v>
      </c>
      <c r="T573" s="137">
        <f t="shared" ref="T573:T579" si="58">IFERROR(IF(G573="SALDO",R573,T572+R573-S573),0)</f>
        <v>1949.599999999999</v>
      </c>
      <c r="U573" s="143" t="s">
        <v>1081</v>
      </c>
      <c r="V573" s="143"/>
      <c r="W573" s="137"/>
      <c r="X573" s="137"/>
      <c r="Y573" s="137"/>
      <c r="Z573" s="137"/>
      <c r="AA573" s="137"/>
      <c r="AB573" s="137"/>
      <c r="AC573" s="137" t="str">
        <f>IF(Caja_Arequipa[[#This Row],[FECHA]]&gt;0,TEXT(Caja_Arequipa[[#This Row],[FECHA]],"mmmm"),0)</f>
        <v>Julio</v>
      </c>
    </row>
    <row r="574" spans="2:29" s="144" customFormat="1" ht="24" x14ac:dyDescent="0.3">
      <c r="B574" s="135">
        <f>IF(Caja_Arequipa[[#This Row],[TIPO DE R.]]="R",COUNTIFS($D$4:$D573,"R")+1,"")</f>
        <v>528</v>
      </c>
      <c r="C574" s="136" t="str">
        <f t="shared" si="53"/>
        <v>C-Tesoreria</v>
      </c>
      <c r="D574" s="137" t="s">
        <v>1074</v>
      </c>
      <c r="E574" s="138">
        <v>45855</v>
      </c>
      <c r="F574" s="139" t="s">
        <v>1082</v>
      </c>
      <c r="G574" s="139" t="s">
        <v>1079</v>
      </c>
      <c r="H574" s="137" t="s">
        <v>4303</v>
      </c>
      <c r="I574" s="140" t="s">
        <v>777</v>
      </c>
      <c r="J574" s="140" t="s">
        <v>55</v>
      </c>
      <c r="K574" s="140">
        <v>3</v>
      </c>
      <c r="L574" s="140">
        <v>257</v>
      </c>
      <c r="M574" s="141" t="s">
        <v>5218</v>
      </c>
      <c r="N574" s="142" t="str">
        <f>IF(Caja_Arequipa[[#This Row],[TIPO DE R.]]="R","001-"&amp;12002+B574,N573)</f>
        <v>001-12530</v>
      </c>
      <c r="O574" s="142" t="str">
        <f t="shared" si="55"/>
        <v>PEN</v>
      </c>
      <c r="P574" s="137"/>
      <c r="Q574" s="137">
        <v>4.7</v>
      </c>
      <c r="R574" s="137">
        <f t="shared" si="56"/>
        <v>0</v>
      </c>
      <c r="S574" s="137">
        <f t="shared" si="57"/>
        <v>4.7</v>
      </c>
      <c r="T574" s="137">
        <f t="shared" si="58"/>
        <v>1944.899999999999</v>
      </c>
      <c r="U574" s="143" t="s">
        <v>1081</v>
      </c>
      <c r="V574" s="143"/>
      <c r="W574" s="137"/>
      <c r="X574" s="137"/>
      <c r="Y574" s="137"/>
      <c r="Z574" s="137"/>
      <c r="AA574" s="137"/>
      <c r="AB574" s="137"/>
      <c r="AC574" s="137" t="str">
        <f>IF(Caja_Arequipa[[#This Row],[FECHA]]&gt;0,TEXT(Caja_Arequipa[[#This Row],[FECHA]],"mmmm"),0)</f>
        <v>Julio</v>
      </c>
    </row>
    <row r="575" spans="2:29" s="144" customFormat="1" ht="24" x14ac:dyDescent="0.3">
      <c r="B575" s="135">
        <f>IF(Caja_Arequipa[[#This Row],[TIPO DE R.]]="R",COUNTIFS($D$4:$D574,"R")+1,"")</f>
        <v>529</v>
      </c>
      <c r="C575" s="136" t="str">
        <f t="shared" si="53"/>
        <v>C-Tesoreria</v>
      </c>
      <c r="D575" s="137" t="s">
        <v>1074</v>
      </c>
      <c r="E575" s="138">
        <v>45855</v>
      </c>
      <c r="F575" s="139" t="s">
        <v>1082</v>
      </c>
      <c r="G575" s="139" t="s">
        <v>1079</v>
      </c>
      <c r="H575" s="137" t="s">
        <v>4433</v>
      </c>
      <c r="I575" s="140" t="s">
        <v>863</v>
      </c>
      <c r="J575" s="140" t="s">
        <v>55</v>
      </c>
      <c r="K575" s="140">
        <v>3</v>
      </c>
      <c r="L575" s="140">
        <v>259</v>
      </c>
      <c r="M575" s="141" t="s">
        <v>5219</v>
      </c>
      <c r="N575" s="142" t="str">
        <f>IF(Caja_Arequipa[[#This Row],[TIPO DE R.]]="R","001-"&amp;12002+B575,N574)</f>
        <v>001-12531</v>
      </c>
      <c r="O575" s="142" t="str">
        <f t="shared" si="55"/>
        <v>PEN</v>
      </c>
      <c r="P575" s="137"/>
      <c r="Q575" s="137">
        <v>8</v>
      </c>
      <c r="R575" s="137">
        <f t="shared" si="56"/>
        <v>0</v>
      </c>
      <c r="S575" s="137">
        <f t="shared" si="57"/>
        <v>8</v>
      </c>
      <c r="T575" s="137">
        <f t="shared" si="58"/>
        <v>1936.899999999999</v>
      </c>
      <c r="U575" s="143" t="s">
        <v>1081</v>
      </c>
      <c r="V575" s="143"/>
      <c r="W575" s="137"/>
      <c r="X575" s="137"/>
      <c r="Y575" s="137"/>
      <c r="Z575" s="137"/>
      <c r="AA575" s="137"/>
      <c r="AB575" s="137"/>
      <c r="AC575" s="137" t="str">
        <f>IF(Caja_Arequipa[[#This Row],[FECHA]]&gt;0,TEXT(Caja_Arequipa[[#This Row],[FECHA]],"mmmm"),0)</f>
        <v>Julio</v>
      </c>
    </row>
    <row r="576" spans="2:29" s="144" customFormat="1" ht="36" x14ac:dyDescent="0.3">
      <c r="B576" s="135">
        <f>IF(Caja_Arequipa[[#This Row],[TIPO DE R.]]="R",COUNTIFS($D$4:$D575,"R")+1,"")</f>
        <v>530</v>
      </c>
      <c r="C576" s="136" t="str">
        <f t="shared" ref="C576:C581" si="59">"C-Tesoreria"</f>
        <v>C-Tesoreria</v>
      </c>
      <c r="D576" s="137" t="s">
        <v>1074</v>
      </c>
      <c r="E576" s="138">
        <v>45856</v>
      </c>
      <c r="F576" s="139" t="s">
        <v>1996</v>
      </c>
      <c r="G576" s="139" t="s">
        <v>1079</v>
      </c>
      <c r="H576" s="137" t="s">
        <v>4433</v>
      </c>
      <c r="I576" s="140" t="s">
        <v>912</v>
      </c>
      <c r="J576" s="140" t="s">
        <v>14</v>
      </c>
      <c r="K576" s="140" t="s">
        <v>1121</v>
      </c>
      <c r="L576" s="140">
        <v>41</v>
      </c>
      <c r="M576" s="141" t="s">
        <v>4601</v>
      </c>
      <c r="N576" s="142" t="str">
        <f>IF(Caja_Arequipa[[#This Row],[TIPO DE R.]]="R","001-"&amp;12002+B576,N575)</f>
        <v>001-12532</v>
      </c>
      <c r="O576" s="142" t="str">
        <f t="shared" si="55"/>
        <v>PEN</v>
      </c>
      <c r="P576" s="137"/>
      <c r="Q576" s="137">
        <v>35</v>
      </c>
      <c r="R576" s="137">
        <f t="shared" si="56"/>
        <v>0</v>
      </c>
      <c r="S576" s="137">
        <f t="shared" si="57"/>
        <v>35</v>
      </c>
      <c r="T576" s="137">
        <f t="shared" si="58"/>
        <v>1901.899999999999</v>
      </c>
      <c r="U576" s="143" t="s">
        <v>1081</v>
      </c>
      <c r="V576" s="143"/>
      <c r="W576" s="137"/>
      <c r="X576" s="137"/>
      <c r="Y576" s="137"/>
      <c r="Z576" s="137"/>
      <c r="AA576" s="137"/>
      <c r="AB576" s="137"/>
      <c r="AC576" s="137" t="str">
        <f>IF(Caja_Arequipa[[#This Row],[FECHA]]&gt;0,TEXT(Caja_Arequipa[[#This Row],[FECHA]],"mmmm"),0)</f>
        <v>Julio</v>
      </c>
    </row>
    <row r="577" spans="2:29" s="144" customFormat="1" x14ac:dyDescent="0.3">
      <c r="B577" s="135">
        <f>IF(Caja_Arequipa[[#This Row],[TIPO DE R.]]="R",COUNTIFS($D$4:$D576,"R")+1,"")</f>
        <v>531</v>
      </c>
      <c r="C577" s="136" t="str">
        <f t="shared" si="59"/>
        <v>C-Tesoreria</v>
      </c>
      <c r="D577" s="137" t="s">
        <v>1074</v>
      </c>
      <c r="E577" s="138">
        <v>45862</v>
      </c>
      <c r="F577" s="139" t="s">
        <v>1996</v>
      </c>
      <c r="G577" s="139" t="s">
        <v>1079</v>
      </c>
      <c r="H577" s="137" t="s">
        <v>4433</v>
      </c>
      <c r="I577" s="140"/>
      <c r="J577" s="140"/>
      <c r="K577" s="140"/>
      <c r="L577" s="140"/>
      <c r="M577" s="141" t="s">
        <v>5091</v>
      </c>
      <c r="N577" s="142" t="str">
        <f>IF(Caja_Arequipa[[#This Row],[TIPO DE R.]]="R","001-"&amp;12002+B577,N576)</f>
        <v>001-12533</v>
      </c>
      <c r="O577" s="142" t="str">
        <f t="shared" si="55"/>
        <v>PEN</v>
      </c>
      <c r="P577" s="137"/>
      <c r="Q577" s="137">
        <v>42</v>
      </c>
      <c r="R577" s="137">
        <f t="shared" si="56"/>
        <v>0</v>
      </c>
      <c r="S577" s="137">
        <f t="shared" si="57"/>
        <v>42</v>
      </c>
      <c r="T577" s="137">
        <f t="shared" si="58"/>
        <v>1859.899999999999</v>
      </c>
      <c r="U577" s="143" t="s">
        <v>1081</v>
      </c>
      <c r="V577" s="143"/>
      <c r="W577" s="137"/>
      <c r="X577" s="137"/>
      <c r="Y577" s="137"/>
      <c r="Z577" s="137"/>
      <c r="AA577" s="137"/>
      <c r="AB577" s="137"/>
      <c r="AC577" s="137" t="str">
        <f>IF(Caja_Arequipa[[#This Row],[FECHA]]&gt;0,TEXT(Caja_Arequipa[[#This Row],[FECHA]],"mmmm"),0)</f>
        <v>Julio</v>
      </c>
    </row>
    <row r="578" spans="2:29" s="144" customFormat="1" ht="24" x14ac:dyDescent="0.3">
      <c r="B578" s="135" t="str">
        <f>IF(Caja_Arequipa[[#This Row],[TIPO DE R.]]="R",COUNTIFS($D$4:$D577,"R")+1,"")</f>
        <v/>
      </c>
      <c r="C578" s="136" t="str">
        <f t="shared" si="59"/>
        <v>C-Tesoreria</v>
      </c>
      <c r="D578" s="137" t="s">
        <v>1101</v>
      </c>
      <c r="E578" s="138">
        <v>45862</v>
      </c>
      <c r="F578" s="139" t="s">
        <v>1996</v>
      </c>
      <c r="G578" s="139"/>
      <c r="H578" s="137"/>
      <c r="I578" s="140" t="s">
        <v>863</v>
      </c>
      <c r="J578" s="140" t="s">
        <v>55</v>
      </c>
      <c r="K578" s="140">
        <v>3</v>
      </c>
      <c r="L578" s="140">
        <v>260</v>
      </c>
      <c r="M578" s="141" t="s">
        <v>5091</v>
      </c>
      <c r="N578" s="142" t="str">
        <f>IF(Caja_Arequipa[[#This Row],[TIPO DE R.]]="R","001-"&amp;12002+B578,N577)</f>
        <v>001-12533</v>
      </c>
      <c r="O578" s="142" t="str">
        <f t="shared" si="55"/>
        <v>PEN</v>
      </c>
      <c r="P578" s="137">
        <v>7</v>
      </c>
      <c r="Q578" s="137"/>
      <c r="R578" s="137">
        <f t="shared" si="56"/>
        <v>0</v>
      </c>
      <c r="S578" s="137">
        <f t="shared" si="57"/>
        <v>0</v>
      </c>
      <c r="T578" s="137">
        <f t="shared" si="58"/>
        <v>1859.899999999999</v>
      </c>
      <c r="U578" s="143" t="s">
        <v>1081</v>
      </c>
      <c r="V578" s="143"/>
      <c r="W578" s="137"/>
      <c r="X578" s="137"/>
      <c r="Y578" s="137"/>
      <c r="Z578" s="137"/>
      <c r="AA578" s="137"/>
      <c r="AB578" s="137"/>
      <c r="AC578" s="137" t="str">
        <f>IF(Caja_Arequipa[[#This Row],[FECHA]]&gt;0,TEXT(Caja_Arequipa[[#This Row],[FECHA]],"mmmm"),0)</f>
        <v>Julio</v>
      </c>
    </row>
    <row r="579" spans="2:29" s="144" customFormat="1" ht="36" x14ac:dyDescent="0.3">
      <c r="B579" s="135" t="str">
        <f>IF(Caja_Arequipa[[#This Row],[TIPO DE R.]]="R",COUNTIFS($D$4:$D578,"R")+1,"")</f>
        <v/>
      </c>
      <c r="C579" s="136" t="str">
        <f t="shared" si="59"/>
        <v>C-Tesoreria</v>
      </c>
      <c r="D579" s="137" t="s">
        <v>1101</v>
      </c>
      <c r="E579" s="138">
        <v>45862</v>
      </c>
      <c r="F579" s="139" t="s">
        <v>1996</v>
      </c>
      <c r="G579" s="139"/>
      <c r="H579" s="137"/>
      <c r="I579" s="140" t="s">
        <v>912</v>
      </c>
      <c r="J579" s="140" t="s">
        <v>14</v>
      </c>
      <c r="K579" s="140" t="s">
        <v>1121</v>
      </c>
      <c r="L579" s="140">
        <v>61</v>
      </c>
      <c r="M579" s="141" t="s">
        <v>5091</v>
      </c>
      <c r="N579" s="142" t="str">
        <f>IF(Caja_Arequipa[[#This Row],[TIPO DE R.]]="R","001-"&amp;12002+B579,N578)</f>
        <v>001-12533</v>
      </c>
      <c r="O579" s="142" t="str">
        <f t="shared" si="55"/>
        <v>PEN</v>
      </c>
      <c r="P579" s="137">
        <v>35</v>
      </c>
      <c r="Q579" s="137"/>
      <c r="R579" s="137">
        <f t="shared" si="56"/>
        <v>0</v>
      </c>
      <c r="S579" s="137">
        <f t="shared" si="57"/>
        <v>0</v>
      </c>
      <c r="T579" s="137">
        <f t="shared" si="58"/>
        <v>1859.899999999999</v>
      </c>
      <c r="U579" s="143" t="s">
        <v>1081</v>
      </c>
      <c r="V579" s="143"/>
      <c r="W579" s="137"/>
      <c r="X579" s="137"/>
      <c r="Y579" s="137"/>
      <c r="Z579" s="137"/>
      <c r="AA579" s="137"/>
      <c r="AB579" s="137"/>
      <c r="AC579" s="137" t="str">
        <f>IF(Caja_Arequipa[[#This Row],[FECHA]]&gt;0,TEXT(Caja_Arequipa[[#This Row],[FECHA]],"mmmm"),0)</f>
        <v>Julio</v>
      </c>
    </row>
    <row r="580" spans="2:29" s="144" customFormat="1" ht="24" x14ac:dyDescent="0.3">
      <c r="B580" s="135">
        <f>IF(Caja_Arequipa[[#This Row],[TIPO DE R.]]="R",COUNTIFS($D$4:$D579,"R")+1,"")</f>
        <v>532</v>
      </c>
      <c r="C580" s="136" t="str">
        <f t="shared" si="59"/>
        <v>C-Tesoreria</v>
      </c>
      <c r="D580" s="137" t="s">
        <v>1074</v>
      </c>
      <c r="E580" s="138">
        <v>45862</v>
      </c>
      <c r="F580" s="139" t="s">
        <v>1996</v>
      </c>
      <c r="G580" s="139" t="s">
        <v>1079</v>
      </c>
      <c r="H580" s="137" t="s">
        <v>4371</v>
      </c>
      <c r="I580" s="140" t="s">
        <v>927</v>
      </c>
      <c r="J580" s="140" t="s">
        <v>21</v>
      </c>
      <c r="K580" s="140">
        <v>1</v>
      </c>
      <c r="L580" s="140">
        <v>187</v>
      </c>
      <c r="M580" s="141" t="s">
        <v>5220</v>
      </c>
      <c r="N580" s="142" t="str">
        <f>IF(Caja_Arequipa[[#This Row],[TIPO DE R.]]="R","001-"&amp;12002+B580,N579)</f>
        <v>001-12534</v>
      </c>
      <c r="O580" s="142" t="str">
        <f>"PEN"</f>
        <v>PEN</v>
      </c>
      <c r="P580" s="137"/>
      <c r="Q580" s="137">
        <v>55.5</v>
      </c>
      <c r="R580" s="137">
        <f t="shared" ref="R580:R585" si="60">+IF(OR($G580="SALDO",$G580="INGRESO"),$Q580,0)</f>
        <v>0</v>
      </c>
      <c r="S580" s="137">
        <f t="shared" ref="S580:S585" si="61">+IF($G580="EGRESO",$Q580,0)</f>
        <v>55.5</v>
      </c>
      <c r="T580" s="137">
        <f t="shared" ref="T580:T585" si="62">IFERROR(IF(G580="SALDO",R580,T579+R580-S580),0)</f>
        <v>1804.399999999999</v>
      </c>
      <c r="U580" s="143" t="s">
        <v>1081</v>
      </c>
      <c r="V580" s="143"/>
      <c r="W580" s="137"/>
      <c r="X580" s="137"/>
      <c r="Y580" s="137"/>
      <c r="Z580" s="137"/>
      <c r="AA580" s="137"/>
      <c r="AB580" s="137"/>
      <c r="AC580" s="137" t="str">
        <f>IF(Caja_Arequipa[[#This Row],[FECHA]]&gt;0,TEXT(Caja_Arequipa[[#This Row],[FECHA]],"mmmm"),0)</f>
        <v>Julio</v>
      </c>
    </row>
    <row r="581" spans="2:29" s="164" customFormat="1" x14ac:dyDescent="0.3">
      <c r="B581" s="155">
        <f>IF(Caja_Arequipa[[#This Row],[TIPO DE R.]]="R",COUNTIFS($D$4:$D580,"R")+1,"")</f>
        <v>533</v>
      </c>
      <c r="C581" s="156" t="str">
        <f t="shared" si="59"/>
        <v>C-Tesoreria</v>
      </c>
      <c r="D581" s="157" t="s">
        <v>1074</v>
      </c>
      <c r="E581" s="158">
        <v>45862</v>
      </c>
      <c r="F581" s="159" t="s">
        <v>1075</v>
      </c>
      <c r="G581" s="159" t="s">
        <v>1079</v>
      </c>
      <c r="H581" s="157" t="s">
        <v>3353</v>
      </c>
      <c r="I581" s="160"/>
      <c r="J581" s="160"/>
      <c r="K581" s="160"/>
      <c r="L581" s="160"/>
      <c r="M581" s="161" t="s">
        <v>4486</v>
      </c>
      <c r="N581" s="162" t="str">
        <f>IF(Caja_Arequipa[[#This Row],[TIPO DE R.]]="R","001-"&amp;12002+B581,N580)</f>
        <v>001-12535</v>
      </c>
      <c r="O581" s="162" t="str">
        <f>"PEN"</f>
        <v>PEN</v>
      </c>
      <c r="P581" s="157"/>
      <c r="Q581" s="157">
        <v>500</v>
      </c>
      <c r="R581" s="157">
        <f t="shared" si="60"/>
        <v>0</v>
      </c>
      <c r="S581" s="157">
        <f t="shared" si="61"/>
        <v>500</v>
      </c>
      <c r="T581" s="157">
        <f t="shared" si="62"/>
        <v>1304.399999999999</v>
      </c>
      <c r="U581" s="163"/>
      <c r="V581" s="163"/>
      <c r="W581" s="157"/>
      <c r="X581" s="157"/>
      <c r="Y581" s="157"/>
      <c r="Z581" s="157"/>
      <c r="AA581" s="157"/>
      <c r="AB581" s="157"/>
      <c r="AC581" s="157" t="str">
        <f>IF(Caja_Arequipa[[#This Row],[FECHA]]&gt;0,TEXT(Caja_Arequipa[[#This Row],[FECHA]],"mmmm"),0)</f>
        <v>Julio</v>
      </c>
    </row>
    <row r="582" spans="2:29" s="144" customFormat="1" x14ac:dyDescent="0.3">
      <c r="B582" s="135">
        <f>IF(Caja_Arequipa[[#This Row],[TIPO DE R.]]="R",COUNTIFS($D$4:$D581,"R")+1,"")</f>
        <v>534</v>
      </c>
      <c r="C582" s="136" t="str">
        <f t="shared" ref="C582:C587" si="63">"C-Tesoreria"</f>
        <v>C-Tesoreria</v>
      </c>
      <c r="D582" s="137" t="s">
        <v>1074</v>
      </c>
      <c r="E582" s="138">
        <v>45863</v>
      </c>
      <c r="F582" s="139" t="s">
        <v>1082</v>
      </c>
      <c r="G582" s="139" t="s">
        <v>1079</v>
      </c>
      <c r="H582" s="137" t="s">
        <v>4433</v>
      </c>
      <c r="I582" s="140"/>
      <c r="J582" s="140"/>
      <c r="K582" s="140"/>
      <c r="L582" s="140"/>
      <c r="M582" s="141" t="s">
        <v>5091</v>
      </c>
      <c r="N582" s="142" t="str">
        <f>IF(Caja_Arequipa[[#This Row],[TIPO DE R.]]="R","001-"&amp;12002+B582,N581)</f>
        <v>001-12536</v>
      </c>
      <c r="O582" s="142" t="str">
        <f>"PEN"</f>
        <v>PEN</v>
      </c>
      <c r="P582" s="137"/>
      <c r="Q582" s="137">
        <v>309</v>
      </c>
      <c r="R582" s="137">
        <f t="shared" si="60"/>
        <v>0</v>
      </c>
      <c r="S582" s="137">
        <f t="shared" si="61"/>
        <v>309</v>
      </c>
      <c r="T582" s="137">
        <f t="shared" si="62"/>
        <v>995.39999999999895</v>
      </c>
      <c r="U582" s="143" t="s">
        <v>1081</v>
      </c>
      <c r="V582" s="143"/>
      <c r="W582" s="137"/>
      <c r="X582" s="137"/>
      <c r="Y582" s="137"/>
      <c r="Z582" s="137"/>
      <c r="AA582" s="137"/>
      <c r="AB582" s="137"/>
      <c r="AC582" s="137" t="str">
        <f>IF(Caja_Arequipa[[#This Row],[FECHA]]&gt;0,TEXT(Caja_Arequipa[[#This Row],[FECHA]],"mmmm"),0)</f>
        <v>Julio</v>
      </c>
    </row>
    <row r="583" spans="2:29" s="144" customFormat="1" ht="24" x14ac:dyDescent="0.3">
      <c r="B583" s="135" t="str">
        <f>IF(Caja_Arequipa[[#This Row],[TIPO DE R.]]="R",COUNTIFS($D$4:$D582,"R")+1,"")</f>
        <v/>
      </c>
      <c r="C583" s="136" t="str">
        <f t="shared" si="63"/>
        <v>C-Tesoreria</v>
      </c>
      <c r="D583" s="137" t="s">
        <v>1101</v>
      </c>
      <c r="E583" s="138">
        <v>45863</v>
      </c>
      <c r="F583" s="139" t="s">
        <v>1082</v>
      </c>
      <c r="G583" s="139"/>
      <c r="H583" s="137"/>
      <c r="I583" s="140" t="s">
        <v>827</v>
      </c>
      <c r="J583" s="140" t="s">
        <v>55</v>
      </c>
      <c r="K583" s="140">
        <v>3</v>
      </c>
      <c r="L583" s="140">
        <v>263</v>
      </c>
      <c r="M583" s="141" t="s">
        <v>5091</v>
      </c>
      <c r="N583" s="142" t="str">
        <f>IF(Caja_Arequipa[[#This Row],[TIPO DE R.]]="R","001-"&amp;12002+B583,N582)</f>
        <v>001-12536</v>
      </c>
      <c r="O583" s="142" t="str">
        <f>"PEN"</f>
        <v>PEN</v>
      </c>
      <c r="P583" s="137">
        <v>9</v>
      </c>
      <c r="Q583" s="137"/>
      <c r="R583" s="137">
        <f t="shared" si="60"/>
        <v>0</v>
      </c>
      <c r="S583" s="137">
        <f t="shared" si="61"/>
        <v>0</v>
      </c>
      <c r="T583" s="137">
        <f t="shared" si="62"/>
        <v>995.39999999999895</v>
      </c>
      <c r="U583" s="143" t="s">
        <v>1081</v>
      </c>
      <c r="V583" s="143"/>
      <c r="W583" s="137"/>
      <c r="X583" s="137"/>
      <c r="Y583" s="137"/>
      <c r="Z583" s="137"/>
      <c r="AA583" s="137"/>
      <c r="AB583" s="137"/>
      <c r="AC583" s="137" t="str">
        <f>IF(Caja_Arequipa[[#This Row],[FECHA]]&gt;0,TEXT(Caja_Arequipa[[#This Row],[FECHA]],"mmmm"),0)</f>
        <v>Julio</v>
      </c>
    </row>
    <row r="584" spans="2:29" s="144" customFormat="1" ht="36" x14ac:dyDescent="0.3">
      <c r="B584" s="135" t="str">
        <f>IF(Caja_Arequipa[[#This Row],[TIPO DE R.]]="R",COUNTIFS($D$4:$D583,"R")+1,"")</f>
        <v/>
      </c>
      <c r="C584" s="136" t="str">
        <f t="shared" si="63"/>
        <v>C-Tesoreria</v>
      </c>
      <c r="D584" s="137" t="s">
        <v>1101</v>
      </c>
      <c r="E584" s="138">
        <v>45863</v>
      </c>
      <c r="F584" s="139" t="s">
        <v>1082</v>
      </c>
      <c r="G584" s="139"/>
      <c r="H584" s="137"/>
      <c r="I584" s="140" t="s">
        <v>968</v>
      </c>
      <c r="J584" s="140" t="s">
        <v>14</v>
      </c>
      <c r="K584" s="140" t="s">
        <v>1148</v>
      </c>
      <c r="L584" s="140">
        <v>4686</v>
      </c>
      <c r="M584" s="141" t="s">
        <v>5091</v>
      </c>
      <c r="N584" s="142" t="str">
        <f>IF(Caja_Arequipa[[#This Row],[TIPO DE R.]]="R","001-"&amp;12002+B584,N583)</f>
        <v>001-12536</v>
      </c>
      <c r="O584" s="142" t="str">
        <f>"PEN"</f>
        <v>PEN</v>
      </c>
      <c r="P584" s="137">
        <v>300</v>
      </c>
      <c r="Q584" s="137"/>
      <c r="R584" s="137">
        <f t="shared" si="60"/>
        <v>0</v>
      </c>
      <c r="S584" s="137">
        <f t="shared" si="61"/>
        <v>0</v>
      </c>
      <c r="T584" s="137">
        <f t="shared" si="62"/>
        <v>995.39999999999895</v>
      </c>
      <c r="U584" s="143" t="s">
        <v>1081</v>
      </c>
      <c r="V584" s="143"/>
      <c r="W584" s="137"/>
      <c r="X584" s="137"/>
      <c r="Y584" s="137"/>
      <c r="Z584" s="137"/>
      <c r="AA584" s="137"/>
      <c r="AB584" s="137"/>
      <c r="AC584" s="137" t="str">
        <f>IF(Caja_Arequipa[[#This Row],[FECHA]]&gt;0,TEXT(Caja_Arequipa[[#This Row],[FECHA]],"mmmm"),0)</f>
        <v>Julio</v>
      </c>
    </row>
    <row r="585" spans="2:29" s="144" customFormat="1" x14ac:dyDescent="0.3">
      <c r="B585" s="135">
        <f>IF(Caja_Arequipa[[#This Row],[TIPO DE R.]]="R",COUNTIFS($D$4:$D584,"R")+1,"")</f>
        <v>535</v>
      </c>
      <c r="C585" s="136" t="str">
        <f t="shared" si="63"/>
        <v>C-Tesoreria</v>
      </c>
      <c r="D585" s="137" t="s">
        <v>1074</v>
      </c>
      <c r="E585" s="138">
        <v>45868</v>
      </c>
      <c r="F585" s="139" t="s">
        <v>1082</v>
      </c>
      <c r="G585" s="139" t="s">
        <v>1079</v>
      </c>
      <c r="H585" s="137" t="s">
        <v>4334</v>
      </c>
      <c r="I585" s="140"/>
      <c r="J585" s="140"/>
      <c r="K585" s="140"/>
      <c r="L585" s="140"/>
      <c r="M585" s="141" t="s">
        <v>5091</v>
      </c>
      <c r="N585" s="142" t="str">
        <f>IF(Caja_Arequipa[[#This Row],[TIPO DE R.]]="R","001-"&amp;12002+B585,N584)</f>
        <v>001-12537</v>
      </c>
      <c r="O585" s="142"/>
      <c r="P585" s="137"/>
      <c r="Q585" s="137">
        <v>158.9</v>
      </c>
      <c r="R585" s="137">
        <f t="shared" si="60"/>
        <v>0</v>
      </c>
      <c r="S585" s="137">
        <f t="shared" si="61"/>
        <v>158.9</v>
      </c>
      <c r="T585" s="137">
        <f t="shared" si="62"/>
        <v>836.49999999999898</v>
      </c>
      <c r="U585" s="143" t="s">
        <v>1081</v>
      </c>
      <c r="V585" s="143"/>
      <c r="W585" s="137"/>
      <c r="X585" s="137"/>
      <c r="Y585" s="137"/>
      <c r="Z585" s="137"/>
      <c r="AA585" s="137"/>
      <c r="AB585" s="137"/>
      <c r="AC585" s="137" t="str">
        <f>IF(Caja_Arequipa[[#This Row],[FECHA]]&gt;0,TEXT(Caja_Arequipa[[#This Row],[FECHA]],"mmmm"),0)</f>
        <v>Julio</v>
      </c>
    </row>
    <row r="586" spans="2:29" s="144" customFormat="1" ht="24" x14ac:dyDescent="0.3">
      <c r="B586" s="135" t="str">
        <f>IF(Caja_Arequipa[[#This Row],[TIPO DE R.]]="R",COUNTIFS($D$4:$D585,"R")+1,"")</f>
        <v/>
      </c>
      <c r="C586" s="136" t="str">
        <f t="shared" si="63"/>
        <v>C-Tesoreria</v>
      </c>
      <c r="D586" s="137" t="s">
        <v>1101</v>
      </c>
      <c r="E586" s="138">
        <v>45868</v>
      </c>
      <c r="F586" s="139" t="s">
        <v>1082</v>
      </c>
      <c r="G586" s="139"/>
      <c r="H586" s="137" t="s">
        <v>4334</v>
      </c>
      <c r="I586" s="140" t="s">
        <v>874</v>
      </c>
      <c r="J586" s="140" t="s">
        <v>55</v>
      </c>
      <c r="K586" s="140">
        <v>3</v>
      </c>
      <c r="L586" s="140">
        <v>264</v>
      </c>
      <c r="M586" s="141" t="s">
        <v>5091</v>
      </c>
      <c r="N586" s="142" t="str">
        <f>IF(Caja_Arequipa[[#This Row],[TIPO DE R.]]="R","001-"&amp;12002+B586,N585)</f>
        <v>001-12537</v>
      </c>
      <c r="O586" s="142" t="str">
        <f t="shared" ref="O586:O604" si="64">"PEN"</f>
        <v>PEN</v>
      </c>
      <c r="P586" s="137">
        <v>110</v>
      </c>
      <c r="Q586" s="137"/>
      <c r="R586" s="137">
        <f t="shared" ref="R586:R604" si="65">+IF(OR($G586="SALDO",$G586="INGRESO"),$Q586,0)</f>
        <v>0</v>
      </c>
      <c r="S586" s="137">
        <f t="shared" ref="S586:S604" si="66">+IF($G586="EGRESO",$Q586,0)</f>
        <v>0</v>
      </c>
      <c r="T586" s="137">
        <f t="shared" ref="T586:T604" si="67">IFERROR(IF(G586="SALDO",R586,T585+R586-S586),0)</f>
        <v>836.49999999999898</v>
      </c>
      <c r="U586" s="143" t="s">
        <v>1081</v>
      </c>
      <c r="V586" s="143"/>
      <c r="W586" s="137"/>
      <c r="X586" s="137"/>
      <c r="Y586" s="137"/>
      <c r="Z586" s="137"/>
      <c r="AA586" s="137"/>
      <c r="AB586" s="137"/>
      <c r="AC586" s="137" t="str">
        <f>IF(Caja_Arequipa[[#This Row],[FECHA]]&gt;0,TEXT(Caja_Arequipa[[#This Row],[FECHA]],"mmmm"),0)</f>
        <v>Julio</v>
      </c>
    </row>
    <row r="587" spans="2:29" s="144" customFormat="1" ht="24" x14ac:dyDescent="0.3">
      <c r="B587" s="135" t="str">
        <f>IF(Caja_Arequipa[[#This Row],[TIPO DE R.]]="R",COUNTIFS($D$4:$D586,"R")+1,"")</f>
        <v/>
      </c>
      <c r="C587" s="136" t="str">
        <f t="shared" si="63"/>
        <v>C-Tesoreria</v>
      </c>
      <c r="D587" s="137" t="s">
        <v>1101</v>
      </c>
      <c r="E587" s="138">
        <v>45868</v>
      </c>
      <c r="F587" s="139" t="s">
        <v>1082</v>
      </c>
      <c r="G587" s="139"/>
      <c r="H587" s="137" t="s">
        <v>4334</v>
      </c>
      <c r="I587" s="140" t="s">
        <v>915</v>
      </c>
      <c r="J587" s="140" t="s">
        <v>14</v>
      </c>
      <c r="K587" s="140" t="s">
        <v>5137</v>
      </c>
      <c r="L587" s="140">
        <v>5391</v>
      </c>
      <c r="M587" s="141" t="s">
        <v>5091</v>
      </c>
      <c r="N587" s="142" t="str">
        <f>IF(Caja_Arequipa[[#This Row],[TIPO DE R.]]="R","001-"&amp;12002+B587,N586)</f>
        <v>001-12537</v>
      </c>
      <c r="O587" s="142" t="str">
        <f t="shared" si="64"/>
        <v>PEN</v>
      </c>
      <c r="P587" s="137">
        <v>48.9</v>
      </c>
      <c r="Q587" s="137"/>
      <c r="R587" s="137">
        <f t="shared" si="65"/>
        <v>0</v>
      </c>
      <c r="S587" s="137">
        <f t="shared" si="66"/>
        <v>0</v>
      </c>
      <c r="T587" s="137">
        <f t="shared" si="67"/>
        <v>836.49999999999898</v>
      </c>
      <c r="U587" s="143" t="s">
        <v>1081</v>
      </c>
      <c r="V587" s="143"/>
      <c r="W587" s="137"/>
      <c r="X587" s="137"/>
      <c r="Y587" s="137"/>
      <c r="Z587" s="137"/>
      <c r="AA587" s="137"/>
      <c r="AB587" s="137"/>
      <c r="AC587" s="137" t="str">
        <f>IF(Caja_Arequipa[[#This Row],[FECHA]]&gt;0,TEXT(Caja_Arequipa[[#This Row],[FECHA]],"mmmm"),0)</f>
        <v>Julio</v>
      </c>
    </row>
    <row r="588" spans="2:29" s="144" customFormat="1" ht="24" x14ac:dyDescent="0.3">
      <c r="B588" s="135">
        <f>IF(Caja_Arequipa[[#This Row],[TIPO DE R.]]="R",COUNTIFS($D$4:$D587,"R")+1,"")</f>
        <v>536</v>
      </c>
      <c r="C588" s="136" t="str">
        <f>"C-Tesoreria"</f>
        <v>C-Tesoreria</v>
      </c>
      <c r="D588" s="137" t="s">
        <v>1074</v>
      </c>
      <c r="E588" s="138">
        <v>45868</v>
      </c>
      <c r="F588" s="139" t="s">
        <v>1082</v>
      </c>
      <c r="G588" s="139" t="s">
        <v>1079</v>
      </c>
      <c r="H588" s="137" t="s">
        <v>4912</v>
      </c>
      <c r="I588" s="140" t="s">
        <v>908</v>
      </c>
      <c r="J588" s="140" t="s">
        <v>55</v>
      </c>
      <c r="K588" s="140">
        <v>3</v>
      </c>
      <c r="L588" s="140">
        <v>266</v>
      </c>
      <c r="M588" s="141" t="s">
        <v>5221</v>
      </c>
      <c r="N588" s="142" t="str">
        <f>IF(Caja_Arequipa[[#This Row],[TIPO DE R.]]="R","001-"&amp;12002+B588,N587)</f>
        <v>001-12538</v>
      </c>
      <c r="O588" s="142" t="str">
        <f>"PEN"</f>
        <v>PEN</v>
      </c>
      <c r="P588" s="137"/>
      <c r="Q588" s="137">
        <v>30</v>
      </c>
      <c r="R588" s="137">
        <f>+IF(OR($G588="SALDO",$G588="INGRESO"),$Q588,0)</f>
        <v>0</v>
      </c>
      <c r="S588" s="137">
        <f>+IF($G588="EGRESO",$Q588,0)</f>
        <v>30</v>
      </c>
      <c r="T588" s="137">
        <f>IFERROR(IF(G588="SALDO",R588,T587+R588-S588),0)</f>
        <v>806.49999999999898</v>
      </c>
      <c r="U588" s="143" t="s">
        <v>1081</v>
      </c>
      <c r="V588" s="143"/>
      <c r="W588" s="137"/>
      <c r="X588" s="137"/>
      <c r="Y588" s="137"/>
      <c r="Z588" s="137"/>
      <c r="AA588" s="137"/>
      <c r="AB588" s="137"/>
      <c r="AC588" s="137" t="str">
        <f>IF(Caja_Arequipa[[#This Row],[FECHA]]&gt;0,TEXT(Caja_Arequipa[[#This Row],[FECHA]],"mmmm"),0)</f>
        <v>Julio</v>
      </c>
    </row>
    <row r="589" spans="2:29" s="144" customFormat="1" ht="24" x14ac:dyDescent="0.3">
      <c r="B589" s="135">
        <f>IF(Caja_Arequipa[[#This Row],[TIPO DE R.]]="R",COUNTIFS($D$4:$D588,"R")+1,"")</f>
        <v>537</v>
      </c>
      <c r="C589" s="136" t="str">
        <f t="shared" ref="C589:C604" si="68">"C-Tesoreria"</f>
        <v>C-Tesoreria</v>
      </c>
      <c r="D589" s="137" t="s">
        <v>1074</v>
      </c>
      <c r="E589" s="138">
        <v>45869</v>
      </c>
      <c r="F589" s="139" t="s">
        <v>1082</v>
      </c>
      <c r="G589" s="139" t="s">
        <v>1079</v>
      </c>
      <c r="H589" s="137" t="s">
        <v>4314</v>
      </c>
      <c r="I589" s="140" t="s">
        <v>634</v>
      </c>
      <c r="J589" s="140" t="s">
        <v>55</v>
      </c>
      <c r="K589" s="140">
        <v>3</v>
      </c>
      <c r="L589" s="140">
        <v>267</v>
      </c>
      <c r="M589" s="141" t="s">
        <v>5165</v>
      </c>
      <c r="N589" s="142" t="str">
        <f>IF(Caja_Arequipa[[#This Row],[TIPO DE R.]]="R","001-"&amp;12002+B589,N588)</f>
        <v>001-12539</v>
      </c>
      <c r="O589" s="142" t="str">
        <f t="shared" si="64"/>
        <v>PEN</v>
      </c>
      <c r="P589" s="137"/>
      <c r="Q589" s="137">
        <v>13</v>
      </c>
      <c r="R589" s="137">
        <f t="shared" si="65"/>
        <v>0</v>
      </c>
      <c r="S589" s="137">
        <f t="shared" si="66"/>
        <v>13</v>
      </c>
      <c r="T589" s="137">
        <f>IFERROR(IF(G589="SALDO",R589,T588+R589-S589),0)</f>
        <v>793.49999999999898</v>
      </c>
      <c r="U589" s="143" t="s">
        <v>1081</v>
      </c>
      <c r="V589" s="143"/>
      <c r="W589" s="137"/>
      <c r="X589" s="137"/>
      <c r="Y589" s="137"/>
      <c r="Z589" s="137"/>
      <c r="AA589" s="137"/>
      <c r="AB589" s="137"/>
      <c r="AC589" s="137" t="str">
        <f>IF(Caja_Arequipa[[#This Row],[FECHA]]&gt;0,TEXT(Caja_Arequipa[[#This Row],[FECHA]],"mmmm"),0)</f>
        <v>Julio</v>
      </c>
    </row>
    <row r="590" spans="2:29" s="144" customFormat="1" ht="24" x14ac:dyDescent="0.3">
      <c r="B590" s="135">
        <f>IF(Caja_Arequipa[[#This Row],[TIPO DE R.]]="R",COUNTIFS($D$4:$D589,"R")+1,"")</f>
        <v>538</v>
      </c>
      <c r="C590" s="136" t="str">
        <f t="shared" si="68"/>
        <v>C-Tesoreria</v>
      </c>
      <c r="D590" s="137" t="s">
        <v>1074</v>
      </c>
      <c r="E590" s="138">
        <v>45869</v>
      </c>
      <c r="F590" s="139" t="s">
        <v>1082</v>
      </c>
      <c r="G590" s="139" t="s">
        <v>1079</v>
      </c>
      <c r="H590" s="137" t="s">
        <v>4314</v>
      </c>
      <c r="I590" s="140" t="s">
        <v>634</v>
      </c>
      <c r="J590" s="140" t="s">
        <v>55</v>
      </c>
      <c r="K590" s="140">
        <v>3</v>
      </c>
      <c r="L590" s="140">
        <v>268</v>
      </c>
      <c r="M590" s="141" t="s">
        <v>5222</v>
      </c>
      <c r="N590" s="142" t="str">
        <f>IF(Caja_Arequipa[[#This Row],[TIPO DE R.]]="R","001-"&amp;12002+B590,N589)</f>
        <v>001-12540</v>
      </c>
      <c r="O590" s="142" t="str">
        <f t="shared" si="64"/>
        <v>PEN</v>
      </c>
      <c r="P590" s="137"/>
      <c r="Q590" s="137">
        <v>18</v>
      </c>
      <c r="R590" s="137">
        <f t="shared" si="65"/>
        <v>0</v>
      </c>
      <c r="S590" s="137">
        <f t="shared" si="66"/>
        <v>18</v>
      </c>
      <c r="T590" s="137">
        <f t="shared" si="67"/>
        <v>775.49999999999898</v>
      </c>
      <c r="U590" s="143" t="s">
        <v>1081</v>
      </c>
      <c r="V590" s="143"/>
      <c r="W590" s="137"/>
      <c r="X590" s="137"/>
      <c r="Y590" s="137"/>
      <c r="Z590" s="137"/>
      <c r="AA590" s="137"/>
      <c r="AB590" s="137"/>
      <c r="AC590" s="137" t="str">
        <f>IF(Caja_Arequipa[[#This Row],[FECHA]]&gt;0,TEXT(Caja_Arequipa[[#This Row],[FECHA]],"mmmm"),0)</f>
        <v>Julio</v>
      </c>
    </row>
    <row r="591" spans="2:29" s="144" customFormat="1" ht="24" x14ac:dyDescent="0.3">
      <c r="B591" s="135">
        <f>IF(Caja_Arequipa[[#This Row],[TIPO DE R.]]="R",COUNTIFS($D$4:$D590,"R")+1,"")</f>
        <v>539</v>
      </c>
      <c r="C591" s="136" t="str">
        <f t="shared" si="68"/>
        <v>C-Tesoreria</v>
      </c>
      <c r="D591" s="137" t="s">
        <v>1074</v>
      </c>
      <c r="E591" s="138">
        <v>45869</v>
      </c>
      <c r="F591" s="139" t="s">
        <v>1082</v>
      </c>
      <c r="G591" s="139" t="s">
        <v>1079</v>
      </c>
      <c r="H591" s="137" t="s">
        <v>4314</v>
      </c>
      <c r="I591" s="140" t="s">
        <v>634</v>
      </c>
      <c r="J591" s="140" t="s">
        <v>55</v>
      </c>
      <c r="K591" s="140">
        <v>3</v>
      </c>
      <c r="L591" s="140">
        <v>269</v>
      </c>
      <c r="M591" s="141" t="s">
        <v>5223</v>
      </c>
      <c r="N591" s="142" t="str">
        <f>IF(Caja_Arequipa[[#This Row],[TIPO DE R.]]="R","001-"&amp;12002+B591,N590)</f>
        <v>001-12541</v>
      </c>
      <c r="O591" s="142" t="str">
        <f t="shared" si="64"/>
        <v>PEN</v>
      </c>
      <c r="P591" s="137"/>
      <c r="Q591" s="137">
        <v>10</v>
      </c>
      <c r="R591" s="137">
        <f t="shared" si="65"/>
        <v>0</v>
      </c>
      <c r="S591" s="137">
        <f t="shared" si="66"/>
        <v>10</v>
      </c>
      <c r="T591" s="137">
        <f t="shared" si="67"/>
        <v>765.49999999999898</v>
      </c>
      <c r="U591" s="143" t="s">
        <v>1081</v>
      </c>
      <c r="V591" s="143"/>
      <c r="W591" s="137"/>
      <c r="X591" s="137"/>
      <c r="Y591" s="137"/>
      <c r="Z591" s="137"/>
      <c r="AA591" s="137"/>
      <c r="AB591" s="137"/>
      <c r="AC591" s="137" t="str">
        <f>IF(Caja_Arequipa[[#This Row],[FECHA]]&gt;0,TEXT(Caja_Arequipa[[#This Row],[FECHA]],"mmmm"),0)</f>
        <v>Julio</v>
      </c>
    </row>
    <row r="592" spans="2:29" s="144" customFormat="1" ht="24" x14ac:dyDescent="0.3">
      <c r="B592" s="135">
        <f>IF(Caja_Arequipa[[#This Row],[TIPO DE R.]]="R",COUNTIFS($D$4:$D591,"R")+1,"")</f>
        <v>540</v>
      </c>
      <c r="C592" s="136" t="str">
        <f t="shared" si="68"/>
        <v>C-Tesoreria</v>
      </c>
      <c r="D592" s="137" t="s">
        <v>1074</v>
      </c>
      <c r="E592" s="138">
        <v>45869</v>
      </c>
      <c r="F592" s="139" t="s">
        <v>1082</v>
      </c>
      <c r="G592" s="139" t="s">
        <v>1079</v>
      </c>
      <c r="H592" s="137" t="s">
        <v>4314</v>
      </c>
      <c r="I592" s="140" t="s">
        <v>634</v>
      </c>
      <c r="J592" s="140" t="s">
        <v>55</v>
      </c>
      <c r="K592" s="140">
        <v>3</v>
      </c>
      <c r="L592" s="140">
        <v>270</v>
      </c>
      <c r="M592" s="141" t="s">
        <v>5224</v>
      </c>
      <c r="N592" s="142" t="str">
        <f>IF(Caja_Arequipa[[#This Row],[TIPO DE R.]]="R","001-"&amp;12002+B592,N591)</f>
        <v>001-12542</v>
      </c>
      <c r="O592" s="142" t="str">
        <f t="shared" si="64"/>
        <v>PEN</v>
      </c>
      <c r="P592" s="137"/>
      <c r="Q592" s="137">
        <v>15</v>
      </c>
      <c r="R592" s="137">
        <f t="shared" si="65"/>
        <v>0</v>
      </c>
      <c r="S592" s="137">
        <f t="shared" si="66"/>
        <v>15</v>
      </c>
      <c r="T592" s="137">
        <f t="shared" si="67"/>
        <v>750.49999999999898</v>
      </c>
      <c r="U592" s="143" t="s">
        <v>1081</v>
      </c>
      <c r="V592" s="143"/>
      <c r="W592" s="137"/>
      <c r="X592" s="137"/>
      <c r="Y592" s="137"/>
      <c r="Z592" s="137"/>
      <c r="AA592" s="137"/>
      <c r="AB592" s="137"/>
      <c r="AC592" s="137" t="str">
        <f>IF(Caja_Arequipa[[#This Row],[FECHA]]&gt;0,TEXT(Caja_Arequipa[[#This Row],[FECHA]],"mmmm"),0)</f>
        <v>Julio</v>
      </c>
    </row>
    <row r="593" spans="2:29" s="144" customFormat="1" ht="24" x14ac:dyDescent="0.3">
      <c r="B593" s="135">
        <f>IF(Caja_Arequipa[[#This Row],[TIPO DE R.]]="R",COUNTIFS($D$4:$D592,"R")+1,"")</f>
        <v>541</v>
      </c>
      <c r="C593" s="136" t="str">
        <f t="shared" si="68"/>
        <v>C-Tesoreria</v>
      </c>
      <c r="D593" s="137" t="s">
        <v>1074</v>
      </c>
      <c r="E593" s="138">
        <v>45869</v>
      </c>
      <c r="F593" s="139" t="s">
        <v>1082</v>
      </c>
      <c r="G593" s="139" t="s">
        <v>1079</v>
      </c>
      <c r="H593" s="137" t="s">
        <v>4314</v>
      </c>
      <c r="I593" s="140" t="s">
        <v>634</v>
      </c>
      <c r="J593" s="140" t="s">
        <v>55</v>
      </c>
      <c r="K593" s="140">
        <v>3</v>
      </c>
      <c r="L593" s="140">
        <v>271</v>
      </c>
      <c r="M593" s="141" t="s">
        <v>5195</v>
      </c>
      <c r="N593" s="142" t="str">
        <f>IF(Caja_Arequipa[[#This Row],[TIPO DE R.]]="R","001-"&amp;12002+B593,N592)</f>
        <v>001-12543</v>
      </c>
      <c r="O593" s="142" t="str">
        <f t="shared" si="64"/>
        <v>PEN</v>
      </c>
      <c r="P593" s="137"/>
      <c r="Q593" s="137">
        <v>15</v>
      </c>
      <c r="R593" s="137">
        <f t="shared" si="65"/>
        <v>0</v>
      </c>
      <c r="S593" s="137">
        <f t="shared" si="66"/>
        <v>15</v>
      </c>
      <c r="T593" s="137">
        <f t="shared" si="67"/>
        <v>735.49999999999898</v>
      </c>
      <c r="U593" s="143" t="s">
        <v>1081</v>
      </c>
      <c r="V593" s="143"/>
      <c r="W593" s="137"/>
      <c r="X593" s="137"/>
      <c r="Y593" s="137"/>
      <c r="Z593" s="137"/>
      <c r="AA593" s="137"/>
      <c r="AB593" s="137"/>
      <c r="AC593" s="137" t="str">
        <f>IF(Caja_Arequipa[[#This Row],[FECHA]]&gt;0,TEXT(Caja_Arequipa[[#This Row],[FECHA]],"mmmm"),0)</f>
        <v>Julio</v>
      </c>
    </row>
    <row r="594" spans="2:29" s="144" customFormat="1" ht="24" x14ac:dyDescent="0.3">
      <c r="B594" s="135">
        <f>IF(Caja_Arequipa[[#This Row],[TIPO DE R.]]="R",COUNTIFS($D$4:$D593,"R")+1,"")</f>
        <v>542</v>
      </c>
      <c r="C594" s="136" t="str">
        <f t="shared" si="68"/>
        <v>C-Tesoreria</v>
      </c>
      <c r="D594" s="137" t="s">
        <v>1074</v>
      </c>
      <c r="E594" s="138">
        <v>45869</v>
      </c>
      <c r="F594" s="139" t="s">
        <v>1082</v>
      </c>
      <c r="G594" s="139" t="s">
        <v>1079</v>
      </c>
      <c r="H594" s="137" t="s">
        <v>4314</v>
      </c>
      <c r="I594" s="140" t="s">
        <v>634</v>
      </c>
      <c r="J594" s="140" t="s">
        <v>55</v>
      </c>
      <c r="K594" s="140">
        <v>3</v>
      </c>
      <c r="L594" s="140">
        <v>272</v>
      </c>
      <c r="M594" s="141" t="s">
        <v>5201</v>
      </c>
      <c r="N594" s="142" t="str">
        <f>IF(Caja_Arequipa[[#This Row],[TIPO DE R.]]="R","001-"&amp;12002+B594,N593)</f>
        <v>001-12544</v>
      </c>
      <c r="O594" s="142" t="str">
        <f t="shared" si="64"/>
        <v>PEN</v>
      </c>
      <c r="P594" s="137"/>
      <c r="Q594" s="137">
        <v>37</v>
      </c>
      <c r="R594" s="137">
        <f t="shared" si="65"/>
        <v>0</v>
      </c>
      <c r="S594" s="137">
        <f t="shared" si="66"/>
        <v>37</v>
      </c>
      <c r="T594" s="137">
        <f t="shared" si="67"/>
        <v>698.49999999999898</v>
      </c>
      <c r="U594" s="143" t="s">
        <v>1081</v>
      </c>
      <c r="V594" s="143"/>
      <c r="W594" s="137"/>
      <c r="X594" s="137"/>
      <c r="Y594" s="137"/>
      <c r="Z594" s="137"/>
      <c r="AA594" s="137"/>
      <c r="AB594" s="137"/>
      <c r="AC594" s="137" t="str">
        <f>IF(Caja_Arequipa[[#This Row],[FECHA]]&gt;0,TEXT(Caja_Arequipa[[#This Row],[FECHA]],"mmmm"),0)</f>
        <v>Julio</v>
      </c>
    </row>
    <row r="595" spans="2:29" s="144" customFormat="1" ht="24" x14ac:dyDescent="0.3">
      <c r="B595" s="135">
        <f>IF(Caja_Arequipa[[#This Row],[TIPO DE R.]]="R",COUNTIFS($D$4:$D594,"R")+1,"")</f>
        <v>543</v>
      </c>
      <c r="C595" s="136" t="str">
        <f t="shared" si="68"/>
        <v>C-Tesoreria</v>
      </c>
      <c r="D595" s="137" t="s">
        <v>1074</v>
      </c>
      <c r="E595" s="138">
        <v>45869</v>
      </c>
      <c r="F595" s="139" t="s">
        <v>1082</v>
      </c>
      <c r="G595" s="139" t="s">
        <v>1079</v>
      </c>
      <c r="H595" s="137" t="s">
        <v>4314</v>
      </c>
      <c r="I595" s="140" t="s">
        <v>634</v>
      </c>
      <c r="J595" s="140" t="s">
        <v>55</v>
      </c>
      <c r="K595" s="140">
        <v>3</v>
      </c>
      <c r="L595" s="140">
        <v>273</v>
      </c>
      <c r="M595" s="141" t="s">
        <v>5225</v>
      </c>
      <c r="N595" s="142" t="str">
        <f>IF(Caja_Arequipa[[#This Row],[TIPO DE R.]]="R","001-"&amp;12002+B595,N594)</f>
        <v>001-12545</v>
      </c>
      <c r="O595" s="142" t="str">
        <f t="shared" si="64"/>
        <v>PEN</v>
      </c>
      <c r="P595" s="137"/>
      <c r="Q595" s="137">
        <v>24</v>
      </c>
      <c r="R595" s="137">
        <f t="shared" si="65"/>
        <v>0</v>
      </c>
      <c r="S595" s="137">
        <f t="shared" si="66"/>
        <v>24</v>
      </c>
      <c r="T595" s="137">
        <f t="shared" si="67"/>
        <v>674.49999999999898</v>
      </c>
      <c r="U595" s="143" t="s">
        <v>1081</v>
      </c>
      <c r="V595" s="143"/>
      <c r="W595" s="137"/>
      <c r="X595" s="137"/>
      <c r="Y595" s="137"/>
      <c r="Z595" s="137"/>
      <c r="AA595" s="137"/>
      <c r="AB595" s="137"/>
      <c r="AC595" s="137" t="str">
        <f>IF(Caja_Arequipa[[#This Row],[FECHA]]&gt;0,TEXT(Caja_Arequipa[[#This Row],[FECHA]],"mmmm"),0)</f>
        <v>Julio</v>
      </c>
    </row>
    <row r="596" spans="2:29" s="144" customFormat="1" ht="24" x14ac:dyDescent="0.3">
      <c r="B596" s="135">
        <f>IF(Caja_Arequipa[[#This Row],[TIPO DE R.]]="R",COUNTIFS($D$4:$D595,"R")+1,"")</f>
        <v>544</v>
      </c>
      <c r="C596" s="136" t="str">
        <f t="shared" si="68"/>
        <v>C-Tesoreria</v>
      </c>
      <c r="D596" s="137" t="s">
        <v>1074</v>
      </c>
      <c r="E596" s="138">
        <v>45869</v>
      </c>
      <c r="F596" s="139" t="s">
        <v>1082</v>
      </c>
      <c r="G596" s="139" t="s">
        <v>1079</v>
      </c>
      <c r="H596" s="137" t="s">
        <v>4314</v>
      </c>
      <c r="I596" s="140" t="s">
        <v>634</v>
      </c>
      <c r="J596" s="140" t="s">
        <v>55</v>
      </c>
      <c r="K596" s="140">
        <v>3</v>
      </c>
      <c r="L596" s="140">
        <v>274</v>
      </c>
      <c r="M596" s="141" t="s">
        <v>5207</v>
      </c>
      <c r="N596" s="142" t="str">
        <f>IF(Caja_Arequipa[[#This Row],[TIPO DE R.]]="R","001-"&amp;12002+B596,N595)</f>
        <v>001-12546</v>
      </c>
      <c r="O596" s="142" t="str">
        <f t="shared" si="64"/>
        <v>PEN</v>
      </c>
      <c r="P596" s="137"/>
      <c r="Q596" s="137">
        <v>12</v>
      </c>
      <c r="R596" s="137">
        <f t="shared" si="65"/>
        <v>0</v>
      </c>
      <c r="S596" s="137">
        <f t="shared" si="66"/>
        <v>12</v>
      </c>
      <c r="T596" s="137">
        <f t="shared" si="67"/>
        <v>662.49999999999898</v>
      </c>
      <c r="U596" s="143" t="s">
        <v>1081</v>
      </c>
      <c r="V596" s="143"/>
      <c r="W596" s="137"/>
      <c r="X596" s="137"/>
      <c r="Y596" s="137"/>
      <c r="Z596" s="137"/>
      <c r="AA596" s="137"/>
      <c r="AB596" s="137"/>
      <c r="AC596" s="137" t="str">
        <f>IF(Caja_Arequipa[[#This Row],[FECHA]]&gt;0,TEXT(Caja_Arequipa[[#This Row],[FECHA]],"mmmm"),0)</f>
        <v>Julio</v>
      </c>
    </row>
    <row r="597" spans="2:29" s="144" customFormat="1" ht="24" x14ac:dyDescent="0.3">
      <c r="B597" s="135">
        <f>IF(Caja_Arequipa[[#This Row],[TIPO DE R.]]="R",COUNTIFS($D$4:$D596,"R")+1,"")</f>
        <v>545</v>
      </c>
      <c r="C597" s="136" t="str">
        <f t="shared" si="68"/>
        <v>C-Tesoreria</v>
      </c>
      <c r="D597" s="137" t="s">
        <v>1074</v>
      </c>
      <c r="E597" s="138">
        <v>45869</v>
      </c>
      <c r="F597" s="139" t="s">
        <v>1082</v>
      </c>
      <c r="G597" s="139" t="s">
        <v>1079</v>
      </c>
      <c r="H597" s="137" t="s">
        <v>4314</v>
      </c>
      <c r="I597" s="140" t="s">
        <v>634</v>
      </c>
      <c r="J597" s="140" t="s">
        <v>55</v>
      </c>
      <c r="K597" s="140">
        <v>3</v>
      </c>
      <c r="L597" s="140">
        <v>275</v>
      </c>
      <c r="M597" s="141" t="s">
        <v>5226</v>
      </c>
      <c r="N597" s="142" t="str">
        <f>IF(Caja_Arequipa[[#This Row],[TIPO DE R.]]="R","001-"&amp;12002+B597,N596)</f>
        <v>001-12547</v>
      </c>
      <c r="O597" s="142" t="str">
        <f t="shared" si="64"/>
        <v>PEN</v>
      </c>
      <c r="P597" s="137"/>
      <c r="Q597" s="137">
        <v>5</v>
      </c>
      <c r="R597" s="137">
        <f t="shared" si="65"/>
        <v>0</v>
      </c>
      <c r="S597" s="137">
        <f t="shared" si="66"/>
        <v>5</v>
      </c>
      <c r="T597" s="137">
        <f t="shared" si="67"/>
        <v>657.49999999999898</v>
      </c>
      <c r="U597" s="143" t="s">
        <v>1081</v>
      </c>
      <c r="V597" s="143"/>
      <c r="W597" s="137"/>
      <c r="X597" s="137"/>
      <c r="Y597" s="137"/>
      <c r="Z597" s="137"/>
      <c r="AA597" s="137"/>
      <c r="AB597" s="137"/>
      <c r="AC597" s="137" t="str">
        <f>IF(Caja_Arequipa[[#This Row],[FECHA]]&gt;0,TEXT(Caja_Arequipa[[#This Row],[FECHA]],"mmmm"),0)</f>
        <v>Julio</v>
      </c>
    </row>
    <row r="598" spans="2:29" s="144" customFormat="1" ht="24" x14ac:dyDescent="0.3">
      <c r="B598" s="135">
        <f>IF(Caja_Arequipa[[#This Row],[TIPO DE R.]]="R",COUNTIFS($D$4:$D597,"R")+1,"")</f>
        <v>546</v>
      </c>
      <c r="C598" s="136" t="str">
        <f t="shared" si="68"/>
        <v>C-Tesoreria</v>
      </c>
      <c r="D598" s="137" t="s">
        <v>1074</v>
      </c>
      <c r="E598" s="138">
        <v>45869</v>
      </c>
      <c r="F598" s="139" t="s">
        <v>1082</v>
      </c>
      <c r="G598" s="139" t="s">
        <v>1079</v>
      </c>
      <c r="H598" s="137" t="s">
        <v>4314</v>
      </c>
      <c r="I598" s="140" t="s">
        <v>634</v>
      </c>
      <c r="J598" s="140" t="s">
        <v>55</v>
      </c>
      <c r="K598" s="140">
        <v>3</v>
      </c>
      <c r="L598" s="140">
        <v>276</v>
      </c>
      <c r="M598" s="141" t="s">
        <v>5219</v>
      </c>
      <c r="N598" s="142" t="str">
        <f>IF(Caja_Arequipa[[#This Row],[TIPO DE R.]]="R","001-"&amp;12002+B598,N597)</f>
        <v>001-12548</v>
      </c>
      <c r="O598" s="142" t="str">
        <f t="shared" si="64"/>
        <v>PEN</v>
      </c>
      <c r="P598" s="137"/>
      <c r="Q598" s="137">
        <v>55</v>
      </c>
      <c r="R598" s="137">
        <f t="shared" si="65"/>
        <v>0</v>
      </c>
      <c r="S598" s="137">
        <f t="shared" si="66"/>
        <v>55</v>
      </c>
      <c r="T598" s="137">
        <f t="shared" si="67"/>
        <v>602.49999999999898</v>
      </c>
      <c r="U598" s="143" t="s">
        <v>1081</v>
      </c>
      <c r="V598" s="143"/>
      <c r="W598" s="137"/>
      <c r="X598" s="137"/>
      <c r="Y598" s="137"/>
      <c r="Z598" s="137"/>
      <c r="AA598" s="137"/>
      <c r="AB598" s="137"/>
      <c r="AC598" s="137" t="str">
        <f>IF(Caja_Arequipa[[#This Row],[FECHA]]&gt;0,TEXT(Caja_Arequipa[[#This Row],[FECHA]],"mmmm"),0)</f>
        <v>Julio</v>
      </c>
    </row>
    <row r="599" spans="2:29" s="144" customFormat="1" ht="24" x14ac:dyDescent="0.3">
      <c r="B599" s="135">
        <f>IF(Caja_Arequipa[[#This Row],[TIPO DE R.]]="R",COUNTIFS($D$4:$D598,"R")+1,"")</f>
        <v>547</v>
      </c>
      <c r="C599" s="136" t="str">
        <f t="shared" si="68"/>
        <v>C-Tesoreria</v>
      </c>
      <c r="D599" s="137" t="s">
        <v>1074</v>
      </c>
      <c r="E599" s="138">
        <v>45869</v>
      </c>
      <c r="F599" s="139" t="s">
        <v>1082</v>
      </c>
      <c r="G599" s="139" t="s">
        <v>1079</v>
      </c>
      <c r="H599" s="137" t="s">
        <v>4314</v>
      </c>
      <c r="I599" s="140" t="s">
        <v>634</v>
      </c>
      <c r="J599" s="140" t="s">
        <v>55</v>
      </c>
      <c r="K599" s="140">
        <v>3</v>
      </c>
      <c r="L599" s="140">
        <v>277</v>
      </c>
      <c r="M599" s="141" t="s">
        <v>5219</v>
      </c>
      <c r="N599" s="142" t="str">
        <f>IF(Caja_Arequipa[[#This Row],[TIPO DE R.]]="R","001-"&amp;12002+B599,N598)</f>
        <v>001-12549</v>
      </c>
      <c r="O599" s="142" t="str">
        <f t="shared" si="64"/>
        <v>PEN</v>
      </c>
      <c r="P599" s="137"/>
      <c r="Q599" s="137">
        <v>15</v>
      </c>
      <c r="R599" s="137">
        <f t="shared" si="65"/>
        <v>0</v>
      </c>
      <c r="S599" s="137">
        <f t="shared" si="66"/>
        <v>15</v>
      </c>
      <c r="T599" s="137">
        <f t="shared" si="67"/>
        <v>587.49999999999898</v>
      </c>
      <c r="U599" s="143" t="s">
        <v>1081</v>
      </c>
      <c r="V599" s="143"/>
      <c r="W599" s="137"/>
      <c r="X599" s="137"/>
      <c r="Y599" s="137"/>
      <c r="Z599" s="137"/>
      <c r="AA599" s="137"/>
      <c r="AB599" s="137"/>
      <c r="AC599" s="137" t="str">
        <f>IF(Caja_Arequipa[[#This Row],[FECHA]]&gt;0,TEXT(Caja_Arequipa[[#This Row],[FECHA]],"mmmm"),0)</f>
        <v>Julio</v>
      </c>
    </row>
    <row r="600" spans="2:29" s="144" customFormat="1" ht="24" x14ac:dyDescent="0.3">
      <c r="B600" s="135">
        <f>IF(Caja_Arequipa[[#This Row],[TIPO DE R.]]="R",COUNTIFS($D$4:$D599,"R")+1,"")</f>
        <v>548</v>
      </c>
      <c r="C600" s="136" t="str">
        <f t="shared" si="68"/>
        <v>C-Tesoreria</v>
      </c>
      <c r="D600" s="137" t="s">
        <v>1074</v>
      </c>
      <c r="E600" s="138">
        <v>45869</v>
      </c>
      <c r="F600" s="139" t="s">
        <v>1082</v>
      </c>
      <c r="G600" s="139" t="s">
        <v>1079</v>
      </c>
      <c r="H600" s="137" t="s">
        <v>4314</v>
      </c>
      <c r="I600" s="140" t="s">
        <v>634</v>
      </c>
      <c r="J600" s="140" t="s">
        <v>55</v>
      </c>
      <c r="K600" s="140">
        <v>3</v>
      </c>
      <c r="L600" s="140">
        <v>278</v>
      </c>
      <c r="M600" s="141" t="s">
        <v>5227</v>
      </c>
      <c r="N600" s="142" t="str">
        <f>IF(Caja_Arequipa[[#This Row],[TIPO DE R.]]="R","001-"&amp;12002+B600,N599)</f>
        <v>001-12550</v>
      </c>
      <c r="O600" s="142" t="str">
        <f t="shared" si="64"/>
        <v>PEN</v>
      </c>
      <c r="P600" s="137"/>
      <c r="Q600" s="137">
        <v>43</v>
      </c>
      <c r="R600" s="137">
        <f t="shared" si="65"/>
        <v>0</v>
      </c>
      <c r="S600" s="137">
        <f t="shared" si="66"/>
        <v>43</v>
      </c>
      <c r="T600" s="137">
        <f t="shared" si="67"/>
        <v>544.49999999999898</v>
      </c>
      <c r="U600" s="143" t="s">
        <v>1081</v>
      </c>
      <c r="V600" s="143"/>
      <c r="W600" s="137"/>
      <c r="X600" s="137"/>
      <c r="Y600" s="137"/>
      <c r="Z600" s="137"/>
      <c r="AA600" s="137"/>
      <c r="AB600" s="137"/>
      <c r="AC600" s="137" t="str">
        <f>IF(Caja_Arequipa[[#This Row],[FECHA]]&gt;0,TEXT(Caja_Arequipa[[#This Row],[FECHA]],"mmmm"),0)</f>
        <v>Julio</v>
      </c>
    </row>
    <row r="601" spans="2:29" s="144" customFormat="1" ht="24" x14ac:dyDescent="0.3">
      <c r="B601" s="135">
        <f>IF(Caja_Arequipa[[#This Row],[TIPO DE R.]]="R",COUNTIFS($D$4:$D600,"R")+1,"")</f>
        <v>549</v>
      </c>
      <c r="C601" s="136" t="str">
        <f t="shared" si="68"/>
        <v>C-Tesoreria</v>
      </c>
      <c r="D601" s="137" t="s">
        <v>1074</v>
      </c>
      <c r="E601" s="138">
        <v>45869</v>
      </c>
      <c r="F601" s="139" t="s">
        <v>1082</v>
      </c>
      <c r="G601" s="139" t="s">
        <v>1079</v>
      </c>
      <c r="H601" s="137" t="s">
        <v>4314</v>
      </c>
      <c r="I601" s="140" t="s">
        <v>634</v>
      </c>
      <c r="J601" s="140" t="s">
        <v>55</v>
      </c>
      <c r="K601" s="140">
        <v>3</v>
      </c>
      <c r="L601" s="140">
        <v>279</v>
      </c>
      <c r="M601" s="141" t="s">
        <v>5228</v>
      </c>
      <c r="N601" s="142" t="str">
        <f>IF(Caja_Arequipa[[#This Row],[TIPO DE R.]]="R","001-"&amp;12002+B601,N600)</f>
        <v>001-12551</v>
      </c>
      <c r="O601" s="142" t="str">
        <f t="shared" si="64"/>
        <v>PEN</v>
      </c>
      <c r="P601" s="137"/>
      <c r="Q601" s="137">
        <v>53</v>
      </c>
      <c r="R601" s="137">
        <f t="shared" si="65"/>
        <v>0</v>
      </c>
      <c r="S601" s="137">
        <f t="shared" si="66"/>
        <v>53</v>
      </c>
      <c r="T601" s="137">
        <f t="shared" si="67"/>
        <v>491.49999999999898</v>
      </c>
      <c r="U601" s="143" t="s">
        <v>1081</v>
      </c>
      <c r="V601" s="143"/>
      <c r="W601" s="137"/>
      <c r="X601" s="137"/>
      <c r="Y601" s="137"/>
      <c r="Z601" s="137"/>
      <c r="AA601" s="137"/>
      <c r="AB601" s="137"/>
      <c r="AC601" s="137" t="str">
        <f>IF(Caja_Arequipa[[#This Row],[FECHA]]&gt;0,TEXT(Caja_Arequipa[[#This Row],[FECHA]],"mmmm"),0)</f>
        <v>Julio</v>
      </c>
    </row>
    <row r="602" spans="2:29" s="144" customFormat="1" ht="24" x14ac:dyDescent="0.3">
      <c r="B602" s="135">
        <f>IF(Caja_Arequipa[[#This Row],[TIPO DE R.]]="R",COUNTIFS($D$4:$D601,"R")+1,"")</f>
        <v>550</v>
      </c>
      <c r="C602" s="136" t="str">
        <f t="shared" si="68"/>
        <v>C-Tesoreria</v>
      </c>
      <c r="D602" s="137" t="s">
        <v>1074</v>
      </c>
      <c r="E602" s="138">
        <v>45869</v>
      </c>
      <c r="F602" s="139" t="s">
        <v>1082</v>
      </c>
      <c r="G602" s="139" t="s">
        <v>1079</v>
      </c>
      <c r="H602" s="137" t="s">
        <v>4314</v>
      </c>
      <c r="I602" s="140" t="s">
        <v>634</v>
      </c>
      <c r="J602" s="140" t="s">
        <v>55</v>
      </c>
      <c r="K602" s="140">
        <v>3</v>
      </c>
      <c r="L602" s="140">
        <v>280</v>
      </c>
      <c r="M602" s="141" t="s">
        <v>5229</v>
      </c>
      <c r="N602" s="142" t="str">
        <f>IF(Caja_Arequipa[[#This Row],[TIPO DE R.]]="R","001-"&amp;12002+B602,N601)</f>
        <v>001-12552</v>
      </c>
      <c r="O602" s="142" t="str">
        <f t="shared" si="64"/>
        <v>PEN</v>
      </c>
      <c r="P602" s="137"/>
      <c r="Q602" s="137">
        <v>20</v>
      </c>
      <c r="R602" s="137">
        <f t="shared" si="65"/>
        <v>0</v>
      </c>
      <c r="S602" s="137">
        <f t="shared" si="66"/>
        <v>20</v>
      </c>
      <c r="T602" s="137">
        <f t="shared" si="67"/>
        <v>471.49999999999898</v>
      </c>
      <c r="U602" s="143" t="s">
        <v>1081</v>
      </c>
      <c r="V602" s="143"/>
      <c r="W602" s="137"/>
      <c r="X602" s="137"/>
      <c r="Y602" s="137"/>
      <c r="Z602" s="137"/>
      <c r="AA602" s="137"/>
      <c r="AB602" s="137"/>
      <c r="AC602" s="137" t="str">
        <f>IF(Caja_Arequipa[[#This Row],[FECHA]]&gt;0,TEXT(Caja_Arequipa[[#This Row],[FECHA]],"mmmm"),0)</f>
        <v>Julio</v>
      </c>
    </row>
    <row r="603" spans="2:29" s="144" customFormat="1" ht="24" x14ac:dyDescent="0.3">
      <c r="B603" s="135">
        <f>IF(Caja_Arequipa[[#This Row],[TIPO DE R.]]="R",COUNTIFS($D$4:$D602,"R")+1,"")</f>
        <v>551</v>
      </c>
      <c r="C603" s="136" t="str">
        <f t="shared" si="68"/>
        <v>C-Tesoreria</v>
      </c>
      <c r="D603" s="137" t="s">
        <v>1074</v>
      </c>
      <c r="E603" s="138">
        <v>45869</v>
      </c>
      <c r="F603" s="139" t="s">
        <v>1082</v>
      </c>
      <c r="G603" s="139" t="s">
        <v>1079</v>
      </c>
      <c r="H603" s="137" t="s">
        <v>4314</v>
      </c>
      <c r="I603" s="140" t="s">
        <v>634</v>
      </c>
      <c r="J603" s="140" t="s">
        <v>55</v>
      </c>
      <c r="K603" s="140">
        <v>3</v>
      </c>
      <c r="L603" s="140">
        <v>281</v>
      </c>
      <c r="M603" s="141" t="s">
        <v>5230</v>
      </c>
      <c r="N603" s="142" t="str">
        <f>IF(Caja_Arequipa[[#This Row],[TIPO DE R.]]="R","001-"&amp;12002+B603,N602)</f>
        <v>001-12553</v>
      </c>
      <c r="O603" s="142" t="str">
        <f t="shared" si="64"/>
        <v>PEN</v>
      </c>
      <c r="P603" s="137"/>
      <c r="Q603" s="137">
        <v>165</v>
      </c>
      <c r="R603" s="137">
        <f t="shared" si="65"/>
        <v>0</v>
      </c>
      <c r="S603" s="137">
        <f t="shared" si="66"/>
        <v>165</v>
      </c>
      <c r="T603" s="137">
        <f t="shared" si="67"/>
        <v>306.49999999999898</v>
      </c>
      <c r="U603" s="143" t="s">
        <v>1081</v>
      </c>
      <c r="V603" s="143"/>
      <c r="W603" s="137"/>
      <c r="X603" s="137"/>
      <c r="Y603" s="137"/>
      <c r="Z603" s="137"/>
      <c r="AA603" s="137"/>
      <c r="AB603" s="137"/>
      <c r="AC603" s="137" t="str">
        <f>IF(Caja_Arequipa[[#This Row],[FECHA]]&gt;0,TEXT(Caja_Arequipa[[#This Row],[FECHA]],"mmmm"),0)</f>
        <v>Julio</v>
      </c>
    </row>
    <row r="604" spans="2:29" s="144" customFormat="1" ht="24" x14ac:dyDescent="0.3">
      <c r="B604" s="135">
        <f>IF(Caja_Arequipa[[#This Row],[TIPO DE R.]]="R",COUNTIFS($D$4:$D603,"R")+1,"")</f>
        <v>552</v>
      </c>
      <c r="C604" s="136" t="str">
        <f t="shared" si="68"/>
        <v>C-Tesoreria</v>
      </c>
      <c r="D604" s="137" t="s">
        <v>1074</v>
      </c>
      <c r="E604" s="138">
        <v>45869</v>
      </c>
      <c r="F604" s="139" t="s">
        <v>1082</v>
      </c>
      <c r="G604" s="139" t="s">
        <v>1079</v>
      </c>
      <c r="H604" s="137" t="s">
        <v>4501</v>
      </c>
      <c r="I604" s="140" t="s">
        <v>812</v>
      </c>
      <c r="J604" s="140" t="s">
        <v>55</v>
      </c>
      <c r="K604" s="140">
        <v>3</v>
      </c>
      <c r="L604" s="140">
        <v>265</v>
      </c>
      <c r="M604" s="141" t="s">
        <v>5227</v>
      </c>
      <c r="N604" s="142" t="str">
        <f>IF(Caja_Arequipa[[#This Row],[TIPO DE R.]]="R","001-"&amp;12002+B604,N603)</f>
        <v>001-12554</v>
      </c>
      <c r="O604" s="142" t="str">
        <f t="shared" si="64"/>
        <v>PEN</v>
      </c>
      <c r="P604" s="137"/>
      <c r="Q604" s="137">
        <v>16</v>
      </c>
      <c r="R604" s="137">
        <f t="shared" si="65"/>
        <v>0</v>
      </c>
      <c r="S604" s="137">
        <f t="shared" si="66"/>
        <v>16</v>
      </c>
      <c r="T604" s="137">
        <f t="shared" si="67"/>
        <v>290.49999999999898</v>
      </c>
      <c r="U604" s="143" t="s">
        <v>1081</v>
      </c>
      <c r="V604" s="143"/>
      <c r="W604" s="137"/>
      <c r="X604" s="137"/>
      <c r="Y604" s="137"/>
      <c r="Z604" s="137"/>
      <c r="AA604" s="137"/>
      <c r="AB604" s="137"/>
      <c r="AC604" s="137" t="str">
        <f>IF(Caja_Arequipa[[#This Row],[FECHA]]&gt;0,TEXT(Caja_Arequipa[[#This Row],[FECHA]],"mmmm"),0)</f>
        <v>Julio</v>
      </c>
    </row>
    <row r="605" spans="2:29" s="144" customFormat="1" ht="24" x14ac:dyDescent="0.3">
      <c r="B605" s="135">
        <f>IF(Caja_Arequipa[[#This Row],[TIPO DE R.]]="R",COUNTIFS($D$4:$D604,"R")+1,"")</f>
        <v>553</v>
      </c>
      <c r="C605" s="136" t="str">
        <f t="shared" ref="C605:C615" si="69">"C-Tesoreria"</f>
        <v>C-Tesoreria</v>
      </c>
      <c r="D605" s="137" t="s">
        <v>1074</v>
      </c>
      <c r="E605" s="138">
        <v>45870</v>
      </c>
      <c r="F605" s="139" t="s">
        <v>1082</v>
      </c>
      <c r="G605" s="139" t="s">
        <v>1079</v>
      </c>
      <c r="H605" s="137" t="s">
        <v>4357</v>
      </c>
      <c r="I605" s="140" t="s">
        <v>626</v>
      </c>
      <c r="J605" s="140" t="s">
        <v>14</v>
      </c>
      <c r="K605" s="140" t="s">
        <v>1119</v>
      </c>
      <c r="L605" s="140">
        <v>6823</v>
      </c>
      <c r="M605" s="141" t="s">
        <v>5231</v>
      </c>
      <c r="N605" s="142" t="str">
        <f>IF(Caja_Arequipa[[#This Row],[TIPO DE R.]]="R","001-"&amp;12002+B605,N604)</f>
        <v>001-12555</v>
      </c>
      <c r="O605" s="142" t="str">
        <f t="shared" ref="O605:O615" si="70">"PEN"</f>
        <v>PEN</v>
      </c>
      <c r="P605" s="137"/>
      <c r="Q605" s="137">
        <v>24.5</v>
      </c>
      <c r="R605" s="137">
        <f t="shared" ref="R605:R615" si="71">+IF(OR($G605="SALDO",$G605="INGRESO"),$Q605,0)</f>
        <v>0</v>
      </c>
      <c r="S605" s="137">
        <f t="shared" ref="S605:S615" si="72">+IF($G605="EGRESO",$Q605,0)</f>
        <v>24.5</v>
      </c>
      <c r="T605" s="137">
        <f t="shared" ref="T605:T613" si="73">IFERROR(IF(G605="SALDO",R605,T604+R605-S605),0)</f>
        <v>265.99999999999898</v>
      </c>
      <c r="U605" s="143" t="s">
        <v>1081</v>
      </c>
      <c r="V605" s="143"/>
      <c r="W605" s="137"/>
      <c r="X605" s="137"/>
      <c r="Y605" s="137"/>
      <c r="Z605" s="137"/>
      <c r="AA605" s="137"/>
      <c r="AB605" s="137"/>
      <c r="AC605" s="137" t="str">
        <f>IF(Caja_Arequipa[[#This Row],[FECHA]]&gt;0,TEXT(Caja_Arequipa[[#This Row],[FECHA]],"mmmm"),0)</f>
        <v>Agosto</v>
      </c>
    </row>
    <row r="606" spans="2:29" s="144" customFormat="1" ht="24" x14ac:dyDescent="0.3">
      <c r="B606" s="135">
        <f>IF(Caja_Arequipa[[#This Row],[TIPO DE R.]]="R",COUNTIFS($D$4:$D605,"R")+1,"")</f>
        <v>554</v>
      </c>
      <c r="C606" s="136" t="str">
        <f t="shared" si="69"/>
        <v>C-Tesoreria</v>
      </c>
      <c r="D606" s="137" t="s">
        <v>1074</v>
      </c>
      <c r="E606" s="138">
        <v>45870</v>
      </c>
      <c r="F606" s="139" t="s">
        <v>1996</v>
      </c>
      <c r="G606" s="139" t="s">
        <v>1079</v>
      </c>
      <c r="H606" s="137" t="s">
        <v>3562</v>
      </c>
      <c r="I606" s="140" t="s">
        <v>934</v>
      </c>
      <c r="J606" s="140" t="s">
        <v>55</v>
      </c>
      <c r="K606" s="140">
        <v>3</v>
      </c>
      <c r="L606" s="140">
        <v>283</v>
      </c>
      <c r="M606" s="141" t="s">
        <v>5232</v>
      </c>
      <c r="N606" s="142" t="str">
        <f>IF(Caja_Arequipa[[#This Row],[TIPO DE R.]]="R","001-"&amp;12002+B606,N605)</f>
        <v>001-12556</v>
      </c>
      <c r="O606" s="142" t="str">
        <f t="shared" si="70"/>
        <v>PEN</v>
      </c>
      <c r="P606" s="137"/>
      <c r="Q606" s="137">
        <v>19</v>
      </c>
      <c r="R606" s="137">
        <f t="shared" si="71"/>
        <v>0</v>
      </c>
      <c r="S606" s="137">
        <f t="shared" si="72"/>
        <v>19</v>
      </c>
      <c r="T606" s="137">
        <f t="shared" si="73"/>
        <v>246.99999999999898</v>
      </c>
      <c r="U606" s="143" t="s">
        <v>1081</v>
      </c>
      <c r="V606" s="143"/>
      <c r="W606" s="137"/>
      <c r="X606" s="137"/>
      <c r="Y606" s="137"/>
      <c r="Z606" s="137"/>
      <c r="AA606" s="137"/>
      <c r="AB606" s="137"/>
      <c r="AC606" s="137" t="str">
        <f>IF(Caja_Arequipa[[#This Row],[FECHA]]&gt;0,TEXT(Caja_Arequipa[[#This Row],[FECHA]],"mmmm"),0)</f>
        <v>Agosto</v>
      </c>
    </row>
    <row r="607" spans="2:29" s="144" customFormat="1" ht="24" x14ac:dyDescent="0.3">
      <c r="B607" s="135">
        <f>IF(Caja_Arequipa[[#This Row],[TIPO DE R.]]="R",COUNTIFS($D$4:$D606,"R")+1,"")</f>
        <v>555</v>
      </c>
      <c r="C607" s="136" t="str">
        <f t="shared" si="69"/>
        <v>C-Tesoreria</v>
      </c>
      <c r="D607" s="137" t="s">
        <v>1074</v>
      </c>
      <c r="E607" s="138">
        <v>45870</v>
      </c>
      <c r="F607" s="139" t="s">
        <v>1996</v>
      </c>
      <c r="G607" s="139" t="s">
        <v>1079</v>
      </c>
      <c r="H607" s="137" t="s">
        <v>5233</v>
      </c>
      <c r="I607" s="140" t="s">
        <v>979</v>
      </c>
      <c r="J607" s="140" t="s">
        <v>55</v>
      </c>
      <c r="K607" s="140">
        <v>3</v>
      </c>
      <c r="L607" s="140">
        <v>282</v>
      </c>
      <c r="M607" s="141" t="s">
        <v>5234</v>
      </c>
      <c r="N607" s="142" t="str">
        <f>IF(Caja_Arequipa[[#This Row],[TIPO DE R.]]="R","001-"&amp;12002+B607,N606)</f>
        <v>001-12557</v>
      </c>
      <c r="O607" s="142" t="str">
        <f t="shared" si="70"/>
        <v>PEN</v>
      </c>
      <c r="P607" s="137"/>
      <c r="Q607" s="137">
        <v>20</v>
      </c>
      <c r="R607" s="137">
        <f t="shared" si="71"/>
        <v>0</v>
      </c>
      <c r="S607" s="137">
        <f t="shared" si="72"/>
        <v>20</v>
      </c>
      <c r="T607" s="137">
        <f t="shared" si="73"/>
        <v>226.99999999999898</v>
      </c>
      <c r="U607" s="143" t="s">
        <v>1081</v>
      </c>
      <c r="V607" s="143"/>
      <c r="W607" s="137"/>
      <c r="X607" s="137"/>
      <c r="Y607" s="137"/>
      <c r="Z607" s="137"/>
      <c r="AA607" s="137"/>
      <c r="AB607" s="137"/>
      <c r="AC607" s="137" t="str">
        <f>IF(Caja_Arequipa[[#This Row],[FECHA]]&gt;0,TEXT(Caja_Arequipa[[#This Row],[FECHA]],"mmmm"),0)</f>
        <v>Agosto</v>
      </c>
    </row>
    <row r="608" spans="2:29" s="144" customFormat="1" ht="24" x14ac:dyDescent="0.3">
      <c r="B608" s="135">
        <f>IF(Caja_Arequipa[[#This Row],[TIPO DE R.]]="R",COUNTIFS($D$4:$D607,"R")+1,"")</f>
        <v>556</v>
      </c>
      <c r="C608" s="136" t="str">
        <f t="shared" si="69"/>
        <v>C-Tesoreria</v>
      </c>
      <c r="D608" s="137" t="s">
        <v>1074</v>
      </c>
      <c r="E608" s="138">
        <v>45870</v>
      </c>
      <c r="F608" s="139" t="s">
        <v>1082</v>
      </c>
      <c r="G608" s="139" t="s">
        <v>1079</v>
      </c>
      <c r="H608" s="137" t="s">
        <v>4371</v>
      </c>
      <c r="I608" s="140" t="s">
        <v>731</v>
      </c>
      <c r="J608" s="140" t="s">
        <v>55</v>
      </c>
      <c r="K608" s="140">
        <v>3</v>
      </c>
      <c r="L608" s="140">
        <v>285</v>
      </c>
      <c r="M608" s="141" t="s">
        <v>7877</v>
      </c>
      <c r="N608" s="142" t="str">
        <f>IF(Caja_Arequipa[[#This Row],[TIPO DE R.]]="R","001-"&amp;12002+B608,N607)</f>
        <v>001-12558</v>
      </c>
      <c r="O608" s="142" t="str">
        <f t="shared" si="70"/>
        <v>PEN</v>
      </c>
      <c r="P608" s="137"/>
      <c r="Q608" s="137">
        <v>14</v>
      </c>
      <c r="R608" s="137">
        <f t="shared" si="71"/>
        <v>0</v>
      </c>
      <c r="S608" s="137">
        <f t="shared" si="72"/>
        <v>14</v>
      </c>
      <c r="T608" s="137">
        <f t="shared" si="73"/>
        <v>212.99999999999898</v>
      </c>
      <c r="U608" s="143" t="s">
        <v>1081</v>
      </c>
      <c r="V608" s="143"/>
      <c r="W608" s="137"/>
      <c r="X608" s="137"/>
      <c r="Y608" s="137"/>
      <c r="Z608" s="137"/>
      <c r="AA608" s="137"/>
      <c r="AB608" s="137"/>
      <c r="AC608" s="137" t="str">
        <f>IF(Caja_Arequipa[[#This Row],[FECHA]]&gt;0,TEXT(Caja_Arequipa[[#This Row],[FECHA]],"mmmm"),0)</f>
        <v>Agosto</v>
      </c>
    </row>
    <row r="609" spans="2:29" s="144" customFormat="1" x14ac:dyDescent="0.3">
      <c r="B609" s="135">
        <f>IF(Caja_Arequipa[[#This Row],[TIPO DE R.]]="R",COUNTIFS($D$4:$D608,"R")+1,"")</f>
        <v>557</v>
      </c>
      <c r="C609" s="136" t="str">
        <f t="shared" si="69"/>
        <v>C-Tesoreria</v>
      </c>
      <c r="D609" s="137" t="s">
        <v>1074</v>
      </c>
      <c r="E609" s="138">
        <v>45873</v>
      </c>
      <c r="F609" s="139" t="s">
        <v>1082</v>
      </c>
      <c r="G609" s="139" t="s">
        <v>1079</v>
      </c>
      <c r="H609" s="137" t="s">
        <v>4329</v>
      </c>
      <c r="I609" s="140"/>
      <c r="J609" s="140"/>
      <c r="K609" s="140"/>
      <c r="L609" s="140"/>
      <c r="M609" s="141" t="s">
        <v>5091</v>
      </c>
      <c r="N609" s="142" t="str">
        <f>IF(Caja_Arequipa[[#This Row],[TIPO DE R.]]="R","001-"&amp;12002+B609,N608)</f>
        <v>001-12559</v>
      </c>
      <c r="O609" s="142" t="str">
        <f t="shared" si="70"/>
        <v>PEN</v>
      </c>
      <c r="P609" s="137"/>
      <c r="Q609" s="137">
        <v>54.8</v>
      </c>
      <c r="R609" s="137">
        <f t="shared" si="71"/>
        <v>0</v>
      </c>
      <c r="S609" s="137">
        <f t="shared" si="72"/>
        <v>54.8</v>
      </c>
      <c r="T609" s="137">
        <f t="shared" si="73"/>
        <v>158.19999999999897</v>
      </c>
      <c r="U609" s="143" t="s">
        <v>1081</v>
      </c>
      <c r="V609" s="143"/>
      <c r="W609" s="137"/>
      <c r="X609" s="137"/>
      <c r="Y609" s="137"/>
      <c r="Z609" s="137"/>
      <c r="AA609" s="137"/>
      <c r="AB609" s="137"/>
      <c r="AC609" s="137" t="str">
        <f>IF(Caja_Arequipa[[#This Row],[FECHA]]&gt;0,TEXT(Caja_Arequipa[[#This Row],[FECHA]],"mmmm"),0)</f>
        <v>Agosto</v>
      </c>
    </row>
    <row r="610" spans="2:29" s="144" customFormat="1" ht="24" x14ac:dyDescent="0.3">
      <c r="B610" s="135" t="str">
        <f>IF(Caja_Arequipa[[#This Row],[TIPO DE R.]]="R",COUNTIFS($D$4:$D609,"R")+1,"")</f>
        <v/>
      </c>
      <c r="C610" s="136" t="str">
        <f t="shared" si="69"/>
        <v>C-Tesoreria</v>
      </c>
      <c r="D610" s="137" t="s">
        <v>1101</v>
      </c>
      <c r="E610" s="138">
        <v>45873</v>
      </c>
      <c r="F610" s="139" t="s">
        <v>1082</v>
      </c>
      <c r="G610" s="139"/>
      <c r="H610" s="137"/>
      <c r="I610" s="140" t="s">
        <v>626</v>
      </c>
      <c r="J610" s="140" t="s">
        <v>14</v>
      </c>
      <c r="K610" s="140" t="s">
        <v>1119</v>
      </c>
      <c r="L610" s="140">
        <v>6981</v>
      </c>
      <c r="M610" s="141" t="s">
        <v>5091</v>
      </c>
      <c r="N610" s="142" t="str">
        <f>IF(Caja_Arequipa[[#This Row],[TIPO DE R.]]="R","001-"&amp;12002+B610,N609)</f>
        <v>001-12559</v>
      </c>
      <c r="O610" s="142" t="str">
        <f t="shared" si="70"/>
        <v>PEN</v>
      </c>
      <c r="P610" s="137">
        <v>14.8</v>
      </c>
      <c r="Q610" s="137"/>
      <c r="R610" s="137">
        <f t="shared" si="71"/>
        <v>0</v>
      </c>
      <c r="S610" s="137">
        <f t="shared" si="72"/>
        <v>0</v>
      </c>
      <c r="T610" s="137">
        <f t="shared" si="73"/>
        <v>158.19999999999897</v>
      </c>
      <c r="U610" s="143" t="s">
        <v>1081</v>
      </c>
      <c r="V610" s="143"/>
      <c r="W610" s="137"/>
      <c r="X610" s="137"/>
      <c r="Y610" s="137"/>
      <c r="Z610" s="137"/>
      <c r="AA610" s="137"/>
      <c r="AB610" s="137"/>
      <c r="AC610" s="137" t="str">
        <f>IF(Caja_Arequipa[[#This Row],[FECHA]]&gt;0,TEXT(Caja_Arequipa[[#This Row],[FECHA]],"mmmm"),0)</f>
        <v>Agosto</v>
      </c>
    </row>
    <row r="611" spans="2:29" s="144" customFormat="1" ht="36" x14ac:dyDescent="0.3">
      <c r="B611" s="135" t="str">
        <f>IF(Caja_Arequipa[[#This Row],[TIPO DE R.]]="R",COUNTIFS($D$4:$D610,"R")+1,"")</f>
        <v/>
      </c>
      <c r="C611" s="136" t="str">
        <f t="shared" si="69"/>
        <v>C-Tesoreria</v>
      </c>
      <c r="D611" s="137" t="s">
        <v>1101</v>
      </c>
      <c r="E611" s="138">
        <v>45873</v>
      </c>
      <c r="F611" s="139" t="s">
        <v>1082</v>
      </c>
      <c r="G611" s="139"/>
      <c r="H611" s="137"/>
      <c r="I611" s="140" t="s">
        <v>624</v>
      </c>
      <c r="J611" s="140" t="s">
        <v>14</v>
      </c>
      <c r="K611" s="140" t="s">
        <v>1097</v>
      </c>
      <c r="L611" s="140">
        <v>17152</v>
      </c>
      <c r="M611" s="141" t="s">
        <v>5091</v>
      </c>
      <c r="N611" s="142" t="str">
        <f>IF(Caja_Arequipa[[#This Row],[TIPO DE R.]]="R","001-"&amp;12002+B611,N610)</f>
        <v>001-12559</v>
      </c>
      <c r="O611" s="142" t="str">
        <f t="shared" si="70"/>
        <v>PEN</v>
      </c>
      <c r="P611" s="137">
        <v>20</v>
      </c>
      <c r="Q611" s="137"/>
      <c r="R611" s="137">
        <f t="shared" si="71"/>
        <v>0</v>
      </c>
      <c r="S611" s="137">
        <f t="shared" si="72"/>
        <v>0</v>
      </c>
      <c r="T611" s="137">
        <f t="shared" si="73"/>
        <v>158.19999999999897</v>
      </c>
      <c r="U611" s="143" t="s">
        <v>1081</v>
      </c>
      <c r="V611" s="143"/>
      <c r="W611" s="137"/>
      <c r="X611" s="137"/>
      <c r="Y611" s="137"/>
      <c r="Z611" s="137"/>
      <c r="AA611" s="137"/>
      <c r="AB611" s="137"/>
      <c r="AC611" s="137" t="str">
        <f>IF(Caja_Arequipa[[#This Row],[FECHA]]&gt;0,TEXT(Caja_Arequipa[[#This Row],[FECHA]],"mmmm"),0)</f>
        <v>Agosto</v>
      </c>
    </row>
    <row r="612" spans="2:29" s="144" customFormat="1" ht="36" x14ac:dyDescent="0.3">
      <c r="B612" s="135" t="str">
        <f>IF(Caja_Arequipa[[#This Row],[TIPO DE R.]]="R",COUNTIFS($D$4:$D611,"R")+1,"")</f>
        <v/>
      </c>
      <c r="C612" s="136" t="str">
        <f t="shared" si="69"/>
        <v>C-Tesoreria</v>
      </c>
      <c r="D612" s="137" t="s">
        <v>1101</v>
      </c>
      <c r="E612" s="138">
        <v>45873</v>
      </c>
      <c r="F612" s="139" t="s">
        <v>1082</v>
      </c>
      <c r="G612" s="139"/>
      <c r="H612" s="137"/>
      <c r="I612" s="140" t="s">
        <v>624</v>
      </c>
      <c r="J612" s="140" t="s">
        <v>14</v>
      </c>
      <c r="K612" s="140" t="s">
        <v>1097</v>
      </c>
      <c r="L612" s="140">
        <v>17153</v>
      </c>
      <c r="M612" s="141" t="s">
        <v>5091</v>
      </c>
      <c r="N612" s="142" t="str">
        <f>IF(Caja_Arequipa[[#This Row],[TIPO DE R.]]="R","001-"&amp;12002+B612,N611)</f>
        <v>001-12559</v>
      </c>
      <c r="O612" s="142" t="str">
        <f t="shared" si="70"/>
        <v>PEN</v>
      </c>
      <c r="P612" s="137">
        <v>20</v>
      </c>
      <c r="Q612" s="137"/>
      <c r="R612" s="137">
        <f t="shared" si="71"/>
        <v>0</v>
      </c>
      <c r="S612" s="137">
        <f t="shared" si="72"/>
        <v>0</v>
      </c>
      <c r="T612" s="137">
        <f t="shared" si="73"/>
        <v>158.19999999999897</v>
      </c>
      <c r="U612" s="143" t="s">
        <v>1081</v>
      </c>
      <c r="V612" s="143"/>
      <c r="W612" s="137"/>
      <c r="X612" s="137"/>
      <c r="Y612" s="137"/>
      <c r="Z612" s="137"/>
      <c r="AA612" s="137"/>
      <c r="AB612" s="137"/>
      <c r="AC612" s="137" t="str">
        <f>IF(Caja_Arequipa[[#This Row],[FECHA]]&gt;0,TEXT(Caja_Arequipa[[#This Row],[FECHA]],"mmmm"),0)</f>
        <v>Agosto</v>
      </c>
    </row>
    <row r="613" spans="2:29" s="144" customFormat="1" ht="36" x14ac:dyDescent="0.3">
      <c r="B613" s="135">
        <f>IF(Caja_Arequipa[[#This Row],[TIPO DE R.]]="R",COUNTIFS($D$4:$D612,"R")+1,"")</f>
        <v>558</v>
      </c>
      <c r="C613" s="136" t="str">
        <f t="shared" si="69"/>
        <v>C-Tesoreria</v>
      </c>
      <c r="D613" s="137" t="s">
        <v>1074</v>
      </c>
      <c r="E613" s="138">
        <v>45873</v>
      </c>
      <c r="F613" s="139" t="s">
        <v>1082</v>
      </c>
      <c r="G613" s="139" t="s">
        <v>1079</v>
      </c>
      <c r="H613" s="137" t="s">
        <v>3562</v>
      </c>
      <c r="I613" s="140" t="s">
        <v>976</v>
      </c>
      <c r="J613" s="140" t="s">
        <v>14</v>
      </c>
      <c r="K613" s="140" t="s">
        <v>1119</v>
      </c>
      <c r="L613" s="140">
        <v>1534</v>
      </c>
      <c r="M613" s="141" t="s">
        <v>5235</v>
      </c>
      <c r="N613" s="142" t="str">
        <f>IF(Caja_Arequipa[[#This Row],[TIPO DE R.]]="R","001-"&amp;12002+B613,N612)</f>
        <v>001-12560</v>
      </c>
      <c r="O613" s="142" t="str">
        <f t="shared" si="70"/>
        <v>PEN</v>
      </c>
      <c r="P613" s="137"/>
      <c r="Q613" s="137">
        <v>50</v>
      </c>
      <c r="R613" s="137">
        <f t="shared" si="71"/>
        <v>0</v>
      </c>
      <c r="S613" s="137">
        <f t="shared" si="72"/>
        <v>50</v>
      </c>
      <c r="T613" s="137">
        <f t="shared" si="73"/>
        <v>108.19999999999897</v>
      </c>
      <c r="U613" s="143" t="s">
        <v>1081</v>
      </c>
      <c r="V613" s="143"/>
      <c r="W613" s="137"/>
      <c r="X613" s="137"/>
      <c r="Y613" s="137"/>
      <c r="Z613" s="137"/>
      <c r="AA613" s="137"/>
      <c r="AB613" s="137"/>
      <c r="AC613" s="137" t="str">
        <f>IF(Caja_Arequipa[[#This Row],[FECHA]]&gt;0,TEXT(Caja_Arequipa[[#This Row],[FECHA]],"mmmm"),0)</f>
        <v>Agosto</v>
      </c>
    </row>
    <row r="614" spans="2:29" s="183" customFormat="1" x14ac:dyDescent="0.3">
      <c r="B614" s="174">
        <f>IF(Caja_Arequipa[[#This Row],[TIPO DE R.]]="R",COUNTIFS($D$4:$D613,"R")+1,"")</f>
        <v>559</v>
      </c>
      <c r="C614" s="175" t="str">
        <f>"C-Tesoreria"</f>
        <v>C-Tesoreria</v>
      </c>
      <c r="D614" s="176" t="s">
        <v>1074</v>
      </c>
      <c r="E614" s="177">
        <v>45873</v>
      </c>
      <c r="F614" s="178" t="s">
        <v>1082</v>
      </c>
      <c r="G614" s="178" t="s">
        <v>1087</v>
      </c>
      <c r="H614" s="176" t="s">
        <v>3353</v>
      </c>
      <c r="I614" s="179"/>
      <c r="J614" s="179"/>
      <c r="K614" s="179"/>
      <c r="L614" s="179"/>
      <c r="M614" s="180" t="s">
        <v>4394</v>
      </c>
      <c r="N614" s="181" t="str">
        <f>IF(Caja_Arequipa[[#This Row],[TIPO DE R.]]="R","001-"&amp;12002+B614,N613)</f>
        <v>001-12561</v>
      </c>
      <c r="O614" s="181" t="str">
        <f>"PEN"</f>
        <v>PEN</v>
      </c>
      <c r="P614" s="176"/>
      <c r="Q614" s="176">
        <v>300</v>
      </c>
      <c r="R614" s="176">
        <f>+IF(OR($G614="SALDO",$G614="INGRESO"),$Q614,0)</f>
        <v>300</v>
      </c>
      <c r="S614" s="176">
        <f>+IF($G614="EGRESO",$Q614,0)</f>
        <v>0</v>
      </c>
      <c r="T614" s="176">
        <f t="shared" ref="T614:T618" si="74">IFERROR(IF(G614="SALDO",R614,T613+R614-S614),0)</f>
        <v>408.19999999999897</v>
      </c>
      <c r="U614" s="182" t="s">
        <v>1081</v>
      </c>
      <c r="V614" s="182"/>
      <c r="W614" s="176"/>
      <c r="X614" s="176"/>
      <c r="Y614" s="176"/>
      <c r="Z614" s="176"/>
      <c r="AA614" s="176"/>
      <c r="AB614" s="176"/>
      <c r="AC614" s="176" t="str">
        <f>IF(Caja_Arequipa[[#This Row],[FECHA]]&gt;0,TEXT(Caja_Arequipa[[#This Row],[FECHA]],"mmmm"),0)</f>
        <v>Agosto</v>
      </c>
    </row>
    <row r="615" spans="2:29" s="144" customFormat="1" ht="24" x14ac:dyDescent="0.3">
      <c r="B615" s="135">
        <f>IF(Caja_Arequipa[[#This Row],[TIPO DE R.]]="R",COUNTIFS($D$4:$D614,"R")+1,"")</f>
        <v>560</v>
      </c>
      <c r="C615" s="136" t="str">
        <f t="shared" si="69"/>
        <v>C-Tesoreria</v>
      </c>
      <c r="D615" s="137" t="s">
        <v>1074</v>
      </c>
      <c r="E615" s="138">
        <v>45873</v>
      </c>
      <c r="F615" s="139" t="s">
        <v>1082</v>
      </c>
      <c r="G615" s="139" t="s">
        <v>1079</v>
      </c>
      <c r="H615" s="137" t="s">
        <v>4305</v>
      </c>
      <c r="I615" s="140" t="s">
        <v>915</v>
      </c>
      <c r="J615" s="140" t="s">
        <v>14</v>
      </c>
      <c r="K615" s="140" t="s">
        <v>5142</v>
      </c>
      <c r="L615" s="140">
        <v>14122</v>
      </c>
      <c r="M615" s="141" t="s">
        <v>5236</v>
      </c>
      <c r="N615" s="142" t="str">
        <f>IF(Caja_Arequipa[[#This Row],[TIPO DE R.]]="R","001-"&amp;12002+B615,N614)</f>
        <v>001-12562</v>
      </c>
      <c r="O615" s="142" t="str">
        <f t="shared" si="70"/>
        <v>PEN</v>
      </c>
      <c r="P615" s="137"/>
      <c r="Q615" s="137">
        <v>20</v>
      </c>
      <c r="R615" s="137">
        <f t="shared" si="71"/>
        <v>0</v>
      </c>
      <c r="S615" s="137">
        <f t="shared" si="72"/>
        <v>20</v>
      </c>
      <c r="T615" s="137">
        <f t="shared" si="74"/>
        <v>388.19999999999897</v>
      </c>
      <c r="U615" s="143" t="s">
        <v>1081</v>
      </c>
      <c r="V615" s="143"/>
      <c r="W615" s="137"/>
      <c r="X615" s="137"/>
      <c r="Y615" s="137"/>
      <c r="Z615" s="137"/>
      <c r="AA615" s="137"/>
      <c r="AB615" s="137"/>
      <c r="AC615" s="137" t="str">
        <f>IF(Caja_Arequipa[[#This Row],[FECHA]]&gt;0,TEXT(Caja_Arequipa[[#This Row],[FECHA]],"mmmm"),0)</f>
        <v>Agosto</v>
      </c>
    </row>
    <row r="616" spans="2:29" s="144" customFormat="1" ht="24" x14ac:dyDescent="0.3">
      <c r="B616" s="135">
        <f>IF(Caja_Arequipa[[#This Row],[TIPO DE R.]]="R",COUNTIFS($D$4:$D615,"R")+1,"")</f>
        <v>561</v>
      </c>
      <c r="C616" s="136" t="str">
        <f t="shared" ref="C616:C621" si="75">"C-Tesoreria"</f>
        <v>C-Tesoreria</v>
      </c>
      <c r="D616" s="137" t="s">
        <v>1074</v>
      </c>
      <c r="E616" s="138">
        <v>45874</v>
      </c>
      <c r="F616" s="139" t="s">
        <v>1082</v>
      </c>
      <c r="G616" s="139" t="s">
        <v>1079</v>
      </c>
      <c r="H616" s="137" t="s">
        <v>4912</v>
      </c>
      <c r="I616" s="140" t="s">
        <v>908</v>
      </c>
      <c r="J616" s="140" t="s">
        <v>55</v>
      </c>
      <c r="K616" s="140">
        <v>3</v>
      </c>
      <c r="L616" s="140">
        <v>287</v>
      </c>
      <c r="M616" s="141" t="s">
        <v>5237</v>
      </c>
      <c r="N616" s="142" t="str">
        <f>IF(Caja_Arequipa[[#This Row],[TIPO DE R.]]="R","001-"&amp;12002+B616,N615)</f>
        <v>001-12563</v>
      </c>
      <c r="O616" s="142" t="str">
        <f t="shared" ref="O616:O621" si="76">"PEN"</f>
        <v>PEN</v>
      </c>
      <c r="P616" s="137"/>
      <c r="Q616" s="137">
        <v>30</v>
      </c>
      <c r="R616" s="137">
        <f t="shared" ref="R616:R621" si="77">+IF(OR($G616="SALDO",$G616="INGRESO"),$Q616,0)</f>
        <v>0</v>
      </c>
      <c r="S616" s="137">
        <f t="shared" ref="S616:S621" si="78">+IF($G616="EGRESO",$Q616,0)</f>
        <v>30</v>
      </c>
      <c r="T616" s="137">
        <f t="shared" si="74"/>
        <v>358.19999999999897</v>
      </c>
      <c r="U616" s="143" t="s">
        <v>1081</v>
      </c>
      <c r="V616" s="143"/>
      <c r="W616" s="137"/>
      <c r="X616" s="137"/>
      <c r="Y616" s="137"/>
      <c r="Z616" s="137"/>
      <c r="AA616" s="137"/>
      <c r="AB616" s="137"/>
      <c r="AC616" s="137" t="str">
        <f>IF(Caja_Arequipa[[#This Row],[FECHA]]&gt;0,TEXT(Caja_Arequipa[[#This Row],[FECHA]],"mmmm"),0)</f>
        <v>Agosto</v>
      </c>
    </row>
    <row r="617" spans="2:29" s="144" customFormat="1" ht="24" x14ac:dyDescent="0.3">
      <c r="B617" s="135">
        <f>IF(Caja_Arequipa[[#This Row],[TIPO DE R.]]="R",COUNTIFS($D$4:$D616,"R")+1,"")</f>
        <v>562</v>
      </c>
      <c r="C617" s="136" t="str">
        <f t="shared" si="75"/>
        <v>C-Tesoreria</v>
      </c>
      <c r="D617" s="137" t="s">
        <v>1074</v>
      </c>
      <c r="E617" s="138">
        <v>45874</v>
      </c>
      <c r="F617" s="139" t="s">
        <v>1082</v>
      </c>
      <c r="G617" s="139" t="s">
        <v>1079</v>
      </c>
      <c r="H617" s="137" t="s">
        <v>4303</v>
      </c>
      <c r="I617" s="140" t="s">
        <v>777</v>
      </c>
      <c r="J617" s="140" t="s">
        <v>55</v>
      </c>
      <c r="K617" s="140">
        <v>3</v>
      </c>
      <c r="L617" s="140">
        <v>288</v>
      </c>
      <c r="M617" s="141" t="s">
        <v>5238</v>
      </c>
      <c r="N617" s="142" t="str">
        <f>IF(Caja_Arequipa[[#This Row],[TIPO DE R.]]="R","001-"&amp;12002+B617,N616)</f>
        <v>001-12564</v>
      </c>
      <c r="O617" s="142" t="str">
        <f t="shared" si="76"/>
        <v>PEN</v>
      </c>
      <c r="P617" s="137"/>
      <c r="Q617" s="137">
        <v>20</v>
      </c>
      <c r="R617" s="137">
        <f t="shared" si="77"/>
        <v>0</v>
      </c>
      <c r="S617" s="137">
        <f t="shared" si="78"/>
        <v>20</v>
      </c>
      <c r="T617" s="137">
        <f t="shared" si="74"/>
        <v>338.19999999999897</v>
      </c>
      <c r="U617" s="143" t="s">
        <v>1081</v>
      </c>
      <c r="V617" s="143"/>
      <c r="W617" s="137"/>
      <c r="X617" s="137"/>
      <c r="Y617" s="137"/>
      <c r="Z617" s="137"/>
      <c r="AA617" s="137"/>
      <c r="AB617" s="137"/>
      <c r="AC617" s="137" t="str">
        <f>IF(Caja_Arequipa[[#This Row],[FECHA]]&gt;0,TEXT(Caja_Arequipa[[#This Row],[FECHA]],"mmmm"),0)</f>
        <v>Agosto</v>
      </c>
    </row>
    <row r="618" spans="2:29" s="144" customFormat="1" ht="24" x14ac:dyDescent="0.3">
      <c r="B618" s="135">
        <f>IF(Caja_Arequipa[[#This Row],[TIPO DE R.]]="R",COUNTIFS($D$4:$D617,"R")+1,"")</f>
        <v>563</v>
      </c>
      <c r="C618" s="136" t="str">
        <f t="shared" si="75"/>
        <v>C-Tesoreria</v>
      </c>
      <c r="D618" s="137" t="s">
        <v>1074</v>
      </c>
      <c r="E618" s="138">
        <v>45876</v>
      </c>
      <c r="F618" s="139" t="s">
        <v>1082</v>
      </c>
      <c r="G618" s="139" t="s">
        <v>1079</v>
      </c>
      <c r="H618" s="137" t="s">
        <v>3562</v>
      </c>
      <c r="I618" s="140" t="s">
        <v>934</v>
      </c>
      <c r="J618" s="140" t="s">
        <v>55</v>
      </c>
      <c r="K618" s="140">
        <v>3</v>
      </c>
      <c r="L618" s="140">
        <v>290</v>
      </c>
      <c r="M618" s="141" t="s">
        <v>5239</v>
      </c>
      <c r="N618" s="142" t="str">
        <f>IF(Caja_Arequipa[[#This Row],[TIPO DE R.]]="R","001-"&amp;12002+B618,N617)</f>
        <v>001-12565</v>
      </c>
      <c r="O618" s="142" t="str">
        <f t="shared" si="76"/>
        <v>PEN</v>
      </c>
      <c r="P618" s="137"/>
      <c r="Q618" s="137">
        <v>13</v>
      </c>
      <c r="R618" s="137">
        <f t="shared" si="77"/>
        <v>0</v>
      </c>
      <c r="S618" s="137">
        <f t="shared" si="78"/>
        <v>13</v>
      </c>
      <c r="T618" s="137">
        <f t="shared" si="74"/>
        <v>325.19999999999897</v>
      </c>
      <c r="U618" s="143" t="s">
        <v>1081</v>
      </c>
      <c r="V618" s="143"/>
      <c r="W618" s="137"/>
      <c r="X618" s="137"/>
      <c r="Y618" s="137"/>
      <c r="Z618" s="137"/>
      <c r="AA618" s="137"/>
      <c r="AB618" s="137"/>
      <c r="AC618" s="137" t="str">
        <f>IF(Caja_Arequipa[[#This Row],[FECHA]]&gt;0,TEXT(Caja_Arequipa[[#This Row],[FECHA]],"mmmm"),0)</f>
        <v>Agosto</v>
      </c>
    </row>
    <row r="619" spans="2:29" s="144" customFormat="1" ht="24" x14ac:dyDescent="0.3">
      <c r="B619" s="135">
        <f>IF(Caja_Arequipa[[#This Row],[TIPO DE R.]]="R",COUNTIFS($D$4:$D618,"R")+1,"")</f>
        <v>564</v>
      </c>
      <c r="C619" s="136" t="str">
        <f t="shared" si="75"/>
        <v>C-Tesoreria</v>
      </c>
      <c r="D619" s="137" t="s">
        <v>1074</v>
      </c>
      <c r="E619" s="138">
        <v>45877</v>
      </c>
      <c r="F619" s="139" t="s">
        <v>1082</v>
      </c>
      <c r="G619" s="139" t="s">
        <v>1079</v>
      </c>
      <c r="H619" s="137" t="s">
        <v>4303</v>
      </c>
      <c r="I619" s="140" t="s">
        <v>777</v>
      </c>
      <c r="J619" s="140" t="s">
        <v>55</v>
      </c>
      <c r="K619" s="140">
        <v>3</v>
      </c>
      <c r="L619" s="140">
        <v>289</v>
      </c>
      <c r="M619" s="141" t="s">
        <v>5240</v>
      </c>
      <c r="N619" s="142" t="str">
        <f>IF(Caja_Arequipa[[#This Row],[TIPO DE R.]]="R","001-"&amp;12002+B619,N618)</f>
        <v>001-12566</v>
      </c>
      <c r="O619" s="142" t="str">
        <f t="shared" si="76"/>
        <v>PEN</v>
      </c>
      <c r="P619" s="137"/>
      <c r="Q619" s="137">
        <v>17</v>
      </c>
      <c r="R619" s="137">
        <f t="shared" si="77"/>
        <v>0</v>
      </c>
      <c r="S619" s="137">
        <f t="shared" si="78"/>
        <v>17</v>
      </c>
      <c r="T619" s="137">
        <f t="shared" ref="T619:T628" si="79">IFERROR(IF(G619="SALDO",R619,T618+R619-S619),0)</f>
        <v>308.19999999999897</v>
      </c>
      <c r="U619" s="143" t="s">
        <v>1081</v>
      </c>
      <c r="V619" s="143"/>
      <c r="W619" s="137"/>
      <c r="X619" s="137"/>
      <c r="Y619" s="137"/>
      <c r="Z619" s="137"/>
      <c r="AA619" s="137"/>
      <c r="AB619" s="137"/>
      <c r="AC619" s="137" t="str">
        <f>IF(Caja_Arequipa[[#This Row],[FECHA]]&gt;0,TEXT(Caja_Arequipa[[#This Row],[FECHA]],"mmmm"),0)</f>
        <v>Agosto</v>
      </c>
    </row>
    <row r="620" spans="2:29" s="144" customFormat="1" ht="24" x14ac:dyDescent="0.3">
      <c r="B620" s="135">
        <f>IF(Caja_Arequipa[[#This Row],[TIPO DE R.]]="R",COUNTIFS($D$4:$D619,"R")+1,"")</f>
        <v>565</v>
      </c>
      <c r="C620" s="136" t="str">
        <f t="shared" si="75"/>
        <v>C-Tesoreria</v>
      </c>
      <c r="D620" s="137" t="s">
        <v>1074</v>
      </c>
      <c r="E620" s="138">
        <v>45880</v>
      </c>
      <c r="F620" s="139" t="s">
        <v>1082</v>
      </c>
      <c r="G620" s="139" t="s">
        <v>1079</v>
      </c>
      <c r="H620" s="137" t="s">
        <v>4357</v>
      </c>
      <c r="I620" s="140" t="s">
        <v>626</v>
      </c>
      <c r="J620" s="140" t="s">
        <v>14</v>
      </c>
      <c r="K620" s="140" t="s">
        <v>1119</v>
      </c>
      <c r="L620" s="140">
        <v>6993</v>
      </c>
      <c r="M620" s="141" t="s">
        <v>5231</v>
      </c>
      <c r="N620" s="142" t="str">
        <f>IF(Caja_Arequipa[[#This Row],[TIPO DE R.]]="R","001-"&amp;12002+B620,N619)</f>
        <v>001-12567</v>
      </c>
      <c r="O620" s="142" t="str">
        <f t="shared" si="76"/>
        <v>PEN</v>
      </c>
      <c r="P620" s="137"/>
      <c r="Q620" s="137">
        <v>28</v>
      </c>
      <c r="R620" s="137">
        <f t="shared" si="77"/>
        <v>0</v>
      </c>
      <c r="S620" s="137">
        <f t="shared" si="78"/>
        <v>28</v>
      </c>
      <c r="T620" s="137">
        <f t="shared" si="79"/>
        <v>280.19999999999897</v>
      </c>
      <c r="U620" s="143" t="s">
        <v>1081</v>
      </c>
      <c r="V620" s="143"/>
      <c r="W620" s="137"/>
      <c r="X620" s="137"/>
      <c r="Y620" s="137"/>
      <c r="Z620" s="137"/>
      <c r="AA620" s="137"/>
      <c r="AB620" s="137"/>
      <c r="AC620" s="137" t="str">
        <f>IF(Caja_Arequipa[[#This Row],[FECHA]]&gt;0,TEXT(Caja_Arequipa[[#This Row],[FECHA]],"mmmm"),0)</f>
        <v>Agosto</v>
      </c>
    </row>
    <row r="621" spans="2:29" s="144" customFormat="1" ht="24" x14ac:dyDescent="0.3">
      <c r="B621" s="135">
        <f>IF(Caja_Arequipa[[#This Row],[TIPO DE R.]]="R",COUNTIFS($D$4:$D620,"R")+1,"")</f>
        <v>566</v>
      </c>
      <c r="C621" s="136" t="str">
        <f t="shared" si="75"/>
        <v>C-Tesoreria</v>
      </c>
      <c r="D621" s="137" t="s">
        <v>1074</v>
      </c>
      <c r="E621" s="138">
        <v>45880</v>
      </c>
      <c r="F621" s="139" t="s">
        <v>1082</v>
      </c>
      <c r="G621" s="139" t="s">
        <v>1079</v>
      </c>
      <c r="H621" s="137" t="s">
        <v>4912</v>
      </c>
      <c r="I621" s="140" t="s">
        <v>908</v>
      </c>
      <c r="J621" s="140" t="s">
        <v>55</v>
      </c>
      <c r="K621" s="140">
        <v>3</v>
      </c>
      <c r="L621" s="140">
        <v>298</v>
      </c>
      <c r="M621" s="141" t="s">
        <v>5241</v>
      </c>
      <c r="N621" s="142" t="str">
        <f>IF(Caja_Arequipa[[#This Row],[TIPO DE R.]]="R","001-"&amp;12002+B621,N620)</f>
        <v>001-12568</v>
      </c>
      <c r="O621" s="142" t="str">
        <f t="shared" si="76"/>
        <v>PEN</v>
      </c>
      <c r="P621" s="137"/>
      <c r="Q621" s="137">
        <v>20</v>
      </c>
      <c r="R621" s="137">
        <f t="shared" si="77"/>
        <v>0</v>
      </c>
      <c r="S621" s="137">
        <f t="shared" si="78"/>
        <v>20</v>
      </c>
      <c r="T621" s="137">
        <f t="shared" si="79"/>
        <v>260.19999999999897</v>
      </c>
      <c r="U621" s="143" t="s">
        <v>1081</v>
      </c>
      <c r="V621" s="143"/>
      <c r="W621" s="137"/>
      <c r="X621" s="137"/>
      <c r="Y621" s="137"/>
      <c r="Z621" s="137"/>
      <c r="AA621" s="137"/>
      <c r="AB621" s="137"/>
      <c r="AC621" s="137" t="str">
        <f>IF(Caja_Arequipa[[#This Row],[FECHA]]&gt;0,TEXT(Caja_Arequipa[[#This Row],[FECHA]],"mmmm"),0)</f>
        <v>Agosto</v>
      </c>
    </row>
    <row r="622" spans="2:29" s="183" customFormat="1" x14ac:dyDescent="0.3">
      <c r="B622" s="174">
        <f>IF(Caja_Arequipa[[#This Row],[TIPO DE R.]]="R",COUNTIFS($D$4:$D621,"R")+1,"")</f>
        <v>567</v>
      </c>
      <c r="C622" s="175" t="str">
        <f t="shared" ref="C622:C640" si="80">"C-Tesoreria"</f>
        <v>C-Tesoreria</v>
      </c>
      <c r="D622" s="176" t="s">
        <v>1074</v>
      </c>
      <c r="E622" s="177">
        <v>45881</v>
      </c>
      <c r="F622" s="178" t="s">
        <v>1158</v>
      </c>
      <c r="G622" s="178" t="s">
        <v>1087</v>
      </c>
      <c r="H622" s="176" t="s">
        <v>3353</v>
      </c>
      <c r="I622" s="179"/>
      <c r="J622" s="179"/>
      <c r="K622" s="179"/>
      <c r="L622" s="179"/>
      <c r="M622" s="180" t="s">
        <v>4394</v>
      </c>
      <c r="N622" s="181" t="str">
        <f>IF(Caja_Arequipa[[#This Row],[TIPO DE R.]]="R","001-"&amp;12002+B622,N621)</f>
        <v>001-12569</v>
      </c>
      <c r="O622" s="181" t="str">
        <f t="shared" ref="O622:O640" si="81">"PEN"</f>
        <v>PEN</v>
      </c>
      <c r="P622" s="176"/>
      <c r="Q622" s="176">
        <v>1000</v>
      </c>
      <c r="R622" s="176">
        <f t="shared" ref="R622:R640" si="82">+IF(OR($G622="SALDO",$G622="INGRESO"),$Q622,0)</f>
        <v>1000</v>
      </c>
      <c r="S622" s="176">
        <f t="shared" ref="S622:S640" si="83">+IF($G622="EGRESO",$Q622,0)</f>
        <v>0</v>
      </c>
      <c r="T622" s="176">
        <f>IFERROR(IF(G622="SALDO",R622,T621+R622-S622),0)</f>
        <v>1260.1999999999989</v>
      </c>
      <c r="U622" s="182" t="s">
        <v>1081</v>
      </c>
      <c r="V622" s="182"/>
      <c r="W622" s="176"/>
      <c r="X622" s="176"/>
      <c r="Y622" s="176"/>
      <c r="Z622" s="176"/>
      <c r="AA622" s="176"/>
      <c r="AB622" s="176"/>
      <c r="AC622" s="176" t="str">
        <f>IF(Caja_Arequipa[[#This Row],[FECHA]]&gt;0,TEXT(Caja_Arequipa[[#This Row],[FECHA]],"mmmm"),0)</f>
        <v>Agosto</v>
      </c>
    </row>
    <row r="623" spans="2:29" s="144" customFormat="1" x14ac:dyDescent="0.3">
      <c r="B623" s="135">
        <f>IF(Caja_Arequipa[[#This Row],[TIPO DE R.]]="R",COUNTIFS($D$4:$D622,"R")+1,"")</f>
        <v>568</v>
      </c>
      <c r="C623" s="136" t="str">
        <f t="shared" si="80"/>
        <v>C-Tesoreria</v>
      </c>
      <c r="D623" s="137" t="s">
        <v>1074</v>
      </c>
      <c r="E623" s="138">
        <v>45881</v>
      </c>
      <c r="F623" s="139" t="s">
        <v>1082</v>
      </c>
      <c r="G623" s="139" t="s">
        <v>1079</v>
      </c>
      <c r="H623" s="137" t="s">
        <v>4433</v>
      </c>
      <c r="I623" s="140"/>
      <c r="J623" s="140"/>
      <c r="K623" s="140"/>
      <c r="L623" s="140"/>
      <c r="M623" s="141" t="s">
        <v>5091</v>
      </c>
      <c r="N623" s="142" t="str">
        <f>IF(Caja_Arequipa[[#This Row],[TIPO DE R.]]="R","001-"&amp;12002+B623,N622)</f>
        <v>001-12570</v>
      </c>
      <c r="O623" s="142" t="str">
        <f t="shared" si="81"/>
        <v>PEN</v>
      </c>
      <c r="P623" s="137"/>
      <c r="Q623" s="137">
        <v>76</v>
      </c>
      <c r="R623" s="137">
        <f t="shared" si="82"/>
        <v>0</v>
      </c>
      <c r="S623" s="137">
        <f t="shared" si="83"/>
        <v>76</v>
      </c>
      <c r="T623" s="137">
        <f>IFERROR(IF(G623="SALDO",R623,T622+R623-S623),0)</f>
        <v>1184.1999999999989</v>
      </c>
      <c r="U623" s="143" t="s">
        <v>1081</v>
      </c>
      <c r="V623" s="143"/>
      <c r="W623" s="137"/>
      <c r="X623" s="137"/>
      <c r="Y623" s="137"/>
      <c r="Z623" s="137"/>
      <c r="AA623" s="137"/>
      <c r="AB623" s="137"/>
      <c r="AC623" s="137" t="str">
        <f>IF(Caja_Arequipa[[#This Row],[FECHA]]&gt;0,TEXT(Caja_Arequipa[[#This Row],[FECHA]],"mmmm"),0)</f>
        <v>Agosto</v>
      </c>
    </row>
    <row r="624" spans="2:29" s="144" customFormat="1" x14ac:dyDescent="0.3">
      <c r="B624" s="135" t="str">
        <f>IF(Caja_Arequipa[[#This Row],[TIPO DE R.]]="R",COUNTIFS($D$4:$D623,"R")+1,"")</f>
        <v/>
      </c>
      <c r="C624" s="136" t="str">
        <f t="shared" si="80"/>
        <v>C-Tesoreria</v>
      </c>
      <c r="D624" s="137" t="s">
        <v>1101</v>
      </c>
      <c r="E624" s="138">
        <v>45881</v>
      </c>
      <c r="F624" s="139" t="s">
        <v>1082</v>
      </c>
      <c r="G624" s="139"/>
      <c r="H624" s="137"/>
      <c r="I624" s="140" t="s">
        <v>919</v>
      </c>
      <c r="J624" s="140" t="s">
        <v>14</v>
      </c>
      <c r="K624" s="140" t="s">
        <v>5242</v>
      </c>
      <c r="L624" s="140">
        <v>2130608</v>
      </c>
      <c r="M624" s="141" t="s">
        <v>5091</v>
      </c>
      <c r="N624" s="142" t="str">
        <f>IF(Caja_Arequipa[[#This Row],[TIPO DE R.]]="R","001-"&amp;12002+B624,N623)</f>
        <v>001-12570</v>
      </c>
      <c r="O624" s="142" t="str">
        <f t="shared" si="81"/>
        <v>PEN</v>
      </c>
      <c r="P624" s="137">
        <v>8</v>
      </c>
      <c r="Q624" s="137"/>
      <c r="R624" s="137">
        <f t="shared" si="82"/>
        <v>0</v>
      </c>
      <c r="S624" s="137">
        <f t="shared" si="83"/>
        <v>0</v>
      </c>
      <c r="T624" s="137">
        <f>IFERROR(IF(G624="SALDO",R624,T623+R624-S624),0)</f>
        <v>1184.1999999999989</v>
      </c>
      <c r="U624" s="143" t="s">
        <v>1081</v>
      </c>
      <c r="V624" s="143"/>
      <c r="W624" s="137"/>
      <c r="X624" s="137"/>
      <c r="Y624" s="137"/>
      <c r="Z624" s="137"/>
      <c r="AA624" s="137"/>
      <c r="AB624" s="137"/>
      <c r="AC624" s="137" t="str">
        <f>IF(Caja_Arequipa[[#This Row],[FECHA]]&gt;0,TEXT(Caja_Arequipa[[#This Row],[FECHA]],"mmmm"),0)</f>
        <v>Agosto</v>
      </c>
    </row>
    <row r="625" spans="2:29" s="144" customFormat="1" x14ac:dyDescent="0.3">
      <c r="B625" s="135" t="str">
        <f>IF(Caja_Arequipa[[#This Row],[TIPO DE R.]]="R",COUNTIFS($D$4:$D624,"R")+1,"")</f>
        <v/>
      </c>
      <c r="C625" s="136" t="str">
        <f t="shared" si="80"/>
        <v>C-Tesoreria</v>
      </c>
      <c r="D625" s="137" t="s">
        <v>1101</v>
      </c>
      <c r="E625" s="138">
        <v>45881</v>
      </c>
      <c r="F625" s="139" t="s">
        <v>1082</v>
      </c>
      <c r="G625" s="139"/>
      <c r="H625" s="137"/>
      <c r="I625" s="140" t="s">
        <v>919</v>
      </c>
      <c r="J625" s="140" t="s">
        <v>14</v>
      </c>
      <c r="K625" s="140" t="s">
        <v>5243</v>
      </c>
      <c r="L625" s="140">
        <v>2418953</v>
      </c>
      <c r="M625" s="141" t="s">
        <v>5091</v>
      </c>
      <c r="N625" s="142" t="str">
        <f>IF(Caja_Arequipa[[#This Row],[TIPO DE R.]]="R","001-"&amp;12002+B625,N624)</f>
        <v>001-12570</v>
      </c>
      <c r="O625" s="142" t="str">
        <f t="shared" si="81"/>
        <v>PEN</v>
      </c>
      <c r="P625" s="137">
        <v>8</v>
      </c>
      <c r="Q625" s="137"/>
      <c r="R625" s="137">
        <f t="shared" si="82"/>
        <v>0</v>
      </c>
      <c r="S625" s="137">
        <f t="shared" si="83"/>
        <v>0</v>
      </c>
      <c r="T625" s="137">
        <f t="shared" si="79"/>
        <v>1184.1999999999989</v>
      </c>
      <c r="U625" s="143" t="s">
        <v>1081</v>
      </c>
      <c r="V625" s="143"/>
      <c r="W625" s="137"/>
      <c r="X625" s="137"/>
      <c r="Y625" s="137"/>
      <c r="Z625" s="137"/>
      <c r="AA625" s="137"/>
      <c r="AB625" s="137"/>
      <c r="AC625" s="137" t="str">
        <f>IF(Caja_Arequipa[[#This Row],[FECHA]]&gt;0,TEXT(Caja_Arequipa[[#This Row],[FECHA]],"mmmm"),0)</f>
        <v>Agosto</v>
      </c>
    </row>
    <row r="626" spans="2:29" s="144" customFormat="1" ht="36" x14ac:dyDescent="0.3">
      <c r="B626" s="135" t="str">
        <f>IF(Caja_Arequipa[[#This Row],[TIPO DE R.]]="R",COUNTIFS($D$4:$D625,"R")+1,"")</f>
        <v/>
      </c>
      <c r="C626" s="136" t="str">
        <f t="shared" si="80"/>
        <v>C-Tesoreria</v>
      </c>
      <c r="D626" s="137" t="s">
        <v>1101</v>
      </c>
      <c r="E626" s="138">
        <v>45881</v>
      </c>
      <c r="F626" s="139" t="s">
        <v>1082</v>
      </c>
      <c r="G626" s="139"/>
      <c r="H626" s="137"/>
      <c r="I626" s="140" t="s">
        <v>624</v>
      </c>
      <c r="J626" s="140" t="s">
        <v>14</v>
      </c>
      <c r="K626" s="140" t="s">
        <v>1097</v>
      </c>
      <c r="L626" s="140">
        <v>17180</v>
      </c>
      <c r="M626" s="141" t="s">
        <v>5091</v>
      </c>
      <c r="N626" s="142" t="str">
        <f>IF(Caja_Arequipa[[#This Row],[TIPO DE R.]]="R","001-"&amp;12002+B626,N625)</f>
        <v>001-12570</v>
      </c>
      <c r="O626" s="142" t="str">
        <f t="shared" si="81"/>
        <v>PEN</v>
      </c>
      <c r="P626" s="137">
        <v>20</v>
      </c>
      <c r="Q626" s="137"/>
      <c r="R626" s="137">
        <f t="shared" si="82"/>
        <v>0</v>
      </c>
      <c r="S626" s="137">
        <f t="shared" si="83"/>
        <v>0</v>
      </c>
      <c r="T626" s="137">
        <f t="shared" si="79"/>
        <v>1184.1999999999989</v>
      </c>
      <c r="U626" s="143" t="s">
        <v>1081</v>
      </c>
      <c r="V626" s="143"/>
      <c r="W626" s="137"/>
      <c r="X626" s="137"/>
      <c r="Y626" s="137"/>
      <c r="Z626" s="137"/>
      <c r="AA626" s="137"/>
      <c r="AB626" s="137"/>
      <c r="AC626" s="137" t="str">
        <f>IF(Caja_Arequipa[[#This Row],[FECHA]]&gt;0,TEXT(Caja_Arequipa[[#This Row],[FECHA]],"mmmm"),0)</f>
        <v>Agosto</v>
      </c>
    </row>
    <row r="627" spans="2:29" s="144" customFormat="1" ht="36" x14ac:dyDescent="0.3">
      <c r="B627" s="135" t="str">
        <f>IF(Caja_Arequipa[[#This Row],[TIPO DE R.]]="R",COUNTIFS($D$4:$D626,"R")+1,"")</f>
        <v/>
      </c>
      <c r="C627" s="136" t="str">
        <f t="shared" si="80"/>
        <v>C-Tesoreria</v>
      </c>
      <c r="D627" s="137" t="s">
        <v>1101</v>
      </c>
      <c r="E627" s="138">
        <v>45881</v>
      </c>
      <c r="F627" s="139" t="s">
        <v>1082</v>
      </c>
      <c r="G627" s="139"/>
      <c r="H627" s="137"/>
      <c r="I627" s="140" t="s">
        <v>624</v>
      </c>
      <c r="J627" s="140" t="s">
        <v>14</v>
      </c>
      <c r="K627" s="140" t="s">
        <v>1097</v>
      </c>
      <c r="L627" s="140">
        <v>17067</v>
      </c>
      <c r="M627" s="141" t="s">
        <v>5091</v>
      </c>
      <c r="N627" s="142" t="str">
        <f>IF(Caja_Arequipa[[#This Row],[TIPO DE R.]]="R","001-"&amp;12002+B627,N626)</f>
        <v>001-12570</v>
      </c>
      <c r="O627" s="142" t="str">
        <f t="shared" si="81"/>
        <v>PEN</v>
      </c>
      <c r="P627" s="137">
        <v>20</v>
      </c>
      <c r="Q627" s="137"/>
      <c r="R627" s="137">
        <f t="shared" si="82"/>
        <v>0</v>
      </c>
      <c r="S627" s="137">
        <f t="shared" si="83"/>
        <v>0</v>
      </c>
      <c r="T627" s="137">
        <f t="shared" si="79"/>
        <v>1184.1999999999989</v>
      </c>
      <c r="U627" s="143" t="s">
        <v>1081</v>
      </c>
      <c r="V627" s="143"/>
      <c r="W627" s="137"/>
      <c r="X627" s="137"/>
      <c r="Y627" s="137"/>
      <c r="Z627" s="137"/>
      <c r="AA627" s="137"/>
      <c r="AB627" s="137"/>
      <c r="AC627" s="137" t="str">
        <f>IF(Caja_Arequipa[[#This Row],[FECHA]]&gt;0,TEXT(Caja_Arequipa[[#This Row],[FECHA]],"mmmm"),0)</f>
        <v>Agosto</v>
      </c>
    </row>
    <row r="628" spans="2:29" s="144" customFormat="1" ht="36" x14ac:dyDescent="0.3">
      <c r="B628" s="135" t="str">
        <f>IF(Caja_Arequipa[[#This Row],[TIPO DE R.]]="R",COUNTIFS($D$4:$D627,"R")+1,"")</f>
        <v/>
      </c>
      <c r="C628" s="136" t="str">
        <f t="shared" si="80"/>
        <v>C-Tesoreria</v>
      </c>
      <c r="D628" s="137" t="s">
        <v>1101</v>
      </c>
      <c r="E628" s="138">
        <v>45881</v>
      </c>
      <c r="F628" s="139" t="s">
        <v>1082</v>
      </c>
      <c r="G628" s="139"/>
      <c r="H628" s="137"/>
      <c r="I628" s="140" t="s">
        <v>624</v>
      </c>
      <c r="J628" s="140" t="s">
        <v>14</v>
      </c>
      <c r="K628" s="140" t="s">
        <v>1097</v>
      </c>
      <c r="L628" s="140">
        <v>17066</v>
      </c>
      <c r="M628" s="141" t="s">
        <v>5091</v>
      </c>
      <c r="N628" s="142" t="str">
        <f>IF(Caja_Arequipa[[#This Row],[TIPO DE R.]]="R","001-"&amp;12002+B628,N627)</f>
        <v>001-12570</v>
      </c>
      <c r="O628" s="142" t="str">
        <f t="shared" si="81"/>
        <v>PEN</v>
      </c>
      <c r="P628" s="137">
        <v>20</v>
      </c>
      <c r="Q628" s="137"/>
      <c r="R628" s="137">
        <f t="shared" si="82"/>
        <v>0</v>
      </c>
      <c r="S628" s="137">
        <f t="shared" si="83"/>
        <v>0</v>
      </c>
      <c r="T628" s="137">
        <f t="shared" si="79"/>
        <v>1184.1999999999989</v>
      </c>
      <c r="U628" s="143" t="s">
        <v>1081</v>
      </c>
      <c r="V628" s="143"/>
      <c r="W628" s="137"/>
      <c r="X628" s="137"/>
      <c r="Y628" s="137"/>
      <c r="Z628" s="137"/>
      <c r="AA628" s="137"/>
      <c r="AB628" s="137"/>
      <c r="AC628" s="137" t="str">
        <f>IF(Caja_Arequipa[[#This Row],[FECHA]]&gt;0,TEXT(Caja_Arequipa[[#This Row],[FECHA]],"mmmm"),0)</f>
        <v>Agosto</v>
      </c>
    </row>
    <row r="629" spans="2:29" s="144" customFormat="1" x14ac:dyDescent="0.3">
      <c r="B629" s="135">
        <f>IF(Caja_Arequipa[[#This Row],[TIPO DE R.]]="R",COUNTIFS($D$4:$D628,"R")+1,"")</f>
        <v>569</v>
      </c>
      <c r="C629" s="136" t="str">
        <f t="shared" si="80"/>
        <v>C-Tesoreria</v>
      </c>
      <c r="D629" s="137" t="s">
        <v>1074</v>
      </c>
      <c r="E629" s="138">
        <v>45881</v>
      </c>
      <c r="F629" s="139" t="s">
        <v>1082</v>
      </c>
      <c r="G629" s="139" t="s">
        <v>1079</v>
      </c>
      <c r="H629" s="137" t="s">
        <v>4329</v>
      </c>
      <c r="I629" s="140"/>
      <c r="J629" s="140"/>
      <c r="K629" s="140"/>
      <c r="L629" s="140"/>
      <c r="M629" s="141" t="s">
        <v>5091</v>
      </c>
      <c r="N629" s="142" t="str">
        <f>IF(Caja_Arequipa[[#This Row],[TIPO DE R.]]="R","001-"&amp;12002+B629,N628)</f>
        <v>001-12571</v>
      </c>
      <c r="O629" s="142" t="str">
        <f t="shared" si="81"/>
        <v>PEN</v>
      </c>
      <c r="P629" s="137"/>
      <c r="Q629" s="137">
        <v>10</v>
      </c>
      <c r="R629" s="137">
        <f t="shared" si="82"/>
        <v>0</v>
      </c>
      <c r="S629" s="137">
        <f t="shared" si="83"/>
        <v>10</v>
      </c>
      <c r="T629" s="137">
        <f t="shared" ref="T629:T640" si="84">IFERROR(IF(G629="SALDO",R629,T628+R629-S629),0)</f>
        <v>1174.1999999999989</v>
      </c>
      <c r="U629" s="143" t="s">
        <v>1081</v>
      </c>
      <c r="V629" s="143"/>
      <c r="W629" s="137"/>
      <c r="X629" s="137"/>
      <c r="Y629" s="137"/>
      <c r="Z629" s="137"/>
      <c r="AA629" s="137"/>
      <c r="AB629" s="137"/>
      <c r="AC629" s="137" t="str">
        <f>IF(Caja_Arequipa[[#This Row],[FECHA]]&gt;0,TEXT(Caja_Arequipa[[#This Row],[FECHA]],"mmmm"),0)</f>
        <v>Agosto</v>
      </c>
    </row>
    <row r="630" spans="2:29" s="144" customFormat="1" x14ac:dyDescent="0.3">
      <c r="B630" s="135" t="str">
        <f>IF(Caja_Arequipa[[#This Row],[TIPO DE R.]]="R",COUNTIFS($D$4:$D629,"R")+1,"")</f>
        <v/>
      </c>
      <c r="C630" s="136" t="str">
        <f t="shared" si="80"/>
        <v>C-Tesoreria</v>
      </c>
      <c r="D630" s="137" t="s">
        <v>1101</v>
      </c>
      <c r="E630" s="138">
        <v>45881</v>
      </c>
      <c r="F630" s="139" t="s">
        <v>1082</v>
      </c>
      <c r="G630" s="139"/>
      <c r="H630" s="137"/>
      <c r="I630" s="140" t="s">
        <v>919</v>
      </c>
      <c r="J630" s="140" t="s">
        <v>14</v>
      </c>
      <c r="K630" s="140" t="s">
        <v>5244</v>
      </c>
      <c r="L630" s="140">
        <v>1803301</v>
      </c>
      <c r="M630" s="141" t="s">
        <v>5091</v>
      </c>
      <c r="N630" s="142" t="str">
        <f>IF(Caja_Arequipa[[#This Row],[TIPO DE R.]]="R","001-"&amp;12002+B630,N629)</f>
        <v>001-12571</v>
      </c>
      <c r="O630" s="142" t="str">
        <f t="shared" si="81"/>
        <v>PEN</v>
      </c>
      <c r="P630" s="137">
        <v>5</v>
      </c>
      <c r="Q630" s="137"/>
      <c r="R630" s="137">
        <f t="shared" si="82"/>
        <v>0</v>
      </c>
      <c r="S630" s="137">
        <f t="shared" si="83"/>
        <v>0</v>
      </c>
      <c r="T630" s="137">
        <f t="shared" si="84"/>
        <v>1174.1999999999989</v>
      </c>
      <c r="U630" s="143" t="s">
        <v>1081</v>
      </c>
      <c r="V630" s="143"/>
      <c r="W630" s="137"/>
      <c r="X630" s="137"/>
      <c r="Y630" s="137"/>
      <c r="Z630" s="137"/>
      <c r="AA630" s="137"/>
      <c r="AB630" s="137"/>
      <c r="AC630" s="137" t="str">
        <f>IF(Caja_Arequipa[[#This Row],[FECHA]]&gt;0,TEXT(Caja_Arequipa[[#This Row],[FECHA]],"mmmm"),0)</f>
        <v>Agosto</v>
      </c>
    </row>
    <row r="631" spans="2:29" s="144" customFormat="1" x14ac:dyDescent="0.3">
      <c r="B631" s="135" t="str">
        <f>IF(Caja_Arequipa[[#This Row],[TIPO DE R.]]="R",COUNTIFS($D$4:$D630,"R")+1,"")</f>
        <v/>
      </c>
      <c r="C631" s="136" t="str">
        <f t="shared" si="80"/>
        <v>C-Tesoreria</v>
      </c>
      <c r="D631" s="137" t="s">
        <v>1101</v>
      </c>
      <c r="E631" s="138">
        <v>45881</v>
      </c>
      <c r="F631" s="139" t="s">
        <v>1082</v>
      </c>
      <c r="G631" s="139"/>
      <c r="H631" s="137"/>
      <c r="I631" s="140" t="s">
        <v>919</v>
      </c>
      <c r="J631" s="140" t="s">
        <v>14</v>
      </c>
      <c r="K631" s="140" t="s">
        <v>5245</v>
      </c>
      <c r="L631" s="140">
        <v>1823766</v>
      </c>
      <c r="M631" s="141" t="s">
        <v>5091</v>
      </c>
      <c r="N631" s="142" t="str">
        <f>IF(Caja_Arequipa[[#This Row],[TIPO DE R.]]="R","001-"&amp;12002+B631,N630)</f>
        <v>001-12571</v>
      </c>
      <c r="O631" s="142" t="str">
        <f t="shared" si="81"/>
        <v>PEN</v>
      </c>
      <c r="P631" s="137">
        <v>5</v>
      </c>
      <c r="Q631" s="137"/>
      <c r="R631" s="137">
        <f t="shared" si="82"/>
        <v>0</v>
      </c>
      <c r="S631" s="137">
        <f t="shared" si="83"/>
        <v>0</v>
      </c>
      <c r="T631" s="137">
        <f t="shared" si="84"/>
        <v>1174.1999999999989</v>
      </c>
      <c r="U631" s="143" t="s">
        <v>1081</v>
      </c>
      <c r="V631" s="143"/>
      <c r="W631" s="137"/>
      <c r="X631" s="137"/>
      <c r="Y631" s="137"/>
      <c r="Z631" s="137"/>
      <c r="AA631" s="137"/>
      <c r="AB631" s="137"/>
      <c r="AC631" s="137" t="str">
        <f>IF(Caja_Arequipa[[#This Row],[FECHA]]&gt;0,TEXT(Caja_Arequipa[[#This Row],[FECHA]],"mmmm"),0)</f>
        <v>Agosto</v>
      </c>
    </row>
    <row r="632" spans="2:29" s="144" customFormat="1" ht="24" x14ac:dyDescent="0.3">
      <c r="B632" s="135">
        <f>IF(Caja_Arequipa[[#This Row],[TIPO DE R.]]="R",COUNTIFS($D$4:$D631,"R")+1,"")</f>
        <v>570</v>
      </c>
      <c r="C632" s="136" t="str">
        <f t="shared" si="80"/>
        <v>C-Tesoreria</v>
      </c>
      <c r="D632" s="137" t="s">
        <v>1074</v>
      </c>
      <c r="E632" s="138">
        <v>45881</v>
      </c>
      <c r="F632" s="139" t="s">
        <v>1082</v>
      </c>
      <c r="G632" s="139" t="s">
        <v>1079</v>
      </c>
      <c r="H632" s="137" t="s">
        <v>4303</v>
      </c>
      <c r="I632" s="140" t="s">
        <v>777</v>
      </c>
      <c r="J632" s="140" t="s">
        <v>55</v>
      </c>
      <c r="K632" s="140">
        <v>3</v>
      </c>
      <c r="L632" s="140">
        <v>300</v>
      </c>
      <c r="M632" s="141" t="s">
        <v>7880</v>
      </c>
      <c r="N632" s="142" t="str">
        <f>IF(Caja_Arequipa[[#This Row],[TIPO DE R.]]="R","001-"&amp;12002+B632,N631)</f>
        <v>001-12572</v>
      </c>
      <c r="O632" s="142" t="str">
        <f t="shared" si="81"/>
        <v>PEN</v>
      </c>
      <c r="P632" s="137"/>
      <c r="Q632" s="137">
        <v>2</v>
      </c>
      <c r="R632" s="137">
        <f t="shared" si="82"/>
        <v>0</v>
      </c>
      <c r="S632" s="137">
        <f t="shared" si="83"/>
        <v>2</v>
      </c>
      <c r="T632" s="137">
        <f t="shared" si="84"/>
        <v>1172.1999999999989</v>
      </c>
      <c r="U632" s="143" t="s">
        <v>1081</v>
      </c>
      <c r="V632" s="143"/>
      <c r="W632" s="137"/>
      <c r="X632" s="137"/>
      <c r="Y632" s="137"/>
      <c r="Z632" s="137"/>
      <c r="AA632" s="137"/>
      <c r="AB632" s="137"/>
      <c r="AC632" s="137" t="str">
        <f>IF(Caja_Arequipa[[#This Row],[FECHA]]&gt;0,TEXT(Caja_Arequipa[[#This Row],[FECHA]],"mmmm"),0)</f>
        <v>Agosto</v>
      </c>
    </row>
    <row r="633" spans="2:29" s="144" customFormat="1" x14ac:dyDescent="0.3">
      <c r="B633" s="135">
        <f>IF(Caja_Arequipa[[#This Row],[TIPO DE R.]]="R",COUNTIFS($D$4:$D632,"R")+1,"")</f>
        <v>571</v>
      </c>
      <c r="C633" s="136" t="str">
        <f t="shared" si="80"/>
        <v>C-Tesoreria</v>
      </c>
      <c r="D633" s="137" t="s">
        <v>1074</v>
      </c>
      <c r="E633" s="138">
        <v>45881</v>
      </c>
      <c r="F633" s="184" t="s">
        <v>1082</v>
      </c>
      <c r="G633" s="139" t="s">
        <v>1079</v>
      </c>
      <c r="H633" s="137" t="s">
        <v>4912</v>
      </c>
      <c r="I633" s="140"/>
      <c r="J633" s="140"/>
      <c r="K633" s="140"/>
      <c r="L633" s="140" t="s">
        <v>5246</v>
      </c>
      <c r="M633" s="141" t="s">
        <v>5091</v>
      </c>
      <c r="N633" s="142" t="str">
        <f>IF(Caja_Arequipa[[#This Row],[TIPO DE R.]]="R","001-"&amp;12002+B633,N632)</f>
        <v>001-12573</v>
      </c>
      <c r="O633" s="142" t="str">
        <f t="shared" si="81"/>
        <v>PEN</v>
      </c>
      <c r="P633" s="137"/>
      <c r="Q633" s="137">
        <v>275.39999999999998</v>
      </c>
      <c r="R633" s="137">
        <f t="shared" si="82"/>
        <v>0</v>
      </c>
      <c r="S633" s="137">
        <f t="shared" si="83"/>
        <v>275.39999999999998</v>
      </c>
      <c r="T633" s="137">
        <f>IFERROR(IF(G633="SALDO",R633,T632+R633-S633),0)</f>
        <v>896.79999999999893</v>
      </c>
      <c r="U633" s="143" t="s">
        <v>1081</v>
      </c>
      <c r="V633" s="143"/>
      <c r="W633" s="137"/>
      <c r="X633" s="137"/>
      <c r="Y633" s="137"/>
      <c r="Z633" s="137"/>
      <c r="AA633" s="137"/>
      <c r="AB633" s="137"/>
      <c r="AC633" s="137" t="str">
        <f>IF(Caja_Arequipa[[#This Row],[FECHA]]&gt;0,TEXT(Caja_Arequipa[[#This Row],[FECHA]],"mmmm"),0)</f>
        <v>Agosto</v>
      </c>
    </row>
    <row r="634" spans="2:29" s="144" customFormat="1" ht="24" x14ac:dyDescent="0.3">
      <c r="B634" s="135" t="str">
        <f>IF(Caja_Arequipa[[#This Row],[TIPO DE R.]]="R",COUNTIFS($D$4:$D633,"R")+1,"")</f>
        <v/>
      </c>
      <c r="C634" s="136" t="str">
        <f t="shared" si="80"/>
        <v>C-Tesoreria</v>
      </c>
      <c r="D634" s="137" t="s">
        <v>1101</v>
      </c>
      <c r="E634" s="138">
        <v>45881</v>
      </c>
      <c r="F634" s="184" t="s">
        <v>1082</v>
      </c>
      <c r="G634" s="139"/>
      <c r="H634" s="137"/>
      <c r="I634" s="140" t="s">
        <v>992</v>
      </c>
      <c r="J634" s="140" t="s">
        <v>21</v>
      </c>
      <c r="K634" s="140">
        <v>2</v>
      </c>
      <c r="L634" s="140">
        <v>28</v>
      </c>
      <c r="M634" s="141" t="s">
        <v>5247</v>
      </c>
      <c r="N634" s="142" t="str">
        <f>IF(Caja_Arequipa[[#This Row],[TIPO DE R.]]="R","001-"&amp;12002+B634,N633)</f>
        <v>001-12573</v>
      </c>
      <c r="O634" s="142" t="str">
        <f t="shared" si="81"/>
        <v>PEN</v>
      </c>
      <c r="P634" s="137">
        <v>30</v>
      </c>
      <c r="Q634" s="137"/>
      <c r="R634" s="137">
        <f t="shared" si="82"/>
        <v>0</v>
      </c>
      <c r="S634" s="137">
        <f t="shared" si="83"/>
        <v>0</v>
      </c>
      <c r="T634" s="137">
        <f t="shared" si="84"/>
        <v>896.79999999999893</v>
      </c>
      <c r="U634" s="143" t="s">
        <v>1081</v>
      </c>
      <c r="V634" s="143"/>
      <c r="W634" s="137"/>
      <c r="X634" s="137"/>
      <c r="Y634" s="137"/>
      <c r="Z634" s="137"/>
      <c r="AA634" s="137"/>
      <c r="AB634" s="137"/>
      <c r="AC634" s="137" t="str">
        <f>IF(Caja_Arequipa[[#This Row],[FECHA]]&gt;0,TEXT(Caja_Arequipa[[#This Row],[FECHA]],"mmmm"),0)</f>
        <v>Agosto</v>
      </c>
    </row>
    <row r="635" spans="2:29" s="144" customFormat="1" ht="24" x14ac:dyDescent="0.3">
      <c r="B635" s="135" t="str">
        <f>IF(Caja_Arequipa[[#This Row],[TIPO DE R.]]="R",COUNTIFS($D$4:$D634,"R")+1,"")</f>
        <v/>
      </c>
      <c r="C635" s="136" t="str">
        <f t="shared" si="80"/>
        <v>C-Tesoreria</v>
      </c>
      <c r="D635" s="137" t="s">
        <v>1101</v>
      </c>
      <c r="E635" s="138">
        <v>45881</v>
      </c>
      <c r="F635" s="184" t="s">
        <v>1082</v>
      </c>
      <c r="G635" s="139"/>
      <c r="H635" s="137"/>
      <c r="I635" s="140" t="s">
        <v>972</v>
      </c>
      <c r="J635" s="140" t="s">
        <v>14</v>
      </c>
      <c r="K635" s="140" t="s">
        <v>5248</v>
      </c>
      <c r="L635" s="140">
        <v>1683570</v>
      </c>
      <c r="M635" s="141" t="s">
        <v>5249</v>
      </c>
      <c r="N635" s="142" t="str">
        <f>IF(Caja_Arequipa[[#This Row],[TIPO DE R.]]="R","001-"&amp;12002+B635,N634)</f>
        <v>001-12573</v>
      </c>
      <c r="O635" s="142" t="str">
        <f t="shared" si="81"/>
        <v>PEN</v>
      </c>
      <c r="P635" s="137">
        <v>105.9</v>
      </c>
      <c r="Q635" s="137"/>
      <c r="R635" s="137">
        <f t="shared" si="82"/>
        <v>0</v>
      </c>
      <c r="S635" s="137">
        <f t="shared" si="83"/>
        <v>0</v>
      </c>
      <c r="T635" s="137">
        <f t="shared" si="84"/>
        <v>896.79999999999893</v>
      </c>
      <c r="U635" s="143" t="s">
        <v>1081</v>
      </c>
      <c r="V635" s="143"/>
      <c r="W635" s="137"/>
      <c r="X635" s="137"/>
      <c r="Y635" s="137"/>
      <c r="Z635" s="137"/>
      <c r="AA635" s="137"/>
      <c r="AB635" s="137"/>
      <c r="AC635" s="137" t="str">
        <f>IF(Caja_Arequipa[[#This Row],[FECHA]]&gt;0,TEXT(Caja_Arequipa[[#This Row],[FECHA]],"mmmm"),0)</f>
        <v>Agosto</v>
      </c>
    </row>
    <row r="636" spans="2:29" s="144" customFormat="1" ht="24" x14ac:dyDescent="0.3">
      <c r="B636" s="135" t="str">
        <f>IF(Caja_Arequipa[[#This Row],[TIPO DE R.]]="R",COUNTIFS($D$4:$D635,"R")+1,"")</f>
        <v/>
      </c>
      <c r="C636" s="136" t="str">
        <f t="shared" si="80"/>
        <v>C-Tesoreria</v>
      </c>
      <c r="D636" s="137" t="s">
        <v>1101</v>
      </c>
      <c r="E636" s="138">
        <v>45881</v>
      </c>
      <c r="F636" s="184" t="s">
        <v>1082</v>
      </c>
      <c r="G636" s="139"/>
      <c r="H636" s="137"/>
      <c r="I636" s="140" t="s">
        <v>972</v>
      </c>
      <c r="J636" s="140" t="s">
        <v>14</v>
      </c>
      <c r="K636" s="140" t="s">
        <v>5248</v>
      </c>
      <c r="L636" s="140">
        <v>1759794</v>
      </c>
      <c r="M636" s="141" t="s">
        <v>5250</v>
      </c>
      <c r="N636" s="142" t="str">
        <f>IF(Caja_Arequipa[[#This Row],[TIPO DE R.]]="R","001-"&amp;12002+B636,N635)</f>
        <v>001-12573</v>
      </c>
      <c r="O636" s="142" t="str">
        <f t="shared" si="81"/>
        <v>PEN</v>
      </c>
      <c r="P636" s="137">
        <v>85.5</v>
      </c>
      <c r="Q636" s="137"/>
      <c r="R636" s="137">
        <f t="shared" si="82"/>
        <v>0</v>
      </c>
      <c r="S636" s="137">
        <f t="shared" si="83"/>
        <v>0</v>
      </c>
      <c r="T636" s="137">
        <f t="shared" si="84"/>
        <v>896.79999999999893</v>
      </c>
      <c r="U636" s="143" t="s">
        <v>1081</v>
      </c>
      <c r="V636" s="143"/>
      <c r="W636" s="137"/>
      <c r="X636" s="137"/>
      <c r="Y636" s="137"/>
      <c r="Z636" s="137"/>
      <c r="AA636" s="137"/>
      <c r="AB636" s="137"/>
      <c r="AC636" s="137" t="str">
        <f>IF(Caja_Arequipa[[#This Row],[FECHA]]&gt;0,TEXT(Caja_Arequipa[[#This Row],[FECHA]],"mmmm"),0)</f>
        <v>Agosto</v>
      </c>
    </row>
    <row r="637" spans="2:29" s="144" customFormat="1" ht="24" x14ac:dyDescent="0.3">
      <c r="B637" s="135" t="str">
        <f>IF(Caja_Arequipa[[#This Row],[TIPO DE R.]]="R",COUNTIFS($D$4:$D636,"R")+1,"")</f>
        <v/>
      </c>
      <c r="C637" s="136" t="str">
        <f t="shared" si="80"/>
        <v>C-Tesoreria</v>
      </c>
      <c r="D637" s="137" t="s">
        <v>1101</v>
      </c>
      <c r="E637" s="138">
        <v>45881</v>
      </c>
      <c r="F637" s="184" t="s">
        <v>1082</v>
      </c>
      <c r="G637" s="139"/>
      <c r="H637" s="137"/>
      <c r="I637" s="140" t="s">
        <v>620</v>
      </c>
      <c r="J637" s="140" t="s">
        <v>21</v>
      </c>
      <c r="K637" s="140">
        <v>1</v>
      </c>
      <c r="L637" s="140">
        <v>4388</v>
      </c>
      <c r="M637" s="141" t="s">
        <v>5251</v>
      </c>
      <c r="N637" s="142" t="str">
        <f>IF(Caja_Arequipa[[#This Row],[TIPO DE R.]]="R","001-"&amp;12002+B637,N636)</f>
        <v>001-12573</v>
      </c>
      <c r="O637" s="142" t="str">
        <f t="shared" si="81"/>
        <v>PEN</v>
      </c>
      <c r="P637" s="137">
        <v>22</v>
      </c>
      <c r="Q637" s="137"/>
      <c r="R637" s="137">
        <f t="shared" si="82"/>
        <v>0</v>
      </c>
      <c r="S637" s="137">
        <f t="shared" si="83"/>
        <v>0</v>
      </c>
      <c r="T637" s="137">
        <f t="shared" si="84"/>
        <v>896.79999999999893</v>
      </c>
      <c r="U637" s="143" t="s">
        <v>1081</v>
      </c>
      <c r="V637" s="143"/>
      <c r="W637" s="137"/>
      <c r="X637" s="137"/>
      <c r="Y637" s="137"/>
      <c r="Z637" s="137"/>
      <c r="AA637" s="137"/>
      <c r="AB637" s="137"/>
      <c r="AC637" s="137" t="str">
        <f>IF(Caja_Arequipa[[#This Row],[FECHA]]&gt;0,TEXT(Caja_Arequipa[[#This Row],[FECHA]],"mmmm"),0)</f>
        <v>Agosto</v>
      </c>
    </row>
    <row r="638" spans="2:29" s="144" customFormat="1" ht="24" x14ac:dyDescent="0.3">
      <c r="B638" s="135" t="str">
        <f>IF(Caja_Arequipa[[#This Row],[TIPO DE R.]]="R",COUNTIFS($D$4:$D637,"R")+1,"")</f>
        <v/>
      </c>
      <c r="C638" s="136" t="str">
        <f t="shared" si="80"/>
        <v>C-Tesoreria</v>
      </c>
      <c r="D638" s="137" t="s">
        <v>1101</v>
      </c>
      <c r="E638" s="138">
        <v>45881</v>
      </c>
      <c r="F638" s="184" t="s">
        <v>1082</v>
      </c>
      <c r="G638" s="139"/>
      <c r="H638" s="137"/>
      <c r="I638" s="140" t="s">
        <v>927</v>
      </c>
      <c r="J638" s="140" t="s">
        <v>21</v>
      </c>
      <c r="K638" s="140">
        <v>1</v>
      </c>
      <c r="L638" s="140">
        <v>164</v>
      </c>
      <c r="M638" s="141" t="s">
        <v>5252</v>
      </c>
      <c r="N638" s="142" t="str">
        <f>IF(Caja_Arequipa[[#This Row],[TIPO DE R.]]="R","001-"&amp;12002+B638,N637)</f>
        <v>001-12573</v>
      </c>
      <c r="O638" s="142" t="str">
        <f t="shared" si="81"/>
        <v>PEN</v>
      </c>
      <c r="P638" s="137">
        <v>15</v>
      </c>
      <c r="Q638" s="137"/>
      <c r="R638" s="137">
        <f t="shared" si="82"/>
        <v>0</v>
      </c>
      <c r="S638" s="137">
        <f t="shared" si="83"/>
        <v>0</v>
      </c>
      <c r="T638" s="137">
        <f t="shared" si="84"/>
        <v>896.79999999999893</v>
      </c>
      <c r="U638" s="143" t="s">
        <v>1081</v>
      </c>
      <c r="V638" s="143"/>
      <c r="W638" s="137"/>
      <c r="X638" s="137"/>
      <c r="Y638" s="137"/>
      <c r="Z638" s="137"/>
      <c r="AA638" s="137"/>
      <c r="AB638" s="137"/>
      <c r="AC638" s="137" t="str">
        <f>IF(Caja_Arequipa[[#This Row],[FECHA]]&gt;0,TEXT(Caja_Arequipa[[#This Row],[FECHA]],"mmmm"),0)</f>
        <v>Agosto</v>
      </c>
    </row>
    <row r="639" spans="2:29" s="144" customFormat="1" ht="24" x14ac:dyDescent="0.3">
      <c r="B639" s="135" t="str">
        <f>IF(Caja_Arequipa[[#This Row],[TIPO DE R.]]="R",COUNTIFS($D$4:$D638,"R")+1,"")</f>
        <v/>
      </c>
      <c r="C639" s="136" t="str">
        <f t="shared" si="80"/>
        <v>C-Tesoreria</v>
      </c>
      <c r="D639" s="137" t="s">
        <v>1101</v>
      </c>
      <c r="E639" s="138">
        <v>45881</v>
      </c>
      <c r="F639" s="184" t="s">
        <v>1082</v>
      </c>
      <c r="G639" s="139"/>
      <c r="H639" s="137"/>
      <c r="I639" s="140" t="s">
        <v>908</v>
      </c>
      <c r="J639" s="140" t="s">
        <v>55</v>
      </c>
      <c r="K639" s="140">
        <v>3</v>
      </c>
      <c r="L639" s="140">
        <v>243</v>
      </c>
      <c r="M639" s="141" t="s">
        <v>5253</v>
      </c>
      <c r="N639" s="142" t="str">
        <f>IF(Caja_Arequipa[[#This Row],[TIPO DE R.]]="R","001-"&amp;12002+B639,N638)</f>
        <v>001-12573</v>
      </c>
      <c r="O639" s="142" t="str">
        <f t="shared" si="81"/>
        <v>PEN</v>
      </c>
      <c r="P639" s="137">
        <v>7</v>
      </c>
      <c r="Q639" s="137"/>
      <c r="R639" s="137">
        <f t="shared" si="82"/>
        <v>0</v>
      </c>
      <c r="S639" s="137">
        <f t="shared" si="83"/>
        <v>0</v>
      </c>
      <c r="T639" s="137">
        <f t="shared" si="84"/>
        <v>896.79999999999893</v>
      </c>
      <c r="U639" s="143" t="s">
        <v>1081</v>
      </c>
      <c r="V639" s="143"/>
      <c r="W639" s="137"/>
      <c r="X639" s="137"/>
      <c r="Y639" s="137"/>
      <c r="Z639" s="137"/>
      <c r="AA639" s="137"/>
      <c r="AB639" s="137"/>
      <c r="AC639" s="137" t="str">
        <f>IF(Caja_Arequipa[[#This Row],[FECHA]]&gt;0,TEXT(Caja_Arequipa[[#This Row],[FECHA]],"mmmm"),0)</f>
        <v>Agosto</v>
      </c>
    </row>
    <row r="640" spans="2:29" s="144" customFormat="1" ht="24" x14ac:dyDescent="0.3">
      <c r="B640" s="135" t="str">
        <f>IF(Caja_Arequipa[[#This Row],[TIPO DE R.]]="R",COUNTIFS($D$4:$D639,"R")+1,"")</f>
        <v/>
      </c>
      <c r="C640" s="136" t="str">
        <f t="shared" si="80"/>
        <v>C-Tesoreria</v>
      </c>
      <c r="D640" s="137" t="s">
        <v>1101</v>
      </c>
      <c r="E640" s="138">
        <v>45881</v>
      </c>
      <c r="F640" s="184" t="s">
        <v>1082</v>
      </c>
      <c r="G640" s="139"/>
      <c r="H640" s="137"/>
      <c r="I640" s="140" t="s">
        <v>908</v>
      </c>
      <c r="J640" s="140" t="s">
        <v>55</v>
      </c>
      <c r="K640" s="140">
        <v>3</v>
      </c>
      <c r="L640" s="140">
        <v>242</v>
      </c>
      <c r="M640" s="141" t="s">
        <v>5254</v>
      </c>
      <c r="N640" s="142" t="str">
        <f>IF(Caja_Arequipa[[#This Row],[TIPO DE R.]]="R","001-"&amp;12002+B640,N639)</f>
        <v>001-12573</v>
      </c>
      <c r="O640" s="142" t="str">
        <f t="shared" si="81"/>
        <v>PEN</v>
      </c>
      <c r="P640" s="137">
        <v>10</v>
      </c>
      <c r="Q640" s="137"/>
      <c r="R640" s="137">
        <f t="shared" si="82"/>
        <v>0</v>
      </c>
      <c r="S640" s="137">
        <f t="shared" si="83"/>
        <v>0</v>
      </c>
      <c r="T640" s="137">
        <f t="shared" si="84"/>
        <v>896.79999999999893</v>
      </c>
      <c r="U640" s="143" t="s">
        <v>1081</v>
      </c>
      <c r="V640" s="143"/>
      <c r="W640" s="137"/>
      <c r="X640" s="137"/>
      <c r="Y640" s="137"/>
      <c r="Z640" s="137"/>
      <c r="AA640" s="137"/>
      <c r="AB640" s="137"/>
      <c r="AC640" s="137" t="str">
        <f>IF(Caja_Arequipa[[#This Row],[FECHA]]&gt;0,TEXT(Caja_Arequipa[[#This Row],[FECHA]],"mmmm"),0)</f>
        <v>Agosto</v>
      </c>
    </row>
    <row r="641" spans="2:29" s="144" customFormat="1" ht="24" x14ac:dyDescent="0.3">
      <c r="B641" s="135">
        <f>IF(Caja_Arequipa[[#This Row],[TIPO DE R.]]="R",COUNTIFS($D$4:$D640,"R")+1,"")</f>
        <v>572</v>
      </c>
      <c r="C641" s="136" t="str">
        <f t="shared" ref="C641:C648" si="85">"C-Tesoreria"</f>
        <v>C-Tesoreria</v>
      </c>
      <c r="D641" s="137" t="s">
        <v>1074</v>
      </c>
      <c r="E641" s="138">
        <v>45882</v>
      </c>
      <c r="F641" s="139" t="s">
        <v>1082</v>
      </c>
      <c r="G641" s="139" t="s">
        <v>1079</v>
      </c>
      <c r="H641" s="137" t="s">
        <v>5255</v>
      </c>
      <c r="I641" s="140" t="s">
        <v>859</v>
      </c>
      <c r="J641" s="140" t="s">
        <v>55</v>
      </c>
      <c r="K641" s="140">
        <v>3</v>
      </c>
      <c r="L641" s="140">
        <v>291</v>
      </c>
      <c r="M641" s="141" t="s">
        <v>5256</v>
      </c>
      <c r="N641" s="142" t="str">
        <f>IF(Caja_Arequipa[[#This Row],[TIPO DE R.]]="R","001-"&amp;12002+B641,N640)</f>
        <v>001-12574</v>
      </c>
      <c r="O641" s="142" t="str">
        <f t="shared" ref="O641:O648" si="86">"PEN"</f>
        <v>PEN</v>
      </c>
      <c r="P641" s="137"/>
      <c r="Q641" s="137">
        <v>32</v>
      </c>
      <c r="R641" s="137">
        <f t="shared" ref="R641:R648" si="87">+IF(OR($G641="SALDO",$G641="INGRESO"),$Q641,0)</f>
        <v>0</v>
      </c>
      <c r="S641" s="137">
        <f t="shared" ref="S641:S648" si="88">+IF($G641="EGRESO",$Q641,0)</f>
        <v>32</v>
      </c>
      <c r="T641" s="137">
        <f t="shared" ref="T641:T648" si="89">IFERROR(IF(G641="SALDO",R641,T640+R641-S641),0)</f>
        <v>864.79999999999893</v>
      </c>
      <c r="U641" s="143" t="s">
        <v>1081</v>
      </c>
      <c r="V641" s="143"/>
      <c r="W641" s="137"/>
      <c r="X641" s="137"/>
      <c r="Y641" s="137"/>
      <c r="Z641" s="137"/>
      <c r="AA641" s="137"/>
      <c r="AB641" s="137"/>
      <c r="AC641" s="137" t="str">
        <f>IF(Caja_Arequipa[[#This Row],[FECHA]]&gt;0,TEXT(Caja_Arequipa[[#This Row],[FECHA]],"mmmm"),0)</f>
        <v>Agosto</v>
      </c>
    </row>
    <row r="642" spans="2:29" s="144" customFormat="1" ht="24" x14ac:dyDescent="0.3">
      <c r="B642" s="135">
        <f>IF(Caja_Arequipa[[#This Row],[TIPO DE R.]]="R",COUNTIFS($D$4:$D641,"R")+1,"")</f>
        <v>573</v>
      </c>
      <c r="C642" s="136" t="str">
        <f t="shared" si="85"/>
        <v>C-Tesoreria</v>
      </c>
      <c r="D642" s="137" t="s">
        <v>1074</v>
      </c>
      <c r="E642" s="138">
        <v>45882</v>
      </c>
      <c r="F642" s="139" t="s">
        <v>1082</v>
      </c>
      <c r="G642" s="139" t="s">
        <v>1079</v>
      </c>
      <c r="H642" s="137" t="s">
        <v>5255</v>
      </c>
      <c r="I642" s="140" t="s">
        <v>859</v>
      </c>
      <c r="J642" s="140" t="s">
        <v>55</v>
      </c>
      <c r="K642" s="140">
        <v>3</v>
      </c>
      <c r="L642" s="140">
        <v>292</v>
      </c>
      <c r="M642" s="141" t="s">
        <v>5257</v>
      </c>
      <c r="N642" s="142" t="str">
        <f>IF(Caja_Arequipa[[#This Row],[TIPO DE R.]]="R","001-"&amp;12002+B642,N641)</f>
        <v>001-12575</v>
      </c>
      <c r="O642" s="142" t="str">
        <f t="shared" si="86"/>
        <v>PEN</v>
      </c>
      <c r="P642" s="137"/>
      <c r="Q642" s="137">
        <v>10</v>
      </c>
      <c r="R642" s="137">
        <f t="shared" si="87"/>
        <v>0</v>
      </c>
      <c r="S642" s="137">
        <f t="shared" si="88"/>
        <v>10</v>
      </c>
      <c r="T642" s="137">
        <f t="shared" si="89"/>
        <v>854.79999999999893</v>
      </c>
      <c r="U642" s="143" t="s">
        <v>1081</v>
      </c>
      <c r="V642" s="143"/>
      <c r="W642" s="137"/>
      <c r="X642" s="137"/>
      <c r="Y642" s="137"/>
      <c r="Z642" s="137"/>
      <c r="AA642" s="137"/>
      <c r="AB642" s="137"/>
      <c r="AC642" s="137" t="str">
        <f>IF(Caja_Arequipa[[#This Row],[FECHA]]&gt;0,TEXT(Caja_Arequipa[[#This Row],[FECHA]],"mmmm"),0)</f>
        <v>Agosto</v>
      </c>
    </row>
    <row r="643" spans="2:29" s="144" customFormat="1" ht="24" x14ac:dyDescent="0.3">
      <c r="B643" s="135">
        <f>IF(Caja_Arequipa[[#This Row],[TIPO DE R.]]="R",COUNTIFS($D$4:$D642,"R")+1,"")</f>
        <v>574</v>
      </c>
      <c r="C643" s="136" t="str">
        <f t="shared" si="85"/>
        <v>C-Tesoreria</v>
      </c>
      <c r="D643" s="137" t="s">
        <v>1074</v>
      </c>
      <c r="E643" s="138">
        <v>45882</v>
      </c>
      <c r="F643" s="139" t="s">
        <v>1082</v>
      </c>
      <c r="G643" s="139" t="s">
        <v>1079</v>
      </c>
      <c r="H643" s="137" t="s">
        <v>5255</v>
      </c>
      <c r="I643" s="140" t="s">
        <v>859</v>
      </c>
      <c r="J643" s="140" t="s">
        <v>55</v>
      </c>
      <c r="K643" s="140">
        <v>3</v>
      </c>
      <c r="L643" s="140">
        <v>293</v>
      </c>
      <c r="M643" s="141" t="s">
        <v>5258</v>
      </c>
      <c r="N643" s="142" t="str">
        <f>IF(Caja_Arequipa[[#This Row],[TIPO DE R.]]="R","001-"&amp;12002+B643,N642)</f>
        <v>001-12576</v>
      </c>
      <c r="O643" s="142" t="str">
        <f t="shared" si="86"/>
        <v>PEN</v>
      </c>
      <c r="P643" s="137"/>
      <c r="Q643" s="137">
        <v>22</v>
      </c>
      <c r="R643" s="137">
        <f t="shared" si="87"/>
        <v>0</v>
      </c>
      <c r="S643" s="137">
        <f t="shared" si="88"/>
        <v>22</v>
      </c>
      <c r="T643" s="137">
        <f t="shared" si="89"/>
        <v>832.79999999999893</v>
      </c>
      <c r="U643" s="143" t="s">
        <v>1081</v>
      </c>
      <c r="V643" s="143"/>
      <c r="W643" s="137"/>
      <c r="X643" s="137"/>
      <c r="Y643" s="137"/>
      <c r="Z643" s="137"/>
      <c r="AA643" s="137"/>
      <c r="AB643" s="137"/>
      <c r="AC643" s="137" t="str">
        <f>IF(Caja_Arequipa[[#This Row],[FECHA]]&gt;0,TEXT(Caja_Arequipa[[#This Row],[FECHA]],"mmmm"),0)</f>
        <v>Agosto</v>
      </c>
    </row>
    <row r="644" spans="2:29" s="144" customFormat="1" ht="24" x14ac:dyDescent="0.3">
      <c r="B644" s="135">
        <f>IF(Caja_Arequipa[[#This Row],[TIPO DE R.]]="R",COUNTIFS($D$4:$D643,"R")+1,"")</f>
        <v>575</v>
      </c>
      <c r="C644" s="136" t="str">
        <f t="shared" si="85"/>
        <v>C-Tesoreria</v>
      </c>
      <c r="D644" s="137" t="s">
        <v>1074</v>
      </c>
      <c r="E644" s="138">
        <v>45882</v>
      </c>
      <c r="F644" s="139" t="s">
        <v>1082</v>
      </c>
      <c r="G644" s="139" t="s">
        <v>1079</v>
      </c>
      <c r="H644" s="137" t="s">
        <v>5255</v>
      </c>
      <c r="I644" s="140" t="s">
        <v>859</v>
      </c>
      <c r="J644" s="140" t="s">
        <v>55</v>
      </c>
      <c r="K644" s="140">
        <v>3</v>
      </c>
      <c r="L644" s="140">
        <v>294</v>
      </c>
      <c r="M644" s="141" t="s">
        <v>5259</v>
      </c>
      <c r="N644" s="142" t="str">
        <f>IF(Caja_Arequipa[[#This Row],[TIPO DE R.]]="R","001-"&amp;12002+B644,N643)</f>
        <v>001-12577</v>
      </c>
      <c r="O644" s="142" t="str">
        <f t="shared" si="86"/>
        <v>PEN</v>
      </c>
      <c r="P644" s="137"/>
      <c r="Q644" s="137">
        <v>11</v>
      </c>
      <c r="R644" s="137">
        <f t="shared" si="87"/>
        <v>0</v>
      </c>
      <c r="S644" s="137">
        <f t="shared" si="88"/>
        <v>11</v>
      </c>
      <c r="T644" s="137">
        <f t="shared" si="89"/>
        <v>821.79999999999893</v>
      </c>
      <c r="U644" s="143" t="s">
        <v>1081</v>
      </c>
      <c r="V644" s="143"/>
      <c r="W644" s="137"/>
      <c r="X644" s="137"/>
      <c r="Y644" s="137"/>
      <c r="Z644" s="137"/>
      <c r="AA644" s="137"/>
      <c r="AB644" s="137"/>
      <c r="AC644" s="137" t="str">
        <f>IF(Caja_Arequipa[[#This Row],[FECHA]]&gt;0,TEXT(Caja_Arequipa[[#This Row],[FECHA]],"mmmm"),0)</f>
        <v>Agosto</v>
      </c>
    </row>
    <row r="645" spans="2:29" s="144" customFormat="1" ht="24" x14ac:dyDescent="0.3">
      <c r="B645" s="135">
        <f>IF(Caja_Arequipa[[#This Row],[TIPO DE R.]]="R",COUNTIFS($D$4:$D644,"R")+1,"")</f>
        <v>576</v>
      </c>
      <c r="C645" s="136" t="str">
        <f t="shared" si="85"/>
        <v>C-Tesoreria</v>
      </c>
      <c r="D645" s="137" t="s">
        <v>1074</v>
      </c>
      <c r="E645" s="138">
        <v>45882</v>
      </c>
      <c r="F645" s="139" t="s">
        <v>1082</v>
      </c>
      <c r="G645" s="139" t="s">
        <v>1079</v>
      </c>
      <c r="H645" s="137" t="s">
        <v>5255</v>
      </c>
      <c r="I645" s="140" t="s">
        <v>859</v>
      </c>
      <c r="J645" s="140" t="s">
        <v>55</v>
      </c>
      <c r="K645" s="140">
        <v>3</v>
      </c>
      <c r="L645" s="140">
        <v>295</v>
      </c>
      <c r="M645" s="141" t="s">
        <v>5260</v>
      </c>
      <c r="N645" s="142" t="str">
        <f>IF(Caja_Arequipa[[#This Row],[TIPO DE R.]]="R","001-"&amp;12002+B645,N644)</f>
        <v>001-12578</v>
      </c>
      <c r="O645" s="142" t="str">
        <f t="shared" si="86"/>
        <v>PEN</v>
      </c>
      <c r="P645" s="137"/>
      <c r="Q645" s="137">
        <v>92</v>
      </c>
      <c r="R645" s="137">
        <f t="shared" si="87"/>
        <v>0</v>
      </c>
      <c r="S645" s="137">
        <f t="shared" si="88"/>
        <v>92</v>
      </c>
      <c r="T645" s="137">
        <f t="shared" si="89"/>
        <v>729.79999999999893</v>
      </c>
      <c r="U645" s="143" t="s">
        <v>1081</v>
      </c>
      <c r="V645" s="143"/>
      <c r="W645" s="137"/>
      <c r="X645" s="137"/>
      <c r="Y645" s="137"/>
      <c r="Z645" s="137"/>
      <c r="AA645" s="137"/>
      <c r="AB645" s="137"/>
      <c r="AC645" s="137" t="str">
        <f>IF(Caja_Arequipa[[#This Row],[FECHA]]&gt;0,TEXT(Caja_Arequipa[[#This Row],[FECHA]],"mmmm"),0)</f>
        <v>Agosto</v>
      </c>
    </row>
    <row r="646" spans="2:29" s="144" customFormat="1" ht="24" x14ac:dyDescent="0.3">
      <c r="B646" s="135">
        <f>IF(Caja_Arequipa[[#This Row],[TIPO DE R.]]="R",COUNTIFS($D$4:$D645,"R")+1,"")</f>
        <v>577</v>
      </c>
      <c r="C646" s="136" t="str">
        <f t="shared" si="85"/>
        <v>C-Tesoreria</v>
      </c>
      <c r="D646" s="137" t="s">
        <v>1074</v>
      </c>
      <c r="E646" s="138">
        <v>45882</v>
      </c>
      <c r="F646" s="139" t="s">
        <v>1082</v>
      </c>
      <c r="G646" s="139" t="s">
        <v>1079</v>
      </c>
      <c r="H646" s="137" t="s">
        <v>5255</v>
      </c>
      <c r="I646" s="140" t="s">
        <v>859</v>
      </c>
      <c r="J646" s="140" t="s">
        <v>55</v>
      </c>
      <c r="K646" s="140">
        <v>3</v>
      </c>
      <c r="L646" s="140">
        <v>296</v>
      </c>
      <c r="M646" s="141" t="s">
        <v>5261</v>
      </c>
      <c r="N646" s="142" t="str">
        <f>IF(Caja_Arequipa[[#This Row],[TIPO DE R.]]="R","001-"&amp;12002+B646,N645)</f>
        <v>001-12579</v>
      </c>
      <c r="O646" s="142" t="str">
        <f t="shared" si="86"/>
        <v>PEN</v>
      </c>
      <c r="P646" s="137"/>
      <c r="Q646" s="137">
        <v>49</v>
      </c>
      <c r="R646" s="137">
        <f t="shared" si="87"/>
        <v>0</v>
      </c>
      <c r="S646" s="137">
        <f t="shared" si="88"/>
        <v>49</v>
      </c>
      <c r="T646" s="137">
        <f t="shared" si="89"/>
        <v>680.79999999999893</v>
      </c>
      <c r="U646" s="143" t="s">
        <v>1081</v>
      </c>
      <c r="V646" s="143"/>
      <c r="W646" s="137"/>
      <c r="X646" s="137"/>
      <c r="Y646" s="137"/>
      <c r="Z646" s="137"/>
      <c r="AA646" s="137"/>
      <c r="AB646" s="137"/>
      <c r="AC646" s="137" t="str">
        <f>IF(Caja_Arequipa[[#This Row],[FECHA]]&gt;0,TEXT(Caja_Arequipa[[#This Row],[FECHA]],"mmmm"),0)</f>
        <v>Agosto</v>
      </c>
    </row>
    <row r="647" spans="2:29" s="144" customFormat="1" ht="24" x14ac:dyDescent="0.3">
      <c r="B647" s="135">
        <f>IF(Caja_Arequipa[[#This Row],[TIPO DE R.]]="R",COUNTIFS($D$4:$D646,"R")+1,"")</f>
        <v>578</v>
      </c>
      <c r="C647" s="136" t="str">
        <f t="shared" si="85"/>
        <v>C-Tesoreria</v>
      </c>
      <c r="D647" s="137" t="s">
        <v>1074</v>
      </c>
      <c r="E647" s="138">
        <v>45882</v>
      </c>
      <c r="F647" s="139" t="s">
        <v>1082</v>
      </c>
      <c r="G647" s="139" t="s">
        <v>1079</v>
      </c>
      <c r="H647" s="137" t="s">
        <v>5255</v>
      </c>
      <c r="I647" s="140" t="s">
        <v>859</v>
      </c>
      <c r="J647" s="140" t="s">
        <v>55</v>
      </c>
      <c r="K647" s="140">
        <v>3</v>
      </c>
      <c r="L647" s="140">
        <v>297</v>
      </c>
      <c r="M647" s="141" t="s">
        <v>5262</v>
      </c>
      <c r="N647" s="142" t="str">
        <f>IF(Caja_Arequipa[[#This Row],[TIPO DE R.]]="R","001-"&amp;12002+B647,N646)</f>
        <v>001-12580</v>
      </c>
      <c r="O647" s="142" t="str">
        <f t="shared" si="86"/>
        <v>PEN</v>
      </c>
      <c r="P647" s="137"/>
      <c r="Q647" s="137">
        <v>22</v>
      </c>
      <c r="R647" s="137">
        <f t="shared" si="87"/>
        <v>0</v>
      </c>
      <c r="S647" s="137">
        <f t="shared" si="88"/>
        <v>22</v>
      </c>
      <c r="T647" s="137">
        <f t="shared" si="89"/>
        <v>658.79999999999893</v>
      </c>
      <c r="U647" s="143" t="s">
        <v>1081</v>
      </c>
      <c r="V647" s="143"/>
      <c r="W647" s="137"/>
      <c r="X647" s="137"/>
      <c r="Y647" s="137"/>
      <c r="Z647" s="137"/>
      <c r="AA647" s="137"/>
      <c r="AB647" s="137"/>
      <c r="AC647" s="137" t="str">
        <f>IF(Caja_Arequipa[[#This Row],[FECHA]]&gt;0,TEXT(Caja_Arequipa[[#This Row],[FECHA]],"mmmm"),0)</f>
        <v>Agosto</v>
      </c>
    </row>
    <row r="648" spans="2:29" s="144" customFormat="1" ht="24" x14ac:dyDescent="0.3">
      <c r="B648" s="135">
        <f>IF(Caja_Arequipa[[#This Row],[TIPO DE R.]]="R",COUNTIFS($D$4:$D647,"R")+1,"")</f>
        <v>579</v>
      </c>
      <c r="C648" s="136" t="str">
        <f t="shared" si="85"/>
        <v>C-Tesoreria</v>
      </c>
      <c r="D648" s="137" t="s">
        <v>1074</v>
      </c>
      <c r="E648" s="138">
        <v>45882</v>
      </c>
      <c r="F648" s="139" t="s">
        <v>1082</v>
      </c>
      <c r="G648" s="139" t="s">
        <v>1079</v>
      </c>
      <c r="H648" s="137" t="s">
        <v>4485</v>
      </c>
      <c r="I648" s="140" t="s">
        <v>994</v>
      </c>
      <c r="J648" s="140" t="s">
        <v>14</v>
      </c>
      <c r="K648" s="140" t="s">
        <v>1121</v>
      </c>
      <c r="L648" s="140">
        <v>2212</v>
      </c>
      <c r="M648" s="141" t="s">
        <v>5263</v>
      </c>
      <c r="N648" s="142" t="str">
        <f>IF(Caja_Arequipa[[#This Row],[TIPO DE R.]]="R","001-"&amp;12002+B648,N647)</f>
        <v>001-12581</v>
      </c>
      <c r="O648" s="142" t="str">
        <f t="shared" si="86"/>
        <v>PEN</v>
      </c>
      <c r="P648" s="137"/>
      <c r="Q648" s="137">
        <v>204</v>
      </c>
      <c r="R648" s="137">
        <f t="shared" si="87"/>
        <v>0</v>
      </c>
      <c r="S648" s="137">
        <f t="shared" si="88"/>
        <v>204</v>
      </c>
      <c r="T648" s="137">
        <f t="shared" si="89"/>
        <v>454.79999999999893</v>
      </c>
      <c r="U648" s="143" t="s">
        <v>1081</v>
      </c>
      <c r="V648" s="143"/>
      <c r="W648" s="137"/>
      <c r="X648" s="137"/>
      <c r="Y648" s="137"/>
      <c r="Z648" s="137"/>
      <c r="AA648" s="137"/>
      <c r="AB648" s="137"/>
      <c r="AC648" s="137" t="str">
        <f>IF(Caja_Arequipa[[#This Row],[FECHA]]&gt;0,TEXT(Caja_Arequipa[[#This Row],[FECHA]],"mmmm"),0)</f>
        <v>Agosto</v>
      </c>
    </row>
    <row r="649" spans="2:29" s="144" customFormat="1" x14ac:dyDescent="0.3">
      <c r="B649" s="135">
        <f>IF(Caja_Arequipa[[#This Row],[TIPO DE R.]]="R",COUNTIFS($D$4:$D648,"R")+1,"")</f>
        <v>580</v>
      </c>
      <c r="C649" s="136" t="str">
        <f t="shared" ref="C649:C650" si="90">"C-Tesoreria"</f>
        <v>C-Tesoreria</v>
      </c>
      <c r="D649" s="137" t="s">
        <v>1074</v>
      </c>
      <c r="E649" s="138">
        <v>45882</v>
      </c>
      <c r="F649" s="139" t="s">
        <v>1082</v>
      </c>
      <c r="G649" s="139" t="s">
        <v>1079</v>
      </c>
      <c r="H649" s="137" t="s">
        <v>4303</v>
      </c>
      <c r="I649" s="140"/>
      <c r="J649" s="140"/>
      <c r="K649" s="140"/>
      <c r="L649" s="140"/>
      <c r="M649" s="141" t="s">
        <v>5091</v>
      </c>
      <c r="N649" s="142" t="str">
        <f>IF(Caja_Arequipa[[#This Row],[TIPO DE R.]]="R","001-"&amp;12002+B649,N648)</f>
        <v>001-12582</v>
      </c>
      <c r="O649" s="142" t="str">
        <f t="shared" ref="O649:O650" si="91">"PEN"</f>
        <v>PEN</v>
      </c>
      <c r="P649" s="137"/>
      <c r="Q649" s="137">
        <v>83</v>
      </c>
      <c r="R649" s="137">
        <f t="shared" ref="R649:R650" si="92">+IF(OR($G649="SALDO",$G649="INGRESO"),$Q649,0)</f>
        <v>0</v>
      </c>
      <c r="S649" s="137">
        <f t="shared" ref="S649:S650" si="93">+IF($G649="EGRESO",$Q649,0)</f>
        <v>83</v>
      </c>
      <c r="T649" s="137">
        <f t="shared" ref="T649:T650" si="94">IFERROR(IF(G649="SALDO",R649,T648+R649-S649),0)</f>
        <v>371.79999999999893</v>
      </c>
      <c r="U649" s="143" t="s">
        <v>1081</v>
      </c>
      <c r="V649" s="143"/>
      <c r="W649" s="137"/>
      <c r="X649" s="137"/>
      <c r="Y649" s="137"/>
      <c r="Z649" s="137"/>
      <c r="AA649" s="137"/>
      <c r="AB649" s="137"/>
      <c r="AC649" s="137" t="str">
        <f>IF(Caja_Arequipa[[#This Row],[FECHA]]&gt;0,TEXT(Caja_Arequipa[[#This Row],[FECHA]],"mmmm"),0)</f>
        <v>Agosto</v>
      </c>
    </row>
    <row r="650" spans="2:29" s="144" customFormat="1" x14ac:dyDescent="0.3">
      <c r="B650" s="135" t="str">
        <f>IF(Caja_Arequipa[[#This Row],[TIPO DE R.]]="R",COUNTIFS($D$4:$D649,"R")+1,"")</f>
        <v/>
      </c>
      <c r="C650" s="136" t="str">
        <f t="shared" si="90"/>
        <v>C-Tesoreria</v>
      </c>
      <c r="D650" s="137" t="s">
        <v>1101</v>
      </c>
      <c r="E650" s="138">
        <v>45882</v>
      </c>
      <c r="F650" s="139" t="s">
        <v>1082</v>
      </c>
      <c r="G650" s="139"/>
      <c r="H650" s="137"/>
      <c r="I650" s="140" t="s">
        <v>666</v>
      </c>
      <c r="J650" s="140" t="s">
        <v>14</v>
      </c>
      <c r="K650" s="140" t="s">
        <v>1121</v>
      </c>
      <c r="L650" s="140">
        <v>4320</v>
      </c>
      <c r="M650" s="141" t="s">
        <v>5091</v>
      </c>
      <c r="N650" s="142" t="str">
        <f>IF(Caja_Arequipa[[#This Row],[TIPO DE R.]]="R","001-"&amp;12002+B650,N649)</f>
        <v>001-12582</v>
      </c>
      <c r="O650" s="142" t="str">
        <f t="shared" si="91"/>
        <v>PEN</v>
      </c>
      <c r="P650" s="137">
        <v>48</v>
      </c>
      <c r="Q650" s="137"/>
      <c r="R650" s="137">
        <f t="shared" si="92"/>
        <v>0</v>
      </c>
      <c r="S650" s="137">
        <f t="shared" si="93"/>
        <v>0</v>
      </c>
      <c r="T650" s="137">
        <f t="shared" si="94"/>
        <v>371.79999999999893</v>
      </c>
      <c r="U650" s="143" t="s">
        <v>1081</v>
      </c>
      <c r="V650" s="143"/>
      <c r="W650" s="137"/>
      <c r="X650" s="137"/>
      <c r="Y650" s="137"/>
      <c r="Z650" s="137"/>
      <c r="AA650" s="137"/>
      <c r="AB650" s="137"/>
      <c r="AC650" s="137" t="str">
        <f>IF(Caja_Arequipa[[#This Row],[FECHA]]&gt;0,TEXT(Caja_Arequipa[[#This Row],[FECHA]],"mmmm"),0)</f>
        <v>Agosto</v>
      </c>
    </row>
    <row r="651" spans="2:29" s="144" customFormat="1" ht="24" x14ac:dyDescent="0.3">
      <c r="B651" s="135" t="str">
        <f>IF(Caja_Arequipa[[#This Row],[TIPO DE R.]]="R",COUNTIFS($D$4:$D650,"R")+1,"")</f>
        <v/>
      </c>
      <c r="C651" s="136" t="str">
        <f t="shared" ref="C651:C657" si="95">"C-Tesoreria"</f>
        <v>C-Tesoreria</v>
      </c>
      <c r="D651" s="137" t="s">
        <v>1101</v>
      </c>
      <c r="E651" s="138">
        <v>45882</v>
      </c>
      <c r="F651" s="139" t="s">
        <v>1082</v>
      </c>
      <c r="G651" s="139"/>
      <c r="H651" s="137"/>
      <c r="I651" s="140" t="s">
        <v>953</v>
      </c>
      <c r="J651" s="140" t="s">
        <v>21</v>
      </c>
      <c r="K651" s="140">
        <v>3</v>
      </c>
      <c r="L651" s="140">
        <v>7983</v>
      </c>
      <c r="M651" s="141" t="s">
        <v>5091</v>
      </c>
      <c r="N651" s="142" t="str">
        <f>IF(Caja_Arequipa[[#This Row],[TIPO DE R.]]="R","001-"&amp;12002+B651,N650)</f>
        <v>001-12582</v>
      </c>
      <c r="O651" s="142" t="str">
        <f t="shared" ref="O651:O657" si="96">"PEN"</f>
        <v>PEN</v>
      </c>
      <c r="P651" s="137">
        <v>35</v>
      </c>
      <c r="Q651" s="137"/>
      <c r="R651" s="137">
        <f t="shared" ref="R651:R657" si="97">+IF(OR($G651="SALDO",$G651="INGRESO"),$Q651,0)</f>
        <v>0</v>
      </c>
      <c r="S651" s="137">
        <f t="shared" ref="S651:S657" si="98">+IF($G651="EGRESO",$Q651,0)</f>
        <v>0</v>
      </c>
      <c r="T651" s="137">
        <f t="shared" ref="T651:T657" si="99">IFERROR(IF(G651="SALDO",R651,T650+R651-S651),0)</f>
        <v>371.79999999999893</v>
      </c>
      <c r="U651" s="143" t="s">
        <v>1081</v>
      </c>
      <c r="V651" s="143"/>
      <c r="W651" s="137"/>
      <c r="X651" s="137"/>
      <c r="Y651" s="137"/>
      <c r="Z651" s="137"/>
      <c r="AA651" s="137"/>
      <c r="AB651" s="137"/>
      <c r="AC651" s="137" t="str">
        <f>IF(Caja_Arequipa[[#This Row],[FECHA]]&gt;0,TEXT(Caja_Arequipa[[#This Row],[FECHA]],"mmmm"),0)</f>
        <v>Agosto</v>
      </c>
    </row>
    <row r="652" spans="2:29" s="144" customFormat="1" ht="24" x14ac:dyDescent="0.3">
      <c r="B652" s="135">
        <f>IF(Caja_Arequipa[[#This Row],[TIPO DE R.]]="R",COUNTIFS($D$4:$D651,"R")+1,"")</f>
        <v>581</v>
      </c>
      <c r="C652" s="136" t="str">
        <f>"C-Tesoreria"</f>
        <v>C-Tesoreria</v>
      </c>
      <c r="D652" s="137" t="s">
        <v>1074</v>
      </c>
      <c r="E652" s="138">
        <v>45882</v>
      </c>
      <c r="F652" s="139" t="s">
        <v>1082</v>
      </c>
      <c r="G652" s="139" t="s">
        <v>1079</v>
      </c>
      <c r="H652" s="137" t="s">
        <v>4712</v>
      </c>
      <c r="I652" s="140" t="s">
        <v>878</v>
      </c>
      <c r="J652" s="140" t="s">
        <v>55</v>
      </c>
      <c r="K652" s="140">
        <v>3</v>
      </c>
      <c r="L652" s="140">
        <v>286</v>
      </c>
      <c r="M652" s="141" t="s">
        <v>5259</v>
      </c>
      <c r="N652" s="142" t="str">
        <f>IF(Caja_Arequipa[[#This Row],[TIPO DE R.]]="R","001-"&amp;12002+B652,N651)</f>
        <v>001-12583</v>
      </c>
      <c r="O652" s="142" t="str">
        <f>"PEN"</f>
        <v>PEN</v>
      </c>
      <c r="P652" s="137"/>
      <c r="Q652" s="137">
        <v>18</v>
      </c>
      <c r="R652" s="137">
        <f>+IF(OR($G652="SALDO",$G652="INGRESO"),$Q652,0)</f>
        <v>0</v>
      </c>
      <c r="S652" s="137">
        <f>+IF($G652="EGRESO",$Q652,0)</f>
        <v>18</v>
      </c>
      <c r="T652" s="137">
        <f>IFERROR(IF(G652="SALDO",R652,T651+R652-S652),0)</f>
        <v>353.79999999999893</v>
      </c>
      <c r="U652" s="143" t="s">
        <v>1081</v>
      </c>
      <c r="V652" s="143"/>
      <c r="W652" s="137"/>
      <c r="X652" s="137"/>
      <c r="Y652" s="137"/>
      <c r="Z652" s="137"/>
      <c r="AA652" s="137"/>
      <c r="AB652" s="137"/>
      <c r="AC652" s="137" t="str">
        <f>IF(Caja_Arequipa[[#This Row],[FECHA]]&gt;0,TEXT(Caja_Arequipa[[#This Row],[FECHA]],"mmmm"),0)</f>
        <v>Agosto</v>
      </c>
    </row>
    <row r="653" spans="2:29" s="183" customFormat="1" ht="24" x14ac:dyDescent="0.3">
      <c r="B653" s="174">
        <f>IF(Caja_Arequipa[[#This Row],[TIPO DE R.]]="R",COUNTIFS($D$4:$D652,"R")+1,"")</f>
        <v>582</v>
      </c>
      <c r="C653" s="175" t="str">
        <f t="shared" si="95"/>
        <v>C-Tesoreria</v>
      </c>
      <c r="D653" s="176" t="s">
        <v>1074</v>
      </c>
      <c r="E653" s="177">
        <v>45882</v>
      </c>
      <c r="F653" s="178" t="s">
        <v>1082</v>
      </c>
      <c r="G653" s="178" t="s">
        <v>1087</v>
      </c>
      <c r="H653" s="176" t="s">
        <v>4303</v>
      </c>
      <c r="I653" s="179"/>
      <c r="J653" s="179"/>
      <c r="K653" s="179"/>
      <c r="L653" s="179"/>
      <c r="M653" s="180" t="s">
        <v>5264</v>
      </c>
      <c r="N653" s="181" t="str">
        <f>IF(Caja_Arequipa[[#This Row],[TIPO DE R.]]="R","001-"&amp;12002+B653,N652)</f>
        <v>001-12584</v>
      </c>
      <c r="O653" s="181" t="str">
        <f t="shared" si="96"/>
        <v>PEN</v>
      </c>
      <c r="P653" s="176"/>
      <c r="Q653" s="176">
        <v>70</v>
      </c>
      <c r="R653" s="176">
        <f t="shared" si="97"/>
        <v>70</v>
      </c>
      <c r="S653" s="176">
        <f t="shared" si="98"/>
        <v>0</v>
      </c>
      <c r="T653" s="176">
        <f>IFERROR(IF(G653="SALDO",R653,T652+R653-S653),0)</f>
        <v>423.79999999999893</v>
      </c>
      <c r="U653" s="182" t="s">
        <v>1081</v>
      </c>
      <c r="V653" s="182"/>
      <c r="W653" s="176"/>
      <c r="X653" s="176"/>
      <c r="Y653" s="176"/>
      <c r="Z653" s="176"/>
      <c r="AA653" s="176"/>
      <c r="AB653" s="176"/>
      <c r="AC653" s="176" t="str">
        <f>IF(Caja_Arequipa[[#This Row],[FECHA]]&gt;0,TEXT(Caja_Arequipa[[#This Row],[FECHA]],"mmmm"),0)</f>
        <v>Agosto</v>
      </c>
    </row>
    <row r="654" spans="2:29" s="144" customFormat="1" x14ac:dyDescent="0.3">
      <c r="B654" s="135">
        <f>IF(Caja_Arequipa[[#This Row],[TIPO DE R.]]="R",COUNTIFS($D$4:$D653,"R")+1,"")</f>
        <v>583</v>
      </c>
      <c r="C654" s="136" t="str">
        <f t="shared" si="95"/>
        <v>C-Tesoreria</v>
      </c>
      <c r="D654" s="137" t="s">
        <v>1074</v>
      </c>
      <c r="E654" s="138">
        <v>45882</v>
      </c>
      <c r="F654" s="139" t="s">
        <v>1082</v>
      </c>
      <c r="G654" s="139" t="s">
        <v>1079</v>
      </c>
      <c r="H654" s="137" t="s">
        <v>4329</v>
      </c>
      <c r="I654" s="140"/>
      <c r="J654" s="140"/>
      <c r="K654" s="140"/>
      <c r="L654" s="140"/>
      <c r="M654" s="141" t="s">
        <v>5091</v>
      </c>
      <c r="N654" s="142" t="str">
        <f>IF(Caja_Arequipa[[#This Row],[TIPO DE R.]]="R","001-"&amp;12002+B654,N653)</f>
        <v>001-12585</v>
      </c>
      <c r="O654" s="142" t="str">
        <f t="shared" si="96"/>
        <v>PEN</v>
      </c>
      <c r="P654" s="137"/>
      <c r="Q654" s="137">
        <v>30</v>
      </c>
      <c r="R654" s="137">
        <f t="shared" si="97"/>
        <v>0</v>
      </c>
      <c r="S654" s="137">
        <f t="shared" si="98"/>
        <v>30</v>
      </c>
      <c r="T654" s="137">
        <f t="shared" si="99"/>
        <v>393.79999999999893</v>
      </c>
      <c r="U654" s="143" t="s">
        <v>1081</v>
      </c>
      <c r="V654" s="143"/>
      <c r="W654" s="137"/>
      <c r="X654" s="137"/>
      <c r="Y654" s="137"/>
      <c r="Z654" s="137"/>
      <c r="AA654" s="137"/>
      <c r="AB654" s="137"/>
      <c r="AC654" s="137" t="str">
        <f>IF(Caja_Arequipa[[#This Row],[FECHA]]&gt;0,TEXT(Caja_Arequipa[[#This Row],[FECHA]],"mmmm"),0)</f>
        <v>Agosto</v>
      </c>
    </row>
    <row r="655" spans="2:29" s="144" customFormat="1" ht="36" x14ac:dyDescent="0.3">
      <c r="B655" s="135" t="str">
        <f>IF(Caja_Arequipa[[#This Row],[TIPO DE R.]]="R",COUNTIFS($D$4:$D654,"R")+1,"")</f>
        <v/>
      </c>
      <c r="C655" s="136" t="str">
        <f t="shared" si="95"/>
        <v>C-Tesoreria</v>
      </c>
      <c r="D655" s="137" t="s">
        <v>1101</v>
      </c>
      <c r="E655" s="138">
        <v>45882</v>
      </c>
      <c r="F655" s="139" t="s">
        <v>1082</v>
      </c>
      <c r="G655" s="139"/>
      <c r="H655" s="137"/>
      <c r="I655" s="140" t="s">
        <v>624</v>
      </c>
      <c r="J655" s="140" t="s">
        <v>14</v>
      </c>
      <c r="K655" s="140" t="s">
        <v>1097</v>
      </c>
      <c r="L655" s="140">
        <v>17234</v>
      </c>
      <c r="M655" s="141" t="s">
        <v>5091</v>
      </c>
      <c r="N655" s="142" t="str">
        <f>IF(Caja_Arequipa[[#This Row],[TIPO DE R.]]="R","001-"&amp;12002+B655,N654)</f>
        <v>001-12585</v>
      </c>
      <c r="O655" s="142" t="str">
        <f t="shared" si="96"/>
        <v>PEN</v>
      </c>
      <c r="P655" s="137">
        <v>20</v>
      </c>
      <c r="Q655" s="137"/>
      <c r="R655" s="137">
        <f t="shared" si="97"/>
        <v>0</v>
      </c>
      <c r="S655" s="137">
        <f t="shared" si="98"/>
        <v>0</v>
      </c>
      <c r="T655" s="137">
        <f t="shared" si="99"/>
        <v>393.79999999999893</v>
      </c>
      <c r="U655" s="143" t="s">
        <v>1081</v>
      </c>
      <c r="V655" s="143"/>
      <c r="W655" s="137"/>
      <c r="X655" s="137"/>
      <c r="Y655" s="137"/>
      <c r="Z655" s="137"/>
      <c r="AA655" s="137"/>
      <c r="AB655" s="137"/>
      <c r="AC655" s="137" t="str">
        <f>IF(Caja_Arequipa[[#This Row],[FECHA]]&gt;0,TEXT(Caja_Arequipa[[#This Row],[FECHA]],"mmmm"),0)</f>
        <v>Agosto</v>
      </c>
    </row>
    <row r="656" spans="2:29" s="144" customFormat="1" ht="36" x14ac:dyDescent="0.3">
      <c r="B656" s="135" t="str">
        <f>IF(Caja_Arequipa[[#This Row],[TIPO DE R.]]="R",COUNTIFS($D$4:$D655,"R")+1,"")</f>
        <v/>
      </c>
      <c r="C656" s="136" t="str">
        <f t="shared" si="95"/>
        <v>C-Tesoreria</v>
      </c>
      <c r="D656" s="137" t="s">
        <v>1101</v>
      </c>
      <c r="E656" s="138">
        <v>45882</v>
      </c>
      <c r="F656" s="139" t="s">
        <v>1082</v>
      </c>
      <c r="G656" s="139"/>
      <c r="H656" s="137"/>
      <c r="I656" s="140" t="s">
        <v>624</v>
      </c>
      <c r="J656" s="140" t="s">
        <v>14</v>
      </c>
      <c r="K656" s="140" t="s">
        <v>1088</v>
      </c>
      <c r="L656" s="140">
        <v>35311</v>
      </c>
      <c r="M656" s="141" t="s">
        <v>5091</v>
      </c>
      <c r="N656" s="142" t="str">
        <f>IF(Caja_Arequipa[[#This Row],[TIPO DE R.]]="R","001-"&amp;12002+B656,N655)</f>
        <v>001-12585</v>
      </c>
      <c r="O656" s="142" t="str">
        <f t="shared" si="96"/>
        <v>PEN</v>
      </c>
      <c r="P656" s="137">
        <v>10</v>
      </c>
      <c r="Q656" s="137"/>
      <c r="R656" s="137">
        <f t="shared" si="97"/>
        <v>0</v>
      </c>
      <c r="S656" s="137">
        <f t="shared" si="98"/>
        <v>0</v>
      </c>
      <c r="T656" s="137">
        <f t="shared" si="99"/>
        <v>393.79999999999893</v>
      </c>
      <c r="U656" s="143" t="s">
        <v>1081</v>
      </c>
      <c r="V656" s="143"/>
      <c r="W656" s="137"/>
      <c r="X656" s="137"/>
      <c r="Y656" s="137"/>
      <c r="Z656" s="137"/>
      <c r="AA656" s="137"/>
      <c r="AB656" s="137"/>
      <c r="AC656" s="137" t="str">
        <f>IF(Caja_Arequipa[[#This Row],[FECHA]]&gt;0,TEXT(Caja_Arequipa[[#This Row],[FECHA]],"mmmm"),0)</f>
        <v>Agosto</v>
      </c>
    </row>
    <row r="657" spans="2:29" s="144" customFormat="1" ht="36" x14ac:dyDescent="0.3">
      <c r="B657" s="135">
        <f>IF(Caja_Arequipa[[#This Row],[TIPO DE R.]]="R",COUNTIFS($D$4:$D656,"R")+1,"")</f>
        <v>584</v>
      </c>
      <c r="C657" s="136" t="str">
        <f t="shared" si="95"/>
        <v>C-Tesoreria</v>
      </c>
      <c r="D657" s="137" t="s">
        <v>1074</v>
      </c>
      <c r="E657" s="138">
        <v>45882</v>
      </c>
      <c r="F657" s="139" t="s">
        <v>1082</v>
      </c>
      <c r="G657" s="139" t="s">
        <v>1079</v>
      </c>
      <c r="H657" s="137" t="s">
        <v>4912</v>
      </c>
      <c r="I657" s="140" t="s">
        <v>921</v>
      </c>
      <c r="J657" s="140" t="s">
        <v>14</v>
      </c>
      <c r="K657" s="140" t="s">
        <v>1121</v>
      </c>
      <c r="L657" s="140">
        <v>9467</v>
      </c>
      <c r="M657" s="141" t="s">
        <v>5265</v>
      </c>
      <c r="N657" s="142" t="str">
        <f>IF(Caja_Arequipa[[#This Row],[TIPO DE R.]]="R","001-"&amp;12002+B657,N656)</f>
        <v>001-12586</v>
      </c>
      <c r="O657" s="142" t="str">
        <f t="shared" si="96"/>
        <v>PEN</v>
      </c>
      <c r="P657" s="137"/>
      <c r="Q657" s="137">
        <v>45.5</v>
      </c>
      <c r="R657" s="137">
        <f t="shared" si="97"/>
        <v>0</v>
      </c>
      <c r="S657" s="137">
        <f t="shared" si="98"/>
        <v>45.5</v>
      </c>
      <c r="T657" s="137">
        <f t="shared" si="99"/>
        <v>348.29999999999893</v>
      </c>
      <c r="U657" s="143" t="s">
        <v>1081</v>
      </c>
      <c r="V657" s="143"/>
      <c r="W657" s="137"/>
      <c r="X657" s="137"/>
      <c r="Y657" s="137"/>
      <c r="Z657" s="137"/>
      <c r="AA657" s="137"/>
      <c r="AB657" s="137"/>
      <c r="AC657" s="137" t="str">
        <f>IF(Caja_Arequipa[[#This Row],[FECHA]]&gt;0,TEXT(Caja_Arequipa[[#This Row],[FECHA]],"mmmm"),0)</f>
        <v>Agosto</v>
      </c>
    </row>
    <row r="658" spans="2:29" s="144" customFormat="1" ht="24" x14ac:dyDescent="0.3">
      <c r="B658" s="135">
        <f>IF(Caja_Arequipa[[#This Row],[TIPO DE R.]]="R",COUNTIFS($D$4:$D657,"R")+1,"")</f>
        <v>585</v>
      </c>
      <c r="C658" s="136" t="str">
        <f t="shared" ref="C658:C666" si="100">"C-Tesoreria"</f>
        <v>C-Tesoreria</v>
      </c>
      <c r="D658" s="137" t="s">
        <v>1074</v>
      </c>
      <c r="E658" s="138">
        <v>45881</v>
      </c>
      <c r="F658" s="139" t="s">
        <v>1082</v>
      </c>
      <c r="G658" s="139" t="s">
        <v>1079</v>
      </c>
      <c r="H658" s="137" t="s">
        <v>5266</v>
      </c>
      <c r="I658" s="140" t="s">
        <v>998</v>
      </c>
      <c r="J658" s="140" t="s">
        <v>21</v>
      </c>
      <c r="K658" s="140">
        <v>1</v>
      </c>
      <c r="L658" s="140">
        <v>220</v>
      </c>
      <c r="M658" s="141" t="s">
        <v>5267</v>
      </c>
      <c r="N658" s="142" t="str">
        <f>IF(Caja_Arequipa[[#This Row],[TIPO DE R.]]="R","001-"&amp;12002+B658,N657)</f>
        <v>001-12587</v>
      </c>
      <c r="O658" s="142" t="str">
        <f t="shared" ref="O658:O666" si="101">"PEN"</f>
        <v>PEN</v>
      </c>
      <c r="P658" s="137"/>
      <c r="Q658" s="137">
        <v>7</v>
      </c>
      <c r="R658" s="137">
        <f t="shared" ref="R658:R666" si="102">+IF(OR($G658="SALDO",$G658="INGRESO"),$Q658,0)</f>
        <v>0</v>
      </c>
      <c r="S658" s="137">
        <f t="shared" ref="S658:S666" si="103">+IF($G658="EGRESO",$Q658,0)</f>
        <v>7</v>
      </c>
      <c r="T658" s="137">
        <f t="shared" ref="T658:T666" si="104">IFERROR(IF(G658="SALDO",R658,T657+R658-S658),0)</f>
        <v>341.29999999999893</v>
      </c>
      <c r="U658" s="143" t="s">
        <v>1081</v>
      </c>
      <c r="V658" s="143"/>
      <c r="W658" s="137"/>
      <c r="X658" s="137"/>
      <c r="Y658" s="137"/>
      <c r="Z658" s="137"/>
      <c r="AA658" s="137"/>
      <c r="AB658" s="137"/>
      <c r="AC658" s="137" t="str">
        <f>IF(Caja_Arequipa[[#This Row],[FECHA]]&gt;0,TEXT(Caja_Arequipa[[#This Row],[FECHA]],"mmmm"),0)</f>
        <v>Agosto</v>
      </c>
    </row>
    <row r="659" spans="2:29" s="144" customFormat="1" ht="24" x14ac:dyDescent="0.3">
      <c r="B659" s="135">
        <f>IF(Caja_Arequipa[[#This Row],[TIPO DE R.]]="R",COUNTIFS($D$4:$D658,"R")+1,"")</f>
        <v>586</v>
      </c>
      <c r="C659" s="136" t="str">
        <f t="shared" si="100"/>
        <v>C-Tesoreria</v>
      </c>
      <c r="D659" s="137" t="s">
        <v>1074</v>
      </c>
      <c r="E659" s="138">
        <v>45883</v>
      </c>
      <c r="F659" s="139" t="s">
        <v>1082</v>
      </c>
      <c r="G659" s="139" t="s">
        <v>1079</v>
      </c>
      <c r="H659" s="137" t="s">
        <v>4334</v>
      </c>
      <c r="I659" s="140" t="s">
        <v>874</v>
      </c>
      <c r="J659" s="140" t="s">
        <v>55</v>
      </c>
      <c r="K659" s="140">
        <v>3</v>
      </c>
      <c r="L659" s="140">
        <v>299</v>
      </c>
      <c r="M659" s="141" t="s">
        <v>5268</v>
      </c>
      <c r="N659" s="142" t="str">
        <f>IF(Caja_Arequipa[[#This Row],[TIPO DE R.]]="R","001-"&amp;12002+B659,N658)</f>
        <v>001-12588</v>
      </c>
      <c r="O659" s="142" t="str">
        <f t="shared" si="101"/>
        <v>PEN</v>
      </c>
      <c r="P659" s="137"/>
      <c r="Q659" s="137">
        <v>124</v>
      </c>
      <c r="R659" s="137">
        <f t="shared" si="102"/>
        <v>0</v>
      </c>
      <c r="S659" s="137">
        <f t="shared" si="103"/>
        <v>124</v>
      </c>
      <c r="T659" s="137">
        <f t="shared" si="104"/>
        <v>217.29999999999893</v>
      </c>
      <c r="U659" s="143" t="s">
        <v>1081</v>
      </c>
      <c r="V659" s="143"/>
      <c r="W659" s="137"/>
      <c r="X659" s="137"/>
      <c r="Y659" s="137"/>
      <c r="Z659" s="137"/>
      <c r="AA659" s="137"/>
      <c r="AB659" s="137"/>
      <c r="AC659" s="137" t="str">
        <f>IF(Caja_Arequipa[[#This Row],[FECHA]]&gt;0,TEXT(Caja_Arequipa[[#This Row],[FECHA]],"mmmm"),0)</f>
        <v>Agosto</v>
      </c>
    </row>
    <row r="660" spans="2:29" s="144" customFormat="1" ht="24" x14ac:dyDescent="0.3">
      <c r="B660" s="135">
        <f>IF(Caja_Arequipa[[#This Row],[TIPO DE R.]]="R",COUNTIFS($D$4:$D659,"R")+1,"")</f>
        <v>587</v>
      </c>
      <c r="C660" s="136" t="str">
        <f t="shared" si="100"/>
        <v>C-Tesoreria</v>
      </c>
      <c r="D660" s="137" t="s">
        <v>1074</v>
      </c>
      <c r="E660" s="138">
        <v>45887</v>
      </c>
      <c r="F660" s="139" t="s">
        <v>1082</v>
      </c>
      <c r="G660" s="139" t="s">
        <v>1079</v>
      </c>
      <c r="H660" s="137" t="s">
        <v>4305</v>
      </c>
      <c r="I660" s="140" t="s">
        <v>915</v>
      </c>
      <c r="J660" s="140" t="s">
        <v>14</v>
      </c>
      <c r="K660" s="140" t="s">
        <v>5137</v>
      </c>
      <c r="L660" s="140">
        <v>5507</v>
      </c>
      <c r="M660" s="141" t="s">
        <v>5269</v>
      </c>
      <c r="N660" s="142" t="str">
        <f>IF(Caja_Arequipa[[#This Row],[TIPO DE R.]]="R","001-"&amp;12002+B660,N659)</f>
        <v>001-12589</v>
      </c>
      <c r="O660" s="142" t="str">
        <f t="shared" si="101"/>
        <v>PEN</v>
      </c>
      <c r="P660" s="137"/>
      <c r="Q660" s="137">
        <v>20</v>
      </c>
      <c r="R660" s="137">
        <f t="shared" si="102"/>
        <v>0</v>
      </c>
      <c r="S660" s="137">
        <f t="shared" si="103"/>
        <v>20</v>
      </c>
      <c r="T660" s="137">
        <f t="shared" si="104"/>
        <v>197.29999999999893</v>
      </c>
      <c r="U660" s="143" t="s">
        <v>1081</v>
      </c>
      <c r="V660" s="143"/>
      <c r="W660" s="137"/>
      <c r="X660" s="137"/>
      <c r="Y660" s="137"/>
      <c r="Z660" s="137"/>
      <c r="AA660" s="137"/>
      <c r="AB660" s="137"/>
      <c r="AC660" s="137" t="str">
        <f>IF(Caja_Arequipa[[#This Row],[FECHA]]&gt;0,TEXT(Caja_Arequipa[[#This Row],[FECHA]],"mmmm"),0)</f>
        <v>Agosto</v>
      </c>
    </row>
    <row r="661" spans="2:29" s="144" customFormat="1" ht="24" x14ac:dyDescent="0.3">
      <c r="B661" s="135">
        <f>IF(Caja_Arequipa[[#This Row],[TIPO DE R.]]="R",COUNTIFS($D$4:$D660,"R")+1,"")</f>
        <v>588</v>
      </c>
      <c r="C661" s="136" t="str">
        <f t="shared" si="100"/>
        <v>C-Tesoreria</v>
      </c>
      <c r="D661" s="137" t="s">
        <v>1074</v>
      </c>
      <c r="E661" s="138">
        <v>45887</v>
      </c>
      <c r="F661" s="139" t="s">
        <v>1082</v>
      </c>
      <c r="G661" s="139" t="s">
        <v>1079</v>
      </c>
      <c r="H661" s="137" t="s">
        <v>4912</v>
      </c>
      <c r="I661" s="140"/>
      <c r="J661" s="140"/>
      <c r="K661" s="140"/>
      <c r="L661" s="140"/>
      <c r="M661" s="141" t="s">
        <v>5270</v>
      </c>
      <c r="N661" s="142" t="str">
        <f>IF(Caja_Arequipa[[#This Row],[TIPO DE R.]]="R","001-"&amp;12002+B661,N660)</f>
        <v>001-12590</v>
      </c>
      <c r="O661" s="142" t="str">
        <f t="shared" si="101"/>
        <v>PEN</v>
      </c>
      <c r="P661" s="137"/>
      <c r="Q661" s="137">
        <v>100</v>
      </c>
      <c r="R661" s="137">
        <f t="shared" si="102"/>
        <v>0</v>
      </c>
      <c r="S661" s="137">
        <f t="shared" si="103"/>
        <v>100</v>
      </c>
      <c r="T661" s="137">
        <f t="shared" si="104"/>
        <v>97.299999999998931</v>
      </c>
      <c r="U661" s="143" t="s">
        <v>1081</v>
      </c>
      <c r="V661" s="143"/>
      <c r="W661" s="137"/>
      <c r="X661" s="137"/>
      <c r="Y661" s="137"/>
      <c r="Z661" s="137"/>
      <c r="AA661" s="137"/>
      <c r="AB661" s="137"/>
      <c r="AC661" s="137" t="str">
        <f>IF(Caja_Arequipa[[#This Row],[FECHA]]&gt;0,TEXT(Caja_Arequipa[[#This Row],[FECHA]],"mmmm"),0)</f>
        <v>Agosto</v>
      </c>
    </row>
    <row r="662" spans="2:29" s="144" customFormat="1" ht="24" x14ac:dyDescent="0.3">
      <c r="B662" s="135" t="str">
        <f>IF(Caja_Arequipa[[#This Row],[TIPO DE R.]]="R",COUNTIFS($D$4:$D661,"R")+1,"")</f>
        <v/>
      </c>
      <c r="C662" s="136" t="str">
        <f>"C-Tesoreria"</f>
        <v>C-Tesoreria</v>
      </c>
      <c r="D662" s="137" t="s">
        <v>1101</v>
      </c>
      <c r="E662" s="138">
        <v>45887</v>
      </c>
      <c r="F662" s="139" t="s">
        <v>1082</v>
      </c>
      <c r="G662" s="139"/>
      <c r="H662" s="137"/>
      <c r="I662" s="140" t="s">
        <v>908</v>
      </c>
      <c r="J662" s="140" t="s">
        <v>55</v>
      </c>
      <c r="K662" s="140">
        <v>3</v>
      </c>
      <c r="L662" s="140">
        <v>305</v>
      </c>
      <c r="M662" s="141" t="s">
        <v>5270</v>
      </c>
      <c r="N662" s="142" t="str">
        <f>IF(Caja_Arequipa[[#This Row],[TIPO DE R.]]="R","001-"&amp;12002+B662,N661)</f>
        <v>001-12590</v>
      </c>
      <c r="O662" s="142" t="str">
        <f>"PEN"</f>
        <v>PEN</v>
      </c>
      <c r="P662" s="137">
        <v>40</v>
      </c>
      <c r="Q662" s="137"/>
      <c r="R662" s="137">
        <f>+IF(OR($G662="SALDO",$G662="INGRESO"),$Q662,0)</f>
        <v>0</v>
      </c>
      <c r="S662" s="137">
        <f>+IF($G662="EGRESO",$Q662,0)</f>
        <v>0</v>
      </c>
      <c r="T662" s="137">
        <f>IFERROR(IF(G662="SALDO",R662,T661+R662-S662),0)</f>
        <v>97.299999999998931</v>
      </c>
      <c r="U662" s="143" t="s">
        <v>1081</v>
      </c>
      <c r="V662" s="143"/>
      <c r="W662" s="137"/>
      <c r="X662" s="137"/>
      <c r="Y662" s="137"/>
      <c r="Z662" s="137"/>
      <c r="AA662" s="137"/>
      <c r="AB662" s="137"/>
      <c r="AC662" s="137" t="str">
        <f>IF(Caja_Arequipa[[#This Row],[FECHA]]&gt;0,TEXT(Caja_Arequipa[[#This Row],[FECHA]],"mmmm"),0)</f>
        <v>Agosto</v>
      </c>
    </row>
    <row r="663" spans="2:29" s="144" customFormat="1" ht="24" x14ac:dyDescent="0.3">
      <c r="B663" s="135" t="str">
        <f>IF(Caja_Arequipa[[#This Row],[TIPO DE R.]]="R",COUNTIFS($D$4:$D662,"R")+1,"")</f>
        <v/>
      </c>
      <c r="C663" s="136" t="str">
        <f>"C-Tesoreria"</f>
        <v>C-Tesoreria</v>
      </c>
      <c r="D663" s="137" t="s">
        <v>1101</v>
      </c>
      <c r="E663" s="138">
        <v>45887</v>
      </c>
      <c r="F663" s="139" t="s">
        <v>1082</v>
      </c>
      <c r="G663" s="139"/>
      <c r="H663" s="137"/>
      <c r="I663" s="140" t="s">
        <v>908</v>
      </c>
      <c r="J663" s="140" t="s">
        <v>55</v>
      </c>
      <c r="K663" s="140">
        <v>3</v>
      </c>
      <c r="L663" s="140">
        <v>304</v>
      </c>
      <c r="M663" s="141" t="s">
        <v>5270</v>
      </c>
      <c r="N663" s="142" t="str">
        <f>IF(Caja_Arequipa[[#This Row],[TIPO DE R.]]="R","001-"&amp;12002+B663,N662)</f>
        <v>001-12590</v>
      </c>
      <c r="O663" s="142" t="str">
        <f>"PEN"</f>
        <v>PEN</v>
      </c>
      <c r="P663" s="137">
        <v>30</v>
      </c>
      <c r="Q663" s="137"/>
      <c r="R663" s="137">
        <f>+IF(OR($G663="SALDO",$G663="INGRESO"),$Q663,0)</f>
        <v>0</v>
      </c>
      <c r="S663" s="137">
        <f>+IF($G663="EGRESO",$Q663,0)</f>
        <v>0</v>
      </c>
      <c r="T663" s="137">
        <f>IFERROR(IF(G663="SALDO",R663,T662+R663-S663),0)</f>
        <v>97.299999999998931</v>
      </c>
      <c r="U663" s="143" t="s">
        <v>1081</v>
      </c>
      <c r="V663" s="143"/>
      <c r="W663" s="137"/>
      <c r="X663" s="137"/>
      <c r="Y663" s="137"/>
      <c r="Z663" s="137"/>
      <c r="AA663" s="137"/>
      <c r="AB663" s="137"/>
      <c r="AC663" s="137" t="str">
        <f>IF(Caja_Arequipa[[#This Row],[FECHA]]&gt;0,TEXT(Caja_Arequipa[[#This Row],[FECHA]],"mmmm"),0)</f>
        <v>Agosto</v>
      </c>
    </row>
    <row r="664" spans="2:29" s="144" customFormat="1" ht="24" x14ac:dyDescent="0.3">
      <c r="B664" s="135" t="str">
        <f>IF(Caja_Arequipa[[#This Row],[TIPO DE R.]]="R",COUNTIFS($D$4:$D663,"R")+1,"")</f>
        <v/>
      </c>
      <c r="C664" s="136" t="str">
        <f>"C-Tesoreria"</f>
        <v>C-Tesoreria</v>
      </c>
      <c r="D664" s="137" t="s">
        <v>1101</v>
      </c>
      <c r="E664" s="138">
        <v>45887</v>
      </c>
      <c r="F664" s="139" t="s">
        <v>1082</v>
      </c>
      <c r="G664" s="139"/>
      <c r="H664" s="137"/>
      <c r="I664" s="140" t="s">
        <v>908</v>
      </c>
      <c r="J664" s="140" t="s">
        <v>55</v>
      </c>
      <c r="K664" s="140">
        <v>3</v>
      </c>
      <c r="L664" s="140">
        <v>303</v>
      </c>
      <c r="M664" s="141" t="s">
        <v>5270</v>
      </c>
      <c r="N664" s="142" t="str">
        <f>IF(Caja_Arequipa[[#This Row],[TIPO DE R.]]="R","001-"&amp;12002+B664,N663)</f>
        <v>001-12590</v>
      </c>
      <c r="O664" s="142" t="str">
        <f>"PEN"</f>
        <v>PEN</v>
      </c>
      <c r="P664" s="137">
        <v>30</v>
      </c>
      <c r="Q664" s="137"/>
      <c r="R664" s="137">
        <f>+IF(OR($G664="SALDO",$G664="INGRESO"),$Q664,0)</f>
        <v>0</v>
      </c>
      <c r="S664" s="137">
        <f>+IF($G664="EGRESO",$Q664,0)</f>
        <v>0</v>
      </c>
      <c r="T664" s="137">
        <f>IFERROR(IF(G664="SALDO",R664,T663+R664-S664),0)</f>
        <v>97.299999999998931</v>
      </c>
      <c r="U664" s="143" t="s">
        <v>1081</v>
      </c>
      <c r="V664" s="143"/>
      <c r="W664" s="137"/>
      <c r="X664" s="137"/>
      <c r="Y664" s="137"/>
      <c r="Z664" s="137"/>
      <c r="AA664" s="137"/>
      <c r="AB664" s="137"/>
      <c r="AC664" s="137" t="str">
        <f>IF(Caja_Arequipa[[#This Row],[FECHA]]&gt;0,TEXT(Caja_Arequipa[[#This Row],[FECHA]],"mmmm"),0)</f>
        <v>Agosto</v>
      </c>
    </row>
    <row r="665" spans="2:29" s="144" customFormat="1" ht="24" x14ac:dyDescent="0.3">
      <c r="B665" s="135">
        <f>IF(Caja_Arequipa[[#This Row],[TIPO DE R.]]="R",COUNTIFS($D$4:$D664,"R")+1,"")</f>
        <v>589</v>
      </c>
      <c r="C665" s="136" t="str">
        <f t="shared" si="100"/>
        <v>C-Tesoreria</v>
      </c>
      <c r="D665" s="137" t="s">
        <v>1074</v>
      </c>
      <c r="E665" s="138">
        <v>45889</v>
      </c>
      <c r="F665" s="139" t="s">
        <v>1082</v>
      </c>
      <c r="G665" s="139" t="s">
        <v>1079</v>
      </c>
      <c r="H665" s="137" t="s">
        <v>3562</v>
      </c>
      <c r="I665" s="140" t="s">
        <v>934</v>
      </c>
      <c r="J665" s="140" t="s">
        <v>55</v>
      </c>
      <c r="K665" s="140">
        <v>3</v>
      </c>
      <c r="L665" s="140">
        <v>301</v>
      </c>
      <c r="M665" s="141" t="s">
        <v>5271</v>
      </c>
      <c r="N665" s="142" t="str">
        <f>IF(Caja_Arequipa[[#This Row],[TIPO DE R.]]="R","001-"&amp;12002+B665,N664)</f>
        <v>001-12591</v>
      </c>
      <c r="O665" s="142" t="str">
        <f t="shared" si="101"/>
        <v>PEN</v>
      </c>
      <c r="P665" s="137"/>
      <c r="Q665" s="137">
        <v>25</v>
      </c>
      <c r="R665" s="137">
        <f t="shared" si="102"/>
        <v>0</v>
      </c>
      <c r="S665" s="137">
        <f t="shared" si="103"/>
        <v>25</v>
      </c>
      <c r="T665" s="137">
        <f>IFERROR(IF(G665="SALDO",R665,T664+R665-S665),0)</f>
        <v>72.299999999998931</v>
      </c>
      <c r="U665" s="143" t="s">
        <v>1081</v>
      </c>
      <c r="V665" s="143"/>
      <c r="W665" s="137"/>
      <c r="X665" s="137"/>
      <c r="Y665" s="137"/>
      <c r="Z665" s="137"/>
      <c r="AA665" s="137"/>
      <c r="AB665" s="137"/>
      <c r="AC665" s="137" t="str">
        <f>IF(Caja_Arequipa[[#This Row],[FECHA]]&gt;0,TEXT(Caja_Arequipa[[#This Row],[FECHA]],"mmmm"),0)</f>
        <v>Agosto</v>
      </c>
    </row>
    <row r="666" spans="2:29" s="144" customFormat="1" x14ac:dyDescent="0.3">
      <c r="B666" s="135">
        <f>IF(Caja_Arequipa[[#This Row],[TIPO DE R.]]="R",COUNTIFS($D$4:$D665,"R")+1,"")</f>
        <v>590</v>
      </c>
      <c r="C666" s="136" t="str">
        <f t="shared" si="100"/>
        <v>C-Tesoreria</v>
      </c>
      <c r="D666" s="137" t="s">
        <v>1074</v>
      </c>
      <c r="E666" s="138">
        <v>45890</v>
      </c>
      <c r="F666" s="139" t="s">
        <v>1082</v>
      </c>
      <c r="G666" s="139" t="s">
        <v>1079</v>
      </c>
      <c r="H666" s="137" t="s">
        <v>4912</v>
      </c>
      <c r="I666" s="140"/>
      <c r="J666" s="140"/>
      <c r="K666" s="140"/>
      <c r="L666" s="140"/>
      <c r="M666" s="141" t="s">
        <v>5272</v>
      </c>
      <c r="N666" s="142" t="str">
        <f>IF(Caja_Arequipa[[#This Row],[TIPO DE R.]]="R","001-"&amp;12002+B666,N665)</f>
        <v>001-12592</v>
      </c>
      <c r="O666" s="142" t="str">
        <f t="shared" si="101"/>
        <v>PEN</v>
      </c>
      <c r="P666" s="137"/>
      <c r="Q666" s="137">
        <v>44</v>
      </c>
      <c r="R666" s="137">
        <f t="shared" si="102"/>
        <v>0</v>
      </c>
      <c r="S666" s="137">
        <f t="shared" si="103"/>
        <v>44</v>
      </c>
      <c r="T666" s="137">
        <f t="shared" si="104"/>
        <v>28.299999999998931</v>
      </c>
      <c r="U666" s="143" t="s">
        <v>1081</v>
      </c>
      <c r="V666" s="143"/>
      <c r="W666" s="137"/>
      <c r="X666" s="137">
        <v>50</v>
      </c>
      <c r="Y666" s="137"/>
      <c r="Z666" s="137"/>
      <c r="AA666" s="137"/>
      <c r="AB666" s="137"/>
      <c r="AC666" s="137" t="str">
        <f>IF(Caja_Arequipa[[#This Row],[FECHA]]&gt;0,TEXT(Caja_Arequipa[[#This Row],[FECHA]],"mmmm"),0)</f>
        <v>Agosto</v>
      </c>
    </row>
    <row r="667" spans="2:29" s="144" customFormat="1" ht="24" x14ac:dyDescent="0.3">
      <c r="B667" s="135" t="str">
        <f>IF(Caja_Arequipa[[#This Row],[TIPO DE R.]]="R",COUNTIFS($D$4:$D666,"R")+1,"")</f>
        <v/>
      </c>
      <c r="C667" s="136" t="str">
        <f t="shared" ref="C667:C673" si="105">"C-Tesoreria"</f>
        <v>C-Tesoreria</v>
      </c>
      <c r="D667" s="137" t="s">
        <v>1101</v>
      </c>
      <c r="E667" s="138">
        <v>45890</v>
      </c>
      <c r="F667" s="139" t="s">
        <v>1082</v>
      </c>
      <c r="G667" s="139"/>
      <c r="H667" s="137"/>
      <c r="I667" s="140" t="s">
        <v>908</v>
      </c>
      <c r="J667" s="140" t="s">
        <v>55</v>
      </c>
      <c r="K667" s="140">
        <v>3</v>
      </c>
      <c r="L667" s="140">
        <v>302</v>
      </c>
      <c r="M667" s="141" t="s">
        <v>5272</v>
      </c>
      <c r="N667" s="142" t="str">
        <f>IF(Caja_Arequipa[[#This Row],[TIPO DE R.]]="R","001-"&amp;12002+B667,N666)</f>
        <v>001-12592</v>
      </c>
      <c r="O667" s="142" t="str">
        <f t="shared" ref="O667:O673" si="106">"PEN"</f>
        <v>PEN</v>
      </c>
      <c r="P667" s="137">
        <v>34</v>
      </c>
      <c r="Q667" s="137"/>
      <c r="R667" s="137">
        <f t="shared" ref="R667:R673" si="107">+IF(OR($G667="SALDO",$G667="INGRESO"),$Q667,0)</f>
        <v>0</v>
      </c>
      <c r="S667" s="137">
        <f t="shared" ref="S667:S673" si="108">+IF($G667="EGRESO",$Q667,0)</f>
        <v>0</v>
      </c>
      <c r="T667" s="137">
        <f t="shared" ref="T667:T673" si="109">IFERROR(IF(G667="SALDO",R667,T666+R667-S667),0)</f>
        <v>28.299999999998931</v>
      </c>
      <c r="U667" s="143" t="s">
        <v>1081</v>
      </c>
      <c r="V667" s="143"/>
      <c r="W667" s="137"/>
      <c r="X667" s="137"/>
      <c r="Y667" s="137"/>
      <c r="Z667" s="137"/>
      <c r="AA667" s="137"/>
      <c r="AB667" s="137"/>
      <c r="AC667" s="137" t="str">
        <f>IF(Caja_Arequipa[[#This Row],[FECHA]]&gt;0,TEXT(Caja_Arequipa[[#This Row],[FECHA]],"mmmm"),0)</f>
        <v>Agosto</v>
      </c>
    </row>
    <row r="668" spans="2:29" s="144" customFormat="1" ht="24" x14ac:dyDescent="0.3">
      <c r="B668" s="135" t="str">
        <f>IF(Caja_Arequipa[[#This Row],[TIPO DE R.]]="R",COUNTIFS($D$4:$D667,"R")+1,"")</f>
        <v/>
      </c>
      <c r="C668" s="136" t="str">
        <f t="shared" si="105"/>
        <v>C-Tesoreria</v>
      </c>
      <c r="D668" s="137" t="s">
        <v>1101</v>
      </c>
      <c r="E668" s="138">
        <v>45890</v>
      </c>
      <c r="F668" s="139" t="s">
        <v>1082</v>
      </c>
      <c r="G668" s="139"/>
      <c r="H668" s="137"/>
      <c r="I668" s="140" t="s">
        <v>1025</v>
      </c>
      <c r="J668" s="140" t="s">
        <v>14</v>
      </c>
      <c r="K668" s="140" t="s">
        <v>1521</v>
      </c>
      <c r="L668" s="140">
        <v>4562</v>
      </c>
      <c r="M668" s="141" t="s">
        <v>5272</v>
      </c>
      <c r="N668" s="142" t="str">
        <f>IF(Caja_Arequipa[[#This Row],[TIPO DE R.]]="R","001-"&amp;12002+B668,N667)</f>
        <v>001-12592</v>
      </c>
      <c r="O668" s="142" t="str">
        <f t="shared" si="106"/>
        <v>PEN</v>
      </c>
      <c r="P668" s="137">
        <v>10</v>
      </c>
      <c r="Q668" s="137"/>
      <c r="R668" s="137">
        <f t="shared" si="107"/>
        <v>0</v>
      </c>
      <c r="S668" s="137">
        <f t="shared" si="108"/>
        <v>0</v>
      </c>
      <c r="T668" s="137">
        <f t="shared" si="109"/>
        <v>28.299999999998931</v>
      </c>
      <c r="U668" s="143" t="s">
        <v>1081</v>
      </c>
      <c r="V668" s="143"/>
      <c r="W668" s="137"/>
      <c r="X668" s="137"/>
      <c r="Y668" s="137"/>
      <c r="Z668" s="137"/>
      <c r="AA668" s="137"/>
      <c r="AB668" s="137"/>
      <c r="AC668" s="137" t="str">
        <f>IF(Caja_Arequipa[[#This Row],[FECHA]]&gt;0,TEXT(Caja_Arequipa[[#This Row],[FECHA]],"mmmm"),0)</f>
        <v>Agosto</v>
      </c>
    </row>
    <row r="669" spans="2:29" s="183" customFormat="1" x14ac:dyDescent="0.3">
      <c r="B669" s="174">
        <f>IF(Caja_Arequipa[[#This Row],[TIPO DE R.]]="R",COUNTIFS($D$4:$D668,"R")+1,"")</f>
        <v>591</v>
      </c>
      <c r="C669" s="175" t="str">
        <f t="shared" si="105"/>
        <v>C-Tesoreria</v>
      </c>
      <c r="D669" s="176" t="s">
        <v>1074</v>
      </c>
      <c r="E669" s="177">
        <v>45891</v>
      </c>
      <c r="F669" s="178" t="s">
        <v>3883</v>
      </c>
      <c r="G669" s="178" t="s">
        <v>1087</v>
      </c>
      <c r="H669" s="176" t="s">
        <v>3353</v>
      </c>
      <c r="I669" s="179"/>
      <c r="J669" s="179"/>
      <c r="K669" s="179"/>
      <c r="L669" s="179"/>
      <c r="M669" s="180" t="s">
        <v>4394</v>
      </c>
      <c r="N669" s="181" t="str">
        <f>IF(Caja_Arequipa[[#This Row],[TIPO DE R.]]="R","001-"&amp;12002+B669,N668)</f>
        <v>001-12593</v>
      </c>
      <c r="O669" s="181" t="str">
        <f t="shared" si="106"/>
        <v>PEN</v>
      </c>
      <c r="P669" s="176"/>
      <c r="Q669" s="176">
        <v>2200</v>
      </c>
      <c r="R669" s="176">
        <f t="shared" si="107"/>
        <v>2200</v>
      </c>
      <c r="S669" s="176">
        <f t="shared" si="108"/>
        <v>0</v>
      </c>
      <c r="T669" s="176">
        <f t="shared" si="109"/>
        <v>2228.2999999999988</v>
      </c>
      <c r="U669" s="182" t="s">
        <v>1081</v>
      </c>
      <c r="V669" s="182"/>
      <c r="W669" s="176"/>
      <c r="X669" s="176"/>
      <c r="Y669" s="176"/>
      <c r="Z669" s="176"/>
      <c r="AA669" s="176"/>
      <c r="AB669" s="176"/>
      <c r="AC669" s="176" t="str">
        <f>IF(Caja_Arequipa[[#This Row],[FECHA]]&gt;0,TEXT(Caja_Arequipa[[#This Row],[FECHA]],"mmmm"),0)</f>
        <v>Agosto</v>
      </c>
    </row>
    <row r="670" spans="2:29" ht="24" x14ac:dyDescent="0.3">
      <c r="B670" s="2">
        <f>IF(Caja_Arequipa[[#This Row],[TIPO DE R.]]="R",COUNTIFS($D$4:$D669,"R")+1,"")</f>
        <v>592</v>
      </c>
      <c r="C670" s="19" t="str">
        <f t="shared" si="105"/>
        <v>C-Tesoreria</v>
      </c>
      <c r="D670" s="3" t="s">
        <v>1074</v>
      </c>
      <c r="E670" s="14">
        <v>45891</v>
      </c>
      <c r="F670" s="5" t="s">
        <v>1082</v>
      </c>
      <c r="G670" s="5" t="s">
        <v>1079</v>
      </c>
      <c r="H670" s="3" t="s">
        <v>4305</v>
      </c>
      <c r="I670" s="6" t="s">
        <v>850</v>
      </c>
      <c r="J670" s="6" t="s">
        <v>55</v>
      </c>
      <c r="K670" s="6">
        <v>3</v>
      </c>
      <c r="L670" s="6">
        <v>316</v>
      </c>
      <c r="M670" s="7" t="s">
        <v>7965</v>
      </c>
      <c r="N670" s="8" t="str">
        <f>IF(Caja_Arequipa[[#This Row],[TIPO DE R.]]="R","001-"&amp;12002+B670,N669)</f>
        <v>001-12594</v>
      </c>
      <c r="O670" s="8" t="str">
        <f t="shared" si="106"/>
        <v>PEN</v>
      </c>
      <c r="P670" s="3"/>
      <c r="Q670" s="3">
        <v>25</v>
      </c>
      <c r="R670" s="3">
        <f t="shared" si="107"/>
        <v>0</v>
      </c>
      <c r="S670" s="3">
        <f t="shared" si="108"/>
        <v>25</v>
      </c>
      <c r="T670" s="3">
        <f t="shared" si="109"/>
        <v>2203.2999999999988</v>
      </c>
      <c r="U670" s="24"/>
      <c r="V670" s="24"/>
      <c r="W670" s="3"/>
      <c r="X670" s="3"/>
      <c r="Y670" s="3"/>
      <c r="Z670" s="3"/>
      <c r="AA670" s="3"/>
      <c r="AB670" s="3"/>
      <c r="AC670" s="3" t="str">
        <f>IF(Caja_Arequipa[[#This Row],[FECHA]]&gt;0,TEXT(Caja_Arequipa[[#This Row],[FECHA]],"mmmm"),0)</f>
        <v>Agosto</v>
      </c>
    </row>
    <row r="671" spans="2:29" x14ac:dyDescent="0.3">
      <c r="B671" s="2">
        <f>IF(Caja_Arequipa[[#This Row],[TIPO DE R.]]="R",COUNTIFS($D$4:$D670,"R")+1,"")</f>
        <v>593</v>
      </c>
      <c r="C671" s="19" t="str">
        <f t="shared" si="105"/>
        <v>C-Tesoreria</v>
      </c>
      <c r="D671" s="3" t="s">
        <v>1074</v>
      </c>
      <c r="E671" s="14">
        <v>45891</v>
      </c>
      <c r="F671" s="5" t="s">
        <v>1075</v>
      </c>
      <c r="G671" s="5" t="s">
        <v>1079</v>
      </c>
      <c r="H671" s="3" t="s">
        <v>4501</v>
      </c>
      <c r="I671" s="6"/>
      <c r="J671" s="6"/>
      <c r="K671" s="6"/>
      <c r="L671" s="6"/>
      <c r="M671" s="7" t="s">
        <v>5273</v>
      </c>
      <c r="N671" s="8" t="str">
        <f>IF(Caja_Arequipa[[#This Row],[TIPO DE R.]]="R","001-"&amp;12002+B671,N670)</f>
        <v>001-12595</v>
      </c>
      <c r="O671" s="8" t="str">
        <f t="shared" si="106"/>
        <v>PEN</v>
      </c>
      <c r="P671" s="3"/>
      <c r="Q671" s="3">
        <v>40</v>
      </c>
      <c r="R671" s="3">
        <f t="shared" si="107"/>
        <v>0</v>
      </c>
      <c r="S671" s="3">
        <f t="shared" si="108"/>
        <v>40</v>
      </c>
      <c r="T671" s="3">
        <f t="shared" si="109"/>
        <v>2163.2999999999988</v>
      </c>
      <c r="U671" s="24"/>
      <c r="V671" s="24"/>
      <c r="W671" s="3"/>
      <c r="X671" s="3"/>
      <c r="Y671" s="3"/>
      <c r="Z671" s="3"/>
      <c r="AA671" s="3"/>
      <c r="AB671" s="3"/>
      <c r="AC671" s="3" t="str">
        <f>IF(Caja_Arequipa[[#This Row],[FECHA]]&gt;0,TEXT(Caja_Arequipa[[#This Row],[FECHA]],"mmmm"),0)</f>
        <v>Agosto</v>
      </c>
    </row>
    <row r="672" spans="2:29" ht="36" x14ac:dyDescent="0.3">
      <c r="B672" s="2" t="str">
        <f>IF(Caja_Arequipa[[#This Row],[TIPO DE R.]]="R",COUNTIFS($D$4:$D671,"R")+1,"")</f>
        <v/>
      </c>
      <c r="C672" s="19" t="str">
        <f t="shared" si="105"/>
        <v>C-Tesoreria</v>
      </c>
      <c r="D672" s="3" t="s">
        <v>1101</v>
      </c>
      <c r="E672" s="14">
        <v>45891</v>
      </c>
      <c r="F672" s="5" t="s">
        <v>1075</v>
      </c>
      <c r="G672" s="5"/>
      <c r="H672" s="3"/>
      <c r="I672" s="6" t="s">
        <v>624</v>
      </c>
      <c r="J672" s="6" t="s">
        <v>14</v>
      </c>
      <c r="K672" s="6" t="s">
        <v>1097</v>
      </c>
      <c r="L672" s="6">
        <v>16740</v>
      </c>
      <c r="M672" s="7" t="s">
        <v>5274</v>
      </c>
      <c r="N672" s="8" t="str">
        <f>IF(Caja_Arequipa[[#This Row],[TIPO DE R.]]="R","001-"&amp;12002+B672,N671)</f>
        <v>001-12595</v>
      </c>
      <c r="O672" s="8" t="str">
        <f t="shared" si="106"/>
        <v>PEN</v>
      </c>
      <c r="P672" s="3">
        <v>20</v>
      </c>
      <c r="Q672" s="3"/>
      <c r="R672" s="3">
        <f t="shared" si="107"/>
        <v>0</v>
      </c>
      <c r="S672" s="3">
        <f t="shared" si="108"/>
        <v>0</v>
      </c>
      <c r="T672" s="3">
        <f t="shared" si="109"/>
        <v>2163.2999999999988</v>
      </c>
      <c r="U672" s="24"/>
      <c r="V672" s="24"/>
      <c r="W672" s="3"/>
      <c r="X672" s="3"/>
      <c r="Y672" s="3"/>
      <c r="Z672" s="3"/>
      <c r="AA672" s="3"/>
      <c r="AB672" s="3"/>
      <c r="AC672" s="3" t="str">
        <f>IF(Caja_Arequipa[[#This Row],[FECHA]]&gt;0,TEXT(Caja_Arequipa[[#This Row],[FECHA]],"mmmm"),0)</f>
        <v>Agosto</v>
      </c>
    </row>
    <row r="673" spans="2:29" ht="36" x14ac:dyDescent="0.3">
      <c r="B673" s="2" t="str">
        <f>IF(Caja_Arequipa[[#This Row],[TIPO DE R.]]="R",COUNTIFS($D$4:$D672,"R")+1,"")</f>
        <v/>
      </c>
      <c r="C673" s="19" t="str">
        <f t="shared" si="105"/>
        <v>C-Tesoreria</v>
      </c>
      <c r="D673" s="3" t="s">
        <v>1101</v>
      </c>
      <c r="E673" s="14">
        <v>45891</v>
      </c>
      <c r="F673" s="5" t="s">
        <v>1075</v>
      </c>
      <c r="G673" s="5"/>
      <c r="H673" s="3"/>
      <c r="I673" s="6" t="s">
        <v>624</v>
      </c>
      <c r="J673" s="6" t="s">
        <v>14</v>
      </c>
      <c r="K673" s="6" t="s">
        <v>1097</v>
      </c>
      <c r="L673" s="6">
        <v>16705</v>
      </c>
      <c r="M673" s="7" t="s">
        <v>5275</v>
      </c>
      <c r="N673" s="8" t="str">
        <f>IF(Caja_Arequipa[[#This Row],[TIPO DE R.]]="R","001-"&amp;12002+B673,N672)</f>
        <v>001-12595</v>
      </c>
      <c r="O673" s="8" t="str">
        <f t="shared" si="106"/>
        <v>PEN</v>
      </c>
      <c r="P673" s="3">
        <v>20</v>
      </c>
      <c r="Q673" s="3"/>
      <c r="R673" s="3">
        <f t="shared" si="107"/>
        <v>0</v>
      </c>
      <c r="S673" s="3">
        <f t="shared" si="108"/>
        <v>0</v>
      </c>
      <c r="T673" s="3">
        <f t="shared" si="109"/>
        <v>2163.2999999999988</v>
      </c>
      <c r="U673" s="24"/>
      <c r="V673" s="24"/>
      <c r="W673" s="3"/>
      <c r="X673" s="3"/>
      <c r="Y673" s="3"/>
      <c r="Z673" s="3"/>
      <c r="AA673" s="3"/>
      <c r="AB673" s="3"/>
      <c r="AC673" s="3" t="str">
        <f>IF(Caja_Arequipa[[#This Row],[FECHA]]&gt;0,TEXT(Caja_Arequipa[[#This Row],[FECHA]],"mmmm"),0)</f>
        <v>Agosto</v>
      </c>
    </row>
    <row r="674" spans="2:29" x14ac:dyDescent="0.3">
      <c r="B674" s="2">
        <f>IF(Caja_Arequipa[[#This Row],[TIPO DE R.]]="R",COUNTIFS($D$4:$D673,"R")+1,"")</f>
        <v>594</v>
      </c>
      <c r="C674" s="19" t="str">
        <f t="shared" ref="C674:C676" si="110">"C-Tesoreria"</f>
        <v>C-Tesoreria</v>
      </c>
      <c r="D674" s="3" t="s">
        <v>1074</v>
      </c>
      <c r="E674" s="14">
        <v>45891</v>
      </c>
      <c r="F674" s="5" t="s">
        <v>1075</v>
      </c>
      <c r="G674" s="5" t="s">
        <v>1079</v>
      </c>
      <c r="H674" s="3" t="s">
        <v>4501</v>
      </c>
      <c r="I674" s="6"/>
      <c r="J674" s="6"/>
      <c r="K674" s="6"/>
      <c r="L674" s="6"/>
      <c r="M674" s="7" t="s">
        <v>5276</v>
      </c>
      <c r="N674" s="8" t="str">
        <f>IF(Caja_Arequipa[[#This Row],[TIPO DE R.]]="R","001-"&amp;12002+B674,N673)</f>
        <v>001-12596</v>
      </c>
      <c r="O674" s="8" t="str">
        <f t="shared" ref="O674:O676" si="111">"PEN"</f>
        <v>PEN</v>
      </c>
      <c r="P674" s="3"/>
      <c r="Q674" s="3">
        <v>60</v>
      </c>
      <c r="R674" s="3">
        <f t="shared" ref="R674:R676" si="112">+IF(OR($G674="SALDO",$G674="INGRESO"),$Q674,0)</f>
        <v>0</v>
      </c>
      <c r="S674" s="3">
        <f t="shared" ref="S674:S676" si="113">+IF($G674="EGRESO",$Q674,0)</f>
        <v>60</v>
      </c>
      <c r="T674" s="3">
        <f t="shared" ref="T674:T676" si="114">IFERROR(IF(G674="SALDO",R674,T673+R674-S674),0)</f>
        <v>2103.2999999999988</v>
      </c>
      <c r="U674" s="24"/>
      <c r="V674" s="24"/>
      <c r="W674" s="3"/>
      <c r="X674" s="3"/>
      <c r="Y674" s="3"/>
      <c r="Z674" s="3"/>
      <c r="AA674" s="3"/>
      <c r="AB674" s="3"/>
      <c r="AC674" s="3" t="str">
        <f>IF(Caja_Arequipa[[#This Row],[FECHA]]&gt;0,TEXT(Caja_Arequipa[[#This Row],[FECHA]],"mmmm"),0)</f>
        <v>Agosto</v>
      </c>
    </row>
    <row r="675" spans="2:29" ht="36" x14ac:dyDescent="0.3">
      <c r="B675" s="2" t="str">
        <f>IF(Caja_Arequipa[[#This Row],[TIPO DE R.]]="R",COUNTIFS($D$4:$D674,"R")+1,"")</f>
        <v/>
      </c>
      <c r="C675" s="19" t="str">
        <f t="shared" si="110"/>
        <v>C-Tesoreria</v>
      </c>
      <c r="D675" s="3" t="s">
        <v>1101</v>
      </c>
      <c r="E675" s="14">
        <v>45891</v>
      </c>
      <c r="F675" s="5" t="s">
        <v>1075</v>
      </c>
      <c r="G675" s="5"/>
      <c r="H675" s="3"/>
      <c r="I675" s="6" t="s">
        <v>624</v>
      </c>
      <c r="J675" s="6" t="s">
        <v>14</v>
      </c>
      <c r="K675" s="6" t="s">
        <v>1097</v>
      </c>
      <c r="L675" s="6">
        <v>16965</v>
      </c>
      <c r="M675" s="7" t="s">
        <v>5277</v>
      </c>
      <c r="N675" s="8" t="str">
        <f>IF(Caja_Arequipa[[#This Row],[TIPO DE R.]]="R","001-"&amp;12002+B675,N674)</f>
        <v>001-12596</v>
      </c>
      <c r="O675" s="8" t="str">
        <f t="shared" si="111"/>
        <v>PEN</v>
      </c>
      <c r="P675" s="3">
        <v>20</v>
      </c>
      <c r="Q675" s="3"/>
      <c r="R675" s="3">
        <f t="shared" si="112"/>
        <v>0</v>
      </c>
      <c r="S675" s="3">
        <f t="shared" si="113"/>
        <v>0</v>
      </c>
      <c r="T675" s="3">
        <f t="shared" si="114"/>
        <v>2103.2999999999988</v>
      </c>
      <c r="U675" s="24"/>
      <c r="V675" s="24"/>
      <c r="W675" s="3"/>
      <c r="X675" s="3"/>
      <c r="Y675" s="3"/>
      <c r="Z675" s="3"/>
      <c r="AA675" s="3"/>
      <c r="AB675" s="3"/>
      <c r="AC675" s="3" t="str">
        <f>IF(Caja_Arequipa[[#This Row],[FECHA]]&gt;0,TEXT(Caja_Arequipa[[#This Row],[FECHA]],"mmmm"),0)</f>
        <v>Agosto</v>
      </c>
    </row>
    <row r="676" spans="2:29" ht="36" x14ac:dyDescent="0.3">
      <c r="B676" s="2" t="str">
        <f>IF(Caja_Arequipa[[#This Row],[TIPO DE R.]]="R",COUNTIFS($D$4:$D675,"R")+1,"")</f>
        <v/>
      </c>
      <c r="C676" s="19" t="str">
        <f t="shared" si="110"/>
        <v>C-Tesoreria</v>
      </c>
      <c r="D676" s="3" t="s">
        <v>1101</v>
      </c>
      <c r="E676" s="14">
        <v>45891</v>
      </c>
      <c r="F676" s="5" t="s">
        <v>1075</v>
      </c>
      <c r="G676" s="5"/>
      <c r="H676" s="3"/>
      <c r="I676" s="6" t="s">
        <v>624</v>
      </c>
      <c r="J676" s="6" t="s">
        <v>14</v>
      </c>
      <c r="K676" s="6" t="s">
        <v>1097</v>
      </c>
      <c r="L676" s="6">
        <v>17087</v>
      </c>
      <c r="M676" s="7" t="s">
        <v>5278</v>
      </c>
      <c r="N676" s="8" t="str">
        <f>IF(Caja_Arequipa[[#This Row],[TIPO DE R.]]="R","001-"&amp;12002+B676,N675)</f>
        <v>001-12596</v>
      </c>
      <c r="O676" s="8" t="str">
        <f t="shared" si="111"/>
        <v>PEN</v>
      </c>
      <c r="P676" s="3">
        <v>20</v>
      </c>
      <c r="Q676" s="3"/>
      <c r="R676" s="3">
        <f t="shared" si="112"/>
        <v>0</v>
      </c>
      <c r="S676" s="3">
        <f t="shared" si="113"/>
        <v>0</v>
      </c>
      <c r="T676" s="3">
        <f t="shared" si="114"/>
        <v>2103.2999999999988</v>
      </c>
      <c r="U676" s="24"/>
      <c r="V676" s="24"/>
      <c r="W676" s="3"/>
      <c r="X676" s="3"/>
      <c r="Y676" s="3"/>
      <c r="Z676" s="3"/>
      <c r="AA676" s="3"/>
      <c r="AB676" s="3"/>
      <c r="AC676" s="3" t="str">
        <f>IF(Caja_Arequipa[[#This Row],[FECHA]]&gt;0,TEXT(Caja_Arequipa[[#This Row],[FECHA]],"mmmm"),0)</f>
        <v>Agosto</v>
      </c>
    </row>
    <row r="677" spans="2:29" ht="36" x14ac:dyDescent="0.3">
      <c r="B677" s="2" t="str">
        <f>IF(Caja_Arequipa[[#This Row],[TIPO DE R.]]="R",COUNTIFS($D$4:$D676,"R")+1,"")</f>
        <v/>
      </c>
      <c r="C677" s="19" t="str">
        <f t="shared" ref="C677:C688" si="115">"C-Tesoreria"</f>
        <v>C-Tesoreria</v>
      </c>
      <c r="D677" s="3" t="s">
        <v>1101</v>
      </c>
      <c r="E677" s="14">
        <v>45891</v>
      </c>
      <c r="F677" s="5" t="s">
        <v>1075</v>
      </c>
      <c r="G677" s="5"/>
      <c r="H677" s="3"/>
      <c r="I677" s="6" t="s">
        <v>624</v>
      </c>
      <c r="J677" s="6" t="s">
        <v>14</v>
      </c>
      <c r="K677" s="6" t="s">
        <v>1097</v>
      </c>
      <c r="L677" s="6">
        <v>17138</v>
      </c>
      <c r="M677" s="7" t="s">
        <v>5279</v>
      </c>
      <c r="N677" s="8" t="str">
        <f>IF(Caja_Arequipa[[#This Row],[TIPO DE R.]]="R","001-"&amp;12002+B677,N676)</f>
        <v>001-12596</v>
      </c>
      <c r="O677" s="8" t="str">
        <f t="shared" ref="O677:O688" si="116">"PEN"</f>
        <v>PEN</v>
      </c>
      <c r="P677" s="3">
        <v>20</v>
      </c>
      <c r="Q677" s="3"/>
      <c r="R677" s="3">
        <f t="shared" ref="R677:R688" si="117">+IF(OR($G677="SALDO",$G677="INGRESO"),$Q677,0)</f>
        <v>0</v>
      </c>
      <c r="S677" s="3">
        <f t="shared" ref="S677:S688" si="118">+IF($G677="EGRESO",$Q677,0)</f>
        <v>0</v>
      </c>
      <c r="T677" s="3">
        <f t="shared" ref="T677:T688" si="119">IFERROR(IF(G677="SALDO",R677,T676+R677-S677),0)</f>
        <v>2103.2999999999988</v>
      </c>
      <c r="U677" s="24"/>
      <c r="V677" s="24"/>
      <c r="W677" s="3"/>
      <c r="X677" s="3"/>
      <c r="Y677" s="3"/>
      <c r="Z677" s="3"/>
      <c r="AA677" s="3"/>
      <c r="AB677" s="3"/>
      <c r="AC677" s="3" t="str">
        <f>IF(Caja_Arequipa[[#This Row],[FECHA]]&gt;0,TEXT(Caja_Arequipa[[#This Row],[FECHA]],"mmmm"),0)</f>
        <v>Agosto</v>
      </c>
    </row>
    <row r="678" spans="2:29" ht="24" x14ac:dyDescent="0.3">
      <c r="B678" s="2">
        <f>IF(Caja_Arequipa[[#This Row],[TIPO DE R.]]="R",COUNTIFS($D$4:$D677,"R")+1,"")</f>
        <v>595</v>
      </c>
      <c r="C678" s="19" t="str">
        <f t="shared" si="115"/>
        <v>C-Tesoreria</v>
      </c>
      <c r="D678" s="3" t="s">
        <v>1074</v>
      </c>
      <c r="E678" s="14">
        <v>45894</v>
      </c>
      <c r="F678" s="5" t="s">
        <v>1996</v>
      </c>
      <c r="G678" s="5" t="s">
        <v>1079</v>
      </c>
      <c r="H678" s="3" t="s">
        <v>4912</v>
      </c>
      <c r="I678" s="6" t="s">
        <v>908</v>
      </c>
      <c r="J678" s="6" t="s">
        <v>55</v>
      </c>
      <c r="K678" s="6">
        <v>3</v>
      </c>
      <c r="L678" s="6">
        <v>317</v>
      </c>
      <c r="M678" s="7" t="s">
        <v>7966</v>
      </c>
      <c r="N678" s="8" t="str">
        <f>IF(Caja_Arequipa[[#This Row],[TIPO DE R.]]="R","001-"&amp;12002+B678,N677)</f>
        <v>001-12597</v>
      </c>
      <c r="O678" s="8" t="str">
        <f t="shared" si="116"/>
        <v>PEN</v>
      </c>
      <c r="P678" s="13"/>
      <c r="Q678" s="13">
        <v>22</v>
      </c>
      <c r="R678" s="3">
        <f t="shared" si="117"/>
        <v>0</v>
      </c>
      <c r="S678" s="3">
        <f t="shared" si="118"/>
        <v>22</v>
      </c>
      <c r="T678" s="3">
        <f t="shared" si="119"/>
        <v>2081.2999999999988</v>
      </c>
      <c r="U678" s="24"/>
      <c r="V678" s="24"/>
      <c r="W678" s="3"/>
      <c r="X678" s="3"/>
      <c r="Y678" s="3"/>
      <c r="Z678" s="3"/>
      <c r="AA678" s="3"/>
      <c r="AB678" s="3"/>
      <c r="AC678" s="3" t="str">
        <f>IF(Caja_Arequipa[[#This Row],[FECHA]]&gt;0,TEXT(Caja_Arequipa[[#This Row],[FECHA]],"mmmm"),0)</f>
        <v>Agosto</v>
      </c>
    </row>
    <row r="679" spans="2:29" x14ac:dyDescent="0.3">
      <c r="B679" s="2">
        <f>IF(Caja_Arequipa[[#This Row],[TIPO DE R.]]="R",COUNTIFS($D$4:$D678,"R")+1,"")</f>
        <v>596</v>
      </c>
      <c r="C679" s="19" t="str">
        <f t="shared" si="115"/>
        <v>C-Tesoreria</v>
      </c>
      <c r="D679" s="3" t="s">
        <v>1074</v>
      </c>
      <c r="E679" s="14">
        <v>45895</v>
      </c>
      <c r="F679" s="5" t="s">
        <v>1082</v>
      </c>
      <c r="G679" s="5" t="s">
        <v>1079</v>
      </c>
      <c r="H679" s="3" t="s">
        <v>4433</v>
      </c>
      <c r="I679" s="6"/>
      <c r="J679" s="6"/>
      <c r="K679" s="6"/>
      <c r="L679" s="6"/>
      <c r="M679" s="7" t="s">
        <v>5091</v>
      </c>
      <c r="N679" s="8" t="str">
        <f>IF(Caja_Arequipa[[#This Row],[TIPO DE R.]]="R","001-"&amp;12002+B679,N678)</f>
        <v>001-12598</v>
      </c>
      <c r="O679" s="8" t="str">
        <f t="shared" si="116"/>
        <v>PEN</v>
      </c>
      <c r="P679" s="13"/>
      <c r="Q679" s="13">
        <v>86</v>
      </c>
      <c r="R679" s="3">
        <f t="shared" si="117"/>
        <v>0</v>
      </c>
      <c r="S679" s="3">
        <f t="shared" si="118"/>
        <v>86</v>
      </c>
      <c r="T679" s="3">
        <f t="shared" si="119"/>
        <v>1995.2999999999988</v>
      </c>
      <c r="U679" s="24"/>
      <c r="V679" s="24"/>
      <c r="W679" s="3"/>
      <c r="X679" s="3"/>
      <c r="Y679" s="3"/>
      <c r="Z679" s="3"/>
      <c r="AA679" s="3"/>
      <c r="AB679" s="3"/>
      <c r="AC679" s="3" t="str">
        <f>IF(Caja_Arequipa[[#This Row],[FECHA]]&gt;0,TEXT(Caja_Arequipa[[#This Row],[FECHA]],"mmmm"),0)</f>
        <v>Agosto</v>
      </c>
    </row>
    <row r="680" spans="2:29" x14ac:dyDescent="0.3">
      <c r="B680" s="2" t="str">
        <f>IF(Caja_Arequipa[[#This Row],[TIPO DE R.]]="R",COUNTIFS($D$4:$D679,"R")+1,"")</f>
        <v/>
      </c>
      <c r="C680" s="19" t="str">
        <f t="shared" si="115"/>
        <v>C-Tesoreria</v>
      </c>
      <c r="D680" s="3" t="s">
        <v>1101</v>
      </c>
      <c r="E680" s="14">
        <v>45895</v>
      </c>
      <c r="F680" s="5" t="s">
        <v>1082</v>
      </c>
      <c r="G680" s="5"/>
      <c r="H680" s="3"/>
      <c r="I680" s="6" t="s">
        <v>919</v>
      </c>
      <c r="J680" s="6" t="s">
        <v>14</v>
      </c>
      <c r="K680" s="6" t="s">
        <v>5244</v>
      </c>
      <c r="L680" s="6">
        <v>1814973</v>
      </c>
      <c r="M680" s="7" t="s">
        <v>5091</v>
      </c>
      <c r="N680" s="8" t="str">
        <f>IF(Caja_Arequipa[[#This Row],[TIPO DE R.]]="R","001-"&amp;12002+B680,N679)</f>
        <v>001-12598</v>
      </c>
      <c r="O680" s="8" t="str">
        <f t="shared" si="116"/>
        <v>PEN</v>
      </c>
      <c r="P680" s="13">
        <v>8</v>
      </c>
      <c r="Q680" s="13"/>
      <c r="R680" s="3">
        <f t="shared" si="117"/>
        <v>0</v>
      </c>
      <c r="S680" s="3">
        <f t="shared" si="118"/>
        <v>0</v>
      </c>
      <c r="T680" s="3">
        <f t="shared" si="119"/>
        <v>1995.2999999999988</v>
      </c>
      <c r="U680" s="24"/>
      <c r="V680" s="24"/>
      <c r="W680" s="3"/>
      <c r="X680" s="3"/>
      <c r="Y680" s="3"/>
      <c r="Z680" s="3"/>
      <c r="AA680" s="3"/>
      <c r="AB680" s="3"/>
      <c r="AC680" s="3" t="str">
        <f>IF(Caja_Arequipa[[#This Row],[FECHA]]&gt;0,TEXT(Caja_Arequipa[[#This Row],[FECHA]],"mmmm"),0)</f>
        <v>Agosto</v>
      </c>
    </row>
    <row r="681" spans="2:29" x14ac:dyDescent="0.3">
      <c r="B681" s="2" t="str">
        <f>IF(Caja_Arequipa[[#This Row],[TIPO DE R.]]="R",COUNTIFS($D$4:$D680,"R")+1,"")</f>
        <v/>
      </c>
      <c r="C681" s="19" t="str">
        <f t="shared" si="115"/>
        <v>C-Tesoreria</v>
      </c>
      <c r="D681" s="3" t="s">
        <v>1101</v>
      </c>
      <c r="E681" s="14">
        <v>45895</v>
      </c>
      <c r="F681" s="5" t="s">
        <v>1082</v>
      </c>
      <c r="G681" s="5"/>
      <c r="H681" s="3"/>
      <c r="I681" s="6" t="s">
        <v>919</v>
      </c>
      <c r="J681" s="6" t="s">
        <v>14</v>
      </c>
      <c r="K681" s="6" t="s">
        <v>5243</v>
      </c>
      <c r="L681" s="6">
        <v>2441872</v>
      </c>
      <c r="M681" s="7" t="s">
        <v>5091</v>
      </c>
      <c r="N681" s="8" t="str">
        <f>IF(Caja_Arequipa[[#This Row],[TIPO DE R.]]="R","001-"&amp;12002+B681,N680)</f>
        <v>001-12598</v>
      </c>
      <c r="O681" s="8" t="str">
        <f t="shared" si="116"/>
        <v>PEN</v>
      </c>
      <c r="P681" s="13">
        <v>8</v>
      </c>
      <c r="Q681" s="13"/>
      <c r="R681" s="3">
        <f t="shared" si="117"/>
        <v>0</v>
      </c>
      <c r="S681" s="3">
        <f t="shared" si="118"/>
        <v>0</v>
      </c>
      <c r="T681" s="3">
        <f t="shared" si="119"/>
        <v>1995.2999999999988</v>
      </c>
      <c r="U681" s="24"/>
      <c r="V681" s="24"/>
      <c r="W681" s="3"/>
      <c r="X681" s="3"/>
      <c r="Y681" s="3"/>
      <c r="Z681" s="3"/>
      <c r="AA681" s="3"/>
      <c r="AB681" s="3"/>
      <c r="AC681" s="3" t="str">
        <f>IF(Caja_Arequipa[[#This Row],[FECHA]]&gt;0,TEXT(Caja_Arequipa[[#This Row],[FECHA]],"mmmm"),0)</f>
        <v>Agosto</v>
      </c>
    </row>
    <row r="682" spans="2:29" x14ac:dyDescent="0.3">
      <c r="B682" s="2" t="str">
        <f>IF(Caja_Arequipa[[#This Row],[TIPO DE R.]]="R",COUNTIFS($D$4:$D681,"R")+1,"")</f>
        <v/>
      </c>
      <c r="C682" s="19" t="str">
        <f t="shared" si="115"/>
        <v>C-Tesoreria</v>
      </c>
      <c r="D682" s="3" t="s">
        <v>1101</v>
      </c>
      <c r="E682" s="14">
        <v>45895</v>
      </c>
      <c r="F682" s="5" t="s">
        <v>1082</v>
      </c>
      <c r="G682" s="5"/>
      <c r="H682" s="3"/>
      <c r="I682" s="6" t="s">
        <v>919</v>
      </c>
      <c r="J682" s="6" t="s">
        <v>14</v>
      </c>
      <c r="K682" s="6" t="s">
        <v>5243</v>
      </c>
      <c r="L682" s="6">
        <v>2433524</v>
      </c>
      <c r="M682" s="7" t="s">
        <v>5091</v>
      </c>
      <c r="N682" s="8" t="str">
        <f>IF(Caja_Arequipa[[#This Row],[TIPO DE R.]]="R","001-"&amp;12002+B682,N681)</f>
        <v>001-12598</v>
      </c>
      <c r="O682" s="8" t="str">
        <f t="shared" si="116"/>
        <v>PEN</v>
      </c>
      <c r="P682" s="13">
        <v>8</v>
      </c>
      <c r="Q682" s="13"/>
      <c r="R682" s="3">
        <f t="shared" si="117"/>
        <v>0</v>
      </c>
      <c r="S682" s="3">
        <f t="shared" si="118"/>
        <v>0</v>
      </c>
      <c r="T682" s="3">
        <f t="shared" si="119"/>
        <v>1995.2999999999988</v>
      </c>
      <c r="U682" s="24"/>
      <c r="V682" s="24"/>
      <c r="W682" s="3"/>
      <c r="X682" s="3"/>
      <c r="Y682" s="3"/>
      <c r="Z682" s="3"/>
      <c r="AA682" s="3"/>
      <c r="AB682" s="3"/>
      <c r="AC682" s="3" t="str">
        <f>IF(Caja_Arequipa[[#This Row],[FECHA]]&gt;0,TEXT(Caja_Arequipa[[#This Row],[FECHA]],"mmmm"),0)</f>
        <v>Agosto</v>
      </c>
    </row>
    <row r="683" spans="2:29" x14ac:dyDescent="0.3">
      <c r="B683" s="2" t="str">
        <f>IF(Caja_Arequipa[[#This Row],[TIPO DE R.]]="R",COUNTIFS($D$4:$D682,"R")+1,"")</f>
        <v/>
      </c>
      <c r="C683" s="19" t="str">
        <f t="shared" si="115"/>
        <v>C-Tesoreria</v>
      </c>
      <c r="D683" s="3" t="s">
        <v>1101</v>
      </c>
      <c r="E683" s="14">
        <v>45895</v>
      </c>
      <c r="F683" s="5" t="s">
        <v>1082</v>
      </c>
      <c r="G683" s="5"/>
      <c r="H683" s="3"/>
      <c r="I683" s="6" t="s">
        <v>919</v>
      </c>
      <c r="J683" s="6" t="s">
        <v>14</v>
      </c>
      <c r="K683" s="6" t="s">
        <v>5242</v>
      </c>
      <c r="L683" s="6">
        <v>2151336</v>
      </c>
      <c r="M683" s="7" t="s">
        <v>5091</v>
      </c>
      <c r="N683" s="8" t="str">
        <f>IF(Caja_Arequipa[[#This Row],[TIPO DE R.]]="R","001-"&amp;12002+B683,N682)</f>
        <v>001-12598</v>
      </c>
      <c r="O683" s="8" t="str">
        <f t="shared" si="116"/>
        <v>PEN</v>
      </c>
      <c r="P683" s="13">
        <v>8</v>
      </c>
      <c r="Q683" s="13"/>
      <c r="R683" s="3">
        <f t="shared" si="117"/>
        <v>0</v>
      </c>
      <c r="S683" s="3">
        <f t="shared" si="118"/>
        <v>0</v>
      </c>
      <c r="T683" s="3">
        <f t="shared" si="119"/>
        <v>1995.2999999999988</v>
      </c>
      <c r="U683" s="24"/>
      <c r="V683" s="24"/>
      <c r="W683" s="3"/>
      <c r="X683" s="3"/>
      <c r="Y683" s="3"/>
      <c r="Z683" s="3"/>
      <c r="AA683" s="3"/>
      <c r="AB683" s="3"/>
      <c r="AC683" s="3" t="str">
        <f>IF(Caja_Arequipa[[#This Row],[FECHA]]&gt;0,TEXT(Caja_Arequipa[[#This Row],[FECHA]],"mmmm"),0)</f>
        <v>Agosto</v>
      </c>
    </row>
    <row r="684" spans="2:29" x14ac:dyDescent="0.3">
      <c r="B684" s="2" t="str">
        <f>IF(Caja_Arequipa[[#This Row],[TIPO DE R.]]="R",COUNTIFS($D$4:$D683,"R")+1,"")</f>
        <v/>
      </c>
      <c r="C684" s="19" t="str">
        <f t="shared" si="115"/>
        <v>C-Tesoreria</v>
      </c>
      <c r="D684" s="3" t="s">
        <v>1101</v>
      </c>
      <c r="E684" s="14">
        <v>45895</v>
      </c>
      <c r="F684" s="5" t="s">
        <v>1082</v>
      </c>
      <c r="G684" s="5"/>
      <c r="H684" s="3"/>
      <c r="I684" s="6" t="s">
        <v>919</v>
      </c>
      <c r="J684" s="6" t="s">
        <v>14</v>
      </c>
      <c r="K684" s="6" t="s">
        <v>5243</v>
      </c>
      <c r="L684" s="6">
        <v>2440464</v>
      </c>
      <c r="M684" s="7" t="s">
        <v>5091</v>
      </c>
      <c r="N684" s="8" t="str">
        <f>IF(Caja_Arequipa[[#This Row],[TIPO DE R.]]="R","001-"&amp;12002+B684,N683)</f>
        <v>001-12598</v>
      </c>
      <c r="O684" s="8" t="str">
        <f t="shared" si="116"/>
        <v>PEN</v>
      </c>
      <c r="P684" s="13">
        <v>8</v>
      </c>
      <c r="Q684" s="13"/>
      <c r="R684" s="3">
        <f t="shared" si="117"/>
        <v>0</v>
      </c>
      <c r="S684" s="3">
        <f t="shared" si="118"/>
        <v>0</v>
      </c>
      <c r="T684" s="3">
        <f t="shared" si="119"/>
        <v>1995.2999999999988</v>
      </c>
      <c r="U684" s="24"/>
      <c r="V684" s="24"/>
      <c r="W684" s="3"/>
      <c r="X684" s="3"/>
      <c r="Y684" s="3"/>
      <c r="Z684" s="3"/>
      <c r="AA684" s="3"/>
      <c r="AB684" s="3"/>
      <c r="AC684" s="3" t="str">
        <f>IF(Caja_Arequipa[[#This Row],[FECHA]]&gt;0,TEXT(Caja_Arequipa[[#This Row],[FECHA]],"mmmm"),0)</f>
        <v>Agosto</v>
      </c>
    </row>
    <row r="685" spans="2:29" x14ac:dyDescent="0.3">
      <c r="B685" s="2" t="str">
        <f>IF(Caja_Arequipa[[#This Row],[TIPO DE R.]]="R",COUNTIFS($D$4:$D684,"R")+1,"")</f>
        <v/>
      </c>
      <c r="C685" s="19" t="str">
        <f t="shared" si="115"/>
        <v>C-Tesoreria</v>
      </c>
      <c r="D685" s="3" t="s">
        <v>1101</v>
      </c>
      <c r="E685" s="14">
        <v>45895</v>
      </c>
      <c r="F685" s="5" t="s">
        <v>1082</v>
      </c>
      <c r="G685" s="5"/>
      <c r="H685" s="3"/>
      <c r="I685" s="6" t="s">
        <v>919</v>
      </c>
      <c r="J685" s="6" t="s">
        <v>14</v>
      </c>
      <c r="K685" s="6" t="s">
        <v>5280</v>
      </c>
      <c r="L685" s="6">
        <v>1111679</v>
      </c>
      <c r="M685" s="7" t="s">
        <v>5091</v>
      </c>
      <c r="N685" s="8" t="str">
        <f>IF(Caja_Arequipa[[#This Row],[TIPO DE R.]]="R","001-"&amp;12002+B685,N684)</f>
        <v>001-12598</v>
      </c>
      <c r="O685" s="8" t="str">
        <f t="shared" si="116"/>
        <v>PEN</v>
      </c>
      <c r="P685" s="13">
        <v>8</v>
      </c>
      <c r="Q685" s="13"/>
      <c r="R685" s="3">
        <f t="shared" si="117"/>
        <v>0</v>
      </c>
      <c r="S685" s="3">
        <f t="shared" si="118"/>
        <v>0</v>
      </c>
      <c r="T685" s="3">
        <f t="shared" si="119"/>
        <v>1995.2999999999988</v>
      </c>
      <c r="U685" s="24"/>
      <c r="V685" s="24"/>
      <c r="W685" s="3"/>
      <c r="X685" s="3"/>
      <c r="Y685" s="3"/>
      <c r="Z685" s="3"/>
      <c r="AA685" s="3"/>
      <c r="AB685" s="3"/>
      <c r="AC685" s="3" t="str">
        <f>IF(Caja_Arequipa[[#This Row],[FECHA]]&gt;0,TEXT(Caja_Arequipa[[#This Row],[FECHA]],"mmmm"),0)</f>
        <v>Agosto</v>
      </c>
    </row>
    <row r="686" spans="2:29" x14ac:dyDescent="0.3">
      <c r="B686" s="2" t="str">
        <f>IF(Caja_Arequipa[[#This Row],[TIPO DE R.]]="R",COUNTIFS($D$4:$D685,"R")+1,"")</f>
        <v/>
      </c>
      <c r="C686" s="19" t="str">
        <f t="shared" si="115"/>
        <v>C-Tesoreria</v>
      </c>
      <c r="D686" s="3" t="s">
        <v>1101</v>
      </c>
      <c r="E686" s="14">
        <v>45895</v>
      </c>
      <c r="F686" s="5" t="s">
        <v>1082</v>
      </c>
      <c r="G686" s="5"/>
      <c r="H686" s="3"/>
      <c r="I686" s="6" t="s">
        <v>919</v>
      </c>
      <c r="J686" s="6" t="s">
        <v>14</v>
      </c>
      <c r="K686" s="6" t="s">
        <v>5281</v>
      </c>
      <c r="L686" s="6">
        <v>1016199</v>
      </c>
      <c r="M686" s="7" t="s">
        <v>5091</v>
      </c>
      <c r="N686" s="8" t="str">
        <f>IF(Caja_Arequipa[[#This Row],[TIPO DE R.]]="R","001-"&amp;12002+B686,N685)</f>
        <v>001-12598</v>
      </c>
      <c r="O686" s="8" t="str">
        <f t="shared" si="116"/>
        <v>PEN</v>
      </c>
      <c r="P686" s="13">
        <v>8</v>
      </c>
      <c r="Q686" s="13"/>
      <c r="R686" s="3">
        <f t="shared" si="117"/>
        <v>0</v>
      </c>
      <c r="S686" s="3">
        <f t="shared" si="118"/>
        <v>0</v>
      </c>
      <c r="T686" s="3">
        <f t="shared" si="119"/>
        <v>1995.2999999999988</v>
      </c>
      <c r="U686" s="24"/>
      <c r="V686" s="24"/>
      <c r="W686" s="3"/>
      <c r="X686" s="3"/>
      <c r="Y686" s="3"/>
      <c r="Z686" s="3"/>
      <c r="AA686" s="3"/>
      <c r="AB686" s="3"/>
      <c r="AC686" s="3" t="str">
        <f>IF(Caja_Arequipa[[#This Row],[FECHA]]&gt;0,TEXT(Caja_Arequipa[[#This Row],[FECHA]],"mmmm"),0)</f>
        <v>Agosto</v>
      </c>
    </row>
    <row r="687" spans="2:29" x14ac:dyDescent="0.3">
      <c r="B687" s="2" t="str">
        <f>IF(Caja_Arequipa[[#This Row],[TIPO DE R.]]="R",COUNTIFS($D$4:$D686,"R")+1,"")</f>
        <v/>
      </c>
      <c r="C687" s="19" t="str">
        <f t="shared" si="115"/>
        <v>C-Tesoreria</v>
      </c>
      <c r="D687" s="3" t="s">
        <v>1101</v>
      </c>
      <c r="E687" s="14">
        <v>45895</v>
      </c>
      <c r="F687" s="5" t="s">
        <v>1082</v>
      </c>
      <c r="G687" s="5"/>
      <c r="H687" s="3"/>
      <c r="I687" s="6" t="s">
        <v>919</v>
      </c>
      <c r="J687" s="6" t="s">
        <v>14</v>
      </c>
      <c r="K687" s="6" t="s">
        <v>5242</v>
      </c>
      <c r="L687" s="6">
        <v>2150007</v>
      </c>
      <c r="M687" s="7" t="s">
        <v>5091</v>
      </c>
      <c r="N687" s="8" t="str">
        <f>IF(Caja_Arequipa[[#This Row],[TIPO DE R.]]="R","001-"&amp;12002+B687,N686)</f>
        <v>001-12598</v>
      </c>
      <c r="O687" s="8" t="str">
        <f t="shared" si="116"/>
        <v>PEN</v>
      </c>
      <c r="P687" s="13">
        <v>8</v>
      </c>
      <c r="Q687" s="13"/>
      <c r="R687" s="3">
        <f t="shared" si="117"/>
        <v>0</v>
      </c>
      <c r="S687" s="3">
        <f t="shared" si="118"/>
        <v>0</v>
      </c>
      <c r="T687" s="3">
        <f t="shared" si="119"/>
        <v>1995.2999999999988</v>
      </c>
      <c r="U687" s="24"/>
      <c r="V687" s="24"/>
      <c r="W687" s="3"/>
      <c r="X687" s="3"/>
      <c r="Y687" s="3"/>
      <c r="Z687" s="3"/>
      <c r="AA687" s="3"/>
      <c r="AB687" s="3"/>
      <c r="AC687" s="3" t="str">
        <f>IF(Caja_Arequipa[[#This Row],[FECHA]]&gt;0,TEXT(Caja_Arequipa[[#This Row],[FECHA]],"mmmm"),0)</f>
        <v>Agosto</v>
      </c>
    </row>
    <row r="688" spans="2:29" ht="36" x14ac:dyDescent="0.3">
      <c r="B688" s="2" t="str">
        <f>IF(Caja_Arequipa[[#This Row],[TIPO DE R.]]="R",COUNTIFS($D$4:$D687,"R")+1,"")</f>
        <v/>
      </c>
      <c r="C688" s="19" t="str">
        <f t="shared" si="115"/>
        <v>C-Tesoreria</v>
      </c>
      <c r="D688" s="3" t="s">
        <v>1101</v>
      </c>
      <c r="E688" s="14">
        <v>45895</v>
      </c>
      <c r="F688" s="5" t="s">
        <v>1082</v>
      </c>
      <c r="G688" s="5"/>
      <c r="H688" s="3"/>
      <c r="I688" s="6" t="s">
        <v>970</v>
      </c>
      <c r="J688" s="6" t="s">
        <v>14</v>
      </c>
      <c r="K688" s="6" t="s">
        <v>1119</v>
      </c>
      <c r="L688" s="6">
        <v>18192</v>
      </c>
      <c r="M688" s="7" t="s">
        <v>5091</v>
      </c>
      <c r="N688" s="8" t="str">
        <f>IF(Caja_Arequipa[[#This Row],[TIPO DE R.]]="R","001-"&amp;12002+B688,N687)</f>
        <v>001-12598</v>
      </c>
      <c r="O688" s="8" t="str">
        <f t="shared" si="116"/>
        <v>PEN</v>
      </c>
      <c r="P688" s="13">
        <v>22</v>
      </c>
      <c r="Q688" s="13"/>
      <c r="R688" s="3">
        <f t="shared" si="117"/>
        <v>0</v>
      </c>
      <c r="S688" s="3">
        <f t="shared" si="118"/>
        <v>0</v>
      </c>
      <c r="T688" s="3">
        <f t="shared" si="119"/>
        <v>1995.2999999999988</v>
      </c>
      <c r="U688" s="24"/>
      <c r="V688" s="24"/>
      <c r="W688" s="3"/>
      <c r="X688" s="3"/>
      <c r="Y688" s="3"/>
      <c r="Z688" s="3"/>
      <c r="AA688" s="3"/>
      <c r="AB688" s="3"/>
      <c r="AC688" s="3" t="str">
        <f>IF(Caja_Arequipa[[#This Row],[FECHA]]&gt;0,TEXT(Caja_Arequipa[[#This Row],[FECHA]],"mmmm"),0)</f>
        <v>Agosto</v>
      </c>
    </row>
    <row r="689" spans="2:29" x14ac:dyDescent="0.3">
      <c r="B689" s="2">
        <f>IF(Caja_Arequipa[[#This Row],[TIPO DE R.]]="R",COUNTIFS($D$4:$D688,"R")+1,"")</f>
        <v>597</v>
      </c>
      <c r="C689" s="19" t="str">
        <f t="shared" ref="C689:C698" si="120">"C-Tesoreria"</f>
        <v>C-Tesoreria</v>
      </c>
      <c r="D689" s="3" t="s">
        <v>1074</v>
      </c>
      <c r="E689" s="14">
        <v>45895</v>
      </c>
      <c r="F689" s="5" t="s">
        <v>1996</v>
      </c>
      <c r="G689" s="5" t="s">
        <v>1079</v>
      </c>
      <c r="H689" s="3" t="s">
        <v>5282</v>
      </c>
      <c r="I689" s="6"/>
      <c r="J689" s="6"/>
      <c r="K689" s="6"/>
      <c r="L689" s="6"/>
      <c r="M689" s="7" t="s">
        <v>7967</v>
      </c>
      <c r="N689" s="8" t="str">
        <f>IF(Caja_Arequipa[[#This Row],[TIPO DE R.]]="R","001-"&amp;12002+B689,N688)</f>
        <v>001-12599</v>
      </c>
      <c r="O689" s="8" t="str">
        <f t="shared" ref="O689:O698" si="121">"PEN"</f>
        <v>PEN</v>
      </c>
      <c r="P689" s="13"/>
      <c r="Q689" s="13">
        <v>42</v>
      </c>
      <c r="R689" s="3">
        <f t="shared" ref="R689:R698" si="122">+IF(OR($G689="SALDO",$G689="INGRESO"),$Q689,0)</f>
        <v>0</v>
      </c>
      <c r="S689" s="3">
        <f t="shared" ref="S689:S698" si="123">+IF($G689="EGRESO",$Q689,0)</f>
        <v>42</v>
      </c>
      <c r="T689" s="3">
        <f t="shared" ref="T689:T698" si="124">IFERROR(IF(G689="SALDO",R689,T688+R689-S689),0)</f>
        <v>1953.2999999999988</v>
      </c>
      <c r="U689" s="24"/>
      <c r="V689" s="24"/>
      <c r="W689" s="3"/>
      <c r="X689" s="3"/>
      <c r="Y689" s="3"/>
      <c r="Z689" s="3"/>
      <c r="AA689" s="3"/>
      <c r="AB689" s="3"/>
      <c r="AC689" s="3" t="str">
        <f>IF(Caja_Arequipa[[#This Row],[FECHA]]&gt;0,TEXT(Caja_Arequipa[[#This Row],[FECHA]],"mmmm"),0)</f>
        <v>Agosto</v>
      </c>
    </row>
    <row r="690" spans="2:29" ht="24" x14ac:dyDescent="0.3">
      <c r="B690" s="2" t="str">
        <f>IF(Caja_Arequipa[[#This Row],[TIPO DE R.]]="R",COUNTIFS($D$4:$D689,"R")+1,"")</f>
        <v/>
      </c>
      <c r="C690" s="19" t="str">
        <f>"C-Tesoreria"</f>
        <v>C-Tesoreria</v>
      </c>
      <c r="D690" s="3" t="s">
        <v>1101</v>
      </c>
      <c r="E690" s="14">
        <v>45895</v>
      </c>
      <c r="F690" s="5" t="s">
        <v>1996</v>
      </c>
      <c r="G690" s="5"/>
      <c r="H690" s="3"/>
      <c r="I690" s="6" t="s">
        <v>1034</v>
      </c>
      <c r="J690" s="6" t="s">
        <v>55</v>
      </c>
      <c r="K690" s="6">
        <v>3</v>
      </c>
      <c r="L690" s="6">
        <v>318</v>
      </c>
      <c r="M690" s="7" t="s">
        <v>7967</v>
      </c>
      <c r="N690" s="8" t="str">
        <f>IF(Caja_Arequipa[[#This Row],[TIPO DE R.]]="R","001-"&amp;12002+B690,N689)</f>
        <v>001-12599</v>
      </c>
      <c r="O690" s="8" t="str">
        <f>"PEN"</f>
        <v>PEN</v>
      </c>
      <c r="P690" s="13">
        <v>2</v>
      </c>
      <c r="Q690" s="13"/>
      <c r="R690" s="3">
        <f>+IF(OR($G690="SALDO",$G690="INGRESO"),$Q690,0)</f>
        <v>0</v>
      </c>
      <c r="S690" s="3">
        <f>+IF($G690="EGRESO",$Q690,0)</f>
        <v>0</v>
      </c>
      <c r="T690" s="3">
        <f>IFERROR(IF(G690="SALDO",R690,T689+R690-S690),0)</f>
        <v>1953.2999999999988</v>
      </c>
      <c r="U690" s="24"/>
      <c r="V690" s="24"/>
      <c r="W690" s="3"/>
      <c r="X690" s="3"/>
      <c r="Y690" s="3"/>
      <c r="Z690" s="3"/>
      <c r="AA690" s="3"/>
      <c r="AB690" s="3"/>
      <c r="AC690" s="3" t="str">
        <f>IF(Caja_Arequipa[[#This Row],[FECHA]]&gt;0,TEXT(Caja_Arequipa[[#This Row],[FECHA]],"mmmm"),0)</f>
        <v>Agosto</v>
      </c>
    </row>
    <row r="691" spans="2:29" ht="24" x14ac:dyDescent="0.3">
      <c r="B691" s="2" t="str">
        <f>IF(Caja_Arequipa[[#This Row],[TIPO DE R.]]="R",COUNTIFS($D$4:$D690,"R")+1,"")</f>
        <v/>
      </c>
      <c r="C691" s="19" t="str">
        <f>"C-Tesoreria"</f>
        <v>C-Tesoreria</v>
      </c>
      <c r="D691" s="3" t="s">
        <v>1101</v>
      </c>
      <c r="E691" s="14">
        <v>45895</v>
      </c>
      <c r="F691" s="5" t="s">
        <v>1996</v>
      </c>
      <c r="G691" s="5"/>
      <c r="H691" s="3"/>
      <c r="I691" s="6" t="s">
        <v>7935</v>
      </c>
      <c r="J691" s="6" t="s">
        <v>14</v>
      </c>
      <c r="K691" s="6" t="s">
        <v>1148</v>
      </c>
      <c r="L691" s="6">
        <v>2608</v>
      </c>
      <c r="M691" s="7" t="s">
        <v>7967</v>
      </c>
      <c r="N691" s="8" t="str">
        <f>IF(Caja_Arequipa[[#This Row],[TIPO DE R.]]="R","001-"&amp;12002+B691,N690)</f>
        <v>001-12599</v>
      </c>
      <c r="O691" s="8" t="str">
        <f>"PEN"</f>
        <v>PEN</v>
      </c>
      <c r="P691" s="13">
        <v>40</v>
      </c>
      <c r="Q691" s="13"/>
      <c r="R691" s="3">
        <f>+IF(OR($G691="SALDO",$G691="INGRESO"),$Q691,0)</f>
        <v>0</v>
      </c>
      <c r="S691" s="3">
        <f>+IF($G691="EGRESO",$Q691,0)</f>
        <v>0</v>
      </c>
      <c r="T691" s="3">
        <f t="shared" ref="T691:T692" si="125">IFERROR(IF(G691="SALDO",R691,T690+R691-S691),0)</f>
        <v>1953.2999999999988</v>
      </c>
      <c r="U691" s="24"/>
      <c r="V691" s="24"/>
      <c r="W691" s="3"/>
      <c r="X691" s="3"/>
      <c r="Y691" s="3"/>
      <c r="Z691" s="3"/>
      <c r="AA691" s="3"/>
      <c r="AB691" s="3"/>
      <c r="AC691" s="3" t="str">
        <f>IF(Caja_Arequipa[[#This Row],[FECHA]]&gt;0,TEXT(Caja_Arequipa[[#This Row],[FECHA]],"mmmm"),0)</f>
        <v>Agosto</v>
      </c>
    </row>
    <row r="692" spans="2:29" x14ac:dyDescent="0.3">
      <c r="B692" s="2">
        <f>IF(Caja_Arequipa[[#This Row],[TIPO DE R.]]="R",COUNTIFS($D$4:$D691,"R")+1,"")</f>
        <v>598</v>
      </c>
      <c r="C692" s="19" t="str">
        <f t="shared" si="120"/>
        <v>C-Tesoreria</v>
      </c>
      <c r="D692" s="3" t="s">
        <v>1074</v>
      </c>
      <c r="E692" s="14">
        <v>45895</v>
      </c>
      <c r="F692" s="5" t="s">
        <v>1082</v>
      </c>
      <c r="G692" s="5" t="s">
        <v>1079</v>
      </c>
      <c r="H692" s="3" t="s">
        <v>4433</v>
      </c>
      <c r="I692" s="6"/>
      <c r="J692" s="6"/>
      <c r="K692" s="6"/>
      <c r="L692" s="6"/>
      <c r="M692" s="7" t="s">
        <v>5091</v>
      </c>
      <c r="N692" s="8" t="str">
        <f>IF(Caja_Arequipa[[#This Row],[TIPO DE R.]]="R","001-"&amp;12002+B692,N691)</f>
        <v>001-12600</v>
      </c>
      <c r="O692" s="8" t="str">
        <f t="shared" si="121"/>
        <v>PEN</v>
      </c>
      <c r="P692" s="13"/>
      <c r="Q692" s="13">
        <v>356</v>
      </c>
      <c r="R692" s="3">
        <f t="shared" si="122"/>
        <v>0</v>
      </c>
      <c r="S692" s="3">
        <f t="shared" si="123"/>
        <v>356</v>
      </c>
      <c r="T692" s="3">
        <f t="shared" si="125"/>
        <v>1597.2999999999988</v>
      </c>
      <c r="U692" s="24"/>
      <c r="V692" s="24"/>
      <c r="W692" s="3"/>
      <c r="X692" s="3"/>
      <c r="Y692" s="3"/>
      <c r="Z692" s="3"/>
      <c r="AA692" s="3"/>
      <c r="AB692" s="3"/>
      <c r="AC692" s="3" t="str">
        <f>IF(Caja_Arequipa[[#This Row],[FECHA]]&gt;0,TEXT(Caja_Arequipa[[#This Row],[FECHA]],"mmmm"),0)</f>
        <v>Agosto</v>
      </c>
    </row>
    <row r="693" spans="2:29" x14ac:dyDescent="0.3">
      <c r="B693" s="2" t="str">
        <f>IF(Caja_Arequipa[[#This Row],[TIPO DE R.]]="R",COUNTIFS($D$4:$D692,"R")+1,"")</f>
        <v/>
      </c>
      <c r="C693" s="19" t="str">
        <f t="shared" si="120"/>
        <v>C-Tesoreria</v>
      </c>
      <c r="D693" s="3" t="s">
        <v>1101</v>
      </c>
      <c r="E693" s="14">
        <v>45895</v>
      </c>
      <c r="F693" s="5" t="s">
        <v>1082</v>
      </c>
      <c r="G693" s="5"/>
      <c r="H693" s="3"/>
      <c r="I693" s="6" t="s">
        <v>919</v>
      </c>
      <c r="J693" s="6" t="s">
        <v>14</v>
      </c>
      <c r="K693" s="6" t="s">
        <v>5243</v>
      </c>
      <c r="L693" s="6">
        <v>2416224</v>
      </c>
      <c r="M693" s="7" t="s">
        <v>5091</v>
      </c>
      <c r="N693" s="8" t="str">
        <f>IF(Caja_Arequipa[[#This Row],[TIPO DE R.]]="R","001-"&amp;12002+B693,N692)</f>
        <v>001-12600</v>
      </c>
      <c r="O693" s="8" t="str">
        <f t="shared" si="121"/>
        <v>PEN</v>
      </c>
      <c r="P693" s="13">
        <v>8</v>
      </c>
      <c r="Q693" s="13"/>
      <c r="R693" s="3">
        <f t="shared" si="122"/>
        <v>0</v>
      </c>
      <c r="S693" s="3">
        <f t="shared" si="123"/>
        <v>0</v>
      </c>
      <c r="T693" s="3">
        <f t="shared" si="124"/>
        <v>1597.2999999999988</v>
      </c>
      <c r="U693" s="24"/>
      <c r="V693" s="24"/>
      <c r="W693" s="3"/>
      <c r="X693" s="3"/>
      <c r="Y693" s="3"/>
      <c r="Z693" s="3"/>
      <c r="AA693" s="3"/>
      <c r="AB693" s="3"/>
      <c r="AC693" s="3" t="str">
        <f>IF(Caja_Arequipa[[#This Row],[FECHA]]&gt;0,TEXT(Caja_Arequipa[[#This Row],[FECHA]],"mmmm"),0)</f>
        <v>Agosto</v>
      </c>
    </row>
    <row r="694" spans="2:29" x14ac:dyDescent="0.3">
      <c r="B694" s="2" t="str">
        <f>IF(Caja_Arequipa[[#This Row],[TIPO DE R.]]="R",COUNTIFS($D$4:$D693,"R")+1,"")</f>
        <v/>
      </c>
      <c r="C694" s="19" t="str">
        <f t="shared" si="120"/>
        <v>C-Tesoreria</v>
      </c>
      <c r="D694" s="3" t="s">
        <v>1101</v>
      </c>
      <c r="E694" s="14">
        <v>45895</v>
      </c>
      <c r="F694" s="5" t="s">
        <v>1082</v>
      </c>
      <c r="G694" s="5"/>
      <c r="H694" s="3"/>
      <c r="I694" s="6" t="s">
        <v>919</v>
      </c>
      <c r="J694" s="6" t="s">
        <v>14</v>
      </c>
      <c r="K694" s="6" t="s">
        <v>5245</v>
      </c>
      <c r="L694" s="6">
        <v>1818286</v>
      </c>
      <c r="M694" s="7" t="s">
        <v>5091</v>
      </c>
      <c r="N694" s="8" t="str">
        <f>IF(Caja_Arequipa[[#This Row],[TIPO DE R.]]="R","001-"&amp;12002+B694,N693)</f>
        <v>001-12600</v>
      </c>
      <c r="O694" s="8" t="str">
        <f t="shared" si="121"/>
        <v>PEN</v>
      </c>
      <c r="P694" s="13">
        <v>8</v>
      </c>
      <c r="Q694" s="13"/>
      <c r="R694" s="3">
        <f t="shared" si="122"/>
        <v>0</v>
      </c>
      <c r="S694" s="3">
        <f t="shared" si="123"/>
        <v>0</v>
      </c>
      <c r="T694" s="3">
        <f t="shared" si="124"/>
        <v>1597.2999999999988</v>
      </c>
      <c r="U694" s="24"/>
      <c r="V694" s="24"/>
      <c r="W694" s="3"/>
      <c r="X694" s="3"/>
      <c r="Y694" s="3"/>
      <c r="Z694" s="3"/>
      <c r="AA694" s="3"/>
      <c r="AB694" s="3"/>
      <c r="AC694" s="3" t="str">
        <f>IF(Caja_Arequipa[[#This Row],[FECHA]]&gt;0,TEXT(Caja_Arequipa[[#This Row],[FECHA]],"mmmm"),0)</f>
        <v>Agosto</v>
      </c>
    </row>
    <row r="695" spans="2:29" ht="24" x14ac:dyDescent="0.3">
      <c r="B695" s="2" t="str">
        <f>IF(Caja_Arequipa[[#This Row],[TIPO DE R.]]="R",COUNTIFS($D$4:$D694,"R")+1,"")</f>
        <v/>
      </c>
      <c r="C695" s="19" t="str">
        <f t="shared" si="120"/>
        <v>C-Tesoreria</v>
      </c>
      <c r="D695" s="3" t="s">
        <v>1101</v>
      </c>
      <c r="E695" s="14">
        <v>45895</v>
      </c>
      <c r="F695" s="5" t="s">
        <v>1082</v>
      </c>
      <c r="G695" s="5"/>
      <c r="H695" s="3"/>
      <c r="I695" s="6" t="s">
        <v>1024</v>
      </c>
      <c r="J695" s="6" t="s">
        <v>14</v>
      </c>
      <c r="K695" s="6" t="s">
        <v>1121</v>
      </c>
      <c r="L695" s="6">
        <v>43</v>
      </c>
      <c r="M695" s="7" t="s">
        <v>5091</v>
      </c>
      <c r="N695" s="8" t="str">
        <f>IF(Caja_Arequipa[[#This Row],[TIPO DE R.]]="R","001-"&amp;12002+B695,N694)</f>
        <v>001-12600</v>
      </c>
      <c r="O695" s="8" t="str">
        <f t="shared" si="121"/>
        <v>PEN</v>
      </c>
      <c r="P695" s="13">
        <v>280</v>
      </c>
      <c r="Q695" s="13"/>
      <c r="R695" s="3">
        <f t="shared" si="122"/>
        <v>0</v>
      </c>
      <c r="S695" s="3">
        <f t="shared" si="123"/>
        <v>0</v>
      </c>
      <c r="T695" s="3">
        <f t="shared" si="124"/>
        <v>1597.2999999999988</v>
      </c>
      <c r="U695" s="24"/>
      <c r="V695" s="24"/>
      <c r="W695" s="3"/>
      <c r="X695" s="3"/>
      <c r="Y695" s="3"/>
      <c r="Z695" s="3"/>
      <c r="AA695" s="3"/>
      <c r="AB695" s="3"/>
      <c r="AC695" s="3" t="str">
        <f>IF(Caja_Arequipa[[#This Row],[FECHA]]&gt;0,TEXT(Caja_Arequipa[[#This Row],[FECHA]],"mmmm"),0)</f>
        <v>Agosto</v>
      </c>
    </row>
    <row r="696" spans="2:29" x14ac:dyDescent="0.3">
      <c r="B696" s="2" t="str">
        <f>IF(Caja_Arequipa[[#This Row],[TIPO DE R.]]="R",COUNTIFS($D$4:$D695,"R")+1,"")</f>
        <v/>
      </c>
      <c r="C696" s="19" t="str">
        <f t="shared" si="120"/>
        <v>C-Tesoreria</v>
      </c>
      <c r="D696" s="3" t="s">
        <v>1101</v>
      </c>
      <c r="E696" s="14">
        <v>45895</v>
      </c>
      <c r="F696" s="5" t="s">
        <v>1082</v>
      </c>
      <c r="G696" s="5"/>
      <c r="H696" s="3"/>
      <c r="I696" s="6" t="s">
        <v>919</v>
      </c>
      <c r="J696" s="6" t="s">
        <v>14</v>
      </c>
      <c r="K696" s="6" t="s">
        <v>5244</v>
      </c>
      <c r="L696" s="6">
        <v>1819141</v>
      </c>
      <c r="M696" s="7" t="s">
        <v>5091</v>
      </c>
      <c r="N696" s="8" t="str">
        <f>IF(Caja_Arequipa[[#This Row],[TIPO DE R.]]="R","001-"&amp;12002+B696,N695)</f>
        <v>001-12600</v>
      </c>
      <c r="O696" s="8" t="str">
        <f t="shared" si="121"/>
        <v>PEN</v>
      </c>
      <c r="P696" s="13">
        <v>8</v>
      </c>
      <c r="Q696" s="13"/>
      <c r="R696" s="3">
        <f t="shared" si="122"/>
        <v>0</v>
      </c>
      <c r="S696" s="3">
        <f t="shared" si="123"/>
        <v>0</v>
      </c>
      <c r="T696" s="3">
        <f t="shared" si="124"/>
        <v>1597.2999999999988</v>
      </c>
      <c r="U696" s="24"/>
      <c r="V696" s="24"/>
      <c r="W696" s="3"/>
      <c r="X696" s="3"/>
      <c r="Y696" s="3"/>
      <c r="Z696" s="3"/>
      <c r="AA696" s="3"/>
      <c r="AB696" s="3"/>
      <c r="AC696" s="3" t="str">
        <f>IF(Caja_Arequipa[[#This Row],[FECHA]]&gt;0,TEXT(Caja_Arequipa[[#This Row],[FECHA]],"mmmm"),0)</f>
        <v>Agosto</v>
      </c>
    </row>
    <row r="697" spans="2:29" ht="24" x14ac:dyDescent="0.3">
      <c r="B697" s="2" t="str">
        <f>IF(Caja_Arequipa[[#This Row],[TIPO DE R.]]="R",COUNTIFS($D$4:$D696,"R")+1,"")</f>
        <v/>
      </c>
      <c r="C697" s="19" t="str">
        <f t="shared" si="120"/>
        <v>C-Tesoreria</v>
      </c>
      <c r="D697" s="3" t="s">
        <v>1101</v>
      </c>
      <c r="E697" s="14">
        <v>45895</v>
      </c>
      <c r="F697" s="5" t="s">
        <v>1082</v>
      </c>
      <c r="G697" s="5"/>
      <c r="H697" s="3"/>
      <c r="I697" s="6" t="s">
        <v>1023</v>
      </c>
      <c r="J697" s="6" t="s">
        <v>14</v>
      </c>
      <c r="K697" s="6" t="s">
        <v>1119</v>
      </c>
      <c r="L697" s="6">
        <v>5140</v>
      </c>
      <c r="M697" s="7" t="s">
        <v>5091</v>
      </c>
      <c r="N697" s="8" t="str">
        <f>IF(Caja_Arequipa[[#This Row],[TIPO DE R.]]="R","001-"&amp;12002+B697,N696)</f>
        <v>001-12600</v>
      </c>
      <c r="O697" s="8" t="str">
        <f t="shared" si="121"/>
        <v>PEN</v>
      </c>
      <c r="P697" s="13">
        <v>34</v>
      </c>
      <c r="Q697" s="13"/>
      <c r="R697" s="3">
        <f t="shared" si="122"/>
        <v>0</v>
      </c>
      <c r="S697" s="3">
        <f t="shared" si="123"/>
        <v>0</v>
      </c>
      <c r="T697" s="3">
        <f t="shared" si="124"/>
        <v>1597.2999999999988</v>
      </c>
      <c r="U697" s="24"/>
      <c r="V697" s="24"/>
      <c r="W697" s="3"/>
      <c r="X697" s="3"/>
      <c r="Y697" s="3"/>
      <c r="Z697" s="3"/>
      <c r="AA697" s="3"/>
      <c r="AB697" s="3"/>
      <c r="AC697" s="3" t="str">
        <f>IF(Caja_Arequipa[[#This Row],[FECHA]]&gt;0,TEXT(Caja_Arequipa[[#This Row],[FECHA]],"mmmm"),0)</f>
        <v>Agosto</v>
      </c>
    </row>
    <row r="698" spans="2:29" ht="24" x14ac:dyDescent="0.3">
      <c r="B698" s="2" t="str">
        <f>IF(Caja_Arequipa[[#This Row],[TIPO DE R.]]="R",COUNTIFS($D$4:$D697,"R")+1,"")</f>
        <v/>
      </c>
      <c r="C698" s="19" t="str">
        <f t="shared" si="120"/>
        <v>C-Tesoreria</v>
      </c>
      <c r="D698" s="3" t="s">
        <v>1101</v>
      </c>
      <c r="E698" s="14">
        <v>45895</v>
      </c>
      <c r="F698" s="5" t="s">
        <v>1082</v>
      </c>
      <c r="G698" s="5"/>
      <c r="H698" s="3"/>
      <c r="I698" s="6" t="s">
        <v>863</v>
      </c>
      <c r="J698" s="6" t="s">
        <v>55</v>
      </c>
      <c r="K698" s="6">
        <v>3</v>
      </c>
      <c r="L698" s="6">
        <v>306</v>
      </c>
      <c r="M698" s="7" t="s">
        <v>5091</v>
      </c>
      <c r="N698" s="8" t="str">
        <f>IF(Caja_Arequipa[[#This Row],[TIPO DE R.]]="R","001-"&amp;12002+B698,N697)</f>
        <v>001-12600</v>
      </c>
      <c r="O698" s="8" t="str">
        <f t="shared" si="121"/>
        <v>PEN</v>
      </c>
      <c r="P698" s="13">
        <v>18</v>
      </c>
      <c r="Q698" s="13"/>
      <c r="R698" s="3">
        <f t="shared" si="122"/>
        <v>0</v>
      </c>
      <c r="S698" s="3">
        <f t="shared" si="123"/>
        <v>0</v>
      </c>
      <c r="T698" s="3">
        <f t="shared" si="124"/>
        <v>1597.2999999999988</v>
      </c>
      <c r="U698" s="24"/>
      <c r="V698" s="24"/>
      <c r="W698" s="3"/>
      <c r="X698" s="3"/>
      <c r="Y698" s="3"/>
      <c r="Z698" s="3"/>
      <c r="AA698" s="3"/>
      <c r="AB698" s="3"/>
      <c r="AC698" s="3" t="str">
        <f>IF(Caja_Arequipa[[#This Row],[FECHA]]&gt;0,TEXT(Caja_Arequipa[[#This Row],[FECHA]],"mmmm"),0)</f>
        <v>Agosto</v>
      </c>
    </row>
    <row r="699" spans="2:29" x14ac:dyDescent="0.3">
      <c r="B699" s="2">
        <f>IF(Caja_Arequipa[[#This Row],[TIPO DE R.]]="R",COUNTIFS($D$4:$D698,"R")+1,"")</f>
        <v>599</v>
      </c>
      <c r="C699" s="19" t="str">
        <f t="shared" ref="C699:C704" si="126">"C-Tesoreria"</f>
        <v>C-Tesoreria</v>
      </c>
      <c r="D699" s="3" t="s">
        <v>1074</v>
      </c>
      <c r="E699" s="14">
        <v>45895</v>
      </c>
      <c r="F699" s="5" t="s">
        <v>1082</v>
      </c>
      <c r="G699" s="5" t="s">
        <v>1079</v>
      </c>
      <c r="H699" s="3" t="s">
        <v>4912</v>
      </c>
      <c r="I699" s="6"/>
      <c r="J699" s="6"/>
      <c r="K699" s="6"/>
      <c r="L699" s="6"/>
      <c r="M699" s="7" t="s">
        <v>5091</v>
      </c>
      <c r="N699" s="8" t="str">
        <f>IF(Caja_Arequipa[[#This Row],[TIPO DE R.]]="R","001-"&amp;12002+B699,N698)</f>
        <v>001-12601</v>
      </c>
      <c r="O699" s="8" t="str">
        <f t="shared" ref="O699:O704" si="127">"PEN"</f>
        <v>PEN</v>
      </c>
      <c r="P699" s="13"/>
      <c r="Q699" s="13">
        <v>262.5</v>
      </c>
      <c r="R699" s="3">
        <f t="shared" ref="R699:R704" si="128">+IF(OR($G699="SALDO",$G699="INGRESO"),$Q699,0)</f>
        <v>0</v>
      </c>
      <c r="S699" s="3">
        <f t="shared" ref="S699:S704" si="129">+IF($G699="EGRESO",$Q699,0)</f>
        <v>262.5</v>
      </c>
      <c r="T699" s="3">
        <f t="shared" ref="T699:T704" si="130">IFERROR(IF(G699="SALDO",R699,T698+R699-S699),0)</f>
        <v>1334.7999999999988</v>
      </c>
      <c r="U699" s="24"/>
      <c r="V699" s="24"/>
      <c r="W699" s="3"/>
      <c r="X699" s="3"/>
      <c r="Y699" s="3"/>
      <c r="Z699" s="3"/>
      <c r="AA699" s="3"/>
      <c r="AB699" s="3"/>
      <c r="AC699" s="3" t="str">
        <f>IF(Caja_Arequipa[[#This Row],[FECHA]]&gt;0,TEXT(Caja_Arequipa[[#This Row],[FECHA]],"mmmm"),0)</f>
        <v>Agosto</v>
      </c>
    </row>
    <row r="700" spans="2:29" ht="24" x14ac:dyDescent="0.3">
      <c r="B700" s="2" t="str">
        <f>IF(Caja_Arequipa[[#This Row],[TIPO DE R.]]="R",COUNTIFS($D$4:$D699,"R")+1,"")</f>
        <v/>
      </c>
      <c r="C700" s="19" t="str">
        <f t="shared" si="126"/>
        <v>C-Tesoreria</v>
      </c>
      <c r="D700" s="3" t="s">
        <v>1101</v>
      </c>
      <c r="E700" s="14">
        <v>45895</v>
      </c>
      <c r="F700" s="5" t="s">
        <v>1082</v>
      </c>
      <c r="G700" s="5"/>
      <c r="H700" s="3"/>
      <c r="I700" s="6" t="s">
        <v>1037</v>
      </c>
      <c r="J700" s="6" t="s">
        <v>14</v>
      </c>
      <c r="K700" s="6" t="s">
        <v>1119</v>
      </c>
      <c r="L700" s="6">
        <v>26766</v>
      </c>
      <c r="M700" s="7" t="s">
        <v>5091</v>
      </c>
      <c r="N700" s="8" t="str">
        <f>IF(Caja_Arequipa[[#This Row],[TIPO DE R.]]="R","001-"&amp;12002+B700,N699)</f>
        <v>001-12601</v>
      </c>
      <c r="O700" s="8" t="str">
        <f t="shared" si="127"/>
        <v>PEN</v>
      </c>
      <c r="P700" s="13">
        <v>36</v>
      </c>
      <c r="Q700" s="13"/>
      <c r="R700" s="3">
        <f t="shared" si="128"/>
        <v>0</v>
      </c>
      <c r="S700" s="3">
        <f t="shared" si="129"/>
        <v>0</v>
      </c>
      <c r="T700" s="3">
        <f t="shared" si="130"/>
        <v>1334.7999999999988</v>
      </c>
      <c r="U700" s="24"/>
      <c r="V700" s="24"/>
      <c r="W700" s="3"/>
      <c r="X700" s="3"/>
      <c r="Y700" s="3"/>
      <c r="Z700" s="3"/>
      <c r="AA700" s="3"/>
      <c r="AB700" s="3"/>
      <c r="AC700" s="3" t="str">
        <f>IF(Caja_Arequipa[[#This Row],[FECHA]]&gt;0,TEXT(Caja_Arequipa[[#This Row],[FECHA]],"mmmm"),0)</f>
        <v>Agosto</v>
      </c>
    </row>
    <row r="701" spans="2:29" ht="24" x14ac:dyDescent="0.3">
      <c r="B701" s="2" t="str">
        <f>IF(Caja_Arequipa[[#This Row],[TIPO DE R.]]="R",COUNTIFS($D$4:$D700,"R")+1,"")</f>
        <v/>
      </c>
      <c r="C701" s="19" t="str">
        <f t="shared" si="126"/>
        <v>C-Tesoreria</v>
      </c>
      <c r="D701" s="3" t="s">
        <v>1101</v>
      </c>
      <c r="E701" s="14">
        <v>45895</v>
      </c>
      <c r="F701" s="5" t="s">
        <v>1082</v>
      </c>
      <c r="G701" s="5"/>
      <c r="H701" s="3"/>
      <c r="I701" s="6" t="s">
        <v>972</v>
      </c>
      <c r="J701" s="6" t="s">
        <v>14</v>
      </c>
      <c r="K701" s="6" t="s">
        <v>5248</v>
      </c>
      <c r="L701" s="6">
        <v>1803516</v>
      </c>
      <c r="M701" s="7" t="s">
        <v>5091</v>
      </c>
      <c r="N701" s="8" t="str">
        <f>IF(Caja_Arequipa[[#This Row],[TIPO DE R.]]="R","001-"&amp;12002+B701,N700)</f>
        <v>001-12601</v>
      </c>
      <c r="O701" s="8" t="str">
        <f t="shared" si="127"/>
        <v>PEN</v>
      </c>
      <c r="P701" s="13">
        <v>139</v>
      </c>
      <c r="Q701" s="13"/>
      <c r="R701" s="3">
        <f t="shared" si="128"/>
        <v>0</v>
      </c>
      <c r="S701" s="3">
        <f t="shared" si="129"/>
        <v>0</v>
      </c>
      <c r="T701" s="3">
        <f t="shared" si="130"/>
        <v>1334.7999999999988</v>
      </c>
      <c r="U701" s="24"/>
      <c r="V701" s="24"/>
      <c r="W701" s="3"/>
      <c r="X701" s="3"/>
      <c r="Y701" s="3"/>
      <c r="Z701" s="3"/>
      <c r="AA701" s="3"/>
      <c r="AB701" s="3"/>
      <c r="AC701" s="3" t="str">
        <f>IF(Caja_Arequipa[[#This Row],[FECHA]]&gt;0,TEXT(Caja_Arequipa[[#This Row],[FECHA]],"mmmm"),0)</f>
        <v>Agosto</v>
      </c>
    </row>
    <row r="702" spans="2:29" x14ac:dyDescent="0.3">
      <c r="B702" s="2" t="str">
        <f>IF(Caja_Arequipa[[#This Row],[TIPO DE R.]]="R",COUNTIFS($D$4:$D701,"R")+1,"")</f>
        <v/>
      </c>
      <c r="C702" s="19" t="str">
        <f t="shared" si="126"/>
        <v>C-Tesoreria</v>
      </c>
      <c r="D702" s="3" t="s">
        <v>1101</v>
      </c>
      <c r="E702" s="14">
        <v>45895</v>
      </c>
      <c r="F702" s="5" t="s">
        <v>1082</v>
      </c>
      <c r="G702" s="5"/>
      <c r="H702" s="3"/>
      <c r="I702" s="6" t="s">
        <v>914</v>
      </c>
      <c r="J702" s="6" t="s">
        <v>14</v>
      </c>
      <c r="K702" s="6" t="s">
        <v>1121</v>
      </c>
      <c r="L702" s="6">
        <v>504</v>
      </c>
      <c r="M702" s="7" t="s">
        <v>5091</v>
      </c>
      <c r="N702" s="8" t="str">
        <f>IF(Caja_Arequipa[[#This Row],[TIPO DE R.]]="R","001-"&amp;12002+B702,N701)</f>
        <v>001-12601</v>
      </c>
      <c r="O702" s="8" t="str">
        <f t="shared" si="127"/>
        <v>PEN</v>
      </c>
      <c r="P702" s="13">
        <v>87.5</v>
      </c>
      <c r="Q702" s="13"/>
      <c r="R702" s="3">
        <f t="shared" si="128"/>
        <v>0</v>
      </c>
      <c r="S702" s="3">
        <f t="shared" si="129"/>
        <v>0</v>
      </c>
      <c r="T702" s="3">
        <f t="shared" si="130"/>
        <v>1334.7999999999988</v>
      </c>
      <c r="U702" s="24"/>
      <c r="V702" s="24"/>
      <c r="W702" s="3"/>
      <c r="X702" s="3"/>
      <c r="Y702" s="3"/>
      <c r="Z702" s="3"/>
      <c r="AA702" s="3"/>
      <c r="AB702" s="3"/>
      <c r="AC702" s="3" t="str">
        <f>IF(Caja_Arequipa[[#This Row],[FECHA]]&gt;0,TEXT(Caja_Arequipa[[#This Row],[FECHA]],"mmmm"),0)</f>
        <v>Agosto</v>
      </c>
    </row>
    <row r="703" spans="2:29" ht="24" x14ac:dyDescent="0.3">
      <c r="B703" s="2">
        <f>IF(Caja_Arequipa[[#This Row],[TIPO DE R.]]="R",COUNTIFS($D$4:$D702,"R")+1,"")</f>
        <v>600</v>
      </c>
      <c r="C703" s="19" t="str">
        <f t="shared" si="126"/>
        <v>C-Tesoreria</v>
      </c>
      <c r="D703" s="3" t="s">
        <v>1074</v>
      </c>
      <c r="E703" s="14">
        <v>45895</v>
      </c>
      <c r="F703" s="5" t="s">
        <v>1996</v>
      </c>
      <c r="G703" s="5" t="s">
        <v>1079</v>
      </c>
      <c r="H703" s="3" t="s">
        <v>4357</v>
      </c>
      <c r="I703" s="6" t="s">
        <v>1014</v>
      </c>
      <c r="J703" s="6" t="s">
        <v>21</v>
      </c>
      <c r="K703" s="6" t="s">
        <v>6959</v>
      </c>
      <c r="L703" s="6">
        <v>216</v>
      </c>
      <c r="M703" s="7" t="s">
        <v>7894</v>
      </c>
      <c r="N703" s="8" t="str">
        <f>IF(Caja_Arequipa[[#This Row],[TIPO DE R.]]="R","001-"&amp;12002+B703,N702)</f>
        <v>001-12602</v>
      </c>
      <c r="O703" s="8" t="str">
        <f t="shared" si="127"/>
        <v>PEN</v>
      </c>
      <c r="P703" s="13"/>
      <c r="Q703" s="13">
        <v>19.2</v>
      </c>
      <c r="R703" s="3">
        <f t="shared" si="128"/>
        <v>0</v>
      </c>
      <c r="S703" s="3">
        <f t="shared" si="129"/>
        <v>19.2</v>
      </c>
      <c r="T703" s="3">
        <f t="shared" si="130"/>
        <v>1315.5999999999988</v>
      </c>
      <c r="U703" s="24"/>
      <c r="V703" s="24"/>
      <c r="W703" s="3"/>
      <c r="X703" s="3"/>
      <c r="Y703" s="3"/>
      <c r="Z703" s="3"/>
      <c r="AA703" s="3"/>
      <c r="AB703" s="3"/>
      <c r="AC703" s="3" t="str">
        <f>IF(Caja_Arequipa[[#This Row],[FECHA]]&gt;0,TEXT(Caja_Arequipa[[#This Row],[FECHA]],"mmmm"),0)</f>
        <v>Agosto</v>
      </c>
    </row>
    <row r="704" spans="2:29" ht="24" x14ac:dyDescent="0.3">
      <c r="B704" s="2">
        <f>IF(Caja_Arequipa[[#This Row],[TIPO DE R.]]="R",COUNTIFS($D$4:$D703,"R")+1,"")</f>
        <v>601</v>
      </c>
      <c r="C704" s="19" t="str">
        <f t="shared" si="126"/>
        <v>C-Tesoreria</v>
      </c>
      <c r="D704" s="3" t="s">
        <v>1074</v>
      </c>
      <c r="E704" s="14">
        <v>45895</v>
      </c>
      <c r="F704" s="5" t="s">
        <v>1082</v>
      </c>
      <c r="G704" s="5" t="s">
        <v>1079</v>
      </c>
      <c r="H704" s="3" t="s">
        <v>4912</v>
      </c>
      <c r="I704" s="6"/>
      <c r="J704" s="6" t="s">
        <v>74</v>
      </c>
      <c r="K704" s="6">
        <v>1</v>
      </c>
      <c r="L704" s="6">
        <v>199</v>
      </c>
      <c r="M704" s="7" t="s">
        <v>7910</v>
      </c>
      <c r="N704" s="8" t="str">
        <f>IF(Caja_Arequipa[[#This Row],[TIPO DE R.]]="R","001-"&amp;12002+B704,N703)</f>
        <v>001-12603</v>
      </c>
      <c r="O704" s="8" t="str">
        <f t="shared" si="127"/>
        <v>PEN</v>
      </c>
      <c r="P704" s="13"/>
      <c r="Q704" s="13">
        <v>50</v>
      </c>
      <c r="R704" s="3">
        <f t="shared" si="128"/>
        <v>0</v>
      </c>
      <c r="S704" s="3">
        <f t="shared" si="129"/>
        <v>50</v>
      </c>
      <c r="T704" s="3">
        <f t="shared" si="130"/>
        <v>1265.5999999999988</v>
      </c>
      <c r="U704" s="24"/>
      <c r="V704" s="24"/>
      <c r="W704" s="3"/>
      <c r="X704" s="3"/>
      <c r="Y704" s="3"/>
      <c r="Z704" s="3"/>
      <c r="AA704" s="3"/>
      <c r="AB704" s="3"/>
      <c r="AC704" s="3" t="str">
        <f>IF(Caja_Arequipa[[#This Row],[FECHA]]&gt;0,TEXT(Caja_Arequipa[[#This Row],[FECHA]],"mmmm"),0)</f>
        <v>Agosto</v>
      </c>
    </row>
    <row r="705" spans="2:29" ht="24" x14ac:dyDescent="0.3">
      <c r="B705" s="195">
        <f>IF(Caja_Arequipa[[#This Row],[TIPO DE R.]]="R",COUNTIFS($D$4:$D704,"R")+1,"")</f>
        <v>602</v>
      </c>
      <c r="C705" s="19" t="str">
        <f t="shared" ref="C705:C717" si="131">"C-Tesoreria"</f>
        <v>C-Tesoreria</v>
      </c>
      <c r="D705" s="3" t="s">
        <v>1074</v>
      </c>
      <c r="E705" s="196">
        <v>45896</v>
      </c>
      <c r="F705" s="5" t="s">
        <v>1082</v>
      </c>
      <c r="G705" s="5" t="s">
        <v>1079</v>
      </c>
      <c r="H705" s="3" t="s">
        <v>4912</v>
      </c>
      <c r="I705" s="6"/>
      <c r="J705" s="6" t="s">
        <v>74</v>
      </c>
      <c r="K705" s="6">
        <v>1</v>
      </c>
      <c r="L705" s="6">
        <v>200</v>
      </c>
      <c r="M705" s="7" t="s">
        <v>7952</v>
      </c>
      <c r="N705" s="199" t="str">
        <f>IF(Caja_Arequipa[[#This Row],[TIPO DE R.]]="R","001-"&amp;12002+B705,N704)</f>
        <v>001-12604</v>
      </c>
      <c r="O705" s="199" t="str">
        <f t="shared" ref="O705:O717" si="132">"PEN"</f>
        <v>PEN</v>
      </c>
      <c r="P705" s="13"/>
      <c r="Q705" s="200">
        <v>300</v>
      </c>
      <c r="R705" s="201">
        <f t="shared" ref="R705:R717" si="133">+IF(OR($G705="SALDO",$G705="INGRESO"),$Q705,0)</f>
        <v>0</v>
      </c>
      <c r="S705" s="201">
        <f t="shared" ref="S705:S717" si="134">+IF($G705="EGRESO",$Q705,0)</f>
        <v>300</v>
      </c>
      <c r="T705" s="201">
        <f t="shared" ref="T705:T717" si="135">IFERROR(IF(G705="SALDO",R705,T704+R705-S705),0)</f>
        <v>965.59999999999877</v>
      </c>
      <c r="U705" s="202"/>
      <c r="V705" s="202"/>
      <c r="W705" s="201"/>
      <c r="X705" s="3"/>
      <c r="Y705" s="3"/>
      <c r="Z705" s="3"/>
      <c r="AA705" s="3"/>
      <c r="AB705" s="3"/>
      <c r="AC705" s="201" t="str">
        <f>IF(Caja_Arequipa[[#This Row],[FECHA]]&gt;0,TEXT(Caja_Arequipa[[#This Row],[FECHA]],"mmmm"),0)</f>
        <v>Agosto</v>
      </c>
    </row>
    <row r="706" spans="2:29" x14ac:dyDescent="0.3">
      <c r="B706" s="195">
        <f>IF(Caja_Arequipa[[#This Row],[TIPO DE R.]]="R",COUNTIFS($D$4:$D705,"R")+1,"")</f>
        <v>603</v>
      </c>
      <c r="C706" s="19" t="str">
        <f t="shared" si="131"/>
        <v>C-Tesoreria</v>
      </c>
      <c r="D706" s="3" t="s">
        <v>1074</v>
      </c>
      <c r="E706" s="196">
        <v>45896</v>
      </c>
      <c r="F706" s="5" t="s">
        <v>1082</v>
      </c>
      <c r="G706" s="5" t="s">
        <v>1079</v>
      </c>
      <c r="H706" s="3" t="s">
        <v>5255</v>
      </c>
      <c r="I706" s="6"/>
      <c r="J706" s="6" t="s">
        <v>55</v>
      </c>
      <c r="K706" s="6">
        <v>3</v>
      </c>
      <c r="L706" s="6">
        <v>307</v>
      </c>
      <c r="M706" s="7" t="s">
        <v>7954</v>
      </c>
      <c r="N706" s="199" t="str">
        <f>IF(Caja_Arequipa[[#This Row],[TIPO DE R.]]="R","001-"&amp;12002+B706,N705)</f>
        <v>001-12605</v>
      </c>
      <c r="O706" s="199" t="str">
        <f t="shared" si="132"/>
        <v>PEN</v>
      </c>
      <c r="P706" s="13"/>
      <c r="Q706" s="200">
        <v>30</v>
      </c>
      <c r="R706" s="201">
        <f t="shared" si="133"/>
        <v>0</v>
      </c>
      <c r="S706" s="201">
        <f t="shared" si="134"/>
        <v>30</v>
      </c>
      <c r="T706" s="201">
        <f t="shared" si="135"/>
        <v>935.59999999999877</v>
      </c>
      <c r="U706" s="202"/>
      <c r="V706" s="202"/>
      <c r="W706" s="201"/>
      <c r="X706" s="3"/>
      <c r="Y706" s="3"/>
      <c r="Z706" s="3"/>
      <c r="AA706" s="3"/>
      <c r="AB706" s="3"/>
      <c r="AC706" s="201" t="str">
        <f>IF(Caja_Arequipa[[#This Row],[FECHA]]&gt;0,TEXT(Caja_Arequipa[[#This Row],[FECHA]],"mmmm"),0)</f>
        <v>Agosto</v>
      </c>
    </row>
    <row r="707" spans="2:29" x14ac:dyDescent="0.3">
      <c r="B707" s="195">
        <f>IF(Caja_Arequipa[[#This Row],[TIPO DE R.]]="R",COUNTIFS($D$4:$D706,"R")+1,"")</f>
        <v>604</v>
      </c>
      <c r="C707" s="19" t="str">
        <f t="shared" si="131"/>
        <v>C-Tesoreria</v>
      </c>
      <c r="D707" s="3" t="s">
        <v>1074</v>
      </c>
      <c r="E707" s="196">
        <v>45896</v>
      </c>
      <c r="F707" s="5" t="s">
        <v>1082</v>
      </c>
      <c r="G707" s="5" t="s">
        <v>1079</v>
      </c>
      <c r="H707" s="3" t="s">
        <v>5255</v>
      </c>
      <c r="I707" s="6"/>
      <c r="J707" s="6" t="s">
        <v>55</v>
      </c>
      <c r="K707" s="6">
        <v>3</v>
      </c>
      <c r="L707" s="6">
        <v>308</v>
      </c>
      <c r="M707" s="7" t="s">
        <v>7955</v>
      </c>
      <c r="N707" s="199" t="str">
        <f>IF(Caja_Arequipa[[#This Row],[TIPO DE R.]]="R","001-"&amp;12002+B707,N706)</f>
        <v>001-12606</v>
      </c>
      <c r="O707" s="199" t="str">
        <f t="shared" si="132"/>
        <v>PEN</v>
      </c>
      <c r="P707" s="13"/>
      <c r="Q707" s="200">
        <v>23</v>
      </c>
      <c r="R707" s="201">
        <f t="shared" si="133"/>
        <v>0</v>
      </c>
      <c r="S707" s="201">
        <f t="shared" si="134"/>
        <v>23</v>
      </c>
      <c r="T707" s="201">
        <f t="shared" si="135"/>
        <v>912.59999999999877</v>
      </c>
      <c r="U707" s="202"/>
      <c r="V707" s="202"/>
      <c r="W707" s="201"/>
      <c r="X707" s="3"/>
      <c r="Y707" s="3"/>
      <c r="Z707" s="3"/>
      <c r="AA707" s="3"/>
      <c r="AB707" s="3"/>
      <c r="AC707" s="201" t="str">
        <f>IF(Caja_Arequipa[[#This Row],[FECHA]]&gt;0,TEXT(Caja_Arequipa[[#This Row],[FECHA]],"mmmm"),0)</f>
        <v>Agosto</v>
      </c>
    </row>
    <row r="708" spans="2:29" x14ac:dyDescent="0.3">
      <c r="B708" s="195">
        <f>IF(Caja_Arequipa[[#This Row],[TIPO DE R.]]="R",COUNTIFS($D$4:$D707,"R")+1,"")</f>
        <v>605</v>
      </c>
      <c r="C708" s="19" t="str">
        <f t="shared" si="131"/>
        <v>C-Tesoreria</v>
      </c>
      <c r="D708" s="3" t="s">
        <v>1074</v>
      </c>
      <c r="E708" s="196">
        <v>45896</v>
      </c>
      <c r="F708" s="5" t="s">
        <v>1082</v>
      </c>
      <c r="G708" s="5" t="s">
        <v>1079</v>
      </c>
      <c r="H708" s="3" t="s">
        <v>5255</v>
      </c>
      <c r="I708" s="6"/>
      <c r="J708" s="6" t="s">
        <v>55</v>
      </c>
      <c r="K708" s="6">
        <v>3</v>
      </c>
      <c r="L708" s="6">
        <v>309</v>
      </c>
      <c r="M708" s="7" t="s">
        <v>7956</v>
      </c>
      <c r="N708" s="199" t="str">
        <f>IF(Caja_Arequipa[[#This Row],[TIPO DE R.]]="R","001-"&amp;12002+B708,N707)</f>
        <v>001-12607</v>
      </c>
      <c r="O708" s="199" t="str">
        <f t="shared" si="132"/>
        <v>PEN</v>
      </c>
      <c r="P708" s="13"/>
      <c r="Q708" s="200">
        <v>10</v>
      </c>
      <c r="R708" s="201">
        <f t="shared" si="133"/>
        <v>0</v>
      </c>
      <c r="S708" s="201">
        <f t="shared" si="134"/>
        <v>10</v>
      </c>
      <c r="T708" s="201">
        <f t="shared" si="135"/>
        <v>902.59999999999877</v>
      </c>
      <c r="U708" s="202"/>
      <c r="V708" s="202"/>
      <c r="W708" s="201"/>
      <c r="X708" s="3"/>
      <c r="Y708" s="3"/>
      <c r="Z708" s="3"/>
      <c r="AA708" s="3"/>
      <c r="AB708" s="3"/>
      <c r="AC708" s="201" t="str">
        <f>IF(Caja_Arequipa[[#This Row],[FECHA]]&gt;0,TEXT(Caja_Arequipa[[#This Row],[FECHA]],"mmmm"),0)</f>
        <v>Agosto</v>
      </c>
    </row>
    <row r="709" spans="2:29" x14ac:dyDescent="0.3">
      <c r="B709" s="195">
        <f>IF(Caja_Arequipa[[#This Row],[TIPO DE R.]]="R",COUNTIFS($D$4:$D708,"R")+1,"")</f>
        <v>606</v>
      </c>
      <c r="C709" s="19" t="str">
        <f t="shared" si="131"/>
        <v>C-Tesoreria</v>
      </c>
      <c r="D709" s="3" t="s">
        <v>1074</v>
      </c>
      <c r="E709" s="196">
        <v>45896</v>
      </c>
      <c r="F709" s="5" t="s">
        <v>1082</v>
      </c>
      <c r="G709" s="5" t="s">
        <v>1079</v>
      </c>
      <c r="H709" s="3" t="s">
        <v>5255</v>
      </c>
      <c r="I709" s="6"/>
      <c r="J709" s="6" t="s">
        <v>55</v>
      </c>
      <c r="K709" s="6">
        <v>3</v>
      </c>
      <c r="L709" s="6">
        <v>310</v>
      </c>
      <c r="M709" s="7" t="s">
        <v>7957</v>
      </c>
      <c r="N709" s="199" t="str">
        <f>IF(Caja_Arequipa[[#This Row],[TIPO DE R.]]="R","001-"&amp;12002+B709,N708)</f>
        <v>001-12608</v>
      </c>
      <c r="O709" s="199" t="str">
        <f t="shared" si="132"/>
        <v>PEN</v>
      </c>
      <c r="P709" s="13"/>
      <c r="Q709" s="200">
        <v>15</v>
      </c>
      <c r="R709" s="201">
        <f t="shared" si="133"/>
        <v>0</v>
      </c>
      <c r="S709" s="201">
        <f t="shared" si="134"/>
        <v>15</v>
      </c>
      <c r="T709" s="201">
        <f t="shared" si="135"/>
        <v>887.59999999999877</v>
      </c>
      <c r="U709" s="202"/>
      <c r="V709" s="202"/>
      <c r="W709" s="201"/>
      <c r="X709" s="3"/>
      <c r="Y709" s="3"/>
      <c r="Z709" s="3"/>
      <c r="AA709" s="3"/>
      <c r="AB709" s="3"/>
      <c r="AC709" s="201" t="str">
        <f>IF(Caja_Arequipa[[#This Row],[FECHA]]&gt;0,TEXT(Caja_Arequipa[[#This Row],[FECHA]],"mmmm"),0)</f>
        <v>Agosto</v>
      </c>
    </row>
    <row r="710" spans="2:29" x14ac:dyDescent="0.3">
      <c r="B710" s="195">
        <f>IF(Caja_Arequipa[[#This Row],[TIPO DE R.]]="R",COUNTIFS($D$4:$D709,"R")+1,"")</f>
        <v>607</v>
      </c>
      <c r="C710" s="19" t="str">
        <f t="shared" si="131"/>
        <v>C-Tesoreria</v>
      </c>
      <c r="D710" s="3" t="s">
        <v>1074</v>
      </c>
      <c r="E710" s="196">
        <v>45896</v>
      </c>
      <c r="F710" s="5" t="s">
        <v>1082</v>
      </c>
      <c r="G710" s="5" t="s">
        <v>1079</v>
      </c>
      <c r="H710" s="3" t="s">
        <v>5255</v>
      </c>
      <c r="I710" s="6"/>
      <c r="J710" s="6" t="s">
        <v>55</v>
      </c>
      <c r="K710" s="6">
        <v>3</v>
      </c>
      <c r="L710" s="6">
        <v>311</v>
      </c>
      <c r="M710" s="7" t="s">
        <v>7958</v>
      </c>
      <c r="N710" s="199" t="str">
        <f>IF(Caja_Arequipa[[#This Row],[TIPO DE R.]]="R","001-"&amp;12002+B710,N709)</f>
        <v>001-12609</v>
      </c>
      <c r="O710" s="199" t="str">
        <f t="shared" si="132"/>
        <v>PEN</v>
      </c>
      <c r="P710" s="13"/>
      <c r="Q710" s="200">
        <v>26</v>
      </c>
      <c r="R710" s="201">
        <f t="shared" si="133"/>
        <v>0</v>
      </c>
      <c r="S710" s="201">
        <f t="shared" si="134"/>
        <v>26</v>
      </c>
      <c r="T710" s="201">
        <f t="shared" si="135"/>
        <v>861.59999999999877</v>
      </c>
      <c r="U710" s="202"/>
      <c r="V710" s="202"/>
      <c r="W710" s="201"/>
      <c r="X710" s="3"/>
      <c r="Y710" s="3"/>
      <c r="Z710" s="3"/>
      <c r="AA710" s="3"/>
      <c r="AB710" s="3"/>
      <c r="AC710" s="201" t="str">
        <f>IF(Caja_Arequipa[[#This Row],[FECHA]]&gt;0,TEXT(Caja_Arequipa[[#This Row],[FECHA]],"mmmm"),0)</f>
        <v>Agosto</v>
      </c>
    </row>
    <row r="711" spans="2:29" x14ac:dyDescent="0.3">
      <c r="B711" s="195">
        <f>IF(Caja_Arequipa[[#This Row],[TIPO DE R.]]="R",COUNTIFS($D$4:$D710,"R")+1,"")</f>
        <v>608</v>
      </c>
      <c r="C711" s="19" t="str">
        <f t="shared" si="131"/>
        <v>C-Tesoreria</v>
      </c>
      <c r="D711" s="3" t="s">
        <v>1074</v>
      </c>
      <c r="E711" s="196">
        <v>45896</v>
      </c>
      <c r="F711" s="5" t="s">
        <v>1082</v>
      </c>
      <c r="G711" s="5" t="s">
        <v>1079</v>
      </c>
      <c r="H711" s="3" t="s">
        <v>5255</v>
      </c>
      <c r="I711" s="6"/>
      <c r="J711" s="6" t="s">
        <v>55</v>
      </c>
      <c r="K711" s="6">
        <v>3</v>
      </c>
      <c r="L711" s="6">
        <v>312</v>
      </c>
      <c r="M711" s="7" t="s">
        <v>7959</v>
      </c>
      <c r="N711" s="199" t="str">
        <f>IF(Caja_Arequipa[[#This Row],[TIPO DE R.]]="R","001-"&amp;12002+B711,N710)</f>
        <v>001-12610</v>
      </c>
      <c r="O711" s="199" t="str">
        <f t="shared" si="132"/>
        <v>PEN</v>
      </c>
      <c r="P711" s="13"/>
      <c r="Q711" s="200">
        <v>120</v>
      </c>
      <c r="R711" s="201">
        <f t="shared" si="133"/>
        <v>0</v>
      </c>
      <c r="S711" s="201">
        <f t="shared" si="134"/>
        <v>120</v>
      </c>
      <c r="T711" s="201">
        <f t="shared" si="135"/>
        <v>741.59999999999877</v>
      </c>
      <c r="U711" s="202"/>
      <c r="V711" s="202"/>
      <c r="W711" s="201"/>
      <c r="X711" s="3"/>
      <c r="Y711" s="3"/>
      <c r="Z711" s="3"/>
      <c r="AA711" s="3"/>
      <c r="AB711" s="3"/>
      <c r="AC711" s="201" t="str">
        <f>IF(Caja_Arequipa[[#This Row],[FECHA]]&gt;0,TEXT(Caja_Arequipa[[#This Row],[FECHA]],"mmmm"),0)</f>
        <v>Agosto</v>
      </c>
    </row>
    <row r="712" spans="2:29" x14ac:dyDescent="0.3">
      <c r="B712" s="195">
        <f>IF(Caja_Arequipa[[#This Row],[TIPO DE R.]]="R",COUNTIFS($D$4:$D711,"R")+1,"")</f>
        <v>609</v>
      </c>
      <c r="C712" s="19" t="str">
        <f t="shared" si="131"/>
        <v>C-Tesoreria</v>
      </c>
      <c r="D712" s="3" t="s">
        <v>1074</v>
      </c>
      <c r="E712" s="196">
        <v>45896</v>
      </c>
      <c r="F712" s="5" t="s">
        <v>1082</v>
      </c>
      <c r="G712" s="5" t="s">
        <v>1079</v>
      </c>
      <c r="H712" s="3" t="s">
        <v>5255</v>
      </c>
      <c r="I712" s="6"/>
      <c r="J712" s="6" t="s">
        <v>55</v>
      </c>
      <c r="K712" s="6">
        <v>3</v>
      </c>
      <c r="L712" s="6">
        <v>313</v>
      </c>
      <c r="M712" s="7" t="s">
        <v>7960</v>
      </c>
      <c r="N712" s="199" t="str">
        <f>IF(Caja_Arequipa[[#This Row],[TIPO DE R.]]="R","001-"&amp;12002+B712,N711)</f>
        <v>001-12611</v>
      </c>
      <c r="O712" s="199" t="str">
        <f t="shared" si="132"/>
        <v>PEN</v>
      </c>
      <c r="P712" s="13"/>
      <c r="Q712" s="200">
        <v>69</v>
      </c>
      <c r="R712" s="201">
        <f t="shared" si="133"/>
        <v>0</v>
      </c>
      <c r="S712" s="201">
        <f t="shared" si="134"/>
        <v>69</v>
      </c>
      <c r="T712" s="201">
        <f t="shared" si="135"/>
        <v>672.59999999999877</v>
      </c>
      <c r="U712" s="202"/>
      <c r="V712" s="202"/>
      <c r="W712" s="201"/>
      <c r="X712" s="3"/>
      <c r="Y712" s="3"/>
      <c r="Z712" s="3"/>
      <c r="AA712" s="3"/>
      <c r="AB712" s="3"/>
      <c r="AC712" s="201" t="str">
        <f>IF(Caja_Arequipa[[#This Row],[FECHA]]&gt;0,TEXT(Caja_Arequipa[[#This Row],[FECHA]],"mmmm"),0)</f>
        <v>Agosto</v>
      </c>
    </row>
    <row r="713" spans="2:29" x14ac:dyDescent="0.3">
      <c r="B713" s="195">
        <f>IF(Caja_Arequipa[[#This Row],[TIPO DE R.]]="R",COUNTIFS($D$4:$D712,"R")+1,"")</f>
        <v>610</v>
      </c>
      <c r="C713" s="19" t="str">
        <f t="shared" si="131"/>
        <v>C-Tesoreria</v>
      </c>
      <c r="D713" s="3" t="s">
        <v>1074</v>
      </c>
      <c r="E713" s="196">
        <v>45896</v>
      </c>
      <c r="F713" s="5" t="s">
        <v>1082</v>
      </c>
      <c r="G713" s="5" t="s">
        <v>1079</v>
      </c>
      <c r="H713" s="3" t="s">
        <v>5255</v>
      </c>
      <c r="I713" s="6"/>
      <c r="J713" s="6" t="s">
        <v>55</v>
      </c>
      <c r="K713" s="6">
        <v>3</v>
      </c>
      <c r="L713" s="6">
        <v>314</v>
      </c>
      <c r="M713" s="7" t="s">
        <v>7961</v>
      </c>
      <c r="N713" s="199" t="str">
        <f>IF(Caja_Arequipa[[#This Row],[TIPO DE R.]]="R","001-"&amp;12002+B713,N712)</f>
        <v>001-12612</v>
      </c>
      <c r="O713" s="199" t="str">
        <f t="shared" si="132"/>
        <v>PEN</v>
      </c>
      <c r="P713" s="13"/>
      <c r="Q713" s="200">
        <v>92</v>
      </c>
      <c r="R713" s="201">
        <f t="shared" si="133"/>
        <v>0</v>
      </c>
      <c r="S713" s="201">
        <f t="shared" si="134"/>
        <v>92</v>
      </c>
      <c r="T713" s="201">
        <f t="shared" si="135"/>
        <v>580.59999999999877</v>
      </c>
      <c r="U713" s="202"/>
      <c r="V713" s="202"/>
      <c r="W713" s="201"/>
      <c r="X713" s="3"/>
      <c r="Y713" s="3"/>
      <c r="Z713" s="3"/>
      <c r="AA713" s="3"/>
      <c r="AB713" s="3"/>
      <c r="AC713" s="201" t="str">
        <f>IF(Caja_Arequipa[[#This Row],[FECHA]]&gt;0,TEXT(Caja_Arequipa[[#This Row],[FECHA]],"mmmm"),0)</f>
        <v>Agosto</v>
      </c>
    </row>
    <row r="714" spans="2:29" x14ac:dyDescent="0.3">
      <c r="B714" s="195">
        <f>IF(Caja_Arequipa[[#This Row],[TIPO DE R.]]="R",COUNTIFS($D$4:$D713,"R")+1,"")</f>
        <v>611</v>
      </c>
      <c r="C714" s="19" t="str">
        <f t="shared" si="131"/>
        <v>C-Tesoreria</v>
      </c>
      <c r="D714" s="3" t="s">
        <v>1074</v>
      </c>
      <c r="E714" s="196">
        <v>45896</v>
      </c>
      <c r="F714" s="5" t="s">
        <v>1082</v>
      </c>
      <c r="G714" s="5" t="s">
        <v>1079</v>
      </c>
      <c r="H714" s="3" t="s">
        <v>5255</v>
      </c>
      <c r="I714" s="6"/>
      <c r="J714" s="6" t="s">
        <v>55</v>
      </c>
      <c r="K714" s="6">
        <v>3</v>
      </c>
      <c r="L714" s="6">
        <v>315</v>
      </c>
      <c r="M714" s="7" t="s">
        <v>7962</v>
      </c>
      <c r="N714" s="199" t="str">
        <f>IF(Caja_Arequipa[[#This Row],[TIPO DE R.]]="R","001-"&amp;12002+B714,N713)</f>
        <v>001-12613</v>
      </c>
      <c r="O714" s="199" t="str">
        <f t="shared" si="132"/>
        <v>PEN</v>
      </c>
      <c r="P714" s="13"/>
      <c r="Q714" s="200">
        <v>21</v>
      </c>
      <c r="R714" s="201">
        <f t="shared" si="133"/>
        <v>0</v>
      </c>
      <c r="S714" s="201">
        <f t="shared" si="134"/>
        <v>21</v>
      </c>
      <c r="T714" s="201">
        <f t="shared" si="135"/>
        <v>559.59999999999877</v>
      </c>
      <c r="U714" s="202"/>
      <c r="V714" s="202"/>
      <c r="W714" s="201"/>
      <c r="X714" s="3"/>
      <c r="Y714" s="3"/>
      <c r="Z714" s="3"/>
      <c r="AA714" s="3"/>
      <c r="AB714" s="3"/>
      <c r="AC714" s="201" t="str">
        <f>IF(Caja_Arequipa[[#This Row],[FECHA]]&gt;0,TEXT(Caja_Arequipa[[#This Row],[FECHA]],"mmmm"),0)</f>
        <v>Agosto</v>
      </c>
    </row>
    <row r="715" spans="2:29" x14ac:dyDescent="0.3">
      <c r="B715" s="195">
        <f>IF(Caja_Arequipa[[#This Row],[TIPO DE R.]]="R",COUNTIFS($D$4:$D714,"R")+1,"")</f>
        <v>612</v>
      </c>
      <c r="C715" s="19" t="str">
        <f t="shared" si="131"/>
        <v>C-Tesoreria</v>
      </c>
      <c r="D715" s="3" t="s">
        <v>1074</v>
      </c>
      <c r="E715" s="196">
        <v>45896</v>
      </c>
      <c r="F715" s="5" t="s">
        <v>1082</v>
      </c>
      <c r="G715" s="5" t="s">
        <v>1079</v>
      </c>
      <c r="H715" s="3" t="s">
        <v>5255</v>
      </c>
      <c r="I715" s="6"/>
      <c r="J715" s="6" t="s">
        <v>55</v>
      </c>
      <c r="K715" s="6">
        <v>3</v>
      </c>
      <c r="L715" s="6">
        <v>319</v>
      </c>
      <c r="M715" s="7" t="s">
        <v>7963</v>
      </c>
      <c r="N715" s="199" t="str">
        <f>IF(Caja_Arequipa[[#This Row],[TIPO DE R.]]="R","001-"&amp;12002+B715,N714)</f>
        <v>001-12614</v>
      </c>
      <c r="O715" s="199" t="str">
        <f t="shared" si="132"/>
        <v>PEN</v>
      </c>
      <c r="P715" s="13"/>
      <c r="Q715" s="200">
        <v>46</v>
      </c>
      <c r="R715" s="201">
        <f t="shared" si="133"/>
        <v>0</v>
      </c>
      <c r="S715" s="201">
        <f t="shared" si="134"/>
        <v>46</v>
      </c>
      <c r="T715" s="201">
        <f t="shared" si="135"/>
        <v>513.59999999999877</v>
      </c>
      <c r="U715" s="202"/>
      <c r="V715" s="202"/>
      <c r="W715" s="201"/>
      <c r="X715" s="3"/>
      <c r="Y715" s="3"/>
      <c r="Z715" s="3"/>
      <c r="AA715" s="3"/>
      <c r="AB715" s="3"/>
      <c r="AC715" s="201" t="str">
        <f>IF(Caja_Arequipa[[#This Row],[FECHA]]&gt;0,TEXT(Caja_Arequipa[[#This Row],[FECHA]],"mmmm"),0)</f>
        <v>Agosto</v>
      </c>
    </row>
    <row r="716" spans="2:29" x14ac:dyDescent="0.3">
      <c r="B716" s="195">
        <f>IF(Caja_Arequipa[[#This Row],[TIPO DE R.]]="R",COUNTIFS($D$4:$D715,"R")+1,"")</f>
        <v>613</v>
      </c>
      <c r="C716" s="19" t="str">
        <f t="shared" si="131"/>
        <v>C-Tesoreria</v>
      </c>
      <c r="D716" s="3" t="s">
        <v>1074</v>
      </c>
      <c r="E716" s="196">
        <v>45896</v>
      </c>
      <c r="F716" s="5" t="s">
        <v>1082</v>
      </c>
      <c r="G716" s="5" t="s">
        <v>1079</v>
      </c>
      <c r="H716" s="3" t="s">
        <v>5255</v>
      </c>
      <c r="I716" s="6"/>
      <c r="J716" s="6" t="s">
        <v>55</v>
      </c>
      <c r="K716" s="6">
        <v>3</v>
      </c>
      <c r="L716" s="6">
        <v>320</v>
      </c>
      <c r="M716" s="7" t="s">
        <v>7964</v>
      </c>
      <c r="N716" s="199" t="str">
        <f>IF(Caja_Arequipa[[#This Row],[TIPO DE R.]]="R","001-"&amp;12002+B716,N715)</f>
        <v>001-12615</v>
      </c>
      <c r="O716" s="199" t="str">
        <f t="shared" si="132"/>
        <v>PEN</v>
      </c>
      <c r="P716" s="13"/>
      <c r="Q716" s="200">
        <v>110</v>
      </c>
      <c r="R716" s="201">
        <f t="shared" si="133"/>
        <v>0</v>
      </c>
      <c r="S716" s="201">
        <f t="shared" si="134"/>
        <v>110</v>
      </c>
      <c r="T716" s="201">
        <f t="shared" si="135"/>
        <v>403.59999999999877</v>
      </c>
      <c r="U716" s="202"/>
      <c r="V716" s="202"/>
      <c r="W716" s="201"/>
      <c r="X716" s="3"/>
      <c r="Y716" s="3"/>
      <c r="Z716" s="3"/>
      <c r="AA716" s="3"/>
      <c r="AB716" s="3"/>
      <c r="AC716" s="201" t="str">
        <f>IF(Caja_Arequipa[[#This Row],[FECHA]]&gt;0,TEXT(Caja_Arequipa[[#This Row],[FECHA]],"mmmm"),0)</f>
        <v>Agosto</v>
      </c>
    </row>
    <row r="717" spans="2:29" x14ac:dyDescent="0.3">
      <c r="B717" s="195">
        <f>IF(Caja_Arequipa[[#This Row],[TIPO DE R.]]="R",COUNTIFS($D$4:$D716,"R")+1,"")</f>
        <v>614</v>
      </c>
      <c r="C717" s="19" t="str">
        <f t="shared" si="131"/>
        <v>C-Tesoreria</v>
      </c>
      <c r="D717" s="3" t="s">
        <v>1074</v>
      </c>
      <c r="E717" s="196">
        <v>45896</v>
      </c>
      <c r="F717" s="5" t="s">
        <v>1082</v>
      </c>
      <c r="G717" s="5" t="s">
        <v>1079</v>
      </c>
      <c r="H717" s="3" t="s">
        <v>5255</v>
      </c>
      <c r="I717" s="6"/>
      <c r="J717" s="6" t="s">
        <v>55</v>
      </c>
      <c r="K717" s="6">
        <v>3</v>
      </c>
      <c r="L717" s="6">
        <v>321</v>
      </c>
      <c r="M717" s="7" t="s">
        <v>7964</v>
      </c>
      <c r="N717" s="199" t="str">
        <f>IF(Caja_Arequipa[[#This Row],[TIPO DE R.]]="R","001-"&amp;12002+B717,N716)</f>
        <v>001-12616</v>
      </c>
      <c r="O717" s="199" t="str">
        <f t="shared" si="132"/>
        <v>PEN</v>
      </c>
      <c r="P717" s="13"/>
      <c r="Q717" s="200">
        <v>60</v>
      </c>
      <c r="R717" s="201">
        <f t="shared" si="133"/>
        <v>0</v>
      </c>
      <c r="S717" s="201">
        <f t="shared" si="134"/>
        <v>60</v>
      </c>
      <c r="T717" s="201">
        <f t="shared" si="135"/>
        <v>343.59999999999877</v>
      </c>
      <c r="U717" s="202"/>
      <c r="V717" s="202"/>
      <c r="W717" s="201"/>
      <c r="X717" s="3"/>
      <c r="Y717" s="3"/>
      <c r="Z717" s="3"/>
      <c r="AA717" s="3"/>
      <c r="AB717" s="3"/>
      <c r="AC717" s="201" t="str">
        <f>IF(Caja_Arequipa[[#This Row],[FECHA]]&gt;0,TEXT(Caja_Arequipa[[#This Row],[FECHA]],"mmmm"),0)</f>
        <v>Agosto</v>
      </c>
    </row>
    <row r="718" spans="2:29" ht="24" x14ac:dyDescent="0.3">
      <c r="B718" s="215">
        <f>IF(Caja_Arequipa[[#This Row],[TIPO DE R.]]="R",COUNTIFS($D$4:$D717,"R")+1,"")</f>
        <v>615</v>
      </c>
      <c r="C718" s="19" t="str">
        <f t="shared" ref="C718:C723" si="136">"C-Tesoreria"</f>
        <v>C-Tesoreria</v>
      </c>
      <c r="D718" s="3" t="s">
        <v>1074</v>
      </c>
      <c r="E718" s="216">
        <v>45898</v>
      </c>
      <c r="F718" s="5" t="s">
        <v>1082</v>
      </c>
      <c r="G718" s="5" t="s">
        <v>1079</v>
      </c>
      <c r="H718" s="3" t="s">
        <v>3562</v>
      </c>
      <c r="I718" s="6" t="s">
        <v>687</v>
      </c>
      <c r="J718" s="6" t="s">
        <v>18</v>
      </c>
      <c r="K718" s="6" t="s">
        <v>1121</v>
      </c>
      <c r="L718" s="6">
        <v>19</v>
      </c>
      <c r="M718" s="7" t="s">
        <v>7985</v>
      </c>
      <c r="N718" s="218" t="str">
        <f>IF(Caja_Arequipa[[#This Row],[TIPO DE R.]]="R","001-"&amp;12002+B718,N717)</f>
        <v>001-12617</v>
      </c>
      <c r="O718" s="218" t="str">
        <f t="shared" ref="O718:O723" si="137">"PEN"</f>
        <v>PEN</v>
      </c>
      <c r="P718" s="13"/>
      <c r="Q718" s="219">
        <v>150</v>
      </c>
      <c r="R718" s="220">
        <f t="shared" ref="R718:R723" si="138">+IF(OR($G718="SALDO",$G718="INGRESO"),$Q718,0)</f>
        <v>0</v>
      </c>
      <c r="S718" s="220">
        <f t="shared" ref="S718:S723" si="139">+IF($G718="EGRESO",$Q718,0)</f>
        <v>150</v>
      </c>
      <c r="T718" s="220">
        <f t="shared" ref="T718:T723" si="140">IFERROR(IF(G718="SALDO",R718,T717+R718-S718),0)</f>
        <v>193.59999999999877</v>
      </c>
      <c r="U718" s="221"/>
      <c r="V718" s="221"/>
      <c r="W718" s="220"/>
      <c r="X718" s="3"/>
      <c r="Y718" s="3"/>
      <c r="Z718" s="3"/>
      <c r="AA718" s="3"/>
      <c r="AB718" s="3"/>
      <c r="AC718" s="220" t="str">
        <f>IF(Caja_Arequipa[[#This Row],[FECHA]]&gt;0,TEXT(Caja_Arequipa[[#This Row],[FECHA]],"mmmm"),0)</f>
        <v>Agosto</v>
      </c>
    </row>
    <row r="719" spans="2:29" x14ac:dyDescent="0.3">
      <c r="B719" s="225">
        <f>IF(Caja_Arequipa[[#This Row],[TIPO DE R.]]="R",COUNTIFS($D$4:$D718,"R")+1,"")</f>
        <v>616</v>
      </c>
      <c r="C719" s="19" t="str">
        <f t="shared" si="136"/>
        <v>C-Tesoreria</v>
      </c>
      <c r="D719" s="3" t="s">
        <v>1074</v>
      </c>
      <c r="E719" s="226">
        <v>45901</v>
      </c>
      <c r="F719" s="5" t="s">
        <v>1082</v>
      </c>
      <c r="G719" s="5" t="s">
        <v>1079</v>
      </c>
      <c r="H719" s="3" t="s">
        <v>4433</v>
      </c>
      <c r="I719" s="6"/>
      <c r="J719" s="6"/>
      <c r="K719" s="6"/>
      <c r="L719" s="6"/>
      <c r="M719" s="7" t="s">
        <v>5091</v>
      </c>
      <c r="N719" s="229" t="str">
        <f>IF(Caja_Arequipa[[#This Row],[TIPO DE R.]]="R","001-"&amp;12002+B719,N718)</f>
        <v>001-12618</v>
      </c>
      <c r="O719" s="229" t="str">
        <f t="shared" si="137"/>
        <v>PEN</v>
      </c>
      <c r="P719" s="13"/>
      <c r="Q719" s="230">
        <v>25</v>
      </c>
      <c r="R719" s="231">
        <f t="shared" si="138"/>
        <v>0</v>
      </c>
      <c r="S719" s="231">
        <f t="shared" si="139"/>
        <v>25</v>
      </c>
      <c r="T719" s="231">
        <f t="shared" si="140"/>
        <v>168.59999999999877</v>
      </c>
      <c r="U719" s="232"/>
      <c r="V719" s="232"/>
      <c r="W719" s="231"/>
      <c r="X719" s="3"/>
      <c r="Y719" s="3"/>
      <c r="Z719" s="3"/>
      <c r="AA719" s="3"/>
      <c r="AB719" s="3"/>
      <c r="AC719" s="231" t="str">
        <f>IF(Caja_Arequipa[[#This Row],[FECHA]]&gt;0,TEXT(Caja_Arequipa[[#This Row],[FECHA]],"mmmm"),0)</f>
        <v>Setiembre</v>
      </c>
    </row>
    <row r="720" spans="2:29" x14ac:dyDescent="0.3">
      <c r="B720" s="225" t="str">
        <f>IF(Caja_Arequipa[[#This Row],[TIPO DE R.]]="R",COUNTIFS($D$4:$D719,"R")+1,"")</f>
        <v/>
      </c>
      <c r="C720" s="19" t="str">
        <f t="shared" si="136"/>
        <v>C-Tesoreria</v>
      </c>
      <c r="D720" s="3" t="s">
        <v>1101</v>
      </c>
      <c r="E720" s="226">
        <v>45901</v>
      </c>
      <c r="F720" s="5" t="s">
        <v>1082</v>
      </c>
      <c r="G720" s="227"/>
      <c r="H720" s="3"/>
      <c r="I720" s="6"/>
      <c r="J720" s="6" t="s">
        <v>14</v>
      </c>
      <c r="K720" s="6" t="s">
        <v>1097</v>
      </c>
      <c r="L720" s="6">
        <v>17491</v>
      </c>
      <c r="M720" s="7" t="s">
        <v>5091</v>
      </c>
      <c r="N720" s="229" t="str">
        <f>IF(Caja_Arequipa[[#This Row],[TIPO DE R.]]="R","001-"&amp;12002+B720,N719)</f>
        <v>001-12618</v>
      </c>
      <c r="O720" s="229" t="str">
        <f t="shared" si="137"/>
        <v>PEN</v>
      </c>
      <c r="P720" s="13">
        <v>20</v>
      </c>
      <c r="Q720" s="230"/>
      <c r="R720" s="231">
        <f t="shared" si="138"/>
        <v>0</v>
      </c>
      <c r="S720" s="231">
        <f t="shared" si="139"/>
        <v>0</v>
      </c>
      <c r="T720" s="231">
        <f t="shared" si="140"/>
        <v>168.59999999999877</v>
      </c>
      <c r="U720" s="232"/>
      <c r="V720" s="232"/>
      <c r="W720" s="231"/>
      <c r="X720" s="3"/>
      <c r="Y720" s="3"/>
      <c r="Z720" s="3"/>
      <c r="AA720" s="3"/>
      <c r="AB720" s="3"/>
      <c r="AC720" s="231" t="str">
        <f>IF(Caja_Arequipa[[#This Row],[FECHA]]&gt;0,TEXT(Caja_Arequipa[[#This Row],[FECHA]],"mmmm"),0)</f>
        <v>Setiembre</v>
      </c>
    </row>
    <row r="721" spans="2:29" x14ac:dyDescent="0.3">
      <c r="B721" s="225" t="str">
        <f>IF(Caja_Arequipa[[#This Row],[TIPO DE R.]]="R",COUNTIFS($D$4:$D720,"R")+1,"")</f>
        <v/>
      </c>
      <c r="C721" s="19" t="str">
        <f t="shared" si="136"/>
        <v>C-Tesoreria</v>
      </c>
      <c r="D721" s="3" t="s">
        <v>1101</v>
      </c>
      <c r="E721" s="226">
        <v>45901</v>
      </c>
      <c r="F721" s="5" t="s">
        <v>1082</v>
      </c>
      <c r="G721" s="227"/>
      <c r="H721" s="3"/>
      <c r="I721" s="6"/>
      <c r="J721" s="6" t="s">
        <v>14</v>
      </c>
      <c r="K721" s="6" t="s">
        <v>5244</v>
      </c>
      <c r="L721" s="6">
        <v>1622835</v>
      </c>
      <c r="M721" s="7" t="s">
        <v>5091</v>
      </c>
      <c r="N721" s="229" t="str">
        <f>IF(Caja_Arequipa[[#This Row],[TIPO DE R.]]="R","001-"&amp;12002+B721,N720)</f>
        <v>001-12618</v>
      </c>
      <c r="O721" s="229" t="str">
        <f t="shared" si="137"/>
        <v>PEN</v>
      </c>
      <c r="P721" s="13">
        <v>5</v>
      </c>
      <c r="Q721" s="230"/>
      <c r="R721" s="231">
        <f t="shared" si="138"/>
        <v>0</v>
      </c>
      <c r="S721" s="231">
        <f t="shared" si="139"/>
        <v>0</v>
      </c>
      <c r="T721" s="231">
        <f t="shared" si="140"/>
        <v>168.59999999999877</v>
      </c>
      <c r="U721" s="232"/>
      <c r="V721" s="232"/>
      <c r="W721" s="231"/>
      <c r="X721" s="3"/>
      <c r="Y721" s="3"/>
      <c r="Z721" s="3"/>
      <c r="AA721" s="3"/>
      <c r="AB721" s="3"/>
      <c r="AC721" s="231" t="str">
        <f>IF(Caja_Arequipa[[#This Row],[FECHA]]&gt;0,TEXT(Caja_Arequipa[[#This Row],[FECHA]],"mmmm"),0)</f>
        <v>Setiembre</v>
      </c>
    </row>
    <row r="722" spans="2:29" ht="24" x14ac:dyDescent="0.3">
      <c r="B722" s="225">
        <f>IF(Caja_Arequipa[[#This Row],[TIPO DE R.]]="R",COUNTIFS($D$4:$D721,"R")+1,"")</f>
        <v>617</v>
      </c>
      <c r="C722" s="19" t="str">
        <f t="shared" si="136"/>
        <v>C-Tesoreria</v>
      </c>
      <c r="D722" s="3" t="s">
        <v>1074</v>
      </c>
      <c r="E722" s="226">
        <v>45901</v>
      </c>
      <c r="F722" s="5" t="s">
        <v>1082</v>
      </c>
      <c r="G722" s="5" t="s">
        <v>1079</v>
      </c>
      <c r="H722" s="3" t="s">
        <v>4912</v>
      </c>
      <c r="I722" s="6"/>
      <c r="J722" s="6" t="s">
        <v>74</v>
      </c>
      <c r="K722" s="6">
        <v>1</v>
      </c>
      <c r="L722" s="6">
        <v>201</v>
      </c>
      <c r="M722" s="7" t="s">
        <v>8033</v>
      </c>
      <c r="N722" s="229" t="str">
        <f>IF(Caja_Arequipa[[#This Row],[TIPO DE R.]]="R","001-"&amp;12002+B722,N721)</f>
        <v>001-12619</v>
      </c>
      <c r="O722" s="229" t="str">
        <f t="shared" si="137"/>
        <v>PEN</v>
      </c>
      <c r="P722" s="13"/>
      <c r="Q722" s="230">
        <v>20</v>
      </c>
      <c r="R722" s="231">
        <f t="shared" si="138"/>
        <v>0</v>
      </c>
      <c r="S722" s="231">
        <f t="shared" si="139"/>
        <v>20</v>
      </c>
      <c r="T722" s="231">
        <f t="shared" si="140"/>
        <v>148.59999999999877</v>
      </c>
      <c r="U722" s="232"/>
      <c r="V722" s="232"/>
      <c r="W722" s="231"/>
      <c r="X722" s="3"/>
      <c r="Y722" s="3"/>
      <c r="Z722" s="3"/>
      <c r="AA722" s="3"/>
      <c r="AB722" s="3"/>
      <c r="AC722" s="231" t="str">
        <f>IF(Caja_Arequipa[[#This Row],[FECHA]]&gt;0,TEXT(Caja_Arequipa[[#This Row],[FECHA]],"mmmm"),0)</f>
        <v>Setiembre</v>
      </c>
    </row>
    <row r="723" spans="2:29" ht="24" x14ac:dyDescent="0.3">
      <c r="B723" s="2">
        <f>IF(Caja_Arequipa[[#This Row],[TIPO DE R.]]="R",COUNTIFS($D$4:$D722,"R")+1,"")</f>
        <v>618</v>
      </c>
      <c r="C723" s="19" t="str">
        <f t="shared" si="136"/>
        <v>C-Tesoreria</v>
      </c>
      <c r="D723" s="3" t="s">
        <v>1074</v>
      </c>
      <c r="E723" s="14">
        <v>45901</v>
      </c>
      <c r="F723" s="5" t="s">
        <v>1082</v>
      </c>
      <c r="G723" s="5" t="s">
        <v>1079</v>
      </c>
      <c r="H723" s="3" t="s">
        <v>4305</v>
      </c>
      <c r="I723" s="6" t="s">
        <v>915</v>
      </c>
      <c r="J723" s="6" t="s">
        <v>14</v>
      </c>
      <c r="K723" s="6" t="s">
        <v>5142</v>
      </c>
      <c r="L723" s="6">
        <v>14315</v>
      </c>
      <c r="M723" s="7" t="s">
        <v>8046</v>
      </c>
      <c r="N723" s="8" t="str">
        <f>IF(Caja_Arequipa[[#This Row],[TIPO DE R.]]="R","001-"&amp;12002+B723,N722)</f>
        <v>001-12620</v>
      </c>
      <c r="O723" s="8" t="str">
        <f t="shared" si="137"/>
        <v>PEN</v>
      </c>
      <c r="P723" s="13"/>
      <c r="Q723" s="13">
        <v>20</v>
      </c>
      <c r="R723" s="3">
        <f t="shared" si="138"/>
        <v>0</v>
      </c>
      <c r="S723" s="3">
        <f t="shared" si="139"/>
        <v>20</v>
      </c>
      <c r="T723" s="3">
        <f t="shared" si="140"/>
        <v>128.59999999999877</v>
      </c>
      <c r="U723" s="24"/>
      <c r="V723" s="24"/>
      <c r="W723" s="3"/>
      <c r="X723" s="3"/>
      <c r="Y723" s="3"/>
      <c r="Z723" s="3"/>
      <c r="AA723" s="3"/>
      <c r="AB723" s="3"/>
      <c r="AC723" s="3" t="str">
        <f>IF(Caja_Arequipa[[#This Row],[FECHA]]&gt;0,TEXT(Caja_Arequipa[[#This Row],[FECHA]],"mmmm"),0)</f>
        <v>Setiembre</v>
      </c>
    </row>
    <row r="724" spans="2:29" x14ac:dyDescent="0.3">
      <c r="B724" s="2"/>
      <c r="C724" s="19"/>
      <c r="D724" s="3"/>
      <c r="E724" s="14"/>
      <c r="F724" s="5"/>
      <c r="G724" s="5"/>
      <c r="H724" s="3"/>
      <c r="I724" s="6"/>
      <c r="J724" s="6"/>
      <c r="K724" s="6"/>
      <c r="L724" s="6"/>
      <c r="M724" s="7"/>
      <c r="N724" s="8"/>
      <c r="O724" s="8"/>
      <c r="P724" s="13"/>
      <c r="Q724" s="13"/>
      <c r="R724" s="3"/>
      <c r="S724" s="3"/>
      <c r="T724" s="3"/>
      <c r="U724" s="24"/>
      <c r="V724" s="24"/>
      <c r="W724" s="3"/>
      <c r="X724" s="3"/>
      <c r="Y724" s="3"/>
      <c r="Z724" s="3"/>
      <c r="AA724" s="3"/>
      <c r="AB724" s="3"/>
      <c r="AC724" s="3"/>
    </row>
    <row r="725" spans="2:29" x14ac:dyDescent="0.3">
      <c r="B725" s="2"/>
      <c r="C725" s="19"/>
      <c r="D725" s="3"/>
      <c r="E725" s="14"/>
      <c r="F725" s="5"/>
      <c r="G725" s="5"/>
      <c r="H725" s="3"/>
      <c r="I725" s="6"/>
      <c r="J725" s="6"/>
      <c r="K725" s="6"/>
      <c r="L725" s="6"/>
      <c r="M725" s="7"/>
      <c r="N725" s="8"/>
      <c r="O725" s="8"/>
      <c r="P725" s="13"/>
      <c r="Q725" s="13"/>
      <c r="R725" s="3"/>
      <c r="S725" s="3"/>
      <c r="T725" s="3"/>
      <c r="U725" s="24"/>
      <c r="V725" s="24"/>
      <c r="W725" s="3"/>
      <c r="X725" s="3"/>
      <c r="Y725" s="3"/>
      <c r="Z725" s="3"/>
      <c r="AA725" s="3"/>
      <c r="AB725" s="3"/>
      <c r="AC725" s="3"/>
    </row>
    <row r="726" spans="2:29" x14ac:dyDescent="0.3">
      <c r="B726" s="2"/>
      <c r="C726" s="19"/>
      <c r="D726" s="3"/>
      <c r="E726" s="14"/>
      <c r="F726" s="5"/>
      <c r="G726" s="5"/>
      <c r="H726" s="3"/>
      <c r="I726" s="6"/>
      <c r="J726" s="6"/>
      <c r="K726" s="6"/>
      <c r="L726" s="6"/>
      <c r="M726" s="7"/>
      <c r="N726" s="8"/>
      <c r="O726" s="8"/>
      <c r="P726" s="13"/>
      <c r="Q726" s="13"/>
      <c r="R726" s="3"/>
      <c r="S726" s="3"/>
      <c r="T726" s="3"/>
      <c r="U726" s="24"/>
      <c r="V726" s="24"/>
      <c r="W726" s="3"/>
      <c r="X726" s="3"/>
      <c r="Y726" s="3"/>
      <c r="Z726" s="3"/>
      <c r="AA726" s="3"/>
      <c r="AB726" s="3"/>
      <c r="AC726" s="3"/>
    </row>
    <row r="727" spans="2:29" x14ac:dyDescent="0.3">
      <c r="B727" s="2"/>
      <c r="C727" s="19"/>
      <c r="D727" s="3"/>
      <c r="E727" s="14"/>
      <c r="F727" s="5"/>
      <c r="G727" s="5"/>
      <c r="H727" s="3"/>
      <c r="I727" s="6"/>
      <c r="J727" s="6"/>
      <c r="K727" s="6"/>
      <c r="L727" s="6"/>
      <c r="M727" s="7"/>
      <c r="N727" s="8"/>
      <c r="O727" s="8"/>
      <c r="P727" s="13"/>
      <c r="Q727" s="13"/>
      <c r="R727" s="3"/>
      <c r="S727" s="3"/>
      <c r="T727" s="3"/>
      <c r="U727" s="24"/>
      <c r="V727" s="24"/>
      <c r="W727" s="3"/>
      <c r="X727" s="3"/>
      <c r="Y727" s="3"/>
      <c r="Z727" s="3"/>
      <c r="AA727" s="3"/>
      <c r="AB727" s="3"/>
      <c r="AC727" s="3"/>
    </row>
    <row r="728" spans="2:29" x14ac:dyDescent="0.3">
      <c r="B728" s="2"/>
      <c r="C728" s="19"/>
      <c r="D728" s="3"/>
      <c r="E728" s="14"/>
      <c r="F728" s="5"/>
      <c r="G728" s="5"/>
      <c r="H728" s="3"/>
      <c r="I728" s="6"/>
      <c r="J728" s="6"/>
      <c r="K728" s="6"/>
      <c r="L728" s="6"/>
      <c r="M728" s="7"/>
      <c r="N728" s="8"/>
      <c r="O728" s="8"/>
      <c r="P728" s="13"/>
      <c r="Q728" s="13"/>
      <c r="R728" s="3"/>
      <c r="S728" s="3"/>
      <c r="T728" s="3"/>
      <c r="U728" s="24"/>
      <c r="V728" s="24"/>
      <c r="W728" s="3"/>
      <c r="X728" s="3"/>
      <c r="Y728" s="3"/>
      <c r="Z728" s="3"/>
      <c r="AA728" s="3"/>
      <c r="AB728" s="3"/>
      <c r="AC728" s="3"/>
    </row>
    <row r="730" spans="2:29" x14ac:dyDescent="0.3">
      <c r="M730" s="185"/>
      <c r="O730">
        <v>24546.6</v>
      </c>
      <c r="P730" s="173">
        <v>45896</v>
      </c>
    </row>
    <row r="731" spans="2:29" x14ac:dyDescent="0.3">
      <c r="O731">
        <v>25507.8</v>
      </c>
      <c r="P731" s="173">
        <v>45895</v>
      </c>
    </row>
    <row r="732" spans="2:29" x14ac:dyDescent="0.3">
      <c r="N732" s="265" t="s">
        <v>5283</v>
      </c>
      <c r="O732" s="265"/>
      <c r="P732" s="265"/>
      <c r="Q732" s="265"/>
      <c r="R732" s="62">
        <v>283.60000000000002</v>
      </c>
    </row>
    <row r="733" spans="2:29" x14ac:dyDescent="0.3">
      <c r="N733" s="266" t="s">
        <v>5284</v>
      </c>
      <c r="O733" s="266"/>
      <c r="P733" s="266"/>
      <c r="Q733" s="266"/>
      <c r="R733" s="64">
        <v>20</v>
      </c>
    </row>
    <row r="734" spans="2:29" x14ac:dyDescent="0.3">
      <c r="D734" s="267"/>
      <c r="E734" s="267"/>
      <c r="N734" s="266" t="s">
        <v>5285</v>
      </c>
      <c r="O734" s="266"/>
      <c r="P734" s="266"/>
      <c r="Q734" s="266"/>
      <c r="R734" s="64">
        <f>50-25.5</f>
        <v>24.5</v>
      </c>
    </row>
    <row r="735" spans="2:29" x14ac:dyDescent="0.3">
      <c r="N735" s="63" t="s">
        <v>5286</v>
      </c>
      <c r="O735" s="63"/>
      <c r="P735" s="63"/>
      <c r="Q735" s="63"/>
      <c r="R735" s="64">
        <v>1</v>
      </c>
    </row>
    <row r="736" spans="2:29" x14ac:dyDescent="0.3">
      <c r="N736" s="63" t="s">
        <v>5287</v>
      </c>
      <c r="O736" s="63"/>
      <c r="P736" s="63"/>
      <c r="Q736" s="63"/>
      <c r="R736" s="64">
        <v>34.5</v>
      </c>
    </row>
    <row r="737" spans="14:18" x14ac:dyDescent="0.3">
      <c r="N737" s="63" t="s">
        <v>7953</v>
      </c>
      <c r="O737" s="63"/>
      <c r="P737" s="63"/>
      <c r="Q737" s="63"/>
      <c r="R737" s="64">
        <v>20</v>
      </c>
    </row>
    <row r="738" spans="14:18" x14ac:dyDescent="0.3">
      <c r="N738" s="264" t="s">
        <v>5288</v>
      </c>
      <c r="O738" s="264"/>
      <c r="P738" s="264"/>
      <c r="Q738" s="264"/>
      <c r="R738" s="65" t="s">
        <v>5289</v>
      </c>
    </row>
  </sheetData>
  <mergeCells count="6">
    <mergeCell ref="N738:Q738"/>
    <mergeCell ref="B2:AC2"/>
    <mergeCell ref="N732:Q732"/>
    <mergeCell ref="N733:Q733"/>
    <mergeCell ref="N734:Q734"/>
    <mergeCell ref="D734:E734"/>
  </mergeCells>
  <conditionalFormatting sqref="B5:AC10049">
    <cfRule type="expression" dxfId="78" priority="9">
      <formula>$D5="D"</formula>
    </cfRule>
  </conditionalFormatting>
  <dataValidations count="4">
    <dataValidation type="list" allowBlank="1" showInputMessage="1" showErrorMessage="1" sqref="G5:G674" xr:uid="{89036598-DA91-42F2-86BC-74D7D5FE2D80}">
      <formula1>"SALDO,INGRESO,EGRESO"</formula1>
    </dataValidation>
    <dataValidation type="list" allowBlank="1" showInputMessage="1" showErrorMessage="1" sqref="D5:D674" xr:uid="{6A6F64FA-29BB-4B69-A759-B750CAF38BA3}">
      <formula1>"R,D"</formula1>
    </dataValidation>
    <dataValidation type="list" allowBlank="1" showInputMessage="1" showErrorMessage="1" sqref="I5:I728" xr:uid="{F6ED5D2E-D7C4-448B-8C2D-D2326C7B21BD}">
      <formula1>Proveedores_Clientes</formula1>
    </dataValidation>
    <dataValidation type="list" allowBlank="1" showInputMessage="1" showErrorMessage="1" sqref="J5:J728" xr:uid="{E15BD8A3-47C5-4D65-B789-051287BDFC97}">
      <formula1>Documentos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35" fitToHeight="0" orientation="landscape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60C5-AC88-459D-B244-9801EFEE11FA}">
  <sheetPr codeName="Hoja8">
    <tabColor theme="0" tint="-0.499984740745262"/>
    <pageSetUpPr fitToPage="1"/>
  </sheetPr>
  <dimension ref="A2:AC792"/>
  <sheetViews>
    <sheetView showGridLines="0" zoomScaleNormal="100" zoomScaleSheetLayoutView="100" workbookViewId="0">
      <selection activeCell="I779" sqref="I779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5.44140625" bestFit="1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1.77734375" customWidth="1"/>
    <col min="9" max="9" width="17" bestFit="1" customWidth="1"/>
    <col min="10" max="10" width="16" customWidth="1"/>
    <col min="11" max="11" width="10.109375" bestFit="1" customWidth="1"/>
    <col min="12" max="12" width="12.44140625" bestFit="1" customWidth="1"/>
    <col min="13" max="13" width="40.44140625" bestFit="1" customWidth="1"/>
    <col min="14" max="14" width="15" bestFit="1" customWidth="1"/>
    <col min="15" max="15" width="12.44140625" bestFit="1" customWidth="1"/>
    <col min="16" max="16" width="12.109375" bestFit="1" customWidth="1"/>
    <col min="17" max="17" width="11.44140625" bestFit="1" customWidth="1"/>
    <col min="18" max="19" width="11.21875" bestFit="1" customWidth="1"/>
    <col min="20" max="20" width="10.88671875" bestFit="1" customWidth="1"/>
    <col min="21" max="21" width="12" bestFit="1" customWidth="1"/>
    <col min="22" max="22" width="13" bestFit="1" customWidth="1"/>
    <col min="23" max="23" width="15.88671875" bestFit="1" customWidth="1"/>
    <col min="24" max="28" width="17.109375" customWidth="1" outlineLevel="1"/>
    <col min="29" max="29" width="12.88671875" customWidth="1" outlineLevel="1"/>
  </cols>
  <sheetData>
    <row r="2" spans="2:29" ht="23.4" x14ac:dyDescent="0.3">
      <c r="B2" s="263" t="s">
        <v>5290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</row>
    <row r="4" spans="2:29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4301</v>
      </c>
      <c r="I4" s="1" t="s">
        <v>1053</v>
      </c>
      <c r="J4" s="1" t="s">
        <v>1054</v>
      </c>
      <c r="K4" s="1" t="s">
        <v>1055</v>
      </c>
      <c r="L4" s="1" t="s">
        <v>1056</v>
      </c>
      <c r="M4" s="1" t="s">
        <v>1057</v>
      </c>
      <c r="N4" s="1" t="s">
        <v>1058</v>
      </c>
      <c r="O4" s="1" t="s">
        <v>1059</v>
      </c>
      <c r="P4" s="1" t="s">
        <v>1060</v>
      </c>
      <c r="Q4" s="1" t="s">
        <v>1061</v>
      </c>
      <c r="R4" s="1" t="s">
        <v>1062</v>
      </c>
      <c r="S4" s="1" t="s">
        <v>1063</v>
      </c>
      <c r="T4" s="1" t="s">
        <v>1064</v>
      </c>
      <c r="U4" s="1" t="s">
        <v>1065</v>
      </c>
      <c r="V4" s="1" t="s">
        <v>1066</v>
      </c>
      <c r="W4" s="1" t="s">
        <v>1067</v>
      </c>
      <c r="X4" s="1" t="s">
        <v>1068</v>
      </c>
      <c r="Y4" s="1" t="s">
        <v>1069</v>
      </c>
      <c r="Z4" s="1" t="s">
        <v>1070</v>
      </c>
      <c r="AA4" s="1" t="s">
        <v>1071</v>
      </c>
      <c r="AB4" s="1" t="s">
        <v>1072</v>
      </c>
      <c r="AC4" s="1" t="s">
        <v>1073</v>
      </c>
    </row>
    <row r="5" spans="2:29" x14ac:dyDescent="0.3">
      <c r="B5" s="2">
        <f>IF(Caja_Finanzas[[#This Row],[TIPO DE R.]]="R",COUNTIFS($D$4:$D4,"R")+1,"")</f>
        <v>1</v>
      </c>
      <c r="C5" s="19" t="str">
        <f>"C-Finanzas"</f>
        <v>C-Finanzas</v>
      </c>
      <c r="D5" s="3" t="s">
        <v>1074</v>
      </c>
      <c r="E5" s="4">
        <v>45658</v>
      </c>
      <c r="F5" s="5" t="s">
        <v>1075</v>
      </c>
      <c r="G5" s="6" t="s">
        <v>1064</v>
      </c>
      <c r="H5" s="6"/>
      <c r="I5" s="6"/>
      <c r="J5" s="6"/>
      <c r="K5" s="6"/>
      <c r="L5" s="6"/>
      <c r="M5" s="7" t="s">
        <v>1076</v>
      </c>
      <c r="N5" s="8" t="str">
        <f>"CFI"&amp;".D"&amp;TEXT(Caja_Finanzas[[#This Row],[FECHA]],"DD-MM")&amp;"-"&amp;TEXT(Caja_Finanzas[[#This Row],[ITEM]],"0000")</f>
        <v>CFI.D01-01-0001</v>
      </c>
      <c r="O5" s="8" t="str">
        <f t="shared" ref="O5" si="0">"PEN"</f>
        <v>PEN</v>
      </c>
      <c r="P5" s="13"/>
      <c r="Q5" s="9">
        <v>167.5</v>
      </c>
      <c r="R5" s="9">
        <f t="shared" ref="R5:R68" si="1">+IF(OR($G5="SALDO",$G5="INGRESO"),$Q5,0)</f>
        <v>167.5</v>
      </c>
      <c r="S5" s="9">
        <f t="shared" ref="S5:S68" si="2">+IF($G5="EGRESO",$Q5,0)</f>
        <v>0</v>
      </c>
      <c r="T5" s="9">
        <f t="shared" ref="T5:T68" si="3">IFERROR(IF(G5="SALDO",R5,T4+R5-S5),0)</f>
        <v>167.5</v>
      </c>
      <c r="U5" s="24"/>
      <c r="V5" s="24"/>
      <c r="W5" s="15"/>
      <c r="X5" s="25"/>
      <c r="Y5" s="25" t="s">
        <v>5291</v>
      </c>
      <c r="Z5" s="25"/>
      <c r="AA5" s="25"/>
      <c r="AB5" s="25"/>
      <c r="AC5" s="3" t="str">
        <f>IF(Caja_Finanzas[[#This Row],[FECHA]]&gt;0,TEXT(Caja_Finanzas[[#This Row],[FECHA]],"mmmm"),0)</f>
        <v>Enero</v>
      </c>
    </row>
    <row r="6" spans="2:29" ht="24" x14ac:dyDescent="0.3">
      <c r="B6" s="2">
        <f>IF(Caja_Finanzas[[#This Row],[TIPO DE R.]]="R",COUNTIFS($D$4:$D5,"R")+1,"")</f>
        <v>2</v>
      </c>
      <c r="C6" s="19" t="str">
        <f t="shared" ref="C6:C69" si="4">"C-Finanzas"</f>
        <v>C-Finanzas</v>
      </c>
      <c r="D6" s="3" t="s">
        <v>1074</v>
      </c>
      <c r="E6" s="14">
        <v>45659</v>
      </c>
      <c r="F6" s="5" t="s">
        <v>5292</v>
      </c>
      <c r="G6" s="5" t="s">
        <v>1087</v>
      </c>
      <c r="H6" s="5"/>
      <c r="I6" s="6"/>
      <c r="J6" s="6"/>
      <c r="K6" s="6"/>
      <c r="L6" s="6"/>
      <c r="M6" s="7" t="s">
        <v>5293</v>
      </c>
      <c r="N6" s="8" t="str">
        <f>"CFI"&amp;".D"&amp;TEXT(Caja_Finanzas[[#This Row],[FECHA]],"DD-MM")&amp;"-"&amp;TEXT(Caja_Finanzas[[#This Row],[ITEM]],"0000")</f>
        <v>CFI.D02-01-0002</v>
      </c>
      <c r="O6" s="8" t="str">
        <f t="shared" ref="O6:O69" si="5">"PEN"</f>
        <v>PEN</v>
      </c>
      <c r="P6" s="13"/>
      <c r="Q6" s="13">
        <v>140</v>
      </c>
      <c r="R6" s="3">
        <f t="shared" si="1"/>
        <v>140</v>
      </c>
      <c r="S6" s="3">
        <f t="shared" si="2"/>
        <v>0</v>
      </c>
      <c r="T6" s="3">
        <f t="shared" si="3"/>
        <v>307.5</v>
      </c>
      <c r="U6" s="24"/>
      <c r="V6" s="24"/>
      <c r="W6" s="3"/>
      <c r="X6" s="25"/>
      <c r="Y6" s="25" t="s">
        <v>5294</v>
      </c>
      <c r="Z6" s="25"/>
      <c r="AA6" s="25"/>
      <c r="AB6" s="25"/>
      <c r="AC6" s="3" t="str">
        <f>IF(Caja_Finanzas[[#This Row],[FECHA]]&gt;0,TEXT(Caja_Finanzas[[#This Row],[FECHA]],"mmmm"),0)</f>
        <v>Enero</v>
      </c>
    </row>
    <row r="7" spans="2:29" ht="36" x14ac:dyDescent="0.3">
      <c r="B7" s="2">
        <f>IF(Caja_Finanzas[[#This Row],[TIPO DE R.]]="R",COUNTIFS($D$4:$D6,"R")+1,"")</f>
        <v>3</v>
      </c>
      <c r="C7" s="19" t="str">
        <f t="shared" si="4"/>
        <v>C-Finanzas</v>
      </c>
      <c r="D7" s="3" t="s">
        <v>1074</v>
      </c>
      <c r="E7" s="14">
        <v>45660</v>
      </c>
      <c r="F7" s="5" t="s">
        <v>5295</v>
      </c>
      <c r="G7" s="5" t="s">
        <v>1079</v>
      </c>
      <c r="H7" s="5"/>
      <c r="I7" s="6"/>
      <c r="J7" s="6"/>
      <c r="K7" s="6"/>
      <c r="L7" s="6"/>
      <c r="M7" s="7" t="s">
        <v>5296</v>
      </c>
      <c r="N7" s="8" t="str">
        <f>"CFI"&amp;".D"&amp;TEXT(Caja_Finanzas[[#This Row],[FECHA]],"DD-MM")&amp;"-"&amp;TEXT(Caja_Finanzas[[#This Row],[ITEM]],"0000")</f>
        <v>CFI.D03-01-0003</v>
      </c>
      <c r="O7" s="8" t="str">
        <f t="shared" si="5"/>
        <v>PEN</v>
      </c>
      <c r="P7" s="13"/>
      <c r="Q7" s="13">
        <v>50</v>
      </c>
      <c r="R7" s="3">
        <f t="shared" si="1"/>
        <v>0</v>
      </c>
      <c r="S7" s="3">
        <f t="shared" si="2"/>
        <v>50</v>
      </c>
      <c r="T7" s="3">
        <f t="shared" si="3"/>
        <v>257.5</v>
      </c>
      <c r="U7" s="24"/>
      <c r="V7" s="24"/>
      <c r="W7" s="3"/>
      <c r="X7" s="25" t="s">
        <v>1077</v>
      </c>
      <c r="Y7" s="25" t="s">
        <v>5297</v>
      </c>
      <c r="Z7" s="25"/>
      <c r="AA7" s="25"/>
      <c r="AB7" s="25"/>
      <c r="AC7" s="3" t="str">
        <f>IF(Caja_Finanzas[[#This Row],[FECHA]]&gt;0,TEXT(Caja_Finanzas[[#This Row],[FECHA]],"mmmm"),0)</f>
        <v>Enero</v>
      </c>
    </row>
    <row r="8" spans="2:29" ht="24" x14ac:dyDescent="0.3">
      <c r="B8" s="2">
        <f>IF(Caja_Finanzas[[#This Row],[TIPO DE R.]]="R",COUNTIFS($D$4:$D7,"R")+1,"")</f>
        <v>4</v>
      </c>
      <c r="C8" s="19" t="str">
        <f t="shared" si="4"/>
        <v>C-Finanzas</v>
      </c>
      <c r="D8" s="3" t="s">
        <v>1074</v>
      </c>
      <c r="E8" s="14">
        <v>45660</v>
      </c>
      <c r="F8" s="5" t="s">
        <v>5295</v>
      </c>
      <c r="G8" s="5" t="s">
        <v>1079</v>
      </c>
      <c r="H8" s="5"/>
      <c r="I8" s="6"/>
      <c r="J8" s="6"/>
      <c r="K8" s="6"/>
      <c r="L8" s="6"/>
      <c r="M8" s="7" t="s">
        <v>5298</v>
      </c>
      <c r="N8" s="8" t="str">
        <f>"CFI"&amp;".D"&amp;TEXT(Caja_Finanzas[[#This Row],[FECHA]],"DD-MM")&amp;"-"&amp;TEXT(Caja_Finanzas[[#This Row],[ITEM]],"0000")</f>
        <v>CFI.D03-01-0004</v>
      </c>
      <c r="O8" s="8" t="str">
        <f t="shared" si="5"/>
        <v>PEN</v>
      </c>
      <c r="P8" s="13"/>
      <c r="Q8" s="13">
        <v>6</v>
      </c>
      <c r="R8" s="3">
        <f t="shared" si="1"/>
        <v>0</v>
      </c>
      <c r="S8" s="3">
        <f t="shared" si="2"/>
        <v>6</v>
      </c>
      <c r="T8" s="3">
        <f t="shared" si="3"/>
        <v>251.5</v>
      </c>
      <c r="U8" s="24"/>
      <c r="V8" s="24"/>
      <c r="W8" s="3"/>
      <c r="X8" s="25" t="s">
        <v>1077</v>
      </c>
      <c r="Y8" s="25" t="s">
        <v>5291</v>
      </c>
      <c r="Z8" s="25"/>
      <c r="AA8" s="25"/>
      <c r="AB8" s="25"/>
      <c r="AC8" s="3" t="str">
        <f>IF(Caja_Finanzas[[#This Row],[FECHA]]&gt;0,TEXT(Caja_Finanzas[[#This Row],[FECHA]],"mmmm"),0)</f>
        <v>Enero</v>
      </c>
    </row>
    <row r="9" spans="2:29" ht="24" x14ac:dyDescent="0.3">
      <c r="B9" s="2">
        <f>IF(Caja_Finanzas[[#This Row],[TIPO DE R.]]="R",COUNTIFS($D$4:$D8,"R")+1,"")</f>
        <v>5</v>
      </c>
      <c r="C9" s="19" t="str">
        <f t="shared" si="4"/>
        <v>C-Finanzas</v>
      </c>
      <c r="D9" s="3" t="s">
        <v>1074</v>
      </c>
      <c r="E9" s="14">
        <v>45660</v>
      </c>
      <c r="F9" s="5" t="s">
        <v>5299</v>
      </c>
      <c r="G9" s="5" t="s">
        <v>1087</v>
      </c>
      <c r="H9" s="5"/>
      <c r="I9" s="6"/>
      <c r="J9" s="6"/>
      <c r="K9" s="6"/>
      <c r="L9" s="6"/>
      <c r="M9" s="7" t="s">
        <v>5293</v>
      </c>
      <c r="N9" s="8" t="str">
        <f>"CFI"&amp;".D"&amp;TEXT(Caja_Finanzas[[#This Row],[FECHA]],"DD-MM")&amp;"-"&amp;TEXT(Caja_Finanzas[[#This Row],[ITEM]],"0000")</f>
        <v>CFI.D03-01-0005</v>
      </c>
      <c r="O9" s="8" t="str">
        <f t="shared" si="5"/>
        <v>PEN</v>
      </c>
      <c r="P9" s="13"/>
      <c r="Q9" s="13">
        <v>900</v>
      </c>
      <c r="R9" s="3">
        <f t="shared" si="1"/>
        <v>900</v>
      </c>
      <c r="S9" s="3">
        <f t="shared" si="2"/>
        <v>0</v>
      </c>
      <c r="T9" s="3">
        <f t="shared" si="3"/>
        <v>1151.5</v>
      </c>
      <c r="U9" s="24"/>
      <c r="V9" s="24"/>
      <c r="W9" s="3"/>
      <c r="X9" s="25"/>
      <c r="Y9" s="25" t="s">
        <v>5300</v>
      </c>
      <c r="Z9" s="25"/>
      <c r="AA9" s="25"/>
      <c r="AB9" s="25"/>
      <c r="AC9" s="3" t="str">
        <f>IF(Caja_Finanzas[[#This Row],[FECHA]]&gt;0,TEXT(Caja_Finanzas[[#This Row],[FECHA]],"mmmm"),0)</f>
        <v>Enero</v>
      </c>
    </row>
    <row r="10" spans="2:29" ht="36" x14ac:dyDescent="0.3">
      <c r="B10" s="2">
        <f>IF(Caja_Finanzas[[#This Row],[TIPO DE R.]]="R",COUNTIFS($D$4:$D9,"R")+1,"")</f>
        <v>6</v>
      </c>
      <c r="C10" s="19" t="str">
        <f t="shared" si="4"/>
        <v>C-Finanzas</v>
      </c>
      <c r="D10" s="3" t="s">
        <v>1074</v>
      </c>
      <c r="E10" s="14">
        <v>45660</v>
      </c>
      <c r="F10" s="5" t="s">
        <v>5301</v>
      </c>
      <c r="G10" s="5" t="s">
        <v>1079</v>
      </c>
      <c r="H10" s="5"/>
      <c r="I10" s="6"/>
      <c r="J10" s="6"/>
      <c r="K10" s="6"/>
      <c r="L10" s="6"/>
      <c r="M10" s="7" t="s">
        <v>5302</v>
      </c>
      <c r="N10" s="8" t="str">
        <f>"CFI"&amp;".D"&amp;TEXT(Caja_Finanzas[[#This Row],[FECHA]],"DD-MM")&amp;"-"&amp;TEXT(Caja_Finanzas[[#This Row],[ITEM]],"0000")</f>
        <v>CFI.D03-01-0006</v>
      </c>
      <c r="O10" s="8" t="str">
        <f t="shared" si="5"/>
        <v>PEN</v>
      </c>
      <c r="P10" s="13"/>
      <c r="Q10" s="13">
        <v>127</v>
      </c>
      <c r="R10" s="3">
        <f t="shared" si="1"/>
        <v>0</v>
      </c>
      <c r="S10" s="3">
        <f t="shared" si="2"/>
        <v>127</v>
      </c>
      <c r="T10" s="3">
        <f t="shared" si="3"/>
        <v>1024.5</v>
      </c>
      <c r="U10" s="24"/>
      <c r="V10" s="24"/>
      <c r="W10" s="3"/>
      <c r="X10" s="25" t="s">
        <v>1099</v>
      </c>
      <c r="Y10" s="25"/>
      <c r="Z10" s="25"/>
      <c r="AA10" s="25"/>
      <c r="AB10" s="25"/>
      <c r="AC10" s="3" t="str">
        <f>IF(Caja_Finanzas[[#This Row],[FECHA]]&gt;0,TEXT(Caja_Finanzas[[#This Row],[FECHA]],"mmmm"),0)</f>
        <v>Enero</v>
      </c>
    </row>
    <row r="11" spans="2:29" ht="24" x14ac:dyDescent="0.3">
      <c r="B11" s="2">
        <f>IF(Caja_Finanzas[[#This Row],[TIPO DE R.]]="R",COUNTIFS($D$4:$D10,"R")+1,"")</f>
        <v>7</v>
      </c>
      <c r="C11" s="19" t="str">
        <f t="shared" si="4"/>
        <v>C-Finanzas</v>
      </c>
      <c r="D11" s="3" t="s">
        <v>1074</v>
      </c>
      <c r="E11" s="14">
        <v>45660</v>
      </c>
      <c r="F11" s="5" t="s">
        <v>5303</v>
      </c>
      <c r="G11" s="5" t="s">
        <v>1087</v>
      </c>
      <c r="H11" s="5"/>
      <c r="I11" s="6"/>
      <c r="J11" s="6"/>
      <c r="K11" s="6"/>
      <c r="L11" s="6"/>
      <c r="M11" s="7" t="s">
        <v>5293</v>
      </c>
      <c r="N11" s="8" t="str">
        <f>"CFI"&amp;".D"&amp;TEXT(Caja_Finanzas[[#This Row],[FECHA]],"DD-MM")&amp;"-"&amp;TEXT(Caja_Finanzas[[#This Row],[ITEM]],"0000")</f>
        <v>CFI.D03-01-0007</v>
      </c>
      <c r="O11" s="8" t="str">
        <f t="shared" si="5"/>
        <v>PEN</v>
      </c>
      <c r="P11" s="13"/>
      <c r="Q11" s="13">
        <v>5222</v>
      </c>
      <c r="R11" s="3">
        <f t="shared" si="1"/>
        <v>5222</v>
      </c>
      <c r="S11" s="3">
        <f t="shared" si="2"/>
        <v>0</v>
      </c>
      <c r="T11" s="3">
        <f t="shared" si="3"/>
        <v>6246.5</v>
      </c>
      <c r="U11" s="24"/>
      <c r="V11" s="24"/>
      <c r="W11" s="3"/>
      <c r="X11" s="25"/>
      <c r="Y11" s="25" t="s">
        <v>5304</v>
      </c>
      <c r="Z11" s="25"/>
      <c r="AA11" s="25"/>
      <c r="AB11" s="25"/>
      <c r="AC11" s="3" t="str">
        <f>IF(Caja_Finanzas[[#This Row],[FECHA]]&gt;0,TEXT(Caja_Finanzas[[#This Row],[FECHA]],"mmmm"),0)</f>
        <v>Enero</v>
      </c>
    </row>
    <row r="12" spans="2:29" ht="24" x14ac:dyDescent="0.3">
      <c r="B12" s="2">
        <f>IF(Caja_Finanzas[[#This Row],[TIPO DE R.]]="R",COUNTIFS($D$4:$D11,"R")+1,"")</f>
        <v>8</v>
      </c>
      <c r="C12" s="19" t="str">
        <f t="shared" si="4"/>
        <v>C-Finanzas</v>
      </c>
      <c r="D12" s="3" t="s">
        <v>1074</v>
      </c>
      <c r="E12" s="14">
        <v>45660</v>
      </c>
      <c r="F12" s="5" t="s">
        <v>5305</v>
      </c>
      <c r="G12" s="5" t="s">
        <v>1079</v>
      </c>
      <c r="H12" s="5"/>
      <c r="I12" s="6"/>
      <c r="J12" s="6"/>
      <c r="K12" s="6"/>
      <c r="L12" s="6"/>
      <c r="M12" s="7" t="s">
        <v>5306</v>
      </c>
      <c r="N12" s="8" t="str">
        <f>"CFI"&amp;".D"&amp;TEXT(Caja_Finanzas[[#This Row],[FECHA]],"DD-MM")&amp;"-"&amp;TEXT(Caja_Finanzas[[#This Row],[ITEM]],"0000")</f>
        <v>CFI.D03-01-0008</v>
      </c>
      <c r="O12" s="8" t="str">
        <f t="shared" si="5"/>
        <v>PEN</v>
      </c>
      <c r="P12" s="13"/>
      <c r="Q12" s="13">
        <v>1000</v>
      </c>
      <c r="R12" s="3">
        <f t="shared" si="1"/>
        <v>0</v>
      </c>
      <c r="S12" s="3">
        <f t="shared" si="2"/>
        <v>1000</v>
      </c>
      <c r="T12" s="3">
        <f t="shared" si="3"/>
        <v>5246.5</v>
      </c>
      <c r="U12" s="24"/>
      <c r="V12" s="24"/>
      <c r="W12" s="3"/>
      <c r="X12" s="25"/>
      <c r="Y12" s="25"/>
      <c r="Z12" s="25"/>
      <c r="AA12" s="25"/>
      <c r="AB12" s="25"/>
      <c r="AC12" s="3" t="str">
        <f>IF(Caja_Finanzas[[#This Row],[FECHA]]&gt;0,TEXT(Caja_Finanzas[[#This Row],[FECHA]],"mmmm"),0)</f>
        <v>Enero</v>
      </c>
    </row>
    <row r="13" spans="2:29" ht="60" x14ac:dyDescent="0.3">
      <c r="B13" s="2">
        <f>IF(Caja_Finanzas[[#This Row],[TIPO DE R.]]="R",COUNTIFS($D$4:$D12,"R")+1,"")</f>
        <v>9</v>
      </c>
      <c r="C13" s="19" t="str">
        <f t="shared" si="4"/>
        <v>C-Finanzas</v>
      </c>
      <c r="D13" s="3" t="s">
        <v>1074</v>
      </c>
      <c r="E13" s="14">
        <v>45663</v>
      </c>
      <c r="F13" s="5" t="s">
        <v>5307</v>
      </c>
      <c r="G13" s="5" t="s">
        <v>1087</v>
      </c>
      <c r="H13" s="5"/>
      <c r="I13" s="6"/>
      <c r="J13" s="6"/>
      <c r="K13" s="6"/>
      <c r="L13" s="6"/>
      <c r="M13" s="7" t="s">
        <v>5308</v>
      </c>
      <c r="N13" s="8" t="str">
        <f>"CFI"&amp;".D"&amp;TEXT(Caja_Finanzas[[#This Row],[FECHA]],"DD-MM")&amp;"-"&amp;TEXT(Caja_Finanzas[[#This Row],[ITEM]],"0000")</f>
        <v>CFI.D06-01-0009</v>
      </c>
      <c r="O13" s="8" t="str">
        <f t="shared" si="5"/>
        <v>PEN</v>
      </c>
      <c r="P13" s="13"/>
      <c r="Q13" s="13">
        <v>1250</v>
      </c>
      <c r="R13" s="3">
        <f t="shared" si="1"/>
        <v>1250</v>
      </c>
      <c r="S13" s="3">
        <f t="shared" si="2"/>
        <v>0</v>
      </c>
      <c r="T13" s="3">
        <f t="shared" si="3"/>
        <v>6496.5</v>
      </c>
      <c r="U13" s="24"/>
      <c r="V13" s="24"/>
      <c r="W13" s="3"/>
      <c r="X13" s="25"/>
      <c r="Y13" s="25"/>
      <c r="Z13" s="25"/>
      <c r="AA13" s="25"/>
      <c r="AB13" s="25"/>
      <c r="AC13" s="3" t="str">
        <f>IF(Caja_Finanzas[[#This Row],[FECHA]]&gt;0,TEXT(Caja_Finanzas[[#This Row],[FECHA]],"mmmm"),0)</f>
        <v>Enero</v>
      </c>
    </row>
    <row r="14" spans="2:29" ht="36" x14ac:dyDescent="0.3">
      <c r="B14" s="2">
        <f>IF(Caja_Finanzas[[#This Row],[TIPO DE R.]]="R",COUNTIFS($D$4:$D13,"R")+1,"")</f>
        <v>10</v>
      </c>
      <c r="C14" s="19" t="str">
        <f t="shared" si="4"/>
        <v>C-Finanzas</v>
      </c>
      <c r="D14" s="3" t="s">
        <v>1074</v>
      </c>
      <c r="E14" s="14">
        <v>45663</v>
      </c>
      <c r="F14" s="5" t="s">
        <v>5295</v>
      </c>
      <c r="G14" s="5" t="s">
        <v>1079</v>
      </c>
      <c r="H14" s="5"/>
      <c r="I14" s="6"/>
      <c r="J14" s="6"/>
      <c r="K14" s="6"/>
      <c r="L14" s="6"/>
      <c r="M14" s="7" t="s">
        <v>5309</v>
      </c>
      <c r="N14" s="8" t="str">
        <f>"CFI"&amp;".D"&amp;TEXT(Caja_Finanzas[[#This Row],[FECHA]],"DD-MM")&amp;"-"&amp;TEXT(Caja_Finanzas[[#This Row],[ITEM]],"0000")</f>
        <v>CFI.D06-01-0010</v>
      </c>
      <c r="O14" s="8" t="str">
        <f t="shared" si="5"/>
        <v>PEN</v>
      </c>
      <c r="P14" s="13"/>
      <c r="Q14" s="13">
        <v>20</v>
      </c>
      <c r="R14" s="3">
        <f t="shared" si="1"/>
        <v>0</v>
      </c>
      <c r="S14" s="3">
        <f t="shared" si="2"/>
        <v>20</v>
      </c>
      <c r="T14" s="3">
        <f t="shared" si="3"/>
        <v>6476.5</v>
      </c>
      <c r="U14" s="24"/>
      <c r="V14" s="24"/>
      <c r="W14" s="3"/>
      <c r="X14" s="25" t="s">
        <v>1077</v>
      </c>
      <c r="Y14" s="25" t="s">
        <v>5310</v>
      </c>
      <c r="Z14" s="25"/>
      <c r="AA14" s="25"/>
      <c r="AB14" s="25"/>
      <c r="AC14" s="3" t="str">
        <f>IF(Caja_Finanzas[[#This Row],[FECHA]]&gt;0,TEXT(Caja_Finanzas[[#This Row],[FECHA]],"mmmm"),0)</f>
        <v>Enero</v>
      </c>
    </row>
    <row r="15" spans="2:29" x14ac:dyDescent="0.3">
      <c r="B15" s="2">
        <f>IF(Caja_Finanzas[[#This Row],[TIPO DE R.]]="R",COUNTIFS($D$4:$D14,"R")+1,"")</f>
        <v>11</v>
      </c>
      <c r="C15" s="19" t="str">
        <f t="shared" si="4"/>
        <v>C-Finanzas</v>
      </c>
      <c r="D15" s="3" t="s">
        <v>1074</v>
      </c>
      <c r="E15" s="14">
        <v>45663</v>
      </c>
      <c r="F15" s="5" t="s">
        <v>5311</v>
      </c>
      <c r="G15" s="5" t="s">
        <v>1087</v>
      </c>
      <c r="H15" s="5"/>
      <c r="I15" s="6"/>
      <c r="J15" s="6"/>
      <c r="K15" s="6"/>
      <c r="L15" s="6"/>
      <c r="M15" s="7" t="s">
        <v>5293</v>
      </c>
      <c r="N15" s="8" t="str">
        <f>"CFI"&amp;".D"&amp;TEXT(Caja_Finanzas[[#This Row],[FECHA]],"DD-MM")&amp;"-"&amp;TEXT(Caja_Finanzas[[#This Row],[ITEM]],"0000")</f>
        <v>CFI.D06-01-0011</v>
      </c>
      <c r="O15" s="8" t="str">
        <f t="shared" si="5"/>
        <v>PEN</v>
      </c>
      <c r="P15" s="13"/>
      <c r="Q15" s="13">
        <v>60</v>
      </c>
      <c r="R15" s="3">
        <f t="shared" si="1"/>
        <v>60</v>
      </c>
      <c r="S15" s="3">
        <f t="shared" si="2"/>
        <v>0</v>
      </c>
      <c r="T15" s="3">
        <f t="shared" si="3"/>
        <v>6536.5</v>
      </c>
      <c r="U15" s="24"/>
      <c r="V15" s="24"/>
      <c r="W15" s="3"/>
      <c r="X15" s="25"/>
      <c r="Y15" s="25" t="s">
        <v>5312</v>
      </c>
      <c r="Z15" s="25"/>
      <c r="AA15" s="25"/>
      <c r="AB15" s="25"/>
      <c r="AC15" s="3" t="str">
        <f>IF(Caja_Finanzas[[#This Row],[FECHA]]&gt;0,TEXT(Caja_Finanzas[[#This Row],[FECHA]],"mmmm"),0)</f>
        <v>Enero</v>
      </c>
    </row>
    <row r="16" spans="2:29" ht="36" x14ac:dyDescent="0.3">
      <c r="B16" s="2">
        <f>IF(Caja_Finanzas[[#This Row],[TIPO DE R.]]="R",COUNTIFS($D$4:$D15,"R")+1,"")</f>
        <v>12</v>
      </c>
      <c r="C16" s="19" t="str">
        <f t="shared" si="4"/>
        <v>C-Finanzas</v>
      </c>
      <c r="D16" s="3" t="s">
        <v>1074</v>
      </c>
      <c r="E16" s="14">
        <v>45663</v>
      </c>
      <c r="F16" s="5" t="s">
        <v>5307</v>
      </c>
      <c r="G16" s="5" t="s">
        <v>1079</v>
      </c>
      <c r="H16" s="5"/>
      <c r="I16" s="6"/>
      <c r="J16" s="6"/>
      <c r="K16" s="6"/>
      <c r="L16" s="6"/>
      <c r="M16" s="7" t="s">
        <v>5313</v>
      </c>
      <c r="N16" s="8" t="str">
        <f>"CFI"&amp;".D"&amp;TEXT(Caja_Finanzas[[#This Row],[FECHA]],"DD-MM")&amp;"-"&amp;TEXT(Caja_Finanzas[[#This Row],[ITEM]],"0000")</f>
        <v>CFI.D06-01-0012</v>
      </c>
      <c r="O16" s="8" t="str">
        <f t="shared" si="5"/>
        <v>PEN</v>
      </c>
      <c r="P16" s="13"/>
      <c r="Q16" s="13">
        <v>1300</v>
      </c>
      <c r="R16" s="3">
        <f t="shared" si="1"/>
        <v>0</v>
      </c>
      <c r="S16" s="3">
        <f t="shared" si="2"/>
        <v>1300</v>
      </c>
      <c r="T16" s="3">
        <f t="shared" si="3"/>
        <v>5236.5</v>
      </c>
      <c r="U16" s="24"/>
      <c r="V16" s="24"/>
      <c r="W16" s="3"/>
      <c r="X16" s="25" t="s">
        <v>5314</v>
      </c>
      <c r="Y16" s="25" t="s">
        <v>5315</v>
      </c>
      <c r="Z16" s="25"/>
      <c r="AA16" s="25"/>
      <c r="AB16" s="25"/>
      <c r="AC16" s="3" t="str">
        <f>IF(Caja_Finanzas[[#This Row],[FECHA]]&gt;0,TEXT(Caja_Finanzas[[#This Row],[FECHA]],"mmmm"),0)</f>
        <v>Enero</v>
      </c>
    </row>
    <row r="17" spans="2:29" ht="48" x14ac:dyDescent="0.3">
      <c r="B17" s="2">
        <f>IF(Caja_Finanzas[[#This Row],[TIPO DE R.]]="R",COUNTIFS($D$4:$D16,"R")+1,"")</f>
        <v>13</v>
      </c>
      <c r="C17" s="19" t="str">
        <f t="shared" si="4"/>
        <v>C-Finanzas</v>
      </c>
      <c r="D17" s="3" t="s">
        <v>1074</v>
      </c>
      <c r="E17" s="14">
        <v>45663</v>
      </c>
      <c r="F17" s="5" t="s">
        <v>5307</v>
      </c>
      <c r="G17" s="5" t="s">
        <v>1079</v>
      </c>
      <c r="H17" s="5"/>
      <c r="I17" s="6"/>
      <c r="J17" s="6"/>
      <c r="K17" s="6"/>
      <c r="L17" s="6"/>
      <c r="M17" s="7" t="s">
        <v>5316</v>
      </c>
      <c r="N17" s="8" t="str">
        <f>"CFI"&amp;".D"&amp;TEXT(Caja_Finanzas[[#This Row],[FECHA]],"DD-MM")&amp;"-"&amp;TEXT(Caja_Finanzas[[#This Row],[ITEM]],"0000")</f>
        <v>CFI.D06-01-0013</v>
      </c>
      <c r="O17" s="8" t="str">
        <f t="shared" si="5"/>
        <v>PEN</v>
      </c>
      <c r="P17" s="13"/>
      <c r="Q17" s="13">
        <v>900</v>
      </c>
      <c r="R17" s="3">
        <f t="shared" si="1"/>
        <v>0</v>
      </c>
      <c r="S17" s="3">
        <f t="shared" si="2"/>
        <v>900</v>
      </c>
      <c r="T17" s="3">
        <f t="shared" si="3"/>
        <v>4336.5</v>
      </c>
      <c r="U17" s="24"/>
      <c r="V17" s="24"/>
      <c r="W17" s="3"/>
      <c r="X17" s="25" t="s">
        <v>5317</v>
      </c>
      <c r="Y17" s="25" t="s">
        <v>5318</v>
      </c>
      <c r="Z17" s="25"/>
      <c r="AA17" s="25"/>
      <c r="AB17" s="25"/>
      <c r="AC17" s="3" t="str">
        <f>IF(Caja_Finanzas[[#This Row],[FECHA]]&gt;0,TEXT(Caja_Finanzas[[#This Row],[FECHA]],"mmmm"),0)</f>
        <v>Enero</v>
      </c>
    </row>
    <row r="18" spans="2:29" ht="24" x14ac:dyDescent="0.3">
      <c r="B18" s="2">
        <f>IF(Caja_Finanzas[[#This Row],[TIPO DE R.]]="R",COUNTIFS($D$4:$D17,"R")+1,"")</f>
        <v>14</v>
      </c>
      <c r="C18" s="19" t="str">
        <f t="shared" si="4"/>
        <v>C-Finanzas</v>
      </c>
      <c r="D18" s="3" t="s">
        <v>1074</v>
      </c>
      <c r="E18" s="14">
        <v>45663</v>
      </c>
      <c r="F18" s="5" t="s">
        <v>5319</v>
      </c>
      <c r="G18" s="5" t="s">
        <v>1087</v>
      </c>
      <c r="H18" s="5"/>
      <c r="I18" s="6"/>
      <c r="J18" s="6"/>
      <c r="K18" s="6"/>
      <c r="L18" s="6"/>
      <c r="M18" s="7" t="s">
        <v>5293</v>
      </c>
      <c r="N18" s="8" t="str">
        <f>"CFI"&amp;".D"&amp;TEXT(Caja_Finanzas[[#This Row],[FECHA]],"DD-MM")&amp;"-"&amp;TEXT(Caja_Finanzas[[#This Row],[ITEM]],"0000")</f>
        <v>CFI.D06-01-0014</v>
      </c>
      <c r="O18" s="8" t="str">
        <f t="shared" si="5"/>
        <v>PEN</v>
      </c>
      <c r="P18" s="13"/>
      <c r="Q18" s="13">
        <v>135</v>
      </c>
      <c r="R18" s="3">
        <f t="shared" si="1"/>
        <v>135</v>
      </c>
      <c r="S18" s="3">
        <f t="shared" si="2"/>
        <v>0</v>
      </c>
      <c r="T18" s="3">
        <f t="shared" si="3"/>
        <v>4471.5</v>
      </c>
      <c r="U18" s="24"/>
      <c r="V18" s="24"/>
      <c r="W18" s="3"/>
      <c r="X18" s="25"/>
      <c r="Y18" s="25" t="s">
        <v>5320</v>
      </c>
      <c r="Z18" s="25"/>
      <c r="AA18" s="25"/>
      <c r="AB18" s="25"/>
      <c r="AC18" s="3" t="str">
        <f>IF(Caja_Finanzas[[#This Row],[FECHA]]&gt;0,TEXT(Caja_Finanzas[[#This Row],[FECHA]],"mmmm"),0)</f>
        <v>Enero</v>
      </c>
    </row>
    <row r="19" spans="2:29" ht="24" x14ac:dyDescent="0.3">
      <c r="B19" s="2">
        <f>IF(Caja_Finanzas[[#This Row],[TIPO DE R.]]="R",COUNTIFS($D$4:$D18,"R")+1,"")</f>
        <v>15</v>
      </c>
      <c r="C19" s="19" t="str">
        <f t="shared" si="4"/>
        <v>C-Finanzas</v>
      </c>
      <c r="D19" s="3" t="s">
        <v>1074</v>
      </c>
      <c r="E19" s="14">
        <v>45664</v>
      </c>
      <c r="F19" s="5"/>
      <c r="G19" s="5" t="s">
        <v>1079</v>
      </c>
      <c r="H19" s="5"/>
      <c r="I19" s="6"/>
      <c r="J19" s="6"/>
      <c r="K19" s="6"/>
      <c r="L19" s="6"/>
      <c r="M19" s="7" t="s">
        <v>5321</v>
      </c>
      <c r="N19" s="8" t="str">
        <f>"CFI"&amp;".D"&amp;TEXT(Caja_Finanzas[[#This Row],[FECHA]],"DD-MM")&amp;"-"&amp;TEXT(Caja_Finanzas[[#This Row],[ITEM]],"0000")</f>
        <v>CFI.D07-01-0015</v>
      </c>
      <c r="O19" s="8" t="str">
        <f t="shared" si="5"/>
        <v>PEN</v>
      </c>
      <c r="P19" s="13"/>
      <c r="Q19" s="13">
        <v>120</v>
      </c>
      <c r="R19" s="3">
        <f t="shared" si="1"/>
        <v>0</v>
      </c>
      <c r="S19" s="3">
        <f t="shared" si="2"/>
        <v>120</v>
      </c>
      <c r="T19" s="3">
        <f t="shared" si="3"/>
        <v>4351.5</v>
      </c>
      <c r="U19" s="24"/>
      <c r="V19" s="24"/>
      <c r="W19" s="3"/>
      <c r="X19" s="25"/>
      <c r="Y19" s="25" t="s">
        <v>5322</v>
      </c>
      <c r="Z19" s="25"/>
      <c r="AA19" s="25"/>
      <c r="AB19" s="25"/>
      <c r="AC19" s="3" t="str">
        <f>IF(Caja_Finanzas[[#This Row],[FECHA]]&gt;0,TEXT(Caja_Finanzas[[#This Row],[FECHA]],"mmmm"),0)</f>
        <v>Enero</v>
      </c>
    </row>
    <row r="20" spans="2:29" ht="24" x14ac:dyDescent="0.3">
      <c r="B20" s="2">
        <f>IF(Caja_Finanzas[[#This Row],[TIPO DE R.]]="R",COUNTIFS($D$4:$D19,"R")+1,"")</f>
        <v>16</v>
      </c>
      <c r="C20" s="19" t="str">
        <f t="shared" si="4"/>
        <v>C-Finanzas</v>
      </c>
      <c r="D20" s="3" t="s">
        <v>1074</v>
      </c>
      <c r="E20" s="14">
        <v>45664</v>
      </c>
      <c r="F20" s="5"/>
      <c r="G20" s="5" t="s">
        <v>1079</v>
      </c>
      <c r="H20" s="5"/>
      <c r="I20" s="6"/>
      <c r="J20" s="6"/>
      <c r="K20" s="6"/>
      <c r="L20" s="6"/>
      <c r="M20" s="7" t="s">
        <v>5321</v>
      </c>
      <c r="N20" s="8" t="str">
        <f>"CFI"&amp;".D"&amp;TEXT(Caja_Finanzas[[#This Row],[FECHA]],"DD-MM")&amp;"-"&amp;TEXT(Caja_Finanzas[[#This Row],[ITEM]],"0000")</f>
        <v>CFI.D07-01-0016</v>
      </c>
      <c r="O20" s="8" t="str">
        <f t="shared" si="5"/>
        <v>PEN</v>
      </c>
      <c r="P20" s="13"/>
      <c r="Q20" s="13">
        <v>180</v>
      </c>
      <c r="R20" s="3">
        <f t="shared" si="1"/>
        <v>0</v>
      </c>
      <c r="S20" s="3">
        <f t="shared" si="2"/>
        <v>180</v>
      </c>
      <c r="T20" s="3">
        <f t="shared" si="3"/>
        <v>4171.5</v>
      </c>
      <c r="U20" s="24"/>
      <c r="V20" s="24"/>
      <c r="W20" s="3"/>
      <c r="X20" s="25"/>
      <c r="Y20" s="25" t="s">
        <v>5322</v>
      </c>
      <c r="Z20" s="25"/>
      <c r="AA20" s="25"/>
      <c r="AB20" s="25"/>
      <c r="AC20" s="3" t="str">
        <f>IF(Caja_Finanzas[[#This Row],[FECHA]]&gt;0,TEXT(Caja_Finanzas[[#This Row],[FECHA]],"mmmm"),0)</f>
        <v>Enero</v>
      </c>
    </row>
    <row r="21" spans="2:29" ht="36" x14ac:dyDescent="0.3">
      <c r="B21" s="2">
        <f>IF(Caja_Finanzas[[#This Row],[TIPO DE R.]]="R",COUNTIFS($D$4:$D20,"R")+1,"")</f>
        <v>17</v>
      </c>
      <c r="C21" s="19" t="str">
        <f t="shared" si="4"/>
        <v>C-Finanzas</v>
      </c>
      <c r="D21" s="3" t="s">
        <v>1074</v>
      </c>
      <c r="E21" s="14">
        <v>45665</v>
      </c>
      <c r="F21" s="5" t="s">
        <v>5295</v>
      </c>
      <c r="G21" s="5" t="s">
        <v>1079</v>
      </c>
      <c r="H21" s="5"/>
      <c r="I21" s="6"/>
      <c r="J21" s="6"/>
      <c r="K21" s="6"/>
      <c r="L21" s="6"/>
      <c r="M21" s="7" t="s">
        <v>5323</v>
      </c>
      <c r="N21" s="8" t="str">
        <f>"CFI"&amp;".D"&amp;TEXT(Caja_Finanzas[[#This Row],[FECHA]],"DD-MM")&amp;"-"&amp;TEXT(Caja_Finanzas[[#This Row],[ITEM]],"0000")</f>
        <v>CFI.D08-01-0017</v>
      </c>
      <c r="O21" s="8" t="str">
        <f t="shared" si="5"/>
        <v>PEN</v>
      </c>
      <c r="P21" s="13"/>
      <c r="Q21" s="13">
        <v>1000</v>
      </c>
      <c r="R21" s="3">
        <f t="shared" si="1"/>
        <v>0</v>
      </c>
      <c r="S21" s="3">
        <f t="shared" si="2"/>
        <v>1000</v>
      </c>
      <c r="T21" s="3">
        <f t="shared" si="3"/>
        <v>3171.5</v>
      </c>
      <c r="U21" s="24"/>
      <c r="V21" s="24"/>
      <c r="W21" s="3"/>
      <c r="X21" s="25" t="s">
        <v>5324</v>
      </c>
      <c r="Y21" s="25"/>
      <c r="Z21" s="25"/>
      <c r="AA21" s="25"/>
      <c r="AB21" s="25"/>
      <c r="AC21" s="3" t="str">
        <f>IF(Caja_Finanzas[[#This Row],[FECHA]]&gt;0,TEXT(Caja_Finanzas[[#This Row],[FECHA]],"mmmm"),0)</f>
        <v>Enero</v>
      </c>
    </row>
    <row r="22" spans="2:29" ht="24" x14ac:dyDescent="0.3">
      <c r="B22" s="2">
        <f>IF(Caja_Finanzas[[#This Row],[TIPO DE R.]]="R",COUNTIFS($D$4:$D21,"R")+1,"")</f>
        <v>18</v>
      </c>
      <c r="C22" s="19" t="str">
        <f t="shared" si="4"/>
        <v>C-Finanzas</v>
      </c>
      <c r="D22" s="3" t="s">
        <v>1074</v>
      </c>
      <c r="E22" s="14">
        <v>45665</v>
      </c>
      <c r="F22" s="5" t="s">
        <v>5305</v>
      </c>
      <c r="G22" s="5" t="s">
        <v>1079</v>
      </c>
      <c r="H22" s="5"/>
      <c r="I22" s="6"/>
      <c r="J22" s="6"/>
      <c r="K22" s="6"/>
      <c r="L22" s="6"/>
      <c r="M22" s="7" t="s">
        <v>5325</v>
      </c>
      <c r="N22" s="8" t="str">
        <f>"CFI"&amp;".D"&amp;TEXT(Caja_Finanzas[[#This Row],[FECHA]],"DD-MM")&amp;"-"&amp;TEXT(Caja_Finanzas[[#This Row],[ITEM]],"0000")</f>
        <v>CFI.D08-01-0018</v>
      </c>
      <c r="O22" s="8" t="str">
        <f t="shared" si="5"/>
        <v>PEN</v>
      </c>
      <c r="P22" s="13"/>
      <c r="Q22" s="13">
        <v>1000</v>
      </c>
      <c r="R22" s="3">
        <f t="shared" si="1"/>
        <v>0</v>
      </c>
      <c r="S22" s="3">
        <f t="shared" si="2"/>
        <v>1000</v>
      </c>
      <c r="T22" s="3">
        <f t="shared" si="3"/>
        <v>2171.5</v>
      </c>
      <c r="U22" s="24"/>
      <c r="V22" s="24"/>
      <c r="W22" s="3"/>
      <c r="X22" s="25" t="s">
        <v>747</v>
      </c>
      <c r="Y22" s="25"/>
      <c r="Z22" s="25"/>
      <c r="AA22" s="25"/>
      <c r="AB22" s="25"/>
      <c r="AC22" s="3" t="str">
        <f>IF(Caja_Finanzas[[#This Row],[FECHA]]&gt;0,TEXT(Caja_Finanzas[[#This Row],[FECHA]],"mmmm"),0)</f>
        <v>Enero</v>
      </c>
    </row>
    <row r="23" spans="2:29" ht="24" x14ac:dyDescent="0.3">
      <c r="B23" s="2">
        <f>IF(Caja_Finanzas[[#This Row],[TIPO DE R.]]="R",COUNTIFS($D$4:$D22,"R")+1,"")</f>
        <v>19</v>
      </c>
      <c r="C23" s="19" t="str">
        <f t="shared" si="4"/>
        <v>C-Finanzas</v>
      </c>
      <c r="D23" s="3" t="s">
        <v>1074</v>
      </c>
      <c r="E23" s="14">
        <v>45665</v>
      </c>
      <c r="F23" s="5" t="s">
        <v>5305</v>
      </c>
      <c r="G23" s="5" t="s">
        <v>1079</v>
      </c>
      <c r="H23" s="5"/>
      <c r="I23" s="6"/>
      <c r="J23" s="6"/>
      <c r="K23" s="6"/>
      <c r="L23" s="6"/>
      <c r="M23" s="7" t="s">
        <v>5326</v>
      </c>
      <c r="N23" s="8" t="str">
        <f>"CFI"&amp;".D"&amp;TEXT(Caja_Finanzas[[#This Row],[FECHA]],"DD-MM")&amp;"-"&amp;TEXT(Caja_Finanzas[[#This Row],[ITEM]],"0000")</f>
        <v>CFI.D08-01-0019</v>
      </c>
      <c r="O23" s="8" t="str">
        <f t="shared" si="5"/>
        <v>PEN</v>
      </c>
      <c r="P23" s="13"/>
      <c r="Q23" s="13">
        <v>1000</v>
      </c>
      <c r="R23" s="3">
        <f t="shared" si="1"/>
        <v>0</v>
      </c>
      <c r="S23" s="3">
        <f t="shared" si="2"/>
        <v>1000</v>
      </c>
      <c r="T23" s="3">
        <f t="shared" si="3"/>
        <v>1171.5</v>
      </c>
      <c r="U23" s="24"/>
      <c r="V23" s="24"/>
      <c r="W23" s="3"/>
      <c r="X23" s="25" t="s">
        <v>747</v>
      </c>
      <c r="Y23" s="25"/>
      <c r="Z23" s="25"/>
      <c r="AA23" s="25"/>
      <c r="AB23" s="25"/>
      <c r="AC23" s="3" t="str">
        <f>IF(Caja_Finanzas[[#This Row],[FECHA]]&gt;0,TEXT(Caja_Finanzas[[#This Row],[FECHA]],"mmmm"),0)</f>
        <v>Enero</v>
      </c>
    </row>
    <row r="24" spans="2:29" ht="24" x14ac:dyDescent="0.3">
      <c r="B24" s="2">
        <f>IF(Caja_Finanzas[[#This Row],[TIPO DE R.]]="R",COUNTIFS($D$4:$D23,"R")+1,"")</f>
        <v>20</v>
      </c>
      <c r="C24" s="19" t="str">
        <f t="shared" si="4"/>
        <v>C-Finanzas</v>
      </c>
      <c r="D24" s="3" t="s">
        <v>1074</v>
      </c>
      <c r="E24" s="14">
        <v>45665</v>
      </c>
      <c r="F24" s="5" t="s">
        <v>5305</v>
      </c>
      <c r="G24" s="5" t="s">
        <v>1079</v>
      </c>
      <c r="H24" s="5"/>
      <c r="I24" s="6"/>
      <c r="J24" s="6"/>
      <c r="K24" s="6"/>
      <c r="L24" s="6"/>
      <c r="M24" s="7" t="s">
        <v>5327</v>
      </c>
      <c r="N24" s="8" t="str">
        <f>"CFI"&amp;".D"&amp;TEXT(Caja_Finanzas[[#This Row],[FECHA]],"DD-MM")&amp;"-"&amp;TEXT(Caja_Finanzas[[#This Row],[ITEM]],"0000")</f>
        <v>CFI.D08-01-0020</v>
      </c>
      <c r="O24" s="8" t="str">
        <f t="shared" si="5"/>
        <v>PEN</v>
      </c>
      <c r="P24" s="13"/>
      <c r="Q24" s="13">
        <v>1500</v>
      </c>
      <c r="R24" s="3">
        <f t="shared" si="1"/>
        <v>0</v>
      </c>
      <c r="S24" s="3">
        <f t="shared" si="2"/>
        <v>1500</v>
      </c>
      <c r="T24" s="3">
        <f t="shared" si="3"/>
        <v>-328.5</v>
      </c>
      <c r="U24" s="24"/>
      <c r="V24" s="24"/>
      <c r="W24" s="3"/>
      <c r="X24" s="25" t="s">
        <v>750</v>
      </c>
      <c r="Y24" s="25"/>
      <c r="Z24" s="25"/>
      <c r="AA24" s="25"/>
      <c r="AB24" s="25"/>
      <c r="AC24" s="3" t="str">
        <f>IF(Caja_Finanzas[[#This Row],[FECHA]]&gt;0,TEXT(Caja_Finanzas[[#This Row],[FECHA]],"mmmm"),0)</f>
        <v>Enero</v>
      </c>
    </row>
    <row r="25" spans="2:29" ht="24" x14ac:dyDescent="0.3">
      <c r="B25" s="2">
        <f>IF(Caja_Finanzas[[#This Row],[TIPO DE R.]]="R",COUNTIFS($D$4:$D24,"R")+1,"")</f>
        <v>21</v>
      </c>
      <c r="C25" s="19" t="str">
        <f t="shared" si="4"/>
        <v>C-Finanzas</v>
      </c>
      <c r="D25" s="3" t="s">
        <v>1074</v>
      </c>
      <c r="E25" s="14">
        <v>45665</v>
      </c>
      <c r="F25" s="5" t="s">
        <v>1113</v>
      </c>
      <c r="G25" s="5" t="s">
        <v>1087</v>
      </c>
      <c r="H25" s="5"/>
      <c r="I25" s="6"/>
      <c r="J25" s="6"/>
      <c r="K25" s="6"/>
      <c r="L25" s="6"/>
      <c r="M25" s="7" t="s">
        <v>5293</v>
      </c>
      <c r="N25" s="8" t="str">
        <f>"CFI"&amp;".D"&amp;TEXT(Caja_Finanzas[[#This Row],[FECHA]],"DD-MM")&amp;"-"&amp;TEXT(Caja_Finanzas[[#This Row],[ITEM]],"0000")</f>
        <v>CFI.D08-01-0021</v>
      </c>
      <c r="O25" s="8" t="str">
        <f t="shared" si="5"/>
        <v>PEN</v>
      </c>
      <c r="P25" s="13"/>
      <c r="Q25" s="13">
        <v>2.9</v>
      </c>
      <c r="R25" s="3">
        <f t="shared" si="1"/>
        <v>2.9</v>
      </c>
      <c r="S25" s="3">
        <f t="shared" si="2"/>
        <v>0</v>
      </c>
      <c r="T25" s="3">
        <f t="shared" si="3"/>
        <v>-325.60000000000002</v>
      </c>
      <c r="U25" s="24"/>
      <c r="V25" s="24"/>
      <c r="W25" s="3"/>
      <c r="X25" s="25"/>
      <c r="Y25" s="25" t="s">
        <v>1114</v>
      </c>
      <c r="Z25" s="25"/>
      <c r="AA25" s="25"/>
      <c r="AB25" s="25"/>
      <c r="AC25" s="3" t="str">
        <f>IF(Caja_Finanzas[[#This Row],[FECHA]]&gt;0,TEXT(Caja_Finanzas[[#This Row],[FECHA]],"mmmm"),0)</f>
        <v>Enero</v>
      </c>
    </row>
    <row r="26" spans="2:29" x14ac:dyDescent="0.3">
      <c r="B26" s="2">
        <f>IF(Caja_Finanzas[[#This Row],[TIPO DE R.]]="R",COUNTIFS($D$4:$D25,"R")+1,"")</f>
        <v>22</v>
      </c>
      <c r="C26" s="19" t="str">
        <f t="shared" si="4"/>
        <v>C-Finanzas</v>
      </c>
      <c r="D26" s="3" t="s">
        <v>1074</v>
      </c>
      <c r="E26" s="14">
        <v>45665</v>
      </c>
      <c r="F26" s="5" t="s">
        <v>5328</v>
      </c>
      <c r="G26" s="5" t="s">
        <v>1087</v>
      </c>
      <c r="H26" s="5"/>
      <c r="I26" s="6"/>
      <c r="J26" s="6"/>
      <c r="K26" s="6"/>
      <c r="L26" s="6"/>
      <c r="M26" s="7" t="s">
        <v>5293</v>
      </c>
      <c r="N26" s="8" t="str">
        <f>"CFI"&amp;".D"&amp;TEXT(Caja_Finanzas[[#This Row],[FECHA]],"DD-MM")&amp;"-"&amp;TEXT(Caja_Finanzas[[#This Row],[ITEM]],"0000")</f>
        <v>CFI.D08-01-0022</v>
      </c>
      <c r="O26" s="8" t="str">
        <f t="shared" si="5"/>
        <v>PEN</v>
      </c>
      <c r="P26" s="13"/>
      <c r="Q26" s="13">
        <v>8</v>
      </c>
      <c r="R26" s="3">
        <f t="shared" si="1"/>
        <v>8</v>
      </c>
      <c r="S26" s="3">
        <f t="shared" si="2"/>
        <v>0</v>
      </c>
      <c r="T26" s="3">
        <f t="shared" si="3"/>
        <v>-317.60000000000002</v>
      </c>
      <c r="U26" s="24"/>
      <c r="V26" s="24"/>
      <c r="W26" s="3"/>
      <c r="X26" s="25"/>
      <c r="Y26" s="25" t="s">
        <v>5329</v>
      </c>
      <c r="Z26" s="25"/>
      <c r="AA26" s="25"/>
      <c r="AB26" s="25"/>
      <c r="AC26" s="3" t="str">
        <f>IF(Caja_Finanzas[[#This Row],[FECHA]]&gt;0,TEXT(Caja_Finanzas[[#This Row],[FECHA]],"mmmm"),0)</f>
        <v>Enero</v>
      </c>
    </row>
    <row r="27" spans="2:29" x14ac:dyDescent="0.3">
      <c r="B27" s="2">
        <f>IF(Caja_Finanzas[[#This Row],[TIPO DE R.]]="R",COUNTIFS($D$4:$D26,"R")+1,"")</f>
        <v>23</v>
      </c>
      <c r="C27" s="19" t="str">
        <f t="shared" si="4"/>
        <v>C-Finanzas</v>
      </c>
      <c r="D27" s="3" t="s">
        <v>1074</v>
      </c>
      <c r="E27" s="14">
        <v>45665</v>
      </c>
      <c r="F27" s="5" t="s">
        <v>5330</v>
      </c>
      <c r="G27" s="5" t="s">
        <v>1087</v>
      </c>
      <c r="H27" s="5"/>
      <c r="I27" s="6"/>
      <c r="J27" s="6"/>
      <c r="K27" s="6"/>
      <c r="L27" s="6"/>
      <c r="M27" s="7" t="s">
        <v>5293</v>
      </c>
      <c r="N27" s="8" t="str">
        <f>"CFI"&amp;".D"&amp;TEXT(Caja_Finanzas[[#This Row],[FECHA]],"DD-MM")&amp;"-"&amp;TEXT(Caja_Finanzas[[#This Row],[ITEM]],"0000")</f>
        <v>CFI.D08-01-0023</v>
      </c>
      <c r="O27" s="8" t="str">
        <f t="shared" si="5"/>
        <v>PEN</v>
      </c>
      <c r="P27" s="13"/>
      <c r="Q27" s="13">
        <v>12.3</v>
      </c>
      <c r="R27" s="3">
        <f t="shared" si="1"/>
        <v>12.3</v>
      </c>
      <c r="S27" s="3">
        <f t="shared" si="2"/>
        <v>0</v>
      </c>
      <c r="T27" s="3">
        <f t="shared" si="3"/>
        <v>-305.3</v>
      </c>
      <c r="U27" s="24"/>
      <c r="V27" s="24"/>
      <c r="W27" s="3"/>
      <c r="X27" s="25"/>
      <c r="Y27" s="25" t="s">
        <v>5331</v>
      </c>
      <c r="Z27" s="25"/>
      <c r="AA27" s="25"/>
      <c r="AB27" s="25"/>
      <c r="AC27" s="3" t="str">
        <f>IF(Caja_Finanzas[[#This Row],[FECHA]]&gt;0,TEXT(Caja_Finanzas[[#This Row],[FECHA]],"mmmm"),0)</f>
        <v>Enero</v>
      </c>
    </row>
    <row r="28" spans="2:29" x14ac:dyDescent="0.3">
      <c r="B28" s="2">
        <f>IF(Caja_Finanzas[[#This Row],[TIPO DE R.]]="R",COUNTIFS($D$4:$D27,"R")+1,"")</f>
        <v>24</v>
      </c>
      <c r="C28" s="19" t="str">
        <f t="shared" si="4"/>
        <v>C-Finanzas</v>
      </c>
      <c r="D28" s="3" t="s">
        <v>1074</v>
      </c>
      <c r="E28" s="14">
        <v>45665</v>
      </c>
      <c r="F28" s="5" t="s">
        <v>5332</v>
      </c>
      <c r="G28" s="5" t="s">
        <v>1087</v>
      </c>
      <c r="H28" s="5"/>
      <c r="I28" s="6"/>
      <c r="J28" s="6"/>
      <c r="K28" s="6"/>
      <c r="L28" s="6"/>
      <c r="M28" s="7" t="s">
        <v>5293</v>
      </c>
      <c r="N28" s="8" t="str">
        <f>"CFI"&amp;".D"&amp;TEXT(Caja_Finanzas[[#This Row],[FECHA]],"DD-MM")&amp;"-"&amp;TEXT(Caja_Finanzas[[#This Row],[ITEM]],"0000")</f>
        <v>CFI.D08-01-0024</v>
      </c>
      <c r="O28" s="8" t="str">
        <f t="shared" si="5"/>
        <v>PEN</v>
      </c>
      <c r="P28" s="13"/>
      <c r="Q28" s="13">
        <v>130</v>
      </c>
      <c r="R28" s="3">
        <f t="shared" si="1"/>
        <v>130</v>
      </c>
      <c r="S28" s="3">
        <f t="shared" si="2"/>
        <v>0</v>
      </c>
      <c r="T28" s="3">
        <f t="shared" si="3"/>
        <v>-175.3</v>
      </c>
      <c r="U28" s="24"/>
      <c r="V28" s="24"/>
      <c r="W28" s="3"/>
      <c r="X28" s="25"/>
      <c r="Y28" s="25" t="s">
        <v>5333</v>
      </c>
      <c r="Z28" s="25"/>
      <c r="AA28" s="25"/>
      <c r="AB28" s="25"/>
      <c r="AC28" s="3" t="str">
        <f>IF(Caja_Finanzas[[#This Row],[FECHA]]&gt;0,TEXT(Caja_Finanzas[[#This Row],[FECHA]],"mmmm"),0)</f>
        <v>Enero</v>
      </c>
    </row>
    <row r="29" spans="2:29" x14ac:dyDescent="0.3">
      <c r="B29" s="2">
        <f>IF(Caja_Finanzas[[#This Row],[TIPO DE R.]]="R",COUNTIFS($D$4:$D28,"R")+1,"")</f>
        <v>25</v>
      </c>
      <c r="C29" s="19" t="str">
        <f t="shared" si="4"/>
        <v>C-Finanzas</v>
      </c>
      <c r="D29" s="3" t="s">
        <v>1074</v>
      </c>
      <c r="E29" s="14">
        <v>45665</v>
      </c>
      <c r="F29" s="5" t="s">
        <v>1107</v>
      </c>
      <c r="G29" s="5" t="s">
        <v>1087</v>
      </c>
      <c r="H29" s="5"/>
      <c r="I29" s="6"/>
      <c r="J29" s="6"/>
      <c r="K29" s="6"/>
      <c r="L29" s="6"/>
      <c r="M29" s="7" t="s">
        <v>5293</v>
      </c>
      <c r="N29" s="8" t="str">
        <f>"CFI"&amp;".D"&amp;TEXT(Caja_Finanzas[[#This Row],[FECHA]],"DD-MM")&amp;"-"&amp;TEXT(Caja_Finanzas[[#This Row],[ITEM]],"0000")</f>
        <v>CFI.D08-01-0025</v>
      </c>
      <c r="O29" s="8" t="str">
        <f t="shared" si="5"/>
        <v>PEN</v>
      </c>
      <c r="P29" s="13"/>
      <c r="Q29" s="13">
        <v>99.8</v>
      </c>
      <c r="R29" s="3">
        <f t="shared" si="1"/>
        <v>99.8</v>
      </c>
      <c r="S29" s="3">
        <f t="shared" si="2"/>
        <v>0</v>
      </c>
      <c r="T29" s="3">
        <f t="shared" si="3"/>
        <v>-75.500000000000014</v>
      </c>
      <c r="U29" s="24"/>
      <c r="V29" s="24"/>
      <c r="W29" s="3"/>
      <c r="X29" s="25"/>
      <c r="Y29" s="25" t="s">
        <v>5334</v>
      </c>
      <c r="Z29" s="25"/>
      <c r="AA29" s="25"/>
      <c r="AB29" s="25"/>
      <c r="AC29" s="3" t="str">
        <f>IF(Caja_Finanzas[[#This Row],[FECHA]]&gt;0,TEXT(Caja_Finanzas[[#This Row],[FECHA]],"mmmm"),0)</f>
        <v>Enero</v>
      </c>
    </row>
    <row r="30" spans="2:29" ht="36" x14ac:dyDescent="0.3">
      <c r="B30" s="2">
        <f>IF(Caja_Finanzas[[#This Row],[TIPO DE R.]]="R",COUNTIFS($D$4:$D29,"R")+1,"")</f>
        <v>26</v>
      </c>
      <c r="C30" s="19" t="str">
        <f t="shared" si="4"/>
        <v>C-Finanzas</v>
      </c>
      <c r="D30" s="3" t="s">
        <v>1074</v>
      </c>
      <c r="E30" s="14">
        <v>45665</v>
      </c>
      <c r="F30" s="5" t="s">
        <v>5335</v>
      </c>
      <c r="G30" s="5" t="s">
        <v>1079</v>
      </c>
      <c r="H30" s="5"/>
      <c r="I30" s="6"/>
      <c r="J30" s="6"/>
      <c r="K30" s="6"/>
      <c r="L30" s="6"/>
      <c r="M30" s="7" t="s">
        <v>5336</v>
      </c>
      <c r="N30" s="8" t="str">
        <f>"CFI"&amp;".D"&amp;TEXT(Caja_Finanzas[[#This Row],[FECHA]],"DD-MM")&amp;"-"&amp;TEXT(Caja_Finanzas[[#This Row],[ITEM]],"0000")</f>
        <v>CFI.D08-01-0026</v>
      </c>
      <c r="O30" s="8" t="str">
        <f t="shared" si="5"/>
        <v>PEN</v>
      </c>
      <c r="P30" s="13"/>
      <c r="Q30" s="13">
        <v>253</v>
      </c>
      <c r="R30" s="3">
        <f t="shared" si="1"/>
        <v>0</v>
      </c>
      <c r="S30" s="3">
        <f t="shared" si="2"/>
        <v>253</v>
      </c>
      <c r="T30" s="3">
        <f t="shared" si="3"/>
        <v>-328.5</v>
      </c>
      <c r="U30" s="24"/>
      <c r="V30" s="24"/>
      <c r="W30" s="3"/>
      <c r="X30" s="25"/>
      <c r="Y30" s="25"/>
      <c r="Z30" s="25"/>
      <c r="AA30" s="25"/>
      <c r="AB30" s="25"/>
      <c r="AC30" s="3" t="str">
        <f>IF(Caja_Finanzas[[#This Row],[FECHA]]&gt;0,TEXT(Caja_Finanzas[[#This Row],[FECHA]],"mmmm"),0)</f>
        <v>Enero</v>
      </c>
    </row>
    <row r="31" spans="2:29" ht="24" x14ac:dyDescent="0.3">
      <c r="B31" s="2">
        <f>IF(Caja_Finanzas[[#This Row],[TIPO DE R.]]="R",COUNTIFS($D$4:$D30,"R")+1,"")</f>
        <v>27</v>
      </c>
      <c r="C31" s="19" t="str">
        <f t="shared" si="4"/>
        <v>C-Finanzas</v>
      </c>
      <c r="D31" s="3" t="s">
        <v>1074</v>
      </c>
      <c r="E31" s="14">
        <v>45666</v>
      </c>
      <c r="F31" s="5" t="s">
        <v>3245</v>
      </c>
      <c r="G31" s="5" t="s">
        <v>1087</v>
      </c>
      <c r="H31" s="5"/>
      <c r="I31" s="6"/>
      <c r="J31" s="6"/>
      <c r="K31" s="6"/>
      <c r="L31" s="6"/>
      <c r="M31" s="7" t="s">
        <v>5293</v>
      </c>
      <c r="N31" s="8" t="str">
        <f>"CFI"&amp;".D"&amp;TEXT(Caja_Finanzas[[#This Row],[FECHA]],"DD-MM")&amp;"-"&amp;TEXT(Caja_Finanzas[[#This Row],[ITEM]],"0000")</f>
        <v>CFI.D09-01-0027</v>
      </c>
      <c r="O31" s="8" t="str">
        <f t="shared" si="5"/>
        <v>PEN</v>
      </c>
      <c r="P31" s="13"/>
      <c r="Q31" s="13">
        <v>800</v>
      </c>
      <c r="R31" s="3">
        <f t="shared" si="1"/>
        <v>800</v>
      </c>
      <c r="S31" s="3">
        <f t="shared" si="2"/>
        <v>0</v>
      </c>
      <c r="T31" s="3">
        <f t="shared" si="3"/>
        <v>471.5</v>
      </c>
      <c r="U31" s="24"/>
      <c r="V31" s="24"/>
      <c r="W31" s="3"/>
      <c r="X31" s="25"/>
      <c r="Y31" s="25" t="s">
        <v>5337</v>
      </c>
      <c r="Z31" s="25"/>
      <c r="AA31" s="25"/>
      <c r="AB31" s="25"/>
      <c r="AC31" s="3" t="str">
        <f>IF(Caja_Finanzas[[#This Row],[FECHA]]&gt;0,TEXT(Caja_Finanzas[[#This Row],[FECHA]],"mmmm"),0)</f>
        <v>Enero</v>
      </c>
    </row>
    <row r="32" spans="2:29" ht="60" x14ac:dyDescent="0.3">
      <c r="B32" s="2">
        <f>IF(Caja_Finanzas[[#This Row],[TIPO DE R.]]="R",COUNTIFS($D$4:$D31,"R")+1,"")</f>
        <v>28</v>
      </c>
      <c r="C32" s="19" t="str">
        <f t="shared" si="4"/>
        <v>C-Finanzas</v>
      </c>
      <c r="D32" s="3" t="s">
        <v>1074</v>
      </c>
      <c r="E32" s="14">
        <v>45666</v>
      </c>
      <c r="F32" s="5" t="s">
        <v>5338</v>
      </c>
      <c r="G32" s="5" t="s">
        <v>1079</v>
      </c>
      <c r="H32" s="5"/>
      <c r="I32" s="6"/>
      <c r="J32" s="6"/>
      <c r="K32" s="6"/>
      <c r="L32" s="6"/>
      <c r="M32" s="7" t="s">
        <v>5339</v>
      </c>
      <c r="N32" s="8" t="str">
        <f>"CFI"&amp;".D"&amp;TEXT(Caja_Finanzas[[#This Row],[FECHA]],"DD-MM")&amp;"-"&amp;TEXT(Caja_Finanzas[[#This Row],[ITEM]],"0000")</f>
        <v>CFI.D09-01-0028</v>
      </c>
      <c r="O32" s="8" t="str">
        <f t="shared" si="5"/>
        <v>PEN</v>
      </c>
      <c r="P32" s="13"/>
      <c r="Q32" s="13">
        <v>61</v>
      </c>
      <c r="R32" s="3">
        <f t="shared" si="1"/>
        <v>0</v>
      </c>
      <c r="S32" s="3">
        <f t="shared" si="2"/>
        <v>61</v>
      </c>
      <c r="T32" s="3">
        <f t="shared" si="3"/>
        <v>410.5</v>
      </c>
      <c r="U32" s="24"/>
      <c r="V32" s="24"/>
      <c r="W32" s="3"/>
      <c r="X32" s="25"/>
      <c r="Y32" s="25" t="s">
        <v>5340</v>
      </c>
      <c r="Z32" s="25"/>
      <c r="AA32" s="25"/>
      <c r="AB32" s="25"/>
      <c r="AC32" s="3" t="str">
        <f>IF(Caja_Finanzas[[#This Row],[FECHA]]&gt;0,TEXT(Caja_Finanzas[[#This Row],[FECHA]],"mmmm"),0)</f>
        <v>Enero</v>
      </c>
    </row>
    <row r="33" spans="2:29" ht="24" x14ac:dyDescent="0.3">
      <c r="B33" s="2">
        <f>IF(Caja_Finanzas[[#This Row],[TIPO DE R.]]="R",COUNTIFS($D$4:$D32,"R")+1,"")</f>
        <v>29</v>
      </c>
      <c r="C33" s="19" t="str">
        <f t="shared" si="4"/>
        <v>C-Finanzas</v>
      </c>
      <c r="D33" s="3" t="s">
        <v>1074</v>
      </c>
      <c r="E33" s="14">
        <v>45667</v>
      </c>
      <c r="F33" s="5" t="s">
        <v>5295</v>
      </c>
      <c r="G33" s="5" t="s">
        <v>1079</v>
      </c>
      <c r="H33" s="5"/>
      <c r="I33" s="6"/>
      <c r="J33" s="6"/>
      <c r="K33" s="6"/>
      <c r="L33" s="6"/>
      <c r="M33" s="7" t="s">
        <v>5341</v>
      </c>
      <c r="N33" s="8" t="str">
        <f>"CFI"&amp;".D"&amp;TEXT(Caja_Finanzas[[#This Row],[FECHA]],"DD-MM")&amp;"-"&amp;TEXT(Caja_Finanzas[[#This Row],[ITEM]],"0000")</f>
        <v>CFI.D10-01-0029</v>
      </c>
      <c r="O33" s="8" t="str">
        <f t="shared" si="5"/>
        <v>PEN</v>
      </c>
      <c r="P33" s="13"/>
      <c r="Q33" s="13">
        <v>30</v>
      </c>
      <c r="R33" s="3">
        <f t="shared" si="1"/>
        <v>0</v>
      </c>
      <c r="S33" s="3">
        <f t="shared" si="2"/>
        <v>30</v>
      </c>
      <c r="T33" s="3">
        <f t="shared" si="3"/>
        <v>380.5</v>
      </c>
      <c r="U33" s="24"/>
      <c r="V33" s="24"/>
      <c r="W33" s="3"/>
      <c r="X33" s="25"/>
      <c r="Y33" s="25" t="s">
        <v>5342</v>
      </c>
      <c r="Z33" s="25"/>
      <c r="AA33" s="25"/>
      <c r="AB33" s="25"/>
      <c r="AC33" s="3" t="str">
        <f>IF(Caja_Finanzas[[#This Row],[FECHA]]&gt;0,TEXT(Caja_Finanzas[[#This Row],[FECHA]],"mmmm"),0)</f>
        <v>Enero</v>
      </c>
    </row>
    <row r="34" spans="2:29" ht="24" x14ac:dyDescent="0.3">
      <c r="B34" s="2">
        <f>IF(Caja_Finanzas[[#This Row],[TIPO DE R.]]="R",COUNTIFS($D$4:$D33,"R")+1,"")</f>
        <v>30</v>
      </c>
      <c r="C34" s="19" t="str">
        <f t="shared" si="4"/>
        <v>C-Finanzas</v>
      </c>
      <c r="D34" s="3" t="s">
        <v>1074</v>
      </c>
      <c r="E34" s="14">
        <v>45667</v>
      </c>
      <c r="F34" s="5" t="s">
        <v>5343</v>
      </c>
      <c r="G34" s="5" t="s">
        <v>1079</v>
      </c>
      <c r="H34" s="5"/>
      <c r="I34" s="6"/>
      <c r="J34" s="6"/>
      <c r="K34" s="6"/>
      <c r="L34" s="6"/>
      <c r="M34" s="7" t="s">
        <v>5344</v>
      </c>
      <c r="N34" s="8" t="str">
        <f>"CFI"&amp;".D"&amp;TEXT(Caja_Finanzas[[#This Row],[FECHA]],"DD-MM")&amp;"-"&amp;TEXT(Caja_Finanzas[[#This Row],[ITEM]],"0000")</f>
        <v>CFI.D10-01-0030</v>
      </c>
      <c r="O34" s="8" t="str">
        <f t="shared" si="5"/>
        <v>PEN</v>
      </c>
      <c r="P34" s="13"/>
      <c r="Q34" s="13">
        <v>23.5</v>
      </c>
      <c r="R34" s="3">
        <f t="shared" si="1"/>
        <v>0</v>
      </c>
      <c r="S34" s="3">
        <f t="shared" si="2"/>
        <v>23.5</v>
      </c>
      <c r="T34" s="3">
        <f t="shared" si="3"/>
        <v>357</v>
      </c>
      <c r="U34" s="24"/>
      <c r="V34" s="24"/>
      <c r="W34" s="3"/>
      <c r="X34" s="25" t="s">
        <v>5345</v>
      </c>
      <c r="Y34" s="25"/>
      <c r="Z34" s="25"/>
      <c r="AA34" s="25"/>
      <c r="AB34" s="25"/>
      <c r="AC34" s="3" t="str">
        <f>IF(Caja_Finanzas[[#This Row],[FECHA]]&gt;0,TEXT(Caja_Finanzas[[#This Row],[FECHA]],"mmmm"),0)</f>
        <v>Enero</v>
      </c>
    </row>
    <row r="35" spans="2:29" ht="24" x14ac:dyDescent="0.3">
      <c r="B35" s="2">
        <f>IF(Caja_Finanzas[[#This Row],[TIPO DE R.]]="R",COUNTIFS($D$4:$D34,"R")+1,"")</f>
        <v>31</v>
      </c>
      <c r="C35" s="19" t="str">
        <f t="shared" si="4"/>
        <v>C-Finanzas</v>
      </c>
      <c r="D35" s="3" t="s">
        <v>1074</v>
      </c>
      <c r="E35" s="14">
        <v>45667</v>
      </c>
      <c r="F35" s="5" t="s">
        <v>5343</v>
      </c>
      <c r="G35" s="5" t="s">
        <v>1087</v>
      </c>
      <c r="H35" s="5"/>
      <c r="I35" s="6"/>
      <c r="J35" s="6"/>
      <c r="K35" s="6"/>
      <c r="L35" s="6"/>
      <c r="M35" s="7"/>
      <c r="N35" s="8" t="str">
        <f>"CFI"&amp;".D"&amp;TEXT(Caja_Finanzas[[#This Row],[FECHA]],"DD-MM")&amp;"-"&amp;TEXT(Caja_Finanzas[[#This Row],[ITEM]],"0000")</f>
        <v>CFI.D10-01-0031</v>
      </c>
      <c r="O35" s="8" t="str">
        <f t="shared" si="5"/>
        <v>PEN</v>
      </c>
      <c r="P35" s="13"/>
      <c r="Q35" s="13">
        <v>135</v>
      </c>
      <c r="R35" s="3">
        <f t="shared" si="1"/>
        <v>135</v>
      </c>
      <c r="S35" s="3">
        <f t="shared" si="2"/>
        <v>0</v>
      </c>
      <c r="T35" s="3">
        <f t="shared" si="3"/>
        <v>492</v>
      </c>
      <c r="U35" s="24"/>
      <c r="V35" s="24"/>
      <c r="W35" s="3"/>
      <c r="X35" s="25" t="s">
        <v>368</v>
      </c>
      <c r="Y35" s="25"/>
      <c r="Z35" s="25"/>
      <c r="AA35" s="25"/>
      <c r="AB35" s="25"/>
      <c r="AC35" s="3" t="str">
        <f>IF(Caja_Finanzas[[#This Row],[FECHA]]&gt;0,TEXT(Caja_Finanzas[[#This Row],[FECHA]],"mmmm"),0)</f>
        <v>Enero</v>
      </c>
    </row>
    <row r="36" spans="2:29" ht="24" x14ac:dyDescent="0.3">
      <c r="B36" s="2">
        <f>IF(Caja_Finanzas[[#This Row],[TIPO DE R.]]="R",COUNTIFS($D$4:$D35,"R")+1,"")</f>
        <v>32</v>
      </c>
      <c r="C36" s="19" t="str">
        <f t="shared" si="4"/>
        <v>C-Finanzas</v>
      </c>
      <c r="D36" s="3" t="s">
        <v>1074</v>
      </c>
      <c r="E36" s="14">
        <v>45667</v>
      </c>
      <c r="F36" s="5" t="s">
        <v>5343</v>
      </c>
      <c r="G36" s="5" t="s">
        <v>1087</v>
      </c>
      <c r="H36" s="5"/>
      <c r="I36" s="6"/>
      <c r="J36" s="6"/>
      <c r="K36" s="6"/>
      <c r="L36" s="6"/>
      <c r="M36" s="7" t="s">
        <v>5346</v>
      </c>
      <c r="N36" s="8" t="str">
        <f>"CFI"&amp;".D"&amp;TEXT(Caja_Finanzas[[#This Row],[FECHA]],"DD-MM")&amp;"-"&amp;TEXT(Caja_Finanzas[[#This Row],[ITEM]],"0000")</f>
        <v>CFI.D10-01-0032</v>
      </c>
      <c r="O36" s="8" t="str">
        <f t="shared" si="5"/>
        <v>PEN</v>
      </c>
      <c r="P36" s="13"/>
      <c r="Q36" s="13">
        <v>25</v>
      </c>
      <c r="R36" s="3">
        <f t="shared" si="1"/>
        <v>25</v>
      </c>
      <c r="S36" s="3">
        <f t="shared" si="2"/>
        <v>0</v>
      </c>
      <c r="T36" s="3">
        <f t="shared" si="3"/>
        <v>517</v>
      </c>
      <c r="U36" s="24"/>
      <c r="V36" s="24"/>
      <c r="W36" s="3"/>
      <c r="X36" s="25" t="s">
        <v>368</v>
      </c>
      <c r="Y36" s="25"/>
      <c r="Z36" s="25"/>
      <c r="AA36" s="25"/>
      <c r="AB36" s="25"/>
      <c r="AC36" s="3" t="str">
        <f>IF(Caja_Finanzas[[#This Row],[FECHA]]&gt;0,TEXT(Caja_Finanzas[[#This Row],[FECHA]],"mmmm"),0)</f>
        <v>Enero</v>
      </c>
    </row>
    <row r="37" spans="2:29" ht="24" x14ac:dyDescent="0.3">
      <c r="B37" s="2">
        <f>IF(Caja_Finanzas[[#This Row],[TIPO DE R.]]="R",COUNTIFS($D$4:$D36,"R")+1,"")</f>
        <v>33</v>
      </c>
      <c r="C37" s="19" t="str">
        <f t="shared" si="4"/>
        <v>C-Finanzas</v>
      </c>
      <c r="D37" s="3" t="s">
        <v>1074</v>
      </c>
      <c r="E37" s="14">
        <v>45670</v>
      </c>
      <c r="F37" s="5" t="s">
        <v>3245</v>
      </c>
      <c r="G37" s="5" t="s">
        <v>1087</v>
      </c>
      <c r="H37" s="5"/>
      <c r="I37" s="6"/>
      <c r="J37" s="6"/>
      <c r="K37" s="6"/>
      <c r="L37" s="6"/>
      <c r="M37" s="7" t="s">
        <v>5156</v>
      </c>
      <c r="N37" s="8" t="str">
        <f>"CFI"&amp;".D"&amp;TEXT(Caja_Finanzas[[#This Row],[FECHA]],"DD-MM")&amp;"-"&amp;TEXT(Caja_Finanzas[[#This Row],[ITEM]],"0000")</f>
        <v>CFI.D13-01-0033</v>
      </c>
      <c r="O37" s="8" t="str">
        <f t="shared" si="5"/>
        <v>PEN</v>
      </c>
      <c r="P37" s="13"/>
      <c r="Q37" s="13">
        <v>2260</v>
      </c>
      <c r="R37" s="3">
        <f t="shared" si="1"/>
        <v>2260</v>
      </c>
      <c r="S37" s="3">
        <f t="shared" si="2"/>
        <v>0</v>
      </c>
      <c r="T37" s="3">
        <f t="shared" si="3"/>
        <v>2777</v>
      </c>
      <c r="U37" s="24"/>
      <c r="V37" s="24"/>
      <c r="W37" s="3"/>
      <c r="X37" s="25"/>
      <c r="Y37" s="25" t="s">
        <v>5337</v>
      </c>
      <c r="Z37" s="25"/>
      <c r="AA37" s="25"/>
      <c r="AB37" s="25"/>
      <c r="AC37" s="3" t="str">
        <f>IF(Caja_Finanzas[[#This Row],[FECHA]]&gt;0,TEXT(Caja_Finanzas[[#This Row],[FECHA]],"mmmm"),0)</f>
        <v>Enero</v>
      </c>
    </row>
    <row r="38" spans="2:29" ht="24" x14ac:dyDescent="0.3">
      <c r="B38" s="2">
        <f>IF(Caja_Finanzas[[#This Row],[TIPO DE R.]]="R",COUNTIFS($D$4:$D37,"R")+1,"")</f>
        <v>34</v>
      </c>
      <c r="C38" s="19" t="str">
        <f t="shared" si="4"/>
        <v>C-Finanzas</v>
      </c>
      <c r="D38" s="3" t="s">
        <v>1074</v>
      </c>
      <c r="E38" s="14">
        <v>45670</v>
      </c>
      <c r="F38" s="5" t="s">
        <v>5347</v>
      </c>
      <c r="G38" s="5" t="s">
        <v>1079</v>
      </c>
      <c r="H38" s="5"/>
      <c r="I38" s="6"/>
      <c r="J38" s="6"/>
      <c r="K38" s="6"/>
      <c r="L38" s="6"/>
      <c r="M38" s="7" t="s">
        <v>5348</v>
      </c>
      <c r="N38" s="8" t="str">
        <f>"CFI"&amp;".D"&amp;TEXT(Caja_Finanzas[[#This Row],[FECHA]],"DD-MM")&amp;"-"&amp;TEXT(Caja_Finanzas[[#This Row],[ITEM]],"0000")</f>
        <v>CFI.D13-01-0034</v>
      </c>
      <c r="O38" s="8" t="str">
        <f t="shared" si="5"/>
        <v>PEN</v>
      </c>
      <c r="P38" s="13"/>
      <c r="Q38" s="13">
        <v>22.8</v>
      </c>
      <c r="R38" s="3">
        <f t="shared" si="1"/>
        <v>0</v>
      </c>
      <c r="S38" s="3">
        <f t="shared" si="2"/>
        <v>22.8</v>
      </c>
      <c r="T38" s="3">
        <f t="shared" si="3"/>
        <v>2754.2</v>
      </c>
      <c r="U38" s="24"/>
      <c r="V38" s="24"/>
      <c r="W38" s="3"/>
      <c r="X38" s="25" t="s">
        <v>5349</v>
      </c>
      <c r="Y38" s="25" t="s">
        <v>5350</v>
      </c>
      <c r="Z38" s="25"/>
      <c r="AA38" s="25"/>
      <c r="AB38" s="25"/>
      <c r="AC38" s="3" t="str">
        <f>IF(Caja_Finanzas[[#This Row],[FECHA]]&gt;0,TEXT(Caja_Finanzas[[#This Row],[FECHA]],"mmmm"),0)</f>
        <v>Enero</v>
      </c>
    </row>
    <row r="39" spans="2:29" ht="24" x14ac:dyDescent="0.3">
      <c r="B39" s="2">
        <f>IF(Caja_Finanzas[[#This Row],[TIPO DE R.]]="R",COUNTIFS($D$4:$D38,"R")+1,"")</f>
        <v>35</v>
      </c>
      <c r="C39" s="19" t="str">
        <f t="shared" si="4"/>
        <v>C-Finanzas</v>
      </c>
      <c r="D39" s="3" t="s">
        <v>1074</v>
      </c>
      <c r="E39" s="14">
        <v>45670</v>
      </c>
      <c r="F39" s="5" t="s">
        <v>2100</v>
      </c>
      <c r="G39" s="5" t="s">
        <v>1087</v>
      </c>
      <c r="H39" s="5"/>
      <c r="I39" s="6"/>
      <c r="J39" s="6"/>
      <c r="K39" s="6"/>
      <c r="L39" s="6"/>
      <c r="M39" s="7" t="s">
        <v>5156</v>
      </c>
      <c r="N39" s="8" t="str">
        <f>"CFI"&amp;".D"&amp;TEXT(Caja_Finanzas[[#This Row],[FECHA]],"DD-MM")&amp;"-"&amp;TEXT(Caja_Finanzas[[#This Row],[ITEM]],"0000")</f>
        <v>CFI.D13-01-0035</v>
      </c>
      <c r="O39" s="8" t="str">
        <f t="shared" si="5"/>
        <v>PEN</v>
      </c>
      <c r="P39" s="13"/>
      <c r="Q39" s="13">
        <v>300</v>
      </c>
      <c r="R39" s="3">
        <f t="shared" si="1"/>
        <v>300</v>
      </c>
      <c r="S39" s="3">
        <f t="shared" si="2"/>
        <v>0</v>
      </c>
      <c r="T39" s="3">
        <f t="shared" si="3"/>
        <v>3054.2</v>
      </c>
      <c r="U39" s="24"/>
      <c r="V39" s="24"/>
      <c r="W39" s="3"/>
      <c r="X39" s="25"/>
      <c r="Y39" s="25" t="s">
        <v>5351</v>
      </c>
      <c r="Z39" s="25"/>
      <c r="AA39" s="25"/>
      <c r="AB39" s="25"/>
      <c r="AC39" s="3" t="str">
        <f>IF(Caja_Finanzas[[#This Row],[FECHA]]&gt;0,TEXT(Caja_Finanzas[[#This Row],[FECHA]],"mmmm"),0)</f>
        <v>Enero</v>
      </c>
    </row>
    <row r="40" spans="2:29" ht="24" x14ac:dyDescent="0.3">
      <c r="B40" s="2">
        <f>IF(Caja_Finanzas[[#This Row],[TIPO DE R.]]="R",COUNTIFS($D$4:$D39,"R")+1,"")</f>
        <v>36</v>
      </c>
      <c r="C40" s="19" t="str">
        <f t="shared" si="4"/>
        <v>C-Finanzas</v>
      </c>
      <c r="D40" s="3" t="s">
        <v>1074</v>
      </c>
      <c r="E40" s="14">
        <v>45670</v>
      </c>
      <c r="F40" s="5" t="s">
        <v>5352</v>
      </c>
      <c r="G40" s="5" t="s">
        <v>1079</v>
      </c>
      <c r="H40" s="5"/>
      <c r="I40" s="6"/>
      <c r="J40" s="6"/>
      <c r="K40" s="6"/>
      <c r="L40" s="6"/>
      <c r="M40" s="7" t="s">
        <v>5353</v>
      </c>
      <c r="N40" s="8" t="str">
        <f>"CFI"&amp;".D"&amp;TEXT(Caja_Finanzas[[#This Row],[FECHA]],"DD-MM")&amp;"-"&amp;TEXT(Caja_Finanzas[[#This Row],[ITEM]],"0000")</f>
        <v>CFI.D13-01-0036</v>
      </c>
      <c r="O40" s="8" t="str">
        <f t="shared" si="5"/>
        <v>PEN</v>
      </c>
      <c r="P40" s="13"/>
      <c r="Q40" s="13">
        <v>284.5</v>
      </c>
      <c r="R40" s="3">
        <f t="shared" si="1"/>
        <v>0</v>
      </c>
      <c r="S40" s="3">
        <f t="shared" si="2"/>
        <v>284.5</v>
      </c>
      <c r="T40" s="3">
        <f t="shared" si="3"/>
        <v>2769.7</v>
      </c>
      <c r="U40" s="24"/>
      <c r="V40" s="24"/>
      <c r="W40" s="3"/>
      <c r="X40" s="25" t="s">
        <v>5354</v>
      </c>
      <c r="Y40" s="25" t="s">
        <v>5355</v>
      </c>
      <c r="Z40" s="25"/>
      <c r="AA40" s="25"/>
      <c r="AB40" s="25"/>
      <c r="AC40" s="3" t="str">
        <f>IF(Caja_Finanzas[[#This Row],[FECHA]]&gt;0,TEXT(Caja_Finanzas[[#This Row],[FECHA]],"mmmm"),0)</f>
        <v>Enero</v>
      </c>
    </row>
    <row r="41" spans="2:29" ht="24" x14ac:dyDescent="0.3">
      <c r="B41" s="2">
        <f>IF(Caja_Finanzas[[#This Row],[TIPO DE R.]]="R",COUNTIFS($D$4:$D40,"R")+1,"")</f>
        <v>37</v>
      </c>
      <c r="C41" s="19" t="str">
        <f t="shared" si="4"/>
        <v>C-Finanzas</v>
      </c>
      <c r="D41" s="3" t="s">
        <v>1074</v>
      </c>
      <c r="E41" s="14">
        <v>45670</v>
      </c>
      <c r="F41" s="5" t="s">
        <v>5305</v>
      </c>
      <c r="G41" s="5" t="s">
        <v>1079</v>
      </c>
      <c r="H41" s="5"/>
      <c r="I41" s="6"/>
      <c r="J41" s="6"/>
      <c r="K41" s="6"/>
      <c r="L41" s="6"/>
      <c r="M41" s="7" t="s">
        <v>5356</v>
      </c>
      <c r="N41" s="8" t="str">
        <f>"CFI"&amp;".D"&amp;TEXT(Caja_Finanzas[[#This Row],[FECHA]],"DD-MM")&amp;"-"&amp;TEXT(Caja_Finanzas[[#This Row],[ITEM]],"0000")</f>
        <v>CFI.D13-01-0037</v>
      </c>
      <c r="O41" s="8" t="str">
        <f t="shared" si="5"/>
        <v>PEN</v>
      </c>
      <c r="P41" s="13"/>
      <c r="Q41" s="13">
        <v>1000</v>
      </c>
      <c r="R41" s="3">
        <f t="shared" si="1"/>
        <v>0</v>
      </c>
      <c r="S41" s="3">
        <f t="shared" si="2"/>
        <v>1000</v>
      </c>
      <c r="T41" s="3">
        <f t="shared" si="3"/>
        <v>1769.6999999999998</v>
      </c>
      <c r="U41" s="24"/>
      <c r="V41" s="24"/>
      <c r="W41" s="3"/>
      <c r="X41" s="25"/>
      <c r="Y41" s="25"/>
      <c r="Z41" s="25"/>
      <c r="AA41" s="25"/>
      <c r="AB41" s="25"/>
      <c r="AC41" s="3" t="str">
        <f>IF(Caja_Finanzas[[#This Row],[FECHA]]&gt;0,TEXT(Caja_Finanzas[[#This Row],[FECHA]],"mmmm"),0)</f>
        <v>Enero</v>
      </c>
    </row>
    <row r="42" spans="2:29" ht="36" x14ac:dyDescent="0.3">
      <c r="B42" s="2">
        <f>IF(Caja_Finanzas[[#This Row],[TIPO DE R.]]="R",COUNTIFS($D$4:$D41,"R")+1,"")</f>
        <v>38</v>
      </c>
      <c r="C42" s="19" t="str">
        <f t="shared" si="4"/>
        <v>C-Finanzas</v>
      </c>
      <c r="D42" s="3" t="s">
        <v>1074</v>
      </c>
      <c r="E42" s="14">
        <v>45672</v>
      </c>
      <c r="F42" s="5" t="s">
        <v>5307</v>
      </c>
      <c r="G42" s="5" t="s">
        <v>1079</v>
      </c>
      <c r="H42" s="5"/>
      <c r="I42" s="6"/>
      <c r="J42" s="6"/>
      <c r="K42" s="6"/>
      <c r="L42" s="6"/>
      <c r="M42" s="7" t="s">
        <v>5357</v>
      </c>
      <c r="N42" s="8" t="str">
        <f>"CFI"&amp;".D"&amp;TEXT(Caja_Finanzas[[#This Row],[FECHA]],"DD-MM")&amp;"-"&amp;TEXT(Caja_Finanzas[[#This Row],[ITEM]],"0000")</f>
        <v>CFI.D15-01-0038</v>
      </c>
      <c r="O42" s="8" t="str">
        <f t="shared" si="5"/>
        <v>PEN</v>
      </c>
      <c r="P42" s="13"/>
      <c r="Q42" s="13">
        <v>50</v>
      </c>
      <c r="R42" s="3">
        <f t="shared" si="1"/>
        <v>0</v>
      </c>
      <c r="S42" s="3">
        <f t="shared" si="2"/>
        <v>50</v>
      </c>
      <c r="T42" s="3">
        <f t="shared" si="3"/>
        <v>1719.6999999999998</v>
      </c>
      <c r="U42" s="24"/>
      <c r="V42" s="24"/>
      <c r="W42" s="3"/>
      <c r="X42" s="25" t="s">
        <v>5358</v>
      </c>
      <c r="Y42" s="25" t="s">
        <v>5359</v>
      </c>
      <c r="Z42" s="25"/>
      <c r="AA42" s="25"/>
      <c r="AB42" s="25"/>
      <c r="AC42" s="3" t="str">
        <f>IF(Caja_Finanzas[[#This Row],[FECHA]]&gt;0,TEXT(Caja_Finanzas[[#This Row],[FECHA]],"mmmm"),0)</f>
        <v>Enero</v>
      </c>
    </row>
    <row r="43" spans="2:29" ht="48" x14ac:dyDescent="0.3">
      <c r="B43" s="2">
        <f>IF(Caja_Finanzas[[#This Row],[TIPO DE R.]]="R",COUNTIFS($D$4:$D42,"R")+1,"")</f>
        <v>39</v>
      </c>
      <c r="C43" s="19" t="str">
        <f t="shared" si="4"/>
        <v>C-Finanzas</v>
      </c>
      <c r="D43" s="3" t="s">
        <v>1074</v>
      </c>
      <c r="E43" s="14">
        <v>45672</v>
      </c>
      <c r="F43" s="5" t="s">
        <v>5307</v>
      </c>
      <c r="G43" s="5" t="s">
        <v>1079</v>
      </c>
      <c r="H43" s="5"/>
      <c r="I43" s="6"/>
      <c r="J43" s="6"/>
      <c r="K43" s="6"/>
      <c r="L43" s="6"/>
      <c r="M43" s="7" t="s">
        <v>5360</v>
      </c>
      <c r="N43" s="8" t="str">
        <f>"CFI"&amp;".D"&amp;TEXT(Caja_Finanzas[[#This Row],[FECHA]],"DD-MM")&amp;"-"&amp;TEXT(Caja_Finanzas[[#This Row],[ITEM]],"0000")</f>
        <v>CFI.D15-01-0039</v>
      </c>
      <c r="O43" s="8" t="str">
        <f t="shared" si="5"/>
        <v>PEN</v>
      </c>
      <c r="P43" s="13"/>
      <c r="Q43" s="13">
        <v>250</v>
      </c>
      <c r="R43" s="3">
        <f t="shared" si="1"/>
        <v>0</v>
      </c>
      <c r="S43" s="3">
        <f t="shared" si="2"/>
        <v>250</v>
      </c>
      <c r="T43" s="3">
        <f t="shared" si="3"/>
        <v>1469.6999999999998</v>
      </c>
      <c r="U43" s="24"/>
      <c r="V43" s="24"/>
      <c r="W43" s="3"/>
      <c r="X43" s="25" t="s">
        <v>5361</v>
      </c>
      <c r="Y43" s="25" t="s">
        <v>5362</v>
      </c>
      <c r="Z43" s="25"/>
      <c r="AA43" s="25"/>
      <c r="AB43" s="25"/>
      <c r="AC43" s="3" t="str">
        <f>IF(Caja_Finanzas[[#This Row],[FECHA]]&gt;0,TEXT(Caja_Finanzas[[#This Row],[FECHA]],"mmmm"),0)</f>
        <v>Enero</v>
      </c>
    </row>
    <row r="44" spans="2:29" ht="48" x14ac:dyDescent="0.3">
      <c r="B44" s="2">
        <f>IF(Caja_Finanzas[[#This Row],[TIPO DE R.]]="R",COUNTIFS($D$4:$D43,"R")+1,"")</f>
        <v>40</v>
      </c>
      <c r="C44" s="19" t="str">
        <f t="shared" si="4"/>
        <v>C-Finanzas</v>
      </c>
      <c r="D44" s="3" t="s">
        <v>1074</v>
      </c>
      <c r="E44" s="14">
        <v>45672</v>
      </c>
      <c r="F44" s="5" t="s">
        <v>5307</v>
      </c>
      <c r="G44" s="5" t="s">
        <v>1079</v>
      </c>
      <c r="H44" s="5"/>
      <c r="I44" s="6"/>
      <c r="J44" s="6"/>
      <c r="K44" s="6"/>
      <c r="L44" s="6"/>
      <c r="M44" s="7" t="s">
        <v>5363</v>
      </c>
      <c r="N44" s="8" t="str">
        <f>"CFI"&amp;".D"&amp;TEXT(Caja_Finanzas[[#This Row],[FECHA]],"DD-MM")&amp;"-"&amp;TEXT(Caja_Finanzas[[#This Row],[ITEM]],"0000")</f>
        <v>CFI.D15-01-0040</v>
      </c>
      <c r="O44" s="8" t="str">
        <f t="shared" si="5"/>
        <v>PEN</v>
      </c>
      <c r="P44" s="13"/>
      <c r="Q44" s="13">
        <v>300</v>
      </c>
      <c r="R44" s="3">
        <f t="shared" si="1"/>
        <v>0</v>
      </c>
      <c r="S44" s="3">
        <f t="shared" si="2"/>
        <v>300</v>
      </c>
      <c r="T44" s="3">
        <f t="shared" si="3"/>
        <v>1169.6999999999998</v>
      </c>
      <c r="U44" s="24"/>
      <c r="V44" s="24"/>
      <c r="W44" s="3"/>
      <c r="X44" s="25" t="s">
        <v>5361</v>
      </c>
      <c r="Y44" s="25" t="s">
        <v>5364</v>
      </c>
      <c r="Z44" s="25"/>
      <c r="AA44" s="25"/>
      <c r="AB44" s="25"/>
      <c r="AC44" s="3" t="str">
        <f>IF(Caja_Finanzas[[#This Row],[FECHA]]&gt;0,TEXT(Caja_Finanzas[[#This Row],[FECHA]],"mmmm"),0)</f>
        <v>Enero</v>
      </c>
    </row>
    <row r="45" spans="2:29" ht="48" x14ac:dyDescent="0.3">
      <c r="B45" s="2">
        <f>IF(Caja_Finanzas[[#This Row],[TIPO DE R.]]="R",COUNTIFS($D$4:$D44,"R")+1,"")</f>
        <v>41</v>
      </c>
      <c r="C45" s="19" t="str">
        <f t="shared" si="4"/>
        <v>C-Finanzas</v>
      </c>
      <c r="D45" s="3" t="s">
        <v>1074</v>
      </c>
      <c r="E45" s="14">
        <v>45672</v>
      </c>
      <c r="F45" s="5" t="s">
        <v>5307</v>
      </c>
      <c r="G45" s="5" t="s">
        <v>1079</v>
      </c>
      <c r="H45" s="5"/>
      <c r="I45" s="6"/>
      <c r="J45" s="6"/>
      <c r="K45" s="6"/>
      <c r="L45" s="6"/>
      <c r="M45" s="7" t="s">
        <v>5365</v>
      </c>
      <c r="N45" s="8" t="str">
        <f>"CFI"&amp;".D"&amp;TEXT(Caja_Finanzas[[#This Row],[FECHA]],"DD-MM")&amp;"-"&amp;TEXT(Caja_Finanzas[[#This Row],[ITEM]],"0000")</f>
        <v>CFI.D15-01-0041</v>
      </c>
      <c r="O45" s="8" t="str">
        <f t="shared" si="5"/>
        <v>PEN</v>
      </c>
      <c r="P45" s="13"/>
      <c r="Q45" s="13">
        <v>250</v>
      </c>
      <c r="R45" s="3">
        <f t="shared" si="1"/>
        <v>0</v>
      </c>
      <c r="S45" s="3">
        <f t="shared" si="2"/>
        <v>250</v>
      </c>
      <c r="T45" s="3">
        <f t="shared" si="3"/>
        <v>919.69999999999982</v>
      </c>
      <c r="U45" s="24"/>
      <c r="V45" s="24"/>
      <c r="W45" s="3"/>
      <c r="X45" s="25" t="s">
        <v>5361</v>
      </c>
      <c r="Y45" s="25" t="s">
        <v>5366</v>
      </c>
      <c r="Z45" s="25"/>
      <c r="AA45" s="25"/>
      <c r="AB45" s="25"/>
      <c r="AC45" s="3" t="str">
        <f>IF(Caja_Finanzas[[#This Row],[FECHA]]&gt;0,TEXT(Caja_Finanzas[[#This Row],[FECHA]],"mmmm"),0)</f>
        <v>Enero</v>
      </c>
    </row>
    <row r="46" spans="2:29" x14ac:dyDescent="0.3">
      <c r="B46" s="2">
        <f>IF(Caja_Finanzas[[#This Row],[TIPO DE R.]]="R",COUNTIFS($D$4:$D45,"R")+1,"")</f>
        <v>42</v>
      </c>
      <c r="C46" s="19" t="str">
        <f t="shared" si="4"/>
        <v>C-Finanzas</v>
      </c>
      <c r="D46" s="3" t="s">
        <v>1074</v>
      </c>
      <c r="E46" s="14">
        <v>45672</v>
      </c>
      <c r="F46" s="5" t="s">
        <v>2518</v>
      </c>
      <c r="G46" s="5" t="s">
        <v>1087</v>
      </c>
      <c r="H46" s="5"/>
      <c r="I46" s="6"/>
      <c r="J46" s="6"/>
      <c r="K46" s="6"/>
      <c r="L46" s="6"/>
      <c r="M46" s="7" t="s">
        <v>5156</v>
      </c>
      <c r="N46" s="8" t="str">
        <f>"CFI"&amp;".D"&amp;TEXT(Caja_Finanzas[[#This Row],[FECHA]],"DD-MM")&amp;"-"&amp;TEXT(Caja_Finanzas[[#This Row],[ITEM]],"0000")</f>
        <v>CFI.D15-01-0042</v>
      </c>
      <c r="O46" s="8" t="str">
        <f t="shared" si="5"/>
        <v>PEN</v>
      </c>
      <c r="P46" s="13"/>
      <c r="Q46" s="13">
        <v>258</v>
      </c>
      <c r="R46" s="3">
        <f t="shared" si="1"/>
        <v>258</v>
      </c>
      <c r="S46" s="3">
        <f t="shared" si="2"/>
        <v>0</v>
      </c>
      <c r="T46" s="3">
        <f t="shared" si="3"/>
        <v>1177.6999999999998</v>
      </c>
      <c r="U46" s="24"/>
      <c r="V46" s="24"/>
      <c r="W46" s="3"/>
      <c r="X46" s="25"/>
      <c r="Y46" s="25" t="s">
        <v>5367</v>
      </c>
      <c r="Z46" s="25"/>
      <c r="AA46" s="25"/>
      <c r="AB46" s="25"/>
      <c r="AC46" s="3" t="str">
        <f>IF(Caja_Finanzas[[#This Row],[FECHA]]&gt;0,TEXT(Caja_Finanzas[[#This Row],[FECHA]],"mmmm"),0)</f>
        <v>Enero</v>
      </c>
    </row>
    <row r="47" spans="2:29" x14ac:dyDescent="0.3">
      <c r="B47" s="2">
        <f>IF(Caja_Finanzas[[#This Row],[TIPO DE R.]]="R",COUNTIFS($D$4:$D46,"R")+1,"")</f>
        <v>43</v>
      </c>
      <c r="C47" s="19" t="str">
        <f t="shared" si="4"/>
        <v>C-Finanzas</v>
      </c>
      <c r="D47" s="3" t="s">
        <v>1074</v>
      </c>
      <c r="E47" s="14">
        <v>45672</v>
      </c>
      <c r="F47" s="5" t="s">
        <v>2518</v>
      </c>
      <c r="G47" s="5" t="s">
        <v>1087</v>
      </c>
      <c r="H47" s="5"/>
      <c r="I47" s="6"/>
      <c r="J47" s="6"/>
      <c r="K47" s="6"/>
      <c r="L47" s="6"/>
      <c r="M47" s="7" t="s">
        <v>5156</v>
      </c>
      <c r="N47" s="8" t="str">
        <f>"CFI"&amp;".D"&amp;TEXT(Caja_Finanzas[[#This Row],[FECHA]],"DD-MM")&amp;"-"&amp;TEXT(Caja_Finanzas[[#This Row],[ITEM]],"0000")</f>
        <v>CFI.D15-01-0043</v>
      </c>
      <c r="O47" s="8" t="str">
        <f t="shared" si="5"/>
        <v>PEN</v>
      </c>
      <c r="P47" s="13"/>
      <c r="Q47" s="13">
        <v>63</v>
      </c>
      <c r="R47" s="3">
        <f t="shared" si="1"/>
        <v>63</v>
      </c>
      <c r="S47" s="3">
        <f t="shared" si="2"/>
        <v>0</v>
      </c>
      <c r="T47" s="3">
        <f t="shared" si="3"/>
        <v>1240.6999999999998</v>
      </c>
      <c r="U47" s="24"/>
      <c r="V47" s="24"/>
      <c r="W47" s="3"/>
      <c r="X47" s="25"/>
      <c r="Y47" s="25" t="s">
        <v>5368</v>
      </c>
      <c r="Z47" s="25"/>
      <c r="AA47" s="25"/>
      <c r="AB47" s="25"/>
      <c r="AC47" s="3" t="str">
        <f>IF(Caja_Finanzas[[#This Row],[FECHA]]&gt;0,TEXT(Caja_Finanzas[[#This Row],[FECHA]],"mmmm"),0)</f>
        <v>Enero</v>
      </c>
    </row>
    <row r="48" spans="2:29" ht="24" x14ac:dyDescent="0.3">
      <c r="B48" s="2">
        <f>IF(Caja_Finanzas[[#This Row],[TIPO DE R.]]="R",COUNTIFS($D$4:$D47,"R")+1,"")</f>
        <v>44</v>
      </c>
      <c r="C48" s="19" t="str">
        <f t="shared" si="4"/>
        <v>C-Finanzas</v>
      </c>
      <c r="D48" s="3" t="s">
        <v>1074</v>
      </c>
      <c r="E48" s="14">
        <v>45672</v>
      </c>
      <c r="F48" s="5" t="s">
        <v>1407</v>
      </c>
      <c r="G48" s="5" t="s">
        <v>1087</v>
      </c>
      <c r="H48" s="5"/>
      <c r="I48" s="6"/>
      <c r="J48" s="6"/>
      <c r="K48" s="6"/>
      <c r="L48" s="6"/>
      <c r="M48" s="7" t="s">
        <v>5369</v>
      </c>
      <c r="N48" s="8" t="str">
        <f>"CFI"&amp;".D"&amp;TEXT(Caja_Finanzas[[#This Row],[FECHA]],"DD-MM")&amp;"-"&amp;TEXT(Caja_Finanzas[[#This Row],[ITEM]],"0000")</f>
        <v>CFI.D15-01-0044</v>
      </c>
      <c r="O48" s="8" t="str">
        <f t="shared" si="5"/>
        <v>PEN</v>
      </c>
      <c r="P48" s="13"/>
      <c r="Q48" s="13">
        <v>2333</v>
      </c>
      <c r="R48" s="3">
        <f t="shared" si="1"/>
        <v>2333</v>
      </c>
      <c r="S48" s="3">
        <f t="shared" si="2"/>
        <v>0</v>
      </c>
      <c r="T48" s="3">
        <f t="shared" si="3"/>
        <v>3573.7</v>
      </c>
      <c r="U48" s="24"/>
      <c r="V48" s="24"/>
      <c r="W48" s="3"/>
      <c r="X48" s="25"/>
      <c r="Y48" s="25" t="s">
        <v>5370</v>
      </c>
      <c r="Z48" s="25"/>
      <c r="AA48" s="25"/>
      <c r="AB48" s="25"/>
      <c r="AC48" s="3" t="str">
        <f>IF(Caja_Finanzas[[#This Row],[FECHA]]&gt;0,TEXT(Caja_Finanzas[[#This Row],[FECHA]],"mmmm"),0)</f>
        <v>Enero</v>
      </c>
    </row>
    <row r="49" spans="2:29" x14ac:dyDescent="0.3">
      <c r="B49" s="2">
        <f>IF(Caja_Finanzas[[#This Row],[TIPO DE R.]]="R",COUNTIFS($D$4:$D48,"R")+1,"")</f>
        <v>45</v>
      </c>
      <c r="C49" s="19" t="str">
        <f t="shared" si="4"/>
        <v>C-Finanzas</v>
      </c>
      <c r="D49" s="3" t="s">
        <v>1074</v>
      </c>
      <c r="E49" s="14">
        <v>45672</v>
      </c>
      <c r="F49" s="5" t="s">
        <v>2518</v>
      </c>
      <c r="G49" s="5" t="s">
        <v>1087</v>
      </c>
      <c r="H49" s="5"/>
      <c r="I49" s="6"/>
      <c r="J49" s="6"/>
      <c r="K49" s="6"/>
      <c r="L49" s="6"/>
      <c r="M49" s="7" t="s">
        <v>5156</v>
      </c>
      <c r="N49" s="8" t="str">
        <f>"CFI"&amp;".D"&amp;TEXT(Caja_Finanzas[[#This Row],[FECHA]],"DD-MM")&amp;"-"&amp;TEXT(Caja_Finanzas[[#This Row],[ITEM]],"0000")</f>
        <v>CFI.D15-01-0045</v>
      </c>
      <c r="O49" s="8" t="str">
        <f t="shared" si="5"/>
        <v>PEN</v>
      </c>
      <c r="P49" s="13"/>
      <c r="Q49" s="13">
        <v>868</v>
      </c>
      <c r="R49" s="3">
        <f t="shared" si="1"/>
        <v>868</v>
      </c>
      <c r="S49" s="3">
        <f t="shared" si="2"/>
        <v>0</v>
      </c>
      <c r="T49" s="3">
        <f t="shared" si="3"/>
        <v>4441.7</v>
      </c>
      <c r="U49" s="24"/>
      <c r="V49" s="24"/>
      <c r="W49" s="3"/>
      <c r="X49" s="25"/>
      <c r="Y49" s="25" t="s">
        <v>5371</v>
      </c>
      <c r="Z49" s="25"/>
      <c r="AA49" s="25"/>
      <c r="AB49" s="25"/>
      <c r="AC49" s="3" t="str">
        <f>IF(Caja_Finanzas[[#This Row],[FECHA]]&gt;0,TEXT(Caja_Finanzas[[#This Row],[FECHA]],"mmmm"),0)</f>
        <v>Enero</v>
      </c>
    </row>
    <row r="50" spans="2:29" ht="24" x14ac:dyDescent="0.3">
      <c r="B50" s="2">
        <f>IF(Caja_Finanzas[[#This Row],[TIPO DE R.]]="R",COUNTIFS($D$4:$D49,"R")+1,"")</f>
        <v>46</v>
      </c>
      <c r="C50" s="19" t="str">
        <f t="shared" si="4"/>
        <v>C-Finanzas</v>
      </c>
      <c r="D50" s="3" t="s">
        <v>1074</v>
      </c>
      <c r="E50" s="14">
        <v>45672</v>
      </c>
      <c r="F50" s="5" t="s">
        <v>5372</v>
      </c>
      <c r="G50" s="5" t="s">
        <v>1087</v>
      </c>
      <c r="H50" s="5"/>
      <c r="I50" s="6"/>
      <c r="J50" s="6"/>
      <c r="K50" s="6"/>
      <c r="L50" s="6"/>
      <c r="M50" s="7" t="s">
        <v>5156</v>
      </c>
      <c r="N50" s="8" t="str">
        <f>"CFI"&amp;".D"&amp;TEXT(Caja_Finanzas[[#This Row],[FECHA]],"DD-MM")&amp;"-"&amp;TEXT(Caja_Finanzas[[#This Row],[ITEM]],"0000")</f>
        <v>CFI.D15-01-0046</v>
      </c>
      <c r="O50" s="8" t="str">
        <f t="shared" si="5"/>
        <v>PEN</v>
      </c>
      <c r="P50" s="13"/>
      <c r="Q50" s="13">
        <v>350</v>
      </c>
      <c r="R50" s="3">
        <f t="shared" si="1"/>
        <v>350</v>
      </c>
      <c r="S50" s="3">
        <f t="shared" si="2"/>
        <v>0</v>
      </c>
      <c r="T50" s="3">
        <f t="shared" si="3"/>
        <v>4791.7</v>
      </c>
      <c r="U50" s="24"/>
      <c r="V50" s="24"/>
      <c r="W50" s="3"/>
      <c r="X50" s="25"/>
      <c r="Y50" s="25" t="s">
        <v>5373</v>
      </c>
      <c r="Z50" s="25"/>
      <c r="AA50" s="25"/>
      <c r="AB50" s="25"/>
      <c r="AC50" s="3" t="str">
        <f>IF(Caja_Finanzas[[#This Row],[FECHA]]&gt;0,TEXT(Caja_Finanzas[[#This Row],[FECHA]],"mmmm"),0)</f>
        <v>Enero</v>
      </c>
    </row>
    <row r="51" spans="2:29" ht="24" x14ac:dyDescent="0.3">
      <c r="B51" s="2">
        <f>IF(Caja_Finanzas[[#This Row],[TIPO DE R.]]="R",COUNTIFS($D$4:$D50,"R")+1,"")</f>
        <v>47</v>
      </c>
      <c r="C51" s="19" t="str">
        <f t="shared" si="4"/>
        <v>C-Finanzas</v>
      </c>
      <c r="D51" s="3" t="s">
        <v>1074</v>
      </c>
      <c r="E51" s="14">
        <v>45672</v>
      </c>
      <c r="F51" s="5" t="s">
        <v>5374</v>
      </c>
      <c r="G51" s="5" t="s">
        <v>1087</v>
      </c>
      <c r="H51" s="5"/>
      <c r="I51" s="6"/>
      <c r="J51" s="6"/>
      <c r="K51" s="6"/>
      <c r="L51" s="6"/>
      <c r="M51" s="7" t="s">
        <v>5156</v>
      </c>
      <c r="N51" s="8" t="str">
        <f>"CFI"&amp;".D"&amp;TEXT(Caja_Finanzas[[#This Row],[FECHA]],"DD-MM")&amp;"-"&amp;TEXT(Caja_Finanzas[[#This Row],[ITEM]],"0000")</f>
        <v>CFI.D15-01-0047</v>
      </c>
      <c r="O51" s="8" t="str">
        <f t="shared" si="5"/>
        <v>PEN</v>
      </c>
      <c r="P51" s="13"/>
      <c r="Q51" s="13">
        <v>5</v>
      </c>
      <c r="R51" s="3">
        <f t="shared" si="1"/>
        <v>5</v>
      </c>
      <c r="S51" s="3">
        <f t="shared" si="2"/>
        <v>0</v>
      </c>
      <c r="T51" s="3">
        <f t="shared" si="3"/>
        <v>4796.7</v>
      </c>
      <c r="U51" s="24"/>
      <c r="V51" s="24"/>
      <c r="W51" s="3"/>
      <c r="X51" s="25"/>
      <c r="Y51" s="25" t="s">
        <v>1235</v>
      </c>
      <c r="Z51" s="25"/>
      <c r="AA51" s="25"/>
      <c r="AB51" s="25"/>
      <c r="AC51" s="3" t="str">
        <f>IF(Caja_Finanzas[[#This Row],[FECHA]]&gt;0,TEXT(Caja_Finanzas[[#This Row],[FECHA]],"mmmm"),0)</f>
        <v>Enero</v>
      </c>
    </row>
    <row r="52" spans="2:29" ht="24" x14ac:dyDescent="0.3">
      <c r="B52" s="2">
        <f>IF(Caja_Finanzas[[#This Row],[TIPO DE R.]]="R",COUNTIFS($D$4:$D51,"R")+1,"")</f>
        <v>48</v>
      </c>
      <c r="C52" s="19" t="str">
        <f t="shared" si="4"/>
        <v>C-Finanzas</v>
      </c>
      <c r="D52" s="3" t="s">
        <v>1074</v>
      </c>
      <c r="E52" s="14">
        <v>45672</v>
      </c>
      <c r="F52" s="5" t="s">
        <v>5347</v>
      </c>
      <c r="G52" s="5" t="s">
        <v>1079</v>
      </c>
      <c r="H52" s="5"/>
      <c r="I52" s="6"/>
      <c r="J52" s="6"/>
      <c r="K52" s="6"/>
      <c r="L52" s="6"/>
      <c r="M52" s="7" t="s">
        <v>5375</v>
      </c>
      <c r="N52" s="8" t="str">
        <f>"CFI"&amp;".D"&amp;TEXT(Caja_Finanzas[[#This Row],[FECHA]],"DD-MM")&amp;"-"&amp;TEXT(Caja_Finanzas[[#This Row],[ITEM]],"0000")</f>
        <v>CFI.D15-01-0048</v>
      </c>
      <c r="O52" s="8" t="str">
        <f t="shared" si="5"/>
        <v>PEN</v>
      </c>
      <c r="P52" s="13"/>
      <c r="Q52" s="13">
        <v>5</v>
      </c>
      <c r="R52" s="3">
        <f t="shared" si="1"/>
        <v>0</v>
      </c>
      <c r="S52" s="3">
        <f t="shared" si="2"/>
        <v>5</v>
      </c>
      <c r="T52" s="3">
        <f t="shared" si="3"/>
        <v>4791.7</v>
      </c>
      <c r="U52" s="24"/>
      <c r="V52" s="24"/>
      <c r="W52" s="3"/>
      <c r="X52" s="25" t="s">
        <v>720</v>
      </c>
      <c r="Y52" s="25"/>
      <c r="Z52" s="25"/>
      <c r="AA52" s="25"/>
      <c r="AB52" s="25"/>
      <c r="AC52" s="3" t="str">
        <f>IF(Caja_Finanzas[[#This Row],[FECHA]]&gt;0,TEXT(Caja_Finanzas[[#This Row],[FECHA]],"mmmm"),0)</f>
        <v>Enero</v>
      </c>
    </row>
    <row r="53" spans="2:29" ht="24" x14ac:dyDescent="0.3">
      <c r="B53" s="2">
        <f>IF(Caja_Finanzas[[#This Row],[TIPO DE R.]]="R",COUNTIFS($D$4:$D52,"R")+1,"")</f>
        <v>49</v>
      </c>
      <c r="C53" s="19" t="str">
        <f t="shared" si="4"/>
        <v>C-Finanzas</v>
      </c>
      <c r="D53" s="3" t="s">
        <v>1074</v>
      </c>
      <c r="E53" s="14">
        <v>45672</v>
      </c>
      <c r="F53" s="5" t="s">
        <v>5347</v>
      </c>
      <c r="G53" s="5" t="s">
        <v>1079</v>
      </c>
      <c r="H53" s="5"/>
      <c r="I53" s="6"/>
      <c r="J53" s="6"/>
      <c r="K53" s="6"/>
      <c r="L53" s="6"/>
      <c r="M53" s="7" t="s">
        <v>5376</v>
      </c>
      <c r="N53" s="8" t="str">
        <f>"CFI"&amp;".D"&amp;TEXT(Caja_Finanzas[[#This Row],[FECHA]],"DD-MM")&amp;"-"&amp;TEXT(Caja_Finanzas[[#This Row],[ITEM]],"0000")</f>
        <v>CFI.D15-01-0049</v>
      </c>
      <c r="O53" s="8" t="str">
        <f t="shared" si="5"/>
        <v>PEN</v>
      </c>
      <c r="P53" s="13"/>
      <c r="Q53" s="13">
        <v>10</v>
      </c>
      <c r="R53" s="3">
        <f t="shared" si="1"/>
        <v>0</v>
      </c>
      <c r="S53" s="3">
        <f t="shared" si="2"/>
        <v>10</v>
      </c>
      <c r="T53" s="3">
        <f t="shared" si="3"/>
        <v>4781.7</v>
      </c>
      <c r="U53" s="24"/>
      <c r="V53" s="24"/>
      <c r="W53" s="3"/>
      <c r="X53" s="25" t="s">
        <v>720</v>
      </c>
      <c r="Y53" s="25"/>
      <c r="Z53" s="25"/>
      <c r="AA53" s="25"/>
      <c r="AB53" s="25"/>
      <c r="AC53" s="3" t="str">
        <f>IF(Caja_Finanzas[[#This Row],[FECHA]]&gt;0,TEXT(Caja_Finanzas[[#This Row],[FECHA]],"mmmm"),0)</f>
        <v>Enero</v>
      </c>
    </row>
    <row r="54" spans="2:29" ht="24" x14ac:dyDescent="0.3">
      <c r="B54" s="2">
        <f>IF(Caja_Finanzas[[#This Row],[TIPO DE R.]]="R",COUNTIFS($D$4:$D53,"R")+1,"")</f>
        <v>50</v>
      </c>
      <c r="C54" s="19" t="str">
        <f t="shared" si="4"/>
        <v>C-Finanzas</v>
      </c>
      <c r="D54" s="3" t="s">
        <v>1074</v>
      </c>
      <c r="E54" s="14">
        <v>45672</v>
      </c>
      <c r="F54" s="5" t="s">
        <v>5347</v>
      </c>
      <c r="G54" s="5" t="s">
        <v>1079</v>
      </c>
      <c r="H54" s="5"/>
      <c r="I54" s="6"/>
      <c r="J54" s="6"/>
      <c r="K54" s="6"/>
      <c r="L54" s="6"/>
      <c r="M54" s="7" t="s">
        <v>5377</v>
      </c>
      <c r="N54" s="8" t="str">
        <f>"CFI"&amp;".D"&amp;TEXT(Caja_Finanzas[[#This Row],[FECHA]],"DD-MM")&amp;"-"&amp;TEXT(Caja_Finanzas[[#This Row],[ITEM]],"0000")</f>
        <v>CFI.D15-01-0050</v>
      </c>
      <c r="O54" s="8" t="str">
        <f t="shared" si="5"/>
        <v>PEN</v>
      </c>
      <c r="P54" s="13"/>
      <c r="Q54" s="13">
        <v>5</v>
      </c>
      <c r="R54" s="3">
        <f t="shared" si="1"/>
        <v>0</v>
      </c>
      <c r="S54" s="3">
        <f t="shared" si="2"/>
        <v>5</v>
      </c>
      <c r="T54" s="3">
        <f t="shared" si="3"/>
        <v>4776.7</v>
      </c>
      <c r="U54" s="24"/>
      <c r="V54" s="24"/>
      <c r="W54" s="3"/>
      <c r="X54" s="25" t="s">
        <v>720</v>
      </c>
      <c r="Y54" s="25"/>
      <c r="Z54" s="25"/>
      <c r="AA54" s="25"/>
      <c r="AB54" s="25"/>
      <c r="AC54" s="3" t="str">
        <f>IF(Caja_Finanzas[[#This Row],[FECHA]]&gt;0,TEXT(Caja_Finanzas[[#This Row],[FECHA]],"mmmm"),0)</f>
        <v>Enero</v>
      </c>
    </row>
    <row r="55" spans="2:29" ht="24" x14ac:dyDescent="0.3">
      <c r="B55" s="2">
        <f>IF(Caja_Finanzas[[#This Row],[TIPO DE R.]]="R",COUNTIFS($D$4:$D54,"R")+1,"")</f>
        <v>51</v>
      </c>
      <c r="C55" s="19" t="str">
        <f t="shared" si="4"/>
        <v>C-Finanzas</v>
      </c>
      <c r="D55" s="3" t="s">
        <v>1074</v>
      </c>
      <c r="E55" s="14">
        <v>45672</v>
      </c>
      <c r="F55" s="5" t="s">
        <v>5347</v>
      </c>
      <c r="G55" s="5" t="s">
        <v>1079</v>
      </c>
      <c r="H55" s="5"/>
      <c r="I55" s="6"/>
      <c r="J55" s="6"/>
      <c r="K55" s="6"/>
      <c r="L55" s="6"/>
      <c r="M55" s="7" t="s">
        <v>5378</v>
      </c>
      <c r="N55" s="8" t="str">
        <f>"CFI"&amp;".D"&amp;TEXT(Caja_Finanzas[[#This Row],[FECHA]],"DD-MM")&amp;"-"&amp;TEXT(Caja_Finanzas[[#This Row],[ITEM]],"0000")</f>
        <v>CFI.D15-01-0051</v>
      </c>
      <c r="O55" s="8" t="str">
        <f t="shared" si="5"/>
        <v>PEN</v>
      </c>
      <c r="P55" s="13"/>
      <c r="Q55" s="13">
        <v>10</v>
      </c>
      <c r="R55" s="3">
        <f t="shared" si="1"/>
        <v>0</v>
      </c>
      <c r="S55" s="3">
        <f t="shared" si="2"/>
        <v>10</v>
      </c>
      <c r="T55" s="3">
        <f t="shared" si="3"/>
        <v>4766.7</v>
      </c>
      <c r="U55" s="24"/>
      <c r="V55" s="24"/>
      <c r="W55" s="3"/>
      <c r="X55" s="25" t="s">
        <v>720</v>
      </c>
      <c r="Y55" s="25"/>
      <c r="Z55" s="25"/>
      <c r="AA55" s="25"/>
      <c r="AB55" s="25"/>
      <c r="AC55" s="3" t="str">
        <f>IF(Caja_Finanzas[[#This Row],[FECHA]]&gt;0,TEXT(Caja_Finanzas[[#This Row],[FECHA]],"mmmm"),0)</f>
        <v>Enero</v>
      </c>
    </row>
    <row r="56" spans="2:29" ht="24" x14ac:dyDescent="0.3">
      <c r="B56" s="2">
        <f>IF(Caja_Finanzas[[#This Row],[TIPO DE R.]]="R",COUNTIFS($D$4:$D55,"R")+1,"")</f>
        <v>52</v>
      </c>
      <c r="C56" s="19" t="str">
        <f t="shared" si="4"/>
        <v>C-Finanzas</v>
      </c>
      <c r="D56" s="3" t="s">
        <v>1074</v>
      </c>
      <c r="E56" s="14">
        <v>45672</v>
      </c>
      <c r="F56" s="5" t="s">
        <v>5347</v>
      </c>
      <c r="G56" s="5" t="s">
        <v>1079</v>
      </c>
      <c r="H56" s="5"/>
      <c r="I56" s="6"/>
      <c r="J56" s="6"/>
      <c r="K56" s="6"/>
      <c r="L56" s="6"/>
      <c r="M56" s="7" t="s">
        <v>5379</v>
      </c>
      <c r="N56" s="8" t="str">
        <f>"CFI"&amp;".D"&amp;TEXT(Caja_Finanzas[[#This Row],[FECHA]],"DD-MM")&amp;"-"&amp;TEXT(Caja_Finanzas[[#This Row],[ITEM]],"0000")</f>
        <v>CFI.D15-01-0052</v>
      </c>
      <c r="O56" s="8" t="str">
        <f t="shared" si="5"/>
        <v>PEN</v>
      </c>
      <c r="P56" s="13"/>
      <c r="Q56" s="13">
        <v>10</v>
      </c>
      <c r="R56" s="3">
        <f t="shared" si="1"/>
        <v>0</v>
      </c>
      <c r="S56" s="3">
        <f t="shared" si="2"/>
        <v>10</v>
      </c>
      <c r="T56" s="3">
        <f t="shared" si="3"/>
        <v>4756.7</v>
      </c>
      <c r="U56" s="24"/>
      <c r="V56" s="24"/>
      <c r="W56" s="3"/>
      <c r="X56" s="25" t="s">
        <v>720</v>
      </c>
      <c r="Y56" s="25"/>
      <c r="Z56" s="25"/>
      <c r="AA56" s="25"/>
      <c r="AB56" s="25"/>
      <c r="AC56" s="3" t="str">
        <f>IF(Caja_Finanzas[[#This Row],[FECHA]]&gt;0,TEXT(Caja_Finanzas[[#This Row],[FECHA]],"mmmm"),0)</f>
        <v>Enero</v>
      </c>
    </row>
    <row r="57" spans="2:29" ht="24" x14ac:dyDescent="0.3">
      <c r="B57" s="2">
        <f>IF(Caja_Finanzas[[#This Row],[TIPO DE R.]]="R",COUNTIFS($D$4:$D56,"R")+1,"")</f>
        <v>53</v>
      </c>
      <c r="C57" s="19" t="str">
        <f t="shared" si="4"/>
        <v>C-Finanzas</v>
      </c>
      <c r="D57" s="3" t="s">
        <v>1074</v>
      </c>
      <c r="E57" s="14">
        <v>45672</v>
      </c>
      <c r="F57" s="5" t="s">
        <v>5347</v>
      </c>
      <c r="G57" s="5" t="s">
        <v>1079</v>
      </c>
      <c r="H57" s="5"/>
      <c r="I57" s="6"/>
      <c r="J57" s="6"/>
      <c r="K57" s="6"/>
      <c r="L57" s="6"/>
      <c r="M57" s="7" t="s">
        <v>5380</v>
      </c>
      <c r="N57" s="8" t="str">
        <f>"CFI"&amp;".D"&amp;TEXT(Caja_Finanzas[[#This Row],[FECHA]],"DD-MM")&amp;"-"&amp;TEXT(Caja_Finanzas[[#This Row],[ITEM]],"0000")</f>
        <v>CFI.D15-01-0053</v>
      </c>
      <c r="O57" s="8" t="str">
        <f t="shared" si="5"/>
        <v>PEN</v>
      </c>
      <c r="P57" s="13"/>
      <c r="Q57" s="13">
        <v>5</v>
      </c>
      <c r="R57" s="3">
        <f t="shared" si="1"/>
        <v>0</v>
      </c>
      <c r="S57" s="3">
        <f t="shared" si="2"/>
        <v>5</v>
      </c>
      <c r="T57" s="3">
        <f t="shared" si="3"/>
        <v>4751.7</v>
      </c>
      <c r="U57" s="24"/>
      <c r="V57" s="24"/>
      <c r="W57" s="3"/>
      <c r="X57" s="25" t="s">
        <v>720</v>
      </c>
      <c r="Y57" s="25"/>
      <c r="Z57" s="25"/>
      <c r="AA57" s="25"/>
      <c r="AB57" s="25"/>
      <c r="AC57" s="3" t="str">
        <f>IF(Caja_Finanzas[[#This Row],[FECHA]]&gt;0,TEXT(Caja_Finanzas[[#This Row],[FECHA]],"mmmm"),0)</f>
        <v>Enero</v>
      </c>
    </row>
    <row r="58" spans="2:29" ht="24" x14ac:dyDescent="0.3">
      <c r="B58" s="2">
        <f>IF(Caja_Finanzas[[#This Row],[TIPO DE R.]]="R",COUNTIFS($D$4:$D57,"R")+1,"")</f>
        <v>54</v>
      </c>
      <c r="C58" s="19" t="str">
        <f t="shared" si="4"/>
        <v>C-Finanzas</v>
      </c>
      <c r="D58" s="3" t="s">
        <v>1074</v>
      </c>
      <c r="E58" s="14">
        <v>45672</v>
      </c>
      <c r="F58" s="5" t="s">
        <v>5347</v>
      </c>
      <c r="G58" s="5" t="s">
        <v>1079</v>
      </c>
      <c r="H58" s="5"/>
      <c r="I58" s="6"/>
      <c r="J58" s="6"/>
      <c r="K58" s="6"/>
      <c r="L58" s="6"/>
      <c r="M58" s="7" t="s">
        <v>5381</v>
      </c>
      <c r="N58" s="8" t="str">
        <f>"CFI"&amp;".D"&amp;TEXT(Caja_Finanzas[[#This Row],[FECHA]],"DD-MM")&amp;"-"&amp;TEXT(Caja_Finanzas[[#This Row],[ITEM]],"0000")</f>
        <v>CFI.D15-01-0054</v>
      </c>
      <c r="O58" s="8" t="str">
        <f t="shared" si="5"/>
        <v>PEN</v>
      </c>
      <c r="P58" s="13"/>
      <c r="Q58" s="13">
        <v>5</v>
      </c>
      <c r="R58" s="3">
        <f t="shared" si="1"/>
        <v>0</v>
      </c>
      <c r="S58" s="3">
        <f t="shared" si="2"/>
        <v>5</v>
      </c>
      <c r="T58" s="3">
        <f t="shared" si="3"/>
        <v>4746.7</v>
      </c>
      <c r="U58" s="24"/>
      <c r="V58" s="24"/>
      <c r="W58" s="3"/>
      <c r="X58" s="25" t="s">
        <v>720</v>
      </c>
      <c r="Y58" s="25"/>
      <c r="Z58" s="25"/>
      <c r="AA58" s="25"/>
      <c r="AB58" s="25"/>
      <c r="AC58" s="3" t="str">
        <f>IF(Caja_Finanzas[[#This Row],[FECHA]]&gt;0,TEXT(Caja_Finanzas[[#This Row],[FECHA]],"mmmm"),0)</f>
        <v>Enero</v>
      </c>
    </row>
    <row r="59" spans="2:29" ht="24" x14ac:dyDescent="0.3">
      <c r="B59" s="2">
        <f>IF(Caja_Finanzas[[#This Row],[TIPO DE R.]]="R",COUNTIFS($D$4:$D58,"R")+1,"")</f>
        <v>55</v>
      </c>
      <c r="C59" s="19" t="str">
        <f t="shared" si="4"/>
        <v>C-Finanzas</v>
      </c>
      <c r="D59" s="3" t="s">
        <v>1074</v>
      </c>
      <c r="E59" s="14">
        <v>45672</v>
      </c>
      <c r="F59" s="5" t="s">
        <v>5347</v>
      </c>
      <c r="G59" s="5" t="s">
        <v>1079</v>
      </c>
      <c r="H59" s="5"/>
      <c r="I59" s="6"/>
      <c r="J59" s="6"/>
      <c r="K59" s="6"/>
      <c r="L59" s="6"/>
      <c r="M59" s="7" t="s">
        <v>5382</v>
      </c>
      <c r="N59" s="8" t="str">
        <f>"CFI"&amp;".D"&amp;TEXT(Caja_Finanzas[[#This Row],[FECHA]],"DD-MM")&amp;"-"&amp;TEXT(Caja_Finanzas[[#This Row],[ITEM]],"0000")</f>
        <v>CFI.D15-01-0055</v>
      </c>
      <c r="O59" s="8" t="str">
        <f t="shared" si="5"/>
        <v>PEN</v>
      </c>
      <c r="P59" s="13"/>
      <c r="Q59" s="13">
        <v>10</v>
      </c>
      <c r="R59" s="3">
        <f t="shared" si="1"/>
        <v>0</v>
      </c>
      <c r="S59" s="3">
        <f t="shared" si="2"/>
        <v>10</v>
      </c>
      <c r="T59" s="3">
        <f t="shared" si="3"/>
        <v>4736.7</v>
      </c>
      <c r="U59" s="24"/>
      <c r="V59" s="24"/>
      <c r="W59" s="3"/>
      <c r="X59" s="25" t="s">
        <v>720</v>
      </c>
      <c r="Y59" s="25"/>
      <c r="Z59" s="25"/>
      <c r="AA59" s="25"/>
      <c r="AB59" s="25"/>
      <c r="AC59" s="3" t="str">
        <f>IF(Caja_Finanzas[[#This Row],[FECHA]]&gt;0,TEXT(Caja_Finanzas[[#This Row],[FECHA]],"mmmm"),0)</f>
        <v>Enero</v>
      </c>
    </row>
    <row r="60" spans="2:29" ht="36" x14ac:dyDescent="0.3">
      <c r="B60" s="2">
        <f>IF(Caja_Finanzas[[#This Row],[TIPO DE R.]]="R",COUNTIFS($D$4:$D59,"R")+1,"")</f>
        <v>56</v>
      </c>
      <c r="C60" s="19" t="str">
        <f t="shared" si="4"/>
        <v>C-Finanzas</v>
      </c>
      <c r="D60" s="3" t="s">
        <v>1074</v>
      </c>
      <c r="E60" s="14">
        <v>45673</v>
      </c>
      <c r="F60" s="5" t="s">
        <v>5307</v>
      </c>
      <c r="G60" s="5" t="s">
        <v>1079</v>
      </c>
      <c r="H60" s="5"/>
      <c r="I60" s="6"/>
      <c r="J60" s="6"/>
      <c r="K60" s="6"/>
      <c r="L60" s="6"/>
      <c r="M60" s="7" t="s">
        <v>5383</v>
      </c>
      <c r="N60" s="8" t="str">
        <f>"CFI"&amp;".D"&amp;TEXT(Caja_Finanzas[[#This Row],[FECHA]],"DD-MM")&amp;"-"&amp;TEXT(Caja_Finanzas[[#This Row],[ITEM]],"0000")</f>
        <v>CFI.D16-01-0056</v>
      </c>
      <c r="O60" s="8" t="str">
        <f t="shared" si="5"/>
        <v>PEN</v>
      </c>
      <c r="P60" s="13"/>
      <c r="Q60" s="13">
        <v>135.80000000000001</v>
      </c>
      <c r="R60" s="3">
        <f t="shared" si="1"/>
        <v>0</v>
      </c>
      <c r="S60" s="3">
        <f t="shared" si="2"/>
        <v>135.80000000000001</v>
      </c>
      <c r="T60" s="3">
        <f t="shared" si="3"/>
        <v>4600.8999999999996</v>
      </c>
      <c r="U60" s="24"/>
      <c r="V60" s="24"/>
      <c r="W60" s="3"/>
      <c r="X60" s="25" t="s">
        <v>5384</v>
      </c>
      <c r="Y60" s="25" t="s">
        <v>5385</v>
      </c>
      <c r="Z60" s="25"/>
      <c r="AA60" s="25"/>
      <c r="AB60" s="25"/>
      <c r="AC60" s="3" t="str">
        <f>IF(Caja_Finanzas[[#This Row],[FECHA]]&gt;0,TEXT(Caja_Finanzas[[#This Row],[FECHA]],"mmmm"),0)</f>
        <v>Enero</v>
      </c>
    </row>
    <row r="61" spans="2:29" ht="36" x14ac:dyDescent="0.3">
      <c r="B61" s="2">
        <f>IF(Caja_Finanzas[[#This Row],[TIPO DE R.]]="R",COUNTIFS($D$4:$D60,"R")+1,"")</f>
        <v>57</v>
      </c>
      <c r="C61" s="19" t="str">
        <f t="shared" si="4"/>
        <v>C-Finanzas</v>
      </c>
      <c r="D61" s="3" t="s">
        <v>1074</v>
      </c>
      <c r="E61" s="14">
        <v>45673</v>
      </c>
      <c r="F61" s="5" t="s">
        <v>5307</v>
      </c>
      <c r="G61" s="5" t="s">
        <v>1079</v>
      </c>
      <c r="H61" s="5"/>
      <c r="I61" s="6"/>
      <c r="J61" s="6"/>
      <c r="K61" s="6"/>
      <c r="L61" s="6"/>
      <c r="M61" s="7" t="s">
        <v>5386</v>
      </c>
      <c r="N61" s="8" t="str">
        <f>"CFI"&amp;".D"&amp;TEXT(Caja_Finanzas[[#This Row],[FECHA]],"DD-MM")&amp;"-"&amp;TEXT(Caja_Finanzas[[#This Row],[ITEM]],"0000")</f>
        <v>CFI.D16-01-0057</v>
      </c>
      <c r="O61" s="8" t="str">
        <f t="shared" si="5"/>
        <v>PEN</v>
      </c>
      <c r="P61" s="13"/>
      <c r="Q61" s="13">
        <v>25</v>
      </c>
      <c r="R61" s="3">
        <f t="shared" si="1"/>
        <v>0</v>
      </c>
      <c r="S61" s="3">
        <f t="shared" si="2"/>
        <v>25</v>
      </c>
      <c r="T61" s="3">
        <f t="shared" si="3"/>
        <v>4575.8999999999996</v>
      </c>
      <c r="U61" s="24"/>
      <c r="V61" s="24"/>
      <c r="W61" s="3"/>
      <c r="X61" s="25" t="s">
        <v>5387</v>
      </c>
      <c r="Y61" s="25" t="s">
        <v>5388</v>
      </c>
      <c r="Z61" s="25"/>
      <c r="AA61" s="25"/>
      <c r="AB61" s="25"/>
      <c r="AC61" s="3" t="str">
        <f>IF(Caja_Finanzas[[#This Row],[FECHA]]&gt;0,TEXT(Caja_Finanzas[[#This Row],[FECHA]],"mmmm"),0)</f>
        <v>Enero</v>
      </c>
    </row>
    <row r="62" spans="2:29" ht="36" x14ac:dyDescent="0.3">
      <c r="B62" s="2">
        <f>IF(Caja_Finanzas[[#This Row],[TIPO DE R.]]="R",COUNTIFS($D$4:$D61,"R")+1,"")</f>
        <v>58</v>
      </c>
      <c r="C62" s="19" t="str">
        <f t="shared" si="4"/>
        <v>C-Finanzas</v>
      </c>
      <c r="D62" s="3" t="s">
        <v>1074</v>
      </c>
      <c r="E62" s="14">
        <v>45673</v>
      </c>
      <c r="F62" s="5" t="s">
        <v>5301</v>
      </c>
      <c r="G62" s="5" t="s">
        <v>1079</v>
      </c>
      <c r="H62" s="5"/>
      <c r="I62" s="6"/>
      <c r="J62" s="6"/>
      <c r="K62" s="6"/>
      <c r="L62" s="6"/>
      <c r="M62" s="7" t="s">
        <v>5389</v>
      </c>
      <c r="N62" s="8" t="str">
        <f>"CFI"&amp;".D"&amp;TEXT(Caja_Finanzas[[#This Row],[FECHA]],"DD-MM")&amp;"-"&amp;TEXT(Caja_Finanzas[[#This Row],[ITEM]],"0000")</f>
        <v>CFI.D16-01-0058</v>
      </c>
      <c r="O62" s="8" t="str">
        <f t="shared" si="5"/>
        <v>PEN</v>
      </c>
      <c r="P62" s="13"/>
      <c r="Q62" s="13">
        <v>48.5</v>
      </c>
      <c r="R62" s="3">
        <f t="shared" si="1"/>
        <v>0</v>
      </c>
      <c r="S62" s="3">
        <f t="shared" si="2"/>
        <v>48.5</v>
      </c>
      <c r="T62" s="3">
        <f t="shared" si="3"/>
        <v>4527.3999999999996</v>
      </c>
      <c r="U62" s="24"/>
      <c r="V62" s="24"/>
      <c r="W62" s="3"/>
      <c r="X62" s="25" t="s">
        <v>4015</v>
      </c>
      <c r="Y62" s="25" t="s">
        <v>5390</v>
      </c>
      <c r="Z62" s="25"/>
      <c r="AA62" s="25"/>
      <c r="AB62" s="25"/>
      <c r="AC62" s="3" t="str">
        <f>IF(Caja_Finanzas[[#This Row],[FECHA]]&gt;0,TEXT(Caja_Finanzas[[#This Row],[FECHA]],"mmmm"),0)</f>
        <v>Enero</v>
      </c>
    </row>
    <row r="63" spans="2:29" ht="60" x14ac:dyDescent="0.3">
      <c r="B63" s="2">
        <f>IF(Caja_Finanzas[[#This Row],[TIPO DE R.]]="R",COUNTIFS($D$4:$D62,"R")+1,"")</f>
        <v>59</v>
      </c>
      <c r="C63" s="19" t="str">
        <f t="shared" si="4"/>
        <v>C-Finanzas</v>
      </c>
      <c r="D63" s="3" t="s">
        <v>1074</v>
      </c>
      <c r="E63" s="14">
        <v>45673</v>
      </c>
      <c r="F63" s="5" t="s">
        <v>5301</v>
      </c>
      <c r="G63" s="5" t="s">
        <v>1079</v>
      </c>
      <c r="H63" s="5"/>
      <c r="I63" s="6"/>
      <c r="J63" s="6"/>
      <c r="K63" s="6"/>
      <c r="L63" s="6"/>
      <c r="M63" s="7" t="s">
        <v>5391</v>
      </c>
      <c r="N63" s="8" t="str">
        <f>"CFI"&amp;".D"&amp;TEXT(Caja_Finanzas[[#This Row],[FECHA]],"DD-MM")&amp;"-"&amp;TEXT(Caja_Finanzas[[#This Row],[ITEM]],"0000")</f>
        <v>CFI.D16-01-0059</v>
      </c>
      <c r="O63" s="8" t="str">
        <f t="shared" si="5"/>
        <v>PEN</v>
      </c>
      <c r="P63" s="13"/>
      <c r="Q63" s="13">
        <v>175</v>
      </c>
      <c r="R63" s="3">
        <f t="shared" si="1"/>
        <v>0</v>
      </c>
      <c r="S63" s="3">
        <f t="shared" si="2"/>
        <v>175</v>
      </c>
      <c r="T63" s="3">
        <f t="shared" si="3"/>
        <v>4352.3999999999996</v>
      </c>
      <c r="U63" s="24"/>
      <c r="V63" s="24"/>
      <c r="W63" s="3"/>
      <c r="X63" s="25" t="s">
        <v>4015</v>
      </c>
      <c r="Y63" s="25" t="s">
        <v>5392</v>
      </c>
      <c r="Z63" s="25"/>
      <c r="AA63" s="25"/>
      <c r="AB63" s="25"/>
      <c r="AC63" s="3" t="str">
        <f>IF(Caja_Finanzas[[#This Row],[FECHA]]&gt;0,TEXT(Caja_Finanzas[[#This Row],[FECHA]],"mmmm"),0)</f>
        <v>Enero</v>
      </c>
    </row>
    <row r="64" spans="2:29" ht="24" x14ac:dyDescent="0.3">
      <c r="B64" s="2">
        <f>IF(Caja_Finanzas[[#This Row],[TIPO DE R.]]="R",COUNTIFS($D$4:$D63,"R")+1,"")</f>
        <v>60</v>
      </c>
      <c r="C64" s="19" t="str">
        <f t="shared" si="4"/>
        <v>C-Finanzas</v>
      </c>
      <c r="D64" s="3" t="s">
        <v>1074</v>
      </c>
      <c r="E64" s="14">
        <v>45673</v>
      </c>
      <c r="F64" s="5" t="s">
        <v>5305</v>
      </c>
      <c r="G64" s="5" t="s">
        <v>1079</v>
      </c>
      <c r="H64" s="5"/>
      <c r="I64" s="6"/>
      <c r="J64" s="6"/>
      <c r="K64" s="6"/>
      <c r="L64" s="6"/>
      <c r="M64" s="7" t="s">
        <v>5306</v>
      </c>
      <c r="N64" s="8" t="str">
        <f>"CFI"&amp;".D"&amp;TEXT(Caja_Finanzas[[#This Row],[FECHA]],"DD-MM")&amp;"-"&amp;TEXT(Caja_Finanzas[[#This Row],[ITEM]],"0000")</f>
        <v>CFI.D16-01-0060</v>
      </c>
      <c r="O64" s="8" t="str">
        <f t="shared" si="5"/>
        <v>PEN</v>
      </c>
      <c r="P64" s="13"/>
      <c r="Q64" s="13">
        <v>1500</v>
      </c>
      <c r="R64" s="3">
        <f t="shared" si="1"/>
        <v>0</v>
      </c>
      <c r="S64" s="3">
        <f t="shared" si="2"/>
        <v>1500</v>
      </c>
      <c r="T64" s="3">
        <f t="shared" si="3"/>
        <v>2852.3999999999996</v>
      </c>
      <c r="U64" s="24"/>
      <c r="V64" s="24"/>
      <c r="W64" s="3"/>
      <c r="X64" s="25"/>
      <c r="Y64" s="25"/>
      <c r="Z64" s="25"/>
      <c r="AA64" s="25"/>
      <c r="AB64" s="25"/>
      <c r="AC64" s="3" t="str">
        <f>IF(Caja_Finanzas[[#This Row],[FECHA]]&gt;0,TEXT(Caja_Finanzas[[#This Row],[FECHA]],"mmmm"),0)</f>
        <v>Enero</v>
      </c>
    </row>
    <row r="65" spans="2:29" ht="36" x14ac:dyDescent="0.3">
      <c r="B65" s="2">
        <f>IF(Caja_Finanzas[[#This Row],[TIPO DE R.]]="R",COUNTIFS($D$4:$D64,"R")+1,"")</f>
        <v>61</v>
      </c>
      <c r="C65" s="19" t="str">
        <f t="shared" si="4"/>
        <v>C-Finanzas</v>
      </c>
      <c r="D65" s="3" t="s">
        <v>1074</v>
      </c>
      <c r="E65" s="14">
        <v>45674</v>
      </c>
      <c r="F65" s="5" t="s">
        <v>5307</v>
      </c>
      <c r="G65" s="5" t="s">
        <v>1079</v>
      </c>
      <c r="H65" s="5"/>
      <c r="I65" s="6"/>
      <c r="J65" s="6"/>
      <c r="K65" s="6"/>
      <c r="L65" s="6"/>
      <c r="M65" s="7" t="s">
        <v>5393</v>
      </c>
      <c r="N65" s="8" t="str">
        <f>"CFI"&amp;".D"&amp;TEXT(Caja_Finanzas[[#This Row],[FECHA]],"DD-MM")&amp;"-"&amp;TEXT(Caja_Finanzas[[#This Row],[ITEM]],"0000")</f>
        <v>CFI.D17-01-0061</v>
      </c>
      <c r="O65" s="8" t="str">
        <f t="shared" si="5"/>
        <v>PEN</v>
      </c>
      <c r="P65" s="13"/>
      <c r="Q65" s="13">
        <v>30</v>
      </c>
      <c r="R65" s="3">
        <f t="shared" si="1"/>
        <v>0</v>
      </c>
      <c r="S65" s="3">
        <f t="shared" si="2"/>
        <v>30</v>
      </c>
      <c r="T65" s="3">
        <f t="shared" si="3"/>
        <v>2822.3999999999996</v>
      </c>
      <c r="U65" s="24"/>
      <c r="V65" s="24"/>
      <c r="W65" s="3"/>
      <c r="X65" s="25" t="s">
        <v>5394</v>
      </c>
      <c r="Y65" s="25" t="s">
        <v>5395</v>
      </c>
      <c r="Z65" s="25"/>
      <c r="AA65" s="25"/>
      <c r="AB65" s="25"/>
      <c r="AC65" s="3" t="str">
        <f>IF(Caja_Finanzas[[#This Row],[FECHA]]&gt;0,TEXT(Caja_Finanzas[[#This Row],[FECHA]],"mmmm"),0)</f>
        <v>Enero</v>
      </c>
    </row>
    <row r="66" spans="2:29" ht="24" x14ac:dyDescent="0.3">
      <c r="B66" s="2">
        <f>IF(Caja_Finanzas[[#This Row],[TIPO DE R.]]="R",COUNTIFS($D$4:$D65,"R")+1,"")</f>
        <v>62</v>
      </c>
      <c r="C66" s="19" t="str">
        <f t="shared" si="4"/>
        <v>C-Finanzas</v>
      </c>
      <c r="D66" s="3" t="s">
        <v>1074</v>
      </c>
      <c r="E66" s="14">
        <v>45674</v>
      </c>
      <c r="F66" s="5" t="s">
        <v>1407</v>
      </c>
      <c r="G66" s="5" t="s">
        <v>1087</v>
      </c>
      <c r="H66" s="5"/>
      <c r="I66" s="6"/>
      <c r="J66" s="6"/>
      <c r="K66" s="6"/>
      <c r="L66" s="6"/>
      <c r="M66" s="7" t="s">
        <v>5156</v>
      </c>
      <c r="N66" s="8" t="str">
        <f>"CFI"&amp;".D"&amp;TEXT(Caja_Finanzas[[#This Row],[FECHA]],"DD-MM")&amp;"-"&amp;TEXT(Caja_Finanzas[[#This Row],[ITEM]],"0000")</f>
        <v>CFI.D17-01-0062</v>
      </c>
      <c r="O66" s="8" t="str">
        <f t="shared" si="5"/>
        <v>PEN</v>
      </c>
      <c r="P66" s="13"/>
      <c r="Q66" s="13">
        <v>631</v>
      </c>
      <c r="R66" s="3">
        <f t="shared" si="1"/>
        <v>631</v>
      </c>
      <c r="S66" s="3">
        <f t="shared" si="2"/>
        <v>0</v>
      </c>
      <c r="T66" s="3">
        <f t="shared" si="3"/>
        <v>3453.3999999999996</v>
      </c>
      <c r="U66" s="24"/>
      <c r="V66" s="24"/>
      <c r="W66" s="3"/>
      <c r="X66" s="25"/>
      <c r="Y66" s="25" t="s">
        <v>5396</v>
      </c>
      <c r="Z66" s="25"/>
      <c r="AA66" s="25"/>
      <c r="AB66" s="25"/>
      <c r="AC66" s="3" t="str">
        <f>IF(Caja_Finanzas[[#This Row],[FECHA]]&gt;0,TEXT(Caja_Finanzas[[#This Row],[FECHA]],"mmmm"),0)</f>
        <v>Enero</v>
      </c>
    </row>
    <row r="67" spans="2:29" x14ac:dyDescent="0.3">
      <c r="B67" s="2">
        <f>IF(Caja_Finanzas[[#This Row],[TIPO DE R.]]="R",COUNTIFS($D$4:$D66,"R")+1,"")</f>
        <v>63</v>
      </c>
      <c r="C67" s="19" t="str">
        <f t="shared" si="4"/>
        <v>C-Finanzas</v>
      </c>
      <c r="D67" s="3" t="s">
        <v>1074</v>
      </c>
      <c r="E67" s="14">
        <v>45674</v>
      </c>
      <c r="F67" s="5" t="s">
        <v>3353</v>
      </c>
      <c r="G67" s="5" t="s">
        <v>1079</v>
      </c>
      <c r="H67" s="5"/>
      <c r="I67" s="6"/>
      <c r="J67" s="6"/>
      <c r="K67" s="6"/>
      <c r="L67" s="6"/>
      <c r="M67" s="7" t="s">
        <v>5397</v>
      </c>
      <c r="N67" s="8" t="str">
        <f>"CFI"&amp;".D"&amp;TEXT(Caja_Finanzas[[#This Row],[FECHA]],"DD-MM")&amp;"-"&amp;TEXT(Caja_Finanzas[[#This Row],[ITEM]],"0000")</f>
        <v>CFI.D17-01-0063</v>
      </c>
      <c r="O67" s="8" t="str">
        <f t="shared" si="5"/>
        <v>PEN</v>
      </c>
      <c r="P67" s="13"/>
      <c r="Q67" s="13">
        <v>700</v>
      </c>
      <c r="R67" s="3">
        <f t="shared" si="1"/>
        <v>0</v>
      </c>
      <c r="S67" s="3">
        <f t="shared" si="2"/>
        <v>700</v>
      </c>
      <c r="T67" s="3">
        <f t="shared" si="3"/>
        <v>2753.3999999999996</v>
      </c>
      <c r="U67" s="24"/>
      <c r="V67" s="24"/>
      <c r="W67" s="3"/>
      <c r="X67" s="25"/>
      <c r="Y67" s="25"/>
      <c r="Z67" s="25"/>
      <c r="AA67" s="25"/>
      <c r="AB67" s="25"/>
      <c r="AC67" s="3" t="str">
        <f>IF(Caja_Finanzas[[#This Row],[FECHA]]&gt;0,TEXT(Caja_Finanzas[[#This Row],[FECHA]],"mmmm"),0)</f>
        <v>Enero</v>
      </c>
    </row>
    <row r="68" spans="2:29" ht="24" x14ac:dyDescent="0.3">
      <c r="B68" s="2">
        <f>IF(Caja_Finanzas[[#This Row],[TIPO DE R.]]="R",COUNTIFS($D$4:$D67,"R")+1,"")</f>
        <v>64</v>
      </c>
      <c r="C68" s="19" t="str">
        <f t="shared" si="4"/>
        <v>C-Finanzas</v>
      </c>
      <c r="D68" s="3" t="s">
        <v>1074</v>
      </c>
      <c r="E68" s="14">
        <v>45677</v>
      </c>
      <c r="F68" s="5" t="s">
        <v>3816</v>
      </c>
      <c r="G68" s="5" t="s">
        <v>1087</v>
      </c>
      <c r="H68" s="5"/>
      <c r="I68" s="6"/>
      <c r="J68" s="6"/>
      <c r="K68" s="6"/>
      <c r="L68" s="6"/>
      <c r="M68" s="7" t="s">
        <v>5156</v>
      </c>
      <c r="N68" s="8" t="str">
        <f>"CFI"&amp;".D"&amp;TEXT(Caja_Finanzas[[#This Row],[FECHA]],"DD-MM")&amp;"-"&amp;TEXT(Caja_Finanzas[[#This Row],[ITEM]],"0000")</f>
        <v>CFI.D20-01-0064</v>
      </c>
      <c r="O68" s="8" t="str">
        <f t="shared" si="5"/>
        <v>PEN</v>
      </c>
      <c r="P68" s="13"/>
      <c r="Q68" s="13">
        <v>1663.5</v>
      </c>
      <c r="R68" s="3">
        <f t="shared" si="1"/>
        <v>1663.5</v>
      </c>
      <c r="S68" s="3">
        <f t="shared" si="2"/>
        <v>0</v>
      </c>
      <c r="T68" s="3">
        <f t="shared" si="3"/>
        <v>4416.8999999999996</v>
      </c>
      <c r="U68" s="24"/>
      <c r="V68" s="24"/>
      <c r="W68" s="3"/>
      <c r="X68" s="25"/>
      <c r="Y68" s="25" t="s">
        <v>5398</v>
      </c>
      <c r="Z68" s="25"/>
      <c r="AA68" s="25"/>
      <c r="AB68" s="25"/>
      <c r="AC68" s="3" t="str">
        <f>IF(Caja_Finanzas[[#This Row],[FECHA]]&gt;0,TEXT(Caja_Finanzas[[#This Row],[FECHA]],"mmmm"),0)</f>
        <v>Enero</v>
      </c>
    </row>
    <row r="69" spans="2:29" ht="24" x14ac:dyDescent="0.3">
      <c r="B69" s="2">
        <f>IF(Caja_Finanzas[[#This Row],[TIPO DE R.]]="R",COUNTIFS($D$4:$D68,"R")+1,"")</f>
        <v>65</v>
      </c>
      <c r="C69" s="19" t="str">
        <f t="shared" si="4"/>
        <v>C-Finanzas</v>
      </c>
      <c r="D69" s="3" t="s">
        <v>1074</v>
      </c>
      <c r="E69" s="14">
        <v>45677</v>
      </c>
      <c r="F69" s="5" t="s">
        <v>3816</v>
      </c>
      <c r="G69" s="5" t="s">
        <v>1087</v>
      </c>
      <c r="H69" s="5"/>
      <c r="I69" s="6"/>
      <c r="J69" s="6"/>
      <c r="K69" s="6"/>
      <c r="L69" s="6"/>
      <c r="M69" s="7" t="s">
        <v>5156</v>
      </c>
      <c r="N69" s="8" t="str">
        <f>"CFI"&amp;".D"&amp;TEXT(Caja_Finanzas[[#This Row],[FECHA]],"DD-MM")&amp;"-"&amp;TEXT(Caja_Finanzas[[#This Row],[ITEM]],"0000")</f>
        <v>CFI.D20-01-0065</v>
      </c>
      <c r="O69" s="8" t="str">
        <f t="shared" si="5"/>
        <v>PEN</v>
      </c>
      <c r="P69" s="13"/>
      <c r="Q69" s="13">
        <v>136.5</v>
      </c>
      <c r="R69" s="3">
        <f t="shared" ref="R69:R132" si="6">+IF(OR($G69="SALDO",$G69="INGRESO"),$Q69,0)</f>
        <v>136.5</v>
      </c>
      <c r="S69" s="3">
        <f t="shared" ref="S69:S132" si="7">+IF($G69="EGRESO",$Q69,0)</f>
        <v>0</v>
      </c>
      <c r="T69" s="3">
        <f t="shared" ref="T69:T132" si="8">IFERROR(IF(G69="SALDO",R69,T68+R69-S69),0)</f>
        <v>4553.3999999999996</v>
      </c>
      <c r="U69" s="24"/>
      <c r="V69" s="24"/>
      <c r="W69" s="3"/>
      <c r="X69" s="25"/>
      <c r="Y69" s="25" t="s">
        <v>5399</v>
      </c>
      <c r="Z69" s="25"/>
      <c r="AA69" s="25"/>
      <c r="AB69" s="25"/>
      <c r="AC69" s="3" t="str">
        <f>IF(Caja_Finanzas[[#This Row],[FECHA]]&gt;0,TEXT(Caja_Finanzas[[#This Row],[FECHA]],"mmmm"),0)</f>
        <v>Enero</v>
      </c>
    </row>
    <row r="70" spans="2:29" ht="24" x14ac:dyDescent="0.3">
      <c r="B70" s="2">
        <f>IF(Caja_Finanzas[[#This Row],[TIPO DE R.]]="R",COUNTIFS($D$4:$D69,"R")+1,"")</f>
        <v>66</v>
      </c>
      <c r="C70" s="19" t="str">
        <f t="shared" ref="C70:C133" si="9">"C-Finanzas"</f>
        <v>C-Finanzas</v>
      </c>
      <c r="D70" s="3" t="s">
        <v>1074</v>
      </c>
      <c r="E70" s="14">
        <v>45677</v>
      </c>
      <c r="F70" s="5" t="s">
        <v>5400</v>
      </c>
      <c r="G70" s="5" t="s">
        <v>1079</v>
      </c>
      <c r="H70" s="5"/>
      <c r="I70" s="6"/>
      <c r="J70" s="6"/>
      <c r="K70" s="6"/>
      <c r="L70" s="6"/>
      <c r="M70" s="7" t="s">
        <v>5401</v>
      </c>
      <c r="N70" s="8" t="str">
        <f>"CFI"&amp;".D"&amp;TEXT(Caja_Finanzas[[#This Row],[FECHA]],"DD-MM")&amp;"-"&amp;TEXT(Caja_Finanzas[[#This Row],[ITEM]],"0000")</f>
        <v>CFI.D20-01-0066</v>
      </c>
      <c r="O70" s="8" t="str">
        <f t="shared" ref="O70:O133" si="10">"PEN"</f>
        <v>PEN</v>
      </c>
      <c r="P70" s="13"/>
      <c r="Q70" s="13">
        <v>2.5</v>
      </c>
      <c r="R70" s="3">
        <f t="shared" si="6"/>
        <v>0</v>
      </c>
      <c r="S70" s="3">
        <f t="shared" si="7"/>
        <v>2.5</v>
      </c>
      <c r="T70" s="3">
        <f t="shared" si="8"/>
        <v>4550.8999999999996</v>
      </c>
      <c r="U70" s="24"/>
      <c r="V70" s="24"/>
      <c r="W70" s="3"/>
      <c r="X70" s="25"/>
      <c r="Y70" s="25"/>
      <c r="Z70" s="25"/>
      <c r="AA70" s="25"/>
      <c r="AB70" s="25"/>
      <c r="AC70" s="3" t="str">
        <f>IF(Caja_Finanzas[[#This Row],[FECHA]]&gt;0,TEXT(Caja_Finanzas[[#This Row],[FECHA]],"mmmm"),0)</f>
        <v>Enero</v>
      </c>
    </row>
    <row r="71" spans="2:29" x14ac:dyDescent="0.3">
      <c r="B71" s="2">
        <f>IF(Caja_Finanzas[[#This Row],[TIPO DE R.]]="R",COUNTIFS($D$4:$D70,"R")+1,"")</f>
        <v>67</v>
      </c>
      <c r="C71" s="19" t="str">
        <f t="shared" si="9"/>
        <v>C-Finanzas</v>
      </c>
      <c r="D71" s="3" t="s">
        <v>1074</v>
      </c>
      <c r="E71" s="14">
        <v>45691</v>
      </c>
      <c r="F71" s="5"/>
      <c r="G71" s="5" t="s">
        <v>1087</v>
      </c>
      <c r="H71" s="5"/>
      <c r="I71" s="6"/>
      <c r="J71" s="6"/>
      <c r="K71" s="6"/>
      <c r="L71" s="6"/>
      <c r="M71" s="7" t="s">
        <v>5156</v>
      </c>
      <c r="N71" s="8" t="str">
        <f>"CFI"&amp;".D"&amp;TEXT(Caja_Finanzas[[#This Row],[FECHA]],"DD-MM")&amp;"-"&amp;TEXT(Caja_Finanzas[[#This Row],[ITEM]],"0000")</f>
        <v>CFI.D03-02-0067</v>
      </c>
      <c r="O71" s="8" t="str">
        <f t="shared" si="10"/>
        <v>PEN</v>
      </c>
      <c r="P71" s="13"/>
      <c r="Q71" s="13">
        <v>1332</v>
      </c>
      <c r="R71" s="3">
        <f t="shared" si="6"/>
        <v>1332</v>
      </c>
      <c r="S71" s="3">
        <f t="shared" si="7"/>
        <v>0</v>
      </c>
      <c r="T71" s="3">
        <f t="shared" si="8"/>
        <v>5882.9</v>
      </c>
      <c r="U71" s="24"/>
      <c r="V71" s="24"/>
      <c r="W71" s="3"/>
      <c r="X71" s="25"/>
      <c r="Y71" s="25"/>
      <c r="Z71" s="25"/>
      <c r="AA71" s="25"/>
      <c r="AB71" s="25"/>
      <c r="AC71" s="3" t="str">
        <f>IF(Caja_Finanzas[[#This Row],[FECHA]]&gt;0,TEXT(Caja_Finanzas[[#This Row],[FECHA]],"mmmm"),0)</f>
        <v>Febrero</v>
      </c>
    </row>
    <row r="72" spans="2:29" ht="24" x14ac:dyDescent="0.3">
      <c r="B72" s="2" t="str">
        <f>IF(Caja_Finanzas[[#This Row],[TIPO DE R.]]="R",COUNTIFS($D$4:$D71,"R")+1,"")</f>
        <v/>
      </c>
      <c r="C72" s="19" t="str">
        <f t="shared" si="9"/>
        <v>C-Finanzas</v>
      </c>
      <c r="D72" s="3" t="s">
        <v>1101</v>
      </c>
      <c r="E72" s="14">
        <v>45691</v>
      </c>
      <c r="F72" s="5" t="s">
        <v>5402</v>
      </c>
      <c r="G72" s="5"/>
      <c r="H72" s="5"/>
      <c r="I72" s="6"/>
      <c r="J72" s="6"/>
      <c r="K72" s="6"/>
      <c r="L72" s="6"/>
      <c r="M72" s="7" t="s">
        <v>5156</v>
      </c>
      <c r="N72" s="8" t="str">
        <f>"CFI"&amp;".D"&amp;TEXT(Caja_Finanzas[[#This Row],[FECHA]],"DD-MM")&amp;"-"&amp;TEXT(Caja_Finanzas[[#This Row],[ITEM]],"0000")</f>
        <v>CFI.D03-02-</v>
      </c>
      <c r="O72" s="8" t="str">
        <f t="shared" si="10"/>
        <v>PEN</v>
      </c>
      <c r="P72" s="13">
        <v>19</v>
      </c>
      <c r="Q72" s="13"/>
      <c r="R72" s="3">
        <f t="shared" si="6"/>
        <v>0</v>
      </c>
      <c r="S72" s="3">
        <f t="shared" si="7"/>
        <v>0</v>
      </c>
      <c r="T72" s="3">
        <f t="shared" si="8"/>
        <v>5882.9</v>
      </c>
      <c r="U72" s="24"/>
      <c r="V72" s="24"/>
      <c r="W72" s="3"/>
      <c r="X72" s="25"/>
      <c r="Y72" s="25" t="s">
        <v>5403</v>
      </c>
      <c r="Z72" s="25"/>
      <c r="AA72" s="25"/>
      <c r="AB72" s="25"/>
      <c r="AC72" s="3" t="str">
        <f>IF(Caja_Finanzas[[#This Row],[FECHA]]&gt;0,TEXT(Caja_Finanzas[[#This Row],[FECHA]],"mmmm"),0)</f>
        <v>Febrero</v>
      </c>
    </row>
    <row r="73" spans="2:29" x14ac:dyDescent="0.3">
      <c r="B73" s="2" t="str">
        <f>IF(Caja_Finanzas[[#This Row],[TIPO DE R.]]="R",COUNTIFS($D$4:$D72,"R")+1,"")</f>
        <v/>
      </c>
      <c r="C73" s="19" t="str">
        <f t="shared" si="9"/>
        <v>C-Finanzas</v>
      </c>
      <c r="D73" s="3" t="s">
        <v>1101</v>
      </c>
      <c r="E73" s="14">
        <v>45691</v>
      </c>
      <c r="F73" s="5" t="s">
        <v>5404</v>
      </c>
      <c r="G73" s="5"/>
      <c r="H73" s="5"/>
      <c r="I73" s="6"/>
      <c r="J73" s="6"/>
      <c r="K73" s="6"/>
      <c r="L73" s="6"/>
      <c r="M73" s="7" t="s">
        <v>5156</v>
      </c>
      <c r="N73" s="8" t="str">
        <f>"CFI"&amp;".D"&amp;TEXT(Caja_Finanzas[[#This Row],[FECHA]],"DD-MM")&amp;"-"&amp;TEXT(Caja_Finanzas[[#This Row],[ITEM]],"0000")</f>
        <v>CFI.D03-02-</v>
      </c>
      <c r="O73" s="8" t="str">
        <f t="shared" si="10"/>
        <v>PEN</v>
      </c>
      <c r="P73" s="13">
        <v>136</v>
      </c>
      <c r="Q73" s="13"/>
      <c r="R73" s="3">
        <f t="shared" si="6"/>
        <v>0</v>
      </c>
      <c r="S73" s="3">
        <f t="shared" si="7"/>
        <v>0</v>
      </c>
      <c r="T73" s="3">
        <f t="shared" si="8"/>
        <v>5882.9</v>
      </c>
      <c r="U73" s="24"/>
      <c r="V73" s="24"/>
      <c r="W73" s="3"/>
      <c r="X73" s="25"/>
      <c r="Y73" s="25" t="s">
        <v>5405</v>
      </c>
      <c r="Z73" s="25"/>
      <c r="AA73" s="25"/>
      <c r="AB73" s="25"/>
      <c r="AC73" s="3" t="str">
        <f>IF(Caja_Finanzas[[#This Row],[FECHA]]&gt;0,TEXT(Caja_Finanzas[[#This Row],[FECHA]],"mmmm"),0)</f>
        <v>Febrero</v>
      </c>
    </row>
    <row r="74" spans="2:29" x14ac:dyDescent="0.3">
      <c r="B74" s="2" t="str">
        <f>IF(Caja_Finanzas[[#This Row],[TIPO DE R.]]="R",COUNTIFS($D$4:$D73,"R")+1,"")</f>
        <v/>
      </c>
      <c r="C74" s="19" t="str">
        <f t="shared" si="9"/>
        <v>C-Finanzas</v>
      </c>
      <c r="D74" s="3" t="s">
        <v>1101</v>
      </c>
      <c r="E74" s="14">
        <v>45691</v>
      </c>
      <c r="F74" s="5" t="s">
        <v>5330</v>
      </c>
      <c r="G74" s="5"/>
      <c r="H74" s="5"/>
      <c r="I74" s="6"/>
      <c r="J74" s="6"/>
      <c r="K74" s="6"/>
      <c r="L74" s="6"/>
      <c r="M74" s="7" t="s">
        <v>5156</v>
      </c>
      <c r="N74" s="8" t="str">
        <f>"CFI"&amp;".D"&amp;TEXT(Caja_Finanzas[[#This Row],[FECHA]],"DD-MM")&amp;"-"&amp;TEXT(Caja_Finanzas[[#This Row],[ITEM]],"0000")</f>
        <v>CFI.D03-02-</v>
      </c>
      <c r="O74" s="8" t="str">
        <f t="shared" si="10"/>
        <v>PEN</v>
      </c>
      <c r="P74" s="13">
        <v>13.6</v>
      </c>
      <c r="Q74" s="13"/>
      <c r="R74" s="3">
        <f t="shared" si="6"/>
        <v>0</v>
      </c>
      <c r="S74" s="3">
        <f t="shared" si="7"/>
        <v>0</v>
      </c>
      <c r="T74" s="3">
        <f t="shared" si="8"/>
        <v>5882.9</v>
      </c>
      <c r="U74" s="24"/>
      <c r="V74" s="24"/>
      <c r="W74" s="3"/>
      <c r="X74" s="25"/>
      <c r="Y74" s="25" t="s">
        <v>5406</v>
      </c>
      <c r="Z74" s="25"/>
      <c r="AA74" s="25"/>
      <c r="AB74" s="25"/>
      <c r="AC74" s="3" t="str">
        <f>IF(Caja_Finanzas[[#This Row],[FECHA]]&gt;0,TEXT(Caja_Finanzas[[#This Row],[FECHA]],"mmmm"),0)</f>
        <v>Febrero</v>
      </c>
    </row>
    <row r="75" spans="2:29" ht="24" x14ac:dyDescent="0.3">
      <c r="B75" s="2" t="str">
        <f>IF(Caja_Finanzas[[#This Row],[TIPO DE R.]]="R",COUNTIFS($D$4:$D74,"R")+1,"")</f>
        <v/>
      </c>
      <c r="C75" s="19" t="str">
        <f t="shared" si="9"/>
        <v>C-Finanzas</v>
      </c>
      <c r="D75" s="3" t="s">
        <v>1101</v>
      </c>
      <c r="E75" s="14">
        <v>45691</v>
      </c>
      <c r="F75" s="5" t="s">
        <v>5407</v>
      </c>
      <c r="G75" s="5"/>
      <c r="H75" s="5"/>
      <c r="I75" s="6"/>
      <c r="J75" s="6"/>
      <c r="K75" s="6"/>
      <c r="L75" s="6"/>
      <c r="M75" s="7" t="s">
        <v>5156</v>
      </c>
      <c r="N75" s="8" t="str">
        <f>"CFI"&amp;".D"&amp;TEXT(Caja_Finanzas[[#This Row],[FECHA]],"DD-MM")&amp;"-"&amp;TEXT(Caja_Finanzas[[#This Row],[ITEM]],"0000")</f>
        <v>CFI.D03-02-</v>
      </c>
      <c r="O75" s="8" t="str">
        <f t="shared" si="10"/>
        <v>PEN</v>
      </c>
      <c r="P75" s="13">
        <v>12</v>
      </c>
      <c r="Q75" s="13"/>
      <c r="R75" s="3">
        <f t="shared" si="6"/>
        <v>0</v>
      </c>
      <c r="S75" s="3">
        <f t="shared" si="7"/>
        <v>0</v>
      </c>
      <c r="T75" s="3">
        <f t="shared" si="8"/>
        <v>5882.9</v>
      </c>
      <c r="U75" s="24"/>
      <c r="V75" s="24"/>
      <c r="W75" s="3"/>
      <c r="X75" s="25"/>
      <c r="Y75" s="25" t="s">
        <v>5408</v>
      </c>
      <c r="Z75" s="25"/>
      <c r="AA75" s="25"/>
      <c r="AB75" s="25"/>
      <c r="AC75" s="3" t="str">
        <f>IF(Caja_Finanzas[[#This Row],[FECHA]]&gt;0,TEXT(Caja_Finanzas[[#This Row],[FECHA]],"mmmm"),0)</f>
        <v>Febrero</v>
      </c>
    </row>
    <row r="76" spans="2:29" x14ac:dyDescent="0.3">
      <c r="B76" s="2" t="str">
        <f>IF(Caja_Finanzas[[#This Row],[TIPO DE R.]]="R",COUNTIFS($D$4:$D75,"R")+1,"")</f>
        <v/>
      </c>
      <c r="C76" s="19" t="str">
        <f t="shared" si="9"/>
        <v>C-Finanzas</v>
      </c>
      <c r="D76" s="3" t="s">
        <v>1101</v>
      </c>
      <c r="E76" s="14">
        <v>45691</v>
      </c>
      <c r="F76" s="5" t="s">
        <v>5409</v>
      </c>
      <c r="G76" s="5"/>
      <c r="H76" s="5"/>
      <c r="I76" s="6"/>
      <c r="J76" s="6"/>
      <c r="K76" s="6"/>
      <c r="L76" s="6"/>
      <c r="M76" s="7" t="s">
        <v>5156</v>
      </c>
      <c r="N76" s="8" t="str">
        <f>"CFI"&amp;".D"&amp;TEXT(Caja_Finanzas[[#This Row],[FECHA]],"DD-MM")&amp;"-"&amp;TEXT(Caja_Finanzas[[#This Row],[ITEM]],"0000")</f>
        <v>CFI.D03-02-</v>
      </c>
      <c r="O76" s="8" t="str">
        <f t="shared" si="10"/>
        <v>PEN</v>
      </c>
      <c r="P76" s="13">
        <v>6</v>
      </c>
      <c r="Q76" s="13"/>
      <c r="R76" s="3">
        <f t="shared" si="6"/>
        <v>0</v>
      </c>
      <c r="S76" s="3">
        <f t="shared" si="7"/>
        <v>0</v>
      </c>
      <c r="T76" s="3">
        <f t="shared" si="8"/>
        <v>5882.9</v>
      </c>
      <c r="U76" s="24"/>
      <c r="V76" s="24"/>
      <c r="W76" s="3"/>
      <c r="X76" s="25"/>
      <c r="Y76" s="25" t="s">
        <v>5410</v>
      </c>
      <c r="Z76" s="25"/>
      <c r="AA76" s="25"/>
      <c r="AB76" s="25"/>
      <c r="AC76" s="3" t="str">
        <f>IF(Caja_Finanzas[[#This Row],[FECHA]]&gt;0,TEXT(Caja_Finanzas[[#This Row],[FECHA]],"mmmm"),0)</f>
        <v>Febrero</v>
      </c>
    </row>
    <row r="77" spans="2:29" ht="24" x14ac:dyDescent="0.3">
      <c r="B77" s="2" t="str">
        <f>IF(Caja_Finanzas[[#This Row],[TIPO DE R.]]="R",COUNTIFS($D$4:$D76,"R")+1,"")</f>
        <v/>
      </c>
      <c r="C77" s="19" t="str">
        <f t="shared" si="9"/>
        <v>C-Finanzas</v>
      </c>
      <c r="D77" s="3" t="s">
        <v>1101</v>
      </c>
      <c r="E77" s="14">
        <v>45691</v>
      </c>
      <c r="F77" s="5" t="s">
        <v>3399</v>
      </c>
      <c r="G77" s="5"/>
      <c r="H77" s="5"/>
      <c r="I77" s="6"/>
      <c r="J77" s="6"/>
      <c r="K77" s="6"/>
      <c r="L77" s="6"/>
      <c r="M77" s="7" t="s">
        <v>5156</v>
      </c>
      <c r="N77" s="8" t="str">
        <f>"CFI"&amp;".D"&amp;TEXT(Caja_Finanzas[[#This Row],[FECHA]],"DD-MM")&amp;"-"&amp;TEXT(Caja_Finanzas[[#This Row],[ITEM]],"0000")</f>
        <v>CFI.D03-02-</v>
      </c>
      <c r="O77" s="8" t="str">
        <f t="shared" si="10"/>
        <v>PEN</v>
      </c>
      <c r="P77" s="13">
        <v>47.5</v>
      </c>
      <c r="Q77" s="13"/>
      <c r="R77" s="3">
        <f t="shared" si="6"/>
        <v>0</v>
      </c>
      <c r="S77" s="3">
        <f t="shared" si="7"/>
        <v>0</v>
      </c>
      <c r="T77" s="3">
        <f t="shared" si="8"/>
        <v>5882.9</v>
      </c>
      <c r="U77" s="24"/>
      <c r="V77" s="24"/>
      <c r="W77" s="3"/>
      <c r="X77" s="25"/>
      <c r="Y77" s="25" t="s">
        <v>5411</v>
      </c>
      <c r="Z77" s="25"/>
      <c r="AA77" s="25"/>
      <c r="AB77" s="25"/>
      <c r="AC77" s="3" t="str">
        <f>IF(Caja_Finanzas[[#This Row],[FECHA]]&gt;0,TEXT(Caja_Finanzas[[#This Row],[FECHA]],"mmmm"),0)</f>
        <v>Febrero</v>
      </c>
    </row>
    <row r="78" spans="2:29" x14ac:dyDescent="0.3">
      <c r="B78" s="2" t="str">
        <f>IF(Caja_Finanzas[[#This Row],[TIPO DE R.]]="R",COUNTIFS($D$4:$D77,"R")+1,"")</f>
        <v/>
      </c>
      <c r="C78" s="19" t="str">
        <f t="shared" si="9"/>
        <v>C-Finanzas</v>
      </c>
      <c r="D78" s="3" t="s">
        <v>1101</v>
      </c>
      <c r="E78" s="14">
        <v>45691</v>
      </c>
      <c r="F78" s="5" t="s">
        <v>5404</v>
      </c>
      <c r="G78" s="5"/>
      <c r="H78" s="5"/>
      <c r="I78" s="6"/>
      <c r="J78" s="6"/>
      <c r="K78" s="6"/>
      <c r="L78" s="6"/>
      <c r="M78" s="7" t="s">
        <v>5156</v>
      </c>
      <c r="N78" s="8" t="str">
        <f>"CFI"&amp;".D"&amp;TEXT(Caja_Finanzas[[#This Row],[FECHA]],"DD-MM")&amp;"-"&amp;TEXT(Caja_Finanzas[[#This Row],[ITEM]],"0000")</f>
        <v>CFI.D03-02-</v>
      </c>
      <c r="O78" s="8" t="str">
        <f t="shared" si="10"/>
        <v>PEN</v>
      </c>
      <c r="P78" s="13">
        <v>20.8</v>
      </c>
      <c r="Q78" s="13"/>
      <c r="R78" s="3">
        <f t="shared" si="6"/>
        <v>0</v>
      </c>
      <c r="S78" s="3">
        <f t="shared" si="7"/>
        <v>0</v>
      </c>
      <c r="T78" s="3">
        <f t="shared" si="8"/>
        <v>5882.9</v>
      </c>
      <c r="U78" s="24"/>
      <c r="V78" s="24"/>
      <c r="W78" s="3"/>
      <c r="X78" s="25"/>
      <c r="Y78" s="25" t="s">
        <v>5412</v>
      </c>
      <c r="Z78" s="25"/>
      <c r="AA78" s="25"/>
      <c r="AB78" s="25"/>
      <c r="AC78" s="3" t="str">
        <f>IF(Caja_Finanzas[[#This Row],[FECHA]]&gt;0,TEXT(Caja_Finanzas[[#This Row],[FECHA]],"mmmm"),0)</f>
        <v>Febrero</v>
      </c>
    </row>
    <row r="79" spans="2:29" ht="24" x14ac:dyDescent="0.3">
      <c r="B79" s="2" t="str">
        <f>IF(Caja_Finanzas[[#This Row],[TIPO DE R.]]="R",COUNTIFS($D$4:$D78,"R")+1,"")</f>
        <v/>
      </c>
      <c r="C79" s="19" t="str">
        <f t="shared" si="9"/>
        <v>C-Finanzas</v>
      </c>
      <c r="D79" s="3" t="s">
        <v>1101</v>
      </c>
      <c r="E79" s="14">
        <v>45691</v>
      </c>
      <c r="F79" s="5" t="s">
        <v>5413</v>
      </c>
      <c r="G79" s="5"/>
      <c r="H79" s="5"/>
      <c r="I79" s="6"/>
      <c r="J79" s="6"/>
      <c r="K79" s="6"/>
      <c r="L79" s="6"/>
      <c r="M79" s="7" t="s">
        <v>5156</v>
      </c>
      <c r="N79" s="8" t="str">
        <f>"CFI"&amp;".D"&amp;TEXT(Caja_Finanzas[[#This Row],[FECHA]],"DD-MM")&amp;"-"&amp;TEXT(Caja_Finanzas[[#This Row],[ITEM]],"0000")</f>
        <v>CFI.D03-02-</v>
      </c>
      <c r="O79" s="8" t="str">
        <f t="shared" si="10"/>
        <v>PEN</v>
      </c>
      <c r="P79" s="13">
        <v>682</v>
      </c>
      <c r="Q79" s="13"/>
      <c r="R79" s="3">
        <f t="shared" si="6"/>
        <v>0</v>
      </c>
      <c r="S79" s="3">
        <f t="shared" si="7"/>
        <v>0</v>
      </c>
      <c r="T79" s="3">
        <f t="shared" si="8"/>
        <v>5882.9</v>
      </c>
      <c r="U79" s="24"/>
      <c r="V79" s="24"/>
      <c r="W79" s="3"/>
      <c r="X79" s="25"/>
      <c r="Y79" s="25" t="s">
        <v>5414</v>
      </c>
      <c r="Z79" s="25"/>
      <c r="AA79" s="25"/>
      <c r="AB79" s="25"/>
      <c r="AC79" s="3" t="str">
        <f>IF(Caja_Finanzas[[#This Row],[FECHA]]&gt;0,TEXT(Caja_Finanzas[[#This Row],[FECHA]],"mmmm"),0)</f>
        <v>Febrero</v>
      </c>
    </row>
    <row r="80" spans="2:29" ht="24" x14ac:dyDescent="0.3">
      <c r="B80" s="2" t="str">
        <f>IF(Caja_Finanzas[[#This Row],[TIPO DE R.]]="R",COUNTIFS($D$4:$D79,"R")+1,"")</f>
        <v/>
      </c>
      <c r="C80" s="19" t="str">
        <f t="shared" si="9"/>
        <v>C-Finanzas</v>
      </c>
      <c r="D80" s="3" t="s">
        <v>1101</v>
      </c>
      <c r="E80" s="14">
        <v>45691</v>
      </c>
      <c r="F80" s="5" t="s">
        <v>5413</v>
      </c>
      <c r="G80" s="5"/>
      <c r="H80" s="5"/>
      <c r="I80" s="6"/>
      <c r="J80" s="6"/>
      <c r="K80" s="6"/>
      <c r="L80" s="6"/>
      <c r="M80" s="7" t="s">
        <v>5156</v>
      </c>
      <c r="N80" s="8" t="str">
        <f>"CFI"&amp;".D"&amp;TEXT(Caja_Finanzas[[#This Row],[FECHA]],"DD-MM")&amp;"-"&amp;TEXT(Caja_Finanzas[[#This Row],[ITEM]],"0000")</f>
        <v>CFI.D03-02-</v>
      </c>
      <c r="O80" s="8" t="str">
        <f t="shared" si="10"/>
        <v>PEN</v>
      </c>
      <c r="P80" s="13">
        <v>395.1</v>
      </c>
      <c r="Q80" s="13"/>
      <c r="R80" s="3">
        <f t="shared" si="6"/>
        <v>0</v>
      </c>
      <c r="S80" s="3">
        <f t="shared" si="7"/>
        <v>0</v>
      </c>
      <c r="T80" s="3">
        <f t="shared" si="8"/>
        <v>5882.9</v>
      </c>
      <c r="U80" s="24"/>
      <c r="V80" s="24"/>
      <c r="W80" s="3"/>
      <c r="X80" s="25"/>
      <c r="Y80" s="25" t="s">
        <v>5415</v>
      </c>
      <c r="Z80" s="25"/>
      <c r="AA80" s="25"/>
      <c r="AB80" s="25"/>
      <c r="AC80" s="3" t="str">
        <f>IF(Caja_Finanzas[[#This Row],[FECHA]]&gt;0,TEXT(Caja_Finanzas[[#This Row],[FECHA]],"mmmm"),0)</f>
        <v>Febrero</v>
      </c>
    </row>
    <row r="81" spans="2:29" ht="24" x14ac:dyDescent="0.3">
      <c r="B81" s="2">
        <f>IF(Caja_Finanzas[[#This Row],[TIPO DE R.]]="R",COUNTIFS($D$4:$D80,"R")+1,"")</f>
        <v>68</v>
      </c>
      <c r="C81" s="19" t="str">
        <f t="shared" si="9"/>
        <v>C-Finanzas</v>
      </c>
      <c r="D81" s="3" t="s">
        <v>1074</v>
      </c>
      <c r="E81" s="14">
        <v>45678</v>
      </c>
      <c r="F81" s="5" t="s">
        <v>5416</v>
      </c>
      <c r="G81" s="5" t="s">
        <v>1087</v>
      </c>
      <c r="H81" s="5"/>
      <c r="I81" s="6"/>
      <c r="J81" s="6"/>
      <c r="K81" s="6"/>
      <c r="L81" s="6"/>
      <c r="M81" s="7" t="s">
        <v>5417</v>
      </c>
      <c r="N81" s="8" t="str">
        <f>"CFI"&amp;".D"&amp;TEXT(Caja_Finanzas[[#This Row],[FECHA]],"DD-MM")&amp;"-"&amp;TEXT(Caja_Finanzas[[#This Row],[ITEM]],"0000")</f>
        <v>CFI.D21-01-0068</v>
      </c>
      <c r="O81" s="8" t="str">
        <f t="shared" si="10"/>
        <v>PEN</v>
      </c>
      <c r="P81" s="13"/>
      <c r="Q81" s="13">
        <v>50</v>
      </c>
      <c r="R81" s="3">
        <f t="shared" si="6"/>
        <v>50</v>
      </c>
      <c r="S81" s="3">
        <f t="shared" si="7"/>
        <v>0</v>
      </c>
      <c r="T81" s="3">
        <f t="shared" si="8"/>
        <v>5932.9</v>
      </c>
      <c r="U81" s="24"/>
      <c r="V81" s="24"/>
      <c r="W81" s="3"/>
      <c r="X81" s="25" t="s">
        <v>368</v>
      </c>
      <c r="Y81" s="25"/>
      <c r="Z81" s="25"/>
      <c r="AA81" s="25"/>
      <c r="AB81" s="25"/>
      <c r="AC81" s="3" t="str">
        <f>IF(Caja_Finanzas[[#This Row],[FECHA]]&gt;0,TEXT(Caja_Finanzas[[#This Row],[FECHA]],"mmmm"),0)</f>
        <v>Enero</v>
      </c>
    </row>
    <row r="82" spans="2:29" ht="24" x14ac:dyDescent="0.3">
      <c r="B82" s="2">
        <f>IF(Caja_Finanzas[[#This Row],[TIPO DE R.]]="R",COUNTIFS($D$4:$D81,"R")+1,"")</f>
        <v>69</v>
      </c>
      <c r="C82" s="19" t="str">
        <f t="shared" si="9"/>
        <v>C-Finanzas</v>
      </c>
      <c r="D82" s="3" t="s">
        <v>1074</v>
      </c>
      <c r="E82" s="14">
        <v>45678</v>
      </c>
      <c r="F82" s="5" t="s">
        <v>5305</v>
      </c>
      <c r="G82" s="5" t="s">
        <v>1079</v>
      </c>
      <c r="H82" s="5"/>
      <c r="I82" s="6"/>
      <c r="J82" s="6"/>
      <c r="K82" s="6"/>
      <c r="L82" s="6"/>
      <c r="M82" s="7" t="s">
        <v>5418</v>
      </c>
      <c r="N82" s="8" t="str">
        <f>"CFI"&amp;".D"&amp;TEXT(Caja_Finanzas[[#This Row],[FECHA]],"DD-MM")&amp;"-"&amp;TEXT(Caja_Finanzas[[#This Row],[ITEM]],"0000")</f>
        <v>CFI.D21-01-0069</v>
      </c>
      <c r="O82" s="8" t="str">
        <f t="shared" si="10"/>
        <v>PEN</v>
      </c>
      <c r="P82" s="13"/>
      <c r="Q82" s="13">
        <v>2000</v>
      </c>
      <c r="R82" s="3">
        <f t="shared" si="6"/>
        <v>0</v>
      </c>
      <c r="S82" s="3">
        <f t="shared" si="7"/>
        <v>2000</v>
      </c>
      <c r="T82" s="3">
        <f t="shared" si="8"/>
        <v>3932.8999999999996</v>
      </c>
      <c r="U82" s="24"/>
      <c r="V82" s="24"/>
      <c r="W82" s="3"/>
      <c r="X82" s="25" t="s">
        <v>5419</v>
      </c>
      <c r="Y82" s="25"/>
      <c r="Z82" s="25"/>
      <c r="AA82" s="25"/>
      <c r="AB82" s="25"/>
      <c r="AC82" s="3" t="str">
        <f>IF(Caja_Finanzas[[#This Row],[FECHA]]&gt;0,TEXT(Caja_Finanzas[[#This Row],[FECHA]],"mmmm"),0)</f>
        <v>Enero</v>
      </c>
    </row>
    <row r="83" spans="2:29" ht="24" x14ac:dyDescent="0.3">
      <c r="B83" s="2">
        <f>IF(Caja_Finanzas[[#This Row],[TIPO DE R.]]="R",COUNTIFS($D$4:$D82,"R")+1,"")</f>
        <v>70</v>
      </c>
      <c r="C83" s="19" t="str">
        <f t="shared" si="9"/>
        <v>C-Finanzas</v>
      </c>
      <c r="D83" s="3" t="s">
        <v>1074</v>
      </c>
      <c r="E83" s="14">
        <v>45680</v>
      </c>
      <c r="F83" s="5" t="s">
        <v>1407</v>
      </c>
      <c r="G83" s="5" t="s">
        <v>1087</v>
      </c>
      <c r="H83" s="5"/>
      <c r="I83" s="6"/>
      <c r="J83" s="6"/>
      <c r="K83" s="6"/>
      <c r="L83" s="6"/>
      <c r="M83" s="7" t="s">
        <v>5156</v>
      </c>
      <c r="N83" s="8" t="str">
        <f>"CFI"&amp;".D"&amp;TEXT(Caja_Finanzas[[#This Row],[FECHA]],"DD-MM")&amp;"-"&amp;TEXT(Caja_Finanzas[[#This Row],[ITEM]],"0000")</f>
        <v>CFI.D23-01-0070</v>
      </c>
      <c r="O83" s="8" t="str">
        <f t="shared" si="10"/>
        <v>PEN</v>
      </c>
      <c r="P83" s="13"/>
      <c r="Q83" s="13">
        <v>2129</v>
      </c>
      <c r="R83" s="3">
        <f t="shared" si="6"/>
        <v>2129</v>
      </c>
      <c r="S83" s="3">
        <f t="shared" si="7"/>
        <v>0</v>
      </c>
      <c r="T83" s="3">
        <f t="shared" si="8"/>
        <v>6061.9</v>
      </c>
      <c r="U83" s="24"/>
      <c r="V83" s="24"/>
      <c r="W83" s="3"/>
      <c r="X83" s="25"/>
      <c r="Y83" s="25" t="s">
        <v>1408</v>
      </c>
      <c r="Z83" s="25"/>
      <c r="AA83" s="25"/>
      <c r="AB83" s="25"/>
      <c r="AC83" s="3" t="str">
        <f>IF(Caja_Finanzas[[#This Row],[FECHA]]&gt;0,TEXT(Caja_Finanzas[[#This Row],[FECHA]],"mmmm"),0)</f>
        <v>Enero</v>
      </c>
    </row>
    <row r="84" spans="2:29" ht="24" x14ac:dyDescent="0.3">
      <c r="B84" s="2">
        <f>IF(Caja_Finanzas[[#This Row],[TIPO DE R.]]="R",COUNTIFS($D$4:$D83,"R")+1,"")</f>
        <v>71</v>
      </c>
      <c r="C84" s="19" t="str">
        <f t="shared" si="9"/>
        <v>C-Finanzas</v>
      </c>
      <c r="D84" s="3" t="s">
        <v>1074</v>
      </c>
      <c r="E84" s="14">
        <v>45681</v>
      </c>
      <c r="F84" s="5" t="s">
        <v>5307</v>
      </c>
      <c r="G84" s="5" t="s">
        <v>1079</v>
      </c>
      <c r="H84" s="5"/>
      <c r="I84" s="6"/>
      <c r="J84" s="6"/>
      <c r="K84" s="6"/>
      <c r="L84" s="6"/>
      <c r="M84" s="7" t="s">
        <v>5420</v>
      </c>
      <c r="N84" s="8" t="str">
        <f>"CFI"&amp;".D"&amp;TEXT(Caja_Finanzas[[#This Row],[FECHA]],"DD-MM")&amp;"-"&amp;TEXT(Caja_Finanzas[[#This Row],[ITEM]],"0000")</f>
        <v>CFI.D24-01-0071</v>
      </c>
      <c r="O84" s="8" t="str">
        <f t="shared" si="10"/>
        <v>PEN</v>
      </c>
      <c r="P84" s="13"/>
      <c r="Q84" s="13">
        <v>70</v>
      </c>
      <c r="R84" s="3">
        <f t="shared" si="6"/>
        <v>0</v>
      </c>
      <c r="S84" s="3">
        <f t="shared" si="7"/>
        <v>70</v>
      </c>
      <c r="T84" s="3">
        <f t="shared" si="8"/>
        <v>5991.9</v>
      </c>
      <c r="U84" s="24"/>
      <c r="V84" s="24"/>
      <c r="W84" s="3"/>
      <c r="X84" s="25" t="s">
        <v>5394</v>
      </c>
      <c r="Y84" s="25" t="s">
        <v>5421</v>
      </c>
      <c r="Z84" s="25"/>
      <c r="AA84" s="25"/>
      <c r="AB84" s="25"/>
      <c r="AC84" s="3" t="str">
        <f>IF(Caja_Finanzas[[#This Row],[FECHA]]&gt;0,TEXT(Caja_Finanzas[[#This Row],[FECHA]],"mmmm"),0)</f>
        <v>Enero</v>
      </c>
    </row>
    <row r="85" spans="2:29" ht="36" x14ac:dyDescent="0.3">
      <c r="B85" s="2">
        <f>IF(Caja_Finanzas[[#This Row],[TIPO DE R.]]="R",COUNTIFS($D$4:$D84,"R")+1,"")</f>
        <v>72</v>
      </c>
      <c r="C85" s="19" t="str">
        <f t="shared" si="9"/>
        <v>C-Finanzas</v>
      </c>
      <c r="D85" s="3" t="s">
        <v>1074</v>
      </c>
      <c r="E85" s="14">
        <v>45681</v>
      </c>
      <c r="F85" s="5" t="s">
        <v>5307</v>
      </c>
      <c r="G85" s="5" t="s">
        <v>1079</v>
      </c>
      <c r="H85" s="5"/>
      <c r="I85" s="6"/>
      <c r="J85" s="6"/>
      <c r="K85" s="6"/>
      <c r="L85" s="6"/>
      <c r="M85" s="7" t="s">
        <v>5422</v>
      </c>
      <c r="N85" s="8" t="str">
        <f>"CFI"&amp;".D"&amp;TEXT(Caja_Finanzas[[#This Row],[FECHA]],"DD-MM")&amp;"-"&amp;TEXT(Caja_Finanzas[[#This Row],[ITEM]],"0000")</f>
        <v>CFI.D24-01-0072</v>
      </c>
      <c r="O85" s="8" t="str">
        <f t="shared" si="10"/>
        <v>PEN</v>
      </c>
      <c r="P85" s="13"/>
      <c r="Q85" s="13">
        <v>9.5</v>
      </c>
      <c r="R85" s="3">
        <f t="shared" si="6"/>
        <v>0</v>
      </c>
      <c r="S85" s="3">
        <f t="shared" si="7"/>
        <v>9.5</v>
      </c>
      <c r="T85" s="3">
        <f t="shared" si="8"/>
        <v>5982.4</v>
      </c>
      <c r="U85" s="24"/>
      <c r="V85" s="24"/>
      <c r="W85" s="3"/>
      <c r="X85" s="25" t="s">
        <v>5394</v>
      </c>
      <c r="Y85" s="25" t="s">
        <v>5423</v>
      </c>
      <c r="Z85" s="25"/>
      <c r="AA85" s="25"/>
      <c r="AB85" s="25"/>
      <c r="AC85" s="3" t="str">
        <f>IF(Caja_Finanzas[[#This Row],[FECHA]]&gt;0,TEXT(Caja_Finanzas[[#This Row],[FECHA]],"mmmm"),0)</f>
        <v>Enero</v>
      </c>
    </row>
    <row r="86" spans="2:29" ht="36" x14ac:dyDescent="0.3">
      <c r="B86" s="2">
        <f>IF(Caja_Finanzas[[#This Row],[TIPO DE R.]]="R",COUNTIFS($D$4:$D85,"R")+1,"")</f>
        <v>73</v>
      </c>
      <c r="C86" s="19" t="str">
        <f t="shared" si="9"/>
        <v>C-Finanzas</v>
      </c>
      <c r="D86" s="3" t="s">
        <v>1074</v>
      </c>
      <c r="E86" s="14">
        <v>45681</v>
      </c>
      <c r="F86" s="5" t="s">
        <v>5307</v>
      </c>
      <c r="G86" s="5" t="s">
        <v>1079</v>
      </c>
      <c r="H86" s="5"/>
      <c r="I86" s="6"/>
      <c r="J86" s="6"/>
      <c r="K86" s="6"/>
      <c r="L86" s="6"/>
      <c r="M86" s="7" t="s">
        <v>5424</v>
      </c>
      <c r="N86" s="8" t="str">
        <f>"CFI"&amp;".D"&amp;TEXT(Caja_Finanzas[[#This Row],[FECHA]],"DD-MM")&amp;"-"&amp;TEXT(Caja_Finanzas[[#This Row],[ITEM]],"0000")</f>
        <v>CFI.D24-01-0073</v>
      </c>
      <c r="O86" s="8" t="str">
        <f t="shared" si="10"/>
        <v>PEN</v>
      </c>
      <c r="P86" s="13"/>
      <c r="Q86" s="13">
        <v>1300</v>
      </c>
      <c r="R86" s="3">
        <f t="shared" si="6"/>
        <v>0</v>
      </c>
      <c r="S86" s="3">
        <f t="shared" si="7"/>
        <v>1300</v>
      </c>
      <c r="T86" s="3">
        <f t="shared" si="8"/>
        <v>4682.3999999999996</v>
      </c>
      <c r="U86" s="24"/>
      <c r="V86" s="24"/>
      <c r="W86" s="3"/>
      <c r="X86" s="25" t="s">
        <v>5425</v>
      </c>
      <c r="Y86" s="25" t="s">
        <v>5426</v>
      </c>
      <c r="Z86" s="25"/>
      <c r="AA86" s="25"/>
      <c r="AB86" s="25"/>
      <c r="AC86" s="3" t="str">
        <f>IF(Caja_Finanzas[[#This Row],[FECHA]]&gt;0,TEXT(Caja_Finanzas[[#This Row],[FECHA]],"mmmm"),0)</f>
        <v>Enero</v>
      </c>
    </row>
    <row r="87" spans="2:29" x14ac:dyDescent="0.3">
      <c r="B87" s="2">
        <f>IF(Caja_Finanzas[[#This Row],[TIPO DE R.]]="R",COUNTIFS($D$4:$D86,"R")+1,"")</f>
        <v>74</v>
      </c>
      <c r="C87" s="19" t="str">
        <f t="shared" si="9"/>
        <v>C-Finanzas</v>
      </c>
      <c r="D87" s="3" t="s">
        <v>1074</v>
      </c>
      <c r="E87" s="14">
        <v>45681</v>
      </c>
      <c r="F87" s="5" t="s">
        <v>1477</v>
      </c>
      <c r="G87" s="5" t="s">
        <v>1087</v>
      </c>
      <c r="H87" s="5"/>
      <c r="I87" s="6"/>
      <c r="J87" s="6"/>
      <c r="K87" s="6"/>
      <c r="L87" s="6"/>
      <c r="M87" s="7" t="s">
        <v>5156</v>
      </c>
      <c r="N87" s="8" t="str">
        <f>"CFI"&amp;".D"&amp;TEXT(Caja_Finanzas[[#This Row],[FECHA]],"DD-MM")&amp;"-"&amp;TEXT(Caja_Finanzas[[#This Row],[ITEM]],"0000")</f>
        <v>CFI.D24-01-0074</v>
      </c>
      <c r="O87" s="8" t="str">
        <f t="shared" si="10"/>
        <v>PEN</v>
      </c>
      <c r="P87" s="13"/>
      <c r="Q87" s="13">
        <v>150</v>
      </c>
      <c r="R87" s="3">
        <f t="shared" si="6"/>
        <v>150</v>
      </c>
      <c r="S87" s="3">
        <f t="shared" si="7"/>
        <v>0</v>
      </c>
      <c r="T87" s="3">
        <f t="shared" si="8"/>
        <v>4832.3999999999996</v>
      </c>
      <c r="U87" s="24"/>
      <c r="V87" s="24"/>
      <c r="W87" s="3"/>
      <c r="X87" s="25" t="s">
        <v>368</v>
      </c>
      <c r="Y87" s="25" t="s">
        <v>5427</v>
      </c>
      <c r="Z87" s="25"/>
      <c r="AA87" s="25"/>
      <c r="AB87" s="25"/>
      <c r="AC87" s="3" t="str">
        <f>IF(Caja_Finanzas[[#This Row],[FECHA]]&gt;0,TEXT(Caja_Finanzas[[#This Row],[FECHA]],"mmmm"),0)</f>
        <v>Enero</v>
      </c>
    </row>
    <row r="88" spans="2:29" ht="24" x14ac:dyDescent="0.3">
      <c r="B88" s="2">
        <f>IF(Caja_Finanzas[[#This Row],[TIPO DE R.]]="R",COUNTIFS($D$4:$D87,"R")+1,"")</f>
        <v>75</v>
      </c>
      <c r="C88" s="19" t="str">
        <f t="shared" si="9"/>
        <v>C-Finanzas</v>
      </c>
      <c r="D88" s="3" t="s">
        <v>1074</v>
      </c>
      <c r="E88" s="14">
        <v>45681</v>
      </c>
      <c r="F88" s="5" t="s">
        <v>1435</v>
      </c>
      <c r="G88" s="5" t="s">
        <v>1087</v>
      </c>
      <c r="H88" s="5"/>
      <c r="I88" s="6"/>
      <c r="J88" s="6"/>
      <c r="K88" s="6"/>
      <c r="L88" s="6"/>
      <c r="M88" s="7" t="s">
        <v>5156</v>
      </c>
      <c r="N88" s="8" t="str">
        <f>"CFI"&amp;".D"&amp;TEXT(Caja_Finanzas[[#This Row],[FECHA]],"DD-MM")&amp;"-"&amp;TEXT(Caja_Finanzas[[#This Row],[ITEM]],"0000")</f>
        <v>CFI.D24-01-0075</v>
      </c>
      <c r="O88" s="8" t="str">
        <f t="shared" si="10"/>
        <v>PEN</v>
      </c>
      <c r="P88" s="13"/>
      <c r="Q88" s="13">
        <v>12</v>
      </c>
      <c r="R88" s="3">
        <f t="shared" si="6"/>
        <v>12</v>
      </c>
      <c r="S88" s="3">
        <f t="shared" si="7"/>
        <v>0</v>
      </c>
      <c r="T88" s="3">
        <f t="shared" si="8"/>
        <v>4844.3999999999996</v>
      </c>
      <c r="U88" s="24"/>
      <c r="V88" s="24"/>
      <c r="W88" s="3"/>
      <c r="X88" s="25" t="s">
        <v>368</v>
      </c>
      <c r="Y88" s="25" t="s">
        <v>5428</v>
      </c>
      <c r="Z88" s="25"/>
      <c r="AA88" s="25"/>
      <c r="AB88" s="25"/>
      <c r="AC88" s="3" t="str">
        <f>IF(Caja_Finanzas[[#This Row],[FECHA]]&gt;0,TEXT(Caja_Finanzas[[#This Row],[FECHA]],"mmmm"),0)</f>
        <v>Enero</v>
      </c>
    </row>
    <row r="89" spans="2:29" ht="24" x14ac:dyDescent="0.3">
      <c r="B89" s="2">
        <f>IF(Caja_Finanzas[[#This Row],[TIPO DE R.]]="R",COUNTIFS($D$4:$D88,"R")+1,"")</f>
        <v>76</v>
      </c>
      <c r="C89" s="19" t="str">
        <f t="shared" si="9"/>
        <v>C-Finanzas</v>
      </c>
      <c r="D89" s="3" t="s">
        <v>1074</v>
      </c>
      <c r="E89" s="14">
        <v>45681</v>
      </c>
      <c r="F89" s="5" t="s">
        <v>1435</v>
      </c>
      <c r="G89" s="5" t="s">
        <v>1087</v>
      </c>
      <c r="H89" s="5"/>
      <c r="I89" s="6"/>
      <c r="J89" s="6"/>
      <c r="K89" s="6"/>
      <c r="L89" s="6"/>
      <c r="M89" s="7" t="s">
        <v>5156</v>
      </c>
      <c r="N89" s="8" t="str">
        <f>"CFI"&amp;".D"&amp;TEXT(Caja_Finanzas[[#This Row],[FECHA]],"DD-MM")&amp;"-"&amp;TEXT(Caja_Finanzas[[#This Row],[ITEM]],"0000")</f>
        <v>CFI.D24-01-0076</v>
      </c>
      <c r="O89" s="8" t="str">
        <f t="shared" si="10"/>
        <v>PEN</v>
      </c>
      <c r="P89" s="13"/>
      <c r="Q89" s="13">
        <v>22</v>
      </c>
      <c r="R89" s="3">
        <f t="shared" si="6"/>
        <v>22</v>
      </c>
      <c r="S89" s="3">
        <f t="shared" si="7"/>
        <v>0</v>
      </c>
      <c r="T89" s="3">
        <f t="shared" si="8"/>
        <v>4866.3999999999996</v>
      </c>
      <c r="U89" s="24"/>
      <c r="V89" s="24"/>
      <c r="W89" s="3"/>
      <c r="X89" s="25" t="s">
        <v>368</v>
      </c>
      <c r="Y89" s="25" t="s">
        <v>5429</v>
      </c>
      <c r="Z89" s="25"/>
      <c r="AA89" s="25"/>
      <c r="AB89" s="25"/>
      <c r="AC89" s="3" t="str">
        <f>IF(Caja_Finanzas[[#This Row],[FECHA]]&gt;0,TEXT(Caja_Finanzas[[#This Row],[FECHA]],"mmmm"),0)</f>
        <v>Enero</v>
      </c>
    </row>
    <row r="90" spans="2:29" ht="24" x14ac:dyDescent="0.3">
      <c r="B90" s="2">
        <f>IF(Caja_Finanzas[[#This Row],[TIPO DE R.]]="R",COUNTIFS($D$4:$D89,"R")+1,"")</f>
        <v>77</v>
      </c>
      <c r="C90" s="19" t="str">
        <f t="shared" si="9"/>
        <v>C-Finanzas</v>
      </c>
      <c r="D90" s="3" t="s">
        <v>1074</v>
      </c>
      <c r="E90" s="14">
        <v>45681</v>
      </c>
      <c r="F90" s="5" t="s">
        <v>1435</v>
      </c>
      <c r="G90" s="5" t="s">
        <v>1087</v>
      </c>
      <c r="H90" s="5"/>
      <c r="I90" s="6"/>
      <c r="J90" s="6"/>
      <c r="K90" s="6"/>
      <c r="L90" s="6"/>
      <c r="M90" s="7" t="s">
        <v>5156</v>
      </c>
      <c r="N90" s="8" t="str">
        <f>"CFI"&amp;".D"&amp;TEXT(Caja_Finanzas[[#This Row],[FECHA]],"DD-MM")&amp;"-"&amp;TEXT(Caja_Finanzas[[#This Row],[ITEM]],"0000")</f>
        <v>CFI.D24-01-0077</v>
      </c>
      <c r="O90" s="8" t="str">
        <f t="shared" si="10"/>
        <v>PEN</v>
      </c>
      <c r="P90" s="13"/>
      <c r="Q90" s="13">
        <v>1620</v>
      </c>
      <c r="R90" s="3">
        <f t="shared" si="6"/>
        <v>1620</v>
      </c>
      <c r="S90" s="3">
        <f t="shared" si="7"/>
        <v>0</v>
      </c>
      <c r="T90" s="3">
        <f t="shared" si="8"/>
        <v>6486.4</v>
      </c>
      <c r="U90" s="24"/>
      <c r="V90" s="24"/>
      <c r="W90" s="3"/>
      <c r="X90" s="25" t="s">
        <v>368</v>
      </c>
      <c r="Y90" s="25" t="s">
        <v>5430</v>
      </c>
      <c r="Z90" s="25"/>
      <c r="AA90" s="25"/>
      <c r="AB90" s="25"/>
      <c r="AC90" s="3" t="str">
        <f>IF(Caja_Finanzas[[#This Row],[FECHA]]&gt;0,TEXT(Caja_Finanzas[[#This Row],[FECHA]],"mmmm"),0)</f>
        <v>Enero</v>
      </c>
    </row>
    <row r="91" spans="2:29" ht="24" x14ac:dyDescent="0.3">
      <c r="B91" s="2">
        <f>IF(Caja_Finanzas[[#This Row],[TIPO DE R.]]="R",COUNTIFS($D$4:$D90,"R")+1,"")</f>
        <v>78</v>
      </c>
      <c r="C91" s="19" t="str">
        <f t="shared" si="9"/>
        <v>C-Finanzas</v>
      </c>
      <c r="D91" s="3" t="s">
        <v>1074</v>
      </c>
      <c r="E91" s="14">
        <v>45681</v>
      </c>
      <c r="F91" s="5" t="s">
        <v>1435</v>
      </c>
      <c r="G91" s="5" t="s">
        <v>1087</v>
      </c>
      <c r="H91" s="5"/>
      <c r="I91" s="6"/>
      <c r="J91" s="6"/>
      <c r="K91" s="6"/>
      <c r="L91" s="6"/>
      <c r="M91" s="7" t="s">
        <v>5156</v>
      </c>
      <c r="N91" s="8" t="str">
        <f>"CFI"&amp;".D"&amp;TEXT(Caja_Finanzas[[#This Row],[FECHA]],"DD-MM")&amp;"-"&amp;TEXT(Caja_Finanzas[[#This Row],[ITEM]],"0000")</f>
        <v>CFI.D24-01-0078</v>
      </c>
      <c r="O91" s="8" t="str">
        <f t="shared" si="10"/>
        <v>PEN</v>
      </c>
      <c r="P91" s="13"/>
      <c r="Q91" s="13">
        <v>1346</v>
      </c>
      <c r="R91" s="3">
        <f t="shared" si="6"/>
        <v>1346</v>
      </c>
      <c r="S91" s="3">
        <f t="shared" si="7"/>
        <v>0</v>
      </c>
      <c r="T91" s="3">
        <f t="shared" si="8"/>
        <v>7832.4</v>
      </c>
      <c r="U91" s="24"/>
      <c r="V91" s="24"/>
      <c r="W91" s="3"/>
      <c r="X91" s="25" t="s">
        <v>368</v>
      </c>
      <c r="Y91" s="25" t="s">
        <v>1436</v>
      </c>
      <c r="Z91" s="25"/>
      <c r="AA91" s="25"/>
      <c r="AB91" s="25"/>
      <c r="AC91" s="3" t="str">
        <f>IF(Caja_Finanzas[[#This Row],[FECHA]]&gt;0,TEXT(Caja_Finanzas[[#This Row],[FECHA]],"mmmm"),0)</f>
        <v>Enero</v>
      </c>
    </row>
    <row r="92" spans="2:29" ht="36" x14ac:dyDescent="0.3">
      <c r="B92" s="2">
        <f>IF(Caja_Finanzas[[#This Row],[TIPO DE R.]]="R",COUNTIFS($D$4:$D91,"R")+1,"")</f>
        <v>79</v>
      </c>
      <c r="C92" s="19" t="str">
        <f t="shared" si="9"/>
        <v>C-Finanzas</v>
      </c>
      <c r="D92" s="3" t="s">
        <v>1074</v>
      </c>
      <c r="E92" s="14">
        <v>45684</v>
      </c>
      <c r="F92" s="5" t="s">
        <v>5301</v>
      </c>
      <c r="G92" s="5" t="s">
        <v>1079</v>
      </c>
      <c r="H92" s="5"/>
      <c r="I92" s="6"/>
      <c r="J92" s="6"/>
      <c r="K92" s="6"/>
      <c r="L92" s="6"/>
      <c r="M92" s="7" t="s">
        <v>5431</v>
      </c>
      <c r="N92" s="8" t="str">
        <f>"CFI"&amp;".D"&amp;TEXT(Caja_Finanzas[[#This Row],[FECHA]],"DD-MM")&amp;"-"&amp;TEXT(Caja_Finanzas[[#This Row],[ITEM]],"0000")</f>
        <v>CFI.D27-01-0079</v>
      </c>
      <c r="O92" s="8" t="str">
        <f t="shared" si="10"/>
        <v>PEN</v>
      </c>
      <c r="P92" s="13"/>
      <c r="Q92" s="13">
        <v>50</v>
      </c>
      <c r="R92" s="3">
        <f t="shared" si="6"/>
        <v>0</v>
      </c>
      <c r="S92" s="3">
        <f t="shared" si="7"/>
        <v>50</v>
      </c>
      <c r="T92" s="3">
        <f t="shared" si="8"/>
        <v>7782.4</v>
      </c>
      <c r="U92" s="24"/>
      <c r="V92" s="24"/>
      <c r="W92" s="3"/>
      <c r="X92" s="25" t="s">
        <v>5432</v>
      </c>
      <c r="Y92" s="25"/>
      <c r="Z92" s="25"/>
      <c r="AA92" s="25"/>
      <c r="AB92" s="25"/>
      <c r="AC92" s="3" t="str">
        <f>IF(Caja_Finanzas[[#This Row],[FECHA]]&gt;0,TEXT(Caja_Finanzas[[#This Row],[FECHA]],"mmmm"),0)</f>
        <v>Enero</v>
      </c>
    </row>
    <row r="93" spans="2:29" ht="72" x14ac:dyDescent="0.3">
      <c r="B93" s="2">
        <f>IF(Caja_Finanzas[[#This Row],[TIPO DE R.]]="R",COUNTIFS($D$4:$D92,"R")+1,"")</f>
        <v>80</v>
      </c>
      <c r="C93" s="19" t="str">
        <f t="shared" si="9"/>
        <v>C-Finanzas</v>
      </c>
      <c r="D93" s="3" t="s">
        <v>1074</v>
      </c>
      <c r="E93" s="14">
        <v>45684</v>
      </c>
      <c r="F93" s="5" t="s">
        <v>5433</v>
      </c>
      <c r="G93" s="5" t="s">
        <v>1087</v>
      </c>
      <c r="H93" s="5"/>
      <c r="I93" s="6"/>
      <c r="J93" s="6"/>
      <c r="K93" s="6"/>
      <c r="L93" s="6"/>
      <c r="M93" s="7" t="s">
        <v>5156</v>
      </c>
      <c r="N93" s="8" t="str">
        <f>"CFI"&amp;".D"&amp;TEXT(Caja_Finanzas[[#This Row],[FECHA]],"DD-MM")&amp;"-"&amp;TEXT(Caja_Finanzas[[#This Row],[ITEM]],"0000")</f>
        <v>CFI.D27-01-0080</v>
      </c>
      <c r="O93" s="8" t="str">
        <f t="shared" si="10"/>
        <v>PEN</v>
      </c>
      <c r="P93" s="13"/>
      <c r="Q93" s="13">
        <v>12.9</v>
      </c>
      <c r="R93" s="3">
        <f t="shared" si="6"/>
        <v>12.9</v>
      </c>
      <c r="S93" s="3">
        <f t="shared" si="7"/>
        <v>0</v>
      </c>
      <c r="T93" s="3">
        <f t="shared" si="8"/>
        <v>7795.2999999999993</v>
      </c>
      <c r="U93" s="24"/>
      <c r="V93" s="24"/>
      <c r="W93" s="3"/>
      <c r="X93" s="25" t="s">
        <v>368</v>
      </c>
      <c r="Y93" s="25" t="s">
        <v>5434</v>
      </c>
      <c r="Z93" s="25"/>
      <c r="AA93" s="25"/>
      <c r="AB93" s="25"/>
      <c r="AC93" s="3" t="str">
        <f>IF(Caja_Finanzas[[#This Row],[FECHA]]&gt;0,TEXT(Caja_Finanzas[[#This Row],[FECHA]],"mmmm"),0)</f>
        <v>Enero</v>
      </c>
    </row>
    <row r="94" spans="2:29" x14ac:dyDescent="0.3">
      <c r="B94" s="2">
        <f>IF(Caja_Finanzas[[#This Row],[TIPO DE R.]]="R",COUNTIFS($D$4:$D93,"R")+1,"")</f>
        <v>81</v>
      </c>
      <c r="C94" s="19" t="str">
        <f t="shared" si="9"/>
        <v>C-Finanzas</v>
      </c>
      <c r="D94" s="3" t="s">
        <v>1074</v>
      </c>
      <c r="E94" s="14">
        <v>45684</v>
      </c>
      <c r="F94" s="5" t="s">
        <v>2518</v>
      </c>
      <c r="G94" s="5" t="s">
        <v>1087</v>
      </c>
      <c r="H94" s="5"/>
      <c r="I94" s="6"/>
      <c r="J94" s="6"/>
      <c r="K94" s="6"/>
      <c r="L94" s="6"/>
      <c r="M94" s="7" t="s">
        <v>5156</v>
      </c>
      <c r="N94" s="8" t="str">
        <f>"CFI"&amp;".D"&amp;TEXT(Caja_Finanzas[[#This Row],[FECHA]],"DD-MM")&amp;"-"&amp;TEXT(Caja_Finanzas[[#This Row],[ITEM]],"0000")</f>
        <v>CFI.D27-01-0081</v>
      </c>
      <c r="O94" s="8" t="str">
        <f t="shared" si="10"/>
        <v>PEN</v>
      </c>
      <c r="P94" s="13"/>
      <c r="Q94" s="13">
        <v>975</v>
      </c>
      <c r="R94" s="3">
        <f t="shared" si="6"/>
        <v>975</v>
      </c>
      <c r="S94" s="3">
        <f t="shared" si="7"/>
        <v>0</v>
      </c>
      <c r="T94" s="3">
        <f t="shared" si="8"/>
        <v>8770.2999999999993</v>
      </c>
      <c r="U94" s="24"/>
      <c r="V94" s="24"/>
      <c r="W94" s="3"/>
      <c r="X94" s="25" t="s">
        <v>368</v>
      </c>
      <c r="Y94" s="25" t="s">
        <v>5435</v>
      </c>
      <c r="Z94" s="25"/>
      <c r="AA94" s="25"/>
      <c r="AB94" s="25"/>
      <c r="AC94" s="3" t="str">
        <f>IF(Caja_Finanzas[[#This Row],[FECHA]]&gt;0,TEXT(Caja_Finanzas[[#This Row],[FECHA]],"mmmm"),0)</f>
        <v>Enero</v>
      </c>
    </row>
    <row r="95" spans="2:29" x14ac:dyDescent="0.3">
      <c r="B95" s="2">
        <f>IF(Caja_Finanzas[[#This Row],[TIPO DE R.]]="R",COUNTIFS($D$4:$D94,"R")+1,"")</f>
        <v>82</v>
      </c>
      <c r="C95" s="19" t="str">
        <f t="shared" si="9"/>
        <v>C-Finanzas</v>
      </c>
      <c r="D95" s="3" t="s">
        <v>1074</v>
      </c>
      <c r="E95" s="14">
        <v>45684</v>
      </c>
      <c r="F95" s="5" t="s">
        <v>2518</v>
      </c>
      <c r="G95" s="5" t="s">
        <v>1087</v>
      </c>
      <c r="H95" s="5"/>
      <c r="I95" s="6"/>
      <c r="J95" s="6"/>
      <c r="K95" s="6"/>
      <c r="L95" s="6"/>
      <c r="M95" s="7" t="s">
        <v>5156</v>
      </c>
      <c r="N95" s="8" t="str">
        <f>"CFI"&amp;".D"&amp;TEXT(Caja_Finanzas[[#This Row],[FECHA]],"DD-MM")&amp;"-"&amp;TEXT(Caja_Finanzas[[#This Row],[ITEM]],"0000")</f>
        <v>CFI.D27-01-0082</v>
      </c>
      <c r="O95" s="8" t="str">
        <f t="shared" si="10"/>
        <v>PEN</v>
      </c>
      <c r="P95" s="13"/>
      <c r="Q95" s="13">
        <v>360</v>
      </c>
      <c r="R95" s="3">
        <f t="shared" si="6"/>
        <v>360</v>
      </c>
      <c r="S95" s="3">
        <f t="shared" si="7"/>
        <v>0</v>
      </c>
      <c r="T95" s="3">
        <f t="shared" si="8"/>
        <v>9130.2999999999993</v>
      </c>
      <c r="U95" s="24"/>
      <c r="V95" s="24"/>
      <c r="W95" s="3"/>
      <c r="X95" s="25" t="s">
        <v>368</v>
      </c>
      <c r="Y95" s="25" t="s">
        <v>5436</v>
      </c>
      <c r="Z95" s="25"/>
      <c r="AA95" s="25"/>
      <c r="AB95" s="25"/>
      <c r="AC95" s="3" t="str">
        <f>IF(Caja_Finanzas[[#This Row],[FECHA]]&gt;0,TEXT(Caja_Finanzas[[#This Row],[FECHA]],"mmmm"),0)</f>
        <v>Enero</v>
      </c>
    </row>
    <row r="96" spans="2:29" ht="36" x14ac:dyDescent="0.3">
      <c r="B96" s="2">
        <f>IF(Caja_Finanzas[[#This Row],[TIPO DE R.]]="R",COUNTIFS($D$4:$D95,"R")+1,"")</f>
        <v>83</v>
      </c>
      <c r="C96" s="19" t="str">
        <f t="shared" si="9"/>
        <v>C-Finanzas</v>
      </c>
      <c r="D96" s="3" t="s">
        <v>1074</v>
      </c>
      <c r="E96" s="14">
        <v>45684</v>
      </c>
      <c r="F96" s="5" t="s">
        <v>5437</v>
      </c>
      <c r="G96" s="5" t="s">
        <v>1079</v>
      </c>
      <c r="H96" s="5"/>
      <c r="I96" s="6"/>
      <c r="J96" s="6"/>
      <c r="K96" s="6"/>
      <c r="L96" s="6"/>
      <c r="M96" s="7" t="s">
        <v>5438</v>
      </c>
      <c r="N96" s="8" t="str">
        <f>"CFI"&amp;".D"&amp;TEXT(Caja_Finanzas[[#This Row],[FECHA]],"DD-MM")&amp;"-"&amp;TEXT(Caja_Finanzas[[#This Row],[ITEM]],"0000")</f>
        <v>CFI.D27-01-0083</v>
      </c>
      <c r="O96" s="8" t="str">
        <f t="shared" si="10"/>
        <v>PEN</v>
      </c>
      <c r="P96" s="13"/>
      <c r="Q96" s="13">
        <v>350</v>
      </c>
      <c r="R96" s="3">
        <f t="shared" si="6"/>
        <v>0</v>
      </c>
      <c r="S96" s="3">
        <f t="shared" si="7"/>
        <v>350</v>
      </c>
      <c r="T96" s="3">
        <f t="shared" si="8"/>
        <v>8780.2999999999993</v>
      </c>
      <c r="U96" s="24"/>
      <c r="V96" s="24"/>
      <c r="W96" s="3"/>
      <c r="X96" s="25" t="s">
        <v>5439</v>
      </c>
      <c r="Y96" s="25" t="s">
        <v>5440</v>
      </c>
      <c r="Z96" s="25"/>
      <c r="AA96" s="25"/>
      <c r="AB96" s="25"/>
      <c r="AC96" s="3" t="str">
        <f>IF(Caja_Finanzas[[#This Row],[FECHA]]&gt;0,TEXT(Caja_Finanzas[[#This Row],[FECHA]],"mmmm"),0)</f>
        <v>Enero</v>
      </c>
    </row>
    <row r="97" spans="2:29" x14ac:dyDescent="0.3">
      <c r="B97" s="2">
        <f>IF(Caja_Finanzas[[#This Row],[TIPO DE R.]]="R",COUNTIFS($D$4:$D96,"R")+1,"")</f>
        <v>84</v>
      </c>
      <c r="C97" s="19" t="str">
        <f t="shared" si="9"/>
        <v>C-Finanzas</v>
      </c>
      <c r="D97" s="3" t="s">
        <v>1074</v>
      </c>
      <c r="E97" s="14">
        <v>45684</v>
      </c>
      <c r="F97" s="5" t="s">
        <v>3353</v>
      </c>
      <c r="G97" s="5" t="s">
        <v>1079</v>
      </c>
      <c r="H97" s="5"/>
      <c r="I97" s="6"/>
      <c r="J97" s="6"/>
      <c r="K97" s="6"/>
      <c r="L97" s="6"/>
      <c r="M97" s="7" t="s">
        <v>5397</v>
      </c>
      <c r="N97" s="8" t="str">
        <f>"CFI"&amp;".D"&amp;TEXT(Caja_Finanzas[[#This Row],[FECHA]],"DD-MM")&amp;"-"&amp;TEXT(Caja_Finanzas[[#This Row],[ITEM]],"0000")</f>
        <v>CFI.D27-01-0084</v>
      </c>
      <c r="O97" s="8" t="str">
        <f t="shared" si="10"/>
        <v>PEN</v>
      </c>
      <c r="P97" s="13"/>
      <c r="Q97" s="13">
        <v>200</v>
      </c>
      <c r="R97" s="3">
        <f t="shared" si="6"/>
        <v>0</v>
      </c>
      <c r="S97" s="3">
        <f t="shared" si="7"/>
        <v>200</v>
      </c>
      <c r="T97" s="3">
        <f t="shared" si="8"/>
        <v>8580.2999999999993</v>
      </c>
      <c r="U97" s="24"/>
      <c r="V97" s="24"/>
      <c r="W97" s="3"/>
      <c r="X97" s="25"/>
      <c r="Y97" s="25"/>
      <c r="Z97" s="25"/>
      <c r="AA97" s="25"/>
      <c r="AB97" s="25"/>
      <c r="AC97" s="3" t="str">
        <f>IF(Caja_Finanzas[[#This Row],[FECHA]]&gt;0,TEXT(Caja_Finanzas[[#This Row],[FECHA]],"mmmm"),0)</f>
        <v>Enero</v>
      </c>
    </row>
    <row r="98" spans="2:29" ht="24" x14ac:dyDescent="0.3">
      <c r="B98" s="2">
        <f>IF(Caja_Finanzas[[#This Row],[TIPO DE R.]]="R",COUNTIFS($D$4:$D97,"R")+1,"")</f>
        <v>85</v>
      </c>
      <c r="C98" s="19" t="str">
        <f t="shared" si="9"/>
        <v>C-Finanzas</v>
      </c>
      <c r="D98" s="3" t="s">
        <v>1074</v>
      </c>
      <c r="E98" s="14">
        <v>45685</v>
      </c>
      <c r="F98" s="5" t="s">
        <v>5441</v>
      </c>
      <c r="G98" s="5" t="s">
        <v>1087</v>
      </c>
      <c r="H98" s="5"/>
      <c r="I98" s="6"/>
      <c r="J98" s="6"/>
      <c r="K98" s="6"/>
      <c r="L98" s="6"/>
      <c r="M98" s="7" t="s">
        <v>5156</v>
      </c>
      <c r="N98" s="8" t="str">
        <f>"CFI"&amp;".D"&amp;TEXT(Caja_Finanzas[[#This Row],[FECHA]],"DD-MM")&amp;"-"&amp;TEXT(Caja_Finanzas[[#This Row],[ITEM]],"0000")</f>
        <v>CFI.D28-01-0085</v>
      </c>
      <c r="O98" s="8" t="str">
        <f t="shared" si="10"/>
        <v>PEN</v>
      </c>
      <c r="P98" s="13"/>
      <c r="Q98" s="13">
        <v>150</v>
      </c>
      <c r="R98" s="3">
        <f t="shared" si="6"/>
        <v>150</v>
      </c>
      <c r="S98" s="3">
        <f t="shared" si="7"/>
        <v>0</v>
      </c>
      <c r="T98" s="3">
        <f t="shared" si="8"/>
        <v>8730.2999999999993</v>
      </c>
      <c r="U98" s="24"/>
      <c r="V98" s="24"/>
      <c r="W98" s="3"/>
      <c r="X98" s="25" t="s">
        <v>368</v>
      </c>
      <c r="Y98" s="25" t="s">
        <v>5442</v>
      </c>
      <c r="Z98" s="25"/>
      <c r="AA98" s="25"/>
      <c r="AB98" s="25"/>
      <c r="AC98" s="3" t="str">
        <f>IF(Caja_Finanzas[[#This Row],[FECHA]]&gt;0,TEXT(Caja_Finanzas[[#This Row],[FECHA]],"mmmm"),0)</f>
        <v>Enero</v>
      </c>
    </row>
    <row r="99" spans="2:29" ht="24" x14ac:dyDescent="0.3">
      <c r="B99" s="2">
        <f>IF(Caja_Finanzas[[#This Row],[TIPO DE R.]]="R",COUNTIFS($D$4:$D98,"R")+1,"")</f>
        <v>86</v>
      </c>
      <c r="C99" s="19" t="str">
        <f t="shared" si="9"/>
        <v>C-Finanzas</v>
      </c>
      <c r="D99" s="3" t="s">
        <v>1074</v>
      </c>
      <c r="E99" s="14">
        <v>45685</v>
      </c>
      <c r="F99" s="5" t="s">
        <v>5443</v>
      </c>
      <c r="G99" s="5" t="s">
        <v>1087</v>
      </c>
      <c r="H99" s="5"/>
      <c r="I99" s="6"/>
      <c r="J99" s="6"/>
      <c r="K99" s="6"/>
      <c r="L99" s="6"/>
      <c r="M99" s="7" t="s">
        <v>5156</v>
      </c>
      <c r="N99" s="8" t="str">
        <f>"CFI"&amp;".D"&amp;TEXT(Caja_Finanzas[[#This Row],[FECHA]],"DD-MM")&amp;"-"&amp;TEXT(Caja_Finanzas[[#This Row],[ITEM]],"0000")</f>
        <v>CFI.D28-01-0086</v>
      </c>
      <c r="O99" s="8" t="str">
        <f t="shared" si="10"/>
        <v>PEN</v>
      </c>
      <c r="P99" s="13"/>
      <c r="Q99" s="13">
        <v>150</v>
      </c>
      <c r="R99" s="3">
        <f t="shared" si="6"/>
        <v>150</v>
      </c>
      <c r="S99" s="3">
        <f t="shared" si="7"/>
        <v>0</v>
      </c>
      <c r="T99" s="3">
        <f t="shared" si="8"/>
        <v>8880.2999999999993</v>
      </c>
      <c r="U99" s="24"/>
      <c r="V99" s="24"/>
      <c r="W99" s="3"/>
      <c r="X99" s="25" t="s">
        <v>368</v>
      </c>
      <c r="Y99" s="25" t="s">
        <v>5444</v>
      </c>
      <c r="Z99" s="25"/>
      <c r="AA99" s="25"/>
      <c r="AB99" s="25"/>
      <c r="AC99" s="3" t="str">
        <f>IF(Caja_Finanzas[[#This Row],[FECHA]]&gt;0,TEXT(Caja_Finanzas[[#This Row],[FECHA]],"mmmm"),0)</f>
        <v>Enero</v>
      </c>
    </row>
    <row r="100" spans="2:29" ht="24" x14ac:dyDescent="0.3">
      <c r="B100" s="2">
        <f>IF(Caja_Finanzas[[#This Row],[TIPO DE R.]]="R",COUNTIFS($D$4:$D99,"R")+1,"")</f>
        <v>87</v>
      </c>
      <c r="C100" s="19" t="str">
        <f t="shared" si="9"/>
        <v>C-Finanzas</v>
      </c>
      <c r="D100" s="3" t="s">
        <v>1074</v>
      </c>
      <c r="E100" s="14">
        <v>45685</v>
      </c>
      <c r="F100" s="5" t="s">
        <v>5319</v>
      </c>
      <c r="G100" s="5" t="s">
        <v>1087</v>
      </c>
      <c r="H100" s="5"/>
      <c r="I100" s="6"/>
      <c r="J100" s="6"/>
      <c r="K100" s="6"/>
      <c r="L100" s="6"/>
      <c r="M100" s="7" t="s">
        <v>5156</v>
      </c>
      <c r="N100" s="8" t="str">
        <f>"CFI"&amp;".D"&amp;TEXT(Caja_Finanzas[[#This Row],[FECHA]],"DD-MM")&amp;"-"&amp;TEXT(Caja_Finanzas[[#This Row],[ITEM]],"0000")</f>
        <v>CFI.D28-01-0087</v>
      </c>
      <c r="O100" s="8" t="str">
        <f t="shared" si="10"/>
        <v>PEN</v>
      </c>
      <c r="P100" s="13"/>
      <c r="Q100" s="13">
        <v>135</v>
      </c>
      <c r="R100" s="3">
        <f t="shared" si="6"/>
        <v>135</v>
      </c>
      <c r="S100" s="3">
        <f t="shared" si="7"/>
        <v>0</v>
      </c>
      <c r="T100" s="3">
        <f t="shared" si="8"/>
        <v>9015.2999999999993</v>
      </c>
      <c r="U100" s="24"/>
      <c r="V100" s="24"/>
      <c r="W100" s="3"/>
      <c r="X100" s="25" t="s">
        <v>368</v>
      </c>
      <c r="Y100" s="25" t="s">
        <v>5445</v>
      </c>
      <c r="Z100" s="25"/>
      <c r="AA100" s="25"/>
      <c r="AB100" s="25"/>
      <c r="AC100" s="3" t="str">
        <f>IF(Caja_Finanzas[[#This Row],[FECHA]]&gt;0,TEXT(Caja_Finanzas[[#This Row],[FECHA]],"mmmm"),0)</f>
        <v>Enero</v>
      </c>
    </row>
    <row r="101" spans="2:29" ht="24" x14ac:dyDescent="0.3">
      <c r="B101" s="2">
        <f>IF(Caja_Finanzas[[#This Row],[TIPO DE R.]]="R",COUNTIFS($D$4:$D100,"R")+1,"")</f>
        <v>88</v>
      </c>
      <c r="C101" s="19" t="str">
        <f t="shared" si="9"/>
        <v>C-Finanzas</v>
      </c>
      <c r="D101" s="3" t="s">
        <v>1074</v>
      </c>
      <c r="E101" s="14">
        <v>45687</v>
      </c>
      <c r="F101" s="5" t="s">
        <v>5305</v>
      </c>
      <c r="G101" s="5" t="s">
        <v>1079</v>
      </c>
      <c r="H101" s="5"/>
      <c r="I101" s="6"/>
      <c r="J101" s="6"/>
      <c r="K101" s="6"/>
      <c r="L101" s="6"/>
      <c r="M101" s="7" t="s">
        <v>5446</v>
      </c>
      <c r="N101" s="8" t="str">
        <f>"CFI"&amp;".D"&amp;TEXT(Caja_Finanzas[[#This Row],[FECHA]],"DD-MM")&amp;"-"&amp;TEXT(Caja_Finanzas[[#This Row],[ITEM]],"0000")</f>
        <v>CFI.D30-01-0088</v>
      </c>
      <c r="O101" s="8" t="str">
        <f t="shared" si="10"/>
        <v>PEN</v>
      </c>
      <c r="P101" s="13"/>
      <c r="Q101" s="13">
        <v>1000</v>
      </c>
      <c r="R101" s="3">
        <f t="shared" si="6"/>
        <v>0</v>
      </c>
      <c r="S101" s="3">
        <f t="shared" si="7"/>
        <v>1000</v>
      </c>
      <c r="T101" s="3">
        <f t="shared" si="8"/>
        <v>8015.2999999999993</v>
      </c>
      <c r="U101" s="24"/>
      <c r="V101" s="24"/>
      <c r="W101" s="3"/>
      <c r="X101" s="25" t="s">
        <v>747</v>
      </c>
      <c r="Y101" s="25"/>
      <c r="Z101" s="25"/>
      <c r="AA101" s="25"/>
      <c r="AB101" s="25"/>
      <c r="AC101" s="3" t="str">
        <f>IF(Caja_Finanzas[[#This Row],[FECHA]]&gt;0,TEXT(Caja_Finanzas[[#This Row],[FECHA]],"mmmm"),0)</f>
        <v>Enero</v>
      </c>
    </row>
    <row r="102" spans="2:29" ht="24" x14ac:dyDescent="0.3">
      <c r="B102" s="2">
        <f>IF(Caja_Finanzas[[#This Row],[TIPO DE R.]]="R",COUNTIFS($D$4:$D101,"R")+1,"")</f>
        <v>89</v>
      </c>
      <c r="C102" s="19" t="str">
        <f t="shared" si="9"/>
        <v>C-Finanzas</v>
      </c>
      <c r="D102" s="3" t="s">
        <v>1074</v>
      </c>
      <c r="E102" s="14">
        <v>45687</v>
      </c>
      <c r="F102" s="5" t="s">
        <v>5305</v>
      </c>
      <c r="G102" s="5" t="s">
        <v>1079</v>
      </c>
      <c r="H102" s="5"/>
      <c r="I102" s="6"/>
      <c r="J102" s="6"/>
      <c r="K102" s="6"/>
      <c r="L102" s="6"/>
      <c r="M102" s="7" t="s">
        <v>5447</v>
      </c>
      <c r="N102" s="8" t="str">
        <f>"CFI"&amp;".D"&amp;TEXT(Caja_Finanzas[[#This Row],[FECHA]],"DD-MM")&amp;"-"&amp;TEXT(Caja_Finanzas[[#This Row],[ITEM]],"0000")</f>
        <v>CFI.D30-01-0089</v>
      </c>
      <c r="O102" s="8" t="str">
        <f t="shared" si="10"/>
        <v>PEN</v>
      </c>
      <c r="P102" s="13"/>
      <c r="Q102" s="13">
        <v>1000</v>
      </c>
      <c r="R102" s="3">
        <f t="shared" si="6"/>
        <v>0</v>
      </c>
      <c r="S102" s="3">
        <f t="shared" si="7"/>
        <v>1000</v>
      </c>
      <c r="T102" s="3">
        <f t="shared" si="8"/>
        <v>7015.2999999999993</v>
      </c>
      <c r="U102" s="24"/>
      <c r="V102" s="24"/>
      <c r="W102" s="3"/>
      <c r="X102" s="25" t="s">
        <v>747</v>
      </c>
      <c r="Y102" s="25"/>
      <c r="Z102" s="25"/>
      <c r="AA102" s="25"/>
      <c r="AB102" s="25"/>
      <c r="AC102" s="3" t="str">
        <f>IF(Caja_Finanzas[[#This Row],[FECHA]]&gt;0,TEXT(Caja_Finanzas[[#This Row],[FECHA]],"mmmm"),0)</f>
        <v>Enero</v>
      </c>
    </row>
    <row r="103" spans="2:29" ht="24" x14ac:dyDescent="0.3">
      <c r="B103" s="2">
        <f>IF(Caja_Finanzas[[#This Row],[TIPO DE R.]]="R",COUNTIFS($D$4:$D102,"R")+1,"")</f>
        <v>90</v>
      </c>
      <c r="C103" s="19" t="str">
        <f t="shared" si="9"/>
        <v>C-Finanzas</v>
      </c>
      <c r="D103" s="3" t="s">
        <v>1074</v>
      </c>
      <c r="E103" s="14">
        <v>45687</v>
      </c>
      <c r="F103" s="5" t="s">
        <v>5305</v>
      </c>
      <c r="G103" s="5" t="s">
        <v>1079</v>
      </c>
      <c r="H103" s="5"/>
      <c r="I103" s="6"/>
      <c r="J103" s="6"/>
      <c r="K103" s="6"/>
      <c r="L103" s="6"/>
      <c r="M103" s="7" t="s">
        <v>5448</v>
      </c>
      <c r="N103" s="8" t="str">
        <f>"CFI"&amp;".D"&amp;TEXT(Caja_Finanzas[[#This Row],[FECHA]],"DD-MM")&amp;"-"&amp;TEXT(Caja_Finanzas[[#This Row],[ITEM]],"0000")</f>
        <v>CFI.D30-01-0090</v>
      </c>
      <c r="O103" s="8" t="str">
        <f t="shared" si="10"/>
        <v>PEN</v>
      </c>
      <c r="P103" s="13"/>
      <c r="Q103" s="13">
        <v>1000</v>
      </c>
      <c r="R103" s="3">
        <f t="shared" si="6"/>
        <v>0</v>
      </c>
      <c r="S103" s="3">
        <f t="shared" si="7"/>
        <v>1000</v>
      </c>
      <c r="T103" s="3">
        <f t="shared" si="8"/>
        <v>6015.2999999999993</v>
      </c>
      <c r="U103" s="24"/>
      <c r="V103" s="24"/>
      <c r="W103" s="3"/>
      <c r="X103" s="25" t="s">
        <v>747</v>
      </c>
      <c r="Y103" s="25"/>
      <c r="Z103" s="25"/>
      <c r="AA103" s="25"/>
      <c r="AB103" s="25"/>
      <c r="AC103" s="3" t="str">
        <f>IF(Caja_Finanzas[[#This Row],[FECHA]]&gt;0,TEXT(Caja_Finanzas[[#This Row],[FECHA]],"mmmm"),0)</f>
        <v>Enero</v>
      </c>
    </row>
    <row r="104" spans="2:29" x14ac:dyDescent="0.3">
      <c r="B104" s="2">
        <f>IF(Caja_Finanzas[[#This Row],[TIPO DE R.]]="R",COUNTIFS($D$4:$D103,"R")+1,"")</f>
        <v>91</v>
      </c>
      <c r="C104" s="19" t="str">
        <f t="shared" si="9"/>
        <v>C-Finanzas</v>
      </c>
      <c r="D104" s="3" t="s">
        <v>1074</v>
      </c>
      <c r="E104" s="14">
        <v>45688</v>
      </c>
      <c r="F104" s="5" t="s">
        <v>5449</v>
      </c>
      <c r="G104" s="5" t="s">
        <v>1087</v>
      </c>
      <c r="H104" s="5"/>
      <c r="I104" s="6"/>
      <c r="J104" s="6"/>
      <c r="K104" s="6"/>
      <c r="L104" s="6"/>
      <c r="M104" s="7" t="s">
        <v>5156</v>
      </c>
      <c r="N104" s="8" t="str">
        <f>"CFI"&amp;".D"&amp;TEXT(Caja_Finanzas[[#This Row],[FECHA]],"DD-MM")&amp;"-"&amp;TEXT(Caja_Finanzas[[#This Row],[ITEM]],"0000")</f>
        <v>CFI.D31-01-0091</v>
      </c>
      <c r="O104" s="8" t="str">
        <f t="shared" si="10"/>
        <v>PEN</v>
      </c>
      <c r="P104" s="13"/>
      <c r="Q104" s="13">
        <v>1450</v>
      </c>
      <c r="R104" s="3">
        <f t="shared" si="6"/>
        <v>1450</v>
      </c>
      <c r="S104" s="3">
        <f t="shared" si="7"/>
        <v>0</v>
      </c>
      <c r="T104" s="3">
        <f t="shared" si="8"/>
        <v>7465.2999999999993</v>
      </c>
      <c r="U104" s="24"/>
      <c r="V104" s="24"/>
      <c r="W104" s="3"/>
      <c r="X104" s="25" t="s">
        <v>368</v>
      </c>
      <c r="Y104" s="25" t="s">
        <v>5450</v>
      </c>
      <c r="Z104" s="25"/>
      <c r="AA104" s="25"/>
      <c r="AB104" s="25"/>
      <c r="AC104" s="3" t="str">
        <f>IF(Caja_Finanzas[[#This Row],[FECHA]]&gt;0,TEXT(Caja_Finanzas[[#This Row],[FECHA]],"mmmm"),0)</f>
        <v>Enero</v>
      </c>
    </row>
    <row r="105" spans="2:29" ht="24" x14ac:dyDescent="0.3">
      <c r="B105" s="2">
        <f>IF(Caja_Finanzas[[#This Row],[TIPO DE R.]]="R",COUNTIFS($D$4:$D104,"R")+1,"")</f>
        <v>92</v>
      </c>
      <c r="C105" s="19" t="str">
        <f t="shared" si="9"/>
        <v>C-Finanzas</v>
      </c>
      <c r="D105" s="3" t="s">
        <v>1074</v>
      </c>
      <c r="E105" s="14">
        <v>45688</v>
      </c>
      <c r="F105" s="5" t="s">
        <v>1407</v>
      </c>
      <c r="G105" s="5" t="s">
        <v>1087</v>
      </c>
      <c r="H105" s="5"/>
      <c r="I105" s="6"/>
      <c r="J105" s="6"/>
      <c r="K105" s="6"/>
      <c r="L105" s="6"/>
      <c r="M105" s="7" t="s">
        <v>5156</v>
      </c>
      <c r="N105" s="8" t="str">
        <f>"CFI"&amp;".D"&amp;TEXT(Caja_Finanzas[[#This Row],[FECHA]],"DD-MM")&amp;"-"&amp;TEXT(Caja_Finanzas[[#This Row],[ITEM]],"0000")</f>
        <v>CFI.D31-01-0092</v>
      </c>
      <c r="O105" s="8" t="str">
        <f t="shared" si="10"/>
        <v>PEN</v>
      </c>
      <c r="P105" s="13"/>
      <c r="Q105" s="13">
        <v>3400</v>
      </c>
      <c r="R105" s="3">
        <f t="shared" si="6"/>
        <v>3400</v>
      </c>
      <c r="S105" s="3">
        <f t="shared" si="7"/>
        <v>0</v>
      </c>
      <c r="T105" s="3">
        <f t="shared" si="8"/>
        <v>10865.3</v>
      </c>
      <c r="U105" s="24"/>
      <c r="V105" s="24"/>
      <c r="W105" s="3"/>
      <c r="X105" s="25" t="s">
        <v>368</v>
      </c>
      <c r="Y105" s="25" t="s">
        <v>1486</v>
      </c>
      <c r="Z105" s="25"/>
      <c r="AA105" s="25"/>
      <c r="AB105" s="25"/>
      <c r="AC105" s="3" t="str">
        <f>IF(Caja_Finanzas[[#This Row],[FECHA]]&gt;0,TEXT(Caja_Finanzas[[#This Row],[FECHA]],"mmmm"),0)</f>
        <v>Enero</v>
      </c>
    </row>
    <row r="106" spans="2:29" ht="36" x14ac:dyDescent="0.3">
      <c r="B106" s="2">
        <f>IF(Caja_Finanzas[[#This Row],[TIPO DE R.]]="R",COUNTIFS($D$4:$D105,"R")+1,"")</f>
        <v>93</v>
      </c>
      <c r="C106" s="19" t="str">
        <f t="shared" si="9"/>
        <v>C-Finanzas</v>
      </c>
      <c r="D106" s="3" t="s">
        <v>1074</v>
      </c>
      <c r="E106" s="14">
        <v>45688</v>
      </c>
      <c r="F106" s="5" t="s">
        <v>5307</v>
      </c>
      <c r="G106" s="5" t="s">
        <v>1079</v>
      </c>
      <c r="H106" s="5"/>
      <c r="I106" s="6"/>
      <c r="J106" s="6"/>
      <c r="K106" s="6"/>
      <c r="L106" s="6"/>
      <c r="M106" s="7" t="s">
        <v>5451</v>
      </c>
      <c r="N106" s="8" t="str">
        <f>"CFI"&amp;".D"&amp;TEXT(Caja_Finanzas[[#This Row],[FECHA]],"DD-MM")&amp;"-"&amp;TEXT(Caja_Finanzas[[#This Row],[ITEM]],"0000")</f>
        <v>CFI.D31-01-0093</v>
      </c>
      <c r="O106" s="8" t="str">
        <f t="shared" si="10"/>
        <v>PEN</v>
      </c>
      <c r="P106" s="13"/>
      <c r="Q106" s="13">
        <v>200</v>
      </c>
      <c r="R106" s="3">
        <f t="shared" si="6"/>
        <v>0</v>
      </c>
      <c r="S106" s="3">
        <f t="shared" si="7"/>
        <v>200</v>
      </c>
      <c r="T106" s="3">
        <f t="shared" si="8"/>
        <v>10665.3</v>
      </c>
      <c r="U106" s="24"/>
      <c r="V106" s="24"/>
      <c r="W106" s="3"/>
      <c r="X106" s="25" t="s">
        <v>5452</v>
      </c>
      <c r="Y106" s="25" t="s">
        <v>5453</v>
      </c>
      <c r="Z106" s="25"/>
      <c r="AA106" s="25"/>
      <c r="AB106" s="25"/>
      <c r="AC106" s="3" t="str">
        <f>IF(Caja_Finanzas[[#This Row],[FECHA]]&gt;0,TEXT(Caja_Finanzas[[#This Row],[FECHA]],"mmmm"),0)</f>
        <v>Enero</v>
      </c>
    </row>
    <row r="107" spans="2:29" ht="48" x14ac:dyDescent="0.3">
      <c r="B107" s="2">
        <f>IF(Caja_Finanzas[[#This Row],[TIPO DE R.]]="R",COUNTIFS($D$4:$D106,"R")+1,"")</f>
        <v>94</v>
      </c>
      <c r="C107" s="19" t="str">
        <f t="shared" si="9"/>
        <v>C-Finanzas</v>
      </c>
      <c r="D107" s="3" t="s">
        <v>1074</v>
      </c>
      <c r="E107" s="14">
        <v>45688</v>
      </c>
      <c r="F107" s="5" t="s">
        <v>5307</v>
      </c>
      <c r="G107" s="5" t="s">
        <v>1079</v>
      </c>
      <c r="H107" s="5"/>
      <c r="I107" s="6"/>
      <c r="J107" s="6"/>
      <c r="K107" s="6"/>
      <c r="L107" s="6"/>
      <c r="M107" s="7" t="s">
        <v>5454</v>
      </c>
      <c r="N107" s="8" t="str">
        <f>"CFI"&amp;".D"&amp;TEXT(Caja_Finanzas[[#This Row],[FECHA]],"DD-MM")&amp;"-"&amp;TEXT(Caja_Finanzas[[#This Row],[ITEM]],"0000")</f>
        <v>CFI.D31-01-0094</v>
      </c>
      <c r="O107" s="8" t="str">
        <f t="shared" si="10"/>
        <v>PEN</v>
      </c>
      <c r="P107" s="13"/>
      <c r="Q107" s="13">
        <v>180</v>
      </c>
      <c r="R107" s="3">
        <f t="shared" si="6"/>
        <v>0</v>
      </c>
      <c r="S107" s="3">
        <f t="shared" si="7"/>
        <v>180</v>
      </c>
      <c r="T107" s="3">
        <f t="shared" si="8"/>
        <v>10485.299999999999</v>
      </c>
      <c r="U107" s="24"/>
      <c r="V107" s="24"/>
      <c r="W107" s="3"/>
      <c r="X107" s="25" t="s">
        <v>5455</v>
      </c>
      <c r="Y107" s="25" t="s">
        <v>5456</v>
      </c>
      <c r="Z107" s="25"/>
      <c r="AA107" s="25"/>
      <c r="AB107" s="25"/>
      <c r="AC107" s="3" t="str">
        <f>IF(Caja_Finanzas[[#This Row],[FECHA]]&gt;0,TEXT(Caja_Finanzas[[#This Row],[FECHA]],"mmmm"),0)</f>
        <v>Enero</v>
      </c>
    </row>
    <row r="108" spans="2:29" ht="24" x14ac:dyDescent="0.3">
      <c r="B108" s="2">
        <f>IF(Caja_Finanzas[[#This Row],[TIPO DE R.]]="R",COUNTIFS($D$4:$D107,"R")+1,"")</f>
        <v>95</v>
      </c>
      <c r="C108" s="19" t="str">
        <f t="shared" si="9"/>
        <v>C-Finanzas</v>
      </c>
      <c r="D108" s="3" t="s">
        <v>1074</v>
      </c>
      <c r="E108" s="14">
        <v>45688</v>
      </c>
      <c r="F108" s="5" t="s">
        <v>5457</v>
      </c>
      <c r="G108" s="5" t="s">
        <v>1079</v>
      </c>
      <c r="H108" s="5"/>
      <c r="I108" s="6"/>
      <c r="J108" s="6"/>
      <c r="K108" s="6"/>
      <c r="L108" s="6"/>
      <c r="M108" s="7" t="s">
        <v>5458</v>
      </c>
      <c r="N108" s="8" t="str">
        <f>"CFI"&amp;".D"&amp;TEXT(Caja_Finanzas[[#This Row],[FECHA]],"DD-MM")&amp;"-"&amp;TEXT(Caja_Finanzas[[#This Row],[ITEM]],"0000")</f>
        <v>CFI.D31-01-0095</v>
      </c>
      <c r="O108" s="8" t="str">
        <f t="shared" si="10"/>
        <v>PEN</v>
      </c>
      <c r="P108" s="13"/>
      <c r="Q108" s="13">
        <v>10</v>
      </c>
      <c r="R108" s="3">
        <f t="shared" si="6"/>
        <v>0</v>
      </c>
      <c r="S108" s="3">
        <f t="shared" si="7"/>
        <v>10</v>
      </c>
      <c r="T108" s="3">
        <f t="shared" si="8"/>
        <v>10475.299999999999</v>
      </c>
      <c r="U108" s="24"/>
      <c r="V108" s="24"/>
      <c r="W108" s="3"/>
      <c r="X108" s="25" t="s">
        <v>1077</v>
      </c>
      <c r="Y108" s="25"/>
      <c r="Z108" s="25"/>
      <c r="AA108" s="25"/>
      <c r="AB108" s="25"/>
      <c r="AC108" s="3" t="str">
        <f>IF(Caja_Finanzas[[#This Row],[FECHA]]&gt;0,TEXT(Caja_Finanzas[[#This Row],[FECHA]],"mmmm"),0)</f>
        <v>Enero</v>
      </c>
    </row>
    <row r="109" spans="2:29" ht="96" x14ac:dyDescent="0.3">
      <c r="B109" s="2">
        <f>IF(Caja_Finanzas[[#This Row],[TIPO DE R.]]="R",COUNTIFS($D$4:$D108,"R")+1,"")</f>
        <v>96</v>
      </c>
      <c r="C109" s="19" t="str">
        <f t="shared" si="9"/>
        <v>C-Finanzas</v>
      </c>
      <c r="D109" s="3" t="s">
        <v>1074</v>
      </c>
      <c r="E109" s="14">
        <v>45688</v>
      </c>
      <c r="F109" s="5" t="s">
        <v>5301</v>
      </c>
      <c r="G109" s="5" t="s">
        <v>1079</v>
      </c>
      <c r="H109" s="5"/>
      <c r="I109" s="6"/>
      <c r="J109" s="6"/>
      <c r="K109" s="6"/>
      <c r="L109" s="6"/>
      <c r="M109" s="7" t="s">
        <v>5459</v>
      </c>
      <c r="N109" s="8" t="str">
        <f>"CFI"&amp;".D"&amp;TEXT(Caja_Finanzas[[#This Row],[FECHA]],"DD-MM")&amp;"-"&amp;TEXT(Caja_Finanzas[[#This Row],[ITEM]],"0000")</f>
        <v>CFI.D31-01-0096</v>
      </c>
      <c r="O109" s="8" t="str">
        <f t="shared" si="10"/>
        <v>PEN</v>
      </c>
      <c r="P109" s="13"/>
      <c r="Q109" s="13">
        <v>10706</v>
      </c>
      <c r="R109" s="3">
        <f t="shared" si="6"/>
        <v>0</v>
      </c>
      <c r="S109" s="3">
        <f t="shared" si="7"/>
        <v>10706</v>
      </c>
      <c r="T109" s="3">
        <f t="shared" si="8"/>
        <v>-230.70000000000073</v>
      </c>
      <c r="U109" s="24"/>
      <c r="V109" s="24"/>
      <c r="W109" s="3"/>
      <c r="X109" s="25" t="s">
        <v>4015</v>
      </c>
      <c r="Y109" s="25"/>
      <c r="Z109" s="25"/>
      <c r="AA109" s="25"/>
      <c r="AB109" s="25"/>
      <c r="AC109" s="3" t="str">
        <f>IF(Caja_Finanzas[[#This Row],[FECHA]]&gt;0,TEXT(Caja_Finanzas[[#This Row],[FECHA]],"mmmm"),0)</f>
        <v>Enero</v>
      </c>
    </row>
    <row r="110" spans="2:29" x14ac:dyDescent="0.3">
      <c r="B110" s="2">
        <f>IF(Caja_Finanzas[[#This Row],[TIPO DE R.]]="R",COUNTIFS($D$4:$D109,"R")+1,"")</f>
        <v>97</v>
      </c>
      <c r="C110" s="19" t="str">
        <f t="shared" si="9"/>
        <v>C-Finanzas</v>
      </c>
      <c r="D110" s="3" t="s">
        <v>1074</v>
      </c>
      <c r="E110" s="14">
        <v>45688</v>
      </c>
      <c r="F110" s="5" t="s">
        <v>3353</v>
      </c>
      <c r="G110" s="5" t="s">
        <v>1079</v>
      </c>
      <c r="H110" s="5"/>
      <c r="I110" s="6"/>
      <c r="J110" s="6"/>
      <c r="K110" s="6"/>
      <c r="L110" s="6"/>
      <c r="M110" s="7" t="s">
        <v>5397</v>
      </c>
      <c r="N110" s="8" t="str">
        <f>"CFI"&amp;".D"&amp;TEXT(Caja_Finanzas[[#This Row],[FECHA]],"DD-MM")&amp;"-"&amp;TEXT(Caja_Finanzas[[#This Row],[ITEM]],"0000")</f>
        <v>CFI.D31-01-0097</v>
      </c>
      <c r="O110" s="8" t="str">
        <f t="shared" si="10"/>
        <v>PEN</v>
      </c>
      <c r="P110" s="13"/>
      <c r="Q110" s="13">
        <v>200</v>
      </c>
      <c r="R110" s="3">
        <f t="shared" si="6"/>
        <v>0</v>
      </c>
      <c r="S110" s="3">
        <f t="shared" si="7"/>
        <v>200</v>
      </c>
      <c r="T110" s="3">
        <f t="shared" si="8"/>
        <v>-430.70000000000073</v>
      </c>
      <c r="U110" s="24"/>
      <c r="V110" s="24"/>
      <c r="W110" s="3"/>
      <c r="X110" s="25"/>
      <c r="Y110" s="25"/>
      <c r="Z110" s="25"/>
      <c r="AA110" s="25"/>
      <c r="AB110" s="25"/>
      <c r="AC110" s="3" t="str">
        <f>IF(Caja_Finanzas[[#This Row],[FECHA]]&gt;0,TEXT(Caja_Finanzas[[#This Row],[FECHA]],"mmmm"),0)</f>
        <v>Enero</v>
      </c>
    </row>
    <row r="111" spans="2:29" ht="24" x14ac:dyDescent="0.3">
      <c r="B111" s="2">
        <f>IF(Caja_Finanzas[[#This Row],[TIPO DE R.]]="R",COUNTIFS($D$4:$D110,"R")+1,"")</f>
        <v>98</v>
      </c>
      <c r="C111" s="19" t="str">
        <f t="shared" si="9"/>
        <v>C-Finanzas</v>
      </c>
      <c r="D111" s="3" t="s">
        <v>1074</v>
      </c>
      <c r="E111" s="14">
        <v>45691</v>
      </c>
      <c r="F111" s="5" t="s">
        <v>5413</v>
      </c>
      <c r="G111" s="5" t="s">
        <v>1087</v>
      </c>
      <c r="H111" s="5"/>
      <c r="I111" s="6"/>
      <c r="J111" s="6"/>
      <c r="K111" s="6"/>
      <c r="L111" s="6"/>
      <c r="M111" s="7" t="s">
        <v>5156</v>
      </c>
      <c r="N111" s="8" t="str">
        <f>"CFI"&amp;".D"&amp;TEXT(Caja_Finanzas[[#This Row],[FECHA]],"DD-MM")&amp;"-"&amp;TEXT(Caja_Finanzas[[#This Row],[ITEM]],"0000")</f>
        <v>CFI.D03-02-0098</v>
      </c>
      <c r="O111" s="8" t="str">
        <f t="shared" si="10"/>
        <v>PEN</v>
      </c>
      <c r="P111" s="13"/>
      <c r="Q111" s="13">
        <v>254.9</v>
      </c>
      <c r="R111" s="3">
        <f t="shared" si="6"/>
        <v>254.9</v>
      </c>
      <c r="S111" s="3">
        <f t="shared" si="7"/>
        <v>0</v>
      </c>
      <c r="T111" s="3">
        <f t="shared" si="8"/>
        <v>-175.80000000000072</v>
      </c>
      <c r="U111" s="24"/>
      <c r="V111" s="24"/>
      <c r="W111" s="3"/>
      <c r="X111" s="25"/>
      <c r="Y111" s="25" t="s">
        <v>5415</v>
      </c>
      <c r="Z111" s="25"/>
      <c r="AA111" s="25"/>
      <c r="AB111" s="25"/>
      <c r="AC111" s="3" t="str">
        <f>IF(Caja_Finanzas[[#This Row],[FECHA]]&gt;0,TEXT(Caja_Finanzas[[#This Row],[FECHA]],"mmmm"),0)</f>
        <v>Febrero</v>
      </c>
    </row>
    <row r="112" spans="2:29" ht="24" x14ac:dyDescent="0.3">
      <c r="B112" s="2">
        <f>IF(Caja_Finanzas[[#This Row],[TIPO DE R.]]="R",COUNTIFS($D$4:$D111,"R")+1,"")</f>
        <v>99</v>
      </c>
      <c r="C112" s="19" t="str">
        <f t="shared" si="9"/>
        <v>C-Finanzas</v>
      </c>
      <c r="D112" s="3" t="s">
        <v>1074</v>
      </c>
      <c r="E112" s="14">
        <v>45691</v>
      </c>
      <c r="F112" s="5" t="s">
        <v>5460</v>
      </c>
      <c r="G112" s="5" t="s">
        <v>1087</v>
      </c>
      <c r="H112" s="5"/>
      <c r="I112" s="6"/>
      <c r="J112" s="6"/>
      <c r="K112" s="6"/>
      <c r="L112" s="6"/>
      <c r="M112" s="7" t="s">
        <v>5156</v>
      </c>
      <c r="N112" s="8" t="str">
        <f>"CFI"&amp;".D"&amp;TEXT(Caja_Finanzas[[#This Row],[FECHA]],"DD-MM")&amp;"-"&amp;TEXT(Caja_Finanzas[[#This Row],[ITEM]],"0000")</f>
        <v>CFI.D03-02-0099</v>
      </c>
      <c r="O112" s="8" t="str">
        <f t="shared" si="10"/>
        <v>PEN</v>
      </c>
      <c r="P112" s="13"/>
      <c r="Q112" s="13">
        <v>150.80000000000001</v>
      </c>
      <c r="R112" s="3">
        <f t="shared" si="6"/>
        <v>150.80000000000001</v>
      </c>
      <c r="S112" s="3">
        <f t="shared" si="7"/>
        <v>0</v>
      </c>
      <c r="T112" s="3">
        <f t="shared" si="8"/>
        <v>-25.000000000000711</v>
      </c>
      <c r="U112" s="24"/>
      <c r="V112" s="24"/>
      <c r="W112" s="3"/>
      <c r="X112" s="25"/>
      <c r="Y112" s="25" t="s">
        <v>5461</v>
      </c>
      <c r="Z112" s="25"/>
      <c r="AA112" s="25"/>
      <c r="AB112" s="25"/>
      <c r="AC112" s="3" t="str">
        <f>IF(Caja_Finanzas[[#This Row],[FECHA]]&gt;0,TEXT(Caja_Finanzas[[#This Row],[FECHA]],"mmmm"),0)</f>
        <v>Febrero</v>
      </c>
    </row>
    <row r="113" spans="2:29" ht="24" x14ac:dyDescent="0.3">
      <c r="B113" s="2">
        <f>IF(Caja_Finanzas[[#This Row],[TIPO DE R.]]="R",COUNTIFS($D$4:$D112,"R")+1,"")</f>
        <v>100</v>
      </c>
      <c r="C113" s="19" t="str">
        <f t="shared" si="9"/>
        <v>C-Finanzas</v>
      </c>
      <c r="D113" s="3" t="s">
        <v>1074</v>
      </c>
      <c r="E113" s="14">
        <v>45691</v>
      </c>
      <c r="F113" s="5" t="s">
        <v>5462</v>
      </c>
      <c r="G113" s="5" t="s">
        <v>1087</v>
      </c>
      <c r="H113" s="5"/>
      <c r="I113" s="6"/>
      <c r="J113" s="6"/>
      <c r="K113" s="6"/>
      <c r="L113" s="6"/>
      <c r="M113" s="7" t="s">
        <v>5156</v>
      </c>
      <c r="N113" s="8" t="str">
        <f>"CFI"&amp;".D"&amp;TEXT(Caja_Finanzas[[#This Row],[FECHA]],"DD-MM")&amp;"-"&amp;TEXT(Caja_Finanzas[[#This Row],[ITEM]],"0000")</f>
        <v>CFI.D03-02-0100</v>
      </c>
      <c r="O113" s="8" t="str">
        <f t="shared" si="10"/>
        <v>PEN</v>
      </c>
      <c r="P113" s="13"/>
      <c r="Q113" s="13">
        <v>150</v>
      </c>
      <c r="R113" s="3">
        <f t="shared" si="6"/>
        <v>150</v>
      </c>
      <c r="S113" s="3">
        <f t="shared" si="7"/>
        <v>0</v>
      </c>
      <c r="T113" s="3">
        <f t="shared" si="8"/>
        <v>124.99999999999929</v>
      </c>
      <c r="U113" s="24"/>
      <c r="V113" s="24"/>
      <c r="W113" s="3"/>
      <c r="X113" s="25"/>
      <c r="Y113" s="25" t="s">
        <v>5463</v>
      </c>
      <c r="Z113" s="25"/>
      <c r="AA113" s="25"/>
      <c r="AB113" s="25"/>
      <c r="AC113" s="3" t="str">
        <f>IF(Caja_Finanzas[[#This Row],[FECHA]]&gt;0,TEXT(Caja_Finanzas[[#This Row],[FECHA]],"mmmm"),0)</f>
        <v>Febrero</v>
      </c>
    </row>
    <row r="114" spans="2:29" ht="24" x14ac:dyDescent="0.3">
      <c r="B114" s="2">
        <f>IF(Caja_Finanzas[[#This Row],[TIPO DE R.]]="R",COUNTIFS($D$4:$D113,"R")+1,"")</f>
        <v>101</v>
      </c>
      <c r="C114" s="19" t="str">
        <f t="shared" si="9"/>
        <v>C-Finanzas</v>
      </c>
      <c r="D114" s="3" t="s">
        <v>1074</v>
      </c>
      <c r="E114" s="14">
        <v>45691</v>
      </c>
      <c r="F114" s="5" t="s">
        <v>3397</v>
      </c>
      <c r="G114" s="5" t="s">
        <v>1087</v>
      </c>
      <c r="H114" s="5"/>
      <c r="I114" s="6"/>
      <c r="J114" s="6"/>
      <c r="K114" s="6"/>
      <c r="L114" s="6"/>
      <c r="M114" s="7" t="s">
        <v>5156</v>
      </c>
      <c r="N114" s="8" t="str">
        <f>"CFI"&amp;".D"&amp;TEXT(Caja_Finanzas[[#This Row],[FECHA]],"DD-MM")&amp;"-"&amp;TEXT(Caja_Finanzas[[#This Row],[ITEM]],"0000")</f>
        <v>CFI.D03-02-0101</v>
      </c>
      <c r="O114" s="8" t="str">
        <f t="shared" si="10"/>
        <v>PEN</v>
      </c>
      <c r="P114" s="13"/>
      <c r="Q114" s="13">
        <v>319.60000000000002</v>
      </c>
      <c r="R114" s="3">
        <f t="shared" si="6"/>
        <v>319.60000000000002</v>
      </c>
      <c r="S114" s="3">
        <f t="shared" si="7"/>
        <v>0</v>
      </c>
      <c r="T114" s="3">
        <f t="shared" si="8"/>
        <v>444.59999999999934</v>
      </c>
      <c r="U114" s="24"/>
      <c r="V114" s="24"/>
      <c r="W114" s="3"/>
      <c r="X114" s="25"/>
      <c r="Y114" s="25" t="s">
        <v>5464</v>
      </c>
      <c r="Z114" s="25"/>
      <c r="AA114" s="25"/>
      <c r="AB114" s="25"/>
      <c r="AC114" s="3" t="str">
        <f>IF(Caja_Finanzas[[#This Row],[FECHA]]&gt;0,TEXT(Caja_Finanzas[[#This Row],[FECHA]],"mmmm"),0)</f>
        <v>Febrero</v>
      </c>
    </row>
    <row r="115" spans="2:29" ht="24" x14ac:dyDescent="0.3">
      <c r="B115" s="2">
        <f>IF(Caja_Finanzas[[#This Row],[TIPO DE R.]]="R",COUNTIFS($D$4:$D114,"R")+1,"")</f>
        <v>102</v>
      </c>
      <c r="C115" s="19" t="str">
        <f t="shared" si="9"/>
        <v>C-Finanzas</v>
      </c>
      <c r="D115" s="3" t="s">
        <v>1074</v>
      </c>
      <c r="E115" s="14">
        <v>45691</v>
      </c>
      <c r="F115" s="5" t="s">
        <v>5413</v>
      </c>
      <c r="G115" s="5" t="s">
        <v>1087</v>
      </c>
      <c r="H115" s="5"/>
      <c r="I115" s="6"/>
      <c r="J115" s="6"/>
      <c r="K115" s="6"/>
      <c r="L115" s="6"/>
      <c r="M115" s="7" t="s">
        <v>5156</v>
      </c>
      <c r="N115" s="8" t="str">
        <f>"CFI"&amp;".D"&amp;TEXT(Caja_Finanzas[[#This Row],[FECHA]],"DD-MM")&amp;"-"&amp;TEXT(Caja_Finanzas[[#This Row],[ITEM]],"0000")</f>
        <v>CFI.D03-02-0102</v>
      </c>
      <c r="O115" s="8" t="str">
        <f t="shared" si="10"/>
        <v>PEN</v>
      </c>
      <c r="P115" s="13"/>
      <c r="Q115" s="13">
        <v>172.5</v>
      </c>
      <c r="R115" s="3">
        <f t="shared" si="6"/>
        <v>172.5</v>
      </c>
      <c r="S115" s="3">
        <f t="shared" si="7"/>
        <v>0</v>
      </c>
      <c r="T115" s="3">
        <f t="shared" si="8"/>
        <v>617.09999999999934</v>
      </c>
      <c r="U115" s="24"/>
      <c r="V115" s="24"/>
      <c r="W115" s="3"/>
      <c r="X115" s="25"/>
      <c r="Y115" s="25" t="s">
        <v>5465</v>
      </c>
      <c r="Z115" s="25"/>
      <c r="AA115" s="25"/>
      <c r="AB115" s="25"/>
      <c r="AC115" s="3" t="str">
        <f>IF(Caja_Finanzas[[#This Row],[FECHA]]&gt;0,TEXT(Caja_Finanzas[[#This Row],[FECHA]],"mmmm"),0)</f>
        <v>Febrero</v>
      </c>
    </row>
    <row r="116" spans="2:29" ht="24" x14ac:dyDescent="0.3">
      <c r="B116" s="2">
        <f>IF(Caja_Finanzas[[#This Row],[TIPO DE R.]]="R",COUNTIFS($D$4:$D115,"R")+1,"")</f>
        <v>103</v>
      </c>
      <c r="C116" s="19" t="str">
        <f t="shared" si="9"/>
        <v>C-Finanzas</v>
      </c>
      <c r="D116" s="3" t="s">
        <v>1074</v>
      </c>
      <c r="E116" s="14">
        <v>45691</v>
      </c>
      <c r="F116" s="5" t="s">
        <v>5413</v>
      </c>
      <c r="G116" s="5" t="s">
        <v>1087</v>
      </c>
      <c r="H116" s="5"/>
      <c r="I116" s="6"/>
      <c r="J116" s="6"/>
      <c r="K116" s="6"/>
      <c r="L116" s="6"/>
      <c r="M116" s="7" t="s">
        <v>5156</v>
      </c>
      <c r="N116" s="8" t="str">
        <f>"CFI"&amp;".D"&amp;TEXT(Caja_Finanzas[[#This Row],[FECHA]],"DD-MM")&amp;"-"&amp;TEXT(Caja_Finanzas[[#This Row],[ITEM]],"0000")</f>
        <v>CFI.D03-02-0103</v>
      </c>
      <c r="O116" s="8" t="str">
        <f t="shared" si="10"/>
        <v>PEN</v>
      </c>
      <c r="P116" s="13"/>
      <c r="Q116" s="13">
        <v>26.5</v>
      </c>
      <c r="R116" s="3">
        <f t="shared" si="6"/>
        <v>26.5</v>
      </c>
      <c r="S116" s="3">
        <f t="shared" si="7"/>
        <v>0</v>
      </c>
      <c r="T116" s="3">
        <f t="shared" si="8"/>
        <v>643.59999999999934</v>
      </c>
      <c r="U116" s="24"/>
      <c r="V116" s="24"/>
      <c r="W116" s="3"/>
      <c r="X116" s="25"/>
      <c r="Y116" s="25" t="s">
        <v>5466</v>
      </c>
      <c r="Z116" s="25"/>
      <c r="AA116" s="25"/>
      <c r="AB116" s="25"/>
      <c r="AC116" s="3" t="str">
        <f>IF(Caja_Finanzas[[#This Row],[FECHA]]&gt;0,TEXT(Caja_Finanzas[[#This Row],[FECHA]],"mmmm"),0)</f>
        <v>Febrero</v>
      </c>
    </row>
    <row r="117" spans="2:29" ht="24" x14ac:dyDescent="0.3">
      <c r="B117" s="2">
        <f>IF(Caja_Finanzas[[#This Row],[TIPO DE R.]]="R",COUNTIFS($D$4:$D116,"R")+1,"")</f>
        <v>104</v>
      </c>
      <c r="C117" s="19" t="str">
        <f t="shared" si="9"/>
        <v>C-Finanzas</v>
      </c>
      <c r="D117" s="3" t="s">
        <v>1074</v>
      </c>
      <c r="E117" s="14">
        <v>45691</v>
      </c>
      <c r="F117" s="5" t="s">
        <v>5413</v>
      </c>
      <c r="G117" s="5" t="s">
        <v>1087</v>
      </c>
      <c r="H117" s="5"/>
      <c r="I117" s="6"/>
      <c r="J117" s="6"/>
      <c r="K117" s="6"/>
      <c r="L117" s="6"/>
      <c r="M117" s="7" t="s">
        <v>5156</v>
      </c>
      <c r="N117" s="8" t="str">
        <f>"CFI"&amp;".D"&amp;TEXT(Caja_Finanzas[[#This Row],[FECHA]],"DD-MM")&amp;"-"&amp;TEXT(Caja_Finanzas[[#This Row],[ITEM]],"0000")</f>
        <v>CFI.D03-02-0104</v>
      </c>
      <c r="O117" s="8" t="str">
        <f t="shared" si="10"/>
        <v>PEN</v>
      </c>
      <c r="P117" s="13"/>
      <c r="Q117" s="13">
        <v>85</v>
      </c>
      <c r="R117" s="3">
        <f t="shared" si="6"/>
        <v>85</v>
      </c>
      <c r="S117" s="3">
        <f t="shared" si="7"/>
        <v>0</v>
      </c>
      <c r="T117" s="3">
        <f t="shared" si="8"/>
        <v>728.59999999999934</v>
      </c>
      <c r="U117" s="24"/>
      <c r="V117" s="24"/>
      <c r="W117" s="3"/>
      <c r="X117" s="25"/>
      <c r="Y117" s="25" t="s">
        <v>5467</v>
      </c>
      <c r="Z117" s="25"/>
      <c r="AA117" s="25"/>
      <c r="AB117" s="25"/>
      <c r="AC117" s="3" t="str">
        <f>IF(Caja_Finanzas[[#This Row],[FECHA]]&gt;0,TEXT(Caja_Finanzas[[#This Row],[FECHA]],"mmmm"),0)</f>
        <v>Febrero</v>
      </c>
    </row>
    <row r="118" spans="2:29" ht="24" x14ac:dyDescent="0.3">
      <c r="B118" s="2">
        <f>IF(Caja_Finanzas[[#This Row],[TIPO DE R.]]="R",COUNTIFS($D$4:$D117,"R")+1,"")</f>
        <v>105</v>
      </c>
      <c r="C118" s="19" t="str">
        <f t="shared" si="9"/>
        <v>C-Finanzas</v>
      </c>
      <c r="D118" s="3" t="s">
        <v>1074</v>
      </c>
      <c r="E118" s="14">
        <v>45691</v>
      </c>
      <c r="F118" s="5" t="s">
        <v>3397</v>
      </c>
      <c r="G118" s="5" t="s">
        <v>1087</v>
      </c>
      <c r="H118" s="5"/>
      <c r="I118" s="6"/>
      <c r="J118" s="6"/>
      <c r="K118" s="6"/>
      <c r="L118" s="6"/>
      <c r="M118" s="7" t="s">
        <v>5156</v>
      </c>
      <c r="N118" s="8" t="str">
        <f>"CFI"&amp;".D"&amp;TEXT(Caja_Finanzas[[#This Row],[FECHA]],"DD-MM")&amp;"-"&amp;TEXT(Caja_Finanzas[[#This Row],[ITEM]],"0000")</f>
        <v>CFI.D03-02-0105</v>
      </c>
      <c r="O118" s="8" t="str">
        <f t="shared" si="10"/>
        <v>PEN</v>
      </c>
      <c r="P118" s="13"/>
      <c r="Q118" s="13">
        <v>500</v>
      </c>
      <c r="R118" s="3">
        <f t="shared" si="6"/>
        <v>500</v>
      </c>
      <c r="S118" s="3">
        <f t="shared" si="7"/>
        <v>0</v>
      </c>
      <c r="T118" s="3">
        <f t="shared" si="8"/>
        <v>1228.5999999999995</v>
      </c>
      <c r="U118" s="24"/>
      <c r="V118" s="24"/>
      <c r="W118" s="3"/>
      <c r="X118" s="25"/>
      <c r="Y118" s="25" t="s">
        <v>5468</v>
      </c>
      <c r="Z118" s="25"/>
      <c r="AA118" s="25"/>
      <c r="AB118" s="25"/>
      <c r="AC118" s="3" t="str">
        <f>IF(Caja_Finanzas[[#This Row],[FECHA]]&gt;0,TEXT(Caja_Finanzas[[#This Row],[FECHA]],"mmmm"),0)</f>
        <v>Febrero</v>
      </c>
    </row>
    <row r="119" spans="2:29" ht="24" x14ac:dyDescent="0.3">
      <c r="B119" s="2">
        <f>IF(Caja_Finanzas[[#This Row],[TIPO DE R.]]="R",COUNTIFS($D$4:$D118,"R")+1,"")</f>
        <v>106</v>
      </c>
      <c r="C119" s="19" t="str">
        <f t="shared" si="9"/>
        <v>C-Finanzas</v>
      </c>
      <c r="D119" s="3" t="s">
        <v>1074</v>
      </c>
      <c r="E119" s="14">
        <v>45691</v>
      </c>
      <c r="F119" s="5" t="s">
        <v>3400</v>
      </c>
      <c r="G119" s="5" t="s">
        <v>1087</v>
      </c>
      <c r="H119" s="5"/>
      <c r="I119" s="6"/>
      <c r="J119" s="6"/>
      <c r="K119" s="6"/>
      <c r="L119" s="6"/>
      <c r="M119" s="7" t="s">
        <v>5156</v>
      </c>
      <c r="N119" s="8" t="str">
        <f>"CFI"&amp;".D"&amp;TEXT(Caja_Finanzas[[#This Row],[FECHA]],"DD-MM")&amp;"-"&amp;TEXT(Caja_Finanzas[[#This Row],[ITEM]],"0000")</f>
        <v>CFI.D03-02-0106</v>
      </c>
      <c r="O119" s="8" t="str">
        <f t="shared" si="10"/>
        <v>PEN</v>
      </c>
      <c r="P119" s="13"/>
      <c r="Q119" s="13">
        <v>20</v>
      </c>
      <c r="R119" s="3">
        <f t="shared" si="6"/>
        <v>20</v>
      </c>
      <c r="S119" s="3">
        <f t="shared" si="7"/>
        <v>0</v>
      </c>
      <c r="T119" s="3">
        <f t="shared" si="8"/>
        <v>1248.5999999999995</v>
      </c>
      <c r="U119" s="24"/>
      <c r="V119" s="24"/>
      <c r="W119" s="3"/>
      <c r="X119" s="25"/>
      <c r="Y119" s="25" t="s">
        <v>5469</v>
      </c>
      <c r="Z119" s="25"/>
      <c r="AA119" s="25"/>
      <c r="AB119" s="25"/>
      <c r="AC119" s="3" t="str">
        <f>IF(Caja_Finanzas[[#This Row],[FECHA]]&gt;0,TEXT(Caja_Finanzas[[#This Row],[FECHA]],"mmmm"),0)</f>
        <v>Febrero</v>
      </c>
    </row>
    <row r="120" spans="2:29" ht="24" x14ac:dyDescent="0.3">
      <c r="B120" s="2">
        <f>IF(Caja_Finanzas[[#This Row],[TIPO DE R.]]="R",COUNTIFS($D$4:$D119,"R")+1,"")</f>
        <v>107</v>
      </c>
      <c r="C120" s="19" t="str">
        <f t="shared" si="9"/>
        <v>C-Finanzas</v>
      </c>
      <c r="D120" s="3" t="s">
        <v>1074</v>
      </c>
      <c r="E120" s="14">
        <v>45691</v>
      </c>
      <c r="F120" s="5" t="s">
        <v>5470</v>
      </c>
      <c r="G120" s="5" t="s">
        <v>1087</v>
      </c>
      <c r="H120" s="5"/>
      <c r="I120" s="6"/>
      <c r="J120" s="6"/>
      <c r="K120" s="6"/>
      <c r="L120" s="6"/>
      <c r="M120" s="7" t="s">
        <v>5156</v>
      </c>
      <c r="N120" s="8" t="str">
        <f>"CFI"&amp;".D"&amp;TEXT(Caja_Finanzas[[#This Row],[FECHA]],"DD-MM")&amp;"-"&amp;TEXT(Caja_Finanzas[[#This Row],[ITEM]],"0000")</f>
        <v>CFI.D03-02-0107</v>
      </c>
      <c r="O120" s="8" t="str">
        <f t="shared" si="10"/>
        <v>PEN</v>
      </c>
      <c r="P120" s="13"/>
      <c r="Q120" s="13">
        <v>300</v>
      </c>
      <c r="R120" s="3">
        <f t="shared" si="6"/>
        <v>300</v>
      </c>
      <c r="S120" s="3">
        <f t="shared" si="7"/>
        <v>0</v>
      </c>
      <c r="T120" s="3">
        <f t="shared" si="8"/>
        <v>1548.5999999999995</v>
      </c>
      <c r="U120" s="24"/>
      <c r="V120" s="24"/>
      <c r="W120" s="3"/>
      <c r="X120" s="25"/>
      <c r="Y120" s="25" t="s">
        <v>5471</v>
      </c>
      <c r="Z120" s="25"/>
      <c r="AA120" s="25"/>
      <c r="AB120" s="25"/>
      <c r="AC120" s="3" t="str">
        <f>IF(Caja_Finanzas[[#This Row],[FECHA]]&gt;0,TEXT(Caja_Finanzas[[#This Row],[FECHA]],"mmmm"),0)</f>
        <v>Febrero</v>
      </c>
    </row>
    <row r="121" spans="2:29" ht="24" x14ac:dyDescent="0.3">
      <c r="B121" s="2">
        <f>IF(Caja_Finanzas[[#This Row],[TIPO DE R.]]="R",COUNTIFS($D$4:$D120,"R")+1,"")</f>
        <v>108</v>
      </c>
      <c r="C121" s="19" t="str">
        <f t="shared" si="9"/>
        <v>C-Finanzas</v>
      </c>
      <c r="D121" s="3" t="s">
        <v>1074</v>
      </c>
      <c r="E121" s="14">
        <v>45691</v>
      </c>
      <c r="F121" s="5" t="s">
        <v>3400</v>
      </c>
      <c r="G121" s="5" t="s">
        <v>1087</v>
      </c>
      <c r="H121" s="5"/>
      <c r="I121" s="6"/>
      <c r="J121" s="6"/>
      <c r="K121" s="6"/>
      <c r="L121" s="6"/>
      <c r="M121" s="7" t="s">
        <v>5156</v>
      </c>
      <c r="N121" s="8" t="str">
        <f>"CFI"&amp;".D"&amp;TEXT(Caja_Finanzas[[#This Row],[FECHA]],"DD-MM")&amp;"-"&amp;TEXT(Caja_Finanzas[[#This Row],[ITEM]],"0000")</f>
        <v>CFI.D03-02-0108</v>
      </c>
      <c r="O121" s="8" t="str">
        <f t="shared" si="10"/>
        <v>PEN</v>
      </c>
      <c r="P121" s="13"/>
      <c r="Q121" s="13">
        <v>19.5</v>
      </c>
      <c r="R121" s="3">
        <f t="shared" si="6"/>
        <v>19.5</v>
      </c>
      <c r="S121" s="3">
        <f t="shared" si="7"/>
        <v>0</v>
      </c>
      <c r="T121" s="3">
        <f t="shared" si="8"/>
        <v>1568.0999999999995</v>
      </c>
      <c r="U121" s="24"/>
      <c r="V121" s="24"/>
      <c r="W121" s="3"/>
      <c r="X121" s="25"/>
      <c r="Y121" s="25" t="s">
        <v>5472</v>
      </c>
      <c r="Z121" s="25"/>
      <c r="AA121" s="25"/>
      <c r="AB121" s="25"/>
      <c r="AC121" s="3" t="str">
        <f>IF(Caja_Finanzas[[#This Row],[FECHA]]&gt;0,TEXT(Caja_Finanzas[[#This Row],[FECHA]],"mmmm"),0)</f>
        <v>Febrero</v>
      </c>
    </row>
    <row r="122" spans="2:29" ht="24" x14ac:dyDescent="0.3">
      <c r="B122" s="2">
        <f>IF(Caja_Finanzas[[#This Row],[TIPO DE R.]]="R",COUNTIFS($D$4:$D121,"R")+1,"")</f>
        <v>109</v>
      </c>
      <c r="C122" s="19" t="str">
        <f t="shared" si="9"/>
        <v>C-Finanzas</v>
      </c>
      <c r="D122" s="3" t="s">
        <v>1074</v>
      </c>
      <c r="E122" s="14">
        <v>45691</v>
      </c>
      <c r="F122" s="5" t="s">
        <v>5473</v>
      </c>
      <c r="G122" s="5" t="s">
        <v>1087</v>
      </c>
      <c r="H122" s="5"/>
      <c r="I122" s="6"/>
      <c r="J122" s="6"/>
      <c r="K122" s="6"/>
      <c r="L122" s="6"/>
      <c r="M122" s="7" t="s">
        <v>5156</v>
      </c>
      <c r="N122" s="8" t="str">
        <f>"CFI"&amp;".D"&amp;TEXT(Caja_Finanzas[[#This Row],[FECHA]],"DD-MM")&amp;"-"&amp;TEXT(Caja_Finanzas[[#This Row],[ITEM]],"0000")</f>
        <v>CFI.D03-02-0109</v>
      </c>
      <c r="O122" s="8" t="str">
        <f t="shared" si="10"/>
        <v>PEN</v>
      </c>
      <c r="P122" s="13"/>
      <c r="Q122" s="13">
        <v>35</v>
      </c>
      <c r="R122" s="3">
        <f t="shared" si="6"/>
        <v>35</v>
      </c>
      <c r="S122" s="3">
        <f t="shared" si="7"/>
        <v>0</v>
      </c>
      <c r="T122" s="3">
        <f t="shared" si="8"/>
        <v>1603.0999999999995</v>
      </c>
      <c r="U122" s="24"/>
      <c r="V122" s="24"/>
      <c r="W122" s="3"/>
      <c r="X122" s="25"/>
      <c r="Y122" s="25" t="s">
        <v>5474</v>
      </c>
      <c r="Z122" s="25"/>
      <c r="AA122" s="25"/>
      <c r="AB122" s="25"/>
      <c r="AC122" s="3" t="str">
        <f>IF(Caja_Finanzas[[#This Row],[FECHA]]&gt;0,TEXT(Caja_Finanzas[[#This Row],[FECHA]],"mmmm"),0)</f>
        <v>Febrero</v>
      </c>
    </row>
    <row r="123" spans="2:29" ht="36" x14ac:dyDescent="0.3">
      <c r="B123" s="2">
        <f>IF(Caja_Finanzas[[#This Row],[TIPO DE R.]]="R",COUNTIFS($D$4:$D122,"R")+1,"")</f>
        <v>110</v>
      </c>
      <c r="C123" s="19" t="str">
        <f t="shared" si="9"/>
        <v>C-Finanzas</v>
      </c>
      <c r="D123" s="3" t="s">
        <v>1074</v>
      </c>
      <c r="E123" s="14">
        <v>45691</v>
      </c>
      <c r="F123" s="5" t="s">
        <v>5475</v>
      </c>
      <c r="G123" s="5" t="s">
        <v>1087</v>
      </c>
      <c r="H123" s="5"/>
      <c r="I123" s="6"/>
      <c r="J123" s="6"/>
      <c r="K123" s="6"/>
      <c r="L123" s="6"/>
      <c r="M123" s="7" t="s">
        <v>5156</v>
      </c>
      <c r="N123" s="8" t="str">
        <f>"CFI"&amp;".D"&amp;TEXT(Caja_Finanzas[[#This Row],[FECHA]],"DD-MM")&amp;"-"&amp;TEXT(Caja_Finanzas[[#This Row],[ITEM]],"0000")</f>
        <v>CFI.D03-02-0110</v>
      </c>
      <c r="O123" s="8" t="str">
        <f t="shared" si="10"/>
        <v>PEN</v>
      </c>
      <c r="P123" s="13"/>
      <c r="Q123" s="13">
        <v>225</v>
      </c>
      <c r="R123" s="3">
        <f t="shared" si="6"/>
        <v>225</v>
      </c>
      <c r="S123" s="3">
        <f t="shared" si="7"/>
        <v>0</v>
      </c>
      <c r="T123" s="3">
        <f t="shared" si="8"/>
        <v>1828.0999999999995</v>
      </c>
      <c r="U123" s="24"/>
      <c r="V123" s="24"/>
      <c r="W123" s="3"/>
      <c r="X123" s="25"/>
      <c r="Y123" s="25" t="s">
        <v>5476</v>
      </c>
      <c r="Z123" s="25"/>
      <c r="AA123" s="25"/>
      <c r="AB123" s="25"/>
      <c r="AC123" s="3" t="str">
        <f>IF(Caja_Finanzas[[#This Row],[FECHA]]&gt;0,TEXT(Caja_Finanzas[[#This Row],[FECHA]],"mmmm"),0)</f>
        <v>Febrero</v>
      </c>
    </row>
    <row r="124" spans="2:29" ht="24" x14ac:dyDescent="0.3">
      <c r="B124" s="2">
        <f>IF(Caja_Finanzas[[#This Row],[TIPO DE R.]]="R",COUNTIFS($D$4:$D123,"R")+1,"")</f>
        <v>111</v>
      </c>
      <c r="C124" s="19" t="str">
        <f t="shared" si="9"/>
        <v>C-Finanzas</v>
      </c>
      <c r="D124" s="3" t="s">
        <v>1074</v>
      </c>
      <c r="E124" s="14">
        <v>45691</v>
      </c>
      <c r="F124" s="5" t="s">
        <v>5462</v>
      </c>
      <c r="G124" s="5" t="s">
        <v>1087</v>
      </c>
      <c r="H124" s="5"/>
      <c r="I124" s="6"/>
      <c r="J124" s="6"/>
      <c r="K124" s="6"/>
      <c r="L124" s="6"/>
      <c r="M124" s="7" t="s">
        <v>5156</v>
      </c>
      <c r="N124" s="8" t="str">
        <f>"CFI"&amp;".D"&amp;TEXT(Caja_Finanzas[[#This Row],[FECHA]],"DD-MM")&amp;"-"&amp;TEXT(Caja_Finanzas[[#This Row],[ITEM]],"0000")</f>
        <v>CFI.D03-02-0111</v>
      </c>
      <c r="O124" s="8" t="str">
        <f t="shared" si="10"/>
        <v>PEN</v>
      </c>
      <c r="P124" s="13"/>
      <c r="Q124" s="13">
        <v>75</v>
      </c>
      <c r="R124" s="3">
        <f t="shared" si="6"/>
        <v>75</v>
      </c>
      <c r="S124" s="3">
        <f t="shared" si="7"/>
        <v>0</v>
      </c>
      <c r="T124" s="3">
        <f t="shared" si="8"/>
        <v>1903.0999999999995</v>
      </c>
      <c r="U124" s="24"/>
      <c r="V124" s="24"/>
      <c r="W124" s="3"/>
      <c r="X124" s="25"/>
      <c r="Y124" s="25" t="s">
        <v>5477</v>
      </c>
      <c r="Z124" s="25"/>
      <c r="AA124" s="25"/>
      <c r="AB124" s="25"/>
      <c r="AC124" s="3" t="str">
        <f>IF(Caja_Finanzas[[#This Row],[FECHA]]&gt;0,TEXT(Caja_Finanzas[[#This Row],[FECHA]],"mmmm"),0)</f>
        <v>Febrero</v>
      </c>
    </row>
    <row r="125" spans="2:29" x14ac:dyDescent="0.3">
      <c r="B125" s="2">
        <f>IF(Caja_Finanzas[[#This Row],[TIPO DE R.]]="R",COUNTIFS($D$4:$D124,"R")+1,"")</f>
        <v>112</v>
      </c>
      <c r="C125" s="19" t="str">
        <f t="shared" si="9"/>
        <v>C-Finanzas</v>
      </c>
      <c r="D125" s="3" t="s">
        <v>1074</v>
      </c>
      <c r="E125" s="14">
        <v>45691</v>
      </c>
      <c r="F125" s="5"/>
      <c r="G125" s="5" t="s">
        <v>1079</v>
      </c>
      <c r="H125" s="5"/>
      <c r="I125" s="6"/>
      <c r="J125" s="6"/>
      <c r="K125" s="6"/>
      <c r="L125" s="6"/>
      <c r="M125" s="7" t="s">
        <v>5478</v>
      </c>
      <c r="N125" s="8" t="str">
        <f>"CFI"&amp;".D"&amp;TEXT(Caja_Finanzas[[#This Row],[FECHA]],"DD-MM")&amp;"-"&amp;TEXT(Caja_Finanzas[[#This Row],[ITEM]],"0000")</f>
        <v>CFI.D03-02-0112</v>
      </c>
      <c r="O125" s="8" t="str">
        <f t="shared" si="10"/>
        <v>PEN</v>
      </c>
      <c r="P125" s="13"/>
      <c r="Q125" s="13">
        <v>306.2</v>
      </c>
      <c r="R125" s="3">
        <f t="shared" si="6"/>
        <v>0</v>
      </c>
      <c r="S125" s="3">
        <f t="shared" si="7"/>
        <v>306.2</v>
      </c>
      <c r="T125" s="3">
        <f t="shared" si="8"/>
        <v>1596.8999999999994</v>
      </c>
      <c r="U125" s="24"/>
      <c r="V125" s="24"/>
      <c r="W125" s="3"/>
      <c r="X125" s="25"/>
      <c r="Y125" s="25"/>
      <c r="Z125" s="25"/>
      <c r="AA125" s="25"/>
      <c r="AB125" s="25"/>
      <c r="AC125" s="3" t="str">
        <f>IF(Caja_Finanzas[[#This Row],[FECHA]]&gt;0,TEXT(Caja_Finanzas[[#This Row],[FECHA]],"mmmm"),0)</f>
        <v>Febrero</v>
      </c>
    </row>
    <row r="126" spans="2:29" ht="36" x14ac:dyDescent="0.3">
      <c r="B126" s="2">
        <f>IF(Caja_Finanzas[[#This Row],[TIPO DE R.]]="R",COUNTIFS($D$4:$D125,"R")+1,"")</f>
        <v>113</v>
      </c>
      <c r="C126" s="19" t="str">
        <f t="shared" si="9"/>
        <v>C-Finanzas</v>
      </c>
      <c r="D126" s="3" t="s">
        <v>1074</v>
      </c>
      <c r="E126" s="14">
        <v>45691</v>
      </c>
      <c r="F126" s="5" t="s">
        <v>5301</v>
      </c>
      <c r="G126" s="5" t="s">
        <v>1079</v>
      </c>
      <c r="H126" s="5"/>
      <c r="I126" s="6"/>
      <c r="J126" s="6"/>
      <c r="K126" s="6"/>
      <c r="L126" s="6"/>
      <c r="M126" s="7" t="s">
        <v>5479</v>
      </c>
      <c r="N126" s="8" t="str">
        <f>"CFI"&amp;".D"&amp;TEXT(Caja_Finanzas[[#This Row],[FECHA]],"DD-MM")&amp;"-"&amp;TEXT(Caja_Finanzas[[#This Row],[ITEM]],"0000")</f>
        <v>CFI.D03-02-0113</v>
      </c>
      <c r="O126" s="8" t="str">
        <f t="shared" si="10"/>
        <v>PEN</v>
      </c>
      <c r="P126" s="13"/>
      <c r="Q126" s="13">
        <v>160</v>
      </c>
      <c r="R126" s="3">
        <f t="shared" si="6"/>
        <v>0</v>
      </c>
      <c r="S126" s="3">
        <f t="shared" si="7"/>
        <v>160</v>
      </c>
      <c r="T126" s="3">
        <f t="shared" si="8"/>
        <v>1436.8999999999994</v>
      </c>
      <c r="U126" s="24"/>
      <c r="V126" s="24"/>
      <c r="W126" s="3"/>
      <c r="X126" s="25" t="s">
        <v>5480</v>
      </c>
      <c r="Y126" s="25"/>
      <c r="Z126" s="25"/>
      <c r="AA126" s="25"/>
      <c r="AB126" s="25"/>
      <c r="AC126" s="3" t="str">
        <f>IF(Caja_Finanzas[[#This Row],[FECHA]]&gt;0,TEXT(Caja_Finanzas[[#This Row],[FECHA]],"mmmm"),0)</f>
        <v>Febrero</v>
      </c>
    </row>
    <row r="127" spans="2:29" ht="48" x14ac:dyDescent="0.3">
      <c r="B127" s="2">
        <f>IF(Caja_Finanzas[[#This Row],[TIPO DE R.]]="R",COUNTIFS($D$4:$D126,"R")+1,"")</f>
        <v>114</v>
      </c>
      <c r="C127" s="19" t="str">
        <f t="shared" si="9"/>
        <v>C-Finanzas</v>
      </c>
      <c r="D127" s="3" t="s">
        <v>1074</v>
      </c>
      <c r="E127" s="14">
        <v>45691</v>
      </c>
      <c r="F127" s="5" t="s">
        <v>5307</v>
      </c>
      <c r="G127" s="5" t="s">
        <v>1079</v>
      </c>
      <c r="H127" s="5"/>
      <c r="I127" s="6"/>
      <c r="J127" s="6"/>
      <c r="K127" s="6"/>
      <c r="L127" s="6"/>
      <c r="M127" s="7" t="s">
        <v>5481</v>
      </c>
      <c r="N127" s="8" t="str">
        <f>"CFI"&amp;".D"&amp;TEXT(Caja_Finanzas[[#This Row],[FECHA]],"DD-MM")&amp;"-"&amp;TEXT(Caja_Finanzas[[#This Row],[ITEM]],"0000")</f>
        <v>CFI.D03-02-0114</v>
      </c>
      <c r="O127" s="8" t="str">
        <f t="shared" si="10"/>
        <v>PEN</v>
      </c>
      <c r="P127" s="13"/>
      <c r="Q127" s="13">
        <v>1100</v>
      </c>
      <c r="R127" s="3">
        <f t="shared" si="6"/>
        <v>0</v>
      </c>
      <c r="S127" s="3">
        <f t="shared" si="7"/>
        <v>1100</v>
      </c>
      <c r="T127" s="3">
        <f t="shared" si="8"/>
        <v>336.89999999999941</v>
      </c>
      <c r="U127" s="24"/>
      <c r="V127" s="24"/>
      <c r="W127" s="3"/>
      <c r="X127" s="25" t="s">
        <v>128</v>
      </c>
      <c r="Y127" s="25" t="s">
        <v>5482</v>
      </c>
      <c r="Z127" s="25"/>
      <c r="AA127" s="25"/>
      <c r="AB127" s="25"/>
      <c r="AC127" s="3" t="str">
        <f>IF(Caja_Finanzas[[#This Row],[FECHA]]&gt;0,TEXT(Caja_Finanzas[[#This Row],[FECHA]],"mmmm"),0)</f>
        <v>Febrero</v>
      </c>
    </row>
    <row r="128" spans="2:29" ht="24" x14ac:dyDescent="0.3">
      <c r="B128" s="2">
        <f>IF(Caja_Finanzas[[#This Row],[TIPO DE R.]]="R",COUNTIFS($D$4:$D127,"R")+1,"")</f>
        <v>115</v>
      </c>
      <c r="C128" s="19" t="str">
        <f t="shared" si="9"/>
        <v>C-Finanzas</v>
      </c>
      <c r="D128" s="3" t="s">
        <v>1074</v>
      </c>
      <c r="E128" s="14">
        <v>45691</v>
      </c>
      <c r="F128" s="5" t="s">
        <v>5307</v>
      </c>
      <c r="G128" s="5" t="s">
        <v>1079</v>
      </c>
      <c r="H128" s="5"/>
      <c r="I128" s="6"/>
      <c r="J128" s="6"/>
      <c r="K128" s="6"/>
      <c r="L128" s="6"/>
      <c r="M128" s="7" t="s">
        <v>5483</v>
      </c>
      <c r="N128" s="8" t="str">
        <f>"CFI"&amp;".D"&amp;TEXT(Caja_Finanzas[[#This Row],[FECHA]],"DD-MM")&amp;"-"&amp;TEXT(Caja_Finanzas[[#This Row],[ITEM]],"0000")</f>
        <v>CFI.D03-02-0115</v>
      </c>
      <c r="O128" s="8" t="str">
        <f t="shared" si="10"/>
        <v>PEN</v>
      </c>
      <c r="P128" s="13"/>
      <c r="Q128" s="13">
        <v>40</v>
      </c>
      <c r="R128" s="3">
        <f t="shared" si="6"/>
        <v>0</v>
      </c>
      <c r="S128" s="3">
        <f t="shared" si="7"/>
        <v>40</v>
      </c>
      <c r="T128" s="3">
        <f t="shared" si="8"/>
        <v>296.89999999999941</v>
      </c>
      <c r="U128" s="24"/>
      <c r="V128" s="24"/>
      <c r="W128" s="3"/>
      <c r="X128" s="25" t="s">
        <v>5484</v>
      </c>
      <c r="Y128" s="25" t="s">
        <v>5485</v>
      </c>
      <c r="Z128" s="25"/>
      <c r="AA128" s="25"/>
      <c r="AB128" s="25"/>
      <c r="AC128" s="3" t="str">
        <f>IF(Caja_Finanzas[[#This Row],[FECHA]]&gt;0,TEXT(Caja_Finanzas[[#This Row],[FECHA]],"mmmm"),0)</f>
        <v>Febrero</v>
      </c>
    </row>
    <row r="129" spans="2:29" ht="24" x14ac:dyDescent="0.3">
      <c r="B129" s="2">
        <f>IF(Caja_Finanzas[[#This Row],[TIPO DE R.]]="R",COUNTIFS($D$4:$D128,"R")+1,"")</f>
        <v>116</v>
      </c>
      <c r="C129" s="19" t="str">
        <f t="shared" si="9"/>
        <v>C-Finanzas</v>
      </c>
      <c r="D129" s="3" t="s">
        <v>1074</v>
      </c>
      <c r="E129" s="14">
        <v>45692</v>
      </c>
      <c r="F129" s="5" t="s">
        <v>5457</v>
      </c>
      <c r="G129" s="5" t="s">
        <v>1079</v>
      </c>
      <c r="H129" s="5"/>
      <c r="I129" s="6"/>
      <c r="J129" s="6"/>
      <c r="K129" s="6"/>
      <c r="L129" s="6"/>
      <c r="M129" s="7" t="s">
        <v>5486</v>
      </c>
      <c r="N129" s="8" t="str">
        <f>"CFI"&amp;".D"&amp;TEXT(Caja_Finanzas[[#This Row],[FECHA]],"DD-MM")&amp;"-"&amp;TEXT(Caja_Finanzas[[#This Row],[ITEM]],"0000")</f>
        <v>CFI.D04-02-0116</v>
      </c>
      <c r="O129" s="8" t="str">
        <f t="shared" si="10"/>
        <v>PEN</v>
      </c>
      <c r="P129" s="13"/>
      <c r="Q129" s="13">
        <v>1200</v>
      </c>
      <c r="R129" s="3">
        <f t="shared" si="6"/>
        <v>0</v>
      </c>
      <c r="S129" s="3">
        <f t="shared" si="7"/>
        <v>1200</v>
      </c>
      <c r="T129" s="3">
        <f t="shared" si="8"/>
        <v>-903.10000000000059</v>
      </c>
      <c r="U129" s="24"/>
      <c r="V129" s="24"/>
      <c r="W129" s="3"/>
      <c r="X129" s="25"/>
      <c r="Y129" s="25" t="s">
        <v>5487</v>
      </c>
      <c r="Z129" s="25"/>
      <c r="AA129" s="25"/>
      <c r="AB129" s="25"/>
      <c r="AC129" s="3" t="str">
        <f>IF(Caja_Finanzas[[#This Row],[FECHA]]&gt;0,TEXT(Caja_Finanzas[[#This Row],[FECHA]],"mmmm"),0)</f>
        <v>Febrero</v>
      </c>
    </row>
    <row r="130" spans="2:29" x14ac:dyDescent="0.3">
      <c r="B130" s="2">
        <f>IF(Caja_Finanzas[[#This Row],[TIPO DE R.]]="R",COUNTIFS($D$4:$D129,"R")+1,"")</f>
        <v>117</v>
      </c>
      <c r="C130" s="19" t="str">
        <f t="shared" si="9"/>
        <v>C-Finanzas</v>
      </c>
      <c r="D130" s="3" t="s">
        <v>1074</v>
      </c>
      <c r="E130" s="14">
        <v>45692</v>
      </c>
      <c r="F130" s="5" t="s">
        <v>2518</v>
      </c>
      <c r="G130" s="5" t="s">
        <v>1087</v>
      </c>
      <c r="H130" s="5"/>
      <c r="I130" s="6"/>
      <c r="J130" s="6"/>
      <c r="K130" s="6"/>
      <c r="L130" s="6"/>
      <c r="M130" s="7" t="s">
        <v>5156</v>
      </c>
      <c r="N130" s="8" t="str">
        <f>"CFI"&amp;".D"&amp;TEXT(Caja_Finanzas[[#This Row],[FECHA]],"DD-MM")&amp;"-"&amp;TEXT(Caja_Finanzas[[#This Row],[ITEM]],"0000")</f>
        <v>CFI.D04-02-0117</v>
      </c>
      <c r="O130" s="8" t="str">
        <f t="shared" si="10"/>
        <v>PEN</v>
      </c>
      <c r="P130" s="13"/>
      <c r="Q130" s="13">
        <v>587</v>
      </c>
      <c r="R130" s="3">
        <f t="shared" si="6"/>
        <v>587</v>
      </c>
      <c r="S130" s="3">
        <f t="shared" si="7"/>
        <v>0</v>
      </c>
      <c r="T130" s="3">
        <f t="shared" si="8"/>
        <v>-316.10000000000059</v>
      </c>
      <c r="U130" s="24"/>
      <c r="V130" s="24"/>
      <c r="W130" s="3"/>
      <c r="X130" s="25"/>
      <c r="Y130" s="25" t="s">
        <v>5488</v>
      </c>
      <c r="Z130" s="25"/>
      <c r="AA130" s="25"/>
      <c r="AB130" s="25"/>
      <c r="AC130" s="3" t="str">
        <f>IF(Caja_Finanzas[[#This Row],[FECHA]]&gt;0,TEXT(Caja_Finanzas[[#This Row],[FECHA]],"mmmm"),0)</f>
        <v>Febrero</v>
      </c>
    </row>
    <row r="131" spans="2:29" ht="24" x14ac:dyDescent="0.3">
      <c r="B131" s="2">
        <f>IF(Caja_Finanzas[[#This Row],[TIPO DE R.]]="R",COUNTIFS($D$4:$D130,"R")+1,"")</f>
        <v>118</v>
      </c>
      <c r="C131" s="19" t="str">
        <f t="shared" si="9"/>
        <v>C-Finanzas</v>
      </c>
      <c r="D131" s="3" t="s">
        <v>1074</v>
      </c>
      <c r="E131" s="14">
        <v>45692</v>
      </c>
      <c r="F131" s="5" t="s">
        <v>5489</v>
      </c>
      <c r="G131" s="5" t="s">
        <v>1087</v>
      </c>
      <c r="H131" s="5"/>
      <c r="I131" s="6"/>
      <c r="J131" s="6"/>
      <c r="K131" s="6"/>
      <c r="L131" s="6"/>
      <c r="M131" s="7" t="s">
        <v>5156</v>
      </c>
      <c r="N131" s="8" t="str">
        <f>"CFI"&amp;".D"&amp;TEXT(Caja_Finanzas[[#This Row],[FECHA]],"DD-MM")&amp;"-"&amp;TEXT(Caja_Finanzas[[#This Row],[ITEM]],"0000")</f>
        <v>CFI.D04-02-0118</v>
      </c>
      <c r="O131" s="8" t="str">
        <f t="shared" si="10"/>
        <v>PEN</v>
      </c>
      <c r="P131" s="13"/>
      <c r="Q131" s="13">
        <v>580</v>
      </c>
      <c r="R131" s="3">
        <f t="shared" si="6"/>
        <v>580</v>
      </c>
      <c r="S131" s="3">
        <f t="shared" si="7"/>
        <v>0</v>
      </c>
      <c r="T131" s="3">
        <f t="shared" si="8"/>
        <v>263.89999999999941</v>
      </c>
      <c r="U131" s="24"/>
      <c r="V131" s="24"/>
      <c r="W131" s="3"/>
      <c r="X131" s="25"/>
      <c r="Y131" s="25" t="s">
        <v>5490</v>
      </c>
      <c r="Z131" s="25"/>
      <c r="AA131" s="25"/>
      <c r="AB131" s="25"/>
      <c r="AC131" s="3" t="str">
        <f>IF(Caja_Finanzas[[#This Row],[FECHA]]&gt;0,TEXT(Caja_Finanzas[[#This Row],[FECHA]],"mmmm"),0)</f>
        <v>Febrero</v>
      </c>
    </row>
    <row r="132" spans="2:29" x14ac:dyDescent="0.3">
      <c r="B132" s="2">
        <f>IF(Caja_Finanzas[[#This Row],[TIPO DE R.]]="R",COUNTIFS($D$4:$D131,"R")+1,"")</f>
        <v>119</v>
      </c>
      <c r="C132" s="19" t="str">
        <f t="shared" si="9"/>
        <v>C-Finanzas</v>
      </c>
      <c r="D132" s="3" t="s">
        <v>1074</v>
      </c>
      <c r="E132" s="14">
        <v>45692</v>
      </c>
      <c r="F132" s="5" t="s">
        <v>3353</v>
      </c>
      <c r="G132" s="5" t="s">
        <v>1079</v>
      </c>
      <c r="H132" s="5"/>
      <c r="I132" s="6"/>
      <c r="J132" s="6"/>
      <c r="K132" s="6"/>
      <c r="L132" s="6"/>
      <c r="M132" s="7" t="s">
        <v>5397</v>
      </c>
      <c r="N132" s="8" t="str">
        <f>"CFI"&amp;".D"&amp;TEXT(Caja_Finanzas[[#This Row],[FECHA]],"DD-MM")&amp;"-"&amp;TEXT(Caja_Finanzas[[#This Row],[ITEM]],"0000")</f>
        <v>CFI.D04-02-0119</v>
      </c>
      <c r="O132" s="8" t="str">
        <f t="shared" si="10"/>
        <v>PEN</v>
      </c>
      <c r="P132" s="13"/>
      <c r="Q132" s="13">
        <v>800</v>
      </c>
      <c r="R132" s="3">
        <f t="shared" si="6"/>
        <v>0</v>
      </c>
      <c r="S132" s="3">
        <f t="shared" si="7"/>
        <v>800</v>
      </c>
      <c r="T132" s="3">
        <f t="shared" si="8"/>
        <v>-536.10000000000059</v>
      </c>
      <c r="U132" s="24"/>
      <c r="V132" s="24"/>
      <c r="W132" s="3"/>
      <c r="X132" s="25"/>
      <c r="Y132" s="25"/>
      <c r="Z132" s="25"/>
      <c r="AA132" s="25"/>
      <c r="AB132" s="25"/>
      <c r="AC132" s="3" t="str">
        <f>IF(Caja_Finanzas[[#This Row],[FECHA]]&gt;0,TEXT(Caja_Finanzas[[#This Row],[FECHA]],"mmmm"),0)</f>
        <v>Febrero</v>
      </c>
    </row>
    <row r="133" spans="2:29" ht="24" x14ac:dyDescent="0.3">
      <c r="B133" s="2">
        <f>IF(Caja_Finanzas[[#This Row],[TIPO DE R.]]="R",COUNTIFS($D$4:$D132,"R")+1,"")</f>
        <v>120</v>
      </c>
      <c r="C133" s="19" t="str">
        <f t="shared" si="9"/>
        <v>C-Finanzas</v>
      </c>
      <c r="D133" s="3" t="s">
        <v>1074</v>
      </c>
      <c r="E133" s="14">
        <v>45693</v>
      </c>
      <c r="F133" s="5" t="s">
        <v>5347</v>
      </c>
      <c r="G133" s="5" t="s">
        <v>1079</v>
      </c>
      <c r="H133" s="5"/>
      <c r="I133" s="6"/>
      <c r="J133" s="6"/>
      <c r="K133" s="6"/>
      <c r="L133" s="6"/>
      <c r="M133" s="7" t="s">
        <v>5491</v>
      </c>
      <c r="N133" s="8" t="str">
        <f>"CFI"&amp;".D"&amp;TEXT(Caja_Finanzas[[#This Row],[FECHA]],"DD-MM")&amp;"-"&amp;TEXT(Caja_Finanzas[[#This Row],[ITEM]],"0000")</f>
        <v>CFI.D05-02-0120</v>
      </c>
      <c r="O133" s="8" t="str">
        <f t="shared" si="10"/>
        <v>PEN</v>
      </c>
      <c r="P133" s="13"/>
      <c r="Q133" s="13">
        <v>100</v>
      </c>
      <c r="R133" s="3">
        <f t="shared" ref="R133:R196" si="11">+IF(OR($G133="SALDO",$G133="INGRESO"),$Q133,0)</f>
        <v>0</v>
      </c>
      <c r="S133" s="3">
        <f t="shared" ref="S133:S196" si="12">+IF($G133="EGRESO",$Q133,0)</f>
        <v>100</v>
      </c>
      <c r="T133" s="3">
        <f t="shared" ref="T133:T196" si="13">IFERROR(IF(G133="SALDO",R133,T132+R133-S133),0)</f>
        <v>-636.10000000000059</v>
      </c>
      <c r="U133" s="24"/>
      <c r="V133" s="24"/>
      <c r="W133" s="3"/>
      <c r="X133" s="25" t="s">
        <v>5492</v>
      </c>
      <c r="Y133" s="25" t="s">
        <v>5493</v>
      </c>
      <c r="Z133" s="25"/>
      <c r="AA133" s="25"/>
      <c r="AB133" s="25"/>
      <c r="AC133" s="3" t="str">
        <f>IF(Caja_Finanzas[[#This Row],[FECHA]]&gt;0,TEXT(Caja_Finanzas[[#This Row],[FECHA]],"mmmm"),0)</f>
        <v>Febrero</v>
      </c>
    </row>
    <row r="134" spans="2:29" ht="24" x14ac:dyDescent="0.3">
      <c r="B134" s="2">
        <f>IF(Caja_Finanzas[[#This Row],[TIPO DE R.]]="R",COUNTIFS($D$4:$D133,"R")+1,"")</f>
        <v>121</v>
      </c>
      <c r="C134" s="19" t="str">
        <f t="shared" ref="C134:C197" si="14">"C-Finanzas"</f>
        <v>C-Finanzas</v>
      </c>
      <c r="D134" s="3" t="s">
        <v>1074</v>
      </c>
      <c r="E134" s="14">
        <v>45693</v>
      </c>
      <c r="F134" s="5" t="s">
        <v>1536</v>
      </c>
      <c r="G134" s="5" t="s">
        <v>1087</v>
      </c>
      <c r="H134" s="5"/>
      <c r="I134" s="6"/>
      <c r="J134" s="6"/>
      <c r="K134" s="6"/>
      <c r="L134" s="6"/>
      <c r="M134" s="7" t="s">
        <v>5156</v>
      </c>
      <c r="N134" s="8" t="str">
        <f>"CFI"&amp;".D"&amp;TEXT(Caja_Finanzas[[#This Row],[FECHA]],"DD-MM")&amp;"-"&amp;TEXT(Caja_Finanzas[[#This Row],[ITEM]],"0000")</f>
        <v>CFI.D05-02-0121</v>
      </c>
      <c r="O134" s="8" t="str">
        <f t="shared" ref="O134:O197" si="15">"PEN"</f>
        <v>PEN</v>
      </c>
      <c r="P134" s="13"/>
      <c r="Q134" s="13">
        <v>100</v>
      </c>
      <c r="R134" s="3">
        <f t="shared" si="11"/>
        <v>100</v>
      </c>
      <c r="S134" s="3">
        <f t="shared" si="12"/>
        <v>0</v>
      </c>
      <c r="T134" s="3">
        <f t="shared" si="13"/>
        <v>-536.10000000000059</v>
      </c>
      <c r="U134" s="24"/>
      <c r="V134" s="24"/>
      <c r="W134" s="3"/>
      <c r="X134" s="25"/>
      <c r="Y134" s="25" t="s">
        <v>1537</v>
      </c>
      <c r="Z134" s="25"/>
      <c r="AA134" s="25"/>
      <c r="AB134" s="25"/>
      <c r="AC134" s="3" t="str">
        <f>IF(Caja_Finanzas[[#This Row],[FECHA]]&gt;0,TEXT(Caja_Finanzas[[#This Row],[FECHA]],"mmmm"),0)</f>
        <v>Febrero</v>
      </c>
    </row>
    <row r="135" spans="2:29" ht="24" x14ac:dyDescent="0.3">
      <c r="B135" s="2">
        <f>IF(Caja_Finanzas[[#This Row],[TIPO DE R.]]="R",COUNTIFS($D$4:$D134,"R")+1,"")</f>
        <v>122</v>
      </c>
      <c r="C135" s="19" t="str">
        <f t="shared" si="14"/>
        <v>C-Finanzas</v>
      </c>
      <c r="D135" s="3" t="s">
        <v>1074</v>
      </c>
      <c r="E135" s="14">
        <v>45693</v>
      </c>
      <c r="F135" s="5" t="s">
        <v>5494</v>
      </c>
      <c r="G135" s="5" t="s">
        <v>1087</v>
      </c>
      <c r="H135" s="5"/>
      <c r="I135" s="6"/>
      <c r="J135" s="6"/>
      <c r="K135" s="6"/>
      <c r="L135" s="6"/>
      <c r="M135" s="7" t="s">
        <v>5156</v>
      </c>
      <c r="N135" s="8" t="str">
        <f>"CFI"&amp;".D"&amp;TEXT(Caja_Finanzas[[#This Row],[FECHA]],"DD-MM")&amp;"-"&amp;TEXT(Caja_Finanzas[[#This Row],[ITEM]],"0000")</f>
        <v>CFI.D05-02-0122</v>
      </c>
      <c r="O135" s="8" t="str">
        <f t="shared" si="15"/>
        <v>PEN</v>
      </c>
      <c r="P135" s="13"/>
      <c r="Q135" s="13">
        <v>300</v>
      </c>
      <c r="R135" s="3">
        <f t="shared" si="11"/>
        <v>300</v>
      </c>
      <c r="S135" s="3">
        <f t="shared" si="12"/>
        <v>0</v>
      </c>
      <c r="T135" s="3">
        <f t="shared" si="13"/>
        <v>-236.10000000000059</v>
      </c>
      <c r="U135" s="24"/>
      <c r="V135" s="24"/>
      <c r="W135" s="3"/>
      <c r="X135" s="25"/>
      <c r="Y135" s="25" t="s">
        <v>5495</v>
      </c>
      <c r="Z135" s="25"/>
      <c r="AA135" s="25"/>
      <c r="AB135" s="25"/>
      <c r="AC135" s="3" t="str">
        <f>IF(Caja_Finanzas[[#This Row],[FECHA]]&gt;0,TEXT(Caja_Finanzas[[#This Row],[FECHA]],"mmmm"),0)</f>
        <v>Febrero</v>
      </c>
    </row>
    <row r="136" spans="2:29" ht="24" x14ac:dyDescent="0.3">
      <c r="B136" s="2">
        <f>IF(Caja_Finanzas[[#This Row],[TIPO DE R.]]="R",COUNTIFS($D$4:$D135,"R")+1,"")</f>
        <v>123</v>
      </c>
      <c r="C136" s="19" t="str">
        <f t="shared" si="14"/>
        <v>C-Finanzas</v>
      </c>
      <c r="D136" s="3" t="s">
        <v>1074</v>
      </c>
      <c r="E136" s="14">
        <v>45693</v>
      </c>
      <c r="F136" s="5" t="s">
        <v>5347</v>
      </c>
      <c r="G136" s="5" t="s">
        <v>1079</v>
      </c>
      <c r="H136" s="5"/>
      <c r="I136" s="6"/>
      <c r="J136" s="6"/>
      <c r="K136" s="6"/>
      <c r="L136" s="6"/>
      <c r="M136" s="7" t="s">
        <v>5496</v>
      </c>
      <c r="N136" s="8" t="str">
        <f>"CFI"&amp;".D"&amp;TEXT(Caja_Finanzas[[#This Row],[FECHA]],"DD-MM")&amp;"-"&amp;TEXT(Caja_Finanzas[[#This Row],[ITEM]],"0000")</f>
        <v>CFI.D05-02-0123</v>
      </c>
      <c r="O136" s="8" t="str">
        <f t="shared" si="15"/>
        <v>PEN</v>
      </c>
      <c r="P136" s="13"/>
      <c r="Q136" s="13">
        <v>10</v>
      </c>
      <c r="R136" s="3">
        <f t="shared" si="11"/>
        <v>0</v>
      </c>
      <c r="S136" s="3">
        <f t="shared" si="12"/>
        <v>10</v>
      </c>
      <c r="T136" s="3">
        <f t="shared" si="13"/>
        <v>-246.10000000000059</v>
      </c>
      <c r="U136" s="24"/>
      <c r="V136" s="24"/>
      <c r="W136" s="3"/>
      <c r="X136" s="25" t="s">
        <v>720</v>
      </c>
      <c r="Y136" s="25" t="s">
        <v>1487</v>
      </c>
      <c r="Z136" s="25"/>
      <c r="AA136" s="25"/>
      <c r="AB136" s="25"/>
      <c r="AC136" s="3" t="str">
        <f>IF(Caja_Finanzas[[#This Row],[FECHA]]&gt;0,TEXT(Caja_Finanzas[[#This Row],[FECHA]],"mmmm"),0)</f>
        <v>Febrero</v>
      </c>
    </row>
    <row r="137" spans="2:29" ht="24" x14ac:dyDescent="0.3">
      <c r="B137" s="2">
        <f>IF(Caja_Finanzas[[#This Row],[TIPO DE R.]]="R",COUNTIFS($D$4:$D136,"R")+1,"")</f>
        <v>124</v>
      </c>
      <c r="C137" s="19" t="str">
        <f t="shared" si="14"/>
        <v>C-Finanzas</v>
      </c>
      <c r="D137" s="3" t="s">
        <v>1074</v>
      </c>
      <c r="E137" s="14">
        <v>45694</v>
      </c>
      <c r="F137" s="5" t="s">
        <v>234</v>
      </c>
      <c r="G137" s="5" t="s">
        <v>1087</v>
      </c>
      <c r="H137" s="5"/>
      <c r="I137" s="6"/>
      <c r="J137" s="6"/>
      <c r="K137" s="6"/>
      <c r="L137" s="6"/>
      <c r="M137" s="7" t="s">
        <v>5156</v>
      </c>
      <c r="N137" s="8" t="str">
        <f>"CFI"&amp;".D"&amp;TEXT(Caja_Finanzas[[#This Row],[FECHA]],"DD-MM")&amp;"-"&amp;TEXT(Caja_Finanzas[[#This Row],[ITEM]],"0000")</f>
        <v>CFI.D06-02-0124</v>
      </c>
      <c r="O137" s="8" t="str">
        <f t="shared" si="15"/>
        <v>PEN</v>
      </c>
      <c r="P137" s="13"/>
      <c r="Q137" s="13">
        <v>64</v>
      </c>
      <c r="R137" s="3">
        <f t="shared" si="11"/>
        <v>64</v>
      </c>
      <c r="S137" s="3">
        <f t="shared" si="12"/>
        <v>0</v>
      </c>
      <c r="T137" s="3">
        <f t="shared" si="13"/>
        <v>-182.10000000000059</v>
      </c>
      <c r="U137" s="24"/>
      <c r="V137" s="24"/>
      <c r="W137" s="3"/>
      <c r="X137" s="25"/>
      <c r="Y137" s="25" t="s">
        <v>5497</v>
      </c>
      <c r="Z137" s="25"/>
      <c r="AA137" s="25"/>
      <c r="AB137" s="25"/>
      <c r="AC137" s="3" t="str">
        <f>IF(Caja_Finanzas[[#This Row],[FECHA]]&gt;0,TEXT(Caja_Finanzas[[#This Row],[FECHA]],"mmmm"),0)</f>
        <v>Febrero</v>
      </c>
    </row>
    <row r="138" spans="2:29" ht="24" x14ac:dyDescent="0.3">
      <c r="B138" s="2">
        <f>IF(Caja_Finanzas[[#This Row],[TIPO DE R.]]="R",COUNTIFS($D$4:$D137,"R")+1,"")</f>
        <v>125</v>
      </c>
      <c r="C138" s="19" t="str">
        <f t="shared" si="14"/>
        <v>C-Finanzas</v>
      </c>
      <c r="D138" s="3" t="s">
        <v>1074</v>
      </c>
      <c r="E138" s="14">
        <v>45695</v>
      </c>
      <c r="F138" s="5" t="s">
        <v>3816</v>
      </c>
      <c r="G138" s="5" t="s">
        <v>1087</v>
      </c>
      <c r="H138" s="5"/>
      <c r="I138" s="6"/>
      <c r="J138" s="6"/>
      <c r="K138" s="6"/>
      <c r="L138" s="6"/>
      <c r="M138" s="7" t="s">
        <v>5156</v>
      </c>
      <c r="N138" s="8" t="str">
        <f>"CFI"&amp;".D"&amp;TEXT(Caja_Finanzas[[#This Row],[FECHA]],"DD-MM")&amp;"-"&amp;TEXT(Caja_Finanzas[[#This Row],[ITEM]],"0000")</f>
        <v>CFI.D07-02-0125</v>
      </c>
      <c r="O138" s="8" t="str">
        <f t="shared" si="15"/>
        <v>PEN</v>
      </c>
      <c r="P138" s="13"/>
      <c r="Q138" s="13">
        <v>1000</v>
      </c>
      <c r="R138" s="3">
        <f t="shared" si="11"/>
        <v>1000</v>
      </c>
      <c r="S138" s="3">
        <f t="shared" si="12"/>
        <v>0</v>
      </c>
      <c r="T138" s="3">
        <f t="shared" si="13"/>
        <v>817.89999999999941</v>
      </c>
      <c r="U138" s="24"/>
      <c r="V138" s="24"/>
      <c r="W138" s="3"/>
      <c r="X138" s="25"/>
      <c r="Y138" s="25" t="s">
        <v>5399</v>
      </c>
      <c r="Z138" s="25"/>
      <c r="AA138" s="25"/>
      <c r="AB138" s="25"/>
      <c r="AC138" s="3" t="str">
        <f>IF(Caja_Finanzas[[#This Row],[FECHA]]&gt;0,TEXT(Caja_Finanzas[[#This Row],[FECHA]],"mmmm"),0)</f>
        <v>Febrero</v>
      </c>
    </row>
    <row r="139" spans="2:29" ht="36" x14ac:dyDescent="0.3">
      <c r="B139" s="2">
        <f>IF(Caja_Finanzas[[#This Row],[TIPO DE R.]]="R",COUNTIFS($D$4:$D138,"R")+1,"")</f>
        <v>126</v>
      </c>
      <c r="C139" s="19" t="str">
        <f t="shared" si="14"/>
        <v>C-Finanzas</v>
      </c>
      <c r="D139" s="3" t="s">
        <v>1074</v>
      </c>
      <c r="E139" s="14">
        <v>45695</v>
      </c>
      <c r="F139" s="5" t="s">
        <v>5301</v>
      </c>
      <c r="G139" s="5" t="s">
        <v>1079</v>
      </c>
      <c r="H139" s="5"/>
      <c r="I139" s="6"/>
      <c r="J139" s="6"/>
      <c r="K139" s="6"/>
      <c r="L139" s="6"/>
      <c r="M139" s="7" t="s">
        <v>5498</v>
      </c>
      <c r="N139" s="8" t="str">
        <f>"CFI"&amp;".D"&amp;TEXT(Caja_Finanzas[[#This Row],[FECHA]],"DD-MM")&amp;"-"&amp;TEXT(Caja_Finanzas[[#This Row],[ITEM]],"0000")</f>
        <v>CFI.D07-02-0126</v>
      </c>
      <c r="O139" s="8" t="str">
        <f t="shared" si="15"/>
        <v>PEN</v>
      </c>
      <c r="P139" s="13"/>
      <c r="Q139" s="13">
        <v>610</v>
      </c>
      <c r="R139" s="3">
        <f t="shared" si="11"/>
        <v>0</v>
      </c>
      <c r="S139" s="3">
        <f t="shared" si="12"/>
        <v>610</v>
      </c>
      <c r="T139" s="3">
        <f t="shared" si="13"/>
        <v>207.89999999999941</v>
      </c>
      <c r="U139" s="24"/>
      <c r="V139" s="24"/>
      <c r="W139" s="3"/>
      <c r="X139" s="25"/>
      <c r="Y139" s="25" t="s">
        <v>5499</v>
      </c>
      <c r="Z139" s="25"/>
      <c r="AA139" s="25"/>
      <c r="AB139" s="25"/>
      <c r="AC139" s="3" t="str">
        <f>IF(Caja_Finanzas[[#This Row],[FECHA]]&gt;0,TEXT(Caja_Finanzas[[#This Row],[FECHA]],"mmmm"),0)</f>
        <v>Febrero</v>
      </c>
    </row>
    <row r="140" spans="2:29" ht="48" x14ac:dyDescent="0.3">
      <c r="B140" s="2">
        <f>IF(Caja_Finanzas[[#This Row],[TIPO DE R.]]="R",COUNTIFS($D$4:$D139,"R")+1,"")</f>
        <v>127</v>
      </c>
      <c r="C140" s="19" t="str">
        <f t="shared" si="14"/>
        <v>C-Finanzas</v>
      </c>
      <c r="D140" s="3" t="s">
        <v>1074</v>
      </c>
      <c r="E140" s="14">
        <v>45695</v>
      </c>
      <c r="F140" s="5" t="s">
        <v>5307</v>
      </c>
      <c r="G140" s="5" t="s">
        <v>1079</v>
      </c>
      <c r="H140" s="5"/>
      <c r="I140" s="6"/>
      <c r="J140" s="6"/>
      <c r="K140" s="6"/>
      <c r="L140" s="6"/>
      <c r="M140" s="7" t="s">
        <v>5500</v>
      </c>
      <c r="N140" s="8" t="str">
        <f>"CFI"&amp;".D"&amp;TEXT(Caja_Finanzas[[#This Row],[FECHA]],"DD-MM")&amp;"-"&amp;TEXT(Caja_Finanzas[[#This Row],[ITEM]],"0000")</f>
        <v>CFI.D07-02-0127</v>
      </c>
      <c r="O140" s="8" t="str">
        <f t="shared" si="15"/>
        <v>PEN</v>
      </c>
      <c r="P140" s="13"/>
      <c r="Q140" s="13">
        <v>100</v>
      </c>
      <c r="R140" s="3">
        <f t="shared" si="11"/>
        <v>0</v>
      </c>
      <c r="S140" s="3">
        <f t="shared" si="12"/>
        <v>100</v>
      </c>
      <c r="T140" s="3">
        <f t="shared" si="13"/>
        <v>107.89999999999941</v>
      </c>
      <c r="U140" s="24"/>
      <c r="V140" s="24"/>
      <c r="W140" s="3"/>
      <c r="X140" s="25"/>
      <c r="Y140" s="25" t="s">
        <v>5501</v>
      </c>
      <c r="Z140" s="25"/>
      <c r="AA140" s="25"/>
      <c r="AB140" s="25"/>
      <c r="AC140" s="3" t="str">
        <f>IF(Caja_Finanzas[[#This Row],[FECHA]]&gt;0,TEXT(Caja_Finanzas[[#This Row],[FECHA]],"mmmm"),0)</f>
        <v>Febrero</v>
      </c>
    </row>
    <row r="141" spans="2:29" ht="48" x14ac:dyDescent="0.3">
      <c r="B141" s="2">
        <f>IF(Caja_Finanzas[[#This Row],[TIPO DE R.]]="R",COUNTIFS($D$4:$D140,"R")+1,"")</f>
        <v>128</v>
      </c>
      <c r="C141" s="19" t="str">
        <f t="shared" si="14"/>
        <v>C-Finanzas</v>
      </c>
      <c r="D141" s="3" t="s">
        <v>1074</v>
      </c>
      <c r="E141" s="14">
        <v>45695</v>
      </c>
      <c r="F141" s="5" t="s">
        <v>5307</v>
      </c>
      <c r="G141" s="5" t="s">
        <v>1079</v>
      </c>
      <c r="H141" s="5"/>
      <c r="I141" s="6"/>
      <c r="J141" s="6"/>
      <c r="K141" s="6"/>
      <c r="L141" s="6"/>
      <c r="M141" s="7" t="s">
        <v>5502</v>
      </c>
      <c r="N141" s="8" t="str">
        <f>"CFI"&amp;".D"&amp;TEXT(Caja_Finanzas[[#This Row],[FECHA]],"DD-MM")&amp;"-"&amp;TEXT(Caja_Finanzas[[#This Row],[ITEM]],"0000")</f>
        <v>CFI.D07-02-0128</v>
      </c>
      <c r="O141" s="8" t="str">
        <f t="shared" si="15"/>
        <v>PEN</v>
      </c>
      <c r="P141" s="13"/>
      <c r="Q141" s="13">
        <v>750</v>
      </c>
      <c r="R141" s="3">
        <f t="shared" si="11"/>
        <v>0</v>
      </c>
      <c r="S141" s="3">
        <f t="shared" si="12"/>
        <v>750</v>
      </c>
      <c r="T141" s="3">
        <f t="shared" si="13"/>
        <v>-642.10000000000059</v>
      </c>
      <c r="U141" s="24"/>
      <c r="V141" s="24"/>
      <c r="W141" s="3"/>
      <c r="X141" s="25"/>
      <c r="Y141" s="25" t="s">
        <v>5503</v>
      </c>
      <c r="Z141" s="25"/>
      <c r="AA141" s="25"/>
      <c r="AB141" s="25"/>
      <c r="AC141" s="3" t="str">
        <f>IF(Caja_Finanzas[[#This Row],[FECHA]]&gt;0,TEXT(Caja_Finanzas[[#This Row],[FECHA]],"mmmm"),0)</f>
        <v>Febrero</v>
      </c>
    </row>
    <row r="142" spans="2:29" ht="48" x14ac:dyDescent="0.3">
      <c r="B142" s="2">
        <f>IF(Caja_Finanzas[[#This Row],[TIPO DE R.]]="R",COUNTIFS($D$4:$D141,"R")+1,"")</f>
        <v>129</v>
      </c>
      <c r="C142" s="19" t="str">
        <f t="shared" si="14"/>
        <v>C-Finanzas</v>
      </c>
      <c r="D142" s="3" t="s">
        <v>1074</v>
      </c>
      <c r="E142" s="14">
        <v>45695</v>
      </c>
      <c r="F142" s="5" t="s">
        <v>5307</v>
      </c>
      <c r="G142" s="5" t="s">
        <v>1079</v>
      </c>
      <c r="H142" s="5"/>
      <c r="I142" s="6"/>
      <c r="J142" s="6"/>
      <c r="K142" s="6"/>
      <c r="L142" s="6"/>
      <c r="M142" s="7" t="s">
        <v>5504</v>
      </c>
      <c r="N142" s="8" t="str">
        <f>"CFI"&amp;".D"&amp;TEXT(Caja_Finanzas[[#This Row],[FECHA]],"DD-MM")&amp;"-"&amp;TEXT(Caja_Finanzas[[#This Row],[ITEM]],"0000")</f>
        <v>CFI.D07-02-0129</v>
      </c>
      <c r="O142" s="8" t="str">
        <f t="shared" si="15"/>
        <v>PEN</v>
      </c>
      <c r="P142" s="13"/>
      <c r="Q142" s="13">
        <v>550</v>
      </c>
      <c r="R142" s="3">
        <f t="shared" si="11"/>
        <v>0</v>
      </c>
      <c r="S142" s="3">
        <f t="shared" si="12"/>
        <v>550</v>
      </c>
      <c r="T142" s="3">
        <f t="shared" si="13"/>
        <v>-1192.1000000000006</v>
      </c>
      <c r="U142" s="24"/>
      <c r="V142" s="24"/>
      <c r="W142" s="3"/>
      <c r="X142" s="25"/>
      <c r="Y142" s="25" t="s">
        <v>5503</v>
      </c>
      <c r="Z142" s="25"/>
      <c r="AA142" s="25"/>
      <c r="AB142" s="25"/>
      <c r="AC142" s="3" t="str">
        <f>IF(Caja_Finanzas[[#This Row],[FECHA]]&gt;0,TEXT(Caja_Finanzas[[#This Row],[FECHA]],"mmmm"),0)</f>
        <v>Febrero</v>
      </c>
    </row>
    <row r="143" spans="2:29" ht="48" x14ac:dyDescent="0.3">
      <c r="B143" s="2">
        <f>IF(Caja_Finanzas[[#This Row],[TIPO DE R.]]="R",COUNTIFS($D$4:$D142,"R")+1,"")</f>
        <v>130</v>
      </c>
      <c r="C143" s="19" t="str">
        <f t="shared" si="14"/>
        <v>C-Finanzas</v>
      </c>
      <c r="D143" s="3" t="s">
        <v>1074</v>
      </c>
      <c r="E143" s="14">
        <v>45695</v>
      </c>
      <c r="F143" s="5" t="s">
        <v>5301</v>
      </c>
      <c r="G143" s="5" t="s">
        <v>1079</v>
      </c>
      <c r="H143" s="5"/>
      <c r="I143" s="6"/>
      <c r="J143" s="6"/>
      <c r="K143" s="6"/>
      <c r="L143" s="6"/>
      <c r="M143" s="7" t="s">
        <v>5505</v>
      </c>
      <c r="N143" s="8" t="str">
        <f>"CFI"&amp;".D"&amp;TEXT(Caja_Finanzas[[#This Row],[FECHA]],"DD-MM")&amp;"-"&amp;TEXT(Caja_Finanzas[[#This Row],[ITEM]],"0000")</f>
        <v>CFI.D07-02-0130</v>
      </c>
      <c r="O143" s="8" t="str">
        <f t="shared" si="15"/>
        <v>PEN</v>
      </c>
      <c r="P143" s="13"/>
      <c r="Q143" s="13">
        <v>39.6</v>
      </c>
      <c r="R143" s="3">
        <f t="shared" si="11"/>
        <v>0</v>
      </c>
      <c r="S143" s="3">
        <f t="shared" si="12"/>
        <v>39.6</v>
      </c>
      <c r="T143" s="3">
        <f t="shared" si="13"/>
        <v>-1231.7000000000005</v>
      </c>
      <c r="U143" s="24"/>
      <c r="V143" s="24"/>
      <c r="W143" s="3"/>
      <c r="X143" s="25"/>
      <c r="Y143" s="25" t="s">
        <v>5506</v>
      </c>
      <c r="Z143" s="25"/>
      <c r="AA143" s="25"/>
      <c r="AB143" s="25"/>
      <c r="AC143" s="3" t="str">
        <f>IF(Caja_Finanzas[[#This Row],[FECHA]]&gt;0,TEXT(Caja_Finanzas[[#This Row],[FECHA]],"mmmm"),0)</f>
        <v>Febrero</v>
      </c>
    </row>
    <row r="144" spans="2:29" x14ac:dyDescent="0.3">
      <c r="B144" s="2">
        <f>IF(Caja_Finanzas[[#This Row],[TIPO DE R.]]="R",COUNTIFS($D$4:$D143,"R")+1,"")</f>
        <v>131</v>
      </c>
      <c r="C144" s="19" t="str">
        <f t="shared" si="14"/>
        <v>C-Finanzas</v>
      </c>
      <c r="D144" s="3" t="s">
        <v>1074</v>
      </c>
      <c r="E144" s="14">
        <v>45698</v>
      </c>
      <c r="F144" s="5" t="s">
        <v>3353</v>
      </c>
      <c r="G144" s="5" t="s">
        <v>1087</v>
      </c>
      <c r="H144" s="5"/>
      <c r="I144" s="6"/>
      <c r="J144" s="6"/>
      <c r="K144" s="6"/>
      <c r="L144" s="6"/>
      <c r="M144" s="7" t="s">
        <v>5507</v>
      </c>
      <c r="N144" s="8" t="str">
        <f>"CFI"&amp;".D"&amp;TEXT(Caja_Finanzas[[#This Row],[FECHA]],"DD-MM")&amp;"-"&amp;TEXT(Caja_Finanzas[[#This Row],[ITEM]],"0000")</f>
        <v>CFI.D10-02-0131</v>
      </c>
      <c r="O144" s="8" t="str">
        <f t="shared" si="15"/>
        <v>PEN</v>
      </c>
      <c r="P144" s="13"/>
      <c r="Q144" s="13">
        <v>1100</v>
      </c>
      <c r="R144" s="3">
        <f t="shared" si="11"/>
        <v>1100</v>
      </c>
      <c r="S144" s="3">
        <f t="shared" si="12"/>
        <v>0</v>
      </c>
      <c r="T144" s="3">
        <f t="shared" si="13"/>
        <v>-131.7000000000005</v>
      </c>
      <c r="U144" s="24"/>
      <c r="V144" s="24"/>
      <c r="W144" s="3"/>
      <c r="X144" s="25"/>
      <c r="Y144" s="25"/>
      <c r="Z144" s="25"/>
      <c r="AA144" s="25"/>
      <c r="AB144" s="25"/>
      <c r="AC144" s="3" t="str">
        <f>IF(Caja_Finanzas[[#This Row],[FECHA]]&gt;0,TEXT(Caja_Finanzas[[#This Row],[FECHA]],"mmmm"),0)</f>
        <v>Febrero</v>
      </c>
    </row>
    <row r="145" spans="2:29" ht="24" x14ac:dyDescent="0.3">
      <c r="B145" s="2">
        <f>IF(Caja_Finanzas[[#This Row],[TIPO DE R.]]="R",COUNTIFS($D$4:$D144,"R")+1,"")</f>
        <v>132</v>
      </c>
      <c r="C145" s="19" t="str">
        <f t="shared" si="14"/>
        <v>C-Finanzas</v>
      </c>
      <c r="D145" s="3" t="s">
        <v>1074</v>
      </c>
      <c r="E145" s="14">
        <v>45699</v>
      </c>
      <c r="F145" s="5" t="s">
        <v>5352</v>
      </c>
      <c r="G145" s="5" t="s">
        <v>1079</v>
      </c>
      <c r="H145" s="5"/>
      <c r="I145" s="6"/>
      <c r="J145" s="6"/>
      <c r="K145" s="6"/>
      <c r="L145" s="6"/>
      <c r="M145" s="7" t="s">
        <v>5508</v>
      </c>
      <c r="N145" s="8" t="str">
        <f>"CFI"&amp;".D"&amp;TEXT(Caja_Finanzas[[#This Row],[FECHA]],"DD-MM")&amp;"-"&amp;TEXT(Caja_Finanzas[[#This Row],[ITEM]],"0000")</f>
        <v>CFI.D11-02-0132</v>
      </c>
      <c r="O145" s="8" t="str">
        <f t="shared" si="15"/>
        <v>PEN</v>
      </c>
      <c r="P145" s="13"/>
      <c r="Q145" s="13">
        <v>204.9</v>
      </c>
      <c r="R145" s="3">
        <f t="shared" si="11"/>
        <v>0</v>
      </c>
      <c r="S145" s="3">
        <f t="shared" si="12"/>
        <v>204.9</v>
      </c>
      <c r="T145" s="3">
        <f t="shared" si="13"/>
        <v>-336.60000000000048</v>
      </c>
      <c r="U145" s="24"/>
      <c r="V145" s="24"/>
      <c r="W145" s="3"/>
      <c r="X145" s="25"/>
      <c r="Y145" s="25" t="s">
        <v>5509</v>
      </c>
      <c r="Z145" s="25"/>
      <c r="AA145" s="25"/>
      <c r="AB145" s="25"/>
      <c r="AC145" s="3" t="str">
        <f>IF(Caja_Finanzas[[#This Row],[FECHA]]&gt;0,TEXT(Caja_Finanzas[[#This Row],[FECHA]],"mmmm"),0)</f>
        <v>Febrero</v>
      </c>
    </row>
    <row r="146" spans="2:29" x14ac:dyDescent="0.3">
      <c r="B146" s="2">
        <f>IF(Caja_Finanzas[[#This Row],[TIPO DE R.]]="R",COUNTIFS($D$4:$D145,"R")+1,"")</f>
        <v>133</v>
      </c>
      <c r="C146" s="19" t="str">
        <f t="shared" si="14"/>
        <v>C-Finanzas</v>
      </c>
      <c r="D146" s="3" t="s">
        <v>1074</v>
      </c>
      <c r="E146" s="14">
        <v>45699</v>
      </c>
      <c r="F146" s="5" t="s">
        <v>1239</v>
      </c>
      <c r="G146" s="5" t="s">
        <v>1087</v>
      </c>
      <c r="H146" s="5"/>
      <c r="I146" s="6"/>
      <c r="J146" s="6"/>
      <c r="K146" s="6"/>
      <c r="L146" s="6"/>
      <c r="M146" s="7" t="s">
        <v>5156</v>
      </c>
      <c r="N146" s="8" t="str">
        <f>"CFI"&amp;".D"&amp;TEXT(Caja_Finanzas[[#This Row],[FECHA]],"DD-MM")&amp;"-"&amp;TEXT(Caja_Finanzas[[#This Row],[ITEM]],"0000")</f>
        <v>CFI.D11-02-0133</v>
      </c>
      <c r="O146" s="8" t="str">
        <f t="shared" si="15"/>
        <v>PEN</v>
      </c>
      <c r="P146" s="13"/>
      <c r="Q146" s="13">
        <v>120</v>
      </c>
      <c r="R146" s="3">
        <f t="shared" si="11"/>
        <v>120</v>
      </c>
      <c r="S146" s="3">
        <f t="shared" si="12"/>
        <v>0</v>
      </c>
      <c r="T146" s="3">
        <f t="shared" si="13"/>
        <v>-216.60000000000048</v>
      </c>
      <c r="U146" s="24"/>
      <c r="V146" s="24"/>
      <c r="W146" s="3"/>
      <c r="X146" s="25"/>
      <c r="Y146" s="25" t="s">
        <v>5510</v>
      </c>
      <c r="Z146" s="25"/>
      <c r="AA146" s="25"/>
      <c r="AB146" s="25"/>
      <c r="AC146" s="3" t="str">
        <f>IF(Caja_Finanzas[[#This Row],[FECHA]]&gt;0,TEXT(Caja_Finanzas[[#This Row],[FECHA]],"mmmm"),0)</f>
        <v>Febrero</v>
      </c>
    </row>
    <row r="147" spans="2:29" ht="48" x14ac:dyDescent="0.3">
      <c r="B147" s="2">
        <f>IF(Caja_Finanzas[[#This Row],[TIPO DE R.]]="R",COUNTIFS($D$4:$D146,"R")+1,"")</f>
        <v>134</v>
      </c>
      <c r="C147" s="19" t="str">
        <f t="shared" si="14"/>
        <v>C-Finanzas</v>
      </c>
      <c r="D147" s="3" t="s">
        <v>1074</v>
      </c>
      <c r="E147" s="14">
        <v>45699</v>
      </c>
      <c r="F147" s="5" t="s">
        <v>5307</v>
      </c>
      <c r="G147" s="5" t="s">
        <v>1079</v>
      </c>
      <c r="H147" s="5"/>
      <c r="I147" s="6"/>
      <c r="J147" s="6"/>
      <c r="K147" s="6"/>
      <c r="L147" s="6"/>
      <c r="M147" s="7" t="s">
        <v>5511</v>
      </c>
      <c r="N147" s="8" t="str">
        <f>"CFI"&amp;".D"&amp;TEXT(Caja_Finanzas[[#This Row],[FECHA]],"DD-MM")&amp;"-"&amp;TEXT(Caja_Finanzas[[#This Row],[ITEM]],"0000")</f>
        <v>CFI.D11-02-0134</v>
      </c>
      <c r="O147" s="8" t="str">
        <f t="shared" si="15"/>
        <v>PEN</v>
      </c>
      <c r="P147" s="13"/>
      <c r="Q147" s="13">
        <v>1050</v>
      </c>
      <c r="R147" s="3">
        <f t="shared" si="11"/>
        <v>0</v>
      </c>
      <c r="S147" s="3">
        <f t="shared" si="12"/>
        <v>1050</v>
      </c>
      <c r="T147" s="3">
        <f t="shared" si="13"/>
        <v>-1266.6000000000004</v>
      </c>
      <c r="U147" s="24"/>
      <c r="V147" s="24"/>
      <c r="W147" s="3"/>
      <c r="X147" s="25" t="s">
        <v>5512</v>
      </c>
      <c r="Y147" s="25" t="s">
        <v>5513</v>
      </c>
      <c r="Z147" s="25"/>
      <c r="AA147" s="25"/>
      <c r="AB147" s="25"/>
      <c r="AC147" s="3" t="str">
        <f>IF(Caja_Finanzas[[#This Row],[FECHA]]&gt;0,TEXT(Caja_Finanzas[[#This Row],[FECHA]],"mmmm"),0)</f>
        <v>Febrero</v>
      </c>
    </row>
    <row r="148" spans="2:29" ht="24" x14ac:dyDescent="0.3">
      <c r="B148" s="2">
        <f>IF(Caja_Finanzas[[#This Row],[TIPO DE R.]]="R",COUNTIFS($D$4:$D147,"R")+1,"")</f>
        <v>135</v>
      </c>
      <c r="C148" s="19" t="str">
        <f t="shared" si="14"/>
        <v>C-Finanzas</v>
      </c>
      <c r="D148" s="3" t="s">
        <v>1074</v>
      </c>
      <c r="E148" s="14">
        <v>45700</v>
      </c>
      <c r="F148" s="5" t="s">
        <v>5457</v>
      </c>
      <c r="G148" s="5" t="s">
        <v>1079</v>
      </c>
      <c r="H148" s="5"/>
      <c r="I148" s="6"/>
      <c r="J148" s="6"/>
      <c r="K148" s="6"/>
      <c r="L148" s="6"/>
      <c r="M148" s="7" t="s">
        <v>5514</v>
      </c>
      <c r="N148" s="8" t="str">
        <f>"CFI"&amp;".D"&amp;TEXT(Caja_Finanzas[[#This Row],[FECHA]],"DD-MM")&amp;"-"&amp;TEXT(Caja_Finanzas[[#This Row],[ITEM]],"0000")</f>
        <v>CFI.D12-02-0135</v>
      </c>
      <c r="O148" s="8" t="str">
        <f t="shared" si="15"/>
        <v>PEN</v>
      </c>
      <c r="P148" s="13"/>
      <c r="Q148" s="13">
        <v>13</v>
      </c>
      <c r="R148" s="3">
        <f t="shared" si="11"/>
        <v>0</v>
      </c>
      <c r="S148" s="3">
        <f t="shared" si="12"/>
        <v>13</v>
      </c>
      <c r="T148" s="3">
        <f t="shared" si="13"/>
        <v>-1279.6000000000004</v>
      </c>
      <c r="U148" s="24"/>
      <c r="V148" s="24"/>
      <c r="W148" s="3"/>
      <c r="X148" s="25"/>
      <c r="Y148" s="25" t="s">
        <v>5515</v>
      </c>
      <c r="Z148" s="25"/>
      <c r="AA148" s="25"/>
      <c r="AB148" s="25"/>
      <c r="AC148" s="3" t="str">
        <f>IF(Caja_Finanzas[[#This Row],[FECHA]]&gt;0,TEXT(Caja_Finanzas[[#This Row],[FECHA]],"mmmm"),0)</f>
        <v>Febrero</v>
      </c>
    </row>
    <row r="149" spans="2:29" ht="24" x14ac:dyDescent="0.3">
      <c r="B149" s="2">
        <f>IF(Caja_Finanzas[[#This Row],[TIPO DE R.]]="R",COUNTIFS($D$4:$D148,"R")+1,"")</f>
        <v>136</v>
      </c>
      <c r="C149" s="19" t="str">
        <f t="shared" si="14"/>
        <v>C-Finanzas</v>
      </c>
      <c r="D149" s="3" t="s">
        <v>1074</v>
      </c>
      <c r="E149" s="14">
        <v>45700</v>
      </c>
      <c r="F149" s="5" t="s">
        <v>5347</v>
      </c>
      <c r="G149" s="5" t="s">
        <v>1079</v>
      </c>
      <c r="H149" s="5"/>
      <c r="I149" s="6"/>
      <c r="J149" s="6"/>
      <c r="K149" s="6"/>
      <c r="L149" s="6"/>
      <c r="M149" s="7" t="s">
        <v>5516</v>
      </c>
      <c r="N149" s="8" t="str">
        <f>"CFI"&amp;".D"&amp;TEXT(Caja_Finanzas[[#This Row],[FECHA]],"DD-MM")&amp;"-"&amp;TEXT(Caja_Finanzas[[#This Row],[ITEM]],"0000")</f>
        <v>CFI.D12-02-0136</v>
      </c>
      <c r="O149" s="8" t="str">
        <f t="shared" si="15"/>
        <v>PEN</v>
      </c>
      <c r="P149" s="13"/>
      <c r="Q149" s="13">
        <v>20</v>
      </c>
      <c r="R149" s="3">
        <f t="shared" si="11"/>
        <v>0</v>
      </c>
      <c r="S149" s="3">
        <f t="shared" si="12"/>
        <v>20</v>
      </c>
      <c r="T149" s="3">
        <f t="shared" si="13"/>
        <v>-1299.6000000000004</v>
      </c>
      <c r="U149" s="24"/>
      <c r="V149" s="24"/>
      <c r="W149" s="3"/>
      <c r="X149" s="25" t="s">
        <v>720</v>
      </c>
      <c r="Y149" s="25" t="s">
        <v>5517</v>
      </c>
      <c r="Z149" s="25"/>
      <c r="AA149" s="25"/>
      <c r="AB149" s="25"/>
      <c r="AC149" s="3" t="str">
        <f>IF(Caja_Finanzas[[#This Row],[FECHA]]&gt;0,TEXT(Caja_Finanzas[[#This Row],[FECHA]],"mmmm"),0)</f>
        <v>Febrero</v>
      </c>
    </row>
    <row r="150" spans="2:29" ht="48" x14ac:dyDescent="0.3">
      <c r="B150" s="2">
        <f>IF(Caja_Finanzas[[#This Row],[TIPO DE R.]]="R",COUNTIFS($D$4:$D149,"R")+1,"")</f>
        <v>137</v>
      </c>
      <c r="C150" s="19" t="str">
        <f t="shared" si="14"/>
        <v>C-Finanzas</v>
      </c>
      <c r="D150" s="3" t="s">
        <v>1074</v>
      </c>
      <c r="E150" s="14">
        <v>45701</v>
      </c>
      <c r="F150" s="5" t="s">
        <v>5307</v>
      </c>
      <c r="G150" s="5" t="s">
        <v>1079</v>
      </c>
      <c r="H150" s="5"/>
      <c r="I150" s="6"/>
      <c r="J150" s="6"/>
      <c r="K150" s="6"/>
      <c r="L150" s="6"/>
      <c r="M150" s="7" t="s">
        <v>5518</v>
      </c>
      <c r="N150" s="8" t="str">
        <f>"CFI"&amp;".D"&amp;TEXT(Caja_Finanzas[[#This Row],[FECHA]],"DD-MM")&amp;"-"&amp;TEXT(Caja_Finanzas[[#This Row],[ITEM]],"0000")</f>
        <v>CFI.D13-02-0137</v>
      </c>
      <c r="O150" s="8" t="str">
        <f t="shared" si="15"/>
        <v>PEN</v>
      </c>
      <c r="P150" s="13"/>
      <c r="Q150" s="13">
        <v>320</v>
      </c>
      <c r="R150" s="3">
        <f t="shared" si="11"/>
        <v>0</v>
      </c>
      <c r="S150" s="3">
        <f t="shared" si="12"/>
        <v>320</v>
      </c>
      <c r="T150" s="3">
        <f t="shared" si="13"/>
        <v>-1619.6000000000004</v>
      </c>
      <c r="U150" s="24"/>
      <c r="V150" s="24"/>
      <c r="W150" s="3"/>
      <c r="X150" s="25" t="s">
        <v>5519</v>
      </c>
      <c r="Y150" s="25" t="s">
        <v>5520</v>
      </c>
      <c r="Z150" s="25"/>
      <c r="AA150" s="25"/>
      <c r="AB150" s="25"/>
      <c r="AC150" s="3" t="str">
        <f>IF(Caja_Finanzas[[#This Row],[FECHA]]&gt;0,TEXT(Caja_Finanzas[[#This Row],[FECHA]],"mmmm"),0)</f>
        <v>Febrero</v>
      </c>
    </row>
    <row r="151" spans="2:29" ht="24" x14ac:dyDescent="0.3">
      <c r="B151" s="2">
        <f>IF(Caja_Finanzas[[#This Row],[TIPO DE R.]]="R",COUNTIFS($D$4:$D150,"R")+1,"")</f>
        <v>138</v>
      </c>
      <c r="C151" s="19" t="str">
        <f t="shared" si="14"/>
        <v>C-Finanzas</v>
      </c>
      <c r="D151" s="3" t="s">
        <v>1074</v>
      </c>
      <c r="E151" s="14">
        <v>45701</v>
      </c>
      <c r="F151" s="5" t="s">
        <v>1650</v>
      </c>
      <c r="G151" s="5" t="s">
        <v>1087</v>
      </c>
      <c r="H151" s="5"/>
      <c r="I151" s="6"/>
      <c r="J151" s="6"/>
      <c r="K151" s="6"/>
      <c r="L151" s="6"/>
      <c r="M151" s="7" t="s">
        <v>5156</v>
      </c>
      <c r="N151" s="8" t="str">
        <f>"CFI"&amp;".D"&amp;TEXT(Caja_Finanzas[[#This Row],[FECHA]],"DD-MM")&amp;"-"&amp;TEXT(Caja_Finanzas[[#This Row],[ITEM]],"0000")</f>
        <v>CFI.D13-02-0138</v>
      </c>
      <c r="O151" s="8" t="str">
        <f t="shared" si="15"/>
        <v>PEN</v>
      </c>
      <c r="P151" s="13"/>
      <c r="Q151" s="13">
        <v>1400</v>
      </c>
      <c r="R151" s="3">
        <f t="shared" si="11"/>
        <v>1400</v>
      </c>
      <c r="S151" s="3">
        <f t="shared" si="12"/>
        <v>0</v>
      </c>
      <c r="T151" s="3">
        <f t="shared" si="13"/>
        <v>-219.60000000000036</v>
      </c>
      <c r="U151" s="24"/>
      <c r="V151" s="24"/>
      <c r="W151" s="3"/>
      <c r="X151" s="25"/>
      <c r="Y151" s="25" t="s">
        <v>1651</v>
      </c>
      <c r="Z151" s="25"/>
      <c r="AA151" s="25"/>
      <c r="AB151" s="25"/>
      <c r="AC151" s="3" t="str">
        <f>IF(Caja_Finanzas[[#This Row],[FECHA]]&gt;0,TEXT(Caja_Finanzas[[#This Row],[FECHA]],"mmmm"),0)</f>
        <v>Febrero</v>
      </c>
    </row>
    <row r="152" spans="2:29" ht="24" x14ac:dyDescent="0.3">
      <c r="B152" s="2">
        <f>IF(Caja_Finanzas[[#This Row],[TIPO DE R.]]="R",COUNTIFS($D$4:$D151,"R")+1,"")</f>
        <v>139</v>
      </c>
      <c r="C152" s="19" t="str">
        <f t="shared" si="14"/>
        <v>C-Finanzas</v>
      </c>
      <c r="D152" s="3" t="s">
        <v>1074</v>
      </c>
      <c r="E152" s="14">
        <v>45701</v>
      </c>
      <c r="F152" s="5" t="s">
        <v>1609</v>
      </c>
      <c r="G152" s="5" t="s">
        <v>1087</v>
      </c>
      <c r="H152" s="5"/>
      <c r="I152" s="6"/>
      <c r="J152" s="6"/>
      <c r="K152" s="6"/>
      <c r="L152" s="6"/>
      <c r="M152" s="7" t="s">
        <v>5156</v>
      </c>
      <c r="N152" s="8" t="str">
        <f>"CFI"&amp;".D"&amp;TEXT(Caja_Finanzas[[#This Row],[FECHA]],"DD-MM")&amp;"-"&amp;TEXT(Caja_Finanzas[[#This Row],[ITEM]],"0000")</f>
        <v>CFI.D13-02-0139</v>
      </c>
      <c r="O152" s="8" t="str">
        <f t="shared" si="15"/>
        <v>PEN</v>
      </c>
      <c r="P152" s="13"/>
      <c r="Q152" s="13">
        <v>1039.4000000000001</v>
      </c>
      <c r="R152" s="3">
        <f t="shared" si="11"/>
        <v>1039.4000000000001</v>
      </c>
      <c r="S152" s="3">
        <f t="shared" si="12"/>
        <v>0</v>
      </c>
      <c r="T152" s="3">
        <f t="shared" si="13"/>
        <v>819.79999999999973</v>
      </c>
      <c r="U152" s="24"/>
      <c r="V152" s="24"/>
      <c r="W152" s="3"/>
      <c r="X152" s="25"/>
      <c r="Y152" s="25" t="s">
        <v>5521</v>
      </c>
      <c r="Z152" s="25"/>
      <c r="AA152" s="25"/>
      <c r="AB152" s="25"/>
      <c r="AC152" s="3" t="str">
        <f>IF(Caja_Finanzas[[#This Row],[FECHA]]&gt;0,TEXT(Caja_Finanzas[[#This Row],[FECHA]],"mmmm"),0)</f>
        <v>Febrero</v>
      </c>
    </row>
    <row r="153" spans="2:29" ht="48" x14ac:dyDescent="0.3">
      <c r="B153" s="2">
        <f>IF(Caja_Finanzas[[#This Row],[TIPO DE R.]]="R",COUNTIFS($D$4:$D152,"R")+1,"")</f>
        <v>140</v>
      </c>
      <c r="C153" s="19" t="str">
        <f t="shared" si="14"/>
        <v>C-Finanzas</v>
      </c>
      <c r="D153" s="3" t="s">
        <v>1074</v>
      </c>
      <c r="E153" s="14">
        <v>45701</v>
      </c>
      <c r="F153" s="5" t="s">
        <v>5301</v>
      </c>
      <c r="G153" s="5" t="s">
        <v>1079</v>
      </c>
      <c r="H153" s="5"/>
      <c r="I153" s="6"/>
      <c r="J153" s="6"/>
      <c r="K153" s="6"/>
      <c r="L153" s="6"/>
      <c r="M153" s="7" t="s">
        <v>5522</v>
      </c>
      <c r="N153" s="8" t="str">
        <f>"CFI"&amp;".D"&amp;TEXT(Caja_Finanzas[[#This Row],[FECHA]],"DD-MM")&amp;"-"&amp;TEXT(Caja_Finanzas[[#This Row],[ITEM]],"0000")</f>
        <v>CFI.D13-02-0140</v>
      </c>
      <c r="O153" s="8" t="str">
        <f t="shared" si="15"/>
        <v>PEN</v>
      </c>
      <c r="P153" s="13"/>
      <c r="Q153" s="13">
        <v>2275</v>
      </c>
      <c r="R153" s="3">
        <f t="shared" si="11"/>
        <v>0</v>
      </c>
      <c r="S153" s="3">
        <f t="shared" si="12"/>
        <v>2275</v>
      </c>
      <c r="T153" s="3">
        <f t="shared" si="13"/>
        <v>-1455.2000000000003</v>
      </c>
      <c r="U153" s="24"/>
      <c r="V153" s="24"/>
      <c r="W153" s="3"/>
      <c r="X153" s="25"/>
      <c r="Y153" s="25" t="s">
        <v>5523</v>
      </c>
      <c r="Z153" s="25"/>
      <c r="AA153" s="25"/>
      <c r="AB153" s="25"/>
      <c r="AC153" s="3" t="str">
        <f>IF(Caja_Finanzas[[#This Row],[FECHA]]&gt;0,TEXT(Caja_Finanzas[[#This Row],[FECHA]],"mmmm"),0)</f>
        <v>Febrero</v>
      </c>
    </row>
    <row r="154" spans="2:29" ht="24" x14ac:dyDescent="0.3">
      <c r="B154" s="2">
        <f>IF(Caja_Finanzas[[#This Row],[TIPO DE R.]]="R",COUNTIFS($D$4:$D153,"R")+1,"")</f>
        <v>141</v>
      </c>
      <c r="C154" s="19" t="str">
        <f t="shared" si="14"/>
        <v>C-Finanzas</v>
      </c>
      <c r="D154" s="3" t="s">
        <v>1074</v>
      </c>
      <c r="E154" s="14">
        <v>45705</v>
      </c>
      <c r="F154" s="5" t="s">
        <v>5524</v>
      </c>
      <c r="G154" s="5" t="s">
        <v>1087</v>
      </c>
      <c r="H154" s="5"/>
      <c r="I154" s="6"/>
      <c r="J154" s="6"/>
      <c r="K154" s="6"/>
      <c r="L154" s="6"/>
      <c r="M154" s="7" t="s">
        <v>5156</v>
      </c>
      <c r="N154" s="8" t="str">
        <f>"CFI"&amp;".D"&amp;TEXT(Caja_Finanzas[[#This Row],[FECHA]],"DD-MM")&amp;"-"&amp;TEXT(Caja_Finanzas[[#This Row],[ITEM]],"0000")</f>
        <v>CFI.D17-02-0141</v>
      </c>
      <c r="O154" s="8" t="str">
        <f t="shared" si="15"/>
        <v>PEN</v>
      </c>
      <c r="P154" s="13"/>
      <c r="Q154" s="13">
        <v>450</v>
      </c>
      <c r="R154" s="3">
        <f t="shared" si="11"/>
        <v>450</v>
      </c>
      <c r="S154" s="3">
        <f t="shared" si="12"/>
        <v>0</v>
      </c>
      <c r="T154" s="3">
        <f t="shared" si="13"/>
        <v>-1005.2000000000003</v>
      </c>
      <c r="U154" s="24"/>
      <c r="V154" s="24"/>
      <c r="W154" s="3"/>
      <c r="X154" s="25"/>
      <c r="Y154" s="25" t="s">
        <v>5525</v>
      </c>
      <c r="Z154" s="25"/>
      <c r="AA154" s="25"/>
      <c r="AB154" s="25"/>
      <c r="AC154" s="3" t="str">
        <f>IF(Caja_Finanzas[[#This Row],[FECHA]]&gt;0,TEXT(Caja_Finanzas[[#This Row],[FECHA]],"mmmm"),0)</f>
        <v>Febrero</v>
      </c>
    </row>
    <row r="155" spans="2:29" x14ac:dyDescent="0.3">
      <c r="B155" s="2">
        <f>IF(Caja_Finanzas[[#This Row],[TIPO DE R.]]="R",COUNTIFS($D$4:$D154,"R")+1,"")</f>
        <v>142</v>
      </c>
      <c r="C155" s="19" t="str">
        <f t="shared" si="14"/>
        <v>C-Finanzas</v>
      </c>
      <c r="D155" s="3" t="s">
        <v>1074</v>
      </c>
      <c r="E155" s="14">
        <v>45705</v>
      </c>
      <c r="F155" s="5"/>
      <c r="G155" s="5" t="s">
        <v>1087</v>
      </c>
      <c r="H155" s="5"/>
      <c r="I155" s="6"/>
      <c r="J155" s="6"/>
      <c r="K155" s="6"/>
      <c r="L155" s="6"/>
      <c r="M155" s="7" t="s">
        <v>5526</v>
      </c>
      <c r="N155" s="8" t="str">
        <f>"CFI"&amp;".D"&amp;TEXT(Caja_Finanzas[[#This Row],[FECHA]],"DD-MM")&amp;"-"&amp;TEXT(Caja_Finanzas[[#This Row],[ITEM]],"0000")</f>
        <v>CFI.D17-02-0142</v>
      </c>
      <c r="O155" s="8" t="str">
        <f t="shared" si="15"/>
        <v>PEN</v>
      </c>
      <c r="P155" s="13"/>
      <c r="Q155" s="13"/>
      <c r="R155" s="3">
        <f t="shared" si="11"/>
        <v>0</v>
      </c>
      <c r="S155" s="3">
        <f t="shared" si="12"/>
        <v>0</v>
      </c>
      <c r="T155" s="3">
        <f t="shared" si="13"/>
        <v>-1005.2000000000003</v>
      </c>
      <c r="U155" s="24"/>
      <c r="V155" s="24"/>
      <c r="W155" s="3"/>
      <c r="X155" s="25"/>
      <c r="Y155" s="25"/>
      <c r="Z155" s="25"/>
      <c r="AA155" s="25"/>
      <c r="AB155" s="25"/>
      <c r="AC155" s="3" t="str">
        <f>IF(Caja_Finanzas[[#This Row],[FECHA]]&gt;0,TEXT(Caja_Finanzas[[#This Row],[FECHA]],"mmmm"),0)</f>
        <v>Febrero</v>
      </c>
    </row>
    <row r="156" spans="2:29" ht="48" x14ac:dyDescent="0.3">
      <c r="B156" s="2">
        <f>IF(Caja_Finanzas[[#This Row],[TIPO DE R.]]="R",COUNTIFS($D$4:$D155,"R")+1,"")</f>
        <v>143</v>
      </c>
      <c r="C156" s="19" t="str">
        <f t="shared" si="14"/>
        <v>C-Finanzas</v>
      </c>
      <c r="D156" s="3" t="s">
        <v>1074</v>
      </c>
      <c r="E156" s="14">
        <v>45705</v>
      </c>
      <c r="F156" s="5" t="s">
        <v>5352</v>
      </c>
      <c r="G156" s="5" t="s">
        <v>1079</v>
      </c>
      <c r="H156" s="5"/>
      <c r="I156" s="6"/>
      <c r="J156" s="6"/>
      <c r="K156" s="6"/>
      <c r="L156" s="6"/>
      <c r="M156" s="7" t="s">
        <v>5527</v>
      </c>
      <c r="N156" s="8" t="str">
        <f>"CFI"&amp;".D"&amp;TEXT(Caja_Finanzas[[#This Row],[FECHA]],"DD-MM")&amp;"-"&amp;TEXT(Caja_Finanzas[[#This Row],[ITEM]],"0000")</f>
        <v>CFI.D17-02-0143</v>
      </c>
      <c r="O156" s="8" t="str">
        <f t="shared" si="15"/>
        <v>PEN</v>
      </c>
      <c r="P156" s="13"/>
      <c r="Q156" s="13">
        <v>1500</v>
      </c>
      <c r="R156" s="3">
        <f t="shared" si="11"/>
        <v>0</v>
      </c>
      <c r="S156" s="3">
        <f t="shared" si="12"/>
        <v>1500</v>
      </c>
      <c r="T156" s="3">
        <f t="shared" si="13"/>
        <v>-2505.2000000000003</v>
      </c>
      <c r="U156" s="24"/>
      <c r="V156" s="24"/>
      <c r="W156" s="3"/>
      <c r="X156" s="25" t="s">
        <v>5528</v>
      </c>
      <c r="Y156" s="25" t="s">
        <v>5529</v>
      </c>
      <c r="Z156" s="25"/>
      <c r="AA156" s="25"/>
      <c r="AB156" s="25"/>
      <c r="AC156" s="3" t="str">
        <f>IF(Caja_Finanzas[[#This Row],[FECHA]]&gt;0,TEXT(Caja_Finanzas[[#This Row],[FECHA]],"mmmm"),0)</f>
        <v>Febrero</v>
      </c>
    </row>
    <row r="157" spans="2:29" x14ac:dyDescent="0.3">
      <c r="B157" s="2">
        <f>IF(Caja_Finanzas[[#This Row],[TIPO DE R.]]="R",COUNTIFS($D$4:$D156,"R")+1,"")</f>
        <v>144</v>
      </c>
      <c r="C157" s="19" t="str">
        <f t="shared" si="14"/>
        <v>C-Finanzas</v>
      </c>
      <c r="D157" s="3" t="s">
        <v>1074</v>
      </c>
      <c r="E157" s="14">
        <v>45705</v>
      </c>
      <c r="F157" s="5" t="s">
        <v>1186</v>
      </c>
      <c r="G157" s="5" t="s">
        <v>1087</v>
      </c>
      <c r="H157" s="5"/>
      <c r="I157" s="6"/>
      <c r="J157" s="6"/>
      <c r="K157" s="6"/>
      <c r="L157" s="6"/>
      <c r="M157" s="7" t="s">
        <v>5156</v>
      </c>
      <c r="N157" s="8" t="str">
        <f>"CFI"&amp;".D"&amp;TEXT(Caja_Finanzas[[#This Row],[FECHA]],"DD-MM")&amp;"-"&amp;TEXT(Caja_Finanzas[[#This Row],[ITEM]],"0000")</f>
        <v>CFI.D17-02-0144</v>
      </c>
      <c r="O157" s="8" t="str">
        <f t="shared" si="15"/>
        <v>PEN</v>
      </c>
      <c r="P157" s="13"/>
      <c r="Q157" s="13">
        <v>724</v>
      </c>
      <c r="R157" s="3">
        <f t="shared" si="11"/>
        <v>724</v>
      </c>
      <c r="S157" s="3">
        <f t="shared" si="12"/>
        <v>0</v>
      </c>
      <c r="T157" s="3">
        <f t="shared" si="13"/>
        <v>-1781.2000000000003</v>
      </c>
      <c r="U157" s="24"/>
      <c r="V157" s="24"/>
      <c r="W157" s="3"/>
      <c r="X157" s="25"/>
      <c r="Y157" s="25" t="s">
        <v>5530</v>
      </c>
      <c r="Z157" s="25"/>
      <c r="AA157" s="25"/>
      <c r="AB157" s="25"/>
      <c r="AC157" s="3" t="str">
        <f>IF(Caja_Finanzas[[#This Row],[FECHA]]&gt;0,TEXT(Caja_Finanzas[[#This Row],[FECHA]],"mmmm"),0)</f>
        <v>Febrero</v>
      </c>
    </row>
    <row r="158" spans="2:29" ht="36" x14ac:dyDescent="0.3">
      <c r="B158" s="2">
        <f>IF(Caja_Finanzas[[#This Row],[TIPO DE R.]]="R",COUNTIFS($D$4:$D157,"R")+1,"")</f>
        <v>145</v>
      </c>
      <c r="C158" s="19" t="str">
        <f t="shared" si="14"/>
        <v>C-Finanzas</v>
      </c>
      <c r="D158" s="3" t="s">
        <v>1074</v>
      </c>
      <c r="E158" s="14">
        <v>45705</v>
      </c>
      <c r="F158" s="5" t="s">
        <v>5301</v>
      </c>
      <c r="G158" s="5" t="s">
        <v>1079</v>
      </c>
      <c r="H158" s="5"/>
      <c r="I158" s="6"/>
      <c r="J158" s="6"/>
      <c r="K158" s="6"/>
      <c r="L158" s="6"/>
      <c r="M158" s="7" t="s">
        <v>5531</v>
      </c>
      <c r="N158" s="8" t="str">
        <f>"CFI"&amp;".D"&amp;TEXT(Caja_Finanzas[[#This Row],[FECHA]],"DD-MM")&amp;"-"&amp;TEXT(Caja_Finanzas[[#This Row],[ITEM]],"0000")</f>
        <v>CFI.D17-02-0145</v>
      </c>
      <c r="O158" s="8" t="str">
        <f t="shared" si="15"/>
        <v>PEN</v>
      </c>
      <c r="P158" s="13"/>
      <c r="Q158" s="13">
        <v>320</v>
      </c>
      <c r="R158" s="3">
        <f t="shared" si="11"/>
        <v>0</v>
      </c>
      <c r="S158" s="3">
        <f t="shared" si="12"/>
        <v>320</v>
      </c>
      <c r="T158" s="3">
        <f t="shared" si="13"/>
        <v>-2101.2000000000003</v>
      </c>
      <c r="U158" s="24"/>
      <c r="V158" s="24"/>
      <c r="W158" s="3"/>
      <c r="X158" s="25"/>
      <c r="Y158" s="25" t="s">
        <v>5532</v>
      </c>
      <c r="Z158" s="25"/>
      <c r="AA158" s="25"/>
      <c r="AB158" s="25"/>
      <c r="AC158" s="3" t="str">
        <f>IF(Caja_Finanzas[[#This Row],[FECHA]]&gt;0,TEXT(Caja_Finanzas[[#This Row],[FECHA]],"mmmm"),0)</f>
        <v>Febrero</v>
      </c>
    </row>
    <row r="159" spans="2:29" ht="24" x14ac:dyDescent="0.3">
      <c r="B159" s="2">
        <f>IF(Caja_Finanzas[[#This Row],[TIPO DE R.]]="R",COUNTIFS($D$4:$D158,"R")+1,"")</f>
        <v>146</v>
      </c>
      <c r="C159" s="19" t="str">
        <f t="shared" si="14"/>
        <v>C-Finanzas</v>
      </c>
      <c r="D159" s="3" t="s">
        <v>1074</v>
      </c>
      <c r="E159" s="14">
        <v>45705</v>
      </c>
      <c r="F159" s="5" t="s">
        <v>5443</v>
      </c>
      <c r="G159" s="5" t="s">
        <v>1079</v>
      </c>
      <c r="H159" s="5"/>
      <c r="I159" s="6"/>
      <c r="J159" s="6"/>
      <c r="K159" s="6"/>
      <c r="L159" s="6"/>
      <c r="M159" s="7" t="s">
        <v>5533</v>
      </c>
      <c r="N159" s="8" t="str">
        <f>"CFI"&amp;".D"&amp;TEXT(Caja_Finanzas[[#This Row],[FECHA]],"DD-MM")&amp;"-"&amp;TEXT(Caja_Finanzas[[#This Row],[ITEM]],"0000")</f>
        <v>CFI.D17-02-0146</v>
      </c>
      <c r="O159" s="8" t="str">
        <f t="shared" si="15"/>
        <v>PEN</v>
      </c>
      <c r="P159" s="13"/>
      <c r="Q159" s="13">
        <v>48</v>
      </c>
      <c r="R159" s="3">
        <f t="shared" si="11"/>
        <v>0</v>
      </c>
      <c r="S159" s="3">
        <f t="shared" si="12"/>
        <v>48</v>
      </c>
      <c r="T159" s="3">
        <f t="shared" si="13"/>
        <v>-2149.2000000000003</v>
      </c>
      <c r="U159" s="24"/>
      <c r="V159" s="24"/>
      <c r="W159" s="3"/>
      <c r="X159" s="25"/>
      <c r="Y159" s="25" t="s">
        <v>5534</v>
      </c>
      <c r="Z159" s="25"/>
      <c r="AA159" s="25"/>
      <c r="AB159" s="25"/>
      <c r="AC159" s="3" t="str">
        <f>IF(Caja_Finanzas[[#This Row],[FECHA]]&gt;0,TEXT(Caja_Finanzas[[#This Row],[FECHA]],"mmmm"),0)</f>
        <v>Febrero</v>
      </c>
    </row>
    <row r="160" spans="2:29" ht="24" x14ac:dyDescent="0.3">
      <c r="B160" s="2">
        <f>IF(Caja_Finanzas[[#This Row],[TIPO DE R.]]="R",COUNTIFS($D$4:$D159,"R")+1,"")</f>
        <v>147</v>
      </c>
      <c r="C160" s="19" t="str">
        <f t="shared" si="14"/>
        <v>C-Finanzas</v>
      </c>
      <c r="D160" s="3" t="s">
        <v>1074</v>
      </c>
      <c r="E160" s="14">
        <v>45705</v>
      </c>
      <c r="F160" s="5" t="s">
        <v>1779</v>
      </c>
      <c r="G160" s="5" t="s">
        <v>1087</v>
      </c>
      <c r="H160" s="5"/>
      <c r="I160" s="6"/>
      <c r="J160" s="6"/>
      <c r="K160" s="6"/>
      <c r="L160" s="6"/>
      <c r="M160" s="7" t="s">
        <v>5156</v>
      </c>
      <c r="N160" s="8" t="str">
        <f>"CFI"&amp;".D"&amp;TEXT(Caja_Finanzas[[#This Row],[FECHA]],"DD-MM")&amp;"-"&amp;TEXT(Caja_Finanzas[[#This Row],[ITEM]],"0000")</f>
        <v>CFI.D17-02-0147</v>
      </c>
      <c r="O160" s="8" t="str">
        <f t="shared" si="15"/>
        <v>PEN</v>
      </c>
      <c r="P160" s="13"/>
      <c r="Q160" s="13">
        <v>1400</v>
      </c>
      <c r="R160" s="3">
        <f t="shared" si="11"/>
        <v>1400</v>
      </c>
      <c r="S160" s="3">
        <f t="shared" si="12"/>
        <v>0</v>
      </c>
      <c r="T160" s="3">
        <f t="shared" si="13"/>
        <v>-749.20000000000027</v>
      </c>
      <c r="U160" s="24"/>
      <c r="V160" s="24"/>
      <c r="W160" s="3"/>
      <c r="X160" s="25"/>
      <c r="Y160" s="25" t="s">
        <v>5535</v>
      </c>
      <c r="Z160" s="25"/>
      <c r="AA160" s="25"/>
      <c r="AB160" s="25"/>
      <c r="AC160" s="3" t="str">
        <f>IF(Caja_Finanzas[[#This Row],[FECHA]]&gt;0,TEXT(Caja_Finanzas[[#This Row],[FECHA]],"mmmm"),0)</f>
        <v>Febrero</v>
      </c>
    </row>
    <row r="161" spans="2:29" ht="72" x14ac:dyDescent="0.3">
      <c r="B161" s="2">
        <f>IF(Caja_Finanzas[[#This Row],[TIPO DE R.]]="R",COUNTIFS($D$4:$D160,"R")+1,"")</f>
        <v>148</v>
      </c>
      <c r="C161" s="19" t="str">
        <f t="shared" si="14"/>
        <v>C-Finanzas</v>
      </c>
      <c r="D161" s="3" t="s">
        <v>1074</v>
      </c>
      <c r="E161" s="14">
        <v>45705</v>
      </c>
      <c r="F161" s="5" t="s">
        <v>5307</v>
      </c>
      <c r="G161" s="5" t="s">
        <v>1079</v>
      </c>
      <c r="H161" s="5"/>
      <c r="I161" s="6"/>
      <c r="J161" s="6"/>
      <c r="K161" s="6"/>
      <c r="L161" s="6"/>
      <c r="M161" s="7" t="s">
        <v>5536</v>
      </c>
      <c r="N161" s="8" t="str">
        <f>"CFI"&amp;".D"&amp;TEXT(Caja_Finanzas[[#This Row],[FECHA]],"DD-MM")&amp;"-"&amp;TEXT(Caja_Finanzas[[#This Row],[ITEM]],"0000")</f>
        <v>CFI.D17-02-0148</v>
      </c>
      <c r="O161" s="8" t="str">
        <f t="shared" si="15"/>
        <v>PEN</v>
      </c>
      <c r="P161" s="13"/>
      <c r="Q161" s="13">
        <v>500</v>
      </c>
      <c r="R161" s="3">
        <f t="shared" si="11"/>
        <v>0</v>
      </c>
      <c r="S161" s="3">
        <f t="shared" si="12"/>
        <v>500</v>
      </c>
      <c r="T161" s="3">
        <f t="shared" si="13"/>
        <v>-1249.2000000000003</v>
      </c>
      <c r="U161" s="24"/>
      <c r="V161" s="24"/>
      <c r="W161" s="3"/>
      <c r="X161" s="25" t="s">
        <v>5537</v>
      </c>
      <c r="Y161" s="25" t="s">
        <v>5538</v>
      </c>
      <c r="Z161" s="25"/>
      <c r="AA161" s="25"/>
      <c r="AB161" s="25"/>
      <c r="AC161" s="3" t="str">
        <f>IF(Caja_Finanzas[[#This Row],[FECHA]]&gt;0,TEXT(Caja_Finanzas[[#This Row],[FECHA]],"mmmm"),0)</f>
        <v>Febrero</v>
      </c>
    </row>
    <row r="162" spans="2:29" ht="24" x14ac:dyDescent="0.3">
      <c r="B162" s="2">
        <f>IF(Caja_Finanzas[[#This Row],[TIPO DE R.]]="R",COUNTIFS($D$4:$D161,"R")+1,"")</f>
        <v>149</v>
      </c>
      <c r="C162" s="19" t="str">
        <f t="shared" si="14"/>
        <v>C-Finanzas</v>
      </c>
      <c r="D162" s="3" t="s">
        <v>1074</v>
      </c>
      <c r="E162" s="14">
        <v>45705</v>
      </c>
      <c r="F162" s="5" t="s">
        <v>5305</v>
      </c>
      <c r="G162" s="5" t="s">
        <v>1079</v>
      </c>
      <c r="H162" s="5"/>
      <c r="I162" s="6"/>
      <c r="J162" s="6"/>
      <c r="K162" s="6"/>
      <c r="L162" s="6"/>
      <c r="M162" s="7" t="s">
        <v>5539</v>
      </c>
      <c r="N162" s="8" t="str">
        <f>"CFI"&amp;".D"&amp;TEXT(Caja_Finanzas[[#This Row],[FECHA]],"DD-MM")&amp;"-"&amp;TEXT(Caja_Finanzas[[#This Row],[ITEM]],"0000")</f>
        <v>CFI.D17-02-0149</v>
      </c>
      <c r="O162" s="8" t="str">
        <f t="shared" si="15"/>
        <v>PEN</v>
      </c>
      <c r="P162" s="13"/>
      <c r="Q162" s="13">
        <v>500</v>
      </c>
      <c r="R162" s="3">
        <f t="shared" si="11"/>
        <v>0</v>
      </c>
      <c r="S162" s="3">
        <f t="shared" si="12"/>
        <v>500</v>
      </c>
      <c r="T162" s="3">
        <f t="shared" si="13"/>
        <v>-1749.2000000000003</v>
      </c>
      <c r="U162" s="24"/>
      <c r="V162" s="24"/>
      <c r="W162" s="3"/>
      <c r="X162" s="25"/>
      <c r="Y162" s="25"/>
      <c r="Z162" s="25"/>
      <c r="AA162" s="25"/>
      <c r="AB162" s="25"/>
      <c r="AC162" s="3" t="str">
        <f>IF(Caja_Finanzas[[#This Row],[FECHA]]&gt;0,TEXT(Caja_Finanzas[[#This Row],[FECHA]],"mmmm"),0)</f>
        <v>Febrero</v>
      </c>
    </row>
    <row r="163" spans="2:29" ht="48" x14ac:dyDescent="0.3">
      <c r="B163" s="2">
        <f>IF(Caja_Finanzas[[#This Row],[TIPO DE R.]]="R",COUNTIFS($D$4:$D162,"R")+1,"")</f>
        <v>150</v>
      </c>
      <c r="C163" s="19" t="str">
        <f t="shared" si="14"/>
        <v>C-Finanzas</v>
      </c>
      <c r="D163" s="3" t="s">
        <v>1074</v>
      </c>
      <c r="E163" s="14">
        <v>45706</v>
      </c>
      <c r="F163" s="5" t="s">
        <v>5301</v>
      </c>
      <c r="G163" s="5" t="s">
        <v>1079</v>
      </c>
      <c r="H163" s="5"/>
      <c r="I163" s="6"/>
      <c r="J163" s="6"/>
      <c r="K163" s="6"/>
      <c r="L163" s="6"/>
      <c r="M163" s="7" t="s">
        <v>5540</v>
      </c>
      <c r="N163" s="8" t="str">
        <f>"CFI"&amp;".D"&amp;TEXT(Caja_Finanzas[[#This Row],[FECHA]],"DD-MM")&amp;"-"&amp;TEXT(Caja_Finanzas[[#This Row],[ITEM]],"0000")</f>
        <v>CFI.D18-02-0150</v>
      </c>
      <c r="O163" s="8" t="str">
        <f t="shared" si="15"/>
        <v>PEN</v>
      </c>
      <c r="P163" s="13"/>
      <c r="Q163" s="13">
        <v>50</v>
      </c>
      <c r="R163" s="3">
        <f t="shared" si="11"/>
        <v>0</v>
      </c>
      <c r="S163" s="3">
        <f t="shared" si="12"/>
        <v>50</v>
      </c>
      <c r="T163" s="3">
        <f t="shared" si="13"/>
        <v>-1799.2000000000003</v>
      </c>
      <c r="U163" s="24"/>
      <c r="V163" s="24"/>
      <c r="W163" s="3"/>
      <c r="X163" s="25" t="s">
        <v>5541</v>
      </c>
      <c r="Y163" s="25" t="s">
        <v>5523</v>
      </c>
      <c r="Z163" s="25"/>
      <c r="AA163" s="25"/>
      <c r="AB163" s="25"/>
      <c r="AC163" s="3" t="str">
        <f>IF(Caja_Finanzas[[#This Row],[FECHA]]&gt;0,TEXT(Caja_Finanzas[[#This Row],[FECHA]],"mmmm"),0)</f>
        <v>Febrero</v>
      </c>
    </row>
    <row r="164" spans="2:29" ht="24" x14ac:dyDescent="0.3">
      <c r="B164" s="2">
        <f>IF(Caja_Finanzas[[#This Row],[TIPO DE R.]]="R",COUNTIFS($D$4:$D163,"R")+1,"")</f>
        <v>151</v>
      </c>
      <c r="C164" s="19" t="str">
        <f t="shared" si="14"/>
        <v>C-Finanzas</v>
      </c>
      <c r="D164" s="3" t="s">
        <v>1074</v>
      </c>
      <c r="E164" s="14">
        <v>45706</v>
      </c>
      <c r="F164" s="5" t="s">
        <v>5542</v>
      </c>
      <c r="G164" s="5" t="s">
        <v>1087</v>
      </c>
      <c r="H164" s="5"/>
      <c r="I164" s="6"/>
      <c r="J164" s="6"/>
      <c r="K164" s="6"/>
      <c r="L164" s="6"/>
      <c r="M164" s="7" t="s">
        <v>5156</v>
      </c>
      <c r="N164" s="8" t="str">
        <f>"CFI"&amp;".D"&amp;TEXT(Caja_Finanzas[[#This Row],[FECHA]],"DD-MM")&amp;"-"&amp;TEXT(Caja_Finanzas[[#This Row],[ITEM]],"0000")</f>
        <v>CFI.D18-02-0151</v>
      </c>
      <c r="O164" s="8" t="str">
        <f t="shared" si="15"/>
        <v>PEN</v>
      </c>
      <c r="P164" s="13"/>
      <c r="Q164" s="13">
        <v>612</v>
      </c>
      <c r="R164" s="3">
        <f t="shared" si="11"/>
        <v>612</v>
      </c>
      <c r="S164" s="3">
        <f t="shared" si="12"/>
        <v>0</v>
      </c>
      <c r="T164" s="3">
        <f t="shared" si="13"/>
        <v>-1187.2000000000003</v>
      </c>
      <c r="U164" s="24"/>
      <c r="V164" s="24"/>
      <c r="W164" s="3"/>
      <c r="X164" s="25"/>
      <c r="Y164" s="25" t="s">
        <v>5543</v>
      </c>
      <c r="Z164" s="25"/>
      <c r="AA164" s="25"/>
      <c r="AB164" s="25"/>
      <c r="AC164" s="3" t="str">
        <f>IF(Caja_Finanzas[[#This Row],[FECHA]]&gt;0,TEXT(Caja_Finanzas[[#This Row],[FECHA]],"mmmm"),0)</f>
        <v>Febrero</v>
      </c>
    </row>
    <row r="165" spans="2:29" ht="24" x14ac:dyDescent="0.3">
      <c r="B165" s="2">
        <f>IF(Caja_Finanzas[[#This Row],[TIPO DE R.]]="R",COUNTIFS($D$4:$D164,"R")+1,"")</f>
        <v>152</v>
      </c>
      <c r="C165" s="19" t="str">
        <f t="shared" si="14"/>
        <v>C-Finanzas</v>
      </c>
      <c r="D165" s="3" t="s">
        <v>1074</v>
      </c>
      <c r="E165" s="14">
        <v>45706</v>
      </c>
      <c r="F165" s="5" t="s">
        <v>5338</v>
      </c>
      <c r="G165" s="5" t="s">
        <v>1079</v>
      </c>
      <c r="H165" s="5"/>
      <c r="I165" s="6"/>
      <c r="J165" s="6"/>
      <c r="K165" s="6"/>
      <c r="L165" s="6"/>
      <c r="M165" s="7" t="s">
        <v>5544</v>
      </c>
      <c r="N165" s="8" t="str">
        <f>"CFI"&amp;".D"&amp;TEXT(Caja_Finanzas[[#This Row],[FECHA]],"DD-MM")&amp;"-"&amp;TEXT(Caja_Finanzas[[#This Row],[ITEM]],"0000")</f>
        <v>CFI.D18-02-0152</v>
      </c>
      <c r="O165" s="8" t="str">
        <f t="shared" si="15"/>
        <v>PEN</v>
      </c>
      <c r="P165" s="13"/>
      <c r="Q165" s="13">
        <v>100</v>
      </c>
      <c r="R165" s="3">
        <f t="shared" si="11"/>
        <v>0</v>
      </c>
      <c r="S165" s="3">
        <f t="shared" si="12"/>
        <v>100</v>
      </c>
      <c r="T165" s="3">
        <f t="shared" si="13"/>
        <v>-1287.2000000000003</v>
      </c>
      <c r="U165" s="24"/>
      <c r="V165" s="24"/>
      <c r="W165" s="3"/>
      <c r="X165" s="25"/>
      <c r="Y165" s="25" t="s">
        <v>5545</v>
      </c>
      <c r="Z165" s="25"/>
      <c r="AA165" s="25"/>
      <c r="AB165" s="25"/>
      <c r="AC165" s="3" t="str">
        <f>IF(Caja_Finanzas[[#This Row],[FECHA]]&gt;0,TEXT(Caja_Finanzas[[#This Row],[FECHA]],"mmmm"),0)</f>
        <v>Febrero</v>
      </c>
    </row>
    <row r="166" spans="2:29" ht="24" x14ac:dyDescent="0.3">
      <c r="B166" s="2">
        <f>IF(Caja_Finanzas[[#This Row],[TIPO DE R.]]="R",COUNTIFS($D$4:$D165,"R")+1,"")</f>
        <v>153</v>
      </c>
      <c r="C166" s="19" t="str">
        <f t="shared" si="14"/>
        <v>C-Finanzas</v>
      </c>
      <c r="D166" s="3" t="s">
        <v>1074</v>
      </c>
      <c r="E166" s="14">
        <v>45707</v>
      </c>
      <c r="F166" s="5" t="s">
        <v>1779</v>
      </c>
      <c r="G166" s="5" t="s">
        <v>1087</v>
      </c>
      <c r="H166" s="5"/>
      <c r="I166" s="6"/>
      <c r="J166" s="6"/>
      <c r="K166" s="6"/>
      <c r="L166" s="6"/>
      <c r="M166" s="7" t="s">
        <v>5156</v>
      </c>
      <c r="N166" s="8" t="str">
        <f>"CFI"&amp;".D"&amp;TEXT(Caja_Finanzas[[#This Row],[FECHA]],"DD-MM")&amp;"-"&amp;TEXT(Caja_Finanzas[[#This Row],[ITEM]],"0000")</f>
        <v>CFI.D19-02-0153</v>
      </c>
      <c r="O166" s="8" t="str">
        <f t="shared" si="15"/>
        <v>PEN</v>
      </c>
      <c r="P166" s="13"/>
      <c r="Q166" s="13">
        <v>1400</v>
      </c>
      <c r="R166" s="3">
        <f t="shared" si="11"/>
        <v>1400</v>
      </c>
      <c r="S166" s="3">
        <f t="shared" si="12"/>
        <v>0</v>
      </c>
      <c r="T166" s="3">
        <f t="shared" si="13"/>
        <v>112.79999999999973</v>
      </c>
      <c r="U166" s="24"/>
      <c r="V166" s="24"/>
      <c r="W166" s="3"/>
      <c r="X166" s="25"/>
      <c r="Y166" s="25" t="s">
        <v>5535</v>
      </c>
      <c r="Z166" s="25"/>
      <c r="AA166" s="25"/>
      <c r="AB166" s="25"/>
      <c r="AC166" s="3" t="str">
        <f>IF(Caja_Finanzas[[#This Row],[FECHA]]&gt;0,TEXT(Caja_Finanzas[[#This Row],[FECHA]],"mmmm"),0)</f>
        <v>Febrero</v>
      </c>
    </row>
    <row r="167" spans="2:29" ht="24" x14ac:dyDescent="0.3">
      <c r="B167" s="2">
        <f>IF(Caja_Finanzas[[#This Row],[TIPO DE R.]]="R",COUNTIFS($D$4:$D166,"R")+1,"")</f>
        <v>154</v>
      </c>
      <c r="C167" s="19" t="str">
        <f t="shared" si="14"/>
        <v>C-Finanzas</v>
      </c>
      <c r="D167" s="3" t="s">
        <v>1074</v>
      </c>
      <c r="E167" s="14">
        <v>45707</v>
      </c>
      <c r="F167" s="5" t="s">
        <v>1779</v>
      </c>
      <c r="G167" s="5" t="s">
        <v>1087</v>
      </c>
      <c r="H167" s="5"/>
      <c r="I167" s="6"/>
      <c r="J167" s="6"/>
      <c r="K167" s="6"/>
      <c r="L167" s="6"/>
      <c r="M167" s="7" t="s">
        <v>5156</v>
      </c>
      <c r="N167" s="8" t="str">
        <f>"CFI"&amp;".D"&amp;TEXT(Caja_Finanzas[[#This Row],[FECHA]],"DD-MM")&amp;"-"&amp;TEXT(Caja_Finanzas[[#This Row],[ITEM]],"0000")</f>
        <v>CFI.D19-02-0154</v>
      </c>
      <c r="O167" s="8" t="str">
        <f t="shared" si="15"/>
        <v>PEN</v>
      </c>
      <c r="P167" s="13"/>
      <c r="Q167" s="13">
        <v>200</v>
      </c>
      <c r="R167" s="3">
        <f t="shared" si="11"/>
        <v>200</v>
      </c>
      <c r="S167" s="3">
        <f t="shared" si="12"/>
        <v>0</v>
      </c>
      <c r="T167" s="3">
        <f t="shared" si="13"/>
        <v>312.79999999999973</v>
      </c>
      <c r="U167" s="24"/>
      <c r="V167" s="24"/>
      <c r="W167" s="3"/>
      <c r="X167" s="25"/>
      <c r="Y167" s="25" t="s">
        <v>1780</v>
      </c>
      <c r="Z167" s="25"/>
      <c r="AA167" s="25"/>
      <c r="AB167" s="25"/>
      <c r="AC167" s="3" t="str">
        <f>IF(Caja_Finanzas[[#This Row],[FECHA]]&gt;0,TEXT(Caja_Finanzas[[#This Row],[FECHA]],"mmmm"),0)</f>
        <v>Febrero</v>
      </c>
    </row>
    <row r="168" spans="2:29" x14ac:dyDescent="0.3">
      <c r="B168" s="2">
        <f>IF(Caja_Finanzas[[#This Row],[TIPO DE R.]]="R",COUNTIFS($D$4:$D167,"R")+1,"")</f>
        <v>155</v>
      </c>
      <c r="C168" s="19" t="str">
        <f t="shared" si="14"/>
        <v>C-Finanzas</v>
      </c>
      <c r="D168" s="3" t="s">
        <v>1074</v>
      </c>
      <c r="E168" s="14">
        <v>45707</v>
      </c>
      <c r="F168" s="5" t="s">
        <v>1186</v>
      </c>
      <c r="G168" s="5" t="s">
        <v>1087</v>
      </c>
      <c r="H168" s="5"/>
      <c r="I168" s="6"/>
      <c r="J168" s="6"/>
      <c r="K168" s="6"/>
      <c r="L168" s="6"/>
      <c r="M168" s="7" t="s">
        <v>5156</v>
      </c>
      <c r="N168" s="8" t="str">
        <f>"CFI"&amp;".D"&amp;TEXT(Caja_Finanzas[[#This Row],[FECHA]],"DD-MM")&amp;"-"&amp;TEXT(Caja_Finanzas[[#This Row],[ITEM]],"0000")</f>
        <v>CFI.D19-02-0155</v>
      </c>
      <c r="O168" s="8" t="str">
        <f t="shared" si="15"/>
        <v>PEN</v>
      </c>
      <c r="P168" s="13"/>
      <c r="Q168" s="13">
        <v>200</v>
      </c>
      <c r="R168" s="3">
        <f t="shared" si="11"/>
        <v>200</v>
      </c>
      <c r="S168" s="3">
        <f t="shared" si="12"/>
        <v>0</v>
      </c>
      <c r="T168" s="3">
        <f t="shared" si="13"/>
        <v>512.79999999999973</v>
      </c>
      <c r="U168" s="24"/>
      <c r="V168" s="24"/>
      <c r="W168" s="3"/>
      <c r="X168" s="25"/>
      <c r="Y168" s="25" t="s">
        <v>5530</v>
      </c>
      <c r="Z168" s="25"/>
      <c r="AA168" s="25"/>
      <c r="AB168" s="25"/>
      <c r="AC168" s="3" t="str">
        <f>IF(Caja_Finanzas[[#This Row],[FECHA]]&gt;0,TEXT(Caja_Finanzas[[#This Row],[FECHA]],"mmmm"),0)</f>
        <v>Febrero</v>
      </c>
    </row>
    <row r="169" spans="2:29" ht="48" x14ac:dyDescent="0.3">
      <c r="B169" s="2">
        <f>IF(Caja_Finanzas[[#This Row],[TIPO DE R.]]="R",COUNTIFS($D$4:$D168,"R")+1,"")</f>
        <v>156</v>
      </c>
      <c r="C169" s="19" t="str">
        <f t="shared" si="14"/>
        <v>C-Finanzas</v>
      </c>
      <c r="D169" s="3" t="s">
        <v>1074</v>
      </c>
      <c r="E169" s="14">
        <v>45707</v>
      </c>
      <c r="F169" s="5" t="s">
        <v>5307</v>
      </c>
      <c r="G169" s="5" t="s">
        <v>1079</v>
      </c>
      <c r="H169" s="5"/>
      <c r="I169" s="6"/>
      <c r="J169" s="6"/>
      <c r="K169" s="6"/>
      <c r="L169" s="6"/>
      <c r="M169" s="7" t="s">
        <v>5546</v>
      </c>
      <c r="N169" s="8" t="str">
        <f>"CFI"&amp;".D"&amp;TEXT(Caja_Finanzas[[#This Row],[FECHA]],"DD-MM")&amp;"-"&amp;TEXT(Caja_Finanzas[[#This Row],[ITEM]],"0000")</f>
        <v>CFI.D19-02-0156</v>
      </c>
      <c r="O169" s="8" t="str">
        <f t="shared" si="15"/>
        <v>PEN</v>
      </c>
      <c r="P169" s="13"/>
      <c r="Q169" s="13">
        <v>90</v>
      </c>
      <c r="R169" s="3">
        <f t="shared" si="11"/>
        <v>0</v>
      </c>
      <c r="S169" s="3">
        <f t="shared" si="12"/>
        <v>90</v>
      </c>
      <c r="T169" s="3">
        <f t="shared" si="13"/>
        <v>422.79999999999973</v>
      </c>
      <c r="U169" s="24"/>
      <c r="V169" s="24"/>
      <c r="W169" s="3"/>
      <c r="X169" s="25" t="s">
        <v>5519</v>
      </c>
      <c r="Y169" s="25" t="s">
        <v>5547</v>
      </c>
      <c r="Z169" s="25"/>
      <c r="AA169" s="25"/>
      <c r="AB169" s="25"/>
      <c r="AC169" s="3" t="str">
        <f>IF(Caja_Finanzas[[#This Row],[FECHA]]&gt;0,TEXT(Caja_Finanzas[[#This Row],[FECHA]],"mmmm"),0)</f>
        <v>Febrero</v>
      </c>
    </row>
    <row r="170" spans="2:29" ht="36" x14ac:dyDescent="0.3">
      <c r="B170" s="2">
        <f>IF(Caja_Finanzas[[#This Row],[TIPO DE R.]]="R",COUNTIFS($D$4:$D169,"R")+1,"")</f>
        <v>157</v>
      </c>
      <c r="C170" s="19" t="str">
        <f t="shared" si="14"/>
        <v>C-Finanzas</v>
      </c>
      <c r="D170" s="3" t="s">
        <v>1074</v>
      </c>
      <c r="E170" s="14">
        <v>45707</v>
      </c>
      <c r="F170" s="5" t="s">
        <v>5307</v>
      </c>
      <c r="G170" s="5" t="s">
        <v>1079</v>
      </c>
      <c r="H170" s="5"/>
      <c r="I170" s="6"/>
      <c r="J170" s="6"/>
      <c r="K170" s="6"/>
      <c r="L170" s="6"/>
      <c r="M170" s="7" t="s">
        <v>5548</v>
      </c>
      <c r="N170" s="8" t="str">
        <f>"CFI"&amp;".D"&amp;TEXT(Caja_Finanzas[[#This Row],[FECHA]],"DD-MM")&amp;"-"&amp;TEXT(Caja_Finanzas[[#This Row],[ITEM]],"0000")</f>
        <v>CFI.D19-02-0157</v>
      </c>
      <c r="O170" s="8" t="str">
        <f t="shared" si="15"/>
        <v>PEN</v>
      </c>
      <c r="P170" s="13"/>
      <c r="Q170" s="13">
        <v>180</v>
      </c>
      <c r="R170" s="3">
        <f t="shared" si="11"/>
        <v>0</v>
      </c>
      <c r="S170" s="3">
        <f t="shared" si="12"/>
        <v>180</v>
      </c>
      <c r="T170" s="3">
        <f t="shared" si="13"/>
        <v>242.79999999999973</v>
      </c>
      <c r="U170" s="24"/>
      <c r="V170" s="24"/>
      <c r="W170" s="3"/>
      <c r="X170" s="25" t="s">
        <v>582</v>
      </c>
      <c r="Y170" s="25" t="s">
        <v>5549</v>
      </c>
      <c r="Z170" s="25"/>
      <c r="AA170" s="25"/>
      <c r="AB170" s="25"/>
      <c r="AC170" s="3" t="str">
        <f>IF(Caja_Finanzas[[#This Row],[FECHA]]&gt;0,TEXT(Caja_Finanzas[[#This Row],[FECHA]],"mmmm"),0)</f>
        <v>Febrero</v>
      </c>
    </row>
    <row r="171" spans="2:29" ht="36" x14ac:dyDescent="0.3">
      <c r="B171" s="2">
        <f>IF(Caja_Finanzas[[#This Row],[TIPO DE R.]]="R",COUNTIFS($D$4:$D170,"R")+1,"")</f>
        <v>158</v>
      </c>
      <c r="C171" s="19" t="str">
        <f t="shared" si="14"/>
        <v>C-Finanzas</v>
      </c>
      <c r="D171" s="3" t="s">
        <v>1074</v>
      </c>
      <c r="E171" s="14">
        <v>45707</v>
      </c>
      <c r="F171" s="5" t="s">
        <v>5307</v>
      </c>
      <c r="G171" s="5" t="s">
        <v>1079</v>
      </c>
      <c r="H171" s="5"/>
      <c r="I171" s="6"/>
      <c r="J171" s="6"/>
      <c r="K171" s="6"/>
      <c r="L171" s="6"/>
      <c r="M171" s="7" t="s">
        <v>5550</v>
      </c>
      <c r="N171" s="8" t="str">
        <f>"CFI"&amp;".D"&amp;TEXT(Caja_Finanzas[[#This Row],[FECHA]],"DD-MM")&amp;"-"&amp;TEXT(Caja_Finanzas[[#This Row],[ITEM]],"0000")</f>
        <v>CFI.D19-02-0158</v>
      </c>
      <c r="O171" s="8" t="str">
        <f t="shared" si="15"/>
        <v>PEN</v>
      </c>
      <c r="P171" s="13"/>
      <c r="Q171" s="13">
        <v>450</v>
      </c>
      <c r="R171" s="3">
        <f t="shared" si="11"/>
        <v>0</v>
      </c>
      <c r="S171" s="3">
        <f t="shared" si="12"/>
        <v>450</v>
      </c>
      <c r="T171" s="3">
        <f t="shared" si="13"/>
        <v>-207.20000000000027</v>
      </c>
      <c r="U171" s="24"/>
      <c r="V171" s="24"/>
      <c r="W171" s="3"/>
      <c r="X171" s="25" t="s">
        <v>5551</v>
      </c>
      <c r="Y171" s="25" t="s">
        <v>5552</v>
      </c>
      <c r="Z171" s="25"/>
      <c r="AA171" s="25"/>
      <c r="AB171" s="25"/>
      <c r="AC171" s="3" t="str">
        <f>IF(Caja_Finanzas[[#This Row],[FECHA]]&gt;0,TEXT(Caja_Finanzas[[#This Row],[FECHA]],"mmmm"),0)</f>
        <v>Febrero</v>
      </c>
    </row>
    <row r="172" spans="2:29" ht="48" x14ac:dyDescent="0.3">
      <c r="B172" s="2">
        <f>IF(Caja_Finanzas[[#This Row],[TIPO DE R.]]="R",COUNTIFS($D$4:$D171,"R")+1,"")</f>
        <v>159</v>
      </c>
      <c r="C172" s="19" t="str">
        <f t="shared" si="14"/>
        <v>C-Finanzas</v>
      </c>
      <c r="D172" s="3" t="s">
        <v>1074</v>
      </c>
      <c r="E172" s="14">
        <v>45707</v>
      </c>
      <c r="F172" s="5" t="s">
        <v>5307</v>
      </c>
      <c r="G172" s="5" t="s">
        <v>1079</v>
      </c>
      <c r="H172" s="5"/>
      <c r="I172" s="6"/>
      <c r="J172" s="6"/>
      <c r="K172" s="6"/>
      <c r="L172" s="6"/>
      <c r="M172" s="7" t="s">
        <v>5553</v>
      </c>
      <c r="N172" s="8" t="str">
        <f>"CFI"&amp;".D"&amp;TEXT(Caja_Finanzas[[#This Row],[FECHA]],"DD-MM")&amp;"-"&amp;TEXT(Caja_Finanzas[[#This Row],[ITEM]],"0000")</f>
        <v>CFI.D19-02-0159</v>
      </c>
      <c r="O172" s="8" t="str">
        <f t="shared" si="15"/>
        <v>PEN</v>
      </c>
      <c r="P172" s="13"/>
      <c r="Q172" s="13">
        <v>600</v>
      </c>
      <c r="R172" s="3">
        <f t="shared" si="11"/>
        <v>0</v>
      </c>
      <c r="S172" s="3">
        <f t="shared" si="12"/>
        <v>600</v>
      </c>
      <c r="T172" s="3">
        <f t="shared" si="13"/>
        <v>-807.20000000000027</v>
      </c>
      <c r="U172" s="24"/>
      <c r="V172" s="24"/>
      <c r="W172" s="3"/>
      <c r="X172" s="25" t="s">
        <v>5554</v>
      </c>
      <c r="Y172" s="25" t="s">
        <v>5555</v>
      </c>
      <c r="Z172" s="25"/>
      <c r="AA172" s="25"/>
      <c r="AB172" s="25"/>
      <c r="AC172" s="3" t="str">
        <f>IF(Caja_Finanzas[[#This Row],[FECHA]]&gt;0,TEXT(Caja_Finanzas[[#This Row],[FECHA]],"mmmm"),0)</f>
        <v>Febrero</v>
      </c>
    </row>
    <row r="173" spans="2:29" ht="24" x14ac:dyDescent="0.3">
      <c r="B173" s="2">
        <f>IF(Caja_Finanzas[[#This Row],[TIPO DE R.]]="R",COUNTIFS($D$4:$D172,"R")+1,"")</f>
        <v>160</v>
      </c>
      <c r="C173" s="19" t="str">
        <f t="shared" si="14"/>
        <v>C-Finanzas</v>
      </c>
      <c r="D173" s="3" t="s">
        <v>1074</v>
      </c>
      <c r="E173" s="14">
        <v>45707</v>
      </c>
      <c r="F173" s="5" t="s">
        <v>5347</v>
      </c>
      <c r="G173" s="5" t="s">
        <v>1079</v>
      </c>
      <c r="H173" s="5"/>
      <c r="I173" s="6"/>
      <c r="J173" s="6"/>
      <c r="K173" s="6"/>
      <c r="L173" s="6"/>
      <c r="M173" s="7" t="s">
        <v>5556</v>
      </c>
      <c r="N173" s="8" t="str">
        <f>"CFI"&amp;".D"&amp;TEXT(Caja_Finanzas[[#This Row],[FECHA]],"DD-MM")&amp;"-"&amp;TEXT(Caja_Finanzas[[#This Row],[ITEM]],"0000")</f>
        <v>CFI.D19-02-0160</v>
      </c>
      <c r="O173" s="8" t="str">
        <f t="shared" si="15"/>
        <v>PEN</v>
      </c>
      <c r="P173" s="13"/>
      <c r="Q173" s="13">
        <v>3.9</v>
      </c>
      <c r="R173" s="3">
        <f t="shared" si="11"/>
        <v>0</v>
      </c>
      <c r="S173" s="3">
        <f t="shared" si="12"/>
        <v>3.9</v>
      </c>
      <c r="T173" s="3">
        <f t="shared" si="13"/>
        <v>-811.10000000000025</v>
      </c>
      <c r="U173" s="24"/>
      <c r="V173" s="24"/>
      <c r="W173" s="3"/>
      <c r="X173" s="25" t="s">
        <v>5557</v>
      </c>
      <c r="Y173" s="25" t="s">
        <v>5558</v>
      </c>
      <c r="Z173" s="25"/>
      <c r="AA173" s="25"/>
      <c r="AB173" s="25"/>
      <c r="AC173" s="3" t="str">
        <f>IF(Caja_Finanzas[[#This Row],[FECHA]]&gt;0,TEXT(Caja_Finanzas[[#This Row],[FECHA]],"mmmm"),0)</f>
        <v>Febrero</v>
      </c>
    </row>
    <row r="174" spans="2:29" ht="24" x14ac:dyDescent="0.3">
      <c r="B174" s="2">
        <f>IF(Caja_Finanzas[[#This Row],[TIPO DE R.]]="R",COUNTIFS($D$4:$D173,"R")+1,"")</f>
        <v>161</v>
      </c>
      <c r="C174" s="19" t="str">
        <f t="shared" si="14"/>
        <v>C-Finanzas</v>
      </c>
      <c r="D174" s="3" t="s">
        <v>1074</v>
      </c>
      <c r="E174" s="14">
        <v>45707</v>
      </c>
      <c r="F174" s="5" t="s">
        <v>5347</v>
      </c>
      <c r="G174" s="5" t="s">
        <v>1079</v>
      </c>
      <c r="H174" s="5"/>
      <c r="I174" s="6"/>
      <c r="J174" s="6"/>
      <c r="K174" s="6"/>
      <c r="L174" s="6"/>
      <c r="M174" s="7" t="s">
        <v>5559</v>
      </c>
      <c r="N174" s="8" t="str">
        <f>"CFI"&amp;".D"&amp;TEXT(Caja_Finanzas[[#This Row],[FECHA]],"DD-MM")&amp;"-"&amp;TEXT(Caja_Finanzas[[#This Row],[ITEM]],"0000")</f>
        <v>CFI.D19-02-0161</v>
      </c>
      <c r="O174" s="8" t="str">
        <f t="shared" si="15"/>
        <v>PEN</v>
      </c>
      <c r="P174" s="13"/>
      <c r="Q174" s="13">
        <v>8.4</v>
      </c>
      <c r="R174" s="3">
        <f t="shared" si="11"/>
        <v>0</v>
      </c>
      <c r="S174" s="3">
        <f t="shared" si="12"/>
        <v>8.4</v>
      </c>
      <c r="T174" s="3">
        <f t="shared" si="13"/>
        <v>-819.50000000000023</v>
      </c>
      <c r="U174" s="24"/>
      <c r="V174" s="24"/>
      <c r="W174" s="3"/>
      <c r="X174" s="25" t="s">
        <v>750</v>
      </c>
      <c r="Y174" s="25" t="s">
        <v>5560</v>
      </c>
      <c r="Z174" s="25"/>
      <c r="AA174" s="25"/>
      <c r="AB174" s="25"/>
      <c r="AC174" s="3" t="str">
        <f>IF(Caja_Finanzas[[#This Row],[FECHA]]&gt;0,TEXT(Caja_Finanzas[[#This Row],[FECHA]],"mmmm"),0)</f>
        <v>Febrero</v>
      </c>
    </row>
    <row r="175" spans="2:29" ht="24" x14ac:dyDescent="0.3">
      <c r="B175" s="2">
        <f>IF(Caja_Finanzas[[#This Row],[TIPO DE R.]]="R",COUNTIFS($D$4:$D174,"R")+1,"")</f>
        <v>162</v>
      </c>
      <c r="C175" s="19" t="str">
        <f t="shared" si="14"/>
        <v>C-Finanzas</v>
      </c>
      <c r="D175" s="3" t="s">
        <v>1074</v>
      </c>
      <c r="E175" s="14">
        <v>45707</v>
      </c>
      <c r="F175" s="5" t="s">
        <v>5347</v>
      </c>
      <c r="G175" s="5" t="s">
        <v>1079</v>
      </c>
      <c r="H175" s="5"/>
      <c r="I175" s="6"/>
      <c r="J175" s="6"/>
      <c r="K175" s="6"/>
      <c r="L175" s="6"/>
      <c r="M175" s="7" t="s">
        <v>5561</v>
      </c>
      <c r="N175" s="8" t="str">
        <f>"CFI"&amp;".D"&amp;TEXT(Caja_Finanzas[[#This Row],[FECHA]],"DD-MM")&amp;"-"&amp;TEXT(Caja_Finanzas[[#This Row],[ITEM]],"0000")</f>
        <v>CFI.D19-02-0162</v>
      </c>
      <c r="O175" s="8" t="str">
        <f t="shared" si="15"/>
        <v>PEN</v>
      </c>
      <c r="P175" s="13"/>
      <c r="Q175" s="13">
        <v>7.6</v>
      </c>
      <c r="R175" s="3">
        <f t="shared" si="11"/>
        <v>0</v>
      </c>
      <c r="S175" s="3">
        <f t="shared" si="12"/>
        <v>7.6</v>
      </c>
      <c r="T175" s="3">
        <f t="shared" si="13"/>
        <v>-827.10000000000025</v>
      </c>
      <c r="U175" s="24"/>
      <c r="V175" s="24"/>
      <c r="W175" s="3"/>
      <c r="X175" s="25" t="s">
        <v>750</v>
      </c>
      <c r="Y175" s="25" t="s">
        <v>5562</v>
      </c>
      <c r="Z175" s="25"/>
      <c r="AA175" s="25"/>
      <c r="AB175" s="25"/>
      <c r="AC175" s="3" t="str">
        <f>IF(Caja_Finanzas[[#This Row],[FECHA]]&gt;0,TEXT(Caja_Finanzas[[#This Row],[FECHA]],"mmmm"),0)</f>
        <v>Febrero</v>
      </c>
    </row>
    <row r="176" spans="2:29" ht="24" x14ac:dyDescent="0.3">
      <c r="B176" s="2">
        <f>IF(Caja_Finanzas[[#This Row],[TIPO DE R.]]="R",COUNTIFS($D$4:$D175,"R")+1,"")</f>
        <v>163</v>
      </c>
      <c r="C176" s="19" t="str">
        <f t="shared" si="14"/>
        <v>C-Finanzas</v>
      </c>
      <c r="D176" s="3" t="s">
        <v>1074</v>
      </c>
      <c r="E176" s="14">
        <v>45708</v>
      </c>
      <c r="F176" s="5" t="s">
        <v>3428</v>
      </c>
      <c r="G176" s="5" t="s">
        <v>1087</v>
      </c>
      <c r="H176" s="5"/>
      <c r="I176" s="6"/>
      <c r="J176" s="6"/>
      <c r="K176" s="6"/>
      <c r="L176" s="6"/>
      <c r="M176" s="7" t="s">
        <v>5156</v>
      </c>
      <c r="N176" s="8" t="str">
        <f>"CFI"&amp;".D"&amp;TEXT(Caja_Finanzas[[#This Row],[FECHA]],"DD-MM")&amp;"-"&amp;TEXT(Caja_Finanzas[[#This Row],[ITEM]],"0000")</f>
        <v>CFI.D20-02-0163</v>
      </c>
      <c r="O176" s="8" t="str">
        <f t="shared" si="15"/>
        <v>PEN</v>
      </c>
      <c r="P176" s="13"/>
      <c r="Q176" s="13">
        <v>126</v>
      </c>
      <c r="R176" s="3">
        <f t="shared" si="11"/>
        <v>126</v>
      </c>
      <c r="S176" s="3">
        <f t="shared" si="12"/>
        <v>0</v>
      </c>
      <c r="T176" s="3">
        <f t="shared" si="13"/>
        <v>-701.10000000000025</v>
      </c>
      <c r="U176" s="24"/>
      <c r="V176" s="24"/>
      <c r="W176" s="3"/>
      <c r="X176" s="25"/>
      <c r="Y176" s="25" t="s">
        <v>5563</v>
      </c>
      <c r="Z176" s="25"/>
      <c r="AA176" s="25"/>
      <c r="AB176" s="25"/>
      <c r="AC176" s="3" t="str">
        <f>IF(Caja_Finanzas[[#This Row],[FECHA]]&gt;0,TEXT(Caja_Finanzas[[#This Row],[FECHA]],"mmmm"),0)</f>
        <v>Febrero</v>
      </c>
    </row>
    <row r="177" spans="2:29" x14ac:dyDescent="0.3">
      <c r="B177" s="2">
        <f>IF(Caja_Finanzas[[#This Row],[TIPO DE R.]]="R",COUNTIFS($D$4:$D176,"R")+1,"")</f>
        <v>164</v>
      </c>
      <c r="C177" s="19" t="str">
        <f t="shared" si="14"/>
        <v>C-Finanzas</v>
      </c>
      <c r="D177" s="3" t="s">
        <v>1074</v>
      </c>
      <c r="E177" s="14">
        <v>45708</v>
      </c>
      <c r="F177" s="5" t="s">
        <v>1186</v>
      </c>
      <c r="G177" s="5" t="s">
        <v>1087</v>
      </c>
      <c r="H177" s="5"/>
      <c r="I177" s="6"/>
      <c r="J177" s="6"/>
      <c r="K177" s="6"/>
      <c r="L177" s="6"/>
      <c r="M177" s="7" t="s">
        <v>5156</v>
      </c>
      <c r="N177" s="8" t="str">
        <f>"CFI"&amp;".D"&amp;TEXT(Caja_Finanzas[[#This Row],[FECHA]],"DD-MM")&amp;"-"&amp;TEXT(Caja_Finanzas[[#This Row],[ITEM]],"0000")</f>
        <v>CFI.D20-02-0164</v>
      </c>
      <c r="O177" s="8" t="str">
        <f t="shared" si="15"/>
        <v>PEN</v>
      </c>
      <c r="P177" s="13"/>
      <c r="Q177" s="13">
        <v>174</v>
      </c>
      <c r="R177" s="3">
        <f t="shared" si="11"/>
        <v>174</v>
      </c>
      <c r="S177" s="3">
        <f t="shared" si="12"/>
        <v>0</v>
      </c>
      <c r="T177" s="3">
        <f t="shared" si="13"/>
        <v>-527.10000000000025</v>
      </c>
      <c r="U177" s="24"/>
      <c r="V177" s="24"/>
      <c r="W177" s="3"/>
      <c r="X177" s="25"/>
      <c r="Y177" s="25" t="s">
        <v>5530</v>
      </c>
      <c r="Z177" s="25"/>
      <c r="AA177" s="25"/>
      <c r="AB177" s="25"/>
      <c r="AC177" s="3" t="str">
        <f>IF(Caja_Finanzas[[#This Row],[FECHA]]&gt;0,TEXT(Caja_Finanzas[[#This Row],[FECHA]],"mmmm"),0)</f>
        <v>Febrero</v>
      </c>
    </row>
    <row r="178" spans="2:29" ht="24" x14ac:dyDescent="0.3">
      <c r="B178" s="2">
        <f>IF(Caja_Finanzas[[#This Row],[TIPO DE R.]]="R",COUNTIFS($D$4:$D177,"R")+1,"")</f>
        <v>165</v>
      </c>
      <c r="C178" s="19" t="str">
        <f t="shared" si="14"/>
        <v>C-Finanzas</v>
      </c>
      <c r="D178" s="3" t="s">
        <v>1074</v>
      </c>
      <c r="E178" s="14">
        <v>45708</v>
      </c>
      <c r="F178" s="5" t="s">
        <v>5347</v>
      </c>
      <c r="G178" s="5" t="s">
        <v>1079</v>
      </c>
      <c r="H178" s="5"/>
      <c r="I178" s="6"/>
      <c r="J178" s="6"/>
      <c r="K178" s="6"/>
      <c r="L178" s="6"/>
      <c r="M178" s="7" t="s">
        <v>5564</v>
      </c>
      <c r="N178" s="8" t="str">
        <f>"CFI"&amp;".D"&amp;TEXT(Caja_Finanzas[[#This Row],[FECHA]],"DD-MM")&amp;"-"&amp;TEXT(Caja_Finanzas[[#This Row],[ITEM]],"0000")</f>
        <v>CFI.D20-02-0165</v>
      </c>
      <c r="O178" s="8" t="str">
        <f t="shared" si="15"/>
        <v>PEN</v>
      </c>
      <c r="P178" s="13"/>
      <c r="Q178" s="13">
        <v>627</v>
      </c>
      <c r="R178" s="3">
        <f t="shared" si="11"/>
        <v>0</v>
      </c>
      <c r="S178" s="3">
        <f t="shared" si="12"/>
        <v>627</v>
      </c>
      <c r="T178" s="3">
        <f t="shared" si="13"/>
        <v>-1154.1000000000004</v>
      </c>
      <c r="U178" s="24"/>
      <c r="V178" s="24"/>
      <c r="W178" s="3"/>
      <c r="X178" s="25"/>
      <c r="Y178" s="25" t="s">
        <v>5565</v>
      </c>
      <c r="Z178" s="25"/>
      <c r="AA178" s="25"/>
      <c r="AB178" s="25"/>
      <c r="AC178" s="3" t="str">
        <f>IF(Caja_Finanzas[[#This Row],[FECHA]]&gt;0,TEXT(Caja_Finanzas[[#This Row],[FECHA]],"mmmm"),0)</f>
        <v>Febrero</v>
      </c>
    </row>
    <row r="179" spans="2:29" ht="24" x14ac:dyDescent="0.3">
      <c r="B179" s="2">
        <f>IF(Caja_Finanzas[[#This Row],[TIPO DE R.]]="R",COUNTIFS($D$4:$D178,"R")+1,"")</f>
        <v>166</v>
      </c>
      <c r="C179" s="19" t="str">
        <f t="shared" si="14"/>
        <v>C-Finanzas</v>
      </c>
      <c r="D179" s="3" t="s">
        <v>1074</v>
      </c>
      <c r="E179" s="14">
        <v>45708</v>
      </c>
      <c r="F179" s="5" t="s">
        <v>1407</v>
      </c>
      <c r="G179" s="5" t="s">
        <v>1087</v>
      </c>
      <c r="H179" s="5"/>
      <c r="I179" s="6"/>
      <c r="J179" s="6"/>
      <c r="K179" s="6"/>
      <c r="L179" s="6"/>
      <c r="M179" s="7" t="s">
        <v>5156</v>
      </c>
      <c r="N179" s="8" t="str">
        <f>"CFI"&amp;".D"&amp;TEXT(Caja_Finanzas[[#This Row],[FECHA]],"DD-MM")&amp;"-"&amp;TEXT(Caja_Finanzas[[#This Row],[ITEM]],"0000")</f>
        <v>CFI.D20-02-0166</v>
      </c>
      <c r="O179" s="8" t="str">
        <f t="shared" si="15"/>
        <v>PEN</v>
      </c>
      <c r="P179" s="13"/>
      <c r="Q179" s="13">
        <v>460</v>
      </c>
      <c r="R179" s="3">
        <f t="shared" si="11"/>
        <v>460</v>
      </c>
      <c r="S179" s="3">
        <f t="shared" si="12"/>
        <v>0</v>
      </c>
      <c r="T179" s="3">
        <f t="shared" si="13"/>
        <v>-694.10000000000036</v>
      </c>
      <c r="U179" s="24"/>
      <c r="V179" s="24"/>
      <c r="W179" s="3"/>
      <c r="X179" s="25"/>
      <c r="Y179" s="25" t="s">
        <v>1583</v>
      </c>
      <c r="Z179" s="25"/>
      <c r="AA179" s="25"/>
      <c r="AB179" s="25"/>
      <c r="AC179" s="3" t="str">
        <f>IF(Caja_Finanzas[[#This Row],[FECHA]]&gt;0,TEXT(Caja_Finanzas[[#This Row],[FECHA]],"mmmm"),0)</f>
        <v>Febrero</v>
      </c>
    </row>
    <row r="180" spans="2:29" x14ac:dyDescent="0.3">
      <c r="B180" s="2">
        <f>IF(Caja_Finanzas[[#This Row],[TIPO DE R.]]="R",COUNTIFS($D$4:$D179,"R")+1,"")</f>
        <v>167</v>
      </c>
      <c r="C180" s="19" t="str">
        <f t="shared" si="14"/>
        <v>C-Finanzas</v>
      </c>
      <c r="D180" s="3" t="s">
        <v>1074</v>
      </c>
      <c r="E180" s="14">
        <v>45708</v>
      </c>
      <c r="F180" s="5" t="s">
        <v>5566</v>
      </c>
      <c r="G180" s="5" t="s">
        <v>1087</v>
      </c>
      <c r="H180" s="5"/>
      <c r="I180" s="6"/>
      <c r="J180" s="6"/>
      <c r="K180" s="6"/>
      <c r="L180" s="6"/>
      <c r="M180" s="7" t="s">
        <v>5156</v>
      </c>
      <c r="N180" s="8" t="str">
        <f>"CFI"&amp;".D"&amp;TEXT(Caja_Finanzas[[#This Row],[FECHA]],"DD-MM")&amp;"-"&amp;TEXT(Caja_Finanzas[[#This Row],[ITEM]],"0000")</f>
        <v>CFI.D20-02-0167</v>
      </c>
      <c r="O180" s="8" t="str">
        <f t="shared" si="15"/>
        <v>PEN</v>
      </c>
      <c r="P180" s="13"/>
      <c r="Q180" s="13">
        <v>480</v>
      </c>
      <c r="R180" s="3">
        <f t="shared" si="11"/>
        <v>480</v>
      </c>
      <c r="S180" s="3">
        <f t="shared" si="12"/>
        <v>0</v>
      </c>
      <c r="T180" s="3">
        <f t="shared" si="13"/>
        <v>-214.10000000000036</v>
      </c>
      <c r="U180" s="24"/>
      <c r="V180" s="24"/>
      <c r="W180" s="3"/>
      <c r="X180" s="25"/>
      <c r="Y180" s="25" t="s">
        <v>5567</v>
      </c>
      <c r="Z180" s="25"/>
      <c r="AA180" s="25"/>
      <c r="AB180" s="25"/>
      <c r="AC180" s="3" t="str">
        <f>IF(Caja_Finanzas[[#This Row],[FECHA]]&gt;0,TEXT(Caja_Finanzas[[#This Row],[FECHA]],"mmmm"),0)</f>
        <v>Febrero</v>
      </c>
    </row>
    <row r="181" spans="2:29" ht="24" x14ac:dyDescent="0.3">
      <c r="B181" s="2">
        <f>IF(Caja_Finanzas[[#This Row],[TIPO DE R.]]="R",COUNTIFS($D$4:$D180,"R")+1,"")</f>
        <v>168</v>
      </c>
      <c r="C181" s="19" t="str">
        <f t="shared" si="14"/>
        <v>C-Finanzas</v>
      </c>
      <c r="D181" s="3" t="s">
        <v>1074</v>
      </c>
      <c r="E181" s="14">
        <v>45709</v>
      </c>
      <c r="F181" s="5" t="s">
        <v>1609</v>
      </c>
      <c r="G181" s="5" t="s">
        <v>1087</v>
      </c>
      <c r="H181" s="5"/>
      <c r="I181" s="6"/>
      <c r="J181" s="6"/>
      <c r="K181" s="6"/>
      <c r="L181" s="6"/>
      <c r="M181" s="7" t="s">
        <v>5156</v>
      </c>
      <c r="N181" s="8" t="str">
        <f>"CFI"&amp;".D"&amp;TEXT(Caja_Finanzas[[#This Row],[FECHA]],"DD-MM")&amp;"-"&amp;TEXT(Caja_Finanzas[[#This Row],[ITEM]],"0000")</f>
        <v>CFI.D21-02-0168</v>
      </c>
      <c r="O181" s="8" t="str">
        <f t="shared" si="15"/>
        <v>PEN</v>
      </c>
      <c r="P181" s="13"/>
      <c r="Q181" s="13">
        <v>11975</v>
      </c>
      <c r="R181" s="3">
        <f t="shared" si="11"/>
        <v>11975</v>
      </c>
      <c r="S181" s="3">
        <f t="shared" si="12"/>
        <v>0</v>
      </c>
      <c r="T181" s="3">
        <f t="shared" si="13"/>
        <v>11760.9</v>
      </c>
      <c r="U181" s="24"/>
      <c r="V181" s="24"/>
      <c r="W181" s="3"/>
      <c r="X181" s="25"/>
      <c r="Y181" s="25" t="s">
        <v>5568</v>
      </c>
      <c r="Z181" s="25"/>
      <c r="AA181" s="25"/>
      <c r="AB181" s="25"/>
      <c r="AC181" s="3" t="str">
        <f>IF(Caja_Finanzas[[#This Row],[FECHA]]&gt;0,TEXT(Caja_Finanzas[[#This Row],[FECHA]],"mmmm"),0)</f>
        <v>Febrero</v>
      </c>
    </row>
    <row r="182" spans="2:29" ht="24" x14ac:dyDescent="0.3">
      <c r="B182" s="2">
        <f>IF(Caja_Finanzas[[#This Row],[TIPO DE R.]]="R",COUNTIFS($D$4:$D181,"R")+1,"")</f>
        <v>169</v>
      </c>
      <c r="C182" s="19" t="str">
        <f t="shared" si="14"/>
        <v>C-Finanzas</v>
      </c>
      <c r="D182" s="3" t="s">
        <v>1074</v>
      </c>
      <c r="E182" s="14">
        <v>45709</v>
      </c>
      <c r="F182" s="5" t="s">
        <v>5347</v>
      </c>
      <c r="G182" s="5" t="s">
        <v>1079</v>
      </c>
      <c r="H182" s="5"/>
      <c r="I182" s="6"/>
      <c r="J182" s="6"/>
      <c r="K182" s="6"/>
      <c r="L182" s="6"/>
      <c r="M182" s="7" t="s">
        <v>5569</v>
      </c>
      <c r="N182" s="8" t="str">
        <f>"CFI"&amp;".D"&amp;TEXT(Caja_Finanzas[[#This Row],[FECHA]],"DD-MM")&amp;"-"&amp;TEXT(Caja_Finanzas[[#This Row],[ITEM]],"0000")</f>
        <v>CFI.D21-02-0169</v>
      </c>
      <c r="O182" s="8" t="str">
        <f t="shared" si="15"/>
        <v>PEN</v>
      </c>
      <c r="P182" s="13"/>
      <c r="Q182" s="13">
        <v>5</v>
      </c>
      <c r="R182" s="3">
        <f t="shared" si="11"/>
        <v>0</v>
      </c>
      <c r="S182" s="3">
        <f t="shared" si="12"/>
        <v>5</v>
      </c>
      <c r="T182" s="3">
        <f t="shared" si="13"/>
        <v>11755.9</v>
      </c>
      <c r="U182" s="24"/>
      <c r="V182" s="24"/>
      <c r="W182" s="3"/>
      <c r="X182" s="25" t="s">
        <v>720</v>
      </c>
      <c r="Y182" s="25"/>
      <c r="Z182" s="25"/>
      <c r="AA182" s="25"/>
      <c r="AB182" s="25"/>
      <c r="AC182" s="3" t="str">
        <f>IF(Caja_Finanzas[[#This Row],[FECHA]]&gt;0,TEXT(Caja_Finanzas[[#This Row],[FECHA]],"mmmm"),0)</f>
        <v>Febrero</v>
      </c>
    </row>
    <row r="183" spans="2:29" ht="24" x14ac:dyDescent="0.3">
      <c r="B183" s="2">
        <f>IF(Caja_Finanzas[[#This Row],[TIPO DE R.]]="R",COUNTIFS($D$4:$D182,"R")+1,"")</f>
        <v>170</v>
      </c>
      <c r="C183" s="19" t="str">
        <f t="shared" si="14"/>
        <v>C-Finanzas</v>
      </c>
      <c r="D183" s="3" t="s">
        <v>1074</v>
      </c>
      <c r="E183" s="14">
        <v>45709</v>
      </c>
      <c r="F183" s="5" t="s">
        <v>5570</v>
      </c>
      <c r="G183" s="5" t="s">
        <v>1087</v>
      </c>
      <c r="H183" s="5"/>
      <c r="I183" s="6"/>
      <c r="J183" s="6"/>
      <c r="K183" s="6"/>
      <c r="L183" s="6"/>
      <c r="M183" s="7" t="s">
        <v>5156</v>
      </c>
      <c r="N183" s="8" t="str">
        <f>"CFI"&amp;".D"&amp;TEXT(Caja_Finanzas[[#This Row],[FECHA]],"DD-MM")&amp;"-"&amp;TEXT(Caja_Finanzas[[#This Row],[ITEM]],"0000")</f>
        <v>CFI.D21-02-0170</v>
      </c>
      <c r="O183" s="8" t="str">
        <f t="shared" si="15"/>
        <v>PEN</v>
      </c>
      <c r="P183" s="13"/>
      <c r="Q183" s="13">
        <v>75</v>
      </c>
      <c r="R183" s="3">
        <f t="shared" si="11"/>
        <v>75</v>
      </c>
      <c r="S183" s="3">
        <f t="shared" si="12"/>
        <v>0</v>
      </c>
      <c r="T183" s="3">
        <f t="shared" si="13"/>
        <v>11830.9</v>
      </c>
      <c r="U183" s="24"/>
      <c r="V183" s="24"/>
      <c r="W183" s="3"/>
      <c r="X183" s="25"/>
      <c r="Y183" s="25" t="s">
        <v>5571</v>
      </c>
      <c r="Z183" s="25"/>
      <c r="AA183" s="25"/>
      <c r="AB183" s="25"/>
      <c r="AC183" s="3" t="str">
        <f>IF(Caja_Finanzas[[#This Row],[FECHA]]&gt;0,TEXT(Caja_Finanzas[[#This Row],[FECHA]],"mmmm"),0)</f>
        <v>Febrero</v>
      </c>
    </row>
    <row r="184" spans="2:29" ht="24" x14ac:dyDescent="0.3">
      <c r="B184" s="2">
        <f>IF(Caja_Finanzas[[#This Row],[TIPO DE R.]]="R",COUNTIFS($D$4:$D183,"R")+1,"")</f>
        <v>171</v>
      </c>
      <c r="C184" s="19" t="str">
        <f t="shared" si="14"/>
        <v>C-Finanzas</v>
      </c>
      <c r="D184" s="3" t="s">
        <v>1074</v>
      </c>
      <c r="E184" s="14">
        <v>45709</v>
      </c>
      <c r="F184" s="5" t="s">
        <v>5347</v>
      </c>
      <c r="G184" s="5" t="s">
        <v>1079</v>
      </c>
      <c r="H184" s="5"/>
      <c r="I184" s="6"/>
      <c r="J184" s="6"/>
      <c r="K184" s="6"/>
      <c r="L184" s="6"/>
      <c r="M184" s="7" t="s">
        <v>5572</v>
      </c>
      <c r="N184" s="8" t="str">
        <f>"CFI"&amp;".D"&amp;TEXT(Caja_Finanzas[[#This Row],[FECHA]],"DD-MM")&amp;"-"&amp;TEXT(Caja_Finanzas[[#This Row],[ITEM]],"0000")</f>
        <v>CFI.D21-02-0171</v>
      </c>
      <c r="O184" s="8" t="str">
        <f t="shared" si="15"/>
        <v>PEN</v>
      </c>
      <c r="P184" s="13"/>
      <c r="Q184" s="13">
        <v>5</v>
      </c>
      <c r="R184" s="3">
        <f t="shared" si="11"/>
        <v>0</v>
      </c>
      <c r="S184" s="3">
        <f t="shared" si="12"/>
        <v>5</v>
      </c>
      <c r="T184" s="3">
        <f t="shared" si="13"/>
        <v>11825.9</v>
      </c>
      <c r="U184" s="24"/>
      <c r="V184" s="24"/>
      <c r="W184" s="3"/>
      <c r="X184" s="25" t="s">
        <v>720</v>
      </c>
      <c r="Y184" s="25"/>
      <c r="Z184" s="25"/>
      <c r="AA184" s="25"/>
      <c r="AB184" s="25"/>
      <c r="AC184" s="3" t="str">
        <f>IF(Caja_Finanzas[[#This Row],[FECHA]]&gt;0,TEXT(Caja_Finanzas[[#This Row],[FECHA]],"mmmm"),0)</f>
        <v>Febrero</v>
      </c>
    </row>
    <row r="185" spans="2:29" ht="24" x14ac:dyDescent="0.3">
      <c r="B185" s="2">
        <f>IF(Caja_Finanzas[[#This Row],[TIPO DE R.]]="R",COUNTIFS($D$4:$D184,"R")+1,"")</f>
        <v>172</v>
      </c>
      <c r="C185" s="19" t="str">
        <f t="shared" si="14"/>
        <v>C-Finanzas</v>
      </c>
      <c r="D185" s="3" t="s">
        <v>1074</v>
      </c>
      <c r="E185" s="14">
        <v>45709</v>
      </c>
      <c r="F185" s="5" t="s">
        <v>5347</v>
      </c>
      <c r="G185" s="5" t="s">
        <v>1079</v>
      </c>
      <c r="H185" s="5"/>
      <c r="I185" s="6"/>
      <c r="J185" s="6"/>
      <c r="K185" s="6"/>
      <c r="L185" s="6"/>
      <c r="M185" s="7" t="s">
        <v>5573</v>
      </c>
      <c r="N185" s="8" t="str">
        <f>"CFI"&amp;".D"&amp;TEXT(Caja_Finanzas[[#This Row],[FECHA]],"DD-MM")&amp;"-"&amp;TEXT(Caja_Finanzas[[#This Row],[ITEM]],"0000")</f>
        <v>CFI.D21-02-0172</v>
      </c>
      <c r="O185" s="8" t="str">
        <f t="shared" si="15"/>
        <v>PEN</v>
      </c>
      <c r="P185" s="13"/>
      <c r="Q185" s="13">
        <v>5</v>
      </c>
      <c r="R185" s="3">
        <f t="shared" si="11"/>
        <v>0</v>
      </c>
      <c r="S185" s="3">
        <f t="shared" si="12"/>
        <v>5</v>
      </c>
      <c r="T185" s="3">
        <f t="shared" si="13"/>
        <v>11820.9</v>
      </c>
      <c r="U185" s="24"/>
      <c r="V185" s="24"/>
      <c r="W185" s="3"/>
      <c r="X185" s="25" t="s">
        <v>720</v>
      </c>
      <c r="Y185" s="25"/>
      <c r="Z185" s="25"/>
      <c r="AA185" s="25"/>
      <c r="AB185" s="25"/>
      <c r="AC185" s="3" t="str">
        <f>IF(Caja_Finanzas[[#This Row],[FECHA]]&gt;0,TEXT(Caja_Finanzas[[#This Row],[FECHA]],"mmmm"),0)</f>
        <v>Febrero</v>
      </c>
    </row>
    <row r="186" spans="2:29" ht="24" x14ac:dyDescent="0.3">
      <c r="B186" s="2">
        <f>IF(Caja_Finanzas[[#This Row],[TIPO DE R.]]="R",COUNTIFS($D$4:$D185,"R")+1,"")</f>
        <v>173</v>
      </c>
      <c r="C186" s="19" t="str">
        <f t="shared" si="14"/>
        <v>C-Finanzas</v>
      </c>
      <c r="D186" s="3" t="s">
        <v>1074</v>
      </c>
      <c r="E186" s="14">
        <v>45709</v>
      </c>
      <c r="F186" s="5" t="s">
        <v>5347</v>
      </c>
      <c r="G186" s="5" t="s">
        <v>1079</v>
      </c>
      <c r="H186" s="5"/>
      <c r="I186" s="6"/>
      <c r="J186" s="6"/>
      <c r="K186" s="6"/>
      <c r="L186" s="6"/>
      <c r="M186" s="7" t="s">
        <v>5574</v>
      </c>
      <c r="N186" s="8" t="str">
        <f>"CFI"&amp;".D"&amp;TEXT(Caja_Finanzas[[#This Row],[FECHA]],"DD-MM")&amp;"-"&amp;TEXT(Caja_Finanzas[[#This Row],[ITEM]],"0000")</f>
        <v>CFI.D21-02-0173</v>
      </c>
      <c r="O186" s="8" t="str">
        <f t="shared" si="15"/>
        <v>PEN</v>
      </c>
      <c r="P186" s="13"/>
      <c r="Q186" s="13">
        <v>10</v>
      </c>
      <c r="R186" s="3">
        <f t="shared" si="11"/>
        <v>0</v>
      </c>
      <c r="S186" s="3">
        <f t="shared" si="12"/>
        <v>10</v>
      </c>
      <c r="T186" s="3">
        <f t="shared" si="13"/>
        <v>11810.9</v>
      </c>
      <c r="U186" s="24"/>
      <c r="V186" s="24"/>
      <c r="W186" s="3"/>
      <c r="X186" s="25" t="s">
        <v>720</v>
      </c>
      <c r="Y186" s="25"/>
      <c r="Z186" s="25"/>
      <c r="AA186" s="25"/>
      <c r="AB186" s="25"/>
      <c r="AC186" s="3" t="str">
        <f>IF(Caja_Finanzas[[#This Row],[FECHA]]&gt;0,TEXT(Caja_Finanzas[[#This Row],[FECHA]],"mmmm"),0)</f>
        <v>Febrero</v>
      </c>
    </row>
    <row r="187" spans="2:29" ht="24" x14ac:dyDescent="0.3">
      <c r="B187" s="2">
        <f>IF(Caja_Finanzas[[#This Row],[TIPO DE R.]]="R",COUNTIFS($D$4:$D186,"R")+1,"")</f>
        <v>174</v>
      </c>
      <c r="C187" s="19" t="str">
        <f t="shared" si="14"/>
        <v>C-Finanzas</v>
      </c>
      <c r="D187" s="3" t="s">
        <v>1074</v>
      </c>
      <c r="E187" s="14">
        <v>45709</v>
      </c>
      <c r="F187" s="5" t="s">
        <v>5347</v>
      </c>
      <c r="G187" s="5" t="s">
        <v>1079</v>
      </c>
      <c r="H187" s="5"/>
      <c r="I187" s="6"/>
      <c r="J187" s="6"/>
      <c r="K187" s="6"/>
      <c r="L187" s="6"/>
      <c r="M187" s="7" t="s">
        <v>5575</v>
      </c>
      <c r="N187" s="8" t="str">
        <f>"CFI"&amp;".D"&amp;TEXT(Caja_Finanzas[[#This Row],[FECHA]],"DD-MM")&amp;"-"&amp;TEXT(Caja_Finanzas[[#This Row],[ITEM]],"0000")</f>
        <v>CFI.D21-02-0174</v>
      </c>
      <c r="O187" s="8" t="str">
        <f t="shared" si="15"/>
        <v>PEN</v>
      </c>
      <c r="P187" s="13"/>
      <c r="Q187" s="13">
        <v>5</v>
      </c>
      <c r="R187" s="3">
        <f t="shared" si="11"/>
        <v>0</v>
      </c>
      <c r="S187" s="3">
        <f t="shared" si="12"/>
        <v>5</v>
      </c>
      <c r="T187" s="3">
        <f t="shared" si="13"/>
        <v>11805.9</v>
      </c>
      <c r="U187" s="24"/>
      <c r="V187" s="24"/>
      <c r="W187" s="3"/>
      <c r="X187" s="25" t="s">
        <v>720</v>
      </c>
      <c r="Y187" s="25"/>
      <c r="Z187" s="25"/>
      <c r="AA187" s="25"/>
      <c r="AB187" s="25"/>
      <c r="AC187" s="3" t="str">
        <f>IF(Caja_Finanzas[[#This Row],[FECHA]]&gt;0,TEXT(Caja_Finanzas[[#This Row],[FECHA]],"mmmm"),0)</f>
        <v>Febrero</v>
      </c>
    </row>
    <row r="188" spans="2:29" ht="24" x14ac:dyDescent="0.3">
      <c r="B188" s="2">
        <f>IF(Caja_Finanzas[[#This Row],[TIPO DE R.]]="R",COUNTIFS($D$4:$D187,"R")+1,"")</f>
        <v>175</v>
      </c>
      <c r="C188" s="19" t="str">
        <f t="shared" si="14"/>
        <v>C-Finanzas</v>
      </c>
      <c r="D188" s="3" t="s">
        <v>1074</v>
      </c>
      <c r="E188" s="14">
        <v>45709</v>
      </c>
      <c r="F188" s="5" t="s">
        <v>5542</v>
      </c>
      <c r="G188" s="5" t="s">
        <v>1079</v>
      </c>
      <c r="H188" s="5"/>
      <c r="I188" s="6"/>
      <c r="J188" s="6"/>
      <c r="K188" s="6"/>
      <c r="L188" s="6"/>
      <c r="M188" s="7" t="s">
        <v>5576</v>
      </c>
      <c r="N188" s="8" t="str">
        <f>"CFI"&amp;".D"&amp;TEXT(Caja_Finanzas[[#This Row],[FECHA]],"DD-MM")&amp;"-"&amp;TEXT(Caja_Finanzas[[#This Row],[ITEM]],"0000")</f>
        <v>CFI.D21-02-0175</v>
      </c>
      <c r="O188" s="8" t="str">
        <f t="shared" si="15"/>
        <v>PEN</v>
      </c>
      <c r="P188" s="13"/>
      <c r="Q188" s="13">
        <v>10</v>
      </c>
      <c r="R188" s="3">
        <f t="shared" si="11"/>
        <v>0</v>
      </c>
      <c r="S188" s="3">
        <f t="shared" si="12"/>
        <v>10</v>
      </c>
      <c r="T188" s="3">
        <f t="shared" si="13"/>
        <v>11795.9</v>
      </c>
      <c r="U188" s="24"/>
      <c r="V188" s="24"/>
      <c r="W188" s="3"/>
      <c r="X188" s="25" t="s">
        <v>720</v>
      </c>
      <c r="Y188" s="25"/>
      <c r="Z188" s="25"/>
      <c r="AA188" s="25"/>
      <c r="AB188" s="25"/>
      <c r="AC188" s="3" t="str">
        <f>IF(Caja_Finanzas[[#This Row],[FECHA]]&gt;0,TEXT(Caja_Finanzas[[#This Row],[FECHA]],"mmmm"),0)</f>
        <v>Febrero</v>
      </c>
    </row>
    <row r="189" spans="2:29" ht="24" x14ac:dyDescent="0.3">
      <c r="B189" s="2">
        <f>IF(Caja_Finanzas[[#This Row],[TIPO DE R.]]="R",COUNTIFS($D$4:$D188,"R")+1,"")</f>
        <v>176</v>
      </c>
      <c r="C189" s="19" t="str">
        <f t="shared" si="14"/>
        <v>C-Finanzas</v>
      </c>
      <c r="D189" s="3" t="s">
        <v>1074</v>
      </c>
      <c r="E189" s="14">
        <v>45709</v>
      </c>
      <c r="F189" s="5" t="s">
        <v>1838</v>
      </c>
      <c r="G189" s="5" t="s">
        <v>1087</v>
      </c>
      <c r="H189" s="5"/>
      <c r="I189" s="6"/>
      <c r="J189" s="6"/>
      <c r="K189" s="6"/>
      <c r="L189" s="6"/>
      <c r="M189" s="7" t="s">
        <v>5156</v>
      </c>
      <c r="N189" s="8" t="str">
        <f>"CFI"&amp;".D"&amp;TEXT(Caja_Finanzas[[#This Row],[FECHA]],"DD-MM")&amp;"-"&amp;TEXT(Caja_Finanzas[[#This Row],[ITEM]],"0000")</f>
        <v>CFI.D21-02-0176</v>
      </c>
      <c r="O189" s="8" t="str">
        <f t="shared" si="15"/>
        <v>PEN</v>
      </c>
      <c r="P189" s="13"/>
      <c r="Q189" s="13">
        <v>7760</v>
      </c>
      <c r="R189" s="3">
        <f t="shared" si="11"/>
        <v>7760</v>
      </c>
      <c r="S189" s="3">
        <f t="shared" si="12"/>
        <v>0</v>
      </c>
      <c r="T189" s="3">
        <f t="shared" si="13"/>
        <v>19555.900000000001</v>
      </c>
      <c r="U189" s="24"/>
      <c r="V189" s="24"/>
      <c r="W189" s="3"/>
      <c r="X189" s="25"/>
      <c r="Y189" s="25" t="s">
        <v>5577</v>
      </c>
      <c r="Z189" s="25"/>
      <c r="AA189" s="25"/>
      <c r="AB189" s="25"/>
      <c r="AC189" s="3" t="str">
        <f>IF(Caja_Finanzas[[#This Row],[FECHA]]&gt;0,TEXT(Caja_Finanzas[[#This Row],[FECHA]],"mmmm"),0)</f>
        <v>Febrero</v>
      </c>
    </row>
    <row r="190" spans="2:29" ht="24" x14ac:dyDescent="0.3">
      <c r="B190" s="2">
        <f>IF(Caja_Finanzas[[#This Row],[TIPO DE R.]]="R",COUNTIFS($D$4:$D189,"R")+1,"")</f>
        <v>177</v>
      </c>
      <c r="C190" s="19" t="str">
        <f t="shared" si="14"/>
        <v>C-Finanzas</v>
      </c>
      <c r="D190" s="3" t="s">
        <v>1074</v>
      </c>
      <c r="E190" s="14">
        <v>45709</v>
      </c>
      <c r="F190" s="5" t="s">
        <v>1745</v>
      </c>
      <c r="G190" s="5" t="s">
        <v>1087</v>
      </c>
      <c r="H190" s="5"/>
      <c r="I190" s="6"/>
      <c r="J190" s="6"/>
      <c r="K190" s="6"/>
      <c r="L190" s="6"/>
      <c r="M190" s="7" t="s">
        <v>5156</v>
      </c>
      <c r="N190" s="8" t="str">
        <f>"CFI"&amp;".D"&amp;TEXT(Caja_Finanzas[[#This Row],[FECHA]],"DD-MM")&amp;"-"&amp;TEXT(Caja_Finanzas[[#This Row],[ITEM]],"0000")</f>
        <v>CFI.D21-02-0177</v>
      </c>
      <c r="O190" s="8" t="str">
        <f t="shared" si="15"/>
        <v>PEN</v>
      </c>
      <c r="P190" s="13"/>
      <c r="Q190" s="13">
        <v>1140</v>
      </c>
      <c r="R190" s="3">
        <f t="shared" si="11"/>
        <v>1140</v>
      </c>
      <c r="S190" s="3">
        <f t="shared" si="12"/>
        <v>0</v>
      </c>
      <c r="T190" s="3">
        <f t="shared" si="13"/>
        <v>20695.900000000001</v>
      </c>
      <c r="U190" s="24"/>
      <c r="V190" s="24"/>
      <c r="W190" s="3"/>
      <c r="X190" s="25"/>
      <c r="Y190" s="25" t="s">
        <v>1746</v>
      </c>
      <c r="Z190" s="25"/>
      <c r="AA190" s="25"/>
      <c r="AB190" s="25"/>
      <c r="AC190" s="3" t="str">
        <f>IF(Caja_Finanzas[[#This Row],[FECHA]]&gt;0,TEXT(Caja_Finanzas[[#This Row],[FECHA]],"mmmm"),0)</f>
        <v>Febrero</v>
      </c>
    </row>
    <row r="191" spans="2:29" ht="24" x14ac:dyDescent="0.3">
      <c r="B191" s="2">
        <f>IF(Caja_Finanzas[[#This Row],[TIPO DE R.]]="R",COUNTIFS($D$4:$D190,"R")+1,"")</f>
        <v>178</v>
      </c>
      <c r="C191" s="19" t="str">
        <f t="shared" si="14"/>
        <v>C-Finanzas</v>
      </c>
      <c r="D191" s="3" t="s">
        <v>1074</v>
      </c>
      <c r="E191" s="14">
        <v>45709</v>
      </c>
      <c r="F191" s="5" t="s">
        <v>5305</v>
      </c>
      <c r="G191" s="5" t="s">
        <v>1079</v>
      </c>
      <c r="H191" s="5"/>
      <c r="I191" s="6"/>
      <c r="J191" s="6"/>
      <c r="K191" s="6"/>
      <c r="L191" s="6"/>
      <c r="M191" s="7" t="s">
        <v>5578</v>
      </c>
      <c r="N191" s="8" t="str">
        <f>"CFI"&amp;".D"&amp;TEXT(Caja_Finanzas[[#This Row],[FECHA]],"DD-MM")&amp;"-"&amp;TEXT(Caja_Finanzas[[#This Row],[ITEM]],"0000")</f>
        <v>CFI.D21-02-0178</v>
      </c>
      <c r="O191" s="8" t="str">
        <f t="shared" si="15"/>
        <v>PEN</v>
      </c>
      <c r="P191" s="13"/>
      <c r="Q191" s="13">
        <v>18000</v>
      </c>
      <c r="R191" s="3">
        <f t="shared" si="11"/>
        <v>0</v>
      </c>
      <c r="S191" s="3">
        <f t="shared" si="12"/>
        <v>18000</v>
      </c>
      <c r="T191" s="3">
        <f t="shared" si="13"/>
        <v>2695.9000000000015</v>
      </c>
      <c r="U191" s="24"/>
      <c r="V191" s="24"/>
      <c r="W191" s="3"/>
      <c r="X191" s="25"/>
      <c r="Y191" s="25"/>
      <c r="Z191" s="25"/>
      <c r="AA191" s="25"/>
      <c r="AB191" s="25"/>
      <c r="AC191" s="3" t="str">
        <f>IF(Caja_Finanzas[[#This Row],[FECHA]]&gt;0,TEXT(Caja_Finanzas[[#This Row],[FECHA]],"mmmm"),0)</f>
        <v>Febrero</v>
      </c>
    </row>
    <row r="192" spans="2:29" ht="24" x14ac:dyDescent="0.3">
      <c r="B192" s="2">
        <f>IF(Caja_Finanzas[[#This Row],[TIPO DE R.]]="R",COUNTIFS($D$4:$D191,"R")+1,"")</f>
        <v>179</v>
      </c>
      <c r="C192" s="19" t="str">
        <f t="shared" si="14"/>
        <v>C-Finanzas</v>
      </c>
      <c r="D192" s="3" t="s">
        <v>1074</v>
      </c>
      <c r="E192" s="14">
        <v>45712</v>
      </c>
      <c r="F192" s="5" t="s">
        <v>2906</v>
      </c>
      <c r="G192" s="5" t="s">
        <v>1087</v>
      </c>
      <c r="H192" s="5"/>
      <c r="I192" s="6"/>
      <c r="J192" s="6"/>
      <c r="K192" s="6"/>
      <c r="L192" s="6"/>
      <c r="M192" s="7" t="s">
        <v>5156</v>
      </c>
      <c r="N192" s="8" t="str">
        <f>"CFI"&amp;".D"&amp;TEXT(Caja_Finanzas[[#This Row],[FECHA]],"DD-MM")&amp;"-"&amp;TEXT(Caja_Finanzas[[#This Row],[ITEM]],"0000")</f>
        <v>CFI.D24-02-0179</v>
      </c>
      <c r="O192" s="8" t="str">
        <f t="shared" si="15"/>
        <v>PEN</v>
      </c>
      <c r="P192" s="13"/>
      <c r="Q192" s="13">
        <v>799</v>
      </c>
      <c r="R192" s="3">
        <f t="shared" si="11"/>
        <v>799</v>
      </c>
      <c r="S192" s="3">
        <f t="shared" si="12"/>
        <v>0</v>
      </c>
      <c r="T192" s="3">
        <f t="shared" si="13"/>
        <v>3494.9000000000015</v>
      </c>
      <c r="U192" s="24"/>
      <c r="V192" s="24"/>
      <c r="W192" s="3"/>
      <c r="X192" s="25"/>
      <c r="Y192" s="25" t="s">
        <v>5579</v>
      </c>
      <c r="Z192" s="25"/>
      <c r="AA192" s="25"/>
      <c r="AB192" s="25"/>
      <c r="AC192" s="3" t="str">
        <f>IF(Caja_Finanzas[[#This Row],[FECHA]]&gt;0,TEXT(Caja_Finanzas[[#This Row],[FECHA]],"mmmm"),0)</f>
        <v>Febrero</v>
      </c>
    </row>
    <row r="193" spans="2:29" ht="24" x14ac:dyDescent="0.3">
      <c r="B193" s="2">
        <f>IF(Caja_Finanzas[[#This Row],[TIPO DE R.]]="R",COUNTIFS($D$4:$D192,"R")+1,"")</f>
        <v>180</v>
      </c>
      <c r="C193" s="19" t="str">
        <f t="shared" si="14"/>
        <v>C-Finanzas</v>
      </c>
      <c r="D193" s="3" t="s">
        <v>1074</v>
      </c>
      <c r="E193" s="14">
        <v>45712</v>
      </c>
      <c r="F193" s="5" t="s">
        <v>2906</v>
      </c>
      <c r="G193" s="5" t="s">
        <v>1087</v>
      </c>
      <c r="H193" s="5"/>
      <c r="I193" s="6"/>
      <c r="J193" s="6"/>
      <c r="K193" s="6"/>
      <c r="L193" s="6"/>
      <c r="M193" s="7" t="s">
        <v>5156</v>
      </c>
      <c r="N193" s="8" t="str">
        <f>"CFI"&amp;".D"&amp;TEXT(Caja_Finanzas[[#This Row],[FECHA]],"DD-MM")&amp;"-"&amp;TEXT(Caja_Finanzas[[#This Row],[ITEM]],"0000")</f>
        <v>CFI.D24-02-0180</v>
      </c>
      <c r="O193" s="8" t="str">
        <f t="shared" si="15"/>
        <v>PEN</v>
      </c>
      <c r="P193" s="13"/>
      <c r="Q193" s="13">
        <v>1226</v>
      </c>
      <c r="R193" s="3">
        <f t="shared" si="11"/>
        <v>1226</v>
      </c>
      <c r="S193" s="3">
        <f t="shared" si="12"/>
        <v>0</v>
      </c>
      <c r="T193" s="3">
        <f t="shared" si="13"/>
        <v>4720.9000000000015</v>
      </c>
      <c r="U193" s="24"/>
      <c r="V193" s="24"/>
      <c r="W193" s="3"/>
      <c r="X193" s="25"/>
      <c r="Y193" s="25" t="s">
        <v>5580</v>
      </c>
      <c r="Z193" s="25"/>
      <c r="AA193" s="25"/>
      <c r="AB193" s="25"/>
      <c r="AC193" s="3" t="str">
        <f>IF(Caja_Finanzas[[#This Row],[FECHA]]&gt;0,TEXT(Caja_Finanzas[[#This Row],[FECHA]],"mmmm"),0)</f>
        <v>Febrero</v>
      </c>
    </row>
    <row r="194" spans="2:29" ht="24" x14ac:dyDescent="0.3">
      <c r="B194" s="2">
        <f>IF(Caja_Finanzas[[#This Row],[TIPO DE R.]]="R",COUNTIFS($D$4:$D193,"R")+1,"")</f>
        <v>181</v>
      </c>
      <c r="C194" s="19" t="str">
        <f t="shared" si="14"/>
        <v>C-Finanzas</v>
      </c>
      <c r="D194" s="3" t="s">
        <v>1074</v>
      </c>
      <c r="E194" s="14">
        <v>45712</v>
      </c>
      <c r="F194" s="5" t="s">
        <v>5457</v>
      </c>
      <c r="G194" s="5" t="s">
        <v>1079</v>
      </c>
      <c r="H194" s="5"/>
      <c r="I194" s="6"/>
      <c r="J194" s="6"/>
      <c r="K194" s="6"/>
      <c r="L194" s="6"/>
      <c r="M194" s="7" t="s">
        <v>5581</v>
      </c>
      <c r="N194" s="8" t="str">
        <f>"CFI"&amp;".D"&amp;TEXT(Caja_Finanzas[[#This Row],[FECHA]],"DD-MM")&amp;"-"&amp;TEXT(Caja_Finanzas[[#This Row],[ITEM]],"0000")</f>
        <v>CFI.D24-02-0181</v>
      </c>
      <c r="O194" s="8" t="str">
        <f t="shared" si="15"/>
        <v>PEN</v>
      </c>
      <c r="P194" s="13"/>
      <c r="Q194" s="13">
        <v>40</v>
      </c>
      <c r="R194" s="3">
        <f t="shared" si="11"/>
        <v>0</v>
      </c>
      <c r="S194" s="3">
        <f t="shared" si="12"/>
        <v>40</v>
      </c>
      <c r="T194" s="3">
        <f t="shared" si="13"/>
        <v>4680.9000000000015</v>
      </c>
      <c r="U194" s="24"/>
      <c r="V194" s="24"/>
      <c r="W194" s="3"/>
      <c r="X194" s="25"/>
      <c r="Y194" s="25" t="s">
        <v>5582</v>
      </c>
      <c r="Z194" s="25"/>
      <c r="AA194" s="25"/>
      <c r="AB194" s="25"/>
      <c r="AC194" s="3" t="str">
        <f>IF(Caja_Finanzas[[#This Row],[FECHA]]&gt;0,TEXT(Caja_Finanzas[[#This Row],[FECHA]],"mmmm"),0)</f>
        <v>Febrero</v>
      </c>
    </row>
    <row r="195" spans="2:29" ht="60" x14ac:dyDescent="0.3">
      <c r="B195" s="2">
        <f>IF(Caja_Finanzas[[#This Row],[TIPO DE R.]]="R",COUNTIFS($D$4:$D194,"R")+1,"")</f>
        <v>182</v>
      </c>
      <c r="C195" s="19" t="str">
        <f t="shared" si="14"/>
        <v>C-Finanzas</v>
      </c>
      <c r="D195" s="3" t="s">
        <v>1074</v>
      </c>
      <c r="E195" s="14">
        <v>45712</v>
      </c>
      <c r="F195" s="5" t="s">
        <v>5443</v>
      </c>
      <c r="G195" s="5" t="s">
        <v>1079</v>
      </c>
      <c r="H195" s="5"/>
      <c r="I195" s="6"/>
      <c r="J195" s="6"/>
      <c r="K195" s="6"/>
      <c r="L195" s="6"/>
      <c r="M195" s="7" t="s">
        <v>5583</v>
      </c>
      <c r="N195" s="8" t="str">
        <f>"CFI"&amp;".D"&amp;TEXT(Caja_Finanzas[[#This Row],[FECHA]],"DD-MM")&amp;"-"&amp;TEXT(Caja_Finanzas[[#This Row],[ITEM]],"0000")</f>
        <v>CFI.D24-02-0182</v>
      </c>
      <c r="O195" s="8" t="str">
        <f t="shared" si="15"/>
        <v>PEN</v>
      </c>
      <c r="P195" s="13"/>
      <c r="Q195" s="13">
        <v>782.6</v>
      </c>
      <c r="R195" s="3">
        <f t="shared" si="11"/>
        <v>0</v>
      </c>
      <c r="S195" s="3">
        <f t="shared" si="12"/>
        <v>782.6</v>
      </c>
      <c r="T195" s="3">
        <f t="shared" si="13"/>
        <v>3898.3000000000015</v>
      </c>
      <c r="U195" s="24"/>
      <c r="V195" s="24"/>
      <c r="W195" s="3"/>
      <c r="X195" s="25" t="s">
        <v>5584</v>
      </c>
      <c r="Y195" s="25" t="s">
        <v>5585</v>
      </c>
      <c r="Z195" s="25"/>
      <c r="AA195" s="25"/>
      <c r="AB195" s="25"/>
      <c r="AC195" s="3" t="str">
        <f>IF(Caja_Finanzas[[#This Row],[FECHA]]&gt;0,TEXT(Caja_Finanzas[[#This Row],[FECHA]],"mmmm"),0)</f>
        <v>Febrero</v>
      </c>
    </row>
    <row r="196" spans="2:29" ht="48" x14ac:dyDescent="0.3">
      <c r="B196" s="2">
        <f>IF(Caja_Finanzas[[#This Row],[TIPO DE R.]]="R",COUNTIFS($D$4:$D195,"R")+1,"")</f>
        <v>183</v>
      </c>
      <c r="C196" s="19" t="str">
        <f t="shared" si="14"/>
        <v>C-Finanzas</v>
      </c>
      <c r="D196" s="3" t="s">
        <v>1074</v>
      </c>
      <c r="E196" s="14">
        <v>45712</v>
      </c>
      <c r="F196" s="5" t="s">
        <v>5347</v>
      </c>
      <c r="G196" s="5" t="s">
        <v>1079</v>
      </c>
      <c r="H196" s="5"/>
      <c r="I196" s="6"/>
      <c r="J196" s="6"/>
      <c r="K196" s="6"/>
      <c r="L196" s="6"/>
      <c r="M196" s="7" t="s">
        <v>5586</v>
      </c>
      <c r="N196" s="8" t="str">
        <f>"CFI"&amp;".D"&amp;TEXT(Caja_Finanzas[[#This Row],[FECHA]],"DD-MM")&amp;"-"&amp;TEXT(Caja_Finanzas[[#This Row],[ITEM]],"0000")</f>
        <v>CFI.D24-02-0183</v>
      </c>
      <c r="O196" s="8" t="str">
        <f t="shared" si="15"/>
        <v>PEN</v>
      </c>
      <c r="P196" s="13"/>
      <c r="Q196" s="13">
        <v>50</v>
      </c>
      <c r="R196" s="3">
        <f t="shared" si="11"/>
        <v>0</v>
      </c>
      <c r="S196" s="3">
        <f t="shared" si="12"/>
        <v>50</v>
      </c>
      <c r="T196" s="3">
        <f t="shared" si="13"/>
        <v>3848.3000000000015</v>
      </c>
      <c r="U196" s="24"/>
      <c r="V196" s="24"/>
      <c r="W196" s="3"/>
      <c r="X196" s="25" t="s">
        <v>5587</v>
      </c>
      <c r="Y196" s="25" t="s">
        <v>5588</v>
      </c>
      <c r="Z196" s="25"/>
      <c r="AA196" s="25"/>
      <c r="AB196" s="25"/>
      <c r="AC196" s="3" t="str">
        <f>IF(Caja_Finanzas[[#This Row],[FECHA]]&gt;0,TEXT(Caja_Finanzas[[#This Row],[FECHA]],"mmmm"),0)</f>
        <v>Febrero</v>
      </c>
    </row>
    <row r="197" spans="2:29" ht="60" x14ac:dyDescent="0.3">
      <c r="B197" s="2">
        <f>IF(Caja_Finanzas[[#This Row],[TIPO DE R.]]="R",COUNTIFS($D$4:$D196,"R")+1,"")</f>
        <v>184</v>
      </c>
      <c r="C197" s="19" t="str">
        <f t="shared" si="14"/>
        <v>C-Finanzas</v>
      </c>
      <c r="D197" s="3" t="s">
        <v>1074</v>
      </c>
      <c r="E197" s="14">
        <v>45713</v>
      </c>
      <c r="F197" s="5" t="s">
        <v>5589</v>
      </c>
      <c r="G197" s="5" t="s">
        <v>1079</v>
      </c>
      <c r="H197" s="5"/>
      <c r="I197" s="6"/>
      <c r="J197" s="6"/>
      <c r="K197" s="6"/>
      <c r="L197" s="6"/>
      <c r="M197" s="7" t="s">
        <v>5590</v>
      </c>
      <c r="N197" s="8" t="str">
        <f>"CFI"&amp;".D"&amp;TEXT(Caja_Finanzas[[#This Row],[FECHA]],"DD-MM")&amp;"-"&amp;TEXT(Caja_Finanzas[[#This Row],[ITEM]],"0000")</f>
        <v>CFI.D25-02-0184</v>
      </c>
      <c r="O197" s="8" t="str">
        <f t="shared" si="15"/>
        <v>PEN</v>
      </c>
      <c r="P197" s="13"/>
      <c r="Q197" s="13">
        <v>1144</v>
      </c>
      <c r="R197" s="3">
        <f t="shared" ref="R197:R260" si="16">+IF(OR($G197="SALDO",$G197="INGRESO"),$Q197,0)</f>
        <v>0</v>
      </c>
      <c r="S197" s="3">
        <f t="shared" ref="S197:S260" si="17">+IF($G197="EGRESO",$Q197,0)</f>
        <v>1144</v>
      </c>
      <c r="T197" s="3">
        <f t="shared" ref="T197:T260" si="18">IFERROR(IF(G197="SALDO",R197,T196+R197-S197),0)</f>
        <v>2704.3000000000015</v>
      </c>
      <c r="U197" s="24"/>
      <c r="V197" s="24"/>
      <c r="W197" s="3"/>
      <c r="X197" s="25" t="s">
        <v>5591</v>
      </c>
      <c r="Y197" s="25" t="s">
        <v>5592</v>
      </c>
      <c r="Z197" s="25"/>
      <c r="AA197" s="25"/>
      <c r="AB197" s="25"/>
      <c r="AC197" s="3" t="str">
        <f>IF(Caja_Finanzas[[#This Row],[FECHA]]&gt;0,TEXT(Caja_Finanzas[[#This Row],[FECHA]],"mmmm"),0)</f>
        <v>Febrero</v>
      </c>
    </row>
    <row r="198" spans="2:29" ht="36" x14ac:dyDescent="0.3">
      <c r="B198" s="2">
        <f>IF(Caja_Finanzas[[#This Row],[TIPO DE R.]]="R",COUNTIFS($D$4:$D197,"R")+1,"")</f>
        <v>185</v>
      </c>
      <c r="C198" s="19" t="str">
        <f t="shared" ref="C198:C261" si="19">"C-Finanzas"</f>
        <v>C-Finanzas</v>
      </c>
      <c r="D198" s="3" t="s">
        <v>1074</v>
      </c>
      <c r="E198" s="14">
        <v>45713</v>
      </c>
      <c r="F198" s="5" t="s">
        <v>5589</v>
      </c>
      <c r="G198" s="5" t="s">
        <v>1079</v>
      </c>
      <c r="H198" s="5"/>
      <c r="I198" s="6"/>
      <c r="J198" s="6"/>
      <c r="K198" s="6"/>
      <c r="L198" s="6"/>
      <c r="M198" s="7" t="s">
        <v>5593</v>
      </c>
      <c r="N198" s="8" t="str">
        <f>"CFI"&amp;".D"&amp;TEXT(Caja_Finanzas[[#This Row],[FECHA]],"DD-MM")&amp;"-"&amp;TEXT(Caja_Finanzas[[#This Row],[ITEM]],"0000")</f>
        <v>CFI.D25-02-0185</v>
      </c>
      <c r="O198" s="8" t="str">
        <f t="shared" ref="O198:O261" si="20">"PEN"</f>
        <v>PEN</v>
      </c>
      <c r="P198" s="13"/>
      <c r="Q198" s="13">
        <v>152</v>
      </c>
      <c r="R198" s="3">
        <f t="shared" si="16"/>
        <v>0</v>
      </c>
      <c r="S198" s="3">
        <f t="shared" si="17"/>
        <v>152</v>
      </c>
      <c r="T198" s="3">
        <f t="shared" si="18"/>
        <v>2552.3000000000015</v>
      </c>
      <c r="U198" s="24"/>
      <c r="V198" s="24"/>
      <c r="W198" s="3"/>
      <c r="X198" s="25" t="s">
        <v>5394</v>
      </c>
      <c r="Y198" s="25" t="s">
        <v>5594</v>
      </c>
      <c r="Z198" s="25"/>
      <c r="AA198" s="25"/>
      <c r="AB198" s="25"/>
      <c r="AC198" s="3" t="str">
        <f>IF(Caja_Finanzas[[#This Row],[FECHA]]&gt;0,TEXT(Caja_Finanzas[[#This Row],[FECHA]],"mmmm"),0)</f>
        <v>Febrero</v>
      </c>
    </row>
    <row r="199" spans="2:29" ht="48" x14ac:dyDescent="0.3">
      <c r="B199" s="2">
        <f>IF(Caja_Finanzas[[#This Row],[TIPO DE R.]]="R",COUNTIFS($D$4:$D198,"R")+1,"")</f>
        <v>186</v>
      </c>
      <c r="C199" s="19" t="str">
        <f t="shared" si="19"/>
        <v>C-Finanzas</v>
      </c>
      <c r="D199" s="3" t="s">
        <v>1074</v>
      </c>
      <c r="E199" s="14">
        <v>45713</v>
      </c>
      <c r="F199" s="5" t="s">
        <v>5338</v>
      </c>
      <c r="G199" s="5" t="s">
        <v>1079</v>
      </c>
      <c r="H199" s="5"/>
      <c r="I199" s="6"/>
      <c r="J199" s="6"/>
      <c r="K199" s="6"/>
      <c r="L199" s="6"/>
      <c r="M199" s="7" t="s">
        <v>5595</v>
      </c>
      <c r="N199" s="8" t="str">
        <f>"CFI"&amp;".D"&amp;TEXT(Caja_Finanzas[[#This Row],[FECHA]],"DD-MM")&amp;"-"&amp;TEXT(Caja_Finanzas[[#This Row],[ITEM]],"0000")</f>
        <v>CFI.D25-02-0186</v>
      </c>
      <c r="O199" s="8" t="str">
        <f t="shared" si="20"/>
        <v>PEN</v>
      </c>
      <c r="P199" s="13"/>
      <c r="Q199" s="13">
        <v>240</v>
      </c>
      <c r="R199" s="3">
        <f t="shared" si="16"/>
        <v>0</v>
      </c>
      <c r="S199" s="3">
        <f t="shared" si="17"/>
        <v>240</v>
      </c>
      <c r="T199" s="3">
        <f t="shared" si="18"/>
        <v>2312.3000000000015</v>
      </c>
      <c r="U199" s="24"/>
      <c r="V199" s="24"/>
      <c r="W199" s="3"/>
      <c r="X199" s="25" t="s">
        <v>5596</v>
      </c>
      <c r="Y199" s="25" t="s">
        <v>5597</v>
      </c>
      <c r="Z199" s="25"/>
      <c r="AA199" s="25"/>
      <c r="AB199" s="25"/>
      <c r="AC199" s="3" t="str">
        <f>IF(Caja_Finanzas[[#This Row],[FECHA]]&gt;0,TEXT(Caja_Finanzas[[#This Row],[FECHA]],"mmmm"),0)</f>
        <v>Febrero</v>
      </c>
    </row>
    <row r="200" spans="2:29" ht="48" x14ac:dyDescent="0.3">
      <c r="B200" s="2">
        <f>IF(Caja_Finanzas[[#This Row],[TIPO DE R.]]="R",COUNTIFS($D$4:$D199,"R")+1,"")</f>
        <v>187</v>
      </c>
      <c r="C200" s="19" t="str">
        <f t="shared" si="19"/>
        <v>C-Finanzas</v>
      </c>
      <c r="D200" s="3" t="s">
        <v>1074</v>
      </c>
      <c r="E200" s="14">
        <v>45713</v>
      </c>
      <c r="F200" s="5" t="s">
        <v>5338</v>
      </c>
      <c r="G200" s="5" t="s">
        <v>1079</v>
      </c>
      <c r="H200" s="5"/>
      <c r="I200" s="6"/>
      <c r="J200" s="6"/>
      <c r="K200" s="6"/>
      <c r="L200" s="6"/>
      <c r="M200" s="7" t="s">
        <v>5598</v>
      </c>
      <c r="N200" s="8" t="str">
        <f>"CFI"&amp;".D"&amp;TEXT(Caja_Finanzas[[#This Row],[FECHA]],"DD-MM")&amp;"-"&amp;TEXT(Caja_Finanzas[[#This Row],[ITEM]],"0000")</f>
        <v>CFI.D25-02-0187</v>
      </c>
      <c r="O200" s="8" t="str">
        <f t="shared" si="20"/>
        <v>PEN</v>
      </c>
      <c r="P200" s="13"/>
      <c r="Q200" s="13">
        <v>24</v>
      </c>
      <c r="R200" s="3">
        <f t="shared" si="16"/>
        <v>0</v>
      </c>
      <c r="S200" s="3">
        <f t="shared" si="17"/>
        <v>24</v>
      </c>
      <c r="T200" s="3">
        <f t="shared" si="18"/>
        <v>2288.3000000000015</v>
      </c>
      <c r="U200" s="24"/>
      <c r="V200" s="24"/>
      <c r="W200" s="3"/>
      <c r="X200" s="25" t="s">
        <v>5596</v>
      </c>
      <c r="Y200" s="25" t="s">
        <v>5599</v>
      </c>
      <c r="Z200" s="25"/>
      <c r="AA200" s="25"/>
      <c r="AB200" s="25"/>
      <c r="AC200" s="3" t="str">
        <f>IF(Caja_Finanzas[[#This Row],[FECHA]]&gt;0,TEXT(Caja_Finanzas[[#This Row],[FECHA]],"mmmm"),0)</f>
        <v>Febrero</v>
      </c>
    </row>
    <row r="201" spans="2:29" x14ac:dyDescent="0.3">
      <c r="B201" s="2">
        <f>IF(Caja_Finanzas[[#This Row],[TIPO DE R.]]="R",COUNTIFS($D$4:$D200,"R")+1,"")</f>
        <v>188</v>
      </c>
      <c r="C201" s="19" t="str">
        <f t="shared" si="19"/>
        <v>C-Finanzas</v>
      </c>
      <c r="D201" s="3" t="s">
        <v>1074</v>
      </c>
      <c r="E201" s="14">
        <v>45713</v>
      </c>
      <c r="F201" s="5" t="s">
        <v>3353</v>
      </c>
      <c r="G201" s="5" t="s">
        <v>1079</v>
      </c>
      <c r="H201" s="5"/>
      <c r="I201" s="6"/>
      <c r="J201" s="6"/>
      <c r="K201" s="6"/>
      <c r="L201" s="6"/>
      <c r="M201" s="7" t="s">
        <v>5397</v>
      </c>
      <c r="N201" s="8" t="str">
        <f>"CFI"&amp;".D"&amp;TEXT(Caja_Finanzas[[#This Row],[FECHA]],"DD-MM")&amp;"-"&amp;TEXT(Caja_Finanzas[[#This Row],[ITEM]],"0000")</f>
        <v>CFI.D25-02-0188</v>
      </c>
      <c r="O201" s="8" t="str">
        <f t="shared" si="20"/>
        <v>PEN</v>
      </c>
      <c r="P201" s="13"/>
      <c r="Q201" s="13">
        <v>760</v>
      </c>
      <c r="R201" s="3">
        <f t="shared" si="16"/>
        <v>0</v>
      </c>
      <c r="S201" s="3">
        <f t="shared" si="17"/>
        <v>760</v>
      </c>
      <c r="T201" s="3">
        <f t="shared" si="18"/>
        <v>1528.3000000000015</v>
      </c>
      <c r="U201" s="24"/>
      <c r="V201" s="24"/>
      <c r="W201" s="3"/>
      <c r="X201" s="25"/>
      <c r="Y201" s="25"/>
      <c r="Z201" s="25"/>
      <c r="AA201" s="25"/>
      <c r="AB201" s="25"/>
      <c r="AC201" s="3" t="str">
        <f>IF(Caja_Finanzas[[#This Row],[FECHA]]&gt;0,TEXT(Caja_Finanzas[[#This Row],[FECHA]],"mmmm"),0)</f>
        <v>Febrero</v>
      </c>
    </row>
    <row r="202" spans="2:29" ht="24" x14ac:dyDescent="0.3">
      <c r="B202" s="2">
        <f>IF(Caja_Finanzas[[#This Row],[TIPO DE R.]]="R",COUNTIFS($D$4:$D201,"R")+1,"")</f>
        <v>189</v>
      </c>
      <c r="C202" s="19" t="str">
        <f t="shared" si="19"/>
        <v>C-Finanzas</v>
      </c>
      <c r="D202" s="3" t="s">
        <v>1074</v>
      </c>
      <c r="E202" s="14">
        <v>45714</v>
      </c>
      <c r="F202" s="5" t="s">
        <v>1562</v>
      </c>
      <c r="G202" s="5" t="s">
        <v>1087</v>
      </c>
      <c r="H202" s="5"/>
      <c r="I202" s="6"/>
      <c r="J202" s="6"/>
      <c r="K202" s="6"/>
      <c r="L202" s="6"/>
      <c r="M202" s="7" t="s">
        <v>5156</v>
      </c>
      <c r="N202" s="8" t="str">
        <f>"CFI"&amp;".D"&amp;TEXT(Caja_Finanzas[[#This Row],[FECHA]],"DD-MM")&amp;"-"&amp;TEXT(Caja_Finanzas[[#This Row],[ITEM]],"0000")</f>
        <v>CFI.D26-02-0189</v>
      </c>
      <c r="O202" s="8" t="str">
        <f t="shared" si="20"/>
        <v>PEN</v>
      </c>
      <c r="P202" s="13"/>
      <c r="Q202" s="13">
        <v>1539.5</v>
      </c>
      <c r="R202" s="3">
        <f t="shared" si="16"/>
        <v>1539.5</v>
      </c>
      <c r="S202" s="3">
        <f t="shared" si="17"/>
        <v>0</v>
      </c>
      <c r="T202" s="3">
        <f t="shared" si="18"/>
        <v>3067.8000000000015</v>
      </c>
      <c r="U202" s="24"/>
      <c r="V202" s="24"/>
      <c r="W202" s="3"/>
      <c r="X202" s="25"/>
      <c r="Y202" s="25" t="s">
        <v>5600</v>
      </c>
      <c r="Z202" s="25"/>
      <c r="AA202" s="25"/>
      <c r="AB202" s="25"/>
      <c r="AC202" s="3" t="str">
        <f>IF(Caja_Finanzas[[#This Row],[FECHA]]&gt;0,TEXT(Caja_Finanzas[[#This Row],[FECHA]],"mmmm"),0)</f>
        <v>Febrero</v>
      </c>
    </row>
    <row r="203" spans="2:29" x14ac:dyDescent="0.3">
      <c r="B203" s="2">
        <f>IF(Caja_Finanzas[[#This Row],[TIPO DE R.]]="R",COUNTIFS($D$4:$D202,"R")+1,"")</f>
        <v>190</v>
      </c>
      <c r="C203" s="19" t="str">
        <f t="shared" si="19"/>
        <v>C-Finanzas</v>
      </c>
      <c r="D203" s="3" t="s">
        <v>1074</v>
      </c>
      <c r="E203" s="14">
        <v>45714</v>
      </c>
      <c r="F203" s="5" t="s">
        <v>5601</v>
      </c>
      <c r="G203" s="5" t="s">
        <v>1087</v>
      </c>
      <c r="H203" s="5"/>
      <c r="I203" s="6"/>
      <c r="J203" s="6"/>
      <c r="K203" s="6"/>
      <c r="L203" s="6"/>
      <c r="M203" s="7" t="s">
        <v>5156</v>
      </c>
      <c r="N203" s="8" t="str">
        <f>"CFI"&amp;".D"&amp;TEXT(Caja_Finanzas[[#This Row],[FECHA]],"DD-MM")&amp;"-"&amp;TEXT(Caja_Finanzas[[#This Row],[ITEM]],"0000")</f>
        <v>CFI.D26-02-0190</v>
      </c>
      <c r="O203" s="8" t="str">
        <f t="shared" si="20"/>
        <v>PEN</v>
      </c>
      <c r="P203" s="13"/>
      <c r="Q203" s="13">
        <v>1005.8</v>
      </c>
      <c r="R203" s="3">
        <f t="shared" si="16"/>
        <v>1005.8</v>
      </c>
      <c r="S203" s="3">
        <f t="shared" si="17"/>
        <v>0</v>
      </c>
      <c r="T203" s="3">
        <f t="shared" si="18"/>
        <v>4073.6000000000013</v>
      </c>
      <c r="U203" s="24"/>
      <c r="V203" s="24"/>
      <c r="W203" s="3"/>
      <c r="X203" s="25"/>
      <c r="Y203" s="25" t="s">
        <v>5602</v>
      </c>
      <c r="Z203" s="25"/>
      <c r="AA203" s="25"/>
      <c r="AB203" s="25"/>
      <c r="AC203" s="3" t="str">
        <f>IF(Caja_Finanzas[[#This Row],[FECHA]]&gt;0,TEXT(Caja_Finanzas[[#This Row],[FECHA]],"mmmm"),0)</f>
        <v>Febrero</v>
      </c>
    </row>
    <row r="204" spans="2:29" ht="24" x14ac:dyDescent="0.3">
      <c r="B204" s="2">
        <f>IF(Caja_Finanzas[[#This Row],[TIPO DE R.]]="R",COUNTIFS($D$4:$D203,"R")+1,"")</f>
        <v>191</v>
      </c>
      <c r="C204" s="19" t="str">
        <f t="shared" si="19"/>
        <v>C-Finanzas</v>
      </c>
      <c r="D204" s="3" t="s">
        <v>1074</v>
      </c>
      <c r="E204" s="14">
        <v>45714</v>
      </c>
      <c r="F204" s="5" t="s">
        <v>1745</v>
      </c>
      <c r="G204" s="5" t="s">
        <v>1087</v>
      </c>
      <c r="H204" s="5"/>
      <c r="I204" s="6"/>
      <c r="J204" s="6"/>
      <c r="K204" s="6"/>
      <c r="L204" s="6"/>
      <c r="M204" s="7" t="s">
        <v>5156</v>
      </c>
      <c r="N204" s="8" t="str">
        <f>"CFI"&amp;".D"&amp;TEXT(Caja_Finanzas[[#This Row],[FECHA]],"DD-MM")&amp;"-"&amp;TEXT(Caja_Finanzas[[#This Row],[ITEM]],"0000")</f>
        <v>CFI.D26-02-0191</v>
      </c>
      <c r="O204" s="8" t="str">
        <f t="shared" si="20"/>
        <v>PEN</v>
      </c>
      <c r="P204" s="13"/>
      <c r="Q204" s="13">
        <v>700</v>
      </c>
      <c r="R204" s="3">
        <f t="shared" si="16"/>
        <v>700</v>
      </c>
      <c r="S204" s="3">
        <f t="shared" si="17"/>
        <v>0</v>
      </c>
      <c r="T204" s="3">
        <f t="shared" si="18"/>
        <v>4773.6000000000013</v>
      </c>
      <c r="U204" s="24"/>
      <c r="V204" s="24"/>
      <c r="W204" s="3"/>
      <c r="X204" s="25"/>
      <c r="Y204" s="25" t="s">
        <v>1777</v>
      </c>
      <c r="Z204" s="25"/>
      <c r="AA204" s="25"/>
      <c r="AB204" s="25"/>
      <c r="AC204" s="3" t="str">
        <f>IF(Caja_Finanzas[[#This Row],[FECHA]]&gt;0,TEXT(Caja_Finanzas[[#This Row],[FECHA]],"mmmm"),0)</f>
        <v>Febrero</v>
      </c>
    </row>
    <row r="205" spans="2:29" ht="24" x14ac:dyDescent="0.3">
      <c r="B205" s="2">
        <f>IF(Caja_Finanzas[[#This Row],[TIPO DE R.]]="R",COUNTIFS($D$4:$D204,"R")+1,"")</f>
        <v>192</v>
      </c>
      <c r="C205" s="19" t="str">
        <f t="shared" si="19"/>
        <v>C-Finanzas</v>
      </c>
      <c r="D205" s="3" t="s">
        <v>1074</v>
      </c>
      <c r="E205" s="14">
        <v>45714</v>
      </c>
      <c r="F205" s="5" t="s">
        <v>1745</v>
      </c>
      <c r="G205" s="5" t="s">
        <v>1087</v>
      </c>
      <c r="H205" s="5"/>
      <c r="I205" s="6"/>
      <c r="J205" s="6"/>
      <c r="K205" s="6"/>
      <c r="L205" s="6"/>
      <c r="M205" s="7" t="s">
        <v>5156</v>
      </c>
      <c r="N205" s="8" t="str">
        <f>"CFI"&amp;".D"&amp;TEXT(Caja_Finanzas[[#This Row],[FECHA]],"DD-MM")&amp;"-"&amp;TEXT(Caja_Finanzas[[#This Row],[ITEM]],"0000")</f>
        <v>CFI.D26-02-0192</v>
      </c>
      <c r="O205" s="8" t="str">
        <f t="shared" si="20"/>
        <v>PEN</v>
      </c>
      <c r="P205" s="13"/>
      <c r="Q205" s="13">
        <v>2160</v>
      </c>
      <c r="R205" s="3">
        <f t="shared" si="16"/>
        <v>2160</v>
      </c>
      <c r="S205" s="3">
        <f t="shared" si="17"/>
        <v>0</v>
      </c>
      <c r="T205" s="3">
        <f t="shared" si="18"/>
        <v>6933.6000000000013</v>
      </c>
      <c r="U205" s="24"/>
      <c r="V205" s="24"/>
      <c r="W205" s="3"/>
      <c r="X205" s="25"/>
      <c r="Y205" s="25" t="s">
        <v>5603</v>
      </c>
      <c r="Z205" s="25"/>
      <c r="AA205" s="25"/>
      <c r="AB205" s="25"/>
      <c r="AC205" s="3" t="str">
        <f>IF(Caja_Finanzas[[#This Row],[FECHA]]&gt;0,TEXT(Caja_Finanzas[[#This Row],[FECHA]],"mmmm"),0)</f>
        <v>Febrero</v>
      </c>
    </row>
    <row r="206" spans="2:29" ht="48" x14ac:dyDescent="0.3">
      <c r="B206" s="2">
        <f>IF(Caja_Finanzas[[#This Row],[TIPO DE R.]]="R",COUNTIFS($D$4:$D205,"R")+1,"")</f>
        <v>193</v>
      </c>
      <c r="C206" s="19" t="str">
        <f t="shared" si="19"/>
        <v>C-Finanzas</v>
      </c>
      <c r="D206" s="3" t="s">
        <v>1074</v>
      </c>
      <c r="E206" s="14">
        <v>45715</v>
      </c>
      <c r="F206" s="5" t="s">
        <v>5589</v>
      </c>
      <c r="G206" s="5" t="s">
        <v>1079</v>
      </c>
      <c r="H206" s="5"/>
      <c r="I206" s="6"/>
      <c r="J206" s="6"/>
      <c r="K206" s="6"/>
      <c r="L206" s="6"/>
      <c r="M206" s="7" t="s">
        <v>5604</v>
      </c>
      <c r="N206" s="8" t="str">
        <f>"CFI"&amp;".D"&amp;TEXT(Caja_Finanzas[[#This Row],[FECHA]],"DD-MM")&amp;"-"&amp;TEXT(Caja_Finanzas[[#This Row],[ITEM]],"0000")</f>
        <v>CFI.D27-02-0193</v>
      </c>
      <c r="O206" s="8" t="str">
        <f t="shared" si="20"/>
        <v>PEN</v>
      </c>
      <c r="P206" s="13"/>
      <c r="Q206" s="13">
        <v>350</v>
      </c>
      <c r="R206" s="3">
        <f t="shared" si="16"/>
        <v>0</v>
      </c>
      <c r="S206" s="3">
        <f t="shared" si="17"/>
        <v>350</v>
      </c>
      <c r="T206" s="3">
        <f t="shared" si="18"/>
        <v>6583.6000000000013</v>
      </c>
      <c r="U206" s="24"/>
      <c r="V206" s="24"/>
      <c r="W206" s="3"/>
      <c r="X206" s="25" t="s">
        <v>5394</v>
      </c>
      <c r="Y206" s="25" t="s">
        <v>5605</v>
      </c>
      <c r="Z206" s="25"/>
      <c r="AA206" s="25"/>
      <c r="AB206" s="25"/>
      <c r="AC206" s="3" t="str">
        <f>IF(Caja_Finanzas[[#This Row],[FECHA]]&gt;0,TEXT(Caja_Finanzas[[#This Row],[FECHA]],"mmmm"),0)</f>
        <v>Febrero</v>
      </c>
    </row>
    <row r="207" spans="2:29" x14ac:dyDescent="0.3">
      <c r="B207" s="2">
        <f>IF(Caja_Finanzas[[#This Row],[TIPO DE R.]]="R",COUNTIFS($D$4:$D206,"R")+1,"")</f>
        <v>194</v>
      </c>
      <c r="C207" s="19" t="str">
        <f t="shared" si="19"/>
        <v>C-Finanzas</v>
      </c>
      <c r="D207" s="3" t="s">
        <v>1074</v>
      </c>
      <c r="E207" s="14">
        <v>45715</v>
      </c>
      <c r="F207" s="5" t="s">
        <v>1477</v>
      </c>
      <c r="G207" s="5" t="s">
        <v>1087</v>
      </c>
      <c r="H207" s="5"/>
      <c r="I207" s="6"/>
      <c r="J207" s="6"/>
      <c r="K207" s="6"/>
      <c r="L207" s="6"/>
      <c r="M207" s="7" t="s">
        <v>5156</v>
      </c>
      <c r="N207" s="8" t="str">
        <f>"CFI"&amp;".D"&amp;TEXT(Caja_Finanzas[[#This Row],[FECHA]],"DD-MM")&amp;"-"&amp;TEXT(Caja_Finanzas[[#This Row],[ITEM]],"0000")</f>
        <v>CFI.D27-02-0194</v>
      </c>
      <c r="O207" s="8" t="str">
        <f t="shared" si="20"/>
        <v>PEN</v>
      </c>
      <c r="P207" s="13"/>
      <c r="Q207" s="13">
        <v>70.900000000000006</v>
      </c>
      <c r="R207" s="3">
        <f t="shared" si="16"/>
        <v>70.900000000000006</v>
      </c>
      <c r="S207" s="3">
        <f t="shared" si="17"/>
        <v>0</v>
      </c>
      <c r="T207" s="3">
        <f t="shared" si="18"/>
        <v>6654.5000000000009</v>
      </c>
      <c r="U207" s="24"/>
      <c r="V207" s="24"/>
      <c r="W207" s="3"/>
      <c r="X207" s="25"/>
      <c r="Y207" s="25" t="s">
        <v>1479</v>
      </c>
      <c r="Z207" s="25"/>
      <c r="AA207" s="25"/>
      <c r="AB207" s="25"/>
      <c r="AC207" s="3" t="str">
        <f>IF(Caja_Finanzas[[#This Row],[FECHA]]&gt;0,TEXT(Caja_Finanzas[[#This Row],[FECHA]],"mmmm"),0)</f>
        <v>Febrero</v>
      </c>
    </row>
    <row r="208" spans="2:29" x14ac:dyDescent="0.3">
      <c r="B208" s="2">
        <f>IF(Caja_Finanzas[[#This Row],[TIPO DE R.]]="R",COUNTIFS($D$4:$D207,"R")+1,"")</f>
        <v>195</v>
      </c>
      <c r="C208" s="19" t="str">
        <f t="shared" si="19"/>
        <v>C-Finanzas</v>
      </c>
      <c r="D208" s="3" t="s">
        <v>1074</v>
      </c>
      <c r="E208" s="14">
        <v>45715</v>
      </c>
      <c r="F208" s="5" t="s">
        <v>1477</v>
      </c>
      <c r="G208" s="5" t="s">
        <v>1087</v>
      </c>
      <c r="H208" s="5"/>
      <c r="I208" s="6"/>
      <c r="J208" s="6"/>
      <c r="K208" s="6"/>
      <c r="L208" s="6"/>
      <c r="M208" s="7" t="s">
        <v>5156</v>
      </c>
      <c r="N208" s="8" t="str">
        <f>"CFI"&amp;".D"&amp;TEXT(Caja_Finanzas[[#This Row],[FECHA]],"DD-MM")&amp;"-"&amp;TEXT(Caja_Finanzas[[#This Row],[ITEM]],"0000")</f>
        <v>CFI.D27-02-0195</v>
      </c>
      <c r="O208" s="8" t="str">
        <f t="shared" si="20"/>
        <v>PEN</v>
      </c>
      <c r="P208" s="13"/>
      <c r="Q208" s="13">
        <v>80</v>
      </c>
      <c r="R208" s="3">
        <f t="shared" si="16"/>
        <v>80</v>
      </c>
      <c r="S208" s="3">
        <f t="shared" si="17"/>
        <v>0</v>
      </c>
      <c r="T208" s="3">
        <f t="shared" si="18"/>
        <v>6734.5000000000009</v>
      </c>
      <c r="U208" s="24"/>
      <c r="V208" s="24"/>
      <c r="W208" s="3"/>
      <c r="X208" s="25"/>
      <c r="Y208" s="25" t="s">
        <v>5606</v>
      </c>
      <c r="Z208" s="25"/>
      <c r="AA208" s="25"/>
      <c r="AB208" s="25"/>
      <c r="AC208" s="3" t="str">
        <f>IF(Caja_Finanzas[[#This Row],[FECHA]]&gt;0,TEXT(Caja_Finanzas[[#This Row],[FECHA]],"mmmm"),0)</f>
        <v>Febrero</v>
      </c>
    </row>
    <row r="209" spans="2:29" ht="24" x14ac:dyDescent="0.3">
      <c r="B209" s="2">
        <f>IF(Caja_Finanzas[[#This Row],[TIPO DE R.]]="R",COUNTIFS($D$4:$D208,"R")+1,"")</f>
        <v>196</v>
      </c>
      <c r="C209" s="19" t="str">
        <f t="shared" si="19"/>
        <v>C-Finanzas</v>
      </c>
      <c r="D209" s="3" t="s">
        <v>1074</v>
      </c>
      <c r="E209" s="14">
        <v>45716</v>
      </c>
      <c r="F209" s="5" t="s">
        <v>1745</v>
      </c>
      <c r="G209" s="5" t="s">
        <v>1087</v>
      </c>
      <c r="H209" s="5"/>
      <c r="I209" s="6"/>
      <c r="J209" s="6"/>
      <c r="K209" s="6"/>
      <c r="L209" s="6"/>
      <c r="M209" s="7" t="s">
        <v>5156</v>
      </c>
      <c r="N209" s="8" t="str">
        <f>"CFI"&amp;".D"&amp;TEXT(Caja_Finanzas[[#This Row],[FECHA]],"DD-MM")&amp;"-"&amp;TEXT(Caja_Finanzas[[#This Row],[ITEM]],"0000")</f>
        <v>CFI.D28-02-0196</v>
      </c>
      <c r="O209" s="8" t="str">
        <f t="shared" si="20"/>
        <v>PEN</v>
      </c>
      <c r="P209" s="13"/>
      <c r="Q209" s="13">
        <v>1700</v>
      </c>
      <c r="R209" s="3">
        <f t="shared" si="16"/>
        <v>1700</v>
      </c>
      <c r="S209" s="3">
        <f t="shared" si="17"/>
        <v>0</v>
      </c>
      <c r="T209" s="3">
        <f t="shared" si="18"/>
        <v>8434.5</v>
      </c>
      <c r="U209" s="24"/>
      <c r="V209" s="24"/>
      <c r="W209" s="3"/>
      <c r="X209" s="25"/>
      <c r="Y209" s="25" t="s">
        <v>1814</v>
      </c>
      <c r="Z209" s="25"/>
      <c r="AA209" s="25"/>
      <c r="AB209" s="25"/>
      <c r="AC209" s="3" t="str">
        <f>IF(Caja_Finanzas[[#This Row],[FECHA]]&gt;0,TEXT(Caja_Finanzas[[#This Row],[FECHA]],"mmmm"),0)</f>
        <v>Febrero</v>
      </c>
    </row>
    <row r="210" spans="2:29" x14ac:dyDescent="0.3">
      <c r="B210" s="2">
        <f>IF(Caja_Finanzas[[#This Row],[TIPO DE R.]]="R",COUNTIFS($D$4:$D209,"R")+1,"")</f>
        <v>197</v>
      </c>
      <c r="C210" s="19" t="str">
        <f t="shared" si="19"/>
        <v>C-Finanzas</v>
      </c>
      <c r="D210" s="3" t="s">
        <v>1074</v>
      </c>
      <c r="E210" s="14">
        <v>45716</v>
      </c>
      <c r="F210" s="5" t="s">
        <v>382</v>
      </c>
      <c r="G210" s="5" t="s">
        <v>1087</v>
      </c>
      <c r="H210" s="5"/>
      <c r="I210" s="6"/>
      <c r="J210" s="6"/>
      <c r="K210" s="6"/>
      <c r="L210" s="6"/>
      <c r="M210" s="7" t="s">
        <v>5156</v>
      </c>
      <c r="N210" s="8" t="str">
        <f>"CFI"&amp;".D"&amp;TEXT(Caja_Finanzas[[#This Row],[FECHA]],"DD-MM")&amp;"-"&amp;TEXT(Caja_Finanzas[[#This Row],[ITEM]],"0000")</f>
        <v>CFI.D28-02-0197</v>
      </c>
      <c r="O210" s="8" t="str">
        <f t="shared" si="20"/>
        <v>PEN</v>
      </c>
      <c r="P210" s="13"/>
      <c r="Q210" s="13">
        <v>480</v>
      </c>
      <c r="R210" s="3">
        <f t="shared" si="16"/>
        <v>480</v>
      </c>
      <c r="S210" s="3">
        <f t="shared" si="17"/>
        <v>0</v>
      </c>
      <c r="T210" s="3">
        <f t="shared" si="18"/>
        <v>8914.5</v>
      </c>
      <c r="U210" s="24"/>
      <c r="V210" s="24"/>
      <c r="W210" s="3"/>
      <c r="X210" s="25"/>
      <c r="Y210" s="25" t="s">
        <v>5607</v>
      </c>
      <c r="Z210" s="25"/>
      <c r="AA210" s="25"/>
      <c r="AB210" s="25"/>
      <c r="AC210" s="3" t="str">
        <f>IF(Caja_Finanzas[[#This Row],[FECHA]]&gt;0,TEXT(Caja_Finanzas[[#This Row],[FECHA]],"mmmm"),0)</f>
        <v>Febrero</v>
      </c>
    </row>
    <row r="211" spans="2:29" ht="24" x14ac:dyDescent="0.3">
      <c r="B211" s="2">
        <f>IF(Caja_Finanzas[[#This Row],[TIPO DE R.]]="R",COUNTIFS($D$4:$D210,"R")+1,"")</f>
        <v>198</v>
      </c>
      <c r="C211" s="19" t="str">
        <f t="shared" si="19"/>
        <v>C-Finanzas</v>
      </c>
      <c r="D211" s="3" t="s">
        <v>1074</v>
      </c>
      <c r="E211" s="14">
        <v>45716</v>
      </c>
      <c r="F211" s="5" t="s">
        <v>3816</v>
      </c>
      <c r="G211" s="5" t="s">
        <v>1087</v>
      </c>
      <c r="H211" s="5"/>
      <c r="I211" s="6"/>
      <c r="J211" s="6"/>
      <c r="K211" s="6"/>
      <c r="L211" s="6"/>
      <c r="M211" s="7" t="s">
        <v>5156</v>
      </c>
      <c r="N211" s="8" t="str">
        <f>"CFI"&amp;".D"&amp;TEXT(Caja_Finanzas[[#This Row],[FECHA]],"DD-MM")&amp;"-"&amp;TEXT(Caja_Finanzas[[#This Row],[ITEM]],"0000")</f>
        <v>CFI.D28-02-0198</v>
      </c>
      <c r="O211" s="8" t="str">
        <f t="shared" si="20"/>
        <v>PEN</v>
      </c>
      <c r="P211" s="13"/>
      <c r="Q211" s="13">
        <v>500</v>
      </c>
      <c r="R211" s="3">
        <f t="shared" si="16"/>
        <v>500</v>
      </c>
      <c r="S211" s="3">
        <f t="shared" si="17"/>
        <v>0</v>
      </c>
      <c r="T211" s="3">
        <f t="shared" si="18"/>
        <v>9414.5</v>
      </c>
      <c r="U211" s="24"/>
      <c r="V211" s="24"/>
      <c r="W211" s="3"/>
      <c r="X211" s="25"/>
      <c r="Y211" s="25" t="s">
        <v>5399</v>
      </c>
      <c r="Z211" s="25"/>
      <c r="AA211" s="25"/>
      <c r="AB211" s="25"/>
      <c r="AC211" s="3" t="str">
        <f>IF(Caja_Finanzas[[#This Row],[FECHA]]&gt;0,TEXT(Caja_Finanzas[[#This Row],[FECHA]],"mmmm"),0)</f>
        <v>Febrero</v>
      </c>
    </row>
    <row r="212" spans="2:29" ht="36" x14ac:dyDescent="0.3">
      <c r="B212" s="2">
        <f>IF(Caja_Finanzas[[#This Row],[TIPO DE R.]]="R",COUNTIFS($D$4:$D211,"R")+1,"")</f>
        <v>199</v>
      </c>
      <c r="C212" s="19" t="str">
        <f t="shared" si="19"/>
        <v>C-Finanzas</v>
      </c>
      <c r="D212" s="3" t="s">
        <v>1074</v>
      </c>
      <c r="E212" s="14">
        <v>45716</v>
      </c>
      <c r="F212" s="5" t="s">
        <v>5301</v>
      </c>
      <c r="G212" s="5" t="s">
        <v>1079</v>
      </c>
      <c r="H212" s="5"/>
      <c r="I212" s="6"/>
      <c r="J212" s="6"/>
      <c r="K212" s="6"/>
      <c r="L212" s="6"/>
      <c r="M212" s="7" t="s">
        <v>5608</v>
      </c>
      <c r="N212" s="8" t="str">
        <f>"CFI"&amp;".D"&amp;TEXT(Caja_Finanzas[[#This Row],[FECHA]],"DD-MM")&amp;"-"&amp;TEXT(Caja_Finanzas[[#This Row],[ITEM]],"0000")</f>
        <v>CFI.D28-02-0199</v>
      </c>
      <c r="O212" s="8" t="str">
        <f t="shared" si="20"/>
        <v>PEN</v>
      </c>
      <c r="P212" s="13"/>
      <c r="Q212" s="13">
        <v>9526</v>
      </c>
      <c r="R212" s="3">
        <f t="shared" si="16"/>
        <v>0</v>
      </c>
      <c r="S212" s="3">
        <f t="shared" si="17"/>
        <v>9526</v>
      </c>
      <c r="T212" s="3">
        <f t="shared" si="18"/>
        <v>-111.5</v>
      </c>
      <c r="U212" s="24"/>
      <c r="V212" s="24"/>
      <c r="W212" s="3"/>
      <c r="X212" s="25" t="s">
        <v>720</v>
      </c>
      <c r="Y212" s="25"/>
      <c r="Z212" s="25"/>
      <c r="AA212" s="25"/>
      <c r="AB212" s="25"/>
      <c r="AC212" s="3" t="str">
        <f>IF(Caja_Finanzas[[#This Row],[FECHA]]&gt;0,TEXT(Caja_Finanzas[[#This Row],[FECHA]],"mmmm"),0)</f>
        <v>Febrero</v>
      </c>
    </row>
    <row r="213" spans="2:29" x14ac:dyDescent="0.3">
      <c r="B213" s="2">
        <f>IF(Caja_Finanzas[[#This Row],[TIPO DE R.]]="R",COUNTIFS($D$4:$D212,"R")+1,"")</f>
        <v>200</v>
      </c>
      <c r="C213" s="19" t="str">
        <f t="shared" si="19"/>
        <v>C-Finanzas</v>
      </c>
      <c r="D213" s="3" t="s">
        <v>1074</v>
      </c>
      <c r="E213" s="14">
        <v>45716</v>
      </c>
      <c r="F213" s="5"/>
      <c r="G213" s="5" t="s">
        <v>1087</v>
      </c>
      <c r="H213" s="5"/>
      <c r="I213" s="6"/>
      <c r="J213" s="6"/>
      <c r="K213" s="6"/>
      <c r="L213" s="6"/>
      <c r="M213" s="7" t="s">
        <v>5609</v>
      </c>
      <c r="N213" s="8" t="str">
        <f>"CFI"&amp;".D"&amp;TEXT(Caja_Finanzas[[#This Row],[FECHA]],"DD-MM")&amp;"-"&amp;TEXT(Caja_Finanzas[[#This Row],[ITEM]],"0000")</f>
        <v>CFI.D28-02-0200</v>
      </c>
      <c r="O213" s="8" t="str">
        <f t="shared" si="20"/>
        <v>PEN</v>
      </c>
      <c r="P213" s="13"/>
      <c r="Q213" s="13"/>
      <c r="R213" s="3">
        <f t="shared" si="16"/>
        <v>0</v>
      </c>
      <c r="S213" s="3">
        <f t="shared" si="17"/>
        <v>0</v>
      </c>
      <c r="T213" s="3">
        <f t="shared" si="18"/>
        <v>-111.5</v>
      </c>
      <c r="U213" s="24"/>
      <c r="V213" s="24"/>
      <c r="W213" s="3"/>
      <c r="X213" s="25"/>
      <c r="Y213" s="25"/>
      <c r="Z213" s="25"/>
      <c r="AA213" s="25"/>
      <c r="AB213" s="25"/>
      <c r="AC213" s="3" t="str">
        <f>IF(Caja_Finanzas[[#This Row],[FECHA]]&gt;0,TEXT(Caja_Finanzas[[#This Row],[FECHA]],"mmmm"),0)</f>
        <v>Febrero</v>
      </c>
    </row>
    <row r="214" spans="2:29" ht="24" x14ac:dyDescent="0.3">
      <c r="B214" s="2">
        <f>IF(Caja_Finanzas[[#This Row],[TIPO DE R.]]="R",COUNTIFS($D$4:$D213,"R")+1,"")</f>
        <v>201</v>
      </c>
      <c r="C214" s="19" t="str">
        <f t="shared" si="19"/>
        <v>C-Finanzas</v>
      </c>
      <c r="D214" s="3" t="s">
        <v>1074</v>
      </c>
      <c r="E214" s="14">
        <v>45716</v>
      </c>
      <c r="F214" s="5" t="s">
        <v>1562</v>
      </c>
      <c r="G214" s="5" t="s">
        <v>1087</v>
      </c>
      <c r="H214" s="5"/>
      <c r="I214" s="6"/>
      <c r="J214" s="6"/>
      <c r="K214" s="6"/>
      <c r="L214" s="6"/>
      <c r="M214" s="7" t="s">
        <v>5156</v>
      </c>
      <c r="N214" s="8" t="str">
        <f>"CFI"&amp;".D"&amp;TEXT(Caja_Finanzas[[#This Row],[FECHA]],"DD-MM")&amp;"-"&amp;TEXT(Caja_Finanzas[[#This Row],[ITEM]],"0000")</f>
        <v>CFI.D28-02-0201</v>
      </c>
      <c r="O214" s="8" t="str">
        <f t="shared" si="20"/>
        <v>PEN</v>
      </c>
      <c r="P214" s="13"/>
      <c r="Q214" s="13">
        <v>615.29999999999995</v>
      </c>
      <c r="R214" s="3">
        <f t="shared" si="16"/>
        <v>615.29999999999995</v>
      </c>
      <c r="S214" s="3">
        <f t="shared" si="17"/>
        <v>0</v>
      </c>
      <c r="T214" s="3">
        <f t="shared" si="18"/>
        <v>503.79999999999995</v>
      </c>
      <c r="U214" s="24"/>
      <c r="V214" s="24"/>
      <c r="W214" s="3"/>
      <c r="X214" s="25"/>
      <c r="Y214" s="25" t="s">
        <v>1807</v>
      </c>
      <c r="Z214" s="25"/>
      <c r="AA214" s="25"/>
      <c r="AB214" s="25"/>
      <c r="AC214" s="3" t="str">
        <f>IF(Caja_Finanzas[[#This Row],[FECHA]]&gt;0,TEXT(Caja_Finanzas[[#This Row],[FECHA]],"mmmm"),0)</f>
        <v>Febrero</v>
      </c>
    </row>
    <row r="215" spans="2:29" ht="24" x14ac:dyDescent="0.3">
      <c r="B215" s="2">
        <f>IF(Caja_Finanzas[[#This Row],[TIPO DE R.]]="R",COUNTIFS($D$4:$D214,"R")+1,"")</f>
        <v>202</v>
      </c>
      <c r="C215" s="19" t="str">
        <f t="shared" si="19"/>
        <v>C-Finanzas</v>
      </c>
      <c r="D215" s="3" t="s">
        <v>1074</v>
      </c>
      <c r="E215" s="14">
        <v>45716</v>
      </c>
      <c r="F215" s="5" t="s">
        <v>1815</v>
      </c>
      <c r="G215" s="5" t="s">
        <v>1087</v>
      </c>
      <c r="H215" s="5"/>
      <c r="I215" s="6"/>
      <c r="J215" s="6"/>
      <c r="K215" s="6"/>
      <c r="L215" s="6"/>
      <c r="M215" s="7" t="s">
        <v>5156</v>
      </c>
      <c r="N215" s="8" t="str">
        <f>"CFI"&amp;".D"&amp;TEXT(Caja_Finanzas[[#This Row],[FECHA]],"DD-MM")&amp;"-"&amp;TEXT(Caja_Finanzas[[#This Row],[ITEM]],"0000")</f>
        <v>CFI.D28-02-0202</v>
      </c>
      <c r="O215" s="8" t="str">
        <f t="shared" si="20"/>
        <v>PEN</v>
      </c>
      <c r="P215" s="13"/>
      <c r="Q215" s="13">
        <v>370</v>
      </c>
      <c r="R215" s="3">
        <f t="shared" si="16"/>
        <v>370</v>
      </c>
      <c r="S215" s="3">
        <f t="shared" si="17"/>
        <v>0</v>
      </c>
      <c r="T215" s="3">
        <f t="shared" si="18"/>
        <v>873.8</v>
      </c>
      <c r="U215" s="24"/>
      <c r="V215" s="24"/>
      <c r="W215" s="3"/>
      <c r="X215" s="25"/>
      <c r="Y215" s="25" t="s">
        <v>1816</v>
      </c>
      <c r="Z215" s="25"/>
      <c r="AA215" s="25"/>
      <c r="AB215" s="25"/>
      <c r="AC215" s="3" t="str">
        <f>IF(Caja_Finanzas[[#This Row],[FECHA]]&gt;0,TEXT(Caja_Finanzas[[#This Row],[FECHA]],"mmmm"),0)</f>
        <v>Febrero</v>
      </c>
    </row>
    <row r="216" spans="2:29" x14ac:dyDescent="0.3">
      <c r="B216" s="2">
        <f>IF(Caja_Finanzas[[#This Row],[TIPO DE R.]]="R",COUNTIFS($D$4:$D215,"R")+1,"")</f>
        <v>203</v>
      </c>
      <c r="C216" s="19" t="str">
        <f t="shared" si="19"/>
        <v>C-Finanzas</v>
      </c>
      <c r="D216" s="3" t="s">
        <v>1074</v>
      </c>
      <c r="E216" s="14">
        <v>45716</v>
      </c>
      <c r="F216" s="5" t="s">
        <v>2518</v>
      </c>
      <c r="G216" s="5" t="s">
        <v>1087</v>
      </c>
      <c r="H216" s="5"/>
      <c r="I216" s="6"/>
      <c r="J216" s="6"/>
      <c r="K216" s="6"/>
      <c r="L216" s="6"/>
      <c r="M216" s="7" t="s">
        <v>5156</v>
      </c>
      <c r="N216" s="8" t="str">
        <f>"CFI"&amp;".D"&amp;TEXT(Caja_Finanzas[[#This Row],[FECHA]],"DD-MM")&amp;"-"&amp;TEXT(Caja_Finanzas[[#This Row],[ITEM]],"0000")</f>
        <v>CFI.D28-02-0203</v>
      </c>
      <c r="O216" s="8" t="str">
        <f t="shared" si="20"/>
        <v>PEN</v>
      </c>
      <c r="P216" s="13"/>
      <c r="Q216" s="13">
        <v>810</v>
      </c>
      <c r="R216" s="3">
        <f t="shared" si="16"/>
        <v>810</v>
      </c>
      <c r="S216" s="3">
        <f t="shared" si="17"/>
        <v>0</v>
      </c>
      <c r="T216" s="3">
        <f t="shared" si="18"/>
        <v>1683.8</v>
      </c>
      <c r="U216" s="24"/>
      <c r="V216" s="24"/>
      <c r="W216" s="3"/>
      <c r="X216" s="25"/>
      <c r="Y216" s="25" t="s">
        <v>5610</v>
      </c>
      <c r="Z216" s="25"/>
      <c r="AA216" s="25"/>
      <c r="AB216" s="25"/>
      <c r="AC216" s="3" t="str">
        <f>IF(Caja_Finanzas[[#This Row],[FECHA]]&gt;0,TEXT(Caja_Finanzas[[#This Row],[FECHA]],"mmmm"),0)</f>
        <v>Febrero</v>
      </c>
    </row>
    <row r="217" spans="2:29" ht="24" x14ac:dyDescent="0.3">
      <c r="B217" s="2">
        <f>IF(Caja_Finanzas[[#This Row],[TIPO DE R.]]="R",COUNTIFS($D$4:$D216,"R")+1,"")</f>
        <v>204</v>
      </c>
      <c r="C217" s="19" t="str">
        <f t="shared" si="19"/>
        <v>C-Finanzas</v>
      </c>
      <c r="D217" s="3" t="s">
        <v>1074</v>
      </c>
      <c r="E217" s="14">
        <v>45716</v>
      </c>
      <c r="F217" s="5" t="s">
        <v>3428</v>
      </c>
      <c r="G217" s="5" t="s">
        <v>1087</v>
      </c>
      <c r="H217" s="5"/>
      <c r="I217" s="6"/>
      <c r="J217" s="6"/>
      <c r="K217" s="6"/>
      <c r="L217" s="6"/>
      <c r="M217" s="7" t="s">
        <v>5156</v>
      </c>
      <c r="N217" s="8" t="str">
        <f>"CFI"&amp;".D"&amp;TEXT(Caja_Finanzas[[#This Row],[FECHA]],"DD-MM")&amp;"-"&amp;TEXT(Caja_Finanzas[[#This Row],[ITEM]],"0000")</f>
        <v>CFI.D28-02-0204</v>
      </c>
      <c r="O217" s="8" t="str">
        <f t="shared" si="20"/>
        <v>PEN</v>
      </c>
      <c r="P217" s="13"/>
      <c r="Q217" s="13">
        <v>6</v>
      </c>
      <c r="R217" s="3">
        <f t="shared" si="16"/>
        <v>6</v>
      </c>
      <c r="S217" s="3">
        <f t="shared" si="17"/>
        <v>0</v>
      </c>
      <c r="T217" s="3">
        <f t="shared" si="18"/>
        <v>1689.8</v>
      </c>
      <c r="U217" s="24"/>
      <c r="V217" s="24"/>
      <c r="W217" s="3"/>
      <c r="X217" s="25"/>
      <c r="Y217" s="25" t="s">
        <v>5563</v>
      </c>
      <c r="Z217" s="25"/>
      <c r="AA217" s="25"/>
      <c r="AB217" s="25"/>
      <c r="AC217" s="3" t="str">
        <f>IF(Caja_Finanzas[[#This Row],[FECHA]]&gt;0,TEXT(Caja_Finanzas[[#This Row],[FECHA]],"mmmm"),0)</f>
        <v>Febrero</v>
      </c>
    </row>
    <row r="218" spans="2:29" ht="24" x14ac:dyDescent="0.3">
      <c r="B218" s="2">
        <f>IF(Caja_Finanzas[[#This Row],[TIPO DE R.]]="R",COUNTIFS($D$4:$D217,"R")+1,"")</f>
        <v>205</v>
      </c>
      <c r="C218" s="19" t="str">
        <f t="shared" si="19"/>
        <v>C-Finanzas</v>
      </c>
      <c r="D218" s="3" t="s">
        <v>1074</v>
      </c>
      <c r="E218" s="14">
        <v>45719</v>
      </c>
      <c r="F218" s="5" t="s">
        <v>1435</v>
      </c>
      <c r="G218" s="5" t="s">
        <v>1087</v>
      </c>
      <c r="H218" s="5"/>
      <c r="I218" s="6"/>
      <c r="J218" s="6"/>
      <c r="K218" s="6"/>
      <c r="L218" s="6"/>
      <c r="M218" s="7" t="s">
        <v>5156</v>
      </c>
      <c r="N218" s="8" t="str">
        <f>"CFI"&amp;".D"&amp;TEXT(Caja_Finanzas[[#This Row],[FECHA]],"DD-MM")&amp;"-"&amp;TEXT(Caja_Finanzas[[#This Row],[ITEM]],"0000")</f>
        <v>CFI.D03-03-0205</v>
      </c>
      <c r="O218" s="8" t="str">
        <f t="shared" si="20"/>
        <v>PEN</v>
      </c>
      <c r="P218" s="13"/>
      <c r="Q218" s="13">
        <v>1205</v>
      </c>
      <c r="R218" s="3">
        <f t="shared" si="16"/>
        <v>1205</v>
      </c>
      <c r="S218" s="3">
        <f t="shared" si="17"/>
        <v>0</v>
      </c>
      <c r="T218" s="3">
        <f t="shared" si="18"/>
        <v>2894.8</v>
      </c>
      <c r="U218" s="24"/>
      <c r="V218" s="24"/>
      <c r="W218" s="3"/>
      <c r="X218" s="25"/>
      <c r="Y218" s="25" t="s">
        <v>5611</v>
      </c>
      <c r="Z218" s="25"/>
      <c r="AA218" s="25"/>
      <c r="AB218" s="25"/>
      <c r="AC218" s="3" t="str">
        <f>IF(Caja_Finanzas[[#This Row],[FECHA]]&gt;0,TEXT(Caja_Finanzas[[#This Row],[FECHA]],"mmmm"),0)</f>
        <v>Marzo</v>
      </c>
    </row>
    <row r="219" spans="2:29" ht="24" x14ac:dyDescent="0.3">
      <c r="B219" s="2">
        <f>IF(Caja_Finanzas[[#This Row],[TIPO DE R.]]="R",COUNTIFS($D$4:$D218,"R")+1,"")</f>
        <v>206</v>
      </c>
      <c r="C219" s="19" t="str">
        <f t="shared" si="19"/>
        <v>C-Finanzas</v>
      </c>
      <c r="D219" s="3" t="s">
        <v>1074</v>
      </c>
      <c r="E219" s="14">
        <v>45719</v>
      </c>
      <c r="F219" s="5" t="s">
        <v>1562</v>
      </c>
      <c r="G219" s="5" t="s">
        <v>1087</v>
      </c>
      <c r="H219" s="5"/>
      <c r="I219" s="6"/>
      <c r="J219" s="6"/>
      <c r="K219" s="6"/>
      <c r="L219" s="6"/>
      <c r="M219" s="7" t="s">
        <v>5156</v>
      </c>
      <c r="N219" s="8" t="str">
        <f>"CFI"&amp;".D"&amp;TEXT(Caja_Finanzas[[#This Row],[FECHA]],"DD-MM")&amp;"-"&amp;TEXT(Caja_Finanzas[[#This Row],[ITEM]],"0000")</f>
        <v>CFI.D03-03-0206</v>
      </c>
      <c r="O219" s="8" t="str">
        <f t="shared" si="20"/>
        <v>PEN</v>
      </c>
      <c r="P219" s="13"/>
      <c r="Q219" s="13">
        <v>9532.7000000000007</v>
      </c>
      <c r="R219" s="3">
        <f t="shared" si="16"/>
        <v>9532.7000000000007</v>
      </c>
      <c r="S219" s="3">
        <f t="shared" si="17"/>
        <v>0</v>
      </c>
      <c r="T219" s="3">
        <f t="shared" si="18"/>
        <v>12427.5</v>
      </c>
      <c r="U219" s="24"/>
      <c r="V219" s="24"/>
      <c r="W219" s="3"/>
      <c r="X219" s="25"/>
      <c r="Y219" s="25" t="s">
        <v>5612</v>
      </c>
      <c r="Z219" s="25"/>
      <c r="AA219" s="25"/>
      <c r="AB219" s="25"/>
      <c r="AC219" s="3" t="str">
        <f>IF(Caja_Finanzas[[#This Row],[FECHA]]&gt;0,TEXT(Caja_Finanzas[[#This Row],[FECHA]],"mmmm"),0)</f>
        <v>Marzo</v>
      </c>
    </row>
    <row r="220" spans="2:29" ht="24" x14ac:dyDescent="0.3">
      <c r="B220" s="2">
        <f>IF(Caja_Finanzas[[#This Row],[TIPO DE R.]]="R",COUNTIFS($D$4:$D219,"R")+1,"")</f>
        <v>207</v>
      </c>
      <c r="C220" s="19" t="str">
        <f t="shared" si="19"/>
        <v>C-Finanzas</v>
      </c>
      <c r="D220" s="3" t="s">
        <v>1074</v>
      </c>
      <c r="E220" s="14">
        <v>45719</v>
      </c>
      <c r="F220" s="5" t="s">
        <v>5352</v>
      </c>
      <c r="G220" s="5" t="s">
        <v>1079</v>
      </c>
      <c r="H220" s="5"/>
      <c r="I220" s="6"/>
      <c r="J220" s="6"/>
      <c r="K220" s="6"/>
      <c r="L220" s="6"/>
      <c r="M220" s="7" t="s">
        <v>5613</v>
      </c>
      <c r="N220" s="8" t="str">
        <f>"CFI"&amp;".D"&amp;TEXT(Caja_Finanzas[[#This Row],[FECHA]],"DD-MM")&amp;"-"&amp;TEXT(Caja_Finanzas[[#This Row],[ITEM]],"0000")</f>
        <v>CFI.D03-03-0207</v>
      </c>
      <c r="O220" s="8" t="str">
        <f t="shared" si="20"/>
        <v>PEN</v>
      </c>
      <c r="P220" s="13"/>
      <c r="Q220" s="13">
        <v>9</v>
      </c>
      <c r="R220" s="3">
        <f t="shared" si="16"/>
        <v>0</v>
      </c>
      <c r="S220" s="3">
        <f t="shared" si="17"/>
        <v>9</v>
      </c>
      <c r="T220" s="3">
        <f t="shared" si="18"/>
        <v>12418.5</v>
      </c>
      <c r="U220" s="24"/>
      <c r="V220" s="24"/>
      <c r="W220" s="3"/>
      <c r="X220" s="25" t="s">
        <v>5614</v>
      </c>
      <c r="Y220" s="25" t="s">
        <v>5615</v>
      </c>
      <c r="Z220" s="25"/>
      <c r="AA220" s="25"/>
      <c r="AB220" s="25"/>
      <c r="AC220" s="3" t="str">
        <f>IF(Caja_Finanzas[[#This Row],[FECHA]]&gt;0,TEXT(Caja_Finanzas[[#This Row],[FECHA]],"mmmm"),0)</f>
        <v>Marzo</v>
      </c>
    </row>
    <row r="221" spans="2:29" ht="48" x14ac:dyDescent="0.3">
      <c r="B221" s="2">
        <f>IF(Caja_Finanzas[[#This Row],[TIPO DE R.]]="R",COUNTIFS($D$4:$D220,"R")+1,"")</f>
        <v>208</v>
      </c>
      <c r="C221" s="19" t="str">
        <f t="shared" si="19"/>
        <v>C-Finanzas</v>
      </c>
      <c r="D221" s="3" t="s">
        <v>1074</v>
      </c>
      <c r="E221" s="14">
        <v>45719</v>
      </c>
      <c r="F221" s="5" t="s">
        <v>5589</v>
      </c>
      <c r="G221" s="5" t="s">
        <v>1079</v>
      </c>
      <c r="H221" s="5"/>
      <c r="I221" s="6"/>
      <c r="J221" s="6"/>
      <c r="K221" s="6"/>
      <c r="L221" s="6"/>
      <c r="M221" s="7" t="s">
        <v>5616</v>
      </c>
      <c r="N221" s="8" t="str">
        <f>"CFI"&amp;".D"&amp;TEXT(Caja_Finanzas[[#This Row],[FECHA]],"DD-MM")&amp;"-"&amp;TEXT(Caja_Finanzas[[#This Row],[ITEM]],"0000")</f>
        <v>CFI.D03-03-0208</v>
      </c>
      <c r="O221" s="8" t="str">
        <f t="shared" si="20"/>
        <v>PEN</v>
      </c>
      <c r="P221" s="13"/>
      <c r="Q221" s="13">
        <v>400</v>
      </c>
      <c r="R221" s="3">
        <f t="shared" si="16"/>
        <v>0</v>
      </c>
      <c r="S221" s="3">
        <f t="shared" si="17"/>
        <v>400</v>
      </c>
      <c r="T221" s="3">
        <f t="shared" si="18"/>
        <v>12018.5</v>
      </c>
      <c r="U221" s="24"/>
      <c r="V221" s="24"/>
      <c r="W221" s="3"/>
      <c r="X221" s="25" t="s">
        <v>417</v>
      </c>
      <c r="Y221" s="25" t="s">
        <v>5617</v>
      </c>
      <c r="Z221" s="25"/>
      <c r="AA221" s="25"/>
      <c r="AB221" s="25"/>
      <c r="AC221" s="3" t="str">
        <f>IF(Caja_Finanzas[[#This Row],[FECHA]]&gt;0,TEXT(Caja_Finanzas[[#This Row],[FECHA]],"mmmm"),0)</f>
        <v>Marzo</v>
      </c>
    </row>
    <row r="222" spans="2:29" ht="24" x14ac:dyDescent="0.3">
      <c r="B222" s="2">
        <f>IF(Caja_Finanzas[[#This Row],[TIPO DE R.]]="R",COUNTIFS($D$4:$D221,"R")+1,"")</f>
        <v>209</v>
      </c>
      <c r="C222" s="19" t="str">
        <f t="shared" si="19"/>
        <v>C-Finanzas</v>
      </c>
      <c r="D222" s="3" t="s">
        <v>1074</v>
      </c>
      <c r="E222" s="14">
        <v>45719</v>
      </c>
      <c r="F222" s="5" t="s">
        <v>5618</v>
      </c>
      <c r="G222" s="5" t="s">
        <v>1079</v>
      </c>
      <c r="H222" s="5"/>
      <c r="I222" s="6"/>
      <c r="J222" s="6"/>
      <c r="K222" s="6"/>
      <c r="L222" s="6"/>
      <c r="M222" s="7" t="s">
        <v>5619</v>
      </c>
      <c r="N222" s="8" t="str">
        <f>"CFI"&amp;".D"&amp;TEXT(Caja_Finanzas[[#This Row],[FECHA]],"DD-MM")&amp;"-"&amp;TEXT(Caja_Finanzas[[#This Row],[ITEM]],"0000")</f>
        <v>CFI.D03-03-0209</v>
      </c>
      <c r="O222" s="8" t="str">
        <f t="shared" si="20"/>
        <v>PEN</v>
      </c>
      <c r="P222" s="13"/>
      <c r="Q222" s="13">
        <v>10</v>
      </c>
      <c r="R222" s="3">
        <f t="shared" si="16"/>
        <v>0</v>
      </c>
      <c r="S222" s="3">
        <f t="shared" si="17"/>
        <v>10</v>
      </c>
      <c r="T222" s="3">
        <f t="shared" si="18"/>
        <v>12008.5</v>
      </c>
      <c r="U222" s="24"/>
      <c r="V222" s="24"/>
      <c r="W222" s="3"/>
      <c r="X222" s="25" t="s">
        <v>5596</v>
      </c>
      <c r="Y222" s="25" t="s">
        <v>5620</v>
      </c>
      <c r="Z222" s="25"/>
      <c r="AA222" s="25"/>
      <c r="AB222" s="25"/>
      <c r="AC222" s="3" t="str">
        <f>IF(Caja_Finanzas[[#This Row],[FECHA]]&gt;0,TEXT(Caja_Finanzas[[#This Row],[FECHA]],"mmmm"),0)</f>
        <v>Marzo</v>
      </c>
    </row>
    <row r="223" spans="2:29" x14ac:dyDescent="0.3">
      <c r="B223" s="2">
        <f>IF(Caja_Finanzas[[#This Row],[TIPO DE R.]]="R",COUNTIFS($D$4:$D222,"R")+1,"")</f>
        <v>210</v>
      </c>
      <c r="C223" s="19" t="str">
        <f t="shared" si="19"/>
        <v>C-Finanzas</v>
      </c>
      <c r="D223" s="3" t="s">
        <v>1074</v>
      </c>
      <c r="E223" s="14">
        <v>45719</v>
      </c>
      <c r="F223" s="5" t="s">
        <v>3353</v>
      </c>
      <c r="G223" s="5" t="s">
        <v>1079</v>
      </c>
      <c r="H223" s="5"/>
      <c r="I223" s="6"/>
      <c r="J223" s="6"/>
      <c r="K223" s="6"/>
      <c r="L223" s="6"/>
      <c r="M223" s="7" t="s">
        <v>5397</v>
      </c>
      <c r="N223" s="8" t="str">
        <f>"CFI"&amp;".D"&amp;TEXT(Caja_Finanzas[[#This Row],[FECHA]],"DD-MM")&amp;"-"&amp;TEXT(Caja_Finanzas[[#This Row],[ITEM]],"0000")</f>
        <v>CFI.D03-03-0210</v>
      </c>
      <c r="O223" s="8" t="str">
        <f t="shared" si="20"/>
        <v>PEN</v>
      </c>
      <c r="P223" s="13"/>
      <c r="Q223" s="13">
        <v>900</v>
      </c>
      <c r="R223" s="3">
        <f t="shared" si="16"/>
        <v>0</v>
      </c>
      <c r="S223" s="3">
        <f t="shared" si="17"/>
        <v>900</v>
      </c>
      <c r="T223" s="3">
        <f t="shared" si="18"/>
        <v>11108.5</v>
      </c>
      <c r="U223" s="24"/>
      <c r="V223" s="24"/>
      <c r="W223" s="3"/>
      <c r="X223" s="25"/>
      <c r="Y223" s="25"/>
      <c r="Z223" s="25"/>
      <c r="AA223" s="25"/>
      <c r="AB223" s="25"/>
      <c r="AC223" s="3" t="str">
        <f>IF(Caja_Finanzas[[#This Row],[FECHA]]&gt;0,TEXT(Caja_Finanzas[[#This Row],[FECHA]],"mmmm"),0)</f>
        <v>Marzo</v>
      </c>
    </row>
    <row r="224" spans="2:29" ht="24" x14ac:dyDescent="0.3">
      <c r="B224" s="2">
        <f>IF(Caja_Finanzas[[#This Row],[TIPO DE R.]]="R",COUNTIFS($D$4:$D223,"R")+1,"")</f>
        <v>211</v>
      </c>
      <c r="C224" s="19" t="str">
        <f t="shared" si="19"/>
        <v>C-Finanzas</v>
      </c>
      <c r="D224" s="3" t="s">
        <v>1074</v>
      </c>
      <c r="E224" s="14">
        <v>45720</v>
      </c>
      <c r="F224" s="5" t="s">
        <v>5352</v>
      </c>
      <c r="G224" s="5" t="s">
        <v>1079</v>
      </c>
      <c r="H224" s="5"/>
      <c r="I224" s="6"/>
      <c r="J224" s="6"/>
      <c r="K224" s="6"/>
      <c r="L224" s="6"/>
      <c r="M224" s="7" t="s">
        <v>5621</v>
      </c>
      <c r="N224" s="8" t="str">
        <f>"CFI"&amp;".D"&amp;TEXT(Caja_Finanzas[[#This Row],[FECHA]],"DD-MM")&amp;"-"&amp;TEXT(Caja_Finanzas[[#This Row],[ITEM]],"0000")</f>
        <v>CFI.D04-03-0211</v>
      </c>
      <c r="O224" s="8" t="str">
        <f t="shared" si="20"/>
        <v>PEN</v>
      </c>
      <c r="P224" s="13"/>
      <c r="Q224" s="13">
        <v>227.5</v>
      </c>
      <c r="R224" s="3">
        <f t="shared" si="16"/>
        <v>0</v>
      </c>
      <c r="S224" s="3">
        <f t="shared" si="17"/>
        <v>227.5</v>
      </c>
      <c r="T224" s="3">
        <f t="shared" si="18"/>
        <v>10881</v>
      </c>
      <c r="U224" s="24"/>
      <c r="V224" s="24"/>
      <c r="W224" s="3"/>
      <c r="X224" s="25" t="s">
        <v>5354</v>
      </c>
      <c r="Y224" s="25" t="s">
        <v>5622</v>
      </c>
      <c r="Z224" s="25"/>
      <c r="AA224" s="25"/>
      <c r="AB224" s="25"/>
      <c r="AC224" s="3" t="str">
        <f>IF(Caja_Finanzas[[#This Row],[FECHA]]&gt;0,TEXT(Caja_Finanzas[[#This Row],[FECHA]],"mmmm"),0)</f>
        <v>Marzo</v>
      </c>
    </row>
    <row r="225" spans="2:29" ht="36" x14ac:dyDescent="0.3">
      <c r="B225" s="2">
        <f>IF(Caja_Finanzas[[#This Row],[TIPO DE R.]]="R",COUNTIFS($D$4:$D224,"R")+1,"")</f>
        <v>212</v>
      </c>
      <c r="C225" s="19" t="str">
        <f t="shared" si="19"/>
        <v>C-Finanzas</v>
      </c>
      <c r="D225" s="3" t="s">
        <v>1074</v>
      </c>
      <c r="E225" s="14">
        <v>45720</v>
      </c>
      <c r="F225" s="5" t="s">
        <v>5589</v>
      </c>
      <c r="G225" s="5" t="s">
        <v>1079</v>
      </c>
      <c r="H225" s="5"/>
      <c r="I225" s="6"/>
      <c r="J225" s="6"/>
      <c r="K225" s="6"/>
      <c r="L225" s="6"/>
      <c r="M225" s="7" t="s">
        <v>5623</v>
      </c>
      <c r="N225" s="8" t="str">
        <f>"CFI"&amp;".D"&amp;TEXT(Caja_Finanzas[[#This Row],[FECHA]],"DD-MM")&amp;"-"&amp;TEXT(Caja_Finanzas[[#This Row],[ITEM]],"0000")</f>
        <v>CFI.D04-03-0212</v>
      </c>
      <c r="O225" s="8" t="str">
        <f t="shared" si="20"/>
        <v>PEN</v>
      </c>
      <c r="P225" s="13"/>
      <c r="Q225" s="13">
        <v>200</v>
      </c>
      <c r="R225" s="3">
        <f t="shared" si="16"/>
        <v>0</v>
      </c>
      <c r="S225" s="3">
        <f t="shared" si="17"/>
        <v>200</v>
      </c>
      <c r="T225" s="3">
        <f t="shared" si="18"/>
        <v>10681</v>
      </c>
      <c r="U225" s="24"/>
      <c r="V225" s="24"/>
      <c r="W225" s="3"/>
      <c r="X225" s="25" t="s">
        <v>5624</v>
      </c>
      <c r="Y225" s="25" t="s">
        <v>5625</v>
      </c>
      <c r="Z225" s="25"/>
      <c r="AA225" s="25"/>
      <c r="AB225" s="25"/>
      <c r="AC225" s="3" t="str">
        <f>IF(Caja_Finanzas[[#This Row],[FECHA]]&gt;0,TEXT(Caja_Finanzas[[#This Row],[FECHA]],"mmmm"),0)</f>
        <v>Marzo</v>
      </c>
    </row>
    <row r="226" spans="2:29" ht="48" x14ac:dyDescent="0.3">
      <c r="B226" s="2">
        <f>IF(Caja_Finanzas[[#This Row],[TIPO DE R.]]="R",COUNTIFS($D$4:$D225,"R")+1,"")</f>
        <v>213</v>
      </c>
      <c r="C226" s="19" t="str">
        <f t="shared" si="19"/>
        <v>C-Finanzas</v>
      </c>
      <c r="D226" s="3" t="s">
        <v>1074</v>
      </c>
      <c r="E226" s="14">
        <v>45720</v>
      </c>
      <c r="F226" s="5" t="s">
        <v>5347</v>
      </c>
      <c r="G226" s="5" t="s">
        <v>1079</v>
      </c>
      <c r="H226" s="5"/>
      <c r="I226" s="6"/>
      <c r="J226" s="6"/>
      <c r="K226" s="6"/>
      <c r="L226" s="6"/>
      <c r="M226" s="7" t="s">
        <v>5626</v>
      </c>
      <c r="N226" s="8" t="str">
        <f>"CFI"&amp;".D"&amp;TEXT(Caja_Finanzas[[#This Row],[FECHA]],"DD-MM")&amp;"-"&amp;TEXT(Caja_Finanzas[[#This Row],[ITEM]],"0000")</f>
        <v>CFI.D04-03-0213</v>
      </c>
      <c r="O226" s="8" t="str">
        <f t="shared" si="20"/>
        <v>PEN</v>
      </c>
      <c r="P226" s="13"/>
      <c r="Q226" s="13">
        <v>510</v>
      </c>
      <c r="R226" s="3">
        <f t="shared" si="16"/>
        <v>0</v>
      </c>
      <c r="S226" s="3">
        <f t="shared" si="17"/>
        <v>510</v>
      </c>
      <c r="T226" s="3">
        <f t="shared" si="18"/>
        <v>10171</v>
      </c>
      <c r="U226" s="24"/>
      <c r="V226" s="24"/>
      <c r="W226" s="3"/>
      <c r="X226" s="25" t="s">
        <v>5596</v>
      </c>
      <c r="Y226" s="25" t="s">
        <v>5627</v>
      </c>
      <c r="Z226" s="25"/>
      <c r="AA226" s="25"/>
      <c r="AB226" s="25"/>
      <c r="AC226" s="3" t="str">
        <f>IF(Caja_Finanzas[[#This Row],[FECHA]]&gt;0,TEXT(Caja_Finanzas[[#This Row],[FECHA]],"mmmm"),0)</f>
        <v>Marzo</v>
      </c>
    </row>
    <row r="227" spans="2:29" ht="36" x14ac:dyDescent="0.3">
      <c r="B227" s="2">
        <f>IF(Caja_Finanzas[[#This Row],[TIPO DE R.]]="R",COUNTIFS($D$4:$D226,"R")+1,"")</f>
        <v>214</v>
      </c>
      <c r="C227" s="19" t="str">
        <f t="shared" si="19"/>
        <v>C-Finanzas</v>
      </c>
      <c r="D227" s="3" t="s">
        <v>1074</v>
      </c>
      <c r="E227" s="14">
        <v>45721</v>
      </c>
      <c r="F227" s="5" t="s">
        <v>5301</v>
      </c>
      <c r="G227" s="5" t="s">
        <v>1079</v>
      </c>
      <c r="H227" s="5"/>
      <c r="I227" s="6"/>
      <c r="J227" s="6"/>
      <c r="K227" s="6"/>
      <c r="L227" s="6"/>
      <c r="M227" s="7" t="s">
        <v>5628</v>
      </c>
      <c r="N227" s="8" t="str">
        <f>"CFI"&amp;".D"&amp;TEXT(Caja_Finanzas[[#This Row],[FECHA]],"DD-MM")&amp;"-"&amp;TEXT(Caja_Finanzas[[#This Row],[ITEM]],"0000")</f>
        <v>CFI.D05-03-0214</v>
      </c>
      <c r="O227" s="8" t="str">
        <f t="shared" si="20"/>
        <v>PEN</v>
      </c>
      <c r="P227" s="13"/>
      <c r="Q227" s="13">
        <v>340</v>
      </c>
      <c r="R227" s="3">
        <f t="shared" si="16"/>
        <v>0</v>
      </c>
      <c r="S227" s="3">
        <f t="shared" si="17"/>
        <v>340</v>
      </c>
      <c r="T227" s="3">
        <f t="shared" si="18"/>
        <v>9831</v>
      </c>
      <c r="U227" s="24"/>
      <c r="V227" s="24"/>
      <c r="W227" s="3"/>
      <c r="X227" s="25" t="s">
        <v>5629</v>
      </c>
      <c r="Y227" s="25" t="s">
        <v>5630</v>
      </c>
      <c r="Z227" s="25"/>
      <c r="AA227" s="25"/>
      <c r="AB227" s="25"/>
      <c r="AC227" s="3" t="str">
        <f>IF(Caja_Finanzas[[#This Row],[FECHA]]&gt;0,TEXT(Caja_Finanzas[[#This Row],[FECHA]],"mmmm"),0)</f>
        <v>Marzo</v>
      </c>
    </row>
    <row r="228" spans="2:29" ht="24" x14ac:dyDescent="0.3">
      <c r="B228" s="2">
        <f>IF(Caja_Finanzas[[#This Row],[TIPO DE R.]]="R",COUNTIFS($D$4:$D227,"R")+1,"")</f>
        <v>215</v>
      </c>
      <c r="C228" s="19" t="str">
        <f t="shared" si="19"/>
        <v>C-Finanzas</v>
      </c>
      <c r="D228" s="3" t="s">
        <v>1074</v>
      </c>
      <c r="E228" s="14">
        <v>45721</v>
      </c>
      <c r="F228" s="5" t="s">
        <v>5305</v>
      </c>
      <c r="G228" s="5" t="s">
        <v>1079</v>
      </c>
      <c r="H228" s="5"/>
      <c r="I228" s="6"/>
      <c r="J228" s="6"/>
      <c r="K228" s="6"/>
      <c r="L228" s="6"/>
      <c r="M228" s="7" t="s">
        <v>5539</v>
      </c>
      <c r="N228" s="8" t="str">
        <f>"CFI"&amp;".D"&amp;TEXT(Caja_Finanzas[[#This Row],[FECHA]],"DD-MM")&amp;"-"&amp;TEXT(Caja_Finanzas[[#This Row],[ITEM]],"0000")</f>
        <v>CFI.D05-03-0215</v>
      </c>
      <c r="O228" s="8" t="str">
        <f t="shared" si="20"/>
        <v>PEN</v>
      </c>
      <c r="P228" s="13"/>
      <c r="Q228" s="13">
        <v>1000</v>
      </c>
      <c r="R228" s="3">
        <f t="shared" si="16"/>
        <v>0</v>
      </c>
      <c r="S228" s="3">
        <f t="shared" si="17"/>
        <v>1000</v>
      </c>
      <c r="T228" s="3">
        <f t="shared" si="18"/>
        <v>8831</v>
      </c>
      <c r="U228" s="24"/>
      <c r="V228" s="24"/>
      <c r="W228" s="3"/>
      <c r="X228" s="25"/>
      <c r="Y228" s="25"/>
      <c r="Z228" s="25"/>
      <c r="AA228" s="25"/>
      <c r="AB228" s="25"/>
      <c r="AC228" s="3" t="str">
        <f>IF(Caja_Finanzas[[#This Row],[FECHA]]&gt;0,TEXT(Caja_Finanzas[[#This Row],[FECHA]],"mmmm"),0)</f>
        <v>Marzo</v>
      </c>
    </row>
    <row r="229" spans="2:29" ht="24" x14ac:dyDescent="0.3">
      <c r="B229" s="2">
        <f>IF(Caja_Finanzas[[#This Row],[TIPO DE R.]]="R",COUNTIFS($D$4:$D228,"R")+1,"")</f>
        <v>216</v>
      </c>
      <c r="C229" s="19" t="str">
        <f t="shared" si="19"/>
        <v>C-Finanzas</v>
      </c>
      <c r="D229" s="3" t="s">
        <v>1074</v>
      </c>
      <c r="E229" s="14">
        <v>45721</v>
      </c>
      <c r="F229" s="5" t="s">
        <v>5631</v>
      </c>
      <c r="G229" s="5" t="s">
        <v>1087</v>
      </c>
      <c r="H229" s="5"/>
      <c r="I229" s="6"/>
      <c r="J229" s="6"/>
      <c r="K229" s="6"/>
      <c r="L229" s="6"/>
      <c r="M229" s="7" t="s">
        <v>5156</v>
      </c>
      <c r="N229" s="8" t="str">
        <f>"CFI"&amp;".D"&amp;TEXT(Caja_Finanzas[[#This Row],[FECHA]],"DD-MM")&amp;"-"&amp;TEXT(Caja_Finanzas[[#This Row],[ITEM]],"0000")</f>
        <v>CFI.D05-03-0216</v>
      </c>
      <c r="O229" s="8" t="str">
        <f t="shared" si="20"/>
        <v>PEN</v>
      </c>
      <c r="P229" s="13"/>
      <c r="Q229" s="13">
        <v>10</v>
      </c>
      <c r="R229" s="3">
        <f t="shared" si="16"/>
        <v>10</v>
      </c>
      <c r="S229" s="3">
        <f t="shared" si="17"/>
        <v>0</v>
      </c>
      <c r="T229" s="3">
        <f t="shared" si="18"/>
        <v>8841</v>
      </c>
      <c r="U229" s="24"/>
      <c r="V229" s="24"/>
      <c r="W229" s="3"/>
      <c r="X229" s="25"/>
      <c r="Y229" s="25" t="s">
        <v>5632</v>
      </c>
      <c r="Z229" s="25"/>
      <c r="AA229" s="25"/>
      <c r="AB229" s="25"/>
      <c r="AC229" s="3" t="str">
        <f>IF(Caja_Finanzas[[#This Row],[FECHA]]&gt;0,TEXT(Caja_Finanzas[[#This Row],[FECHA]],"mmmm"),0)</f>
        <v>Marzo</v>
      </c>
    </row>
    <row r="230" spans="2:29" x14ac:dyDescent="0.3">
      <c r="B230" s="2">
        <f>IF(Caja_Finanzas[[#This Row],[TIPO DE R.]]="R",COUNTIFS($D$4:$D229,"R")+1,"")</f>
        <v>217</v>
      </c>
      <c r="C230" s="19" t="str">
        <f t="shared" si="19"/>
        <v>C-Finanzas</v>
      </c>
      <c r="D230" s="3" t="s">
        <v>1074</v>
      </c>
      <c r="E230" s="14">
        <v>45721</v>
      </c>
      <c r="F230" s="5" t="s">
        <v>5404</v>
      </c>
      <c r="G230" s="5" t="s">
        <v>1087</v>
      </c>
      <c r="H230" s="5"/>
      <c r="I230" s="6"/>
      <c r="J230" s="6"/>
      <c r="K230" s="6"/>
      <c r="L230" s="6"/>
      <c r="M230" s="7" t="s">
        <v>5156</v>
      </c>
      <c r="N230" s="8" t="str">
        <f>"CFI"&amp;".D"&amp;TEXT(Caja_Finanzas[[#This Row],[FECHA]],"DD-MM")&amp;"-"&amp;TEXT(Caja_Finanzas[[#This Row],[ITEM]],"0000")</f>
        <v>CFI.D05-03-0217</v>
      </c>
      <c r="O230" s="8" t="str">
        <f t="shared" si="20"/>
        <v>PEN</v>
      </c>
      <c r="P230" s="13"/>
      <c r="Q230" s="13">
        <v>36</v>
      </c>
      <c r="R230" s="3">
        <f t="shared" si="16"/>
        <v>36</v>
      </c>
      <c r="S230" s="3">
        <f t="shared" si="17"/>
        <v>0</v>
      </c>
      <c r="T230" s="3">
        <f t="shared" si="18"/>
        <v>8877</v>
      </c>
      <c r="U230" s="24"/>
      <c r="V230" s="24"/>
      <c r="W230" s="3"/>
      <c r="X230" s="25"/>
      <c r="Y230" s="25" t="s">
        <v>5633</v>
      </c>
      <c r="Z230" s="25"/>
      <c r="AA230" s="25"/>
      <c r="AB230" s="25"/>
      <c r="AC230" s="3" t="str">
        <f>IF(Caja_Finanzas[[#This Row],[FECHA]]&gt;0,TEXT(Caja_Finanzas[[#This Row],[FECHA]],"mmmm"),0)</f>
        <v>Marzo</v>
      </c>
    </row>
    <row r="231" spans="2:29" x14ac:dyDescent="0.3">
      <c r="B231" s="2">
        <f>IF(Caja_Finanzas[[#This Row],[TIPO DE R.]]="R",COUNTIFS($D$4:$D230,"R")+1,"")</f>
        <v>218</v>
      </c>
      <c r="C231" s="19" t="str">
        <f t="shared" si="19"/>
        <v>C-Finanzas</v>
      </c>
      <c r="D231" s="3" t="s">
        <v>1074</v>
      </c>
      <c r="E231" s="14">
        <v>45721</v>
      </c>
      <c r="F231" s="5" t="s">
        <v>5404</v>
      </c>
      <c r="G231" s="5" t="s">
        <v>1087</v>
      </c>
      <c r="H231" s="5"/>
      <c r="I231" s="6"/>
      <c r="J231" s="6"/>
      <c r="K231" s="6"/>
      <c r="L231" s="6"/>
      <c r="M231" s="7" t="s">
        <v>5156</v>
      </c>
      <c r="N231" s="8" t="str">
        <f>"CFI"&amp;".D"&amp;TEXT(Caja_Finanzas[[#This Row],[FECHA]],"DD-MM")&amp;"-"&amp;TEXT(Caja_Finanzas[[#This Row],[ITEM]],"0000")</f>
        <v>CFI.D05-03-0218</v>
      </c>
      <c r="O231" s="8" t="str">
        <f t="shared" si="20"/>
        <v>PEN</v>
      </c>
      <c r="P231" s="13"/>
      <c r="Q231" s="13">
        <v>30</v>
      </c>
      <c r="R231" s="3">
        <f t="shared" si="16"/>
        <v>30</v>
      </c>
      <c r="S231" s="3">
        <f t="shared" si="17"/>
        <v>0</v>
      </c>
      <c r="T231" s="3">
        <f t="shared" si="18"/>
        <v>8907</v>
      </c>
      <c r="U231" s="24"/>
      <c r="V231" s="24"/>
      <c r="W231" s="3"/>
      <c r="X231" s="25"/>
      <c r="Y231" s="25" t="s">
        <v>5634</v>
      </c>
      <c r="Z231" s="25"/>
      <c r="AA231" s="25"/>
      <c r="AB231" s="25"/>
      <c r="AC231" s="3" t="str">
        <f>IF(Caja_Finanzas[[#This Row],[FECHA]]&gt;0,TEXT(Caja_Finanzas[[#This Row],[FECHA]],"mmmm"),0)</f>
        <v>Marzo</v>
      </c>
    </row>
    <row r="232" spans="2:29" ht="24" x14ac:dyDescent="0.3">
      <c r="B232" s="2">
        <f>IF(Caja_Finanzas[[#This Row],[TIPO DE R.]]="R",COUNTIFS($D$4:$D231,"R")+1,"")</f>
        <v>219</v>
      </c>
      <c r="C232" s="19" t="str">
        <f t="shared" si="19"/>
        <v>C-Finanzas</v>
      </c>
      <c r="D232" s="3" t="s">
        <v>1074</v>
      </c>
      <c r="E232" s="14">
        <v>45721</v>
      </c>
      <c r="F232" s="5" t="s">
        <v>5635</v>
      </c>
      <c r="G232" s="5" t="s">
        <v>1087</v>
      </c>
      <c r="H232" s="5"/>
      <c r="I232" s="6"/>
      <c r="J232" s="6"/>
      <c r="K232" s="6"/>
      <c r="L232" s="6"/>
      <c r="M232" s="7" t="s">
        <v>5156</v>
      </c>
      <c r="N232" s="8" t="str">
        <f>"CFI"&amp;".D"&amp;TEXT(Caja_Finanzas[[#This Row],[FECHA]],"DD-MM")&amp;"-"&amp;TEXT(Caja_Finanzas[[#This Row],[ITEM]],"0000")</f>
        <v>CFI.D05-03-0219</v>
      </c>
      <c r="O232" s="8" t="str">
        <f t="shared" si="20"/>
        <v>PEN</v>
      </c>
      <c r="P232" s="13"/>
      <c r="Q232" s="13">
        <v>138.5</v>
      </c>
      <c r="R232" s="3">
        <f t="shared" si="16"/>
        <v>138.5</v>
      </c>
      <c r="S232" s="3">
        <f t="shared" si="17"/>
        <v>0</v>
      </c>
      <c r="T232" s="3">
        <f t="shared" si="18"/>
        <v>9045.5</v>
      </c>
      <c r="U232" s="24"/>
      <c r="V232" s="24"/>
      <c r="W232" s="3"/>
      <c r="X232" s="25"/>
      <c r="Y232" s="25" t="s">
        <v>5636</v>
      </c>
      <c r="Z232" s="25"/>
      <c r="AA232" s="25"/>
      <c r="AB232" s="25"/>
      <c r="AC232" s="3" t="str">
        <f>IF(Caja_Finanzas[[#This Row],[FECHA]]&gt;0,TEXT(Caja_Finanzas[[#This Row],[FECHA]],"mmmm"),0)</f>
        <v>Marzo</v>
      </c>
    </row>
    <row r="233" spans="2:29" x14ac:dyDescent="0.3">
      <c r="B233" s="2">
        <f>IF(Caja_Finanzas[[#This Row],[TIPO DE R.]]="R",COUNTIFS($D$4:$D232,"R")+1,"")</f>
        <v>220</v>
      </c>
      <c r="C233" s="19" t="str">
        <f t="shared" si="19"/>
        <v>C-Finanzas</v>
      </c>
      <c r="D233" s="3" t="s">
        <v>1074</v>
      </c>
      <c r="E233" s="14">
        <v>45721</v>
      </c>
      <c r="F233" s="5" t="s">
        <v>5637</v>
      </c>
      <c r="G233" s="5" t="s">
        <v>1087</v>
      </c>
      <c r="H233" s="5"/>
      <c r="I233" s="6"/>
      <c r="J233" s="6"/>
      <c r="K233" s="6"/>
      <c r="L233" s="6"/>
      <c r="M233" s="7" t="s">
        <v>5156</v>
      </c>
      <c r="N233" s="8" t="str">
        <f>"CFI"&amp;".D"&amp;TEXT(Caja_Finanzas[[#This Row],[FECHA]],"DD-MM")&amp;"-"&amp;TEXT(Caja_Finanzas[[#This Row],[ITEM]],"0000")</f>
        <v>CFI.D05-03-0220</v>
      </c>
      <c r="O233" s="8" t="str">
        <f t="shared" si="20"/>
        <v>PEN</v>
      </c>
      <c r="P233" s="13"/>
      <c r="Q233" s="13">
        <v>14.5</v>
      </c>
      <c r="R233" s="3">
        <f t="shared" si="16"/>
        <v>14.5</v>
      </c>
      <c r="S233" s="3">
        <f t="shared" si="17"/>
        <v>0</v>
      </c>
      <c r="T233" s="3">
        <f t="shared" si="18"/>
        <v>9060</v>
      </c>
      <c r="U233" s="24"/>
      <c r="V233" s="24"/>
      <c r="W233" s="3"/>
      <c r="X233" s="25"/>
      <c r="Y233" s="25" t="s">
        <v>5638</v>
      </c>
      <c r="Z233" s="25"/>
      <c r="AA233" s="25"/>
      <c r="AB233" s="25"/>
      <c r="AC233" s="3" t="str">
        <f>IF(Caja_Finanzas[[#This Row],[FECHA]]&gt;0,TEXT(Caja_Finanzas[[#This Row],[FECHA]],"mmmm"),0)</f>
        <v>Marzo</v>
      </c>
    </row>
    <row r="234" spans="2:29" ht="24" x14ac:dyDescent="0.3">
      <c r="B234" s="2">
        <f>IF(Caja_Finanzas[[#This Row],[TIPO DE R.]]="R",COUNTIFS($D$4:$D233,"R")+1,"")</f>
        <v>221</v>
      </c>
      <c r="C234" s="19" t="str">
        <f t="shared" si="19"/>
        <v>C-Finanzas</v>
      </c>
      <c r="D234" s="3" t="s">
        <v>1074</v>
      </c>
      <c r="E234" s="14">
        <v>45721</v>
      </c>
      <c r="F234" s="5" t="s">
        <v>5473</v>
      </c>
      <c r="G234" s="5" t="s">
        <v>1087</v>
      </c>
      <c r="H234" s="5"/>
      <c r="I234" s="6"/>
      <c r="J234" s="6"/>
      <c r="K234" s="6"/>
      <c r="L234" s="6"/>
      <c r="M234" s="7" t="s">
        <v>5156</v>
      </c>
      <c r="N234" s="8" t="str">
        <f>"CFI"&amp;".D"&amp;TEXT(Caja_Finanzas[[#This Row],[FECHA]],"DD-MM")&amp;"-"&amp;TEXT(Caja_Finanzas[[#This Row],[ITEM]],"0000")</f>
        <v>CFI.D05-03-0221</v>
      </c>
      <c r="O234" s="8" t="str">
        <f t="shared" si="20"/>
        <v>PEN</v>
      </c>
      <c r="P234" s="13"/>
      <c r="Q234" s="13">
        <v>13.5</v>
      </c>
      <c r="R234" s="3">
        <f t="shared" si="16"/>
        <v>13.5</v>
      </c>
      <c r="S234" s="3">
        <f t="shared" si="17"/>
        <v>0</v>
      </c>
      <c r="T234" s="3">
        <f t="shared" si="18"/>
        <v>9073.5</v>
      </c>
      <c r="U234" s="24"/>
      <c r="V234" s="24"/>
      <c r="W234" s="3"/>
      <c r="X234" s="25"/>
      <c r="Y234" s="25" t="s">
        <v>5639</v>
      </c>
      <c r="Z234" s="25"/>
      <c r="AA234" s="25"/>
      <c r="AB234" s="25"/>
      <c r="AC234" s="3" t="str">
        <f>IF(Caja_Finanzas[[#This Row],[FECHA]]&gt;0,TEXT(Caja_Finanzas[[#This Row],[FECHA]],"mmmm"),0)</f>
        <v>Marzo</v>
      </c>
    </row>
    <row r="235" spans="2:29" ht="24" x14ac:dyDescent="0.3">
      <c r="B235" s="2">
        <f>IF(Caja_Finanzas[[#This Row],[TIPO DE R.]]="R",COUNTIFS($D$4:$D234,"R")+1,"")</f>
        <v>222</v>
      </c>
      <c r="C235" s="19" t="str">
        <f t="shared" si="19"/>
        <v>C-Finanzas</v>
      </c>
      <c r="D235" s="3" t="s">
        <v>1074</v>
      </c>
      <c r="E235" s="14">
        <v>45721</v>
      </c>
      <c r="F235" s="5" t="s">
        <v>5640</v>
      </c>
      <c r="G235" s="5" t="s">
        <v>1087</v>
      </c>
      <c r="H235" s="5"/>
      <c r="I235" s="6"/>
      <c r="J235" s="6"/>
      <c r="K235" s="6"/>
      <c r="L235" s="6"/>
      <c r="M235" s="7" t="s">
        <v>5156</v>
      </c>
      <c r="N235" s="8" t="str">
        <f>"CFI"&amp;".D"&amp;TEXT(Caja_Finanzas[[#This Row],[FECHA]],"DD-MM")&amp;"-"&amp;TEXT(Caja_Finanzas[[#This Row],[ITEM]],"0000")</f>
        <v>CFI.D05-03-0222</v>
      </c>
      <c r="O235" s="8" t="str">
        <f t="shared" si="20"/>
        <v>PEN</v>
      </c>
      <c r="P235" s="13"/>
      <c r="Q235" s="13">
        <v>74.400000000000006</v>
      </c>
      <c r="R235" s="3">
        <f t="shared" si="16"/>
        <v>74.400000000000006</v>
      </c>
      <c r="S235" s="3">
        <f t="shared" si="17"/>
        <v>0</v>
      </c>
      <c r="T235" s="3">
        <f t="shared" si="18"/>
        <v>9147.9</v>
      </c>
      <c r="U235" s="24"/>
      <c r="V235" s="24"/>
      <c r="W235" s="3"/>
      <c r="X235" s="25"/>
      <c r="Y235" s="25" t="s">
        <v>5641</v>
      </c>
      <c r="Z235" s="25"/>
      <c r="AA235" s="25"/>
      <c r="AB235" s="25"/>
      <c r="AC235" s="3" t="str">
        <f>IF(Caja_Finanzas[[#This Row],[FECHA]]&gt;0,TEXT(Caja_Finanzas[[#This Row],[FECHA]],"mmmm"),0)</f>
        <v>Marzo</v>
      </c>
    </row>
    <row r="236" spans="2:29" x14ac:dyDescent="0.3">
      <c r="B236" s="2">
        <f>IF(Caja_Finanzas[[#This Row],[TIPO DE R.]]="R",COUNTIFS($D$4:$D235,"R")+1,"")</f>
        <v>223</v>
      </c>
      <c r="C236" s="19" t="str">
        <f t="shared" si="19"/>
        <v>C-Finanzas</v>
      </c>
      <c r="D236" s="3" t="s">
        <v>1074</v>
      </c>
      <c r="E236" s="14">
        <v>45721</v>
      </c>
      <c r="F236" s="5" t="s">
        <v>5642</v>
      </c>
      <c r="G236" s="5" t="s">
        <v>1087</v>
      </c>
      <c r="H236" s="5"/>
      <c r="I236" s="6"/>
      <c r="J236" s="6"/>
      <c r="K236" s="6"/>
      <c r="L236" s="6"/>
      <c r="M236" s="7" t="s">
        <v>5156</v>
      </c>
      <c r="N236" s="8" t="str">
        <f>"CFI"&amp;".D"&amp;TEXT(Caja_Finanzas[[#This Row],[FECHA]],"DD-MM")&amp;"-"&amp;TEXT(Caja_Finanzas[[#This Row],[ITEM]],"0000")</f>
        <v>CFI.D05-03-0223</v>
      </c>
      <c r="O236" s="8" t="str">
        <f t="shared" si="20"/>
        <v>PEN</v>
      </c>
      <c r="P236" s="13"/>
      <c r="Q236" s="13">
        <v>9</v>
      </c>
      <c r="R236" s="3">
        <f t="shared" si="16"/>
        <v>9</v>
      </c>
      <c r="S236" s="3">
        <f t="shared" si="17"/>
        <v>0</v>
      </c>
      <c r="T236" s="3">
        <f t="shared" si="18"/>
        <v>9156.9</v>
      </c>
      <c r="U236" s="24"/>
      <c r="V236" s="24"/>
      <c r="W236" s="3"/>
      <c r="X236" s="25"/>
      <c r="Y236" s="25" t="s">
        <v>5643</v>
      </c>
      <c r="Z236" s="25"/>
      <c r="AA236" s="25"/>
      <c r="AB236" s="25"/>
      <c r="AC236" s="3" t="str">
        <f>IF(Caja_Finanzas[[#This Row],[FECHA]]&gt;0,TEXT(Caja_Finanzas[[#This Row],[FECHA]],"mmmm"),0)</f>
        <v>Marzo</v>
      </c>
    </row>
    <row r="237" spans="2:29" ht="24" x14ac:dyDescent="0.3">
      <c r="B237" s="2">
        <f>IF(Caja_Finanzas[[#This Row],[TIPO DE R.]]="R",COUNTIFS($D$4:$D236,"R")+1,"")</f>
        <v>224</v>
      </c>
      <c r="C237" s="19" t="str">
        <f t="shared" si="19"/>
        <v>C-Finanzas</v>
      </c>
      <c r="D237" s="3" t="s">
        <v>1074</v>
      </c>
      <c r="E237" s="14">
        <v>45721</v>
      </c>
      <c r="F237" s="5" t="s">
        <v>5644</v>
      </c>
      <c r="G237" s="5" t="s">
        <v>1087</v>
      </c>
      <c r="H237" s="5"/>
      <c r="I237" s="6"/>
      <c r="J237" s="6"/>
      <c r="K237" s="6"/>
      <c r="L237" s="6"/>
      <c r="M237" s="7" t="s">
        <v>5156</v>
      </c>
      <c r="N237" s="8" t="str">
        <f>"CFI"&amp;".D"&amp;TEXT(Caja_Finanzas[[#This Row],[FECHA]],"DD-MM")&amp;"-"&amp;TEXT(Caja_Finanzas[[#This Row],[ITEM]],"0000")</f>
        <v>CFI.D05-03-0224</v>
      </c>
      <c r="O237" s="8" t="str">
        <f t="shared" si="20"/>
        <v>PEN</v>
      </c>
      <c r="P237" s="13"/>
      <c r="Q237" s="13">
        <v>71.2</v>
      </c>
      <c r="R237" s="3">
        <f t="shared" si="16"/>
        <v>71.2</v>
      </c>
      <c r="S237" s="3">
        <f t="shared" si="17"/>
        <v>0</v>
      </c>
      <c r="T237" s="3">
        <f t="shared" si="18"/>
        <v>9228.1</v>
      </c>
      <c r="U237" s="24"/>
      <c r="V237" s="24"/>
      <c r="W237" s="3"/>
      <c r="X237" s="25"/>
      <c r="Y237" s="25" t="s">
        <v>5645</v>
      </c>
      <c r="Z237" s="25"/>
      <c r="AA237" s="25"/>
      <c r="AB237" s="25"/>
      <c r="AC237" s="3" t="str">
        <f>IF(Caja_Finanzas[[#This Row],[FECHA]]&gt;0,TEXT(Caja_Finanzas[[#This Row],[FECHA]],"mmmm"),0)</f>
        <v>Marzo</v>
      </c>
    </row>
    <row r="238" spans="2:29" ht="24" x14ac:dyDescent="0.3">
      <c r="B238" s="2">
        <f>IF(Caja_Finanzas[[#This Row],[TIPO DE R.]]="R",COUNTIFS($D$4:$D237,"R")+1,"")</f>
        <v>225</v>
      </c>
      <c r="C238" s="19" t="str">
        <f t="shared" si="19"/>
        <v>C-Finanzas</v>
      </c>
      <c r="D238" s="3" t="s">
        <v>1074</v>
      </c>
      <c r="E238" s="14">
        <v>45721</v>
      </c>
      <c r="F238" s="5" t="s">
        <v>5646</v>
      </c>
      <c r="G238" s="5" t="s">
        <v>1087</v>
      </c>
      <c r="H238" s="5"/>
      <c r="I238" s="6"/>
      <c r="J238" s="6"/>
      <c r="K238" s="6"/>
      <c r="L238" s="6"/>
      <c r="M238" s="7" t="s">
        <v>5156</v>
      </c>
      <c r="N238" s="8" t="str">
        <f>"CFI"&amp;".D"&amp;TEXT(Caja_Finanzas[[#This Row],[FECHA]],"DD-MM")&amp;"-"&amp;TEXT(Caja_Finanzas[[#This Row],[ITEM]],"0000")</f>
        <v>CFI.D05-03-0225</v>
      </c>
      <c r="O238" s="8" t="str">
        <f t="shared" si="20"/>
        <v>PEN</v>
      </c>
      <c r="P238" s="13"/>
      <c r="Q238" s="13">
        <v>65</v>
      </c>
      <c r="R238" s="3">
        <f t="shared" si="16"/>
        <v>65</v>
      </c>
      <c r="S238" s="3">
        <f t="shared" si="17"/>
        <v>0</v>
      </c>
      <c r="T238" s="3">
        <f t="shared" si="18"/>
        <v>9293.1</v>
      </c>
      <c r="U238" s="24"/>
      <c r="V238" s="24"/>
      <c r="W238" s="3"/>
      <c r="X238" s="25"/>
      <c r="Y238" s="25" t="s">
        <v>5647</v>
      </c>
      <c r="Z238" s="25"/>
      <c r="AA238" s="25"/>
      <c r="AB238" s="25"/>
      <c r="AC238" s="3" t="str">
        <f>IF(Caja_Finanzas[[#This Row],[FECHA]]&gt;0,TEXT(Caja_Finanzas[[#This Row],[FECHA]],"mmmm"),0)</f>
        <v>Marzo</v>
      </c>
    </row>
    <row r="239" spans="2:29" ht="24" x14ac:dyDescent="0.3">
      <c r="B239" s="2">
        <f>IF(Caja_Finanzas[[#This Row],[TIPO DE R.]]="R",COUNTIFS($D$4:$D238,"R")+1,"")</f>
        <v>226</v>
      </c>
      <c r="C239" s="19" t="str">
        <f t="shared" si="19"/>
        <v>C-Finanzas</v>
      </c>
      <c r="D239" s="3" t="s">
        <v>1074</v>
      </c>
      <c r="E239" s="14">
        <v>45721</v>
      </c>
      <c r="F239" s="5" t="s">
        <v>5648</v>
      </c>
      <c r="G239" s="5" t="s">
        <v>1087</v>
      </c>
      <c r="H239" s="5"/>
      <c r="I239" s="6"/>
      <c r="J239" s="6"/>
      <c r="K239" s="6"/>
      <c r="L239" s="6"/>
      <c r="M239" s="7" t="s">
        <v>5156</v>
      </c>
      <c r="N239" s="8" t="str">
        <f>"CFI"&amp;".D"&amp;TEXT(Caja_Finanzas[[#This Row],[FECHA]],"DD-MM")&amp;"-"&amp;TEXT(Caja_Finanzas[[#This Row],[ITEM]],"0000")</f>
        <v>CFI.D05-03-0226</v>
      </c>
      <c r="O239" s="8" t="str">
        <f t="shared" si="20"/>
        <v>PEN</v>
      </c>
      <c r="P239" s="13"/>
      <c r="Q239" s="13">
        <v>300</v>
      </c>
      <c r="R239" s="3">
        <f t="shared" si="16"/>
        <v>300</v>
      </c>
      <c r="S239" s="3">
        <f t="shared" si="17"/>
        <v>0</v>
      </c>
      <c r="T239" s="3">
        <f t="shared" si="18"/>
        <v>9593.1</v>
      </c>
      <c r="U239" s="24"/>
      <c r="V239" s="24"/>
      <c r="W239" s="3"/>
      <c r="X239" s="25"/>
      <c r="Y239" s="25" t="s">
        <v>5649</v>
      </c>
      <c r="Z239" s="25"/>
      <c r="AA239" s="25"/>
      <c r="AB239" s="25"/>
      <c r="AC239" s="3" t="str">
        <f>IF(Caja_Finanzas[[#This Row],[FECHA]]&gt;0,TEXT(Caja_Finanzas[[#This Row],[FECHA]],"mmmm"),0)</f>
        <v>Marzo</v>
      </c>
    </row>
    <row r="240" spans="2:29" ht="24" x14ac:dyDescent="0.3">
      <c r="B240" s="2">
        <f>IF(Caja_Finanzas[[#This Row],[TIPO DE R.]]="R",COUNTIFS($D$4:$D239,"R")+1,"")</f>
        <v>227</v>
      </c>
      <c r="C240" s="19" t="str">
        <f t="shared" si="19"/>
        <v>C-Finanzas</v>
      </c>
      <c r="D240" s="3" t="s">
        <v>1074</v>
      </c>
      <c r="E240" s="14">
        <v>45721</v>
      </c>
      <c r="F240" s="5" t="s">
        <v>5648</v>
      </c>
      <c r="G240" s="5" t="s">
        <v>1087</v>
      </c>
      <c r="H240" s="5"/>
      <c r="I240" s="6"/>
      <c r="J240" s="6"/>
      <c r="K240" s="6"/>
      <c r="L240" s="6"/>
      <c r="M240" s="7" t="s">
        <v>5156</v>
      </c>
      <c r="N240" s="8" t="str">
        <f>"CFI"&amp;".D"&amp;TEXT(Caja_Finanzas[[#This Row],[FECHA]],"DD-MM")&amp;"-"&amp;TEXT(Caja_Finanzas[[#This Row],[ITEM]],"0000")</f>
        <v>CFI.D05-03-0227</v>
      </c>
      <c r="O240" s="8" t="str">
        <f t="shared" si="20"/>
        <v>PEN</v>
      </c>
      <c r="P240" s="13"/>
      <c r="Q240" s="13">
        <v>24</v>
      </c>
      <c r="R240" s="3">
        <f t="shared" si="16"/>
        <v>24</v>
      </c>
      <c r="S240" s="3">
        <f t="shared" si="17"/>
        <v>0</v>
      </c>
      <c r="T240" s="3">
        <f t="shared" si="18"/>
        <v>9617.1</v>
      </c>
      <c r="U240" s="24"/>
      <c r="V240" s="24"/>
      <c r="W240" s="3"/>
      <c r="X240" s="25"/>
      <c r="Y240" s="25" t="s">
        <v>5650</v>
      </c>
      <c r="Z240" s="25"/>
      <c r="AA240" s="25"/>
      <c r="AB240" s="25"/>
      <c r="AC240" s="3" t="str">
        <f>IF(Caja_Finanzas[[#This Row],[FECHA]]&gt;0,TEXT(Caja_Finanzas[[#This Row],[FECHA]],"mmmm"),0)</f>
        <v>Marzo</v>
      </c>
    </row>
    <row r="241" spans="2:29" x14ac:dyDescent="0.3">
      <c r="B241" s="2">
        <f>IF(Caja_Finanzas[[#This Row],[TIPO DE R.]]="R",COUNTIFS($D$4:$D240,"R")+1,"")</f>
        <v>228</v>
      </c>
      <c r="C241" s="19" t="str">
        <f t="shared" si="19"/>
        <v>C-Finanzas</v>
      </c>
      <c r="D241" s="3" t="s">
        <v>1074</v>
      </c>
      <c r="E241" s="14">
        <v>45721</v>
      </c>
      <c r="F241" s="5" t="s">
        <v>5642</v>
      </c>
      <c r="G241" s="5" t="s">
        <v>1087</v>
      </c>
      <c r="H241" s="5"/>
      <c r="I241" s="6"/>
      <c r="J241" s="6"/>
      <c r="K241" s="6"/>
      <c r="L241" s="6"/>
      <c r="M241" s="7" t="s">
        <v>5156</v>
      </c>
      <c r="N241" s="8" t="str">
        <f>"CFI"&amp;".D"&amp;TEXT(Caja_Finanzas[[#This Row],[FECHA]],"DD-MM")&amp;"-"&amp;TEXT(Caja_Finanzas[[#This Row],[ITEM]],"0000")</f>
        <v>CFI.D05-03-0228</v>
      </c>
      <c r="O241" s="8" t="str">
        <f t="shared" si="20"/>
        <v>PEN</v>
      </c>
      <c r="P241" s="13"/>
      <c r="Q241" s="13">
        <v>15</v>
      </c>
      <c r="R241" s="3">
        <f t="shared" si="16"/>
        <v>15</v>
      </c>
      <c r="S241" s="3">
        <f t="shared" si="17"/>
        <v>0</v>
      </c>
      <c r="T241" s="3">
        <f t="shared" si="18"/>
        <v>9632.1</v>
      </c>
      <c r="U241" s="24"/>
      <c r="V241" s="24"/>
      <c r="W241" s="3"/>
      <c r="X241" s="25"/>
      <c r="Y241" s="25" t="s">
        <v>5651</v>
      </c>
      <c r="Z241" s="25"/>
      <c r="AA241" s="25"/>
      <c r="AB241" s="25"/>
      <c r="AC241" s="3" t="str">
        <f>IF(Caja_Finanzas[[#This Row],[FECHA]]&gt;0,TEXT(Caja_Finanzas[[#This Row],[FECHA]],"mmmm"),0)</f>
        <v>Marzo</v>
      </c>
    </row>
    <row r="242" spans="2:29" ht="24" x14ac:dyDescent="0.3">
      <c r="B242" s="2">
        <f>IF(Caja_Finanzas[[#This Row],[TIPO DE R.]]="R",COUNTIFS($D$4:$D241,"R")+1,"")</f>
        <v>229</v>
      </c>
      <c r="C242" s="19" t="str">
        <f t="shared" si="19"/>
        <v>C-Finanzas</v>
      </c>
      <c r="D242" s="3" t="s">
        <v>1074</v>
      </c>
      <c r="E242" s="14">
        <v>45721</v>
      </c>
      <c r="F242" s="5" t="s">
        <v>5652</v>
      </c>
      <c r="G242" s="5" t="s">
        <v>1087</v>
      </c>
      <c r="H242" s="5"/>
      <c r="I242" s="6"/>
      <c r="J242" s="6"/>
      <c r="K242" s="6"/>
      <c r="L242" s="6"/>
      <c r="M242" s="7" t="s">
        <v>5156</v>
      </c>
      <c r="N242" s="8" t="str">
        <f>"CFI"&amp;".D"&amp;TEXT(Caja_Finanzas[[#This Row],[FECHA]],"DD-MM")&amp;"-"&amp;TEXT(Caja_Finanzas[[#This Row],[ITEM]],"0000")</f>
        <v>CFI.D05-03-0229</v>
      </c>
      <c r="O242" s="8" t="str">
        <f t="shared" si="20"/>
        <v>PEN</v>
      </c>
      <c r="P242" s="13"/>
      <c r="Q242" s="13">
        <v>15</v>
      </c>
      <c r="R242" s="3">
        <f t="shared" si="16"/>
        <v>15</v>
      </c>
      <c r="S242" s="3">
        <f t="shared" si="17"/>
        <v>0</v>
      </c>
      <c r="T242" s="3">
        <f t="shared" si="18"/>
        <v>9647.1</v>
      </c>
      <c r="U242" s="24"/>
      <c r="V242" s="24"/>
      <c r="W242" s="3"/>
      <c r="X242" s="25"/>
      <c r="Y242" s="25" t="s">
        <v>5653</v>
      </c>
      <c r="Z242" s="25"/>
      <c r="AA242" s="25"/>
      <c r="AB242" s="25"/>
      <c r="AC242" s="3" t="str">
        <f>IF(Caja_Finanzas[[#This Row],[FECHA]]&gt;0,TEXT(Caja_Finanzas[[#This Row],[FECHA]],"mmmm"),0)</f>
        <v>Marzo</v>
      </c>
    </row>
    <row r="243" spans="2:29" x14ac:dyDescent="0.3">
      <c r="B243" s="2">
        <f>IF(Caja_Finanzas[[#This Row],[TIPO DE R.]]="R",COUNTIFS($D$4:$D242,"R")+1,"")</f>
        <v>230</v>
      </c>
      <c r="C243" s="19" t="str">
        <f t="shared" si="19"/>
        <v>C-Finanzas</v>
      </c>
      <c r="D243" s="3" t="s">
        <v>1074</v>
      </c>
      <c r="E243" s="14">
        <v>45721</v>
      </c>
      <c r="F243" s="5" t="s">
        <v>5404</v>
      </c>
      <c r="G243" s="5" t="s">
        <v>1087</v>
      </c>
      <c r="H243" s="5"/>
      <c r="I243" s="6"/>
      <c r="J243" s="6"/>
      <c r="K243" s="6"/>
      <c r="L243" s="6"/>
      <c r="M243" s="7" t="s">
        <v>5156</v>
      </c>
      <c r="N243" s="8" t="str">
        <f>"CFI"&amp;".D"&amp;TEXT(Caja_Finanzas[[#This Row],[FECHA]],"DD-MM")&amp;"-"&amp;TEXT(Caja_Finanzas[[#This Row],[ITEM]],"0000")</f>
        <v>CFI.D05-03-0230</v>
      </c>
      <c r="O243" s="8" t="str">
        <f t="shared" si="20"/>
        <v>PEN</v>
      </c>
      <c r="P243" s="13"/>
      <c r="Q243" s="13">
        <v>5</v>
      </c>
      <c r="R243" s="3">
        <f t="shared" si="16"/>
        <v>5</v>
      </c>
      <c r="S243" s="3">
        <f t="shared" si="17"/>
        <v>0</v>
      </c>
      <c r="T243" s="3">
        <f t="shared" si="18"/>
        <v>9652.1</v>
      </c>
      <c r="U243" s="24"/>
      <c r="V243" s="24"/>
      <c r="W243" s="3"/>
      <c r="X243" s="25"/>
      <c r="Y243" s="25" t="s">
        <v>5654</v>
      </c>
      <c r="Z243" s="25"/>
      <c r="AA243" s="25"/>
      <c r="AB243" s="25"/>
      <c r="AC243" s="3" t="str">
        <f>IF(Caja_Finanzas[[#This Row],[FECHA]]&gt;0,TEXT(Caja_Finanzas[[#This Row],[FECHA]],"mmmm"),0)</f>
        <v>Marzo</v>
      </c>
    </row>
    <row r="244" spans="2:29" x14ac:dyDescent="0.3">
      <c r="B244" s="2">
        <f>IF(Caja_Finanzas[[#This Row],[TIPO DE R.]]="R",COUNTIFS($D$4:$D243,"R")+1,"")</f>
        <v>231</v>
      </c>
      <c r="C244" s="19" t="str">
        <f t="shared" si="19"/>
        <v>C-Finanzas</v>
      </c>
      <c r="D244" s="3" t="s">
        <v>1074</v>
      </c>
      <c r="E244" s="14">
        <v>45721</v>
      </c>
      <c r="F244" s="5"/>
      <c r="G244" s="5" t="s">
        <v>1079</v>
      </c>
      <c r="H244" s="5"/>
      <c r="I244" s="6"/>
      <c r="J244" s="6"/>
      <c r="K244" s="6"/>
      <c r="L244" s="6"/>
      <c r="M244" s="7" t="s">
        <v>5655</v>
      </c>
      <c r="N244" s="8" t="str">
        <f>"CFI"&amp;".D"&amp;TEXT(Caja_Finanzas[[#This Row],[FECHA]],"DD-MM")&amp;"-"&amp;TEXT(Caja_Finanzas[[#This Row],[ITEM]],"0000")</f>
        <v>CFI.D05-03-0231</v>
      </c>
      <c r="O244" s="8" t="str">
        <f t="shared" si="20"/>
        <v>PEN</v>
      </c>
      <c r="P244" s="13"/>
      <c r="Q244" s="13">
        <v>100</v>
      </c>
      <c r="R244" s="3">
        <f t="shared" si="16"/>
        <v>0</v>
      </c>
      <c r="S244" s="3">
        <f t="shared" si="17"/>
        <v>100</v>
      </c>
      <c r="T244" s="3">
        <f t="shared" si="18"/>
        <v>9552.1</v>
      </c>
      <c r="U244" s="24"/>
      <c r="V244" s="24"/>
      <c r="W244" s="3"/>
      <c r="X244" s="25"/>
      <c r="Y244" s="25"/>
      <c r="Z244" s="25"/>
      <c r="AA244" s="25"/>
      <c r="AB244" s="25"/>
      <c r="AC244" s="3" t="str">
        <f>IF(Caja_Finanzas[[#This Row],[FECHA]]&gt;0,TEXT(Caja_Finanzas[[#This Row],[FECHA]],"mmmm"),0)</f>
        <v>Marzo</v>
      </c>
    </row>
    <row r="245" spans="2:29" ht="24" x14ac:dyDescent="0.3">
      <c r="B245" s="2">
        <f>IF(Caja_Finanzas[[#This Row],[TIPO DE R.]]="R",COUNTIFS($D$4:$D244,"R")+1,"")</f>
        <v>232</v>
      </c>
      <c r="C245" s="19" t="str">
        <f t="shared" si="19"/>
        <v>C-Finanzas</v>
      </c>
      <c r="D245" s="3" t="s">
        <v>1074</v>
      </c>
      <c r="E245" s="14">
        <v>45721</v>
      </c>
      <c r="F245" s="5" t="s">
        <v>5656</v>
      </c>
      <c r="G245" s="5" t="s">
        <v>1087</v>
      </c>
      <c r="H245" s="5"/>
      <c r="I245" s="6"/>
      <c r="J245" s="6"/>
      <c r="K245" s="6"/>
      <c r="L245" s="6"/>
      <c r="M245" s="7" t="s">
        <v>5156</v>
      </c>
      <c r="N245" s="8" t="str">
        <f>"CFI"&amp;".D"&amp;TEXT(Caja_Finanzas[[#This Row],[FECHA]],"DD-MM")&amp;"-"&amp;TEXT(Caja_Finanzas[[#This Row],[ITEM]],"0000")</f>
        <v>CFI.D05-03-0232</v>
      </c>
      <c r="O245" s="8" t="str">
        <f t="shared" si="20"/>
        <v>PEN</v>
      </c>
      <c r="P245" s="13"/>
      <c r="Q245" s="13">
        <v>11020</v>
      </c>
      <c r="R245" s="3">
        <f t="shared" si="16"/>
        <v>11020</v>
      </c>
      <c r="S245" s="3">
        <f t="shared" si="17"/>
        <v>0</v>
      </c>
      <c r="T245" s="3">
        <f t="shared" si="18"/>
        <v>20572.099999999999</v>
      </c>
      <c r="U245" s="24"/>
      <c r="V245" s="24"/>
      <c r="W245" s="3"/>
      <c r="X245" s="25"/>
      <c r="Y245" s="25" t="s">
        <v>5657</v>
      </c>
      <c r="Z245" s="25"/>
      <c r="AA245" s="25"/>
      <c r="AB245" s="25"/>
      <c r="AC245" s="3" t="str">
        <f>IF(Caja_Finanzas[[#This Row],[FECHA]]&gt;0,TEXT(Caja_Finanzas[[#This Row],[FECHA]],"mmmm"),0)</f>
        <v>Marzo</v>
      </c>
    </row>
    <row r="246" spans="2:29" ht="24" x14ac:dyDescent="0.3">
      <c r="B246" s="2">
        <f>IF(Caja_Finanzas[[#This Row],[TIPO DE R.]]="R",COUNTIFS($D$4:$D245,"R")+1,"")</f>
        <v>233</v>
      </c>
      <c r="C246" s="19" t="str">
        <f t="shared" si="19"/>
        <v>C-Finanzas</v>
      </c>
      <c r="D246" s="3" t="s">
        <v>1074</v>
      </c>
      <c r="E246" s="14">
        <v>45721</v>
      </c>
      <c r="F246" s="5" t="s">
        <v>5443</v>
      </c>
      <c r="G246" s="5" t="s">
        <v>1079</v>
      </c>
      <c r="H246" s="5"/>
      <c r="I246" s="6"/>
      <c r="J246" s="6"/>
      <c r="K246" s="6"/>
      <c r="L246" s="6"/>
      <c r="M246" s="7" t="s">
        <v>5658</v>
      </c>
      <c r="N246" s="8" t="str">
        <f>"CFI"&amp;".D"&amp;TEXT(Caja_Finanzas[[#This Row],[FECHA]],"DD-MM")&amp;"-"&amp;TEXT(Caja_Finanzas[[#This Row],[ITEM]],"0000")</f>
        <v>CFI.D05-03-0233</v>
      </c>
      <c r="O246" s="8" t="str">
        <f t="shared" si="20"/>
        <v>PEN</v>
      </c>
      <c r="P246" s="13"/>
      <c r="Q246" s="13">
        <v>42.5</v>
      </c>
      <c r="R246" s="3">
        <f t="shared" si="16"/>
        <v>0</v>
      </c>
      <c r="S246" s="3">
        <f t="shared" si="17"/>
        <v>42.5</v>
      </c>
      <c r="T246" s="3">
        <f t="shared" si="18"/>
        <v>20529.599999999999</v>
      </c>
      <c r="U246" s="24"/>
      <c r="V246" s="24"/>
      <c r="W246" s="3"/>
      <c r="X246" s="25" t="s">
        <v>5596</v>
      </c>
      <c r="Y246" s="25" t="s">
        <v>5659</v>
      </c>
      <c r="Z246" s="25"/>
      <c r="AA246" s="25"/>
      <c r="AB246" s="25"/>
      <c r="AC246" s="3" t="str">
        <f>IF(Caja_Finanzas[[#This Row],[FECHA]]&gt;0,TEXT(Caja_Finanzas[[#This Row],[FECHA]],"mmmm"),0)</f>
        <v>Marzo</v>
      </c>
    </row>
    <row r="247" spans="2:29" ht="24" x14ac:dyDescent="0.3">
      <c r="B247" s="2">
        <f>IF(Caja_Finanzas[[#This Row],[TIPO DE R.]]="R",COUNTIFS($D$4:$D246,"R")+1,"")</f>
        <v>234</v>
      </c>
      <c r="C247" s="19" t="str">
        <f t="shared" si="19"/>
        <v>C-Finanzas</v>
      </c>
      <c r="D247" s="3" t="s">
        <v>1074</v>
      </c>
      <c r="E247" s="14">
        <v>45721</v>
      </c>
      <c r="F247" s="5" t="s">
        <v>479</v>
      </c>
      <c r="G247" s="5" t="s">
        <v>1087</v>
      </c>
      <c r="H247" s="5"/>
      <c r="I247" s="6"/>
      <c r="J247" s="6"/>
      <c r="K247" s="6"/>
      <c r="L247" s="6"/>
      <c r="M247" s="7" t="s">
        <v>5156</v>
      </c>
      <c r="N247" s="8" t="str">
        <f>"CFI"&amp;".D"&amp;TEXT(Caja_Finanzas[[#This Row],[FECHA]],"DD-MM")&amp;"-"&amp;TEXT(Caja_Finanzas[[#This Row],[ITEM]],"0000")</f>
        <v>CFI.D05-03-0234</v>
      </c>
      <c r="O247" s="8" t="str">
        <f t="shared" si="20"/>
        <v>PEN</v>
      </c>
      <c r="P247" s="13"/>
      <c r="Q247" s="13">
        <v>141</v>
      </c>
      <c r="R247" s="3">
        <f t="shared" si="16"/>
        <v>141</v>
      </c>
      <c r="S247" s="3">
        <f t="shared" si="17"/>
        <v>0</v>
      </c>
      <c r="T247" s="3">
        <f t="shared" si="18"/>
        <v>20670.599999999999</v>
      </c>
      <c r="U247" s="24"/>
      <c r="V247" s="24"/>
      <c r="W247" s="3"/>
      <c r="X247" s="25"/>
      <c r="Y247" s="25" t="s">
        <v>1860</v>
      </c>
      <c r="Z247" s="25"/>
      <c r="AA247" s="25"/>
      <c r="AB247" s="25"/>
      <c r="AC247" s="3" t="str">
        <f>IF(Caja_Finanzas[[#This Row],[FECHA]]&gt;0,TEXT(Caja_Finanzas[[#This Row],[FECHA]],"mmmm"),0)</f>
        <v>Marzo</v>
      </c>
    </row>
    <row r="248" spans="2:29" x14ac:dyDescent="0.3">
      <c r="B248" s="2">
        <f>IF(Caja_Finanzas[[#This Row],[TIPO DE R.]]="R",COUNTIFS($D$4:$D247,"R")+1,"")</f>
        <v>235</v>
      </c>
      <c r="C248" s="19" t="str">
        <f t="shared" si="19"/>
        <v>C-Finanzas</v>
      </c>
      <c r="D248" s="3" t="s">
        <v>1074</v>
      </c>
      <c r="E248" s="14">
        <v>45721</v>
      </c>
      <c r="F248" s="5" t="s">
        <v>2520</v>
      </c>
      <c r="G248" s="5" t="s">
        <v>1087</v>
      </c>
      <c r="H248" s="5"/>
      <c r="I248" s="6"/>
      <c r="J248" s="6"/>
      <c r="K248" s="6"/>
      <c r="L248" s="6"/>
      <c r="M248" s="7" t="s">
        <v>5156</v>
      </c>
      <c r="N248" s="8" t="str">
        <f>"CFI"&amp;".D"&amp;TEXT(Caja_Finanzas[[#This Row],[FECHA]],"DD-MM")&amp;"-"&amp;TEXT(Caja_Finanzas[[#This Row],[ITEM]],"0000")</f>
        <v>CFI.D05-03-0235</v>
      </c>
      <c r="O248" s="8" t="str">
        <f t="shared" si="20"/>
        <v>PEN</v>
      </c>
      <c r="P248" s="13"/>
      <c r="Q248" s="13">
        <v>30</v>
      </c>
      <c r="R248" s="3">
        <f t="shared" si="16"/>
        <v>30</v>
      </c>
      <c r="S248" s="3">
        <f t="shared" si="17"/>
        <v>0</v>
      </c>
      <c r="T248" s="3">
        <f t="shared" si="18"/>
        <v>20700.599999999999</v>
      </c>
      <c r="U248" s="24"/>
      <c r="V248" s="24"/>
      <c r="W248" s="3"/>
      <c r="X248" s="25"/>
      <c r="Y248" s="25" t="s">
        <v>5660</v>
      </c>
      <c r="Z248" s="25"/>
      <c r="AA248" s="25"/>
      <c r="AB248" s="25"/>
      <c r="AC248" s="3" t="str">
        <f>IF(Caja_Finanzas[[#This Row],[FECHA]]&gt;0,TEXT(Caja_Finanzas[[#This Row],[FECHA]],"mmmm"),0)</f>
        <v>Marzo</v>
      </c>
    </row>
    <row r="249" spans="2:29" ht="24" x14ac:dyDescent="0.3">
      <c r="B249" s="2">
        <f>IF(Caja_Finanzas[[#This Row],[TIPO DE R.]]="R",COUNTIFS($D$4:$D248,"R")+1,"")</f>
        <v>236</v>
      </c>
      <c r="C249" s="19" t="str">
        <f t="shared" si="19"/>
        <v>C-Finanzas</v>
      </c>
      <c r="D249" s="3" t="s">
        <v>1074</v>
      </c>
      <c r="E249" s="14">
        <v>45721</v>
      </c>
      <c r="F249" s="5" t="s">
        <v>5661</v>
      </c>
      <c r="G249" s="5" t="s">
        <v>1087</v>
      </c>
      <c r="H249" s="5"/>
      <c r="I249" s="6"/>
      <c r="J249" s="6"/>
      <c r="K249" s="6"/>
      <c r="L249" s="6"/>
      <c r="M249" s="7" t="s">
        <v>5156</v>
      </c>
      <c r="N249" s="8" t="str">
        <f>"CFI"&amp;".D"&amp;TEXT(Caja_Finanzas[[#This Row],[FECHA]],"DD-MM")&amp;"-"&amp;TEXT(Caja_Finanzas[[#This Row],[ITEM]],"0000")</f>
        <v>CFI.D05-03-0236</v>
      </c>
      <c r="O249" s="8" t="str">
        <f t="shared" si="20"/>
        <v>PEN</v>
      </c>
      <c r="P249" s="13"/>
      <c r="Q249" s="13">
        <v>1170</v>
      </c>
      <c r="R249" s="3">
        <f t="shared" si="16"/>
        <v>1170</v>
      </c>
      <c r="S249" s="3">
        <f t="shared" si="17"/>
        <v>0</v>
      </c>
      <c r="T249" s="3">
        <f t="shared" si="18"/>
        <v>21870.6</v>
      </c>
      <c r="U249" s="24"/>
      <c r="V249" s="24"/>
      <c r="W249" s="3"/>
      <c r="X249" s="25"/>
      <c r="Y249" s="25" t="s">
        <v>5662</v>
      </c>
      <c r="Z249" s="25"/>
      <c r="AA249" s="25"/>
      <c r="AB249" s="25"/>
      <c r="AC249" s="3" t="str">
        <f>IF(Caja_Finanzas[[#This Row],[FECHA]]&gt;0,TEXT(Caja_Finanzas[[#This Row],[FECHA]],"mmmm"),0)</f>
        <v>Marzo</v>
      </c>
    </row>
    <row r="250" spans="2:29" ht="24" x14ac:dyDescent="0.3">
      <c r="B250" s="2">
        <f>IF(Caja_Finanzas[[#This Row],[TIPO DE R.]]="R",COUNTIFS($D$4:$D249,"R")+1,"")</f>
        <v>237</v>
      </c>
      <c r="C250" s="19" t="str">
        <f t="shared" si="19"/>
        <v>C-Finanzas</v>
      </c>
      <c r="D250" s="3" t="s">
        <v>1074</v>
      </c>
      <c r="E250" s="14">
        <v>45721</v>
      </c>
      <c r="F250" s="5" t="s">
        <v>5457</v>
      </c>
      <c r="G250" s="5" t="s">
        <v>1079</v>
      </c>
      <c r="H250" s="5"/>
      <c r="I250" s="6"/>
      <c r="J250" s="6"/>
      <c r="K250" s="6"/>
      <c r="L250" s="6"/>
      <c r="M250" s="7" t="s">
        <v>5663</v>
      </c>
      <c r="N250" s="8" t="str">
        <f>"CFI"&amp;".D"&amp;TEXT(Caja_Finanzas[[#This Row],[FECHA]],"DD-MM")&amp;"-"&amp;TEXT(Caja_Finanzas[[#This Row],[ITEM]],"0000")</f>
        <v>CFI.D05-03-0237</v>
      </c>
      <c r="O250" s="8" t="str">
        <f t="shared" si="20"/>
        <v>PEN</v>
      </c>
      <c r="P250" s="13"/>
      <c r="Q250" s="13">
        <v>15</v>
      </c>
      <c r="R250" s="3">
        <f t="shared" si="16"/>
        <v>0</v>
      </c>
      <c r="S250" s="3">
        <f t="shared" si="17"/>
        <v>15</v>
      </c>
      <c r="T250" s="3">
        <f t="shared" si="18"/>
        <v>21855.599999999999</v>
      </c>
      <c r="U250" s="24"/>
      <c r="V250" s="24"/>
      <c r="W250" s="3"/>
      <c r="X250" s="25" t="s">
        <v>5596</v>
      </c>
      <c r="Y250" s="25" t="s">
        <v>5664</v>
      </c>
      <c r="Z250" s="25"/>
      <c r="AA250" s="25"/>
      <c r="AB250" s="25"/>
      <c r="AC250" s="3" t="str">
        <f>IF(Caja_Finanzas[[#This Row],[FECHA]]&gt;0,TEXT(Caja_Finanzas[[#This Row],[FECHA]],"mmmm"),0)</f>
        <v>Marzo</v>
      </c>
    </row>
    <row r="251" spans="2:29" ht="24" x14ac:dyDescent="0.3">
      <c r="B251" s="2">
        <f>IF(Caja_Finanzas[[#This Row],[TIPO DE R.]]="R",COUNTIFS($D$4:$D250,"R")+1,"")</f>
        <v>238</v>
      </c>
      <c r="C251" s="19" t="str">
        <f t="shared" si="19"/>
        <v>C-Finanzas</v>
      </c>
      <c r="D251" s="3" t="s">
        <v>1074</v>
      </c>
      <c r="E251" s="14">
        <v>45722</v>
      </c>
      <c r="F251" s="5" t="s">
        <v>5305</v>
      </c>
      <c r="G251" s="5" t="s">
        <v>1079</v>
      </c>
      <c r="H251" s="5"/>
      <c r="I251" s="6"/>
      <c r="J251" s="6"/>
      <c r="K251" s="6"/>
      <c r="L251" s="6"/>
      <c r="M251" s="7" t="s">
        <v>5539</v>
      </c>
      <c r="N251" s="8" t="str">
        <f>"CFI"&amp;".D"&amp;TEXT(Caja_Finanzas[[#This Row],[FECHA]],"DD-MM")&amp;"-"&amp;TEXT(Caja_Finanzas[[#This Row],[ITEM]],"0000")</f>
        <v>CFI.D06-03-0238</v>
      </c>
      <c r="O251" s="8" t="str">
        <f t="shared" si="20"/>
        <v>PEN</v>
      </c>
      <c r="P251" s="13"/>
      <c r="Q251" s="13">
        <v>1000</v>
      </c>
      <c r="R251" s="3">
        <f t="shared" si="16"/>
        <v>0</v>
      </c>
      <c r="S251" s="3">
        <f t="shared" si="17"/>
        <v>1000</v>
      </c>
      <c r="T251" s="3">
        <f t="shared" si="18"/>
        <v>20855.599999999999</v>
      </c>
      <c r="U251" s="24"/>
      <c r="V251" s="24"/>
      <c r="W251" s="3"/>
      <c r="X251" s="25"/>
      <c r="Y251" s="25"/>
      <c r="Z251" s="25"/>
      <c r="AA251" s="25"/>
      <c r="AB251" s="25"/>
      <c r="AC251" s="3" t="str">
        <f>IF(Caja_Finanzas[[#This Row],[FECHA]]&gt;0,TEXT(Caja_Finanzas[[#This Row],[FECHA]],"mmmm"),0)</f>
        <v>Marzo</v>
      </c>
    </row>
    <row r="252" spans="2:29" ht="24" x14ac:dyDescent="0.3">
      <c r="B252" s="2">
        <f>IF(Caja_Finanzas[[#This Row],[TIPO DE R.]]="R",COUNTIFS($D$4:$D251,"R")+1,"")</f>
        <v>239</v>
      </c>
      <c r="C252" s="19" t="str">
        <f t="shared" si="19"/>
        <v>C-Finanzas</v>
      </c>
      <c r="D252" s="3" t="s">
        <v>1074</v>
      </c>
      <c r="E252" s="14">
        <v>45722</v>
      </c>
      <c r="F252" s="5" t="s">
        <v>5589</v>
      </c>
      <c r="G252" s="5" t="s">
        <v>1079</v>
      </c>
      <c r="H252" s="5"/>
      <c r="I252" s="6"/>
      <c r="J252" s="6"/>
      <c r="K252" s="6"/>
      <c r="L252" s="6"/>
      <c r="M252" s="7" t="s">
        <v>5665</v>
      </c>
      <c r="N252" s="8" t="str">
        <f>"CFI"&amp;".D"&amp;TEXT(Caja_Finanzas[[#This Row],[FECHA]],"DD-MM")&amp;"-"&amp;TEXT(Caja_Finanzas[[#This Row],[ITEM]],"0000")</f>
        <v>CFI.D06-03-0239</v>
      </c>
      <c r="O252" s="8" t="str">
        <f t="shared" si="20"/>
        <v>PEN</v>
      </c>
      <c r="P252" s="13"/>
      <c r="Q252" s="13">
        <v>2500</v>
      </c>
      <c r="R252" s="3">
        <f t="shared" si="16"/>
        <v>0</v>
      </c>
      <c r="S252" s="3">
        <f t="shared" si="17"/>
        <v>2500</v>
      </c>
      <c r="T252" s="3">
        <f t="shared" si="18"/>
        <v>18355.599999999999</v>
      </c>
      <c r="U252" s="24"/>
      <c r="V252" s="24"/>
      <c r="W252" s="3"/>
      <c r="X252" s="25" t="s">
        <v>5666</v>
      </c>
      <c r="Y252" s="25" t="s">
        <v>5667</v>
      </c>
      <c r="Z252" s="25"/>
      <c r="AA252" s="25"/>
      <c r="AB252" s="25"/>
      <c r="AC252" s="3" t="str">
        <f>IF(Caja_Finanzas[[#This Row],[FECHA]]&gt;0,TEXT(Caja_Finanzas[[#This Row],[FECHA]],"mmmm"),0)</f>
        <v>Marzo</v>
      </c>
    </row>
    <row r="253" spans="2:29" ht="36" x14ac:dyDescent="0.3">
      <c r="B253" s="2">
        <f>IF(Caja_Finanzas[[#This Row],[TIPO DE R.]]="R",COUNTIFS($D$4:$D252,"R")+1,"")</f>
        <v>240</v>
      </c>
      <c r="C253" s="19" t="str">
        <f t="shared" si="19"/>
        <v>C-Finanzas</v>
      </c>
      <c r="D253" s="3" t="s">
        <v>1074</v>
      </c>
      <c r="E253" s="14">
        <v>45722</v>
      </c>
      <c r="F253" s="5" t="s">
        <v>5589</v>
      </c>
      <c r="G253" s="5" t="s">
        <v>1079</v>
      </c>
      <c r="H253" s="5"/>
      <c r="I253" s="6"/>
      <c r="J253" s="6"/>
      <c r="K253" s="6"/>
      <c r="L253" s="6"/>
      <c r="M253" s="7" t="s">
        <v>5668</v>
      </c>
      <c r="N253" s="8" t="str">
        <f>"CFI"&amp;".D"&amp;TEXT(Caja_Finanzas[[#This Row],[FECHA]],"DD-MM")&amp;"-"&amp;TEXT(Caja_Finanzas[[#This Row],[ITEM]],"0000")</f>
        <v>CFI.D06-03-0240</v>
      </c>
      <c r="O253" s="8" t="str">
        <f t="shared" si="20"/>
        <v>PEN</v>
      </c>
      <c r="P253" s="13"/>
      <c r="Q253" s="13">
        <v>30</v>
      </c>
      <c r="R253" s="3">
        <f t="shared" si="16"/>
        <v>0</v>
      </c>
      <c r="S253" s="3">
        <f t="shared" si="17"/>
        <v>30</v>
      </c>
      <c r="T253" s="3">
        <f t="shared" si="18"/>
        <v>18325.599999999999</v>
      </c>
      <c r="U253" s="24"/>
      <c r="V253" s="24"/>
      <c r="W253" s="3"/>
      <c r="X253" s="25" t="s">
        <v>5669</v>
      </c>
      <c r="Y253" s="25" t="s">
        <v>5670</v>
      </c>
      <c r="Z253" s="25"/>
      <c r="AA253" s="25"/>
      <c r="AB253" s="25"/>
      <c r="AC253" s="3" t="str">
        <f>IF(Caja_Finanzas[[#This Row],[FECHA]]&gt;0,TEXT(Caja_Finanzas[[#This Row],[FECHA]],"mmmm"),0)</f>
        <v>Marzo</v>
      </c>
    </row>
    <row r="254" spans="2:29" ht="24" x14ac:dyDescent="0.3">
      <c r="B254" s="2">
        <f>IF(Caja_Finanzas[[#This Row],[TIPO DE R.]]="R",COUNTIFS($D$4:$D253,"R")+1,"")</f>
        <v>241</v>
      </c>
      <c r="C254" s="19" t="str">
        <f t="shared" si="19"/>
        <v>C-Finanzas</v>
      </c>
      <c r="D254" s="3" t="s">
        <v>1074</v>
      </c>
      <c r="E254" s="14">
        <v>45723</v>
      </c>
      <c r="F254" s="5" t="s">
        <v>2226</v>
      </c>
      <c r="G254" s="5" t="s">
        <v>1087</v>
      </c>
      <c r="H254" s="5"/>
      <c r="I254" s="6"/>
      <c r="J254" s="6"/>
      <c r="K254" s="6"/>
      <c r="L254" s="6"/>
      <c r="M254" s="7" t="s">
        <v>5156</v>
      </c>
      <c r="N254" s="8" t="str">
        <f>"CFI"&amp;".D"&amp;TEXT(Caja_Finanzas[[#This Row],[FECHA]],"DD-MM")&amp;"-"&amp;TEXT(Caja_Finanzas[[#This Row],[ITEM]],"0000")</f>
        <v>CFI.D07-03-0241</v>
      </c>
      <c r="O254" s="8" t="str">
        <f t="shared" si="20"/>
        <v>PEN</v>
      </c>
      <c r="P254" s="13"/>
      <c r="Q254" s="13">
        <v>2400</v>
      </c>
      <c r="R254" s="3">
        <f t="shared" si="16"/>
        <v>2400</v>
      </c>
      <c r="S254" s="3">
        <f t="shared" si="17"/>
        <v>0</v>
      </c>
      <c r="T254" s="3">
        <f t="shared" si="18"/>
        <v>20725.599999999999</v>
      </c>
      <c r="U254" s="24"/>
      <c r="V254" s="24"/>
      <c r="W254" s="3"/>
      <c r="X254" s="25"/>
      <c r="Y254" s="25" t="s">
        <v>5671</v>
      </c>
      <c r="Z254" s="25"/>
      <c r="AA254" s="25"/>
      <c r="AB254" s="25"/>
      <c r="AC254" s="3" t="str">
        <f>IF(Caja_Finanzas[[#This Row],[FECHA]]&gt;0,TEXT(Caja_Finanzas[[#This Row],[FECHA]],"mmmm"),0)</f>
        <v>Marzo</v>
      </c>
    </row>
    <row r="255" spans="2:29" ht="24" x14ac:dyDescent="0.3">
      <c r="B255" s="2">
        <f>IF(Caja_Finanzas[[#This Row],[TIPO DE R.]]="R",COUNTIFS($D$4:$D254,"R")+1,"")</f>
        <v>242</v>
      </c>
      <c r="C255" s="19" t="str">
        <f t="shared" si="19"/>
        <v>C-Finanzas</v>
      </c>
      <c r="D255" s="3" t="s">
        <v>1074</v>
      </c>
      <c r="E255" s="14">
        <v>45723</v>
      </c>
      <c r="F255" s="5" t="s">
        <v>5416</v>
      </c>
      <c r="G255" s="5" t="s">
        <v>1087</v>
      </c>
      <c r="H255" s="5"/>
      <c r="I255" s="6"/>
      <c r="J255" s="6"/>
      <c r="K255" s="6"/>
      <c r="L255" s="6"/>
      <c r="M255" s="7" t="s">
        <v>5672</v>
      </c>
      <c r="N255" s="8" t="str">
        <f>"CFI"&amp;".D"&amp;TEXT(Caja_Finanzas[[#This Row],[FECHA]],"DD-MM")&amp;"-"&amp;TEXT(Caja_Finanzas[[#This Row],[ITEM]],"0000")</f>
        <v>CFI.D07-03-0242</v>
      </c>
      <c r="O255" s="8" t="str">
        <f t="shared" si="20"/>
        <v>PEN</v>
      </c>
      <c r="P255" s="13"/>
      <c r="Q255" s="13">
        <v>50</v>
      </c>
      <c r="R255" s="3">
        <f t="shared" si="16"/>
        <v>50</v>
      </c>
      <c r="S255" s="3">
        <f t="shared" si="17"/>
        <v>0</v>
      </c>
      <c r="T255" s="3">
        <f t="shared" si="18"/>
        <v>20775.599999999999</v>
      </c>
      <c r="U255" s="24"/>
      <c r="V255" s="24"/>
      <c r="W255" s="3"/>
      <c r="X255" s="25" t="s">
        <v>368</v>
      </c>
      <c r="Y255" s="25"/>
      <c r="Z255" s="25"/>
      <c r="AA255" s="25"/>
      <c r="AB255" s="25"/>
      <c r="AC255" s="3" t="str">
        <f>IF(Caja_Finanzas[[#This Row],[FECHA]]&gt;0,TEXT(Caja_Finanzas[[#This Row],[FECHA]],"mmmm"),0)</f>
        <v>Marzo</v>
      </c>
    </row>
    <row r="256" spans="2:29" ht="36" x14ac:dyDescent="0.3">
      <c r="B256" s="2">
        <f>IF(Caja_Finanzas[[#This Row],[TIPO DE R.]]="R",COUNTIFS($D$4:$D255,"R")+1,"")</f>
        <v>243</v>
      </c>
      <c r="C256" s="19" t="str">
        <f t="shared" si="19"/>
        <v>C-Finanzas</v>
      </c>
      <c r="D256" s="3" t="s">
        <v>1074</v>
      </c>
      <c r="E256" s="14">
        <v>45727</v>
      </c>
      <c r="F256" s="5" t="s">
        <v>5338</v>
      </c>
      <c r="G256" s="5" t="s">
        <v>1079</v>
      </c>
      <c r="H256" s="5"/>
      <c r="I256" s="6"/>
      <c r="J256" s="6"/>
      <c r="K256" s="6"/>
      <c r="L256" s="6"/>
      <c r="M256" s="7" t="s">
        <v>5673</v>
      </c>
      <c r="N256" s="8" t="str">
        <f>"CFI"&amp;".D"&amp;TEXT(Caja_Finanzas[[#This Row],[FECHA]],"DD-MM")&amp;"-"&amp;TEXT(Caja_Finanzas[[#This Row],[ITEM]],"0000")</f>
        <v>CFI.D11-03-0243</v>
      </c>
      <c r="O256" s="8" t="str">
        <f t="shared" si="20"/>
        <v>PEN</v>
      </c>
      <c r="P256" s="13"/>
      <c r="Q256" s="13">
        <v>250</v>
      </c>
      <c r="R256" s="3">
        <f t="shared" si="16"/>
        <v>0</v>
      </c>
      <c r="S256" s="3">
        <f t="shared" si="17"/>
        <v>250</v>
      </c>
      <c r="T256" s="3">
        <f t="shared" si="18"/>
        <v>20525.599999999999</v>
      </c>
      <c r="U256" s="24"/>
      <c r="V256" s="24"/>
      <c r="W256" s="3"/>
      <c r="X256" s="25" t="s">
        <v>5596</v>
      </c>
      <c r="Y256" s="25" t="s">
        <v>5674</v>
      </c>
      <c r="Z256" s="25"/>
      <c r="AA256" s="25"/>
      <c r="AB256" s="25"/>
      <c r="AC256" s="3" t="str">
        <f>IF(Caja_Finanzas[[#This Row],[FECHA]]&gt;0,TEXT(Caja_Finanzas[[#This Row],[FECHA]],"mmmm"),0)</f>
        <v>Marzo</v>
      </c>
    </row>
    <row r="257" spans="2:29" ht="36" x14ac:dyDescent="0.3">
      <c r="B257" s="2">
        <f>IF(Caja_Finanzas[[#This Row],[TIPO DE R.]]="R",COUNTIFS($D$4:$D256,"R")+1,"")</f>
        <v>244</v>
      </c>
      <c r="C257" s="19" t="str">
        <f t="shared" si="19"/>
        <v>C-Finanzas</v>
      </c>
      <c r="D257" s="3" t="s">
        <v>1074</v>
      </c>
      <c r="E257" s="14">
        <v>45727</v>
      </c>
      <c r="F257" s="5" t="s">
        <v>5301</v>
      </c>
      <c r="G257" s="5" t="s">
        <v>1079</v>
      </c>
      <c r="H257" s="5"/>
      <c r="I257" s="6"/>
      <c r="J257" s="6"/>
      <c r="K257" s="6"/>
      <c r="L257" s="6"/>
      <c r="M257" s="7" t="s">
        <v>5675</v>
      </c>
      <c r="N257" s="8" t="str">
        <f>"CFI"&amp;".D"&amp;TEXT(Caja_Finanzas[[#This Row],[FECHA]],"DD-MM")&amp;"-"&amp;TEXT(Caja_Finanzas[[#This Row],[ITEM]],"0000")</f>
        <v>CFI.D11-03-0244</v>
      </c>
      <c r="O257" s="8" t="str">
        <f t="shared" si="20"/>
        <v>PEN</v>
      </c>
      <c r="P257" s="13"/>
      <c r="Q257" s="13">
        <v>84.5</v>
      </c>
      <c r="R257" s="3">
        <f t="shared" si="16"/>
        <v>0</v>
      </c>
      <c r="S257" s="3">
        <f t="shared" si="17"/>
        <v>84.5</v>
      </c>
      <c r="T257" s="3">
        <f t="shared" si="18"/>
        <v>20441.099999999999</v>
      </c>
      <c r="U257" s="24"/>
      <c r="V257" s="24"/>
      <c r="W257" s="3"/>
      <c r="X257" s="25" t="s">
        <v>5596</v>
      </c>
      <c r="Y257" s="25" t="s">
        <v>5676</v>
      </c>
      <c r="Z257" s="25"/>
      <c r="AA257" s="25"/>
      <c r="AB257" s="25"/>
      <c r="AC257" s="3" t="str">
        <f>IF(Caja_Finanzas[[#This Row],[FECHA]]&gt;0,TEXT(Caja_Finanzas[[#This Row],[FECHA]],"mmmm"),0)</f>
        <v>Marzo</v>
      </c>
    </row>
    <row r="258" spans="2:29" ht="36" x14ac:dyDescent="0.3">
      <c r="B258" s="2">
        <f>IF(Caja_Finanzas[[#This Row],[TIPO DE R.]]="R",COUNTIFS($D$4:$D257,"R")+1,"")</f>
        <v>245</v>
      </c>
      <c r="C258" s="19" t="str">
        <f t="shared" si="19"/>
        <v>C-Finanzas</v>
      </c>
      <c r="D258" s="3" t="s">
        <v>1074</v>
      </c>
      <c r="E258" s="14">
        <v>45727</v>
      </c>
      <c r="F258" s="5" t="s">
        <v>5301</v>
      </c>
      <c r="G258" s="5" t="s">
        <v>1079</v>
      </c>
      <c r="H258" s="5"/>
      <c r="I258" s="6"/>
      <c r="J258" s="6"/>
      <c r="K258" s="6"/>
      <c r="L258" s="6"/>
      <c r="M258" s="7" t="s">
        <v>5677</v>
      </c>
      <c r="N258" s="8" t="str">
        <f>"CFI"&amp;".D"&amp;TEXT(Caja_Finanzas[[#This Row],[FECHA]],"DD-MM")&amp;"-"&amp;TEXT(Caja_Finanzas[[#This Row],[ITEM]],"0000")</f>
        <v>CFI.D11-03-0245</v>
      </c>
      <c r="O258" s="8" t="str">
        <f t="shared" si="20"/>
        <v>PEN</v>
      </c>
      <c r="P258" s="13"/>
      <c r="Q258" s="13">
        <v>9</v>
      </c>
      <c r="R258" s="3">
        <f t="shared" si="16"/>
        <v>0</v>
      </c>
      <c r="S258" s="3">
        <f t="shared" si="17"/>
        <v>9</v>
      </c>
      <c r="T258" s="3">
        <f t="shared" si="18"/>
        <v>20432.099999999999</v>
      </c>
      <c r="U258" s="24"/>
      <c r="V258" s="24"/>
      <c r="W258" s="3"/>
      <c r="X258" s="25" t="s">
        <v>5596</v>
      </c>
      <c r="Y258" s="25" t="s">
        <v>5678</v>
      </c>
      <c r="Z258" s="25"/>
      <c r="AA258" s="25"/>
      <c r="AB258" s="25"/>
      <c r="AC258" s="3" t="str">
        <f>IF(Caja_Finanzas[[#This Row],[FECHA]]&gt;0,TEXT(Caja_Finanzas[[#This Row],[FECHA]],"mmmm"),0)</f>
        <v>Marzo</v>
      </c>
    </row>
    <row r="259" spans="2:29" ht="36" x14ac:dyDescent="0.3">
      <c r="B259" s="2">
        <f>IF(Caja_Finanzas[[#This Row],[TIPO DE R.]]="R",COUNTIFS($D$4:$D258,"R")+1,"")</f>
        <v>246</v>
      </c>
      <c r="C259" s="19" t="str">
        <f t="shared" si="19"/>
        <v>C-Finanzas</v>
      </c>
      <c r="D259" s="3" t="s">
        <v>1074</v>
      </c>
      <c r="E259" s="14">
        <v>45727</v>
      </c>
      <c r="F259" s="5" t="s">
        <v>5301</v>
      </c>
      <c r="G259" s="5" t="s">
        <v>1079</v>
      </c>
      <c r="H259" s="5"/>
      <c r="I259" s="6"/>
      <c r="J259" s="6"/>
      <c r="K259" s="6"/>
      <c r="L259" s="6"/>
      <c r="M259" s="7" t="s">
        <v>5679</v>
      </c>
      <c r="N259" s="8" t="str">
        <f>"CFI"&amp;".D"&amp;TEXT(Caja_Finanzas[[#This Row],[FECHA]],"DD-MM")&amp;"-"&amp;TEXT(Caja_Finanzas[[#This Row],[ITEM]],"0000")</f>
        <v>CFI.D11-03-0246</v>
      </c>
      <c r="O259" s="8" t="str">
        <f t="shared" si="20"/>
        <v>PEN</v>
      </c>
      <c r="P259" s="13"/>
      <c r="Q259" s="13">
        <v>260</v>
      </c>
      <c r="R259" s="3">
        <f t="shared" si="16"/>
        <v>0</v>
      </c>
      <c r="S259" s="3">
        <f t="shared" si="17"/>
        <v>260</v>
      </c>
      <c r="T259" s="3">
        <f t="shared" si="18"/>
        <v>20172.099999999999</v>
      </c>
      <c r="U259" s="24"/>
      <c r="V259" s="24"/>
      <c r="W259" s="3"/>
      <c r="X259" s="25" t="s">
        <v>5680</v>
      </c>
      <c r="Y259" s="25" t="s">
        <v>5681</v>
      </c>
      <c r="Z259" s="25"/>
      <c r="AA259" s="25"/>
      <c r="AB259" s="25"/>
      <c r="AC259" s="3" t="str">
        <f>IF(Caja_Finanzas[[#This Row],[FECHA]]&gt;0,TEXT(Caja_Finanzas[[#This Row],[FECHA]],"mmmm"),0)</f>
        <v>Marzo</v>
      </c>
    </row>
    <row r="260" spans="2:29" ht="36" x14ac:dyDescent="0.3">
      <c r="B260" s="2">
        <f>IF(Caja_Finanzas[[#This Row],[TIPO DE R.]]="R",COUNTIFS($D$4:$D259,"R")+1,"")</f>
        <v>247</v>
      </c>
      <c r="C260" s="19" t="str">
        <f t="shared" si="19"/>
        <v>C-Finanzas</v>
      </c>
      <c r="D260" s="3" t="s">
        <v>1074</v>
      </c>
      <c r="E260" s="14">
        <v>45727</v>
      </c>
      <c r="F260" s="5" t="s">
        <v>5301</v>
      </c>
      <c r="G260" s="5" t="s">
        <v>1079</v>
      </c>
      <c r="H260" s="5"/>
      <c r="I260" s="6"/>
      <c r="J260" s="6"/>
      <c r="K260" s="6"/>
      <c r="L260" s="6"/>
      <c r="M260" s="7" t="s">
        <v>5682</v>
      </c>
      <c r="N260" s="8" t="str">
        <f>"CFI"&amp;".D"&amp;TEXT(Caja_Finanzas[[#This Row],[FECHA]],"DD-MM")&amp;"-"&amp;TEXT(Caja_Finanzas[[#This Row],[ITEM]],"0000")</f>
        <v>CFI.D11-03-0247</v>
      </c>
      <c r="O260" s="8" t="str">
        <f t="shared" si="20"/>
        <v>PEN</v>
      </c>
      <c r="P260" s="13"/>
      <c r="Q260" s="13">
        <v>160</v>
      </c>
      <c r="R260" s="3">
        <f t="shared" si="16"/>
        <v>0</v>
      </c>
      <c r="S260" s="3">
        <f t="shared" si="17"/>
        <v>160</v>
      </c>
      <c r="T260" s="3">
        <f t="shared" si="18"/>
        <v>20012.099999999999</v>
      </c>
      <c r="U260" s="24"/>
      <c r="V260" s="24"/>
      <c r="W260" s="3"/>
      <c r="X260" s="25" t="s">
        <v>5683</v>
      </c>
      <c r="Y260" s="25" t="s">
        <v>5684</v>
      </c>
      <c r="Z260" s="25"/>
      <c r="AA260" s="25"/>
      <c r="AB260" s="25"/>
      <c r="AC260" s="3" t="str">
        <f>IF(Caja_Finanzas[[#This Row],[FECHA]]&gt;0,TEXT(Caja_Finanzas[[#This Row],[FECHA]],"mmmm"),0)</f>
        <v>Marzo</v>
      </c>
    </row>
    <row r="261" spans="2:29" ht="24" x14ac:dyDescent="0.3">
      <c r="B261" s="2">
        <f>IF(Caja_Finanzas[[#This Row],[TIPO DE R.]]="R",COUNTIFS($D$4:$D260,"R")+1,"")</f>
        <v>248</v>
      </c>
      <c r="C261" s="19" t="str">
        <f t="shared" si="19"/>
        <v>C-Finanzas</v>
      </c>
      <c r="D261" s="3" t="s">
        <v>1074</v>
      </c>
      <c r="E261" s="14">
        <v>45727</v>
      </c>
      <c r="F261" s="5" t="s">
        <v>5685</v>
      </c>
      <c r="G261" s="5" t="s">
        <v>1079</v>
      </c>
      <c r="H261" s="5"/>
      <c r="I261" s="6"/>
      <c r="J261" s="6"/>
      <c r="K261" s="6"/>
      <c r="L261" s="6"/>
      <c r="M261" s="7" t="s">
        <v>5686</v>
      </c>
      <c r="N261" s="8" t="str">
        <f>"CFI"&amp;".D"&amp;TEXT(Caja_Finanzas[[#This Row],[FECHA]],"DD-MM")&amp;"-"&amp;TEXT(Caja_Finanzas[[#This Row],[ITEM]],"0000")</f>
        <v>CFI.D11-03-0248</v>
      </c>
      <c r="O261" s="8" t="str">
        <f t="shared" si="20"/>
        <v>PEN</v>
      </c>
      <c r="P261" s="13"/>
      <c r="Q261" s="13">
        <v>2</v>
      </c>
      <c r="R261" s="3">
        <f t="shared" ref="R261:R324" si="21">+IF(OR($G261="SALDO",$G261="INGRESO"),$Q261,0)</f>
        <v>0</v>
      </c>
      <c r="S261" s="3">
        <f t="shared" ref="S261:S324" si="22">+IF($G261="EGRESO",$Q261,0)</f>
        <v>2</v>
      </c>
      <c r="T261" s="3">
        <f t="shared" ref="T261:T324" si="23">IFERROR(IF(G261="SALDO",R261,T260+R261-S261),0)</f>
        <v>20010.099999999999</v>
      </c>
      <c r="U261" s="24"/>
      <c r="V261" s="24"/>
      <c r="W261" s="3"/>
      <c r="X261" s="25" t="s">
        <v>5687</v>
      </c>
      <c r="Y261" s="25"/>
      <c r="Z261" s="25"/>
      <c r="AA261" s="25"/>
      <c r="AB261" s="25"/>
      <c r="AC261" s="3" t="str">
        <f>IF(Caja_Finanzas[[#This Row],[FECHA]]&gt;0,TEXT(Caja_Finanzas[[#This Row],[FECHA]],"mmmm"),0)</f>
        <v>Marzo</v>
      </c>
    </row>
    <row r="262" spans="2:29" ht="24" x14ac:dyDescent="0.3">
      <c r="B262" s="2">
        <f>IF(Caja_Finanzas[[#This Row],[TIPO DE R.]]="R",COUNTIFS($D$4:$D261,"R")+1,"")</f>
        <v>249</v>
      </c>
      <c r="C262" s="19" t="str">
        <f t="shared" ref="C262:C325" si="24">"C-Finanzas"</f>
        <v>C-Finanzas</v>
      </c>
      <c r="D262" s="3" t="s">
        <v>1074</v>
      </c>
      <c r="E262" s="14">
        <v>45727</v>
      </c>
      <c r="F262" s="5" t="s">
        <v>5437</v>
      </c>
      <c r="G262" s="5" t="s">
        <v>1079</v>
      </c>
      <c r="H262" s="5"/>
      <c r="I262" s="6"/>
      <c r="J262" s="6"/>
      <c r="K262" s="6"/>
      <c r="L262" s="6"/>
      <c r="M262" s="7" t="s">
        <v>5688</v>
      </c>
      <c r="N262" s="8" t="str">
        <f>"CFI"&amp;".D"&amp;TEXT(Caja_Finanzas[[#This Row],[FECHA]],"DD-MM")&amp;"-"&amp;TEXT(Caja_Finanzas[[#This Row],[ITEM]],"0000")</f>
        <v>CFI.D11-03-0249</v>
      </c>
      <c r="O262" s="8" t="str">
        <f t="shared" ref="O262:O325" si="25">"PEN"</f>
        <v>PEN</v>
      </c>
      <c r="P262" s="13"/>
      <c r="Q262" s="13">
        <v>48</v>
      </c>
      <c r="R262" s="3">
        <f t="shared" si="21"/>
        <v>0</v>
      </c>
      <c r="S262" s="3">
        <f t="shared" si="22"/>
        <v>48</v>
      </c>
      <c r="T262" s="3">
        <f t="shared" si="23"/>
        <v>19962.099999999999</v>
      </c>
      <c r="U262" s="24"/>
      <c r="V262" s="24"/>
      <c r="W262" s="3"/>
      <c r="X262" s="25" t="s">
        <v>5596</v>
      </c>
      <c r="Y262" s="25" t="s">
        <v>5689</v>
      </c>
      <c r="Z262" s="25"/>
      <c r="AA262" s="25"/>
      <c r="AB262" s="25"/>
      <c r="AC262" s="3" t="str">
        <f>IF(Caja_Finanzas[[#This Row],[FECHA]]&gt;0,TEXT(Caja_Finanzas[[#This Row],[FECHA]],"mmmm"),0)</f>
        <v>Marzo</v>
      </c>
    </row>
    <row r="263" spans="2:29" ht="24" x14ac:dyDescent="0.3">
      <c r="B263" s="2">
        <f>IF(Caja_Finanzas[[#This Row],[TIPO DE R.]]="R",COUNTIFS($D$4:$D262,"R")+1,"")</f>
        <v>250</v>
      </c>
      <c r="C263" s="19" t="str">
        <f t="shared" si="24"/>
        <v>C-Finanzas</v>
      </c>
      <c r="D263" s="3" t="s">
        <v>1074</v>
      </c>
      <c r="E263" s="14">
        <v>45727</v>
      </c>
      <c r="F263" s="5" t="s">
        <v>5305</v>
      </c>
      <c r="G263" s="5" t="s">
        <v>1079</v>
      </c>
      <c r="H263" s="5"/>
      <c r="I263" s="6"/>
      <c r="J263" s="6"/>
      <c r="K263" s="6"/>
      <c r="L263" s="6"/>
      <c r="M263" s="7" t="s">
        <v>5690</v>
      </c>
      <c r="N263" s="8" t="str">
        <f>"CFI"&amp;".D"&amp;TEXT(Caja_Finanzas[[#This Row],[FECHA]],"DD-MM")&amp;"-"&amp;TEXT(Caja_Finanzas[[#This Row],[ITEM]],"0000")</f>
        <v>CFI.D11-03-0250</v>
      </c>
      <c r="O263" s="8" t="str">
        <f t="shared" si="25"/>
        <v>PEN</v>
      </c>
      <c r="P263" s="13"/>
      <c r="Q263" s="13">
        <v>2000</v>
      </c>
      <c r="R263" s="3">
        <f t="shared" si="21"/>
        <v>0</v>
      </c>
      <c r="S263" s="3">
        <f t="shared" si="22"/>
        <v>2000</v>
      </c>
      <c r="T263" s="3">
        <f t="shared" si="23"/>
        <v>17962.099999999999</v>
      </c>
      <c r="U263" s="24"/>
      <c r="V263" s="24"/>
      <c r="W263" s="3"/>
      <c r="X263" s="25" t="s">
        <v>747</v>
      </c>
      <c r="Y263" s="25"/>
      <c r="Z263" s="25"/>
      <c r="AA263" s="25"/>
      <c r="AB263" s="25"/>
      <c r="AC263" s="3" t="str">
        <f>IF(Caja_Finanzas[[#This Row],[FECHA]]&gt;0,TEXT(Caja_Finanzas[[#This Row],[FECHA]],"mmmm"),0)</f>
        <v>Marzo</v>
      </c>
    </row>
    <row r="264" spans="2:29" ht="72" x14ac:dyDescent="0.3">
      <c r="B264" s="2">
        <f>IF(Caja_Finanzas[[#This Row],[TIPO DE R.]]="R",COUNTIFS($D$4:$D263,"R")+1,"")</f>
        <v>251</v>
      </c>
      <c r="C264" s="19" t="str">
        <f t="shared" si="24"/>
        <v>C-Finanzas</v>
      </c>
      <c r="D264" s="3" t="s">
        <v>1074</v>
      </c>
      <c r="E264" s="14">
        <v>45727</v>
      </c>
      <c r="F264" s="5" t="s">
        <v>5307</v>
      </c>
      <c r="G264" s="5" t="s">
        <v>1079</v>
      </c>
      <c r="H264" s="5"/>
      <c r="I264" s="6"/>
      <c r="J264" s="6"/>
      <c r="K264" s="6"/>
      <c r="L264" s="6"/>
      <c r="M264" s="7" t="s">
        <v>5691</v>
      </c>
      <c r="N264" s="8" t="str">
        <f>"CFI"&amp;".D"&amp;TEXT(Caja_Finanzas[[#This Row],[FECHA]],"DD-MM")&amp;"-"&amp;TEXT(Caja_Finanzas[[#This Row],[ITEM]],"0000")</f>
        <v>CFI.D11-03-0251</v>
      </c>
      <c r="O264" s="8" t="str">
        <f t="shared" si="25"/>
        <v>PEN</v>
      </c>
      <c r="P264" s="13"/>
      <c r="Q264" s="13">
        <v>600</v>
      </c>
      <c r="R264" s="3">
        <f t="shared" si="21"/>
        <v>0</v>
      </c>
      <c r="S264" s="3">
        <f t="shared" si="22"/>
        <v>600</v>
      </c>
      <c r="T264" s="3">
        <f t="shared" si="23"/>
        <v>17362.099999999999</v>
      </c>
      <c r="U264" s="24"/>
      <c r="V264" s="24"/>
      <c r="W264" s="3"/>
      <c r="X264" s="25" t="s">
        <v>5692</v>
      </c>
      <c r="Y264" s="25" t="s">
        <v>5693</v>
      </c>
      <c r="Z264" s="25"/>
      <c r="AA264" s="25"/>
      <c r="AB264" s="25"/>
      <c r="AC264" s="3" t="str">
        <f>IF(Caja_Finanzas[[#This Row],[FECHA]]&gt;0,TEXT(Caja_Finanzas[[#This Row],[FECHA]],"mmmm"),0)</f>
        <v>Marzo</v>
      </c>
    </row>
    <row r="265" spans="2:29" ht="24" x14ac:dyDescent="0.3">
      <c r="B265" s="2">
        <f>IF(Caja_Finanzas[[#This Row],[TIPO DE R.]]="R",COUNTIFS($D$4:$D264,"R")+1,"")</f>
        <v>252</v>
      </c>
      <c r="C265" s="19" t="str">
        <f t="shared" si="24"/>
        <v>C-Finanzas</v>
      </c>
      <c r="D265" s="3" t="s">
        <v>1074</v>
      </c>
      <c r="E265" s="14">
        <v>45728</v>
      </c>
      <c r="F265" s="5" t="s">
        <v>5347</v>
      </c>
      <c r="G265" s="5" t="s">
        <v>1079</v>
      </c>
      <c r="H265" s="5"/>
      <c r="I265" s="6"/>
      <c r="J265" s="6"/>
      <c r="K265" s="6"/>
      <c r="L265" s="6"/>
      <c r="M265" s="7" t="s">
        <v>5694</v>
      </c>
      <c r="N265" s="8" t="str">
        <f>"CFI"&amp;".D"&amp;TEXT(Caja_Finanzas[[#This Row],[FECHA]],"DD-MM")&amp;"-"&amp;TEXT(Caja_Finanzas[[#This Row],[ITEM]],"0000")</f>
        <v>CFI.D12-03-0252</v>
      </c>
      <c r="O265" s="8" t="str">
        <f t="shared" si="25"/>
        <v>PEN</v>
      </c>
      <c r="P265" s="13"/>
      <c r="Q265" s="13">
        <v>10</v>
      </c>
      <c r="R265" s="3">
        <f t="shared" si="21"/>
        <v>0</v>
      </c>
      <c r="S265" s="3">
        <f t="shared" si="22"/>
        <v>10</v>
      </c>
      <c r="T265" s="3">
        <f t="shared" si="23"/>
        <v>17352.099999999999</v>
      </c>
      <c r="U265" s="24"/>
      <c r="V265" s="24"/>
      <c r="W265" s="3"/>
      <c r="X265" s="25" t="s">
        <v>720</v>
      </c>
      <c r="Y265" s="25"/>
      <c r="Z265" s="25"/>
      <c r="AA265" s="25"/>
      <c r="AB265" s="25"/>
      <c r="AC265" s="3" t="str">
        <f>IF(Caja_Finanzas[[#This Row],[FECHA]]&gt;0,TEXT(Caja_Finanzas[[#This Row],[FECHA]],"mmmm"),0)</f>
        <v>Marzo</v>
      </c>
    </row>
    <row r="266" spans="2:29" ht="24" x14ac:dyDescent="0.3">
      <c r="B266" s="2">
        <f>IF(Caja_Finanzas[[#This Row],[TIPO DE R.]]="R",COUNTIFS($D$4:$D265,"R")+1,"")</f>
        <v>253</v>
      </c>
      <c r="C266" s="19" t="str">
        <f t="shared" si="24"/>
        <v>C-Finanzas</v>
      </c>
      <c r="D266" s="3" t="s">
        <v>1074</v>
      </c>
      <c r="E266" s="14">
        <v>45728</v>
      </c>
      <c r="F266" s="5" t="s">
        <v>5347</v>
      </c>
      <c r="G266" s="5" t="s">
        <v>1079</v>
      </c>
      <c r="H266" s="5"/>
      <c r="I266" s="6"/>
      <c r="J266" s="6"/>
      <c r="K266" s="6"/>
      <c r="L266" s="6"/>
      <c r="M266" s="7" t="s">
        <v>5695</v>
      </c>
      <c r="N266" s="8" t="str">
        <f>"CFI"&amp;".D"&amp;TEXT(Caja_Finanzas[[#This Row],[FECHA]],"DD-MM")&amp;"-"&amp;TEXT(Caja_Finanzas[[#This Row],[ITEM]],"0000")</f>
        <v>CFI.D12-03-0253</v>
      </c>
      <c r="O266" s="8" t="str">
        <f t="shared" si="25"/>
        <v>PEN</v>
      </c>
      <c r="P266" s="13"/>
      <c r="Q266" s="13">
        <v>10</v>
      </c>
      <c r="R266" s="3">
        <f t="shared" si="21"/>
        <v>0</v>
      </c>
      <c r="S266" s="3">
        <f t="shared" si="22"/>
        <v>10</v>
      </c>
      <c r="T266" s="3">
        <f t="shared" si="23"/>
        <v>17342.099999999999</v>
      </c>
      <c r="U266" s="24"/>
      <c r="V266" s="24"/>
      <c r="W266" s="3"/>
      <c r="X266" s="25" t="s">
        <v>720</v>
      </c>
      <c r="Y266" s="25"/>
      <c r="Z266" s="25"/>
      <c r="AA266" s="25"/>
      <c r="AB266" s="25"/>
      <c r="AC266" s="3" t="str">
        <f>IF(Caja_Finanzas[[#This Row],[FECHA]]&gt;0,TEXT(Caja_Finanzas[[#This Row],[FECHA]],"mmmm"),0)</f>
        <v>Marzo</v>
      </c>
    </row>
    <row r="267" spans="2:29" ht="24" x14ac:dyDescent="0.3">
      <c r="B267" s="2">
        <f>IF(Caja_Finanzas[[#This Row],[TIPO DE R.]]="R",COUNTIFS($D$4:$D266,"R")+1,"")</f>
        <v>254</v>
      </c>
      <c r="C267" s="19" t="str">
        <f t="shared" si="24"/>
        <v>C-Finanzas</v>
      </c>
      <c r="D267" s="3" t="s">
        <v>1074</v>
      </c>
      <c r="E267" s="14">
        <v>45728</v>
      </c>
      <c r="F267" s="5" t="s">
        <v>5347</v>
      </c>
      <c r="G267" s="5" t="s">
        <v>1079</v>
      </c>
      <c r="H267" s="5"/>
      <c r="I267" s="6"/>
      <c r="J267" s="6"/>
      <c r="K267" s="6"/>
      <c r="L267" s="6"/>
      <c r="M267" s="7" t="s">
        <v>5696</v>
      </c>
      <c r="N267" s="8" t="str">
        <f>"CFI"&amp;".D"&amp;TEXT(Caja_Finanzas[[#This Row],[FECHA]],"DD-MM")&amp;"-"&amp;TEXT(Caja_Finanzas[[#This Row],[ITEM]],"0000")</f>
        <v>CFI.D12-03-0254</v>
      </c>
      <c r="O267" s="8" t="str">
        <f t="shared" si="25"/>
        <v>PEN</v>
      </c>
      <c r="P267" s="13"/>
      <c r="Q267" s="13">
        <v>19.8</v>
      </c>
      <c r="R267" s="3">
        <f t="shared" si="21"/>
        <v>0</v>
      </c>
      <c r="S267" s="3">
        <f t="shared" si="22"/>
        <v>19.8</v>
      </c>
      <c r="T267" s="3">
        <f t="shared" si="23"/>
        <v>17322.3</v>
      </c>
      <c r="U267" s="24"/>
      <c r="V267" s="24"/>
      <c r="W267" s="3"/>
      <c r="X267" s="25" t="s">
        <v>750</v>
      </c>
      <c r="Y267" s="25" t="s">
        <v>5697</v>
      </c>
      <c r="Z267" s="25"/>
      <c r="AA267" s="25"/>
      <c r="AB267" s="25"/>
      <c r="AC267" s="3" t="str">
        <f>IF(Caja_Finanzas[[#This Row],[FECHA]]&gt;0,TEXT(Caja_Finanzas[[#This Row],[FECHA]],"mmmm"),0)</f>
        <v>Marzo</v>
      </c>
    </row>
    <row r="268" spans="2:29" ht="36" x14ac:dyDescent="0.3">
      <c r="B268" s="2">
        <f>IF(Caja_Finanzas[[#This Row],[TIPO DE R.]]="R",COUNTIFS($D$4:$D267,"R")+1,"")</f>
        <v>255</v>
      </c>
      <c r="C268" s="19" t="str">
        <f t="shared" si="24"/>
        <v>C-Finanzas</v>
      </c>
      <c r="D268" s="3" t="s">
        <v>1074</v>
      </c>
      <c r="E268" s="14">
        <v>45728</v>
      </c>
      <c r="F268" s="5" t="s">
        <v>5347</v>
      </c>
      <c r="G268" s="5" t="s">
        <v>1079</v>
      </c>
      <c r="H268" s="5"/>
      <c r="I268" s="6"/>
      <c r="J268" s="6"/>
      <c r="K268" s="6"/>
      <c r="L268" s="6"/>
      <c r="M268" s="7" t="s">
        <v>5698</v>
      </c>
      <c r="N268" s="8" t="str">
        <f>"CFI"&amp;".D"&amp;TEXT(Caja_Finanzas[[#This Row],[FECHA]],"DD-MM")&amp;"-"&amp;TEXT(Caja_Finanzas[[#This Row],[ITEM]],"0000")</f>
        <v>CFI.D12-03-0255</v>
      </c>
      <c r="O268" s="8" t="str">
        <f t="shared" si="25"/>
        <v>PEN</v>
      </c>
      <c r="P268" s="13"/>
      <c r="Q268" s="13">
        <v>130</v>
      </c>
      <c r="R268" s="3">
        <f t="shared" si="21"/>
        <v>0</v>
      </c>
      <c r="S268" s="3">
        <f t="shared" si="22"/>
        <v>130</v>
      </c>
      <c r="T268" s="3">
        <f t="shared" si="23"/>
        <v>17192.3</v>
      </c>
      <c r="U268" s="24"/>
      <c r="V268" s="24"/>
      <c r="W268" s="3"/>
      <c r="X268" s="25" t="s">
        <v>5596</v>
      </c>
      <c r="Y268" s="25" t="s">
        <v>5699</v>
      </c>
      <c r="Z268" s="25"/>
      <c r="AA268" s="25"/>
      <c r="AB268" s="25"/>
      <c r="AC268" s="3" t="str">
        <f>IF(Caja_Finanzas[[#This Row],[FECHA]]&gt;0,TEXT(Caja_Finanzas[[#This Row],[FECHA]],"mmmm"),0)</f>
        <v>Marzo</v>
      </c>
    </row>
    <row r="269" spans="2:29" ht="36" x14ac:dyDescent="0.3">
      <c r="B269" s="2">
        <f>IF(Caja_Finanzas[[#This Row],[TIPO DE R.]]="R",COUNTIFS($D$4:$D268,"R")+1,"")</f>
        <v>256</v>
      </c>
      <c r="C269" s="19" t="str">
        <f t="shared" si="24"/>
        <v>C-Finanzas</v>
      </c>
      <c r="D269" s="3" t="s">
        <v>1074</v>
      </c>
      <c r="E269" s="14">
        <v>45728</v>
      </c>
      <c r="F269" s="5" t="s">
        <v>5347</v>
      </c>
      <c r="G269" s="5" t="s">
        <v>1079</v>
      </c>
      <c r="H269" s="5"/>
      <c r="I269" s="6"/>
      <c r="J269" s="6"/>
      <c r="K269" s="6"/>
      <c r="L269" s="6"/>
      <c r="M269" s="7" t="s">
        <v>5700</v>
      </c>
      <c r="N269" s="8" t="str">
        <f>"CFI"&amp;".D"&amp;TEXT(Caja_Finanzas[[#This Row],[FECHA]],"DD-MM")&amp;"-"&amp;TEXT(Caja_Finanzas[[#This Row],[ITEM]],"0000")</f>
        <v>CFI.D12-03-0256</v>
      </c>
      <c r="O269" s="8" t="str">
        <f t="shared" si="25"/>
        <v>PEN</v>
      </c>
      <c r="P269" s="13"/>
      <c r="Q269" s="13">
        <v>350</v>
      </c>
      <c r="R269" s="3">
        <f t="shared" si="21"/>
        <v>0</v>
      </c>
      <c r="S269" s="3">
        <f t="shared" si="22"/>
        <v>350</v>
      </c>
      <c r="T269" s="3">
        <f t="shared" si="23"/>
        <v>16842.3</v>
      </c>
      <c r="U269" s="24"/>
      <c r="V269" s="24"/>
      <c r="W269" s="3"/>
      <c r="X269" s="25" t="s">
        <v>5596</v>
      </c>
      <c r="Y269" s="25" t="s">
        <v>5701</v>
      </c>
      <c r="Z269" s="25"/>
      <c r="AA269" s="25"/>
      <c r="AB269" s="25"/>
      <c r="AC269" s="3" t="str">
        <f>IF(Caja_Finanzas[[#This Row],[FECHA]]&gt;0,TEXT(Caja_Finanzas[[#This Row],[FECHA]],"mmmm"),0)</f>
        <v>Marzo</v>
      </c>
    </row>
    <row r="270" spans="2:29" ht="48" x14ac:dyDescent="0.3">
      <c r="B270" s="2">
        <f>IF(Caja_Finanzas[[#This Row],[TIPO DE R.]]="R",COUNTIFS($D$4:$D269,"R")+1,"")</f>
        <v>257</v>
      </c>
      <c r="C270" s="19" t="str">
        <f t="shared" si="24"/>
        <v>C-Finanzas</v>
      </c>
      <c r="D270" s="3" t="s">
        <v>1074</v>
      </c>
      <c r="E270" s="14">
        <v>45728</v>
      </c>
      <c r="F270" s="5" t="s">
        <v>5307</v>
      </c>
      <c r="G270" s="5" t="s">
        <v>1079</v>
      </c>
      <c r="H270" s="5"/>
      <c r="I270" s="6"/>
      <c r="J270" s="6"/>
      <c r="K270" s="6"/>
      <c r="L270" s="6"/>
      <c r="M270" s="7" t="s">
        <v>5702</v>
      </c>
      <c r="N270" s="8" t="str">
        <f>"CFI"&amp;".D"&amp;TEXT(Caja_Finanzas[[#This Row],[FECHA]],"DD-MM")&amp;"-"&amp;TEXT(Caja_Finanzas[[#This Row],[ITEM]],"0000")</f>
        <v>CFI.D12-03-0257</v>
      </c>
      <c r="O270" s="8" t="str">
        <f t="shared" si="25"/>
        <v>PEN</v>
      </c>
      <c r="P270" s="13"/>
      <c r="Q270" s="13">
        <v>1100</v>
      </c>
      <c r="R270" s="3">
        <f t="shared" si="21"/>
        <v>0</v>
      </c>
      <c r="S270" s="3">
        <f t="shared" si="22"/>
        <v>1100</v>
      </c>
      <c r="T270" s="3">
        <f t="shared" si="23"/>
        <v>15742.3</v>
      </c>
      <c r="U270" s="24"/>
      <c r="V270" s="24"/>
      <c r="W270" s="3"/>
      <c r="X270" s="25" t="s">
        <v>5703</v>
      </c>
      <c r="Y270" s="25" t="s">
        <v>5704</v>
      </c>
      <c r="Z270" s="25"/>
      <c r="AA270" s="25"/>
      <c r="AB270" s="25"/>
      <c r="AC270" s="3" t="str">
        <f>IF(Caja_Finanzas[[#This Row],[FECHA]]&gt;0,TEXT(Caja_Finanzas[[#This Row],[FECHA]],"mmmm"),0)</f>
        <v>Marzo</v>
      </c>
    </row>
    <row r="271" spans="2:29" ht="24" x14ac:dyDescent="0.3">
      <c r="B271" s="2">
        <f>IF(Caja_Finanzas[[#This Row],[TIPO DE R.]]="R",COUNTIFS($D$4:$D270,"R")+1,"")</f>
        <v>258</v>
      </c>
      <c r="C271" s="19" t="str">
        <f t="shared" si="24"/>
        <v>C-Finanzas</v>
      </c>
      <c r="D271" s="3" t="s">
        <v>1074</v>
      </c>
      <c r="E271" s="14">
        <v>45729</v>
      </c>
      <c r="F271" s="5" t="s">
        <v>5352</v>
      </c>
      <c r="G271" s="5" t="s">
        <v>1079</v>
      </c>
      <c r="H271" s="5"/>
      <c r="I271" s="6"/>
      <c r="J271" s="6"/>
      <c r="K271" s="6"/>
      <c r="L271" s="6"/>
      <c r="M271" s="7" t="s">
        <v>5705</v>
      </c>
      <c r="N271" s="8" t="str">
        <f>"CFI"&amp;".D"&amp;TEXT(Caja_Finanzas[[#This Row],[FECHA]],"DD-MM")&amp;"-"&amp;TEXT(Caja_Finanzas[[#This Row],[ITEM]],"0000")</f>
        <v>CFI.D13-03-0258</v>
      </c>
      <c r="O271" s="8" t="str">
        <f t="shared" si="25"/>
        <v>PEN</v>
      </c>
      <c r="P271" s="13"/>
      <c r="Q271" s="13">
        <v>31.2</v>
      </c>
      <c r="R271" s="3">
        <f t="shared" si="21"/>
        <v>0</v>
      </c>
      <c r="S271" s="3">
        <f t="shared" si="22"/>
        <v>31.2</v>
      </c>
      <c r="T271" s="3">
        <f t="shared" si="23"/>
        <v>15711.099999999999</v>
      </c>
      <c r="U271" s="24"/>
      <c r="V271" s="24"/>
      <c r="W271" s="3"/>
      <c r="X271" s="25" t="s">
        <v>5349</v>
      </c>
      <c r="Y271" s="25" t="s">
        <v>5706</v>
      </c>
      <c r="Z271" s="25"/>
      <c r="AA271" s="25"/>
      <c r="AB271" s="25"/>
      <c r="AC271" s="3" t="str">
        <f>IF(Caja_Finanzas[[#This Row],[FECHA]]&gt;0,TEXT(Caja_Finanzas[[#This Row],[FECHA]],"mmmm"),0)</f>
        <v>Marzo</v>
      </c>
    </row>
    <row r="272" spans="2:29" ht="24" x14ac:dyDescent="0.3">
      <c r="B272" s="2">
        <f>IF(Caja_Finanzas[[#This Row],[TIPO DE R.]]="R",COUNTIFS($D$4:$D271,"R")+1,"")</f>
        <v>259</v>
      </c>
      <c r="C272" s="19" t="str">
        <f t="shared" si="24"/>
        <v>C-Finanzas</v>
      </c>
      <c r="D272" s="3" t="s">
        <v>1074</v>
      </c>
      <c r="E272" s="14">
        <v>45729</v>
      </c>
      <c r="F272" s="5" t="s">
        <v>2226</v>
      </c>
      <c r="G272" s="5" t="s">
        <v>1087</v>
      </c>
      <c r="H272" s="5"/>
      <c r="I272" s="6"/>
      <c r="J272" s="6"/>
      <c r="K272" s="6"/>
      <c r="L272" s="6"/>
      <c r="M272" s="7" t="s">
        <v>5156</v>
      </c>
      <c r="N272" s="8" t="str">
        <f>"CFI"&amp;".D"&amp;TEXT(Caja_Finanzas[[#This Row],[FECHA]],"DD-MM")&amp;"-"&amp;TEXT(Caja_Finanzas[[#This Row],[ITEM]],"0000")</f>
        <v>CFI.D13-03-0259</v>
      </c>
      <c r="O272" s="8" t="str">
        <f t="shared" si="25"/>
        <v>PEN</v>
      </c>
      <c r="P272" s="13"/>
      <c r="Q272" s="13">
        <v>3488</v>
      </c>
      <c r="R272" s="3">
        <f t="shared" si="21"/>
        <v>3488</v>
      </c>
      <c r="S272" s="3">
        <f t="shared" si="22"/>
        <v>0</v>
      </c>
      <c r="T272" s="3">
        <f t="shared" si="23"/>
        <v>19199.099999999999</v>
      </c>
      <c r="U272" s="24"/>
      <c r="V272" s="24"/>
      <c r="W272" s="3"/>
      <c r="X272" s="25"/>
      <c r="Y272" s="25" t="s">
        <v>5707</v>
      </c>
      <c r="Z272" s="25"/>
      <c r="AA272" s="25"/>
      <c r="AB272" s="25"/>
      <c r="AC272" s="3" t="str">
        <f>IF(Caja_Finanzas[[#This Row],[FECHA]]&gt;0,TEXT(Caja_Finanzas[[#This Row],[FECHA]],"mmmm"),0)</f>
        <v>Marzo</v>
      </c>
    </row>
    <row r="273" spans="2:29" ht="24" x14ac:dyDescent="0.3">
      <c r="B273" s="2">
        <f>IF(Caja_Finanzas[[#This Row],[TIPO DE R.]]="R",COUNTIFS($D$4:$D272,"R")+1,"")</f>
        <v>260</v>
      </c>
      <c r="C273" s="19" t="str">
        <f t="shared" si="24"/>
        <v>C-Finanzas</v>
      </c>
      <c r="D273" s="3" t="s">
        <v>1074</v>
      </c>
      <c r="E273" s="14">
        <v>45729</v>
      </c>
      <c r="F273" s="5" t="s">
        <v>2226</v>
      </c>
      <c r="G273" s="5" t="s">
        <v>1087</v>
      </c>
      <c r="H273" s="5"/>
      <c r="I273" s="6"/>
      <c r="J273" s="6"/>
      <c r="K273" s="6"/>
      <c r="L273" s="6"/>
      <c r="M273" s="7" t="s">
        <v>5156</v>
      </c>
      <c r="N273" s="8" t="str">
        <f>"CFI"&amp;".D"&amp;TEXT(Caja_Finanzas[[#This Row],[FECHA]],"DD-MM")&amp;"-"&amp;TEXT(Caja_Finanzas[[#This Row],[ITEM]],"0000")</f>
        <v>CFI.D13-03-0260</v>
      </c>
      <c r="O273" s="8" t="str">
        <f t="shared" si="25"/>
        <v>PEN</v>
      </c>
      <c r="P273" s="13"/>
      <c r="Q273" s="13">
        <v>1584</v>
      </c>
      <c r="R273" s="3">
        <f t="shared" si="21"/>
        <v>1584</v>
      </c>
      <c r="S273" s="3">
        <f t="shared" si="22"/>
        <v>0</v>
      </c>
      <c r="T273" s="3">
        <f t="shared" si="23"/>
        <v>20783.099999999999</v>
      </c>
      <c r="U273" s="24"/>
      <c r="V273" s="24"/>
      <c r="W273" s="3"/>
      <c r="X273" s="25"/>
      <c r="Y273" s="25" t="s">
        <v>5708</v>
      </c>
      <c r="Z273" s="25"/>
      <c r="AA273" s="25"/>
      <c r="AB273" s="25"/>
      <c r="AC273" s="3" t="str">
        <f>IF(Caja_Finanzas[[#This Row],[FECHA]]&gt;0,TEXT(Caja_Finanzas[[#This Row],[FECHA]],"mmmm"),0)</f>
        <v>Marzo</v>
      </c>
    </row>
    <row r="274" spans="2:29" ht="24" x14ac:dyDescent="0.3">
      <c r="B274" s="2">
        <f>IF(Caja_Finanzas[[#This Row],[TIPO DE R.]]="R",COUNTIFS($D$4:$D273,"R")+1,"")</f>
        <v>261</v>
      </c>
      <c r="C274" s="19" t="str">
        <f t="shared" si="24"/>
        <v>C-Finanzas</v>
      </c>
      <c r="D274" s="3" t="s">
        <v>1074</v>
      </c>
      <c r="E274" s="14">
        <v>45729</v>
      </c>
      <c r="F274" s="5" t="s">
        <v>5709</v>
      </c>
      <c r="G274" s="5" t="s">
        <v>1087</v>
      </c>
      <c r="H274" s="5"/>
      <c r="I274" s="6"/>
      <c r="J274" s="6"/>
      <c r="K274" s="6"/>
      <c r="L274" s="6"/>
      <c r="M274" s="7" t="s">
        <v>5156</v>
      </c>
      <c r="N274" s="8" t="str">
        <f>"CFI"&amp;".D"&amp;TEXT(Caja_Finanzas[[#This Row],[FECHA]],"DD-MM")&amp;"-"&amp;TEXT(Caja_Finanzas[[#This Row],[ITEM]],"0000")</f>
        <v>CFI.D13-03-0261</v>
      </c>
      <c r="O274" s="8" t="str">
        <f t="shared" si="25"/>
        <v>PEN</v>
      </c>
      <c r="P274" s="13"/>
      <c r="Q274" s="13">
        <v>1040</v>
      </c>
      <c r="R274" s="3">
        <f t="shared" si="21"/>
        <v>1040</v>
      </c>
      <c r="S274" s="3">
        <f t="shared" si="22"/>
        <v>0</v>
      </c>
      <c r="T274" s="3">
        <f t="shared" si="23"/>
        <v>21823.1</v>
      </c>
      <c r="U274" s="24"/>
      <c r="V274" s="24"/>
      <c r="W274" s="3"/>
      <c r="X274" s="25"/>
      <c r="Y274" s="25" t="s">
        <v>5710</v>
      </c>
      <c r="Z274" s="25"/>
      <c r="AA274" s="25"/>
      <c r="AB274" s="25"/>
      <c r="AC274" s="3" t="str">
        <f>IF(Caja_Finanzas[[#This Row],[FECHA]]&gt;0,TEXT(Caja_Finanzas[[#This Row],[FECHA]],"mmmm"),0)</f>
        <v>Marzo</v>
      </c>
    </row>
    <row r="275" spans="2:29" ht="24" x14ac:dyDescent="0.3">
      <c r="B275" s="2">
        <f>IF(Caja_Finanzas[[#This Row],[TIPO DE R.]]="R",COUNTIFS($D$4:$D274,"R")+1,"")</f>
        <v>262</v>
      </c>
      <c r="C275" s="19" t="str">
        <f t="shared" si="24"/>
        <v>C-Finanzas</v>
      </c>
      <c r="D275" s="3" t="s">
        <v>1074</v>
      </c>
      <c r="E275" s="14">
        <v>45729</v>
      </c>
      <c r="F275" s="5" t="s">
        <v>1745</v>
      </c>
      <c r="G275" s="5" t="s">
        <v>1087</v>
      </c>
      <c r="H275" s="5"/>
      <c r="I275" s="6"/>
      <c r="J275" s="6"/>
      <c r="K275" s="6"/>
      <c r="L275" s="6"/>
      <c r="M275" s="7" t="s">
        <v>5156</v>
      </c>
      <c r="N275" s="8" t="str">
        <f>"CFI"&amp;".D"&amp;TEXT(Caja_Finanzas[[#This Row],[FECHA]],"DD-MM")&amp;"-"&amp;TEXT(Caja_Finanzas[[#This Row],[ITEM]],"0000")</f>
        <v>CFI.D13-03-0262</v>
      </c>
      <c r="O275" s="8" t="str">
        <f t="shared" si="25"/>
        <v>PEN</v>
      </c>
      <c r="P275" s="13"/>
      <c r="Q275" s="13">
        <v>600</v>
      </c>
      <c r="R275" s="3">
        <f t="shared" si="21"/>
        <v>600</v>
      </c>
      <c r="S275" s="3">
        <f t="shared" si="22"/>
        <v>0</v>
      </c>
      <c r="T275" s="3">
        <f t="shared" si="23"/>
        <v>22423.1</v>
      </c>
      <c r="U275" s="24"/>
      <c r="V275" s="24"/>
      <c r="W275" s="3"/>
      <c r="X275" s="25"/>
      <c r="Y275" s="25" t="s">
        <v>5711</v>
      </c>
      <c r="Z275" s="25"/>
      <c r="AA275" s="25"/>
      <c r="AB275" s="25"/>
      <c r="AC275" s="3" t="str">
        <f>IF(Caja_Finanzas[[#This Row],[FECHA]]&gt;0,TEXT(Caja_Finanzas[[#This Row],[FECHA]],"mmmm"),0)</f>
        <v>Marzo</v>
      </c>
    </row>
    <row r="276" spans="2:29" ht="24" x14ac:dyDescent="0.3">
      <c r="B276" s="2">
        <f>IF(Caja_Finanzas[[#This Row],[TIPO DE R.]]="R",COUNTIFS($D$4:$D275,"R")+1,"")</f>
        <v>263</v>
      </c>
      <c r="C276" s="19" t="str">
        <f t="shared" si="24"/>
        <v>C-Finanzas</v>
      </c>
      <c r="D276" s="3" t="s">
        <v>1074</v>
      </c>
      <c r="E276" s="14">
        <v>45729</v>
      </c>
      <c r="F276" s="5" t="s">
        <v>5712</v>
      </c>
      <c r="G276" s="5" t="s">
        <v>1087</v>
      </c>
      <c r="H276" s="5"/>
      <c r="I276" s="6"/>
      <c r="J276" s="6"/>
      <c r="K276" s="6"/>
      <c r="L276" s="6"/>
      <c r="M276" s="7" t="s">
        <v>5156</v>
      </c>
      <c r="N276" s="8" t="str">
        <f>"CFI"&amp;".D"&amp;TEXT(Caja_Finanzas[[#This Row],[FECHA]],"DD-MM")&amp;"-"&amp;TEXT(Caja_Finanzas[[#This Row],[ITEM]],"0000")</f>
        <v>CFI.D13-03-0263</v>
      </c>
      <c r="O276" s="8" t="str">
        <f t="shared" si="25"/>
        <v>PEN</v>
      </c>
      <c r="P276" s="13"/>
      <c r="Q276" s="13">
        <v>1935</v>
      </c>
      <c r="R276" s="3">
        <f t="shared" si="21"/>
        <v>1935</v>
      </c>
      <c r="S276" s="3">
        <f t="shared" si="22"/>
        <v>0</v>
      </c>
      <c r="T276" s="3">
        <f t="shared" si="23"/>
        <v>24358.1</v>
      </c>
      <c r="U276" s="24"/>
      <c r="V276" s="24"/>
      <c r="W276" s="3"/>
      <c r="X276" s="25"/>
      <c r="Y276" s="25" t="s">
        <v>5713</v>
      </c>
      <c r="Z276" s="25"/>
      <c r="AA276" s="25"/>
      <c r="AB276" s="25"/>
      <c r="AC276" s="3" t="str">
        <f>IF(Caja_Finanzas[[#This Row],[FECHA]]&gt;0,TEXT(Caja_Finanzas[[#This Row],[FECHA]],"mmmm"),0)</f>
        <v>Marzo</v>
      </c>
    </row>
    <row r="277" spans="2:29" x14ac:dyDescent="0.3">
      <c r="B277" s="2">
        <f>IF(Caja_Finanzas[[#This Row],[TIPO DE R.]]="R",COUNTIFS($D$4:$D276,"R")+1,"")</f>
        <v>264</v>
      </c>
      <c r="C277" s="19" t="str">
        <f t="shared" si="24"/>
        <v>C-Finanzas</v>
      </c>
      <c r="D277" s="3" t="s">
        <v>1074</v>
      </c>
      <c r="E277" s="14">
        <v>45729</v>
      </c>
      <c r="F277" s="5" t="s">
        <v>1239</v>
      </c>
      <c r="G277" s="5" t="s">
        <v>1087</v>
      </c>
      <c r="H277" s="5"/>
      <c r="I277" s="6"/>
      <c r="J277" s="6"/>
      <c r="K277" s="6"/>
      <c r="L277" s="6"/>
      <c r="M277" s="7" t="s">
        <v>5156</v>
      </c>
      <c r="N277" s="8" t="str">
        <f>"CFI"&amp;".D"&amp;TEXT(Caja_Finanzas[[#This Row],[FECHA]],"DD-MM")&amp;"-"&amp;TEXT(Caja_Finanzas[[#This Row],[ITEM]],"0000")</f>
        <v>CFI.D13-03-0264</v>
      </c>
      <c r="O277" s="8" t="str">
        <f t="shared" si="25"/>
        <v>PEN</v>
      </c>
      <c r="P277" s="13"/>
      <c r="Q277" s="13">
        <v>200</v>
      </c>
      <c r="R277" s="3">
        <f t="shared" si="21"/>
        <v>200</v>
      </c>
      <c r="S277" s="3">
        <f t="shared" si="22"/>
        <v>0</v>
      </c>
      <c r="T277" s="3">
        <f t="shared" si="23"/>
        <v>24558.1</v>
      </c>
      <c r="U277" s="24"/>
      <c r="V277" s="24"/>
      <c r="W277" s="3"/>
      <c r="X277" s="25"/>
      <c r="Y277" s="25" t="s">
        <v>5714</v>
      </c>
      <c r="Z277" s="25"/>
      <c r="AA277" s="25"/>
      <c r="AB277" s="25"/>
      <c r="AC277" s="3" t="str">
        <f>IF(Caja_Finanzas[[#This Row],[FECHA]]&gt;0,TEXT(Caja_Finanzas[[#This Row],[FECHA]],"mmmm"),0)</f>
        <v>Marzo</v>
      </c>
    </row>
    <row r="278" spans="2:29" ht="36" x14ac:dyDescent="0.3">
      <c r="B278" s="2">
        <f>IF(Caja_Finanzas[[#This Row],[TIPO DE R.]]="R",COUNTIFS($D$4:$D277,"R")+1,"")</f>
        <v>265</v>
      </c>
      <c r="C278" s="19" t="str">
        <f t="shared" si="24"/>
        <v>C-Finanzas</v>
      </c>
      <c r="D278" s="3" t="s">
        <v>1074</v>
      </c>
      <c r="E278" s="14">
        <v>45730</v>
      </c>
      <c r="F278" s="5" t="s">
        <v>5347</v>
      </c>
      <c r="G278" s="5" t="s">
        <v>1079</v>
      </c>
      <c r="H278" s="5"/>
      <c r="I278" s="6"/>
      <c r="J278" s="6"/>
      <c r="K278" s="6"/>
      <c r="L278" s="6"/>
      <c r="M278" s="7" t="s">
        <v>5715</v>
      </c>
      <c r="N278" s="8" t="str">
        <f>"CFI"&amp;".D"&amp;TEXT(Caja_Finanzas[[#This Row],[FECHA]],"DD-MM")&amp;"-"&amp;TEXT(Caja_Finanzas[[#This Row],[ITEM]],"0000")</f>
        <v>CFI.D14-03-0265</v>
      </c>
      <c r="O278" s="8" t="str">
        <f t="shared" si="25"/>
        <v>PEN</v>
      </c>
      <c r="P278" s="13"/>
      <c r="Q278" s="13">
        <v>160</v>
      </c>
      <c r="R278" s="3">
        <f t="shared" si="21"/>
        <v>0</v>
      </c>
      <c r="S278" s="3">
        <f t="shared" si="22"/>
        <v>160</v>
      </c>
      <c r="T278" s="3">
        <f t="shared" si="23"/>
        <v>24398.1</v>
      </c>
      <c r="U278" s="24"/>
      <c r="V278" s="24"/>
      <c r="W278" s="3"/>
      <c r="X278" s="25" t="s">
        <v>5596</v>
      </c>
      <c r="Y278" s="25" t="s">
        <v>5716</v>
      </c>
      <c r="Z278" s="25"/>
      <c r="AA278" s="25"/>
      <c r="AB278" s="25"/>
      <c r="AC278" s="3" t="str">
        <f>IF(Caja_Finanzas[[#This Row],[FECHA]]&gt;0,TEXT(Caja_Finanzas[[#This Row],[FECHA]],"mmmm"),0)</f>
        <v>Marzo</v>
      </c>
    </row>
    <row r="279" spans="2:29" ht="36" x14ac:dyDescent="0.3">
      <c r="B279" s="2">
        <f>IF(Caja_Finanzas[[#This Row],[TIPO DE R.]]="R",COUNTIFS($D$4:$D278,"R")+1,"")</f>
        <v>266</v>
      </c>
      <c r="C279" s="19" t="str">
        <f t="shared" si="24"/>
        <v>C-Finanzas</v>
      </c>
      <c r="D279" s="3" t="s">
        <v>1074</v>
      </c>
      <c r="E279" s="14">
        <v>45733</v>
      </c>
      <c r="F279" s="5" t="s">
        <v>5343</v>
      </c>
      <c r="G279" s="5" t="s">
        <v>1079</v>
      </c>
      <c r="H279" s="5"/>
      <c r="I279" s="6"/>
      <c r="J279" s="6"/>
      <c r="K279" s="6"/>
      <c r="L279" s="6"/>
      <c r="M279" s="7" t="s">
        <v>5717</v>
      </c>
      <c r="N279" s="8" t="str">
        <f>"CFI"&amp;".D"&amp;TEXT(Caja_Finanzas[[#This Row],[FECHA]],"DD-MM")&amp;"-"&amp;TEXT(Caja_Finanzas[[#This Row],[ITEM]],"0000")</f>
        <v>CFI.D17-03-0266</v>
      </c>
      <c r="O279" s="8" t="str">
        <f t="shared" si="25"/>
        <v>PEN</v>
      </c>
      <c r="P279" s="13"/>
      <c r="Q279" s="13">
        <v>32</v>
      </c>
      <c r="R279" s="3">
        <f t="shared" si="21"/>
        <v>0</v>
      </c>
      <c r="S279" s="3">
        <f t="shared" si="22"/>
        <v>32</v>
      </c>
      <c r="T279" s="3">
        <f t="shared" si="23"/>
        <v>24366.1</v>
      </c>
      <c r="U279" s="24"/>
      <c r="V279" s="24"/>
      <c r="W279" s="3"/>
      <c r="X279" s="25" t="s">
        <v>5718</v>
      </c>
      <c r="Y279" s="25" t="s">
        <v>5719</v>
      </c>
      <c r="Z279" s="25"/>
      <c r="AA279" s="25"/>
      <c r="AB279" s="25"/>
      <c r="AC279" s="3" t="str">
        <f>IF(Caja_Finanzas[[#This Row],[FECHA]]&gt;0,TEXT(Caja_Finanzas[[#This Row],[FECHA]],"mmmm"),0)</f>
        <v>Marzo</v>
      </c>
    </row>
    <row r="280" spans="2:29" ht="24" x14ac:dyDescent="0.3">
      <c r="B280" s="2">
        <f>IF(Caja_Finanzas[[#This Row],[TIPO DE R.]]="R",COUNTIFS($D$4:$D279,"R")+1,"")</f>
        <v>267</v>
      </c>
      <c r="C280" s="19" t="str">
        <f t="shared" si="24"/>
        <v>C-Finanzas</v>
      </c>
      <c r="D280" s="3" t="s">
        <v>1074</v>
      </c>
      <c r="E280" s="14">
        <v>45733</v>
      </c>
      <c r="F280" s="5" t="s">
        <v>5343</v>
      </c>
      <c r="G280" s="5" t="s">
        <v>1079</v>
      </c>
      <c r="H280" s="5"/>
      <c r="I280" s="6"/>
      <c r="J280" s="6"/>
      <c r="K280" s="6"/>
      <c r="L280" s="6"/>
      <c r="M280" s="7" t="s">
        <v>5720</v>
      </c>
      <c r="N280" s="8" t="str">
        <f>"CFI"&amp;".D"&amp;TEXT(Caja_Finanzas[[#This Row],[FECHA]],"DD-MM")&amp;"-"&amp;TEXT(Caja_Finanzas[[#This Row],[ITEM]],"0000")</f>
        <v>CFI.D17-03-0267</v>
      </c>
      <c r="O280" s="8" t="str">
        <f t="shared" si="25"/>
        <v>PEN</v>
      </c>
      <c r="P280" s="13"/>
      <c r="Q280" s="13">
        <v>20</v>
      </c>
      <c r="R280" s="3">
        <f t="shared" si="21"/>
        <v>0</v>
      </c>
      <c r="S280" s="3">
        <f t="shared" si="22"/>
        <v>20</v>
      </c>
      <c r="T280" s="3">
        <f t="shared" si="23"/>
        <v>24346.1</v>
      </c>
      <c r="U280" s="24"/>
      <c r="V280" s="24"/>
      <c r="W280" s="3"/>
      <c r="X280" s="25" t="s">
        <v>5721</v>
      </c>
      <c r="Y280" s="25" t="s">
        <v>5719</v>
      </c>
      <c r="Z280" s="25"/>
      <c r="AA280" s="25"/>
      <c r="AB280" s="25"/>
      <c r="AC280" s="3" t="str">
        <f>IF(Caja_Finanzas[[#This Row],[FECHA]]&gt;0,TEXT(Caja_Finanzas[[#This Row],[FECHA]],"mmmm"),0)</f>
        <v>Marzo</v>
      </c>
    </row>
    <row r="281" spans="2:29" x14ac:dyDescent="0.3">
      <c r="B281" s="2">
        <f>IF(Caja_Finanzas[[#This Row],[TIPO DE R.]]="R",COUNTIFS($D$4:$D280,"R")+1,"")</f>
        <v>268</v>
      </c>
      <c r="C281" s="19" t="str">
        <f t="shared" si="24"/>
        <v>C-Finanzas</v>
      </c>
      <c r="D281" s="3" t="s">
        <v>1074</v>
      </c>
      <c r="E281" s="14">
        <v>45733</v>
      </c>
      <c r="F281" s="5" t="s">
        <v>1184</v>
      </c>
      <c r="G281" s="5" t="s">
        <v>1087</v>
      </c>
      <c r="H281" s="5"/>
      <c r="I281" s="6"/>
      <c r="J281" s="6"/>
      <c r="K281" s="6"/>
      <c r="L281" s="6"/>
      <c r="M281" s="7" t="s">
        <v>5156</v>
      </c>
      <c r="N281" s="8" t="str">
        <f>"CFI"&amp;".D"&amp;TEXT(Caja_Finanzas[[#This Row],[FECHA]],"DD-MM")&amp;"-"&amp;TEXT(Caja_Finanzas[[#This Row],[ITEM]],"0000")</f>
        <v>CFI.D17-03-0268</v>
      </c>
      <c r="O281" s="8" t="str">
        <f t="shared" si="25"/>
        <v>PEN</v>
      </c>
      <c r="P281" s="13"/>
      <c r="Q281" s="13">
        <v>4939</v>
      </c>
      <c r="R281" s="3">
        <f t="shared" si="21"/>
        <v>4939</v>
      </c>
      <c r="S281" s="3">
        <f t="shared" si="22"/>
        <v>0</v>
      </c>
      <c r="T281" s="3">
        <f t="shared" si="23"/>
        <v>29285.1</v>
      </c>
      <c r="U281" s="24"/>
      <c r="V281" s="24"/>
      <c r="W281" s="3"/>
      <c r="X281" s="25"/>
      <c r="Y281" s="25" t="s">
        <v>5722</v>
      </c>
      <c r="Z281" s="25"/>
      <c r="AA281" s="25"/>
      <c r="AB281" s="25"/>
      <c r="AC281" s="3" t="str">
        <f>IF(Caja_Finanzas[[#This Row],[FECHA]]&gt;0,TEXT(Caja_Finanzas[[#This Row],[FECHA]],"mmmm"),0)</f>
        <v>Marzo</v>
      </c>
    </row>
    <row r="282" spans="2:29" ht="24" x14ac:dyDescent="0.3">
      <c r="B282" s="2">
        <f>IF(Caja_Finanzas[[#This Row],[TIPO DE R.]]="R",COUNTIFS($D$4:$D281,"R")+1,"")</f>
        <v>269</v>
      </c>
      <c r="C282" s="19" t="str">
        <f t="shared" si="24"/>
        <v>C-Finanzas</v>
      </c>
      <c r="D282" s="3" t="s">
        <v>1074</v>
      </c>
      <c r="E282" s="14">
        <v>45733</v>
      </c>
      <c r="F282" s="5" t="s">
        <v>3816</v>
      </c>
      <c r="G282" s="5" t="s">
        <v>1087</v>
      </c>
      <c r="H282" s="5"/>
      <c r="I282" s="6"/>
      <c r="J282" s="6"/>
      <c r="K282" s="6"/>
      <c r="L282" s="6"/>
      <c r="M282" s="7" t="s">
        <v>5156</v>
      </c>
      <c r="N282" s="8" t="str">
        <f>"CFI"&amp;".D"&amp;TEXT(Caja_Finanzas[[#This Row],[FECHA]],"DD-MM")&amp;"-"&amp;TEXT(Caja_Finanzas[[#This Row],[ITEM]],"0000")</f>
        <v>CFI.D17-03-0269</v>
      </c>
      <c r="O282" s="8" t="str">
        <f t="shared" si="25"/>
        <v>PEN</v>
      </c>
      <c r="P282" s="13"/>
      <c r="Q282" s="13">
        <v>474</v>
      </c>
      <c r="R282" s="3">
        <f t="shared" si="21"/>
        <v>474</v>
      </c>
      <c r="S282" s="3">
        <f t="shared" si="22"/>
        <v>0</v>
      </c>
      <c r="T282" s="3">
        <f t="shared" si="23"/>
        <v>29759.1</v>
      </c>
      <c r="U282" s="24"/>
      <c r="V282" s="24"/>
      <c r="W282" s="3"/>
      <c r="X282" s="25"/>
      <c r="Y282" s="25" t="s">
        <v>5399</v>
      </c>
      <c r="Z282" s="25"/>
      <c r="AA282" s="25"/>
      <c r="AB282" s="25"/>
      <c r="AC282" s="3" t="str">
        <f>IF(Caja_Finanzas[[#This Row],[FECHA]]&gt;0,TEXT(Caja_Finanzas[[#This Row],[FECHA]],"mmmm"),0)</f>
        <v>Marzo</v>
      </c>
    </row>
    <row r="283" spans="2:29" ht="24" x14ac:dyDescent="0.3">
      <c r="B283" s="2">
        <f>IF(Caja_Finanzas[[#This Row],[TIPO DE R.]]="R",COUNTIFS($D$4:$D282,"R")+1,"")</f>
        <v>270</v>
      </c>
      <c r="C283" s="19" t="str">
        <f t="shared" si="24"/>
        <v>C-Finanzas</v>
      </c>
      <c r="D283" s="3" t="s">
        <v>1074</v>
      </c>
      <c r="E283" s="14">
        <v>45733</v>
      </c>
      <c r="F283" s="5" t="s">
        <v>3816</v>
      </c>
      <c r="G283" s="5" t="s">
        <v>1087</v>
      </c>
      <c r="H283" s="5"/>
      <c r="I283" s="6"/>
      <c r="J283" s="6"/>
      <c r="K283" s="6"/>
      <c r="L283" s="6"/>
      <c r="M283" s="7" t="s">
        <v>5156</v>
      </c>
      <c r="N283" s="8" t="str">
        <f>"CFI"&amp;".D"&amp;TEXT(Caja_Finanzas[[#This Row],[FECHA]],"DD-MM")&amp;"-"&amp;TEXT(Caja_Finanzas[[#This Row],[ITEM]],"0000")</f>
        <v>CFI.D17-03-0270</v>
      </c>
      <c r="O283" s="8" t="str">
        <f t="shared" si="25"/>
        <v>PEN</v>
      </c>
      <c r="P283" s="13"/>
      <c r="Q283" s="13">
        <v>26</v>
      </c>
      <c r="R283" s="3">
        <f t="shared" si="21"/>
        <v>26</v>
      </c>
      <c r="S283" s="3">
        <f t="shared" si="22"/>
        <v>0</v>
      </c>
      <c r="T283" s="3">
        <f t="shared" si="23"/>
        <v>29785.1</v>
      </c>
      <c r="U283" s="24"/>
      <c r="V283" s="24"/>
      <c r="W283" s="3"/>
      <c r="X283" s="25"/>
      <c r="Y283" s="25" t="s">
        <v>5723</v>
      </c>
      <c r="Z283" s="25"/>
      <c r="AA283" s="25"/>
      <c r="AB283" s="25"/>
      <c r="AC283" s="3" t="str">
        <f>IF(Caja_Finanzas[[#This Row],[FECHA]]&gt;0,TEXT(Caja_Finanzas[[#This Row],[FECHA]],"mmmm"),0)</f>
        <v>Marzo</v>
      </c>
    </row>
    <row r="284" spans="2:29" ht="24" x14ac:dyDescent="0.3">
      <c r="B284" s="2">
        <f>IF(Caja_Finanzas[[#This Row],[TIPO DE R.]]="R",COUNTIFS($D$4:$D283,"R")+1,"")</f>
        <v>271</v>
      </c>
      <c r="C284" s="19" t="str">
        <f t="shared" si="24"/>
        <v>C-Finanzas</v>
      </c>
      <c r="D284" s="3" t="s">
        <v>1074</v>
      </c>
      <c r="E284" s="14">
        <v>45734</v>
      </c>
      <c r="F284" s="5" t="s">
        <v>2226</v>
      </c>
      <c r="G284" s="5" t="s">
        <v>1087</v>
      </c>
      <c r="H284" s="5"/>
      <c r="I284" s="6"/>
      <c r="J284" s="6"/>
      <c r="K284" s="6"/>
      <c r="L284" s="6"/>
      <c r="M284" s="7" t="s">
        <v>5156</v>
      </c>
      <c r="N284" s="8" t="str">
        <f>"CFI"&amp;".D"&amp;TEXT(Caja_Finanzas[[#This Row],[FECHA]],"DD-MM")&amp;"-"&amp;TEXT(Caja_Finanzas[[#This Row],[ITEM]],"0000")</f>
        <v>CFI.D18-03-0271</v>
      </c>
      <c r="O284" s="8" t="str">
        <f t="shared" si="25"/>
        <v>PEN</v>
      </c>
      <c r="P284" s="13"/>
      <c r="Q284" s="13">
        <v>1548</v>
      </c>
      <c r="R284" s="3">
        <f t="shared" si="21"/>
        <v>1548</v>
      </c>
      <c r="S284" s="3">
        <f t="shared" si="22"/>
        <v>0</v>
      </c>
      <c r="T284" s="3">
        <f t="shared" si="23"/>
        <v>31333.1</v>
      </c>
      <c r="U284" s="24"/>
      <c r="V284" s="24"/>
      <c r="W284" s="3"/>
      <c r="X284" s="25"/>
      <c r="Y284" s="25" t="s">
        <v>5724</v>
      </c>
      <c r="Z284" s="25"/>
      <c r="AA284" s="25"/>
      <c r="AB284" s="25"/>
      <c r="AC284" s="3" t="str">
        <f>IF(Caja_Finanzas[[#This Row],[FECHA]]&gt;0,TEXT(Caja_Finanzas[[#This Row],[FECHA]],"mmmm"),0)</f>
        <v>Marzo</v>
      </c>
    </row>
    <row r="285" spans="2:29" ht="24" x14ac:dyDescent="0.3">
      <c r="B285" s="2">
        <f>IF(Caja_Finanzas[[#This Row],[TIPO DE R.]]="R",COUNTIFS($D$4:$D284,"R")+1,"")</f>
        <v>272</v>
      </c>
      <c r="C285" s="19" t="str">
        <f t="shared" si="24"/>
        <v>C-Finanzas</v>
      </c>
      <c r="D285" s="3" t="s">
        <v>1074</v>
      </c>
      <c r="E285" s="14">
        <v>45734</v>
      </c>
      <c r="F285" s="5" t="s">
        <v>2655</v>
      </c>
      <c r="G285" s="5" t="s">
        <v>1087</v>
      </c>
      <c r="H285" s="5"/>
      <c r="I285" s="6"/>
      <c r="J285" s="6"/>
      <c r="K285" s="6"/>
      <c r="L285" s="6"/>
      <c r="M285" s="7" t="s">
        <v>5156</v>
      </c>
      <c r="N285" s="8" t="str">
        <f>"CFI"&amp;".D"&amp;TEXT(Caja_Finanzas[[#This Row],[FECHA]],"DD-MM")&amp;"-"&amp;TEXT(Caja_Finanzas[[#This Row],[ITEM]],"0000")</f>
        <v>CFI.D18-03-0272</v>
      </c>
      <c r="O285" s="8" t="str">
        <f t="shared" si="25"/>
        <v>PEN</v>
      </c>
      <c r="P285" s="13"/>
      <c r="Q285" s="13">
        <v>4156</v>
      </c>
      <c r="R285" s="3">
        <f t="shared" si="21"/>
        <v>4156</v>
      </c>
      <c r="S285" s="3">
        <f t="shared" si="22"/>
        <v>0</v>
      </c>
      <c r="T285" s="3">
        <f t="shared" si="23"/>
        <v>35489.1</v>
      </c>
      <c r="U285" s="24"/>
      <c r="V285" s="24"/>
      <c r="W285" s="3"/>
      <c r="X285" s="25"/>
      <c r="Y285" s="25" t="s">
        <v>5725</v>
      </c>
      <c r="Z285" s="25"/>
      <c r="AA285" s="25"/>
      <c r="AB285" s="25"/>
      <c r="AC285" s="3" t="str">
        <f>IF(Caja_Finanzas[[#This Row],[FECHA]]&gt;0,TEXT(Caja_Finanzas[[#This Row],[FECHA]],"mmmm"),0)</f>
        <v>Marzo</v>
      </c>
    </row>
    <row r="286" spans="2:29" ht="36" x14ac:dyDescent="0.3">
      <c r="B286" s="2">
        <f>IF(Caja_Finanzas[[#This Row],[TIPO DE R.]]="R",COUNTIFS($D$4:$D285,"R")+1,"")</f>
        <v>273</v>
      </c>
      <c r="C286" s="19" t="str">
        <f t="shared" si="24"/>
        <v>C-Finanzas</v>
      </c>
      <c r="D286" s="3" t="s">
        <v>1074</v>
      </c>
      <c r="E286" s="14">
        <v>45734</v>
      </c>
      <c r="F286" s="5" t="s">
        <v>5347</v>
      </c>
      <c r="G286" s="5" t="s">
        <v>1079</v>
      </c>
      <c r="H286" s="5"/>
      <c r="I286" s="6"/>
      <c r="J286" s="6"/>
      <c r="K286" s="6"/>
      <c r="L286" s="6"/>
      <c r="M286" s="7" t="s">
        <v>5726</v>
      </c>
      <c r="N286" s="8" t="str">
        <f>"CFI"&amp;".D"&amp;TEXT(Caja_Finanzas[[#This Row],[FECHA]],"DD-MM")&amp;"-"&amp;TEXT(Caja_Finanzas[[#This Row],[ITEM]],"0000")</f>
        <v>CFI.D18-03-0273</v>
      </c>
      <c r="O286" s="8" t="str">
        <f t="shared" si="25"/>
        <v>PEN</v>
      </c>
      <c r="P286" s="13"/>
      <c r="Q286" s="13">
        <v>20</v>
      </c>
      <c r="R286" s="3">
        <f t="shared" si="21"/>
        <v>0</v>
      </c>
      <c r="S286" s="3">
        <f t="shared" si="22"/>
        <v>20</v>
      </c>
      <c r="T286" s="3">
        <f t="shared" si="23"/>
        <v>35469.1</v>
      </c>
      <c r="U286" s="24"/>
      <c r="V286" s="24"/>
      <c r="W286" s="3"/>
      <c r="X286" s="25" t="s">
        <v>5596</v>
      </c>
      <c r="Y286" s="25" t="s">
        <v>5727</v>
      </c>
      <c r="Z286" s="25"/>
      <c r="AA286" s="25"/>
      <c r="AB286" s="25"/>
      <c r="AC286" s="3" t="str">
        <f>IF(Caja_Finanzas[[#This Row],[FECHA]]&gt;0,TEXT(Caja_Finanzas[[#This Row],[FECHA]],"mmmm"),0)</f>
        <v>Marzo</v>
      </c>
    </row>
    <row r="287" spans="2:29" ht="36" x14ac:dyDescent="0.3">
      <c r="B287" s="2">
        <f>IF(Caja_Finanzas[[#This Row],[TIPO DE R.]]="R",COUNTIFS($D$4:$D286,"R")+1,"")</f>
        <v>274</v>
      </c>
      <c r="C287" s="19" t="str">
        <f t="shared" si="24"/>
        <v>C-Finanzas</v>
      </c>
      <c r="D287" s="3" t="s">
        <v>1074</v>
      </c>
      <c r="E287" s="14">
        <v>45734</v>
      </c>
      <c r="F287" s="5" t="s">
        <v>5307</v>
      </c>
      <c r="G287" s="5" t="s">
        <v>1079</v>
      </c>
      <c r="H287" s="5"/>
      <c r="I287" s="6"/>
      <c r="J287" s="6"/>
      <c r="K287" s="6"/>
      <c r="L287" s="6"/>
      <c r="M287" s="7" t="s">
        <v>5728</v>
      </c>
      <c r="N287" s="8" t="str">
        <f>"CFI"&amp;".D"&amp;TEXT(Caja_Finanzas[[#This Row],[FECHA]],"DD-MM")&amp;"-"&amp;TEXT(Caja_Finanzas[[#This Row],[ITEM]],"0000")</f>
        <v>CFI.D18-03-0274</v>
      </c>
      <c r="O287" s="8" t="str">
        <f t="shared" si="25"/>
        <v>PEN</v>
      </c>
      <c r="P287" s="13"/>
      <c r="Q287" s="13">
        <v>650</v>
      </c>
      <c r="R287" s="3">
        <f t="shared" si="21"/>
        <v>0</v>
      </c>
      <c r="S287" s="3">
        <f t="shared" si="22"/>
        <v>650</v>
      </c>
      <c r="T287" s="3">
        <f t="shared" si="23"/>
        <v>34819.1</v>
      </c>
      <c r="U287" s="24"/>
      <c r="V287" s="24"/>
      <c r="W287" s="3"/>
      <c r="X287" s="25" t="s">
        <v>5729</v>
      </c>
      <c r="Y287" s="25" t="s">
        <v>5730</v>
      </c>
      <c r="Z287" s="25"/>
      <c r="AA287" s="25"/>
      <c r="AB287" s="25"/>
      <c r="AC287" s="3" t="str">
        <f>IF(Caja_Finanzas[[#This Row],[FECHA]]&gt;0,TEXT(Caja_Finanzas[[#This Row],[FECHA]],"mmmm"),0)</f>
        <v>Marzo</v>
      </c>
    </row>
    <row r="288" spans="2:29" x14ac:dyDescent="0.3">
      <c r="B288" s="2">
        <f>IF(Caja_Finanzas[[#This Row],[TIPO DE R.]]="R",COUNTIFS($D$4:$D287,"R")+1,"")</f>
        <v>275</v>
      </c>
      <c r="C288" s="19" t="str">
        <f t="shared" si="24"/>
        <v>C-Finanzas</v>
      </c>
      <c r="D288" s="3" t="s">
        <v>1074</v>
      </c>
      <c r="E288" s="14">
        <v>45734</v>
      </c>
      <c r="F288" s="5" t="s">
        <v>3353</v>
      </c>
      <c r="G288" s="5" t="s">
        <v>1087</v>
      </c>
      <c r="H288" s="5"/>
      <c r="I288" s="6"/>
      <c r="J288" s="6"/>
      <c r="K288" s="6"/>
      <c r="L288" s="6"/>
      <c r="M288" s="7" t="s">
        <v>5507</v>
      </c>
      <c r="N288" s="8" t="str">
        <f>"CFI"&amp;".D"&amp;TEXT(Caja_Finanzas[[#This Row],[FECHA]],"DD-MM")&amp;"-"&amp;TEXT(Caja_Finanzas[[#This Row],[ITEM]],"0000")</f>
        <v>CFI.D18-03-0275</v>
      </c>
      <c r="O288" s="8" t="str">
        <f t="shared" si="25"/>
        <v>PEN</v>
      </c>
      <c r="P288" s="13"/>
      <c r="Q288" s="13">
        <v>1500</v>
      </c>
      <c r="R288" s="3">
        <f t="shared" si="21"/>
        <v>1500</v>
      </c>
      <c r="S288" s="3">
        <f t="shared" si="22"/>
        <v>0</v>
      </c>
      <c r="T288" s="3">
        <f t="shared" si="23"/>
        <v>36319.1</v>
      </c>
      <c r="U288" s="24"/>
      <c r="V288" s="24"/>
      <c r="W288" s="3"/>
      <c r="X288" s="25"/>
      <c r="Y288" s="25"/>
      <c r="Z288" s="25"/>
      <c r="AA288" s="25"/>
      <c r="AB288" s="25"/>
      <c r="AC288" s="3" t="str">
        <f>IF(Caja_Finanzas[[#This Row],[FECHA]]&gt;0,TEXT(Caja_Finanzas[[#This Row],[FECHA]],"mmmm"),0)</f>
        <v>Marzo</v>
      </c>
    </row>
    <row r="289" spans="2:29" ht="24" x14ac:dyDescent="0.3">
      <c r="B289" s="2">
        <f>IF(Caja_Finanzas[[#This Row],[TIPO DE R.]]="R",COUNTIFS($D$4:$D288,"R")+1,"")</f>
        <v>276</v>
      </c>
      <c r="C289" s="19" t="str">
        <f t="shared" si="24"/>
        <v>C-Finanzas</v>
      </c>
      <c r="D289" s="3" t="s">
        <v>1074</v>
      </c>
      <c r="E289" s="14">
        <v>45735</v>
      </c>
      <c r="F289" s="5" t="s">
        <v>5731</v>
      </c>
      <c r="G289" s="5" t="s">
        <v>1087</v>
      </c>
      <c r="H289" s="5"/>
      <c r="I289" s="6"/>
      <c r="J289" s="6"/>
      <c r="K289" s="6"/>
      <c r="L289" s="6"/>
      <c r="M289" s="7" t="s">
        <v>5156</v>
      </c>
      <c r="N289" s="8" t="str">
        <f>"CFI"&amp;".D"&amp;TEXT(Caja_Finanzas[[#This Row],[FECHA]],"DD-MM")&amp;"-"&amp;TEXT(Caja_Finanzas[[#This Row],[ITEM]],"0000")</f>
        <v>CFI.D19-03-0276</v>
      </c>
      <c r="O289" s="8" t="str">
        <f t="shared" si="25"/>
        <v>PEN</v>
      </c>
      <c r="P289" s="13"/>
      <c r="Q289" s="13">
        <v>2179.1999999999998</v>
      </c>
      <c r="R289" s="3">
        <f t="shared" si="21"/>
        <v>2179.1999999999998</v>
      </c>
      <c r="S289" s="3">
        <f t="shared" si="22"/>
        <v>0</v>
      </c>
      <c r="T289" s="3">
        <f t="shared" si="23"/>
        <v>38498.299999999996</v>
      </c>
      <c r="U289" s="24"/>
      <c r="V289" s="24"/>
      <c r="W289" s="3"/>
      <c r="X289" s="25"/>
      <c r="Y289" s="25" t="s">
        <v>5732</v>
      </c>
      <c r="Z289" s="25"/>
      <c r="AA289" s="25"/>
      <c r="AB289" s="25"/>
      <c r="AC289" s="3" t="str">
        <f>IF(Caja_Finanzas[[#This Row],[FECHA]]&gt;0,TEXT(Caja_Finanzas[[#This Row],[FECHA]],"mmmm"),0)</f>
        <v>Marzo</v>
      </c>
    </row>
    <row r="290" spans="2:29" ht="36" x14ac:dyDescent="0.3">
      <c r="B290" s="2">
        <f>IF(Caja_Finanzas[[#This Row],[TIPO DE R.]]="R",COUNTIFS($D$4:$D289,"R")+1,"")</f>
        <v>277</v>
      </c>
      <c r="C290" s="19" t="str">
        <f t="shared" si="24"/>
        <v>C-Finanzas</v>
      </c>
      <c r="D290" s="3" t="s">
        <v>1074</v>
      </c>
      <c r="E290" s="14">
        <v>45735</v>
      </c>
      <c r="F290" s="5" t="s">
        <v>5437</v>
      </c>
      <c r="G290" s="5" t="s">
        <v>1079</v>
      </c>
      <c r="H290" s="5"/>
      <c r="I290" s="6"/>
      <c r="J290" s="6"/>
      <c r="K290" s="6"/>
      <c r="L290" s="6"/>
      <c r="M290" s="7" t="s">
        <v>5733</v>
      </c>
      <c r="N290" s="8" t="str">
        <f>"CFI"&amp;".D"&amp;TEXT(Caja_Finanzas[[#This Row],[FECHA]],"DD-MM")&amp;"-"&amp;TEXT(Caja_Finanzas[[#This Row],[ITEM]],"0000")</f>
        <v>CFI.D19-03-0277</v>
      </c>
      <c r="O290" s="8" t="str">
        <f t="shared" si="25"/>
        <v>PEN</v>
      </c>
      <c r="P290" s="13"/>
      <c r="Q290" s="13">
        <v>200</v>
      </c>
      <c r="R290" s="3">
        <f t="shared" si="21"/>
        <v>0</v>
      </c>
      <c r="S290" s="3">
        <f t="shared" si="22"/>
        <v>200</v>
      </c>
      <c r="T290" s="3">
        <f t="shared" si="23"/>
        <v>38298.299999999996</v>
      </c>
      <c r="U290" s="24"/>
      <c r="V290" s="24"/>
      <c r="W290" s="3"/>
      <c r="X290" s="25" t="s">
        <v>5596</v>
      </c>
      <c r="Y290" s="25" t="s">
        <v>5734</v>
      </c>
      <c r="Z290" s="25"/>
      <c r="AA290" s="25"/>
      <c r="AB290" s="25"/>
      <c r="AC290" s="3" t="str">
        <f>IF(Caja_Finanzas[[#This Row],[FECHA]]&gt;0,TEXT(Caja_Finanzas[[#This Row],[FECHA]],"mmmm"),0)</f>
        <v>Marzo</v>
      </c>
    </row>
    <row r="291" spans="2:29" ht="24" x14ac:dyDescent="0.3">
      <c r="B291" s="2">
        <f>IF(Caja_Finanzas[[#This Row],[TIPO DE R.]]="R",COUNTIFS($D$4:$D290,"R")+1,"")</f>
        <v>278</v>
      </c>
      <c r="C291" s="19" t="str">
        <f t="shared" si="24"/>
        <v>C-Finanzas</v>
      </c>
      <c r="D291" s="3" t="s">
        <v>1074</v>
      </c>
      <c r="E291" s="14">
        <v>45735</v>
      </c>
      <c r="F291" s="5" t="s">
        <v>5712</v>
      </c>
      <c r="G291" s="5" t="s">
        <v>1087</v>
      </c>
      <c r="H291" s="5"/>
      <c r="I291" s="6"/>
      <c r="J291" s="6"/>
      <c r="K291" s="6"/>
      <c r="L291" s="6"/>
      <c r="M291" s="7" t="s">
        <v>5156</v>
      </c>
      <c r="N291" s="8" t="str">
        <f>"CFI"&amp;".D"&amp;TEXT(Caja_Finanzas[[#This Row],[FECHA]],"DD-MM")&amp;"-"&amp;TEXT(Caja_Finanzas[[#This Row],[ITEM]],"0000")</f>
        <v>CFI.D19-03-0278</v>
      </c>
      <c r="O291" s="8" t="str">
        <f t="shared" si="25"/>
        <v>PEN</v>
      </c>
      <c r="P291" s="13"/>
      <c r="Q291" s="13">
        <v>547.5</v>
      </c>
      <c r="R291" s="3">
        <f t="shared" si="21"/>
        <v>547.5</v>
      </c>
      <c r="S291" s="3">
        <f t="shared" si="22"/>
        <v>0</v>
      </c>
      <c r="T291" s="3">
        <f t="shared" si="23"/>
        <v>38845.799999999996</v>
      </c>
      <c r="U291" s="24"/>
      <c r="V291" s="24"/>
      <c r="W291" s="3"/>
      <c r="X291" s="25"/>
      <c r="Y291" s="25" t="s">
        <v>5735</v>
      </c>
      <c r="Z291" s="25"/>
      <c r="AA291" s="25"/>
      <c r="AB291" s="25"/>
      <c r="AC291" s="3" t="str">
        <f>IF(Caja_Finanzas[[#This Row],[FECHA]]&gt;0,TEXT(Caja_Finanzas[[#This Row],[FECHA]],"mmmm"),0)</f>
        <v>Marzo</v>
      </c>
    </row>
    <row r="292" spans="2:29" ht="24" x14ac:dyDescent="0.3">
      <c r="B292" s="2">
        <f>IF(Caja_Finanzas[[#This Row],[TIPO DE R.]]="R",COUNTIFS($D$4:$D291,"R")+1,"")</f>
        <v>279</v>
      </c>
      <c r="C292" s="19" t="str">
        <f t="shared" si="24"/>
        <v>C-Finanzas</v>
      </c>
      <c r="D292" s="3" t="s">
        <v>1074</v>
      </c>
      <c r="E292" s="14">
        <v>45735</v>
      </c>
      <c r="F292" s="5" t="s">
        <v>2655</v>
      </c>
      <c r="G292" s="5" t="s">
        <v>1087</v>
      </c>
      <c r="H292" s="5"/>
      <c r="I292" s="6"/>
      <c r="J292" s="6"/>
      <c r="K292" s="6"/>
      <c r="L292" s="6"/>
      <c r="M292" s="7" t="s">
        <v>5156</v>
      </c>
      <c r="N292" s="8" t="str">
        <f>"CFI"&amp;".D"&amp;TEXT(Caja_Finanzas[[#This Row],[FECHA]],"DD-MM")&amp;"-"&amp;TEXT(Caja_Finanzas[[#This Row],[ITEM]],"0000")</f>
        <v>CFI.D19-03-0279</v>
      </c>
      <c r="O292" s="8" t="str">
        <f t="shared" si="25"/>
        <v>PEN</v>
      </c>
      <c r="P292" s="13"/>
      <c r="Q292" s="13">
        <v>4941</v>
      </c>
      <c r="R292" s="3">
        <f t="shared" si="21"/>
        <v>4941</v>
      </c>
      <c r="S292" s="3">
        <f t="shared" si="22"/>
        <v>0</v>
      </c>
      <c r="T292" s="3">
        <f t="shared" si="23"/>
        <v>43786.799999999996</v>
      </c>
      <c r="U292" s="24"/>
      <c r="V292" s="24"/>
      <c r="W292" s="3"/>
      <c r="X292" s="25"/>
      <c r="Y292" s="25" t="s">
        <v>5736</v>
      </c>
      <c r="Z292" s="25"/>
      <c r="AA292" s="25"/>
      <c r="AB292" s="25"/>
      <c r="AC292" s="3" t="str">
        <f>IF(Caja_Finanzas[[#This Row],[FECHA]]&gt;0,TEXT(Caja_Finanzas[[#This Row],[FECHA]],"mmmm"),0)</f>
        <v>Marzo</v>
      </c>
    </row>
    <row r="293" spans="2:29" ht="24" x14ac:dyDescent="0.3">
      <c r="B293" s="2">
        <f>IF(Caja_Finanzas[[#This Row],[TIPO DE R.]]="R",COUNTIFS($D$4:$D292,"R")+1,"")</f>
        <v>280</v>
      </c>
      <c r="C293" s="19" t="str">
        <f t="shared" si="24"/>
        <v>C-Finanzas</v>
      </c>
      <c r="D293" s="3" t="s">
        <v>1074</v>
      </c>
      <c r="E293" s="14">
        <v>45735</v>
      </c>
      <c r="F293" s="5" t="s">
        <v>1562</v>
      </c>
      <c r="G293" s="5" t="s">
        <v>1087</v>
      </c>
      <c r="H293" s="5"/>
      <c r="I293" s="6"/>
      <c r="J293" s="6"/>
      <c r="K293" s="6"/>
      <c r="L293" s="6"/>
      <c r="M293" s="7" t="s">
        <v>5156</v>
      </c>
      <c r="N293" s="8" t="str">
        <f>"CFI"&amp;".D"&amp;TEXT(Caja_Finanzas[[#This Row],[FECHA]],"DD-MM")&amp;"-"&amp;TEXT(Caja_Finanzas[[#This Row],[ITEM]],"0000")</f>
        <v>CFI.D19-03-0280</v>
      </c>
      <c r="O293" s="8" t="str">
        <f t="shared" si="25"/>
        <v>PEN</v>
      </c>
      <c r="P293" s="13"/>
      <c r="Q293" s="13">
        <v>2760.2</v>
      </c>
      <c r="R293" s="3">
        <f t="shared" si="21"/>
        <v>2760.2</v>
      </c>
      <c r="S293" s="3">
        <f t="shared" si="22"/>
        <v>0</v>
      </c>
      <c r="T293" s="3">
        <f t="shared" si="23"/>
        <v>46546.999999999993</v>
      </c>
      <c r="U293" s="24"/>
      <c r="V293" s="24"/>
      <c r="W293" s="3"/>
      <c r="X293" s="25"/>
      <c r="Y293" s="25" t="s">
        <v>5737</v>
      </c>
      <c r="Z293" s="25"/>
      <c r="AA293" s="25"/>
      <c r="AB293" s="25"/>
      <c r="AC293" s="3" t="str">
        <f>IF(Caja_Finanzas[[#This Row],[FECHA]]&gt;0,TEXT(Caja_Finanzas[[#This Row],[FECHA]],"mmmm"),0)</f>
        <v>Marzo</v>
      </c>
    </row>
    <row r="294" spans="2:29" ht="24" x14ac:dyDescent="0.3">
      <c r="B294" s="2">
        <f>IF(Caja_Finanzas[[#This Row],[TIPO DE R.]]="R",COUNTIFS($D$4:$D293,"R")+1,"")</f>
        <v>281</v>
      </c>
      <c r="C294" s="19" t="str">
        <f t="shared" si="24"/>
        <v>C-Finanzas</v>
      </c>
      <c r="D294" s="3" t="s">
        <v>1074</v>
      </c>
      <c r="E294" s="14">
        <v>45735</v>
      </c>
      <c r="F294" s="5" t="s">
        <v>5305</v>
      </c>
      <c r="G294" s="5" t="s">
        <v>1079</v>
      </c>
      <c r="H294" s="5"/>
      <c r="I294" s="6"/>
      <c r="J294" s="6"/>
      <c r="K294" s="6"/>
      <c r="L294" s="6"/>
      <c r="M294" s="7" t="s">
        <v>5539</v>
      </c>
      <c r="N294" s="8" t="str">
        <f>"CFI"&amp;".D"&amp;TEXT(Caja_Finanzas[[#This Row],[FECHA]],"DD-MM")&amp;"-"&amp;TEXT(Caja_Finanzas[[#This Row],[ITEM]],"0000")</f>
        <v>CFI.D19-03-0281</v>
      </c>
      <c r="O294" s="8" t="str">
        <f t="shared" si="25"/>
        <v>PEN</v>
      </c>
      <c r="P294" s="13"/>
      <c r="Q294" s="13">
        <v>39000</v>
      </c>
      <c r="R294" s="3">
        <f t="shared" si="21"/>
        <v>0</v>
      </c>
      <c r="S294" s="3">
        <f t="shared" si="22"/>
        <v>39000</v>
      </c>
      <c r="T294" s="3">
        <f t="shared" si="23"/>
        <v>7546.9999999999927</v>
      </c>
      <c r="U294" s="24"/>
      <c r="V294" s="24"/>
      <c r="W294" s="3"/>
      <c r="X294" s="25"/>
      <c r="Y294" s="25"/>
      <c r="Z294" s="25"/>
      <c r="AA294" s="25"/>
      <c r="AB294" s="25"/>
      <c r="AC294" s="3" t="str">
        <f>IF(Caja_Finanzas[[#This Row],[FECHA]]&gt;0,TEXT(Caja_Finanzas[[#This Row],[FECHA]],"mmmm"),0)</f>
        <v>Marzo</v>
      </c>
    </row>
    <row r="295" spans="2:29" ht="36" x14ac:dyDescent="0.3">
      <c r="B295" s="2">
        <f>IF(Caja_Finanzas[[#This Row],[TIPO DE R.]]="R",COUNTIFS($D$4:$D294,"R")+1,"")</f>
        <v>282</v>
      </c>
      <c r="C295" s="19" t="str">
        <f t="shared" si="24"/>
        <v>C-Finanzas</v>
      </c>
      <c r="D295" s="3" t="s">
        <v>1074</v>
      </c>
      <c r="E295" s="14">
        <v>45736</v>
      </c>
      <c r="F295" s="5" t="s">
        <v>5307</v>
      </c>
      <c r="G295" s="5" t="s">
        <v>1079</v>
      </c>
      <c r="H295" s="5"/>
      <c r="I295" s="6"/>
      <c r="J295" s="6"/>
      <c r="K295" s="6"/>
      <c r="L295" s="6"/>
      <c r="M295" s="7" t="s">
        <v>5738</v>
      </c>
      <c r="N295" s="8" t="str">
        <f>"CFI"&amp;".D"&amp;TEXT(Caja_Finanzas[[#This Row],[FECHA]],"DD-MM")&amp;"-"&amp;TEXT(Caja_Finanzas[[#This Row],[ITEM]],"0000")</f>
        <v>CFI.D20-03-0282</v>
      </c>
      <c r="O295" s="8" t="str">
        <f t="shared" si="25"/>
        <v>PEN</v>
      </c>
      <c r="P295" s="13"/>
      <c r="Q295" s="13">
        <v>200</v>
      </c>
      <c r="R295" s="3">
        <f t="shared" si="21"/>
        <v>0</v>
      </c>
      <c r="S295" s="3">
        <f t="shared" si="22"/>
        <v>200</v>
      </c>
      <c r="T295" s="3">
        <f t="shared" si="23"/>
        <v>7346.9999999999927</v>
      </c>
      <c r="U295" s="24"/>
      <c r="V295" s="24"/>
      <c r="W295" s="3"/>
      <c r="X295" s="25" t="s">
        <v>5387</v>
      </c>
      <c r="Y295" s="25" t="s">
        <v>5739</v>
      </c>
      <c r="Z295" s="25"/>
      <c r="AA295" s="25"/>
      <c r="AB295" s="25"/>
      <c r="AC295" s="3" t="str">
        <f>IF(Caja_Finanzas[[#This Row],[FECHA]]&gt;0,TEXT(Caja_Finanzas[[#This Row],[FECHA]],"mmmm"),0)</f>
        <v>Marzo</v>
      </c>
    </row>
    <row r="296" spans="2:29" ht="24" x14ac:dyDescent="0.3">
      <c r="B296" s="2">
        <f>IF(Caja_Finanzas[[#This Row],[TIPO DE R.]]="R",COUNTIFS($D$4:$D295,"R")+1,"")</f>
        <v>283</v>
      </c>
      <c r="C296" s="19" t="str">
        <f t="shared" si="24"/>
        <v>C-Finanzas</v>
      </c>
      <c r="D296" s="3" t="s">
        <v>1074</v>
      </c>
      <c r="E296" s="14">
        <v>45736</v>
      </c>
      <c r="F296" s="5" t="s">
        <v>5307</v>
      </c>
      <c r="G296" s="5" t="s">
        <v>1079</v>
      </c>
      <c r="H296" s="5"/>
      <c r="I296" s="6"/>
      <c r="J296" s="6"/>
      <c r="K296" s="6"/>
      <c r="L296" s="6"/>
      <c r="M296" s="7" t="s">
        <v>5740</v>
      </c>
      <c r="N296" s="8" t="str">
        <f>"CFI"&amp;".D"&amp;TEXT(Caja_Finanzas[[#This Row],[FECHA]],"DD-MM")&amp;"-"&amp;TEXT(Caja_Finanzas[[#This Row],[ITEM]],"0000")</f>
        <v>CFI.D20-03-0283</v>
      </c>
      <c r="O296" s="8" t="str">
        <f t="shared" si="25"/>
        <v>PEN</v>
      </c>
      <c r="P296" s="13"/>
      <c r="Q296" s="13">
        <v>100</v>
      </c>
      <c r="R296" s="3">
        <f t="shared" si="21"/>
        <v>0</v>
      </c>
      <c r="S296" s="3">
        <f t="shared" si="22"/>
        <v>100</v>
      </c>
      <c r="T296" s="3">
        <f t="shared" si="23"/>
        <v>7246.9999999999927</v>
      </c>
      <c r="U296" s="24"/>
      <c r="V296" s="24"/>
      <c r="W296" s="3"/>
      <c r="X296" s="25" t="s">
        <v>5741</v>
      </c>
      <c r="Y296" s="25" t="s">
        <v>5742</v>
      </c>
      <c r="Z296" s="25"/>
      <c r="AA296" s="25"/>
      <c r="AB296" s="25"/>
      <c r="AC296" s="3" t="str">
        <f>IF(Caja_Finanzas[[#This Row],[FECHA]]&gt;0,TEXT(Caja_Finanzas[[#This Row],[FECHA]],"mmmm"),0)</f>
        <v>Marzo</v>
      </c>
    </row>
    <row r="297" spans="2:29" ht="36" x14ac:dyDescent="0.3">
      <c r="B297" s="2">
        <f>IF(Caja_Finanzas[[#This Row],[TIPO DE R.]]="R",COUNTIFS($D$4:$D296,"R")+1,"")</f>
        <v>284</v>
      </c>
      <c r="C297" s="19" t="str">
        <f t="shared" si="24"/>
        <v>C-Finanzas</v>
      </c>
      <c r="D297" s="3" t="s">
        <v>1074</v>
      </c>
      <c r="E297" s="14">
        <v>45736</v>
      </c>
      <c r="F297" s="5" t="s">
        <v>5307</v>
      </c>
      <c r="G297" s="5" t="s">
        <v>1079</v>
      </c>
      <c r="H297" s="5"/>
      <c r="I297" s="6"/>
      <c r="J297" s="6"/>
      <c r="K297" s="6"/>
      <c r="L297" s="6"/>
      <c r="M297" s="7" t="s">
        <v>5743</v>
      </c>
      <c r="N297" s="8" t="str">
        <f>"CFI"&amp;".D"&amp;TEXT(Caja_Finanzas[[#This Row],[FECHA]],"DD-MM")&amp;"-"&amp;TEXT(Caja_Finanzas[[#This Row],[ITEM]],"0000")</f>
        <v>CFI.D20-03-0284</v>
      </c>
      <c r="O297" s="8" t="str">
        <f t="shared" si="25"/>
        <v>PEN</v>
      </c>
      <c r="P297" s="13"/>
      <c r="Q297" s="13">
        <v>30</v>
      </c>
      <c r="R297" s="3">
        <f t="shared" si="21"/>
        <v>0</v>
      </c>
      <c r="S297" s="3">
        <f t="shared" si="22"/>
        <v>30</v>
      </c>
      <c r="T297" s="3">
        <f t="shared" si="23"/>
        <v>7216.9999999999927</v>
      </c>
      <c r="U297" s="24"/>
      <c r="V297" s="24"/>
      <c r="W297" s="3"/>
      <c r="X297" s="25" t="s">
        <v>5741</v>
      </c>
      <c r="Y297" s="25" t="s">
        <v>5744</v>
      </c>
      <c r="Z297" s="25"/>
      <c r="AA297" s="25"/>
      <c r="AB297" s="25"/>
      <c r="AC297" s="3" t="str">
        <f>IF(Caja_Finanzas[[#This Row],[FECHA]]&gt;0,TEXT(Caja_Finanzas[[#This Row],[FECHA]],"mmmm"),0)</f>
        <v>Marzo</v>
      </c>
    </row>
    <row r="298" spans="2:29" ht="24" x14ac:dyDescent="0.3">
      <c r="B298" s="2">
        <f>IF(Caja_Finanzas[[#This Row],[TIPO DE R.]]="R",COUNTIFS($D$4:$D297,"R")+1,"")</f>
        <v>285</v>
      </c>
      <c r="C298" s="19" t="str">
        <f t="shared" si="24"/>
        <v>C-Finanzas</v>
      </c>
      <c r="D298" s="3" t="s">
        <v>1074</v>
      </c>
      <c r="E298" s="14">
        <v>45736</v>
      </c>
      <c r="F298" s="5" t="s">
        <v>5307</v>
      </c>
      <c r="G298" s="5" t="s">
        <v>1079</v>
      </c>
      <c r="H298" s="5"/>
      <c r="I298" s="6"/>
      <c r="J298" s="6"/>
      <c r="K298" s="6"/>
      <c r="L298" s="6"/>
      <c r="M298" s="7" t="s">
        <v>5745</v>
      </c>
      <c r="N298" s="8" t="str">
        <f>"CFI"&amp;".D"&amp;TEXT(Caja_Finanzas[[#This Row],[FECHA]],"DD-MM")&amp;"-"&amp;TEXT(Caja_Finanzas[[#This Row],[ITEM]],"0000")</f>
        <v>CFI.D20-03-0285</v>
      </c>
      <c r="O298" s="8" t="str">
        <f t="shared" si="25"/>
        <v>PEN</v>
      </c>
      <c r="P298" s="13"/>
      <c r="Q298" s="13">
        <v>20</v>
      </c>
      <c r="R298" s="3">
        <f t="shared" si="21"/>
        <v>0</v>
      </c>
      <c r="S298" s="3">
        <f t="shared" si="22"/>
        <v>20</v>
      </c>
      <c r="T298" s="3">
        <f t="shared" si="23"/>
        <v>7196.9999999999927</v>
      </c>
      <c r="U298" s="24"/>
      <c r="V298" s="24"/>
      <c r="W298" s="3"/>
      <c r="X298" s="25" t="s">
        <v>5596</v>
      </c>
      <c r="Y298" s="25" t="s">
        <v>5746</v>
      </c>
      <c r="Z298" s="25"/>
      <c r="AA298" s="25"/>
      <c r="AB298" s="25"/>
      <c r="AC298" s="3" t="str">
        <f>IF(Caja_Finanzas[[#This Row],[FECHA]]&gt;0,TEXT(Caja_Finanzas[[#This Row],[FECHA]],"mmmm"),0)</f>
        <v>Marzo</v>
      </c>
    </row>
    <row r="299" spans="2:29" ht="36" x14ac:dyDescent="0.3">
      <c r="B299" s="2">
        <f>IF(Caja_Finanzas[[#This Row],[TIPO DE R.]]="R",COUNTIFS($D$4:$D298,"R")+1,"")</f>
        <v>286</v>
      </c>
      <c r="C299" s="19" t="str">
        <f t="shared" si="24"/>
        <v>C-Finanzas</v>
      </c>
      <c r="D299" s="3" t="s">
        <v>1074</v>
      </c>
      <c r="E299" s="14">
        <v>45736</v>
      </c>
      <c r="F299" s="5" t="s">
        <v>5301</v>
      </c>
      <c r="G299" s="5" t="s">
        <v>1079</v>
      </c>
      <c r="H299" s="5"/>
      <c r="I299" s="6"/>
      <c r="J299" s="6"/>
      <c r="K299" s="6"/>
      <c r="L299" s="6"/>
      <c r="M299" s="7" t="s">
        <v>5747</v>
      </c>
      <c r="N299" s="8" t="str">
        <f>"CFI"&amp;".D"&amp;TEXT(Caja_Finanzas[[#This Row],[FECHA]],"DD-MM")&amp;"-"&amp;TEXT(Caja_Finanzas[[#This Row],[ITEM]],"0000")</f>
        <v>CFI.D20-03-0286</v>
      </c>
      <c r="O299" s="8" t="str">
        <f t="shared" si="25"/>
        <v>PEN</v>
      </c>
      <c r="P299" s="13"/>
      <c r="Q299" s="13">
        <v>390</v>
      </c>
      <c r="R299" s="3">
        <f t="shared" si="21"/>
        <v>0</v>
      </c>
      <c r="S299" s="3">
        <f t="shared" si="22"/>
        <v>390</v>
      </c>
      <c r="T299" s="3">
        <f t="shared" si="23"/>
        <v>6806.9999999999927</v>
      </c>
      <c r="U299" s="24"/>
      <c r="V299" s="24"/>
      <c r="W299" s="3"/>
      <c r="X299" s="25" t="s">
        <v>5748</v>
      </c>
      <c r="Y299" s="25" t="s">
        <v>5749</v>
      </c>
      <c r="Z299" s="25"/>
      <c r="AA299" s="25"/>
      <c r="AB299" s="25"/>
      <c r="AC299" s="3" t="str">
        <f>IF(Caja_Finanzas[[#This Row],[FECHA]]&gt;0,TEXT(Caja_Finanzas[[#This Row],[FECHA]],"mmmm"),0)</f>
        <v>Marzo</v>
      </c>
    </row>
    <row r="300" spans="2:29" ht="24" x14ac:dyDescent="0.3">
      <c r="B300" s="2">
        <f>IF(Caja_Finanzas[[#This Row],[TIPO DE R.]]="R",COUNTIFS($D$4:$D299,"R")+1,"")</f>
        <v>287</v>
      </c>
      <c r="C300" s="19" t="str">
        <f t="shared" si="24"/>
        <v>C-Finanzas</v>
      </c>
      <c r="D300" s="3" t="s">
        <v>1074</v>
      </c>
      <c r="E300" s="14">
        <v>45736</v>
      </c>
      <c r="F300" s="5" t="s">
        <v>5437</v>
      </c>
      <c r="G300" s="5" t="s">
        <v>1079</v>
      </c>
      <c r="H300" s="5"/>
      <c r="I300" s="6"/>
      <c r="J300" s="6"/>
      <c r="K300" s="6"/>
      <c r="L300" s="6"/>
      <c r="M300" s="7" t="s">
        <v>5750</v>
      </c>
      <c r="N300" s="8" t="str">
        <f>"CFI"&amp;".D"&amp;TEXT(Caja_Finanzas[[#This Row],[FECHA]],"DD-MM")&amp;"-"&amp;TEXT(Caja_Finanzas[[#This Row],[ITEM]],"0000")</f>
        <v>CFI.D20-03-0287</v>
      </c>
      <c r="O300" s="8" t="str">
        <f t="shared" si="25"/>
        <v>PEN</v>
      </c>
      <c r="P300" s="13"/>
      <c r="Q300" s="13">
        <v>100</v>
      </c>
      <c r="R300" s="3">
        <f t="shared" si="21"/>
        <v>0</v>
      </c>
      <c r="S300" s="3">
        <f t="shared" si="22"/>
        <v>100</v>
      </c>
      <c r="T300" s="3">
        <f t="shared" si="23"/>
        <v>6706.9999999999927</v>
      </c>
      <c r="U300" s="24"/>
      <c r="V300" s="24"/>
      <c r="W300" s="3"/>
      <c r="X300" s="25" t="s">
        <v>5751</v>
      </c>
      <c r="Y300" s="25" t="s">
        <v>5752</v>
      </c>
      <c r="Z300" s="25"/>
      <c r="AA300" s="25"/>
      <c r="AB300" s="25"/>
      <c r="AC300" s="3" t="str">
        <f>IF(Caja_Finanzas[[#This Row],[FECHA]]&gt;0,TEXT(Caja_Finanzas[[#This Row],[FECHA]],"mmmm"),0)</f>
        <v>Marzo</v>
      </c>
    </row>
    <row r="301" spans="2:29" ht="36" x14ac:dyDescent="0.3">
      <c r="B301" s="2">
        <f>IF(Caja_Finanzas[[#This Row],[TIPO DE R.]]="R",COUNTIFS($D$4:$D300,"R")+1,"")</f>
        <v>288</v>
      </c>
      <c r="C301" s="19" t="str">
        <f t="shared" si="24"/>
        <v>C-Finanzas</v>
      </c>
      <c r="D301" s="3" t="s">
        <v>1074</v>
      </c>
      <c r="E301" s="14">
        <v>45737</v>
      </c>
      <c r="F301" s="5" t="s">
        <v>5437</v>
      </c>
      <c r="G301" s="5" t="s">
        <v>1079</v>
      </c>
      <c r="H301" s="5"/>
      <c r="I301" s="6"/>
      <c r="J301" s="6"/>
      <c r="K301" s="6"/>
      <c r="L301" s="6"/>
      <c r="M301" s="7" t="s">
        <v>5753</v>
      </c>
      <c r="N301" s="8" t="str">
        <f>"CFI"&amp;".D"&amp;TEXT(Caja_Finanzas[[#This Row],[FECHA]],"DD-MM")&amp;"-"&amp;TEXT(Caja_Finanzas[[#This Row],[ITEM]],"0000")</f>
        <v>CFI.D21-03-0288</v>
      </c>
      <c r="O301" s="8" t="str">
        <f t="shared" si="25"/>
        <v>PEN</v>
      </c>
      <c r="P301" s="13"/>
      <c r="Q301" s="13">
        <v>45</v>
      </c>
      <c r="R301" s="3">
        <f t="shared" si="21"/>
        <v>0</v>
      </c>
      <c r="S301" s="3">
        <f t="shared" si="22"/>
        <v>45</v>
      </c>
      <c r="T301" s="3">
        <f t="shared" si="23"/>
        <v>6661.9999999999927</v>
      </c>
      <c r="U301" s="24"/>
      <c r="V301" s="24"/>
      <c r="W301" s="3"/>
      <c r="X301" s="25" t="s">
        <v>5596</v>
      </c>
      <c r="Y301" s="25" t="s">
        <v>5754</v>
      </c>
      <c r="Z301" s="25"/>
      <c r="AA301" s="25"/>
      <c r="AB301" s="25"/>
      <c r="AC301" s="3" t="str">
        <f>IF(Caja_Finanzas[[#This Row],[FECHA]]&gt;0,TEXT(Caja_Finanzas[[#This Row],[FECHA]],"mmmm"),0)</f>
        <v>Marzo</v>
      </c>
    </row>
    <row r="302" spans="2:29" ht="36" x14ac:dyDescent="0.3">
      <c r="B302" s="2">
        <f>IF(Caja_Finanzas[[#This Row],[TIPO DE R.]]="R",COUNTIFS($D$4:$D301,"R")+1,"")</f>
        <v>289</v>
      </c>
      <c r="C302" s="19" t="str">
        <f t="shared" si="24"/>
        <v>C-Finanzas</v>
      </c>
      <c r="D302" s="3" t="s">
        <v>1074</v>
      </c>
      <c r="E302" s="14">
        <v>45737</v>
      </c>
      <c r="F302" s="5" t="s">
        <v>5437</v>
      </c>
      <c r="G302" s="5" t="s">
        <v>1079</v>
      </c>
      <c r="H302" s="5"/>
      <c r="I302" s="6"/>
      <c r="J302" s="6"/>
      <c r="K302" s="6"/>
      <c r="L302" s="6"/>
      <c r="M302" s="7" t="s">
        <v>5755</v>
      </c>
      <c r="N302" s="8" t="str">
        <f>"CFI"&amp;".D"&amp;TEXT(Caja_Finanzas[[#This Row],[FECHA]],"DD-MM")&amp;"-"&amp;TEXT(Caja_Finanzas[[#This Row],[ITEM]],"0000")</f>
        <v>CFI.D21-03-0289</v>
      </c>
      <c r="O302" s="8" t="str">
        <f t="shared" si="25"/>
        <v>PEN</v>
      </c>
      <c r="P302" s="13"/>
      <c r="Q302" s="13">
        <v>10</v>
      </c>
      <c r="R302" s="3">
        <f t="shared" si="21"/>
        <v>0</v>
      </c>
      <c r="S302" s="3">
        <f t="shared" si="22"/>
        <v>10</v>
      </c>
      <c r="T302" s="3">
        <f t="shared" si="23"/>
        <v>6651.9999999999927</v>
      </c>
      <c r="U302" s="24"/>
      <c r="V302" s="24"/>
      <c r="W302" s="3"/>
      <c r="X302" s="25" t="s">
        <v>5596</v>
      </c>
      <c r="Y302" s="25" t="s">
        <v>5756</v>
      </c>
      <c r="Z302" s="25"/>
      <c r="AA302" s="25"/>
      <c r="AB302" s="25"/>
      <c r="AC302" s="3" t="str">
        <f>IF(Caja_Finanzas[[#This Row],[FECHA]]&gt;0,TEXT(Caja_Finanzas[[#This Row],[FECHA]],"mmmm"),0)</f>
        <v>Marzo</v>
      </c>
    </row>
    <row r="303" spans="2:29" ht="36" x14ac:dyDescent="0.3">
      <c r="B303" s="2">
        <f>IF(Caja_Finanzas[[#This Row],[TIPO DE R.]]="R",COUNTIFS($D$4:$D302,"R")+1,"")</f>
        <v>290</v>
      </c>
      <c r="C303" s="19" t="str">
        <f t="shared" si="24"/>
        <v>C-Finanzas</v>
      </c>
      <c r="D303" s="3" t="s">
        <v>1074</v>
      </c>
      <c r="E303" s="14">
        <v>45737</v>
      </c>
      <c r="F303" s="5" t="s">
        <v>5307</v>
      </c>
      <c r="G303" s="5" t="s">
        <v>1079</v>
      </c>
      <c r="H303" s="5"/>
      <c r="I303" s="6"/>
      <c r="J303" s="6"/>
      <c r="K303" s="6"/>
      <c r="L303" s="6"/>
      <c r="M303" s="7" t="s">
        <v>5757</v>
      </c>
      <c r="N303" s="8" t="str">
        <f>"CFI"&amp;".D"&amp;TEXT(Caja_Finanzas[[#This Row],[FECHA]],"DD-MM")&amp;"-"&amp;TEXT(Caja_Finanzas[[#This Row],[ITEM]],"0000")</f>
        <v>CFI.D21-03-0290</v>
      </c>
      <c r="O303" s="8" t="str">
        <f t="shared" si="25"/>
        <v>PEN</v>
      </c>
      <c r="P303" s="13"/>
      <c r="Q303" s="13">
        <v>33</v>
      </c>
      <c r="R303" s="3">
        <f t="shared" si="21"/>
        <v>0</v>
      </c>
      <c r="S303" s="3">
        <f t="shared" si="22"/>
        <v>33</v>
      </c>
      <c r="T303" s="3">
        <f t="shared" si="23"/>
        <v>6618.9999999999927</v>
      </c>
      <c r="U303" s="24"/>
      <c r="V303" s="24"/>
      <c r="W303" s="3"/>
      <c r="X303" s="25" t="s">
        <v>5394</v>
      </c>
      <c r="Y303" s="25" t="s">
        <v>5758</v>
      </c>
      <c r="Z303" s="25"/>
      <c r="AA303" s="25"/>
      <c r="AB303" s="25"/>
      <c r="AC303" s="3" t="str">
        <f>IF(Caja_Finanzas[[#This Row],[FECHA]]&gt;0,TEXT(Caja_Finanzas[[#This Row],[FECHA]],"mmmm"),0)</f>
        <v>Marzo</v>
      </c>
    </row>
    <row r="304" spans="2:29" ht="24" x14ac:dyDescent="0.3">
      <c r="B304" s="2">
        <f>IF(Caja_Finanzas[[#This Row],[TIPO DE R.]]="R",COUNTIFS($D$4:$D303,"R")+1,"")</f>
        <v>291</v>
      </c>
      <c r="C304" s="19" t="str">
        <f t="shared" si="24"/>
        <v>C-Finanzas</v>
      </c>
      <c r="D304" s="3" t="s">
        <v>1074</v>
      </c>
      <c r="E304" s="14">
        <v>45737</v>
      </c>
      <c r="F304" s="5" t="s">
        <v>2226</v>
      </c>
      <c r="G304" s="5" t="s">
        <v>1087</v>
      </c>
      <c r="H304" s="5"/>
      <c r="I304" s="6"/>
      <c r="J304" s="6"/>
      <c r="K304" s="6"/>
      <c r="L304" s="6"/>
      <c r="M304" s="7" t="s">
        <v>5156</v>
      </c>
      <c r="N304" s="8" t="str">
        <f>"CFI"&amp;".D"&amp;TEXT(Caja_Finanzas[[#This Row],[FECHA]],"DD-MM")&amp;"-"&amp;TEXT(Caja_Finanzas[[#This Row],[ITEM]],"0000")</f>
        <v>CFI.D21-03-0291</v>
      </c>
      <c r="O304" s="8" t="str">
        <f t="shared" si="25"/>
        <v>PEN</v>
      </c>
      <c r="P304" s="13"/>
      <c r="Q304" s="13">
        <v>100</v>
      </c>
      <c r="R304" s="3">
        <f t="shared" si="21"/>
        <v>100</v>
      </c>
      <c r="S304" s="3">
        <f t="shared" si="22"/>
        <v>0</v>
      </c>
      <c r="T304" s="3">
        <f t="shared" si="23"/>
        <v>6718.9999999999927</v>
      </c>
      <c r="U304" s="24"/>
      <c r="V304" s="24"/>
      <c r="W304" s="3"/>
      <c r="X304" s="25"/>
      <c r="Y304" s="25" t="s">
        <v>5724</v>
      </c>
      <c r="Z304" s="25"/>
      <c r="AA304" s="25"/>
      <c r="AB304" s="25"/>
      <c r="AC304" s="3" t="str">
        <f>IF(Caja_Finanzas[[#This Row],[FECHA]]&gt;0,TEXT(Caja_Finanzas[[#This Row],[FECHA]],"mmmm"),0)</f>
        <v>Marzo</v>
      </c>
    </row>
    <row r="305" spans="2:29" ht="24" x14ac:dyDescent="0.3">
      <c r="B305" s="2">
        <f>IF(Caja_Finanzas[[#This Row],[TIPO DE R.]]="R",COUNTIFS($D$4:$D304,"R")+1,"")</f>
        <v>292</v>
      </c>
      <c r="C305" s="19" t="str">
        <f t="shared" si="24"/>
        <v>C-Finanzas</v>
      </c>
      <c r="D305" s="3" t="s">
        <v>1074</v>
      </c>
      <c r="E305" s="14">
        <v>45737</v>
      </c>
      <c r="F305" s="5" t="s">
        <v>2226</v>
      </c>
      <c r="G305" s="5" t="s">
        <v>1087</v>
      </c>
      <c r="H305" s="5"/>
      <c r="I305" s="6"/>
      <c r="J305" s="6"/>
      <c r="K305" s="6"/>
      <c r="L305" s="6"/>
      <c r="M305" s="7" t="s">
        <v>5156</v>
      </c>
      <c r="N305" s="8" t="str">
        <f>"CFI"&amp;".D"&amp;TEXT(Caja_Finanzas[[#This Row],[FECHA]],"DD-MM")&amp;"-"&amp;TEXT(Caja_Finanzas[[#This Row],[ITEM]],"0000")</f>
        <v>CFI.D21-03-0292</v>
      </c>
      <c r="O305" s="8" t="str">
        <f t="shared" si="25"/>
        <v>PEN</v>
      </c>
      <c r="P305" s="13"/>
      <c r="Q305" s="13">
        <v>375</v>
      </c>
      <c r="R305" s="3">
        <f t="shared" si="21"/>
        <v>375</v>
      </c>
      <c r="S305" s="3">
        <f t="shared" si="22"/>
        <v>0</v>
      </c>
      <c r="T305" s="3">
        <f t="shared" si="23"/>
        <v>7093.9999999999927</v>
      </c>
      <c r="U305" s="24"/>
      <c r="V305" s="24"/>
      <c r="W305" s="3"/>
      <c r="X305" s="25"/>
      <c r="Y305" s="25" t="s">
        <v>5759</v>
      </c>
      <c r="Z305" s="25"/>
      <c r="AA305" s="25"/>
      <c r="AB305" s="25"/>
      <c r="AC305" s="3" t="str">
        <f>IF(Caja_Finanzas[[#This Row],[FECHA]]&gt;0,TEXT(Caja_Finanzas[[#This Row],[FECHA]],"mmmm"),0)</f>
        <v>Marzo</v>
      </c>
    </row>
    <row r="306" spans="2:29" ht="24" x14ac:dyDescent="0.3">
      <c r="B306" s="2">
        <f>IF(Caja_Finanzas[[#This Row],[TIPO DE R.]]="R",COUNTIFS($D$4:$D305,"R")+1,"")</f>
        <v>293</v>
      </c>
      <c r="C306" s="19" t="str">
        <f t="shared" si="24"/>
        <v>C-Finanzas</v>
      </c>
      <c r="D306" s="3" t="s">
        <v>1074</v>
      </c>
      <c r="E306" s="14">
        <v>45740</v>
      </c>
      <c r="F306" s="5" t="s">
        <v>2655</v>
      </c>
      <c r="G306" s="5" t="s">
        <v>1087</v>
      </c>
      <c r="H306" s="5"/>
      <c r="I306" s="6"/>
      <c r="J306" s="6"/>
      <c r="K306" s="6"/>
      <c r="L306" s="6"/>
      <c r="M306" s="7" t="s">
        <v>5156</v>
      </c>
      <c r="N306" s="8" t="str">
        <f>"CFI"&amp;".D"&amp;TEXT(Caja_Finanzas[[#This Row],[FECHA]],"DD-MM")&amp;"-"&amp;TEXT(Caja_Finanzas[[#This Row],[ITEM]],"0000")</f>
        <v>CFI.D24-03-0293</v>
      </c>
      <c r="O306" s="8" t="str">
        <f t="shared" si="25"/>
        <v>PEN</v>
      </c>
      <c r="P306" s="13"/>
      <c r="Q306" s="13">
        <v>1314</v>
      </c>
      <c r="R306" s="3">
        <f t="shared" si="21"/>
        <v>1314</v>
      </c>
      <c r="S306" s="3">
        <f t="shared" si="22"/>
        <v>0</v>
      </c>
      <c r="T306" s="3">
        <f t="shared" si="23"/>
        <v>8407.9999999999927</v>
      </c>
      <c r="U306" s="24"/>
      <c r="V306" s="24"/>
      <c r="W306" s="3"/>
      <c r="X306" s="25"/>
      <c r="Y306" s="25" t="s">
        <v>5760</v>
      </c>
      <c r="Z306" s="25"/>
      <c r="AA306" s="25"/>
      <c r="AB306" s="25"/>
      <c r="AC306" s="3" t="str">
        <f>IF(Caja_Finanzas[[#This Row],[FECHA]]&gt;0,TEXT(Caja_Finanzas[[#This Row],[FECHA]],"mmmm"),0)</f>
        <v>Marzo</v>
      </c>
    </row>
    <row r="307" spans="2:29" ht="48" x14ac:dyDescent="0.3">
      <c r="B307" s="2">
        <f>IF(Caja_Finanzas[[#This Row],[TIPO DE R.]]="R",COUNTIFS($D$4:$D306,"R")+1,"")</f>
        <v>294</v>
      </c>
      <c r="C307" s="19" t="str">
        <f t="shared" si="24"/>
        <v>C-Finanzas</v>
      </c>
      <c r="D307" s="3" t="s">
        <v>1074</v>
      </c>
      <c r="E307" s="14">
        <v>45740</v>
      </c>
      <c r="F307" s="5" t="s">
        <v>5400</v>
      </c>
      <c r="G307" s="5" t="s">
        <v>1079</v>
      </c>
      <c r="H307" s="5"/>
      <c r="I307" s="6"/>
      <c r="J307" s="6"/>
      <c r="K307" s="6"/>
      <c r="L307" s="6"/>
      <c r="M307" s="7" t="s">
        <v>5761</v>
      </c>
      <c r="N307" s="8" t="str">
        <f>"CFI"&amp;".D"&amp;TEXT(Caja_Finanzas[[#This Row],[FECHA]],"DD-MM")&amp;"-"&amp;TEXT(Caja_Finanzas[[#This Row],[ITEM]],"0000")</f>
        <v>CFI.D24-03-0294</v>
      </c>
      <c r="O307" s="8" t="str">
        <f t="shared" si="25"/>
        <v>PEN</v>
      </c>
      <c r="P307" s="13"/>
      <c r="Q307" s="13">
        <v>400</v>
      </c>
      <c r="R307" s="3">
        <f t="shared" si="21"/>
        <v>0</v>
      </c>
      <c r="S307" s="3">
        <f t="shared" si="22"/>
        <v>400</v>
      </c>
      <c r="T307" s="3">
        <f t="shared" si="23"/>
        <v>8007.9999999999927</v>
      </c>
      <c r="U307" s="24"/>
      <c r="V307" s="24"/>
      <c r="W307" s="3"/>
      <c r="X307" s="25" t="s">
        <v>5762</v>
      </c>
      <c r="Y307" s="25" t="s">
        <v>5763</v>
      </c>
      <c r="Z307" s="25"/>
      <c r="AA307" s="25"/>
      <c r="AB307" s="25"/>
      <c r="AC307" s="3" t="str">
        <f>IF(Caja_Finanzas[[#This Row],[FECHA]]&gt;0,TEXT(Caja_Finanzas[[#This Row],[FECHA]],"mmmm"),0)</f>
        <v>Marzo</v>
      </c>
    </row>
    <row r="308" spans="2:29" ht="24" x14ac:dyDescent="0.3">
      <c r="B308" s="2">
        <f>IF(Caja_Finanzas[[#This Row],[TIPO DE R.]]="R",COUNTIFS($D$4:$D307,"R")+1,"")</f>
        <v>295</v>
      </c>
      <c r="C308" s="19" t="str">
        <f t="shared" si="24"/>
        <v>C-Finanzas</v>
      </c>
      <c r="D308" s="3" t="s">
        <v>1074</v>
      </c>
      <c r="E308" s="14">
        <v>45740</v>
      </c>
      <c r="F308" s="5" t="s">
        <v>5618</v>
      </c>
      <c r="G308" s="5" t="s">
        <v>1079</v>
      </c>
      <c r="H308" s="5"/>
      <c r="I308" s="6"/>
      <c r="J308" s="6"/>
      <c r="K308" s="6"/>
      <c r="L308" s="6"/>
      <c r="M308" s="7" t="s">
        <v>5764</v>
      </c>
      <c r="N308" s="8" t="str">
        <f>"CFI"&amp;".D"&amp;TEXT(Caja_Finanzas[[#This Row],[FECHA]],"DD-MM")&amp;"-"&amp;TEXT(Caja_Finanzas[[#This Row],[ITEM]],"0000")</f>
        <v>CFI.D24-03-0295</v>
      </c>
      <c r="O308" s="8" t="str">
        <f t="shared" si="25"/>
        <v>PEN</v>
      </c>
      <c r="P308" s="13"/>
      <c r="Q308" s="13">
        <v>74.5</v>
      </c>
      <c r="R308" s="3">
        <f t="shared" si="21"/>
        <v>0</v>
      </c>
      <c r="S308" s="3">
        <f t="shared" si="22"/>
        <v>74.5</v>
      </c>
      <c r="T308" s="3">
        <f t="shared" si="23"/>
        <v>7933.4999999999927</v>
      </c>
      <c r="U308" s="24"/>
      <c r="V308" s="24"/>
      <c r="W308" s="3"/>
      <c r="X308" s="25" t="s">
        <v>5596</v>
      </c>
      <c r="Y308" s="25" t="s">
        <v>5765</v>
      </c>
      <c r="Z308" s="25"/>
      <c r="AA308" s="25"/>
      <c r="AB308" s="25"/>
      <c r="AC308" s="3" t="str">
        <f>IF(Caja_Finanzas[[#This Row],[FECHA]]&gt;0,TEXT(Caja_Finanzas[[#This Row],[FECHA]],"mmmm"),0)</f>
        <v>Marzo</v>
      </c>
    </row>
    <row r="309" spans="2:29" ht="24" x14ac:dyDescent="0.3">
      <c r="B309" s="2">
        <f>IF(Caja_Finanzas[[#This Row],[TIPO DE R.]]="R",COUNTIFS($D$4:$D308,"R")+1,"")</f>
        <v>296</v>
      </c>
      <c r="C309" s="19" t="str">
        <f t="shared" si="24"/>
        <v>C-Finanzas</v>
      </c>
      <c r="D309" s="3" t="s">
        <v>1074</v>
      </c>
      <c r="E309" s="14">
        <v>45740</v>
      </c>
      <c r="F309" s="5" t="s">
        <v>5618</v>
      </c>
      <c r="G309" s="5" t="s">
        <v>1079</v>
      </c>
      <c r="H309" s="5"/>
      <c r="I309" s="6"/>
      <c r="J309" s="6"/>
      <c r="K309" s="6"/>
      <c r="L309" s="6"/>
      <c r="M309" s="7" t="s">
        <v>5766</v>
      </c>
      <c r="N309" s="8" t="str">
        <f>"CFI"&amp;".D"&amp;TEXT(Caja_Finanzas[[#This Row],[FECHA]],"DD-MM")&amp;"-"&amp;TEXT(Caja_Finanzas[[#This Row],[ITEM]],"0000")</f>
        <v>CFI.D24-03-0296</v>
      </c>
      <c r="O309" s="8" t="str">
        <f t="shared" si="25"/>
        <v>PEN</v>
      </c>
      <c r="P309" s="13"/>
      <c r="Q309" s="13">
        <v>100</v>
      </c>
      <c r="R309" s="3">
        <f t="shared" si="21"/>
        <v>0</v>
      </c>
      <c r="S309" s="3">
        <f t="shared" si="22"/>
        <v>100</v>
      </c>
      <c r="T309" s="3">
        <f t="shared" si="23"/>
        <v>7833.4999999999927</v>
      </c>
      <c r="U309" s="24"/>
      <c r="V309" s="24"/>
      <c r="W309" s="3"/>
      <c r="X309" s="25" t="s">
        <v>5767</v>
      </c>
      <c r="Y309" s="25" t="s">
        <v>5768</v>
      </c>
      <c r="Z309" s="25"/>
      <c r="AA309" s="25"/>
      <c r="AB309" s="25"/>
      <c r="AC309" s="3" t="str">
        <f>IF(Caja_Finanzas[[#This Row],[FECHA]]&gt;0,TEXT(Caja_Finanzas[[#This Row],[FECHA]],"mmmm"),0)</f>
        <v>Marzo</v>
      </c>
    </row>
    <row r="310" spans="2:29" ht="36" x14ac:dyDescent="0.3">
      <c r="B310" s="2">
        <f>IF(Caja_Finanzas[[#This Row],[TIPO DE R.]]="R",COUNTIFS($D$4:$D309,"R")+1,"")</f>
        <v>297</v>
      </c>
      <c r="C310" s="19" t="str">
        <f t="shared" si="24"/>
        <v>C-Finanzas</v>
      </c>
      <c r="D310" s="3" t="s">
        <v>1074</v>
      </c>
      <c r="E310" s="14">
        <v>45740</v>
      </c>
      <c r="F310" s="5" t="s">
        <v>5343</v>
      </c>
      <c r="G310" s="5" t="s">
        <v>1079</v>
      </c>
      <c r="H310" s="5"/>
      <c r="I310" s="6"/>
      <c r="J310" s="6"/>
      <c r="K310" s="6"/>
      <c r="L310" s="6"/>
      <c r="M310" s="7" t="s">
        <v>5769</v>
      </c>
      <c r="N310" s="8" t="str">
        <f>"CFI"&amp;".D"&amp;TEXT(Caja_Finanzas[[#This Row],[FECHA]],"DD-MM")&amp;"-"&amp;TEXT(Caja_Finanzas[[#This Row],[ITEM]],"0000")</f>
        <v>CFI.D24-03-0297</v>
      </c>
      <c r="O310" s="8" t="str">
        <f t="shared" si="25"/>
        <v>PEN</v>
      </c>
      <c r="P310" s="13"/>
      <c r="Q310" s="13">
        <v>150</v>
      </c>
      <c r="R310" s="3">
        <f t="shared" si="21"/>
        <v>0</v>
      </c>
      <c r="S310" s="3">
        <f t="shared" si="22"/>
        <v>150</v>
      </c>
      <c r="T310" s="3">
        <f t="shared" si="23"/>
        <v>7683.4999999999927</v>
      </c>
      <c r="U310" s="24"/>
      <c r="V310" s="24"/>
      <c r="W310" s="3"/>
      <c r="X310" s="25"/>
      <c r="Y310" s="25"/>
      <c r="Z310" s="25"/>
      <c r="AA310" s="25"/>
      <c r="AB310" s="25"/>
      <c r="AC310" s="3" t="str">
        <f>IF(Caja_Finanzas[[#This Row],[FECHA]]&gt;0,TEXT(Caja_Finanzas[[#This Row],[FECHA]],"mmmm"),0)</f>
        <v>Marzo</v>
      </c>
    </row>
    <row r="311" spans="2:29" ht="24" x14ac:dyDescent="0.3">
      <c r="B311" s="2">
        <f>IF(Caja_Finanzas[[#This Row],[TIPO DE R.]]="R",COUNTIFS($D$4:$D310,"R")+1,"")</f>
        <v>298</v>
      </c>
      <c r="C311" s="19" t="str">
        <f t="shared" si="24"/>
        <v>C-Finanzas</v>
      </c>
      <c r="D311" s="3" t="s">
        <v>1074</v>
      </c>
      <c r="E311" s="14">
        <v>45743</v>
      </c>
      <c r="F311" s="5" t="s">
        <v>2226</v>
      </c>
      <c r="G311" s="5" t="s">
        <v>1087</v>
      </c>
      <c r="H311" s="5"/>
      <c r="I311" s="6"/>
      <c r="J311" s="6"/>
      <c r="K311" s="6"/>
      <c r="L311" s="6"/>
      <c r="M311" s="7" t="s">
        <v>5156</v>
      </c>
      <c r="N311" s="8" t="str">
        <f>"CFI"&amp;".D"&amp;TEXT(Caja_Finanzas[[#This Row],[FECHA]],"DD-MM")&amp;"-"&amp;TEXT(Caja_Finanzas[[#This Row],[ITEM]],"0000")</f>
        <v>CFI.D27-03-0298</v>
      </c>
      <c r="O311" s="8" t="str">
        <f t="shared" si="25"/>
        <v>PEN</v>
      </c>
      <c r="P311" s="13"/>
      <c r="Q311" s="13">
        <v>2112</v>
      </c>
      <c r="R311" s="3">
        <f t="shared" si="21"/>
        <v>2112</v>
      </c>
      <c r="S311" s="3">
        <f t="shared" si="22"/>
        <v>0</v>
      </c>
      <c r="T311" s="3">
        <f t="shared" si="23"/>
        <v>9795.4999999999927</v>
      </c>
      <c r="U311" s="24"/>
      <c r="V311" s="24"/>
      <c r="W311" s="3"/>
      <c r="X311" s="25"/>
      <c r="Y311" s="25" t="s">
        <v>5770</v>
      </c>
      <c r="Z311" s="25"/>
      <c r="AA311" s="25"/>
      <c r="AB311" s="25"/>
      <c r="AC311" s="3" t="str">
        <f>IF(Caja_Finanzas[[#This Row],[FECHA]]&gt;0,TEXT(Caja_Finanzas[[#This Row],[FECHA]],"mmmm"),0)</f>
        <v>Marzo</v>
      </c>
    </row>
    <row r="312" spans="2:29" ht="36" x14ac:dyDescent="0.3">
      <c r="B312" s="2">
        <f>IF(Caja_Finanzas[[#This Row],[TIPO DE R.]]="R",COUNTIFS($D$4:$D311,"R")+1,"")</f>
        <v>299</v>
      </c>
      <c r="C312" s="19" t="str">
        <f t="shared" si="24"/>
        <v>C-Finanzas</v>
      </c>
      <c r="D312" s="3" t="s">
        <v>1074</v>
      </c>
      <c r="E312" s="14">
        <v>45743</v>
      </c>
      <c r="F312" s="5" t="s">
        <v>5307</v>
      </c>
      <c r="G312" s="5" t="s">
        <v>1079</v>
      </c>
      <c r="H312" s="5"/>
      <c r="I312" s="6"/>
      <c r="J312" s="6"/>
      <c r="K312" s="6"/>
      <c r="L312" s="6"/>
      <c r="M312" s="7" t="s">
        <v>5771</v>
      </c>
      <c r="N312" s="8" t="str">
        <f>"CFI"&amp;".D"&amp;TEXT(Caja_Finanzas[[#This Row],[FECHA]],"DD-MM")&amp;"-"&amp;TEXT(Caja_Finanzas[[#This Row],[ITEM]],"0000")</f>
        <v>CFI.D27-03-0299</v>
      </c>
      <c r="O312" s="8" t="str">
        <f t="shared" si="25"/>
        <v>PEN</v>
      </c>
      <c r="P312" s="13"/>
      <c r="Q312" s="13">
        <v>800</v>
      </c>
      <c r="R312" s="3">
        <f t="shared" si="21"/>
        <v>0</v>
      </c>
      <c r="S312" s="3">
        <f t="shared" si="22"/>
        <v>800</v>
      </c>
      <c r="T312" s="3">
        <f t="shared" si="23"/>
        <v>8995.4999999999927</v>
      </c>
      <c r="U312" s="24"/>
      <c r="V312" s="24"/>
      <c r="W312" s="3"/>
      <c r="X312" s="25" t="s">
        <v>5772</v>
      </c>
      <c r="Y312" s="25" t="s">
        <v>5773</v>
      </c>
      <c r="Z312" s="25"/>
      <c r="AA312" s="25"/>
      <c r="AB312" s="25"/>
      <c r="AC312" s="3" t="str">
        <f>IF(Caja_Finanzas[[#This Row],[FECHA]]&gt;0,TEXT(Caja_Finanzas[[#This Row],[FECHA]],"mmmm"),0)</f>
        <v>Marzo</v>
      </c>
    </row>
    <row r="313" spans="2:29" ht="24" x14ac:dyDescent="0.3">
      <c r="B313" s="2">
        <f>IF(Caja_Finanzas[[#This Row],[TIPO DE R.]]="R",COUNTIFS($D$4:$D312,"R")+1,"")</f>
        <v>300</v>
      </c>
      <c r="C313" s="19" t="str">
        <f t="shared" si="24"/>
        <v>C-Finanzas</v>
      </c>
      <c r="D313" s="3" t="s">
        <v>1074</v>
      </c>
      <c r="E313" s="14">
        <v>45743</v>
      </c>
      <c r="F313" s="5" t="s">
        <v>1681</v>
      </c>
      <c r="G313" s="5" t="s">
        <v>1087</v>
      </c>
      <c r="H313" s="5"/>
      <c r="I313" s="6"/>
      <c r="J313" s="6"/>
      <c r="K313" s="6"/>
      <c r="L313" s="6"/>
      <c r="M313" s="7" t="s">
        <v>5156</v>
      </c>
      <c r="N313" s="8" t="str">
        <f>"CFI"&amp;".D"&amp;TEXT(Caja_Finanzas[[#This Row],[FECHA]],"DD-MM")&amp;"-"&amp;TEXT(Caja_Finanzas[[#This Row],[ITEM]],"0000")</f>
        <v>CFI.D27-03-0300</v>
      </c>
      <c r="O313" s="8" t="str">
        <f t="shared" si="25"/>
        <v>PEN</v>
      </c>
      <c r="P313" s="13"/>
      <c r="Q313" s="13">
        <v>810</v>
      </c>
      <c r="R313" s="3">
        <f t="shared" si="21"/>
        <v>810</v>
      </c>
      <c r="S313" s="3">
        <f t="shared" si="22"/>
        <v>0</v>
      </c>
      <c r="T313" s="3">
        <f t="shared" si="23"/>
        <v>9805.4999999999927</v>
      </c>
      <c r="U313" s="24"/>
      <c r="V313" s="24"/>
      <c r="W313" s="3"/>
      <c r="X313" s="25"/>
      <c r="Y313" s="25" t="s">
        <v>1682</v>
      </c>
      <c r="Z313" s="25"/>
      <c r="AA313" s="25"/>
      <c r="AB313" s="25"/>
      <c r="AC313" s="3" t="str">
        <f>IF(Caja_Finanzas[[#This Row],[FECHA]]&gt;0,TEXT(Caja_Finanzas[[#This Row],[FECHA]],"mmmm"),0)</f>
        <v>Marzo</v>
      </c>
    </row>
    <row r="314" spans="2:29" ht="24" x14ac:dyDescent="0.3">
      <c r="B314" s="2">
        <f>IF(Caja_Finanzas[[#This Row],[TIPO DE R.]]="R",COUNTIFS($D$4:$D313,"R")+1,"")</f>
        <v>301</v>
      </c>
      <c r="C314" s="19" t="str">
        <f t="shared" si="24"/>
        <v>C-Finanzas</v>
      </c>
      <c r="D314" s="3" t="s">
        <v>1074</v>
      </c>
      <c r="E314" s="14">
        <v>45743</v>
      </c>
      <c r="F314" s="5" t="s">
        <v>5352</v>
      </c>
      <c r="G314" s="5" t="s">
        <v>1079</v>
      </c>
      <c r="H314" s="5"/>
      <c r="I314" s="6"/>
      <c r="J314" s="6"/>
      <c r="K314" s="6"/>
      <c r="L314" s="6"/>
      <c r="M314" s="7" t="s">
        <v>5774</v>
      </c>
      <c r="N314" s="8" t="str">
        <f>"CFI"&amp;".D"&amp;TEXT(Caja_Finanzas[[#This Row],[FECHA]],"DD-MM")&amp;"-"&amp;TEXT(Caja_Finanzas[[#This Row],[ITEM]],"0000")</f>
        <v>CFI.D27-03-0301</v>
      </c>
      <c r="O314" s="8" t="str">
        <f t="shared" si="25"/>
        <v>PEN</v>
      </c>
      <c r="P314" s="13"/>
      <c r="Q314" s="13">
        <v>810</v>
      </c>
      <c r="R314" s="3">
        <f t="shared" si="21"/>
        <v>0</v>
      </c>
      <c r="S314" s="3">
        <f t="shared" si="22"/>
        <v>810</v>
      </c>
      <c r="T314" s="3">
        <f t="shared" si="23"/>
        <v>8995.4999999999927</v>
      </c>
      <c r="U314" s="24"/>
      <c r="V314" s="24"/>
      <c r="W314" s="3"/>
      <c r="X314" s="25"/>
      <c r="Y314" s="25"/>
      <c r="Z314" s="25"/>
      <c r="AA314" s="25"/>
      <c r="AB314" s="25"/>
      <c r="AC314" s="3" t="str">
        <f>IF(Caja_Finanzas[[#This Row],[FECHA]]&gt;0,TEXT(Caja_Finanzas[[#This Row],[FECHA]],"mmmm"),0)</f>
        <v>Marzo</v>
      </c>
    </row>
    <row r="315" spans="2:29" ht="24" x14ac:dyDescent="0.3">
      <c r="B315" s="2">
        <f>IF(Caja_Finanzas[[#This Row],[TIPO DE R.]]="R",COUNTIFS($D$4:$D314,"R")+1,"")</f>
        <v>302</v>
      </c>
      <c r="C315" s="19" t="str">
        <f t="shared" si="24"/>
        <v>C-Finanzas</v>
      </c>
      <c r="D315" s="3" t="s">
        <v>1074</v>
      </c>
      <c r="E315" s="14">
        <v>45743</v>
      </c>
      <c r="F315" s="5" t="s">
        <v>1609</v>
      </c>
      <c r="G315" s="5" t="s">
        <v>1087</v>
      </c>
      <c r="H315" s="5"/>
      <c r="I315" s="6"/>
      <c r="J315" s="6"/>
      <c r="K315" s="6"/>
      <c r="L315" s="6"/>
      <c r="M315" s="7" t="s">
        <v>5156</v>
      </c>
      <c r="N315" s="8" t="str">
        <f>"CFI"&amp;".D"&amp;TEXT(Caja_Finanzas[[#This Row],[FECHA]],"DD-MM")&amp;"-"&amp;TEXT(Caja_Finanzas[[#This Row],[ITEM]],"0000")</f>
        <v>CFI.D27-03-0302</v>
      </c>
      <c r="O315" s="8" t="str">
        <f t="shared" si="25"/>
        <v>PEN</v>
      </c>
      <c r="P315" s="13"/>
      <c r="Q315" s="13">
        <v>478</v>
      </c>
      <c r="R315" s="3">
        <f t="shared" si="21"/>
        <v>478</v>
      </c>
      <c r="S315" s="3">
        <f t="shared" si="22"/>
        <v>0</v>
      </c>
      <c r="T315" s="3">
        <f t="shared" si="23"/>
        <v>9473.4999999999927</v>
      </c>
      <c r="U315" s="24"/>
      <c r="V315" s="24"/>
      <c r="W315" s="3"/>
      <c r="X315" s="25"/>
      <c r="Y315" s="25" t="s">
        <v>5775</v>
      </c>
      <c r="Z315" s="25"/>
      <c r="AA315" s="25"/>
      <c r="AB315" s="25"/>
      <c r="AC315" s="3" t="str">
        <f>IF(Caja_Finanzas[[#This Row],[FECHA]]&gt;0,TEXT(Caja_Finanzas[[#This Row],[FECHA]],"mmmm"),0)</f>
        <v>Marzo</v>
      </c>
    </row>
    <row r="316" spans="2:29" x14ac:dyDescent="0.3">
      <c r="B316" s="2">
        <f>IF(Caja_Finanzas[[#This Row],[TIPO DE R.]]="R",COUNTIFS($D$4:$D315,"R")+1,"")</f>
        <v>303</v>
      </c>
      <c r="C316" s="19" t="str">
        <f t="shared" si="24"/>
        <v>C-Finanzas</v>
      </c>
      <c r="D316" s="3" t="s">
        <v>1074</v>
      </c>
      <c r="E316" s="14">
        <v>45744</v>
      </c>
      <c r="F316" s="5" t="s">
        <v>382</v>
      </c>
      <c r="G316" s="5" t="s">
        <v>1087</v>
      </c>
      <c r="H316" s="5"/>
      <c r="I316" s="6"/>
      <c r="J316" s="6"/>
      <c r="K316" s="6"/>
      <c r="L316" s="6"/>
      <c r="M316" s="7" t="s">
        <v>5156</v>
      </c>
      <c r="N316" s="8" t="str">
        <f>"CFI"&amp;".D"&amp;TEXT(Caja_Finanzas[[#This Row],[FECHA]],"DD-MM")&amp;"-"&amp;TEXT(Caja_Finanzas[[#This Row],[ITEM]],"0000")</f>
        <v>CFI.D28-03-0303</v>
      </c>
      <c r="O316" s="8" t="str">
        <f t="shared" si="25"/>
        <v>PEN</v>
      </c>
      <c r="P316" s="13"/>
      <c r="Q316" s="13">
        <v>1469.4</v>
      </c>
      <c r="R316" s="3">
        <f t="shared" si="21"/>
        <v>1469.4</v>
      </c>
      <c r="S316" s="3">
        <f t="shared" si="22"/>
        <v>0</v>
      </c>
      <c r="T316" s="3">
        <f t="shared" si="23"/>
        <v>10942.899999999992</v>
      </c>
      <c r="U316" s="24"/>
      <c r="V316" s="24"/>
      <c r="W316" s="3"/>
      <c r="X316" s="25"/>
      <c r="Y316" s="25" t="s">
        <v>5776</v>
      </c>
      <c r="Z316" s="25"/>
      <c r="AA316" s="25"/>
      <c r="AB316" s="25"/>
      <c r="AC316" s="3" t="str">
        <f>IF(Caja_Finanzas[[#This Row],[FECHA]]&gt;0,TEXT(Caja_Finanzas[[#This Row],[FECHA]],"mmmm"),0)</f>
        <v>Marzo</v>
      </c>
    </row>
    <row r="317" spans="2:29" ht="24" x14ac:dyDescent="0.3">
      <c r="B317" s="2">
        <f>IF(Caja_Finanzas[[#This Row],[TIPO DE R.]]="R",COUNTIFS($D$4:$D316,"R")+1,"")</f>
        <v>304</v>
      </c>
      <c r="C317" s="19" t="str">
        <f t="shared" si="24"/>
        <v>C-Finanzas</v>
      </c>
      <c r="D317" s="3" t="s">
        <v>1074</v>
      </c>
      <c r="E317" s="14">
        <v>45744</v>
      </c>
      <c r="F317" s="5" t="s">
        <v>5307</v>
      </c>
      <c r="G317" s="5" t="s">
        <v>1079</v>
      </c>
      <c r="H317" s="5"/>
      <c r="I317" s="6"/>
      <c r="J317" s="6"/>
      <c r="K317" s="6"/>
      <c r="L317" s="6"/>
      <c r="M317" s="7" t="s">
        <v>5777</v>
      </c>
      <c r="N317" s="8" t="str">
        <f>"CFI"&amp;".D"&amp;TEXT(Caja_Finanzas[[#This Row],[FECHA]],"DD-MM")&amp;"-"&amp;TEXT(Caja_Finanzas[[#This Row],[ITEM]],"0000")</f>
        <v>CFI.D28-03-0304</v>
      </c>
      <c r="O317" s="8" t="str">
        <f t="shared" si="25"/>
        <v>PEN</v>
      </c>
      <c r="P317" s="13"/>
      <c r="Q317" s="13">
        <v>50</v>
      </c>
      <c r="R317" s="3">
        <f t="shared" si="21"/>
        <v>0</v>
      </c>
      <c r="S317" s="3">
        <f t="shared" si="22"/>
        <v>50</v>
      </c>
      <c r="T317" s="3">
        <f t="shared" si="23"/>
        <v>10892.899999999992</v>
      </c>
      <c r="U317" s="24"/>
      <c r="V317" s="24"/>
      <c r="W317" s="3"/>
      <c r="X317" s="25" t="s">
        <v>5394</v>
      </c>
      <c r="Y317" s="25" t="s">
        <v>5778</v>
      </c>
      <c r="Z317" s="25"/>
      <c r="AA317" s="25"/>
      <c r="AB317" s="25"/>
      <c r="AC317" s="3" t="str">
        <f>IF(Caja_Finanzas[[#This Row],[FECHA]]&gt;0,TEXT(Caja_Finanzas[[#This Row],[FECHA]],"mmmm"),0)</f>
        <v>Marzo</v>
      </c>
    </row>
    <row r="318" spans="2:29" ht="24" x14ac:dyDescent="0.3">
      <c r="B318" s="2">
        <f>IF(Caja_Finanzas[[#This Row],[TIPO DE R.]]="R",COUNTIFS($D$4:$D317,"R")+1,"")</f>
        <v>305</v>
      </c>
      <c r="C318" s="19" t="str">
        <f t="shared" si="24"/>
        <v>C-Finanzas</v>
      </c>
      <c r="D318" s="3" t="s">
        <v>1074</v>
      </c>
      <c r="E318" s="14">
        <v>45744</v>
      </c>
      <c r="F318" s="5" t="s">
        <v>5347</v>
      </c>
      <c r="G318" s="5" t="s">
        <v>1079</v>
      </c>
      <c r="H318" s="5"/>
      <c r="I318" s="6"/>
      <c r="J318" s="6"/>
      <c r="K318" s="6"/>
      <c r="L318" s="6"/>
      <c r="M318" s="7" t="s">
        <v>5779</v>
      </c>
      <c r="N318" s="8" t="str">
        <f>"CFI"&amp;".D"&amp;TEXT(Caja_Finanzas[[#This Row],[FECHA]],"DD-MM")&amp;"-"&amp;TEXT(Caja_Finanzas[[#This Row],[ITEM]],"0000")</f>
        <v>CFI.D28-03-0305</v>
      </c>
      <c r="O318" s="8" t="str">
        <f t="shared" si="25"/>
        <v>PEN</v>
      </c>
      <c r="P318" s="13"/>
      <c r="Q318" s="13">
        <v>10.7</v>
      </c>
      <c r="R318" s="3">
        <f t="shared" si="21"/>
        <v>0</v>
      </c>
      <c r="S318" s="3">
        <f t="shared" si="22"/>
        <v>10.7</v>
      </c>
      <c r="T318" s="3">
        <f t="shared" si="23"/>
        <v>10882.199999999992</v>
      </c>
      <c r="U318" s="24"/>
      <c r="V318" s="24"/>
      <c r="W318" s="3"/>
      <c r="X318" s="25" t="s">
        <v>5780</v>
      </c>
      <c r="Y318" s="25" t="s">
        <v>5781</v>
      </c>
      <c r="Z318" s="25"/>
      <c r="AA318" s="25"/>
      <c r="AB318" s="25"/>
      <c r="AC318" s="3" t="str">
        <f>IF(Caja_Finanzas[[#This Row],[FECHA]]&gt;0,TEXT(Caja_Finanzas[[#This Row],[FECHA]],"mmmm"),0)</f>
        <v>Marzo</v>
      </c>
    </row>
    <row r="319" spans="2:29" ht="24" x14ac:dyDescent="0.3">
      <c r="B319" s="2">
        <f>IF(Caja_Finanzas[[#This Row],[TIPO DE R.]]="R",COUNTIFS($D$4:$D318,"R")+1,"")</f>
        <v>306</v>
      </c>
      <c r="C319" s="19" t="str">
        <f t="shared" si="24"/>
        <v>C-Finanzas</v>
      </c>
      <c r="D319" s="3" t="s">
        <v>1074</v>
      </c>
      <c r="E319" s="14">
        <v>45744</v>
      </c>
      <c r="F319" s="5" t="s">
        <v>5347</v>
      </c>
      <c r="G319" s="5" t="s">
        <v>1079</v>
      </c>
      <c r="H319" s="5"/>
      <c r="I319" s="6"/>
      <c r="J319" s="6"/>
      <c r="K319" s="6"/>
      <c r="L319" s="6"/>
      <c r="M319" s="7" t="s">
        <v>5782</v>
      </c>
      <c r="N319" s="8" t="str">
        <f>"CFI"&amp;".D"&amp;TEXT(Caja_Finanzas[[#This Row],[FECHA]],"DD-MM")&amp;"-"&amp;TEXT(Caja_Finanzas[[#This Row],[ITEM]],"0000")</f>
        <v>CFI.D28-03-0306</v>
      </c>
      <c r="O319" s="8" t="str">
        <f t="shared" si="25"/>
        <v>PEN</v>
      </c>
      <c r="P319" s="13"/>
      <c r="Q319" s="13">
        <v>12</v>
      </c>
      <c r="R319" s="3">
        <f t="shared" si="21"/>
        <v>0</v>
      </c>
      <c r="S319" s="3">
        <f t="shared" si="22"/>
        <v>12</v>
      </c>
      <c r="T319" s="3">
        <f t="shared" si="23"/>
        <v>10870.199999999992</v>
      </c>
      <c r="U319" s="24"/>
      <c r="V319" s="24"/>
      <c r="W319" s="3"/>
      <c r="X319" s="25" t="s">
        <v>5780</v>
      </c>
      <c r="Y319" s="25" t="s">
        <v>5783</v>
      </c>
      <c r="Z319" s="25"/>
      <c r="AA319" s="25"/>
      <c r="AB319" s="25"/>
      <c r="AC319" s="3" t="str">
        <f>IF(Caja_Finanzas[[#This Row],[FECHA]]&gt;0,TEXT(Caja_Finanzas[[#This Row],[FECHA]],"mmmm"),0)</f>
        <v>Marzo</v>
      </c>
    </row>
    <row r="320" spans="2:29" ht="24" x14ac:dyDescent="0.3">
      <c r="B320" s="2">
        <f>IF(Caja_Finanzas[[#This Row],[TIPO DE R.]]="R",COUNTIFS($D$4:$D319,"R")+1,"")</f>
        <v>307</v>
      </c>
      <c r="C320" s="19" t="str">
        <f t="shared" si="24"/>
        <v>C-Finanzas</v>
      </c>
      <c r="D320" s="3" t="s">
        <v>1074</v>
      </c>
      <c r="E320" s="14">
        <v>45744</v>
      </c>
      <c r="F320" s="5" t="s">
        <v>5618</v>
      </c>
      <c r="G320" s="5" t="s">
        <v>1079</v>
      </c>
      <c r="H320" s="5"/>
      <c r="I320" s="6"/>
      <c r="J320" s="6"/>
      <c r="K320" s="6"/>
      <c r="L320" s="6"/>
      <c r="M320" s="7" t="s">
        <v>5784</v>
      </c>
      <c r="N320" s="8" t="str">
        <f>"CFI"&amp;".D"&amp;TEXT(Caja_Finanzas[[#This Row],[FECHA]],"DD-MM")&amp;"-"&amp;TEXT(Caja_Finanzas[[#This Row],[ITEM]],"0000")</f>
        <v>CFI.D28-03-0307</v>
      </c>
      <c r="O320" s="8" t="str">
        <f t="shared" si="25"/>
        <v>PEN</v>
      </c>
      <c r="P320" s="13"/>
      <c r="Q320" s="13">
        <v>100</v>
      </c>
      <c r="R320" s="3">
        <f t="shared" si="21"/>
        <v>0</v>
      </c>
      <c r="S320" s="3">
        <f t="shared" si="22"/>
        <v>100</v>
      </c>
      <c r="T320" s="3">
        <f t="shared" si="23"/>
        <v>10770.199999999992</v>
      </c>
      <c r="U320" s="24"/>
      <c r="V320" s="24"/>
      <c r="W320" s="3"/>
      <c r="X320" s="25" t="s">
        <v>5767</v>
      </c>
      <c r="Y320" s="25" t="s">
        <v>5768</v>
      </c>
      <c r="Z320" s="25"/>
      <c r="AA320" s="25"/>
      <c r="AB320" s="25"/>
      <c r="AC320" s="3" t="str">
        <f>IF(Caja_Finanzas[[#This Row],[FECHA]]&gt;0,TEXT(Caja_Finanzas[[#This Row],[FECHA]],"mmmm"),0)</f>
        <v>Marzo</v>
      </c>
    </row>
    <row r="321" spans="2:29" ht="24" x14ac:dyDescent="0.3">
      <c r="B321" s="2">
        <f>IF(Caja_Finanzas[[#This Row],[TIPO DE R.]]="R",COUNTIFS($D$4:$D320,"R")+1,"")</f>
        <v>308</v>
      </c>
      <c r="C321" s="19" t="str">
        <f t="shared" si="24"/>
        <v>C-Finanzas</v>
      </c>
      <c r="D321" s="3" t="s">
        <v>1074</v>
      </c>
      <c r="E321" s="14">
        <v>45744</v>
      </c>
      <c r="F321" s="5" t="s">
        <v>5618</v>
      </c>
      <c r="G321" s="5" t="s">
        <v>1079</v>
      </c>
      <c r="H321" s="5"/>
      <c r="I321" s="6"/>
      <c r="J321" s="6"/>
      <c r="K321" s="6"/>
      <c r="L321" s="6"/>
      <c r="M321" s="7" t="s">
        <v>5785</v>
      </c>
      <c r="N321" s="8" t="str">
        <f>"CFI"&amp;".D"&amp;TEXT(Caja_Finanzas[[#This Row],[FECHA]],"DD-MM")&amp;"-"&amp;TEXT(Caja_Finanzas[[#This Row],[ITEM]],"0000")</f>
        <v>CFI.D28-03-0308</v>
      </c>
      <c r="O321" s="8" t="str">
        <f t="shared" si="25"/>
        <v>PEN</v>
      </c>
      <c r="P321" s="13"/>
      <c r="Q321" s="13">
        <v>73</v>
      </c>
      <c r="R321" s="3">
        <f t="shared" si="21"/>
        <v>0</v>
      </c>
      <c r="S321" s="3">
        <f t="shared" si="22"/>
        <v>73</v>
      </c>
      <c r="T321" s="3">
        <f t="shared" si="23"/>
        <v>10697.199999999992</v>
      </c>
      <c r="U321" s="24"/>
      <c r="V321" s="24"/>
      <c r="W321" s="3"/>
      <c r="X321" s="25" t="s">
        <v>5786</v>
      </c>
      <c r="Y321" s="25" t="s">
        <v>5787</v>
      </c>
      <c r="Z321" s="25"/>
      <c r="AA321" s="25"/>
      <c r="AB321" s="25"/>
      <c r="AC321" s="3" t="str">
        <f>IF(Caja_Finanzas[[#This Row],[FECHA]]&gt;0,TEXT(Caja_Finanzas[[#This Row],[FECHA]],"mmmm"),0)</f>
        <v>Marzo</v>
      </c>
    </row>
    <row r="322" spans="2:29" ht="24" x14ac:dyDescent="0.3">
      <c r="B322" s="2">
        <f>IF(Caja_Finanzas[[#This Row],[TIPO DE R.]]="R",COUNTIFS($D$4:$D321,"R")+1,"")</f>
        <v>309</v>
      </c>
      <c r="C322" s="19" t="str">
        <f t="shared" si="24"/>
        <v>C-Finanzas</v>
      </c>
      <c r="D322" s="3" t="s">
        <v>1074</v>
      </c>
      <c r="E322" s="14">
        <v>45744</v>
      </c>
      <c r="F322" s="5" t="s">
        <v>5709</v>
      </c>
      <c r="G322" s="5" t="s">
        <v>1087</v>
      </c>
      <c r="H322" s="5"/>
      <c r="I322" s="6"/>
      <c r="J322" s="6"/>
      <c r="K322" s="6"/>
      <c r="L322" s="6"/>
      <c r="M322" s="7" t="s">
        <v>5156</v>
      </c>
      <c r="N322" s="8" t="str">
        <f>"CFI"&amp;".D"&amp;TEXT(Caja_Finanzas[[#This Row],[FECHA]],"DD-MM")&amp;"-"&amp;TEXT(Caja_Finanzas[[#This Row],[ITEM]],"0000")</f>
        <v>CFI.D28-03-0309</v>
      </c>
      <c r="O322" s="8" t="str">
        <f t="shared" si="25"/>
        <v>PEN</v>
      </c>
      <c r="P322" s="13"/>
      <c r="Q322" s="13">
        <v>1681</v>
      </c>
      <c r="R322" s="3">
        <f t="shared" si="21"/>
        <v>1681</v>
      </c>
      <c r="S322" s="3">
        <f t="shared" si="22"/>
        <v>0</v>
      </c>
      <c r="T322" s="3">
        <f t="shared" si="23"/>
        <v>12378.199999999992</v>
      </c>
      <c r="U322" s="24"/>
      <c r="V322" s="24"/>
      <c r="W322" s="3"/>
      <c r="X322" s="25"/>
      <c r="Y322" s="25" t="s">
        <v>5788</v>
      </c>
      <c r="Z322" s="25"/>
      <c r="AA322" s="25"/>
      <c r="AB322" s="25"/>
      <c r="AC322" s="3" t="str">
        <f>IF(Caja_Finanzas[[#This Row],[FECHA]]&gt;0,TEXT(Caja_Finanzas[[#This Row],[FECHA]],"mmmm"),0)</f>
        <v>Marzo</v>
      </c>
    </row>
    <row r="323" spans="2:29" ht="24" x14ac:dyDescent="0.3">
      <c r="B323" s="2">
        <f>IF(Caja_Finanzas[[#This Row],[TIPO DE R.]]="R",COUNTIFS($D$4:$D322,"R")+1,"")</f>
        <v>310</v>
      </c>
      <c r="C323" s="19" t="str">
        <f t="shared" si="24"/>
        <v>C-Finanzas</v>
      </c>
      <c r="D323" s="3" t="s">
        <v>1074</v>
      </c>
      <c r="E323" s="14">
        <v>45744</v>
      </c>
      <c r="F323" s="5" t="s">
        <v>5307</v>
      </c>
      <c r="G323" s="5" t="s">
        <v>1079</v>
      </c>
      <c r="H323" s="5"/>
      <c r="I323" s="6"/>
      <c r="J323" s="6"/>
      <c r="K323" s="6"/>
      <c r="L323" s="6"/>
      <c r="M323" s="7" t="s">
        <v>5789</v>
      </c>
      <c r="N323" s="8" t="str">
        <f>"CFI"&amp;".D"&amp;TEXT(Caja_Finanzas[[#This Row],[FECHA]],"DD-MM")&amp;"-"&amp;TEXT(Caja_Finanzas[[#This Row],[ITEM]],"0000")</f>
        <v>CFI.D28-03-0310</v>
      </c>
      <c r="O323" s="8" t="str">
        <f t="shared" si="25"/>
        <v>PEN</v>
      </c>
      <c r="P323" s="13"/>
      <c r="Q323" s="13">
        <v>763</v>
      </c>
      <c r="R323" s="3">
        <f t="shared" si="21"/>
        <v>0</v>
      </c>
      <c r="S323" s="3">
        <f t="shared" si="22"/>
        <v>763</v>
      </c>
      <c r="T323" s="3">
        <f t="shared" si="23"/>
        <v>11615.199999999992</v>
      </c>
      <c r="U323" s="24"/>
      <c r="V323" s="24"/>
      <c r="W323" s="3"/>
      <c r="X323" s="25"/>
      <c r="Y323" s="25" t="s">
        <v>5790</v>
      </c>
      <c r="Z323" s="25"/>
      <c r="AA323" s="25"/>
      <c r="AB323" s="25"/>
      <c r="AC323" s="3" t="str">
        <f>IF(Caja_Finanzas[[#This Row],[FECHA]]&gt;0,TEXT(Caja_Finanzas[[#This Row],[FECHA]],"mmmm"),0)</f>
        <v>Marzo</v>
      </c>
    </row>
    <row r="324" spans="2:29" ht="48" x14ac:dyDescent="0.3">
      <c r="B324" s="2">
        <f>IF(Caja_Finanzas[[#This Row],[TIPO DE R.]]="R",COUNTIFS($D$4:$D323,"R")+1,"")</f>
        <v>311</v>
      </c>
      <c r="C324" s="19" t="str">
        <f t="shared" si="24"/>
        <v>C-Finanzas</v>
      </c>
      <c r="D324" s="3" t="s">
        <v>1074</v>
      </c>
      <c r="E324" s="14">
        <v>45744</v>
      </c>
      <c r="F324" s="5" t="s">
        <v>5457</v>
      </c>
      <c r="G324" s="5" t="s">
        <v>1079</v>
      </c>
      <c r="H324" s="5"/>
      <c r="I324" s="6"/>
      <c r="J324" s="6"/>
      <c r="K324" s="6"/>
      <c r="L324" s="6"/>
      <c r="M324" s="7" t="s">
        <v>5791</v>
      </c>
      <c r="N324" s="8" t="str">
        <f>"CFI"&amp;".D"&amp;TEXT(Caja_Finanzas[[#This Row],[FECHA]],"DD-MM")&amp;"-"&amp;TEXT(Caja_Finanzas[[#This Row],[ITEM]],"0000")</f>
        <v>CFI.D28-03-0311</v>
      </c>
      <c r="O324" s="8" t="str">
        <f t="shared" si="25"/>
        <v>PEN</v>
      </c>
      <c r="P324" s="13"/>
      <c r="Q324" s="13">
        <v>40</v>
      </c>
      <c r="R324" s="3">
        <f t="shared" si="21"/>
        <v>0</v>
      </c>
      <c r="S324" s="3">
        <f t="shared" si="22"/>
        <v>40</v>
      </c>
      <c r="T324" s="3">
        <f t="shared" si="23"/>
        <v>11575.199999999992</v>
      </c>
      <c r="U324" s="24"/>
      <c r="V324" s="24"/>
      <c r="W324" s="3"/>
      <c r="X324" s="25" t="s">
        <v>5596</v>
      </c>
      <c r="Y324" s="25" t="s">
        <v>5792</v>
      </c>
      <c r="Z324" s="25"/>
      <c r="AA324" s="25"/>
      <c r="AB324" s="25"/>
      <c r="AC324" s="3" t="str">
        <f>IF(Caja_Finanzas[[#This Row],[FECHA]]&gt;0,TEXT(Caja_Finanzas[[#This Row],[FECHA]],"mmmm"),0)</f>
        <v>Marzo</v>
      </c>
    </row>
    <row r="325" spans="2:29" ht="24" x14ac:dyDescent="0.3">
      <c r="B325" s="2">
        <f>IF(Caja_Finanzas[[#This Row],[TIPO DE R.]]="R",COUNTIFS($D$4:$D324,"R")+1,"")</f>
        <v>312</v>
      </c>
      <c r="C325" s="19" t="str">
        <f t="shared" si="24"/>
        <v>C-Finanzas</v>
      </c>
      <c r="D325" s="3" t="s">
        <v>1074</v>
      </c>
      <c r="E325" s="14">
        <v>45747</v>
      </c>
      <c r="F325" s="5" t="s">
        <v>5524</v>
      </c>
      <c r="G325" s="5" t="s">
        <v>1087</v>
      </c>
      <c r="H325" s="5"/>
      <c r="I325" s="6"/>
      <c r="J325" s="6"/>
      <c r="K325" s="6"/>
      <c r="L325" s="6"/>
      <c r="M325" s="7" t="s">
        <v>5156</v>
      </c>
      <c r="N325" s="8" t="str">
        <f>"CFI"&amp;".D"&amp;TEXT(Caja_Finanzas[[#This Row],[FECHA]],"DD-MM")&amp;"-"&amp;TEXT(Caja_Finanzas[[#This Row],[ITEM]],"0000")</f>
        <v>CFI.D31-03-0312</v>
      </c>
      <c r="O325" s="8" t="str">
        <f t="shared" si="25"/>
        <v>PEN</v>
      </c>
      <c r="P325" s="13"/>
      <c r="Q325" s="13">
        <v>893</v>
      </c>
      <c r="R325" s="3">
        <f t="shared" ref="R325:R388" si="26">+IF(OR($G325="SALDO",$G325="INGRESO"),$Q325,0)</f>
        <v>893</v>
      </c>
      <c r="S325" s="3">
        <f t="shared" ref="S325:S388" si="27">+IF($G325="EGRESO",$Q325,0)</f>
        <v>0</v>
      </c>
      <c r="T325" s="3">
        <f t="shared" ref="T325:T388" si="28">IFERROR(IF(G325="SALDO",R325,T324+R325-S325),0)</f>
        <v>12468.199999999992</v>
      </c>
      <c r="U325" s="24"/>
      <c r="V325" s="24"/>
      <c r="W325" s="3"/>
      <c r="X325" s="25"/>
      <c r="Y325" s="25" t="s">
        <v>5793</v>
      </c>
      <c r="Z325" s="25"/>
      <c r="AA325" s="25"/>
      <c r="AB325" s="25"/>
      <c r="AC325" s="3" t="str">
        <f>IF(Caja_Finanzas[[#This Row],[FECHA]]&gt;0,TEXT(Caja_Finanzas[[#This Row],[FECHA]],"mmmm"),0)</f>
        <v>Marzo</v>
      </c>
    </row>
    <row r="326" spans="2:29" x14ac:dyDescent="0.3">
      <c r="B326" s="2">
        <f>IF(Caja_Finanzas[[#This Row],[TIPO DE R.]]="R",COUNTIFS($D$4:$D325,"R")+1,"")</f>
        <v>313</v>
      </c>
      <c r="C326" s="19" t="str">
        <f t="shared" ref="C326:C389" si="29">"C-Finanzas"</f>
        <v>C-Finanzas</v>
      </c>
      <c r="D326" s="3" t="s">
        <v>1074</v>
      </c>
      <c r="E326" s="14">
        <v>45747</v>
      </c>
      <c r="F326" s="5" t="s">
        <v>5566</v>
      </c>
      <c r="G326" s="5" t="s">
        <v>1087</v>
      </c>
      <c r="H326" s="5"/>
      <c r="I326" s="6"/>
      <c r="J326" s="6"/>
      <c r="K326" s="6"/>
      <c r="L326" s="6"/>
      <c r="M326" s="7" t="s">
        <v>5156</v>
      </c>
      <c r="N326" s="8" t="str">
        <f>"CFI"&amp;".D"&amp;TEXT(Caja_Finanzas[[#This Row],[FECHA]],"DD-MM")&amp;"-"&amp;TEXT(Caja_Finanzas[[#This Row],[ITEM]],"0000")</f>
        <v>CFI.D31-03-0313</v>
      </c>
      <c r="O326" s="8" t="str">
        <f t="shared" ref="O326:O389" si="30">"PEN"</f>
        <v>PEN</v>
      </c>
      <c r="P326" s="13"/>
      <c r="Q326" s="13">
        <v>1680</v>
      </c>
      <c r="R326" s="3">
        <f t="shared" si="26"/>
        <v>1680</v>
      </c>
      <c r="S326" s="3">
        <f t="shared" si="27"/>
        <v>0</v>
      </c>
      <c r="T326" s="3">
        <f t="shared" si="28"/>
        <v>14148.199999999992</v>
      </c>
      <c r="U326" s="24"/>
      <c r="V326" s="24"/>
      <c r="W326" s="3"/>
      <c r="X326" s="25"/>
      <c r="Y326" s="25" t="s">
        <v>5794</v>
      </c>
      <c r="Z326" s="25"/>
      <c r="AA326" s="25"/>
      <c r="AB326" s="25"/>
      <c r="AC326" s="3" t="str">
        <f>IF(Caja_Finanzas[[#This Row],[FECHA]]&gt;0,TEXT(Caja_Finanzas[[#This Row],[FECHA]],"mmmm"),0)</f>
        <v>Marzo</v>
      </c>
    </row>
    <row r="327" spans="2:29" ht="24" x14ac:dyDescent="0.3">
      <c r="B327" s="2">
        <f>IF(Caja_Finanzas[[#This Row],[TIPO DE R.]]="R",COUNTIFS($D$4:$D326,"R")+1,"")</f>
        <v>314</v>
      </c>
      <c r="C327" s="19" t="str">
        <f t="shared" si="29"/>
        <v>C-Finanzas</v>
      </c>
      <c r="D327" s="3" t="s">
        <v>1074</v>
      </c>
      <c r="E327" s="14">
        <v>45747</v>
      </c>
      <c r="F327" s="5" t="s">
        <v>5305</v>
      </c>
      <c r="G327" s="5" t="s">
        <v>1079</v>
      </c>
      <c r="H327" s="5"/>
      <c r="I327" s="6"/>
      <c r="J327" s="6"/>
      <c r="K327" s="6"/>
      <c r="L327" s="6"/>
      <c r="M327" s="7" t="s">
        <v>5795</v>
      </c>
      <c r="N327" s="8" t="str">
        <f>"CFI"&amp;".D"&amp;TEXT(Caja_Finanzas[[#This Row],[FECHA]],"DD-MM")&amp;"-"&amp;TEXT(Caja_Finanzas[[#This Row],[ITEM]],"0000")</f>
        <v>CFI.D31-03-0314</v>
      </c>
      <c r="O327" s="8" t="str">
        <f t="shared" si="30"/>
        <v>PEN</v>
      </c>
      <c r="P327" s="13"/>
      <c r="Q327" s="13">
        <v>1000</v>
      </c>
      <c r="R327" s="3">
        <f t="shared" si="26"/>
        <v>0</v>
      </c>
      <c r="S327" s="3">
        <f t="shared" si="27"/>
        <v>1000</v>
      </c>
      <c r="T327" s="3">
        <f t="shared" si="28"/>
        <v>13148.199999999992</v>
      </c>
      <c r="U327" s="24"/>
      <c r="V327" s="24"/>
      <c r="W327" s="3"/>
      <c r="X327" s="25"/>
      <c r="Y327" s="25"/>
      <c r="Z327" s="25"/>
      <c r="AA327" s="25"/>
      <c r="AB327" s="25"/>
      <c r="AC327" s="3" t="str">
        <f>IF(Caja_Finanzas[[#This Row],[FECHA]]&gt;0,TEXT(Caja_Finanzas[[#This Row],[FECHA]],"mmmm"),0)</f>
        <v>Marzo</v>
      </c>
    </row>
    <row r="328" spans="2:29" ht="24" x14ac:dyDescent="0.3">
      <c r="B328" s="2">
        <f>IF(Caja_Finanzas[[#This Row],[TIPO DE R.]]="R",COUNTIFS($D$4:$D327,"R")+1,"")</f>
        <v>315</v>
      </c>
      <c r="C328" s="19" t="str">
        <f t="shared" si="29"/>
        <v>C-Finanzas</v>
      </c>
      <c r="D328" s="3" t="s">
        <v>1074</v>
      </c>
      <c r="E328" s="14">
        <v>45748</v>
      </c>
      <c r="F328" s="5" t="s">
        <v>5305</v>
      </c>
      <c r="G328" s="5" t="s">
        <v>1079</v>
      </c>
      <c r="H328" s="5"/>
      <c r="I328" s="6"/>
      <c r="J328" s="6"/>
      <c r="K328" s="6"/>
      <c r="L328" s="6"/>
      <c r="M328" s="7" t="s">
        <v>5306</v>
      </c>
      <c r="N328" s="8" t="str">
        <f>"CFI"&amp;".D"&amp;TEXT(Caja_Finanzas[[#This Row],[FECHA]],"DD-MM")&amp;"-"&amp;TEXT(Caja_Finanzas[[#This Row],[ITEM]],"0000")</f>
        <v>CFI.D01-04-0315</v>
      </c>
      <c r="O328" s="8" t="str">
        <f t="shared" si="30"/>
        <v>PEN</v>
      </c>
      <c r="P328" s="13"/>
      <c r="Q328" s="13">
        <v>2000</v>
      </c>
      <c r="R328" s="3">
        <f t="shared" si="26"/>
        <v>0</v>
      </c>
      <c r="S328" s="3">
        <f t="shared" si="27"/>
        <v>2000</v>
      </c>
      <c r="T328" s="3">
        <f t="shared" si="28"/>
        <v>11148.199999999992</v>
      </c>
      <c r="U328" s="24"/>
      <c r="V328" s="24"/>
      <c r="W328" s="3"/>
      <c r="X328" s="25"/>
      <c r="Y328" s="25"/>
      <c r="Z328" s="25"/>
      <c r="AA328" s="25"/>
      <c r="AB328" s="25"/>
      <c r="AC328" s="3" t="str">
        <f>IF(Caja_Finanzas[[#This Row],[FECHA]]&gt;0,TEXT(Caja_Finanzas[[#This Row],[FECHA]],"mmmm"),0)</f>
        <v>Abril</v>
      </c>
    </row>
    <row r="329" spans="2:29" ht="36" x14ac:dyDescent="0.3">
      <c r="B329" s="2">
        <f>IF(Caja_Finanzas[[#This Row],[TIPO DE R.]]="R",COUNTIFS($D$4:$D328,"R")+1,"")</f>
        <v>316</v>
      </c>
      <c r="C329" s="19" t="str">
        <f t="shared" si="29"/>
        <v>C-Finanzas</v>
      </c>
      <c r="D329" s="3" t="s">
        <v>1074</v>
      </c>
      <c r="E329" s="14">
        <v>45748</v>
      </c>
      <c r="F329" s="5" t="s">
        <v>5301</v>
      </c>
      <c r="G329" s="5" t="s">
        <v>1079</v>
      </c>
      <c r="H329" s="5"/>
      <c r="I329" s="6"/>
      <c r="J329" s="6"/>
      <c r="K329" s="6"/>
      <c r="L329" s="6"/>
      <c r="M329" s="7" t="s">
        <v>5796</v>
      </c>
      <c r="N329" s="8" t="str">
        <f>"CFI"&amp;".D"&amp;TEXT(Caja_Finanzas[[#This Row],[FECHA]],"DD-MM")&amp;"-"&amp;TEXT(Caja_Finanzas[[#This Row],[ITEM]],"0000")</f>
        <v>CFI.D01-04-0316</v>
      </c>
      <c r="O329" s="8" t="str">
        <f t="shared" si="30"/>
        <v>PEN</v>
      </c>
      <c r="P329" s="13"/>
      <c r="Q329" s="13">
        <v>6819</v>
      </c>
      <c r="R329" s="3">
        <f t="shared" si="26"/>
        <v>0</v>
      </c>
      <c r="S329" s="3">
        <f t="shared" si="27"/>
        <v>6819</v>
      </c>
      <c r="T329" s="3">
        <f t="shared" si="28"/>
        <v>4329.1999999999916</v>
      </c>
      <c r="U329" s="24"/>
      <c r="V329" s="24"/>
      <c r="W329" s="3"/>
      <c r="X329" s="25"/>
      <c r="Y329" s="25"/>
      <c r="Z329" s="25"/>
      <c r="AA329" s="25"/>
      <c r="AB329" s="25"/>
      <c r="AC329" s="3" t="str">
        <f>IF(Caja_Finanzas[[#This Row],[FECHA]]&gt;0,TEXT(Caja_Finanzas[[#This Row],[FECHA]],"mmmm"),0)</f>
        <v>Abril</v>
      </c>
    </row>
    <row r="330" spans="2:29" x14ac:dyDescent="0.3">
      <c r="B330" s="2">
        <f>IF(Caja_Finanzas[[#This Row],[TIPO DE R.]]="R",COUNTIFS($D$4:$D329,"R")+1,"")</f>
        <v>317</v>
      </c>
      <c r="C330" s="19" t="str">
        <f t="shared" si="29"/>
        <v>C-Finanzas</v>
      </c>
      <c r="D330" s="3" t="s">
        <v>1074</v>
      </c>
      <c r="E330" s="14">
        <v>45748</v>
      </c>
      <c r="F330" s="5" t="s">
        <v>5566</v>
      </c>
      <c r="G330" s="5" t="s">
        <v>1087</v>
      </c>
      <c r="H330" s="5"/>
      <c r="I330" s="6"/>
      <c r="J330" s="6"/>
      <c r="K330" s="6"/>
      <c r="L330" s="6"/>
      <c r="M330" s="7" t="s">
        <v>5156</v>
      </c>
      <c r="N330" s="8" t="str">
        <f>"CFI"&amp;".D"&amp;TEXT(Caja_Finanzas[[#This Row],[FECHA]],"DD-MM")&amp;"-"&amp;TEXT(Caja_Finanzas[[#This Row],[ITEM]],"0000")</f>
        <v>CFI.D01-04-0317</v>
      </c>
      <c r="O330" s="8" t="str">
        <f t="shared" si="30"/>
        <v>PEN</v>
      </c>
      <c r="P330" s="13"/>
      <c r="Q330" s="13">
        <v>60</v>
      </c>
      <c r="R330" s="3">
        <f t="shared" si="26"/>
        <v>60</v>
      </c>
      <c r="S330" s="3">
        <f t="shared" si="27"/>
        <v>0</v>
      </c>
      <c r="T330" s="3">
        <f t="shared" si="28"/>
        <v>4389.1999999999916</v>
      </c>
      <c r="U330" s="24"/>
      <c r="V330" s="24"/>
      <c r="W330" s="3"/>
      <c r="X330" s="25"/>
      <c r="Y330" s="25" t="s">
        <v>5794</v>
      </c>
      <c r="Z330" s="25"/>
      <c r="AA330" s="25"/>
      <c r="AB330" s="25"/>
      <c r="AC330" s="3" t="str">
        <f>IF(Caja_Finanzas[[#This Row],[FECHA]]&gt;0,TEXT(Caja_Finanzas[[#This Row],[FECHA]],"mmmm"),0)</f>
        <v>Abril</v>
      </c>
    </row>
    <row r="331" spans="2:29" ht="24" x14ac:dyDescent="0.3">
      <c r="B331" s="2">
        <f>IF(Caja_Finanzas[[#This Row],[TIPO DE R.]]="R",COUNTIFS($D$4:$D330,"R")+1,"")</f>
        <v>318</v>
      </c>
      <c r="C331" s="19" t="str">
        <f t="shared" si="29"/>
        <v>C-Finanzas</v>
      </c>
      <c r="D331" s="3" t="s">
        <v>1074</v>
      </c>
      <c r="E331" s="14">
        <v>45748</v>
      </c>
      <c r="F331" s="5" t="s">
        <v>5797</v>
      </c>
      <c r="G331" s="5" t="s">
        <v>1087</v>
      </c>
      <c r="H331" s="5"/>
      <c r="I331" s="6"/>
      <c r="J331" s="6"/>
      <c r="K331" s="6"/>
      <c r="L331" s="6"/>
      <c r="M331" s="7" t="s">
        <v>5156</v>
      </c>
      <c r="N331" s="8" t="str">
        <f>"CFI"&amp;".D"&amp;TEXT(Caja_Finanzas[[#This Row],[FECHA]],"DD-MM")&amp;"-"&amp;TEXT(Caja_Finanzas[[#This Row],[ITEM]],"0000")</f>
        <v>CFI.D01-04-0318</v>
      </c>
      <c r="O331" s="8" t="str">
        <f t="shared" si="30"/>
        <v>PEN</v>
      </c>
      <c r="P331" s="13"/>
      <c r="Q331" s="13">
        <v>1.2</v>
      </c>
      <c r="R331" s="3">
        <f t="shared" si="26"/>
        <v>1.2</v>
      </c>
      <c r="S331" s="3">
        <f t="shared" si="27"/>
        <v>0</v>
      </c>
      <c r="T331" s="3">
        <f t="shared" si="28"/>
        <v>4390.3999999999915</v>
      </c>
      <c r="U331" s="24"/>
      <c r="V331" s="24"/>
      <c r="W331" s="3"/>
      <c r="X331" s="25"/>
      <c r="Y331" s="25" t="s">
        <v>5798</v>
      </c>
      <c r="Z331" s="25"/>
      <c r="AA331" s="25"/>
      <c r="AB331" s="25"/>
      <c r="AC331" s="3" t="str">
        <f>IF(Caja_Finanzas[[#This Row],[FECHA]]&gt;0,TEXT(Caja_Finanzas[[#This Row],[FECHA]],"mmmm"),0)</f>
        <v>Abril</v>
      </c>
    </row>
    <row r="332" spans="2:29" x14ac:dyDescent="0.3">
      <c r="B332" s="2">
        <f>IF(Caja_Finanzas[[#This Row],[TIPO DE R.]]="R",COUNTIFS($D$4:$D331,"R")+1,"")</f>
        <v>319</v>
      </c>
      <c r="C332" s="19" t="str">
        <f t="shared" si="29"/>
        <v>C-Finanzas</v>
      </c>
      <c r="D332" s="3" t="s">
        <v>1074</v>
      </c>
      <c r="E332" s="14">
        <v>45748</v>
      </c>
      <c r="F332" s="5" t="s">
        <v>382</v>
      </c>
      <c r="G332" s="5" t="s">
        <v>1087</v>
      </c>
      <c r="H332" s="5"/>
      <c r="I332" s="6"/>
      <c r="J332" s="6"/>
      <c r="K332" s="6"/>
      <c r="L332" s="6"/>
      <c r="M332" s="7" t="s">
        <v>5156</v>
      </c>
      <c r="N332" s="8" t="str">
        <f>"CFI"&amp;".D"&amp;TEXT(Caja_Finanzas[[#This Row],[FECHA]],"DD-MM")&amp;"-"&amp;TEXT(Caja_Finanzas[[#This Row],[ITEM]],"0000")</f>
        <v>CFI.D01-04-0319</v>
      </c>
      <c r="O332" s="8" t="str">
        <f t="shared" si="30"/>
        <v>PEN</v>
      </c>
      <c r="P332" s="13"/>
      <c r="Q332" s="13">
        <v>1220</v>
      </c>
      <c r="R332" s="3">
        <f t="shared" si="26"/>
        <v>1220</v>
      </c>
      <c r="S332" s="3">
        <f t="shared" si="27"/>
        <v>0</v>
      </c>
      <c r="T332" s="3">
        <f t="shared" si="28"/>
        <v>5610.3999999999915</v>
      </c>
      <c r="U332" s="24"/>
      <c r="V332" s="24"/>
      <c r="W332" s="3"/>
      <c r="X332" s="25"/>
      <c r="Y332" s="25" t="s">
        <v>5799</v>
      </c>
      <c r="Z332" s="25"/>
      <c r="AA332" s="25"/>
      <c r="AB332" s="25"/>
      <c r="AC332" s="3" t="str">
        <f>IF(Caja_Finanzas[[#This Row],[FECHA]]&gt;0,TEXT(Caja_Finanzas[[#This Row],[FECHA]],"mmmm"),0)</f>
        <v>Abril</v>
      </c>
    </row>
    <row r="333" spans="2:29" ht="24" x14ac:dyDescent="0.3">
      <c r="B333" s="2">
        <f>IF(Caja_Finanzas[[#This Row],[TIPO DE R.]]="R",COUNTIFS($D$4:$D332,"R")+1,"")</f>
        <v>320</v>
      </c>
      <c r="C333" s="19" t="str">
        <f t="shared" si="29"/>
        <v>C-Finanzas</v>
      </c>
      <c r="D333" s="3" t="s">
        <v>1074</v>
      </c>
      <c r="E333" s="14">
        <v>45748</v>
      </c>
      <c r="F333" s="5" t="s">
        <v>2226</v>
      </c>
      <c r="G333" s="5" t="s">
        <v>1087</v>
      </c>
      <c r="H333" s="5"/>
      <c r="I333" s="6"/>
      <c r="J333" s="6"/>
      <c r="K333" s="6"/>
      <c r="L333" s="6"/>
      <c r="M333" s="7" t="s">
        <v>5156</v>
      </c>
      <c r="N333" s="8" t="str">
        <f>"CFI"&amp;".D"&amp;TEXT(Caja_Finanzas[[#This Row],[FECHA]],"DD-MM")&amp;"-"&amp;TEXT(Caja_Finanzas[[#This Row],[ITEM]],"0000")</f>
        <v>CFI.D01-04-0320</v>
      </c>
      <c r="O333" s="8" t="str">
        <f t="shared" si="30"/>
        <v>PEN</v>
      </c>
      <c r="P333" s="13"/>
      <c r="Q333" s="13">
        <v>752</v>
      </c>
      <c r="R333" s="3">
        <f t="shared" si="26"/>
        <v>752</v>
      </c>
      <c r="S333" s="3">
        <f t="shared" si="27"/>
        <v>0</v>
      </c>
      <c r="T333" s="3">
        <f t="shared" si="28"/>
        <v>6362.3999999999915</v>
      </c>
      <c r="U333" s="24"/>
      <c r="V333" s="24"/>
      <c r="W333" s="3"/>
      <c r="X333" s="25"/>
      <c r="Y333" s="25" t="s">
        <v>2227</v>
      </c>
      <c r="Z333" s="25"/>
      <c r="AA333" s="25"/>
      <c r="AB333" s="25"/>
      <c r="AC333" s="3" t="str">
        <f>IF(Caja_Finanzas[[#This Row],[FECHA]]&gt;0,TEXT(Caja_Finanzas[[#This Row],[FECHA]],"mmmm"),0)</f>
        <v>Abril</v>
      </c>
    </row>
    <row r="334" spans="2:29" ht="24" x14ac:dyDescent="0.3">
      <c r="B334" s="2">
        <f>IF(Caja_Finanzas[[#This Row],[TIPO DE R.]]="R",COUNTIFS($D$4:$D333,"R")+1,"")</f>
        <v>321</v>
      </c>
      <c r="C334" s="19" t="str">
        <f t="shared" si="29"/>
        <v>C-Finanzas</v>
      </c>
      <c r="D334" s="3" t="s">
        <v>1074</v>
      </c>
      <c r="E334" s="14">
        <v>45749</v>
      </c>
      <c r="F334" s="5" t="s">
        <v>1609</v>
      </c>
      <c r="G334" s="5" t="s">
        <v>1087</v>
      </c>
      <c r="H334" s="5"/>
      <c r="I334" s="6"/>
      <c r="J334" s="6"/>
      <c r="K334" s="6"/>
      <c r="L334" s="6"/>
      <c r="M334" s="7" t="s">
        <v>5156</v>
      </c>
      <c r="N334" s="8" t="str">
        <f>"CFI"&amp;".D"&amp;TEXT(Caja_Finanzas[[#This Row],[FECHA]],"DD-MM")&amp;"-"&amp;TEXT(Caja_Finanzas[[#This Row],[ITEM]],"0000")</f>
        <v>CFI.D02-04-0321</v>
      </c>
      <c r="O334" s="8" t="str">
        <f t="shared" si="30"/>
        <v>PEN</v>
      </c>
      <c r="P334" s="13"/>
      <c r="Q334" s="13">
        <v>720</v>
      </c>
      <c r="R334" s="3">
        <f t="shared" si="26"/>
        <v>720</v>
      </c>
      <c r="S334" s="3">
        <f t="shared" si="27"/>
        <v>0</v>
      </c>
      <c r="T334" s="3">
        <f t="shared" si="28"/>
        <v>7082.3999999999915</v>
      </c>
      <c r="U334" s="24"/>
      <c r="V334" s="24"/>
      <c r="W334" s="3"/>
      <c r="X334" s="25"/>
      <c r="Y334" s="25" t="s">
        <v>5800</v>
      </c>
      <c r="Z334" s="25"/>
      <c r="AA334" s="25"/>
      <c r="AB334" s="25"/>
      <c r="AC334" s="3" t="str">
        <f>IF(Caja_Finanzas[[#This Row],[FECHA]]&gt;0,TEXT(Caja_Finanzas[[#This Row],[FECHA]],"mmmm"),0)</f>
        <v>Abril</v>
      </c>
    </row>
    <row r="335" spans="2:29" ht="24" x14ac:dyDescent="0.3">
      <c r="B335" s="2">
        <f>IF(Caja_Finanzas[[#This Row],[TIPO DE R.]]="R",COUNTIFS($D$4:$D334,"R")+1,"")</f>
        <v>322</v>
      </c>
      <c r="C335" s="19" t="str">
        <f t="shared" si="29"/>
        <v>C-Finanzas</v>
      </c>
      <c r="D335" s="3" t="s">
        <v>1074</v>
      </c>
      <c r="E335" s="14">
        <v>45749</v>
      </c>
      <c r="F335" s="5" t="s">
        <v>5646</v>
      </c>
      <c r="G335" s="5" t="s">
        <v>1087</v>
      </c>
      <c r="H335" s="5"/>
      <c r="I335" s="6"/>
      <c r="J335" s="6"/>
      <c r="K335" s="6"/>
      <c r="L335" s="6"/>
      <c r="M335" s="7" t="s">
        <v>5156</v>
      </c>
      <c r="N335" s="8" t="str">
        <f>"CFI"&amp;".D"&amp;TEXT(Caja_Finanzas[[#This Row],[FECHA]],"DD-MM")&amp;"-"&amp;TEXT(Caja_Finanzas[[#This Row],[ITEM]],"0000")</f>
        <v>CFI.D02-04-0322</v>
      </c>
      <c r="O335" s="8" t="str">
        <f t="shared" si="30"/>
        <v>PEN</v>
      </c>
      <c r="P335" s="13"/>
      <c r="Q335" s="13">
        <v>150</v>
      </c>
      <c r="R335" s="3">
        <f t="shared" si="26"/>
        <v>150</v>
      </c>
      <c r="S335" s="3">
        <f t="shared" si="27"/>
        <v>0</v>
      </c>
      <c r="T335" s="3">
        <f t="shared" si="28"/>
        <v>7232.3999999999915</v>
      </c>
      <c r="U335" s="24"/>
      <c r="V335" s="24"/>
      <c r="W335" s="3"/>
      <c r="X335" s="25"/>
      <c r="Y335" s="25" t="s">
        <v>5801</v>
      </c>
      <c r="Z335" s="25"/>
      <c r="AA335" s="25"/>
      <c r="AB335" s="25"/>
      <c r="AC335" s="3" t="str">
        <f>IF(Caja_Finanzas[[#This Row],[FECHA]]&gt;0,TEXT(Caja_Finanzas[[#This Row],[FECHA]],"mmmm"),0)</f>
        <v>Abril</v>
      </c>
    </row>
    <row r="336" spans="2:29" ht="24" x14ac:dyDescent="0.3">
      <c r="B336" s="2">
        <f>IF(Caja_Finanzas[[#This Row],[TIPO DE R.]]="R",COUNTIFS($D$4:$D335,"R")+1,"")</f>
        <v>323</v>
      </c>
      <c r="C336" s="19" t="str">
        <f t="shared" si="29"/>
        <v>C-Finanzas</v>
      </c>
      <c r="D336" s="3" t="s">
        <v>1074</v>
      </c>
      <c r="E336" s="14">
        <v>45749</v>
      </c>
      <c r="F336" s="5" t="s">
        <v>5644</v>
      </c>
      <c r="G336" s="5" t="s">
        <v>1087</v>
      </c>
      <c r="H336" s="5"/>
      <c r="I336" s="6"/>
      <c r="J336" s="6"/>
      <c r="K336" s="6"/>
      <c r="L336" s="6"/>
      <c r="M336" s="7" t="s">
        <v>5156</v>
      </c>
      <c r="N336" s="8" t="str">
        <f>"CFI"&amp;".D"&amp;TEXT(Caja_Finanzas[[#This Row],[FECHA]],"DD-MM")&amp;"-"&amp;TEXT(Caja_Finanzas[[#This Row],[ITEM]],"0000")</f>
        <v>CFI.D02-04-0323</v>
      </c>
      <c r="O336" s="8" t="str">
        <f t="shared" si="30"/>
        <v>PEN</v>
      </c>
      <c r="P336" s="13"/>
      <c r="Q336" s="13">
        <v>34.5</v>
      </c>
      <c r="R336" s="3">
        <f t="shared" si="26"/>
        <v>34.5</v>
      </c>
      <c r="S336" s="3">
        <f t="shared" si="27"/>
        <v>0</v>
      </c>
      <c r="T336" s="3">
        <f t="shared" si="28"/>
        <v>7266.8999999999915</v>
      </c>
      <c r="U336" s="24"/>
      <c r="V336" s="24"/>
      <c r="W336" s="3"/>
      <c r="X336" s="25"/>
      <c r="Y336" s="25" t="s">
        <v>5802</v>
      </c>
      <c r="Z336" s="25"/>
      <c r="AA336" s="25"/>
      <c r="AB336" s="25"/>
      <c r="AC336" s="3" t="str">
        <f>IF(Caja_Finanzas[[#This Row],[FECHA]]&gt;0,TEXT(Caja_Finanzas[[#This Row],[FECHA]],"mmmm"),0)</f>
        <v>Abril</v>
      </c>
    </row>
    <row r="337" spans="2:29" ht="24" x14ac:dyDescent="0.3">
      <c r="B337" s="2">
        <f>IF(Caja_Finanzas[[#This Row],[TIPO DE R.]]="R",COUNTIFS($D$4:$D336,"R")+1,"")</f>
        <v>324</v>
      </c>
      <c r="C337" s="19" t="str">
        <f t="shared" si="29"/>
        <v>C-Finanzas</v>
      </c>
      <c r="D337" s="3" t="s">
        <v>1074</v>
      </c>
      <c r="E337" s="14">
        <v>45749</v>
      </c>
      <c r="F337" s="5" t="s">
        <v>5402</v>
      </c>
      <c r="G337" s="5" t="s">
        <v>1087</v>
      </c>
      <c r="H337" s="5"/>
      <c r="I337" s="6"/>
      <c r="J337" s="6"/>
      <c r="K337" s="6"/>
      <c r="L337" s="6"/>
      <c r="M337" s="7" t="s">
        <v>5156</v>
      </c>
      <c r="N337" s="8" t="str">
        <f>"CFI"&amp;".D"&amp;TEXT(Caja_Finanzas[[#This Row],[FECHA]],"DD-MM")&amp;"-"&amp;TEXT(Caja_Finanzas[[#This Row],[ITEM]],"0000")</f>
        <v>CFI.D02-04-0324</v>
      </c>
      <c r="O337" s="8" t="str">
        <f t="shared" si="30"/>
        <v>PEN</v>
      </c>
      <c r="P337" s="13"/>
      <c r="Q337" s="13">
        <v>26</v>
      </c>
      <c r="R337" s="3">
        <f t="shared" si="26"/>
        <v>26</v>
      </c>
      <c r="S337" s="3">
        <f t="shared" si="27"/>
        <v>0</v>
      </c>
      <c r="T337" s="3">
        <f t="shared" si="28"/>
        <v>7292.8999999999915</v>
      </c>
      <c r="U337" s="24"/>
      <c r="V337" s="24"/>
      <c r="W337" s="3"/>
      <c r="X337" s="25"/>
      <c r="Y337" s="25" t="s">
        <v>5803</v>
      </c>
      <c r="Z337" s="25"/>
      <c r="AA337" s="25"/>
      <c r="AB337" s="25"/>
      <c r="AC337" s="3" t="str">
        <f>IF(Caja_Finanzas[[#This Row],[FECHA]]&gt;0,TEXT(Caja_Finanzas[[#This Row],[FECHA]],"mmmm"),0)</f>
        <v>Abril</v>
      </c>
    </row>
    <row r="338" spans="2:29" x14ac:dyDescent="0.3">
      <c r="B338" s="2">
        <f>IF(Caja_Finanzas[[#This Row],[TIPO DE R.]]="R",COUNTIFS($D$4:$D337,"R")+1,"")</f>
        <v>325</v>
      </c>
      <c r="C338" s="19" t="str">
        <f t="shared" si="29"/>
        <v>C-Finanzas</v>
      </c>
      <c r="D338" s="3" t="s">
        <v>1074</v>
      </c>
      <c r="E338" s="14">
        <v>45749</v>
      </c>
      <c r="F338" s="5" t="s">
        <v>5804</v>
      </c>
      <c r="G338" s="5" t="s">
        <v>1087</v>
      </c>
      <c r="H338" s="5"/>
      <c r="I338" s="6"/>
      <c r="J338" s="6"/>
      <c r="K338" s="6"/>
      <c r="L338" s="6"/>
      <c r="M338" s="7" t="s">
        <v>5156</v>
      </c>
      <c r="N338" s="8" t="str">
        <f>"CFI"&amp;".D"&amp;TEXT(Caja_Finanzas[[#This Row],[FECHA]],"DD-MM")&amp;"-"&amp;TEXT(Caja_Finanzas[[#This Row],[ITEM]],"0000")</f>
        <v>CFI.D02-04-0325</v>
      </c>
      <c r="O338" s="8" t="str">
        <f t="shared" si="30"/>
        <v>PEN</v>
      </c>
      <c r="P338" s="13"/>
      <c r="Q338" s="13">
        <v>37.4</v>
      </c>
      <c r="R338" s="3">
        <f t="shared" si="26"/>
        <v>37.4</v>
      </c>
      <c r="S338" s="3">
        <f t="shared" si="27"/>
        <v>0</v>
      </c>
      <c r="T338" s="3">
        <f t="shared" si="28"/>
        <v>7330.2999999999911</v>
      </c>
      <c r="U338" s="24"/>
      <c r="V338" s="24"/>
      <c r="W338" s="3"/>
      <c r="X338" s="25"/>
      <c r="Y338" s="25" t="s">
        <v>5805</v>
      </c>
      <c r="Z338" s="25"/>
      <c r="AA338" s="25"/>
      <c r="AB338" s="25"/>
      <c r="AC338" s="3" t="str">
        <f>IF(Caja_Finanzas[[#This Row],[FECHA]]&gt;0,TEXT(Caja_Finanzas[[#This Row],[FECHA]],"mmmm"),0)</f>
        <v>Abril</v>
      </c>
    </row>
    <row r="339" spans="2:29" ht="24" x14ac:dyDescent="0.3">
      <c r="B339" s="2">
        <f>IF(Caja_Finanzas[[#This Row],[TIPO DE R.]]="R",COUNTIFS($D$4:$D338,"R")+1,"")</f>
        <v>326</v>
      </c>
      <c r="C339" s="19" t="str">
        <f t="shared" si="29"/>
        <v>C-Finanzas</v>
      </c>
      <c r="D339" s="3" t="s">
        <v>1074</v>
      </c>
      <c r="E339" s="14">
        <v>45749</v>
      </c>
      <c r="F339" s="5" t="s">
        <v>5462</v>
      </c>
      <c r="G339" s="5" t="s">
        <v>1087</v>
      </c>
      <c r="H339" s="5"/>
      <c r="I339" s="6"/>
      <c r="J339" s="6"/>
      <c r="K339" s="6"/>
      <c r="L339" s="6"/>
      <c r="M339" s="7" t="s">
        <v>5156</v>
      </c>
      <c r="N339" s="8" t="str">
        <f>"CFI"&amp;".D"&amp;TEXT(Caja_Finanzas[[#This Row],[FECHA]],"DD-MM")&amp;"-"&amp;TEXT(Caja_Finanzas[[#This Row],[ITEM]],"0000")</f>
        <v>CFI.D02-04-0326</v>
      </c>
      <c r="O339" s="8" t="str">
        <f t="shared" si="30"/>
        <v>PEN</v>
      </c>
      <c r="P339" s="13"/>
      <c r="Q339" s="13">
        <v>11.6</v>
      </c>
      <c r="R339" s="3">
        <f t="shared" si="26"/>
        <v>11.6</v>
      </c>
      <c r="S339" s="3">
        <f t="shared" si="27"/>
        <v>0</v>
      </c>
      <c r="T339" s="3">
        <f t="shared" si="28"/>
        <v>7341.8999999999915</v>
      </c>
      <c r="U339" s="24"/>
      <c r="V339" s="24"/>
      <c r="W339" s="3"/>
      <c r="X339" s="25"/>
      <c r="Y339" s="25" t="s">
        <v>5806</v>
      </c>
      <c r="Z339" s="25"/>
      <c r="AA339" s="25"/>
      <c r="AB339" s="25"/>
      <c r="AC339" s="3" t="str">
        <f>IF(Caja_Finanzas[[#This Row],[FECHA]]&gt;0,TEXT(Caja_Finanzas[[#This Row],[FECHA]],"mmmm"),0)</f>
        <v>Abril</v>
      </c>
    </row>
    <row r="340" spans="2:29" x14ac:dyDescent="0.3">
      <c r="B340" s="2">
        <f>IF(Caja_Finanzas[[#This Row],[TIPO DE R.]]="R",COUNTIFS($D$4:$D339,"R")+1,"")</f>
        <v>327</v>
      </c>
      <c r="C340" s="19" t="str">
        <f t="shared" si="29"/>
        <v>C-Finanzas</v>
      </c>
      <c r="D340" s="3" t="s">
        <v>1074</v>
      </c>
      <c r="E340" s="14">
        <v>45749</v>
      </c>
      <c r="F340" s="5" t="s">
        <v>5807</v>
      </c>
      <c r="G340" s="5" t="s">
        <v>1087</v>
      </c>
      <c r="H340" s="5"/>
      <c r="I340" s="6"/>
      <c r="J340" s="6"/>
      <c r="K340" s="6"/>
      <c r="L340" s="6"/>
      <c r="M340" s="7" t="s">
        <v>5156</v>
      </c>
      <c r="N340" s="8" t="str">
        <f>"CFI"&amp;".D"&amp;TEXT(Caja_Finanzas[[#This Row],[FECHA]],"DD-MM")&amp;"-"&amp;TEXT(Caja_Finanzas[[#This Row],[ITEM]],"0000")</f>
        <v>CFI.D02-04-0327</v>
      </c>
      <c r="O340" s="8" t="str">
        <f t="shared" si="30"/>
        <v>PEN</v>
      </c>
      <c r="P340" s="13"/>
      <c r="Q340" s="13">
        <v>1.7</v>
      </c>
      <c r="R340" s="3">
        <f t="shared" si="26"/>
        <v>1.7</v>
      </c>
      <c r="S340" s="3">
        <f t="shared" si="27"/>
        <v>0</v>
      </c>
      <c r="T340" s="3">
        <f t="shared" si="28"/>
        <v>7343.5999999999913</v>
      </c>
      <c r="U340" s="24"/>
      <c r="V340" s="24"/>
      <c r="W340" s="3"/>
      <c r="X340" s="25"/>
      <c r="Y340" s="25" t="s">
        <v>5808</v>
      </c>
      <c r="Z340" s="25"/>
      <c r="AA340" s="25"/>
      <c r="AB340" s="25"/>
      <c r="AC340" s="3" t="str">
        <f>IF(Caja_Finanzas[[#This Row],[FECHA]]&gt;0,TEXT(Caja_Finanzas[[#This Row],[FECHA]],"mmmm"),0)</f>
        <v>Abril</v>
      </c>
    </row>
    <row r="341" spans="2:29" ht="24" x14ac:dyDescent="0.3">
      <c r="B341" s="2">
        <f>IF(Caja_Finanzas[[#This Row],[TIPO DE R.]]="R",COUNTIFS($D$4:$D340,"R")+1,"")</f>
        <v>328</v>
      </c>
      <c r="C341" s="19" t="str">
        <f t="shared" si="29"/>
        <v>C-Finanzas</v>
      </c>
      <c r="D341" s="3" t="s">
        <v>1074</v>
      </c>
      <c r="E341" s="14">
        <v>45749</v>
      </c>
      <c r="F341" s="5" t="s">
        <v>3400</v>
      </c>
      <c r="G341" s="5" t="s">
        <v>1087</v>
      </c>
      <c r="H341" s="5"/>
      <c r="I341" s="6"/>
      <c r="J341" s="6"/>
      <c r="K341" s="6"/>
      <c r="L341" s="6"/>
      <c r="M341" s="7" t="s">
        <v>5156</v>
      </c>
      <c r="N341" s="8" t="str">
        <f>"CFI"&amp;".D"&amp;TEXT(Caja_Finanzas[[#This Row],[FECHA]],"DD-MM")&amp;"-"&amp;TEXT(Caja_Finanzas[[#This Row],[ITEM]],"0000")</f>
        <v>CFI.D02-04-0328</v>
      </c>
      <c r="O341" s="8" t="str">
        <f t="shared" si="30"/>
        <v>PEN</v>
      </c>
      <c r="P341" s="13"/>
      <c r="Q341" s="13">
        <v>8</v>
      </c>
      <c r="R341" s="3">
        <f t="shared" si="26"/>
        <v>8</v>
      </c>
      <c r="S341" s="3">
        <f t="shared" si="27"/>
        <v>0</v>
      </c>
      <c r="T341" s="3">
        <f t="shared" si="28"/>
        <v>7351.5999999999913</v>
      </c>
      <c r="U341" s="24"/>
      <c r="V341" s="24"/>
      <c r="W341" s="3"/>
      <c r="X341" s="25"/>
      <c r="Y341" s="25" t="s">
        <v>5809</v>
      </c>
      <c r="Z341" s="25"/>
      <c r="AA341" s="25"/>
      <c r="AB341" s="25"/>
      <c r="AC341" s="3" t="str">
        <f>IF(Caja_Finanzas[[#This Row],[FECHA]]&gt;0,TEXT(Caja_Finanzas[[#This Row],[FECHA]],"mmmm"),0)</f>
        <v>Abril</v>
      </c>
    </row>
    <row r="342" spans="2:29" ht="24" x14ac:dyDescent="0.3">
      <c r="B342" s="2">
        <f>IF(Caja_Finanzas[[#This Row],[TIPO DE R.]]="R",COUNTIFS($D$4:$D341,"R")+1,"")</f>
        <v>329</v>
      </c>
      <c r="C342" s="19" t="str">
        <f t="shared" si="29"/>
        <v>C-Finanzas</v>
      </c>
      <c r="D342" s="3" t="s">
        <v>1074</v>
      </c>
      <c r="E342" s="14">
        <v>45749</v>
      </c>
      <c r="F342" s="5" t="s">
        <v>3400</v>
      </c>
      <c r="G342" s="5" t="s">
        <v>1087</v>
      </c>
      <c r="H342" s="5"/>
      <c r="I342" s="6"/>
      <c r="J342" s="6"/>
      <c r="K342" s="6"/>
      <c r="L342" s="6"/>
      <c r="M342" s="7" t="s">
        <v>5156</v>
      </c>
      <c r="N342" s="8" t="str">
        <f>"CFI"&amp;".D"&amp;TEXT(Caja_Finanzas[[#This Row],[FECHA]],"DD-MM")&amp;"-"&amp;TEXT(Caja_Finanzas[[#This Row],[ITEM]],"0000")</f>
        <v>CFI.D02-04-0329</v>
      </c>
      <c r="O342" s="8" t="str">
        <f t="shared" si="30"/>
        <v>PEN</v>
      </c>
      <c r="P342" s="13"/>
      <c r="Q342" s="13">
        <v>51.8</v>
      </c>
      <c r="R342" s="3">
        <f t="shared" si="26"/>
        <v>51.8</v>
      </c>
      <c r="S342" s="3">
        <f t="shared" si="27"/>
        <v>0</v>
      </c>
      <c r="T342" s="3">
        <f t="shared" si="28"/>
        <v>7403.3999999999915</v>
      </c>
      <c r="U342" s="24"/>
      <c r="V342" s="24"/>
      <c r="W342" s="3"/>
      <c r="X342" s="25"/>
      <c r="Y342" s="25" t="s">
        <v>5810</v>
      </c>
      <c r="Z342" s="25"/>
      <c r="AA342" s="25"/>
      <c r="AB342" s="25"/>
      <c r="AC342" s="3" t="str">
        <f>IF(Caja_Finanzas[[#This Row],[FECHA]]&gt;0,TEXT(Caja_Finanzas[[#This Row],[FECHA]],"mmmm"),0)</f>
        <v>Abril</v>
      </c>
    </row>
    <row r="343" spans="2:29" ht="24" x14ac:dyDescent="0.3">
      <c r="B343" s="2">
        <f>IF(Caja_Finanzas[[#This Row],[TIPO DE R.]]="R",COUNTIFS($D$4:$D342,"R")+1,"")</f>
        <v>330</v>
      </c>
      <c r="C343" s="19" t="str">
        <f t="shared" si="29"/>
        <v>C-Finanzas</v>
      </c>
      <c r="D343" s="3" t="s">
        <v>1074</v>
      </c>
      <c r="E343" s="14">
        <v>45749</v>
      </c>
      <c r="F343" s="5" t="s">
        <v>3400</v>
      </c>
      <c r="G343" s="5" t="s">
        <v>1087</v>
      </c>
      <c r="H343" s="5"/>
      <c r="I343" s="6"/>
      <c r="J343" s="6"/>
      <c r="K343" s="6"/>
      <c r="L343" s="6"/>
      <c r="M343" s="7" t="s">
        <v>5156</v>
      </c>
      <c r="N343" s="8" t="str">
        <f>"CFI"&amp;".D"&amp;TEXT(Caja_Finanzas[[#This Row],[FECHA]],"DD-MM")&amp;"-"&amp;TEXT(Caja_Finanzas[[#This Row],[ITEM]],"0000")</f>
        <v>CFI.D02-04-0330</v>
      </c>
      <c r="O343" s="8" t="str">
        <f t="shared" si="30"/>
        <v>PEN</v>
      </c>
      <c r="P343" s="13"/>
      <c r="Q343" s="13">
        <v>6.5</v>
      </c>
      <c r="R343" s="3">
        <f t="shared" si="26"/>
        <v>6.5</v>
      </c>
      <c r="S343" s="3">
        <f t="shared" si="27"/>
        <v>0</v>
      </c>
      <c r="T343" s="3">
        <f t="shared" si="28"/>
        <v>7409.8999999999915</v>
      </c>
      <c r="U343" s="24"/>
      <c r="V343" s="24"/>
      <c r="W343" s="3"/>
      <c r="X343" s="25"/>
      <c r="Y343" s="25" t="s">
        <v>5811</v>
      </c>
      <c r="Z343" s="25"/>
      <c r="AA343" s="25"/>
      <c r="AB343" s="25"/>
      <c r="AC343" s="3" t="str">
        <f>IF(Caja_Finanzas[[#This Row],[FECHA]]&gt;0,TEXT(Caja_Finanzas[[#This Row],[FECHA]],"mmmm"),0)</f>
        <v>Abril</v>
      </c>
    </row>
    <row r="344" spans="2:29" ht="24" x14ac:dyDescent="0.3">
      <c r="B344" s="2">
        <f>IF(Caja_Finanzas[[#This Row],[TIPO DE R.]]="R",COUNTIFS($D$4:$D343,"R")+1,"")</f>
        <v>331</v>
      </c>
      <c r="C344" s="19" t="str">
        <f t="shared" si="29"/>
        <v>C-Finanzas</v>
      </c>
      <c r="D344" s="3" t="s">
        <v>1074</v>
      </c>
      <c r="E344" s="14">
        <v>45749</v>
      </c>
      <c r="F344" s="5" t="s">
        <v>5812</v>
      </c>
      <c r="G344" s="5" t="s">
        <v>1087</v>
      </c>
      <c r="H344" s="5"/>
      <c r="I344" s="6"/>
      <c r="J344" s="6"/>
      <c r="K344" s="6"/>
      <c r="L344" s="6"/>
      <c r="M344" s="7" t="s">
        <v>5156</v>
      </c>
      <c r="N344" s="8" t="str">
        <f>"CFI"&amp;".D"&amp;TEXT(Caja_Finanzas[[#This Row],[FECHA]],"DD-MM")&amp;"-"&amp;TEXT(Caja_Finanzas[[#This Row],[ITEM]],"0000")</f>
        <v>CFI.D02-04-0331</v>
      </c>
      <c r="O344" s="8" t="str">
        <f t="shared" si="30"/>
        <v>PEN</v>
      </c>
      <c r="P344" s="13"/>
      <c r="Q344" s="13">
        <v>1436</v>
      </c>
      <c r="R344" s="3">
        <f t="shared" si="26"/>
        <v>1436</v>
      </c>
      <c r="S344" s="3">
        <f t="shared" si="27"/>
        <v>0</v>
      </c>
      <c r="T344" s="3">
        <f t="shared" si="28"/>
        <v>8845.8999999999905</v>
      </c>
      <c r="U344" s="24"/>
      <c r="V344" s="24"/>
      <c r="W344" s="3"/>
      <c r="X344" s="25"/>
      <c r="Y344" s="25" t="s">
        <v>5813</v>
      </c>
      <c r="Z344" s="25"/>
      <c r="AA344" s="25"/>
      <c r="AB344" s="25"/>
      <c r="AC344" s="3" t="str">
        <f>IF(Caja_Finanzas[[#This Row],[FECHA]]&gt;0,TEXT(Caja_Finanzas[[#This Row],[FECHA]],"mmmm"),0)</f>
        <v>Abril</v>
      </c>
    </row>
    <row r="345" spans="2:29" ht="24" x14ac:dyDescent="0.3">
      <c r="B345" s="2">
        <f>IF(Caja_Finanzas[[#This Row],[TIPO DE R.]]="R",COUNTIFS($D$4:$D344,"R")+1,"")</f>
        <v>332</v>
      </c>
      <c r="C345" s="19" t="str">
        <f t="shared" si="29"/>
        <v>C-Finanzas</v>
      </c>
      <c r="D345" s="3" t="s">
        <v>1074</v>
      </c>
      <c r="E345" s="14">
        <v>45749</v>
      </c>
      <c r="F345" s="5" t="s">
        <v>5812</v>
      </c>
      <c r="G345" s="5" t="s">
        <v>1087</v>
      </c>
      <c r="H345" s="5"/>
      <c r="I345" s="6"/>
      <c r="J345" s="6"/>
      <c r="K345" s="6"/>
      <c r="L345" s="6"/>
      <c r="M345" s="7" t="s">
        <v>5156</v>
      </c>
      <c r="N345" s="8" t="str">
        <f>"CFI"&amp;".D"&amp;TEXT(Caja_Finanzas[[#This Row],[FECHA]],"DD-MM")&amp;"-"&amp;TEXT(Caja_Finanzas[[#This Row],[ITEM]],"0000")</f>
        <v>CFI.D02-04-0332</v>
      </c>
      <c r="O345" s="8" t="str">
        <f t="shared" si="30"/>
        <v>PEN</v>
      </c>
      <c r="P345" s="13"/>
      <c r="Q345" s="13">
        <v>1011</v>
      </c>
      <c r="R345" s="3">
        <f t="shared" si="26"/>
        <v>1011</v>
      </c>
      <c r="S345" s="3">
        <f t="shared" si="27"/>
        <v>0</v>
      </c>
      <c r="T345" s="3">
        <f t="shared" si="28"/>
        <v>9856.8999999999905</v>
      </c>
      <c r="U345" s="24"/>
      <c r="V345" s="24"/>
      <c r="W345" s="3"/>
      <c r="X345" s="25"/>
      <c r="Y345" s="25" t="s">
        <v>5814</v>
      </c>
      <c r="Z345" s="25"/>
      <c r="AA345" s="25"/>
      <c r="AB345" s="25"/>
      <c r="AC345" s="3" t="str">
        <f>IF(Caja_Finanzas[[#This Row],[FECHA]]&gt;0,TEXT(Caja_Finanzas[[#This Row],[FECHA]],"mmmm"),0)</f>
        <v>Abril</v>
      </c>
    </row>
    <row r="346" spans="2:29" ht="24" x14ac:dyDescent="0.3">
      <c r="B346" s="2">
        <f>IF(Caja_Finanzas[[#This Row],[TIPO DE R.]]="R",COUNTIFS($D$4:$D345,"R")+1,"")</f>
        <v>333</v>
      </c>
      <c r="C346" s="19" t="str">
        <f t="shared" si="29"/>
        <v>C-Finanzas</v>
      </c>
      <c r="D346" s="3" t="s">
        <v>1074</v>
      </c>
      <c r="E346" s="14">
        <v>45749</v>
      </c>
      <c r="F346" s="5" t="s">
        <v>5347</v>
      </c>
      <c r="G346" s="5" t="s">
        <v>1079</v>
      </c>
      <c r="H346" s="5"/>
      <c r="I346" s="6"/>
      <c r="J346" s="6"/>
      <c r="K346" s="6"/>
      <c r="L346" s="6"/>
      <c r="M346" s="7" t="s">
        <v>5815</v>
      </c>
      <c r="N346" s="8" t="str">
        <f>"CFI"&amp;".D"&amp;TEXT(Caja_Finanzas[[#This Row],[FECHA]],"DD-MM")&amp;"-"&amp;TEXT(Caja_Finanzas[[#This Row],[ITEM]],"0000")</f>
        <v>CFI.D02-04-0333</v>
      </c>
      <c r="O346" s="8" t="str">
        <f t="shared" si="30"/>
        <v>PEN</v>
      </c>
      <c r="P346" s="13"/>
      <c r="Q346" s="13">
        <v>200</v>
      </c>
      <c r="R346" s="3">
        <f t="shared" si="26"/>
        <v>0</v>
      </c>
      <c r="S346" s="3">
        <f t="shared" si="27"/>
        <v>200</v>
      </c>
      <c r="T346" s="3">
        <f t="shared" si="28"/>
        <v>9656.8999999999905</v>
      </c>
      <c r="U346" s="24"/>
      <c r="V346" s="24"/>
      <c r="W346" s="3"/>
      <c r="X346" s="25"/>
      <c r="Y346" s="25"/>
      <c r="Z346" s="25"/>
      <c r="AA346" s="25"/>
      <c r="AB346" s="25"/>
      <c r="AC346" s="3" t="str">
        <f>IF(Caja_Finanzas[[#This Row],[FECHA]]&gt;0,TEXT(Caja_Finanzas[[#This Row],[FECHA]],"mmmm"),0)</f>
        <v>Abril</v>
      </c>
    </row>
    <row r="347" spans="2:29" ht="24" x14ac:dyDescent="0.3">
      <c r="B347" s="2">
        <f>IF(Caja_Finanzas[[#This Row],[TIPO DE R.]]="R",COUNTIFS($D$4:$D346,"R")+1,"")</f>
        <v>334</v>
      </c>
      <c r="C347" s="19" t="str">
        <f t="shared" si="29"/>
        <v>C-Finanzas</v>
      </c>
      <c r="D347" s="3" t="s">
        <v>1074</v>
      </c>
      <c r="E347" s="14">
        <v>45749</v>
      </c>
      <c r="F347" s="5" t="s">
        <v>5347</v>
      </c>
      <c r="G347" s="5" t="s">
        <v>1079</v>
      </c>
      <c r="H347" s="5"/>
      <c r="I347" s="6"/>
      <c r="J347" s="6"/>
      <c r="K347" s="6"/>
      <c r="L347" s="6"/>
      <c r="M347" s="7" t="s">
        <v>5816</v>
      </c>
      <c r="N347" s="8" t="str">
        <f>"CFI"&amp;".D"&amp;TEXT(Caja_Finanzas[[#This Row],[FECHA]],"DD-MM")&amp;"-"&amp;TEXT(Caja_Finanzas[[#This Row],[ITEM]],"0000")</f>
        <v>CFI.D02-04-0334</v>
      </c>
      <c r="O347" s="8" t="str">
        <f t="shared" si="30"/>
        <v>PEN</v>
      </c>
      <c r="P347" s="13"/>
      <c r="Q347" s="13">
        <v>40</v>
      </c>
      <c r="R347" s="3">
        <f t="shared" si="26"/>
        <v>0</v>
      </c>
      <c r="S347" s="3">
        <f t="shared" si="27"/>
        <v>40</v>
      </c>
      <c r="T347" s="3">
        <f t="shared" si="28"/>
        <v>9616.8999999999905</v>
      </c>
      <c r="U347" s="24"/>
      <c r="V347" s="24"/>
      <c r="W347" s="3"/>
      <c r="X347" s="25"/>
      <c r="Y347" s="25"/>
      <c r="Z347" s="25"/>
      <c r="AA347" s="25"/>
      <c r="AB347" s="25"/>
      <c r="AC347" s="3" t="str">
        <f>IF(Caja_Finanzas[[#This Row],[FECHA]]&gt;0,TEXT(Caja_Finanzas[[#This Row],[FECHA]],"mmmm"),0)</f>
        <v>Abril</v>
      </c>
    </row>
    <row r="348" spans="2:29" ht="60" x14ac:dyDescent="0.3">
      <c r="B348" s="2">
        <f>IF(Caja_Finanzas[[#This Row],[TIPO DE R.]]="R",COUNTIFS($D$4:$D347,"R")+1,"")</f>
        <v>335</v>
      </c>
      <c r="C348" s="19" t="str">
        <f t="shared" si="29"/>
        <v>C-Finanzas</v>
      </c>
      <c r="D348" s="3" t="s">
        <v>1074</v>
      </c>
      <c r="E348" s="14">
        <v>45750</v>
      </c>
      <c r="F348" s="5" t="s">
        <v>5307</v>
      </c>
      <c r="G348" s="5" t="s">
        <v>1079</v>
      </c>
      <c r="H348" s="5"/>
      <c r="I348" s="6"/>
      <c r="J348" s="6"/>
      <c r="K348" s="6"/>
      <c r="L348" s="6"/>
      <c r="M348" s="7" t="s">
        <v>5817</v>
      </c>
      <c r="N348" s="8" t="str">
        <f>"CFI"&amp;".D"&amp;TEXT(Caja_Finanzas[[#This Row],[FECHA]],"DD-MM")&amp;"-"&amp;TEXT(Caja_Finanzas[[#This Row],[ITEM]],"0000")</f>
        <v>CFI.D03-04-0335</v>
      </c>
      <c r="O348" s="8" t="str">
        <f t="shared" si="30"/>
        <v>PEN</v>
      </c>
      <c r="P348" s="13"/>
      <c r="Q348" s="13">
        <v>600</v>
      </c>
      <c r="R348" s="3">
        <f t="shared" si="26"/>
        <v>0</v>
      </c>
      <c r="S348" s="3">
        <f t="shared" si="27"/>
        <v>600</v>
      </c>
      <c r="T348" s="3">
        <f t="shared" si="28"/>
        <v>9016.8999999999905</v>
      </c>
      <c r="U348" s="24"/>
      <c r="V348" s="24"/>
      <c r="W348" s="3"/>
      <c r="X348" s="25" t="s">
        <v>5425</v>
      </c>
      <c r="Y348" s="25" t="s">
        <v>5818</v>
      </c>
      <c r="Z348" s="25"/>
      <c r="AA348" s="25"/>
      <c r="AB348" s="25"/>
      <c r="AC348" s="3" t="str">
        <f>IF(Caja_Finanzas[[#This Row],[FECHA]]&gt;0,TEXT(Caja_Finanzas[[#This Row],[FECHA]],"mmmm"),0)</f>
        <v>Abril</v>
      </c>
    </row>
    <row r="349" spans="2:29" ht="36" x14ac:dyDescent="0.3">
      <c r="B349" s="2">
        <f>IF(Caja_Finanzas[[#This Row],[TIPO DE R.]]="R",COUNTIFS($D$4:$D348,"R")+1,"")</f>
        <v>336</v>
      </c>
      <c r="C349" s="19" t="str">
        <f t="shared" si="29"/>
        <v>C-Finanzas</v>
      </c>
      <c r="D349" s="3" t="s">
        <v>1074</v>
      </c>
      <c r="E349" s="14">
        <v>45751</v>
      </c>
      <c r="F349" s="5" t="s">
        <v>5301</v>
      </c>
      <c r="G349" s="5" t="s">
        <v>1079</v>
      </c>
      <c r="H349" s="5"/>
      <c r="I349" s="6"/>
      <c r="J349" s="6"/>
      <c r="K349" s="6"/>
      <c r="L349" s="6"/>
      <c r="M349" s="7" t="s">
        <v>5819</v>
      </c>
      <c r="N349" s="8" t="str">
        <f>"CFI"&amp;".D"&amp;TEXT(Caja_Finanzas[[#This Row],[FECHA]],"DD-MM")&amp;"-"&amp;TEXT(Caja_Finanzas[[#This Row],[ITEM]],"0000")</f>
        <v>CFI.D04-04-0336</v>
      </c>
      <c r="O349" s="8" t="str">
        <f t="shared" si="30"/>
        <v>PEN</v>
      </c>
      <c r="P349" s="13"/>
      <c r="Q349" s="13">
        <v>60</v>
      </c>
      <c r="R349" s="3">
        <f t="shared" si="26"/>
        <v>0</v>
      </c>
      <c r="S349" s="3">
        <f t="shared" si="27"/>
        <v>60</v>
      </c>
      <c r="T349" s="3">
        <f t="shared" si="28"/>
        <v>8956.8999999999905</v>
      </c>
      <c r="U349" s="24"/>
      <c r="V349" s="24"/>
      <c r="W349" s="3"/>
      <c r="X349" s="25" t="s">
        <v>5596</v>
      </c>
      <c r="Y349" s="25" t="s">
        <v>5820</v>
      </c>
      <c r="Z349" s="25"/>
      <c r="AA349" s="25"/>
      <c r="AB349" s="25"/>
      <c r="AC349" s="3" t="str">
        <f>IF(Caja_Finanzas[[#This Row],[FECHA]]&gt;0,TEXT(Caja_Finanzas[[#This Row],[FECHA]],"mmmm"),0)</f>
        <v>Abril</v>
      </c>
    </row>
    <row r="350" spans="2:29" x14ac:dyDescent="0.3">
      <c r="B350" s="2">
        <f>IF(Caja_Finanzas[[#This Row],[TIPO DE R.]]="R",COUNTIFS($D$4:$D349,"R")+1,"")</f>
        <v>337</v>
      </c>
      <c r="C350" s="19" t="str">
        <f t="shared" si="29"/>
        <v>C-Finanzas</v>
      </c>
      <c r="D350" s="3" t="s">
        <v>1074</v>
      </c>
      <c r="E350" s="14">
        <v>45751</v>
      </c>
      <c r="F350" s="5" t="s">
        <v>1477</v>
      </c>
      <c r="G350" s="5" t="s">
        <v>1087</v>
      </c>
      <c r="H350" s="5"/>
      <c r="I350" s="6"/>
      <c r="J350" s="6"/>
      <c r="K350" s="6"/>
      <c r="L350" s="6"/>
      <c r="M350" s="7" t="s">
        <v>5156</v>
      </c>
      <c r="N350" s="8" t="str">
        <f>"CFI"&amp;".D"&amp;TEXT(Caja_Finanzas[[#This Row],[FECHA]],"DD-MM")&amp;"-"&amp;TEXT(Caja_Finanzas[[#This Row],[ITEM]],"0000")</f>
        <v>CFI.D04-04-0337</v>
      </c>
      <c r="O350" s="8" t="str">
        <f t="shared" si="30"/>
        <v>PEN</v>
      </c>
      <c r="P350" s="13"/>
      <c r="Q350" s="13">
        <v>150</v>
      </c>
      <c r="R350" s="3">
        <f t="shared" si="26"/>
        <v>150</v>
      </c>
      <c r="S350" s="3">
        <f t="shared" si="27"/>
        <v>0</v>
      </c>
      <c r="T350" s="3">
        <f t="shared" si="28"/>
        <v>9106.8999999999905</v>
      </c>
      <c r="U350" s="24"/>
      <c r="V350" s="24"/>
      <c r="W350" s="3"/>
      <c r="X350" s="25"/>
      <c r="Y350" s="25" t="s">
        <v>5427</v>
      </c>
      <c r="Z350" s="25"/>
      <c r="AA350" s="25"/>
      <c r="AB350" s="25"/>
      <c r="AC350" s="3" t="str">
        <f>IF(Caja_Finanzas[[#This Row],[FECHA]]&gt;0,TEXT(Caja_Finanzas[[#This Row],[FECHA]],"mmmm"),0)</f>
        <v>Abril</v>
      </c>
    </row>
    <row r="351" spans="2:29" x14ac:dyDescent="0.3">
      <c r="B351" s="2">
        <f>IF(Caja_Finanzas[[#This Row],[TIPO DE R.]]="R",COUNTIFS($D$4:$D350,"R")+1,"")</f>
        <v>338</v>
      </c>
      <c r="C351" s="19" t="str">
        <f t="shared" si="29"/>
        <v>C-Finanzas</v>
      </c>
      <c r="D351" s="3" t="s">
        <v>1074</v>
      </c>
      <c r="E351" s="14">
        <v>45754</v>
      </c>
      <c r="F351" s="5" t="s">
        <v>382</v>
      </c>
      <c r="G351" s="5" t="s">
        <v>1087</v>
      </c>
      <c r="H351" s="5"/>
      <c r="I351" s="6"/>
      <c r="J351" s="6"/>
      <c r="K351" s="6"/>
      <c r="L351" s="6"/>
      <c r="M351" s="7" t="s">
        <v>5156</v>
      </c>
      <c r="N351" s="8" t="str">
        <f>"CFI"&amp;".D"&amp;TEXT(Caja_Finanzas[[#This Row],[FECHA]],"DD-MM")&amp;"-"&amp;TEXT(Caja_Finanzas[[#This Row],[ITEM]],"0000")</f>
        <v>CFI.D07-04-0338</v>
      </c>
      <c r="O351" s="8" t="str">
        <f t="shared" si="30"/>
        <v>PEN</v>
      </c>
      <c r="P351" s="13"/>
      <c r="Q351" s="13">
        <v>1080.3</v>
      </c>
      <c r="R351" s="3">
        <f t="shared" si="26"/>
        <v>1080.3</v>
      </c>
      <c r="S351" s="3">
        <f t="shared" si="27"/>
        <v>0</v>
      </c>
      <c r="T351" s="3">
        <f t="shared" si="28"/>
        <v>10187.19999999999</v>
      </c>
      <c r="U351" s="24"/>
      <c r="V351" s="24"/>
      <c r="W351" s="3"/>
      <c r="X351" s="25"/>
      <c r="Y351" s="25" t="s">
        <v>5821</v>
      </c>
      <c r="Z351" s="25"/>
      <c r="AA351" s="25"/>
      <c r="AB351" s="25"/>
      <c r="AC351" s="3" t="str">
        <f>IF(Caja_Finanzas[[#This Row],[FECHA]]&gt;0,TEXT(Caja_Finanzas[[#This Row],[FECHA]],"mmmm"),0)</f>
        <v>Abril</v>
      </c>
    </row>
    <row r="352" spans="2:29" ht="24" x14ac:dyDescent="0.3">
      <c r="B352" s="2">
        <f>IF(Caja_Finanzas[[#This Row],[TIPO DE R.]]="R",COUNTIFS($D$4:$D351,"R")+1,"")</f>
        <v>339</v>
      </c>
      <c r="C352" s="19" t="str">
        <f t="shared" si="29"/>
        <v>C-Finanzas</v>
      </c>
      <c r="D352" s="3" t="s">
        <v>1074</v>
      </c>
      <c r="E352" s="14">
        <v>45754</v>
      </c>
      <c r="F352" s="5" t="s">
        <v>5437</v>
      </c>
      <c r="G352" s="5" t="s">
        <v>1079</v>
      </c>
      <c r="H352" s="5"/>
      <c r="I352" s="6"/>
      <c r="J352" s="6"/>
      <c r="K352" s="6"/>
      <c r="L352" s="6"/>
      <c r="M352" s="7" t="s">
        <v>5822</v>
      </c>
      <c r="N352" s="8" t="str">
        <f>"CFI"&amp;".D"&amp;TEXT(Caja_Finanzas[[#This Row],[FECHA]],"DD-MM")&amp;"-"&amp;TEXT(Caja_Finanzas[[#This Row],[ITEM]],"0000")</f>
        <v>CFI.D07-04-0339</v>
      </c>
      <c r="O352" s="8" t="str">
        <f t="shared" si="30"/>
        <v>PEN</v>
      </c>
      <c r="P352" s="13"/>
      <c r="Q352" s="13">
        <v>72.8</v>
      </c>
      <c r="R352" s="3">
        <f t="shared" si="26"/>
        <v>0</v>
      </c>
      <c r="S352" s="3">
        <f t="shared" si="27"/>
        <v>72.8</v>
      </c>
      <c r="T352" s="3">
        <f t="shared" si="28"/>
        <v>10114.399999999991</v>
      </c>
      <c r="U352" s="24"/>
      <c r="V352" s="24"/>
      <c r="W352" s="3"/>
      <c r="X352" s="25"/>
      <c r="Y352" s="25" t="s">
        <v>5823</v>
      </c>
      <c r="Z352" s="25"/>
      <c r="AA352" s="25"/>
      <c r="AB352" s="25"/>
      <c r="AC352" s="3" t="str">
        <f>IF(Caja_Finanzas[[#This Row],[FECHA]]&gt;0,TEXT(Caja_Finanzas[[#This Row],[FECHA]],"mmmm"),0)</f>
        <v>Abril</v>
      </c>
    </row>
    <row r="353" spans="2:29" ht="24" x14ac:dyDescent="0.3">
      <c r="B353" s="2">
        <f>IF(Caja_Finanzas[[#This Row],[TIPO DE R.]]="R",COUNTIFS($D$4:$D352,"R")+1,"")</f>
        <v>340</v>
      </c>
      <c r="C353" s="19" t="str">
        <f t="shared" si="29"/>
        <v>C-Finanzas</v>
      </c>
      <c r="D353" s="3" t="s">
        <v>1074</v>
      </c>
      <c r="E353" s="14">
        <v>45754</v>
      </c>
      <c r="F353" s="5" t="s">
        <v>5437</v>
      </c>
      <c r="G353" s="5" t="s">
        <v>1079</v>
      </c>
      <c r="H353" s="5"/>
      <c r="I353" s="6"/>
      <c r="J353" s="6"/>
      <c r="K353" s="6"/>
      <c r="L353" s="6"/>
      <c r="M353" s="7" t="s">
        <v>5824</v>
      </c>
      <c r="N353" s="8" t="str">
        <f>"CFI"&amp;".D"&amp;TEXT(Caja_Finanzas[[#This Row],[FECHA]],"DD-MM")&amp;"-"&amp;TEXT(Caja_Finanzas[[#This Row],[ITEM]],"0000")</f>
        <v>CFI.D07-04-0340</v>
      </c>
      <c r="O353" s="8" t="str">
        <f t="shared" si="30"/>
        <v>PEN</v>
      </c>
      <c r="P353" s="13"/>
      <c r="Q353" s="13">
        <v>1378</v>
      </c>
      <c r="R353" s="3">
        <f t="shared" si="26"/>
        <v>0</v>
      </c>
      <c r="S353" s="3">
        <f t="shared" si="27"/>
        <v>1378</v>
      </c>
      <c r="T353" s="3">
        <f t="shared" si="28"/>
        <v>8736.3999999999905</v>
      </c>
      <c r="U353" s="24"/>
      <c r="V353" s="24"/>
      <c r="W353" s="3"/>
      <c r="X353" s="25"/>
      <c r="Y353" s="25"/>
      <c r="Z353" s="25"/>
      <c r="AA353" s="25"/>
      <c r="AB353" s="25"/>
      <c r="AC353" s="3" t="str">
        <f>IF(Caja_Finanzas[[#This Row],[FECHA]]&gt;0,TEXT(Caja_Finanzas[[#This Row],[FECHA]],"mmmm"),0)</f>
        <v>Abril</v>
      </c>
    </row>
    <row r="354" spans="2:29" ht="24" x14ac:dyDescent="0.3">
      <c r="B354" s="2">
        <f>IF(Caja_Finanzas[[#This Row],[TIPO DE R.]]="R",COUNTIFS($D$4:$D353,"R")+1,"")</f>
        <v>341</v>
      </c>
      <c r="C354" s="19" t="str">
        <f t="shared" si="29"/>
        <v>C-Finanzas</v>
      </c>
      <c r="D354" s="3" t="s">
        <v>1074</v>
      </c>
      <c r="E354" s="14">
        <v>45755</v>
      </c>
      <c r="F354" s="5" t="s">
        <v>5437</v>
      </c>
      <c r="G354" s="5" t="s">
        <v>1079</v>
      </c>
      <c r="H354" s="5"/>
      <c r="I354" s="6"/>
      <c r="J354" s="6"/>
      <c r="K354" s="6"/>
      <c r="L354" s="6"/>
      <c r="M354" s="7" t="s">
        <v>5825</v>
      </c>
      <c r="N354" s="8" t="str">
        <f>"CFI"&amp;".D"&amp;TEXT(Caja_Finanzas[[#This Row],[FECHA]],"DD-MM")&amp;"-"&amp;TEXT(Caja_Finanzas[[#This Row],[ITEM]],"0000")</f>
        <v>CFI.D08-04-0341</v>
      </c>
      <c r="O354" s="8" t="str">
        <f t="shared" si="30"/>
        <v>PEN</v>
      </c>
      <c r="P354" s="13"/>
      <c r="Q354" s="13">
        <v>400</v>
      </c>
      <c r="R354" s="3">
        <f t="shared" si="26"/>
        <v>0</v>
      </c>
      <c r="S354" s="3">
        <f t="shared" si="27"/>
        <v>400</v>
      </c>
      <c r="T354" s="3">
        <f t="shared" si="28"/>
        <v>8336.3999999999905</v>
      </c>
      <c r="U354" s="24"/>
      <c r="V354" s="24"/>
      <c r="W354" s="3"/>
      <c r="X354" s="25"/>
      <c r="Y354" s="25" t="s">
        <v>5826</v>
      </c>
      <c r="Z354" s="25"/>
      <c r="AA354" s="25"/>
      <c r="AB354" s="25"/>
      <c r="AC354" s="3" t="str">
        <f>IF(Caja_Finanzas[[#This Row],[FECHA]]&gt;0,TEXT(Caja_Finanzas[[#This Row],[FECHA]],"mmmm"),0)</f>
        <v>Abril</v>
      </c>
    </row>
    <row r="355" spans="2:29" ht="48" x14ac:dyDescent="0.3">
      <c r="B355" s="2">
        <f>IF(Caja_Finanzas[[#This Row],[TIPO DE R.]]="R",COUNTIFS($D$4:$D354,"R")+1,"")</f>
        <v>342</v>
      </c>
      <c r="C355" s="19" t="str">
        <f t="shared" si="29"/>
        <v>C-Finanzas</v>
      </c>
      <c r="D355" s="3" t="s">
        <v>1074</v>
      </c>
      <c r="E355" s="14">
        <v>45755</v>
      </c>
      <c r="F355" s="5" t="s">
        <v>5827</v>
      </c>
      <c r="G355" s="5" t="s">
        <v>1079</v>
      </c>
      <c r="H355" s="5"/>
      <c r="I355" s="6"/>
      <c r="J355" s="6"/>
      <c r="K355" s="6"/>
      <c r="L355" s="6"/>
      <c r="M355" s="7" t="s">
        <v>5828</v>
      </c>
      <c r="N355" s="8" t="str">
        <f>"CFI"&amp;".D"&amp;TEXT(Caja_Finanzas[[#This Row],[FECHA]],"DD-MM")&amp;"-"&amp;TEXT(Caja_Finanzas[[#This Row],[ITEM]],"0000")</f>
        <v>CFI.D08-04-0342</v>
      </c>
      <c r="O355" s="8" t="str">
        <f t="shared" si="30"/>
        <v>PEN</v>
      </c>
      <c r="P355" s="13"/>
      <c r="Q355" s="13">
        <v>600</v>
      </c>
      <c r="R355" s="3">
        <f t="shared" si="26"/>
        <v>0</v>
      </c>
      <c r="S355" s="3">
        <f t="shared" si="27"/>
        <v>600</v>
      </c>
      <c r="T355" s="3">
        <f t="shared" si="28"/>
        <v>7736.3999999999905</v>
      </c>
      <c r="U355" s="24"/>
      <c r="V355" s="24"/>
      <c r="W355" s="3"/>
      <c r="X355" s="25" t="s">
        <v>5829</v>
      </c>
      <c r="Y355" s="25" t="s">
        <v>5830</v>
      </c>
      <c r="Z355" s="25"/>
      <c r="AA355" s="25"/>
      <c r="AB355" s="25"/>
      <c r="AC355" s="3" t="str">
        <f>IF(Caja_Finanzas[[#This Row],[FECHA]]&gt;0,TEXT(Caja_Finanzas[[#This Row],[FECHA]],"mmmm"),0)</f>
        <v>Abril</v>
      </c>
    </row>
    <row r="356" spans="2:29" ht="36" x14ac:dyDescent="0.3">
      <c r="B356" s="2">
        <f>IF(Caja_Finanzas[[#This Row],[TIPO DE R.]]="R",COUNTIFS($D$4:$D355,"R")+1,"")</f>
        <v>343</v>
      </c>
      <c r="C356" s="19" t="str">
        <f t="shared" si="29"/>
        <v>C-Finanzas</v>
      </c>
      <c r="D356" s="3" t="s">
        <v>1074</v>
      </c>
      <c r="E356" s="14">
        <v>45755</v>
      </c>
      <c r="F356" s="5" t="s">
        <v>5827</v>
      </c>
      <c r="G356" s="5" t="s">
        <v>1079</v>
      </c>
      <c r="H356" s="5"/>
      <c r="I356" s="6"/>
      <c r="J356" s="6"/>
      <c r="K356" s="6"/>
      <c r="L356" s="6"/>
      <c r="M356" s="7" t="s">
        <v>5831</v>
      </c>
      <c r="N356" s="8" t="str">
        <f>"CFI"&amp;".D"&amp;TEXT(Caja_Finanzas[[#This Row],[FECHA]],"DD-MM")&amp;"-"&amp;TEXT(Caja_Finanzas[[#This Row],[ITEM]],"0000")</f>
        <v>CFI.D08-04-0343</v>
      </c>
      <c r="O356" s="8" t="str">
        <f t="shared" si="30"/>
        <v>PEN</v>
      </c>
      <c r="P356" s="13"/>
      <c r="Q356" s="13">
        <v>22.3</v>
      </c>
      <c r="R356" s="3">
        <f t="shared" si="26"/>
        <v>0</v>
      </c>
      <c r="S356" s="3">
        <f t="shared" si="27"/>
        <v>22.3</v>
      </c>
      <c r="T356" s="3">
        <f t="shared" si="28"/>
        <v>7714.0999999999904</v>
      </c>
      <c r="U356" s="24"/>
      <c r="V356" s="24"/>
      <c r="W356" s="3"/>
      <c r="X356" s="25" t="s">
        <v>5832</v>
      </c>
      <c r="Y356" s="25" t="s">
        <v>5833</v>
      </c>
      <c r="Z356" s="25"/>
      <c r="AA356" s="25"/>
      <c r="AB356" s="25"/>
      <c r="AC356" s="3" t="str">
        <f>IF(Caja_Finanzas[[#This Row],[FECHA]]&gt;0,TEXT(Caja_Finanzas[[#This Row],[FECHA]],"mmmm"),0)</f>
        <v>Abril</v>
      </c>
    </row>
    <row r="357" spans="2:29" ht="24" x14ac:dyDescent="0.3">
      <c r="B357" s="2">
        <f>IF(Caja_Finanzas[[#This Row],[TIPO DE R.]]="R",COUNTIFS($D$4:$D356,"R")+1,"")</f>
        <v>344</v>
      </c>
      <c r="C357" s="19" t="str">
        <f t="shared" si="29"/>
        <v>C-Finanzas</v>
      </c>
      <c r="D357" s="3" t="s">
        <v>1074</v>
      </c>
      <c r="E357" s="14">
        <v>45755</v>
      </c>
      <c r="F357" s="5" t="s">
        <v>2655</v>
      </c>
      <c r="G357" s="5" t="s">
        <v>1087</v>
      </c>
      <c r="H357" s="5"/>
      <c r="I357" s="6"/>
      <c r="J357" s="6"/>
      <c r="K357" s="6"/>
      <c r="L357" s="6"/>
      <c r="M357" s="7" t="s">
        <v>5156</v>
      </c>
      <c r="N357" s="8" t="str">
        <f>"CFI"&amp;".D"&amp;TEXT(Caja_Finanzas[[#This Row],[FECHA]],"DD-MM")&amp;"-"&amp;TEXT(Caja_Finanzas[[#This Row],[ITEM]],"0000")</f>
        <v>CFI.D08-04-0344</v>
      </c>
      <c r="O357" s="8" t="str">
        <f t="shared" si="30"/>
        <v>PEN</v>
      </c>
      <c r="P357" s="13"/>
      <c r="Q357" s="13">
        <v>1022</v>
      </c>
      <c r="R357" s="3">
        <f t="shared" si="26"/>
        <v>1022</v>
      </c>
      <c r="S357" s="3">
        <f t="shared" si="27"/>
        <v>0</v>
      </c>
      <c r="T357" s="3">
        <f t="shared" si="28"/>
        <v>8736.0999999999913</v>
      </c>
      <c r="U357" s="24"/>
      <c r="V357" s="24"/>
      <c r="W357" s="3"/>
      <c r="X357" s="25"/>
      <c r="Y357" s="25" t="s">
        <v>5834</v>
      </c>
      <c r="Z357" s="25"/>
      <c r="AA357" s="25"/>
      <c r="AB357" s="25"/>
      <c r="AC357" s="3" t="str">
        <f>IF(Caja_Finanzas[[#This Row],[FECHA]]&gt;0,TEXT(Caja_Finanzas[[#This Row],[FECHA]],"mmmm"),0)</f>
        <v>Abril</v>
      </c>
    </row>
    <row r="358" spans="2:29" ht="24" x14ac:dyDescent="0.3">
      <c r="B358" s="2">
        <f>IF(Caja_Finanzas[[#This Row],[TIPO DE R.]]="R",COUNTIFS($D$4:$D357,"R")+1,"")</f>
        <v>345</v>
      </c>
      <c r="C358" s="19" t="str">
        <f t="shared" si="29"/>
        <v>C-Finanzas</v>
      </c>
      <c r="D358" s="3" t="s">
        <v>1074</v>
      </c>
      <c r="E358" s="14">
        <v>45756</v>
      </c>
      <c r="F358" s="5" t="s">
        <v>5618</v>
      </c>
      <c r="G358" s="5" t="s">
        <v>1079</v>
      </c>
      <c r="H358" s="5"/>
      <c r="I358" s="6"/>
      <c r="J358" s="6"/>
      <c r="K358" s="6"/>
      <c r="L358" s="6"/>
      <c r="M358" s="7" t="s">
        <v>5835</v>
      </c>
      <c r="N358" s="8" t="str">
        <f>"CFI"&amp;".D"&amp;TEXT(Caja_Finanzas[[#This Row],[FECHA]],"DD-MM")&amp;"-"&amp;TEXT(Caja_Finanzas[[#This Row],[ITEM]],"0000")</f>
        <v>CFI.D09-04-0345</v>
      </c>
      <c r="O358" s="8" t="str">
        <f t="shared" si="30"/>
        <v>PEN</v>
      </c>
      <c r="P358" s="13"/>
      <c r="Q358" s="13">
        <v>20</v>
      </c>
      <c r="R358" s="3">
        <f t="shared" si="26"/>
        <v>0</v>
      </c>
      <c r="S358" s="3">
        <f t="shared" si="27"/>
        <v>20</v>
      </c>
      <c r="T358" s="3">
        <f t="shared" si="28"/>
        <v>8716.0999999999913</v>
      </c>
      <c r="U358" s="24"/>
      <c r="V358" s="24"/>
      <c r="W358" s="3"/>
      <c r="X358" s="25" t="s">
        <v>5596</v>
      </c>
      <c r="Y358" s="25" t="s">
        <v>5836</v>
      </c>
      <c r="Z358" s="25"/>
      <c r="AA358" s="25"/>
      <c r="AB358" s="25"/>
      <c r="AC358" s="3" t="str">
        <f>IF(Caja_Finanzas[[#This Row],[FECHA]]&gt;0,TEXT(Caja_Finanzas[[#This Row],[FECHA]],"mmmm"),0)</f>
        <v>Abril</v>
      </c>
    </row>
    <row r="359" spans="2:29" ht="36" x14ac:dyDescent="0.3">
      <c r="B359" s="2">
        <f>IF(Caja_Finanzas[[#This Row],[TIPO DE R.]]="R",COUNTIFS($D$4:$D358,"R")+1,"")</f>
        <v>346</v>
      </c>
      <c r="C359" s="19" t="str">
        <f t="shared" si="29"/>
        <v>C-Finanzas</v>
      </c>
      <c r="D359" s="3" t="s">
        <v>1074</v>
      </c>
      <c r="E359" s="14">
        <v>45756</v>
      </c>
      <c r="F359" s="5" t="s">
        <v>5301</v>
      </c>
      <c r="G359" s="5" t="s">
        <v>1079</v>
      </c>
      <c r="H359" s="5"/>
      <c r="I359" s="6"/>
      <c r="J359" s="6"/>
      <c r="K359" s="6"/>
      <c r="L359" s="6"/>
      <c r="M359" s="7" t="s">
        <v>5837</v>
      </c>
      <c r="N359" s="8" t="str">
        <f>"CFI"&amp;".D"&amp;TEXT(Caja_Finanzas[[#This Row],[FECHA]],"DD-MM")&amp;"-"&amp;TEXT(Caja_Finanzas[[#This Row],[ITEM]],"0000")</f>
        <v>CFI.D09-04-0346</v>
      </c>
      <c r="O359" s="8" t="str">
        <f t="shared" si="30"/>
        <v>PEN</v>
      </c>
      <c r="P359" s="13"/>
      <c r="Q359" s="13">
        <v>70</v>
      </c>
      <c r="R359" s="3">
        <f t="shared" si="26"/>
        <v>0</v>
      </c>
      <c r="S359" s="3">
        <f t="shared" si="27"/>
        <v>70</v>
      </c>
      <c r="T359" s="3">
        <f t="shared" si="28"/>
        <v>8646.0999999999913</v>
      </c>
      <c r="U359" s="24"/>
      <c r="V359" s="24"/>
      <c r="W359" s="3"/>
      <c r="X359" s="25" t="s">
        <v>5838</v>
      </c>
      <c r="Y359" s="25" t="s">
        <v>5839</v>
      </c>
      <c r="Z359" s="25"/>
      <c r="AA359" s="25"/>
      <c r="AB359" s="25"/>
      <c r="AC359" s="3" t="str">
        <f>IF(Caja_Finanzas[[#This Row],[FECHA]]&gt;0,TEXT(Caja_Finanzas[[#This Row],[FECHA]],"mmmm"),0)</f>
        <v>Abril</v>
      </c>
    </row>
    <row r="360" spans="2:29" x14ac:dyDescent="0.3">
      <c r="B360" s="2">
        <f>IF(Caja_Finanzas[[#This Row],[TIPO DE R.]]="R",COUNTIFS($D$4:$D359,"R")+1,"")</f>
        <v>347</v>
      </c>
      <c r="C360" s="19" t="str">
        <f t="shared" si="29"/>
        <v>C-Finanzas</v>
      </c>
      <c r="D360" s="3" t="s">
        <v>1074</v>
      </c>
      <c r="E360" s="14">
        <v>45757</v>
      </c>
      <c r="F360" s="5"/>
      <c r="G360" s="5" t="s">
        <v>1087</v>
      </c>
      <c r="H360" s="5"/>
      <c r="I360" s="6"/>
      <c r="J360" s="6"/>
      <c r="K360" s="6"/>
      <c r="L360" s="6"/>
      <c r="M360" s="7" t="s">
        <v>5156</v>
      </c>
      <c r="N360" s="8" t="str">
        <f>"CFI"&amp;".D"&amp;TEXT(Caja_Finanzas[[#This Row],[FECHA]],"DD-MM")&amp;"-"&amp;TEXT(Caja_Finanzas[[#This Row],[ITEM]],"0000")</f>
        <v>CFI.D10-04-0347</v>
      </c>
      <c r="O360" s="8" t="str">
        <f t="shared" si="30"/>
        <v>PEN</v>
      </c>
      <c r="P360" s="13"/>
      <c r="Q360" s="13">
        <v>2300</v>
      </c>
      <c r="R360" s="3">
        <f t="shared" si="26"/>
        <v>2300</v>
      </c>
      <c r="S360" s="3">
        <f t="shared" si="27"/>
        <v>0</v>
      </c>
      <c r="T360" s="3">
        <f t="shared" si="28"/>
        <v>10946.099999999991</v>
      </c>
      <c r="U360" s="24"/>
      <c r="V360" s="24"/>
      <c r="W360" s="3"/>
      <c r="X360" s="25"/>
      <c r="Y360" s="25"/>
      <c r="Z360" s="25"/>
      <c r="AA360" s="25"/>
      <c r="AB360" s="25"/>
      <c r="AC360" s="3" t="str">
        <f>IF(Caja_Finanzas[[#This Row],[FECHA]]&gt;0,TEXT(Caja_Finanzas[[#This Row],[FECHA]],"mmmm"),0)</f>
        <v>Abril</v>
      </c>
    </row>
    <row r="361" spans="2:29" ht="24" x14ac:dyDescent="0.3">
      <c r="B361" s="2" t="str">
        <f>IF(Caja_Finanzas[[#This Row],[TIPO DE R.]]="R",COUNTIFS($D$4:$D360,"R")+1,"")</f>
        <v/>
      </c>
      <c r="C361" s="19" t="str">
        <f t="shared" si="29"/>
        <v>C-Finanzas</v>
      </c>
      <c r="D361" s="3" t="s">
        <v>1101</v>
      </c>
      <c r="E361" s="14">
        <v>45757</v>
      </c>
      <c r="F361" s="5" t="s">
        <v>2906</v>
      </c>
      <c r="G361" s="5"/>
      <c r="H361" s="5"/>
      <c r="I361" s="6"/>
      <c r="J361" s="6"/>
      <c r="K361" s="6"/>
      <c r="L361" s="6"/>
      <c r="M361" s="7" t="s">
        <v>5156</v>
      </c>
      <c r="N361" s="8" t="str">
        <f>"CFI"&amp;".D"&amp;TEXT(Caja_Finanzas[[#This Row],[FECHA]],"DD-MM")&amp;"-"&amp;TEXT(Caja_Finanzas[[#This Row],[ITEM]],"0000")</f>
        <v>CFI.D10-04-</v>
      </c>
      <c r="O361" s="8" t="str">
        <f t="shared" si="30"/>
        <v>PEN</v>
      </c>
      <c r="P361" s="13">
        <v>329</v>
      </c>
      <c r="Q361" s="13"/>
      <c r="R361" s="3">
        <f t="shared" si="26"/>
        <v>0</v>
      </c>
      <c r="S361" s="3">
        <f t="shared" si="27"/>
        <v>0</v>
      </c>
      <c r="T361" s="3">
        <f t="shared" si="28"/>
        <v>10946.099999999991</v>
      </c>
      <c r="U361" s="24"/>
      <c r="V361" s="24"/>
      <c r="W361" s="3"/>
      <c r="X361" s="25"/>
      <c r="Y361" s="25" t="s">
        <v>2138</v>
      </c>
      <c r="Z361" s="25"/>
      <c r="AA361" s="25"/>
      <c r="AB361" s="25"/>
      <c r="AC361" s="3" t="str">
        <f>IF(Caja_Finanzas[[#This Row],[FECHA]]&gt;0,TEXT(Caja_Finanzas[[#This Row],[FECHA]],"mmmm"),0)</f>
        <v>Abril</v>
      </c>
    </row>
    <row r="362" spans="2:29" ht="24" x14ac:dyDescent="0.3">
      <c r="B362" s="2" t="str">
        <f>IF(Caja_Finanzas[[#This Row],[TIPO DE R.]]="R",COUNTIFS($D$4:$D361,"R")+1,"")</f>
        <v/>
      </c>
      <c r="C362" s="19" t="str">
        <f t="shared" si="29"/>
        <v>C-Finanzas</v>
      </c>
      <c r="D362" s="3" t="s">
        <v>1101</v>
      </c>
      <c r="E362" s="14">
        <v>45757</v>
      </c>
      <c r="F362" s="5" t="s">
        <v>2906</v>
      </c>
      <c r="G362" s="5"/>
      <c r="H362" s="5"/>
      <c r="I362" s="6"/>
      <c r="J362" s="6"/>
      <c r="K362" s="6"/>
      <c r="L362" s="6"/>
      <c r="M362" s="7" t="s">
        <v>5156</v>
      </c>
      <c r="N362" s="8" t="str">
        <f>"CFI"&amp;".D"&amp;TEXT(Caja_Finanzas[[#This Row],[FECHA]],"DD-MM")&amp;"-"&amp;TEXT(Caja_Finanzas[[#This Row],[ITEM]],"0000")</f>
        <v>CFI.D10-04-</v>
      </c>
      <c r="O362" s="8" t="str">
        <f t="shared" si="30"/>
        <v>PEN</v>
      </c>
      <c r="P362" s="13">
        <v>1224</v>
      </c>
      <c r="Q362" s="13"/>
      <c r="R362" s="3">
        <f t="shared" si="26"/>
        <v>0</v>
      </c>
      <c r="S362" s="3">
        <f t="shared" si="27"/>
        <v>0</v>
      </c>
      <c r="T362" s="3">
        <f t="shared" si="28"/>
        <v>10946.099999999991</v>
      </c>
      <c r="U362" s="24"/>
      <c r="V362" s="24"/>
      <c r="W362" s="3"/>
      <c r="X362" s="25"/>
      <c r="Y362" s="25" t="s">
        <v>5840</v>
      </c>
      <c r="Z362" s="25"/>
      <c r="AA362" s="25"/>
      <c r="AB362" s="25"/>
      <c r="AC362" s="3" t="str">
        <f>IF(Caja_Finanzas[[#This Row],[FECHA]]&gt;0,TEXT(Caja_Finanzas[[#This Row],[FECHA]],"mmmm"),0)</f>
        <v>Abril</v>
      </c>
    </row>
    <row r="363" spans="2:29" ht="24" x14ac:dyDescent="0.3">
      <c r="B363" s="2" t="str">
        <f>IF(Caja_Finanzas[[#This Row],[TIPO DE R.]]="R",COUNTIFS($D$4:$D362,"R")+1,"")</f>
        <v/>
      </c>
      <c r="C363" s="19" t="str">
        <f t="shared" si="29"/>
        <v>C-Finanzas</v>
      </c>
      <c r="D363" s="3" t="s">
        <v>1101</v>
      </c>
      <c r="E363" s="14">
        <v>45757</v>
      </c>
      <c r="F363" s="5" t="s">
        <v>2906</v>
      </c>
      <c r="G363" s="5"/>
      <c r="H363" s="5"/>
      <c r="I363" s="6"/>
      <c r="J363" s="6"/>
      <c r="K363" s="6"/>
      <c r="L363" s="6"/>
      <c r="M363" s="7" t="s">
        <v>5156</v>
      </c>
      <c r="N363" s="8" t="str">
        <f>"CFI"&amp;".D"&amp;TEXT(Caja_Finanzas[[#This Row],[FECHA]],"DD-MM")&amp;"-"&amp;TEXT(Caja_Finanzas[[#This Row],[ITEM]],"0000")</f>
        <v>CFI.D10-04-</v>
      </c>
      <c r="O363" s="8" t="str">
        <f t="shared" si="30"/>
        <v>PEN</v>
      </c>
      <c r="P363" s="13">
        <v>747</v>
      </c>
      <c r="Q363" s="13"/>
      <c r="R363" s="3">
        <f t="shared" si="26"/>
        <v>0</v>
      </c>
      <c r="S363" s="3">
        <f t="shared" si="27"/>
        <v>0</v>
      </c>
      <c r="T363" s="3">
        <f t="shared" si="28"/>
        <v>10946.099999999991</v>
      </c>
      <c r="U363" s="24"/>
      <c r="V363" s="24"/>
      <c r="W363" s="3"/>
      <c r="X363" s="25"/>
      <c r="Y363" s="25" t="s">
        <v>5841</v>
      </c>
      <c r="Z363" s="25"/>
      <c r="AA363" s="25"/>
      <c r="AB363" s="25"/>
      <c r="AC363" s="3" t="str">
        <f>IF(Caja_Finanzas[[#This Row],[FECHA]]&gt;0,TEXT(Caja_Finanzas[[#This Row],[FECHA]],"mmmm"),0)</f>
        <v>Abril</v>
      </c>
    </row>
    <row r="364" spans="2:29" ht="24" x14ac:dyDescent="0.3">
      <c r="B364" s="2">
        <f>IF(Caja_Finanzas[[#This Row],[TIPO DE R.]]="R",COUNTIFS($D$4:$D363,"R")+1,"")</f>
        <v>348</v>
      </c>
      <c r="C364" s="19" t="str">
        <f t="shared" si="29"/>
        <v>C-Finanzas</v>
      </c>
      <c r="D364" s="3" t="s">
        <v>1074</v>
      </c>
      <c r="E364" s="14">
        <v>45757</v>
      </c>
      <c r="F364" s="5" t="s">
        <v>3001</v>
      </c>
      <c r="G364" s="5" t="s">
        <v>1087</v>
      </c>
      <c r="H364" s="5"/>
      <c r="I364" s="6"/>
      <c r="J364" s="6"/>
      <c r="K364" s="6"/>
      <c r="L364" s="6"/>
      <c r="M364" s="7" t="s">
        <v>5156</v>
      </c>
      <c r="N364" s="8" t="str">
        <f>"CFI"&amp;".D"&amp;TEXT(Caja_Finanzas[[#This Row],[FECHA]],"DD-MM")&amp;"-"&amp;TEXT(Caja_Finanzas[[#This Row],[ITEM]],"0000")</f>
        <v>CFI.D10-04-0348</v>
      </c>
      <c r="O364" s="8" t="str">
        <f t="shared" si="30"/>
        <v>PEN</v>
      </c>
      <c r="P364" s="13"/>
      <c r="Q364" s="13">
        <v>224</v>
      </c>
      <c r="R364" s="3">
        <f t="shared" si="26"/>
        <v>224</v>
      </c>
      <c r="S364" s="3">
        <f t="shared" si="27"/>
        <v>0</v>
      </c>
      <c r="T364" s="3">
        <f t="shared" si="28"/>
        <v>11170.099999999991</v>
      </c>
      <c r="U364" s="24"/>
      <c r="V364" s="24"/>
      <c r="W364" s="3"/>
      <c r="X364" s="25"/>
      <c r="Y364" s="25" t="s">
        <v>5842</v>
      </c>
      <c r="Z364" s="25"/>
      <c r="AA364" s="25"/>
      <c r="AB364" s="25"/>
      <c r="AC364" s="3" t="str">
        <f>IF(Caja_Finanzas[[#This Row],[FECHA]]&gt;0,TEXT(Caja_Finanzas[[#This Row],[FECHA]],"mmmm"),0)</f>
        <v>Abril</v>
      </c>
    </row>
    <row r="365" spans="2:29" ht="24" x14ac:dyDescent="0.3">
      <c r="B365" s="2">
        <f>IF(Caja_Finanzas[[#This Row],[TIPO DE R.]]="R",COUNTIFS($D$4:$D364,"R")+1,"")</f>
        <v>349</v>
      </c>
      <c r="C365" s="19" t="str">
        <f t="shared" si="29"/>
        <v>C-Finanzas</v>
      </c>
      <c r="D365" s="3" t="s">
        <v>1074</v>
      </c>
      <c r="E365" s="14">
        <v>45757</v>
      </c>
      <c r="F365" s="5" t="s">
        <v>1562</v>
      </c>
      <c r="G365" s="5" t="s">
        <v>1087</v>
      </c>
      <c r="H365" s="5"/>
      <c r="I365" s="6"/>
      <c r="J365" s="6"/>
      <c r="K365" s="6"/>
      <c r="L365" s="6"/>
      <c r="M365" s="7" t="s">
        <v>5156</v>
      </c>
      <c r="N365" s="8" t="str">
        <f>"CFI"&amp;".D"&amp;TEXT(Caja_Finanzas[[#This Row],[FECHA]],"DD-MM")&amp;"-"&amp;TEXT(Caja_Finanzas[[#This Row],[ITEM]],"0000")</f>
        <v>CFI.D10-04-0349</v>
      </c>
      <c r="O365" s="8" t="str">
        <f t="shared" si="30"/>
        <v>PEN</v>
      </c>
      <c r="P365" s="13"/>
      <c r="Q365" s="13">
        <v>264.5</v>
      </c>
      <c r="R365" s="3">
        <f t="shared" si="26"/>
        <v>264.5</v>
      </c>
      <c r="S365" s="3">
        <f t="shared" si="27"/>
        <v>0</v>
      </c>
      <c r="T365" s="3">
        <f t="shared" si="28"/>
        <v>11434.599999999991</v>
      </c>
      <c r="U365" s="24"/>
      <c r="V365" s="24"/>
      <c r="W365" s="3"/>
      <c r="X365" s="25"/>
      <c r="Y365" s="25" t="s">
        <v>5843</v>
      </c>
      <c r="Z365" s="25"/>
      <c r="AA365" s="25"/>
      <c r="AB365" s="25"/>
      <c r="AC365" s="3" t="str">
        <f>IF(Caja_Finanzas[[#This Row],[FECHA]]&gt;0,TEXT(Caja_Finanzas[[#This Row],[FECHA]],"mmmm"),0)</f>
        <v>Abril</v>
      </c>
    </row>
    <row r="366" spans="2:29" ht="24" x14ac:dyDescent="0.3">
      <c r="B366" s="2">
        <f>IF(Caja_Finanzas[[#This Row],[TIPO DE R.]]="R",COUNTIFS($D$4:$D365,"R")+1,"")</f>
        <v>350</v>
      </c>
      <c r="C366" s="19" t="str">
        <f t="shared" si="29"/>
        <v>C-Finanzas</v>
      </c>
      <c r="D366" s="3" t="s">
        <v>1074</v>
      </c>
      <c r="E366" s="14">
        <v>45757</v>
      </c>
      <c r="F366" s="5" t="s">
        <v>5347</v>
      </c>
      <c r="G366" s="5" t="s">
        <v>1079</v>
      </c>
      <c r="H366" s="5"/>
      <c r="I366" s="6"/>
      <c r="J366" s="6"/>
      <c r="K366" s="6"/>
      <c r="L366" s="6"/>
      <c r="M366" s="7" t="s">
        <v>5844</v>
      </c>
      <c r="N366" s="8" t="str">
        <f>"CFI"&amp;".D"&amp;TEXT(Caja_Finanzas[[#This Row],[FECHA]],"DD-MM")&amp;"-"&amp;TEXT(Caja_Finanzas[[#This Row],[ITEM]],"0000")</f>
        <v>CFI.D10-04-0350</v>
      </c>
      <c r="O366" s="8" t="str">
        <f t="shared" si="30"/>
        <v>PEN</v>
      </c>
      <c r="P366" s="13"/>
      <c r="Q366" s="13">
        <v>124.6</v>
      </c>
      <c r="R366" s="3">
        <f t="shared" si="26"/>
        <v>0</v>
      </c>
      <c r="S366" s="3">
        <f t="shared" si="27"/>
        <v>124.6</v>
      </c>
      <c r="T366" s="3">
        <f t="shared" si="28"/>
        <v>11309.999999999991</v>
      </c>
      <c r="U366" s="24"/>
      <c r="V366" s="24"/>
      <c r="W366" s="3"/>
      <c r="X366" s="25" t="s">
        <v>5845</v>
      </c>
      <c r="Y366" s="25" t="s">
        <v>5846</v>
      </c>
      <c r="Z366" s="25"/>
      <c r="AA366" s="25"/>
      <c r="AB366" s="25"/>
      <c r="AC366" s="3" t="str">
        <f>IF(Caja_Finanzas[[#This Row],[FECHA]]&gt;0,TEXT(Caja_Finanzas[[#This Row],[FECHA]],"mmmm"),0)</f>
        <v>Abril</v>
      </c>
    </row>
    <row r="367" spans="2:29" ht="24" x14ac:dyDescent="0.3">
      <c r="B367" s="2">
        <f>IF(Caja_Finanzas[[#This Row],[TIPO DE R.]]="R",COUNTIFS($D$4:$D366,"R")+1,"")</f>
        <v>351</v>
      </c>
      <c r="C367" s="19" t="str">
        <f t="shared" si="29"/>
        <v>C-Finanzas</v>
      </c>
      <c r="D367" s="3" t="s">
        <v>1074</v>
      </c>
      <c r="E367" s="14">
        <v>45757</v>
      </c>
      <c r="F367" s="5" t="s">
        <v>5307</v>
      </c>
      <c r="G367" s="5" t="s">
        <v>1079</v>
      </c>
      <c r="H367" s="5"/>
      <c r="I367" s="6"/>
      <c r="J367" s="6"/>
      <c r="K367" s="6"/>
      <c r="L367" s="6"/>
      <c r="M367" s="7"/>
      <c r="N367" s="8" t="str">
        <f>"CFI"&amp;".D"&amp;TEXT(Caja_Finanzas[[#This Row],[FECHA]],"DD-MM")&amp;"-"&amp;TEXT(Caja_Finanzas[[#This Row],[ITEM]],"0000")</f>
        <v>CFI.D10-04-0351</v>
      </c>
      <c r="O367" s="8" t="str">
        <f t="shared" si="30"/>
        <v>PEN</v>
      </c>
      <c r="P367" s="13"/>
      <c r="Q367" s="13">
        <v>1200</v>
      </c>
      <c r="R367" s="3">
        <f t="shared" si="26"/>
        <v>0</v>
      </c>
      <c r="S367" s="3">
        <f t="shared" si="27"/>
        <v>1200</v>
      </c>
      <c r="T367" s="3">
        <f t="shared" si="28"/>
        <v>10109.999999999991</v>
      </c>
      <c r="U367" s="24"/>
      <c r="V367" s="24"/>
      <c r="W367" s="3"/>
      <c r="X367" s="25" t="s">
        <v>5847</v>
      </c>
      <c r="Y367" s="25" t="s">
        <v>5848</v>
      </c>
      <c r="Z367" s="25"/>
      <c r="AA367" s="25"/>
      <c r="AB367" s="25"/>
      <c r="AC367" s="3" t="str">
        <f>IF(Caja_Finanzas[[#This Row],[FECHA]]&gt;0,TEXT(Caja_Finanzas[[#This Row],[FECHA]],"mmmm"),0)</f>
        <v>Abril</v>
      </c>
    </row>
    <row r="368" spans="2:29" ht="24" x14ac:dyDescent="0.3">
      <c r="B368" s="2">
        <f>IF(Caja_Finanzas[[#This Row],[TIPO DE R.]]="R",COUNTIFS($D$4:$D367,"R")+1,"")</f>
        <v>352</v>
      </c>
      <c r="C368" s="19" t="str">
        <f t="shared" si="29"/>
        <v>C-Finanzas</v>
      </c>
      <c r="D368" s="3" t="s">
        <v>1074</v>
      </c>
      <c r="E368" s="14">
        <v>45758</v>
      </c>
      <c r="F368" s="5" t="s">
        <v>5849</v>
      </c>
      <c r="G368" s="5" t="s">
        <v>1079</v>
      </c>
      <c r="H368" s="5"/>
      <c r="I368" s="6"/>
      <c r="J368" s="6"/>
      <c r="K368" s="6"/>
      <c r="L368" s="6"/>
      <c r="M368" s="7" t="s">
        <v>5850</v>
      </c>
      <c r="N368" s="8" t="str">
        <f>"CFI"&amp;".D"&amp;TEXT(Caja_Finanzas[[#This Row],[FECHA]],"DD-MM")&amp;"-"&amp;TEXT(Caja_Finanzas[[#This Row],[ITEM]],"0000")</f>
        <v>CFI.D11-04-0352</v>
      </c>
      <c r="O368" s="8" t="str">
        <f t="shared" si="30"/>
        <v>PEN</v>
      </c>
      <c r="P368" s="13"/>
      <c r="Q368" s="13">
        <v>1850</v>
      </c>
      <c r="R368" s="3">
        <f t="shared" si="26"/>
        <v>0</v>
      </c>
      <c r="S368" s="3">
        <f t="shared" si="27"/>
        <v>1850</v>
      </c>
      <c r="T368" s="3">
        <f t="shared" si="28"/>
        <v>8259.9999999999909</v>
      </c>
      <c r="U368" s="24"/>
      <c r="V368" s="24"/>
      <c r="W368" s="3"/>
      <c r="X368" s="25" t="s">
        <v>5851</v>
      </c>
      <c r="Y368" s="25" t="s">
        <v>5852</v>
      </c>
      <c r="Z368" s="25"/>
      <c r="AA368" s="25"/>
      <c r="AB368" s="25"/>
      <c r="AC368" s="3" t="str">
        <f>IF(Caja_Finanzas[[#This Row],[FECHA]]&gt;0,TEXT(Caja_Finanzas[[#This Row],[FECHA]],"mmmm"),0)</f>
        <v>Abril</v>
      </c>
    </row>
    <row r="369" spans="2:29" ht="24" x14ac:dyDescent="0.3">
      <c r="B369" s="2">
        <f>IF(Caja_Finanzas[[#This Row],[TIPO DE R.]]="R",COUNTIFS($D$4:$D368,"R")+1,"")</f>
        <v>353</v>
      </c>
      <c r="C369" s="19" t="str">
        <f t="shared" si="29"/>
        <v>C-Finanzas</v>
      </c>
      <c r="D369" s="3" t="s">
        <v>1074</v>
      </c>
      <c r="E369" s="14">
        <v>45758</v>
      </c>
      <c r="F369" s="5" t="s">
        <v>2655</v>
      </c>
      <c r="G369" s="5" t="s">
        <v>1087</v>
      </c>
      <c r="H369" s="5"/>
      <c r="I369" s="6"/>
      <c r="J369" s="6"/>
      <c r="K369" s="6"/>
      <c r="L369" s="6"/>
      <c r="M369" s="7" t="s">
        <v>5156</v>
      </c>
      <c r="N369" s="8" t="str">
        <f>"CFI"&amp;".D"&amp;TEXT(Caja_Finanzas[[#This Row],[FECHA]],"DD-MM")&amp;"-"&amp;TEXT(Caja_Finanzas[[#This Row],[ITEM]],"0000")</f>
        <v>CFI.D11-04-0353</v>
      </c>
      <c r="O369" s="8" t="str">
        <f t="shared" si="30"/>
        <v>PEN</v>
      </c>
      <c r="P369" s="13"/>
      <c r="Q369" s="13">
        <v>2353</v>
      </c>
      <c r="R369" s="3">
        <f t="shared" si="26"/>
        <v>2353</v>
      </c>
      <c r="S369" s="3">
        <f t="shared" si="27"/>
        <v>0</v>
      </c>
      <c r="T369" s="3">
        <f t="shared" si="28"/>
        <v>10612.999999999991</v>
      </c>
      <c r="U369" s="24"/>
      <c r="V369" s="24"/>
      <c r="W369" s="3"/>
      <c r="X369" s="25"/>
      <c r="Y369" s="25" t="s">
        <v>5853</v>
      </c>
      <c r="Z369" s="25"/>
      <c r="AA369" s="25"/>
      <c r="AB369" s="25"/>
      <c r="AC369" s="3" t="str">
        <f>IF(Caja_Finanzas[[#This Row],[FECHA]]&gt;0,TEXT(Caja_Finanzas[[#This Row],[FECHA]],"mmmm"),0)</f>
        <v>Abril</v>
      </c>
    </row>
    <row r="370" spans="2:29" ht="24" x14ac:dyDescent="0.3">
      <c r="B370" s="2">
        <f>IF(Caja_Finanzas[[#This Row],[TIPO DE R.]]="R",COUNTIFS($D$4:$D369,"R")+1,"")</f>
        <v>354</v>
      </c>
      <c r="C370" s="19" t="str">
        <f t="shared" si="29"/>
        <v>C-Finanzas</v>
      </c>
      <c r="D370" s="3" t="s">
        <v>1074</v>
      </c>
      <c r="E370" s="14">
        <v>45758</v>
      </c>
      <c r="F370" s="5" t="s">
        <v>5437</v>
      </c>
      <c r="G370" s="5" t="s">
        <v>1079</v>
      </c>
      <c r="H370" s="5"/>
      <c r="I370" s="6"/>
      <c r="J370" s="6"/>
      <c r="K370" s="6"/>
      <c r="L370" s="6"/>
      <c r="M370" s="7" t="s">
        <v>5854</v>
      </c>
      <c r="N370" s="8" t="str">
        <f>"CFI"&amp;".D"&amp;TEXT(Caja_Finanzas[[#This Row],[FECHA]],"DD-MM")&amp;"-"&amp;TEXT(Caja_Finanzas[[#This Row],[ITEM]],"0000")</f>
        <v>CFI.D11-04-0354</v>
      </c>
      <c r="O370" s="8" t="str">
        <f t="shared" si="30"/>
        <v>PEN</v>
      </c>
      <c r="P370" s="13"/>
      <c r="Q370" s="13">
        <v>450</v>
      </c>
      <c r="R370" s="3">
        <f t="shared" si="26"/>
        <v>0</v>
      </c>
      <c r="S370" s="3">
        <f t="shared" si="27"/>
        <v>450</v>
      </c>
      <c r="T370" s="3">
        <f t="shared" si="28"/>
        <v>10162.999999999991</v>
      </c>
      <c r="U370" s="24"/>
      <c r="V370" s="24"/>
      <c r="W370" s="3"/>
      <c r="X370" s="25" t="s">
        <v>5596</v>
      </c>
      <c r="Y370" s="25" t="s">
        <v>5855</v>
      </c>
      <c r="Z370" s="25"/>
      <c r="AA370" s="25"/>
      <c r="AB370" s="25"/>
      <c r="AC370" s="3" t="str">
        <f>IF(Caja_Finanzas[[#This Row],[FECHA]]&gt;0,TEXT(Caja_Finanzas[[#This Row],[FECHA]],"mmmm"),0)</f>
        <v>Abril</v>
      </c>
    </row>
    <row r="371" spans="2:29" ht="24" x14ac:dyDescent="0.3">
      <c r="B371" s="2">
        <f>IF(Caja_Finanzas[[#This Row],[TIPO DE R.]]="R",COUNTIFS($D$4:$D370,"R")+1,"")</f>
        <v>355</v>
      </c>
      <c r="C371" s="19" t="str">
        <f t="shared" si="29"/>
        <v>C-Finanzas</v>
      </c>
      <c r="D371" s="3" t="s">
        <v>1074</v>
      </c>
      <c r="E371" s="14">
        <v>45758</v>
      </c>
      <c r="F371" s="5" t="s">
        <v>5338</v>
      </c>
      <c r="G371" s="5" t="s">
        <v>1079</v>
      </c>
      <c r="H371" s="5"/>
      <c r="I371" s="6"/>
      <c r="J371" s="6"/>
      <c r="K371" s="6"/>
      <c r="L371" s="6"/>
      <c r="M371" s="7" t="s">
        <v>5856</v>
      </c>
      <c r="N371" s="8" t="str">
        <f>"CFI"&amp;".D"&amp;TEXT(Caja_Finanzas[[#This Row],[FECHA]],"DD-MM")&amp;"-"&amp;TEXT(Caja_Finanzas[[#This Row],[ITEM]],"0000")</f>
        <v>CFI.D11-04-0355</v>
      </c>
      <c r="O371" s="8" t="str">
        <f t="shared" si="30"/>
        <v>PEN</v>
      </c>
      <c r="P371" s="13"/>
      <c r="Q371" s="13">
        <v>20</v>
      </c>
      <c r="R371" s="3">
        <f t="shared" si="26"/>
        <v>0</v>
      </c>
      <c r="S371" s="3">
        <f t="shared" si="27"/>
        <v>20</v>
      </c>
      <c r="T371" s="3">
        <f t="shared" si="28"/>
        <v>10142.999999999991</v>
      </c>
      <c r="U371" s="24"/>
      <c r="V371" s="24"/>
      <c r="W371" s="3"/>
      <c r="X371" s="25" t="s">
        <v>5596</v>
      </c>
      <c r="Y371" s="25" t="s">
        <v>5857</v>
      </c>
      <c r="Z371" s="25"/>
      <c r="AA371" s="25"/>
      <c r="AB371" s="25"/>
      <c r="AC371" s="3" t="str">
        <f>IF(Caja_Finanzas[[#This Row],[FECHA]]&gt;0,TEXT(Caja_Finanzas[[#This Row],[FECHA]],"mmmm"),0)</f>
        <v>Abril</v>
      </c>
    </row>
    <row r="372" spans="2:29" ht="24" x14ac:dyDescent="0.3">
      <c r="B372" s="2">
        <f>IF(Caja_Finanzas[[#This Row],[TIPO DE R.]]="R",COUNTIFS($D$4:$D371,"R")+1,"")</f>
        <v>356</v>
      </c>
      <c r="C372" s="19" t="str">
        <f t="shared" si="29"/>
        <v>C-Finanzas</v>
      </c>
      <c r="D372" s="3" t="s">
        <v>1074</v>
      </c>
      <c r="E372" s="14">
        <v>45758</v>
      </c>
      <c r="F372" s="5" t="s">
        <v>5858</v>
      </c>
      <c r="G372" s="5" t="s">
        <v>1079</v>
      </c>
      <c r="H372" s="5"/>
      <c r="I372" s="6"/>
      <c r="J372" s="6"/>
      <c r="K372" s="6"/>
      <c r="L372" s="6"/>
      <c r="M372" s="7" t="s">
        <v>5859</v>
      </c>
      <c r="N372" s="8" t="str">
        <f>"CFI"&amp;".D"&amp;TEXT(Caja_Finanzas[[#This Row],[FECHA]],"DD-MM")&amp;"-"&amp;TEXT(Caja_Finanzas[[#This Row],[ITEM]],"0000")</f>
        <v>CFI.D11-04-0356</v>
      </c>
      <c r="O372" s="8" t="str">
        <f t="shared" si="30"/>
        <v>PEN</v>
      </c>
      <c r="P372" s="13"/>
      <c r="Q372" s="13">
        <v>7</v>
      </c>
      <c r="R372" s="3">
        <f t="shared" si="26"/>
        <v>0</v>
      </c>
      <c r="S372" s="3">
        <f t="shared" si="27"/>
        <v>7</v>
      </c>
      <c r="T372" s="3">
        <f t="shared" si="28"/>
        <v>10135.999999999991</v>
      </c>
      <c r="U372" s="24"/>
      <c r="V372" s="24"/>
      <c r="W372" s="3"/>
      <c r="X372" s="25" t="s">
        <v>5860</v>
      </c>
      <c r="Y372" s="25" t="s">
        <v>5861</v>
      </c>
      <c r="Z372" s="25"/>
      <c r="AA372" s="25"/>
      <c r="AB372" s="25"/>
      <c r="AC372" s="3" t="str">
        <f>IF(Caja_Finanzas[[#This Row],[FECHA]]&gt;0,TEXT(Caja_Finanzas[[#This Row],[FECHA]],"mmmm"),0)</f>
        <v>Abril</v>
      </c>
    </row>
    <row r="373" spans="2:29" ht="24" x14ac:dyDescent="0.3">
      <c r="B373" s="2">
        <f>IF(Caja_Finanzas[[#This Row],[TIPO DE R.]]="R",COUNTIFS($D$4:$D372,"R")+1,"")</f>
        <v>357</v>
      </c>
      <c r="C373" s="19" t="str">
        <f t="shared" si="29"/>
        <v>C-Finanzas</v>
      </c>
      <c r="D373" s="3" t="s">
        <v>1074</v>
      </c>
      <c r="E373" s="14">
        <v>45758</v>
      </c>
      <c r="F373" s="5" t="s">
        <v>5305</v>
      </c>
      <c r="G373" s="5" t="s">
        <v>1079</v>
      </c>
      <c r="H373" s="5"/>
      <c r="I373" s="6"/>
      <c r="J373" s="6"/>
      <c r="K373" s="6"/>
      <c r="L373" s="6"/>
      <c r="M373" s="7" t="s">
        <v>5539</v>
      </c>
      <c r="N373" s="8" t="str">
        <f>"CFI"&amp;".D"&amp;TEXT(Caja_Finanzas[[#This Row],[FECHA]],"DD-MM")&amp;"-"&amp;TEXT(Caja_Finanzas[[#This Row],[ITEM]],"0000")</f>
        <v>CFI.D11-04-0357</v>
      </c>
      <c r="O373" s="8" t="str">
        <f t="shared" si="30"/>
        <v>PEN</v>
      </c>
      <c r="P373" s="13"/>
      <c r="Q373" s="13">
        <v>1000</v>
      </c>
      <c r="R373" s="3">
        <f t="shared" si="26"/>
        <v>0</v>
      </c>
      <c r="S373" s="3">
        <f t="shared" si="27"/>
        <v>1000</v>
      </c>
      <c r="T373" s="3">
        <f t="shared" si="28"/>
        <v>9135.9999999999909</v>
      </c>
      <c r="U373" s="24"/>
      <c r="V373" s="24"/>
      <c r="W373" s="3"/>
      <c r="X373" s="25"/>
      <c r="Y373" s="25"/>
      <c r="Z373" s="25"/>
      <c r="AA373" s="25"/>
      <c r="AB373" s="25"/>
      <c r="AC373" s="3" t="str">
        <f>IF(Caja_Finanzas[[#This Row],[FECHA]]&gt;0,TEXT(Caja_Finanzas[[#This Row],[FECHA]],"mmmm"),0)</f>
        <v>Abril</v>
      </c>
    </row>
    <row r="374" spans="2:29" x14ac:dyDescent="0.3">
      <c r="B374" s="2">
        <f>IF(Caja_Finanzas[[#This Row],[TIPO DE R.]]="R",COUNTIFS($D$4:$D373,"R")+1,"")</f>
        <v>358</v>
      </c>
      <c r="C374" s="19" t="str">
        <f t="shared" si="29"/>
        <v>C-Finanzas</v>
      </c>
      <c r="D374" s="3" t="s">
        <v>1074</v>
      </c>
      <c r="E374" s="14">
        <v>45758</v>
      </c>
      <c r="F374" s="5" t="s">
        <v>3353</v>
      </c>
      <c r="G374" s="5" t="s">
        <v>1079</v>
      </c>
      <c r="H374" s="5"/>
      <c r="I374" s="6"/>
      <c r="J374" s="6"/>
      <c r="K374" s="6"/>
      <c r="L374" s="6"/>
      <c r="M374" s="7" t="s">
        <v>5397</v>
      </c>
      <c r="N374" s="8" t="str">
        <f>"CFI"&amp;".D"&amp;TEXT(Caja_Finanzas[[#This Row],[FECHA]],"DD-MM")&amp;"-"&amp;TEXT(Caja_Finanzas[[#This Row],[ITEM]],"0000")</f>
        <v>CFI.D11-04-0358</v>
      </c>
      <c r="O374" s="8" t="str">
        <f t="shared" si="30"/>
        <v>PEN</v>
      </c>
      <c r="P374" s="13"/>
      <c r="Q374" s="13">
        <v>1500</v>
      </c>
      <c r="R374" s="3">
        <f t="shared" si="26"/>
        <v>0</v>
      </c>
      <c r="S374" s="3">
        <f t="shared" si="27"/>
        <v>1500</v>
      </c>
      <c r="T374" s="3">
        <f t="shared" si="28"/>
        <v>7635.9999999999909</v>
      </c>
      <c r="U374" s="24"/>
      <c r="V374" s="24"/>
      <c r="W374" s="3"/>
      <c r="X374" s="25"/>
      <c r="Y374" s="25"/>
      <c r="Z374" s="25"/>
      <c r="AA374" s="25"/>
      <c r="AB374" s="25"/>
      <c r="AC374" s="3" t="str">
        <f>IF(Caja_Finanzas[[#This Row],[FECHA]]&gt;0,TEXT(Caja_Finanzas[[#This Row],[FECHA]],"mmmm"),0)</f>
        <v>Abril</v>
      </c>
    </row>
    <row r="375" spans="2:29" ht="36" x14ac:dyDescent="0.3">
      <c r="B375" s="2">
        <f>IF(Caja_Finanzas[[#This Row],[TIPO DE R.]]="R",COUNTIFS($D$4:$D374,"R")+1,"")</f>
        <v>359</v>
      </c>
      <c r="C375" s="19" t="str">
        <f t="shared" si="29"/>
        <v>C-Finanzas</v>
      </c>
      <c r="D375" s="3" t="s">
        <v>1074</v>
      </c>
      <c r="E375" s="14">
        <v>45761</v>
      </c>
      <c r="F375" s="5" t="s">
        <v>5849</v>
      </c>
      <c r="G375" s="5" t="s">
        <v>1079</v>
      </c>
      <c r="H375" s="5"/>
      <c r="I375" s="6"/>
      <c r="J375" s="6"/>
      <c r="K375" s="6"/>
      <c r="L375" s="6"/>
      <c r="M375" s="7" t="s">
        <v>5862</v>
      </c>
      <c r="N375" s="8" t="str">
        <f>"CFI"&amp;".D"&amp;TEXT(Caja_Finanzas[[#This Row],[FECHA]],"DD-MM")&amp;"-"&amp;TEXT(Caja_Finanzas[[#This Row],[ITEM]],"0000")</f>
        <v>CFI.D14-04-0359</v>
      </c>
      <c r="O375" s="8" t="str">
        <f t="shared" si="30"/>
        <v>PEN</v>
      </c>
      <c r="P375" s="13"/>
      <c r="Q375" s="13">
        <v>70</v>
      </c>
      <c r="R375" s="3">
        <f t="shared" si="26"/>
        <v>0</v>
      </c>
      <c r="S375" s="3">
        <f t="shared" si="27"/>
        <v>70</v>
      </c>
      <c r="T375" s="3">
        <f t="shared" si="28"/>
        <v>7565.9999999999909</v>
      </c>
      <c r="U375" s="24"/>
      <c r="V375" s="24"/>
      <c r="W375" s="3"/>
      <c r="X375" s="25" t="s">
        <v>5596</v>
      </c>
      <c r="Y375" s="25" t="s">
        <v>5863</v>
      </c>
      <c r="Z375" s="25"/>
      <c r="AA375" s="25"/>
      <c r="AB375" s="25"/>
      <c r="AC375" s="3" t="str">
        <f>IF(Caja_Finanzas[[#This Row],[FECHA]]&gt;0,TEXT(Caja_Finanzas[[#This Row],[FECHA]],"mmmm"),0)</f>
        <v>Abril</v>
      </c>
    </row>
    <row r="376" spans="2:29" ht="36" x14ac:dyDescent="0.3">
      <c r="B376" s="2">
        <f>IF(Caja_Finanzas[[#This Row],[TIPO DE R.]]="R",COUNTIFS($D$4:$D375,"R")+1,"")</f>
        <v>360</v>
      </c>
      <c r="C376" s="19" t="str">
        <f t="shared" si="29"/>
        <v>C-Finanzas</v>
      </c>
      <c r="D376" s="3" t="s">
        <v>1074</v>
      </c>
      <c r="E376" s="14">
        <v>45761</v>
      </c>
      <c r="F376" s="5" t="s">
        <v>5347</v>
      </c>
      <c r="G376" s="5" t="s">
        <v>1079</v>
      </c>
      <c r="H376" s="5"/>
      <c r="I376" s="6"/>
      <c r="J376" s="6"/>
      <c r="K376" s="6"/>
      <c r="L376" s="6"/>
      <c r="M376" s="7" t="s">
        <v>5864</v>
      </c>
      <c r="N376" s="8" t="str">
        <f>"CFI"&amp;".D"&amp;TEXT(Caja_Finanzas[[#This Row],[FECHA]],"DD-MM")&amp;"-"&amp;TEXT(Caja_Finanzas[[#This Row],[ITEM]],"0000")</f>
        <v>CFI.D14-04-0360</v>
      </c>
      <c r="O376" s="8" t="str">
        <f t="shared" si="30"/>
        <v>PEN</v>
      </c>
      <c r="P376" s="13"/>
      <c r="Q376" s="13">
        <v>281</v>
      </c>
      <c r="R376" s="3">
        <f t="shared" si="26"/>
        <v>0</v>
      </c>
      <c r="S376" s="3">
        <f t="shared" si="27"/>
        <v>281</v>
      </c>
      <c r="T376" s="3">
        <f t="shared" si="28"/>
        <v>7284.9999999999909</v>
      </c>
      <c r="U376" s="24"/>
      <c r="V376" s="24"/>
      <c r="W376" s="3"/>
      <c r="X376" s="25" t="s">
        <v>5865</v>
      </c>
      <c r="Y376" s="25" t="s">
        <v>5866</v>
      </c>
      <c r="Z376" s="25"/>
      <c r="AA376" s="25"/>
      <c r="AB376" s="25"/>
      <c r="AC376" s="3" t="str">
        <f>IF(Caja_Finanzas[[#This Row],[FECHA]]&gt;0,TEXT(Caja_Finanzas[[#This Row],[FECHA]],"mmmm"),0)</f>
        <v>Abril</v>
      </c>
    </row>
    <row r="377" spans="2:29" ht="24" x14ac:dyDescent="0.3">
      <c r="B377" s="2">
        <f>IF(Caja_Finanzas[[#This Row],[TIPO DE R.]]="R",COUNTIFS($D$4:$D376,"R")+1,"")</f>
        <v>361</v>
      </c>
      <c r="C377" s="19" t="str">
        <f t="shared" si="29"/>
        <v>C-Finanzas</v>
      </c>
      <c r="D377" s="3" t="s">
        <v>1074</v>
      </c>
      <c r="E377" s="14">
        <v>45761</v>
      </c>
      <c r="F377" s="5" t="s">
        <v>2100</v>
      </c>
      <c r="G377" s="5" t="s">
        <v>1087</v>
      </c>
      <c r="H377" s="5"/>
      <c r="I377" s="6"/>
      <c r="J377" s="6"/>
      <c r="K377" s="6"/>
      <c r="L377" s="6"/>
      <c r="M377" s="7" t="s">
        <v>5156</v>
      </c>
      <c r="N377" s="8" t="str">
        <f>"CFI"&amp;".D"&amp;TEXT(Caja_Finanzas[[#This Row],[FECHA]],"DD-MM")&amp;"-"&amp;TEXT(Caja_Finanzas[[#This Row],[ITEM]],"0000")</f>
        <v>CFI.D14-04-0361</v>
      </c>
      <c r="O377" s="8" t="str">
        <f t="shared" si="30"/>
        <v>PEN</v>
      </c>
      <c r="P377" s="13"/>
      <c r="Q377" s="13">
        <v>134</v>
      </c>
      <c r="R377" s="3">
        <f t="shared" si="26"/>
        <v>134</v>
      </c>
      <c r="S377" s="3">
        <f t="shared" si="27"/>
        <v>0</v>
      </c>
      <c r="T377" s="3">
        <f t="shared" si="28"/>
        <v>7418.9999999999909</v>
      </c>
      <c r="U377" s="24"/>
      <c r="V377" s="24"/>
      <c r="W377" s="3"/>
      <c r="X377" s="25"/>
      <c r="Y377" s="25" t="s">
        <v>2101</v>
      </c>
      <c r="Z377" s="25"/>
      <c r="AA377" s="25"/>
      <c r="AB377" s="25"/>
      <c r="AC377" s="3" t="str">
        <f>IF(Caja_Finanzas[[#This Row],[FECHA]]&gt;0,TEXT(Caja_Finanzas[[#This Row],[FECHA]],"mmmm"),0)</f>
        <v>Abril</v>
      </c>
    </row>
    <row r="378" spans="2:29" x14ac:dyDescent="0.3">
      <c r="B378" s="2">
        <f>IF(Caja_Finanzas[[#This Row],[TIPO DE R.]]="R",COUNTIFS($D$4:$D377,"R")+1,"")</f>
        <v>362</v>
      </c>
      <c r="C378" s="19" t="str">
        <f t="shared" si="29"/>
        <v>C-Finanzas</v>
      </c>
      <c r="D378" s="3" t="s">
        <v>1074</v>
      </c>
      <c r="E378" s="14">
        <v>45761</v>
      </c>
      <c r="F378" s="5" t="s">
        <v>1239</v>
      </c>
      <c r="G378" s="5" t="s">
        <v>1087</v>
      </c>
      <c r="H378" s="5"/>
      <c r="I378" s="6"/>
      <c r="J378" s="6"/>
      <c r="K378" s="6"/>
      <c r="L378" s="6"/>
      <c r="M378" s="7" t="s">
        <v>5156</v>
      </c>
      <c r="N378" s="8" t="str">
        <f>"CFI"&amp;".D"&amp;TEXT(Caja_Finanzas[[#This Row],[FECHA]],"DD-MM")&amp;"-"&amp;TEXT(Caja_Finanzas[[#This Row],[ITEM]],"0000")</f>
        <v>CFI.D14-04-0362</v>
      </c>
      <c r="O378" s="8" t="str">
        <f t="shared" si="30"/>
        <v>PEN</v>
      </c>
      <c r="P378" s="13"/>
      <c r="Q378" s="13">
        <v>15</v>
      </c>
      <c r="R378" s="3">
        <f t="shared" si="26"/>
        <v>15</v>
      </c>
      <c r="S378" s="3">
        <f t="shared" si="27"/>
        <v>0</v>
      </c>
      <c r="T378" s="3">
        <f t="shared" si="28"/>
        <v>7433.9999999999909</v>
      </c>
      <c r="U378" s="24"/>
      <c r="V378" s="24"/>
      <c r="W378" s="3"/>
      <c r="X378" s="25"/>
      <c r="Y378" s="25" t="s">
        <v>5867</v>
      </c>
      <c r="Z378" s="25"/>
      <c r="AA378" s="25"/>
      <c r="AB378" s="25"/>
      <c r="AC378" s="3" t="str">
        <f>IF(Caja_Finanzas[[#This Row],[FECHA]]&gt;0,TEXT(Caja_Finanzas[[#This Row],[FECHA]],"mmmm"),0)</f>
        <v>Abril</v>
      </c>
    </row>
    <row r="379" spans="2:29" x14ac:dyDescent="0.3">
      <c r="B379" s="2">
        <f>IF(Caja_Finanzas[[#This Row],[TIPO DE R.]]="R",COUNTIFS($D$4:$D378,"R")+1,"")</f>
        <v>363</v>
      </c>
      <c r="C379" s="19" t="str">
        <f t="shared" si="29"/>
        <v>C-Finanzas</v>
      </c>
      <c r="D379" s="3" t="s">
        <v>1074</v>
      </c>
      <c r="E379" s="14">
        <v>45763</v>
      </c>
      <c r="F379" s="5" t="s">
        <v>1239</v>
      </c>
      <c r="G379" s="5" t="s">
        <v>1087</v>
      </c>
      <c r="H379" s="5"/>
      <c r="I379" s="6"/>
      <c r="J379" s="6"/>
      <c r="K379" s="6"/>
      <c r="L379" s="6"/>
      <c r="M379" s="7" t="s">
        <v>5156</v>
      </c>
      <c r="N379" s="8" t="str">
        <f>"CFI"&amp;".D"&amp;TEXT(Caja_Finanzas[[#This Row],[FECHA]],"DD-MM")&amp;"-"&amp;TEXT(Caja_Finanzas[[#This Row],[ITEM]],"0000")</f>
        <v>CFI.D16-04-0363</v>
      </c>
      <c r="O379" s="8" t="str">
        <f t="shared" si="30"/>
        <v>PEN</v>
      </c>
      <c r="P379" s="13"/>
      <c r="Q379" s="13">
        <v>128</v>
      </c>
      <c r="R379" s="3">
        <f t="shared" si="26"/>
        <v>128</v>
      </c>
      <c r="S379" s="3">
        <f t="shared" si="27"/>
        <v>0</v>
      </c>
      <c r="T379" s="3">
        <f t="shared" si="28"/>
        <v>7561.9999999999909</v>
      </c>
      <c r="U379" s="24"/>
      <c r="V379" s="24"/>
      <c r="W379" s="3"/>
      <c r="X379" s="25"/>
      <c r="Y379" s="25" t="s">
        <v>5868</v>
      </c>
      <c r="Z379" s="25"/>
      <c r="AA379" s="25"/>
      <c r="AB379" s="25"/>
      <c r="AC379" s="3" t="str">
        <f>IF(Caja_Finanzas[[#This Row],[FECHA]]&gt;0,TEXT(Caja_Finanzas[[#This Row],[FECHA]],"mmmm"),0)</f>
        <v>Abril</v>
      </c>
    </row>
    <row r="380" spans="2:29" ht="24" x14ac:dyDescent="0.3">
      <c r="B380" s="2">
        <f>IF(Caja_Finanzas[[#This Row],[TIPO DE R.]]="R",COUNTIFS($D$4:$D379,"R")+1,"")</f>
        <v>364</v>
      </c>
      <c r="C380" s="19" t="str">
        <f t="shared" si="29"/>
        <v>C-Finanzas</v>
      </c>
      <c r="D380" s="3" t="s">
        <v>1074</v>
      </c>
      <c r="E380" s="14">
        <v>45763</v>
      </c>
      <c r="F380" s="5" t="s">
        <v>2226</v>
      </c>
      <c r="G380" s="5" t="s">
        <v>1087</v>
      </c>
      <c r="H380" s="5"/>
      <c r="I380" s="6"/>
      <c r="J380" s="6"/>
      <c r="K380" s="6"/>
      <c r="L380" s="6"/>
      <c r="M380" s="7" t="s">
        <v>5156</v>
      </c>
      <c r="N380" s="8" t="str">
        <f>"CFI"&amp;".D"&amp;TEXT(Caja_Finanzas[[#This Row],[FECHA]],"DD-MM")&amp;"-"&amp;TEXT(Caja_Finanzas[[#This Row],[ITEM]],"0000")</f>
        <v>CFI.D16-04-0364</v>
      </c>
      <c r="O380" s="8" t="str">
        <f t="shared" si="30"/>
        <v>PEN</v>
      </c>
      <c r="P380" s="13"/>
      <c r="Q380" s="13">
        <v>600</v>
      </c>
      <c r="R380" s="3">
        <f t="shared" si="26"/>
        <v>600</v>
      </c>
      <c r="S380" s="3">
        <f t="shared" si="27"/>
        <v>0</v>
      </c>
      <c r="T380" s="3">
        <f t="shared" si="28"/>
        <v>8161.9999999999909</v>
      </c>
      <c r="U380" s="24"/>
      <c r="V380" s="24"/>
      <c r="W380" s="3"/>
      <c r="X380" s="25"/>
      <c r="Y380" s="25" t="s">
        <v>5869</v>
      </c>
      <c r="Z380" s="25"/>
      <c r="AA380" s="25"/>
      <c r="AB380" s="25"/>
      <c r="AC380" s="3" t="str">
        <f>IF(Caja_Finanzas[[#This Row],[FECHA]]&gt;0,TEXT(Caja_Finanzas[[#This Row],[FECHA]],"mmmm"),0)</f>
        <v>Abril</v>
      </c>
    </row>
    <row r="381" spans="2:29" ht="24" x14ac:dyDescent="0.3">
      <c r="B381" s="2">
        <f>IF(Caja_Finanzas[[#This Row],[TIPO DE R.]]="R",COUNTIFS($D$4:$D380,"R")+1,"")</f>
        <v>365</v>
      </c>
      <c r="C381" s="19" t="str">
        <f t="shared" si="29"/>
        <v>C-Finanzas</v>
      </c>
      <c r="D381" s="3" t="s">
        <v>1074</v>
      </c>
      <c r="E381" s="14">
        <v>45763</v>
      </c>
      <c r="F381" s="5" t="s">
        <v>5343</v>
      </c>
      <c r="G381" s="5" t="s">
        <v>1079</v>
      </c>
      <c r="H381" s="5"/>
      <c r="I381" s="6"/>
      <c r="J381" s="6"/>
      <c r="K381" s="6"/>
      <c r="L381" s="6"/>
      <c r="M381" s="7" t="s">
        <v>5870</v>
      </c>
      <c r="N381" s="8" t="str">
        <f>"CFI"&amp;".D"&amp;TEXT(Caja_Finanzas[[#This Row],[FECHA]],"DD-MM")&amp;"-"&amp;TEXT(Caja_Finanzas[[#This Row],[ITEM]],"0000")</f>
        <v>CFI.D16-04-0365</v>
      </c>
      <c r="O381" s="8" t="str">
        <f t="shared" si="30"/>
        <v>PEN</v>
      </c>
      <c r="P381" s="13"/>
      <c r="Q381" s="13">
        <v>80</v>
      </c>
      <c r="R381" s="3">
        <f t="shared" si="26"/>
        <v>0</v>
      </c>
      <c r="S381" s="3">
        <f t="shared" si="27"/>
        <v>80</v>
      </c>
      <c r="T381" s="3">
        <f t="shared" si="28"/>
        <v>8081.9999999999909</v>
      </c>
      <c r="U381" s="24"/>
      <c r="V381" s="24"/>
      <c r="W381" s="3"/>
      <c r="X381" s="25" t="s">
        <v>5721</v>
      </c>
      <c r="Y381" s="25" t="s">
        <v>5871</v>
      </c>
      <c r="Z381" s="25"/>
      <c r="AA381" s="25"/>
      <c r="AB381" s="25"/>
      <c r="AC381" s="3" t="str">
        <f>IF(Caja_Finanzas[[#This Row],[FECHA]]&gt;0,TEXT(Caja_Finanzas[[#This Row],[FECHA]],"mmmm"),0)</f>
        <v>Abril</v>
      </c>
    </row>
    <row r="382" spans="2:29" x14ac:dyDescent="0.3">
      <c r="B382" s="2">
        <f>IF(Caja_Finanzas[[#This Row],[TIPO DE R.]]="R",COUNTIFS($D$4:$D381,"R")+1,"")</f>
        <v>366</v>
      </c>
      <c r="C382" s="19" t="str">
        <f t="shared" si="29"/>
        <v>C-Finanzas</v>
      </c>
      <c r="D382" s="3" t="s">
        <v>1074</v>
      </c>
      <c r="E382" s="14">
        <v>45763</v>
      </c>
      <c r="F382" s="5" t="s">
        <v>3353</v>
      </c>
      <c r="G382" s="5" t="s">
        <v>1079</v>
      </c>
      <c r="H382" s="5"/>
      <c r="I382" s="6"/>
      <c r="J382" s="6"/>
      <c r="K382" s="6"/>
      <c r="L382" s="6"/>
      <c r="M382" s="7" t="s">
        <v>5397</v>
      </c>
      <c r="N382" s="8" t="str">
        <f>"CFI"&amp;".D"&amp;TEXT(Caja_Finanzas[[#This Row],[FECHA]],"DD-MM")&amp;"-"&amp;TEXT(Caja_Finanzas[[#This Row],[ITEM]],"0000")</f>
        <v>CFI.D16-04-0366</v>
      </c>
      <c r="O382" s="8" t="str">
        <f t="shared" si="30"/>
        <v>PEN</v>
      </c>
      <c r="P382" s="13"/>
      <c r="Q382" s="13">
        <v>2900</v>
      </c>
      <c r="R382" s="3">
        <f t="shared" si="26"/>
        <v>0</v>
      </c>
      <c r="S382" s="3">
        <f t="shared" si="27"/>
        <v>2900</v>
      </c>
      <c r="T382" s="3">
        <f t="shared" si="28"/>
        <v>5181.9999999999909</v>
      </c>
      <c r="U382" s="24"/>
      <c r="V382" s="24"/>
      <c r="W382" s="3"/>
      <c r="X382" s="25"/>
      <c r="Y382" s="25"/>
      <c r="Z382" s="25"/>
      <c r="AA382" s="25"/>
      <c r="AB382" s="25"/>
      <c r="AC382" s="3" t="str">
        <f>IF(Caja_Finanzas[[#This Row],[FECHA]]&gt;0,TEXT(Caja_Finanzas[[#This Row],[FECHA]],"mmmm"),0)</f>
        <v>Abril</v>
      </c>
    </row>
    <row r="383" spans="2:29" ht="24" x14ac:dyDescent="0.3">
      <c r="B383" s="2">
        <f>IF(Caja_Finanzas[[#This Row],[TIPO DE R.]]="R",COUNTIFS($D$4:$D382,"R")+1,"")</f>
        <v>367</v>
      </c>
      <c r="C383" s="19" t="str">
        <f t="shared" si="29"/>
        <v>C-Finanzas</v>
      </c>
      <c r="D383" s="3" t="s">
        <v>1074</v>
      </c>
      <c r="E383" s="14">
        <v>45768</v>
      </c>
      <c r="F383" s="5" t="s">
        <v>3816</v>
      </c>
      <c r="G383" s="5" t="s">
        <v>1087</v>
      </c>
      <c r="H383" s="5"/>
      <c r="I383" s="6"/>
      <c r="J383" s="6"/>
      <c r="K383" s="6"/>
      <c r="L383" s="6"/>
      <c r="M383" s="7" t="s">
        <v>5156</v>
      </c>
      <c r="N383" s="8" t="str">
        <f>"CFI"&amp;".D"&amp;TEXT(Caja_Finanzas[[#This Row],[FECHA]],"DD-MM")&amp;"-"&amp;TEXT(Caja_Finanzas[[#This Row],[ITEM]],"0000")</f>
        <v>CFI.D21-04-0367</v>
      </c>
      <c r="O383" s="8" t="str">
        <f t="shared" si="30"/>
        <v>PEN</v>
      </c>
      <c r="P383" s="13"/>
      <c r="Q383" s="13">
        <v>1000</v>
      </c>
      <c r="R383" s="3">
        <f t="shared" si="26"/>
        <v>1000</v>
      </c>
      <c r="S383" s="3">
        <f t="shared" si="27"/>
        <v>0</v>
      </c>
      <c r="T383" s="3">
        <f t="shared" si="28"/>
        <v>6181.9999999999909</v>
      </c>
      <c r="U383" s="24"/>
      <c r="V383" s="24"/>
      <c r="W383" s="3"/>
      <c r="X383" s="25"/>
      <c r="Y383" s="25" t="s">
        <v>5723</v>
      </c>
      <c r="Z383" s="25"/>
      <c r="AA383" s="25"/>
      <c r="AB383" s="25"/>
      <c r="AC383" s="3" t="str">
        <f>IF(Caja_Finanzas[[#This Row],[FECHA]]&gt;0,TEXT(Caja_Finanzas[[#This Row],[FECHA]],"mmmm"),0)</f>
        <v>Abril</v>
      </c>
    </row>
    <row r="384" spans="2:29" ht="24" x14ac:dyDescent="0.3">
      <c r="B384" s="2">
        <f>IF(Caja_Finanzas[[#This Row],[TIPO DE R.]]="R",COUNTIFS($D$4:$D383,"R")+1,"")</f>
        <v>368</v>
      </c>
      <c r="C384" s="19" t="str">
        <f t="shared" si="29"/>
        <v>C-Finanzas</v>
      </c>
      <c r="D384" s="3" t="s">
        <v>1074</v>
      </c>
      <c r="E384" s="14">
        <v>45768</v>
      </c>
      <c r="F384" s="5" t="s">
        <v>3353</v>
      </c>
      <c r="G384" s="5" t="s">
        <v>1087</v>
      </c>
      <c r="H384" s="5"/>
      <c r="I384" s="6"/>
      <c r="J384" s="6"/>
      <c r="K384" s="6"/>
      <c r="L384" s="6"/>
      <c r="M384" s="7" t="s">
        <v>4859</v>
      </c>
      <c r="N384" s="8" t="str">
        <f>"CFI"&amp;".D"&amp;TEXT(Caja_Finanzas[[#This Row],[FECHA]],"DD-MM")&amp;"-"&amp;TEXT(Caja_Finanzas[[#This Row],[ITEM]],"0000")</f>
        <v>CFI.D21-04-0368</v>
      </c>
      <c r="O384" s="8" t="str">
        <f t="shared" si="30"/>
        <v>PEN</v>
      </c>
      <c r="P384" s="13"/>
      <c r="Q384" s="13">
        <v>320</v>
      </c>
      <c r="R384" s="3">
        <f t="shared" si="26"/>
        <v>320</v>
      </c>
      <c r="S384" s="3">
        <f t="shared" si="27"/>
        <v>0</v>
      </c>
      <c r="T384" s="3">
        <f t="shared" si="28"/>
        <v>6501.9999999999909</v>
      </c>
      <c r="U384" s="24"/>
      <c r="V384" s="24"/>
      <c r="W384" s="3"/>
      <c r="X384" s="25"/>
      <c r="Y384" s="25"/>
      <c r="Z384" s="25"/>
      <c r="AA384" s="25"/>
      <c r="AB384" s="25"/>
      <c r="AC384" s="3" t="str">
        <f>IF(Caja_Finanzas[[#This Row],[FECHA]]&gt;0,TEXT(Caja_Finanzas[[#This Row],[FECHA]],"mmmm"),0)</f>
        <v>Abril</v>
      </c>
    </row>
    <row r="385" spans="2:29" ht="36" x14ac:dyDescent="0.3">
      <c r="B385" s="2">
        <f>IF(Caja_Finanzas[[#This Row],[TIPO DE R.]]="R",COUNTIFS($D$4:$D384,"R")+1,"")</f>
        <v>369</v>
      </c>
      <c r="C385" s="19" t="str">
        <f t="shared" si="29"/>
        <v>C-Finanzas</v>
      </c>
      <c r="D385" s="3" t="s">
        <v>1074</v>
      </c>
      <c r="E385" s="14">
        <v>45768</v>
      </c>
      <c r="F385" s="5" t="s">
        <v>5301</v>
      </c>
      <c r="G385" s="5" t="s">
        <v>1079</v>
      </c>
      <c r="H385" s="5"/>
      <c r="I385" s="6"/>
      <c r="J385" s="6"/>
      <c r="K385" s="6"/>
      <c r="L385" s="6"/>
      <c r="M385" s="7" t="s">
        <v>5872</v>
      </c>
      <c r="N385" s="8" t="str">
        <f>"CFI"&amp;".D"&amp;TEXT(Caja_Finanzas[[#This Row],[FECHA]],"DD-MM")&amp;"-"&amp;TEXT(Caja_Finanzas[[#This Row],[ITEM]],"0000")</f>
        <v>CFI.D21-04-0369</v>
      </c>
      <c r="O385" s="8" t="str">
        <f t="shared" si="30"/>
        <v>PEN</v>
      </c>
      <c r="P385" s="13"/>
      <c r="Q385" s="13">
        <v>50</v>
      </c>
      <c r="R385" s="3">
        <f t="shared" si="26"/>
        <v>0</v>
      </c>
      <c r="S385" s="3">
        <f t="shared" si="27"/>
        <v>50</v>
      </c>
      <c r="T385" s="3">
        <f t="shared" si="28"/>
        <v>6451.9999999999909</v>
      </c>
      <c r="U385" s="24"/>
      <c r="V385" s="24"/>
      <c r="W385" s="3"/>
      <c r="X385" s="25" t="s">
        <v>5838</v>
      </c>
      <c r="Y385" s="25" t="s">
        <v>5873</v>
      </c>
      <c r="Z385" s="25"/>
      <c r="AA385" s="25"/>
      <c r="AB385" s="25"/>
      <c r="AC385" s="3" t="str">
        <f>IF(Caja_Finanzas[[#This Row],[FECHA]]&gt;0,TEXT(Caja_Finanzas[[#This Row],[FECHA]],"mmmm"),0)</f>
        <v>Abril</v>
      </c>
    </row>
    <row r="386" spans="2:29" ht="36" x14ac:dyDescent="0.3">
      <c r="B386" s="2">
        <f>IF(Caja_Finanzas[[#This Row],[TIPO DE R.]]="R",COUNTIFS($D$4:$D385,"R")+1,"")</f>
        <v>370</v>
      </c>
      <c r="C386" s="19" t="str">
        <f t="shared" si="29"/>
        <v>C-Finanzas</v>
      </c>
      <c r="D386" s="3" t="s">
        <v>1074</v>
      </c>
      <c r="E386" s="14">
        <v>45768</v>
      </c>
      <c r="F386" s="5" t="s">
        <v>5301</v>
      </c>
      <c r="G386" s="5" t="s">
        <v>1079</v>
      </c>
      <c r="H386" s="5"/>
      <c r="I386" s="6"/>
      <c r="J386" s="6"/>
      <c r="K386" s="6"/>
      <c r="L386" s="6"/>
      <c r="M386" s="7" t="s">
        <v>5874</v>
      </c>
      <c r="N386" s="8" t="str">
        <f>"CFI"&amp;".D"&amp;TEXT(Caja_Finanzas[[#This Row],[FECHA]],"DD-MM")&amp;"-"&amp;TEXT(Caja_Finanzas[[#This Row],[ITEM]],"0000")</f>
        <v>CFI.D21-04-0370</v>
      </c>
      <c r="O386" s="8" t="str">
        <f t="shared" si="30"/>
        <v>PEN</v>
      </c>
      <c r="P386" s="13"/>
      <c r="Q386" s="13">
        <v>80</v>
      </c>
      <c r="R386" s="3">
        <f t="shared" si="26"/>
        <v>0</v>
      </c>
      <c r="S386" s="3">
        <f t="shared" si="27"/>
        <v>80</v>
      </c>
      <c r="T386" s="3">
        <f t="shared" si="28"/>
        <v>6371.9999999999909</v>
      </c>
      <c r="U386" s="24"/>
      <c r="V386" s="24"/>
      <c r="W386" s="3"/>
      <c r="X386" s="25" t="s">
        <v>5838</v>
      </c>
      <c r="Y386" s="25" t="s">
        <v>5875</v>
      </c>
      <c r="Z386" s="25"/>
      <c r="AA386" s="25"/>
      <c r="AB386" s="25"/>
      <c r="AC386" s="3" t="str">
        <f>IF(Caja_Finanzas[[#This Row],[FECHA]]&gt;0,TEXT(Caja_Finanzas[[#This Row],[FECHA]],"mmmm"),0)</f>
        <v>Abril</v>
      </c>
    </row>
    <row r="387" spans="2:29" ht="24" x14ac:dyDescent="0.3">
      <c r="B387" s="2">
        <f>IF(Caja_Finanzas[[#This Row],[TIPO DE R.]]="R",COUNTIFS($D$4:$D386,"R")+1,"")</f>
        <v>371</v>
      </c>
      <c r="C387" s="19" t="str">
        <f t="shared" si="29"/>
        <v>C-Finanzas</v>
      </c>
      <c r="D387" s="3" t="s">
        <v>1074</v>
      </c>
      <c r="E387" s="14">
        <v>45769</v>
      </c>
      <c r="F387" s="5" t="s">
        <v>1609</v>
      </c>
      <c r="G387" s="5" t="s">
        <v>1087</v>
      </c>
      <c r="H387" s="5"/>
      <c r="I387" s="6"/>
      <c r="J387" s="6"/>
      <c r="K387" s="6"/>
      <c r="L387" s="6"/>
      <c r="M387" s="7" t="s">
        <v>5156</v>
      </c>
      <c r="N387" s="8" t="str">
        <f>"CFI"&amp;".D"&amp;TEXT(Caja_Finanzas[[#This Row],[FECHA]],"DD-MM")&amp;"-"&amp;TEXT(Caja_Finanzas[[#This Row],[ITEM]],"0000")</f>
        <v>CFI.D22-04-0371</v>
      </c>
      <c r="O387" s="8" t="str">
        <f t="shared" si="30"/>
        <v>PEN</v>
      </c>
      <c r="P387" s="13"/>
      <c r="Q387" s="13">
        <v>390</v>
      </c>
      <c r="R387" s="3">
        <f t="shared" si="26"/>
        <v>390</v>
      </c>
      <c r="S387" s="3">
        <f t="shared" si="27"/>
        <v>0</v>
      </c>
      <c r="T387" s="3">
        <f t="shared" si="28"/>
        <v>6761.9999999999909</v>
      </c>
      <c r="U387" s="24"/>
      <c r="V387" s="24"/>
      <c r="W387" s="3"/>
      <c r="X387" s="25"/>
      <c r="Y387" s="25" t="s">
        <v>5876</v>
      </c>
      <c r="Z387" s="25"/>
      <c r="AA387" s="25"/>
      <c r="AB387" s="25"/>
      <c r="AC387" s="3" t="str">
        <f>IF(Caja_Finanzas[[#This Row],[FECHA]]&gt;0,TEXT(Caja_Finanzas[[#This Row],[FECHA]],"mmmm"),0)</f>
        <v>Abril</v>
      </c>
    </row>
    <row r="388" spans="2:29" x14ac:dyDescent="0.3">
      <c r="B388" s="2">
        <f>IF(Caja_Finanzas[[#This Row],[TIPO DE R.]]="R",COUNTIFS($D$4:$D387,"R")+1,"")</f>
        <v>372</v>
      </c>
      <c r="C388" s="19" t="str">
        <f t="shared" si="29"/>
        <v>C-Finanzas</v>
      </c>
      <c r="D388" s="3" t="s">
        <v>1074</v>
      </c>
      <c r="E388" s="14">
        <v>45770</v>
      </c>
      <c r="F388" s="5"/>
      <c r="G388" s="5" t="s">
        <v>1079</v>
      </c>
      <c r="H388" s="5"/>
      <c r="I388" s="6"/>
      <c r="J388" s="6"/>
      <c r="K388" s="6"/>
      <c r="L388" s="6"/>
      <c r="M388" s="7" t="s">
        <v>5877</v>
      </c>
      <c r="N388" s="8" t="str">
        <f>"CFI"&amp;".D"&amp;TEXT(Caja_Finanzas[[#This Row],[FECHA]],"DD-MM")&amp;"-"&amp;TEXT(Caja_Finanzas[[#This Row],[ITEM]],"0000")</f>
        <v>CFI.D23-04-0372</v>
      </c>
      <c r="O388" s="8" t="str">
        <f t="shared" si="30"/>
        <v>PEN</v>
      </c>
      <c r="P388" s="13"/>
      <c r="Q388" s="13"/>
      <c r="R388" s="3">
        <f t="shared" si="26"/>
        <v>0</v>
      </c>
      <c r="S388" s="3">
        <f t="shared" si="27"/>
        <v>0</v>
      </c>
      <c r="T388" s="3">
        <f t="shared" si="28"/>
        <v>6761.9999999999909</v>
      </c>
      <c r="U388" s="24"/>
      <c r="V388" s="24"/>
      <c r="W388" s="3"/>
      <c r="X388" s="25"/>
      <c r="Y388" s="25"/>
      <c r="Z388" s="25"/>
      <c r="AA388" s="25"/>
      <c r="AB388" s="25"/>
      <c r="AC388" s="3" t="str">
        <f>IF(Caja_Finanzas[[#This Row],[FECHA]]&gt;0,TEXT(Caja_Finanzas[[#This Row],[FECHA]],"mmmm"),0)</f>
        <v>Abril</v>
      </c>
    </row>
    <row r="389" spans="2:29" ht="24" x14ac:dyDescent="0.3">
      <c r="B389" s="2">
        <f>IF(Caja_Finanzas[[#This Row],[TIPO DE R.]]="R",COUNTIFS($D$4:$D388,"R")+1,"")</f>
        <v>373</v>
      </c>
      <c r="C389" s="19" t="str">
        <f t="shared" si="29"/>
        <v>C-Finanzas</v>
      </c>
      <c r="D389" s="3" t="s">
        <v>1074</v>
      </c>
      <c r="E389" s="14">
        <v>45770</v>
      </c>
      <c r="F389" s="5" t="s">
        <v>5295</v>
      </c>
      <c r="G389" s="5" t="s">
        <v>1079</v>
      </c>
      <c r="H389" s="5"/>
      <c r="I389" s="6"/>
      <c r="J389" s="6"/>
      <c r="K389" s="6"/>
      <c r="L389" s="6"/>
      <c r="M389" s="7" t="s">
        <v>5878</v>
      </c>
      <c r="N389" s="8" t="str">
        <f>"CFI"&amp;".D"&amp;TEXT(Caja_Finanzas[[#This Row],[FECHA]],"DD-MM")&amp;"-"&amp;TEXT(Caja_Finanzas[[#This Row],[ITEM]],"0000")</f>
        <v>CFI.D23-04-0373</v>
      </c>
      <c r="O389" s="8" t="str">
        <f t="shared" si="30"/>
        <v>PEN</v>
      </c>
      <c r="P389" s="13"/>
      <c r="Q389" s="13">
        <v>200</v>
      </c>
      <c r="R389" s="3">
        <f t="shared" ref="R389:R452" si="31">+IF(OR($G389="SALDO",$G389="INGRESO"),$Q389,0)</f>
        <v>0</v>
      </c>
      <c r="S389" s="3">
        <f t="shared" ref="S389:S452" si="32">+IF($G389="EGRESO",$Q389,0)</f>
        <v>200</v>
      </c>
      <c r="T389" s="3">
        <f t="shared" ref="T389:T452" si="33">IFERROR(IF(G389="SALDO",R389,T388+R389-S389),0)</f>
        <v>6561.9999999999909</v>
      </c>
      <c r="U389" s="24"/>
      <c r="V389" s="24"/>
      <c r="W389" s="3"/>
      <c r="X389" s="25" t="s">
        <v>5596</v>
      </c>
      <c r="Y389" s="25" t="s">
        <v>5879</v>
      </c>
      <c r="Z389" s="25"/>
      <c r="AA389" s="25"/>
      <c r="AB389" s="25"/>
      <c r="AC389" s="3" t="str">
        <f>IF(Caja_Finanzas[[#This Row],[FECHA]]&gt;0,TEXT(Caja_Finanzas[[#This Row],[FECHA]],"mmmm"),0)</f>
        <v>Abril</v>
      </c>
    </row>
    <row r="390" spans="2:29" ht="24" x14ac:dyDescent="0.3">
      <c r="B390" s="2">
        <f>IF(Caja_Finanzas[[#This Row],[TIPO DE R.]]="R",COUNTIFS($D$4:$D389,"R")+1,"")</f>
        <v>374</v>
      </c>
      <c r="C390" s="19" t="str">
        <f t="shared" ref="C390:C453" si="34">"C-Finanzas"</f>
        <v>C-Finanzas</v>
      </c>
      <c r="D390" s="3" t="s">
        <v>1074</v>
      </c>
      <c r="E390" s="14">
        <v>45770</v>
      </c>
      <c r="F390" s="5" t="s">
        <v>5295</v>
      </c>
      <c r="G390" s="5" t="s">
        <v>1079</v>
      </c>
      <c r="H390" s="5"/>
      <c r="I390" s="6"/>
      <c r="J390" s="6"/>
      <c r="K390" s="6"/>
      <c r="L390" s="6"/>
      <c r="M390" s="7" t="s">
        <v>5880</v>
      </c>
      <c r="N390" s="8" t="str">
        <f>"CFI"&amp;".D"&amp;TEXT(Caja_Finanzas[[#This Row],[FECHA]],"DD-MM")&amp;"-"&amp;TEXT(Caja_Finanzas[[#This Row],[ITEM]],"0000")</f>
        <v>CFI.D23-04-0374</v>
      </c>
      <c r="O390" s="8" t="str">
        <f t="shared" ref="O390:O453" si="35">"PEN"</f>
        <v>PEN</v>
      </c>
      <c r="P390" s="13"/>
      <c r="Q390" s="13">
        <v>5</v>
      </c>
      <c r="R390" s="3">
        <f t="shared" si="31"/>
        <v>0</v>
      </c>
      <c r="S390" s="3">
        <f t="shared" si="32"/>
        <v>5</v>
      </c>
      <c r="T390" s="3">
        <f t="shared" si="33"/>
        <v>6556.9999999999909</v>
      </c>
      <c r="U390" s="24"/>
      <c r="V390" s="24"/>
      <c r="W390" s="3"/>
      <c r="X390" s="25" t="s">
        <v>5881</v>
      </c>
      <c r="Y390" s="25"/>
      <c r="Z390" s="25"/>
      <c r="AA390" s="25"/>
      <c r="AB390" s="25"/>
      <c r="AC390" s="3" t="str">
        <f>IF(Caja_Finanzas[[#This Row],[FECHA]]&gt;0,TEXT(Caja_Finanzas[[#This Row],[FECHA]],"mmmm"),0)</f>
        <v>Abril</v>
      </c>
    </row>
    <row r="391" spans="2:29" x14ac:dyDescent="0.3">
      <c r="B391" s="2">
        <f>IF(Caja_Finanzas[[#This Row],[TIPO DE R.]]="R",COUNTIFS($D$4:$D390,"R")+1,"")</f>
        <v>375</v>
      </c>
      <c r="C391" s="19" t="str">
        <f t="shared" si="34"/>
        <v>C-Finanzas</v>
      </c>
      <c r="D391" s="3" t="s">
        <v>1074</v>
      </c>
      <c r="E391" s="14">
        <v>45770</v>
      </c>
      <c r="F391" s="5" t="s">
        <v>3532</v>
      </c>
      <c r="G391" s="5" t="s">
        <v>1079</v>
      </c>
      <c r="H391" s="5"/>
      <c r="I391" s="6"/>
      <c r="J391" s="6"/>
      <c r="K391" s="6"/>
      <c r="L391" s="6"/>
      <c r="M391" s="7" t="s">
        <v>5882</v>
      </c>
      <c r="N391" s="8" t="str">
        <f>"CFI"&amp;".D"&amp;TEXT(Caja_Finanzas[[#This Row],[FECHA]],"DD-MM")&amp;"-"&amp;TEXT(Caja_Finanzas[[#This Row],[ITEM]],"0000")</f>
        <v>CFI.D23-04-0375</v>
      </c>
      <c r="O391" s="8" t="str">
        <f t="shared" si="35"/>
        <v>PEN</v>
      </c>
      <c r="P391" s="13"/>
      <c r="Q391" s="13">
        <v>50</v>
      </c>
      <c r="R391" s="3">
        <f t="shared" si="31"/>
        <v>0</v>
      </c>
      <c r="S391" s="3">
        <f t="shared" si="32"/>
        <v>50</v>
      </c>
      <c r="T391" s="3">
        <f t="shared" si="33"/>
        <v>6506.9999999999909</v>
      </c>
      <c r="U391" s="24"/>
      <c r="V391" s="24"/>
      <c r="W391" s="3"/>
      <c r="X391" s="25"/>
      <c r="Y391" s="25"/>
      <c r="Z391" s="25"/>
      <c r="AA391" s="25"/>
      <c r="AB391" s="25"/>
      <c r="AC391" s="3" t="str">
        <f>IF(Caja_Finanzas[[#This Row],[FECHA]]&gt;0,TEXT(Caja_Finanzas[[#This Row],[FECHA]],"mmmm"),0)</f>
        <v>Abril</v>
      </c>
    </row>
    <row r="392" spans="2:29" ht="48" x14ac:dyDescent="0.3">
      <c r="B392" s="2">
        <f>IF(Caja_Finanzas[[#This Row],[TIPO DE R.]]="R",COUNTIFS($D$4:$D391,"R")+1,"")</f>
        <v>376</v>
      </c>
      <c r="C392" s="19" t="str">
        <f t="shared" si="34"/>
        <v>C-Finanzas</v>
      </c>
      <c r="D392" s="3" t="s">
        <v>1074</v>
      </c>
      <c r="E392" s="14">
        <v>45770</v>
      </c>
      <c r="F392" s="5" t="s">
        <v>5347</v>
      </c>
      <c r="G392" s="5" t="s">
        <v>1079</v>
      </c>
      <c r="H392" s="5"/>
      <c r="I392" s="6"/>
      <c r="J392" s="6"/>
      <c r="K392" s="6"/>
      <c r="L392" s="6"/>
      <c r="M392" s="7" t="s">
        <v>5883</v>
      </c>
      <c r="N392" s="8" t="str">
        <f>"CFI"&amp;".D"&amp;TEXT(Caja_Finanzas[[#This Row],[FECHA]],"DD-MM")&amp;"-"&amp;TEXT(Caja_Finanzas[[#This Row],[ITEM]],"0000")</f>
        <v>CFI.D23-04-0376</v>
      </c>
      <c r="O392" s="8" t="str">
        <f t="shared" si="35"/>
        <v>PEN</v>
      </c>
      <c r="P392" s="13"/>
      <c r="Q392" s="13">
        <v>260</v>
      </c>
      <c r="R392" s="3">
        <f t="shared" si="31"/>
        <v>0</v>
      </c>
      <c r="S392" s="3">
        <f t="shared" si="32"/>
        <v>260</v>
      </c>
      <c r="T392" s="3">
        <f t="shared" si="33"/>
        <v>6246.9999999999909</v>
      </c>
      <c r="U392" s="24"/>
      <c r="V392" s="24"/>
      <c r="W392" s="3"/>
      <c r="X392" s="25" t="s">
        <v>5596</v>
      </c>
      <c r="Y392" s="25" t="s">
        <v>5884</v>
      </c>
      <c r="Z392" s="25"/>
      <c r="AA392" s="25"/>
      <c r="AB392" s="25"/>
      <c r="AC392" s="3" t="str">
        <f>IF(Caja_Finanzas[[#This Row],[FECHA]]&gt;0,TEXT(Caja_Finanzas[[#This Row],[FECHA]],"mmmm"),0)</f>
        <v>Abril</v>
      </c>
    </row>
    <row r="393" spans="2:29" ht="24" x14ac:dyDescent="0.3">
      <c r="B393" s="2">
        <f>IF(Caja_Finanzas[[#This Row],[TIPO DE R.]]="R",COUNTIFS($D$4:$D392,"R")+1,"")</f>
        <v>377</v>
      </c>
      <c r="C393" s="19" t="str">
        <f t="shared" si="34"/>
        <v>C-Finanzas</v>
      </c>
      <c r="D393" s="3" t="s">
        <v>1074</v>
      </c>
      <c r="E393" s="14">
        <v>45770</v>
      </c>
      <c r="F393" s="5" t="s">
        <v>3562</v>
      </c>
      <c r="G393" s="5" t="s">
        <v>1079</v>
      </c>
      <c r="H393" s="5"/>
      <c r="I393" s="6"/>
      <c r="J393" s="6"/>
      <c r="K393" s="6"/>
      <c r="L393" s="6"/>
      <c r="M393" s="7" t="s">
        <v>5885</v>
      </c>
      <c r="N393" s="8" t="str">
        <f>"CFI"&amp;".D"&amp;TEXT(Caja_Finanzas[[#This Row],[FECHA]],"DD-MM")&amp;"-"&amp;TEXT(Caja_Finanzas[[#This Row],[ITEM]],"0000")</f>
        <v>CFI.D23-04-0377</v>
      </c>
      <c r="O393" s="8" t="str">
        <f t="shared" si="35"/>
        <v>PEN</v>
      </c>
      <c r="P393" s="13"/>
      <c r="Q393" s="13">
        <v>405</v>
      </c>
      <c r="R393" s="3">
        <f t="shared" si="31"/>
        <v>0</v>
      </c>
      <c r="S393" s="3">
        <f t="shared" si="32"/>
        <v>405</v>
      </c>
      <c r="T393" s="3">
        <f t="shared" si="33"/>
        <v>5841.9999999999909</v>
      </c>
      <c r="U393" s="24"/>
      <c r="V393" s="24"/>
      <c r="W393" s="3"/>
      <c r="X393" s="25" t="s">
        <v>5596</v>
      </c>
      <c r="Y393" s="25" t="s">
        <v>5886</v>
      </c>
      <c r="Z393" s="25"/>
      <c r="AA393" s="25"/>
      <c r="AB393" s="25"/>
      <c r="AC393" s="3" t="str">
        <f>IF(Caja_Finanzas[[#This Row],[FECHA]]&gt;0,TEXT(Caja_Finanzas[[#This Row],[FECHA]],"mmmm"),0)</f>
        <v>Abril</v>
      </c>
    </row>
    <row r="394" spans="2:29" ht="24" x14ac:dyDescent="0.3">
      <c r="B394" s="2">
        <f>IF(Caja_Finanzas[[#This Row],[TIPO DE R.]]="R",COUNTIFS($D$4:$D393,"R")+1,"")</f>
        <v>378</v>
      </c>
      <c r="C394" s="19" t="str">
        <f t="shared" si="34"/>
        <v>C-Finanzas</v>
      </c>
      <c r="D394" s="3" t="s">
        <v>1074</v>
      </c>
      <c r="E394" s="14">
        <v>45770</v>
      </c>
      <c r="F394" s="5" t="s">
        <v>3562</v>
      </c>
      <c r="G394" s="5" t="s">
        <v>1079</v>
      </c>
      <c r="H394" s="5"/>
      <c r="I394" s="6"/>
      <c r="J394" s="6"/>
      <c r="K394" s="6"/>
      <c r="L394" s="6"/>
      <c r="M394" s="7" t="s">
        <v>5887</v>
      </c>
      <c r="N394" s="8" t="str">
        <f>"CFI"&amp;".D"&amp;TEXT(Caja_Finanzas[[#This Row],[FECHA]],"DD-MM")&amp;"-"&amp;TEXT(Caja_Finanzas[[#This Row],[ITEM]],"0000")</f>
        <v>CFI.D23-04-0378</v>
      </c>
      <c r="O394" s="8" t="str">
        <f t="shared" si="35"/>
        <v>PEN</v>
      </c>
      <c r="P394" s="13"/>
      <c r="Q394" s="13">
        <v>360</v>
      </c>
      <c r="R394" s="3">
        <f t="shared" si="31"/>
        <v>0</v>
      </c>
      <c r="S394" s="3">
        <f t="shared" si="32"/>
        <v>360</v>
      </c>
      <c r="T394" s="3">
        <f t="shared" si="33"/>
        <v>5481.9999999999909</v>
      </c>
      <c r="U394" s="24"/>
      <c r="V394" s="24"/>
      <c r="W394" s="3"/>
      <c r="X394" s="25" t="s">
        <v>5596</v>
      </c>
      <c r="Y394" s="25" t="s">
        <v>5888</v>
      </c>
      <c r="Z394" s="25"/>
      <c r="AA394" s="25"/>
      <c r="AB394" s="25"/>
      <c r="AC394" s="3" t="str">
        <f>IF(Caja_Finanzas[[#This Row],[FECHA]]&gt;0,TEXT(Caja_Finanzas[[#This Row],[FECHA]],"mmmm"),0)</f>
        <v>Abril</v>
      </c>
    </row>
    <row r="395" spans="2:29" ht="24" x14ac:dyDescent="0.3">
      <c r="B395" s="2">
        <f>IF(Caja_Finanzas[[#This Row],[TIPO DE R.]]="R",COUNTIFS($D$4:$D394,"R")+1,"")</f>
        <v>379</v>
      </c>
      <c r="C395" s="19" t="str">
        <f t="shared" si="34"/>
        <v>C-Finanzas</v>
      </c>
      <c r="D395" s="3" t="s">
        <v>1074</v>
      </c>
      <c r="E395" s="14">
        <v>45770</v>
      </c>
      <c r="F395" s="5" t="s">
        <v>5305</v>
      </c>
      <c r="G395" s="5" t="s">
        <v>1079</v>
      </c>
      <c r="H395" s="5"/>
      <c r="I395" s="6"/>
      <c r="J395" s="6"/>
      <c r="K395" s="6"/>
      <c r="L395" s="6"/>
      <c r="M395" s="7" t="s">
        <v>5889</v>
      </c>
      <c r="N395" s="8" t="str">
        <f>"CFI"&amp;".D"&amp;TEXT(Caja_Finanzas[[#This Row],[FECHA]],"DD-MM")&amp;"-"&amp;TEXT(Caja_Finanzas[[#This Row],[ITEM]],"0000")</f>
        <v>CFI.D23-04-0379</v>
      </c>
      <c r="O395" s="8" t="str">
        <f t="shared" si="35"/>
        <v>PEN</v>
      </c>
      <c r="P395" s="13"/>
      <c r="Q395" s="13">
        <v>3000</v>
      </c>
      <c r="R395" s="3">
        <f t="shared" si="31"/>
        <v>0</v>
      </c>
      <c r="S395" s="3">
        <f t="shared" si="32"/>
        <v>3000</v>
      </c>
      <c r="T395" s="3">
        <f t="shared" si="33"/>
        <v>2481.9999999999909</v>
      </c>
      <c r="U395" s="24"/>
      <c r="V395" s="24"/>
      <c r="W395" s="3"/>
      <c r="X395" s="25"/>
      <c r="Y395" s="25"/>
      <c r="Z395" s="25"/>
      <c r="AA395" s="25"/>
      <c r="AB395" s="25"/>
      <c r="AC395" s="3" t="str">
        <f>IF(Caja_Finanzas[[#This Row],[FECHA]]&gt;0,TEXT(Caja_Finanzas[[#This Row],[FECHA]],"mmmm"),0)</f>
        <v>Abril</v>
      </c>
    </row>
    <row r="396" spans="2:29" ht="36" x14ac:dyDescent="0.3">
      <c r="B396" s="2">
        <f>IF(Caja_Finanzas[[#This Row],[TIPO DE R.]]="R",COUNTIFS($D$4:$D395,"R")+1,"")</f>
        <v>380</v>
      </c>
      <c r="C396" s="19" t="str">
        <f t="shared" si="34"/>
        <v>C-Finanzas</v>
      </c>
      <c r="D396" s="3" t="s">
        <v>1074</v>
      </c>
      <c r="E396" s="14">
        <v>45771</v>
      </c>
      <c r="F396" s="5" t="s">
        <v>5338</v>
      </c>
      <c r="G396" s="5" t="s">
        <v>1079</v>
      </c>
      <c r="H396" s="5"/>
      <c r="I396" s="6"/>
      <c r="J396" s="6"/>
      <c r="K396" s="6"/>
      <c r="L396" s="6"/>
      <c r="M396" s="7" t="s">
        <v>5890</v>
      </c>
      <c r="N396" s="8" t="str">
        <f>"CFI"&amp;".D"&amp;TEXT(Caja_Finanzas[[#This Row],[FECHA]],"DD-MM")&amp;"-"&amp;TEXT(Caja_Finanzas[[#This Row],[ITEM]],"0000")</f>
        <v>CFI.D24-04-0380</v>
      </c>
      <c r="O396" s="8" t="str">
        <f t="shared" si="35"/>
        <v>PEN</v>
      </c>
      <c r="P396" s="13"/>
      <c r="Q396" s="13">
        <v>375</v>
      </c>
      <c r="R396" s="3">
        <f t="shared" si="31"/>
        <v>0</v>
      </c>
      <c r="S396" s="3">
        <f t="shared" si="32"/>
        <v>375</v>
      </c>
      <c r="T396" s="3">
        <f t="shared" si="33"/>
        <v>2106.9999999999909</v>
      </c>
      <c r="U396" s="24"/>
      <c r="V396" s="24"/>
      <c r="W396" s="3"/>
      <c r="X396" s="25" t="s">
        <v>5596</v>
      </c>
      <c r="Y396" s="25" t="s">
        <v>5891</v>
      </c>
      <c r="Z396" s="25"/>
      <c r="AA396" s="25"/>
      <c r="AB396" s="25"/>
      <c r="AC396" s="3" t="str">
        <f>IF(Caja_Finanzas[[#This Row],[FECHA]]&gt;0,TEXT(Caja_Finanzas[[#This Row],[FECHA]],"mmmm"),0)</f>
        <v>Abril</v>
      </c>
    </row>
    <row r="397" spans="2:29" ht="24" x14ac:dyDescent="0.3">
      <c r="B397" s="2">
        <f>IF(Caja_Finanzas[[#This Row],[TIPO DE R.]]="R",COUNTIFS($D$4:$D396,"R")+1,"")</f>
        <v>381</v>
      </c>
      <c r="C397" s="19" t="str">
        <f t="shared" si="34"/>
        <v>C-Finanzas</v>
      </c>
      <c r="D397" s="3" t="s">
        <v>1074</v>
      </c>
      <c r="E397" s="14">
        <v>45771</v>
      </c>
      <c r="F397" s="5" t="s">
        <v>2655</v>
      </c>
      <c r="G397" s="5" t="s">
        <v>1087</v>
      </c>
      <c r="H397" s="5"/>
      <c r="I397" s="6"/>
      <c r="J397" s="6"/>
      <c r="K397" s="6"/>
      <c r="L397" s="6"/>
      <c r="M397" s="7" t="s">
        <v>5156</v>
      </c>
      <c r="N397" s="8" t="str">
        <f>"CFI"&amp;".D"&amp;TEXT(Caja_Finanzas[[#This Row],[FECHA]],"DD-MM")&amp;"-"&amp;TEXT(Caja_Finanzas[[#This Row],[ITEM]],"0000")</f>
        <v>CFI.D24-04-0381</v>
      </c>
      <c r="O397" s="8" t="str">
        <f t="shared" si="35"/>
        <v>PEN</v>
      </c>
      <c r="P397" s="13"/>
      <c r="Q397" s="13">
        <v>7020</v>
      </c>
      <c r="R397" s="3">
        <f t="shared" si="31"/>
        <v>7020</v>
      </c>
      <c r="S397" s="3">
        <f t="shared" si="32"/>
        <v>0</v>
      </c>
      <c r="T397" s="3">
        <f t="shared" si="33"/>
        <v>9126.9999999999909</v>
      </c>
      <c r="U397" s="24"/>
      <c r="V397" s="24"/>
      <c r="W397" s="3"/>
      <c r="X397" s="25"/>
      <c r="Y397" s="25" t="s">
        <v>5892</v>
      </c>
      <c r="Z397" s="25"/>
      <c r="AA397" s="25"/>
      <c r="AB397" s="25"/>
      <c r="AC397" s="3" t="str">
        <f>IF(Caja_Finanzas[[#This Row],[FECHA]]&gt;0,TEXT(Caja_Finanzas[[#This Row],[FECHA]],"mmmm"),0)</f>
        <v>Abril</v>
      </c>
    </row>
    <row r="398" spans="2:29" ht="24" x14ac:dyDescent="0.3">
      <c r="B398" s="2">
        <f>IF(Caja_Finanzas[[#This Row],[TIPO DE R.]]="R",COUNTIFS($D$4:$D397,"R")+1,"")</f>
        <v>382</v>
      </c>
      <c r="C398" s="19" t="str">
        <f t="shared" si="34"/>
        <v>C-Finanzas</v>
      </c>
      <c r="D398" s="3" t="s">
        <v>1074</v>
      </c>
      <c r="E398" s="14">
        <v>45771</v>
      </c>
      <c r="F398" s="5" t="s">
        <v>2655</v>
      </c>
      <c r="G398" s="5" t="s">
        <v>1087</v>
      </c>
      <c r="H398" s="5"/>
      <c r="I398" s="6"/>
      <c r="J398" s="6"/>
      <c r="K398" s="6"/>
      <c r="L398" s="6"/>
      <c r="M398" s="7" t="s">
        <v>5156</v>
      </c>
      <c r="N398" s="8" t="str">
        <f>"CFI"&amp;".D"&amp;TEXT(Caja_Finanzas[[#This Row],[FECHA]],"DD-MM")&amp;"-"&amp;TEXT(Caja_Finanzas[[#This Row],[ITEM]],"0000")</f>
        <v>CFI.D24-04-0382</v>
      </c>
      <c r="O398" s="8" t="str">
        <f t="shared" si="35"/>
        <v>PEN</v>
      </c>
      <c r="P398" s="13"/>
      <c r="Q398" s="13">
        <v>7592</v>
      </c>
      <c r="R398" s="3">
        <f t="shared" si="31"/>
        <v>7592</v>
      </c>
      <c r="S398" s="3">
        <f t="shared" si="32"/>
        <v>0</v>
      </c>
      <c r="T398" s="3">
        <f t="shared" si="33"/>
        <v>16718.999999999993</v>
      </c>
      <c r="U398" s="24"/>
      <c r="V398" s="24"/>
      <c r="W398" s="3"/>
      <c r="X398" s="25"/>
      <c r="Y398" s="25" t="s">
        <v>5893</v>
      </c>
      <c r="Z398" s="25"/>
      <c r="AA398" s="25"/>
      <c r="AB398" s="25"/>
      <c r="AC398" s="3" t="str">
        <f>IF(Caja_Finanzas[[#This Row],[FECHA]]&gt;0,TEXT(Caja_Finanzas[[#This Row],[FECHA]],"mmmm"),0)</f>
        <v>Abril</v>
      </c>
    </row>
    <row r="399" spans="2:29" ht="24" x14ac:dyDescent="0.3">
      <c r="B399" s="2">
        <f>IF(Caja_Finanzas[[#This Row],[TIPO DE R.]]="R",COUNTIFS($D$4:$D398,"R")+1,"")</f>
        <v>383</v>
      </c>
      <c r="C399" s="19" t="str">
        <f t="shared" si="34"/>
        <v>C-Finanzas</v>
      </c>
      <c r="D399" s="3" t="s">
        <v>1074</v>
      </c>
      <c r="E399" s="14">
        <v>45772</v>
      </c>
      <c r="F399" s="5" t="s">
        <v>3532</v>
      </c>
      <c r="G399" s="5" t="s">
        <v>1079</v>
      </c>
      <c r="H399" s="5"/>
      <c r="I399" s="6"/>
      <c r="J399" s="6"/>
      <c r="K399" s="6"/>
      <c r="L399" s="6"/>
      <c r="M399" s="7" t="s">
        <v>5894</v>
      </c>
      <c r="N399" s="8" t="str">
        <f>"CFI"&amp;".D"&amp;TEXT(Caja_Finanzas[[#This Row],[FECHA]],"DD-MM")&amp;"-"&amp;TEXT(Caja_Finanzas[[#This Row],[ITEM]],"0000")</f>
        <v>CFI.D25-04-0383</v>
      </c>
      <c r="O399" s="8" t="str">
        <f t="shared" si="35"/>
        <v>PEN</v>
      </c>
      <c r="P399" s="13"/>
      <c r="Q399" s="13">
        <v>598</v>
      </c>
      <c r="R399" s="3">
        <f t="shared" si="31"/>
        <v>0</v>
      </c>
      <c r="S399" s="3">
        <f t="shared" si="32"/>
        <v>598</v>
      </c>
      <c r="T399" s="3">
        <f t="shared" si="33"/>
        <v>16120.999999999993</v>
      </c>
      <c r="U399" s="24"/>
      <c r="V399" s="24"/>
      <c r="W399" s="3"/>
      <c r="X399" s="25" t="s">
        <v>5596</v>
      </c>
      <c r="Y399" s="25" t="s">
        <v>5895</v>
      </c>
      <c r="Z399" s="25"/>
      <c r="AA399" s="25"/>
      <c r="AB399" s="25"/>
      <c r="AC399" s="3" t="str">
        <f>IF(Caja_Finanzas[[#This Row],[FECHA]]&gt;0,TEXT(Caja_Finanzas[[#This Row],[FECHA]],"mmmm"),0)</f>
        <v>Abril</v>
      </c>
    </row>
    <row r="400" spans="2:29" ht="24" x14ac:dyDescent="0.3">
      <c r="B400" s="2">
        <f>IF(Caja_Finanzas[[#This Row],[TIPO DE R.]]="R",COUNTIFS($D$4:$D399,"R")+1,"")</f>
        <v>384</v>
      </c>
      <c r="C400" s="19" t="str">
        <f t="shared" si="34"/>
        <v>C-Finanzas</v>
      </c>
      <c r="D400" s="3" t="s">
        <v>1074</v>
      </c>
      <c r="E400" s="14">
        <v>45772</v>
      </c>
      <c r="F400" s="5" t="s">
        <v>3001</v>
      </c>
      <c r="G400" s="5" t="s">
        <v>1087</v>
      </c>
      <c r="H400" s="5"/>
      <c r="I400" s="6"/>
      <c r="J400" s="6"/>
      <c r="K400" s="6"/>
      <c r="L400" s="6"/>
      <c r="M400" s="7" t="s">
        <v>5156</v>
      </c>
      <c r="N400" s="8" t="str">
        <f>"CFI"&amp;".D"&amp;TEXT(Caja_Finanzas[[#This Row],[FECHA]],"DD-MM")&amp;"-"&amp;TEXT(Caja_Finanzas[[#This Row],[ITEM]],"0000")</f>
        <v>CFI.D25-04-0384</v>
      </c>
      <c r="O400" s="8" t="str">
        <f t="shared" si="35"/>
        <v>PEN</v>
      </c>
      <c r="P400" s="13"/>
      <c r="Q400" s="13">
        <v>281.3</v>
      </c>
      <c r="R400" s="3">
        <f t="shared" si="31"/>
        <v>281.3</v>
      </c>
      <c r="S400" s="3">
        <f t="shared" si="32"/>
        <v>0</v>
      </c>
      <c r="T400" s="3">
        <f t="shared" si="33"/>
        <v>16402.299999999992</v>
      </c>
      <c r="U400" s="24"/>
      <c r="V400" s="24"/>
      <c r="W400" s="3"/>
      <c r="X400" s="25"/>
      <c r="Y400" s="25" t="s">
        <v>5896</v>
      </c>
      <c r="Z400" s="25"/>
      <c r="AA400" s="25"/>
      <c r="AB400" s="25"/>
      <c r="AC400" s="3" t="str">
        <f>IF(Caja_Finanzas[[#This Row],[FECHA]]&gt;0,TEXT(Caja_Finanzas[[#This Row],[FECHA]],"mmmm"),0)</f>
        <v>Abril</v>
      </c>
    </row>
    <row r="401" spans="2:29" ht="36" x14ac:dyDescent="0.3">
      <c r="B401" s="2">
        <f>IF(Caja_Finanzas[[#This Row],[TIPO DE R.]]="R",COUNTIFS($D$4:$D400,"R")+1,"")</f>
        <v>385</v>
      </c>
      <c r="C401" s="19" t="str">
        <f t="shared" si="34"/>
        <v>C-Finanzas</v>
      </c>
      <c r="D401" s="3" t="s">
        <v>1074</v>
      </c>
      <c r="E401" s="14">
        <v>45772</v>
      </c>
      <c r="F401" s="5" t="s">
        <v>5295</v>
      </c>
      <c r="G401" s="5" t="s">
        <v>1079</v>
      </c>
      <c r="H401" s="5"/>
      <c r="I401" s="6"/>
      <c r="J401" s="6"/>
      <c r="K401" s="6"/>
      <c r="L401" s="6"/>
      <c r="M401" s="7" t="s">
        <v>5897</v>
      </c>
      <c r="N401" s="8" t="str">
        <f>"CFI"&amp;".D"&amp;TEXT(Caja_Finanzas[[#This Row],[FECHA]],"DD-MM")&amp;"-"&amp;TEXT(Caja_Finanzas[[#This Row],[ITEM]],"0000")</f>
        <v>CFI.D25-04-0385</v>
      </c>
      <c r="O401" s="8" t="str">
        <f t="shared" si="35"/>
        <v>PEN</v>
      </c>
      <c r="P401" s="13"/>
      <c r="Q401" s="13">
        <v>32</v>
      </c>
      <c r="R401" s="3">
        <f t="shared" si="31"/>
        <v>0</v>
      </c>
      <c r="S401" s="3">
        <f t="shared" si="32"/>
        <v>32</v>
      </c>
      <c r="T401" s="3">
        <f t="shared" si="33"/>
        <v>16370.299999999992</v>
      </c>
      <c r="U401" s="24"/>
      <c r="V401" s="24"/>
      <c r="W401" s="3"/>
      <c r="X401" s="25" t="s">
        <v>5596</v>
      </c>
      <c r="Y401" s="25" t="s">
        <v>5898</v>
      </c>
      <c r="Z401" s="25"/>
      <c r="AA401" s="25"/>
      <c r="AB401" s="25"/>
      <c r="AC401" s="3" t="str">
        <f>IF(Caja_Finanzas[[#This Row],[FECHA]]&gt;0,TEXT(Caja_Finanzas[[#This Row],[FECHA]],"mmmm"),0)</f>
        <v>Abril</v>
      </c>
    </row>
    <row r="402" spans="2:29" ht="24" x14ac:dyDescent="0.3">
      <c r="B402" s="2">
        <f>IF(Caja_Finanzas[[#This Row],[TIPO DE R.]]="R",COUNTIFS($D$4:$D401,"R")+1,"")</f>
        <v>386</v>
      </c>
      <c r="C402" s="19" t="str">
        <f t="shared" si="34"/>
        <v>C-Finanzas</v>
      </c>
      <c r="D402" s="3" t="s">
        <v>1074</v>
      </c>
      <c r="E402" s="14">
        <v>45772</v>
      </c>
      <c r="F402" s="5" t="s">
        <v>1745</v>
      </c>
      <c r="G402" s="5" t="s">
        <v>1087</v>
      </c>
      <c r="H402" s="5"/>
      <c r="I402" s="6"/>
      <c r="J402" s="6"/>
      <c r="K402" s="6"/>
      <c r="L402" s="6"/>
      <c r="M402" s="7" t="s">
        <v>5156</v>
      </c>
      <c r="N402" s="8" t="str">
        <f>"CFI"&amp;".D"&amp;TEXT(Caja_Finanzas[[#This Row],[FECHA]],"DD-MM")&amp;"-"&amp;TEXT(Caja_Finanzas[[#This Row],[ITEM]],"0000")</f>
        <v>CFI.D25-04-0386</v>
      </c>
      <c r="O402" s="8" t="str">
        <f t="shared" si="35"/>
        <v>PEN</v>
      </c>
      <c r="P402" s="13"/>
      <c r="Q402" s="13">
        <v>5332</v>
      </c>
      <c r="R402" s="3">
        <f t="shared" si="31"/>
        <v>5332</v>
      </c>
      <c r="S402" s="3">
        <f t="shared" si="32"/>
        <v>0</v>
      </c>
      <c r="T402" s="3">
        <f t="shared" si="33"/>
        <v>21702.299999999992</v>
      </c>
      <c r="U402" s="24"/>
      <c r="V402" s="24"/>
      <c r="W402" s="3"/>
      <c r="X402" s="25"/>
      <c r="Y402" s="25" t="s">
        <v>2515</v>
      </c>
      <c r="Z402" s="25"/>
      <c r="AA402" s="25"/>
      <c r="AB402" s="25"/>
      <c r="AC402" s="3" t="str">
        <f>IF(Caja_Finanzas[[#This Row],[FECHA]]&gt;0,TEXT(Caja_Finanzas[[#This Row],[FECHA]],"mmmm"),0)</f>
        <v>Abril</v>
      </c>
    </row>
    <row r="403" spans="2:29" ht="36" x14ac:dyDescent="0.3">
      <c r="B403" s="2">
        <f>IF(Caja_Finanzas[[#This Row],[TIPO DE R.]]="R",COUNTIFS($D$4:$D402,"R")+1,"")</f>
        <v>387</v>
      </c>
      <c r="C403" s="19" t="str">
        <f t="shared" si="34"/>
        <v>C-Finanzas</v>
      </c>
      <c r="D403" s="3" t="s">
        <v>1074</v>
      </c>
      <c r="E403" s="14">
        <v>45772</v>
      </c>
      <c r="F403" s="5" t="s">
        <v>3532</v>
      </c>
      <c r="G403" s="5" t="s">
        <v>1079</v>
      </c>
      <c r="H403" s="5"/>
      <c r="I403" s="6"/>
      <c r="J403" s="6"/>
      <c r="K403" s="6"/>
      <c r="L403" s="6"/>
      <c r="M403" s="7" t="s">
        <v>5899</v>
      </c>
      <c r="N403" s="8" t="str">
        <f>"CFI"&amp;".D"&amp;TEXT(Caja_Finanzas[[#This Row],[FECHA]],"DD-MM")&amp;"-"&amp;TEXT(Caja_Finanzas[[#This Row],[ITEM]],"0000")</f>
        <v>CFI.D25-04-0387</v>
      </c>
      <c r="O403" s="8" t="str">
        <f t="shared" si="35"/>
        <v>PEN</v>
      </c>
      <c r="P403" s="13"/>
      <c r="Q403" s="13">
        <v>1300</v>
      </c>
      <c r="R403" s="3">
        <f t="shared" si="31"/>
        <v>0</v>
      </c>
      <c r="S403" s="3">
        <f t="shared" si="32"/>
        <v>1300</v>
      </c>
      <c r="T403" s="3">
        <f t="shared" si="33"/>
        <v>20402.299999999992</v>
      </c>
      <c r="U403" s="24"/>
      <c r="V403" s="24"/>
      <c r="W403" s="3"/>
      <c r="X403" s="25" t="s">
        <v>5703</v>
      </c>
      <c r="Y403" s="25" t="s">
        <v>5900</v>
      </c>
      <c r="Z403" s="25"/>
      <c r="AA403" s="25"/>
      <c r="AB403" s="25"/>
      <c r="AC403" s="3" t="str">
        <f>IF(Caja_Finanzas[[#This Row],[FECHA]]&gt;0,TEXT(Caja_Finanzas[[#This Row],[FECHA]],"mmmm"),0)</f>
        <v>Abril</v>
      </c>
    </row>
    <row r="404" spans="2:29" x14ac:dyDescent="0.3">
      <c r="B404" s="2">
        <f>IF(Caja_Finanzas[[#This Row],[TIPO DE R.]]="R",COUNTIFS($D$4:$D403,"R")+1,"")</f>
        <v>388</v>
      </c>
      <c r="C404" s="19" t="str">
        <f t="shared" si="34"/>
        <v>C-Finanzas</v>
      </c>
      <c r="D404" s="3" t="s">
        <v>1074</v>
      </c>
      <c r="E404" s="14">
        <v>45772</v>
      </c>
      <c r="F404" s="5" t="s">
        <v>1239</v>
      </c>
      <c r="G404" s="5" t="s">
        <v>1087</v>
      </c>
      <c r="H404" s="5"/>
      <c r="I404" s="6"/>
      <c r="J404" s="6"/>
      <c r="K404" s="6"/>
      <c r="L404" s="6"/>
      <c r="M404" s="7" t="s">
        <v>5156</v>
      </c>
      <c r="N404" s="8" t="str">
        <f>"CFI"&amp;".D"&amp;TEXT(Caja_Finanzas[[#This Row],[FECHA]],"DD-MM")&amp;"-"&amp;TEXT(Caja_Finanzas[[#This Row],[ITEM]],"0000")</f>
        <v>CFI.D25-04-0388</v>
      </c>
      <c r="O404" s="8" t="str">
        <f t="shared" si="35"/>
        <v>PEN</v>
      </c>
      <c r="P404" s="13"/>
      <c r="Q404" s="13">
        <v>650</v>
      </c>
      <c r="R404" s="3">
        <f t="shared" si="31"/>
        <v>650</v>
      </c>
      <c r="S404" s="3">
        <f t="shared" si="32"/>
        <v>0</v>
      </c>
      <c r="T404" s="3">
        <f t="shared" si="33"/>
        <v>21052.299999999992</v>
      </c>
      <c r="U404" s="24"/>
      <c r="V404" s="24"/>
      <c r="W404" s="3"/>
      <c r="X404" s="25"/>
      <c r="Y404" s="25" t="s">
        <v>5901</v>
      </c>
      <c r="Z404" s="25"/>
      <c r="AA404" s="25"/>
      <c r="AB404" s="25"/>
      <c r="AC404" s="3" t="str">
        <f>IF(Caja_Finanzas[[#This Row],[FECHA]]&gt;0,TEXT(Caja_Finanzas[[#This Row],[FECHA]],"mmmm"),0)</f>
        <v>Abril</v>
      </c>
    </row>
    <row r="405" spans="2:29" x14ac:dyDescent="0.3">
      <c r="B405" s="2">
        <f>IF(Caja_Finanzas[[#This Row],[TIPO DE R.]]="R",COUNTIFS($D$4:$D404,"R")+1,"")</f>
        <v>389</v>
      </c>
      <c r="C405" s="19" t="str">
        <f t="shared" si="34"/>
        <v>C-Finanzas</v>
      </c>
      <c r="D405" s="3" t="s">
        <v>1074</v>
      </c>
      <c r="E405" s="14">
        <v>45775</v>
      </c>
      <c r="F405" s="5" t="s">
        <v>1239</v>
      </c>
      <c r="G405" s="5" t="s">
        <v>1087</v>
      </c>
      <c r="H405" s="5"/>
      <c r="I405" s="6"/>
      <c r="J405" s="6"/>
      <c r="K405" s="6"/>
      <c r="L405" s="6"/>
      <c r="M405" s="7" t="s">
        <v>5156</v>
      </c>
      <c r="N405" s="8" t="str">
        <f>"CFI"&amp;".D"&amp;TEXT(Caja_Finanzas[[#This Row],[FECHA]],"DD-MM")&amp;"-"&amp;TEXT(Caja_Finanzas[[#This Row],[ITEM]],"0000")</f>
        <v>CFI.D28-04-0389</v>
      </c>
      <c r="O405" s="8" t="str">
        <f t="shared" si="35"/>
        <v>PEN</v>
      </c>
      <c r="P405" s="13"/>
      <c r="Q405" s="13">
        <v>850</v>
      </c>
      <c r="R405" s="3">
        <f t="shared" si="31"/>
        <v>850</v>
      </c>
      <c r="S405" s="3">
        <f t="shared" si="32"/>
        <v>0</v>
      </c>
      <c r="T405" s="3">
        <f t="shared" si="33"/>
        <v>21902.299999999992</v>
      </c>
      <c r="U405" s="24"/>
      <c r="V405" s="24"/>
      <c r="W405" s="3"/>
      <c r="X405" s="25"/>
      <c r="Y405" s="25" t="s">
        <v>5902</v>
      </c>
      <c r="Z405" s="25"/>
      <c r="AA405" s="25"/>
      <c r="AB405" s="25"/>
      <c r="AC405" s="3" t="str">
        <f>IF(Caja_Finanzas[[#This Row],[FECHA]]&gt;0,TEXT(Caja_Finanzas[[#This Row],[FECHA]],"mmmm"),0)</f>
        <v>Abril</v>
      </c>
    </row>
    <row r="406" spans="2:29" ht="36" x14ac:dyDescent="0.3">
      <c r="B406" s="2">
        <f>IF(Caja_Finanzas[[#This Row],[TIPO DE R.]]="R",COUNTIFS($D$4:$D405,"R")+1,"")</f>
        <v>390</v>
      </c>
      <c r="C406" s="19" t="str">
        <f t="shared" si="34"/>
        <v>C-Finanzas</v>
      </c>
      <c r="D406" s="3" t="s">
        <v>1074</v>
      </c>
      <c r="E406" s="14">
        <v>45775</v>
      </c>
      <c r="F406" s="5" t="s">
        <v>5827</v>
      </c>
      <c r="G406" s="5" t="s">
        <v>1079</v>
      </c>
      <c r="H406" s="5"/>
      <c r="I406" s="6"/>
      <c r="J406" s="6"/>
      <c r="K406" s="6"/>
      <c r="L406" s="6"/>
      <c r="M406" s="7" t="s">
        <v>5903</v>
      </c>
      <c r="N406" s="8" t="str">
        <f>"CFI"&amp;".D"&amp;TEXT(Caja_Finanzas[[#This Row],[FECHA]],"DD-MM")&amp;"-"&amp;TEXT(Caja_Finanzas[[#This Row],[ITEM]],"0000")</f>
        <v>CFI.D28-04-0390</v>
      </c>
      <c r="O406" s="8" t="str">
        <f t="shared" si="35"/>
        <v>PEN</v>
      </c>
      <c r="P406" s="13"/>
      <c r="Q406" s="13">
        <v>6</v>
      </c>
      <c r="R406" s="3">
        <f t="shared" si="31"/>
        <v>0</v>
      </c>
      <c r="S406" s="3">
        <f t="shared" si="32"/>
        <v>6</v>
      </c>
      <c r="T406" s="3">
        <f t="shared" si="33"/>
        <v>21896.299999999992</v>
      </c>
      <c r="U406" s="24"/>
      <c r="V406" s="24"/>
      <c r="W406" s="3"/>
      <c r="X406" s="25" t="s">
        <v>5596</v>
      </c>
      <c r="Y406" s="25" t="s">
        <v>5904</v>
      </c>
      <c r="Z406" s="25"/>
      <c r="AA406" s="25"/>
      <c r="AB406" s="25"/>
      <c r="AC406" s="3" t="str">
        <f>IF(Caja_Finanzas[[#This Row],[FECHA]]&gt;0,TEXT(Caja_Finanzas[[#This Row],[FECHA]],"mmmm"),0)</f>
        <v>Abril</v>
      </c>
    </row>
    <row r="407" spans="2:29" ht="36" x14ac:dyDescent="0.3">
      <c r="B407" s="2">
        <f>IF(Caja_Finanzas[[#This Row],[TIPO DE R.]]="R",COUNTIFS($D$4:$D406,"R")+1,"")</f>
        <v>391</v>
      </c>
      <c r="C407" s="19" t="str">
        <f t="shared" si="34"/>
        <v>C-Finanzas</v>
      </c>
      <c r="D407" s="3" t="s">
        <v>1074</v>
      </c>
      <c r="E407" s="14">
        <v>45775</v>
      </c>
      <c r="F407" s="5" t="s">
        <v>5827</v>
      </c>
      <c r="G407" s="5" t="s">
        <v>1079</v>
      </c>
      <c r="H407" s="5"/>
      <c r="I407" s="6"/>
      <c r="J407" s="6"/>
      <c r="K407" s="6"/>
      <c r="L407" s="6"/>
      <c r="M407" s="7" t="s">
        <v>5905</v>
      </c>
      <c r="N407" s="8" t="str">
        <f>"CFI"&amp;".D"&amp;TEXT(Caja_Finanzas[[#This Row],[FECHA]],"DD-MM")&amp;"-"&amp;TEXT(Caja_Finanzas[[#This Row],[ITEM]],"0000")</f>
        <v>CFI.D28-04-0391</v>
      </c>
      <c r="O407" s="8" t="str">
        <f t="shared" si="35"/>
        <v>PEN</v>
      </c>
      <c r="P407" s="13"/>
      <c r="Q407" s="13">
        <v>450</v>
      </c>
      <c r="R407" s="3">
        <f t="shared" si="31"/>
        <v>0</v>
      </c>
      <c r="S407" s="3">
        <f t="shared" si="32"/>
        <v>450</v>
      </c>
      <c r="T407" s="3">
        <f t="shared" si="33"/>
        <v>21446.299999999992</v>
      </c>
      <c r="U407" s="24"/>
      <c r="V407" s="24"/>
      <c r="W407" s="3"/>
      <c r="X407" s="25" t="s">
        <v>417</v>
      </c>
      <c r="Y407" s="25" t="s">
        <v>5906</v>
      </c>
      <c r="Z407" s="25"/>
      <c r="AA407" s="25"/>
      <c r="AB407" s="25"/>
      <c r="AC407" s="3" t="str">
        <f>IF(Caja_Finanzas[[#This Row],[FECHA]]&gt;0,TEXT(Caja_Finanzas[[#This Row],[FECHA]],"mmmm"),0)</f>
        <v>Abril</v>
      </c>
    </row>
    <row r="408" spans="2:29" ht="48" x14ac:dyDescent="0.3">
      <c r="B408" s="2">
        <f>IF(Caja_Finanzas[[#This Row],[TIPO DE R.]]="R",COUNTIFS($D$4:$D407,"R")+1,"")</f>
        <v>392</v>
      </c>
      <c r="C408" s="19" t="str">
        <f t="shared" si="34"/>
        <v>C-Finanzas</v>
      </c>
      <c r="D408" s="3" t="s">
        <v>1074</v>
      </c>
      <c r="E408" s="14">
        <v>45775</v>
      </c>
      <c r="F408" s="5" t="s">
        <v>5827</v>
      </c>
      <c r="G408" s="5" t="s">
        <v>1079</v>
      </c>
      <c r="H408" s="5"/>
      <c r="I408" s="6"/>
      <c r="J408" s="6"/>
      <c r="K408" s="6"/>
      <c r="L408" s="6"/>
      <c r="M408" s="7" t="s">
        <v>5907</v>
      </c>
      <c r="N408" s="8" t="str">
        <f>"CFI"&amp;".D"&amp;TEXT(Caja_Finanzas[[#This Row],[FECHA]],"DD-MM")&amp;"-"&amp;TEXT(Caja_Finanzas[[#This Row],[ITEM]],"0000")</f>
        <v>CFI.D28-04-0392</v>
      </c>
      <c r="O408" s="8" t="str">
        <f t="shared" si="35"/>
        <v>PEN</v>
      </c>
      <c r="P408" s="13"/>
      <c r="Q408" s="13">
        <v>450</v>
      </c>
      <c r="R408" s="3">
        <f t="shared" si="31"/>
        <v>0</v>
      </c>
      <c r="S408" s="3">
        <f t="shared" si="32"/>
        <v>450</v>
      </c>
      <c r="T408" s="3">
        <f t="shared" si="33"/>
        <v>20996.299999999992</v>
      </c>
      <c r="U408" s="24"/>
      <c r="V408" s="24"/>
      <c r="W408" s="3"/>
      <c r="X408" s="25" t="s">
        <v>417</v>
      </c>
      <c r="Y408" s="25" t="s">
        <v>5908</v>
      </c>
      <c r="Z408" s="25"/>
      <c r="AA408" s="25"/>
      <c r="AB408" s="25"/>
      <c r="AC408" s="3" t="str">
        <f>IF(Caja_Finanzas[[#This Row],[FECHA]]&gt;0,TEXT(Caja_Finanzas[[#This Row],[FECHA]],"mmmm"),0)</f>
        <v>Abril</v>
      </c>
    </row>
    <row r="409" spans="2:29" ht="24" x14ac:dyDescent="0.3">
      <c r="B409" s="2">
        <f>IF(Caja_Finanzas[[#This Row],[TIPO DE R.]]="R",COUNTIFS($D$4:$D408,"R")+1,"")</f>
        <v>393</v>
      </c>
      <c r="C409" s="19" t="str">
        <f t="shared" si="34"/>
        <v>C-Finanzas</v>
      </c>
      <c r="D409" s="3" t="s">
        <v>1074</v>
      </c>
      <c r="E409" s="14">
        <v>45775</v>
      </c>
      <c r="F409" s="5" t="s">
        <v>2655</v>
      </c>
      <c r="G409" s="5" t="s">
        <v>1087</v>
      </c>
      <c r="H409" s="5"/>
      <c r="I409" s="6"/>
      <c r="J409" s="6"/>
      <c r="K409" s="6"/>
      <c r="L409" s="6"/>
      <c r="M409" s="7" t="s">
        <v>5156</v>
      </c>
      <c r="N409" s="8" t="str">
        <f>"CFI"&amp;".D"&amp;TEXT(Caja_Finanzas[[#This Row],[FECHA]],"DD-MM")&amp;"-"&amp;TEXT(Caja_Finanzas[[#This Row],[ITEM]],"0000")</f>
        <v>CFI.D28-04-0393</v>
      </c>
      <c r="O409" s="8" t="str">
        <f t="shared" si="35"/>
        <v>PEN</v>
      </c>
      <c r="P409" s="13"/>
      <c r="Q409" s="13">
        <v>1900</v>
      </c>
      <c r="R409" s="3">
        <f t="shared" si="31"/>
        <v>1900</v>
      </c>
      <c r="S409" s="3">
        <f t="shared" si="32"/>
        <v>0</v>
      </c>
      <c r="T409" s="3">
        <f t="shared" si="33"/>
        <v>22896.299999999992</v>
      </c>
      <c r="U409" s="24"/>
      <c r="V409" s="24"/>
      <c r="W409" s="3"/>
      <c r="X409" s="25"/>
      <c r="Y409" s="25" t="s">
        <v>5909</v>
      </c>
      <c r="Z409" s="25"/>
      <c r="AA409" s="25"/>
      <c r="AB409" s="25"/>
      <c r="AC409" s="3" t="str">
        <f>IF(Caja_Finanzas[[#This Row],[FECHA]]&gt;0,TEXT(Caja_Finanzas[[#This Row],[FECHA]],"mmmm"),0)</f>
        <v>Abril</v>
      </c>
    </row>
    <row r="410" spans="2:29" x14ac:dyDescent="0.3">
      <c r="B410" s="2">
        <f>IF(Caja_Finanzas[[#This Row],[TIPO DE R.]]="R",COUNTIFS($D$4:$D409,"R")+1,"")</f>
        <v>394</v>
      </c>
      <c r="C410" s="19" t="str">
        <f t="shared" si="34"/>
        <v>C-Finanzas</v>
      </c>
      <c r="D410" s="3" t="s">
        <v>1074</v>
      </c>
      <c r="E410" s="14">
        <v>45775</v>
      </c>
      <c r="F410" s="5" t="s">
        <v>2518</v>
      </c>
      <c r="G410" s="5" t="s">
        <v>1087</v>
      </c>
      <c r="H410" s="5"/>
      <c r="I410" s="6"/>
      <c r="J410" s="6"/>
      <c r="K410" s="6"/>
      <c r="L410" s="6"/>
      <c r="M410" s="7" t="s">
        <v>5156</v>
      </c>
      <c r="N410" s="8" t="str">
        <f>"CFI"&amp;".D"&amp;TEXT(Caja_Finanzas[[#This Row],[FECHA]],"DD-MM")&amp;"-"&amp;TEXT(Caja_Finanzas[[#This Row],[ITEM]],"0000")</f>
        <v>CFI.D28-04-0394</v>
      </c>
      <c r="O410" s="8" t="str">
        <f t="shared" si="35"/>
        <v>PEN</v>
      </c>
      <c r="P410" s="13"/>
      <c r="Q410" s="13">
        <v>2050</v>
      </c>
      <c r="R410" s="3">
        <f t="shared" si="31"/>
        <v>2050</v>
      </c>
      <c r="S410" s="3">
        <f t="shared" si="32"/>
        <v>0</v>
      </c>
      <c r="T410" s="3">
        <f t="shared" si="33"/>
        <v>24946.299999999992</v>
      </c>
      <c r="U410" s="24"/>
      <c r="V410" s="24"/>
      <c r="W410" s="3"/>
      <c r="X410" s="25"/>
      <c r="Y410" s="25" t="s">
        <v>5910</v>
      </c>
      <c r="Z410" s="25"/>
      <c r="AA410" s="25"/>
      <c r="AB410" s="25"/>
      <c r="AC410" s="3" t="str">
        <f>IF(Caja_Finanzas[[#This Row],[FECHA]]&gt;0,TEXT(Caja_Finanzas[[#This Row],[FECHA]],"mmmm"),0)</f>
        <v>Abril</v>
      </c>
    </row>
    <row r="411" spans="2:29" ht="36" x14ac:dyDescent="0.3">
      <c r="B411" s="2">
        <f>IF(Caja_Finanzas[[#This Row],[TIPO DE R.]]="R",COUNTIFS($D$4:$D410,"R")+1,"")</f>
        <v>395</v>
      </c>
      <c r="C411" s="19" t="str">
        <f t="shared" si="34"/>
        <v>C-Finanzas</v>
      </c>
      <c r="D411" s="3" t="s">
        <v>1074</v>
      </c>
      <c r="E411" s="14">
        <v>45776</v>
      </c>
      <c r="F411" s="5" t="s">
        <v>3532</v>
      </c>
      <c r="G411" s="5" t="s">
        <v>1079</v>
      </c>
      <c r="H411" s="5"/>
      <c r="I411" s="6"/>
      <c r="J411" s="6"/>
      <c r="K411" s="6"/>
      <c r="L411" s="6"/>
      <c r="M411" s="7" t="s">
        <v>5911</v>
      </c>
      <c r="N411" s="8" t="str">
        <f>"CFI"&amp;".D"&amp;TEXT(Caja_Finanzas[[#This Row],[FECHA]],"DD-MM")&amp;"-"&amp;TEXT(Caja_Finanzas[[#This Row],[ITEM]],"0000")</f>
        <v>CFI.D29-04-0395</v>
      </c>
      <c r="O411" s="8" t="str">
        <f t="shared" si="35"/>
        <v>PEN</v>
      </c>
      <c r="P411" s="13"/>
      <c r="Q411" s="13">
        <v>750</v>
      </c>
      <c r="R411" s="3">
        <f t="shared" si="31"/>
        <v>0</v>
      </c>
      <c r="S411" s="3">
        <f t="shared" si="32"/>
        <v>750</v>
      </c>
      <c r="T411" s="3">
        <f t="shared" si="33"/>
        <v>24196.299999999992</v>
      </c>
      <c r="U411" s="24"/>
      <c r="V411" s="24"/>
      <c r="W411" s="3"/>
      <c r="X411" s="25" t="s">
        <v>5912</v>
      </c>
      <c r="Y411" s="25" t="s">
        <v>5913</v>
      </c>
      <c r="Z411" s="25"/>
      <c r="AA411" s="25"/>
      <c r="AB411" s="25"/>
      <c r="AC411" s="3" t="str">
        <f>IF(Caja_Finanzas[[#This Row],[FECHA]]&gt;0,TEXT(Caja_Finanzas[[#This Row],[FECHA]],"mmmm"),0)</f>
        <v>Abril</v>
      </c>
    </row>
    <row r="412" spans="2:29" ht="48" x14ac:dyDescent="0.3">
      <c r="B412" s="2">
        <f>IF(Caja_Finanzas[[#This Row],[TIPO DE R.]]="R",COUNTIFS($D$4:$D411,"R")+1,"")</f>
        <v>396</v>
      </c>
      <c r="C412" s="19" t="str">
        <f t="shared" si="34"/>
        <v>C-Finanzas</v>
      </c>
      <c r="D412" s="3" t="s">
        <v>1074</v>
      </c>
      <c r="E412" s="14">
        <v>45776</v>
      </c>
      <c r="F412" s="5" t="s">
        <v>5457</v>
      </c>
      <c r="G412" s="5" t="s">
        <v>1079</v>
      </c>
      <c r="H412" s="5"/>
      <c r="I412" s="6"/>
      <c r="J412" s="6"/>
      <c r="K412" s="6"/>
      <c r="L412" s="6"/>
      <c r="M412" s="7" t="s">
        <v>5914</v>
      </c>
      <c r="N412" s="8" t="str">
        <f>"CFI"&amp;".D"&amp;TEXT(Caja_Finanzas[[#This Row],[FECHA]],"DD-MM")&amp;"-"&amp;TEXT(Caja_Finanzas[[#This Row],[ITEM]],"0000")</f>
        <v>CFI.D29-04-0396</v>
      </c>
      <c r="O412" s="8" t="str">
        <f t="shared" si="35"/>
        <v>PEN</v>
      </c>
      <c r="P412" s="13"/>
      <c r="Q412" s="13">
        <v>15</v>
      </c>
      <c r="R412" s="3">
        <f t="shared" si="31"/>
        <v>0</v>
      </c>
      <c r="S412" s="3">
        <f t="shared" si="32"/>
        <v>15</v>
      </c>
      <c r="T412" s="3">
        <f t="shared" si="33"/>
        <v>24181.299999999992</v>
      </c>
      <c r="U412" s="24"/>
      <c r="V412" s="24"/>
      <c r="W412" s="3"/>
      <c r="X412" s="25" t="s">
        <v>5596</v>
      </c>
      <c r="Y412" s="25" t="s">
        <v>5915</v>
      </c>
      <c r="Z412" s="25"/>
      <c r="AA412" s="25"/>
      <c r="AB412" s="25"/>
      <c r="AC412" s="3" t="str">
        <f>IF(Caja_Finanzas[[#This Row],[FECHA]]&gt;0,TEXT(Caja_Finanzas[[#This Row],[FECHA]],"mmmm"),0)</f>
        <v>Abril</v>
      </c>
    </row>
    <row r="413" spans="2:29" ht="24" x14ac:dyDescent="0.3">
      <c r="B413" s="2">
        <f>IF(Caja_Finanzas[[#This Row],[TIPO DE R.]]="R",COUNTIFS($D$4:$D412,"R")+1,"")</f>
        <v>397</v>
      </c>
      <c r="C413" s="19" t="str">
        <f t="shared" si="34"/>
        <v>C-Finanzas</v>
      </c>
      <c r="D413" s="3" t="s">
        <v>1074</v>
      </c>
      <c r="E413" s="14">
        <v>45776</v>
      </c>
      <c r="F413" s="5" t="s">
        <v>5443</v>
      </c>
      <c r="G413" s="5" t="s">
        <v>1079</v>
      </c>
      <c r="H413" s="5"/>
      <c r="I413" s="6"/>
      <c r="J413" s="6"/>
      <c r="K413" s="6"/>
      <c r="L413" s="6"/>
      <c r="M413" s="7" t="s">
        <v>5916</v>
      </c>
      <c r="N413" s="8" t="str">
        <f>"CFI"&amp;".D"&amp;TEXT(Caja_Finanzas[[#This Row],[FECHA]],"DD-MM")&amp;"-"&amp;TEXT(Caja_Finanzas[[#This Row],[ITEM]],"0000")</f>
        <v>CFI.D29-04-0397</v>
      </c>
      <c r="O413" s="8" t="str">
        <f t="shared" si="35"/>
        <v>PEN</v>
      </c>
      <c r="P413" s="13"/>
      <c r="Q413" s="13">
        <v>680</v>
      </c>
      <c r="R413" s="3">
        <f t="shared" si="31"/>
        <v>0</v>
      </c>
      <c r="S413" s="3">
        <f t="shared" si="32"/>
        <v>680</v>
      </c>
      <c r="T413" s="3">
        <f t="shared" si="33"/>
        <v>23501.299999999992</v>
      </c>
      <c r="U413" s="24"/>
      <c r="V413" s="24"/>
      <c r="W413" s="3"/>
      <c r="X413" s="25" t="s">
        <v>5596</v>
      </c>
      <c r="Y413" s="25" t="s">
        <v>5917</v>
      </c>
      <c r="Z413" s="25"/>
      <c r="AA413" s="25"/>
      <c r="AB413" s="25"/>
      <c r="AC413" s="3" t="str">
        <f>IF(Caja_Finanzas[[#This Row],[FECHA]]&gt;0,TEXT(Caja_Finanzas[[#This Row],[FECHA]],"mmmm"),0)</f>
        <v>Abril</v>
      </c>
    </row>
    <row r="414" spans="2:29" ht="36" x14ac:dyDescent="0.3">
      <c r="B414" s="2">
        <f>IF(Caja_Finanzas[[#This Row],[TIPO DE R.]]="R",COUNTIFS($D$4:$D413,"R")+1,"")</f>
        <v>398</v>
      </c>
      <c r="C414" s="19" t="str">
        <f t="shared" si="34"/>
        <v>C-Finanzas</v>
      </c>
      <c r="D414" s="3" t="s">
        <v>1074</v>
      </c>
      <c r="E414" s="14">
        <v>45777</v>
      </c>
      <c r="F414" s="5" t="s">
        <v>5307</v>
      </c>
      <c r="G414" s="5" t="s">
        <v>1079</v>
      </c>
      <c r="H414" s="5"/>
      <c r="I414" s="6"/>
      <c r="J414" s="6"/>
      <c r="K414" s="6"/>
      <c r="L414" s="6"/>
      <c r="M414" s="7" t="s">
        <v>5918</v>
      </c>
      <c r="N414" s="8" t="str">
        <f>"CFI"&amp;".D"&amp;TEXT(Caja_Finanzas[[#This Row],[FECHA]],"DD-MM")&amp;"-"&amp;TEXT(Caja_Finanzas[[#This Row],[ITEM]],"0000")</f>
        <v>CFI.D30-04-0398</v>
      </c>
      <c r="O414" s="8" t="str">
        <f t="shared" si="35"/>
        <v>PEN</v>
      </c>
      <c r="P414" s="13"/>
      <c r="Q414" s="13">
        <v>500</v>
      </c>
      <c r="R414" s="3">
        <f t="shared" si="31"/>
        <v>0</v>
      </c>
      <c r="S414" s="3">
        <f t="shared" si="32"/>
        <v>500</v>
      </c>
      <c r="T414" s="3">
        <f t="shared" si="33"/>
        <v>23001.299999999992</v>
      </c>
      <c r="U414" s="24"/>
      <c r="V414" s="24"/>
      <c r="W414" s="3"/>
      <c r="X414" s="25" t="s">
        <v>5919</v>
      </c>
      <c r="Y414" s="25" t="s">
        <v>5920</v>
      </c>
      <c r="Z414" s="25"/>
      <c r="AA414" s="25"/>
      <c r="AB414" s="25"/>
      <c r="AC414" s="3" t="str">
        <f>IF(Caja_Finanzas[[#This Row],[FECHA]]&gt;0,TEXT(Caja_Finanzas[[#This Row],[FECHA]],"mmmm"),0)</f>
        <v>Abril</v>
      </c>
    </row>
    <row r="415" spans="2:29" ht="24" x14ac:dyDescent="0.3">
      <c r="B415" s="2">
        <f>IF(Caja_Finanzas[[#This Row],[TIPO DE R.]]="R",COUNTIFS($D$4:$D414,"R")+1,"")</f>
        <v>399</v>
      </c>
      <c r="C415" s="19" t="str">
        <f t="shared" si="34"/>
        <v>C-Finanzas</v>
      </c>
      <c r="D415" s="3" t="s">
        <v>1074</v>
      </c>
      <c r="E415" s="14">
        <v>45779</v>
      </c>
      <c r="F415" s="5" t="s">
        <v>5338</v>
      </c>
      <c r="G415" s="5" t="s">
        <v>1079</v>
      </c>
      <c r="H415" s="5"/>
      <c r="I415" s="6"/>
      <c r="J415" s="6"/>
      <c r="K415" s="6"/>
      <c r="L415" s="6"/>
      <c r="M415" s="7" t="s">
        <v>5921</v>
      </c>
      <c r="N415" s="8" t="str">
        <f>"CFI"&amp;".D"&amp;TEXT(Caja_Finanzas[[#This Row],[FECHA]],"DD-MM")&amp;"-"&amp;TEXT(Caja_Finanzas[[#This Row],[ITEM]],"0000")</f>
        <v>CFI.D02-05-0399</v>
      </c>
      <c r="O415" s="8" t="str">
        <f t="shared" si="35"/>
        <v>PEN</v>
      </c>
      <c r="P415" s="13"/>
      <c r="Q415" s="13">
        <v>20</v>
      </c>
      <c r="R415" s="3">
        <f t="shared" si="31"/>
        <v>0</v>
      </c>
      <c r="S415" s="3">
        <f t="shared" si="32"/>
        <v>20</v>
      </c>
      <c r="T415" s="3">
        <f t="shared" si="33"/>
        <v>22981.299999999992</v>
      </c>
      <c r="U415" s="24"/>
      <c r="V415" s="24"/>
      <c r="W415" s="3"/>
      <c r="X415" s="25" t="s">
        <v>5596</v>
      </c>
      <c r="Y415" s="25" t="s">
        <v>5922</v>
      </c>
      <c r="Z415" s="25"/>
      <c r="AA415" s="25"/>
      <c r="AB415" s="25"/>
      <c r="AC415" s="3" t="str">
        <f>IF(Caja_Finanzas[[#This Row],[FECHA]]&gt;0,TEXT(Caja_Finanzas[[#This Row],[FECHA]],"mmmm"),0)</f>
        <v>Mayo</v>
      </c>
    </row>
    <row r="416" spans="2:29" ht="24" x14ac:dyDescent="0.3">
      <c r="B416" s="2">
        <f>IF(Caja_Finanzas[[#This Row],[TIPO DE R.]]="R",COUNTIFS($D$4:$D415,"R")+1,"")</f>
        <v>400</v>
      </c>
      <c r="C416" s="19" t="str">
        <f t="shared" si="34"/>
        <v>C-Finanzas</v>
      </c>
      <c r="D416" s="3" t="s">
        <v>1074</v>
      </c>
      <c r="E416" s="14">
        <v>45779</v>
      </c>
      <c r="F416" s="5" t="s">
        <v>5295</v>
      </c>
      <c r="G416" s="5" t="s">
        <v>1079</v>
      </c>
      <c r="H416" s="5"/>
      <c r="I416" s="6"/>
      <c r="J416" s="6"/>
      <c r="K416" s="6"/>
      <c r="L416" s="6"/>
      <c r="M416" s="7" t="s">
        <v>5923</v>
      </c>
      <c r="N416" s="8" t="str">
        <f>"CFI"&amp;".D"&amp;TEXT(Caja_Finanzas[[#This Row],[FECHA]],"DD-MM")&amp;"-"&amp;TEXT(Caja_Finanzas[[#This Row],[ITEM]],"0000")</f>
        <v>CFI.D02-05-0400</v>
      </c>
      <c r="O416" s="8" t="str">
        <f t="shared" si="35"/>
        <v>PEN</v>
      </c>
      <c r="P416" s="13"/>
      <c r="Q416" s="13">
        <v>30</v>
      </c>
      <c r="R416" s="3">
        <f t="shared" si="31"/>
        <v>0</v>
      </c>
      <c r="S416" s="3">
        <f t="shared" si="32"/>
        <v>30</v>
      </c>
      <c r="T416" s="3">
        <f t="shared" si="33"/>
        <v>22951.299999999992</v>
      </c>
      <c r="U416" s="24"/>
      <c r="V416" s="24"/>
      <c r="W416" s="3"/>
      <c r="X416" s="25" t="s">
        <v>5596</v>
      </c>
      <c r="Y416" s="25" t="s">
        <v>5924</v>
      </c>
      <c r="Z416" s="25"/>
      <c r="AA416" s="25"/>
      <c r="AB416" s="25"/>
      <c r="AC416" s="3" t="str">
        <f>IF(Caja_Finanzas[[#This Row],[FECHA]]&gt;0,TEXT(Caja_Finanzas[[#This Row],[FECHA]],"mmmm"),0)</f>
        <v>Mayo</v>
      </c>
    </row>
    <row r="417" spans="2:29" ht="36" x14ac:dyDescent="0.3">
      <c r="B417" s="2">
        <f>IF(Caja_Finanzas[[#This Row],[TIPO DE R.]]="R",COUNTIFS($D$4:$D416,"R")+1,"")</f>
        <v>401</v>
      </c>
      <c r="C417" s="19" t="str">
        <f t="shared" si="34"/>
        <v>C-Finanzas</v>
      </c>
      <c r="D417" s="3" t="s">
        <v>1074</v>
      </c>
      <c r="E417" s="14">
        <v>45779</v>
      </c>
      <c r="F417" s="5" t="s">
        <v>5295</v>
      </c>
      <c r="G417" s="5" t="s">
        <v>1079</v>
      </c>
      <c r="H417" s="5"/>
      <c r="I417" s="6"/>
      <c r="J417" s="6"/>
      <c r="K417" s="6"/>
      <c r="L417" s="6"/>
      <c r="M417" s="7" t="s">
        <v>5925</v>
      </c>
      <c r="N417" s="8" t="str">
        <f>"CFI"&amp;".D"&amp;TEXT(Caja_Finanzas[[#This Row],[FECHA]],"DD-MM")&amp;"-"&amp;TEXT(Caja_Finanzas[[#This Row],[ITEM]],"0000")</f>
        <v>CFI.D02-05-0401</v>
      </c>
      <c r="O417" s="8" t="str">
        <f t="shared" si="35"/>
        <v>PEN</v>
      </c>
      <c r="P417" s="13"/>
      <c r="Q417" s="13">
        <v>100</v>
      </c>
      <c r="R417" s="3">
        <f t="shared" si="31"/>
        <v>0</v>
      </c>
      <c r="S417" s="3">
        <f t="shared" si="32"/>
        <v>100</v>
      </c>
      <c r="T417" s="3">
        <f t="shared" si="33"/>
        <v>22851.299999999992</v>
      </c>
      <c r="U417" s="24"/>
      <c r="V417" s="24"/>
      <c r="W417" s="3"/>
      <c r="X417" s="25" t="s">
        <v>5624</v>
      </c>
      <c r="Y417" s="25" t="s">
        <v>5926</v>
      </c>
      <c r="Z417" s="25"/>
      <c r="AA417" s="25"/>
      <c r="AB417" s="25"/>
      <c r="AC417" s="3" t="str">
        <f>IF(Caja_Finanzas[[#This Row],[FECHA]]&gt;0,TEXT(Caja_Finanzas[[#This Row],[FECHA]],"mmmm"),0)</f>
        <v>Mayo</v>
      </c>
    </row>
    <row r="418" spans="2:29" ht="24" x14ac:dyDescent="0.3">
      <c r="B418" s="2">
        <f>IF(Caja_Finanzas[[#This Row],[TIPO DE R.]]="R",COUNTIFS($D$4:$D417,"R")+1,"")</f>
        <v>402</v>
      </c>
      <c r="C418" s="19" t="str">
        <f t="shared" si="34"/>
        <v>C-Finanzas</v>
      </c>
      <c r="D418" s="3" t="s">
        <v>1074</v>
      </c>
      <c r="E418" s="14">
        <v>45779</v>
      </c>
      <c r="F418" s="5" t="s">
        <v>5295</v>
      </c>
      <c r="G418" s="5" t="s">
        <v>1079</v>
      </c>
      <c r="H418" s="5"/>
      <c r="I418" s="6"/>
      <c r="J418" s="6"/>
      <c r="K418" s="6"/>
      <c r="L418" s="6"/>
      <c r="M418" s="7" t="s">
        <v>5927</v>
      </c>
      <c r="N418" s="8" t="str">
        <f>"CFI"&amp;".D"&amp;TEXT(Caja_Finanzas[[#This Row],[FECHA]],"DD-MM")&amp;"-"&amp;TEXT(Caja_Finanzas[[#This Row],[ITEM]],"0000")</f>
        <v>CFI.D02-05-0402</v>
      </c>
      <c r="O418" s="8" t="str">
        <f t="shared" si="35"/>
        <v>PEN</v>
      </c>
      <c r="P418" s="13"/>
      <c r="Q418" s="13">
        <v>10</v>
      </c>
      <c r="R418" s="3">
        <f t="shared" si="31"/>
        <v>0</v>
      </c>
      <c r="S418" s="3">
        <f t="shared" si="32"/>
        <v>10</v>
      </c>
      <c r="T418" s="3">
        <f t="shared" si="33"/>
        <v>22841.299999999992</v>
      </c>
      <c r="U418" s="24"/>
      <c r="V418" s="24"/>
      <c r="W418" s="3"/>
      <c r="X418" s="25" t="s">
        <v>5596</v>
      </c>
      <c r="Y418" s="25" t="s">
        <v>5928</v>
      </c>
      <c r="Z418" s="25"/>
      <c r="AA418" s="25"/>
      <c r="AB418" s="25"/>
      <c r="AC418" s="3" t="str">
        <f>IF(Caja_Finanzas[[#This Row],[FECHA]]&gt;0,TEXT(Caja_Finanzas[[#This Row],[FECHA]],"mmmm"),0)</f>
        <v>Mayo</v>
      </c>
    </row>
    <row r="419" spans="2:29" ht="24" x14ac:dyDescent="0.3">
      <c r="B419" s="2">
        <f>IF(Caja_Finanzas[[#This Row],[TIPO DE R.]]="R",COUNTIFS($D$4:$D418,"R")+1,"")</f>
        <v>403</v>
      </c>
      <c r="C419" s="19" t="str">
        <f t="shared" si="34"/>
        <v>C-Finanzas</v>
      </c>
      <c r="D419" s="3" t="s">
        <v>1074</v>
      </c>
      <c r="E419" s="14">
        <v>45779</v>
      </c>
      <c r="F419" s="5" t="s">
        <v>5295</v>
      </c>
      <c r="G419" s="5" t="s">
        <v>1079</v>
      </c>
      <c r="H419" s="5"/>
      <c r="I419" s="6"/>
      <c r="J419" s="6"/>
      <c r="K419" s="6"/>
      <c r="L419" s="6"/>
      <c r="M419" s="7" t="s">
        <v>5929</v>
      </c>
      <c r="N419" s="8" t="str">
        <f>"CFI"&amp;".D"&amp;TEXT(Caja_Finanzas[[#This Row],[FECHA]],"DD-MM")&amp;"-"&amp;TEXT(Caja_Finanzas[[#This Row],[ITEM]],"0000")</f>
        <v>CFI.D02-05-0403</v>
      </c>
      <c r="O419" s="8" t="str">
        <f t="shared" si="35"/>
        <v>PEN</v>
      </c>
      <c r="P419" s="13"/>
      <c r="Q419" s="13">
        <v>15</v>
      </c>
      <c r="R419" s="3">
        <f t="shared" si="31"/>
        <v>0</v>
      </c>
      <c r="S419" s="3">
        <f t="shared" si="32"/>
        <v>15</v>
      </c>
      <c r="T419" s="3">
        <f t="shared" si="33"/>
        <v>22826.299999999992</v>
      </c>
      <c r="U419" s="24"/>
      <c r="V419" s="24"/>
      <c r="W419" s="3"/>
      <c r="X419" s="25" t="s">
        <v>5596</v>
      </c>
      <c r="Y419" s="25" t="s">
        <v>5930</v>
      </c>
      <c r="Z419" s="25"/>
      <c r="AA419" s="25"/>
      <c r="AB419" s="25"/>
      <c r="AC419" s="3" t="str">
        <f>IF(Caja_Finanzas[[#This Row],[FECHA]]&gt;0,TEXT(Caja_Finanzas[[#This Row],[FECHA]],"mmmm"),0)</f>
        <v>Mayo</v>
      </c>
    </row>
    <row r="420" spans="2:29" ht="24" x14ac:dyDescent="0.3">
      <c r="B420" s="2">
        <f>IF(Caja_Finanzas[[#This Row],[TIPO DE R.]]="R",COUNTIFS($D$4:$D419,"R")+1,"")</f>
        <v>404</v>
      </c>
      <c r="C420" s="19" t="str">
        <f t="shared" si="34"/>
        <v>C-Finanzas</v>
      </c>
      <c r="D420" s="3" t="s">
        <v>1074</v>
      </c>
      <c r="E420" s="14">
        <v>45779</v>
      </c>
      <c r="F420" s="5" t="s">
        <v>5618</v>
      </c>
      <c r="G420" s="5" t="s">
        <v>1079</v>
      </c>
      <c r="H420" s="5"/>
      <c r="I420" s="6"/>
      <c r="J420" s="6"/>
      <c r="K420" s="6"/>
      <c r="L420" s="6"/>
      <c r="M420" s="7" t="s">
        <v>5931</v>
      </c>
      <c r="N420" s="8" t="str">
        <f>"CFI"&amp;".D"&amp;TEXT(Caja_Finanzas[[#This Row],[FECHA]],"DD-MM")&amp;"-"&amp;TEXT(Caja_Finanzas[[#This Row],[ITEM]],"0000")</f>
        <v>CFI.D02-05-0404</v>
      </c>
      <c r="O420" s="8" t="str">
        <f t="shared" si="35"/>
        <v>PEN</v>
      </c>
      <c r="P420" s="13"/>
      <c r="Q420" s="13">
        <v>21</v>
      </c>
      <c r="R420" s="3">
        <f t="shared" si="31"/>
        <v>0</v>
      </c>
      <c r="S420" s="3">
        <f t="shared" si="32"/>
        <v>21</v>
      </c>
      <c r="T420" s="3">
        <f t="shared" si="33"/>
        <v>22805.299999999992</v>
      </c>
      <c r="U420" s="24"/>
      <c r="V420" s="24"/>
      <c r="W420" s="3"/>
      <c r="X420" s="25" t="s">
        <v>5596</v>
      </c>
      <c r="Y420" s="25" t="s">
        <v>5932</v>
      </c>
      <c r="Z420" s="25"/>
      <c r="AA420" s="25"/>
      <c r="AB420" s="25"/>
      <c r="AC420" s="3" t="str">
        <f>IF(Caja_Finanzas[[#This Row],[FECHA]]&gt;0,TEXT(Caja_Finanzas[[#This Row],[FECHA]],"mmmm"),0)</f>
        <v>Mayo</v>
      </c>
    </row>
    <row r="421" spans="2:29" ht="36" x14ac:dyDescent="0.3">
      <c r="B421" s="2">
        <f>IF(Caja_Finanzas[[#This Row],[TIPO DE R.]]="R",COUNTIFS($D$4:$D420,"R")+1,"")</f>
        <v>405</v>
      </c>
      <c r="C421" s="19" t="str">
        <f t="shared" si="34"/>
        <v>C-Finanzas</v>
      </c>
      <c r="D421" s="3" t="s">
        <v>1074</v>
      </c>
      <c r="E421" s="14">
        <v>45779</v>
      </c>
      <c r="F421" s="5" t="s">
        <v>5301</v>
      </c>
      <c r="G421" s="5" t="s">
        <v>1079</v>
      </c>
      <c r="H421" s="5"/>
      <c r="I421" s="6"/>
      <c r="J421" s="6"/>
      <c r="K421" s="6"/>
      <c r="L421" s="6"/>
      <c r="M421" s="7" t="s">
        <v>5933</v>
      </c>
      <c r="N421" s="8" t="str">
        <f>"CFI"&amp;".D"&amp;TEXT(Caja_Finanzas[[#This Row],[FECHA]],"DD-MM")&amp;"-"&amp;TEXT(Caja_Finanzas[[#This Row],[ITEM]],"0000")</f>
        <v>CFI.D02-05-0405</v>
      </c>
      <c r="O421" s="8" t="str">
        <f t="shared" si="35"/>
        <v>PEN</v>
      </c>
      <c r="P421" s="13"/>
      <c r="Q421" s="13">
        <v>7336</v>
      </c>
      <c r="R421" s="3">
        <f t="shared" si="31"/>
        <v>0</v>
      </c>
      <c r="S421" s="3">
        <f t="shared" si="32"/>
        <v>7336</v>
      </c>
      <c r="T421" s="3">
        <f t="shared" si="33"/>
        <v>15469.299999999992</v>
      </c>
      <c r="U421" s="24"/>
      <c r="V421" s="24"/>
      <c r="W421" s="3"/>
      <c r="X421" s="25"/>
      <c r="Y421" s="25"/>
      <c r="Z421" s="25"/>
      <c r="AA421" s="25"/>
      <c r="AB421" s="25"/>
      <c r="AC421" s="3" t="str">
        <f>IF(Caja_Finanzas[[#This Row],[FECHA]]&gt;0,TEXT(Caja_Finanzas[[#This Row],[FECHA]],"mmmm"),0)</f>
        <v>Mayo</v>
      </c>
    </row>
    <row r="422" spans="2:29" ht="24" x14ac:dyDescent="0.3">
      <c r="B422" s="2">
        <f>IF(Caja_Finanzas[[#This Row],[TIPO DE R.]]="R",COUNTIFS($D$4:$D421,"R")+1,"")</f>
        <v>406</v>
      </c>
      <c r="C422" s="19" t="str">
        <f t="shared" si="34"/>
        <v>C-Finanzas</v>
      </c>
      <c r="D422" s="3" t="s">
        <v>1074</v>
      </c>
      <c r="E422" s="14">
        <v>45779</v>
      </c>
      <c r="F422" s="5" t="s">
        <v>1488</v>
      </c>
      <c r="G422" s="5" t="s">
        <v>1087</v>
      </c>
      <c r="H422" s="5"/>
      <c r="I422" s="6"/>
      <c r="J422" s="6"/>
      <c r="K422" s="6"/>
      <c r="L422" s="6"/>
      <c r="M422" s="7" t="s">
        <v>5156</v>
      </c>
      <c r="N422" s="8" t="str">
        <f>"CFI"&amp;".D"&amp;TEXT(Caja_Finanzas[[#This Row],[FECHA]],"DD-MM")&amp;"-"&amp;TEXT(Caja_Finanzas[[#This Row],[ITEM]],"0000")</f>
        <v>CFI.D02-05-0406</v>
      </c>
      <c r="O422" s="8" t="str">
        <f t="shared" si="35"/>
        <v>PEN</v>
      </c>
      <c r="P422" s="13"/>
      <c r="Q422" s="13">
        <v>1647</v>
      </c>
      <c r="R422" s="3">
        <f t="shared" si="31"/>
        <v>1647</v>
      </c>
      <c r="S422" s="3">
        <f t="shared" si="32"/>
        <v>0</v>
      </c>
      <c r="T422" s="3">
        <f t="shared" si="33"/>
        <v>17116.299999999992</v>
      </c>
      <c r="U422" s="24"/>
      <c r="V422" s="24"/>
      <c r="W422" s="3"/>
      <c r="X422" s="25"/>
      <c r="Y422" s="25" t="s">
        <v>5934</v>
      </c>
      <c r="Z422" s="25"/>
      <c r="AA422" s="25"/>
      <c r="AB422" s="25"/>
      <c r="AC422" s="3" t="str">
        <f>IF(Caja_Finanzas[[#This Row],[FECHA]]&gt;0,TEXT(Caja_Finanzas[[#This Row],[FECHA]],"mmmm"),0)</f>
        <v>Mayo</v>
      </c>
    </row>
    <row r="423" spans="2:29" ht="24" x14ac:dyDescent="0.3">
      <c r="B423" s="2">
        <f>IF(Caja_Finanzas[[#This Row],[TIPO DE R.]]="R",COUNTIFS($D$4:$D422,"R")+1,"")</f>
        <v>407</v>
      </c>
      <c r="C423" s="19" t="str">
        <f t="shared" si="34"/>
        <v>C-Finanzas</v>
      </c>
      <c r="D423" s="3" t="s">
        <v>1074</v>
      </c>
      <c r="E423" s="14">
        <v>45782</v>
      </c>
      <c r="F423" s="5" t="s">
        <v>3532</v>
      </c>
      <c r="G423" s="5" t="s">
        <v>1079</v>
      </c>
      <c r="H423" s="5"/>
      <c r="I423" s="6"/>
      <c r="J423" s="6"/>
      <c r="K423" s="6"/>
      <c r="L423" s="6"/>
      <c r="M423" s="7" t="s">
        <v>5935</v>
      </c>
      <c r="N423" s="8" t="str">
        <f>"CFI"&amp;".D"&amp;TEXT(Caja_Finanzas[[#This Row],[FECHA]],"DD-MM")&amp;"-"&amp;TEXT(Caja_Finanzas[[#This Row],[ITEM]],"0000")</f>
        <v>CFI.D05-05-0407</v>
      </c>
      <c r="O423" s="8" t="str">
        <f t="shared" si="35"/>
        <v>PEN</v>
      </c>
      <c r="P423" s="13"/>
      <c r="Q423" s="13">
        <v>41.5</v>
      </c>
      <c r="R423" s="3">
        <f t="shared" si="31"/>
        <v>0</v>
      </c>
      <c r="S423" s="3">
        <f t="shared" si="32"/>
        <v>41.5</v>
      </c>
      <c r="T423" s="3">
        <f t="shared" si="33"/>
        <v>17074.799999999992</v>
      </c>
      <c r="U423" s="24"/>
      <c r="V423" s="24"/>
      <c r="W423" s="3"/>
      <c r="X423" s="25" t="s">
        <v>5596</v>
      </c>
      <c r="Y423" s="25" t="s">
        <v>5936</v>
      </c>
      <c r="Z423" s="25"/>
      <c r="AA423" s="25"/>
      <c r="AB423" s="25"/>
      <c r="AC423" s="3" t="str">
        <f>IF(Caja_Finanzas[[#This Row],[FECHA]]&gt;0,TEXT(Caja_Finanzas[[#This Row],[FECHA]],"mmmm"),0)</f>
        <v>Mayo</v>
      </c>
    </row>
    <row r="424" spans="2:29" ht="36" x14ac:dyDescent="0.3">
      <c r="B424" s="2">
        <f>IF(Caja_Finanzas[[#This Row],[TIPO DE R.]]="R",COUNTIFS($D$4:$D423,"R")+1,"")</f>
        <v>408</v>
      </c>
      <c r="C424" s="19" t="str">
        <f t="shared" si="34"/>
        <v>C-Finanzas</v>
      </c>
      <c r="D424" s="3" t="s">
        <v>1074</v>
      </c>
      <c r="E424" s="14">
        <v>45783</v>
      </c>
      <c r="F424" s="5" t="s">
        <v>3532</v>
      </c>
      <c r="G424" s="5" t="s">
        <v>1079</v>
      </c>
      <c r="H424" s="5"/>
      <c r="I424" s="6"/>
      <c r="J424" s="6"/>
      <c r="K424" s="6"/>
      <c r="L424" s="6"/>
      <c r="M424" s="7" t="s">
        <v>5937</v>
      </c>
      <c r="N424" s="8" t="str">
        <f>"CFI"&amp;".D"&amp;TEXT(Caja_Finanzas[[#This Row],[FECHA]],"DD-MM")&amp;"-"&amp;TEXT(Caja_Finanzas[[#This Row],[ITEM]],"0000")</f>
        <v>CFI.D06-05-0408</v>
      </c>
      <c r="O424" s="8" t="str">
        <f t="shared" si="35"/>
        <v>PEN</v>
      </c>
      <c r="P424" s="13"/>
      <c r="Q424" s="13">
        <v>1600</v>
      </c>
      <c r="R424" s="3">
        <f t="shared" si="31"/>
        <v>0</v>
      </c>
      <c r="S424" s="3">
        <f t="shared" si="32"/>
        <v>1600</v>
      </c>
      <c r="T424" s="3">
        <f t="shared" si="33"/>
        <v>15474.799999999992</v>
      </c>
      <c r="U424" s="24"/>
      <c r="V424" s="24"/>
      <c r="W424" s="3"/>
      <c r="X424" s="25" t="s">
        <v>407</v>
      </c>
      <c r="Y424" s="25" t="s">
        <v>5938</v>
      </c>
      <c r="Z424" s="25"/>
      <c r="AA424" s="25"/>
      <c r="AB424" s="25"/>
      <c r="AC424" s="3" t="str">
        <f>IF(Caja_Finanzas[[#This Row],[FECHA]]&gt;0,TEXT(Caja_Finanzas[[#This Row],[FECHA]],"mmmm"),0)</f>
        <v>Mayo</v>
      </c>
    </row>
    <row r="425" spans="2:29" ht="24" x14ac:dyDescent="0.3">
      <c r="B425" s="2">
        <f>IF(Caja_Finanzas[[#This Row],[TIPO DE R.]]="R",COUNTIFS($D$4:$D424,"R")+1,"")</f>
        <v>409</v>
      </c>
      <c r="C425" s="19" t="str">
        <f t="shared" si="34"/>
        <v>C-Finanzas</v>
      </c>
      <c r="D425" s="3" t="s">
        <v>1074</v>
      </c>
      <c r="E425" s="14">
        <v>45783</v>
      </c>
      <c r="F425" s="5" t="s">
        <v>5827</v>
      </c>
      <c r="G425" s="5" t="s">
        <v>1079</v>
      </c>
      <c r="H425" s="5"/>
      <c r="I425" s="6"/>
      <c r="J425" s="6"/>
      <c r="K425" s="6"/>
      <c r="L425" s="6"/>
      <c r="M425" s="7" t="s">
        <v>5939</v>
      </c>
      <c r="N425" s="8" t="str">
        <f>"CFI"&amp;".D"&amp;TEXT(Caja_Finanzas[[#This Row],[FECHA]],"DD-MM")&amp;"-"&amp;TEXT(Caja_Finanzas[[#This Row],[ITEM]],"0000")</f>
        <v>CFI.D06-05-0409</v>
      </c>
      <c r="O425" s="8" t="str">
        <f t="shared" si="35"/>
        <v>PEN</v>
      </c>
      <c r="P425" s="13"/>
      <c r="Q425" s="13">
        <v>15</v>
      </c>
      <c r="R425" s="3">
        <f t="shared" si="31"/>
        <v>0</v>
      </c>
      <c r="S425" s="3">
        <f t="shared" si="32"/>
        <v>15</v>
      </c>
      <c r="T425" s="3">
        <f t="shared" si="33"/>
        <v>15459.799999999992</v>
      </c>
      <c r="U425" s="24"/>
      <c r="V425" s="24"/>
      <c r="W425" s="3"/>
      <c r="X425" s="25" t="s">
        <v>5596</v>
      </c>
      <c r="Y425" s="25" t="s">
        <v>5940</v>
      </c>
      <c r="Z425" s="25"/>
      <c r="AA425" s="25"/>
      <c r="AB425" s="25"/>
      <c r="AC425" s="3" t="str">
        <f>IF(Caja_Finanzas[[#This Row],[FECHA]]&gt;0,TEXT(Caja_Finanzas[[#This Row],[FECHA]],"mmmm"),0)</f>
        <v>Mayo</v>
      </c>
    </row>
    <row r="426" spans="2:29" ht="24" x14ac:dyDescent="0.3">
      <c r="B426" s="2">
        <f>IF(Caja_Finanzas[[#This Row],[TIPO DE R.]]="R",COUNTIFS($D$4:$D425,"R")+1,"")</f>
        <v>410</v>
      </c>
      <c r="C426" s="19" t="str">
        <f t="shared" si="34"/>
        <v>C-Finanzas</v>
      </c>
      <c r="D426" s="3" t="s">
        <v>1074</v>
      </c>
      <c r="E426" s="14">
        <v>45784</v>
      </c>
      <c r="F426" s="5" t="s">
        <v>2655</v>
      </c>
      <c r="G426" s="5" t="s">
        <v>1087</v>
      </c>
      <c r="H426" s="5"/>
      <c r="I426" s="6"/>
      <c r="J426" s="6"/>
      <c r="K426" s="6"/>
      <c r="L426" s="6"/>
      <c r="M426" s="7" t="s">
        <v>5156</v>
      </c>
      <c r="N426" s="8" t="str">
        <f>"CFI"&amp;".D"&amp;TEXT(Caja_Finanzas[[#This Row],[FECHA]],"DD-MM")&amp;"-"&amp;TEXT(Caja_Finanzas[[#This Row],[ITEM]],"0000")</f>
        <v>CFI.D07-05-0410</v>
      </c>
      <c r="O426" s="8" t="str">
        <f t="shared" si="35"/>
        <v>PEN</v>
      </c>
      <c r="P426" s="13"/>
      <c r="Q426" s="13">
        <v>6520</v>
      </c>
      <c r="R426" s="3">
        <f t="shared" si="31"/>
        <v>6520</v>
      </c>
      <c r="S426" s="3">
        <f t="shared" si="32"/>
        <v>0</v>
      </c>
      <c r="T426" s="3">
        <f t="shared" si="33"/>
        <v>21979.799999999992</v>
      </c>
      <c r="U426" s="24"/>
      <c r="V426" s="24"/>
      <c r="W426" s="3"/>
      <c r="X426" s="25"/>
      <c r="Y426" s="25" t="s">
        <v>2656</v>
      </c>
      <c r="Z426" s="25"/>
      <c r="AA426" s="25"/>
      <c r="AB426" s="25"/>
      <c r="AC426" s="3" t="str">
        <f>IF(Caja_Finanzas[[#This Row],[FECHA]]&gt;0,TEXT(Caja_Finanzas[[#This Row],[FECHA]],"mmmm"),0)</f>
        <v>Mayo</v>
      </c>
    </row>
    <row r="427" spans="2:29" ht="24" x14ac:dyDescent="0.3">
      <c r="B427" s="2">
        <f>IF(Caja_Finanzas[[#This Row],[TIPO DE R.]]="R",COUNTIFS($D$4:$D426,"R")+1,"")</f>
        <v>411</v>
      </c>
      <c r="C427" s="19" t="str">
        <f t="shared" si="34"/>
        <v>C-Finanzas</v>
      </c>
      <c r="D427" s="3" t="s">
        <v>1074</v>
      </c>
      <c r="E427" s="14">
        <v>45784</v>
      </c>
      <c r="F427" s="5"/>
      <c r="G427" s="5" t="s">
        <v>1087</v>
      </c>
      <c r="H427" s="5"/>
      <c r="I427" s="6"/>
      <c r="J427" s="6"/>
      <c r="K427" s="6"/>
      <c r="L427" s="6"/>
      <c r="M427" s="7" t="s">
        <v>5941</v>
      </c>
      <c r="N427" s="8" t="str">
        <f>"CFI"&amp;".D"&amp;TEXT(Caja_Finanzas[[#This Row],[FECHA]],"DD-MM")&amp;"-"&amp;TEXT(Caja_Finanzas[[#This Row],[ITEM]],"0000")</f>
        <v>CFI.D07-05-0411</v>
      </c>
      <c r="O427" s="8" t="str">
        <f t="shared" si="35"/>
        <v>PEN</v>
      </c>
      <c r="P427" s="13"/>
      <c r="Q427" s="13">
        <v>1036.9000000000001</v>
      </c>
      <c r="R427" s="3">
        <f t="shared" si="31"/>
        <v>1036.9000000000001</v>
      </c>
      <c r="S427" s="3">
        <f t="shared" si="32"/>
        <v>0</v>
      </c>
      <c r="T427" s="3">
        <f t="shared" si="33"/>
        <v>23016.699999999993</v>
      </c>
      <c r="U427" s="24"/>
      <c r="V427" s="24"/>
      <c r="W427" s="3"/>
      <c r="X427" s="25"/>
      <c r="Y427" s="25"/>
      <c r="Z427" s="25"/>
      <c r="AA427" s="25"/>
      <c r="AB427" s="25"/>
      <c r="AC427" s="3" t="str">
        <f>IF(Caja_Finanzas[[#This Row],[FECHA]]&gt;0,TEXT(Caja_Finanzas[[#This Row],[FECHA]],"mmmm"),0)</f>
        <v>Mayo</v>
      </c>
    </row>
    <row r="428" spans="2:29" ht="24" x14ac:dyDescent="0.3">
      <c r="B428" s="2" t="str">
        <f>IF(Caja_Finanzas[[#This Row],[TIPO DE R.]]="R",COUNTIFS($D$4:$D427,"R")+1,"")</f>
        <v/>
      </c>
      <c r="C428" s="19" t="str">
        <f t="shared" si="34"/>
        <v>C-Finanzas</v>
      </c>
      <c r="D428" s="3" t="s">
        <v>1101</v>
      </c>
      <c r="E428" s="14">
        <v>45784</v>
      </c>
      <c r="F428" s="5" t="s">
        <v>3397</v>
      </c>
      <c r="G428" s="5"/>
      <c r="H428" s="5"/>
      <c r="I428" s="6"/>
      <c r="J428" s="6"/>
      <c r="K428" s="6"/>
      <c r="L428" s="6"/>
      <c r="M428" s="7" t="s">
        <v>5941</v>
      </c>
      <c r="N428" s="8" t="str">
        <f>"CFI"&amp;".D"&amp;TEXT(Caja_Finanzas[[#This Row],[FECHA]],"DD-MM")&amp;"-"&amp;TEXT(Caja_Finanzas[[#This Row],[ITEM]],"0000")</f>
        <v>CFI.D07-05-</v>
      </c>
      <c r="O428" s="8" t="str">
        <f t="shared" si="35"/>
        <v>PEN</v>
      </c>
      <c r="P428" s="13">
        <v>172.8</v>
      </c>
      <c r="Q428" s="13"/>
      <c r="R428" s="3">
        <f t="shared" si="31"/>
        <v>0</v>
      </c>
      <c r="S428" s="3">
        <f t="shared" si="32"/>
        <v>0</v>
      </c>
      <c r="T428" s="3">
        <f t="shared" si="33"/>
        <v>23016.699999999993</v>
      </c>
      <c r="U428" s="24"/>
      <c r="V428" s="24"/>
      <c r="W428" s="3"/>
      <c r="X428" s="25"/>
      <c r="Y428" s="25" t="s">
        <v>5942</v>
      </c>
      <c r="Z428" s="25"/>
      <c r="AA428" s="25"/>
      <c r="AB428" s="25"/>
      <c r="AC428" s="3" t="str">
        <f>IF(Caja_Finanzas[[#This Row],[FECHA]]&gt;0,TEXT(Caja_Finanzas[[#This Row],[FECHA]],"mmmm"),0)</f>
        <v>Mayo</v>
      </c>
    </row>
    <row r="429" spans="2:29" ht="24" x14ac:dyDescent="0.3">
      <c r="B429" s="2" t="str">
        <f>IF(Caja_Finanzas[[#This Row],[TIPO DE R.]]="R",COUNTIFS($D$4:$D428,"R")+1,"")</f>
        <v/>
      </c>
      <c r="C429" s="19" t="str">
        <f t="shared" si="34"/>
        <v>C-Finanzas</v>
      </c>
      <c r="D429" s="3" t="s">
        <v>1101</v>
      </c>
      <c r="E429" s="14">
        <v>45784</v>
      </c>
      <c r="F429" s="5" t="s">
        <v>5943</v>
      </c>
      <c r="G429" s="5"/>
      <c r="H429" s="5"/>
      <c r="I429" s="6"/>
      <c r="J429" s="6"/>
      <c r="K429" s="6"/>
      <c r="L429" s="6"/>
      <c r="M429" s="7" t="s">
        <v>5941</v>
      </c>
      <c r="N429" s="8" t="str">
        <f>"CFI"&amp;".D"&amp;TEXT(Caja_Finanzas[[#This Row],[FECHA]],"DD-MM")&amp;"-"&amp;TEXT(Caja_Finanzas[[#This Row],[ITEM]],"0000")</f>
        <v>CFI.D07-05-</v>
      </c>
      <c r="O429" s="8" t="str">
        <f t="shared" si="35"/>
        <v>PEN</v>
      </c>
      <c r="P429" s="13">
        <v>12</v>
      </c>
      <c r="Q429" s="13"/>
      <c r="R429" s="3">
        <f t="shared" si="31"/>
        <v>0</v>
      </c>
      <c r="S429" s="3">
        <f t="shared" si="32"/>
        <v>0</v>
      </c>
      <c r="T429" s="3">
        <f t="shared" si="33"/>
        <v>23016.699999999993</v>
      </c>
      <c r="U429" s="24"/>
      <c r="V429" s="24"/>
      <c r="W429" s="3"/>
      <c r="X429" s="25"/>
      <c r="Y429" s="25" t="s">
        <v>5944</v>
      </c>
      <c r="Z429" s="25"/>
      <c r="AA429" s="25"/>
      <c r="AB429" s="25"/>
      <c r="AC429" s="3" t="str">
        <f>IF(Caja_Finanzas[[#This Row],[FECHA]]&gt;0,TEXT(Caja_Finanzas[[#This Row],[FECHA]],"mmmm"),0)</f>
        <v>Mayo</v>
      </c>
    </row>
    <row r="430" spans="2:29" ht="24" x14ac:dyDescent="0.3">
      <c r="B430" s="2" t="str">
        <f>IF(Caja_Finanzas[[#This Row],[TIPO DE R.]]="R",COUNTIFS($D$4:$D429,"R")+1,"")</f>
        <v/>
      </c>
      <c r="C430" s="19" t="str">
        <f t="shared" si="34"/>
        <v>C-Finanzas</v>
      </c>
      <c r="D430" s="3" t="s">
        <v>1101</v>
      </c>
      <c r="E430" s="14">
        <v>45784</v>
      </c>
      <c r="F430" s="5" t="s">
        <v>3397</v>
      </c>
      <c r="G430" s="5"/>
      <c r="H430" s="5"/>
      <c r="I430" s="6"/>
      <c r="J430" s="6"/>
      <c r="K430" s="6"/>
      <c r="L430" s="6"/>
      <c r="M430" s="7" t="s">
        <v>5941</v>
      </c>
      <c r="N430" s="8" t="str">
        <f>"CFI"&amp;".D"&amp;TEXT(Caja_Finanzas[[#This Row],[FECHA]],"DD-MM")&amp;"-"&amp;TEXT(Caja_Finanzas[[#This Row],[ITEM]],"0000")</f>
        <v>CFI.D07-05-</v>
      </c>
      <c r="O430" s="8" t="str">
        <f t="shared" si="35"/>
        <v>PEN</v>
      </c>
      <c r="P430" s="13">
        <v>186.6</v>
      </c>
      <c r="Q430" s="13"/>
      <c r="R430" s="3">
        <f t="shared" si="31"/>
        <v>0</v>
      </c>
      <c r="S430" s="3">
        <f t="shared" si="32"/>
        <v>0</v>
      </c>
      <c r="T430" s="3">
        <f t="shared" si="33"/>
        <v>23016.699999999993</v>
      </c>
      <c r="U430" s="24"/>
      <c r="V430" s="24"/>
      <c r="W430" s="3"/>
      <c r="X430" s="25"/>
      <c r="Y430" s="25" t="s">
        <v>5945</v>
      </c>
      <c r="Z430" s="25"/>
      <c r="AA430" s="25"/>
      <c r="AB430" s="25"/>
      <c r="AC430" s="3" t="str">
        <f>IF(Caja_Finanzas[[#This Row],[FECHA]]&gt;0,TEXT(Caja_Finanzas[[#This Row],[FECHA]],"mmmm"),0)</f>
        <v>Mayo</v>
      </c>
    </row>
    <row r="431" spans="2:29" ht="24" x14ac:dyDescent="0.3">
      <c r="B431" s="2" t="str">
        <f>IF(Caja_Finanzas[[#This Row],[TIPO DE R.]]="R",COUNTIFS($D$4:$D430,"R")+1,"")</f>
        <v/>
      </c>
      <c r="C431" s="19" t="str">
        <f t="shared" si="34"/>
        <v>C-Finanzas</v>
      </c>
      <c r="D431" s="3" t="s">
        <v>1101</v>
      </c>
      <c r="E431" s="14">
        <v>45784</v>
      </c>
      <c r="F431" s="5" t="s">
        <v>5946</v>
      </c>
      <c r="G431" s="5"/>
      <c r="H431" s="5"/>
      <c r="I431" s="6"/>
      <c r="J431" s="6"/>
      <c r="K431" s="6"/>
      <c r="L431" s="6"/>
      <c r="M431" s="7" t="s">
        <v>5941</v>
      </c>
      <c r="N431" s="8" t="str">
        <f>"CFI"&amp;".D"&amp;TEXT(Caja_Finanzas[[#This Row],[FECHA]],"DD-MM")&amp;"-"&amp;TEXT(Caja_Finanzas[[#This Row],[ITEM]],"0000")</f>
        <v>CFI.D07-05-</v>
      </c>
      <c r="O431" s="8" t="str">
        <f t="shared" si="35"/>
        <v>PEN</v>
      </c>
      <c r="P431" s="13">
        <v>114</v>
      </c>
      <c r="Q431" s="13"/>
      <c r="R431" s="3">
        <f t="shared" si="31"/>
        <v>0</v>
      </c>
      <c r="S431" s="3">
        <f t="shared" si="32"/>
        <v>0</v>
      </c>
      <c r="T431" s="3">
        <f t="shared" si="33"/>
        <v>23016.699999999993</v>
      </c>
      <c r="U431" s="24"/>
      <c r="V431" s="24"/>
      <c r="W431" s="3"/>
      <c r="X431" s="25"/>
      <c r="Y431" s="25" t="s">
        <v>5947</v>
      </c>
      <c r="Z431" s="25"/>
      <c r="AA431" s="25"/>
      <c r="AB431" s="25"/>
      <c r="AC431" s="3" t="str">
        <f>IF(Caja_Finanzas[[#This Row],[FECHA]]&gt;0,TEXT(Caja_Finanzas[[#This Row],[FECHA]],"mmmm"),0)</f>
        <v>Mayo</v>
      </c>
    </row>
    <row r="432" spans="2:29" ht="24" x14ac:dyDescent="0.3">
      <c r="B432" s="2" t="str">
        <f>IF(Caja_Finanzas[[#This Row],[TIPO DE R.]]="R",COUNTIFS($D$4:$D431,"R")+1,"")</f>
        <v/>
      </c>
      <c r="C432" s="19" t="str">
        <f t="shared" si="34"/>
        <v>C-Finanzas</v>
      </c>
      <c r="D432" s="3" t="s">
        <v>1101</v>
      </c>
      <c r="E432" s="14">
        <v>45784</v>
      </c>
      <c r="F432" s="5" t="s">
        <v>5948</v>
      </c>
      <c r="G432" s="5"/>
      <c r="H432" s="5"/>
      <c r="I432" s="6"/>
      <c r="J432" s="6"/>
      <c r="K432" s="6"/>
      <c r="L432" s="6"/>
      <c r="M432" s="7" t="s">
        <v>5941</v>
      </c>
      <c r="N432" s="8" t="str">
        <f>"CFI"&amp;".D"&amp;TEXT(Caja_Finanzas[[#This Row],[FECHA]],"DD-MM")&amp;"-"&amp;TEXT(Caja_Finanzas[[#This Row],[ITEM]],"0000")</f>
        <v>CFI.D07-05-</v>
      </c>
      <c r="O432" s="8" t="str">
        <f t="shared" si="35"/>
        <v>PEN</v>
      </c>
      <c r="P432" s="13">
        <v>25</v>
      </c>
      <c r="Q432" s="13"/>
      <c r="R432" s="3">
        <f t="shared" si="31"/>
        <v>0</v>
      </c>
      <c r="S432" s="3">
        <f t="shared" si="32"/>
        <v>0</v>
      </c>
      <c r="T432" s="3">
        <f t="shared" si="33"/>
        <v>23016.699999999993</v>
      </c>
      <c r="U432" s="24"/>
      <c r="V432" s="24"/>
      <c r="W432" s="3"/>
      <c r="X432" s="25"/>
      <c r="Y432" s="25" t="s">
        <v>5949</v>
      </c>
      <c r="Z432" s="25"/>
      <c r="AA432" s="25"/>
      <c r="AB432" s="25"/>
      <c r="AC432" s="3" t="str">
        <f>IF(Caja_Finanzas[[#This Row],[FECHA]]&gt;0,TEXT(Caja_Finanzas[[#This Row],[FECHA]],"mmmm"),0)</f>
        <v>Mayo</v>
      </c>
    </row>
    <row r="433" spans="2:29" ht="24" x14ac:dyDescent="0.3">
      <c r="B433" s="2" t="str">
        <f>IF(Caja_Finanzas[[#This Row],[TIPO DE R.]]="R",COUNTIFS($D$4:$D432,"R")+1,"")</f>
        <v/>
      </c>
      <c r="C433" s="19" t="str">
        <f t="shared" si="34"/>
        <v>C-Finanzas</v>
      </c>
      <c r="D433" s="3" t="s">
        <v>1101</v>
      </c>
      <c r="E433" s="14">
        <v>45784</v>
      </c>
      <c r="F433" s="5" t="s">
        <v>5950</v>
      </c>
      <c r="G433" s="5"/>
      <c r="H433" s="5"/>
      <c r="I433" s="6"/>
      <c r="J433" s="6"/>
      <c r="K433" s="6"/>
      <c r="L433" s="6"/>
      <c r="M433" s="7" t="s">
        <v>5941</v>
      </c>
      <c r="N433" s="8" t="str">
        <f>"CFI"&amp;".D"&amp;TEXT(Caja_Finanzas[[#This Row],[FECHA]],"DD-MM")&amp;"-"&amp;TEXT(Caja_Finanzas[[#This Row],[ITEM]],"0000")</f>
        <v>CFI.D07-05-</v>
      </c>
      <c r="O433" s="8" t="str">
        <f t="shared" si="35"/>
        <v>PEN</v>
      </c>
      <c r="P433" s="13">
        <v>8</v>
      </c>
      <c r="Q433" s="13"/>
      <c r="R433" s="3">
        <f t="shared" si="31"/>
        <v>0</v>
      </c>
      <c r="S433" s="3">
        <f t="shared" si="32"/>
        <v>0</v>
      </c>
      <c r="T433" s="3">
        <f t="shared" si="33"/>
        <v>23016.699999999993</v>
      </c>
      <c r="U433" s="24"/>
      <c r="V433" s="24"/>
      <c r="W433" s="3"/>
      <c r="X433" s="25"/>
      <c r="Y433" s="25" t="s">
        <v>5951</v>
      </c>
      <c r="Z433" s="25"/>
      <c r="AA433" s="25"/>
      <c r="AB433" s="25"/>
      <c r="AC433" s="3" t="str">
        <f>IF(Caja_Finanzas[[#This Row],[FECHA]]&gt;0,TEXT(Caja_Finanzas[[#This Row],[FECHA]],"mmmm"),0)</f>
        <v>Mayo</v>
      </c>
    </row>
    <row r="434" spans="2:29" ht="24" x14ac:dyDescent="0.3">
      <c r="B434" s="2" t="str">
        <f>IF(Caja_Finanzas[[#This Row],[TIPO DE R.]]="R",COUNTIFS($D$4:$D433,"R")+1,"")</f>
        <v/>
      </c>
      <c r="C434" s="19" t="str">
        <f t="shared" si="34"/>
        <v>C-Finanzas</v>
      </c>
      <c r="D434" s="3" t="s">
        <v>1101</v>
      </c>
      <c r="E434" s="14">
        <v>45784</v>
      </c>
      <c r="F434" s="5" t="s">
        <v>5952</v>
      </c>
      <c r="G434" s="5"/>
      <c r="H434" s="5"/>
      <c r="I434" s="6"/>
      <c r="J434" s="6"/>
      <c r="K434" s="6"/>
      <c r="L434" s="6"/>
      <c r="M434" s="7" t="s">
        <v>5941</v>
      </c>
      <c r="N434" s="8" t="str">
        <f>"CFI"&amp;".D"&amp;TEXT(Caja_Finanzas[[#This Row],[FECHA]],"DD-MM")&amp;"-"&amp;TEXT(Caja_Finanzas[[#This Row],[ITEM]],"0000")</f>
        <v>CFI.D07-05-</v>
      </c>
      <c r="O434" s="8" t="str">
        <f t="shared" si="35"/>
        <v>PEN</v>
      </c>
      <c r="P434" s="13">
        <v>34.5</v>
      </c>
      <c r="Q434" s="13"/>
      <c r="R434" s="3">
        <f t="shared" si="31"/>
        <v>0</v>
      </c>
      <c r="S434" s="3">
        <f t="shared" si="32"/>
        <v>0</v>
      </c>
      <c r="T434" s="3">
        <f t="shared" si="33"/>
        <v>23016.699999999993</v>
      </c>
      <c r="U434" s="24"/>
      <c r="V434" s="24"/>
      <c r="W434" s="3"/>
      <c r="X434" s="25"/>
      <c r="Y434" s="25" t="s">
        <v>5953</v>
      </c>
      <c r="Z434" s="25"/>
      <c r="AA434" s="25"/>
      <c r="AB434" s="25"/>
      <c r="AC434" s="3" t="str">
        <f>IF(Caja_Finanzas[[#This Row],[FECHA]]&gt;0,TEXT(Caja_Finanzas[[#This Row],[FECHA]],"mmmm"),0)</f>
        <v>Mayo</v>
      </c>
    </row>
    <row r="435" spans="2:29" ht="24" x14ac:dyDescent="0.3">
      <c r="B435" s="2" t="str">
        <f>IF(Caja_Finanzas[[#This Row],[TIPO DE R.]]="R",COUNTIFS($D$4:$D434,"R")+1,"")</f>
        <v/>
      </c>
      <c r="C435" s="19" t="str">
        <f t="shared" si="34"/>
        <v>C-Finanzas</v>
      </c>
      <c r="D435" s="3" t="s">
        <v>1101</v>
      </c>
      <c r="E435" s="14">
        <v>45784</v>
      </c>
      <c r="F435" s="5" t="s">
        <v>5954</v>
      </c>
      <c r="G435" s="5"/>
      <c r="H435" s="5"/>
      <c r="I435" s="6"/>
      <c r="J435" s="6"/>
      <c r="K435" s="6"/>
      <c r="L435" s="6"/>
      <c r="M435" s="7" t="s">
        <v>5941</v>
      </c>
      <c r="N435" s="8" t="str">
        <f>"CFI"&amp;".D"&amp;TEXT(Caja_Finanzas[[#This Row],[FECHA]],"DD-MM")&amp;"-"&amp;TEXT(Caja_Finanzas[[#This Row],[ITEM]],"0000")</f>
        <v>CFI.D07-05-</v>
      </c>
      <c r="O435" s="8" t="str">
        <f t="shared" si="35"/>
        <v>PEN</v>
      </c>
      <c r="P435" s="13">
        <v>98.8</v>
      </c>
      <c r="Q435" s="13"/>
      <c r="R435" s="3">
        <f t="shared" si="31"/>
        <v>0</v>
      </c>
      <c r="S435" s="3">
        <f t="shared" si="32"/>
        <v>0</v>
      </c>
      <c r="T435" s="3">
        <f t="shared" si="33"/>
        <v>23016.699999999993</v>
      </c>
      <c r="U435" s="24"/>
      <c r="V435" s="24"/>
      <c r="W435" s="3"/>
      <c r="X435" s="25"/>
      <c r="Y435" s="25" t="s">
        <v>5955</v>
      </c>
      <c r="Z435" s="25"/>
      <c r="AA435" s="25"/>
      <c r="AB435" s="25"/>
      <c r="AC435" s="3" t="str">
        <f>IF(Caja_Finanzas[[#This Row],[FECHA]]&gt;0,TEXT(Caja_Finanzas[[#This Row],[FECHA]],"mmmm"),0)</f>
        <v>Mayo</v>
      </c>
    </row>
    <row r="436" spans="2:29" ht="24" x14ac:dyDescent="0.3">
      <c r="B436" s="2" t="str">
        <f>IF(Caja_Finanzas[[#This Row],[TIPO DE R.]]="R",COUNTIFS($D$4:$D435,"R")+1,"")</f>
        <v/>
      </c>
      <c r="C436" s="19" t="str">
        <f t="shared" si="34"/>
        <v>C-Finanzas</v>
      </c>
      <c r="D436" s="3" t="s">
        <v>1101</v>
      </c>
      <c r="E436" s="14">
        <v>45784</v>
      </c>
      <c r="F436" s="5" t="s">
        <v>5948</v>
      </c>
      <c r="G436" s="5"/>
      <c r="H436" s="5"/>
      <c r="I436" s="6"/>
      <c r="J436" s="6"/>
      <c r="K436" s="6"/>
      <c r="L436" s="6"/>
      <c r="M436" s="7" t="s">
        <v>5941</v>
      </c>
      <c r="N436" s="8" t="str">
        <f>"CFI"&amp;".D"&amp;TEXT(Caja_Finanzas[[#This Row],[FECHA]],"DD-MM")&amp;"-"&amp;TEXT(Caja_Finanzas[[#This Row],[ITEM]],"0000")</f>
        <v>CFI.D07-05-</v>
      </c>
      <c r="O436" s="8" t="str">
        <f t="shared" si="35"/>
        <v>PEN</v>
      </c>
      <c r="P436" s="13">
        <v>69</v>
      </c>
      <c r="Q436" s="13"/>
      <c r="R436" s="3">
        <f t="shared" si="31"/>
        <v>0</v>
      </c>
      <c r="S436" s="3">
        <f t="shared" si="32"/>
        <v>0</v>
      </c>
      <c r="T436" s="3">
        <f t="shared" si="33"/>
        <v>23016.699999999993</v>
      </c>
      <c r="U436" s="24"/>
      <c r="V436" s="24"/>
      <c r="W436" s="3"/>
      <c r="X436" s="25"/>
      <c r="Y436" s="25" t="s">
        <v>5956</v>
      </c>
      <c r="Z436" s="25"/>
      <c r="AA436" s="25"/>
      <c r="AB436" s="25"/>
      <c r="AC436" s="3" t="str">
        <f>IF(Caja_Finanzas[[#This Row],[FECHA]]&gt;0,TEXT(Caja_Finanzas[[#This Row],[FECHA]],"mmmm"),0)</f>
        <v>Mayo</v>
      </c>
    </row>
    <row r="437" spans="2:29" ht="24" x14ac:dyDescent="0.3">
      <c r="B437" s="2" t="str">
        <f>IF(Caja_Finanzas[[#This Row],[TIPO DE R.]]="R",COUNTIFS($D$4:$D436,"R")+1,"")</f>
        <v/>
      </c>
      <c r="C437" s="19" t="str">
        <f t="shared" si="34"/>
        <v>C-Finanzas</v>
      </c>
      <c r="D437" s="3" t="s">
        <v>1101</v>
      </c>
      <c r="E437" s="14">
        <v>45784</v>
      </c>
      <c r="F437" s="5" t="s">
        <v>5642</v>
      </c>
      <c r="G437" s="5"/>
      <c r="H437" s="5"/>
      <c r="I437" s="6"/>
      <c r="J437" s="6"/>
      <c r="K437" s="6"/>
      <c r="L437" s="6"/>
      <c r="M437" s="7" t="s">
        <v>5941</v>
      </c>
      <c r="N437" s="8" t="str">
        <f>"CFI"&amp;".D"&amp;TEXT(Caja_Finanzas[[#This Row],[FECHA]],"DD-MM")&amp;"-"&amp;TEXT(Caja_Finanzas[[#This Row],[ITEM]],"0000")</f>
        <v>CFI.D07-05-</v>
      </c>
      <c r="O437" s="8" t="str">
        <f t="shared" si="35"/>
        <v>PEN</v>
      </c>
      <c r="P437" s="13">
        <v>10.5</v>
      </c>
      <c r="Q437" s="13"/>
      <c r="R437" s="3">
        <f t="shared" si="31"/>
        <v>0</v>
      </c>
      <c r="S437" s="3">
        <f t="shared" si="32"/>
        <v>0</v>
      </c>
      <c r="T437" s="3">
        <f t="shared" si="33"/>
        <v>23016.699999999993</v>
      </c>
      <c r="U437" s="24"/>
      <c r="V437" s="24"/>
      <c r="W437" s="3"/>
      <c r="X437" s="25"/>
      <c r="Y437" s="25" t="s">
        <v>5957</v>
      </c>
      <c r="Z437" s="25"/>
      <c r="AA437" s="25"/>
      <c r="AB437" s="25"/>
      <c r="AC437" s="3" t="str">
        <f>IF(Caja_Finanzas[[#This Row],[FECHA]]&gt;0,TEXT(Caja_Finanzas[[#This Row],[FECHA]],"mmmm"),0)</f>
        <v>Mayo</v>
      </c>
    </row>
    <row r="438" spans="2:29" ht="24" x14ac:dyDescent="0.3">
      <c r="B438" s="2" t="str">
        <f>IF(Caja_Finanzas[[#This Row],[TIPO DE R.]]="R",COUNTIFS($D$4:$D437,"R")+1,"")</f>
        <v/>
      </c>
      <c r="C438" s="19" t="str">
        <f t="shared" si="34"/>
        <v>C-Finanzas</v>
      </c>
      <c r="D438" s="3" t="s">
        <v>1101</v>
      </c>
      <c r="E438" s="14">
        <v>45784</v>
      </c>
      <c r="F438" s="5" t="s">
        <v>5407</v>
      </c>
      <c r="G438" s="5"/>
      <c r="H438" s="5"/>
      <c r="I438" s="6"/>
      <c r="J438" s="6"/>
      <c r="K438" s="6"/>
      <c r="L438" s="6"/>
      <c r="M438" s="7" t="s">
        <v>5941</v>
      </c>
      <c r="N438" s="8" t="str">
        <f>"CFI"&amp;".D"&amp;TEXT(Caja_Finanzas[[#This Row],[FECHA]],"DD-MM")&amp;"-"&amp;TEXT(Caja_Finanzas[[#This Row],[ITEM]],"0000")</f>
        <v>CFI.D07-05-</v>
      </c>
      <c r="O438" s="8" t="str">
        <f t="shared" si="35"/>
        <v>PEN</v>
      </c>
      <c r="P438" s="13">
        <v>99.8</v>
      </c>
      <c r="Q438" s="13"/>
      <c r="R438" s="3">
        <f t="shared" si="31"/>
        <v>0</v>
      </c>
      <c r="S438" s="3">
        <f t="shared" si="32"/>
        <v>0</v>
      </c>
      <c r="T438" s="3">
        <f t="shared" si="33"/>
        <v>23016.699999999993</v>
      </c>
      <c r="U438" s="24"/>
      <c r="V438" s="24"/>
      <c r="W438" s="3"/>
      <c r="X438" s="25"/>
      <c r="Y438" s="25" t="s">
        <v>5958</v>
      </c>
      <c r="Z438" s="25"/>
      <c r="AA438" s="25"/>
      <c r="AB438" s="25"/>
      <c r="AC438" s="3" t="str">
        <f>IF(Caja_Finanzas[[#This Row],[FECHA]]&gt;0,TEXT(Caja_Finanzas[[#This Row],[FECHA]],"mmmm"),0)</f>
        <v>Mayo</v>
      </c>
    </row>
    <row r="439" spans="2:29" ht="24" x14ac:dyDescent="0.3">
      <c r="B439" s="2" t="str">
        <f>IF(Caja_Finanzas[[#This Row],[TIPO DE R.]]="R",COUNTIFS($D$4:$D438,"R")+1,"")</f>
        <v/>
      </c>
      <c r="C439" s="19" t="str">
        <f t="shared" si="34"/>
        <v>C-Finanzas</v>
      </c>
      <c r="D439" s="3" t="s">
        <v>1101</v>
      </c>
      <c r="E439" s="14">
        <v>45784</v>
      </c>
      <c r="F439" s="5" t="s">
        <v>5959</v>
      </c>
      <c r="G439" s="5"/>
      <c r="H439" s="5"/>
      <c r="I439" s="6"/>
      <c r="J439" s="6"/>
      <c r="K439" s="6"/>
      <c r="L439" s="6"/>
      <c r="M439" s="7" t="s">
        <v>5941</v>
      </c>
      <c r="N439" s="8" t="str">
        <f>"CFI"&amp;".D"&amp;TEXT(Caja_Finanzas[[#This Row],[FECHA]],"DD-MM")&amp;"-"&amp;TEXT(Caja_Finanzas[[#This Row],[ITEM]],"0000")</f>
        <v>CFI.D07-05-</v>
      </c>
      <c r="O439" s="8" t="str">
        <f t="shared" si="35"/>
        <v>PEN</v>
      </c>
      <c r="P439" s="13">
        <v>7.3</v>
      </c>
      <c r="Q439" s="13"/>
      <c r="R439" s="3">
        <f t="shared" si="31"/>
        <v>0</v>
      </c>
      <c r="S439" s="3">
        <f t="shared" si="32"/>
        <v>0</v>
      </c>
      <c r="T439" s="3">
        <f t="shared" si="33"/>
        <v>23016.699999999993</v>
      </c>
      <c r="U439" s="24"/>
      <c r="V439" s="24"/>
      <c r="W439" s="3"/>
      <c r="X439" s="25"/>
      <c r="Y439" s="25" t="s">
        <v>5960</v>
      </c>
      <c r="Z439" s="25"/>
      <c r="AA439" s="25"/>
      <c r="AB439" s="25"/>
      <c r="AC439" s="3" t="str">
        <f>IF(Caja_Finanzas[[#This Row],[FECHA]]&gt;0,TEXT(Caja_Finanzas[[#This Row],[FECHA]],"mmmm"),0)</f>
        <v>Mayo</v>
      </c>
    </row>
    <row r="440" spans="2:29" ht="24" x14ac:dyDescent="0.3">
      <c r="B440" s="2" t="str">
        <f>IF(Caja_Finanzas[[#This Row],[TIPO DE R.]]="R",COUNTIFS($D$4:$D439,"R")+1,"")</f>
        <v/>
      </c>
      <c r="C440" s="19" t="str">
        <f t="shared" si="34"/>
        <v>C-Finanzas</v>
      </c>
      <c r="D440" s="3" t="s">
        <v>1101</v>
      </c>
      <c r="E440" s="14">
        <v>45784</v>
      </c>
      <c r="F440" s="5" t="s">
        <v>5473</v>
      </c>
      <c r="G440" s="5"/>
      <c r="H440" s="5"/>
      <c r="I440" s="6"/>
      <c r="J440" s="6"/>
      <c r="K440" s="6"/>
      <c r="L440" s="6"/>
      <c r="M440" s="7" t="s">
        <v>5941</v>
      </c>
      <c r="N440" s="8" t="str">
        <f>"CFI"&amp;".D"&amp;TEXT(Caja_Finanzas[[#This Row],[FECHA]],"DD-MM")&amp;"-"&amp;TEXT(Caja_Finanzas[[#This Row],[ITEM]],"0000")</f>
        <v>CFI.D07-05-</v>
      </c>
      <c r="O440" s="8" t="str">
        <f t="shared" si="35"/>
        <v>PEN</v>
      </c>
      <c r="P440" s="13">
        <v>20</v>
      </c>
      <c r="Q440" s="13"/>
      <c r="R440" s="3">
        <f t="shared" si="31"/>
        <v>0</v>
      </c>
      <c r="S440" s="3">
        <f t="shared" si="32"/>
        <v>0</v>
      </c>
      <c r="T440" s="3">
        <f t="shared" si="33"/>
        <v>23016.699999999993</v>
      </c>
      <c r="U440" s="24"/>
      <c r="V440" s="24"/>
      <c r="W440" s="3"/>
      <c r="X440" s="25"/>
      <c r="Y440" s="25" t="s">
        <v>5961</v>
      </c>
      <c r="Z440" s="25"/>
      <c r="AA440" s="25"/>
      <c r="AB440" s="25"/>
      <c r="AC440" s="3" t="str">
        <f>IF(Caja_Finanzas[[#This Row],[FECHA]]&gt;0,TEXT(Caja_Finanzas[[#This Row],[FECHA]],"mmmm"),0)</f>
        <v>Mayo</v>
      </c>
    </row>
    <row r="441" spans="2:29" ht="24" x14ac:dyDescent="0.3">
      <c r="B441" s="2" t="str">
        <f>IF(Caja_Finanzas[[#This Row],[TIPO DE R.]]="R",COUNTIFS($D$4:$D440,"R")+1,"")</f>
        <v/>
      </c>
      <c r="C441" s="19" t="str">
        <f t="shared" si="34"/>
        <v>C-Finanzas</v>
      </c>
      <c r="D441" s="3" t="s">
        <v>1101</v>
      </c>
      <c r="E441" s="14">
        <v>45784</v>
      </c>
      <c r="F441" s="5" t="s">
        <v>5962</v>
      </c>
      <c r="G441" s="5"/>
      <c r="H441" s="5"/>
      <c r="I441" s="6"/>
      <c r="J441" s="6"/>
      <c r="K441" s="6"/>
      <c r="L441" s="6"/>
      <c r="M441" s="7" t="s">
        <v>5941</v>
      </c>
      <c r="N441" s="8" t="str">
        <f>"CFI"&amp;".D"&amp;TEXT(Caja_Finanzas[[#This Row],[FECHA]],"DD-MM")&amp;"-"&amp;TEXT(Caja_Finanzas[[#This Row],[ITEM]],"0000")</f>
        <v>CFI.D07-05-</v>
      </c>
      <c r="O441" s="8" t="str">
        <f t="shared" si="35"/>
        <v>PEN</v>
      </c>
      <c r="P441" s="13">
        <v>15</v>
      </c>
      <c r="Q441" s="13"/>
      <c r="R441" s="3">
        <f t="shared" si="31"/>
        <v>0</v>
      </c>
      <c r="S441" s="3">
        <f t="shared" si="32"/>
        <v>0</v>
      </c>
      <c r="T441" s="3">
        <f t="shared" si="33"/>
        <v>23016.699999999993</v>
      </c>
      <c r="U441" s="24"/>
      <c r="V441" s="24"/>
      <c r="W441" s="3"/>
      <c r="X441" s="25"/>
      <c r="Y441" s="25" t="s">
        <v>5963</v>
      </c>
      <c r="Z441" s="25"/>
      <c r="AA441" s="25"/>
      <c r="AB441" s="25"/>
      <c r="AC441" s="3" t="str">
        <f>IF(Caja_Finanzas[[#This Row],[FECHA]]&gt;0,TEXT(Caja_Finanzas[[#This Row],[FECHA]],"mmmm"),0)</f>
        <v>Mayo</v>
      </c>
    </row>
    <row r="442" spans="2:29" ht="24" x14ac:dyDescent="0.3">
      <c r="B442" s="2" t="str">
        <f>IF(Caja_Finanzas[[#This Row],[TIPO DE R.]]="R",COUNTIFS($D$4:$D441,"R")+1,"")</f>
        <v/>
      </c>
      <c r="C442" s="19" t="str">
        <f t="shared" si="34"/>
        <v>C-Finanzas</v>
      </c>
      <c r="D442" s="3" t="s">
        <v>1101</v>
      </c>
      <c r="E442" s="14">
        <v>45784</v>
      </c>
      <c r="F442" s="5" t="s">
        <v>5954</v>
      </c>
      <c r="G442" s="5"/>
      <c r="H442" s="5"/>
      <c r="I442" s="6"/>
      <c r="J442" s="6"/>
      <c r="K442" s="6"/>
      <c r="L442" s="6"/>
      <c r="M442" s="7" t="s">
        <v>5941</v>
      </c>
      <c r="N442" s="8" t="str">
        <f>"CFI"&amp;".D"&amp;TEXT(Caja_Finanzas[[#This Row],[FECHA]],"DD-MM")&amp;"-"&amp;TEXT(Caja_Finanzas[[#This Row],[ITEM]],"0000")</f>
        <v>CFI.D07-05-</v>
      </c>
      <c r="O442" s="8" t="str">
        <f t="shared" si="35"/>
        <v>PEN</v>
      </c>
      <c r="P442" s="13">
        <v>237.6</v>
      </c>
      <c r="Q442" s="13"/>
      <c r="R442" s="3">
        <f t="shared" si="31"/>
        <v>0</v>
      </c>
      <c r="S442" s="3">
        <f t="shared" si="32"/>
        <v>0</v>
      </c>
      <c r="T442" s="3">
        <f t="shared" si="33"/>
        <v>23016.699999999993</v>
      </c>
      <c r="U442" s="24"/>
      <c r="V442" s="24"/>
      <c r="W442" s="3"/>
      <c r="X442" s="25"/>
      <c r="Y442" s="25" t="s">
        <v>5964</v>
      </c>
      <c r="Z442" s="25"/>
      <c r="AA442" s="25"/>
      <c r="AB442" s="25"/>
      <c r="AC442" s="3" t="str">
        <f>IF(Caja_Finanzas[[#This Row],[FECHA]]&gt;0,TEXT(Caja_Finanzas[[#This Row],[FECHA]],"mmmm"),0)</f>
        <v>Mayo</v>
      </c>
    </row>
    <row r="443" spans="2:29" ht="24" x14ac:dyDescent="0.3">
      <c r="B443" s="2" t="str">
        <f>IF(Caja_Finanzas[[#This Row],[TIPO DE R.]]="R",COUNTIFS($D$4:$D442,"R")+1,"")</f>
        <v/>
      </c>
      <c r="C443" s="19" t="str">
        <f t="shared" si="34"/>
        <v>C-Finanzas</v>
      </c>
      <c r="D443" s="3" t="s">
        <v>1101</v>
      </c>
      <c r="E443" s="14">
        <v>45784</v>
      </c>
      <c r="F443" s="5" t="s">
        <v>3397</v>
      </c>
      <c r="G443" s="5"/>
      <c r="H443" s="5"/>
      <c r="I443" s="6"/>
      <c r="J443" s="6"/>
      <c r="K443" s="6"/>
      <c r="L443" s="6"/>
      <c r="M443" s="7" t="s">
        <v>5941</v>
      </c>
      <c r="N443" s="8" t="str">
        <f>"CFI"&amp;".D"&amp;TEXT(Caja_Finanzas[[#This Row],[FECHA]],"DD-MM")&amp;"-"&amp;TEXT(Caja_Finanzas[[#This Row],[ITEM]],"0000")</f>
        <v>CFI.D07-05-</v>
      </c>
      <c r="O443" s="8" t="str">
        <f t="shared" si="35"/>
        <v>PEN</v>
      </c>
      <c r="P443" s="13">
        <v>131.69999999999999</v>
      </c>
      <c r="Q443" s="13"/>
      <c r="R443" s="3">
        <f t="shared" si="31"/>
        <v>0</v>
      </c>
      <c r="S443" s="3">
        <f t="shared" si="32"/>
        <v>0</v>
      </c>
      <c r="T443" s="3">
        <f t="shared" si="33"/>
        <v>23016.699999999993</v>
      </c>
      <c r="U443" s="24"/>
      <c r="V443" s="24"/>
      <c r="W443" s="3"/>
      <c r="X443" s="25"/>
      <c r="Y443" s="25" t="s">
        <v>5965</v>
      </c>
      <c r="Z443" s="25"/>
      <c r="AA443" s="25"/>
      <c r="AB443" s="25"/>
      <c r="AC443" s="3" t="str">
        <f>IF(Caja_Finanzas[[#This Row],[FECHA]]&gt;0,TEXT(Caja_Finanzas[[#This Row],[FECHA]],"mmmm"),0)</f>
        <v>Mayo</v>
      </c>
    </row>
    <row r="444" spans="2:29" ht="24" x14ac:dyDescent="0.3">
      <c r="B444" s="2" t="str">
        <f>IF(Caja_Finanzas[[#This Row],[TIPO DE R.]]="R",COUNTIFS($D$4:$D443,"R")+1,"")</f>
        <v/>
      </c>
      <c r="C444" s="19" t="str">
        <f t="shared" si="34"/>
        <v>C-Finanzas</v>
      </c>
      <c r="D444" s="3" t="s">
        <v>1101</v>
      </c>
      <c r="E444" s="14">
        <v>45784</v>
      </c>
      <c r="F444" s="5" t="s">
        <v>5962</v>
      </c>
      <c r="G444" s="5"/>
      <c r="H444" s="5"/>
      <c r="I444" s="6"/>
      <c r="J444" s="6"/>
      <c r="K444" s="6"/>
      <c r="L444" s="6"/>
      <c r="M444" s="7" t="s">
        <v>5941</v>
      </c>
      <c r="N444" s="8" t="str">
        <f>"CFI"&amp;".D"&amp;TEXT(Caja_Finanzas[[#This Row],[FECHA]],"DD-MM")&amp;"-"&amp;TEXT(Caja_Finanzas[[#This Row],[ITEM]],"0000")</f>
        <v>CFI.D07-05-</v>
      </c>
      <c r="O444" s="8" t="str">
        <f t="shared" si="35"/>
        <v>PEN</v>
      </c>
      <c r="P444" s="13">
        <v>20.8</v>
      </c>
      <c r="Q444" s="13"/>
      <c r="R444" s="3">
        <f t="shared" si="31"/>
        <v>0</v>
      </c>
      <c r="S444" s="3">
        <f t="shared" si="32"/>
        <v>0</v>
      </c>
      <c r="T444" s="3">
        <f t="shared" si="33"/>
        <v>23016.699999999993</v>
      </c>
      <c r="U444" s="24"/>
      <c r="V444" s="24"/>
      <c r="W444" s="3"/>
      <c r="X444" s="25"/>
      <c r="Y444" s="25" t="s">
        <v>5966</v>
      </c>
      <c r="Z444" s="25"/>
      <c r="AA444" s="25"/>
      <c r="AB444" s="25"/>
      <c r="AC444" s="3" t="str">
        <f>IF(Caja_Finanzas[[#This Row],[FECHA]]&gt;0,TEXT(Caja_Finanzas[[#This Row],[FECHA]],"mmmm"),0)</f>
        <v>Mayo</v>
      </c>
    </row>
    <row r="445" spans="2:29" ht="24" x14ac:dyDescent="0.3">
      <c r="B445" s="2" t="str">
        <f>IF(Caja_Finanzas[[#This Row],[TIPO DE R.]]="R",COUNTIFS($D$4:$D444,"R")+1,"")</f>
        <v/>
      </c>
      <c r="C445" s="19" t="str">
        <f t="shared" si="34"/>
        <v>C-Finanzas</v>
      </c>
      <c r="D445" s="3" t="s">
        <v>1101</v>
      </c>
      <c r="E445" s="14">
        <v>45784</v>
      </c>
      <c r="F445" s="5" t="s">
        <v>5962</v>
      </c>
      <c r="G445" s="5"/>
      <c r="H445" s="5"/>
      <c r="I445" s="6"/>
      <c r="J445" s="6"/>
      <c r="K445" s="6"/>
      <c r="L445" s="6"/>
      <c r="M445" s="7" t="s">
        <v>5941</v>
      </c>
      <c r="N445" s="8" t="str">
        <f>"CFI"&amp;".D"&amp;TEXT(Caja_Finanzas[[#This Row],[FECHA]],"DD-MM")&amp;"-"&amp;TEXT(Caja_Finanzas[[#This Row],[ITEM]],"0000")</f>
        <v>CFI.D07-05-</v>
      </c>
      <c r="O445" s="8" t="str">
        <f t="shared" si="35"/>
        <v>PEN</v>
      </c>
      <c r="P445" s="13">
        <v>38.5</v>
      </c>
      <c r="Q445" s="13"/>
      <c r="R445" s="3">
        <f t="shared" si="31"/>
        <v>0</v>
      </c>
      <c r="S445" s="3">
        <f t="shared" si="32"/>
        <v>0</v>
      </c>
      <c r="T445" s="3">
        <f t="shared" si="33"/>
        <v>23016.699999999993</v>
      </c>
      <c r="U445" s="24"/>
      <c r="V445" s="24"/>
      <c r="W445" s="3"/>
      <c r="X445" s="25"/>
      <c r="Y445" s="25" t="s">
        <v>5967</v>
      </c>
      <c r="Z445" s="25"/>
      <c r="AA445" s="25"/>
      <c r="AB445" s="25"/>
      <c r="AC445" s="3" t="str">
        <f>IF(Caja_Finanzas[[#This Row],[FECHA]]&gt;0,TEXT(Caja_Finanzas[[#This Row],[FECHA]],"mmmm"),0)</f>
        <v>Mayo</v>
      </c>
    </row>
    <row r="446" spans="2:29" x14ac:dyDescent="0.3">
      <c r="B446" s="2" t="str">
        <f>IF(Caja_Finanzas[[#This Row],[TIPO DE R.]]="R",COUNTIFS($D$4:$D445,"R")+1,"")</f>
        <v/>
      </c>
      <c r="C446" s="19" t="str">
        <f t="shared" si="34"/>
        <v>C-Finanzas</v>
      </c>
      <c r="D446" s="3" t="s">
        <v>1101</v>
      </c>
      <c r="E446" s="14">
        <v>45784</v>
      </c>
      <c r="F446" s="5"/>
      <c r="G446" s="5"/>
      <c r="H446" s="5"/>
      <c r="I446" s="6"/>
      <c r="J446" s="6"/>
      <c r="K446" s="6"/>
      <c r="L446" s="6"/>
      <c r="M446" s="7" t="s">
        <v>5968</v>
      </c>
      <c r="N446" s="8" t="str">
        <f>"CFI"&amp;".D"&amp;TEXT(Caja_Finanzas[[#This Row],[FECHA]],"DD-MM")&amp;"-"&amp;TEXT(Caja_Finanzas[[#This Row],[ITEM]],"0000")</f>
        <v>CFI.D07-05-</v>
      </c>
      <c r="O446" s="8" t="str">
        <f t="shared" si="35"/>
        <v>PEN</v>
      </c>
      <c r="P446" s="13">
        <v>250</v>
      </c>
      <c r="Q446" s="13"/>
      <c r="R446" s="3">
        <f t="shared" si="31"/>
        <v>0</v>
      </c>
      <c r="S446" s="3">
        <f t="shared" si="32"/>
        <v>0</v>
      </c>
      <c r="T446" s="3">
        <f t="shared" si="33"/>
        <v>23016.699999999993</v>
      </c>
      <c r="U446" s="24"/>
      <c r="V446" s="24"/>
      <c r="W446" s="3"/>
      <c r="X446" s="25"/>
      <c r="Y446" s="25"/>
      <c r="Z446" s="25"/>
      <c r="AA446" s="25"/>
      <c r="AB446" s="25"/>
      <c r="AC446" s="3" t="str">
        <f>IF(Caja_Finanzas[[#This Row],[FECHA]]&gt;0,TEXT(Caja_Finanzas[[#This Row],[FECHA]],"mmmm"),0)</f>
        <v>Mayo</v>
      </c>
    </row>
    <row r="447" spans="2:29" x14ac:dyDescent="0.3">
      <c r="B447" s="2" t="str">
        <f>IF(Caja_Finanzas[[#This Row],[TIPO DE R.]]="R",COUNTIFS($D$4:$D446,"R")+1,"")</f>
        <v/>
      </c>
      <c r="C447" s="19" t="str">
        <f t="shared" si="34"/>
        <v>C-Finanzas</v>
      </c>
      <c r="D447" s="3" t="s">
        <v>1101</v>
      </c>
      <c r="E447" s="14">
        <v>45784</v>
      </c>
      <c r="F447" s="5"/>
      <c r="G447" s="5"/>
      <c r="H447" s="5"/>
      <c r="I447" s="6"/>
      <c r="J447" s="6"/>
      <c r="K447" s="6"/>
      <c r="L447" s="6"/>
      <c r="M447" s="7" t="s">
        <v>5969</v>
      </c>
      <c r="N447" s="8" t="str">
        <f>"CFI"&amp;".D"&amp;TEXT(Caja_Finanzas[[#This Row],[FECHA]],"DD-MM")&amp;"-"&amp;TEXT(Caja_Finanzas[[#This Row],[ITEM]],"0000")</f>
        <v>CFI.D07-05-</v>
      </c>
      <c r="O447" s="8" t="str">
        <f t="shared" si="35"/>
        <v>PEN</v>
      </c>
      <c r="P447" s="13">
        <v>15</v>
      </c>
      <c r="Q447" s="13"/>
      <c r="R447" s="3">
        <f t="shared" si="31"/>
        <v>0</v>
      </c>
      <c r="S447" s="3">
        <f t="shared" si="32"/>
        <v>0</v>
      </c>
      <c r="T447" s="3">
        <f t="shared" si="33"/>
        <v>23016.699999999993</v>
      </c>
      <c r="U447" s="24"/>
      <c r="V447" s="24"/>
      <c r="W447" s="3"/>
      <c r="X447" s="25"/>
      <c r="Y447" s="25"/>
      <c r="Z447" s="25"/>
      <c r="AA447" s="25"/>
      <c r="AB447" s="25"/>
      <c r="AC447" s="3" t="str">
        <f>IF(Caja_Finanzas[[#This Row],[FECHA]]&gt;0,TEXT(Caja_Finanzas[[#This Row],[FECHA]],"mmmm"),0)</f>
        <v>Mayo</v>
      </c>
    </row>
    <row r="448" spans="2:29" ht="24" x14ac:dyDescent="0.3">
      <c r="B448" s="2">
        <f>IF(Caja_Finanzas[[#This Row],[TIPO DE R.]]="R",COUNTIFS($D$4:$D447,"R")+1,"")</f>
        <v>412</v>
      </c>
      <c r="C448" s="19" t="str">
        <f t="shared" si="34"/>
        <v>C-Finanzas</v>
      </c>
      <c r="D448" s="3" t="s">
        <v>1074</v>
      </c>
      <c r="E448" s="14">
        <v>45784</v>
      </c>
      <c r="F448" s="5" t="s">
        <v>2906</v>
      </c>
      <c r="G448" s="5" t="s">
        <v>1087</v>
      </c>
      <c r="H448" s="5"/>
      <c r="I448" s="6"/>
      <c r="J448" s="6"/>
      <c r="K448" s="6"/>
      <c r="L448" s="6"/>
      <c r="M448" s="7" t="s">
        <v>5156</v>
      </c>
      <c r="N448" s="8" t="str">
        <f>"CFI"&amp;".D"&amp;TEXT(Caja_Finanzas[[#This Row],[FECHA]],"DD-MM")&amp;"-"&amp;TEXT(Caja_Finanzas[[#This Row],[ITEM]],"0000")</f>
        <v>CFI.D07-05-0412</v>
      </c>
      <c r="O448" s="8" t="str">
        <f t="shared" si="35"/>
        <v>PEN</v>
      </c>
      <c r="P448" s="13"/>
      <c r="Q448" s="13">
        <v>1841.2</v>
      </c>
      <c r="R448" s="3">
        <f t="shared" si="31"/>
        <v>1841.2</v>
      </c>
      <c r="S448" s="3">
        <f t="shared" si="32"/>
        <v>0</v>
      </c>
      <c r="T448" s="3">
        <f t="shared" si="33"/>
        <v>24857.899999999994</v>
      </c>
      <c r="U448" s="24"/>
      <c r="V448" s="24"/>
      <c r="W448" s="3"/>
      <c r="X448" s="25"/>
      <c r="Y448" s="25" t="s">
        <v>5970</v>
      </c>
      <c r="Z448" s="25"/>
      <c r="AA448" s="25"/>
      <c r="AB448" s="25"/>
      <c r="AC448" s="3" t="str">
        <f>IF(Caja_Finanzas[[#This Row],[FECHA]]&gt;0,TEXT(Caja_Finanzas[[#This Row],[FECHA]],"mmmm"),0)</f>
        <v>Mayo</v>
      </c>
    </row>
    <row r="449" spans="2:29" ht="24" x14ac:dyDescent="0.3">
      <c r="B449" s="2">
        <f>IF(Caja_Finanzas[[#This Row],[TIPO DE R.]]="R",COUNTIFS($D$4:$D448,"R")+1,"")</f>
        <v>413</v>
      </c>
      <c r="C449" s="19" t="str">
        <f t="shared" si="34"/>
        <v>C-Finanzas</v>
      </c>
      <c r="D449" s="3" t="s">
        <v>1074</v>
      </c>
      <c r="E449" s="14">
        <v>45784</v>
      </c>
      <c r="F449" s="5" t="s">
        <v>2906</v>
      </c>
      <c r="G449" s="5" t="s">
        <v>1087</v>
      </c>
      <c r="H449" s="5"/>
      <c r="I449" s="6"/>
      <c r="J449" s="6"/>
      <c r="K449" s="6"/>
      <c r="L449" s="6"/>
      <c r="M449" s="7" t="s">
        <v>5156</v>
      </c>
      <c r="N449" s="8" t="str">
        <f>"CFI"&amp;".D"&amp;TEXT(Caja_Finanzas[[#This Row],[FECHA]],"DD-MM")&amp;"-"&amp;TEXT(Caja_Finanzas[[#This Row],[ITEM]],"0000")</f>
        <v>CFI.D07-05-0413</v>
      </c>
      <c r="O449" s="8" t="str">
        <f t="shared" si="35"/>
        <v>PEN</v>
      </c>
      <c r="P449" s="13"/>
      <c r="Q449" s="13">
        <v>187</v>
      </c>
      <c r="R449" s="3">
        <f t="shared" si="31"/>
        <v>187</v>
      </c>
      <c r="S449" s="3">
        <f t="shared" si="32"/>
        <v>0</v>
      </c>
      <c r="T449" s="3">
        <f t="shared" si="33"/>
        <v>25044.899999999994</v>
      </c>
      <c r="U449" s="24"/>
      <c r="V449" s="24"/>
      <c r="W449" s="3"/>
      <c r="X449" s="25"/>
      <c r="Y449" s="25" t="s">
        <v>5971</v>
      </c>
      <c r="Z449" s="25"/>
      <c r="AA449" s="25"/>
      <c r="AB449" s="25"/>
      <c r="AC449" s="3" t="str">
        <f>IF(Caja_Finanzas[[#This Row],[FECHA]]&gt;0,TEXT(Caja_Finanzas[[#This Row],[FECHA]],"mmmm"),0)</f>
        <v>Mayo</v>
      </c>
    </row>
    <row r="450" spans="2:29" ht="24" x14ac:dyDescent="0.3">
      <c r="B450" s="2">
        <f>IF(Caja_Finanzas[[#This Row],[TIPO DE R.]]="R",COUNTIFS($D$4:$D449,"R")+1,"")</f>
        <v>414</v>
      </c>
      <c r="C450" s="19" t="str">
        <f t="shared" si="34"/>
        <v>C-Finanzas</v>
      </c>
      <c r="D450" s="3" t="s">
        <v>1074</v>
      </c>
      <c r="E450" s="14">
        <v>45784</v>
      </c>
      <c r="F450" s="5" t="s">
        <v>5972</v>
      </c>
      <c r="G450" s="5" t="s">
        <v>1087</v>
      </c>
      <c r="H450" s="5"/>
      <c r="I450" s="6"/>
      <c r="J450" s="6"/>
      <c r="K450" s="6"/>
      <c r="L450" s="6"/>
      <c r="M450" s="7" t="s">
        <v>5156</v>
      </c>
      <c r="N450" s="8" t="str">
        <f>"CFI"&amp;".D"&amp;TEXT(Caja_Finanzas[[#This Row],[FECHA]],"DD-MM")&amp;"-"&amp;TEXT(Caja_Finanzas[[#This Row],[ITEM]],"0000")</f>
        <v>CFI.D07-05-0414</v>
      </c>
      <c r="O450" s="8" t="str">
        <f t="shared" si="35"/>
        <v>PEN</v>
      </c>
      <c r="P450" s="13"/>
      <c r="Q450" s="13">
        <v>3206</v>
      </c>
      <c r="R450" s="3">
        <f t="shared" si="31"/>
        <v>3206</v>
      </c>
      <c r="S450" s="3">
        <f t="shared" si="32"/>
        <v>0</v>
      </c>
      <c r="T450" s="3">
        <f t="shared" si="33"/>
        <v>28250.899999999994</v>
      </c>
      <c r="U450" s="24"/>
      <c r="V450" s="24"/>
      <c r="W450" s="3"/>
      <c r="X450" s="25"/>
      <c r="Y450" s="25" t="s">
        <v>5973</v>
      </c>
      <c r="Z450" s="25"/>
      <c r="AA450" s="25"/>
      <c r="AB450" s="25"/>
      <c r="AC450" s="3" t="str">
        <f>IF(Caja_Finanzas[[#This Row],[FECHA]]&gt;0,TEXT(Caja_Finanzas[[#This Row],[FECHA]],"mmmm"),0)</f>
        <v>Mayo</v>
      </c>
    </row>
    <row r="451" spans="2:29" ht="36" x14ac:dyDescent="0.3">
      <c r="B451" s="2">
        <f>IF(Caja_Finanzas[[#This Row],[TIPO DE R.]]="R",COUNTIFS($D$4:$D450,"R")+1,"")</f>
        <v>415</v>
      </c>
      <c r="C451" s="19" t="str">
        <f t="shared" si="34"/>
        <v>C-Finanzas</v>
      </c>
      <c r="D451" s="3" t="s">
        <v>1074</v>
      </c>
      <c r="E451" s="14">
        <v>45785</v>
      </c>
      <c r="F451" s="5" t="s">
        <v>5827</v>
      </c>
      <c r="G451" s="5" t="s">
        <v>1079</v>
      </c>
      <c r="H451" s="5"/>
      <c r="I451" s="6"/>
      <c r="J451" s="6"/>
      <c r="K451" s="6"/>
      <c r="L451" s="6"/>
      <c r="M451" s="7" t="s">
        <v>5974</v>
      </c>
      <c r="N451" s="8" t="str">
        <f>"CFI"&amp;".D"&amp;TEXT(Caja_Finanzas[[#This Row],[FECHA]],"DD-MM")&amp;"-"&amp;TEXT(Caja_Finanzas[[#This Row],[ITEM]],"0000")</f>
        <v>CFI.D08-05-0415</v>
      </c>
      <c r="O451" s="8" t="str">
        <f t="shared" si="35"/>
        <v>PEN</v>
      </c>
      <c r="P451" s="13"/>
      <c r="Q451" s="13">
        <v>180</v>
      </c>
      <c r="R451" s="3">
        <f t="shared" si="31"/>
        <v>0</v>
      </c>
      <c r="S451" s="3">
        <f t="shared" si="32"/>
        <v>180</v>
      </c>
      <c r="T451" s="3">
        <f t="shared" si="33"/>
        <v>28070.899999999994</v>
      </c>
      <c r="U451" s="24"/>
      <c r="V451" s="24"/>
      <c r="W451" s="3"/>
      <c r="X451" s="25" t="s">
        <v>5596</v>
      </c>
      <c r="Y451" s="25" t="s">
        <v>5975</v>
      </c>
      <c r="Z451" s="25"/>
      <c r="AA451" s="25"/>
      <c r="AB451" s="25"/>
      <c r="AC451" s="3" t="str">
        <f>IF(Caja_Finanzas[[#This Row],[FECHA]]&gt;0,TEXT(Caja_Finanzas[[#This Row],[FECHA]],"mmmm"),0)</f>
        <v>Mayo</v>
      </c>
    </row>
    <row r="452" spans="2:29" ht="24" x14ac:dyDescent="0.3">
      <c r="B452" s="2">
        <f>IF(Caja_Finanzas[[#This Row],[TIPO DE R.]]="R",COUNTIFS($D$4:$D451,"R")+1,"")</f>
        <v>416</v>
      </c>
      <c r="C452" s="19" t="str">
        <f t="shared" si="34"/>
        <v>C-Finanzas</v>
      </c>
      <c r="D452" s="3" t="s">
        <v>1074</v>
      </c>
      <c r="E452" s="14">
        <v>45785</v>
      </c>
      <c r="F452" s="5" t="s">
        <v>5443</v>
      </c>
      <c r="G452" s="5" t="s">
        <v>1079</v>
      </c>
      <c r="H452" s="5"/>
      <c r="I452" s="6"/>
      <c r="J452" s="6"/>
      <c r="K452" s="6"/>
      <c r="L452" s="6"/>
      <c r="M452" s="7" t="s">
        <v>5976</v>
      </c>
      <c r="N452" s="8" t="str">
        <f>"CFI"&amp;".D"&amp;TEXT(Caja_Finanzas[[#This Row],[FECHA]],"DD-MM")&amp;"-"&amp;TEXT(Caja_Finanzas[[#This Row],[ITEM]],"0000")</f>
        <v>CFI.D08-05-0416</v>
      </c>
      <c r="O452" s="8" t="str">
        <f t="shared" si="35"/>
        <v>PEN</v>
      </c>
      <c r="P452" s="13"/>
      <c r="Q452" s="13">
        <v>144.6</v>
      </c>
      <c r="R452" s="3">
        <f t="shared" si="31"/>
        <v>0</v>
      </c>
      <c r="S452" s="3">
        <f t="shared" si="32"/>
        <v>144.6</v>
      </c>
      <c r="T452" s="3">
        <f t="shared" si="33"/>
        <v>27926.299999999996</v>
      </c>
      <c r="U452" s="24"/>
      <c r="V452" s="24"/>
      <c r="W452" s="3"/>
      <c r="X452" s="25" t="s">
        <v>5354</v>
      </c>
      <c r="Y452" s="25" t="s">
        <v>5977</v>
      </c>
      <c r="Z452" s="25"/>
      <c r="AA452" s="25"/>
      <c r="AB452" s="25"/>
      <c r="AC452" s="3" t="str">
        <f>IF(Caja_Finanzas[[#This Row],[FECHA]]&gt;0,TEXT(Caja_Finanzas[[#This Row],[FECHA]],"mmmm"),0)</f>
        <v>Mayo</v>
      </c>
    </row>
    <row r="453" spans="2:29" ht="24" x14ac:dyDescent="0.3">
      <c r="B453" s="2">
        <f>IF(Caja_Finanzas[[#This Row],[TIPO DE R.]]="R",COUNTIFS($D$4:$D452,"R")+1,"")</f>
        <v>417</v>
      </c>
      <c r="C453" s="19" t="str">
        <f t="shared" si="34"/>
        <v>C-Finanzas</v>
      </c>
      <c r="D453" s="3" t="s">
        <v>1074</v>
      </c>
      <c r="E453" s="14">
        <v>45785</v>
      </c>
      <c r="F453" s="5" t="s">
        <v>1745</v>
      </c>
      <c r="G453" s="5" t="s">
        <v>1087</v>
      </c>
      <c r="H453" s="5"/>
      <c r="I453" s="6"/>
      <c r="J453" s="6"/>
      <c r="K453" s="6"/>
      <c r="L453" s="6"/>
      <c r="M453" s="7" t="s">
        <v>5156</v>
      </c>
      <c r="N453" s="8" t="str">
        <f>"CFI"&amp;".D"&amp;TEXT(Caja_Finanzas[[#This Row],[FECHA]],"DD-MM")&amp;"-"&amp;TEXT(Caja_Finanzas[[#This Row],[ITEM]],"0000")</f>
        <v>CFI.D08-05-0417</v>
      </c>
      <c r="O453" s="8" t="str">
        <f t="shared" si="35"/>
        <v>PEN</v>
      </c>
      <c r="P453" s="13"/>
      <c r="Q453" s="13">
        <v>6132</v>
      </c>
      <c r="R453" s="3">
        <f t="shared" ref="R453:R516" si="36">+IF(OR($G453="SALDO",$G453="INGRESO"),$Q453,0)</f>
        <v>6132</v>
      </c>
      <c r="S453" s="3">
        <f t="shared" ref="S453:S516" si="37">+IF($G453="EGRESO",$Q453,0)</f>
        <v>0</v>
      </c>
      <c r="T453" s="3">
        <f t="shared" ref="T453:T516" si="38">IFERROR(IF(G453="SALDO",R453,T452+R453-S453),0)</f>
        <v>34058.299999999996</v>
      </c>
      <c r="U453" s="24"/>
      <c r="V453" s="24"/>
      <c r="W453" s="3"/>
      <c r="X453" s="25"/>
      <c r="Y453" s="25" t="s">
        <v>5978</v>
      </c>
      <c r="Z453" s="25"/>
      <c r="AA453" s="25"/>
      <c r="AB453" s="25"/>
      <c r="AC453" s="3" t="str">
        <f>IF(Caja_Finanzas[[#This Row],[FECHA]]&gt;0,TEXT(Caja_Finanzas[[#This Row],[FECHA]],"mmmm"),0)</f>
        <v>Mayo</v>
      </c>
    </row>
    <row r="454" spans="2:29" x14ac:dyDescent="0.3">
      <c r="B454" s="2">
        <f>IF(Caja_Finanzas[[#This Row],[TIPO DE R.]]="R",COUNTIFS($D$4:$D453,"R")+1,"")</f>
        <v>418</v>
      </c>
      <c r="C454" s="19" t="str">
        <f t="shared" ref="C454:C517" si="39">"C-Finanzas"</f>
        <v>C-Finanzas</v>
      </c>
      <c r="D454" s="3" t="s">
        <v>1074</v>
      </c>
      <c r="E454" s="14">
        <v>45785</v>
      </c>
      <c r="F454" s="5" t="s">
        <v>2518</v>
      </c>
      <c r="G454" s="5" t="s">
        <v>1087</v>
      </c>
      <c r="H454" s="5"/>
      <c r="I454" s="6"/>
      <c r="J454" s="6"/>
      <c r="K454" s="6"/>
      <c r="L454" s="6"/>
      <c r="M454" s="7" t="s">
        <v>5156</v>
      </c>
      <c r="N454" s="8" t="str">
        <f>"CFI"&amp;".D"&amp;TEXT(Caja_Finanzas[[#This Row],[FECHA]],"DD-MM")&amp;"-"&amp;TEXT(Caja_Finanzas[[#This Row],[ITEM]],"0000")</f>
        <v>CFI.D08-05-0418</v>
      </c>
      <c r="O454" s="8" t="str">
        <f t="shared" ref="O454:O517" si="40">"PEN"</f>
        <v>PEN</v>
      </c>
      <c r="P454" s="13"/>
      <c r="Q454" s="13">
        <v>60</v>
      </c>
      <c r="R454" s="3">
        <f t="shared" si="36"/>
        <v>60</v>
      </c>
      <c r="S454" s="3">
        <f t="shared" si="37"/>
        <v>0</v>
      </c>
      <c r="T454" s="3">
        <f t="shared" si="38"/>
        <v>34118.299999999996</v>
      </c>
      <c r="U454" s="24"/>
      <c r="V454" s="24"/>
      <c r="W454" s="3"/>
      <c r="X454" s="25"/>
      <c r="Y454" s="25" t="s">
        <v>5979</v>
      </c>
      <c r="Z454" s="25"/>
      <c r="AA454" s="25"/>
      <c r="AB454" s="25"/>
      <c r="AC454" s="3" t="str">
        <f>IF(Caja_Finanzas[[#This Row],[FECHA]]&gt;0,TEXT(Caja_Finanzas[[#This Row],[FECHA]],"mmmm"),0)</f>
        <v>Mayo</v>
      </c>
    </row>
    <row r="455" spans="2:29" ht="24" x14ac:dyDescent="0.3">
      <c r="B455" s="2">
        <f>IF(Caja_Finanzas[[#This Row],[TIPO DE R.]]="R",COUNTIFS($D$4:$D454,"R")+1,"")</f>
        <v>419</v>
      </c>
      <c r="C455" s="19" t="str">
        <f t="shared" si="39"/>
        <v>C-Finanzas</v>
      </c>
      <c r="D455" s="3" t="s">
        <v>1074</v>
      </c>
      <c r="E455" s="14">
        <v>45785</v>
      </c>
      <c r="F455" s="5" t="s">
        <v>2226</v>
      </c>
      <c r="G455" s="5" t="s">
        <v>1087</v>
      </c>
      <c r="H455" s="5"/>
      <c r="I455" s="6"/>
      <c r="J455" s="6"/>
      <c r="K455" s="6"/>
      <c r="L455" s="6"/>
      <c r="M455" s="7" t="s">
        <v>5156</v>
      </c>
      <c r="N455" s="8" t="str">
        <f>"CFI"&amp;".D"&amp;TEXT(Caja_Finanzas[[#This Row],[FECHA]],"DD-MM")&amp;"-"&amp;TEXT(Caja_Finanzas[[#This Row],[ITEM]],"0000")</f>
        <v>CFI.D08-05-0419</v>
      </c>
      <c r="O455" s="8" t="str">
        <f t="shared" si="40"/>
        <v>PEN</v>
      </c>
      <c r="P455" s="13"/>
      <c r="Q455" s="13">
        <v>360</v>
      </c>
      <c r="R455" s="3">
        <f t="shared" si="36"/>
        <v>360</v>
      </c>
      <c r="S455" s="3">
        <f t="shared" si="37"/>
        <v>0</v>
      </c>
      <c r="T455" s="3">
        <f t="shared" si="38"/>
        <v>34478.299999999996</v>
      </c>
      <c r="U455" s="24"/>
      <c r="V455" s="24"/>
      <c r="W455" s="3"/>
      <c r="X455" s="25"/>
      <c r="Y455" s="25" t="s">
        <v>5980</v>
      </c>
      <c r="Z455" s="25"/>
      <c r="AA455" s="25"/>
      <c r="AB455" s="25"/>
      <c r="AC455" s="3" t="str">
        <f>IF(Caja_Finanzas[[#This Row],[FECHA]]&gt;0,TEXT(Caja_Finanzas[[#This Row],[FECHA]],"mmmm"),0)</f>
        <v>Mayo</v>
      </c>
    </row>
    <row r="456" spans="2:29" ht="36" x14ac:dyDescent="0.3">
      <c r="B456" s="2">
        <f>IF(Caja_Finanzas[[#This Row],[TIPO DE R.]]="R",COUNTIFS($D$4:$D455,"R")+1,"")</f>
        <v>420</v>
      </c>
      <c r="C456" s="19" t="str">
        <f t="shared" si="39"/>
        <v>C-Finanzas</v>
      </c>
      <c r="D456" s="3" t="s">
        <v>1074</v>
      </c>
      <c r="E456" s="14">
        <v>45786</v>
      </c>
      <c r="F456" s="5" t="s">
        <v>5307</v>
      </c>
      <c r="G456" s="5" t="s">
        <v>1079</v>
      </c>
      <c r="H456" s="5"/>
      <c r="I456" s="6"/>
      <c r="J456" s="6"/>
      <c r="K456" s="6"/>
      <c r="L456" s="6"/>
      <c r="M456" s="7" t="s">
        <v>5981</v>
      </c>
      <c r="N456" s="8" t="str">
        <f>"CFI"&amp;".D"&amp;TEXT(Caja_Finanzas[[#This Row],[FECHA]],"DD-MM")&amp;"-"&amp;TEXT(Caja_Finanzas[[#This Row],[ITEM]],"0000")</f>
        <v>CFI.D09-05-0420</v>
      </c>
      <c r="O456" s="8" t="str">
        <f t="shared" si="40"/>
        <v>PEN</v>
      </c>
      <c r="P456" s="13"/>
      <c r="Q456" s="13">
        <v>520</v>
      </c>
      <c r="R456" s="3">
        <f t="shared" si="36"/>
        <v>0</v>
      </c>
      <c r="S456" s="3">
        <f t="shared" si="37"/>
        <v>520</v>
      </c>
      <c r="T456" s="3">
        <f t="shared" si="38"/>
        <v>33958.299999999996</v>
      </c>
      <c r="U456" s="24"/>
      <c r="V456" s="24"/>
      <c r="W456" s="3"/>
      <c r="X456" s="25" t="s">
        <v>5741</v>
      </c>
      <c r="Y456" s="25" t="s">
        <v>5982</v>
      </c>
      <c r="Z456" s="25"/>
      <c r="AA456" s="25"/>
      <c r="AB456" s="25"/>
      <c r="AC456" s="3" t="str">
        <f>IF(Caja_Finanzas[[#This Row],[FECHA]]&gt;0,TEXT(Caja_Finanzas[[#This Row],[FECHA]],"mmmm"),0)</f>
        <v>Mayo</v>
      </c>
    </row>
    <row r="457" spans="2:29" ht="36" x14ac:dyDescent="0.3">
      <c r="B457" s="2">
        <f>IF(Caja_Finanzas[[#This Row],[TIPO DE R.]]="R",COUNTIFS($D$4:$D456,"R")+1,"")</f>
        <v>421</v>
      </c>
      <c r="C457" s="19" t="str">
        <f t="shared" si="39"/>
        <v>C-Finanzas</v>
      </c>
      <c r="D457" s="3" t="s">
        <v>1074</v>
      </c>
      <c r="E457" s="14">
        <v>45786</v>
      </c>
      <c r="F457" s="5" t="s">
        <v>3532</v>
      </c>
      <c r="G457" s="5" t="s">
        <v>1079</v>
      </c>
      <c r="H457" s="5"/>
      <c r="I457" s="6"/>
      <c r="J457" s="6"/>
      <c r="K457" s="6"/>
      <c r="L457" s="6"/>
      <c r="M457" s="7" t="s">
        <v>5983</v>
      </c>
      <c r="N457" s="8" t="str">
        <f>"CFI"&amp;".D"&amp;TEXT(Caja_Finanzas[[#This Row],[FECHA]],"DD-MM")&amp;"-"&amp;TEXT(Caja_Finanzas[[#This Row],[ITEM]],"0000")</f>
        <v>CFI.D09-05-0421</v>
      </c>
      <c r="O457" s="8" t="str">
        <f t="shared" si="40"/>
        <v>PEN</v>
      </c>
      <c r="P457" s="13"/>
      <c r="Q457" s="13">
        <v>1500</v>
      </c>
      <c r="R457" s="3">
        <f t="shared" si="36"/>
        <v>0</v>
      </c>
      <c r="S457" s="3">
        <f t="shared" si="37"/>
        <v>1500</v>
      </c>
      <c r="T457" s="3">
        <f t="shared" si="38"/>
        <v>32458.299999999996</v>
      </c>
      <c r="U457" s="24"/>
      <c r="V457" s="24"/>
      <c r="W457" s="3"/>
      <c r="X457" s="25" t="s">
        <v>5847</v>
      </c>
      <c r="Y457" s="25" t="s">
        <v>5984</v>
      </c>
      <c r="Z457" s="25"/>
      <c r="AA457" s="25"/>
      <c r="AB457" s="25"/>
      <c r="AC457" s="3" t="str">
        <f>IF(Caja_Finanzas[[#This Row],[FECHA]]&gt;0,TEXT(Caja_Finanzas[[#This Row],[FECHA]],"mmmm"),0)</f>
        <v>Mayo</v>
      </c>
    </row>
    <row r="458" spans="2:29" ht="24" x14ac:dyDescent="0.3">
      <c r="B458" s="2">
        <f>IF(Caja_Finanzas[[#This Row],[TIPO DE R.]]="R",COUNTIFS($D$4:$D457,"R")+1,"")</f>
        <v>422</v>
      </c>
      <c r="C458" s="19" t="str">
        <f t="shared" si="39"/>
        <v>C-Finanzas</v>
      </c>
      <c r="D458" s="3" t="s">
        <v>1074</v>
      </c>
      <c r="E458" s="14">
        <v>45789</v>
      </c>
      <c r="F458" s="5" t="s">
        <v>5618</v>
      </c>
      <c r="G458" s="5" t="s">
        <v>1079</v>
      </c>
      <c r="H458" s="5"/>
      <c r="I458" s="6"/>
      <c r="J458" s="6"/>
      <c r="K458" s="6"/>
      <c r="L458" s="6"/>
      <c r="M458" s="7" t="s">
        <v>5985</v>
      </c>
      <c r="N458" s="8" t="str">
        <f>"CFI"&amp;".D"&amp;TEXT(Caja_Finanzas[[#This Row],[FECHA]],"DD-MM")&amp;"-"&amp;TEXT(Caja_Finanzas[[#This Row],[ITEM]],"0000")</f>
        <v>CFI.D12-05-0422</v>
      </c>
      <c r="O458" s="8" t="str">
        <f t="shared" si="40"/>
        <v>PEN</v>
      </c>
      <c r="P458" s="13"/>
      <c r="Q458" s="13">
        <v>10</v>
      </c>
      <c r="R458" s="3">
        <f t="shared" si="36"/>
        <v>0</v>
      </c>
      <c r="S458" s="3">
        <f t="shared" si="37"/>
        <v>10</v>
      </c>
      <c r="T458" s="3">
        <f t="shared" si="38"/>
        <v>32448.299999999996</v>
      </c>
      <c r="U458" s="24"/>
      <c r="V458" s="24"/>
      <c r="W458" s="3"/>
      <c r="X458" s="25" t="s">
        <v>5596</v>
      </c>
      <c r="Y458" s="25" t="s">
        <v>5986</v>
      </c>
      <c r="Z458" s="25"/>
      <c r="AA458" s="25"/>
      <c r="AB458" s="25"/>
      <c r="AC458" s="3" t="str">
        <f>IF(Caja_Finanzas[[#This Row],[FECHA]]&gt;0,TEXT(Caja_Finanzas[[#This Row],[FECHA]],"mmmm"),0)</f>
        <v>Mayo</v>
      </c>
    </row>
    <row r="459" spans="2:29" ht="24" x14ac:dyDescent="0.3">
      <c r="B459" s="2">
        <f>IF(Caja_Finanzas[[#This Row],[TIPO DE R.]]="R",COUNTIFS($D$4:$D458,"R")+1,"")</f>
        <v>423</v>
      </c>
      <c r="C459" s="19" t="str">
        <f t="shared" si="39"/>
        <v>C-Finanzas</v>
      </c>
      <c r="D459" s="3" t="s">
        <v>1074</v>
      </c>
      <c r="E459" s="14">
        <v>45793</v>
      </c>
      <c r="F459" s="5" t="s">
        <v>5305</v>
      </c>
      <c r="G459" s="5" t="s">
        <v>1079</v>
      </c>
      <c r="H459" s="5"/>
      <c r="I459" s="6"/>
      <c r="J459" s="6"/>
      <c r="K459" s="6"/>
      <c r="L459" s="6"/>
      <c r="M459" s="7" t="s">
        <v>5987</v>
      </c>
      <c r="N459" s="8" t="str">
        <f>"CFI"&amp;".D"&amp;TEXT(Caja_Finanzas[[#This Row],[FECHA]],"DD-MM")&amp;"-"&amp;TEXT(Caja_Finanzas[[#This Row],[ITEM]],"0000")</f>
        <v>CFI.D16-05-0423</v>
      </c>
      <c r="O459" s="8" t="str">
        <f t="shared" si="40"/>
        <v>PEN</v>
      </c>
      <c r="P459" s="13"/>
      <c r="Q459" s="13">
        <v>24662</v>
      </c>
      <c r="R459" s="3">
        <f t="shared" si="36"/>
        <v>0</v>
      </c>
      <c r="S459" s="3">
        <f t="shared" si="37"/>
        <v>24662</v>
      </c>
      <c r="T459" s="3">
        <f t="shared" si="38"/>
        <v>7786.2999999999956</v>
      </c>
      <c r="U459" s="24"/>
      <c r="V459" s="24"/>
      <c r="W459" s="3"/>
      <c r="X459" s="25"/>
      <c r="Y459" s="25"/>
      <c r="Z459" s="25"/>
      <c r="AA459" s="25"/>
      <c r="AB459" s="25"/>
      <c r="AC459" s="3" t="str">
        <f>IF(Caja_Finanzas[[#This Row],[FECHA]]&gt;0,TEXT(Caja_Finanzas[[#This Row],[FECHA]],"mmmm"),0)</f>
        <v>Mayo</v>
      </c>
    </row>
    <row r="460" spans="2:29" ht="24" x14ac:dyDescent="0.3">
      <c r="B460" s="2">
        <f>IF(Caja_Finanzas[[#This Row],[TIPO DE R.]]="R",COUNTIFS($D$4:$D459,"R")+1,"")</f>
        <v>424</v>
      </c>
      <c r="C460" s="19" t="str">
        <f t="shared" si="39"/>
        <v>C-Finanzas</v>
      </c>
      <c r="D460" s="3" t="s">
        <v>1074</v>
      </c>
      <c r="E460" s="14">
        <v>45793</v>
      </c>
      <c r="F460" s="5" t="s">
        <v>2655</v>
      </c>
      <c r="G460" s="5" t="s">
        <v>1087</v>
      </c>
      <c r="H460" s="5"/>
      <c r="I460" s="6"/>
      <c r="J460" s="6"/>
      <c r="K460" s="6"/>
      <c r="L460" s="6"/>
      <c r="M460" s="7" t="s">
        <v>5156</v>
      </c>
      <c r="N460" s="8" t="str">
        <f>"CFI"&amp;".D"&amp;TEXT(Caja_Finanzas[[#This Row],[FECHA]],"DD-MM")&amp;"-"&amp;TEXT(Caja_Finanzas[[#This Row],[ITEM]],"0000")</f>
        <v>CFI.D16-05-0424</v>
      </c>
      <c r="O460" s="8" t="str">
        <f t="shared" si="40"/>
        <v>PEN</v>
      </c>
      <c r="P460" s="13"/>
      <c r="Q460" s="13">
        <v>2100</v>
      </c>
      <c r="R460" s="3">
        <f t="shared" si="36"/>
        <v>2100</v>
      </c>
      <c r="S460" s="3">
        <f t="shared" si="37"/>
        <v>0</v>
      </c>
      <c r="T460" s="3">
        <f t="shared" si="38"/>
        <v>9886.2999999999956</v>
      </c>
      <c r="U460" s="24"/>
      <c r="V460" s="24"/>
      <c r="W460" s="3"/>
      <c r="X460" s="25"/>
      <c r="Y460" s="25" t="s">
        <v>5988</v>
      </c>
      <c r="Z460" s="25"/>
      <c r="AA460" s="25"/>
      <c r="AB460" s="25"/>
      <c r="AC460" s="3" t="str">
        <f>IF(Caja_Finanzas[[#This Row],[FECHA]]&gt;0,TEXT(Caja_Finanzas[[#This Row],[FECHA]],"mmmm"),0)</f>
        <v>Mayo</v>
      </c>
    </row>
    <row r="461" spans="2:29" ht="24" x14ac:dyDescent="0.3">
      <c r="B461" s="2">
        <f>IF(Caja_Finanzas[[#This Row],[TIPO DE R.]]="R",COUNTIFS($D$4:$D460,"R")+1,"")</f>
        <v>425</v>
      </c>
      <c r="C461" s="19" t="str">
        <f t="shared" si="39"/>
        <v>C-Finanzas</v>
      </c>
      <c r="D461" s="3" t="s">
        <v>1074</v>
      </c>
      <c r="E461" s="14">
        <v>45793</v>
      </c>
      <c r="F461" s="5" t="s">
        <v>1562</v>
      </c>
      <c r="G461" s="5" t="s">
        <v>1087</v>
      </c>
      <c r="H461" s="5"/>
      <c r="I461" s="6"/>
      <c r="J461" s="6"/>
      <c r="K461" s="6"/>
      <c r="L461" s="6"/>
      <c r="M461" s="7" t="s">
        <v>5156</v>
      </c>
      <c r="N461" s="8" t="str">
        <f>"CFI"&amp;".D"&amp;TEXT(Caja_Finanzas[[#This Row],[FECHA]],"DD-MM")&amp;"-"&amp;TEXT(Caja_Finanzas[[#This Row],[ITEM]],"0000")</f>
        <v>CFI.D16-05-0425</v>
      </c>
      <c r="O461" s="8" t="str">
        <f t="shared" si="40"/>
        <v>PEN</v>
      </c>
      <c r="P461" s="13"/>
      <c r="Q461" s="13">
        <v>888.1</v>
      </c>
      <c r="R461" s="3">
        <f t="shared" si="36"/>
        <v>888.1</v>
      </c>
      <c r="S461" s="3">
        <f t="shared" si="37"/>
        <v>0</v>
      </c>
      <c r="T461" s="3">
        <f t="shared" si="38"/>
        <v>10774.399999999996</v>
      </c>
      <c r="U461" s="24"/>
      <c r="V461" s="24"/>
      <c r="W461" s="3"/>
      <c r="X461" s="25"/>
      <c r="Y461" s="25" t="s">
        <v>5989</v>
      </c>
      <c r="Z461" s="25"/>
      <c r="AA461" s="25"/>
      <c r="AB461" s="25"/>
      <c r="AC461" s="3" t="str">
        <f>IF(Caja_Finanzas[[#This Row],[FECHA]]&gt;0,TEXT(Caja_Finanzas[[#This Row],[FECHA]],"mmmm"),0)</f>
        <v>Mayo</v>
      </c>
    </row>
    <row r="462" spans="2:29" ht="24" x14ac:dyDescent="0.3">
      <c r="B462" s="2">
        <f>IF(Caja_Finanzas[[#This Row],[TIPO DE R.]]="R",COUNTIFS($D$4:$D461,"R")+1,"")</f>
        <v>426</v>
      </c>
      <c r="C462" s="19" t="str">
        <f t="shared" si="39"/>
        <v>C-Finanzas</v>
      </c>
      <c r="D462" s="3" t="s">
        <v>1074</v>
      </c>
      <c r="E462" s="14">
        <v>45793</v>
      </c>
      <c r="F462" s="5" t="s">
        <v>5305</v>
      </c>
      <c r="G462" s="5" t="s">
        <v>1079</v>
      </c>
      <c r="H462" s="5"/>
      <c r="I462" s="6"/>
      <c r="J462" s="6"/>
      <c r="K462" s="6"/>
      <c r="L462" s="6"/>
      <c r="M462" s="7" t="s">
        <v>5990</v>
      </c>
      <c r="N462" s="8" t="str">
        <f>"CFI"&amp;".D"&amp;TEXT(Caja_Finanzas[[#This Row],[FECHA]],"DD-MM")&amp;"-"&amp;TEXT(Caja_Finanzas[[#This Row],[ITEM]],"0000")</f>
        <v>CFI.D16-05-0426</v>
      </c>
      <c r="O462" s="8" t="str">
        <f t="shared" si="40"/>
        <v>PEN</v>
      </c>
      <c r="P462" s="13"/>
      <c r="Q462" s="13">
        <v>5598</v>
      </c>
      <c r="R462" s="3">
        <f t="shared" si="36"/>
        <v>0</v>
      </c>
      <c r="S462" s="3">
        <f t="shared" si="37"/>
        <v>5598</v>
      </c>
      <c r="T462" s="3">
        <f t="shared" si="38"/>
        <v>5176.399999999996</v>
      </c>
      <c r="U462" s="24"/>
      <c r="V462" s="24"/>
      <c r="W462" s="3"/>
      <c r="X462" s="25"/>
      <c r="Y462" s="25"/>
      <c r="Z462" s="25"/>
      <c r="AA462" s="25"/>
      <c r="AB462" s="25"/>
      <c r="AC462" s="3" t="str">
        <f>IF(Caja_Finanzas[[#This Row],[FECHA]]&gt;0,TEXT(Caja_Finanzas[[#This Row],[FECHA]],"mmmm"),0)</f>
        <v>Mayo</v>
      </c>
    </row>
    <row r="463" spans="2:29" x14ac:dyDescent="0.3">
      <c r="B463" s="2">
        <f>IF(Caja_Finanzas[[#This Row],[TIPO DE R.]]="R",COUNTIFS($D$4:$D462,"R")+1,"")</f>
        <v>427</v>
      </c>
      <c r="C463" s="19" t="str">
        <f t="shared" si="39"/>
        <v>C-Finanzas</v>
      </c>
      <c r="D463" s="3" t="s">
        <v>1074</v>
      </c>
      <c r="E463" s="14">
        <v>45796</v>
      </c>
      <c r="F463" s="5"/>
      <c r="G463" s="5" t="s">
        <v>1087</v>
      </c>
      <c r="H463" s="5"/>
      <c r="I463" s="6"/>
      <c r="J463" s="6"/>
      <c r="K463" s="6"/>
      <c r="L463" s="6"/>
      <c r="M463" s="7" t="s">
        <v>5156</v>
      </c>
      <c r="N463" s="8" t="str">
        <f>"CFI"&amp;".D"&amp;TEXT(Caja_Finanzas[[#This Row],[FECHA]],"DD-MM")&amp;"-"&amp;TEXT(Caja_Finanzas[[#This Row],[ITEM]],"0000")</f>
        <v>CFI.D19-05-0427</v>
      </c>
      <c r="O463" s="8" t="str">
        <f t="shared" si="40"/>
        <v>PEN</v>
      </c>
      <c r="P463" s="13"/>
      <c r="Q463" s="13">
        <v>1500</v>
      </c>
      <c r="R463" s="3">
        <f t="shared" si="36"/>
        <v>1500</v>
      </c>
      <c r="S463" s="3">
        <f t="shared" si="37"/>
        <v>0</v>
      </c>
      <c r="T463" s="3">
        <f t="shared" si="38"/>
        <v>6676.399999999996</v>
      </c>
      <c r="U463" s="24"/>
      <c r="V463" s="24"/>
      <c r="W463" s="3"/>
      <c r="X463" s="25"/>
      <c r="Y463" s="25"/>
      <c r="Z463" s="25"/>
      <c r="AA463" s="25"/>
      <c r="AB463" s="25"/>
      <c r="AC463" s="3" t="str">
        <f>IF(Caja_Finanzas[[#This Row],[FECHA]]&gt;0,TEXT(Caja_Finanzas[[#This Row],[FECHA]],"mmmm"),0)</f>
        <v>Mayo</v>
      </c>
    </row>
    <row r="464" spans="2:29" ht="24" x14ac:dyDescent="0.3">
      <c r="B464" s="2" t="str">
        <f>IF(Caja_Finanzas[[#This Row],[TIPO DE R.]]="R",COUNTIFS($D$4:$D463,"R")+1,"")</f>
        <v/>
      </c>
      <c r="C464" s="19" t="str">
        <f t="shared" si="39"/>
        <v>C-Finanzas</v>
      </c>
      <c r="D464" s="3" t="s">
        <v>1101</v>
      </c>
      <c r="E464" s="14">
        <v>45796</v>
      </c>
      <c r="F464" s="5" t="s">
        <v>3816</v>
      </c>
      <c r="G464" s="5"/>
      <c r="H464" s="5"/>
      <c r="I464" s="6"/>
      <c r="J464" s="6"/>
      <c r="K464" s="6"/>
      <c r="L464" s="6"/>
      <c r="M464" s="7" t="s">
        <v>5156</v>
      </c>
      <c r="N464" s="8" t="str">
        <f>"CFI"&amp;".D"&amp;TEXT(Caja_Finanzas[[#This Row],[FECHA]],"DD-MM")&amp;"-"&amp;TEXT(Caja_Finanzas[[#This Row],[ITEM]],"0000")</f>
        <v>CFI.D19-05-</v>
      </c>
      <c r="O464" s="8" t="str">
        <f t="shared" si="40"/>
        <v>PEN</v>
      </c>
      <c r="P464" s="13">
        <v>649.20000000000005</v>
      </c>
      <c r="Q464" s="13"/>
      <c r="R464" s="3">
        <f t="shared" si="36"/>
        <v>0</v>
      </c>
      <c r="S464" s="3">
        <f t="shared" si="37"/>
        <v>0</v>
      </c>
      <c r="T464" s="3">
        <f t="shared" si="38"/>
        <v>6676.399999999996</v>
      </c>
      <c r="U464" s="24"/>
      <c r="V464" s="24"/>
      <c r="W464" s="3"/>
      <c r="X464" s="25"/>
      <c r="Y464" s="25" t="s">
        <v>5723</v>
      </c>
      <c r="Z464" s="25"/>
      <c r="AA464" s="25"/>
      <c r="AB464" s="25"/>
      <c r="AC464" s="3" t="str">
        <f>IF(Caja_Finanzas[[#This Row],[FECHA]]&gt;0,TEXT(Caja_Finanzas[[#This Row],[FECHA]],"mmmm"),0)</f>
        <v>Mayo</v>
      </c>
    </row>
    <row r="465" spans="2:29" ht="24" x14ac:dyDescent="0.3">
      <c r="B465" s="2" t="str">
        <f>IF(Caja_Finanzas[[#This Row],[TIPO DE R.]]="R",COUNTIFS($D$4:$D464,"R")+1,"")</f>
        <v/>
      </c>
      <c r="C465" s="19" t="str">
        <f t="shared" si="39"/>
        <v>C-Finanzas</v>
      </c>
      <c r="D465" s="3" t="s">
        <v>1101</v>
      </c>
      <c r="E465" s="14">
        <v>45796</v>
      </c>
      <c r="F465" s="5" t="s">
        <v>3816</v>
      </c>
      <c r="G465" s="5"/>
      <c r="H465" s="5"/>
      <c r="I465" s="6"/>
      <c r="J465" s="6"/>
      <c r="K465" s="6"/>
      <c r="L465" s="6"/>
      <c r="M465" s="7" t="s">
        <v>5156</v>
      </c>
      <c r="N465" s="8" t="str">
        <f>"CFI"&amp;".D"&amp;TEXT(Caja_Finanzas[[#This Row],[FECHA]],"DD-MM")&amp;"-"&amp;TEXT(Caja_Finanzas[[#This Row],[ITEM]],"0000")</f>
        <v>CFI.D19-05-</v>
      </c>
      <c r="O465" s="8" t="str">
        <f t="shared" si="40"/>
        <v>PEN</v>
      </c>
      <c r="P465" s="13">
        <v>850.8</v>
      </c>
      <c r="Q465" s="13"/>
      <c r="R465" s="3">
        <f t="shared" si="36"/>
        <v>0</v>
      </c>
      <c r="S465" s="3">
        <f t="shared" si="37"/>
        <v>0</v>
      </c>
      <c r="T465" s="3">
        <f t="shared" si="38"/>
        <v>6676.399999999996</v>
      </c>
      <c r="U465" s="24"/>
      <c r="V465" s="24"/>
      <c r="W465" s="3"/>
      <c r="X465" s="25"/>
      <c r="Y465" s="25" t="s">
        <v>5991</v>
      </c>
      <c r="Z465" s="25"/>
      <c r="AA465" s="25"/>
      <c r="AB465" s="25"/>
      <c r="AC465" s="3" t="str">
        <f>IF(Caja_Finanzas[[#This Row],[FECHA]]&gt;0,TEXT(Caja_Finanzas[[#This Row],[FECHA]],"mmmm"),0)</f>
        <v>Mayo</v>
      </c>
    </row>
    <row r="466" spans="2:29" ht="48" x14ac:dyDescent="0.3">
      <c r="B466" s="2">
        <f>IF(Caja_Finanzas[[#This Row],[TIPO DE R.]]="R",COUNTIFS($D$4:$D465,"R")+1,"")</f>
        <v>428</v>
      </c>
      <c r="C466" s="19" t="str">
        <f t="shared" si="39"/>
        <v>C-Finanzas</v>
      </c>
      <c r="D466" s="3" t="s">
        <v>1074</v>
      </c>
      <c r="E466" s="14">
        <v>45797</v>
      </c>
      <c r="F466" s="5" t="s">
        <v>5416</v>
      </c>
      <c r="G466" s="5" t="s">
        <v>1087</v>
      </c>
      <c r="H466" s="5"/>
      <c r="I466" s="6"/>
      <c r="J466" s="6"/>
      <c r="K466" s="6"/>
      <c r="L466" s="6"/>
      <c r="M466" s="7" t="s">
        <v>5992</v>
      </c>
      <c r="N466" s="8" t="str">
        <f>"CFI"&amp;".D"&amp;TEXT(Caja_Finanzas[[#This Row],[FECHA]],"DD-MM")&amp;"-"&amp;TEXT(Caja_Finanzas[[#This Row],[ITEM]],"0000")</f>
        <v>CFI.D20-05-0428</v>
      </c>
      <c r="O466" s="8" t="str">
        <f t="shared" si="40"/>
        <v>PEN</v>
      </c>
      <c r="P466" s="13"/>
      <c r="Q466" s="13">
        <v>100</v>
      </c>
      <c r="R466" s="3">
        <f t="shared" si="36"/>
        <v>100</v>
      </c>
      <c r="S466" s="3">
        <f t="shared" si="37"/>
        <v>0</v>
      </c>
      <c r="T466" s="3">
        <f t="shared" si="38"/>
        <v>6776.399999999996</v>
      </c>
      <c r="U466" s="24"/>
      <c r="V466" s="24"/>
      <c r="W466" s="3"/>
      <c r="X466" s="25" t="s">
        <v>368</v>
      </c>
      <c r="Y466" s="25"/>
      <c r="Z466" s="25"/>
      <c r="AA466" s="25"/>
      <c r="AB466" s="25"/>
      <c r="AC466" s="3" t="str">
        <f>IF(Caja_Finanzas[[#This Row],[FECHA]]&gt;0,TEXT(Caja_Finanzas[[#This Row],[FECHA]],"mmmm"),0)</f>
        <v>Mayo</v>
      </c>
    </row>
    <row r="467" spans="2:29" ht="24" x14ac:dyDescent="0.3">
      <c r="B467" s="2">
        <f>IF(Caja_Finanzas[[#This Row],[TIPO DE R.]]="R",COUNTIFS($D$4:$D466,"R")+1,"")</f>
        <v>429</v>
      </c>
      <c r="C467" s="19" t="str">
        <f t="shared" si="39"/>
        <v>C-Finanzas</v>
      </c>
      <c r="D467" s="3" t="s">
        <v>1074</v>
      </c>
      <c r="E467" s="14">
        <v>45797</v>
      </c>
      <c r="F467" s="5" t="s">
        <v>5305</v>
      </c>
      <c r="G467" s="5" t="s">
        <v>1087</v>
      </c>
      <c r="H467" s="5"/>
      <c r="I467" s="6"/>
      <c r="J467" s="6"/>
      <c r="K467" s="6"/>
      <c r="L467" s="6"/>
      <c r="M467" s="7" t="s">
        <v>5993</v>
      </c>
      <c r="N467" s="8" t="str">
        <f>"CFI"&amp;".D"&amp;TEXT(Caja_Finanzas[[#This Row],[FECHA]],"DD-MM")&amp;"-"&amp;TEXT(Caja_Finanzas[[#This Row],[ITEM]],"0000")</f>
        <v>CFI.D20-05-0429</v>
      </c>
      <c r="O467" s="8" t="str">
        <f t="shared" si="40"/>
        <v>PEN</v>
      </c>
      <c r="P467" s="13"/>
      <c r="Q467" s="13">
        <v>36511</v>
      </c>
      <c r="R467" s="3">
        <f t="shared" si="36"/>
        <v>36511</v>
      </c>
      <c r="S467" s="3">
        <f t="shared" si="37"/>
        <v>0</v>
      </c>
      <c r="T467" s="3">
        <f t="shared" si="38"/>
        <v>43287.399999999994</v>
      </c>
      <c r="U467" s="24"/>
      <c r="V467" s="24"/>
      <c r="W467" s="3"/>
      <c r="X467" s="25"/>
      <c r="Y467" s="25"/>
      <c r="Z467" s="25"/>
      <c r="AA467" s="25"/>
      <c r="AB467" s="25"/>
      <c r="AC467" s="3" t="str">
        <f>IF(Caja_Finanzas[[#This Row],[FECHA]]&gt;0,TEXT(Caja_Finanzas[[#This Row],[FECHA]],"mmmm"),0)</f>
        <v>Mayo</v>
      </c>
    </row>
    <row r="468" spans="2:29" ht="24" x14ac:dyDescent="0.3">
      <c r="B468" s="2">
        <f>IF(Caja_Finanzas[[#This Row],[TIPO DE R.]]="R",COUNTIFS($D$4:$D467,"R")+1,"")</f>
        <v>430</v>
      </c>
      <c r="C468" s="19" t="str">
        <f t="shared" si="39"/>
        <v>C-Finanzas</v>
      </c>
      <c r="D468" s="3" t="s">
        <v>1074</v>
      </c>
      <c r="E468" s="14">
        <v>45797</v>
      </c>
      <c r="F468" s="5" t="s">
        <v>5305</v>
      </c>
      <c r="G468" s="5" t="s">
        <v>1079</v>
      </c>
      <c r="H468" s="5"/>
      <c r="I468" s="6"/>
      <c r="J468" s="6"/>
      <c r="K468" s="6"/>
      <c r="L468" s="6"/>
      <c r="M468" s="7" t="s">
        <v>5306</v>
      </c>
      <c r="N468" s="8" t="str">
        <f>"CFI"&amp;".D"&amp;TEXT(Caja_Finanzas[[#This Row],[FECHA]],"DD-MM")&amp;"-"&amp;TEXT(Caja_Finanzas[[#This Row],[ITEM]],"0000")</f>
        <v>CFI.D20-05-0430</v>
      </c>
      <c r="O468" s="8" t="str">
        <f t="shared" si="40"/>
        <v>PEN</v>
      </c>
      <c r="P468" s="13"/>
      <c r="Q468" s="13">
        <v>36511</v>
      </c>
      <c r="R468" s="3">
        <f t="shared" si="36"/>
        <v>0</v>
      </c>
      <c r="S468" s="3">
        <f t="shared" si="37"/>
        <v>36511</v>
      </c>
      <c r="T468" s="3">
        <f t="shared" si="38"/>
        <v>6776.3999999999942</v>
      </c>
      <c r="U468" s="24"/>
      <c r="V468" s="24"/>
      <c r="W468" s="3"/>
      <c r="X468" s="25"/>
      <c r="Y468" s="25"/>
      <c r="Z468" s="25"/>
      <c r="AA468" s="25"/>
      <c r="AB468" s="25"/>
      <c r="AC468" s="3" t="str">
        <f>IF(Caja_Finanzas[[#This Row],[FECHA]]&gt;0,TEXT(Caja_Finanzas[[#This Row],[FECHA]],"mmmm"),0)</f>
        <v>Mayo</v>
      </c>
    </row>
    <row r="469" spans="2:29" ht="36" x14ac:dyDescent="0.3">
      <c r="B469" s="2">
        <f>IF(Caja_Finanzas[[#This Row],[TIPO DE R.]]="R",COUNTIFS($D$4:$D468,"R")+1,"")</f>
        <v>431</v>
      </c>
      <c r="C469" s="19" t="str">
        <f t="shared" si="39"/>
        <v>C-Finanzas</v>
      </c>
      <c r="D469" s="3" t="s">
        <v>1074</v>
      </c>
      <c r="E469" s="14">
        <v>45798</v>
      </c>
      <c r="F469" s="5" t="s">
        <v>5347</v>
      </c>
      <c r="G469" s="5" t="s">
        <v>1079</v>
      </c>
      <c r="H469" s="5"/>
      <c r="I469" s="6"/>
      <c r="J469" s="6"/>
      <c r="K469" s="6"/>
      <c r="L469" s="6"/>
      <c r="M469" s="7" t="s">
        <v>5994</v>
      </c>
      <c r="N469" s="8" t="str">
        <f>"CFI"&amp;".D"&amp;TEXT(Caja_Finanzas[[#This Row],[FECHA]],"DD-MM")&amp;"-"&amp;TEXT(Caja_Finanzas[[#This Row],[ITEM]],"0000")</f>
        <v>CFI.D21-05-0431</v>
      </c>
      <c r="O469" s="8" t="str">
        <f t="shared" si="40"/>
        <v>PEN</v>
      </c>
      <c r="P469" s="13"/>
      <c r="Q469" s="13">
        <v>185</v>
      </c>
      <c r="R469" s="3">
        <f t="shared" si="36"/>
        <v>0</v>
      </c>
      <c r="S469" s="3">
        <f t="shared" si="37"/>
        <v>185</v>
      </c>
      <c r="T469" s="3">
        <f t="shared" si="38"/>
        <v>6591.3999999999942</v>
      </c>
      <c r="U469" s="24"/>
      <c r="V469" s="24"/>
      <c r="W469" s="3"/>
      <c r="X469" s="25" t="s">
        <v>5596</v>
      </c>
      <c r="Y469" s="25" t="s">
        <v>5995</v>
      </c>
      <c r="Z469" s="25"/>
      <c r="AA469" s="25"/>
      <c r="AB469" s="25"/>
      <c r="AC469" s="3" t="str">
        <f>IF(Caja_Finanzas[[#This Row],[FECHA]]&gt;0,TEXT(Caja_Finanzas[[#This Row],[FECHA]],"mmmm"),0)</f>
        <v>Mayo</v>
      </c>
    </row>
    <row r="470" spans="2:29" ht="24" x14ac:dyDescent="0.3">
      <c r="B470" s="2">
        <f>IF(Caja_Finanzas[[#This Row],[TIPO DE R.]]="R",COUNTIFS($D$4:$D469,"R")+1,"")</f>
        <v>432</v>
      </c>
      <c r="C470" s="19" t="str">
        <f t="shared" si="39"/>
        <v>C-Finanzas</v>
      </c>
      <c r="D470" s="3" t="s">
        <v>1074</v>
      </c>
      <c r="E470" s="14">
        <v>45798</v>
      </c>
      <c r="F470" s="5" t="s">
        <v>5347</v>
      </c>
      <c r="G470" s="5" t="s">
        <v>1079</v>
      </c>
      <c r="H470" s="5"/>
      <c r="I470" s="6"/>
      <c r="J470" s="6"/>
      <c r="K470" s="6"/>
      <c r="L470" s="6"/>
      <c r="M470" s="7" t="s">
        <v>5996</v>
      </c>
      <c r="N470" s="8" t="str">
        <f>"CFI"&amp;".D"&amp;TEXT(Caja_Finanzas[[#This Row],[FECHA]],"DD-MM")&amp;"-"&amp;TEXT(Caja_Finanzas[[#This Row],[ITEM]],"0000")</f>
        <v>CFI.D21-05-0432</v>
      </c>
      <c r="O470" s="8" t="str">
        <f t="shared" si="40"/>
        <v>PEN</v>
      </c>
      <c r="P470" s="13"/>
      <c r="Q470" s="13">
        <v>40</v>
      </c>
      <c r="R470" s="3">
        <f t="shared" si="36"/>
        <v>0</v>
      </c>
      <c r="S470" s="3">
        <f t="shared" si="37"/>
        <v>40</v>
      </c>
      <c r="T470" s="3">
        <f t="shared" si="38"/>
        <v>6551.3999999999942</v>
      </c>
      <c r="U470" s="24"/>
      <c r="V470" s="24"/>
      <c r="W470" s="3"/>
      <c r="X470" s="25" t="s">
        <v>5596</v>
      </c>
      <c r="Y470" s="25" t="s">
        <v>5997</v>
      </c>
      <c r="Z470" s="25"/>
      <c r="AA470" s="25"/>
      <c r="AB470" s="25"/>
      <c r="AC470" s="3" t="str">
        <f>IF(Caja_Finanzas[[#This Row],[FECHA]]&gt;0,TEXT(Caja_Finanzas[[#This Row],[FECHA]],"mmmm"),0)</f>
        <v>Mayo</v>
      </c>
    </row>
    <row r="471" spans="2:29" ht="24" x14ac:dyDescent="0.3">
      <c r="B471" s="2">
        <f>IF(Caja_Finanzas[[#This Row],[TIPO DE R.]]="R",COUNTIFS($D$4:$D470,"R")+1,"")</f>
        <v>433</v>
      </c>
      <c r="C471" s="19" t="str">
        <f t="shared" si="39"/>
        <v>C-Finanzas</v>
      </c>
      <c r="D471" s="3" t="s">
        <v>1074</v>
      </c>
      <c r="E471" s="14">
        <v>45798</v>
      </c>
      <c r="F471" s="5" t="s">
        <v>2226</v>
      </c>
      <c r="G471" s="5" t="s">
        <v>1087</v>
      </c>
      <c r="H471" s="5"/>
      <c r="I471" s="6"/>
      <c r="J471" s="6"/>
      <c r="K471" s="6"/>
      <c r="L471" s="6"/>
      <c r="M471" s="7" t="s">
        <v>5156</v>
      </c>
      <c r="N471" s="8" t="str">
        <f>"CFI"&amp;".D"&amp;TEXT(Caja_Finanzas[[#This Row],[FECHA]],"DD-MM")&amp;"-"&amp;TEXT(Caja_Finanzas[[#This Row],[ITEM]],"0000")</f>
        <v>CFI.D21-05-0433</v>
      </c>
      <c r="O471" s="8" t="str">
        <f t="shared" si="40"/>
        <v>PEN</v>
      </c>
      <c r="P471" s="13"/>
      <c r="Q471" s="13">
        <v>900</v>
      </c>
      <c r="R471" s="3">
        <f t="shared" si="36"/>
        <v>900</v>
      </c>
      <c r="S471" s="3">
        <f t="shared" si="37"/>
        <v>0</v>
      </c>
      <c r="T471" s="3">
        <f t="shared" si="38"/>
        <v>7451.3999999999942</v>
      </c>
      <c r="U471" s="24"/>
      <c r="V471" s="24"/>
      <c r="W471" s="3"/>
      <c r="X471" s="25"/>
      <c r="Y471" s="25" t="s">
        <v>2803</v>
      </c>
      <c r="Z471" s="25"/>
      <c r="AA471" s="25"/>
      <c r="AB471" s="25"/>
      <c r="AC471" s="3" t="str">
        <f>IF(Caja_Finanzas[[#This Row],[FECHA]]&gt;0,TEXT(Caja_Finanzas[[#This Row],[FECHA]],"mmmm"),0)</f>
        <v>Mayo</v>
      </c>
    </row>
    <row r="472" spans="2:29" ht="24" x14ac:dyDescent="0.3">
      <c r="B472" s="2">
        <f>IF(Caja_Finanzas[[#This Row],[TIPO DE R.]]="R",COUNTIFS($D$4:$D471,"R")+1,"")</f>
        <v>434</v>
      </c>
      <c r="C472" s="19" t="str">
        <f t="shared" si="39"/>
        <v>C-Finanzas</v>
      </c>
      <c r="D472" s="3" t="s">
        <v>1074</v>
      </c>
      <c r="E472" s="14">
        <v>45798</v>
      </c>
      <c r="F472" s="5" t="s">
        <v>5489</v>
      </c>
      <c r="G472" s="5" t="s">
        <v>1087</v>
      </c>
      <c r="H472" s="5"/>
      <c r="I472" s="6"/>
      <c r="J472" s="6"/>
      <c r="K472" s="6"/>
      <c r="L472" s="6"/>
      <c r="M472" s="7" t="s">
        <v>5156</v>
      </c>
      <c r="N472" s="8" t="str">
        <f>"CFI"&amp;".D"&amp;TEXT(Caja_Finanzas[[#This Row],[FECHA]],"DD-MM")&amp;"-"&amp;TEXT(Caja_Finanzas[[#This Row],[ITEM]],"0000")</f>
        <v>CFI.D21-05-0434</v>
      </c>
      <c r="O472" s="8" t="str">
        <f t="shared" si="40"/>
        <v>PEN</v>
      </c>
      <c r="P472" s="13"/>
      <c r="Q472" s="13">
        <v>2100</v>
      </c>
      <c r="R472" s="3">
        <f t="shared" si="36"/>
        <v>2100</v>
      </c>
      <c r="S472" s="3">
        <f t="shared" si="37"/>
        <v>0</v>
      </c>
      <c r="T472" s="3">
        <f t="shared" si="38"/>
        <v>9551.3999999999942</v>
      </c>
      <c r="U472" s="24"/>
      <c r="V472" s="24"/>
      <c r="W472" s="3"/>
      <c r="X472" s="25"/>
      <c r="Y472" s="25" t="s">
        <v>5998</v>
      </c>
      <c r="Z472" s="25"/>
      <c r="AA472" s="25"/>
      <c r="AB472" s="25"/>
      <c r="AC472" s="3" t="str">
        <f>IF(Caja_Finanzas[[#This Row],[FECHA]]&gt;0,TEXT(Caja_Finanzas[[#This Row],[FECHA]],"mmmm"),0)</f>
        <v>Mayo</v>
      </c>
    </row>
    <row r="473" spans="2:29" ht="24" x14ac:dyDescent="0.3">
      <c r="B473" s="2">
        <f>IF(Caja_Finanzas[[#This Row],[TIPO DE R.]]="R",COUNTIFS($D$4:$D472,"R")+1,"")</f>
        <v>435</v>
      </c>
      <c r="C473" s="19" t="str">
        <f t="shared" si="39"/>
        <v>C-Finanzas</v>
      </c>
      <c r="D473" s="3" t="s">
        <v>1074</v>
      </c>
      <c r="E473" s="14">
        <v>45798</v>
      </c>
      <c r="F473" s="5" t="s">
        <v>5999</v>
      </c>
      <c r="G473" s="5" t="s">
        <v>1087</v>
      </c>
      <c r="H473" s="5"/>
      <c r="I473" s="6"/>
      <c r="J473" s="6"/>
      <c r="K473" s="6"/>
      <c r="L473" s="6"/>
      <c r="M473" s="7" t="s">
        <v>5156</v>
      </c>
      <c r="N473" s="8" t="str">
        <f>"CFI"&amp;".D"&amp;TEXT(Caja_Finanzas[[#This Row],[FECHA]],"DD-MM")&amp;"-"&amp;TEXT(Caja_Finanzas[[#This Row],[ITEM]],"0000")</f>
        <v>CFI.D21-05-0435</v>
      </c>
      <c r="O473" s="8" t="str">
        <f t="shared" si="40"/>
        <v>PEN</v>
      </c>
      <c r="P473" s="13"/>
      <c r="Q473" s="13">
        <v>36</v>
      </c>
      <c r="R473" s="3">
        <f t="shared" si="36"/>
        <v>36</v>
      </c>
      <c r="S473" s="3">
        <f t="shared" si="37"/>
        <v>0</v>
      </c>
      <c r="T473" s="3">
        <f t="shared" si="38"/>
        <v>9587.3999999999942</v>
      </c>
      <c r="U473" s="24"/>
      <c r="V473" s="24"/>
      <c r="W473" s="3"/>
      <c r="X473" s="25"/>
      <c r="Y473" s="25" t="s">
        <v>6000</v>
      </c>
      <c r="Z473" s="25"/>
      <c r="AA473" s="25"/>
      <c r="AB473" s="25"/>
      <c r="AC473" s="3" t="str">
        <f>IF(Caja_Finanzas[[#This Row],[FECHA]]&gt;0,TEXT(Caja_Finanzas[[#This Row],[FECHA]],"mmmm"),0)</f>
        <v>Mayo</v>
      </c>
    </row>
    <row r="474" spans="2:29" x14ac:dyDescent="0.3">
      <c r="B474" s="2">
        <f>IF(Caja_Finanzas[[#This Row],[TIPO DE R.]]="R",COUNTIFS($D$4:$D473,"R")+1,"")</f>
        <v>436</v>
      </c>
      <c r="C474" s="19" t="str">
        <f t="shared" si="39"/>
        <v>C-Finanzas</v>
      </c>
      <c r="D474" s="3" t="s">
        <v>1074</v>
      </c>
      <c r="E474" s="14">
        <v>45798</v>
      </c>
      <c r="F474" s="5" t="s">
        <v>2520</v>
      </c>
      <c r="G474" s="5" t="s">
        <v>1087</v>
      </c>
      <c r="H474" s="5"/>
      <c r="I474" s="6"/>
      <c r="J474" s="6"/>
      <c r="K474" s="6"/>
      <c r="L474" s="6"/>
      <c r="M474" s="7" t="s">
        <v>5156</v>
      </c>
      <c r="N474" s="8" t="str">
        <f>"CFI"&amp;".D"&amp;TEXT(Caja_Finanzas[[#This Row],[FECHA]],"DD-MM")&amp;"-"&amp;TEXT(Caja_Finanzas[[#This Row],[ITEM]],"0000")</f>
        <v>CFI.D21-05-0436</v>
      </c>
      <c r="O474" s="8" t="str">
        <f t="shared" si="40"/>
        <v>PEN</v>
      </c>
      <c r="P474" s="13"/>
      <c r="Q474" s="13">
        <v>13.7</v>
      </c>
      <c r="R474" s="3">
        <f t="shared" si="36"/>
        <v>13.7</v>
      </c>
      <c r="S474" s="3">
        <f t="shared" si="37"/>
        <v>0</v>
      </c>
      <c r="T474" s="3">
        <f t="shared" si="38"/>
        <v>9601.0999999999949</v>
      </c>
      <c r="U474" s="24"/>
      <c r="V474" s="24"/>
      <c r="W474" s="3"/>
      <c r="X474" s="25"/>
      <c r="Y474" s="25" t="s">
        <v>6001</v>
      </c>
      <c r="Z474" s="25"/>
      <c r="AA474" s="25"/>
      <c r="AB474" s="25"/>
      <c r="AC474" s="3" t="str">
        <f>IF(Caja_Finanzas[[#This Row],[FECHA]]&gt;0,TEXT(Caja_Finanzas[[#This Row],[FECHA]],"mmmm"),0)</f>
        <v>Mayo</v>
      </c>
    </row>
    <row r="475" spans="2:29" ht="24" x14ac:dyDescent="0.3">
      <c r="B475" s="2">
        <f>IF(Caja_Finanzas[[#This Row],[TIPO DE R.]]="R",COUNTIFS($D$4:$D474,"R")+1,"")</f>
        <v>437</v>
      </c>
      <c r="C475" s="19" t="str">
        <f t="shared" si="39"/>
        <v>C-Finanzas</v>
      </c>
      <c r="D475" s="3" t="s">
        <v>1074</v>
      </c>
      <c r="E475" s="14">
        <v>45798</v>
      </c>
      <c r="F475" s="5" t="s">
        <v>2100</v>
      </c>
      <c r="G475" s="5" t="s">
        <v>1087</v>
      </c>
      <c r="H475" s="5"/>
      <c r="I475" s="6"/>
      <c r="J475" s="6"/>
      <c r="K475" s="6"/>
      <c r="L475" s="6"/>
      <c r="M475" s="7" t="s">
        <v>5156</v>
      </c>
      <c r="N475" s="8" t="str">
        <f>"CFI"&amp;".D"&amp;TEXT(Caja_Finanzas[[#This Row],[FECHA]],"DD-MM")&amp;"-"&amp;TEXT(Caja_Finanzas[[#This Row],[ITEM]],"0000")</f>
        <v>CFI.D21-05-0437</v>
      </c>
      <c r="O475" s="8" t="str">
        <f t="shared" si="40"/>
        <v>PEN</v>
      </c>
      <c r="P475" s="13"/>
      <c r="Q475" s="13">
        <v>868</v>
      </c>
      <c r="R475" s="3">
        <f t="shared" si="36"/>
        <v>868</v>
      </c>
      <c r="S475" s="3">
        <f t="shared" si="37"/>
        <v>0</v>
      </c>
      <c r="T475" s="3">
        <f t="shared" si="38"/>
        <v>10469.099999999995</v>
      </c>
      <c r="U475" s="24"/>
      <c r="V475" s="24"/>
      <c r="W475" s="3"/>
      <c r="X475" s="25"/>
      <c r="Y475" s="25" t="s">
        <v>6002</v>
      </c>
      <c r="Z475" s="25"/>
      <c r="AA475" s="25"/>
      <c r="AB475" s="25"/>
      <c r="AC475" s="3" t="str">
        <f>IF(Caja_Finanzas[[#This Row],[FECHA]]&gt;0,TEXT(Caja_Finanzas[[#This Row],[FECHA]],"mmmm"),0)</f>
        <v>Mayo</v>
      </c>
    </row>
    <row r="476" spans="2:29" x14ac:dyDescent="0.3">
      <c r="B476" s="2">
        <f>IF(Caja_Finanzas[[#This Row],[TIPO DE R.]]="R",COUNTIFS($D$4:$D475,"R")+1,"")</f>
        <v>438</v>
      </c>
      <c r="C476" s="19" t="str">
        <f t="shared" si="39"/>
        <v>C-Finanzas</v>
      </c>
      <c r="D476" s="3" t="s">
        <v>1074</v>
      </c>
      <c r="E476" s="14">
        <v>45798</v>
      </c>
      <c r="F476" s="5"/>
      <c r="G476" s="5" t="s">
        <v>1087</v>
      </c>
      <c r="H476" s="5"/>
      <c r="I476" s="6"/>
      <c r="J476" s="6"/>
      <c r="K476" s="6"/>
      <c r="L476" s="6"/>
      <c r="M476" s="7" t="s">
        <v>6003</v>
      </c>
      <c r="N476" s="8" t="str">
        <f>"CFI"&amp;".D"&amp;TEXT(Caja_Finanzas[[#This Row],[FECHA]],"DD-MM")&amp;"-"&amp;TEXT(Caja_Finanzas[[#This Row],[ITEM]],"0000")</f>
        <v>CFI.D21-05-0438</v>
      </c>
      <c r="O476" s="8" t="str">
        <f t="shared" si="40"/>
        <v>PEN</v>
      </c>
      <c r="P476" s="13"/>
      <c r="Q476" s="13">
        <v>60</v>
      </c>
      <c r="R476" s="3">
        <f t="shared" si="36"/>
        <v>60</v>
      </c>
      <c r="S476" s="3">
        <f t="shared" si="37"/>
        <v>0</v>
      </c>
      <c r="T476" s="3">
        <f t="shared" si="38"/>
        <v>10529.099999999995</v>
      </c>
      <c r="U476" s="24"/>
      <c r="V476" s="24"/>
      <c r="W476" s="3"/>
      <c r="X476" s="25"/>
      <c r="Y476" s="25"/>
      <c r="Z476" s="25"/>
      <c r="AA476" s="25"/>
      <c r="AB476" s="25"/>
      <c r="AC476" s="3" t="str">
        <f>IF(Caja_Finanzas[[#This Row],[FECHA]]&gt;0,TEXT(Caja_Finanzas[[#This Row],[FECHA]],"mmmm"),0)</f>
        <v>Mayo</v>
      </c>
    </row>
    <row r="477" spans="2:29" ht="24" x14ac:dyDescent="0.3">
      <c r="B477" s="2" t="str">
        <f>IF(Caja_Finanzas[[#This Row],[TIPO DE R.]]="R",COUNTIFS($D$4:$D476,"R")+1,"")</f>
        <v/>
      </c>
      <c r="C477" s="19" t="str">
        <f t="shared" si="39"/>
        <v>C-Finanzas</v>
      </c>
      <c r="D477" s="3" t="s">
        <v>1101</v>
      </c>
      <c r="E477" s="14">
        <v>45784</v>
      </c>
      <c r="F477" s="5" t="s">
        <v>5962</v>
      </c>
      <c r="G477" s="5"/>
      <c r="H477" s="5"/>
      <c r="I477" s="6"/>
      <c r="J477" s="6"/>
      <c r="K477" s="6"/>
      <c r="L477" s="6"/>
      <c r="M477" s="7" t="s">
        <v>5941</v>
      </c>
      <c r="N477" s="8" t="str">
        <f>"CFI"&amp;".D"&amp;TEXT(Caja_Finanzas[[#This Row],[FECHA]],"DD-MM")&amp;"-"&amp;TEXT(Caja_Finanzas[[#This Row],[ITEM]],"0000")</f>
        <v>CFI.D07-05-</v>
      </c>
      <c r="O477" s="8" t="str">
        <f t="shared" si="40"/>
        <v>PEN</v>
      </c>
      <c r="P477" s="13">
        <v>5.5</v>
      </c>
      <c r="Q477" s="13"/>
      <c r="R477" s="3">
        <f t="shared" si="36"/>
        <v>0</v>
      </c>
      <c r="S477" s="3">
        <f t="shared" si="37"/>
        <v>0</v>
      </c>
      <c r="T477" s="3">
        <f t="shared" si="38"/>
        <v>10529.099999999995</v>
      </c>
      <c r="U477" s="24"/>
      <c r="V477" s="24"/>
      <c r="W477" s="3"/>
      <c r="X477" s="25"/>
      <c r="Y477" s="25" t="s">
        <v>5967</v>
      </c>
      <c r="Z477" s="25"/>
      <c r="AA477" s="25"/>
      <c r="AB477" s="25"/>
      <c r="AC477" s="3" t="str">
        <f>IF(Caja_Finanzas[[#This Row],[FECHA]]&gt;0,TEXT(Caja_Finanzas[[#This Row],[FECHA]],"mmmm"),0)</f>
        <v>Mayo</v>
      </c>
    </row>
    <row r="478" spans="2:29" ht="24" x14ac:dyDescent="0.3">
      <c r="B478" s="2" t="str">
        <f>IF(Caja_Finanzas[[#This Row],[TIPO DE R.]]="R",COUNTIFS($D$4:$D477,"R")+1,"")</f>
        <v/>
      </c>
      <c r="C478" s="19" t="str">
        <f t="shared" si="39"/>
        <v>C-Finanzas</v>
      </c>
      <c r="D478" s="3" t="s">
        <v>1101</v>
      </c>
      <c r="E478" s="14">
        <v>45784</v>
      </c>
      <c r="F478" s="5" t="s">
        <v>5330</v>
      </c>
      <c r="G478" s="5"/>
      <c r="H478" s="5"/>
      <c r="I478" s="6"/>
      <c r="J478" s="6"/>
      <c r="K478" s="6"/>
      <c r="L478" s="6"/>
      <c r="M478" s="7" t="s">
        <v>5941</v>
      </c>
      <c r="N478" s="8" t="str">
        <f>"CFI"&amp;".D"&amp;TEXT(Caja_Finanzas[[#This Row],[FECHA]],"DD-MM")&amp;"-"&amp;TEXT(Caja_Finanzas[[#This Row],[ITEM]],"0000")</f>
        <v>CFI.D07-05-</v>
      </c>
      <c r="O478" s="8" t="str">
        <f t="shared" si="40"/>
        <v>PEN</v>
      </c>
      <c r="P478" s="13">
        <v>9.5</v>
      </c>
      <c r="Q478" s="13"/>
      <c r="R478" s="3">
        <f t="shared" si="36"/>
        <v>0</v>
      </c>
      <c r="S478" s="3">
        <f t="shared" si="37"/>
        <v>0</v>
      </c>
      <c r="T478" s="3">
        <f t="shared" si="38"/>
        <v>10529.099999999995</v>
      </c>
      <c r="U478" s="24"/>
      <c r="V478" s="24"/>
      <c r="W478" s="3"/>
      <c r="X478" s="25"/>
      <c r="Y478" s="25" t="s">
        <v>6004</v>
      </c>
      <c r="Z478" s="25"/>
      <c r="AA478" s="25"/>
      <c r="AB478" s="25"/>
      <c r="AC478" s="3" t="str">
        <f>IF(Caja_Finanzas[[#This Row],[FECHA]]&gt;0,TEXT(Caja_Finanzas[[#This Row],[FECHA]],"mmmm"),0)</f>
        <v>Mayo</v>
      </c>
    </row>
    <row r="479" spans="2:29" ht="24" x14ac:dyDescent="0.3">
      <c r="B479" s="2" t="str">
        <f>IF(Caja_Finanzas[[#This Row],[TIPO DE R.]]="R",COUNTIFS($D$4:$D478,"R")+1,"")</f>
        <v/>
      </c>
      <c r="C479" s="19" t="str">
        <f t="shared" si="39"/>
        <v>C-Finanzas</v>
      </c>
      <c r="D479" s="3" t="s">
        <v>1101</v>
      </c>
      <c r="E479" s="14">
        <v>45784</v>
      </c>
      <c r="F479" s="5" t="s">
        <v>5407</v>
      </c>
      <c r="G479" s="5"/>
      <c r="H479" s="5"/>
      <c r="I479" s="6"/>
      <c r="J479" s="6"/>
      <c r="K479" s="6"/>
      <c r="L479" s="6"/>
      <c r="M479" s="7" t="s">
        <v>5941</v>
      </c>
      <c r="N479" s="8" t="str">
        <f>"CFI"&amp;".D"&amp;TEXT(Caja_Finanzas[[#This Row],[FECHA]],"DD-MM")&amp;"-"&amp;TEXT(Caja_Finanzas[[#This Row],[ITEM]],"0000")</f>
        <v>CFI.D07-05-</v>
      </c>
      <c r="O479" s="8" t="str">
        <f t="shared" si="40"/>
        <v>PEN</v>
      </c>
      <c r="P479" s="13">
        <v>30</v>
      </c>
      <c r="Q479" s="13"/>
      <c r="R479" s="3">
        <f t="shared" si="36"/>
        <v>0</v>
      </c>
      <c r="S479" s="3">
        <f t="shared" si="37"/>
        <v>0</v>
      </c>
      <c r="T479" s="3">
        <f t="shared" si="38"/>
        <v>10529.099999999995</v>
      </c>
      <c r="U479" s="24"/>
      <c r="V479" s="24"/>
      <c r="W479" s="3"/>
      <c r="X479" s="25"/>
      <c r="Y479" s="25" t="s">
        <v>6005</v>
      </c>
      <c r="Z479" s="25"/>
      <c r="AA479" s="25"/>
      <c r="AB479" s="25"/>
      <c r="AC479" s="3" t="str">
        <f>IF(Caja_Finanzas[[#This Row],[FECHA]]&gt;0,TEXT(Caja_Finanzas[[#This Row],[FECHA]],"mmmm"),0)</f>
        <v>Mayo</v>
      </c>
    </row>
    <row r="480" spans="2:29" ht="24" x14ac:dyDescent="0.3">
      <c r="B480" s="2" t="str">
        <f>IF(Caja_Finanzas[[#This Row],[TIPO DE R.]]="R",COUNTIFS($D$4:$D479,"R")+1,"")</f>
        <v/>
      </c>
      <c r="C480" s="19" t="str">
        <f t="shared" si="39"/>
        <v>C-Finanzas</v>
      </c>
      <c r="D480" s="3" t="s">
        <v>1101</v>
      </c>
      <c r="E480" s="14">
        <v>45784</v>
      </c>
      <c r="F480" s="5" t="s">
        <v>5948</v>
      </c>
      <c r="G480" s="5"/>
      <c r="H480" s="5"/>
      <c r="I480" s="6"/>
      <c r="J480" s="6"/>
      <c r="K480" s="6"/>
      <c r="L480" s="6"/>
      <c r="M480" s="7" t="s">
        <v>5941</v>
      </c>
      <c r="N480" s="8" t="str">
        <f>"CFI"&amp;".D"&amp;TEXT(Caja_Finanzas[[#This Row],[FECHA]],"DD-MM")&amp;"-"&amp;TEXT(Caja_Finanzas[[#This Row],[ITEM]],"0000")</f>
        <v>CFI.D07-05-</v>
      </c>
      <c r="O480" s="8" t="str">
        <f t="shared" si="40"/>
        <v>PEN</v>
      </c>
      <c r="P480" s="13">
        <v>15</v>
      </c>
      <c r="Q480" s="13"/>
      <c r="R480" s="3">
        <f t="shared" si="36"/>
        <v>0</v>
      </c>
      <c r="S480" s="3">
        <f t="shared" si="37"/>
        <v>0</v>
      </c>
      <c r="T480" s="3">
        <f t="shared" si="38"/>
        <v>10529.099999999995</v>
      </c>
      <c r="U480" s="24"/>
      <c r="V480" s="24"/>
      <c r="W480" s="3"/>
      <c r="X480" s="25"/>
      <c r="Y480" s="25" t="s">
        <v>6006</v>
      </c>
      <c r="Z480" s="25"/>
      <c r="AA480" s="25"/>
      <c r="AB480" s="25"/>
      <c r="AC480" s="3" t="str">
        <f>IF(Caja_Finanzas[[#This Row],[FECHA]]&gt;0,TEXT(Caja_Finanzas[[#This Row],[FECHA]],"mmmm"),0)</f>
        <v>Mayo</v>
      </c>
    </row>
    <row r="481" spans="2:29" ht="24" x14ac:dyDescent="0.3">
      <c r="B481" s="2">
        <f>IF(Caja_Finanzas[[#This Row],[TIPO DE R.]]="R",COUNTIFS($D$4:$D480,"R")+1,"")</f>
        <v>439</v>
      </c>
      <c r="C481" s="19" t="str">
        <f t="shared" si="39"/>
        <v>C-Finanzas</v>
      </c>
      <c r="D481" s="3" t="s">
        <v>1074</v>
      </c>
      <c r="E481" s="14">
        <v>45799</v>
      </c>
      <c r="F481" s="5" t="s">
        <v>5347</v>
      </c>
      <c r="G481" s="5" t="s">
        <v>1079</v>
      </c>
      <c r="H481" s="5"/>
      <c r="I481" s="6"/>
      <c r="J481" s="6"/>
      <c r="K481" s="6"/>
      <c r="L481" s="6"/>
      <c r="M481" s="7" t="s">
        <v>6007</v>
      </c>
      <c r="N481" s="8" t="str">
        <f>"CFI"&amp;".D"&amp;TEXT(Caja_Finanzas[[#This Row],[FECHA]],"DD-MM")&amp;"-"&amp;TEXT(Caja_Finanzas[[#This Row],[ITEM]],"0000")</f>
        <v>CFI.D22-05-0439</v>
      </c>
      <c r="O481" s="8" t="str">
        <f t="shared" si="40"/>
        <v>PEN</v>
      </c>
      <c r="P481" s="13"/>
      <c r="Q481" s="13">
        <v>203.4</v>
      </c>
      <c r="R481" s="3">
        <f t="shared" si="36"/>
        <v>0</v>
      </c>
      <c r="S481" s="3">
        <f t="shared" si="37"/>
        <v>203.4</v>
      </c>
      <c r="T481" s="3">
        <f t="shared" si="38"/>
        <v>10325.699999999995</v>
      </c>
      <c r="U481" s="24"/>
      <c r="V481" s="24"/>
      <c r="W481" s="3"/>
      <c r="X481" s="25" t="s">
        <v>6008</v>
      </c>
      <c r="Y481" s="25" t="s">
        <v>6009</v>
      </c>
      <c r="Z481" s="25"/>
      <c r="AA481" s="25"/>
      <c r="AB481" s="25"/>
      <c r="AC481" s="3" t="str">
        <f>IF(Caja_Finanzas[[#This Row],[FECHA]]&gt;0,TEXT(Caja_Finanzas[[#This Row],[FECHA]],"mmmm"),0)</f>
        <v>Mayo</v>
      </c>
    </row>
    <row r="482" spans="2:29" ht="24" x14ac:dyDescent="0.3">
      <c r="B482" s="2">
        <f>IF(Caja_Finanzas[[#This Row],[TIPO DE R.]]="R",COUNTIFS($D$4:$D481,"R")+1,"")</f>
        <v>440</v>
      </c>
      <c r="C482" s="19" t="str">
        <f t="shared" si="39"/>
        <v>C-Finanzas</v>
      </c>
      <c r="D482" s="3" t="s">
        <v>1074</v>
      </c>
      <c r="E482" s="14">
        <v>45800</v>
      </c>
      <c r="F482" s="5" t="s">
        <v>5295</v>
      </c>
      <c r="G482" s="5" t="s">
        <v>1079</v>
      </c>
      <c r="H482" s="5"/>
      <c r="I482" s="6"/>
      <c r="J482" s="6"/>
      <c r="K482" s="6"/>
      <c r="L482" s="6"/>
      <c r="M482" s="7" t="s">
        <v>6010</v>
      </c>
      <c r="N482" s="8" t="str">
        <f>"CFI"&amp;".D"&amp;TEXT(Caja_Finanzas[[#This Row],[FECHA]],"DD-MM")&amp;"-"&amp;TEXT(Caja_Finanzas[[#This Row],[ITEM]],"0000")</f>
        <v>CFI.D23-05-0440</v>
      </c>
      <c r="O482" s="8" t="str">
        <f t="shared" si="40"/>
        <v>PEN</v>
      </c>
      <c r="P482" s="13"/>
      <c r="Q482" s="13">
        <v>1200</v>
      </c>
      <c r="R482" s="3">
        <f t="shared" si="36"/>
        <v>0</v>
      </c>
      <c r="S482" s="3">
        <f t="shared" si="37"/>
        <v>1200</v>
      </c>
      <c r="T482" s="3">
        <f t="shared" si="38"/>
        <v>9125.6999999999953</v>
      </c>
      <c r="U482" s="24"/>
      <c r="V482" s="24"/>
      <c r="W482" s="3"/>
      <c r="X482" s="25" t="s">
        <v>5596</v>
      </c>
      <c r="Y482" s="25" t="s">
        <v>6011</v>
      </c>
      <c r="Z482" s="25"/>
      <c r="AA482" s="25"/>
      <c r="AB482" s="25"/>
      <c r="AC482" s="3" t="str">
        <f>IF(Caja_Finanzas[[#This Row],[FECHA]]&gt;0,TEXT(Caja_Finanzas[[#This Row],[FECHA]],"mmmm"),0)</f>
        <v>Mayo</v>
      </c>
    </row>
    <row r="483" spans="2:29" ht="24" x14ac:dyDescent="0.3">
      <c r="B483" s="2">
        <f>IF(Caja_Finanzas[[#This Row],[TIPO DE R.]]="R",COUNTIFS($D$4:$D482,"R")+1,"")</f>
        <v>441</v>
      </c>
      <c r="C483" s="19" t="str">
        <f t="shared" si="39"/>
        <v>C-Finanzas</v>
      </c>
      <c r="D483" s="3" t="s">
        <v>1074</v>
      </c>
      <c r="E483" s="14">
        <v>45800</v>
      </c>
      <c r="F483" s="5" t="s">
        <v>5347</v>
      </c>
      <c r="G483" s="5" t="s">
        <v>1079</v>
      </c>
      <c r="H483" s="5"/>
      <c r="I483" s="6"/>
      <c r="J483" s="6"/>
      <c r="K483" s="6"/>
      <c r="L483" s="6"/>
      <c r="M483" s="7" t="s">
        <v>6012</v>
      </c>
      <c r="N483" s="8" t="str">
        <f>"CFI"&amp;".D"&amp;TEXT(Caja_Finanzas[[#This Row],[FECHA]],"DD-MM")&amp;"-"&amp;TEXT(Caja_Finanzas[[#This Row],[ITEM]],"0000")</f>
        <v>CFI.D23-05-0441</v>
      </c>
      <c r="O483" s="8" t="str">
        <f t="shared" si="40"/>
        <v>PEN</v>
      </c>
      <c r="P483" s="13"/>
      <c r="Q483" s="13">
        <v>3.9</v>
      </c>
      <c r="R483" s="3">
        <f t="shared" si="36"/>
        <v>0</v>
      </c>
      <c r="S483" s="3">
        <f t="shared" si="37"/>
        <v>3.9</v>
      </c>
      <c r="T483" s="3">
        <f t="shared" si="38"/>
        <v>9121.7999999999956</v>
      </c>
      <c r="U483" s="24"/>
      <c r="V483" s="24"/>
      <c r="W483" s="3"/>
      <c r="X483" s="25" t="s">
        <v>6013</v>
      </c>
      <c r="Y483" s="25" t="s">
        <v>6014</v>
      </c>
      <c r="Z483" s="25"/>
      <c r="AA483" s="25"/>
      <c r="AB483" s="25"/>
      <c r="AC483" s="3" t="str">
        <f>IF(Caja_Finanzas[[#This Row],[FECHA]]&gt;0,TEXT(Caja_Finanzas[[#This Row],[FECHA]],"mmmm"),0)</f>
        <v>Mayo</v>
      </c>
    </row>
    <row r="484" spans="2:29" ht="24" x14ac:dyDescent="0.3">
      <c r="B484" s="2">
        <f>IF(Caja_Finanzas[[#This Row],[TIPO DE R.]]="R",COUNTIFS($D$4:$D483,"R")+1,"")</f>
        <v>442</v>
      </c>
      <c r="C484" s="19" t="str">
        <f t="shared" si="39"/>
        <v>C-Finanzas</v>
      </c>
      <c r="D484" s="3" t="s">
        <v>1074</v>
      </c>
      <c r="E484" s="14">
        <v>45800</v>
      </c>
      <c r="F484" s="5" t="s">
        <v>5338</v>
      </c>
      <c r="G484" s="5" t="s">
        <v>1079</v>
      </c>
      <c r="H484" s="5"/>
      <c r="I484" s="6"/>
      <c r="J484" s="6"/>
      <c r="K484" s="6"/>
      <c r="L484" s="6"/>
      <c r="M484" s="7" t="s">
        <v>6015</v>
      </c>
      <c r="N484" s="8" t="str">
        <f>"CFI"&amp;".D"&amp;TEXT(Caja_Finanzas[[#This Row],[FECHA]],"DD-MM")&amp;"-"&amp;TEXT(Caja_Finanzas[[#This Row],[ITEM]],"0000")</f>
        <v>CFI.D23-05-0442</v>
      </c>
      <c r="O484" s="8" t="str">
        <f t="shared" si="40"/>
        <v>PEN</v>
      </c>
      <c r="P484" s="13"/>
      <c r="Q484" s="13">
        <v>20</v>
      </c>
      <c r="R484" s="3">
        <f t="shared" si="36"/>
        <v>0</v>
      </c>
      <c r="S484" s="3">
        <f t="shared" si="37"/>
        <v>20</v>
      </c>
      <c r="T484" s="3">
        <f t="shared" si="38"/>
        <v>9101.7999999999956</v>
      </c>
      <c r="U484" s="24"/>
      <c r="V484" s="24"/>
      <c r="W484" s="3"/>
      <c r="X484" s="25" t="s">
        <v>5596</v>
      </c>
      <c r="Y484" s="25" t="s">
        <v>6016</v>
      </c>
      <c r="Z484" s="25"/>
      <c r="AA484" s="25"/>
      <c r="AB484" s="25"/>
      <c r="AC484" s="3" t="str">
        <f>IF(Caja_Finanzas[[#This Row],[FECHA]]&gt;0,TEXT(Caja_Finanzas[[#This Row],[FECHA]],"mmmm"),0)</f>
        <v>Mayo</v>
      </c>
    </row>
    <row r="485" spans="2:29" ht="24" x14ac:dyDescent="0.3">
      <c r="B485" s="2">
        <f>IF(Caja_Finanzas[[#This Row],[TIPO DE R.]]="R",COUNTIFS($D$4:$D484,"R")+1,"")</f>
        <v>443</v>
      </c>
      <c r="C485" s="19" t="str">
        <f t="shared" si="39"/>
        <v>C-Finanzas</v>
      </c>
      <c r="D485" s="3" t="s">
        <v>1074</v>
      </c>
      <c r="E485" s="14">
        <v>45800</v>
      </c>
      <c r="F485" s="5" t="s">
        <v>5618</v>
      </c>
      <c r="G485" s="5" t="s">
        <v>1079</v>
      </c>
      <c r="H485" s="5"/>
      <c r="I485" s="6"/>
      <c r="J485" s="6"/>
      <c r="K485" s="6"/>
      <c r="L485" s="6"/>
      <c r="M485" s="7" t="s">
        <v>6017</v>
      </c>
      <c r="N485" s="8" t="str">
        <f>"CFI"&amp;".D"&amp;TEXT(Caja_Finanzas[[#This Row],[FECHA]],"DD-MM")&amp;"-"&amp;TEXT(Caja_Finanzas[[#This Row],[ITEM]],"0000")</f>
        <v>CFI.D23-05-0443</v>
      </c>
      <c r="O485" s="8" t="str">
        <f t="shared" si="40"/>
        <v>PEN</v>
      </c>
      <c r="P485" s="13"/>
      <c r="Q485" s="13">
        <v>70</v>
      </c>
      <c r="R485" s="3">
        <f t="shared" si="36"/>
        <v>0</v>
      </c>
      <c r="S485" s="3">
        <f t="shared" si="37"/>
        <v>70</v>
      </c>
      <c r="T485" s="3">
        <f t="shared" si="38"/>
        <v>9031.7999999999956</v>
      </c>
      <c r="U485" s="24"/>
      <c r="V485" s="24"/>
      <c r="W485" s="3"/>
      <c r="X485" s="25" t="s">
        <v>5596</v>
      </c>
      <c r="Y485" s="25" t="s">
        <v>6018</v>
      </c>
      <c r="Z485" s="25"/>
      <c r="AA485" s="25"/>
      <c r="AB485" s="25"/>
      <c r="AC485" s="3" t="str">
        <f>IF(Caja_Finanzas[[#This Row],[FECHA]]&gt;0,TEXT(Caja_Finanzas[[#This Row],[FECHA]],"mmmm"),0)</f>
        <v>Mayo</v>
      </c>
    </row>
    <row r="486" spans="2:29" ht="36" x14ac:dyDescent="0.3">
      <c r="B486" s="2">
        <f>IF(Caja_Finanzas[[#This Row],[TIPO DE R.]]="R",COUNTIFS($D$4:$D485,"R")+1,"")</f>
        <v>444</v>
      </c>
      <c r="C486" s="19" t="str">
        <f t="shared" si="39"/>
        <v>C-Finanzas</v>
      </c>
      <c r="D486" s="3" t="s">
        <v>1074</v>
      </c>
      <c r="E486" s="14">
        <v>45800</v>
      </c>
      <c r="F486" s="5" t="s">
        <v>5295</v>
      </c>
      <c r="G486" s="5" t="s">
        <v>1079</v>
      </c>
      <c r="H486" s="5"/>
      <c r="I486" s="6"/>
      <c r="J486" s="6"/>
      <c r="K486" s="6"/>
      <c r="L486" s="6"/>
      <c r="M486" s="7" t="s">
        <v>6019</v>
      </c>
      <c r="N486" s="8" t="str">
        <f>"CFI"&amp;".D"&amp;TEXT(Caja_Finanzas[[#This Row],[FECHA]],"DD-MM")&amp;"-"&amp;TEXT(Caja_Finanzas[[#This Row],[ITEM]],"0000")</f>
        <v>CFI.D23-05-0444</v>
      </c>
      <c r="O486" s="8" t="str">
        <f t="shared" si="40"/>
        <v>PEN</v>
      </c>
      <c r="P486" s="13"/>
      <c r="Q486" s="13">
        <v>120</v>
      </c>
      <c r="R486" s="3">
        <f t="shared" si="36"/>
        <v>0</v>
      </c>
      <c r="S486" s="3">
        <f t="shared" si="37"/>
        <v>120</v>
      </c>
      <c r="T486" s="3">
        <f t="shared" si="38"/>
        <v>8911.7999999999956</v>
      </c>
      <c r="U486" s="24"/>
      <c r="V486" s="24"/>
      <c r="W486" s="3"/>
      <c r="X486" s="25" t="s">
        <v>5596</v>
      </c>
      <c r="Y486" s="25" t="s">
        <v>6011</v>
      </c>
      <c r="Z486" s="25"/>
      <c r="AA486" s="25"/>
      <c r="AB486" s="25"/>
      <c r="AC486" s="3" t="str">
        <f>IF(Caja_Finanzas[[#This Row],[FECHA]]&gt;0,TEXT(Caja_Finanzas[[#This Row],[FECHA]],"mmmm"),0)</f>
        <v>Mayo</v>
      </c>
    </row>
    <row r="487" spans="2:29" ht="36" x14ac:dyDescent="0.3">
      <c r="B487" s="2">
        <f>IF(Caja_Finanzas[[#This Row],[TIPO DE R.]]="R",COUNTIFS($D$4:$D486,"R")+1,"")</f>
        <v>445</v>
      </c>
      <c r="C487" s="19" t="str">
        <f t="shared" si="39"/>
        <v>C-Finanzas</v>
      </c>
      <c r="D487" s="3" t="s">
        <v>1074</v>
      </c>
      <c r="E487" s="14">
        <v>45803</v>
      </c>
      <c r="F487" s="5" t="s">
        <v>5301</v>
      </c>
      <c r="G487" s="5" t="s">
        <v>1079</v>
      </c>
      <c r="H487" s="5"/>
      <c r="I487" s="6"/>
      <c r="J487" s="6"/>
      <c r="K487" s="6"/>
      <c r="L487" s="6"/>
      <c r="M487" s="7" t="s">
        <v>6020</v>
      </c>
      <c r="N487" s="8" t="str">
        <f>"CFI"&amp;".D"&amp;TEXT(Caja_Finanzas[[#This Row],[FECHA]],"DD-MM")&amp;"-"&amp;TEXT(Caja_Finanzas[[#This Row],[ITEM]],"0000")</f>
        <v>CFI.D26-05-0445</v>
      </c>
      <c r="O487" s="8" t="str">
        <f t="shared" si="40"/>
        <v>PEN</v>
      </c>
      <c r="P487" s="13"/>
      <c r="Q487" s="13">
        <v>48</v>
      </c>
      <c r="R487" s="3">
        <f t="shared" si="36"/>
        <v>0</v>
      </c>
      <c r="S487" s="3">
        <f t="shared" si="37"/>
        <v>48</v>
      </c>
      <c r="T487" s="3">
        <f t="shared" si="38"/>
        <v>8863.7999999999956</v>
      </c>
      <c r="U487" s="24"/>
      <c r="V487" s="24"/>
      <c r="W487" s="3"/>
      <c r="X487" s="25" t="s">
        <v>5596</v>
      </c>
      <c r="Y487" s="25" t="s">
        <v>6021</v>
      </c>
      <c r="Z487" s="25"/>
      <c r="AA487" s="25"/>
      <c r="AB487" s="25"/>
      <c r="AC487" s="3" t="str">
        <f>IF(Caja_Finanzas[[#This Row],[FECHA]]&gt;0,TEXT(Caja_Finanzas[[#This Row],[FECHA]],"mmmm"),0)</f>
        <v>Mayo</v>
      </c>
    </row>
    <row r="488" spans="2:29" ht="24" x14ac:dyDescent="0.3">
      <c r="B488" s="2">
        <f>IF(Caja_Finanzas[[#This Row],[TIPO DE R.]]="R",COUNTIFS($D$4:$D487,"R")+1,"")</f>
        <v>446</v>
      </c>
      <c r="C488" s="19" t="str">
        <f t="shared" si="39"/>
        <v>C-Finanzas</v>
      </c>
      <c r="D488" s="3" t="s">
        <v>1074</v>
      </c>
      <c r="E488" s="14">
        <v>45803</v>
      </c>
      <c r="F488" s="5" t="s">
        <v>5827</v>
      </c>
      <c r="G488" s="5" t="s">
        <v>1079</v>
      </c>
      <c r="H488" s="5"/>
      <c r="I488" s="6"/>
      <c r="J488" s="6"/>
      <c r="K488" s="6"/>
      <c r="L488" s="6"/>
      <c r="M488" s="7" t="s">
        <v>6022</v>
      </c>
      <c r="N488" s="8" t="str">
        <f>"CFI"&amp;".D"&amp;TEXT(Caja_Finanzas[[#This Row],[FECHA]],"DD-MM")&amp;"-"&amp;TEXT(Caja_Finanzas[[#This Row],[ITEM]],"0000")</f>
        <v>CFI.D26-05-0446</v>
      </c>
      <c r="O488" s="8" t="str">
        <f t="shared" si="40"/>
        <v>PEN</v>
      </c>
      <c r="P488" s="13"/>
      <c r="Q488" s="13">
        <v>222</v>
      </c>
      <c r="R488" s="3">
        <f t="shared" si="36"/>
        <v>0</v>
      </c>
      <c r="S488" s="3">
        <f t="shared" si="37"/>
        <v>222</v>
      </c>
      <c r="T488" s="3">
        <f t="shared" si="38"/>
        <v>8641.7999999999956</v>
      </c>
      <c r="U488" s="24"/>
      <c r="V488" s="24"/>
      <c r="W488" s="3"/>
      <c r="X488" s="25" t="s">
        <v>5596</v>
      </c>
      <c r="Y488" s="25" t="s">
        <v>6023</v>
      </c>
      <c r="Z488" s="25"/>
      <c r="AA488" s="25"/>
      <c r="AB488" s="25"/>
      <c r="AC488" s="3" t="str">
        <f>IF(Caja_Finanzas[[#This Row],[FECHA]]&gt;0,TEXT(Caja_Finanzas[[#This Row],[FECHA]],"mmmm"),0)</f>
        <v>Mayo</v>
      </c>
    </row>
    <row r="489" spans="2:29" x14ac:dyDescent="0.3">
      <c r="B489" s="2">
        <f>IF(Caja_Finanzas[[#This Row],[TIPO DE R.]]="R",COUNTIFS($D$4:$D488,"R")+1,"")</f>
        <v>447</v>
      </c>
      <c r="C489" s="19" t="str">
        <f t="shared" si="39"/>
        <v>C-Finanzas</v>
      </c>
      <c r="D489" s="3" t="s">
        <v>1074</v>
      </c>
      <c r="E489" s="14">
        <v>45804</v>
      </c>
      <c r="F489" s="5" t="s">
        <v>1239</v>
      </c>
      <c r="G489" s="5" t="s">
        <v>1087</v>
      </c>
      <c r="H489" s="5"/>
      <c r="I489" s="6"/>
      <c r="J489" s="6"/>
      <c r="K489" s="6"/>
      <c r="L489" s="6"/>
      <c r="M489" s="7" t="s">
        <v>5156</v>
      </c>
      <c r="N489" s="8" t="str">
        <f>"CFI"&amp;".D"&amp;TEXT(Caja_Finanzas[[#This Row],[FECHA]],"DD-MM")&amp;"-"&amp;TEXT(Caja_Finanzas[[#This Row],[ITEM]],"0000")</f>
        <v>CFI.D27-05-0447</v>
      </c>
      <c r="O489" s="8" t="str">
        <f t="shared" si="40"/>
        <v>PEN</v>
      </c>
      <c r="P489" s="13"/>
      <c r="Q489" s="13">
        <v>400</v>
      </c>
      <c r="R489" s="3">
        <f t="shared" si="36"/>
        <v>400</v>
      </c>
      <c r="S489" s="3">
        <f t="shared" si="37"/>
        <v>0</v>
      </c>
      <c r="T489" s="3">
        <f t="shared" si="38"/>
        <v>9041.7999999999956</v>
      </c>
      <c r="U489" s="24"/>
      <c r="V489" s="24"/>
      <c r="W489" s="3"/>
      <c r="X489" s="25"/>
      <c r="Y489" s="25" t="s">
        <v>6024</v>
      </c>
      <c r="Z489" s="25"/>
      <c r="AA489" s="25"/>
      <c r="AB489" s="25"/>
      <c r="AC489" s="3" t="str">
        <f>IF(Caja_Finanzas[[#This Row],[FECHA]]&gt;0,TEXT(Caja_Finanzas[[#This Row],[FECHA]],"mmmm"),0)</f>
        <v>Mayo</v>
      </c>
    </row>
    <row r="490" spans="2:29" ht="24" x14ac:dyDescent="0.3">
      <c r="B490" s="2">
        <f>IF(Caja_Finanzas[[#This Row],[TIPO DE R.]]="R",COUNTIFS($D$4:$D489,"R")+1,"")</f>
        <v>448</v>
      </c>
      <c r="C490" s="19" t="str">
        <f t="shared" si="39"/>
        <v>C-Finanzas</v>
      </c>
      <c r="D490" s="3" t="s">
        <v>1074</v>
      </c>
      <c r="E490" s="14">
        <v>45804</v>
      </c>
      <c r="F490" s="5" t="s">
        <v>1435</v>
      </c>
      <c r="G490" s="5" t="s">
        <v>1087</v>
      </c>
      <c r="H490" s="5"/>
      <c r="I490" s="6"/>
      <c r="J490" s="6"/>
      <c r="K490" s="6"/>
      <c r="L490" s="6"/>
      <c r="M490" s="7" t="s">
        <v>5156</v>
      </c>
      <c r="N490" s="8" t="str">
        <f>"CFI"&amp;".D"&amp;TEXT(Caja_Finanzas[[#This Row],[FECHA]],"DD-MM")&amp;"-"&amp;TEXT(Caja_Finanzas[[#This Row],[ITEM]],"0000")</f>
        <v>CFI.D27-05-0448</v>
      </c>
      <c r="O490" s="8" t="str">
        <f t="shared" si="40"/>
        <v>PEN</v>
      </c>
      <c r="P490" s="13"/>
      <c r="Q490" s="13">
        <v>140</v>
      </c>
      <c r="R490" s="3">
        <f t="shared" si="36"/>
        <v>140</v>
      </c>
      <c r="S490" s="3">
        <f t="shared" si="37"/>
        <v>0</v>
      </c>
      <c r="T490" s="3">
        <f t="shared" si="38"/>
        <v>9181.7999999999956</v>
      </c>
      <c r="U490" s="24"/>
      <c r="V490" s="24"/>
      <c r="W490" s="3"/>
      <c r="X490" s="25"/>
      <c r="Y490" s="25" t="s">
        <v>6025</v>
      </c>
      <c r="Z490" s="25"/>
      <c r="AA490" s="25"/>
      <c r="AB490" s="25"/>
      <c r="AC490" s="3" t="str">
        <f>IF(Caja_Finanzas[[#This Row],[FECHA]]&gt;0,TEXT(Caja_Finanzas[[#This Row],[FECHA]],"mmmm"),0)</f>
        <v>Mayo</v>
      </c>
    </row>
    <row r="491" spans="2:29" ht="24" x14ac:dyDescent="0.3">
      <c r="B491" s="2">
        <f>IF(Caja_Finanzas[[#This Row],[TIPO DE R.]]="R",COUNTIFS($D$4:$D490,"R")+1,"")</f>
        <v>449</v>
      </c>
      <c r="C491" s="19" t="str">
        <f t="shared" si="39"/>
        <v>C-Finanzas</v>
      </c>
      <c r="D491" s="3" t="s">
        <v>1074</v>
      </c>
      <c r="E491" s="14">
        <v>45804</v>
      </c>
      <c r="F491" s="5" t="s">
        <v>1435</v>
      </c>
      <c r="G491" s="5" t="s">
        <v>1087</v>
      </c>
      <c r="H491" s="5"/>
      <c r="I491" s="6"/>
      <c r="J491" s="6"/>
      <c r="K491" s="6"/>
      <c r="L491" s="6"/>
      <c r="M491" s="7" t="s">
        <v>5156</v>
      </c>
      <c r="N491" s="8" t="str">
        <f>"CFI"&amp;".D"&amp;TEXT(Caja_Finanzas[[#This Row],[FECHA]],"DD-MM")&amp;"-"&amp;TEXT(Caja_Finanzas[[#This Row],[ITEM]],"0000")</f>
        <v>CFI.D27-05-0449</v>
      </c>
      <c r="O491" s="8" t="str">
        <f t="shared" si="40"/>
        <v>PEN</v>
      </c>
      <c r="P491" s="13"/>
      <c r="Q491" s="13">
        <v>438</v>
      </c>
      <c r="R491" s="3">
        <f t="shared" si="36"/>
        <v>438</v>
      </c>
      <c r="S491" s="3">
        <f t="shared" si="37"/>
        <v>0</v>
      </c>
      <c r="T491" s="3">
        <f t="shared" si="38"/>
        <v>9619.7999999999956</v>
      </c>
      <c r="U491" s="24"/>
      <c r="V491" s="24"/>
      <c r="W491" s="3"/>
      <c r="X491" s="25"/>
      <c r="Y491" s="25" t="s">
        <v>6026</v>
      </c>
      <c r="Z491" s="25"/>
      <c r="AA491" s="25"/>
      <c r="AB491" s="25"/>
      <c r="AC491" s="3" t="str">
        <f>IF(Caja_Finanzas[[#This Row],[FECHA]]&gt;0,TEXT(Caja_Finanzas[[#This Row],[FECHA]],"mmmm"),0)</f>
        <v>Mayo</v>
      </c>
    </row>
    <row r="492" spans="2:29" ht="36" x14ac:dyDescent="0.3">
      <c r="B492" s="2">
        <f>IF(Caja_Finanzas[[#This Row],[TIPO DE R.]]="R",COUNTIFS($D$4:$D491,"R")+1,"")</f>
        <v>450</v>
      </c>
      <c r="C492" s="19" t="str">
        <f t="shared" si="39"/>
        <v>C-Finanzas</v>
      </c>
      <c r="D492" s="3" t="s">
        <v>1074</v>
      </c>
      <c r="E492" s="14">
        <v>45804</v>
      </c>
      <c r="F492" s="5" t="s">
        <v>3532</v>
      </c>
      <c r="G492" s="5" t="s">
        <v>1079</v>
      </c>
      <c r="H492" s="5"/>
      <c r="I492" s="6"/>
      <c r="J492" s="6"/>
      <c r="K492" s="6"/>
      <c r="L492" s="6"/>
      <c r="M492" s="7" t="s">
        <v>6027</v>
      </c>
      <c r="N492" s="8" t="str">
        <f>"CFI"&amp;".D"&amp;TEXT(Caja_Finanzas[[#This Row],[FECHA]],"DD-MM")&amp;"-"&amp;TEXT(Caja_Finanzas[[#This Row],[ITEM]],"0000")</f>
        <v>CFI.D27-05-0450</v>
      </c>
      <c r="O492" s="8" t="str">
        <f t="shared" si="40"/>
        <v>PEN</v>
      </c>
      <c r="P492" s="13"/>
      <c r="Q492" s="13">
        <v>700</v>
      </c>
      <c r="R492" s="3">
        <f t="shared" si="36"/>
        <v>0</v>
      </c>
      <c r="S492" s="3">
        <f t="shared" si="37"/>
        <v>700</v>
      </c>
      <c r="T492" s="3">
        <f t="shared" si="38"/>
        <v>8919.7999999999956</v>
      </c>
      <c r="U492" s="24"/>
      <c r="V492" s="24"/>
      <c r="W492" s="3"/>
      <c r="X492" s="25" t="s">
        <v>496</v>
      </c>
      <c r="Y492" s="25" t="s">
        <v>6028</v>
      </c>
      <c r="Z492" s="25"/>
      <c r="AA492" s="25"/>
      <c r="AB492" s="25"/>
      <c r="AC492" s="3" t="str">
        <f>IF(Caja_Finanzas[[#This Row],[FECHA]]&gt;0,TEXT(Caja_Finanzas[[#This Row],[FECHA]],"mmmm"),0)</f>
        <v>Mayo</v>
      </c>
    </row>
    <row r="493" spans="2:29" ht="48" x14ac:dyDescent="0.3">
      <c r="B493" s="2">
        <f>IF(Caja_Finanzas[[#This Row],[TIPO DE R.]]="R",COUNTIFS($D$4:$D492,"R")+1,"")</f>
        <v>451</v>
      </c>
      <c r="C493" s="19" t="str">
        <f t="shared" si="39"/>
        <v>C-Finanzas</v>
      </c>
      <c r="D493" s="3" t="s">
        <v>1074</v>
      </c>
      <c r="E493" s="14">
        <v>45804</v>
      </c>
      <c r="F493" s="5" t="s">
        <v>3532</v>
      </c>
      <c r="G493" s="5" t="s">
        <v>1079</v>
      </c>
      <c r="H493" s="5"/>
      <c r="I493" s="6"/>
      <c r="J493" s="6"/>
      <c r="K493" s="6"/>
      <c r="L493" s="6"/>
      <c r="M493" s="7" t="s">
        <v>6029</v>
      </c>
      <c r="N493" s="8" t="str">
        <f>"CFI"&amp;".D"&amp;TEXT(Caja_Finanzas[[#This Row],[FECHA]],"DD-MM")&amp;"-"&amp;TEXT(Caja_Finanzas[[#This Row],[ITEM]],"0000")</f>
        <v>CFI.D27-05-0451</v>
      </c>
      <c r="O493" s="8" t="str">
        <f t="shared" si="40"/>
        <v>PEN</v>
      </c>
      <c r="P493" s="13"/>
      <c r="Q493" s="13">
        <v>800</v>
      </c>
      <c r="R493" s="3">
        <f t="shared" si="36"/>
        <v>0</v>
      </c>
      <c r="S493" s="3">
        <f t="shared" si="37"/>
        <v>800</v>
      </c>
      <c r="T493" s="3">
        <f t="shared" si="38"/>
        <v>8119.7999999999956</v>
      </c>
      <c r="U493" s="24"/>
      <c r="V493" s="24"/>
      <c r="W493" s="3"/>
      <c r="X493" s="25" t="s">
        <v>631</v>
      </c>
      <c r="Y493" s="25" t="s">
        <v>6030</v>
      </c>
      <c r="Z493" s="25"/>
      <c r="AA493" s="25"/>
      <c r="AB493" s="25"/>
      <c r="AC493" s="3" t="str">
        <f>IF(Caja_Finanzas[[#This Row],[FECHA]]&gt;0,TEXT(Caja_Finanzas[[#This Row],[FECHA]],"mmmm"),0)</f>
        <v>Mayo</v>
      </c>
    </row>
    <row r="494" spans="2:29" ht="24" x14ac:dyDescent="0.3">
      <c r="B494" s="2">
        <f>IF(Caja_Finanzas[[#This Row],[TIPO DE R.]]="R",COUNTIFS($D$4:$D493,"R")+1,"")</f>
        <v>452</v>
      </c>
      <c r="C494" s="19" t="str">
        <f t="shared" si="39"/>
        <v>C-Finanzas</v>
      </c>
      <c r="D494" s="3" t="s">
        <v>1074</v>
      </c>
      <c r="E494" s="14">
        <v>45805</v>
      </c>
      <c r="F494" s="5" t="s">
        <v>5295</v>
      </c>
      <c r="G494" s="5" t="s">
        <v>1079</v>
      </c>
      <c r="H494" s="5"/>
      <c r="I494" s="6"/>
      <c r="J494" s="6"/>
      <c r="K494" s="6"/>
      <c r="L494" s="6"/>
      <c r="M494" s="7" t="s">
        <v>6031</v>
      </c>
      <c r="N494" s="8" t="str">
        <f>"CFI"&amp;".D"&amp;TEXT(Caja_Finanzas[[#This Row],[FECHA]],"DD-MM")&amp;"-"&amp;TEXT(Caja_Finanzas[[#This Row],[ITEM]],"0000")</f>
        <v>CFI.D28-05-0452</v>
      </c>
      <c r="O494" s="8" t="str">
        <f t="shared" si="40"/>
        <v>PEN</v>
      </c>
      <c r="P494" s="13"/>
      <c r="Q494" s="13">
        <v>25</v>
      </c>
      <c r="R494" s="3">
        <f t="shared" si="36"/>
        <v>0</v>
      </c>
      <c r="S494" s="3">
        <f t="shared" si="37"/>
        <v>25</v>
      </c>
      <c r="T494" s="3">
        <f t="shared" si="38"/>
        <v>8094.7999999999956</v>
      </c>
      <c r="U494" s="24"/>
      <c r="V494" s="24"/>
      <c r="W494" s="3"/>
      <c r="X494" s="25" t="s">
        <v>5596</v>
      </c>
      <c r="Y494" s="25" t="s">
        <v>6032</v>
      </c>
      <c r="Z494" s="25"/>
      <c r="AA494" s="25"/>
      <c r="AB494" s="25"/>
      <c r="AC494" s="3" t="str">
        <f>IF(Caja_Finanzas[[#This Row],[FECHA]]&gt;0,TEXT(Caja_Finanzas[[#This Row],[FECHA]],"mmmm"),0)</f>
        <v>Mayo</v>
      </c>
    </row>
    <row r="495" spans="2:29" ht="24" x14ac:dyDescent="0.3">
      <c r="B495" s="2">
        <f>IF(Caja_Finanzas[[#This Row],[TIPO DE R.]]="R",COUNTIFS($D$4:$D494,"R")+1,"")</f>
        <v>453</v>
      </c>
      <c r="C495" s="19" t="str">
        <f t="shared" si="39"/>
        <v>C-Finanzas</v>
      </c>
      <c r="D495" s="3" t="s">
        <v>1074</v>
      </c>
      <c r="E495" s="14">
        <v>45805</v>
      </c>
      <c r="F495" s="5" t="s">
        <v>5295</v>
      </c>
      <c r="G495" s="5" t="s">
        <v>1079</v>
      </c>
      <c r="H495" s="5"/>
      <c r="I495" s="6"/>
      <c r="J495" s="6"/>
      <c r="K495" s="6"/>
      <c r="L495" s="6"/>
      <c r="M495" s="7" t="s">
        <v>6033</v>
      </c>
      <c r="N495" s="8" t="str">
        <f>"CFI"&amp;".D"&amp;TEXT(Caja_Finanzas[[#This Row],[FECHA]],"DD-MM")&amp;"-"&amp;TEXT(Caja_Finanzas[[#This Row],[ITEM]],"0000")</f>
        <v>CFI.D28-05-0453</v>
      </c>
      <c r="O495" s="8" t="str">
        <f t="shared" si="40"/>
        <v>PEN</v>
      </c>
      <c r="P495" s="13"/>
      <c r="Q495" s="13">
        <v>66</v>
      </c>
      <c r="R495" s="3">
        <f t="shared" si="36"/>
        <v>0</v>
      </c>
      <c r="S495" s="3">
        <f t="shared" si="37"/>
        <v>66</v>
      </c>
      <c r="T495" s="3">
        <f t="shared" si="38"/>
        <v>8028.7999999999956</v>
      </c>
      <c r="U495" s="24"/>
      <c r="V495" s="24"/>
      <c r="W495" s="3"/>
      <c r="X495" s="25" t="s">
        <v>5596</v>
      </c>
      <c r="Y495" s="25" t="s">
        <v>6034</v>
      </c>
      <c r="Z495" s="25"/>
      <c r="AA495" s="25"/>
      <c r="AB495" s="25"/>
      <c r="AC495" s="3" t="str">
        <f>IF(Caja_Finanzas[[#This Row],[FECHA]]&gt;0,TEXT(Caja_Finanzas[[#This Row],[FECHA]],"mmmm"),0)</f>
        <v>Mayo</v>
      </c>
    </row>
    <row r="496" spans="2:29" ht="24" x14ac:dyDescent="0.3">
      <c r="B496" s="2">
        <f>IF(Caja_Finanzas[[#This Row],[TIPO DE R.]]="R",COUNTIFS($D$4:$D495,"R")+1,"")</f>
        <v>454</v>
      </c>
      <c r="C496" s="19" t="str">
        <f t="shared" si="39"/>
        <v>C-Finanzas</v>
      </c>
      <c r="D496" s="3" t="s">
        <v>1074</v>
      </c>
      <c r="E496" s="14">
        <v>45805</v>
      </c>
      <c r="F496" s="5" t="s">
        <v>5295</v>
      </c>
      <c r="G496" s="5" t="s">
        <v>1079</v>
      </c>
      <c r="H496" s="5"/>
      <c r="I496" s="6"/>
      <c r="J496" s="6"/>
      <c r="K496" s="6"/>
      <c r="L496" s="6"/>
      <c r="M496" s="7" t="s">
        <v>6035</v>
      </c>
      <c r="N496" s="8" t="str">
        <f>"CFI"&amp;".D"&amp;TEXT(Caja_Finanzas[[#This Row],[FECHA]],"DD-MM")&amp;"-"&amp;TEXT(Caja_Finanzas[[#This Row],[ITEM]],"0000")</f>
        <v>CFI.D28-05-0454</v>
      </c>
      <c r="O496" s="8" t="str">
        <f t="shared" si="40"/>
        <v>PEN</v>
      </c>
      <c r="P496" s="13"/>
      <c r="Q496" s="13">
        <v>20</v>
      </c>
      <c r="R496" s="3">
        <f t="shared" si="36"/>
        <v>0</v>
      </c>
      <c r="S496" s="3">
        <f t="shared" si="37"/>
        <v>20</v>
      </c>
      <c r="T496" s="3">
        <f t="shared" si="38"/>
        <v>8008.7999999999956</v>
      </c>
      <c r="U496" s="24"/>
      <c r="V496" s="24"/>
      <c r="W496" s="3"/>
      <c r="X496" s="25" t="s">
        <v>5596</v>
      </c>
      <c r="Y496" s="25" t="s">
        <v>6036</v>
      </c>
      <c r="Z496" s="25"/>
      <c r="AA496" s="25"/>
      <c r="AB496" s="25"/>
      <c r="AC496" s="3" t="str">
        <f>IF(Caja_Finanzas[[#This Row],[FECHA]]&gt;0,TEXT(Caja_Finanzas[[#This Row],[FECHA]],"mmmm"),0)</f>
        <v>Mayo</v>
      </c>
    </row>
    <row r="497" spans="2:29" ht="48" x14ac:dyDescent="0.3">
      <c r="B497" s="2">
        <f>IF(Caja_Finanzas[[#This Row],[TIPO DE R.]]="R",COUNTIFS($D$4:$D496,"R")+1,"")</f>
        <v>455</v>
      </c>
      <c r="C497" s="19" t="str">
        <f t="shared" si="39"/>
        <v>C-Finanzas</v>
      </c>
      <c r="D497" s="3" t="s">
        <v>1074</v>
      </c>
      <c r="E497" s="14">
        <v>45805</v>
      </c>
      <c r="F497" s="5" t="s">
        <v>5443</v>
      </c>
      <c r="G497" s="5" t="s">
        <v>1079</v>
      </c>
      <c r="H497" s="5"/>
      <c r="I497" s="6"/>
      <c r="J497" s="6"/>
      <c r="K497" s="6"/>
      <c r="L497" s="6"/>
      <c r="M497" s="7" t="s">
        <v>6037</v>
      </c>
      <c r="N497" s="8" t="str">
        <f>"CFI"&amp;".D"&amp;TEXT(Caja_Finanzas[[#This Row],[FECHA]],"DD-MM")&amp;"-"&amp;TEXT(Caja_Finanzas[[#This Row],[ITEM]],"0000")</f>
        <v>CFI.D28-05-0455</v>
      </c>
      <c r="O497" s="8" t="str">
        <f t="shared" si="40"/>
        <v>PEN</v>
      </c>
      <c r="P497" s="13"/>
      <c r="Q497" s="13">
        <v>244</v>
      </c>
      <c r="R497" s="3">
        <f t="shared" si="36"/>
        <v>0</v>
      </c>
      <c r="S497" s="3">
        <f t="shared" si="37"/>
        <v>244</v>
      </c>
      <c r="T497" s="3">
        <f t="shared" si="38"/>
        <v>7764.7999999999956</v>
      </c>
      <c r="U497" s="24"/>
      <c r="V497" s="24"/>
      <c r="W497" s="3"/>
      <c r="X497" s="25" t="s">
        <v>5596</v>
      </c>
      <c r="Y497" s="25" t="s">
        <v>6038</v>
      </c>
      <c r="Z497" s="25"/>
      <c r="AA497" s="25"/>
      <c r="AB497" s="25"/>
      <c r="AC497" s="3" t="str">
        <f>IF(Caja_Finanzas[[#This Row],[FECHA]]&gt;0,TEXT(Caja_Finanzas[[#This Row],[FECHA]],"mmmm"),0)</f>
        <v>Mayo</v>
      </c>
    </row>
    <row r="498" spans="2:29" x14ac:dyDescent="0.3">
      <c r="B498" s="2">
        <f>IF(Caja_Finanzas[[#This Row],[TIPO DE R.]]="R",COUNTIFS($D$4:$D497,"R")+1,"")</f>
        <v>456</v>
      </c>
      <c r="C498" s="19" t="str">
        <f t="shared" si="39"/>
        <v>C-Finanzas</v>
      </c>
      <c r="D498" s="3" t="s">
        <v>1074</v>
      </c>
      <c r="E498" s="14">
        <v>45806</v>
      </c>
      <c r="F498" s="5" t="s">
        <v>2518</v>
      </c>
      <c r="G498" s="5" t="s">
        <v>1087</v>
      </c>
      <c r="H498" s="5"/>
      <c r="I498" s="6"/>
      <c r="J498" s="6"/>
      <c r="K498" s="6"/>
      <c r="L498" s="6"/>
      <c r="M498" s="7" t="s">
        <v>5156</v>
      </c>
      <c r="N498" s="8" t="str">
        <f>"CFI"&amp;".D"&amp;TEXT(Caja_Finanzas[[#This Row],[FECHA]],"DD-MM")&amp;"-"&amp;TEXT(Caja_Finanzas[[#This Row],[ITEM]],"0000")</f>
        <v>CFI.D29-05-0456</v>
      </c>
      <c r="O498" s="8" t="str">
        <f t="shared" si="40"/>
        <v>PEN</v>
      </c>
      <c r="P498" s="13"/>
      <c r="Q498" s="13">
        <v>240</v>
      </c>
      <c r="R498" s="3">
        <f t="shared" si="36"/>
        <v>240</v>
      </c>
      <c r="S498" s="3">
        <f t="shared" si="37"/>
        <v>0</v>
      </c>
      <c r="T498" s="3">
        <f t="shared" si="38"/>
        <v>8004.7999999999956</v>
      </c>
      <c r="U498" s="24"/>
      <c r="V498" s="24"/>
      <c r="W498" s="3"/>
      <c r="X498" s="25" t="s">
        <v>368</v>
      </c>
      <c r="Y498" s="25" t="s">
        <v>6039</v>
      </c>
      <c r="Z498" s="25"/>
      <c r="AA498" s="25"/>
      <c r="AB498" s="25"/>
      <c r="AC498" s="3" t="str">
        <f>IF(Caja_Finanzas[[#This Row],[FECHA]]&gt;0,TEXT(Caja_Finanzas[[#This Row],[FECHA]],"mmmm"),0)</f>
        <v>Mayo</v>
      </c>
    </row>
    <row r="499" spans="2:29" x14ac:dyDescent="0.3">
      <c r="B499" s="2">
        <f>IF(Caja_Finanzas[[#This Row],[TIPO DE R.]]="R",COUNTIFS($D$4:$D498,"R")+1,"")</f>
        <v>457</v>
      </c>
      <c r="C499" s="19" t="str">
        <f t="shared" si="39"/>
        <v>C-Finanzas</v>
      </c>
      <c r="D499" s="3" t="s">
        <v>1074</v>
      </c>
      <c r="E499" s="14">
        <v>45806</v>
      </c>
      <c r="F499" s="5" t="s">
        <v>5449</v>
      </c>
      <c r="G499" s="5" t="s">
        <v>1087</v>
      </c>
      <c r="H499" s="5"/>
      <c r="I499" s="6"/>
      <c r="J499" s="6"/>
      <c r="K499" s="6"/>
      <c r="L499" s="6"/>
      <c r="M499" s="7" t="s">
        <v>5156</v>
      </c>
      <c r="N499" s="8" t="str">
        <f>"CFI"&amp;".D"&amp;TEXT(Caja_Finanzas[[#This Row],[FECHA]],"DD-MM")&amp;"-"&amp;TEXT(Caja_Finanzas[[#This Row],[ITEM]],"0000")</f>
        <v>CFI.D29-05-0457</v>
      </c>
      <c r="O499" s="8" t="str">
        <f t="shared" si="40"/>
        <v>PEN</v>
      </c>
      <c r="P499" s="13"/>
      <c r="Q499" s="13">
        <v>3650</v>
      </c>
      <c r="R499" s="3">
        <f t="shared" si="36"/>
        <v>3650</v>
      </c>
      <c r="S499" s="3">
        <f t="shared" si="37"/>
        <v>0</v>
      </c>
      <c r="T499" s="3">
        <f t="shared" si="38"/>
        <v>11654.799999999996</v>
      </c>
      <c r="U499" s="24"/>
      <c r="V499" s="24"/>
      <c r="W499" s="3"/>
      <c r="X499" s="25" t="s">
        <v>368</v>
      </c>
      <c r="Y499" s="25" t="s">
        <v>6040</v>
      </c>
      <c r="Z499" s="25"/>
      <c r="AA499" s="25"/>
      <c r="AB499" s="25"/>
      <c r="AC499" s="3" t="str">
        <f>IF(Caja_Finanzas[[#This Row],[FECHA]]&gt;0,TEXT(Caja_Finanzas[[#This Row],[FECHA]],"mmmm"),0)</f>
        <v>Mayo</v>
      </c>
    </row>
    <row r="500" spans="2:29" ht="24" x14ac:dyDescent="0.3">
      <c r="B500" s="2">
        <f>IF(Caja_Finanzas[[#This Row],[TIPO DE R.]]="R",COUNTIFS($D$4:$D499,"R")+1,"")</f>
        <v>458</v>
      </c>
      <c r="C500" s="19" t="str">
        <f t="shared" si="39"/>
        <v>C-Finanzas</v>
      </c>
      <c r="D500" s="3" t="s">
        <v>1074</v>
      </c>
      <c r="E500" s="14">
        <v>45807</v>
      </c>
      <c r="F500" s="5" t="s">
        <v>2906</v>
      </c>
      <c r="G500" s="5" t="s">
        <v>1087</v>
      </c>
      <c r="H500" s="5"/>
      <c r="I500" s="6"/>
      <c r="J500" s="6"/>
      <c r="K500" s="6"/>
      <c r="L500" s="6"/>
      <c r="M500" s="7" t="s">
        <v>5156</v>
      </c>
      <c r="N500" s="8" t="str">
        <f>"CFI"&amp;".D"&amp;TEXT(Caja_Finanzas[[#This Row],[FECHA]],"DD-MM")&amp;"-"&amp;TEXT(Caja_Finanzas[[#This Row],[ITEM]],"0000")</f>
        <v>CFI.D30-05-0458</v>
      </c>
      <c r="O500" s="8" t="str">
        <f t="shared" si="40"/>
        <v>PEN</v>
      </c>
      <c r="P500" s="13"/>
      <c r="Q500" s="13">
        <v>654</v>
      </c>
      <c r="R500" s="3">
        <f t="shared" si="36"/>
        <v>654</v>
      </c>
      <c r="S500" s="3">
        <f t="shared" si="37"/>
        <v>0</v>
      </c>
      <c r="T500" s="3">
        <f t="shared" si="38"/>
        <v>12308.799999999996</v>
      </c>
      <c r="U500" s="24"/>
      <c r="V500" s="24"/>
      <c r="W500" s="3"/>
      <c r="X500" s="25" t="s">
        <v>368</v>
      </c>
      <c r="Y500" s="25" t="s">
        <v>2908</v>
      </c>
      <c r="Z500" s="25"/>
      <c r="AA500" s="25"/>
      <c r="AB500" s="25"/>
      <c r="AC500" s="3" t="str">
        <f>IF(Caja_Finanzas[[#This Row],[FECHA]]&gt;0,TEXT(Caja_Finanzas[[#This Row],[FECHA]],"mmmm"),0)</f>
        <v>Mayo</v>
      </c>
    </row>
    <row r="501" spans="2:29" ht="36" x14ac:dyDescent="0.3">
      <c r="B501" s="2">
        <f>IF(Caja_Finanzas[[#This Row],[TIPO DE R.]]="R",COUNTIFS($D$4:$D500,"R")+1,"")</f>
        <v>459</v>
      </c>
      <c r="C501" s="19" t="str">
        <f t="shared" si="39"/>
        <v>C-Finanzas</v>
      </c>
      <c r="D501" s="3" t="s">
        <v>1074</v>
      </c>
      <c r="E501" s="14">
        <v>45807</v>
      </c>
      <c r="F501" s="5" t="s">
        <v>5301</v>
      </c>
      <c r="G501" s="5" t="s">
        <v>1079</v>
      </c>
      <c r="H501" s="5"/>
      <c r="I501" s="6"/>
      <c r="J501" s="6"/>
      <c r="K501" s="6"/>
      <c r="L501" s="6"/>
      <c r="M501" s="7" t="s">
        <v>6041</v>
      </c>
      <c r="N501" s="8" t="str">
        <f>"CFI"&amp;".D"&amp;TEXT(Caja_Finanzas[[#This Row],[FECHA]],"DD-MM")&amp;"-"&amp;TEXT(Caja_Finanzas[[#This Row],[ITEM]],"0000")</f>
        <v>CFI.D30-05-0459</v>
      </c>
      <c r="O501" s="8" t="str">
        <f t="shared" si="40"/>
        <v>PEN</v>
      </c>
      <c r="P501" s="13"/>
      <c r="Q501" s="13">
        <v>6169</v>
      </c>
      <c r="R501" s="3">
        <f t="shared" si="36"/>
        <v>0</v>
      </c>
      <c r="S501" s="3">
        <f t="shared" si="37"/>
        <v>6169</v>
      </c>
      <c r="T501" s="3">
        <f t="shared" si="38"/>
        <v>6139.7999999999956</v>
      </c>
      <c r="U501" s="24"/>
      <c r="V501" s="24"/>
      <c r="W501" s="3"/>
      <c r="X501" s="25" t="s">
        <v>4015</v>
      </c>
      <c r="Y501" s="25"/>
      <c r="Z501" s="25"/>
      <c r="AA501" s="25"/>
      <c r="AB501" s="25"/>
      <c r="AC501" s="3" t="str">
        <f>IF(Caja_Finanzas[[#This Row],[FECHA]]&gt;0,TEXT(Caja_Finanzas[[#This Row],[FECHA]],"mmmm"),0)</f>
        <v>Mayo</v>
      </c>
    </row>
    <row r="502" spans="2:29" ht="24" x14ac:dyDescent="0.3">
      <c r="B502" s="2">
        <f>IF(Caja_Finanzas[[#This Row],[TIPO DE R.]]="R",COUNTIFS($D$4:$D501,"R")+1,"")</f>
        <v>460</v>
      </c>
      <c r="C502" s="19" t="str">
        <f t="shared" si="39"/>
        <v>C-Finanzas</v>
      </c>
      <c r="D502" s="3" t="s">
        <v>1074</v>
      </c>
      <c r="E502" s="14">
        <v>45811</v>
      </c>
      <c r="F502" s="5" t="s">
        <v>5827</v>
      </c>
      <c r="G502" s="5" t="s">
        <v>1079</v>
      </c>
      <c r="H502" s="5"/>
      <c r="I502" s="6"/>
      <c r="J502" s="6"/>
      <c r="K502" s="6"/>
      <c r="L502" s="6"/>
      <c r="M502" s="7" t="s">
        <v>6042</v>
      </c>
      <c r="N502" s="8" t="str">
        <f>"CFI"&amp;".D"&amp;TEXT(Caja_Finanzas[[#This Row],[FECHA]],"DD-MM")&amp;"-"&amp;TEXT(Caja_Finanzas[[#This Row],[ITEM]],"0000")</f>
        <v>CFI.D03-06-0460</v>
      </c>
      <c r="O502" s="8" t="str">
        <f t="shared" si="40"/>
        <v>PEN</v>
      </c>
      <c r="P502" s="13"/>
      <c r="Q502" s="13">
        <v>360</v>
      </c>
      <c r="R502" s="3">
        <f t="shared" si="36"/>
        <v>0</v>
      </c>
      <c r="S502" s="3">
        <f t="shared" si="37"/>
        <v>360</v>
      </c>
      <c r="T502" s="3">
        <f t="shared" si="38"/>
        <v>5779.7999999999956</v>
      </c>
      <c r="U502" s="24"/>
      <c r="V502" s="24"/>
      <c r="W502" s="3"/>
      <c r="X502" s="25" t="s">
        <v>6043</v>
      </c>
      <c r="Y502" s="25" t="s">
        <v>6044</v>
      </c>
      <c r="Z502" s="25"/>
      <c r="AA502" s="25"/>
      <c r="AB502" s="25"/>
      <c r="AC502" s="3" t="str">
        <f>IF(Caja_Finanzas[[#This Row],[FECHA]]&gt;0,TEXT(Caja_Finanzas[[#This Row],[FECHA]],"mmmm"),0)</f>
        <v>Junio</v>
      </c>
    </row>
    <row r="503" spans="2:29" ht="24" x14ac:dyDescent="0.3">
      <c r="B503" s="2">
        <f>IF(Caja_Finanzas[[#This Row],[TIPO DE R.]]="R",COUNTIFS($D$4:$D502,"R")+1,"")</f>
        <v>461</v>
      </c>
      <c r="C503" s="19" t="str">
        <f t="shared" si="39"/>
        <v>C-Finanzas</v>
      </c>
      <c r="D503" s="3" t="s">
        <v>1074</v>
      </c>
      <c r="E503" s="14">
        <v>45811</v>
      </c>
      <c r="F503" s="5" t="s">
        <v>2906</v>
      </c>
      <c r="G503" s="5" t="s">
        <v>1087</v>
      </c>
      <c r="H503" s="5"/>
      <c r="I503" s="6"/>
      <c r="J503" s="6"/>
      <c r="K503" s="6"/>
      <c r="L503" s="6"/>
      <c r="M503" s="7" t="s">
        <v>5156</v>
      </c>
      <c r="N503" s="8" t="str">
        <f>"CFI"&amp;".D"&amp;TEXT(Caja_Finanzas[[#This Row],[FECHA]],"DD-MM")&amp;"-"&amp;TEXT(Caja_Finanzas[[#This Row],[ITEM]],"0000")</f>
        <v>CFI.D03-06-0461</v>
      </c>
      <c r="O503" s="8" t="str">
        <f t="shared" si="40"/>
        <v>PEN</v>
      </c>
      <c r="P503" s="13"/>
      <c r="Q503" s="13">
        <v>654</v>
      </c>
      <c r="R503" s="3">
        <f t="shared" si="36"/>
        <v>654</v>
      </c>
      <c r="S503" s="3">
        <f t="shared" si="37"/>
        <v>0</v>
      </c>
      <c r="T503" s="3">
        <f t="shared" si="38"/>
        <v>6433.7999999999956</v>
      </c>
      <c r="U503" s="24"/>
      <c r="V503" s="24"/>
      <c r="W503" s="3"/>
      <c r="X503" s="25" t="s">
        <v>368</v>
      </c>
      <c r="Y503" s="25" t="s">
        <v>2908</v>
      </c>
      <c r="Z503" s="25"/>
      <c r="AA503" s="25"/>
      <c r="AB503" s="25"/>
      <c r="AC503" s="3" t="str">
        <f>IF(Caja_Finanzas[[#This Row],[FECHA]]&gt;0,TEXT(Caja_Finanzas[[#This Row],[FECHA]],"mmmm"),0)</f>
        <v>Junio</v>
      </c>
    </row>
    <row r="504" spans="2:29" ht="24" x14ac:dyDescent="0.3">
      <c r="B504" s="2">
        <f>IF(Caja_Finanzas[[#This Row],[TIPO DE R.]]="R",COUNTIFS($D$4:$D503,"R")+1,"")</f>
        <v>462</v>
      </c>
      <c r="C504" s="19" t="str">
        <f t="shared" si="39"/>
        <v>C-Finanzas</v>
      </c>
      <c r="D504" s="3" t="s">
        <v>1074</v>
      </c>
      <c r="E504" s="14">
        <v>45811</v>
      </c>
      <c r="F504" s="5" t="s">
        <v>3816</v>
      </c>
      <c r="G504" s="5" t="s">
        <v>1087</v>
      </c>
      <c r="H504" s="5"/>
      <c r="I504" s="6"/>
      <c r="J504" s="6"/>
      <c r="K504" s="6"/>
      <c r="L504" s="6"/>
      <c r="M504" s="7" t="s">
        <v>5156</v>
      </c>
      <c r="N504" s="8" t="str">
        <f>"CFI"&amp;".D"&amp;TEXT(Caja_Finanzas[[#This Row],[FECHA]],"DD-MM")&amp;"-"&amp;TEXT(Caja_Finanzas[[#This Row],[ITEM]],"0000")</f>
        <v>CFI.D03-06-0462</v>
      </c>
      <c r="O504" s="8" t="str">
        <f t="shared" si="40"/>
        <v>PEN</v>
      </c>
      <c r="P504" s="13"/>
      <c r="Q504" s="13">
        <v>428.4</v>
      </c>
      <c r="R504" s="3">
        <f t="shared" si="36"/>
        <v>428.4</v>
      </c>
      <c r="S504" s="3">
        <f t="shared" si="37"/>
        <v>0</v>
      </c>
      <c r="T504" s="3">
        <f t="shared" si="38"/>
        <v>6862.1999999999953</v>
      </c>
      <c r="U504" s="24"/>
      <c r="V504" s="24"/>
      <c r="W504" s="3"/>
      <c r="X504" s="25" t="s">
        <v>368</v>
      </c>
      <c r="Y504" s="25" t="s">
        <v>5991</v>
      </c>
      <c r="Z504" s="25"/>
      <c r="AA504" s="25"/>
      <c r="AB504" s="25"/>
      <c r="AC504" s="3" t="str">
        <f>IF(Caja_Finanzas[[#This Row],[FECHA]]&gt;0,TEXT(Caja_Finanzas[[#This Row],[FECHA]],"mmmm"),0)</f>
        <v>Junio</v>
      </c>
    </row>
    <row r="505" spans="2:29" ht="24" x14ac:dyDescent="0.3">
      <c r="B505" s="2">
        <f>IF(Caja_Finanzas[[#This Row],[TIPO DE R.]]="R",COUNTIFS($D$4:$D504,"R")+1,"")</f>
        <v>463</v>
      </c>
      <c r="C505" s="19" t="str">
        <f t="shared" si="39"/>
        <v>C-Finanzas</v>
      </c>
      <c r="D505" s="3" t="s">
        <v>1074</v>
      </c>
      <c r="E505" s="14">
        <v>45811</v>
      </c>
      <c r="F505" s="5" t="s">
        <v>6045</v>
      </c>
      <c r="G505" s="5" t="s">
        <v>1087</v>
      </c>
      <c r="H505" s="5"/>
      <c r="I505" s="6"/>
      <c r="J505" s="6"/>
      <c r="K505" s="6"/>
      <c r="L505" s="6"/>
      <c r="M505" s="7" t="s">
        <v>5156</v>
      </c>
      <c r="N505" s="8" t="str">
        <f>"CFI"&amp;".D"&amp;TEXT(Caja_Finanzas[[#This Row],[FECHA]],"DD-MM")&amp;"-"&amp;TEXT(Caja_Finanzas[[#This Row],[ITEM]],"0000")</f>
        <v>CFI.D03-06-0463</v>
      </c>
      <c r="O505" s="8" t="str">
        <f t="shared" si="40"/>
        <v>PEN</v>
      </c>
      <c r="P505" s="13"/>
      <c r="Q505" s="13">
        <v>360</v>
      </c>
      <c r="R505" s="3">
        <f t="shared" si="36"/>
        <v>360</v>
      </c>
      <c r="S505" s="3">
        <f t="shared" si="37"/>
        <v>0</v>
      </c>
      <c r="T505" s="3">
        <f t="shared" si="38"/>
        <v>7222.1999999999953</v>
      </c>
      <c r="U505" s="24"/>
      <c r="V505" s="24"/>
      <c r="W505" s="3"/>
      <c r="X505" s="25" t="s">
        <v>368</v>
      </c>
      <c r="Y505" s="25" t="s">
        <v>6046</v>
      </c>
      <c r="Z505" s="25"/>
      <c r="AA505" s="25"/>
      <c r="AB505" s="25"/>
      <c r="AC505" s="3" t="str">
        <f>IF(Caja_Finanzas[[#This Row],[FECHA]]&gt;0,TEXT(Caja_Finanzas[[#This Row],[FECHA]],"mmmm"),0)</f>
        <v>Junio</v>
      </c>
    </row>
    <row r="506" spans="2:29" x14ac:dyDescent="0.3">
      <c r="B506" s="2">
        <f>IF(Caja_Finanzas[[#This Row],[TIPO DE R.]]="R",COUNTIFS($D$4:$D505,"R")+1,"")</f>
        <v>464</v>
      </c>
      <c r="C506" s="19" t="str">
        <f t="shared" si="39"/>
        <v>C-Finanzas</v>
      </c>
      <c r="D506" s="3" t="s">
        <v>1074</v>
      </c>
      <c r="E506" s="14">
        <v>45811</v>
      </c>
      <c r="F506" s="5" t="s">
        <v>5449</v>
      </c>
      <c r="G506" s="5" t="s">
        <v>1087</v>
      </c>
      <c r="H506" s="5"/>
      <c r="I506" s="6"/>
      <c r="J506" s="6"/>
      <c r="K506" s="6"/>
      <c r="L506" s="6"/>
      <c r="M506" s="7" t="s">
        <v>5156</v>
      </c>
      <c r="N506" s="8" t="str">
        <f>"CFI"&amp;".D"&amp;TEXT(Caja_Finanzas[[#This Row],[FECHA]],"DD-MM")&amp;"-"&amp;TEXT(Caja_Finanzas[[#This Row],[ITEM]],"0000")</f>
        <v>CFI.D03-06-0464</v>
      </c>
      <c r="O506" s="8" t="str">
        <f t="shared" si="40"/>
        <v>PEN</v>
      </c>
      <c r="P506" s="13"/>
      <c r="Q506" s="13">
        <v>3650</v>
      </c>
      <c r="R506" s="3">
        <f t="shared" si="36"/>
        <v>3650</v>
      </c>
      <c r="S506" s="3">
        <f t="shared" si="37"/>
        <v>0</v>
      </c>
      <c r="T506" s="3">
        <f t="shared" si="38"/>
        <v>10872.199999999995</v>
      </c>
      <c r="U506" s="24"/>
      <c r="V506" s="24"/>
      <c r="W506" s="3"/>
      <c r="X506" s="25" t="s">
        <v>368</v>
      </c>
      <c r="Y506" s="25" t="s">
        <v>6047</v>
      </c>
      <c r="Z506" s="25"/>
      <c r="AA506" s="25"/>
      <c r="AB506" s="25"/>
      <c r="AC506" s="3" t="str">
        <f>IF(Caja_Finanzas[[#This Row],[FECHA]]&gt;0,TEXT(Caja_Finanzas[[#This Row],[FECHA]],"mmmm"),0)</f>
        <v>Junio</v>
      </c>
    </row>
    <row r="507" spans="2:29" ht="24" x14ac:dyDescent="0.3">
      <c r="B507" s="2">
        <f>IF(Caja_Finanzas[[#This Row],[TIPO DE R.]]="R",COUNTIFS($D$4:$D506,"R")+1,"")</f>
        <v>465</v>
      </c>
      <c r="C507" s="19" t="str">
        <f t="shared" si="39"/>
        <v>C-Finanzas</v>
      </c>
      <c r="D507" s="3" t="s">
        <v>1074</v>
      </c>
      <c r="E507" s="14">
        <v>45812</v>
      </c>
      <c r="F507" s="5" t="s">
        <v>5827</v>
      </c>
      <c r="G507" s="5" t="s">
        <v>1079</v>
      </c>
      <c r="H507" s="5"/>
      <c r="I507" s="6"/>
      <c r="J507" s="6"/>
      <c r="K507" s="6"/>
      <c r="L507" s="6"/>
      <c r="M507" s="7" t="s">
        <v>6048</v>
      </c>
      <c r="N507" s="8" t="str">
        <f>"CFI"&amp;".D"&amp;TEXT(Caja_Finanzas[[#This Row],[FECHA]],"DD-MM")&amp;"-"&amp;TEXT(Caja_Finanzas[[#This Row],[ITEM]],"0000")</f>
        <v>CFI.D04-06-0465</v>
      </c>
      <c r="O507" s="8" t="str">
        <f t="shared" si="40"/>
        <v>PEN</v>
      </c>
      <c r="P507" s="13"/>
      <c r="Q507" s="13">
        <v>400</v>
      </c>
      <c r="R507" s="3">
        <f t="shared" si="36"/>
        <v>0</v>
      </c>
      <c r="S507" s="3">
        <f t="shared" si="37"/>
        <v>400</v>
      </c>
      <c r="T507" s="3">
        <f t="shared" si="38"/>
        <v>10472.199999999995</v>
      </c>
      <c r="U507" s="24"/>
      <c r="V507" s="24"/>
      <c r="W507" s="3"/>
      <c r="X507" s="25" t="s">
        <v>5596</v>
      </c>
      <c r="Y507" s="25" t="s">
        <v>6049</v>
      </c>
      <c r="Z507" s="25"/>
      <c r="AA507" s="25"/>
      <c r="AB507" s="25"/>
      <c r="AC507" s="3" t="str">
        <f>IF(Caja_Finanzas[[#This Row],[FECHA]]&gt;0,TEXT(Caja_Finanzas[[#This Row],[FECHA]],"mmmm"),0)</f>
        <v>Junio</v>
      </c>
    </row>
    <row r="508" spans="2:29" ht="36" x14ac:dyDescent="0.3">
      <c r="B508" s="2">
        <f>IF(Caja_Finanzas[[#This Row],[TIPO DE R.]]="R",COUNTIFS($D$4:$D507,"R")+1,"")</f>
        <v>466</v>
      </c>
      <c r="C508" s="19" t="str">
        <f t="shared" si="39"/>
        <v>C-Finanzas</v>
      </c>
      <c r="D508" s="3" t="s">
        <v>1074</v>
      </c>
      <c r="E508" s="14">
        <v>45812</v>
      </c>
      <c r="F508" s="5" t="s">
        <v>5827</v>
      </c>
      <c r="G508" s="5" t="s">
        <v>1079</v>
      </c>
      <c r="H508" s="5"/>
      <c r="I508" s="6"/>
      <c r="J508" s="6"/>
      <c r="K508" s="6"/>
      <c r="L508" s="6"/>
      <c r="M508" s="7" t="s">
        <v>6050</v>
      </c>
      <c r="N508" s="8" t="str">
        <f>"CFI"&amp;".D"&amp;TEXT(Caja_Finanzas[[#This Row],[FECHA]],"DD-MM")&amp;"-"&amp;TEXT(Caja_Finanzas[[#This Row],[ITEM]],"0000")</f>
        <v>CFI.D04-06-0466</v>
      </c>
      <c r="O508" s="8" t="str">
        <f t="shared" si="40"/>
        <v>PEN</v>
      </c>
      <c r="P508" s="13"/>
      <c r="Q508" s="13">
        <v>450</v>
      </c>
      <c r="R508" s="3">
        <f t="shared" si="36"/>
        <v>0</v>
      </c>
      <c r="S508" s="3">
        <f t="shared" si="37"/>
        <v>450</v>
      </c>
      <c r="T508" s="3">
        <f t="shared" si="38"/>
        <v>10022.199999999995</v>
      </c>
      <c r="U508" s="24"/>
      <c r="V508" s="24"/>
      <c r="W508" s="3"/>
      <c r="X508" s="25" t="s">
        <v>5596</v>
      </c>
      <c r="Y508" s="25" t="s">
        <v>6051</v>
      </c>
      <c r="Z508" s="25"/>
      <c r="AA508" s="25"/>
      <c r="AB508" s="25"/>
      <c r="AC508" s="3" t="str">
        <f>IF(Caja_Finanzas[[#This Row],[FECHA]]&gt;0,TEXT(Caja_Finanzas[[#This Row],[FECHA]],"mmmm"),0)</f>
        <v>Junio</v>
      </c>
    </row>
    <row r="509" spans="2:29" ht="24" x14ac:dyDescent="0.3">
      <c r="B509" s="2">
        <f>IF(Caja_Finanzas[[#This Row],[TIPO DE R.]]="R",COUNTIFS($D$4:$D508,"R")+1,"")</f>
        <v>467</v>
      </c>
      <c r="C509" s="19" t="str">
        <f t="shared" si="39"/>
        <v>C-Finanzas</v>
      </c>
      <c r="D509" s="3" t="s">
        <v>1074</v>
      </c>
      <c r="E509" s="14">
        <v>45812</v>
      </c>
      <c r="F509" s="5" t="s">
        <v>5489</v>
      </c>
      <c r="G509" s="5" t="s">
        <v>1087</v>
      </c>
      <c r="H509" s="5"/>
      <c r="I509" s="6"/>
      <c r="J509" s="6"/>
      <c r="K509" s="6"/>
      <c r="L509" s="6"/>
      <c r="M509" s="7" t="s">
        <v>5156</v>
      </c>
      <c r="N509" s="8" t="str">
        <f>"CFI"&amp;".D"&amp;TEXT(Caja_Finanzas[[#This Row],[FECHA]],"DD-MM")&amp;"-"&amp;TEXT(Caja_Finanzas[[#This Row],[ITEM]],"0000")</f>
        <v>CFI.D04-06-0467</v>
      </c>
      <c r="O509" s="8" t="str">
        <f t="shared" si="40"/>
        <v>PEN</v>
      </c>
      <c r="P509" s="13"/>
      <c r="Q509" s="13">
        <v>2100</v>
      </c>
      <c r="R509" s="3">
        <f t="shared" si="36"/>
        <v>2100</v>
      </c>
      <c r="S509" s="3">
        <f t="shared" si="37"/>
        <v>0</v>
      </c>
      <c r="T509" s="3">
        <f t="shared" si="38"/>
        <v>12122.199999999995</v>
      </c>
      <c r="U509" s="24"/>
      <c r="V509" s="24"/>
      <c r="W509" s="3"/>
      <c r="X509" s="25" t="s">
        <v>368</v>
      </c>
      <c r="Y509" s="25" t="s">
        <v>6052</v>
      </c>
      <c r="Z509" s="25"/>
      <c r="AA509" s="25"/>
      <c r="AB509" s="25"/>
      <c r="AC509" s="3" t="str">
        <f>IF(Caja_Finanzas[[#This Row],[FECHA]]&gt;0,TEXT(Caja_Finanzas[[#This Row],[FECHA]],"mmmm"),0)</f>
        <v>Junio</v>
      </c>
    </row>
    <row r="510" spans="2:29" ht="24" x14ac:dyDescent="0.3">
      <c r="B510" s="2">
        <f>IF(Caja_Finanzas[[#This Row],[TIPO DE R.]]="R",COUNTIFS($D$4:$D509,"R")+1,"")</f>
        <v>468</v>
      </c>
      <c r="C510" s="19" t="str">
        <f t="shared" si="39"/>
        <v>C-Finanzas</v>
      </c>
      <c r="D510" s="3" t="s">
        <v>1074</v>
      </c>
      <c r="E510" s="14">
        <v>45812</v>
      </c>
      <c r="F510" s="5" t="s">
        <v>3001</v>
      </c>
      <c r="G510" s="5" t="s">
        <v>1087</v>
      </c>
      <c r="H510" s="5"/>
      <c r="I510" s="6"/>
      <c r="J510" s="6"/>
      <c r="K510" s="6"/>
      <c r="L510" s="6"/>
      <c r="M510" s="7" t="s">
        <v>5156</v>
      </c>
      <c r="N510" s="8" t="str">
        <f>"CFI"&amp;".D"&amp;TEXT(Caja_Finanzas[[#This Row],[FECHA]],"DD-MM")&amp;"-"&amp;TEXT(Caja_Finanzas[[#This Row],[ITEM]],"0000")</f>
        <v>CFI.D04-06-0468</v>
      </c>
      <c r="O510" s="8" t="str">
        <f t="shared" si="40"/>
        <v>PEN</v>
      </c>
      <c r="P510" s="13"/>
      <c r="Q510" s="13">
        <v>315.8</v>
      </c>
      <c r="R510" s="3">
        <f t="shared" si="36"/>
        <v>315.8</v>
      </c>
      <c r="S510" s="3">
        <f t="shared" si="37"/>
        <v>0</v>
      </c>
      <c r="T510" s="3">
        <f t="shared" si="38"/>
        <v>12437.999999999995</v>
      </c>
      <c r="U510" s="24"/>
      <c r="V510" s="24"/>
      <c r="W510" s="3"/>
      <c r="X510" s="25" t="s">
        <v>368</v>
      </c>
      <c r="Y510" s="25" t="s">
        <v>6053</v>
      </c>
      <c r="Z510" s="25"/>
      <c r="AA510" s="25"/>
      <c r="AB510" s="25"/>
      <c r="AC510" s="3" t="str">
        <f>IF(Caja_Finanzas[[#This Row],[FECHA]]&gt;0,TEXT(Caja_Finanzas[[#This Row],[FECHA]],"mmmm"),0)</f>
        <v>Junio</v>
      </c>
    </row>
    <row r="511" spans="2:29" ht="24" x14ac:dyDescent="0.3">
      <c r="B511" s="2">
        <f>IF(Caja_Finanzas[[#This Row],[TIPO DE R.]]="R",COUNTIFS($D$4:$D510,"R")+1,"")</f>
        <v>469</v>
      </c>
      <c r="C511" s="19" t="str">
        <f t="shared" si="39"/>
        <v>C-Finanzas</v>
      </c>
      <c r="D511" s="3" t="s">
        <v>1074</v>
      </c>
      <c r="E511" s="14">
        <v>45813</v>
      </c>
      <c r="F511" s="5" t="s">
        <v>3532</v>
      </c>
      <c r="G511" s="5" t="s">
        <v>1079</v>
      </c>
      <c r="H511" s="5"/>
      <c r="I511" s="6"/>
      <c r="J511" s="6"/>
      <c r="K511" s="6"/>
      <c r="L511" s="6"/>
      <c r="M511" s="7" t="s">
        <v>6054</v>
      </c>
      <c r="N511" s="8" t="str">
        <f>"CFI"&amp;".D"&amp;TEXT(Caja_Finanzas[[#This Row],[FECHA]],"DD-MM")&amp;"-"&amp;TEXT(Caja_Finanzas[[#This Row],[ITEM]],"0000")</f>
        <v>CFI.D05-06-0469</v>
      </c>
      <c r="O511" s="8" t="str">
        <f t="shared" si="40"/>
        <v>PEN</v>
      </c>
      <c r="P511" s="13"/>
      <c r="Q511" s="13">
        <v>150</v>
      </c>
      <c r="R511" s="3">
        <f t="shared" si="36"/>
        <v>0</v>
      </c>
      <c r="S511" s="3">
        <f t="shared" si="37"/>
        <v>150</v>
      </c>
      <c r="T511" s="3">
        <f t="shared" si="38"/>
        <v>12287.999999999995</v>
      </c>
      <c r="U511" s="24"/>
      <c r="V511" s="24"/>
      <c r="W511" s="3"/>
      <c r="X511" s="25" t="s">
        <v>6055</v>
      </c>
      <c r="Y511" s="25" t="s">
        <v>6056</v>
      </c>
      <c r="Z511" s="25"/>
      <c r="AA511" s="25"/>
      <c r="AB511" s="25"/>
      <c r="AC511" s="3" t="str">
        <f>IF(Caja_Finanzas[[#This Row],[FECHA]]&gt;0,TEXT(Caja_Finanzas[[#This Row],[FECHA]],"mmmm"),0)</f>
        <v>Junio</v>
      </c>
    </row>
    <row r="512" spans="2:29" ht="24" x14ac:dyDescent="0.3">
      <c r="B512" s="2">
        <f>IF(Caja_Finanzas[[#This Row],[TIPO DE R.]]="R",COUNTIFS($D$4:$D511,"R")+1,"")</f>
        <v>470</v>
      </c>
      <c r="C512" s="19" t="str">
        <f t="shared" si="39"/>
        <v>C-Finanzas</v>
      </c>
      <c r="D512" s="3" t="s">
        <v>1074</v>
      </c>
      <c r="E512" s="14">
        <v>45813</v>
      </c>
      <c r="F512" s="5"/>
      <c r="G512" s="5" t="s">
        <v>1087</v>
      </c>
      <c r="H512" s="5"/>
      <c r="I512" s="6"/>
      <c r="J512" s="6"/>
      <c r="K512" s="6"/>
      <c r="L512" s="6"/>
      <c r="M512" s="7" t="s">
        <v>5941</v>
      </c>
      <c r="N512" s="8" t="str">
        <f>"CFI"&amp;".D"&amp;TEXT(Caja_Finanzas[[#This Row],[FECHA]],"DD-MM")&amp;"-"&amp;TEXT(Caja_Finanzas[[#This Row],[ITEM]],"0000")</f>
        <v>CFI.D05-06-0470</v>
      </c>
      <c r="O512" s="8" t="str">
        <f t="shared" si="40"/>
        <v>PEN</v>
      </c>
      <c r="P512" s="13"/>
      <c r="Q512" s="13">
        <v>459.9</v>
      </c>
      <c r="R512" s="3">
        <f t="shared" si="36"/>
        <v>459.9</v>
      </c>
      <c r="S512" s="3">
        <f t="shared" si="37"/>
        <v>0</v>
      </c>
      <c r="T512" s="3">
        <f t="shared" si="38"/>
        <v>12747.899999999994</v>
      </c>
      <c r="U512" s="24"/>
      <c r="V512" s="24"/>
      <c r="W512" s="3"/>
      <c r="X512" s="25" t="s">
        <v>368</v>
      </c>
      <c r="Y512" s="25"/>
      <c r="Z512" s="25"/>
      <c r="AA512" s="25"/>
      <c r="AB512" s="25"/>
      <c r="AC512" s="3" t="str">
        <f>IF(Caja_Finanzas[[#This Row],[FECHA]]&gt;0,TEXT(Caja_Finanzas[[#This Row],[FECHA]],"mmmm"),0)</f>
        <v>Junio</v>
      </c>
    </row>
    <row r="513" spans="2:29" ht="24" x14ac:dyDescent="0.3">
      <c r="B513" s="2" t="str">
        <f>IF(Caja_Finanzas[[#This Row],[TIPO DE R.]]="R",COUNTIFS($D$4:$D512,"R")+1,"")</f>
        <v/>
      </c>
      <c r="C513" s="19" t="str">
        <f t="shared" si="39"/>
        <v>C-Finanzas</v>
      </c>
      <c r="D513" s="3" t="s">
        <v>1101</v>
      </c>
      <c r="E513" s="14">
        <v>45813</v>
      </c>
      <c r="F513" s="5" t="s">
        <v>3399</v>
      </c>
      <c r="G513" s="5"/>
      <c r="H513" s="5"/>
      <c r="I513" s="6"/>
      <c r="J513" s="6"/>
      <c r="K513" s="6"/>
      <c r="L513" s="6"/>
      <c r="M513" s="7" t="s">
        <v>5941</v>
      </c>
      <c r="N513" s="8" t="str">
        <f>"CFI"&amp;".D"&amp;TEXT(Caja_Finanzas[[#This Row],[FECHA]],"DD-MM")&amp;"-"&amp;TEXT(Caja_Finanzas[[#This Row],[ITEM]],"0000")</f>
        <v>CFI.D05-06-</v>
      </c>
      <c r="O513" s="8" t="str">
        <f t="shared" si="40"/>
        <v>PEN</v>
      </c>
      <c r="P513" s="13">
        <v>18</v>
      </c>
      <c r="Q513" s="13"/>
      <c r="R513" s="3">
        <f t="shared" si="36"/>
        <v>0</v>
      </c>
      <c r="S513" s="3">
        <f t="shared" si="37"/>
        <v>0</v>
      </c>
      <c r="T513" s="3">
        <f t="shared" si="38"/>
        <v>12747.899999999994</v>
      </c>
      <c r="U513" s="24"/>
      <c r="V513" s="24"/>
      <c r="W513" s="3"/>
      <c r="X513" s="25" t="s">
        <v>368</v>
      </c>
      <c r="Y513" s="25" t="s">
        <v>6057</v>
      </c>
      <c r="Z513" s="25"/>
      <c r="AA513" s="25"/>
      <c r="AB513" s="25"/>
      <c r="AC513" s="3" t="str">
        <f>IF(Caja_Finanzas[[#This Row],[FECHA]]&gt;0,TEXT(Caja_Finanzas[[#This Row],[FECHA]],"mmmm"),0)</f>
        <v>Junio</v>
      </c>
    </row>
    <row r="514" spans="2:29" ht="24" x14ac:dyDescent="0.3">
      <c r="B514" s="2" t="str">
        <f>IF(Caja_Finanzas[[#This Row],[TIPO DE R.]]="R",COUNTIFS($D$4:$D513,"R")+1,"")</f>
        <v/>
      </c>
      <c r="C514" s="19" t="str">
        <f t="shared" si="39"/>
        <v>C-Finanzas</v>
      </c>
      <c r="D514" s="3" t="s">
        <v>1101</v>
      </c>
      <c r="E514" s="14">
        <v>45813</v>
      </c>
      <c r="F514" s="5" t="s">
        <v>6058</v>
      </c>
      <c r="G514" s="5"/>
      <c r="H514" s="5"/>
      <c r="I514" s="6"/>
      <c r="J514" s="6"/>
      <c r="K514" s="6"/>
      <c r="L514" s="6"/>
      <c r="M514" s="7" t="s">
        <v>5941</v>
      </c>
      <c r="N514" s="8" t="str">
        <f>"CFI"&amp;".D"&amp;TEXT(Caja_Finanzas[[#This Row],[FECHA]],"DD-MM")&amp;"-"&amp;TEXT(Caja_Finanzas[[#This Row],[ITEM]],"0000")</f>
        <v>CFI.D05-06-</v>
      </c>
      <c r="O514" s="8" t="str">
        <f t="shared" si="40"/>
        <v>PEN</v>
      </c>
      <c r="P514" s="13">
        <v>29</v>
      </c>
      <c r="Q514" s="13"/>
      <c r="R514" s="3">
        <f t="shared" si="36"/>
        <v>0</v>
      </c>
      <c r="S514" s="3">
        <f t="shared" si="37"/>
        <v>0</v>
      </c>
      <c r="T514" s="3">
        <f t="shared" si="38"/>
        <v>12747.899999999994</v>
      </c>
      <c r="U514" s="24"/>
      <c r="V514" s="24"/>
      <c r="W514" s="3"/>
      <c r="X514" s="25" t="s">
        <v>368</v>
      </c>
      <c r="Y514" s="25" t="s">
        <v>6059</v>
      </c>
      <c r="Z514" s="25"/>
      <c r="AA514" s="25"/>
      <c r="AB514" s="25"/>
      <c r="AC514" s="3" t="str">
        <f>IF(Caja_Finanzas[[#This Row],[FECHA]]&gt;0,TEXT(Caja_Finanzas[[#This Row],[FECHA]],"mmmm"),0)</f>
        <v>Junio</v>
      </c>
    </row>
    <row r="515" spans="2:29" ht="24" x14ac:dyDescent="0.3">
      <c r="B515" s="2" t="str">
        <f>IF(Caja_Finanzas[[#This Row],[TIPO DE R.]]="R",COUNTIFS($D$4:$D514,"R")+1,"")</f>
        <v/>
      </c>
      <c r="C515" s="19" t="str">
        <f t="shared" si="39"/>
        <v>C-Finanzas</v>
      </c>
      <c r="D515" s="3" t="s">
        <v>1101</v>
      </c>
      <c r="E515" s="14">
        <v>45813</v>
      </c>
      <c r="F515" s="5" t="s">
        <v>6060</v>
      </c>
      <c r="G515" s="5"/>
      <c r="H515" s="5"/>
      <c r="I515" s="6"/>
      <c r="J515" s="6"/>
      <c r="K515" s="6"/>
      <c r="L515" s="6"/>
      <c r="M515" s="7" t="s">
        <v>5941</v>
      </c>
      <c r="N515" s="8" t="str">
        <f>"CFI"&amp;".D"&amp;TEXT(Caja_Finanzas[[#This Row],[FECHA]],"DD-MM")&amp;"-"&amp;TEXT(Caja_Finanzas[[#This Row],[ITEM]],"0000")</f>
        <v>CFI.D05-06-</v>
      </c>
      <c r="O515" s="8" t="str">
        <f t="shared" si="40"/>
        <v>PEN</v>
      </c>
      <c r="P515" s="13">
        <v>54.8</v>
      </c>
      <c r="Q515" s="13"/>
      <c r="R515" s="3">
        <f t="shared" si="36"/>
        <v>0</v>
      </c>
      <c r="S515" s="3">
        <f t="shared" si="37"/>
        <v>0</v>
      </c>
      <c r="T515" s="3">
        <f t="shared" si="38"/>
        <v>12747.899999999994</v>
      </c>
      <c r="U515" s="24"/>
      <c r="V515" s="24"/>
      <c r="W515" s="3"/>
      <c r="X515" s="25" t="s">
        <v>368</v>
      </c>
      <c r="Y515" s="25" t="s">
        <v>6061</v>
      </c>
      <c r="Z515" s="25"/>
      <c r="AA515" s="25"/>
      <c r="AB515" s="25"/>
      <c r="AC515" s="3" t="str">
        <f>IF(Caja_Finanzas[[#This Row],[FECHA]]&gt;0,TEXT(Caja_Finanzas[[#This Row],[FECHA]],"mmmm"),0)</f>
        <v>Junio</v>
      </c>
    </row>
    <row r="516" spans="2:29" ht="24" x14ac:dyDescent="0.3">
      <c r="B516" s="2" t="str">
        <f>IF(Caja_Finanzas[[#This Row],[TIPO DE R.]]="R",COUNTIFS($D$4:$D515,"R")+1,"")</f>
        <v/>
      </c>
      <c r="C516" s="19" t="str">
        <f t="shared" si="39"/>
        <v>C-Finanzas</v>
      </c>
      <c r="D516" s="3" t="s">
        <v>1101</v>
      </c>
      <c r="E516" s="14">
        <v>45813</v>
      </c>
      <c r="F516" s="5" t="s">
        <v>3399</v>
      </c>
      <c r="G516" s="5"/>
      <c r="H516" s="5"/>
      <c r="I516" s="6"/>
      <c r="J516" s="6"/>
      <c r="K516" s="6"/>
      <c r="L516" s="6"/>
      <c r="M516" s="7" t="s">
        <v>5941</v>
      </c>
      <c r="N516" s="8" t="str">
        <f>"CFI"&amp;".D"&amp;TEXT(Caja_Finanzas[[#This Row],[FECHA]],"DD-MM")&amp;"-"&amp;TEXT(Caja_Finanzas[[#This Row],[ITEM]],"0000")</f>
        <v>CFI.D05-06-</v>
      </c>
      <c r="O516" s="8" t="str">
        <f t="shared" si="40"/>
        <v>PEN</v>
      </c>
      <c r="P516" s="13">
        <v>46.5</v>
      </c>
      <c r="Q516" s="13"/>
      <c r="R516" s="3">
        <f t="shared" si="36"/>
        <v>0</v>
      </c>
      <c r="S516" s="3">
        <f t="shared" si="37"/>
        <v>0</v>
      </c>
      <c r="T516" s="3">
        <f t="shared" si="38"/>
        <v>12747.899999999994</v>
      </c>
      <c r="U516" s="24"/>
      <c r="V516" s="24"/>
      <c r="W516" s="3"/>
      <c r="X516" s="25" t="s">
        <v>368</v>
      </c>
      <c r="Y516" s="25" t="s">
        <v>6062</v>
      </c>
      <c r="Z516" s="25"/>
      <c r="AA516" s="25"/>
      <c r="AB516" s="25"/>
      <c r="AC516" s="3" t="str">
        <f>IF(Caja_Finanzas[[#This Row],[FECHA]]&gt;0,TEXT(Caja_Finanzas[[#This Row],[FECHA]],"mmmm"),0)</f>
        <v>Junio</v>
      </c>
    </row>
    <row r="517" spans="2:29" ht="24" x14ac:dyDescent="0.3">
      <c r="B517" s="2" t="str">
        <f>IF(Caja_Finanzas[[#This Row],[TIPO DE R.]]="R",COUNTIFS($D$4:$D516,"R")+1,"")</f>
        <v/>
      </c>
      <c r="C517" s="19" t="str">
        <f t="shared" si="39"/>
        <v>C-Finanzas</v>
      </c>
      <c r="D517" s="3" t="s">
        <v>1101</v>
      </c>
      <c r="E517" s="14">
        <v>45813</v>
      </c>
      <c r="F517" s="5" t="s">
        <v>1239</v>
      </c>
      <c r="G517" s="5"/>
      <c r="H517" s="5"/>
      <c r="I517" s="6"/>
      <c r="J517" s="6"/>
      <c r="K517" s="6"/>
      <c r="L517" s="6"/>
      <c r="M517" s="7" t="s">
        <v>5941</v>
      </c>
      <c r="N517" s="8" t="str">
        <f>"CFI"&amp;".D"&amp;TEXT(Caja_Finanzas[[#This Row],[FECHA]],"DD-MM")&amp;"-"&amp;TEXT(Caja_Finanzas[[#This Row],[ITEM]],"0000")</f>
        <v>CFI.D05-06-</v>
      </c>
      <c r="O517" s="8" t="str">
        <f t="shared" si="40"/>
        <v>PEN</v>
      </c>
      <c r="P517" s="13">
        <v>3</v>
      </c>
      <c r="Q517" s="13"/>
      <c r="R517" s="3">
        <f t="shared" ref="R517:R580" si="41">+IF(OR($G517="SALDO",$G517="INGRESO"),$Q517,0)</f>
        <v>0</v>
      </c>
      <c r="S517" s="3">
        <f t="shared" ref="S517:S580" si="42">+IF($G517="EGRESO",$Q517,0)</f>
        <v>0</v>
      </c>
      <c r="T517" s="3">
        <f t="shared" ref="T517:T580" si="43">IFERROR(IF(G517="SALDO",R517,T516+R517-S517),0)</f>
        <v>12747.899999999994</v>
      </c>
      <c r="U517" s="24"/>
      <c r="V517" s="24"/>
      <c r="W517" s="3"/>
      <c r="X517" s="25" t="s">
        <v>368</v>
      </c>
      <c r="Y517" s="25" t="s">
        <v>6063</v>
      </c>
      <c r="Z517" s="25"/>
      <c r="AA517" s="25"/>
      <c r="AB517" s="25"/>
      <c r="AC517" s="3" t="str">
        <f>IF(Caja_Finanzas[[#This Row],[FECHA]]&gt;0,TEXT(Caja_Finanzas[[#This Row],[FECHA]],"mmmm"),0)</f>
        <v>Junio</v>
      </c>
    </row>
    <row r="518" spans="2:29" ht="24" x14ac:dyDescent="0.3">
      <c r="B518" s="2" t="str">
        <f>IF(Caja_Finanzas[[#This Row],[TIPO DE R.]]="R",COUNTIFS($D$4:$D517,"R")+1,"")</f>
        <v/>
      </c>
      <c r="C518" s="19" t="str">
        <f t="shared" ref="C518:C581" si="44">"C-Finanzas"</f>
        <v>C-Finanzas</v>
      </c>
      <c r="D518" s="3" t="s">
        <v>1101</v>
      </c>
      <c r="E518" s="14">
        <v>45813</v>
      </c>
      <c r="F518" s="5" t="s">
        <v>1239</v>
      </c>
      <c r="G518" s="5"/>
      <c r="H518" s="5"/>
      <c r="I518" s="6"/>
      <c r="J518" s="6"/>
      <c r="K518" s="6"/>
      <c r="L518" s="6"/>
      <c r="M518" s="7" t="s">
        <v>5941</v>
      </c>
      <c r="N518" s="8" t="str">
        <f>"CFI"&amp;".D"&amp;TEXT(Caja_Finanzas[[#This Row],[FECHA]],"DD-MM")&amp;"-"&amp;TEXT(Caja_Finanzas[[#This Row],[ITEM]],"0000")</f>
        <v>CFI.D05-06-</v>
      </c>
      <c r="O518" s="8" t="str">
        <f t="shared" ref="O518:O581" si="45">"PEN"</f>
        <v>PEN</v>
      </c>
      <c r="P518" s="13">
        <v>14.5</v>
      </c>
      <c r="Q518" s="13"/>
      <c r="R518" s="3">
        <f t="shared" si="41"/>
        <v>0</v>
      </c>
      <c r="S518" s="3">
        <f t="shared" si="42"/>
        <v>0</v>
      </c>
      <c r="T518" s="3">
        <f t="shared" si="43"/>
        <v>12747.899999999994</v>
      </c>
      <c r="U518" s="24"/>
      <c r="V518" s="24"/>
      <c r="W518" s="3"/>
      <c r="X518" s="25" t="s">
        <v>368</v>
      </c>
      <c r="Y518" s="25" t="s">
        <v>6064</v>
      </c>
      <c r="Z518" s="25"/>
      <c r="AA518" s="25"/>
      <c r="AB518" s="25"/>
      <c r="AC518" s="3" t="str">
        <f>IF(Caja_Finanzas[[#This Row],[FECHA]]&gt;0,TEXT(Caja_Finanzas[[#This Row],[FECHA]],"mmmm"),0)</f>
        <v>Junio</v>
      </c>
    </row>
    <row r="519" spans="2:29" ht="24" x14ac:dyDescent="0.3">
      <c r="B519" s="2" t="str">
        <f>IF(Caja_Finanzas[[#This Row],[TIPO DE R.]]="R",COUNTIFS($D$4:$D518,"R")+1,"")</f>
        <v/>
      </c>
      <c r="C519" s="19" t="str">
        <f t="shared" si="44"/>
        <v>C-Finanzas</v>
      </c>
      <c r="D519" s="3" t="s">
        <v>1101</v>
      </c>
      <c r="E519" s="14">
        <v>45813</v>
      </c>
      <c r="F519" s="5" t="s">
        <v>6065</v>
      </c>
      <c r="G519" s="5"/>
      <c r="H519" s="5"/>
      <c r="I519" s="6"/>
      <c r="J519" s="6"/>
      <c r="K519" s="6"/>
      <c r="L519" s="6"/>
      <c r="M519" s="7" t="s">
        <v>5941</v>
      </c>
      <c r="N519" s="8" t="str">
        <f>"CFI"&amp;".D"&amp;TEXT(Caja_Finanzas[[#This Row],[FECHA]],"DD-MM")&amp;"-"&amp;TEXT(Caja_Finanzas[[#This Row],[ITEM]],"0000")</f>
        <v>CFI.D05-06-</v>
      </c>
      <c r="O519" s="8" t="str">
        <f t="shared" si="45"/>
        <v>PEN</v>
      </c>
      <c r="P519" s="13">
        <v>3.8</v>
      </c>
      <c r="Q519" s="13"/>
      <c r="R519" s="3">
        <f t="shared" si="41"/>
        <v>0</v>
      </c>
      <c r="S519" s="3">
        <f t="shared" si="42"/>
        <v>0</v>
      </c>
      <c r="T519" s="3">
        <f t="shared" si="43"/>
        <v>12747.899999999994</v>
      </c>
      <c r="U519" s="24"/>
      <c r="V519" s="24"/>
      <c r="W519" s="3"/>
      <c r="X519" s="25" t="s">
        <v>368</v>
      </c>
      <c r="Y519" s="25" t="s">
        <v>6066</v>
      </c>
      <c r="Z519" s="25"/>
      <c r="AA519" s="25"/>
      <c r="AB519" s="25"/>
      <c r="AC519" s="3" t="str">
        <f>IF(Caja_Finanzas[[#This Row],[FECHA]]&gt;0,TEXT(Caja_Finanzas[[#This Row],[FECHA]],"mmmm"),0)</f>
        <v>Junio</v>
      </c>
    </row>
    <row r="520" spans="2:29" ht="24" x14ac:dyDescent="0.3">
      <c r="B520" s="2" t="str">
        <f>IF(Caja_Finanzas[[#This Row],[TIPO DE R.]]="R",COUNTIFS($D$4:$D519,"R")+1,"")</f>
        <v/>
      </c>
      <c r="C520" s="19" t="str">
        <f t="shared" si="44"/>
        <v>C-Finanzas</v>
      </c>
      <c r="D520" s="3" t="s">
        <v>1101</v>
      </c>
      <c r="E520" s="14">
        <v>45813</v>
      </c>
      <c r="F520" s="5" t="s">
        <v>5402</v>
      </c>
      <c r="G520" s="5"/>
      <c r="H520" s="5"/>
      <c r="I520" s="6"/>
      <c r="J520" s="6"/>
      <c r="K520" s="6"/>
      <c r="L520" s="6"/>
      <c r="M520" s="7" t="s">
        <v>5941</v>
      </c>
      <c r="N520" s="8" t="str">
        <f>"CFI"&amp;".D"&amp;TEXT(Caja_Finanzas[[#This Row],[FECHA]],"DD-MM")&amp;"-"&amp;TEXT(Caja_Finanzas[[#This Row],[ITEM]],"0000")</f>
        <v>CFI.D05-06-</v>
      </c>
      <c r="O520" s="8" t="str">
        <f t="shared" si="45"/>
        <v>PEN</v>
      </c>
      <c r="P520" s="13">
        <v>13.3</v>
      </c>
      <c r="Q520" s="13"/>
      <c r="R520" s="3">
        <f t="shared" si="41"/>
        <v>0</v>
      </c>
      <c r="S520" s="3">
        <f t="shared" si="42"/>
        <v>0</v>
      </c>
      <c r="T520" s="3">
        <f t="shared" si="43"/>
        <v>12747.899999999994</v>
      </c>
      <c r="U520" s="24"/>
      <c r="V520" s="24"/>
      <c r="W520" s="3"/>
      <c r="X520" s="25" t="s">
        <v>368</v>
      </c>
      <c r="Y520" s="25" t="s">
        <v>6067</v>
      </c>
      <c r="Z520" s="25"/>
      <c r="AA520" s="25"/>
      <c r="AB520" s="25"/>
      <c r="AC520" s="3" t="str">
        <f>IF(Caja_Finanzas[[#This Row],[FECHA]]&gt;0,TEXT(Caja_Finanzas[[#This Row],[FECHA]],"mmmm"),0)</f>
        <v>Junio</v>
      </c>
    </row>
    <row r="521" spans="2:29" ht="24" x14ac:dyDescent="0.3">
      <c r="B521" s="2" t="str">
        <f>IF(Caja_Finanzas[[#This Row],[TIPO DE R.]]="R",COUNTIFS($D$4:$D520,"R")+1,"")</f>
        <v/>
      </c>
      <c r="C521" s="19" t="str">
        <f t="shared" si="44"/>
        <v>C-Finanzas</v>
      </c>
      <c r="D521" s="3" t="s">
        <v>1101</v>
      </c>
      <c r="E521" s="14">
        <v>45813</v>
      </c>
      <c r="F521" s="5" t="s">
        <v>3397</v>
      </c>
      <c r="G521" s="5"/>
      <c r="H521" s="5"/>
      <c r="I521" s="6"/>
      <c r="J521" s="6"/>
      <c r="K521" s="6"/>
      <c r="L521" s="6"/>
      <c r="M521" s="7" t="s">
        <v>5941</v>
      </c>
      <c r="N521" s="8" t="str">
        <f>"CFI"&amp;".D"&amp;TEXT(Caja_Finanzas[[#This Row],[FECHA]],"DD-MM")&amp;"-"&amp;TEXT(Caja_Finanzas[[#This Row],[ITEM]],"0000")</f>
        <v>CFI.D05-06-</v>
      </c>
      <c r="O521" s="8" t="str">
        <f t="shared" si="45"/>
        <v>PEN</v>
      </c>
      <c r="P521" s="13">
        <v>170.9</v>
      </c>
      <c r="Q521" s="13"/>
      <c r="R521" s="3">
        <f t="shared" si="41"/>
        <v>0</v>
      </c>
      <c r="S521" s="3">
        <f t="shared" si="42"/>
        <v>0</v>
      </c>
      <c r="T521" s="3">
        <f t="shared" si="43"/>
        <v>12747.899999999994</v>
      </c>
      <c r="U521" s="24"/>
      <c r="V521" s="24"/>
      <c r="W521" s="3"/>
      <c r="X521" s="25" t="s">
        <v>368</v>
      </c>
      <c r="Y521" s="25" t="s">
        <v>6068</v>
      </c>
      <c r="Z521" s="25"/>
      <c r="AA521" s="25"/>
      <c r="AB521" s="25"/>
      <c r="AC521" s="3" t="str">
        <f>IF(Caja_Finanzas[[#This Row],[FECHA]]&gt;0,TEXT(Caja_Finanzas[[#This Row],[FECHA]],"mmmm"),0)</f>
        <v>Junio</v>
      </c>
    </row>
    <row r="522" spans="2:29" ht="24" x14ac:dyDescent="0.3">
      <c r="B522" s="2" t="str">
        <f>IF(Caja_Finanzas[[#This Row],[TIPO DE R.]]="R",COUNTIFS($D$4:$D521,"R")+1,"")</f>
        <v/>
      </c>
      <c r="C522" s="19" t="str">
        <f t="shared" si="44"/>
        <v>C-Finanzas</v>
      </c>
      <c r="D522" s="3" t="s">
        <v>1101</v>
      </c>
      <c r="E522" s="14">
        <v>45813</v>
      </c>
      <c r="F522" s="5" t="s">
        <v>6060</v>
      </c>
      <c r="G522" s="5"/>
      <c r="H522" s="5"/>
      <c r="I522" s="6"/>
      <c r="J522" s="6"/>
      <c r="K522" s="6"/>
      <c r="L522" s="6"/>
      <c r="M522" s="7" t="s">
        <v>5941</v>
      </c>
      <c r="N522" s="8" t="str">
        <f>"CFI"&amp;".D"&amp;TEXT(Caja_Finanzas[[#This Row],[FECHA]],"DD-MM")&amp;"-"&amp;TEXT(Caja_Finanzas[[#This Row],[ITEM]],"0000")</f>
        <v>CFI.D05-06-</v>
      </c>
      <c r="O522" s="8" t="str">
        <f t="shared" si="45"/>
        <v>PEN</v>
      </c>
      <c r="P522" s="13">
        <v>26.5</v>
      </c>
      <c r="Q522" s="13"/>
      <c r="R522" s="3">
        <f t="shared" si="41"/>
        <v>0</v>
      </c>
      <c r="S522" s="3">
        <f t="shared" si="42"/>
        <v>0</v>
      </c>
      <c r="T522" s="3">
        <f t="shared" si="43"/>
        <v>12747.899999999994</v>
      </c>
      <c r="U522" s="24"/>
      <c r="V522" s="24"/>
      <c r="W522" s="3"/>
      <c r="X522" s="25" t="s">
        <v>368</v>
      </c>
      <c r="Y522" s="25" t="s">
        <v>6069</v>
      </c>
      <c r="Z522" s="25"/>
      <c r="AA522" s="25"/>
      <c r="AB522" s="25"/>
      <c r="AC522" s="3" t="str">
        <f>IF(Caja_Finanzas[[#This Row],[FECHA]]&gt;0,TEXT(Caja_Finanzas[[#This Row],[FECHA]],"mmmm"),0)</f>
        <v>Junio</v>
      </c>
    </row>
    <row r="523" spans="2:29" ht="24" x14ac:dyDescent="0.3">
      <c r="B523" s="2" t="str">
        <f>IF(Caja_Finanzas[[#This Row],[TIPO DE R.]]="R",COUNTIFS($D$4:$D522,"R")+1,"")</f>
        <v/>
      </c>
      <c r="C523" s="19" t="str">
        <f t="shared" si="44"/>
        <v>C-Finanzas</v>
      </c>
      <c r="D523" s="3" t="s">
        <v>1101</v>
      </c>
      <c r="E523" s="14">
        <v>45813</v>
      </c>
      <c r="F523" s="5" t="s">
        <v>3399</v>
      </c>
      <c r="G523" s="5"/>
      <c r="H523" s="5"/>
      <c r="I523" s="6"/>
      <c r="J523" s="6"/>
      <c r="K523" s="6"/>
      <c r="L523" s="6"/>
      <c r="M523" s="7" t="s">
        <v>5941</v>
      </c>
      <c r="N523" s="8" t="str">
        <f>"CFI"&amp;".D"&amp;TEXT(Caja_Finanzas[[#This Row],[FECHA]],"DD-MM")&amp;"-"&amp;TEXT(Caja_Finanzas[[#This Row],[ITEM]],"0000")</f>
        <v>CFI.D05-06-</v>
      </c>
      <c r="O523" s="8" t="str">
        <f t="shared" si="45"/>
        <v>PEN</v>
      </c>
      <c r="P523" s="13">
        <v>59.5</v>
      </c>
      <c r="Q523" s="13"/>
      <c r="R523" s="3">
        <f t="shared" si="41"/>
        <v>0</v>
      </c>
      <c r="S523" s="3">
        <f t="shared" si="42"/>
        <v>0</v>
      </c>
      <c r="T523" s="3">
        <f t="shared" si="43"/>
        <v>12747.899999999994</v>
      </c>
      <c r="U523" s="24"/>
      <c r="V523" s="24"/>
      <c r="W523" s="3"/>
      <c r="X523" s="25" t="s">
        <v>368</v>
      </c>
      <c r="Y523" s="25" t="s">
        <v>6070</v>
      </c>
      <c r="Z523" s="25"/>
      <c r="AA523" s="25"/>
      <c r="AB523" s="25"/>
      <c r="AC523" s="3" t="str">
        <f>IF(Caja_Finanzas[[#This Row],[FECHA]]&gt;0,TEXT(Caja_Finanzas[[#This Row],[FECHA]],"mmmm"),0)</f>
        <v>Junio</v>
      </c>
    </row>
    <row r="524" spans="2:29" ht="24" x14ac:dyDescent="0.3">
      <c r="B524" s="2" t="str">
        <f>IF(Caja_Finanzas[[#This Row],[TIPO DE R.]]="R",COUNTIFS($D$4:$D523,"R")+1,"")</f>
        <v/>
      </c>
      <c r="C524" s="19" t="str">
        <f t="shared" si="44"/>
        <v>C-Finanzas</v>
      </c>
      <c r="D524" s="3" t="s">
        <v>1101</v>
      </c>
      <c r="E524" s="14">
        <v>45813</v>
      </c>
      <c r="F524" s="5" t="s">
        <v>6071</v>
      </c>
      <c r="G524" s="5"/>
      <c r="H524" s="5"/>
      <c r="I524" s="6"/>
      <c r="J524" s="6"/>
      <c r="K524" s="6"/>
      <c r="L524" s="6"/>
      <c r="M524" s="7" t="s">
        <v>5941</v>
      </c>
      <c r="N524" s="8" t="str">
        <f>"CFI"&amp;".D"&amp;TEXT(Caja_Finanzas[[#This Row],[FECHA]],"DD-MM")&amp;"-"&amp;TEXT(Caja_Finanzas[[#This Row],[ITEM]],"0000")</f>
        <v>CFI.D05-06-</v>
      </c>
      <c r="O524" s="8" t="str">
        <f t="shared" si="45"/>
        <v>PEN</v>
      </c>
      <c r="P524" s="13">
        <v>235</v>
      </c>
      <c r="Q524" s="13"/>
      <c r="R524" s="3">
        <f t="shared" si="41"/>
        <v>0</v>
      </c>
      <c r="S524" s="3">
        <f t="shared" si="42"/>
        <v>0</v>
      </c>
      <c r="T524" s="3">
        <f t="shared" si="43"/>
        <v>12747.899999999994</v>
      </c>
      <c r="U524" s="24"/>
      <c r="V524" s="24"/>
      <c r="W524" s="3"/>
      <c r="X524" s="25" t="s">
        <v>368</v>
      </c>
      <c r="Y524" s="25" t="s">
        <v>6072</v>
      </c>
      <c r="Z524" s="25"/>
      <c r="AA524" s="25"/>
      <c r="AB524" s="25"/>
      <c r="AC524" s="3" t="str">
        <f>IF(Caja_Finanzas[[#This Row],[FECHA]]&gt;0,TEXT(Caja_Finanzas[[#This Row],[FECHA]],"mmmm"),0)</f>
        <v>Junio</v>
      </c>
    </row>
    <row r="525" spans="2:29" ht="24" x14ac:dyDescent="0.3">
      <c r="B525" s="2" t="str">
        <f>IF(Caja_Finanzas[[#This Row],[TIPO DE R.]]="R",COUNTIFS($D$4:$D524,"R")+1,"")</f>
        <v/>
      </c>
      <c r="C525" s="19" t="str">
        <f t="shared" si="44"/>
        <v>C-Finanzas</v>
      </c>
      <c r="D525" s="3" t="s">
        <v>1101</v>
      </c>
      <c r="E525" s="14">
        <v>45813</v>
      </c>
      <c r="F525" s="5" t="s">
        <v>5943</v>
      </c>
      <c r="G525" s="5"/>
      <c r="H525" s="5"/>
      <c r="I525" s="6"/>
      <c r="J525" s="6"/>
      <c r="K525" s="6"/>
      <c r="L525" s="6"/>
      <c r="M525" s="7" t="s">
        <v>5941</v>
      </c>
      <c r="N525" s="8" t="str">
        <f>"CFI"&amp;".D"&amp;TEXT(Caja_Finanzas[[#This Row],[FECHA]],"DD-MM")&amp;"-"&amp;TEXT(Caja_Finanzas[[#This Row],[ITEM]],"0000")</f>
        <v>CFI.D05-06-</v>
      </c>
      <c r="O525" s="8" t="str">
        <f t="shared" si="45"/>
        <v>PEN</v>
      </c>
      <c r="P525" s="13">
        <v>30.8</v>
      </c>
      <c r="Q525" s="13"/>
      <c r="R525" s="3">
        <f t="shared" si="41"/>
        <v>0</v>
      </c>
      <c r="S525" s="3">
        <f t="shared" si="42"/>
        <v>0</v>
      </c>
      <c r="T525" s="3">
        <f t="shared" si="43"/>
        <v>12747.899999999994</v>
      </c>
      <c r="U525" s="24"/>
      <c r="V525" s="24"/>
      <c r="W525" s="3"/>
      <c r="X525" s="25" t="s">
        <v>368</v>
      </c>
      <c r="Y525" s="25" t="s">
        <v>6073</v>
      </c>
      <c r="Z525" s="25"/>
      <c r="AA525" s="25"/>
      <c r="AB525" s="25"/>
      <c r="AC525" s="3" t="str">
        <f>IF(Caja_Finanzas[[#This Row],[FECHA]]&gt;0,TEXT(Caja_Finanzas[[#This Row],[FECHA]],"mmmm"),0)</f>
        <v>Junio</v>
      </c>
    </row>
    <row r="526" spans="2:29" ht="24" x14ac:dyDescent="0.3">
      <c r="B526" s="2" t="str">
        <f>IF(Caja_Finanzas[[#This Row],[TIPO DE R.]]="R",COUNTIFS($D$4:$D525,"R")+1,"")</f>
        <v/>
      </c>
      <c r="C526" s="19" t="str">
        <f t="shared" si="44"/>
        <v>C-Finanzas</v>
      </c>
      <c r="D526" s="3" t="s">
        <v>1101</v>
      </c>
      <c r="E526" s="14">
        <v>45813</v>
      </c>
      <c r="F526" s="5" t="s">
        <v>3401</v>
      </c>
      <c r="G526" s="5"/>
      <c r="H526" s="5"/>
      <c r="I526" s="6"/>
      <c r="J526" s="6"/>
      <c r="K526" s="6"/>
      <c r="L526" s="6"/>
      <c r="M526" s="7" t="s">
        <v>5941</v>
      </c>
      <c r="N526" s="8" t="str">
        <f>"CFI"&amp;".D"&amp;TEXT(Caja_Finanzas[[#This Row],[FECHA]],"DD-MM")&amp;"-"&amp;TEXT(Caja_Finanzas[[#This Row],[ITEM]],"0000")</f>
        <v>CFI.D05-06-</v>
      </c>
      <c r="O526" s="8" t="str">
        <f t="shared" si="45"/>
        <v>PEN</v>
      </c>
      <c r="P526" s="13">
        <v>14.3</v>
      </c>
      <c r="Q526" s="13"/>
      <c r="R526" s="3">
        <f t="shared" si="41"/>
        <v>0</v>
      </c>
      <c r="S526" s="3">
        <f t="shared" si="42"/>
        <v>0</v>
      </c>
      <c r="T526" s="3">
        <f t="shared" si="43"/>
        <v>12747.899999999994</v>
      </c>
      <c r="U526" s="24"/>
      <c r="V526" s="24"/>
      <c r="W526" s="3"/>
      <c r="X526" s="25" t="s">
        <v>368</v>
      </c>
      <c r="Y526" s="25" t="s">
        <v>6074</v>
      </c>
      <c r="Z526" s="25"/>
      <c r="AA526" s="25"/>
      <c r="AB526" s="25"/>
      <c r="AC526" s="3" t="str">
        <f>IF(Caja_Finanzas[[#This Row],[FECHA]]&gt;0,TEXT(Caja_Finanzas[[#This Row],[FECHA]],"mmmm"),0)</f>
        <v>Junio</v>
      </c>
    </row>
    <row r="527" spans="2:29" x14ac:dyDescent="0.3">
      <c r="B527" s="2" t="str">
        <f>IF(Caja_Finanzas[[#This Row],[TIPO DE R.]]="R",COUNTIFS($D$4:$D526,"R")+1,"")</f>
        <v/>
      </c>
      <c r="C527" s="19" t="str">
        <f t="shared" si="44"/>
        <v>C-Finanzas</v>
      </c>
      <c r="D527" s="3" t="s">
        <v>1101</v>
      </c>
      <c r="E527" s="14">
        <v>45813</v>
      </c>
      <c r="F527" s="5"/>
      <c r="G527" s="5"/>
      <c r="H527" s="5"/>
      <c r="I527" s="6"/>
      <c r="J527" s="6"/>
      <c r="K527" s="6"/>
      <c r="L527" s="6"/>
      <c r="M527" s="7" t="s">
        <v>5968</v>
      </c>
      <c r="N527" s="8" t="str">
        <f>"CFI"&amp;".D"&amp;TEXT(Caja_Finanzas[[#This Row],[FECHA]],"DD-MM")&amp;"-"&amp;TEXT(Caja_Finanzas[[#This Row],[ITEM]],"0000")</f>
        <v>CFI.D05-06-</v>
      </c>
      <c r="O527" s="8" t="str">
        <f t="shared" si="45"/>
        <v>PEN</v>
      </c>
      <c r="P527" s="13">
        <v>230</v>
      </c>
      <c r="Q527" s="13"/>
      <c r="R527" s="3">
        <f t="shared" si="41"/>
        <v>0</v>
      </c>
      <c r="S527" s="3">
        <f t="shared" si="42"/>
        <v>0</v>
      </c>
      <c r="T527" s="3">
        <f t="shared" si="43"/>
        <v>12747.899999999994</v>
      </c>
      <c r="U527" s="24"/>
      <c r="V527" s="24"/>
      <c r="W527" s="3"/>
      <c r="X527" s="25" t="s">
        <v>368</v>
      </c>
      <c r="Y527" s="25"/>
      <c r="Z527" s="25"/>
      <c r="AA527" s="25"/>
      <c r="AB527" s="25"/>
      <c r="AC527" s="3" t="str">
        <f>IF(Caja_Finanzas[[#This Row],[FECHA]]&gt;0,TEXT(Caja_Finanzas[[#This Row],[FECHA]],"mmmm"),0)</f>
        <v>Junio</v>
      </c>
    </row>
    <row r="528" spans="2:29" x14ac:dyDescent="0.3">
      <c r="B528" s="2" t="str">
        <f>IF(Caja_Finanzas[[#This Row],[TIPO DE R.]]="R",COUNTIFS($D$4:$D527,"R")+1,"")</f>
        <v/>
      </c>
      <c r="C528" s="19" t="str">
        <f t="shared" si="44"/>
        <v>C-Finanzas</v>
      </c>
      <c r="D528" s="3" t="s">
        <v>1101</v>
      </c>
      <c r="E528" s="14">
        <v>45813</v>
      </c>
      <c r="F528" s="5"/>
      <c r="G528" s="5"/>
      <c r="H528" s="5"/>
      <c r="I528" s="6"/>
      <c r="J528" s="6"/>
      <c r="K528" s="6"/>
      <c r="L528" s="6"/>
      <c r="M528" s="7" t="s">
        <v>5969</v>
      </c>
      <c r="N528" s="8" t="str">
        <f>"CFI"&amp;".D"&amp;TEXT(Caja_Finanzas[[#This Row],[FECHA]],"DD-MM")&amp;"-"&amp;TEXT(Caja_Finanzas[[#This Row],[ITEM]],"0000")</f>
        <v>CFI.D05-06-</v>
      </c>
      <c r="O528" s="8" t="str">
        <f t="shared" si="45"/>
        <v>PEN</v>
      </c>
      <c r="P528" s="13">
        <v>30</v>
      </c>
      <c r="Q528" s="13"/>
      <c r="R528" s="3">
        <f t="shared" si="41"/>
        <v>0</v>
      </c>
      <c r="S528" s="3">
        <f t="shared" si="42"/>
        <v>0</v>
      </c>
      <c r="T528" s="3">
        <f t="shared" si="43"/>
        <v>12747.899999999994</v>
      </c>
      <c r="U528" s="24"/>
      <c r="V528" s="24"/>
      <c r="W528" s="3"/>
      <c r="X528" s="25" t="s">
        <v>368</v>
      </c>
      <c r="Y528" s="25"/>
      <c r="Z528" s="25"/>
      <c r="AA528" s="25"/>
      <c r="AB528" s="25"/>
      <c r="AC528" s="3" t="str">
        <f>IF(Caja_Finanzas[[#This Row],[FECHA]]&gt;0,TEXT(Caja_Finanzas[[#This Row],[FECHA]],"mmmm"),0)</f>
        <v>Junio</v>
      </c>
    </row>
    <row r="529" spans="2:29" ht="36" x14ac:dyDescent="0.3">
      <c r="B529" s="2">
        <f>IF(Caja_Finanzas[[#This Row],[TIPO DE R.]]="R",COUNTIFS($D$4:$D528,"R")+1,"")</f>
        <v>471</v>
      </c>
      <c r="C529" s="19" t="str">
        <f t="shared" si="44"/>
        <v>C-Finanzas</v>
      </c>
      <c r="D529" s="3" t="s">
        <v>1074</v>
      </c>
      <c r="E529" s="14">
        <v>45813</v>
      </c>
      <c r="F529" s="5" t="s">
        <v>3532</v>
      </c>
      <c r="G529" s="5" t="s">
        <v>1079</v>
      </c>
      <c r="H529" s="5"/>
      <c r="I529" s="6"/>
      <c r="J529" s="6"/>
      <c r="K529" s="6"/>
      <c r="L529" s="6"/>
      <c r="M529" s="7" t="s">
        <v>6075</v>
      </c>
      <c r="N529" s="8" t="str">
        <f>"CFI"&amp;".D"&amp;TEXT(Caja_Finanzas[[#This Row],[FECHA]],"DD-MM")&amp;"-"&amp;TEXT(Caja_Finanzas[[#This Row],[ITEM]],"0000")</f>
        <v>CFI.D05-06-0471</v>
      </c>
      <c r="O529" s="8" t="str">
        <f t="shared" si="45"/>
        <v>PEN</v>
      </c>
      <c r="P529" s="13"/>
      <c r="Q529" s="13">
        <v>1600</v>
      </c>
      <c r="R529" s="3">
        <f t="shared" si="41"/>
        <v>0</v>
      </c>
      <c r="S529" s="3">
        <f t="shared" si="42"/>
        <v>1600</v>
      </c>
      <c r="T529" s="3">
        <f t="shared" si="43"/>
        <v>11147.899999999994</v>
      </c>
      <c r="U529" s="24"/>
      <c r="V529" s="24"/>
      <c r="W529" s="3"/>
      <c r="X529" s="25" t="s">
        <v>407</v>
      </c>
      <c r="Y529" s="25" t="s">
        <v>6076</v>
      </c>
      <c r="Z529" s="25"/>
      <c r="AA529" s="25"/>
      <c r="AB529" s="25"/>
      <c r="AC529" s="3" t="str">
        <f>IF(Caja_Finanzas[[#This Row],[FECHA]]&gt;0,TEXT(Caja_Finanzas[[#This Row],[FECHA]],"mmmm"),0)</f>
        <v>Junio</v>
      </c>
    </row>
    <row r="530" spans="2:29" ht="36" x14ac:dyDescent="0.3">
      <c r="B530" s="2">
        <f>IF(Caja_Finanzas[[#This Row],[TIPO DE R.]]="R",COUNTIFS($D$4:$D529,"R")+1,"")</f>
        <v>472</v>
      </c>
      <c r="C530" s="19" t="str">
        <f t="shared" si="44"/>
        <v>C-Finanzas</v>
      </c>
      <c r="D530" s="3" t="s">
        <v>1074</v>
      </c>
      <c r="E530" s="14">
        <v>45813</v>
      </c>
      <c r="F530" s="5" t="s">
        <v>5301</v>
      </c>
      <c r="G530" s="5" t="s">
        <v>1079</v>
      </c>
      <c r="H530" s="5"/>
      <c r="I530" s="6"/>
      <c r="J530" s="6"/>
      <c r="K530" s="6"/>
      <c r="L530" s="6"/>
      <c r="M530" s="7" t="s">
        <v>6077</v>
      </c>
      <c r="N530" s="8" t="str">
        <f>"CFI"&amp;".D"&amp;TEXT(Caja_Finanzas[[#This Row],[FECHA]],"DD-MM")&amp;"-"&amp;TEXT(Caja_Finanzas[[#This Row],[ITEM]],"0000")</f>
        <v>CFI.D05-06-0472</v>
      </c>
      <c r="O530" s="8" t="str">
        <f t="shared" si="45"/>
        <v>PEN</v>
      </c>
      <c r="P530" s="13"/>
      <c r="Q530" s="13">
        <v>5032</v>
      </c>
      <c r="R530" s="3">
        <f t="shared" si="41"/>
        <v>0</v>
      </c>
      <c r="S530" s="3">
        <f t="shared" si="42"/>
        <v>5032</v>
      </c>
      <c r="T530" s="3">
        <f t="shared" si="43"/>
        <v>6115.8999999999942</v>
      </c>
      <c r="U530" s="24"/>
      <c r="V530" s="24"/>
      <c r="W530" s="3"/>
      <c r="X530" s="25" t="s">
        <v>4015</v>
      </c>
      <c r="Y530" s="25"/>
      <c r="Z530" s="25"/>
      <c r="AA530" s="25"/>
      <c r="AB530" s="25"/>
      <c r="AC530" s="3" t="str">
        <f>IF(Caja_Finanzas[[#This Row],[FECHA]]&gt;0,TEXT(Caja_Finanzas[[#This Row],[FECHA]],"mmmm"),0)</f>
        <v>Junio</v>
      </c>
    </row>
    <row r="531" spans="2:29" ht="24" x14ac:dyDescent="0.3">
      <c r="B531" s="2">
        <f>IF(Caja_Finanzas[[#This Row],[TIPO DE R.]]="R",COUNTIFS($D$4:$D530,"R")+1,"")</f>
        <v>473</v>
      </c>
      <c r="C531" s="19" t="str">
        <f t="shared" si="44"/>
        <v>C-Finanzas</v>
      </c>
      <c r="D531" s="3" t="s">
        <v>1074</v>
      </c>
      <c r="E531" s="14">
        <v>45814</v>
      </c>
      <c r="F531" s="5" t="s">
        <v>1745</v>
      </c>
      <c r="G531" s="5" t="s">
        <v>1087</v>
      </c>
      <c r="H531" s="5"/>
      <c r="I531" s="6"/>
      <c r="J531" s="6"/>
      <c r="K531" s="6"/>
      <c r="L531" s="6"/>
      <c r="M531" s="7" t="s">
        <v>5156</v>
      </c>
      <c r="N531" s="8" t="str">
        <f>"CFI"&amp;".D"&amp;TEXT(Caja_Finanzas[[#This Row],[FECHA]],"DD-MM")&amp;"-"&amp;TEXT(Caja_Finanzas[[#This Row],[ITEM]],"0000")</f>
        <v>CFI.D06-06-0473</v>
      </c>
      <c r="O531" s="8" t="str">
        <f t="shared" si="45"/>
        <v>PEN</v>
      </c>
      <c r="P531" s="13"/>
      <c r="Q531" s="13">
        <v>1820</v>
      </c>
      <c r="R531" s="3">
        <f t="shared" si="41"/>
        <v>1820</v>
      </c>
      <c r="S531" s="3">
        <f t="shared" si="42"/>
        <v>0</v>
      </c>
      <c r="T531" s="3">
        <f t="shared" si="43"/>
        <v>7935.8999999999942</v>
      </c>
      <c r="U531" s="24"/>
      <c r="V531" s="24"/>
      <c r="W531" s="3"/>
      <c r="X531" s="25" t="s">
        <v>368</v>
      </c>
      <c r="Y531" s="25" t="s">
        <v>6078</v>
      </c>
      <c r="Z531" s="25"/>
      <c r="AA531" s="25"/>
      <c r="AB531" s="25"/>
      <c r="AC531" s="3" t="str">
        <f>IF(Caja_Finanzas[[#This Row],[FECHA]]&gt;0,TEXT(Caja_Finanzas[[#This Row],[FECHA]],"mmmm"),0)</f>
        <v>Junio</v>
      </c>
    </row>
    <row r="532" spans="2:29" ht="24" x14ac:dyDescent="0.3">
      <c r="B532" s="2">
        <f>IF(Caja_Finanzas[[#This Row],[TIPO DE R.]]="R",COUNTIFS($D$4:$D531,"R")+1,"")</f>
        <v>474</v>
      </c>
      <c r="C532" s="19" t="str">
        <f t="shared" si="44"/>
        <v>C-Finanzas</v>
      </c>
      <c r="D532" s="3" t="s">
        <v>1074</v>
      </c>
      <c r="E532" s="14">
        <v>45814</v>
      </c>
      <c r="F532" s="5" t="s">
        <v>1745</v>
      </c>
      <c r="G532" s="5" t="s">
        <v>1087</v>
      </c>
      <c r="H532" s="5"/>
      <c r="I532" s="6"/>
      <c r="J532" s="6"/>
      <c r="K532" s="6"/>
      <c r="L532" s="6"/>
      <c r="M532" s="7" t="s">
        <v>5156</v>
      </c>
      <c r="N532" s="8" t="str">
        <f>"CFI"&amp;".D"&amp;TEXT(Caja_Finanzas[[#This Row],[FECHA]],"DD-MM")&amp;"-"&amp;TEXT(Caja_Finanzas[[#This Row],[ITEM]],"0000")</f>
        <v>CFI.D06-06-0474</v>
      </c>
      <c r="O532" s="8" t="str">
        <f t="shared" si="45"/>
        <v>PEN</v>
      </c>
      <c r="P532" s="13"/>
      <c r="Q532" s="13">
        <v>680</v>
      </c>
      <c r="R532" s="3">
        <f t="shared" si="41"/>
        <v>680</v>
      </c>
      <c r="S532" s="3">
        <f t="shared" si="42"/>
        <v>0</v>
      </c>
      <c r="T532" s="3">
        <f t="shared" si="43"/>
        <v>8615.8999999999942</v>
      </c>
      <c r="U532" s="24"/>
      <c r="V532" s="24"/>
      <c r="W532" s="3"/>
      <c r="X532" s="25" t="s">
        <v>368</v>
      </c>
      <c r="Y532" s="25" t="s">
        <v>3015</v>
      </c>
      <c r="Z532" s="25"/>
      <c r="AA532" s="25"/>
      <c r="AB532" s="25"/>
      <c r="AC532" s="3" t="str">
        <f>IF(Caja_Finanzas[[#This Row],[FECHA]]&gt;0,TEXT(Caja_Finanzas[[#This Row],[FECHA]],"mmmm"),0)</f>
        <v>Junio</v>
      </c>
    </row>
    <row r="533" spans="2:29" ht="36" x14ac:dyDescent="0.3">
      <c r="B533" s="2">
        <f>IF(Caja_Finanzas[[#This Row],[TIPO DE R.]]="R",COUNTIFS($D$4:$D532,"R")+1,"")</f>
        <v>475</v>
      </c>
      <c r="C533" s="19" t="str">
        <f t="shared" si="44"/>
        <v>C-Finanzas</v>
      </c>
      <c r="D533" s="3" t="s">
        <v>1074</v>
      </c>
      <c r="E533" s="14">
        <v>45814</v>
      </c>
      <c r="F533" s="5" t="s">
        <v>5301</v>
      </c>
      <c r="G533" s="5" t="s">
        <v>1079</v>
      </c>
      <c r="H533" s="5"/>
      <c r="I533" s="6"/>
      <c r="J533" s="6"/>
      <c r="K533" s="6"/>
      <c r="L533" s="6"/>
      <c r="M533" s="7" t="s">
        <v>6079</v>
      </c>
      <c r="N533" s="8" t="str">
        <f>"CFI"&amp;".D"&amp;TEXT(Caja_Finanzas[[#This Row],[FECHA]],"DD-MM")&amp;"-"&amp;TEXT(Caja_Finanzas[[#This Row],[ITEM]],"0000")</f>
        <v>CFI.D06-06-0475</v>
      </c>
      <c r="O533" s="8" t="str">
        <f t="shared" si="45"/>
        <v>PEN</v>
      </c>
      <c r="P533" s="13"/>
      <c r="Q533" s="13">
        <v>280</v>
      </c>
      <c r="R533" s="3">
        <f t="shared" si="41"/>
        <v>0</v>
      </c>
      <c r="S533" s="3">
        <f t="shared" si="42"/>
        <v>280</v>
      </c>
      <c r="T533" s="3">
        <f t="shared" si="43"/>
        <v>8335.8999999999942</v>
      </c>
      <c r="U533" s="24"/>
      <c r="V533" s="24"/>
      <c r="W533" s="3"/>
      <c r="X533" s="25" t="s">
        <v>5596</v>
      </c>
      <c r="Y533" s="25" t="s">
        <v>6080</v>
      </c>
      <c r="Z533" s="25"/>
      <c r="AA533" s="25"/>
      <c r="AB533" s="25"/>
      <c r="AC533" s="3" t="str">
        <f>IF(Caja_Finanzas[[#This Row],[FECHA]]&gt;0,TEXT(Caja_Finanzas[[#This Row],[FECHA]],"mmmm"),0)</f>
        <v>Junio</v>
      </c>
    </row>
    <row r="534" spans="2:29" ht="36" x14ac:dyDescent="0.3">
      <c r="B534" s="2">
        <f>IF(Caja_Finanzas[[#This Row],[TIPO DE R.]]="R",COUNTIFS($D$4:$D533,"R")+1,"")</f>
        <v>476</v>
      </c>
      <c r="C534" s="19" t="str">
        <f t="shared" si="44"/>
        <v>C-Finanzas</v>
      </c>
      <c r="D534" s="3" t="s">
        <v>1074</v>
      </c>
      <c r="E534" s="14">
        <v>45814</v>
      </c>
      <c r="F534" s="5" t="s">
        <v>5301</v>
      </c>
      <c r="G534" s="5" t="s">
        <v>1079</v>
      </c>
      <c r="H534" s="5"/>
      <c r="I534" s="6"/>
      <c r="J534" s="6"/>
      <c r="K534" s="6"/>
      <c r="L534" s="6"/>
      <c r="M534" s="7" t="s">
        <v>6081</v>
      </c>
      <c r="N534" s="8" t="str">
        <f>"CFI"&amp;".D"&amp;TEXT(Caja_Finanzas[[#This Row],[FECHA]],"DD-MM")&amp;"-"&amp;TEXT(Caja_Finanzas[[#This Row],[ITEM]],"0000")</f>
        <v>CFI.D06-06-0476</v>
      </c>
      <c r="O534" s="8" t="str">
        <f t="shared" si="45"/>
        <v>PEN</v>
      </c>
      <c r="P534" s="13"/>
      <c r="Q534" s="13">
        <v>400</v>
      </c>
      <c r="R534" s="3">
        <f t="shared" si="41"/>
        <v>0</v>
      </c>
      <c r="S534" s="3">
        <f t="shared" si="42"/>
        <v>400</v>
      </c>
      <c r="T534" s="3">
        <f t="shared" si="43"/>
        <v>7935.8999999999942</v>
      </c>
      <c r="U534" s="24"/>
      <c r="V534" s="24"/>
      <c r="W534" s="3"/>
      <c r="X534" s="25" t="s">
        <v>5596</v>
      </c>
      <c r="Y534" s="25" t="s">
        <v>6082</v>
      </c>
      <c r="Z534" s="25"/>
      <c r="AA534" s="25"/>
      <c r="AB534" s="25"/>
      <c r="AC534" s="3" t="str">
        <f>IF(Caja_Finanzas[[#This Row],[FECHA]]&gt;0,TEXT(Caja_Finanzas[[#This Row],[FECHA]],"mmmm"),0)</f>
        <v>Junio</v>
      </c>
    </row>
    <row r="535" spans="2:29" ht="36" x14ac:dyDescent="0.3">
      <c r="B535" s="2">
        <f>IF(Caja_Finanzas[[#This Row],[TIPO DE R.]]="R",COUNTIFS($D$4:$D534,"R")+1,"")</f>
        <v>477</v>
      </c>
      <c r="C535" s="19" t="str">
        <f t="shared" si="44"/>
        <v>C-Finanzas</v>
      </c>
      <c r="D535" s="3" t="s">
        <v>1074</v>
      </c>
      <c r="E535" s="14">
        <v>45814</v>
      </c>
      <c r="F535" s="5" t="s">
        <v>5347</v>
      </c>
      <c r="G535" s="5" t="s">
        <v>1079</v>
      </c>
      <c r="H535" s="5"/>
      <c r="I535" s="6"/>
      <c r="J535" s="6"/>
      <c r="K535" s="6"/>
      <c r="L535" s="6"/>
      <c r="M535" s="7" t="s">
        <v>6083</v>
      </c>
      <c r="N535" s="8" t="str">
        <f>"CFI"&amp;".D"&amp;TEXT(Caja_Finanzas[[#This Row],[FECHA]],"DD-MM")&amp;"-"&amp;TEXT(Caja_Finanzas[[#This Row],[ITEM]],"0000")</f>
        <v>CFI.D06-06-0477</v>
      </c>
      <c r="O535" s="8" t="str">
        <f t="shared" si="45"/>
        <v>PEN</v>
      </c>
      <c r="P535" s="13"/>
      <c r="Q535" s="13">
        <v>14</v>
      </c>
      <c r="R535" s="3">
        <f t="shared" si="41"/>
        <v>0</v>
      </c>
      <c r="S535" s="3">
        <f t="shared" si="42"/>
        <v>14</v>
      </c>
      <c r="T535" s="3">
        <f t="shared" si="43"/>
        <v>7921.8999999999942</v>
      </c>
      <c r="U535" s="24"/>
      <c r="V535" s="24"/>
      <c r="W535" s="3"/>
      <c r="X535" s="25" t="s">
        <v>6084</v>
      </c>
      <c r="Y535" s="25" t="s">
        <v>6085</v>
      </c>
      <c r="Z535" s="25"/>
      <c r="AA535" s="25"/>
      <c r="AB535" s="25"/>
      <c r="AC535" s="3" t="str">
        <f>IF(Caja_Finanzas[[#This Row],[FECHA]]&gt;0,TEXT(Caja_Finanzas[[#This Row],[FECHA]],"mmmm"),0)</f>
        <v>Junio</v>
      </c>
    </row>
    <row r="536" spans="2:29" ht="24" x14ac:dyDescent="0.3">
      <c r="B536" s="2">
        <f>IF(Caja_Finanzas[[#This Row],[TIPO DE R.]]="R",COUNTIFS($D$4:$D535,"R")+1,"")</f>
        <v>478</v>
      </c>
      <c r="C536" s="19" t="str">
        <f t="shared" si="44"/>
        <v>C-Finanzas</v>
      </c>
      <c r="D536" s="3" t="s">
        <v>1074</v>
      </c>
      <c r="E536" s="14">
        <v>45814</v>
      </c>
      <c r="F536" s="5" t="s">
        <v>5827</v>
      </c>
      <c r="G536" s="5" t="s">
        <v>1079</v>
      </c>
      <c r="H536" s="5"/>
      <c r="I536" s="6"/>
      <c r="J536" s="6"/>
      <c r="K536" s="6"/>
      <c r="L536" s="6"/>
      <c r="M536" s="7" t="s">
        <v>6086</v>
      </c>
      <c r="N536" s="8" t="str">
        <f>"CFI"&amp;".D"&amp;TEXT(Caja_Finanzas[[#This Row],[FECHA]],"DD-MM")&amp;"-"&amp;TEXT(Caja_Finanzas[[#This Row],[ITEM]],"0000")</f>
        <v>CFI.D06-06-0478</v>
      </c>
      <c r="O536" s="8" t="str">
        <f t="shared" si="45"/>
        <v>PEN</v>
      </c>
      <c r="P536" s="13"/>
      <c r="Q536" s="13">
        <v>188</v>
      </c>
      <c r="R536" s="3">
        <f t="shared" si="41"/>
        <v>0</v>
      </c>
      <c r="S536" s="3">
        <f t="shared" si="42"/>
        <v>188</v>
      </c>
      <c r="T536" s="3">
        <f t="shared" si="43"/>
        <v>7733.8999999999942</v>
      </c>
      <c r="U536" s="24"/>
      <c r="V536" s="24"/>
      <c r="W536" s="3"/>
      <c r="X536" s="25" t="s">
        <v>5596</v>
      </c>
      <c r="Y536" s="25" t="s">
        <v>6087</v>
      </c>
      <c r="Z536" s="25"/>
      <c r="AA536" s="25"/>
      <c r="AB536" s="25"/>
      <c r="AC536" s="3" t="str">
        <f>IF(Caja_Finanzas[[#This Row],[FECHA]]&gt;0,TEXT(Caja_Finanzas[[#This Row],[FECHA]],"mmmm"),0)</f>
        <v>Junio</v>
      </c>
    </row>
    <row r="537" spans="2:29" ht="24" x14ac:dyDescent="0.3">
      <c r="B537" s="2">
        <f>IF(Caja_Finanzas[[#This Row],[TIPO DE R.]]="R",COUNTIFS($D$4:$D536,"R")+1,"")</f>
        <v>479</v>
      </c>
      <c r="C537" s="19" t="str">
        <f t="shared" si="44"/>
        <v>C-Finanzas</v>
      </c>
      <c r="D537" s="3" t="s">
        <v>1074</v>
      </c>
      <c r="E537" s="14">
        <v>45817</v>
      </c>
      <c r="F537" s="5" t="s">
        <v>5443</v>
      </c>
      <c r="G537" s="5" t="s">
        <v>1079</v>
      </c>
      <c r="H537" s="5"/>
      <c r="I537" s="6"/>
      <c r="J537" s="6"/>
      <c r="K537" s="6"/>
      <c r="L537" s="6"/>
      <c r="M537" s="7" t="s">
        <v>6088</v>
      </c>
      <c r="N537" s="8" t="str">
        <f>"CFI"&amp;".D"&amp;TEXT(Caja_Finanzas[[#This Row],[FECHA]],"DD-MM")&amp;"-"&amp;TEXT(Caja_Finanzas[[#This Row],[ITEM]],"0000")</f>
        <v>CFI.D09-06-0479</v>
      </c>
      <c r="O537" s="8" t="str">
        <f t="shared" si="45"/>
        <v>PEN</v>
      </c>
      <c r="P537" s="13"/>
      <c r="Q537" s="13">
        <v>36</v>
      </c>
      <c r="R537" s="3">
        <f t="shared" si="41"/>
        <v>0</v>
      </c>
      <c r="S537" s="3">
        <f t="shared" si="42"/>
        <v>36</v>
      </c>
      <c r="T537" s="3">
        <f t="shared" si="43"/>
        <v>7697.8999999999942</v>
      </c>
      <c r="U537" s="24"/>
      <c r="V537" s="24"/>
      <c r="W537" s="3"/>
      <c r="X537" s="25" t="s">
        <v>5596</v>
      </c>
      <c r="Y537" s="25" t="s">
        <v>6089</v>
      </c>
      <c r="Z537" s="25"/>
      <c r="AA537" s="25"/>
      <c r="AB537" s="25"/>
      <c r="AC537" s="3" t="str">
        <f>IF(Caja_Finanzas[[#This Row],[FECHA]]&gt;0,TEXT(Caja_Finanzas[[#This Row],[FECHA]],"mmmm"),0)</f>
        <v>Junio</v>
      </c>
    </row>
    <row r="538" spans="2:29" ht="36" x14ac:dyDescent="0.3">
      <c r="B538" s="2">
        <f>IF(Caja_Finanzas[[#This Row],[TIPO DE R.]]="R",COUNTIFS($D$4:$D537,"R")+1,"")</f>
        <v>480</v>
      </c>
      <c r="C538" s="19" t="str">
        <f t="shared" si="44"/>
        <v>C-Finanzas</v>
      </c>
      <c r="D538" s="3" t="s">
        <v>1074</v>
      </c>
      <c r="E538" s="14">
        <v>45818</v>
      </c>
      <c r="F538" s="5" t="s">
        <v>3532</v>
      </c>
      <c r="G538" s="5" t="s">
        <v>1079</v>
      </c>
      <c r="H538" s="5"/>
      <c r="I538" s="6"/>
      <c r="J538" s="6"/>
      <c r="K538" s="6"/>
      <c r="L538" s="6"/>
      <c r="M538" s="7" t="s">
        <v>6090</v>
      </c>
      <c r="N538" s="8" t="str">
        <f>"CFI"&amp;".D"&amp;TEXT(Caja_Finanzas[[#This Row],[FECHA]],"DD-MM")&amp;"-"&amp;TEXT(Caja_Finanzas[[#This Row],[ITEM]],"0000")</f>
        <v>CFI.D10-06-0480</v>
      </c>
      <c r="O538" s="8" t="str">
        <f t="shared" si="45"/>
        <v>PEN</v>
      </c>
      <c r="P538" s="13"/>
      <c r="Q538" s="13">
        <v>1000</v>
      </c>
      <c r="R538" s="3">
        <f t="shared" si="41"/>
        <v>0</v>
      </c>
      <c r="S538" s="3">
        <f t="shared" si="42"/>
        <v>1000</v>
      </c>
      <c r="T538" s="3">
        <f t="shared" si="43"/>
        <v>6697.8999999999942</v>
      </c>
      <c r="U538" s="24"/>
      <c r="V538" s="24"/>
      <c r="W538" s="3"/>
      <c r="X538" s="25" t="s">
        <v>6091</v>
      </c>
      <c r="Y538" s="25" t="s">
        <v>6092</v>
      </c>
      <c r="Z538" s="25"/>
      <c r="AA538" s="25"/>
      <c r="AB538" s="25"/>
      <c r="AC538" s="3" t="str">
        <f>IF(Caja_Finanzas[[#This Row],[FECHA]]&gt;0,TEXT(Caja_Finanzas[[#This Row],[FECHA]],"mmmm"),0)</f>
        <v>Junio</v>
      </c>
    </row>
    <row r="539" spans="2:29" ht="36" x14ac:dyDescent="0.3">
      <c r="B539" s="2">
        <f>IF(Caja_Finanzas[[#This Row],[TIPO DE R.]]="R",COUNTIFS($D$4:$D538,"R")+1,"")</f>
        <v>481</v>
      </c>
      <c r="C539" s="19" t="str">
        <f t="shared" si="44"/>
        <v>C-Finanzas</v>
      </c>
      <c r="D539" s="3" t="s">
        <v>1074</v>
      </c>
      <c r="E539" s="14">
        <v>45819</v>
      </c>
      <c r="F539" s="5" t="s">
        <v>3532</v>
      </c>
      <c r="G539" s="5" t="s">
        <v>1079</v>
      </c>
      <c r="H539" s="5"/>
      <c r="I539" s="6"/>
      <c r="J539" s="6"/>
      <c r="K539" s="6"/>
      <c r="L539" s="6"/>
      <c r="M539" s="7" t="s">
        <v>6093</v>
      </c>
      <c r="N539" s="8" t="str">
        <f>"CFI"&amp;".D"&amp;TEXT(Caja_Finanzas[[#This Row],[FECHA]],"DD-MM")&amp;"-"&amp;TEXT(Caja_Finanzas[[#This Row],[ITEM]],"0000")</f>
        <v>CFI.D11-06-0481</v>
      </c>
      <c r="O539" s="8" t="str">
        <f t="shared" si="45"/>
        <v>PEN</v>
      </c>
      <c r="P539" s="13"/>
      <c r="Q539" s="13">
        <v>700</v>
      </c>
      <c r="R539" s="3">
        <f t="shared" si="41"/>
        <v>0</v>
      </c>
      <c r="S539" s="3">
        <f t="shared" si="42"/>
        <v>700</v>
      </c>
      <c r="T539" s="3">
        <f t="shared" si="43"/>
        <v>5997.8999999999942</v>
      </c>
      <c r="U539" s="24"/>
      <c r="V539" s="24"/>
      <c r="W539" s="3"/>
      <c r="X539" s="25" t="s">
        <v>6091</v>
      </c>
      <c r="Y539" s="25" t="s">
        <v>6094</v>
      </c>
      <c r="Z539" s="25"/>
      <c r="AA539" s="25"/>
      <c r="AB539" s="25"/>
      <c r="AC539" s="3" t="str">
        <f>IF(Caja_Finanzas[[#This Row],[FECHA]]&gt;0,TEXT(Caja_Finanzas[[#This Row],[FECHA]],"mmmm"),0)</f>
        <v>Junio</v>
      </c>
    </row>
    <row r="540" spans="2:29" ht="24" x14ac:dyDescent="0.3">
      <c r="B540" s="2">
        <f>IF(Caja_Finanzas[[#This Row],[TIPO DE R.]]="R",COUNTIFS($D$4:$D539,"R")+1,"")</f>
        <v>482</v>
      </c>
      <c r="C540" s="19" t="str">
        <f t="shared" si="44"/>
        <v>C-Finanzas</v>
      </c>
      <c r="D540" s="3" t="s">
        <v>1074</v>
      </c>
      <c r="E540" s="14">
        <v>45819</v>
      </c>
      <c r="F540" s="5" t="s">
        <v>3532</v>
      </c>
      <c r="G540" s="5" t="s">
        <v>1079</v>
      </c>
      <c r="H540" s="5"/>
      <c r="I540" s="6"/>
      <c r="J540" s="6"/>
      <c r="K540" s="6"/>
      <c r="L540" s="6"/>
      <c r="M540" s="7" t="s">
        <v>6095</v>
      </c>
      <c r="N540" s="8" t="str">
        <f>"CFI"&amp;".D"&amp;TEXT(Caja_Finanzas[[#This Row],[FECHA]],"DD-MM")&amp;"-"&amp;TEXT(Caja_Finanzas[[#This Row],[ITEM]],"0000")</f>
        <v>CFI.D11-06-0482</v>
      </c>
      <c r="O540" s="8" t="str">
        <f t="shared" si="45"/>
        <v>PEN</v>
      </c>
      <c r="P540" s="13"/>
      <c r="Q540" s="13">
        <v>380</v>
      </c>
      <c r="R540" s="3">
        <f t="shared" si="41"/>
        <v>0</v>
      </c>
      <c r="S540" s="3">
        <f t="shared" si="42"/>
        <v>380</v>
      </c>
      <c r="T540" s="3">
        <f t="shared" si="43"/>
        <v>5617.8999999999942</v>
      </c>
      <c r="U540" s="24"/>
      <c r="V540" s="24"/>
      <c r="W540" s="3"/>
      <c r="X540" s="25" t="s">
        <v>6096</v>
      </c>
      <c r="Y540" s="25" t="s">
        <v>6097</v>
      </c>
      <c r="Z540" s="25"/>
      <c r="AA540" s="25"/>
      <c r="AB540" s="25"/>
      <c r="AC540" s="3" t="str">
        <f>IF(Caja_Finanzas[[#This Row],[FECHA]]&gt;0,TEXT(Caja_Finanzas[[#This Row],[FECHA]],"mmmm"),0)</f>
        <v>Junio</v>
      </c>
    </row>
    <row r="541" spans="2:29" ht="24" x14ac:dyDescent="0.3">
      <c r="B541" s="2">
        <f>IF(Caja_Finanzas[[#This Row],[TIPO DE R.]]="R",COUNTIFS($D$4:$D540,"R")+1,"")</f>
        <v>483</v>
      </c>
      <c r="C541" s="19" t="str">
        <f t="shared" si="44"/>
        <v>C-Finanzas</v>
      </c>
      <c r="D541" s="3" t="s">
        <v>1074</v>
      </c>
      <c r="E541" s="14">
        <v>45820</v>
      </c>
      <c r="F541" s="5" t="s">
        <v>5618</v>
      </c>
      <c r="G541" s="5" t="s">
        <v>1079</v>
      </c>
      <c r="H541" s="5"/>
      <c r="I541" s="6"/>
      <c r="J541" s="6"/>
      <c r="K541" s="6"/>
      <c r="L541" s="6"/>
      <c r="M541" s="7" t="s">
        <v>6098</v>
      </c>
      <c r="N541" s="8" t="str">
        <f>"CFI"&amp;".D"&amp;TEXT(Caja_Finanzas[[#This Row],[FECHA]],"DD-MM")&amp;"-"&amp;TEXT(Caja_Finanzas[[#This Row],[ITEM]],"0000")</f>
        <v>CFI.D12-06-0483</v>
      </c>
      <c r="O541" s="8" t="str">
        <f t="shared" si="45"/>
        <v>PEN</v>
      </c>
      <c r="P541" s="13"/>
      <c r="Q541" s="13">
        <v>220</v>
      </c>
      <c r="R541" s="3">
        <f t="shared" si="41"/>
        <v>0</v>
      </c>
      <c r="S541" s="3">
        <f t="shared" si="42"/>
        <v>220</v>
      </c>
      <c r="T541" s="3">
        <f t="shared" si="43"/>
        <v>5397.8999999999942</v>
      </c>
      <c r="U541" s="24"/>
      <c r="V541" s="24"/>
      <c r="W541" s="3"/>
      <c r="X541" s="25" t="s">
        <v>5596</v>
      </c>
      <c r="Y541" s="25" t="s">
        <v>6099</v>
      </c>
      <c r="Z541" s="25"/>
      <c r="AA541" s="25"/>
      <c r="AB541" s="25"/>
      <c r="AC541" s="3" t="str">
        <f>IF(Caja_Finanzas[[#This Row],[FECHA]]&gt;0,TEXT(Caja_Finanzas[[#This Row],[FECHA]],"mmmm"),0)</f>
        <v>Junio</v>
      </c>
    </row>
    <row r="542" spans="2:29" x14ac:dyDescent="0.3">
      <c r="B542" s="2">
        <f>IF(Caja_Finanzas[[#This Row],[TIPO DE R.]]="R",COUNTIFS($D$4:$D541,"R")+1,"")</f>
        <v>484</v>
      </c>
      <c r="C542" s="19" t="str">
        <f t="shared" si="44"/>
        <v>C-Finanzas</v>
      </c>
      <c r="D542" s="3" t="s">
        <v>1074</v>
      </c>
      <c r="E542" s="14">
        <v>45820</v>
      </c>
      <c r="F542" s="5" t="s">
        <v>2518</v>
      </c>
      <c r="G542" s="5" t="s">
        <v>1087</v>
      </c>
      <c r="H542" s="5"/>
      <c r="I542" s="6"/>
      <c r="J542" s="6"/>
      <c r="K542" s="6"/>
      <c r="L542" s="6"/>
      <c r="M542" s="7" t="s">
        <v>5156</v>
      </c>
      <c r="N542" s="8" t="str">
        <f>"CFI"&amp;".D"&amp;TEXT(Caja_Finanzas[[#This Row],[FECHA]],"DD-MM")&amp;"-"&amp;TEXT(Caja_Finanzas[[#This Row],[ITEM]],"0000")</f>
        <v>CFI.D12-06-0484</v>
      </c>
      <c r="O542" s="8" t="str">
        <f t="shared" si="45"/>
        <v>PEN</v>
      </c>
      <c r="P542" s="13"/>
      <c r="Q542" s="13">
        <v>272</v>
      </c>
      <c r="R542" s="3">
        <f t="shared" si="41"/>
        <v>272</v>
      </c>
      <c r="S542" s="3">
        <f t="shared" si="42"/>
        <v>0</v>
      </c>
      <c r="T542" s="3">
        <f t="shared" si="43"/>
        <v>5669.8999999999942</v>
      </c>
      <c r="U542" s="24"/>
      <c r="V542" s="24"/>
      <c r="W542" s="3"/>
      <c r="X542" s="25" t="s">
        <v>368</v>
      </c>
      <c r="Y542" s="25" t="s">
        <v>6100</v>
      </c>
      <c r="Z542" s="25"/>
      <c r="AA542" s="25"/>
      <c r="AB542" s="25"/>
      <c r="AC542" s="3" t="str">
        <f>IF(Caja_Finanzas[[#This Row],[FECHA]]&gt;0,TEXT(Caja_Finanzas[[#This Row],[FECHA]],"mmmm"),0)</f>
        <v>Junio</v>
      </c>
    </row>
    <row r="543" spans="2:29" x14ac:dyDescent="0.3">
      <c r="B543" s="2">
        <f>IF(Caja_Finanzas[[#This Row],[TIPO DE R.]]="R",COUNTIFS($D$4:$D542,"R")+1,"")</f>
        <v>485</v>
      </c>
      <c r="C543" s="19" t="str">
        <f t="shared" si="44"/>
        <v>C-Finanzas</v>
      </c>
      <c r="D543" s="3" t="s">
        <v>1074</v>
      </c>
      <c r="E543" s="14">
        <v>45820</v>
      </c>
      <c r="F543" s="5" t="s">
        <v>5566</v>
      </c>
      <c r="G543" s="5" t="s">
        <v>1087</v>
      </c>
      <c r="H543" s="5"/>
      <c r="I543" s="6"/>
      <c r="J543" s="6"/>
      <c r="K543" s="6"/>
      <c r="L543" s="6"/>
      <c r="M543" s="7" t="s">
        <v>5156</v>
      </c>
      <c r="N543" s="8" t="str">
        <f>"CFI"&amp;".D"&amp;TEXT(Caja_Finanzas[[#This Row],[FECHA]],"DD-MM")&amp;"-"&amp;TEXT(Caja_Finanzas[[#This Row],[ITEM]],"0000")</f>
        <v>CFI.D12-06-0485</v>
      </c>
      <c r="O543" s="8" t="str">
        <f t="shared" si="45"/>
        <v>PEN</v>
      </c>
      <c r="P543" s="13"/>
      <c r="Q543" s="13">
        <v>1680</v>
      </c>
      <c r="R543" s="3">
        <f t="shared" si="41"/>
        <v>1680</v>
      </c>
      <c r="S543" s="3">
        <f t="shared" si="42"/>
        <v>0</v>
      </c>
      <c r="T543" s="3">
        <f t="shared" si="43"/>
        <v>7349.8999999999942</v>
      </c>
      <c r="U543" s="24"/>
      <c r="V543" s="24"/>
      <c r="W543" s="3"/>
      <c r="X543" s="25" t="s">
        <v>368</v>
      </c>
      <c r="Y543" s="25" t="s">
        <v>6101</v>
      </c>
      <c r="Z543" s="25"/>
      <c r="AA543" s="25"/>
      <c r="AB543" s="25"/>
      <c r="AC543" s="3" t="str">
        <f>IF(Caja_Finanzas[[#This Row],[FECHA]]&gt;0,TEXT(Caja_Finanzas[[#This Row],[FECHA]],"mmmm"),0)</f>
        <v>Junio</v>
      </c>
    </row>
    <row r="544" spans="2:29" ht="24" x14ac:dyDescent="0.3">
      <c r="B544" s="2">
        <f>IF(Caja_Finanzas[[#This Row],[TIPO DE R.]]="R",COUNTIFS($D$4:$D543,"R")+1,"")</f>
        <v>486</v>
      </c>
      <c r="C544" s="19" t="str">
        <f t="shared" si="44"/>
        <v>C-Finanzas</v>
      </c>
      <c r="D544" s="3" t="s">
        <v>1074</v>
      </c>
      <c r="E544" s="14">
        <v>45820</v>
      </c>
      <c r="F544" s="5" t="s">
        <v>2226</v>
      </c>
      <c r="G544" s="5" t="s">
        <v>1087</v>
      </c>
      <c r="H544" s="5"/>
      <c r="I544" s="6"/>
      <c r="J544" s="6"/>
      <c r="K544" s="6"/>
      <c r="L544" s="6"/>
      <c r="M544" s="7" t="s">
        <v>5156</v>
      </c>
      <c r="N544" s="8" t="str">
        <f>"CFI"&amp;".D"&amp;TEXT(Caja_Finanzas[[#This Row],[FECHA]],"DD-MM")&amp;"-"&amp;TEXT(Caja_Finanzas[[#This Row],[ITEM]],"0000")</f>
        <v>CFI.D12-06-0486</v>
      </c>
      <c r="O544" s="8" t="str">
        <f t="shared" si="45"/>
        <v>PEN</v>
      </c>
      <c r="P544" s="13"/>
      <c r="Q544" s="13">
        <v>80</v>
      </c>
      <c r="R544" s="3">
        <f t="shared" si="41"/>
        <v>80</v>
      </c>
      <c r="S544" s="3">
        <f t="shared" si="42"/>
        <v>0</v>
      </c>
      <c r="T544" s="3">
        <f t="shared" si="43"/>
        <v>7429.8999999999942</v>
      </c>
      <c r="U544" s="24"/>
      <c r="V544" s="24"/>
      <c r="W544" s="3"/>
      <c r="X544" s="25" t="s">
        <v>368</v>
      </c>
      <c r="Y544" s="25" t="s">
        <v>5869</v>
      </c>
      <c r="Z544" s="25"/>
      <c r="AA544" s="25"/>
      <c r="AB544" s="25"/>
      <c r="AC544" s="3" t="str">
        <f>IF(Caja_Finanzas[[#This Row],[FECHA]]&gt;0,TEXT(Caja_Finanzas[[#This Row],[FECHA]],"mmmm"),0)</f>
        <v>Junio</v>
      </c>
    </row>
    <row r="545" spans="2:29" ht="24" x14ac:dyDescent="0.3">
      <c r="B545" s="2">
        <f>IF(Caja_Finanzas[[#This Row],[TIPO DE R.]]="R",COUNTIFS($D$4:$D544,"R")+1,"")</f>
        <v>487</v>
      </c>
      <c r="C545" s="19" t="str">
        <f t="shared" si="44"/>
        <v>C-Finanzas</v>
      </c>
      <c r="D545" s="3" t="s">
        <v>1074</v>
      </c>
      <c r="E545" s="14">
        <v>45821</v>
      </c>
      <c r="F545" s="5" t="s">
        <v>1745</v>
      </c>
      <c r="G545" s="5" t="s">
        <v>1087</v>
      </c>
      <c r="H545" s="5"/>
      <c r="I545" s="6"/>
      <c r="J545" s="6"/>
      <c r="K545" s="6"/>
      <c r="L545" s="6"/>
      <c r="M545" s="7" t="s">
        <v>5156</v>
      </c>
      <c r="N545" s="8" t="str">
        <f>"CFI"&amp;".D"&amp;TEXT(Caja_Finanzas[[#This Row],[FECHA]],"DD-MM")&amp;"-"&amp;TEXT(Caja_Finanzas[[#This Row],[ITEM]],"0000")</f>
        <v>CFI.D13-06-0487</v>
      </c>
      <c r="O545" s="8" t="str">
        <f t="shared" si="45"/>
        <v>PEN</v>
      </c>
      <c r="P545" s="13"/>
      <c r="Q545" s="13">
        <v>3066</v>
      </c>
      <c r="R545" s="3">
        <f t="shared" si="41"/>
        <v>3066</v>
      </c>
      <c r="S545" s="3">
        <f t="shared" si="42"/>
        <v>0</v>
      </c>
      <c r="T545" s="3">
        <f t="shared" si="43"/>
        <v>10495.899999999994</v>
      </c>
      <c r="U545" s="24"/>
      <c r="V545" s="24"/>
      <c r="W545" s="3"/>
      <c r="X545" s="25" t="s">
        <v>368</v>
      </c>
      <c r="Y545" s="25" t="s">
        <v>6102</v>
      </c>
      <c r="Z545" s="25"/>
      <c r="AA545" s="25"/>
      <c r="AB545" s="25"/>
      <c r="AC545" s="3" t="str">
        <f>IF(Caja_Finanzas[[#This Row],[FECHA]]&gt;0,TEXT(Caja_Finanzas[[#This Row],[FECHA]],"mmmm"),0)</f>
        <v>Junio</v>
      </c>
    </row>
    <row r="546" spans="2:29" ht="24" x14ac:dyDescent="0.3">
      <c r="B546" s="2">
        <f>IF(Caja_Finanzas[[#This Row],[TIPO DE R.]]="R",COUNTIFS($D$4:$D545,"R")+1,"")</f>
        <v>488</v>
      </c>
      <c r="C546" s="19" t="str">
        <f t="shared" si="44"/>
        <v>C-Finanzas</v>
      </c>
      <c r="D546" s="3" t="s">
        <v>1074</v>
      </c>
      <c r="E546" s="14">
        <v>45821</v>
      </c>
      <c r="F546" s="5" t="s">
        <v>1745</v>
      </c>
      <c r="G546" s="5" t="s">
        <v>1087</v>
      </c>
      <c r="H546" s="5"/>
      <c r="I546" s="6"/>
      <c r="J546" s="6"/>
      <c r="K546" s="6"/>
      <c r="L546" s="6"/>
      <c r="M546" s="7" t="s">
        <v>5156</v>
      </c>
      <c r="N546" s="8" t="str">
        <f>"CFI"&amp;".D"&amp;TEXT(Caja_Finanzas[[#This Row],[FECHA]],"DD-MM")&amp;"-"&amp;TEXT(Caja_Finanzas[[#This Row],[ITEM]],"0000")</f>
        <v>CFI.D13-06-0488</v>
      </c>
      <c r="O546" s="8" t="str">
        <f t="shared" si="45"/>
        <v>PEN</v>
      </c>
      <c r="P546" s="13"/>
      <c r="Q546" s="13">
        <v>1934</v>
      </c>
      <c r="R546" s="3">
        <f t="shared" si="41"/>
        <v>1934</v>
      </c>
      <c r="S546" s="3">
        <f t="shared" si="42"/>
        <v>0</v>
      </c>
      <c r="T546" s="3">
        <f t="shared" si="43"/>
        <v>12429.899999999994</v>
      </c>
      <c r="U546" s="24"/>
      <c r="V546" s="24"/>
      <c r="W546" s="3"/>
      <c r="X546" s="25" t="s">
        <v>368</v>
      </c>
      <c r="Y546" s="25" t="s">
        <v>3104</v>
      </c>
      <c r="Z546" s="25"/>
      <c r="AA546" s="25"/>
      <c r="AB546" s="25"/>
      <c r="AC546" s="3" t="str">
        <f>IF(Caja_Finanzas[[#This Row],[FECHA]]&gt;0,TEXT(Caja_Finanzas[[#This Row],[FECHA]],"mmmm"),0)</f>
        <v>Junio</v>
      </c>
    </row>
    <row r="547" spans="2:29" ht="24" x14ac:dyDescent="0.3">
      <c r="B547" s="2">
        <f>IF(Caja_Finanzas[[#This Row],[TIPO DE R.]]="R",COUNTIFS($D$4:$D546,"R")+1,"")</f>
        <v>489</v>
      </c>
      <c r="C547" s="19" t="str">
        <f t="shared" si="44"/>
        <v>C-Finanzas</v>
      </c>
      <c r="D547" s="3" t="s">
        <v>1074</v>
      </c>
      <c r="E547" s="14">
        <v>45821</v>
      </c>
      <c r="F547" s="5" t="s">
        <v>1745</v>
      </c>
      <c r="G547" s="5" t="s">
        <v>1087</v>
      </c>
      <c r="H547" s="5"/>
      <c r="I547" s="6"/>
      <c r="J547" s="6"/>
      <c r="K547" s="6"/>
      <c r="L547" s="6"/>
      <c r="M547" s="7" t="s">
        <v>5156</v>
      </c>
      <c r="N547" s="8" t="str">
        <f>"CFI"&amp;".D"&amp;TEXT(Caja_Finanzas[[#This Row],[FECHA]],"DD-MM")&amp;"-"&amp;TEXT(Caja_Finanzas[[#This Row],[ITEM]],"0000")</f>
        <v>CFI.D13-06-0489</v>
      </c>
      <c r="O547" s="8" t="str">
        <f t="shared" si="45"/>
        <v>PEN</v>
      </c>
      <c r="P547" s="13"/>
      <c r="Q547" s="13">
        <v>400</v>
      </c>
      <c r="R547" s="3">
        <f t="shared" si="41"/>
        <v>400</v>
      </c>
      <c r="S547" s="3">
        <f t="shared" si="42"/>
        <v>0</v>
      </c>
      <c r="T547" s="3">
        <f t="shared" si="43"/>
        <v>12829.899999999994</v>
      </c>
      <c r="U547" s="24"/>
      <c r="V547" s="24"/>
      <c r="W547" s="3"/>
      <c r="X547" s="25" t="s">
        <v>368</v>
      </c>
      <c r="Y547" s="25" t="s">
        <v>3103</v>
      </c>
      <c r="Z547" s="25"/>
      <c r="AA547" s="25"/>
      <c r="AB547" s="25"/>
      <c r="AC547" s="3" t="str">
        <f>IF(Caja_Finanzas[[#This Row],[FECHA]]&gt;0,TEXT(Caja_Finanzas[[#This Row],[FECHA]],"mmmm"),0)</f>
        <v>Junio</v>
      </c>
    </row>
    <row r="548" spans="2:29" ht="24" x14ac:dyDescent="0.3">
      <c r="B548" s="2">
        <f>IF(Caja_Finanzas[[#This Row],[TIPO DE R.]]="R",COUNTIFS($D$4:$D547,"R")+1,"")</f>
        <v>490</v>
      </c>
      <c r="C548" s="19" t="str">
        <f t="shared" si="44"/>
        <v>C-Finanzas</v>
      </c>
      <c r="D548" s="3" t="s">
        <v>1074</v>
      </c>
      <c r="E548" s="14">
        <v>45821</v>
      </c>
      <c r="F548" s="5" t="s">
        <v>1745</v>
      </c>
      <c r="G548" s="5" t="s">
        <v>1087</v>
      </c>
      <c r="H548" s="5"/>
      <c r="I548" s="6"/>
      <c r="J548" s="6"/>
      <c r="K548" s="6"/>
      <c r="L548" s="6"/>
      <c r="M548" s="7" t="s">
        <v>5156</v>
      </c>
      <c r="N548" s="8" t="str">
        <f>"CFI"&amp;".D"&amp;TEXT(Caja_Finanzas[[#This Row],[FECHA]],"DD-MM")&amp;"-"&amp;TEXT(Caja_Finanzas[[#This Row],[ITEM]],"0000")</f>
        <v>CFI.D13-06-0490</v>
      </c>
      <c r="O548" s="8" t="str">
        <f t="shared" si="45"/>
        <v>PEN</v>
      </c>
      <c r="P548" s="13"/>
      <c r="Q548" s="13">
        <v>680</v>
      </c>
      <c r="R548" s="3">
        <f t="shared" si="41"/>
        <v>680</v>
      </c>
      <c r="S548" s="3">
        <f t="shared" si="42"/>
        <v>0</v>
      </c>
      <c r="T548" s="3">
        <f t="shared" si="43"/>
        <v>13509.899999999994</v>
      </c>
      <c r="U548" s="24"/>
      <c r="V548" s="24"/>
      <c r="W548" s="3"/>
      <c r="X548" s="25" t="s">
        <v>368</v>
      </c>
      <c r="Y548" s="25" t="s">
        <v>6103</v>
      </c>
      <c r="Z548" s="25"/>
      <c r="AA548" s="25"/>
      <c r="AB548" s="25"/>
      <c r="AC548" s="3" t="str">
        <f>IF(Caja_Finanzas[[#This Row],[FECHA]]&gt;0,TEXT(Caja_Finanzas[[#This Row],[FECHA]],"mmmm"),0)</f>
        <v>Junio</v>
      </c>
    </row>
    <row r="549" spans="2:29" ht="36" x14ac:dyDescent="0.3">
      <c r="B549" s="2">
        <f>IF(Caja_Finanzas[[#This Row],[TIPO DE R.]]="R",COUNTIFS($D$4:$D548,"R")+1,"")</f>
        <v>491</v>
      </c>
      <c r="C549" s="19" t="str">
        <f t="shared" si="44"/>
        <v>C-Finanzas</v>
      </c>
      <c r="D549" s="3" t="s">
        <v>1074</v>
      </c>
      <c r="E549" s="14">
        <v>45821</v>
      </c>
      <c r="F549" s="5" t="s">
        <v>5301</v>
      </c>
      <c r="G549" s="5" t="s">
        <v>1079</v>
      </c>
      <c r="H549" s="5"/>
      <c r="I549" s="6"/>
      <c r="J549" s="6"/>
      <c r="K549" s="6"/>
      <c r="L549" s="6"/>
      <c r="M549" s="7" t="s">
        <v>6104</v>
      </c>
      <c r="N549" s="8" t="str">
        <f>"CFI"&amp;".D"&amp;TEXT(Caja_Finanzas[[#This Row],[FECHA]],"DD-MM")&amp;"-"&amp;TEXT(Caja_Finanzas[[#This Row],[ITEM]],"0000")</f>
        <v>CFI.D13-06-0491</v>
      </c>
      <c r="O549" s="8" t="str">
        <f t="shared" si="45"/>
        <v>PEN</v>
      </c>
      <c r="P549" s="13"/>
      <c r="Q549" s="13">
        <v>64</v>
      </c>
      <c r="R549" s="3">
        <f t="shared" si="41"/>
        <v>0</v>
      </c>
      <c r="S549" s="3">
        <f t="shared" si="42"/>
        <v>64</v>
      </c>
      <c r="T549" s="3">
        <f t="shared" si="43"/>
        <v>13445.899999999994</v>
      </c>
      <c r="U549" s="24"/>
      <c r="V549" s="24"/>
      <c r="W549" s="3"/>
      <c r="X549" s="25" t="s">
        <v>368</v>
      </c>
      <c r="Y549" s="25" t="s">
        <v>6105</v>
      </c>
      <c r="Z549" s="25"/>
      <c r="AA549" s="25"/>
      <c r="AB549" s="25"/>
      <c r="AC549" s="3" t="str">
        <f>IF(Caja_Finanzas[[#This Row],[FECHA]]&gt;0,TEXT(Caja_Finanzas[[#This Row],[FECHA]],"mmmm"),0)</f>
        <v>Junio</v>
      </c>
    </row>
    <row r="550" spans="2:29" ht="24" x14ac:dyDescent="0.3">
      <c r="B550" s="2">
        <f>IF(Caja_Finanzas[[#This Row],[TIPO DE R.]]="R",COUNTIFS($D$4:$D549,"R")+1,"")</f>
        <v>492</v>
      </c>
      <c r="C550" s="19" t="str">
        <f t="shared" si="44"/>
        <v>C-Finanzas</v>
      </c>
      <c r="D550" s="3" t="s">
        <v>1074</v>
      </c>
      <c r="E550" s="14">
        <v>45825</v>
      </c>
      <c r="F550" s="5" t="s">
        <v>3816</v>
      </c>
      <c r="G550" s="5" t="s">
        <v>1087</v>
      </c>
      <c r="H550" s="5"/>
      <c r="I550" s="6"/>
      <c r="J550" s="6"/>
      <c r="K550" s="6"/>
      <c r="L550" s="6"/>
      <c r="M550" s="7" t="s">
        <v>5156</v>
      </c>
      <c r="N550" s="8" t="str">
        <f>"CFI"&amp;".D"&amp;TEXT(Caja_Finanzas[[#This Row],[FECHA]],"DD-MM")&amp;"-"&amp;TEXT(Caja_Finanzas[[#This Row],[ITEM]],"0000")</f>
        <v>CFI.D17-06-0492</v>
      </c>
      <c r="O550" s="8" t="str">
        <f t="shared" si="45"/>
        <v>PEN</v>
      </c>
      <c r="P550" s="13"/>
      <c r="Q550" s="13">
        <v>900</v>
      </c>
      <c r="R550" s="3">
        <f t="shared" si="41"/>
        <v>900</v>
      </c>
      <c r="S550" s="3">
        <f t="shared" si="42"/>
        <v>0</v>
      </c>
      <c r="T550" s="3">
        <f t="shared" si="43"/>
        <v>14345.899999999994</v>
      </c>
      <c r="U550" s="24"/>
      <c r="V550" s="24"/>
      <c r="W550" s="3"/>
      <c r="X550" s="25" t="s">
        <v>368</v>
      </c>
      <c r="Y550" s="25" t="s">
        <v>6106</v>
      </c>
      <c r="Z550" s="25"/>
      <c r="AA550" s="25"/>
      <c r="AB550" s="25"/>
      <c r="AC550" s="3" t="str">
        <f>IF(Caja_Finanzas[[#This Row],[FECHA]]&gt;0,TEXT(Caja_Finanzas[[#This Row],[FECHA]],"mmmm"),0)</f>
        <v>Junio</v>
      </c>
    </row>
    <row r="551" spans="2:29" ht="24" x14ac:dyDescent="0.3">
      <c r="B551" s="2">
        <f>IF(Caja_Finanzas[[#This Row],[TIPO DE R.]]="R",COUNTIFS($D$4:$D550,"R")+1,"")</f>
        <v>493</v>
      </c>
      <c r="C551" s="19" t="str">
        <f t="shared" si="44"/>
        <v>C-Finanzas</v>
      </c>
      <c r="D551" s="3" t="s">
        <v>1074</v>
      </c>
      <c r="E551" s="14">
        <v>45825</v>
      </c>
      <c r="F551" s="5" t="s">
        <v>2226</v>
      </c>
      <c r="G551" s="5" t="s">
        <v>1087</v>
      </c>
      <c r="H551" s="5"/>
      <c r="I551" s="6"/>
      <c r="J551" s="6"/>
      <c r="K551" s="6"/>
      <c r="L551" s="6"/>
      <c r="M551" s="7" t="s">
        <v>5156</v>
      </c>
      <c r="N551" s="8" t="str">
        <f>"CFI"&amp;".D"&amp;TEXT(Caja_Finanzas[[#This Row],[FECHA]],"DD-MM")&amp;"-"&amp;TEXT(Caja_Finanzas[[#This Row],[ITEM]],"0000")</f>
        <v>CFI.D17-06-0493</v>
      </c>
      <c r="O551" s="8" t="str">
        <f t="shared" si="45"/>
        <v>PEN</v>
      </c>
      <c r="P551" s="13"/>
      <c r="Q551" s="13">
        <v>1150</v>
      </c>
      <c r="R551" s="3">
        <f t="shared" si="41"/>
        <v>1150</v>
      </c>
      <c r="S551" s="3">
        <f t="shared" si="42"/>
        <v>0</v>
      </c>
      <c r="T551" s="3">
        <f t="shared" si="43"/>
        <v>15495.899999999994</v>
      </c>
      <c r="U551" s="24"/>
      <c r="V551" s="24"/>
      <c r="W551" s="3"/>
      <c r="X551" s="25" t="s">
        <v>368</v>
      </c>
      <c r="Y551" s="25" t="s">
        <v>3110</v>
      </c>
      <c r="Z551" s="25"/>
      <c r="AA551" s="25"/>
      <c r="AB551" s="25"/>
      <c r="AC551" s="3" t="str">
        <f>IF(Caja_Finanzas[[#This Row],[FECHA]]&gt;0,TEXT(Caja_Finanzas[[#This Row],[FECHA]],"mmmm"),0)</f>
        <v>Junio</v>
      </c>
    </row>
    <row r="552" spans="2:29" ht="24" x14ac:dyDescent="0.3">
      <c r="B552" s="2">
        <f>IF(Caja_Finanzas[[#This Row],[TIPO DE R.]]="R",COUNTIFS($D$4:$D551,"R")+1,"")</f>
        <v>494</v>
      </c>
      <c r="C552" s="19" t="str">
        <f t="shared" si="44"/>
        <v>C-Finanzas</v>
      </c>
      <c r="D552" s="3" t="s">
        <v>1074</v>
      </c>
      <c r="E552" s="14">
        <v>45825</v>
      </c>
      <c r="F552" s="5" t="s">
        <v>3562</v>
      </c>
      <c r="G552" s="5" t="s">
        <v>1079</v>
      </c>
      <c r="H552" s="5"/>
      <c r="I552" s="6"/>
      <c r="J552" s="6"/>
      <c r="K552" s="6"/>
      <c r="L552" s="6"/>
      <c r="M552" s="7" t="s">
        <v>6107</v>
      </c>
      <c r="N552" s="8" t="str">
        <f>"CFI"&amp;".D"&amp;TEXT(Caja_Finanzas[[#This Row],[FECHA]],"DD-MM")&amp;"-"&amp;TEXT(Caja_Finanzas[[#This Row],[ITEM]],"0000")</f>
        <v>CFI.D17-06-0494</v>
      </c>
      <c r="O552" s="8" t="str">
        <f t="shared" si="45"/>
        <v>PEN</v>
      </c>
      <c r="P552" s="13"/>
      <c r="Q552" s="13">
        <v>60</v>
      </c>
      <c r="R552" s="3">
        <f t="shared" si="41"/>
        <v>0</v>
      </c>
      <c r="S552" s="3">
        <f t="shared" si="42"/>
        <v>60</v>
      </c>
      <c r="T552" s="3">
        <f t="shared" si="43"/>
        <v>15435.899999999994</v>
      </c>
      <c r="U552" s="24"/>
      <c r="V552" s="24"/>
      <c r="W552" s="3"/>
      <c r="X552" s="25" t="s">
        <v>5596</v>
      </c>
      <c r="Y552" s="25" t="s">
        <v>6108</v>
      </c>
      <c r="Z552" s="25"/>
      <c r="AA552" s="25"/>
      <c r="AB552" s="25"/>
      <c r="AC552" s="3" t="str">
        <f>IF(Caja_Finanzas[[#This Row],[FECHA]]&gt;0,TEXT(Caja_Finanzas[[#This Row],[FECHA]],"mmmm"),0)</f>
        <v>Junio</v>
      </c>
    </row>
    <row r="553" spans="2:29" ht="24" x14ac:dyDescent="0.3">
      <c r="B553" s="2">
        <f>IF(Caja_Finanzas[[#This Row],[TIPO DE R.]]="R",COUNTIFS($D$4:$D552,"R")+1,"")</f>
        <v>495</v>
      </c>
      <c r="C553" s="19" t="str">
        <f t="shared" si="44"/>
        <v>C-Finanzas</v>
      </c>
      <c r="D553" s="3" t="s">
        <v>1074</v>
      </c>
      <c r="E553" s="14">
        <v>45826</v>
      </c>
      <c r="F553" s="5" t="s">
        <v>5338</v>
      </c>
      <c r="G553" s="5" t="s">
        <v>1079</v>
      </c>
      <c r="H553" s="5"/>
      <c r="I553" s="6"/>
      <c r="J553" s="6"/>
      <c r="K553" s="6"/>
      <c r="L553" s="6"/>
      <c r="M553" s="7" t="s">
        <v>6109</v>
      </c>
      <c r="N553" s="8" t="str">
        <f>"CFI"&amp;".D"&amp;TEXT(Caja_Finanzas[[#This Row],[FECHA]],"DD-MM")&amp;"-"&amp;TEXT(Caja_Finanzas[[#This Row],[ITEM]],"0000")</f>
        <v>CFI.D18-06-0495</v>
      </c>
      <c r="O553" s="8" t="str">
        <f t="shared" si="45"/>
        <v>PEN</v>
      </c>
      <c r="P553" s="13"/>
      <c r="Q553" s="13">
        <v>527.5</v>
      </c>
      <c r="R553" s="3">
        <f t="shared" si="41"/>
        <v>0</v>
      </c>
      <c r="S553" s="3">
        <f t="shared" si="42"/>
        <v>527.5</v>
      </c>
      <c r="T553" s="3">
        <f t="shared" si="43"/>
        <v>14908.399999999994</v>
      </c>
      <c r="U553" s="24"/>
      <c r="V553" s="24"/>
      <c r="W553" s="3"/>
      <c r="X553" s="25"/>
      <c r="Y553" s="25" t="s">
        <v>6110</v>
      </c>
      <c r="Z553" s="25"/>
      <c r="AA553" s="25"/>
      <c r="AB553" s="25"/>
      <c r="AC553" s="3" t="str">
        <f>IF(Caja_Finanzas[[#This Row],[FECHA]]&gt;0,TEXT(Caja_Finanzas[[#This Row],[FECHA]],"mmmm"),0)</f>
        <v>Junio</v>
      </c>
    </row>
    <row r="554" spans="2:29" ht="24" x14ac:dyDescent="0.3">
      <c r="B554" s="2">
        <f>IF(Caja_Finanzas[[#This Row],[TIPO DE R.]]="R",COUNTIFS($D$4:$D553,"R")+1,"")</f>
        <v>496</v>
      </c>
      <c r="C554" s="19" t="str">
        <f t="shared" si="44"/>
        <v>C-Finanzas</v>
      </c>
      <c r="D554" s="3" t="s">
        <v>1074</v>
      </c>
      <c r="E554" s="14">
        <v>45826</v>
      </c>
      <c r="F554" s="5" t="s">
        <v>5338</v>
      </c>
      <c r="G554" s="5" t="s">
        <v>1079</v>
      </c>
      <c r="H554" s="5"/>
      <c r="I554" s="6"/>
      <c r="J554" s="6"/>
      <c r="K554" s="6"/>
      <c r="L554" s="6"/>
      <c r="M554" s="7" t="s">
        <v>6111</v>
      </c>
      <c r="N554" s="8" t="str">
        <f>"CFI"&amp;".D"&amp;TEXT(Caja_Finanzas[[#This Row],[FECHA]],"DD-MM")&amp;"-"&amp;TEXT(Caja_Finanzas[[#This Row],[ITEM]],"0000")</f>
        <v>CFI.D18-06-0496</v>
      </c>
      <c r="O554" s="8" t="str">
        <f t="shared" si="45"/>
        <v>PEN</v>
      </c>
      <c r="P554" s="13"/>
      <c r="Q554" s="13">
        <v>442.8</v>
      </c>
      <c r="R554" s="3">
        <f t="shared" si="41"/>
        <v>0</v>
      </c>
      <c r="S554" s="3">
        <f t="shared" si="42"/>
        <v>442.8</v>
      </c>
      <c r="T554" s="3">
        <f t="shared" si="43"/>
        <v>14465.599999999995</v>
      </c>
      <c r="U554" s="24"/>
      <c r="V554" s="24"/>
      <c r="W554" s="3"/>
      <c r="X554" s="25"/>
      <c r="Y554" s="25" t="s">
        <v>6112</v>
      </c>
      <c r="Z554" s="25"/>
      <c r="AA554" s="25"/>
      <c r="AB554" s="25"/>
      <c r="AC554" s="3" t="str">
        <f>IF(Caja_Finanzas[[#This Row],[FECHA]]&gt;0,TEXT(Caja_Finanzas[[#This Row],[FECHA]],"mmmm"),0)</f>
        <v>Junio</v>
      </c>
    </row>
    <row r="555" spans="2:29" ht="24" x14ac:dyDescent="0.3">
      <c r="B555" s="2">
        <f>IF(Caja_Finanzas[[#This Row],[TIPO DE R.]]="R",COUNTIFS($D$4:$D554,"R")+1,"")</f>
        <v>497</v>
      </c>
      <c r="C555" s="19" t="str">
        <f t="shared" si="44"/>
        <v>C-Finanzas</v>
      </c>
      <c r="D555" s="3" t="s">
        <v>1074</v>
      </c>
      <c r="E555" s="14">
        <v>45826</v>
      </c>
      <c r="F555" s="5" t="s">
        <v>5338</v>
      </c>
      <c r="G555" s="5" t="s">
        <v>1079</v>
      </c>
      <c r="H555" s="5"/>
      <c r="I555" s="6"/>
      <c r="J555" s="6"/>
      <c r="K555" s="6"/>
      <c r="L555" s="6"/>
      <c r="M555" s="7" t="s">
        <v>6113</v>
      </c>
      <c r="N555" s="8" t="str">
        <f>"CFI"&amp;".D"&amp;TEXT(Caja_Finanzas[[#This Row],[FECHA]],"DD-MM")&amp;"-"&amp;TEXT(Caja_Finanzas[[#This Row],[ITEM]],"0000")</f>
        <v>CFI.D18-06-0497</v>
      </c>
      <c r="O555" s="8" t="str">
        <f t="shared" si="45"/>
        <v>PEN</v>
      </c>
      <c r="P555" s="13"/>
      <c r="Q555" s="13">
        <v>1149.5</v>
      </c>
      <c r="R555" s="3">
        <f t="shared" si="41"/>
        <v>0</v>
      </c>
      <c r="S555" s="3">
        <f t="shared" si="42"/>
        <v>1149.5</v>
      </c>
      <c r="T555" s="3">
        <f t="shared" si="43"/>
        <v>13316.099999999995</v>
      </c>
      <c r="U555" s="24"/>
      <c r="V555" s="24"/>
      <c r="W555" s="3"/>
      <c r="X555" s="25" t="s">
        <v>6114</v>
      </c>
      <c r="Y555" s="25" t="s">
        <v>6115</v>
      </c>
      <c r="Z555" s="25"/>
      <c r="AA555" s="25"/>
      <c r="AB555" s="25"/>
      <c r="AC555" s="3" t="str">
        <f>IF(Caja_Finanzas[[#This Row],[FECHA]]&gt;0,TEXT(Caja_Finanzas[[#This Row],[FECHA]],"mmmm"),0)</f>
        <v>Junio</v>
      </c>
    </row>
    <row r="556" spans="2:29" ht="24" x14ac:dyDescent="0.3">
      <c r="B556" s="2">
        <f>IF(Caja_Finanzas[[#This Row],[TIPO DE R.]]="R",COUNTIFS($D$4:$D555,"R")+1,"")</f>
        <v>498</v>
      </c>
      <c r="C556" s="19" t="str">
        <f t="shared" si="44"/>
        <v>C-Finanzas</v>
      </c>
      <c r="D556" s="3" t="s">
        <v>1074</v>
      </c>
      <c r="E556" s="14">
        <v>45827</v>
      </c>
      <c r="F556" s="5" t="s">
        <v>6116</v>
      </c>
      <c r="G556" s="5" t="s">
        <v>1087</v>
      </c>
      <c r="H556" s="5"/>
      <c r="I556" s="6"/>
      <c r="J556" s="6"/>
      <c r="K556" s="6"/>
      <c r="L556" s="6"/>
      <c r="M556" s="7" t="s">
        <v>5156</v>
      </c>
      <c r="N556" s="8" t="str">
        <f>"CFI"&amp;".D"&amp;TEXT(Caja_Finanzas[[#This Row],[FECHA]],"DD-MM")&amp;"-"&amp;TEXT(Caja_Finanzas[[#This Row],[ITEM]],"0000")</f>
        <v>CFI.D19-06-0498</v>
      </c>
      <c r="O556" s="8" t="str">
        <f t="shared" si="45"/>
        <v>PEN</v>
      </c>
      <c r="P556" s="13"/>
      <c r="Q556" s="13">
        <v>660</v>
      </c>
      <c r="R556" s="3">
        <f t="shared" si="41"/>
        <v>660</v>
      </c>
      <c r="S556" s="3">
        <f t="shared" si="42"/>
        <v>0</v>
      </c>
      <c r="T556" s="3">
        <f t="shared" si="43"/>
        <v>13976.099999999995</v>
      </c>
      <c r="U556" s="24"/>
      <c r="V556" s="24"/>
      <c r="W556" s="3"/>
      <c r="X556" s="25" t="s">
        <v>368</v>
      </c>
      <c r="Y556" s="25" t="s">
        <v>6117</v>
      </c>
      <c r="Z556" s="25"/>
      <c r="AA556" s="25"/>
      <c r="AB556" s="25"/>
      <c r="AC556" s="3" t="str">
        <f>IF(Caja_Finanzas[[#This Row],[FECHA]]&gt;0,TEXT(Caja_Finanzas[[#This Row],[FECHA]],"mmmm"),0)</f>
        <v>Junio</v>
      </c>
    </row>
    <row r="557" spans="2:29" ht="24" x14ac:dyDescent="0.3">
      <c r="B557" s="2">
        <f>IF(Caja_Finanzas[[#This Row],[TIPO DE R.]]="R",COUNTIFS($D$4:$D556,"R")+1,"")</f>
        <v>499</v>
      </c>
      <c r="C557" s="19" t="str">
        <f t="shared" si="44"/>
        <v>C-Finanzas</v>
      </c>
      <c r="D557" s="3" t="s">
        <v>1074</v>
      </c>
      <c r="E557" s="14">
        <v>45827</v>
      </c>
      <c r="F557" s="5" t="s">
        <v>2226</v>
      </c>
      <c r="G557" s="5" t="s">
        <v>1087</v>
      </c>
      <c r="H557" s="5"/>
      <c r="I557" s="6"/>
      <c r="J557" s="6"/>
      <c r="K557" s="6"/>
      <c r="L557" s="6"/>
      <c r="M557" s="7" t="s">
        <v>5156</v>
      </c>
      <c r="N557" s="8" t="str">
        <f>"CFI"&amp;".D"&amp;TEXT(Caja_Finanzas[[#This Row],[FECHA]],"DD-MM")&amp;"-"&amp;TEXT(Caja_Finanzas[[#This Row],[ITEM]],"0000")</f>
        <v>CFI.D19-06-0499</v>
      </c>
      <c r="O557" s="8" t="str">
        <f t="shared" si="45"/>
        <v>PEN</v>
      </c>
      <c r="P557" s="13"/>
      <c r="Q557" s="13">
        <v>1500</v>
      </c>
      <c r="R557" s="3">
        <f t="shared" si="41"/>
        <v>1500</v>
      </c>
      <c r="S557" s="3">
        <f t="shared" si="42"/>
        <v>0</v>
      </c>
      <c r="T557" s="3">
        <f t="shared" si="43"/>
        <v>15476.099999999995</v>
      </c>
      <c r="U557" s="24"/>
      <c r="V557" s="24"/>
      <c r="W557" s="3"/>
      <c r="X557" s="25" t="s">
        <v>368</v>
      </c>
      <c r="Y557" s="25" t="s">
        <v>3160</v>
      </c>
      <c r="Z557" s="25"/>
      <c r="AA557" s="25"/>
      <c r="AB557" s="25"/>
      <c r="AC557" s="3" t="str">
        <f>IF(Caja_Finanzas[[#This Row],[FECHA]]&gt;0,TEXT(Caja_Finanzas[[#This Row],[FECHA]],"mmmm"),0)</f>
        <v>Junio</v>
      </c>
    </row>
    <row r="558" spans="2:29" x14ac:dyDescent="0.3">
      <c r="B558" s="2">
        <f>IF(Caja_Finanzas[[#This Row],[TIPO DE R.]]="R",COUNTIFS($D$4:$D557,"R")+1,"")</f>
        <v>500</v>
      </c>
      <c r="C558" s="19" t="str">
        <f t="shared" si="44"/>
        <v>C-Finanzas</v>
      </c>
      <c r="D558" s="3" t="s">
        <v>1074</v>
      </c>
      <c r="E558" s="14">
        <v>45827</v>
      </c>
      <c r="F558" s="5" t="s">
        <v>1239</v>
      </c>
      <c r="G558" s="5" t="s">
        <v>1087</v>
      </c>
      <c r="H558" s="5"/>
      <c r="I558" s="6"/>
      <c r="J558" s="6"/>
      <c r="K558" s="6"/>
      <c r="L558" s="6"/>
      <c r="M558" s="7" t="s">
        <v>5156</v>
      </c>
      <c r="N558" s="8" t="str">
        <f>"CFI"&amp;".D"&amp;TEXT(Caja_Finanzas[[#This Row],[FECHA]],"DD-MM")&amp;"-"&amp;TEXT(Caja_Finanzas[[#This Row],[ITEM]],"0000")</f>
        <v>CFI.D19-06-0500</v>
      </c>
      <c r="O558" s="8" t="str">
        <f t="shared" si="45"/>
        <v>PEN</v>
      </c>
      <c r="P558" s="13"/>
      <c r="Q558" s="13">
        <v>50</v>
      </c>
      <c r="R558" s="3">
        <f t="shared" si="41"/>
        <v>50</v>
      </c>
      <c r="S558" s="3">
        <f t="shared" si="42"/>
        <v>0</v>
      </c>
      <c r="T558" s="3">
        <f t="shared" si="43"/>
        <v>15526.099999999995</v>
      </c>
      <c r="U558" s="24"/>
      <c r="V558" s="24"/>
      <c r="W558" s="3"/>
      <c r="X558" s="25" t="s">
        <v>368</v>
      </c>
      <c r="Y558" s="25" t="s">
        <v>3165</v>
      </c>
      <c r="Z558" s="25"/>
      <c r="AA558" s="25"/>
      <c r="AB558" s="25"/>
      <c r="AC558" s="3" t="str">
        <f>IF(Caja_Finanzas[[#This Row],[FECHA]]&gt;0,TEXT(Caja_Finanzas[[#This Row],[FECHA]],"mmmm"),0)</f>
        <v>Junio</v>
      </c>
    </row>
    <row r="559" spans="2:29" ht="24" x14ac:dyDescent="0.3">
      <c r="B559" s="2">
        <f>IF(Caja_Finanzas[[#This Row],[TIPO DE R.]]="R",COUNTIFS($D$4:$D558,"R")+1,"")</f>
        <v>501</v>
      </c>
      <c r="C559" s="19" t="str">
        <f t="shared" si="44"/>
        <v>C-Finanzas</v>
      </c>
      <c r="D559" s="3" t="s">
        <v>1074</v>
      </c>
      <c r="E559" s="14">
        <v>45827</v>
      </c>
      <c r="F559" s="5" t="s">
        <v>3158</v>
      </c>
      <c r="G559" s="5" t="s">
        <v>1087</v>
      </c>
      <c r="H559" s="5"/>
      <c r="I559" s="6"/>
      <c r="J559" s="6"/>
      <c r="K559" s="6"/>
      <c r="L559" s="6"/>
      <c r="M559" s="7" t="s">
        <v>5156</v>
      </c>
      <c r="N559" s="8" t="str">
        <f>"CFI"&amp;".D"&amp;TEXT(Caja_Finanzas[[#This Row],[FECHA]],"DD-MM")&amp;"-"&amp;TEXT(Caja_Finanzas[[#This Row],[ITEM]],"0000")</f>
        <v>CFI.D19-06-0501</v>
      </c>
      <c r="O559" s="8" t="str">
        <f t="shared" si="45"/>
        <v>PEN</v>
      </c>
      <c r="P559" s="13"/>
      <c r="Q559" s="13">
        <v>950</v>
      </c>
      <c r="R559" s="3">
        <f t="shared" si="41"/>
        <v>950</v>
      </c>
      <c r="S559" s="3">
        <f t="shared" si="42"/>
        <v>0</v>
      </c>
      <c r="T559" s="3">
        <f t="shared" si="43"/>
        <v>16476.099999999995</v>
      </c>
      <c r="U559" s="24"/>
      <c r="V559" s="24"/>
      <c r="W559" s="3"/>
      <c r="X559" s="25" t="s">
        <v>368</v>
      </c>
      <c r="Y559" s="25" t="s">
        <v>3159</v>
      </c>
      <c r="Z559" s="25"/>
      <c r="AA559" s="25"/>
      <c r="AB559" s="25"/>
      <c r="AC559" s="3" t="str">
        <f>IF(Caja_Finanzas[[#This Row],[FECHA]]&gt;0,TEXT(Caja_Finanzas[[#This Row],[FECHA]],"mmmm"),0)</f>
        <v>Junio</v>
      </c>
    </row>
    <row r="560" spans="2:29" ht="24" x14ac:dyDescent="0.3">
      <c r="B560" s="2">
        <f>IF(Caja_Finanzas[[#This Row],[TIPO DE R.]]="R",COUNTIFS($D$4:$D559,"R")+1,"")</f>
        <v>502</v>
      </c>
      <c r="C560" s="19" t="str">
        <f t="shared" si="44"/>
        <v>C-Finanzas</v>
      </c>
      <c r="D560" s="3" t="s">
        <v>1074</v>
      </c>
      <c r="E560" s="14">
        <v>45827</v>
      </c>
      <c r="F560" s="5" t="s">
        <v>1562</v>
      </c>
      <c r="G560" s="5" t="s">
        <v>1087</v>
      </c>
      <c r="H560" s="5"/>
      <c r="I560" s="6"/>
      <c r="J560" s="6"/>
      <c r="K560" s="6"/>
      <c r="L560" s="6"/>
      <c r="M560" s="7" t="s">
        <v>5156</v>
      </c>
      <c r="N560" s="8" t="str">
        <f>"CFI"&amp;".D"&amp;TEXT(Caja_Finanzas[[#This Row],[FECHA]],"DD-MM")&amp;"-"&amp;TEXT(Caja_Finanzas[[#This Row],[ITEM]],"0000")</f>
        <v>CFI.D19-06-0502</v>
      </c>
      <c r="O560" s="8" t="str">
        <f t="shared" si="45"/>
        <v>PEN</v>
      </c>
      <c r="P560" s="13"/>
      <c r="Q560" s="13">
        <v>3041.6</v>
      </c>
      <c r="R560" s="3">
        <f t="shared" si="41"/>
        <v>3041.6</v>
      </c>
      <c r="S560" s="3">
        <f t="shared" si="42"/>
        <v>0</v>
      </c>
      <c r="T560" s="3">
        <f t="shared" si="43"/>
        <v>19517.699999999993</v>
      </c>
      <c r="U560" s="24"/>
      <c r="V560" s="24"/>
      <c r="W560" s="3"/>
      <c r="X560" s="25" t="s">
        <v>368</v>
      </c>
      <c r="Y560" s="25" t="s">
        <v>6118</v>
      </c>
      <c r="Z560" s="25"/>
      <c r="AA560" s="25"/>
      <c r="AB560" s="25"/>
      <c r="AC560" s="3" t="str">
        <f>IF(Caja_Finanzas[[#This Row],[FECHA]]&gt;0,TEXT(Caja_Finanzas[[#This Row],[FECHA]],"mmmm"),0)</f>
        <v>Junio</v>
      </c>
    </row>
    <row r="561" spans="2:29" ht="24" x14ac:dyDescent="0.3">
      <c r="B561" s="2">
        <f>IF(Caja_Finanzas[[#This Row],[TIPO DE R.]]="R",COUNTIFS($D$4:$D560,"R")+1,"")</f>
        <v>503</v>
      </c>
      <c r="C561" s="19" t="str">
        <f t="shared" si="44"/>
        <v>C-Finanzas</v>
      </c>
      <c r="D561" s="3" t="s">
        <v>1074</v>
      </c>
      <c r="E561" s="14">
        <v>45827</v>
      </c>
      <c r="F561" s="5" t="s">
        <v>2226</v>
      </c>
      <c r="G561" s="5" t="s">
        <v>1087</v>
      </c>
      <c r="H561" s="5"/>
      <c r="I561" s="6"/>
      <c r="J561" s="6"/>
      <c r="K561" s="6"/>
      <c r="L561" s="6"/>
      <c r="M561" s="7" t="s">
        <v>5156</v>
      </c>
      <c r="N561" s="8" t="str">
        <f>"CFI"&amp;".D"&amp;TEXT(Caja_Finanzas[[#This Row],[FECHA]],"DD-MM")&amp;"-"&amp;TEXT(Caja_Finanzas[[#This Row],[ITEM]],"0000")</f>
        <v>CFI.D19-06-0503</v>
      </c>
      <c r="O561" s="8" t="str">
        <f t="shared" si="45"/>
        <v>PEN</v>
      </c>
      <c r="P561" s="13"/>
      <c r="Q561" s="13">
        <v>24</v>
      </c>
      <c r="R561" s="3">
        <f t="shared" si="41"/>
        <v>24</v>
      </c>
      <c r="S561" s="3">
        <f t="shared" si="42"/>
        <v>0</v>
      </c>
      <c r="T561" s="3">
        <f t="shared" si="43"/>
        <v>19541.699999999993</v>
      </c>
      <c r="U561" s="24"/>
      <c r="V561" s="24"/>
      <c r="W561" s="3"/>
      <c r="X561" s="25" t="s">
        <v>368</v>
      </c>
      <c r="Y561" s="25" t="s">
        <v>5869</v>
      </c>
      <c r="Z561" s="25"/>
      <c r="AA561" s="25"/>
      <c r="AB561" s="25"/>
      <c r="AC561" s="3" t="str">
        <f>IF(Caja_Finanzas[[#This Row],[FECHA]]&gt;0,TEXT(Caja_Finanzas[[#This Row],[FECHA]],"mmmm"),0)</f>
        <v>Junio</v>
      </c>
    </row>
    <row r="562" spans="2:29" ht="24" x14ac:dyDescent="0.3">
      <c r="B562" s="2">
        <f>IF(Caja_Finanzas[[#This Row],[TIPO DE R.]]="R",COUNTIFS($D$4:$D561,"R")+1,"")</f>
        <v>504</v>
      </c>
      <c r="C562" s="19" t="str">
        <f t="shared" si="44"/>
        <v>C-Finanzas</v>
      </c>
      <c r="D562" s="3" t="s">
        <v>1074</v>
      </c>
      <c r="E562" s="14">
        <v>45828</v>
      </c>
      <c r="F562" s="5" t="s">
        <v>3158</v>
      </c>
      <c r="G562" s="5" t="s">
        <v>1087</v>
      </c>
      <c r="H562" s="5"/>
      <c r="I562" s="6"/>
      <c r="J562" s="6"/>
      <c r="K562" s="6"/>
      <c r="L562" s="6"/>
      <c r="M562" s="7" t="s">
        <v>5156</v>
      </c>
      <c r="N562" s="8" t="str">
        <f>"CFI"&amp;".D"&amp;TEXT(Caja_Finanzas[[#This Row],[FECHA]],"DD-MM")&amp;"-"&amp;TEXT(Caja_Finanzas[[#This Row],[ITEM]],"0000")</f>
        <v>CFI.D20-06-0504</v>
      </c>
      <c r="O562" s="8" t="str">
        <f t="shared" si="45"/>
        <v>PEN</v>
      </c>
      <c r="P562" s="13"/>
      <c r="Q562" s="13">
        <v>1550</v>
      </c>
      <c r="R562" s="3">
        <f t="shared" si="41"/>
        <v>1550</v>
      </c>
      <c r="S562" s="3">
        <f t="shared" si="42"/>
        <v>0</v>
      </c>
      <c r="T562" s="3">
        <f t="shared" si="43"/>
        <v>21091.699999999993</v>
      </c>
      <c r="U562" s="24"/>
      <c r="V562" s="24"/>
      <c r="W562" s="3"/>
      <c r="X562" s="25" t="s">
        <v>368</v>
      </c>
      <c r="Y562" s="25" t="s">
        <v>3187</v>
      </c>
      <c r="Z562" s="25"/>
      <c r="AA562" s="25"/>
      <c r="AB562" s="25"/>
      <c r="AC562" s="3" t="str">
        <f>IF(Caja_Finanzas[[#This Row],[FECHA]]&gt;0,TEXT(Caja_Finanzas[[#This Row],[FECHA]],"mmmm"),0)</f>
        <v>Junio</v>
      </c>
    </row>
    <row r="563" spans="2:29" ht="24" x14ac:dyDescent="0.3">
      <c r="B563" s="2">
        <f>IF(Caja_Finanzas[[#This Row],[TIPO DE R.]]="R",COUNTIFS($D$4:$D562,"R")+1,"")</f>
        <v>505</v>
      </c>
      <c r="C563" s="19" t="str">
        <f t="shared" si="44"/>
        <v>C-Finanzas</v>
      </c>
      <c r="D563" s="3" t="s">
        <v>1074</v>
      </c>
      <c r="E563" s="14">
        <v>45828</v>
      </c>
      <c r="F563" s="5" t="s">
        <v>3158</v>
      </c>
      <c r="G563" s="5" t="s">
        <v>1087</v>
      </c>
      <c r="H563" s="5"/>
      <c r="I563" s="6"/>
      <c r="J563" s="6"/>
      <c r="K563" s="6"/>
      <c r="L563" s="6"/>
      <c r="M563" s="7" t="s">
        <v>5156</v>
      </c>
      <c r="N563" s="8" t="str">
        <f>"CFI"&amp;".D"&amp;TEXT(Caja_Finanzas[[#This Row],[FECHA]],"DD-MM")&amp;"-"&amp;TEXT(Caja_Finanzas[[#This Row],[ITEM]],"0000")</f>
        <v>CFI.D20-06-0505</v>
      </c>
      <c r="O563" s="8" t="str">
        <f t="shared" si="45"/>
        <v>PEN</v>
      </c>
      <c r="P563" s="13"/>
      <c r="Q563" s="13">
        <v>144</v>
      </c>
      <c r="R563" s="3">
        <f t="shared" si="41"/>
        <v>144</v>
      </c>
      <c r="S563" s="3">
        <f t="shared" si="42"/>
        <v>0</v>
      </c>
      <c r="T563" s="3">
        <f t="shared" si="43"/>
        <v>21235.699999999993</v>
      </c>
      <c r="U563" s="24"/>
      <c r="V563" s="24"/>
      <c r="W563" s="3"/>
      <c r="X563" s="25" t="s">
        <v>368</v>
      </c>
      <c r="Y563" s="25" t="s">
        <v>6119</v>
      </c>
      <c r="Z563" s="25"/>
      <c r="AA563" s="25"/>
      <c r="AB563" s="25"/>
      <c r="AC563" s="3" t="str">
        <f>IF(Caja_Finanzas[[#This Row],[FECHA]]&gt;0,TEXT(Caja_Finanzas[[#This Row],[FECHA]],"mmmm"),0)</f>
        <v>Junio</v>
      </c>
    </row>
    <row r="564" spans="2:29" ht="24" x14ac:dyDescent="0.3">
      <c r="B564" s="2">
        <f>IF(Caja_Finanzas[[#This Row],[TIPO DE R.]]="R",COUNTIFS($D$4:$D563,"R")+1,"")</f>
        <v>506</v>
      </c>
      <c r="C564" s="19" t="str">
        <f t="shared" si="44"/>
        <v>C-Finanzas</v>
      </c>
      <c r="D564" s="3" t="s">
        <v>1074</v>
      </c>
      <c r="E564" s="14">
        <v>45828</v>
      </c>
      <c r="F564" s="5" t="s">
        <v>3532</v>
      </c>
      <c r="G564" s="5" t="s">
        <v>1079</v>
      </c>
      <c r="H564" s="5"/>
      <c r="I564" s="6"/>
      <c r="J564" s="6"/>
      <c r="K564" s="6"/>
      <c r="L564" s="6"/>
      <c r="M564" s="7" t="s">
        <v>6120</v>
      </c>
      <c r="N564" s="8" t="str">
        <f>"CFI"&amp;".D"&amp;TEXT(Caja_Finanzas[[#This Row],[FECHA]],"DD-MM")&amp;"-"&amp;TEXT(Caja_Finanzas[[#This Row],[ITEM]],"0000")</f>
        <v>CFI.D20-06-0506</v>
      </c>
      <c r="O564" s="8" t="str">
        <f t="shared" si="45"/>
        <v>PEN</v>
      </c>
      <c r="P564" s="13"/>
      <c r="Q564" s="13">
        <v>200</v>
      </c>
      <c r="R564" s="3">
        <f t="shared" si="41"/>
        <v>0</v>
      </c>
      <c r="S564" s="3">
        <f t="shared" si="42"/>
        <v>200</v>
      </c>
      <c r="T564" s="3">
        <f t="shared" si="43"/>
        <v>21035.699999999993</v>
      </c>
      <c r="U564" s="24"/>
      <c r="V564" s="24"/>
      <c r="W564" s="3"/>
      <c r="X564" s="25" t="s">
        <v>5741</v>
      </c>
      <c r="Y564" s="25" t="s">
        <v>6121</v>
      </c>
      <c r="Z564" s="25"/>
      <c r="AA564" s="25"/>
      <c r="AB564" s="25"/>
      <c r="AC564" s="3" t="str">
        <f>IF(Caja_Finanzas[[#This Row],[FECHA]]&gt;0,TEXT(Caja_Finanzas[[#This Row],[FECHA]],"mmmm"),0)</f>
        <v>Junio</v>
      </c>
    </row>
    <row r="565" spans="2:29" ht="24" x14ac:dyDescent="0.3">
      <c r="B565" s="2">
        <f>IF(Caja_Finanzas[[#This Row],[TIPO DE R.]]="R",COUNTIFS($D$4:$D564,"R")+1,"")</f>
        <v>507</v>
      </c>
      <c r="C565" s="19" t="str">
        <f t="shared" si="44"/>
        <v>C-Finanzas</v>
      </c>
      <c r="D565" s="3" t="s">
        <v>1074</v>
      </c>
      <c r="E565" s="14">
        <v>45828</v>
      </c>
      <c r="F565" s="5" t="s">
        <v>5827</v>
      </c>
      <c r="G565" s="5" t="s">
        <v>1079</v>
      </c>
      <c r="H565" s="5"/>
      <c r="I565" s="6"/>
      <c r="J565" s="6"/>
      <c r="K565" s="6"/>
      <c r="L565" s="6"/>
      <c r="M565" s="7" t="s">
        <v>6122</v>
      </c>
      <c r="N565" s="8" t="str">
        <f>"CFI"&amp;".D"&amp;TEXT(Caja_Finanzas[[#This Row],[FECHA]],"DD-MM")&amp;"-"&amp;TEXT(Caja_Finanzas[[#This Row],[ITEM]],"0000")</f>
        <v>CFI.D20-06-0507</v>
      </c>
      <c r="O565" s="8" t="str">
        <f t="shared" si="45"/>
        <v>PEN</v>
      </c>
      <c r="P565" s="13"/>
      <c r="Q565" s="13">
        <v>436</v>
      </c>
      <c r="R565" s="3">
        <f t="shared" si="41"/>
        <v>0</v>
      </c>
      <c r="S565" s="3">
        <f t="shared" si="42"/>
        <v>436</v>
      </c>
      <c r="T565" s="3">
        <f t="shared" si="43"/>
        <v>20599.699999999993</v>
      </c>
      <c r="U565" s="24"/>
      <c r="V565" s="24"/>
      <c r="W565" s="3"/>
      <c r="X565" s="25" t="s">
        <v>5741</v>
      </c>
      <c r="Y565" s="25" t="s">
        <v>6123</v>
      </c>
      <c r="Z565" s="25"/>
      <c r="AA565" s="25"/>
      <c r="AB565" s="25"/>
      <c r="AC565" s="3" t="str">
        <f>IF(Caja_Finanzas[[#This Row],[FECHA]]&gt;0,TEXT(Caja_Finanzas[[#This Row],[FECHA]],"mmmm"),0)</f>
        <v>Junio</v>
      </c>
    </row>
    <row r="566" spans="2:29" ht="24" x14ac:dyDescent="0.3">
      <c r="B566" s="2">
        <f>IF(Caja_Finanzas[[#This Row],[TIPO DE R.]]="R",COUNTIFS($D$4:$D565,"R")+1,"")</f>
        <v>508</v>
      </c>
      <c r="C566" s="19" t="str">
        <f t="shared" si="44"/>
        <v>C-Finanzas</v>
      </c>
      <c r="D566" s="3" t="s">
        <v>1074</v>
      </c>
      <c r="E566" s="14">
        <v>45828</v>
      </c>
      <c r="F566" s="5" t="s">
        <v>5305</v>
      </c>
      <c r="G566" s="5" t="s">
        <v>1079</v>
      </c>
      <c r="H566" s="5"/>
      <c r="I566" s="6"/>
      <c r="J566" s="6"/>
      <c r="K566" s="6"/>
      <c r="L566" s="6"/>
      <c r="M566" s="7" t="s">
        <v>5306</v>
      </c>
      <c r="N566" s="8" t="str">
        <f>"CFI"&amp;".D"&amp;TEXT(Caja_Finanzas[[#This Row],[FECHA]],"DD-MM")&amp;"-"&amp;TEXT(Caja_Finanzas[[#This Row],[ITEM]],"0000")</f>
        <v>CFI.D20-06-0508</v>
      </c>
      <c r="O566" s="8" t="str">
        <f t="shared" si="45"/>
        <v>PEN</v>
      </c>
      <c r="P566" s="13"/>
      <c r="Q566" s="13">
        <v>20000</v>
      </c>
      <c r="R566" s="3">
        <f t="shared" si="41"/>
        <v>0</v>
      </c>
      <c r="S566" s="3">
        <f t="shared" si="42"/>
        <v>20000</v>
      </c>
      <c r="T566" s="3">
        <f t="shared" si="43"/>
        <v>599.69999999999345</v>
      </c>
      <c r="U566" s="24"/>
      <c r="V566" s="24"/>
      <c r="W566" s="3"/>
      <c r="X566" s="25"/>
      <c r="Y566" s="25"/>
      <c r="Z566" s="25"/>
      <c r="AA566" s="25"/>
      <c r="AB566" s="25"/>
      <c r="AC566" s="3" t="str">
        <f>IF(Caja_Finanzas[[#This Row],[FECHA]]&gt;0,TEXT(Caja_Finanzas[[#This Row],[FECHA]],"mmmm"),0)</f>
        <v>Junio</v>
      </c>
    </row>
    <row r="567" spans="2:29" ht="24" x14ac:dyDescent="0.3">
      <c r="B567" s="2">
        <f>IF(Caja_Finanzas[[#This Row],[TIPO DE R.]]="R",COUNTIFS($D$4:$D566,"R")+1,"")</f>
        <v>509</v>
      </c>
      <c r="C567" s="19" t="str">
        <f t="shared" si="44"/>
        <v>C-Finanzas</v>
      </c>
      <c r="D567" s="3" t="s">
        <v>1074</v>
      </c>
      <c r="E567" s="14">
        <v>45831</v>
      </c>
      <c r="F567" s="5" t="s">
        <v>5827</v>
      </c>
      <c r="G567" s="5" t="s">
        <v>1079</v>
      </c>
      <c r="H567" s="5"/>
      <c r="I567" s="6"/>
      <c r="J567" s="6"/>
      <c r="K567" s="6"/>
      <c r="L567" s="6"/>
      <c r="M567" s="7" t="s">
        <v>6124</v>
      </c>
      <c r="N567" s="8" t="str">
        <f>"CFI"&amp;".D"&amp;TEXT(Caja_Finanzas[[#This Row],[FECHA]],"DD-MM")&amp;"-"&amp;TEXT(Caja_Finanzas[[#This Row],[ITEM]],"0000")</f>
        <v>CFI.D23-06-0509</v>
      </c>
      <c r="O567" s="8" t="str">
        <f t="shared" si="45"/>
        <v>PEN</v>
      </c>
      <c r="P567" s="13"/>
      <c r="Q567" s="13">
        <v>500</v>
      </c>
      <c r="R567" s="3">
        <f t="shared" si="41"/>
        <v>0</v>
      </c>
      <c r="S567" s="3">
        <f t="shared" si="42"/>
        <v>500</v>
      </c>
      <c r="T567" s="3">
        <f t="shared" si="43"/>
        <v>99.699999999993452</v>
      </c>
      <c r="U567" s="24"/>
      <c r="V567" s="24"/>
      <c r="W567" s="3"/>
      <c r="X567" s="25" t="s">
        <v>6125</v>
      </c>
      <c r="Y567" s="25" t="s">
        <v>6126</v>
      </c>
      <c r="Z567" s="25"/>
      <c r="AA567" s="25"/>
      <c r="AB567" s="25"/>
      <c r="AC567" s="3" t="str">
        <f>IF(Caja_Finanzas[[#This Row],[FECHA]]&gt;0,TEXT(Caja_Finanzas[[#This Row],[FECHA]],"mmmm"),0)</f>
        <v>Junio</v>
      </c>
    </row>
    <row r="568" spans="2:29" ht="24" x14ac:dyDescent="0.3">
      <c r="B568" s="2">
        <f>IF(Caja_Finanzas[[#This Row],[TIPO DE R.]]="R",COUNTIFS($D$4:$D567,"R")+1,"")</f>
        <v>510</v>
      </c>
      <c r="C568" s="19" t="str">
        <f t="shared" si="44"/>
        <v>C-Finanzas</v>
      </c>
      <c r="D568" s="3" t="s">
        <v>1074</v>
      </c>
      <c r="E568" s="14">
        <v>45832</v>
      </c>
      <c r="F568" s="5" t="s">
        <v>3245</v>
      </c>
      <c r="G568" s="5" t="s">
        <v>1087</v>
      </c>
      <c r="H568" s="5"/>
      <c r="I568" s="6"/>
      <c r="J568" s="6"/>
      <c r="K568" s="6"/>
      <c r="L568" s="6"/>
      <c r="M568" s="7" t="s">
        <v>5156</v>
      </c>
      <c r="N568" s="8" t="str">
        <f>"CFI"&amp;".D"&amp;TEXT(Caja_Finanzas[[#This Row],[FECHA]],"DD-MM")&amp;"-"&amp;TEXT(Caja_Finanzas[[#This Row],[ITEM]],"0000")</f>
        <v>CFI.D24-06-0510</v>
      </c>
      <c r="O568" s="8" t="str">
        <f t="shared" si="45"/>
        <v>PEN</v>
      </c>
      <c r="P568" s="13"/>
      <c r="Q568" s="13">
        <v>639</v>
      </c>
      <c r="R568" s="3">
        <f t="shared" si="41"/>
        <v>639</v>
      </c>
      <c r="S568" s="3">
        <f t="shared" si="42"/>
        <v>0</v>
      </c>
      <c r="T568" s="3">
        <f t="shared" si="43"/>
        <v>738.69999999999345</v>
      </c>
      <c r="U568" s="24"/>
      <c r="V568" s="24"/>
      <c r="W568" s="3"/>
      <c r="X568" s="25" t="s">
        <v>368</v>
      </c>
      <c r="Y568" s="25" t="s">
        <v>3247</v>
      </c>
      <c r="Z568" s="25"/>
      <c r="AA568" s="25"/>
      <c r="AB568" s="25"/>
      <c r="AC568" s="3" t="str">
        <f>IF(Caja_Finanzas[[#This Row],[FECHA]]&gt;0,TEXT(Caja_Finanzas[[#This Row],[FECHA]],"mmmm"),0)</f>
        <v>Junio</v>
      </c>
    </row>
    <row r="569" spans="2:29" x14ac:dyDescent="0.3">
      <c r="B569" s="2">
        <f>IF(Caja_Finanzas[[#This Row],[TIPO DE R.]]="R",COUNTIFS($D$4:$D568,"R")+1,"")</f>
        <v>511</v>
      </c>
      <c r="C569" s="19" t="str">
        <f t="shared" si="44"/>
        <v>C-Finanzas</v>
      </c>
      <c r="D569" s="3" t="s">
        <v>1074</v>
      </c>
      <c r="E569" s="14">
        <v>45832</v>
      </c>
      <c r="F569" s="5" t="s">
        <v>1262</v>
      </c>
      <c r="G569" s="5" t="s">
        <v>1087</v>
      </c>
      <c r="H569" s="5"/>
      <c r="I569" s="6"/>
      <c r="J569" s="6"/>
      <c r="K569" s="6"/>
      <c r="L569" s="6"/>
      <c r="M569" s="7" t="s">
        <v>5156</v>
      </c>
      <c r="N569" s="8" t="str">
        <f>"CFI"&amp;".D"&amp;TEXT(Caja_Finanzas[[#This Row],[FECHA]],"DD-MM")&amp;"-"&amp;TEXT(Caja_Finanzas[[#This Row],[ITEM]],"0000")</f>
        <v>CFI.D24-06-0511</v>
      </c>
      <c r="O569" s="8" t="str">
        <f t="shared" si="45"/>
        <v>PEN</v>
      </c>
      <c r="P569" s="13"/>
      <c r="Q569" s="13">
        <v>1940</v>
      </c>
      <c r="R569" s="3">
        <f t="shared" si="41"/>
        <v>1940</v>
      </c>
      <c r="S569" s="3">
        <f t="shared" si="42"/>
        <v>0</v>
      </c>
      <c r="T569" s="3">
        <f t="shared" si="43"/>
        <v>2678.6999999999935</v>
      </c>
      <c r="U569" s="24"/>
      <c r="V569" s="24"/>
      <c r="W569" s="3"/>
      <c r="X569" s="25" t="s">
        <v>368</v>
      </c>
      <c r="Y569" s="25" t="s">
        <v>6127</v>
      </c>
      <c r="Z569" s="25"/>
      <c r="AA569" s="25"/>
      <c r="AB569" s="25"/>
      <c r="AC569" s="3" t="str">
        <f>IF(Caja_Finanzas[[#This Row],[FECHA]]&gt;0,TEXT(Caja_Finanzas[[#This Row],[FECHA]],"mmmm"),0)</f>
        <v>Junio</v>
      </c>
    </row>
    <row r="570" spans="2:29" ht="24" x14ac:dyDescent="0.3">
      <c r="B570" s="2">
        <f>IF(Caja_Finanzas[[#This Row],[TIPO DE R.]]="R",COUNTIFS($D$4:$D569,"R")+1,"")</f>
        <v>512</v>
      </c>
      <c r="C570" s="19" t="str">
        <f t="shared" si="44"/>
        <v>C-Finanzas</v>
      </c>
      <c r="D570" s="3" t="s">
        <v>1074</v>
      </c>
      <c r="E570" s="14">
        <v>45832</v>
      </c>
      <c r="F570" s="5" t="s">
        <v>5347</v>
      </c>
      <c r="G570" s="5" t="s">
        <v>1079</v>
      </c>
      <c r="H570" s="5"/>
      <c r="I570" s="6"/>
      <c r="J570" s="6"/>
      <c r="K570" s="6"/>
      <c r="L570" s="6"/>
      <c r="M570" s="7" t="s">
        <v>6128</v>
      </c>
      <c r="N570" s="8" t="str">
        <f>"CFI"&amp;".D"&amp;TEXT(Caja_Finanzas[[#This Row],[FECHA]],"DD-MM")&amp;"-"&amp;TEXT(Caja_Finanzas[[#This Row],[ITEM]],"0000")</f>
        <v>CFI.D24-06-0512</v>
      </c>
      <c r="O570" s="8" t="str">
        <f t="shared" si="45"/>
        <v>PEN</v>
      </c>
      <c r="P570" s="13"/>
      <c r="Q570" s="13">
        <v>760</v>
      </c>
      <c r="R570" s="3">
        <f t="shared" si="41"/>
        <v>0</v>
      </c>
      <c r="S570" s="3">
        <f t="shared" si="42"/>
        <v>760</v>
      </c>
      <c r="T570" s="3">
        <f t="shared" si="43"/>
        <v>1918.6999999999935</v>
      </c>
      <c r="U570" s="24"/>
      <c r="V570" s="24"/>
      <c r="W570" s="3"/>
      <c r="X570" s="25"/>
      <c r="Y570" s="25" t="s">
        <v>6129</v>
      </c>
      <c r="Z570" s="25"/>
      <c r="AA570" s="25"/>
      <c r="AB570" s="25"/>
      <c r="AC570" s="3" t="str">
        <f>IF(Caja_Finanzas[[#This Row],[FECHA]]&gt;0,TEXT(Caja_Finanzas[[#This Row],[FECHA]],"mmmm"),0)</f>
        <v>Junio</v>
      </c>
    </row>
    <row r="571" spans="2:29" x14ac:dyDescent="0.3">
      <c r="B571" s="2">
        <f>IF(Caja_Finanzas[[#This Row],[TIPO DE R.]]="R",COUNTIFS($D$4:$D570,"R")+1,"")</f>
        <v>513</v>
      </c>
      <c r="C571" s="19" t="str">
        <f t="shared" si="44"/>
        <v>C-Finanzas</v>
      </c>
      <c r="D571" s="3" t="s">
        <v>1074</v>
      </c>
      <c r="E571" s="14">
        <v>45832</v>
      </c>
      <c r="F571" s="5" t="s">
        <v>1239</v>
      </c>
      <c r="G571" s="5" t="s">
        <v>1087</v>
      </c>
      <c r="H571" s="5"/>
      <c r="I571" s="6"/>
      <c r="J571" s="6"/>
      <c r="K571" s="6"/>
      <c r="L571" s="6"/>
      <c r="M571" s="7" t="s">
        <v>5156</v>
      </c>
      <c r="N571" s="8" t="str">
        <f>"CFI"&amp;".D"&amp;TEXT(Caja_Finanzas[[#This Row],[FECHA]],"DD-MM")&amp;"-"&amp;TEXT(Caja_Finanzas[[#This Row],[ITEM]],"0000")</f>
        <v>CFI.D24-06-0513</v>
      </c>
      <c r="O571" s="8" t="str">
        <f t="shared" si="45"/>
        <v>PEN</v>
      </c>
      <c r="P571" s="13"/>
      <c r="Q571" s="13">
        <v>380</v>
      </c>
      <c r="R571" s="3">
        <f t="shared" si="41"/>
        <v>380</v>
      </c>
      <c r="S571" s="3">
        <f t="shared" si="42"/>
        <v>0</v>
      </c>
      <c r="T571" s="3">
        <f t="shared" si="43"/>
        <v>2298.6999999999935</v>
      </c>
      <c r="U571" s="24"/>
      <c r="V571" s="24"/>
      <c r="W571" s="3"/>
      <c r="X571" s="25" t="s">
        <v>368</v>
      </c>
      <c r="Y571" s="25" t="s">
        <v>6130</v>
      </c>
      <c r="Z571" s="25"/>
      <c r="AA571" s="25"/>
      <c r="AB571" s="25"/>
      <c r="AC571" s="3" t="str">
        <f>IF(Caja_Finanzas[[#This Row],[FECHA]]&gt;0,TEXT(Caja_Finanzas[[#This Row],[FECHA]],"mmmm"),0)</f>
        <v>Junio</v>
      </c>
    </row>
    <row r="572" spans="2:29" ht="24" x14ac:dyDescent="0.3">
      <c r="B572" s="2">
        <f>IF(Caja_Finanzas[[#This Row],[TIPO DE R.]]="R",COUNTIFS($D$4:$D571,"R")+1,"")</f>
        <v>514</v>
      </c>
      <c r="C572" s="19" t="str">
        <f t="shared" si="44"/>
        <v>C-Finanzas</v>
      </c>
      <c r="D572" s="3" t="s">
        <v>1074</v>
      </c>
      <c r="E572" s="14">
        <v>45832</v>
      </c>
      <c r="F572" s="5" t="s">
        <v>3001</v>
      </c>
      <c r="G572" s="5" t="s">
        <v>1087</v>
      </c>
      <c r="H572" s="5"/>
      <c r="I572" s="6"/>
      <c r="J572" s="6"/>
      <c r="K572" s="6"/>
      <c r="L572" s="6"/>
      <c r="M572" s="7" t="s">
        <v>5156</v>
      </c>
      <c r="N572" s="8" t="str">
        <f>"CFI"&amp;".D"&amp;TEXT(Caja_Finanzas[[#This Row],[FECHA]],"DD-MM")&amp;"-"&amp;TEXT(Caja_Finanzas[[#This Row],[ITEM]],"0000")</f>
        <v>CFI.D24-06-0514</v>
      </c>
      <c r="O572" s="8" t="str">
        <f t="shared" si="45"/>
        <v>PEN</v>
      </c>
      <c r="P572" s="13"/>
      <c r="Q572" s="13">
        <v>227</v>
      </c>
      <c r="R572" s="3">
        <f t="shared" si="41"/>
        <v>227</v>
      </c>
      <c r="S572" s="3">
        <f t="shared" si="42"/>
        <v>0</v>
      </c>
      <c r="T572" s="3">
        <f t="shared" si="43"/>
        <v>2525.6999999999935</v>
      </c>
      <c r="U572" s="24"/>
      <c r="V572" s="24"/>
      <c r="W572" s="3"/>
      <c r="X572" s="25" t="s">
        <v>368</v>
      </c>
      <c r="Y572" s="25" t="s">
        <v>6131</v>
      </c>
      <c r="Z572" s="25"/>
      <c r="AA572" s="25"/>
      <c r="AB572" s="25"/>
      <c r="AC572" s="3" t="str">
        <f>IF(Caja_Finanzas[[#This Row],[FECHA]]&gt;0,TEXT(Caja_Finanzas[[#This Row],[FECHA]],"mmmm"),0)</f>
        <v>Junio</v>
      </c>
    </row>
    <row r="573" spans="2:29" ht="24" x14ac:dyDescent="0.3">
      <c r="B573" s="2">
        <f>IF(Caja_Finanzas[[#This Row],[TIPO DE R.]]="R",COUNTIFS($D$4:$D572,"R")+1,"")</f>
        <v>515</v>
      </c>
      <c r="C573" s="19" t="str">
        <f t="shared" si="44"/>
        <v>C-Finanzas</v>
      </c>
      <c r="D573" s="3" t="s">
        <v>1074</v>
      </c>
      <c r="E573" s="14">
        <v>45832</v>
      </c>
      <c r="F573" s="5" t="s">
        <v>1435</v>
      </c>
      <c r="G573" s="5" t="s">
        <v>1087</v>
      </c>
      <c r="H573" s="5"/>
      <c r="I573" s="6"/>
      <c r="J573" s="6"/>
      <c r="K573" s="6"/>
      <c r="L573" s="6"/>
      <c r="M573" s="7" t="s">
        <v>5156</v>
      </c>
      <c r="N573" s="8" t="str">
        <f>"CFI"&amp;".D"&amp;TEXT(Caja_Finanzas[[#This Row],[FECHA]],"DD-MM")&amp;"-"&amp;TEXT(Caja_Finanzas[[#This Row],[ITEM]],"0000")</f>
        <v>CFI.D24-06-0515</v>
      </c>
      <c r="O573" s="8" t="str">
        <f t="shared" si="45"/>
        <v>PEN</v>
      </c>
      <c r="P573" s="13"/>
      <c r="Q573" s="13">
        <v>1890</v>
      </c>
      <c r="R573" s="3">
        <f t="shared" si="41"/>
        <v>1890</v>
      </c>
      <c r="S573" s="3">
        <f t="shared" si="42"/>
        <v>0</v>
      </c>
      <c r="T573" s="3">
        <f t="shared" si="43"/>
        <v>4415.6999999999935</v>
      </c>
      <c r="U573" s="24"/>
      <c r="V573" s="24"/>
      <c r="W573" s="3"/>
      <c r="X573" s="25" t="s">
        <v>368</v>
      </c>
      <c r="Y573" s="25" t="s">
        <v>3222</v>
      </c>
      <c r="Z573" s="25"/>
      <c r="AA573" s="25"/>
      <c r="AB573" s="25"/>
      <c r="AC573" s="3" t="str">
        <f>IF(Caja_Finanzas[[#This Row],[FECHA]]&gt;0,TEXT(Caja_Finanzas[[#This Row],[FECHA]],"mmmm"),0)</f>
        <v>Junio</v>
      </c>
    </row>
    <row r="574" spans="2:29" ht="24" x14ac:dyDescent="0.3">
      <c r="B574" s="2">
        <f>IF(Caja_Finanzas[[#This Row],[TIPO DE R.]]="R",COUNTIFS($D$4:$D573,"R")+1,"")</f>
        <v>516</v>
      </c>
      <c r="C574" s="19" t="str">
        <f t="shared" si="44"/>
        <v>C-Finanzas</v>
      </c>
      <c r="D574" s="3" t="s">
        <v>1074</v>
      </c>
      <c r="E574" s="14">
        <v>45832</v>
      </c>
      <c r="F574" s="5" t="s">
        <v>1745</v>
      </c>
      <c r="G574" s="5" t="s">
        <v>1087</v>
      </c>
      <c r="H574" s="5"/>
      <c r="I574" s="6"/>
      <c r="J574" s="6"/>
      <c r="K574" s="6"/>
      <c r="L574" s="6"/>
      <c r="M574" s="7" t="s">
        <v>5156</v>
      </c>
      <c r="N574" s="8" t="str">
        <f>"CFI"&amp;".D"&amp;TEXT(Caja_Finanzas[[#This Row],[FECHA]],"DD-MM")&amp;"-"&amp;TEXT(Caja_Finanzas[[#This Row],[ITEM]],"0000")</f>
        <v>CFI.D24-06-0516</v>
      </c>
      <c r="O574" s="8" t="str">
        <f t="shared" si="45"/>
        <v>PEN</v>
      </c>
      <c r="P574" s="13"/>
      <c r="Q574" s="13">
        <v>1000</v>
      </c>
      <c r="R574" s="3">
        <f t="shared" si="41"/>
        <v>1000</v>
      </c>
      <c r="S574" s="3">
        <f t="shared" si="42"/>
        <v>0</v>
      </c>
      <c r="T574" s="3">
        <f t="shared" si="43"/>
        <v>5415.6999999999935</v>
      </c>
      <c r="U574" s="24"/>
      <c r="V574" s="24"/>
      <c r="W574" s="3"/>
      <c r="X574" s="25" t="s">
        <v>368</v>
      </c>
      <c r="Y574" s="25" t="s">
        <v>6132</v>
      </c>
      <c r="Z574" s="25"/>
      <c r="AA574" s="25"/>
      <c r="AB574" s="25"/>
      <c r="AC574" s="3" t="str">
        <f>IF(Caja_Finanzas[[#This Row],[FECHA]]&gt;0,TEXT(Caja_Finanzas[[#This Row],[FECHA]],"mmmm"),0)</f>
        <v>Junio</v>
      </c>
    </row>
    <row r="575" spans="2:29" ht="24" x14ac:dyDescent="0.3">
      <c r="B575" s="2">
        <f>IF(Caja_Finanzas[[#This Row],[TIPO DE R.]]="R",COUNTIFS($D$4:$D574,"R")+1,"")</f>
        <v>517</v>
      </c>
      <c r="C575" s="19" t="str">
        <f t="shared" si="44"/>
        <v>C-Finanzas</v>
      </c>
      <c r="D575" s="3" t="s">
        <v>1074</v>
      </c>
      <c r="E575" s="14">
        <v>45832</v>
      </c>
      <c r="F575" s="5" t="s">
        <v>5457</v>
      </c>
      <c r="G575" s="5" t="s">
        <v>1079</v>
      </c>
      <c r="H575" s="5"/>
      <c r="I575" s="6"/>
      <c r="J575" s="6"/>
      <c r="K575" s="6"/>
      <c r="L575" s="6"/>
      <c r="M575" s="7" t="s">
        <v>6133</v>
      </c>
      <c r="N575" s="8" t="str">
        <f>"CFI"&amp;".D"&amp;TEXT(Caja_Finanzas[[#This Row],[FECHA]],"DD-MM")&amp;"-"&amp;TEXT(Caja_Finanzas[[#This Row],[ITEM]],"0000")</f>
        <v>CFI.D24-06-0517</v>
      </c>
      <c r="O575" s="8" t="str">
        <f t="shared" si="45"/>
        <v>PEN</v>
      </c>
      <c r="P575" s="13"/>
      <c r="Q575" s="13">
        <v>50</v>
      </c>
      <c r="R575" s="3">
        <f t="shared" si="41"/>
        <v>0</v>
      </c>
      <c r="S575" s="3">
        <f t="shared" si="42"/>
        <v>50</v>
      </c>
      <c r="T575" s="3">
        <f t="shared" si="43"/>
        <v>5365.6999999999935</v>
      </c>
      <c r="U575" s="24"/>
      <c r="V575" s="24"/>
      <c r="W575" s="3"/>
      <c r="X575" s="25" t="s">
        <v>5596</v>
      </c>
      <c r="Y575" s="25" t="s">
        <v>6134</v>
      </c>
      <c r="Z575" s="25"/>
      <c r="AA575" s="25"/>
      <c r="AB575" s="25"/>
      <c r="AC575" s="3" t="str">
        <f>IF(Caja_Finanzas[[#This Row],[FECHA]]&gt;0,TEXT(Caja_Finanzas[[#This Row],[FECHA]],"mmmm"),0)</f>
        <v>Junio</v>
      </c>
    </row>
    <row r="576" spans="2:29" ht="36" x14ac:dyDescent="0.3">
      <c r="B576" s="2">
        <f>IF(Caja_Finanzas[[#This Row],[TIPO DE R.]]="R",COUNTIFS($D$4:$D575,"R")+1,"")</f>
        <v>518</v>
      </c>
      <c r="C576" s="19" t="str">
        <f t="shared" si="44"/>
        <v>C-Finanzas</v>
      </c>
      <c r="D576" s="3" t="s">
        <v>1074</v>
      </c>
      <c r="E576" s="14">
        <v>45832</v>
      </c>
      <c r="F576" s="5" t="s">
        <v>5457</v>
      </c>
      <c r="G576" s="5" t="s">
        <v>1079</v>
      </c>
      <c r="H576" s="5"/>
      <c r="I576" s="6"/>
      <c r="J576" s="6"/>
      <c r="K576" s="6"/>
      <c r="L576" s="6"/>
      <c r="M576" s="7" t="s">
        <v>6135</v>
      </c>
      <c r="N576" s="8" t="str">
        <f>"CFI"&amp;".D"&amp;TEXT(Caja_Finanzas[[#This Row],[FECHA]],"DD-MM")&amp;"-"&amp;TEXT(Caja_Finanzas[[#This Row],[ITEM]],"0000")</f>
        <v>CFI.D24-06-0518</v>
      </c>
      <c r="O576" s="8" t="str">
        <f t="shared" si="45"/>
        <v>PEN</v>
      </c>
      <c r="P576" s="13"/>
      <c r="Q576" s="13">
        <v>60</v>
      </c>
      <c r="R576" s="3">
        <f t="shared" si="41"/>
        <v>0</v>
      </c>
      <c r="S576" s="3">
        <f t="shared" si="42"/>
        <v>60</v>
      </c>
      <c r="T576" s="3">
        <f t="shared" si="43"/>
        <v>5305.6999999999935</v>
      </c>
      <c r="U576" s="24"/>
      <c r="V576" s="24"/>
      <c r="W576" s="3"/>
      <c r="X576" s="25" t="s">
        <v>5596</v>
      </c>
      <c r="Y576" s="25" t="s">
        <v>6136</v>
      </c>
      <c r="Z576" s="25"/>
      <c r="AA576" s="25"/>
      <c r="AB576" s="25"/>
      <c r="AC576" s="3" t="str">
        <f>IF(Caja_Finanzas[[#This Row],[FECHA]]&gt;0,TEXT(Caja_Finanzas[[#This Row],[FECHA]],"mmmm"),0)</f>
        <v>Junio</v>
      </c>
    </row>
    <row r="577" spans="2:29" ht="24" x14ac:dyDescent="0.3">
      <c r="B577" s="2">
        <f>IF(Caja_Finanzas[[#This Row],[TIPO DE R.]]="R",COUNTIFS($D$4:$D576,"R")+1,"")</f>
        <v>519</v>
      </c>
      <c r="C577" s="19" t="str">
        <f t="shared" si="44"/>
        <v>C-Finanzas</v>
      </c>
      <c r="D577" s="3" t="s">
        <v>1074</v>
      </c>
      <c r="E577" s="14">
        <v>45832</v>
      </c>
      <c r="F577" s="5" t="s">
        <v>5457</v>
      </c>
      <c r="G577" s="5" t="s">
        <v>1079</v>
      </c>
      <c r="H577" s="5"/>
      <c r="I577" s="6"/>
      <c r="J577" s="6"/>
      <c r="K577" s="6"/>
      <c r="L577" s="6"/>
      <c r="M577" s="7" t="s">
        <v>6137</v>
      </c>
      <c r="N577" s="8" t="str">
        <f>"CFI"&amp;".D"&amp;TEXT(Caja_Finanzas[[#This Row],[FECHA]],"DD-MM")&amp;"-"&amp;TEXT(Caja_Finanzas[[#This Row],[ITEM]],"0000")</f>
        <v>CFI.D24-06-0519</v>
      </c>
      <c r="O577" s="8" t="str">
        <f t="shared" si="45"/>
        <v>PEN</v>
      </c>
      <c r="P577" s="13"/>
      <c r="Q577" s="13">
        <v>40</v>
      </c>
      <c r="R577" s="3">
        <f t="shared" si="41"/>
        <v>0</v>
      </c>
      <c r="S577" s="3">
        <f t="shared" si="42"/>
        <v>40</v>
      </c>
      <c r="T577" s="3">
        <f t="shared" si="43"/>
        <v>5265.6999999999935</v>
      </c>
      <c r="U577" s="24"/>
      <c r="V577" s="24"/>
      <c r="W577" s="3"/>
      <c r="X577" s="25" t="s">
        <v>5596</v>
      </c>
      <c r="Y577" s="25" t="s">
        <v>6138</v>
      </c>
      <c r="Z577" s="25"/>
      <c r="AA577" s="25"/>
      <c r="AB577" s="25"/>
      <c r="AC577" s="3" t="str">
        <f>IF(Caja_Finanzas[[#This Row],[FECHA]]&gt;0,TEXT(Caja_Finanzas[[#This Row],[FECHA]],"mmmm"),0)</f>
        <v>Junio</v>
      </c>
    </row>
    <row r="578" spans="2:29" ht="24" x14ac:dyDescent="0.3">
      <c r="B578" s="2">
        <f>IF(Caja_Finanzas[[#This Row],[TIPO DE R.]]="R",COUNTIFS($D$4:$D577,"R")+1,"")</f>
        <v>520</v>
      </c>
      <c r="C578" s="19" t="str">
        <f t="shared" si="44"/>
        <v>C-Finanzas</v>
      </c>
      <c r="D578" s="3" t="s">
        <v>1074</v>
      </c>
      <c r="E578" s="14">
        <v>45833</v>
      </c>
      <c r="F578" s="5" t="s">
        <v>6139</v>
      </c>
      <c r="G578" s="5" t="s">
        <v>1087</v>
      </c>
      <c r="H578" s="5"/>
      <c r="I578" s="6"/>
      <c r="J578" s="6"/>
      <c r="K578" s="6"/>
      <c r="L578" s="6"/>
      <c r="M578" s="7" t="s">
        <v>5156</v>
      </c>
      <c r="N578" s="8" t="str">
        <f>"CFI"&amp;".D"&amp;TEXT(Caja_Finanzas[[#This Row],[FECHA]],"DD-MM")&amp;"-"&amp;TEXT(Caja_Finanzas[[#This Row],[ITEM]],"0000")</f>
        <v>CFI.D25-06-0520</v>
      </c>
      <c r="O578" s="8" t="str">
        <f t="shared" si="45"/>
        <v>PEN</v>
      </c>
      <c r="P578" s="13"/>
      <c r="Q578" s="13">
        <v>9.6</v>
      </c>
      <c r="R578" s="3">
        <f t="shared" si="41"/>
        <v>9.6</v>
      </c>
      <c r="S578" s="3">
        <f t="shared" si="42"/>
        <v>0</v>
      </c>
      <c r="T578" s="3">
        <f t="shared" si="43"/>
        <v>5275.2999999999938</v>
      </c>
      <c r="U578" s="24"/>
      <c r="V578" s="24"/>
      <c r="W578" s="3"/>
      <c r="X578" s="25" t="s">
        <v>368</v>
      </c>
      <c r="Y578" s="25" t="s">
        <v>6140</v>
      </c>
      <c r="Z578" s="25"/>
      <c r="AA578" s="25"/>
      <c r="AB578" s="25"/>
      <c r="AC578" s="3" t="str">
        <f>IF(Caja_Finanzas[[#This Row],[FECHA]]&gt;0,TEXT(Caja_Finanzas[[#This Row],[FECHA]],"mmmm"),0)</f>
        <v>Junio</v>
      </c>
    </row>
    <row r="579" spans="2:29" ht="24" x14ac:dyDescent="0.3">
      <c r="B579" s="2">
        <f>IF(Caja_Finanzas[[#This Row],[TIPO DE R.]]="R",COUNTIFS($D$4:$D578,"R")+1,"")</f>
        <v>521</v>
      </c>
      <c r="C579" s="19" t="str">
        <f t="shared" si="44"/>
        <v>C-Finanzas</v>
      </c>
      <c r="D579" s="3" t="s">
        <v>1074</v>
      </c>
      <c r="E579" s="14">
        <v>45833</v>
      </c>
      <c r="F579" s="5" t="s">
        <v>6141</v>
      </c>
      <c r="G579" s="5" t="s">
        <v>1087</v>
      </c>
      <c r="H579" s="5"/>
      <c r="I579" s="6"/>
      <c r="J579" s="6"/>
      <c r="K579" s="6"/>
      <c r="L579" s="6"/>
      <c r="M579" s="7" t="s">
        <v>5156</v>
      </c>
      <c r="N579" s="8" t="str">
        <f>"CFI"&amp;".D"&amp;TEXT(Caja_Finanzas[[#This Row],[FECHA]],"DD-MM")&amp;"-"&amp;TEXT(Caja_Finanzas[[#This Row],[ITEM]],"0000")</f>
        <v>CFI.D25-06-0521</v>
      </c>
      <c r="O579" s="8" t="str">
        <f t="shared" si="45"/>
        <v>PEN</v>
      </c>
      <c r="P579" s="13"/>
      <c r="Q579" s="13">
        <v>470</v>
      </c>
      <c r="R579" s="3">
        <f t="shared" si="41"/>
        <v>470</v>
      </c>
      <c r="S579" s="3">
        <f t="shared" si="42"/>
        <v>0</v>
      </c>
      <c r="T579" s="3">
        <f t="shared" si="43"/>
        <v>5745.2999999999938</v>
      </c>
      <c r="U579" s="24"/>
      <c r="V579" s="24"/>
      <c r="W579" s="3"/>
      <c r="X579" s="25" t="s">
        <v>368</v>
      </c>
      <c r="Y579" s="25" t="s">
        <v>6142</v>
      </c>
      <c r="Z579" s="25"/>
      <c r="AA579" s="25"/>
      <c r="AB579" s="25"/>
      <c r="AC579" s="3" t="str">
        <f>IF(Caja_Finanzas[[#This Row],[FECHA]]&gt;0,TEXT(Caja_Finanzas[[#This Row],[FECHA]],"mmmm"),0)</f>
        <v>Junio</v>
      </c>
    </row>
    <row r="580" spans="2:29" ht="24" x14ac:dyDescent="0.3">
      <c r="B580" s="2">
        <f>IF(Caja_Finanzas[[#This Row],[TIPO DE R.]]="R",COUNTIFS($D$4:$D579,"R")+1,"")</f>
        <v>522</v>
      </c>
      <c r="C580" s="19" t="str">
        <f t="shared" si="44"/>
        <v>C-Finanzas</v>
      </c>
      <c r="D580" s="3" t="s">
        <v>1074</v>
      </c>
      <c r="E580" s="14">
        <v>45833</v>
      </c>
      <c r="F580" s="5" t="s">
        <v>1745</v>
      </c>
      <c r="G580" s="5" t="s">
        <v>1087</v>
      </c>
      <c r="H580" s="5"/>
      <c r="I580" s="6"/>
      <c r="J580" s="6"/>
      <c r="K580" s="6"/>
      <c r="L580" s="6"/>
      <c r="M580" s="7" t="s">
        <v>5156</v>
      </c>
      <c r="N580" s="8" t="str">
        <f>"CFI"&amp;".D"&amp;TEXT(Caja_Finanzas[[#This Row],[FECHA]],"DD-MM")&amp;"-"&amp;TEXT(Caja_Finanzas[[#This Row],[ITEM]],"0000")</f>
        <v>CFI.D25-06-0522</v>
      </c>
      <c r="O580" s="8" t="str">
        <f t="shared" si="45"/>
        <v>PEN</v>
      </c>
      <c r="P580" s="13"/>
      <c r="Q580" s="13">
        <v>960</v>
      </c>
      <c r="R580" s="3">
        <f t="shared" si="41"/>
        <v>960</v>
      </c>
      <c r="S580" s="3">
        <f t="shared" si="42"/>
        <v>0</v>
      </c>
      <c r="T580" s="3">
        <f t="shared" si="43"/>
        <v>6705.2999999999938</v>
      </c>
      <c r="U580" s="24"/>
      <c r="V580" s="24"/>
      <c r="W580" s="3"/>
      <c r="X580" s="25" t="s">
        <v>368</v>
      </c>
      <c r="Y580" s="25" t="s">
        <v>6132</v>
      </c>
      <c r="Z580" s="25"/>
      <c r="AA580" s="25"/>
      <c r="AB580" s="25"/>
      <c r="AC580" s="3" t="str">
        <f>IF(Caja_Finanzas[[#This Row],[FECHA]]&gt;0,TEXT(Caja_Finanzas[[#This Row],[FECHA]],"mmmm"),0)</f>
        <v>Junio</v>
      </c>
    </row>
    <row r="581" spans="2:29" ht="24" x14ac:dyDescent="0.3">
      <c r="B581" s="2">
        <f>IF(Caja_Finanzas[[#This Row],[TIPO DE R.]]="R",COUNTIFS($D$4:$D580,"R")+1,"")</f>
        <v>523</v>
      </c>
      <c r="C581" s="19" t="str">
        <f t="shared" si="44"/>
        <v>C-Finanzas</v>
      </c>
      <c r="D581" s="3" t="s">
        <v>1074</v>
      </c>
      <c r="E581" s="14">
        <v>45833</v>
      </c>
      <c r="F581" s="5" t="s">
        <v>1745</v>
      </c>
      <c r="G581" s="5" t="s">
        <v>1087</v>
      </c>
      <c r="H581" s="5"/>
      <c r="I581" s="6"/>
      <c r="J581" s="6"/>
      <c r="K581" s="6"/>
      <c r="L581" s="6"/>
      <c r="M581" s="7" t="s">
        <v>5156</v>
      </c>
      <c r="N581" s="8" t="str">
        <f>"CFI"&amp;".D"&amp;TEXT(Caja_Finanzas[[#This Row],[FECHA]],"DD-MM")&amp;"-"&amp;TEXT(Caja_Finanzas[[#This Row],[ITEM]],"0000")</f>
        <v>CFI.D25-06-0523</v>
      </c>
      <c r="O581" s="8" t="str">
        <f t="shared" si="45"/>
        <v>PEN</v>
      </c>
      <c r="P581" s="13"/>
      <c r="Q581" s="13">
        <v>1022</v>
      </c>
      <c r="R581" s="3">
        <f t="shared" ref="R581:R642" si="46">+IF(OR($G581="SALDO",$G581="INGRESO"),$Q581,0)</f>
        <v>1022</v>
      </c>
      <c r="S581" s="3">
        <f t="shared" ref="S581:S642" si="47">+IF($G581="EGRESO",$Q581,0)</f>
        <v>0</v>
      </c>
      <c r="T581" s="3">
        <f t="shared" ref="T581:T644" si="48">IFERROR(IF(G581="SALDO",R581,T580+R581-S581),0)</f>
        <v>7727.2999999999938</v>
      </c>
      <c r="U581" s="24"/>
      <c r="V581" s="24"/>
      <c r="W581" s="3"/>
      <c r="X581" s="25" t="s">
        <v>368</v>
      </c>
      <c r="Y581" s="25" t="s">
        <v>6143</v>
      </c>
      <c r="Z581" s="25"/>
      <c r="AA581" s="25"/>
      <c r="AB581" s="25"/>
      <c r="AC581" s="3" t="str">
        <f>IF(Caja_Finanzas[[#This Row],[FECHA]]&gt;0,TEXT(Caja_Finanzas[[#This Row],[FECHA]],"mmmm"),0)</f>
        <v>Junio</v>
      </c>
    </row>
    <row r="582" spans="2:29" ht="24" x14ac:dyDescent="0.3">
      <c r="B582" s="2">
        <f>IF(Caja_Finanzas[[#This Row],[TIPO DE R.]]="R",COUNTIFS($D$4:$D581,"R")+1,"")</f>
        <v>524</v>
      </c>
      <c r="C582" s="19" t="str">
        <f t="shared" ref="C582:C592" si="49">"C-Finanzas"</f>
        <v>C-Finanzas</v>
      </c>
      <c r="D582" s="3" t="s">
        <v>1074</v>
      </c>
      <c r="E582" s="14">
        <v>45833</v>
      </c>
      <c r="F582" s="5" t="s">
        <v>5618</v>
      </c>
      <c r="G582" s="5" t="s">
        <v>1079</v>
      </c>
      <c r="H582" s="5"/>
      <c r="I582" s="6"/>
      <c r="J582" s="6"/>
      <c r="K582" s="6"/>
      <c r="L582" s="6"/>
      <c r="M582" s="7" t="s">
        <v>6144</v>
      </c>
      <c r="N582" s="8" t="str">
        <f>"CFI"&amp;".D"&amp;TEXT(Caja_Finanzas[[#This Row],[FECHA]],"DD-MM")&amp;"-"&amp;TEXT(Caja_Finanzas[[#This Row],[ITEM]],"0000")</f>
        <v>CFI.D25-06-0524</v>
      </c>
      <c r="O582" s="8" t="str">
        <f t="shared" ref="O582:O592" si="50">"PEN"</f>
        <v>PEN</v>
      </c>
      <c r="P582" s="13"/>
      <c r="Q582" s="13">
        <v>10</v>
      </c>
      <c r="R582" s="3">
        <f t="shared" si="46"/>
        <v>0</v>
      </c>
      <c r="S582" s="3">
        <f t="shared" si="47"/>
        <v>10</v>
      </c>
      <c r="T582" s="3">
        <f t="shared" si="48"/>
        <v>7717.2999999999938</v>
      </c>
      <c r="U582" s="24"/>
      <c r="V582" s="24"/>
      <c r="W582" s="3"/>
      <c r="X582" s="25" t="s">
        <v>5596</v>
      </c>
      <c r="Y582" s="25" t="s">
        <v>6145</v>
      </c>
      <c r="Z582" s="25"/>
      <c r="AA582" s="25"/>
      <c r="AB582" s="25"/>
      <c r="AC582" s="3" t="str">
        <f>IF(Caja_Finanzas[[#This Row],[FECHA]]&gt;0,TEXT(Caja_Finanzas[[#This Row],[FECHA]],"mmmm"),0)</f>
        <v>Junio</v>
      </c>
    </row>
    <row r="583" spans="2:29" ht="24" x14ac:dyDescent="0.3">
      <c r="B583" s="2">
        <f>IF(Caja_Finanzas[[#This Row],[TIPO DE R.]]="R",COUNTIFS($D$4:$D582,"R")+1,"")</f>
        <v>525</v>
      </c>
      <c r="C583" s="19" t="str">
        <f t="shared" si="49"/>
        <v>C-Finanzas</v>
      </c>
      <c r="D583" s="3" t="s">
        <v>1074</v>
      </c>
      <c r="E583" s="14">
        <v>45833</v>
      </c>
      <c r="F583" s="5" t="s">
        <v>5338</v>
      </c>
      <c r="G583" s="5" t="s">
        <v>1079</v>
      </c>
      <c r="H583" s="5"/>
      <c r="I583" s="6"/>
      <c r="J583" s="6"/>
      <c r="K583" s="6"/>
      <c r="L583" s="6"/>
      <c r="M583" s="7" t="s">
        <v>6146</v>
      </c>
      <c r="N583" s="8" t="str">
        <f>"CFI"&amp;".D"&amp;TEXT(Caja_Finanzas[[#This Row],[FECHA]],"DD-MM")&amp;"-"&amp;TEXT(Caja_Finanzas[[#This Row],[ITEM]],"0000")</f>
        <v>CFI.D25-06-0525</v>
      </c>
      <c r="O583" s="8" t="str">
        <f t="shared" si="50"/>
        <v>PEN</v>
      </c>
      <c r="P583" s="13"/>
      <c r="Q583" s="13">
        <v>20</v>
      </c>
      <c r="R583" s="3">
        <f t="shared" si="46"/>
        <v>0</v>
      </c>
      <c r="S583" s="3">
        <f t="shared" si="47"/>
        <v>20</v>
      </c>
      <c r="T583" s="3">
        <f t="shared" si="48"/>
        <v>7697.2999999999938</v>
      </c>
      <c r="U583" s="24"/>
      <c r="V583" s="24"/>
      <c r="W583" s="3"/>
      <c r="X583" s="25" t="s">
        <v>5596</v>
      </c>
      <c r="Y583" s="25" t="s">
        <v>6147</v>
      </c>
      <c r="Z583" s="25"/>
      <c r="AA583" s="25"/>
      <c r="AB583" s="25"/>
      <c r="AC583" s="3" t="str">
        <f>IF(Caja_Finanzas[[#This Row],[FECHA]]&gt;0,TEXT(Caja_Finanzas[[#This Row],[FECHA]],"mmmm"),0)</f>
        <v>Junio</v>
      </c>
    </row>
    <row r="584" spans="2:29" ht="36" x14ac:dyDescent="0.3">
      <c r="B584" s="2">
        <f>IF(Caja_Finanzas[[#This Row],[TIPO DE R.]]="R",COUNTIFS($D$4:$D583,"R")+1,"")</f>
        <v>526</v>
      </c>
      <c r="C584" s="19" t="str">
        <f t="shared" si="49"/>
        <v>C-Finanzas</v>
      </c>
      <c r="D584" s="3" t="s">
        <v>1074</v>
      </c>
      <c r="E584" s="14">
        <v>45835</v>
      </c>
      <c r="F584" s="5" t="s">
        <v>5457</v>
      </c>
      <c r="G584" s="5" t="s">
        <v>1079</v>
      </c>
      <c r="H584" s="5"/>
      <c r="I584" s="6"/>
      <c r="J584" s="6"/>
      <c r="K584" s="6"/>
      <c r="L584" s="6"/>
      <c r="M584" s="7" t="s">
        <v>6148</v>
      </c>
      <c r="N584" s="8" t="str">
        <f>"CFI"&amp;".D"&amp;TEXT(Caja_Finanzas[[#This Row],[FECHA]],"DD-MM")&amp;"-"&amp;TEXT(Caja_Finanzas[[#This Row],[ITEM]],"0000")</f>
        <v>CFI.D27-06-0526</v>
      </c>
      <c r="O584" s="8" t="str">
        <f t="shared" si="50"/>
        <v>PEN</v>
      </c>
      <c r="P584" s="13"/>
      <c r="Q584" s="13">
        <v>90</v>
      </c>
      <c r="R584" s="3">
        <f t="shared" si="46"/>
        <v>0</v>
      </c>
      <c r="S584" s="3">
        <f t="shared" si="47"/>
        <v>90</v>
      </c>
      <c r="T584" s="3">
        <f t="shared" si="48"/>
        <v>7607.2999999999938</v>
      </c>
      <c r="U584" s="24"/>
      <c r="V584" s="24"/>
      <c r="W584" s="3"/>
      <c r="X584" s="25" t="s">
        <v>5596</v>
      </c>
      <c r="Y584" s="25" t="s">
        <v>6149</v>
      </c>
      <c r="Z584" s="25"/>
      <c r="AA584" s="25"/>
      <c r="AB584" s="25"/>
      <c r="AC584" s="3" t="str">
        <f>IF(Caja_Finanzas[[#This Row],[FECHA]]&gt;0,TEXT(Caja_Finanzas[[#This Row],[FECHA]],"mmmm"),0)</f>
        <v>Junio</v>
      </c>
    </row>
    <row r="585" spans="2:29" ht="24" x14ac:dyDescent="0.3">
      <c r="B585" s="2">
        <f>IF(Caja_Finanzas[[#This Row],[TIPO DE R.]]="R",COUNTIFS($D$4:$D584,"R")+1,"")</f>
        <v>527</v>
      </c>
      <c r="C585" s="19" t="str">
        <f t="shared" si="49"/>
        <v>C-Finanzas</v>
      </c>
      <c r="D585" s="3" t="s">
        <v>1074</v>
      </c>
      <c r="E585" s="14">
        <v>45835</v>
      </c>
      <c r="F585" s="5" t="s">
        <v>5343</v>
      </c>
      <c r="G585" s="5" t="s">
        <v>1079</v>
      </c>
      <c r="H585" s="5"/>
      <c r="I585" s="6"/>
      <c r="J585" s="6"/>
      <c r="K585" s="6"/>
      <c r="L585" s="6"/>
      <c r="M585" s="7" t="s">
        <v>6150</v>
      </c>
      <c r="N585" s="8" t="str">
        <f>"CFI"&amp;".D"&amp;TEXT(Caja_Finanzas[[#This Row],[FECHA]],"DD-MM")&amp;"-"&amp;TEXT(Caja_Finanzas[[#This Row],[ITEM]],"0000")</f>
        <v>CFI.D27-06-0527</v>
      </c>
      <c r="O585" s="8" t="str">
        <f t="shared" si="50"/>
        <v>PEN</v>
      </c>
      <c r="P585" s="13"/>
      <c r="Q585" s="13">
        <v>256.5</v>
      </c>
      <c r="R585" s="3">
        <f t="shared" si="46"/>
        <v>0</v>
      </c>
      <c r="S585" s="3">
        <f t="shared" si="47"/>
        <v>256.5</v>
      </c>
      <c r="T585" s="3">
        <f t="shared" si="48"/>
        <v>7350.7999999999938</v>
      </c>
      <c r="U585" s="24"/>
      <c r="V585" s="24"/>
      <c r="W585" s="3"/>
      <c r="X585" s="25" t="s">
        <v>5596</v>
      </c>
      <c r="Y585" s="25" t="s">
        <v>6151</v>
      </c>
      <c r="Z585" s="25"/>
      <c r="AA585" s="25"/>
      <c r="AB585" s="25"/>
      <c r="AC585" s="3" t="str">
        <f>IF(Caja_Finanzas[[#This Row],[FECHA]]&gt;0,TEXT(Caja_Finanzas[[#This Row],[FECHA]],"mmmm"),0)</f>
        <v>Junio</v>
      </c>
    </row>
    <row r="586" spans="2:29" ht="24" x14ac:dyDescent="0.3">
      <c r="B586" s="2">
        <f>IF(Caja_Finanzas[[#This Row],[TIPO DE R.]]="R",COUNTIFS($D$4:$D585,"R")+1,"")</f>
        <v>528</v>
      </c>
      <c r="C586" s="19" t="str">
        <f t="shared" si="49"/>
        <v>C-Finanzas</v>
      </c>
      <c r="D586" s="3" t="s">
        <v>1074</v>
      </c>
      <c r="E586" s="14">
        <v>45835</v>
      </c>
      <c r="F586" s="5" t="s">
        <v>3158</v>
      </c>
      <c r="G586" s="5" t="s">
        <v>1087</v>
      </c>
      <c r="H586" s="5"/>
      <c r="I586" s="6"/>
      <c r="J586" s="6"/>
      <c r="K586" s="6"/>
      <c r="L586" s="6"/>
      <c r="M586" s="7" t="s">
        <v>5156</v>
      </c>
      <c r="N586" s="8" t="str">
        <f>"CFI"&amp;".D"&amp;TEXT(Caja_Finanzas[[#This Row],[FECHA]],"DD-MM")&amp;"-"&amp;TEXT(Caja_Finanzas[[#This Row],[ITEM]],"0000")</f>
        <v>CFI.D27-06-0528</v>
      </c>
      <c r="O586" s="8" t="str">
        <f t="shared" si="50"/>
        <v>PEN</v>
      </c>
      <c r="P586" s="13"/>
      <c r="Q586" s="13">
        <v>3620</v>
      </c>
      <c r="R586" s="3">
        <f t="shared" si="46"/>
        <v>3620</v>
      </c>
      <c r="S586" s="3">
        <f t="shared" si="47"/>
        <v>0</v>
      </c>
      <c r="T586" s="3">
        <f t="shared" si="48"/>
        <v>10970.799999999994</v>
      </c>
      <c r="U586" s="24"/>
      <c r="V586" s="24"/>
      <c r="W586" s="3"/>
      <c r="X586" s="25"/>
      <c r="Y586" s="25" t="s">
        <v>6152</v>
      </c>
      <c r="Z586" s="25"/>
      <c r="AA586" s="25"/>
      <c r="AB586" s="25"/>
      <c r="AC586" s="3" t="str">
        <f>IF(Caja_Finanzas[[#This Row],[FECHA]]&gt;0,TEXT(Caja_Finanzas[[#This Row],[FECHA]],"mmmm"),0)</f>
        <v>Junio</v>
      </c>
    </row>
    <row r="587" spans="2:29" ht="24" x14ac:dyDescent="0.3">
      <c r="B587" s="2">
        <f>IF(Caja_Finanzas[[#This Row],[TIPO DE R.]]="R",COUNTIFS($D$4:$D586,"R")+1,"")</f>
        <v>529</v>
      </c>
      <c r="C587" s="19" t="str">
        <f t="shared" si="49"/>
        <v>C-Finanzas</v>
      </c>
      <c r="D587" s="3" t="s">
        <v>1074</v>
      </c>
      <c r="E587" s="14">
        <v>45835</v>
      </c>
      <c r="F587" s="5" t="s">
        <v>1745</v>
      </c>
      <c r="G587" s="5" t="s">
        <v>1087</v>
      </c>
      <c r="H587" s="5"/>
      <c r="I587" s="6"/>
      <c r="J587" s="6"/>
      <c r="K587" s="6"/>
      <c r="L587" s="6"/>
      <c r="M587" s="7" t="s">
        <v>5156</v>
      </c>
      <c r="N587" s="8" t="str">
        <f>"CFI"&amp;".D"&amp;TEXT(Caja_Finanzas[[#This Row],[FECHA]],"DD-MM")&amp;"-"&amp;TEXT(Caja_Finanzas[[#This Row],[ITEM]],"0000")</f>
        <v>CFI.D27-06-0529</v>
      </c>
      <c r="O587" s="8" t="str">
        <f t="shared" si="50"/>
        <v>PEN</v>
      </c>
      <c r="P587" s="13"/>
      <c r="Q587" s="13">
        <v>873</v>
      </c>
      <c r="R587" s="3">
        <f t="shared" si="46"/>
        <v>873</v>
      </c>
      <c r="S587" s="3">
        <f t="shared" si="47"/>
        <v>0</v>
      </c>
      <c r="T587" s="3">
        <f t="shared" si="48"/>
        <v>11843.799999999994</v>
      </c>
      <c r="U587" s="24"/>
      <c r="V587" s="24"/>
      <c r="W587" s="3"/>
      <c r="X587" s="25"/>
      <c r="Y587" s="25" t="s">
        <v>6153</v>
      </c>
      <c r="Z587" s="25"/>
      <c r="AA587" s="25"/>
      <c r="AB587" s="25"/>
      <c r="AC587" s="3" t="str">
        <f>IF(Caja_Finanzas[[#This Row],[FECHA]]&gt;0,TEXT(Caja_Finanzas[[#This Row],[FECHA]],"mmmm"),0)</f>
        <v>Junio</v>
      </c>
    </row>
    <row r="588" spans="2:29" ht="24" x14ac:dyDescent="0.3">
      <c r="B588" s="2">
        <f>IF(Caja_Finanzas[[#This Row],[TIPO DE R.]]="R",COUNTIFS($D$4:$D587,"R")+1,"")</f>
        <v>530</v>
      </c>
      <c r="C588" s="19" t="str">
        <f t="shared" si="49"/>
        <v>C-Finanzas</v>
      </c>
      <c r="D588" s="3" t="s">
        <v>1074</v>
      </c>
      <c r="E588" s="14">
        <v>45839</v>
      </c>
      <c r="F588" s="5" t="s">
        <v>2100</v>
      </c>
      <c r="G588" s="5" t="s">
        <v>1087</v>
      </c>
      <c r="H588" s="5"/>
      <c r="I588" s="6"/>
      <c r="J588" s="6"/>
      <c r="K588" s="6"/>
      <c r="L588" s="6"/>
      <c r="M588" s="7" t="s">
        <v>5156</v>
      </c>
      <c r="N588" s="8" t="str">
        <f>"CFI"&amp;".D"&amp;TEXT(Caja_Finanzas[[#This Row],[FECHA]],"DD-MM")&amp;"-"&amp;TEXT(Caja_Finanzas[[#This Row],[ITEM]],"0000")</f>
        <v>CFI.D01-07-0530</v>
      </c>
      <c r="O588" s="8" t="str">
        <f t="shared" si="50"/>
        <v>PEN</v>
      </c>
      <c r="P588" s="13"/>
      <c r="Q588" s="13">
        <v>973</v>
      </c>
      <c r="R588" s="3">
        <f t="shared" si="46"/>
        <v>973</v>
      </c>
      <c r="S588" s="3">
        <f t="shared" si="47"/>
        <v>0</v>
      </c>
      <c r="T588" s="3">
        <f t="shared" si="48"/>
        <v>12816.799999999994</v>
      </c>
      <c r="U588" s="24"/>
      <c r="V588" s="24"/>
      <c r="W588" s="3"/>
      <c r="X588" s="25"/>
      <c r="Y588" s="25" t="s">
        <v>6154</v>
      </c>
      <c r="Z588" s="25"/>
      <c r="AA588" s="25"/>
      <c r="AB588" s="25"/>
      <c r="AC588" s="3" t="str">
        <f>IF(Caja_Finanzas[[#This Row],[FECHA]]&gt;0,TEXT(Caja_Finanzas[[#This Row],[FECHA]],"mmmm"),0)</f>
        <v>Julio</v>
      </c>
    </row>
    <row r="589" spans="2:29" ht="24" x14ac:dyDescent="0.3">
      <c r="B589" s="2">
        <f>IF(Caja_Finanzas[[#This Row],[TIPO DE R.]]="R",COUNTIFS($D$4:$D588,"R")+1,"")</f>
        <v>531</v>
      </c>
      <c r="C589" s="19" t="str">
        <f t="shared" si="49"/>
        <v>C-Finanzas</v>
      </c>
      <c r="D589" s="3" t="s">
        <v>1074</v>
      </c>
      <c r="E589" s="14">
        <v>45839</v>
      </c>
      <c r="F589" s="5" t="s">
        <v>3001</v>
      </c>
      <c r="G589" s="5" t="s">
        <v>1087</v>
      </c>
      <c r="H589" s="5"/>
      <c r="I589" s="6"/>
      <c r="J589" s="6"/>
      <c r="K589" s="6"/>
      <c r="L589" s="6"/>
      <c r="M589" s="7" t="s">
        <v>5156</v>
      </c>
      <c r="N589" s="8" t="str">
        <f>"CFI"&amp;".D"&amp;TEXT(Caja_Finanzas[[#This Row],[FECHA]],"DD-MM")&amp;"-"&amp;TEXT(Caja_Finanzas[[#This Row],[ITEM]],"0000")</f>
        <v>CFI.D01-07-0531</v>
      </c>
      <c r="O589" s="8" t="str">
        <f t="shared" si="50"/>
        <v>PEN</v>
      </c>
      <c r="P589" s="13"/>
      <c r="Q589" s="13">
        <v>300</v>
      </c>
      <c r="R589" s="3">
        <f t="shared" si="46"/>
        <v>300</v>
      </c>
      <c r="S589" s="3">
        <f t="shared" si="47"/>
        <v>0</v>
      </c>
      <c r="T589" s="3">
        <f t="shared" si="48"/>
        <v>13116.799999999994</v>
      </c>
      <c r="U589" s="24"/>
      <c r="V589" s="24"/>
      <c r="W589" s="3"/>
      <c r="X589" s="25"/>
      <c r="Y589" s="25" t="s">
        <v>6155</v>
      </c>
      <c r="Z589" s="25"/>
      <c r="AA589" s="25"/>
      <c r="AB589" s="25"/>
      <c r="AC589" s="3" t="str">
        <f>IF(Caja_Finanzas[[#This Row],[FECHA]]&gt;0,TEXT(Caja_Finanzas[[#This Row],[FECHA]],"mmmm"),0)</f>
        <v>Julio</v>
      </c>
    </row>
    <row r="590" spans="2:29" ht="24" x14ac:dyDescent="0.3">
      <c r="B590" s="2">
        <f>IF(Caja_Finanzas[[#This Row],[TIPO DE R.]]="R",COUNTIFS($D$4:$D589,"R")+1,"")</f>
        <v>532</v>
      </c>
      <c r="C590" s="19" t="str">
        <f t="shared" si="49"/>
        <v>C-Finanzas</v>
      </c>
      <c r="D590" s="3" t="s">
        <v>1074</v>
      </c>
      <c r="E590" s="14">
        <v>45839</v>
      </c>
      <c r="F590" s="5" t="s">
        <v>3562</v>
      </c>
      <c r="G590" s="5" t="s">
        <v>1079</v>
      </c>
      <c r="H590" s="5"/>
      <c r="I590" s="6"/>
      <c r="J590" s="6"/>
      <c r="K590" s="6"/>
      <c r="L590" s="6"/>
      <c r="M590" s="7" t="s">
        <v>6156</v>
      </c>
      <c r="N590" s="8" t="str">
        <f>"CFI"&amp;".D"&amp;TEXT(Caja_Finanzas[[#This Row],[FECHA]],"DD-MM")&amp;"-"&amp;TEXT(Caja_Finanzas[[#This Row],[ITEM]],"0000")</f>
        <v>CFI.D01-07-0532</v>
      </c>
      <c r="O590" s="8" t="str">
        <f t="shared" si="50"/>
        <v>PEN</v>
      </c>
      <c r="P590" s="13"/>
      <c r="Q590" s="13">
        <v>40</v>
      </c>
      <c r="R590" s="3">
        <f t="shared" si="46"/>
        <v>0</v>
      </c>
      <c r="S590" s="3">
        <f t="shared" si="47"/>
        <v>40</v>
      </c>
      <c r="T590" s="3">
        <f t="shared" si="48"/>
        <v>13076.799999999994</v>
      </c>
      <c r="U590" s="24"/>
      <c r="V590" s="24"/>
      <c r="W590" s="3"/>
      <c r="X590" s="25" t="s">
        <v>5596</v>
      </c>
      <c r="Y590" s="25" t="s">
        <v>6157</v>
      </c>
      <c r="Z590" s="25"/>
      <c r="AA590" s="25"/>
      <c r="AB590" s="25"/>
      <c r="AC590" s="3" t="str">
        <f>IF(Caja_Finanzas[[#This Row],[FECHA]]&gt;0,TEXT(Caja_Finanzas[[#This Row],[FECHA]],"mmmm"),0)</f>
        <v>Julio</v>
      </c>
    </row>
    <row r="591" spans="2:29" ht="36" x14ac:dyDescent="0.3">
      <c r="B591" s="2">
        <f>IF(Caja_Finanzas[[#This Row],[TIPO DE R.]]="R",COUNTIFS($D$4:$D590,"R")+1,"")</f>
        <v>533</v>
      </c>
      <c r="C591" s="19" t="str">
        <f t="shared" si="49"/>
        <v>C-Finanzas</v>
      </c>
      <c r="D591" s="3" t="s">
        <v>1074</v>
      </c>
      <c r="E591" s="14">
        <v>45839</v>
      </c>
      <c r="F591" s="5" t="s">
        <v>3562</v>
      </c>
      <c r="G591" s="5" t="s">
        <v>1079</v>
      </c>
      <c r="H591" s="5"/>
      <c r="I591" s="6"/>
      <c r="J591" s="6"/>
      <c r="K591" s="6"/>
      <c r="L591" s="6"/>
      <c r="M591" s="7" t="s">
        <v>6158</v>
      </c>
      <c r="N591" s="8" t="str">
        <f>"CFI"&amp;".D"&amp;TEXT(Caja_Finanzas[[#This Row],[FECHA]],"DD-MM")&amp;"-"&amp;TEXT(Caja_Finanzas[[#This Row],[ITEM]],"0000")</f>
        <v>CFI.D01-07-0533</v>
      </c>
      <c r="O591" s="8" t="str">
        <f t="shared" si="50"/>
        <v>PEN</v>
      </c>
      <c r="P591" s="13"/>
      <c r="Q591" s="13">
        <v>200</v>
      </c>
      <c r="R591" s="3">
        <f t="shared" si="46"/>
        <v>0</v>
      </c>
      <c r="S591" s="3">
        <f t="shared" si="47"/>
        <v>200</v>
      </c>
      <c r="T591" s="3">
        <f t="shared" si="48"/>
        <v>12876.799999999994</v>
      </c>
      <c r="U591" s="24"/>
      <c r="V591" s="24"/>
      <c r="W591" s="3"/>
      <c r="X591" s="25" t="s">
        <v>5596</v>
      </c>
      <c r="Y591" s="25" t="s">
        <v>6159</v>
      </c>
      <c r="Z591" s="25"/>
      <c r="AA591" s="25"/>
      <c r="AB591" s="25"/>
      <c r="AC591" s="3" t="str">
        <f>IF(Caja_Finanzas[[#This Row],[FECHA]]&gt;0,TEXT(Caja_Finanzas[[#This Row],[FECHA]],"mmmm"),0)</f>
        <v>Julio</v>
      </c>
    </row>
    <row r="592" spans="2:29" x14ac:dyDescent="0.3">
      <c r="B592" s="2">
        <f>IF(Caja_Finanzas[[#This Row],[TIPO DE R.]]="R",COUNTIFS($D$4:$D591,"R")+1,"")</f>
        <v>534</v>
      </c>
      <c r="C592" s="19" t="str">
        <f t="shared" si="49"/>
        <v>C-Finanzas</v>
      </c>
      <c r="D592" s="3" t="s">
        <v>1074</v>
      </c>
      <c r="E592" s="14">
        <v>45839</v>
      </c>
      <c r="F592" s="5" t="s">
        <v>3562</v>
      </c>
      <c r="G592" s="5" t="s">
        <v>1079</v>
      </c>
      <c r="H592" s="5"/>
      <c r="I592" s="6"/>
      <c r="J592" s="6"/>
      <c r="K592" s="6"/>
      <c r="L592" s="6"/>
      <c r="M592" s="7" t="s">
        <v>6160</v>
      </c>
      <c r="N592" s="8" t="str">
        <f>"CFI"&amp;".D"&amp;TEXT(Caja_Finanzas[[#This Row],[FECHA]],"DD-MM")&amp;"-"&amp;TEXT(Caja_Finanzas[[#This Row],[ITEM]],"0000")</f>
        <v>CFI.D01-07-0534</v>
      </c>
      <c r="O592" s="8" t="str">
        <f t="shared" si="50"/>
        <v>PEN</v>
      </c>
      <c r="P592" s="13"/>
      <c r="Q592" s="13">
        <v>8733</v>
      </c>
      <c r="R592" s="3">
        <f t="shared" si="46"/>
        <v>0</v>
      </c>
      <c r="S592" s="3">
        <f t="shared" si="47"/>
        <v>8733</v>
      </c>
      <c r="T592" s="3">
        <f t="shared" si="48"/>
        <v>4143.7999999999938</v>
      </c>
      <c r="U592" s="24"/>
      <c r="V592" s="24"/>
      <c r="W592" s="3"/>
      <c r="X592" s="25" t="s">
        <v>5596</v>
      </c>
      <c r="Y592" s="25"/>
      <c r="Z592" s="25"/>
      <c r="AA592" s="25"/>
      <c r="AB592" s="25"/>
      <c r="AC592" s="3" t="str">
        <f>IF(Caja_Finanzas[[#This Row],[FECHA]]&gt;0,TEXT(Caja_Finanzas[[#This Row],[FECHA]],"mmmm"),0)</f>
        <v>Julio</v>
      </c>
    </row>
    <row r="593" spans="2:29" ht="24" x14ac:dyDescent="0.3">
      <c r="B593" s="2">
        <f>IF(Caja_Finanzas[[#This Row],[TIPO DE R.]]="R",COUNTIFS($D$4:$D592,"R")+1,"")</f>
        <v>535</v>
      </c>
      <c r="C593" s="19" t="str">
        <f t="shared" ref="C593:C604" si="51">"C-Finanzas"</f>
        <v>C-Finanzas</v>
      </c>
      <c r="D593" s="3" t="s">
        <v>1074</v>
      </c>
      <c r="E593" s="14">
        <v>45840</v>
      </c>
      <c r="F593" s="5" t="s">
        <v>5827</v>
      </c>
      <c r="G593" s="5" t="s">
        <v>1079</v>
      </c>
      <c r="H593" s="5"/>
      <c r="I593" s="6"/>
      <c r="J593" s="6"/>
      <c r="K593" s="6"/>
      <c r="L593" s="6"/>
      <c r="M593" s="7" t="s">
        <v>6161</v>
      </c>
      <c r="N593" s="8" t="str">
        <f>"CFI"&amp;".D"&amp;TEXT(Caja_Finanzas[[#This Row],[FECHA]],"DD-MM")&amp;"-"&amp;TEXT(Caja_Finanzas[[#This Row],[ITEM]],"0000")</f>
        <v>CFI.D02-07-0535</v>
      </c>
      <c r="O593" s="8" t="str">
        <f t="shared" ref="O593:O604" si="52">"PEN"</f>
        <v>PEN</v>
      </c>
      <c r="P593" s="13"/>
      <c r="Q593" s="13">
        <v>33</v>
      </c>
      <c r="R593" s="3">
        <f t="shared" si="46"/>
        <v>0</v>
      </c>
      <c r="S593" s="3">
        <f t="shared" si="47"/>
        <v>33</v>
      </c>
      <c r="T593" s="3">
        <f t="shared" si="48"/>
        <v>4110.7999999999938</v>
      </c>
      <c r="U593" s="24"/>
      <c r="V593" s="24"/>
      <c r="W593" s="3"/>
      <c r="X593" s="25"/>
      <c r="Y593" s="25" t="s">
        <v>6162</v>
      </c>
      <c r="Z593" s="25"/>
      <c r="AA593" s="25"/>
      <c r="AB593" s="25"/>
      <c r="AC593" s="3" t="str">
        <f>IF(Caja_Finanzas[[#This Row],[FECHA]]&gt;0,TEXT(Caja_Finanzas[[#This Row],[FECHA]],"mmmm"),0)</f>
        <v>Julio</v>
      </c>
    </row>
    <row r="594" spans="2:29" ht="24" x14ac:dyDescent="0.3">
      <c r="B594" s="2">
        <f>IF(Caja_Finanzas[[#This Row],[TIPO DE R.]]="R",COUNTIFS($D$4:$D593,"R")+1,"")</f>
        <v>536</v>
      </c>
      <c r="C594" s="19" t="str">
        <f t="shared" si="51"/>
        <v>C-Finanzas</v>
      </c>
      <c r="D594" s="3" t="s">
        <v>1074</v>
      </c>
      <c r="E594" s="14">
        <v>45841</v>
      </c>
      <c r="F594" s="5" t="s">
        <v>5343</v>
      </c>
      <c r="G594" s="5" t="s">
        <v>1079</v>
      </c>
      <c r="H594" s="5"/>
      <c r="I594" s="6"/>
      <c r="J594" s="6"/>
      <c r="K594" s="6"/>
      <c r="L594" s="6"/>
      <c r="M594" s="7" t="s">
        <v>6163</v>
      </c>
      <c r="N594" s="8" t="str">
        <f>"CFI"&amp;".D"&amp;TEXT(Caja_Finanzas[[#This Row],[FECHA]],"DD-MM")&amp;"-"&amp;TEXT(Caja_Finanzas[[#This Row],[ITEM]],"0000")</f>
        <v>CFI.D03-07-0536</v>
      </c>
      <c r="O594" s="8" t="str">
        <f t="shared" si="52"/>
        <v>PEN</v>
      </c>
      <c r="P594" s="13"/>
      <c r="Q594" s="13">
        <v>10</v>
      </c>
      <c r="R594" s="3">
        <f t="shared" si="46"/>
        <v>0</v>
      </c>
      <c r="S594" s="3">
        <f t="shared" si="47"/>
        <v>10</v>
      </c>
      <c r="T594" s="3">
        <f t="shared" si="48"/>
        <v>4100.7999999999938</v>
      </c>
      <c r="U594" s="24"/>
      <c r="V594" s="24"/>
      <c r="W594" s="3"/>
      <c r="X594" s="25" t="s">
        <v>5596</v>
      </c>
      <c r="Y594" s="25" t="s">
        <v>6164</v>
      </c>
      <c r="Z594" s="25"/>
      <c r="AA594" s="25"/>
      <c r="AB594" s="25"/>
      <c r="AC594" s="3" t="str">
        <f>IF(Caja_Finanzas[[#This Row],[FECHA]]&gt;0,TEXT(Caja_Finanzas[[#This Row],[FECHA]],"mmmm"),0)</f>
        <v>Julio</v>
      </c>
    </row>
    <row r="595" spans="2:29" ht="24" x14ac:dyDescent="0.3">
      <c r="B595" s="2">
        <f>IF(Caja_Finanzas[[#This Row],[TIPO DE R.]]="R",COUNTIFS($D$4:$D594,"R")+1,"")</f>
        <v>537</v>
      </c>
      <c r="C595" s="19" t="str">
        <f t="shared" si="51"/>
        <v>C-Finanzas</v>
      </c>
      <c r="D595" s="3" t="s">
        <v>1074</v>
      </c>
      <c r="E595" s="14">
        <v>45841</v>
      </c>
      <c r="F595" s="5" t="s">
        <v>5343</v>
      </c>
      <c r="G595" s="5" t="s">
        <v>1087</v>
      </c>
      <c r="H595" s="5"/>
      <c r="I595" s="6"/>
      <c r="J595" s="6"/>
      <c r="K595" s="6"/>
      <c r="L595" s="6"/>
      <c r="M595" s="7" t="s">
        <v>6165</v>
      </c>
      <c r="N595" s="8" t="str">
        <f>"CFI"&amp;".D"&amp;TEXT(Caja_Finanzas[[#This Row],[FECHA]],"DD-MM")&amp;"-"&amp;TEXT(Caja_Finanzas[[#This Row],[ITEM]],"0000")</f>
        <v>CFI.D03-07-0537</v>
      </c>
      <c r="O595" s="8" t="str">
        <f t="shared" si="52"/>
        <v>PEN</v>
      </c>
      <c r="P595" s="13"/>
      <c r="Q595" s="13">
        <v>10</v>
      </c>
      <c r="R595" s="3">
        <f t="shared" si="46"/>
        <v>10</v>
      </c>
      <c r="S595" s="3">
        <f t="shared" si="47"/>
        <v>0</v>
      </c>
      <c r="T595" s="3">
        <f t="shared" si="48"/>
        <v>4110.7999999999938</v>
      </c>
      <c r="U595" s="24"/>
      <c r="V595" s="24"/>
      <c r="W595" s="3"/>
      <c r="X595" s="25"/>
      <c r="Y595" s="25"/>
      <c r="Z595" s="25"/>
      <c r="AA595" s="25"/>
      <c r="AB595" s="25"/>
      <c r="AC595" s="3" t="str">
        <f>IF(Caja_Finanzas[[#This Row],[FECHA]]&gt;0,TEXT(Caja_Finanzas[[#This Row],[FECHA]],"mmmm"),0)</f>
        <v>Julio</v>
      </c>
    </row>
    <row r="596" spans="2:29" ht="24" x14ac:dyDescent="0.3">
      <c r="B596" s="2">
        <f>IF(Caja_Finanzas[[#This Row],[TIPO DE R.]]="R",COUNTIFS($D$4:$D595,"R")+1,"")</f>
        <v>538</v>
      </c>
      <c r="C596" s="19" t="str">
        <f t="shared" si="51"/>
        <v>C-Finanzas</v>
      </c>
      <c r="D596" s="3" t="s">
        <v>1074</v>
      </c>
      <c r="E596" s="14">
        <v>45841</v>
      </c>
      <c r="F596" s="5" t="s">
        <v>5827</v>
      </c>
      <c r="G596" s="5" t="s">
        <v>1079</v>
      </c>
      <c r="H596" s="5"/>
      <c r="I596" s="6"/>
      <c r="J596" s="6" t="s">
        <v>59</v>
      </c>
      <c r="K596" s="6" t="s">
        <v>6166</v>
      </c>
      <c r="L596" s="6">
        <v>64</v>
      </c>
      <c r="M596" s="7" t="s">
        <v>6167</v>
      </c>
      <c r="N596" s="8" t="str">
        <f>"CFI"&amp;".D"&amp;TEXT(Caja_Finanzas[[#This Row],[FECHA]],"DD-MM")&amp;"-"&amp;TEXT(Caja_Finanzas[[#This Row],[ITEM]],"0000")</f>
        <v>CFI.D03-07-0538</v>
      </c>
      <c r="O596" s="8" t="str">
        <f t="shared" si="52"/>
        <v>PEN</v>
      </c>
      <c r="P596" s="13"/>
      <c r="Q596" s="13">
        <v>11</v>
      </c>
      <c r="R596" s="3">
        <f t="shared" si="46"/>
        <v>0</v>
      </c>
      <c r="S596" s="3">
        <f t="shared" si="47"/>
        <v>11</v>
      </c>
      <c r="T596" s="3">
        <f t="shared" si="48"/>
        <v>4099.7999999999938</v>
      </c>
      <c r="U596" s="24"/>
      <c r="V596" s="24"/>
      <c r="W596" s="3"/>
      <c r="X596" s="25" t="s">
        <v>5596</v>
      </c>
      <c r="Y596" s="25" t="s">
        <v>6168</v>
      </c>
      <c r="Z596" s="25"/>
      <c r="AA596" s="25"/>
      <c r="AB596" s="25"/>
      <c r="AC596" s="3" t="str">
        <f>IF(Caja_Finanzas[[#This Row],[FECHA]]&gt;0,TEXT(Caja_Finanzas[[#This Row],[FECHA]],"mmmm"),0)</f>
        <v>Julio</v>
      </c>
    </row>
    <row r="597" spans="2:29" ht="24" x14ac:dyDescent="0.3">
      <c r="B597" s="2">
        <f>IF(Caja_Finanzas[[#This Row],[TIPO DE R.]]="R",COUNTIFS($D$4:$D596,"R")+1,"")</f>
        <v>539</v>
      </c>
      <c r="C597" s="19" t="str">
        <f t="shared" si="51"/>
        <v>C-Finanzas</v>
      </c>
      <c r="D597" s="3" t="s">
        <v>1074</v>
      </c>
      <c r="E597" s="14">
        <v>45841</v>
      </c>
      <c r="F597" s="5" t="s">
        <v>5618</v>
      </c>
      <c r="G597" s="5" t="s">
        <v>1079</v>
      </c>
      <c r="H597" s="5"/>
      <c r="I597" s="6"/>
      <c r="J597" s="6" t="s">
        <v>59</v>
      </c>
      <c r="K597" s="6" t="s">
        <v>6169</v>
      </c>
      <c r="L597" s="6">
        <v>126</v>
      </c>
      <c r="M597" s="7" t="s">
        <v>6170</v>
      </c>
      <c r="N597" s="8" t="str">
        <f>"CFI"&amp;".D"&amp;TEXT(Caja_Finanzas[[#This Row],[FECHA]],"DD-MM")&amp;"-"&amp;TEXT(Caja_Finanzas[[#This Row],[ITEM]],"0000")</f>
        <v>CFI.D03-07-0539</v>
      </c>
      <c r="O597" s="8" t="str">
        <f t="shared" si="52"/>
        <v>PEN</v>
      </c>
      <c r="P597" s="13"/>
      <c r="Q597" s="13">
        <v>420</v>
      </c>
      <c r="R597" s="3">
        <f t="shared" si="46"/>
        <v>0</v>
      </c>
      <c r="S597" s="3">
        <f t="shared" si="47"/>
        <v>420</v>
      </c>
      <c r="T597" s="3">
        <f t="shared" si="48"/>
        <v>3679.7999999999938</v>
      </c>
      <c r="U597" s="24"/>
      <c r="V597" s="24"/>
      <c r="W597" s="3"/>
      <c r="X597" s="25" t="s">
        <v>5596</v>
      </c>
      <c r="Y597" s="25" t="s">
        <v>6171</v>
      </c>
      <c r="Z597" s="25"/>
      <c r="AA597" s="25"/>
      <c r="AB597" s="25"/>
      <c r="AC597" s="3" t="str">
        <f>IF(Caja_Finanzas[[#This Row],[FECHA]]&gt;0,TEXT(Caja_Finanzas[[#This Row],[FECHA]],"mmmm"),0)</f>
        <v>Julio</v>
      </c>
    </row>
    <row r="598" spans="2:29" ht="24" x14ac:dyDescent="0.3">
      <c r="B598" s="2">
        <f>IF(Caja_Finanzas[[#This Row],[TIPO DE R.]]="R",COUNTIFS($D$4:$D597,"R")+1,"")</f>
        <v>540</v>
      </c>
      <c r="C598" s="19" t="str">
        <f t="shared" si="51"/>
        <v>C-Finanzas</v>
      </c>
      <c r="D598" s="3" t="s">
        <v>1074</v>
      </c>
      <c r="E598" s="14">
        <v>45841</v>
      </c>
      <c r="F598" s="5" t="s">
        <v>5618</v>
      </c>
      <c r="G598" s="5" t="s">
        <v>1079</v>
      </c>
      <c r="H598" s="5"/>
      <c r="I598" s="6"/>
      <c r="J598" s="6" t="s">
        <v>59</v>
      </c>
      <c r="K598" s="6" t="s">
        <v>6169</v>
      </c>
      <c r="L598" s="6">
        <v>127</v>
      </c>
      <c r="M598" s="7" t="s">
        <v>6172</v>
      </c>
      <c r="N598" s="8" t="str">
        <f>"CFI"&amp;".D"&amp;TEXT(Caja_Finanzas[[#This Row],[FECHA]],"DD-MM")&amp;"-"&amp;TEXT(Caja_Finanzas[[#This Row],[ITEM]],"0000")</f>
        <v>CFI.D03-07-0540</v>
      </c>
      <c r="O598" s="8" t="str">
        <f t="shared" si="52"/>
        <v>PEN</v>
      </c>
      <c r="P598" s="13"/>
      <c r="Q598" s="13">
        <v>5</v>
      </c>
      <c r="R598" s="3">
        <f t="shared" si="46"/>
        <v>0</v>
      </c>
      <c r="S598" s="3">
        <f t="shared" si="47"/>
        <v>5</v>
      </c>
      <c r="T598" s="3">
        <f t="shared" si="48"/>
        <v>3674.7999999999938</v>
      </c>
      <c r="U598" s="24"/>
      <c r="V598" s="24"/>
      <c r="W598" s="3"/>
      <c r="X598" s="25" t="s">
        <v>5596</v>
      </c>
      <c r="Y598" s="25" t="s">
        <v>6173</v>
      </c>
      <c r="Z598" s="25"/>
      <c r="AA598" s="25"/>
      <c r="AB598" s="25"/>
      <c r="AC598" s="3" t="str">
        <f>IF(Caja_Finanzas[[#This Row],[FECHA]]&gt;0,TEXT(Caja_Finanzas[[#This Row],[FECHA]],"mmmm"),0)</f>
        <v>Julio</v>
      </c>
    </row>
    <row r="599" spans="2:29" ht="24" x14ac:dyDescent="0.3">
      <c r="B599" s="2">
        <f>IF(Caja_Finanzas[[#This Row],[TIPO DE R.]]="R",COUNTIFS($D$4:$D598,"R")+1,"")</f>
        <v>541</v>
      </c>
      <c r="C599" s="19" t="str">
        <f t="shared" si="51"/>
        <v>C-Finanzas</v>
      </c>
      <c r="D599" s="3" t="s">
        <v>1074</v>
      </c>
      <c r="E599" s="14">
        <v>45841</v>
      </c>
      <c r="F599" s="5" t="s">
        <v>5343</v>
      </c>
      <c r="G599" s="5" t="s">
        <v>1079</v>
      </c>
      <c r="H599" s="5"/>
      <c r="I599" s="6"/>
      <c r="J599" s="6" t="s">
        <v>59</v>
      </c>
      <c r="K599" s="6" t="s">
        <v>6174</v>
      </c>
      <c r="L599" s="6">
        <v>13</v>
      </c>
      <c r="M599" s="7" t="s">
        <v>6175</v>
      </c>
      <c r="N599" s="8" t="str">
        <f>"CFI"&amp;".D"&amp;TEXT(Caja_Finanzas[[#This Row],[FECHA]],"DD-MM")&amp;"-"&amp;TEXT(Caja_Finanzas[[#This Row],[ITEM]],"0000")</f>
        <v>CFI.D03-07-0541</v>
      </c>
      <c r="O599" s="8" t="str">
        <f t="shared" si="52"/>
        <v>PEN</v>
      </c>
      <c r="P599" s="13"/>
      <c r="Q599" s="13">
        <v>3</v>
      </c>
      <c r="R599" s="3">
        <f t="shared" si="46"/>
        <v>0</v>
      </c>
      <c r="S599" s="3">
        <f t="shared" si="47"/>
        <v>3</v>
      </c>
      <c r="T599" s="3">
        <f t="shared" si="48"/>
        <v>3671.7999999999938</v>
      </c>
      <c r="U599" s="24"/>
      <c r="V599" s="24"/>
      <c r="W599" s="3"/>
      <c r="X599" s="25" t="s">
        <v>5596</v>
      </c>
      <c r="Y599" s="25" t="s">
        <v>6176</v>
      </c>
      <c r="Z599" s="25"/>
      <c r="AA599" s="25"/>
      <c r="AB599" s="25"/>
      <c r="AC599" s="3" t="str">
        <f>IF(Caja_Finanzas[[#This Row],[FECHA]]&gt;0,TEXT(Caja_Finanzas[[#This Row],[FECHA]],"mmmm"),0)</f>
        <v>Julio</v>
      </c>
    </row>
    <row r="600" spans="2:29" ht="24" x14ac:dyDescent="0.3">
      <c r="B600" s="2">
        <f>IF(Caja_Finanzas[[#This Row],[TIPO DE R.]]="R",COUNTIFS($D$4:$D599,"R")+1,"")</f>
        <v>542</v>
      </c>
      <c r="C600" s="19" t="str">
        <f t="shared" si="51"/>
        <v>C-Finanzas</v>
      </c>
      <c r="D600" s="3" t="s">
        <v>1074</v>
      </c>
      <c r="E600" s="14">
        <v>45842</v>
      </c>
      <c r="F600" s="5" t="s">
        <v>5347</v>
      </c>
      <c r="G600" s="5" t="s">
        <v>1079</v>
      </c>
      <c r="H600" s="5"/>
      <c r="I600" s="6"/>
      <c r="J600" s="6"/>
      <c r="K600" s="6"/>
      <c r="L600" s="6"/>
      <c r="M600" s="7" t="s">
        <v>6177</v>
      </c>
      <c r="N600" s="8" t="str">
        <f>"CFI"&amp;".D"&amp;TEXT(Caja_Finanzas[[#This Row],[FECHA]],"DD-MM")&amp;"-"&amp;TEXT(Caja_Finanzas[[#This Row],[ITEM]],"0000")</f>
        <v>CFI.D04-07-0542</v>
      </c>
      <c r="O600" s="8" t="str">
        <f t="shared" si="52"/>
        <v>PEN</v>
      </c>
      <c r="P600" s="13"/>
      <c r="Q600" s="13">
        <v>47.7</v>
      </c>
      <c r="R600" s="3">
        <f t="shared" si="46"/>
        <v>0</v>
      </c>
      <c r="S600" s="3">
        <f t="shared" si="47"/>
        <v>47.7</v>
      </c>
      <c r="T600" s="3">
        <f t="shared" si="48"/>
        <v>3624.099999999994</v>
      </c>
      <c r="U600" s="24"/>
      <c r="V600" s="24"/>
      <c r="W600" s="3"/>
      <c r="X600" s="25" t="s">
        <v>5596</v>
      </c>
      <c r="Y600" s="25" t="s">
        <v>6178</v>
      </c>
      <c r="Z600" s="25"/>
      <c r="AA600" s="25"/>
      <c r="AB600" s="25"/>
      <c r="AC600" s="3" t="str">
        <f>IF(Caja_Finanzas[[#This Row],[FECHA]]&gt;0,TEXT(Caja_Finanzas[[#This Row],[FECHA]],"mmmm"),0)</f>
        <v>Julio</v>
      </c>
    </row>
    <row r="601" spans="2:29" ht="24" x14ac:dyDescent="0.3">
      <c r="B601" s="2">
        <f>IF(Caja_Finanzas[[#This Row],[TIPO DE R.]]="R",COUNTIFS($D$4:$D600,"R")+1,"")</f>
        <v>543</v>
      </c>
      <c r="C601" s="19" t="str">
        <f t="shared" si="51"/>
        <v>C-Finanzas</v>
      </c>
      <c r="D601" s="3" t="s">
        <v>1074</v>
      </c>
      <c r="E601" s="14">
        <v>45842</v>
      </c>
      <c r="F601" s="5" t="s">
        <v>3001</v>
      </c>
      <c r="G601" s="5" t="s">
        <v>1087</v>
      </c>
      <c r="H601" s="5"/>
      <c r="I601" s="6"/>
      <c r="J601" s="6" t="s">
        <v>63</v>
      </c>
      <c r="K601" s="6">
        <v>1</v>
      </c>
      <c r="L601" s="6">
        <v>4574</v>
      </c>
      <c r="M601" s="7" t="s">
        <v>5156</v>
      </c>
      <c r="N601" s="8" t="str">
        <f>"CFI"&amp;".D"&amp;TEXT(Caja_Finanzas[[#This Row],[FECHA]],"DD-MM")&amp;"-"&amp;TEXT(Caja_Finanzas[[#This Row],[ITEM]],"0000")</f>
        <v>CFI.D04-07-0543</v>
      </c>
      <c r="O601" s="8" t="str">
        <f t="shared" si="52"/>
        <v>PEN</v>
      </c>
      <c r="P601" s="13"/>
      <c r="Q601" s="13">
        <v>320.5</v>
      </c>
      <c r="R601" s="3">
        <f t="shared" si="46"/>
        <v>320.5</v>
      </c>
      <c r="S601" s="3">
        <f t="shared" si="47"/>
        <v>0</v>
      </c>
      <c r="T601" s="3">
        <f t="shared" si="48"/>
        <v>3944.599999999994</v>
      </c>
      <c r="U601" s="24"/>
      <c r="V601" s="24"/>
      <c r="W601" s="3"/>
      <c r="X601" s="25" t="s">
        <v>368</v>
      </c>
      <c r="Y601" s="25" t="s">
        <v>6179</v>
      </c>
      <c r="Z601" s="25"/>
      <c r="AA601" s="25"/>
      <c r="AB601" s="25"/>
      <c r="AC601" s="3" t="str">
        <f>IF(Caja_Finanzas[[#This Row],[FECHA]]&gt;0,TEXT(Caja_Finanzas[[#This Row],[FECHA]],"mmmm"),0)</f>
        <v>Julio</v>
      </c>
    </row>
    <row r="602" spans="2:29" ht="24" x14ac:dyDescent="0.3">
      <c r="B602" s="2">
        <f>IF(Caja_Finanzas[[#This Row],[TIPO DE R.]]="R",COUNTIFS($D$4:$D601,"R")+1,"")</f>
        <v>544</v>
      </c>
      <c r="C602" s="19" t="str">
        <f t="shared" si="51"/>
        <v>C-Finanzas</v>
      </c>
      <c r="D602" s="3" t="s">
        <v>1074</v>
      </c>
      <c r="E602" s="14">
        <v>45842</v>
      </c>
      <c r="F602" s="5" t="s">
        <v>5524</v>
      </c>
      <c r="G602" s="5" t="s">
        <v>1087</v>
      </c>
      <c r="H602" s="5"/>
      <c r="I602" s="6"/>
      <c r="J602" s="6" t="s">
        <v>63</v>
      </c>
      <c r="K602" s="6">
        <v>1</v>
      </c>
      <c r="L602" s="6">
        <v>4577</v>
      </c>
      <c r="M602" s="7" t="s">
        <v>5156</v>
      </c>
      <c r="N602" s="8" t="str">
        <f>"CFI"&amp;".D"&amp;TEXT(Caja_Finanzas[[#This Row],[FECHA]],"DD-MM")&amp;"-"&amp;TEXT(Caja_Finanzas[[#This Row],[ITEM]],"0000")</f>
        <v>CFI.D04-07-0544</v>
      </c>
      <c r="O602" s="8" t="str">
        <f t="shared" si="52"/>
        <v>PEN</v>
      </c>
      <c r="P602" s="13"/>
      <c r="Q602" s="13">
        <v>1355</v>
      </c>
      <c r="R602" s="3">
        <f t="shared" si="46"/>
        <v>1355</v>
      </c>
      <c r="S602" s="3">
        <f t="shared" si="47"/>
        <v>0</v>
      </c>
      <c r="T602" s="3">
        <f t="shared" si="48"/>
        <v>5299.599999999994</v>
      </c>
      <c r="U602" s="24"/>
      <c r="V602" s="24"/>
      <c r="W602" s="3"/>
      <c r="X602" s="25" t="s">
        <v>368</v>
      </c>
      <c r="Y602" s="25" t="s">
        <v>6180</v>
      </c>
      <c r="Z602" s="25"/>
      <c r="AA602" s="25"/>
      <c r="AB602" s="25"/>
      <c r="AC602" s="3" t="str">
        <f>IF(Caja_Finanzas[[#This Row],[FECHA]]&gt;0,TEXT(Caja_Finanzas[[#This Row],[FECHA]],"mmmm"),0)</f>
        <v>Julio</v>
      </c>
    </row>
    <row r="603" spans="2:29" ht="24" x14ac:dyDescent="0.3">
      <c r="B603" s="2">
        <f>IF(Caja_Finanzas[[#This Row],[TIPO DE R.]]="R",COUNTIFS($D$4:$D602,"R")+1,"")</f>
        <v>545</v>
      </c>
      <c r="C603" s="19" t="str">
        <f t="shared" si="51"/>
        <v>C-Finanzas</v>
      </c>
      <c r="D603" s="3" t="s">
        <v>1074</v>
      </c>
      <c r="E603" s="14">
        <v>45842</v>
      </c>
      <c r="F603" s="5" t="s">
        <v>2226</v>
      </c>
      <c r="G603" s="5" t="s">
        <v>1087</v>
      </c>
      <c r="H603" s="5"/>
      <c r="I603" s="6"/>
      <c r="J603" s="6" t="s">
        <v>63</v>
      </c>
      <c r="K603" s="6">
        <v>1</v>
      </c>
      <c r="L603" s="6">
        <v>4571</v>
      </c>
      <c r="M603" s="7" t="s">
        <v>5156</v>
      </c>
      <c r="N603" s="8" t="str">
        <f>"CFI"&amp;".D"&amp;TEXT(Caja_Finanzas[[#This Row],[FECHA]],"DD-MM")&amp;"-"&amp;TEXT(Caja_Finanzas[[#This Row],[ITEM]],"0000")</f>
        <v>CFI.D04-07-0545</v>
      </c>
      <c r="O603" s="8" t="str">
        <f t="shared" si="52"/>
        <v>PEN</v>
      </c>
      <c r="P603" s="13"/>
      <c r="Q603" s="13">
        <v>1000</v>
      </c>
      <c r="R603" s="3">
        <f t="shared" si="46"/>
        <v>1000</v>
      </c>
      <c r="S603" s="3">
        <f t="shared" si="47"/>
        <v>0</v>
      </c>
      <c r="T603" s="3">
        <f t="shared" si="48"/>
        <v>6299.599999999994</v>
      </c>
      <c r="U603" s="24"/>
      <c r="V603" s="24"/>
      <c r="W603" s="3"/>
      <c r="X603" s="25" t="s">
        <v>368</v>
      </c>
      <c r="Y603" s="25" t="s">
        <v>3426</v>
      </c>
      <c r="Z603" s="25"/>
      <c r="AA603" s="25"/>
      <c r="AB603" s="25"/>
      <c r="AC603" s="3" t="str">
        <f>IF(Caja_Finanzas[[#This Row],[FECHA]]&gt;0,TEXT(Caja_Finanzas[[#This Row],[FECHA]],"mmmm"),0)</f>
        <v>Julio</v>
      </c>
    </row>
    <row r="604" spans="2:29" ht="36" x14ac:dyDescent="0.3">
      <c r="B604" s="2">
        <f>IF(Caja_Finanzas[[#This Row],[TIPO DE R.]]="R",COUNTIFS($D$4:$D603,"R")+1,"")</f>
        <v>546</v>
      </c>
      <c r="C604" s="19" t="str">
        <f t="shared" si="51"/>
        <v>C-Finanzas</v>
      </c>
      <c r="D604" s="3" t="s">
        <v>1074</v>
      </c>
      <c r="E604" s="14">
        <v>45842</v>
      </c>
      <c r="F604" s="5" t="s">
        <v>6181</v>
      </c>
      <c r="G604" s="5" t="s">
        <v>1087</v>
      </c>
      <c r="H604" s="5"/>
      <c r="I604" s="6"/>
      <c r="J604" s="6" t="s">
        <v>63</v>
      </c>
      <c r="K604" s="6">
        <v>1</v>
      </c>
      <c r="L604" s="6">
        <v>4566</v>
      </c>
      <c r="M604" s="7" t="s">
        <v>5156</v>
      </c>
      <c r="N604" s="8" t="str">
        <f>"CFI"&amp;".D"&amp;TEXT(Caja_Finanzas[[#This Row],[FECHA]],"DD-MM")&amp;"-"&amp;TEXT(Caja_Finanzas[[#This Row],[ITEM]],"0000")</f>
        <v>CFI.D04-07-0546</v>
      </c>
      <c r="O604" s="8" t="str">
        <f t="shared" si="52"/>
        <v>PEN</v>
      </c>
      <c r="P604" s="13"/>
      <c r="Q604" s="13">
        <v>150</v>
      </c>
      <c r="R604" s="3">
        <f t="shared" si="46"/>
        <v>150</v>
      </c>
      <c r="S604" s="3">
        <f t="shared" si="47"/>
        <v>0</v>
      </c>
      <c r="T604" s="3">
        <f t="shared" si="48"/>
        <v>6449.599999999994</v>
      </c>
      <c r="U604" s="24"/>
      <c r="V604" s="24"/>
      <c r="W604" s="3"/>
      <c r="X604" s="25" t="s">
        <v>368</v>
      </c>
      <c r="Y604" s="25" t="s">
        <v>6182</v>
      </c>
      <c r="Z604" s="25"/>
      <c r="AA604" s="25"/>
      <c r="AB604" s="25"/>
      <c r="AC604" s="3" t="str">
        <f>IF(Caja_Finanzas[[#This Row],[FECHA]]&gt;0,TEXT(Caja_Finanzas[[#This Row],[FECHA]],"mmmm"),0)</f>
        <v>Julio</v>
      </c>
    </row>
    <row r="605" spans="2:29" ht="36" x14ac:dyDescent="0.3">
      <c r="B605" s="2">
        <f>IF(Caja_Finanzas[[#This Row],[TIPO DE R.]]="R",COUNTIFS($D$4:$D604,"R")+1,"")</f>
        <v>547</v>
      </c>
      <c r="C605" s="19" t="str">
        <f t="shared" ref="C605:C612" si="53">"C-Finanzas"</f>
        <v>C-Finanzas</v>
      </c>
      <c r="D605" s="3" t="s">
        <v>1074</v>
      </c>
      <c r="E605" s="14">
        <v>45846</v>
      </c>
      <c r="F605" s="5" t="s">
        <v>5437</v>
      </c>
      <c r="G605" s="5" t="s">
        <v>1079</v>
      </c>
      <c r="H605" s="5"/>
      <c r="I605" s="6"/>
      <c r="J605" s="6" t="s">
        <v>59</v>
      </c>
      <c r="K605" s="6" t="s">
        <v>6183</v>
      </c>
      <c r="L605" s="6">
        <v>121</v>
      </c>
      <c r="M605" s="7" t="s">
        <v>6184</v>
      </c>
      <c r="N605" s="8" t="str">
        <f>"CFI"&amp;".D"&amp;TEXT(Caja_Finanzas[[#This Row],[FECHA]],"DD-MM")&amp;"-"&amp;TEXT(Caja_Finanzas[[#This Row],[ITEM]],"0000")</f>
        <v>CFI.D08-07-0547</v>
      </c>
      <c r="O605" s="8" t="str">
        <f t="shared" ref="O605:O612" si="54">"PEN"</f>
        <v>PEN</v>
      </c>
      <c r="P605" s="13"/>
      <c r="Q605" s="13">
        <v>2402</v>
      </c>
      <c r="R605" s="3">
        <f t="shared" si="46"/>
        <v>0</v>
      </c>
      <c r="S605" s="3">
        <f t="shared" si="47"/>
        <v>2402</v>
      </c>
      <c r="T605" s="3">
        <f t="shared" si="48"/>
        <v>4047.599999999994</v>
      </c>
      <c r="U605" s="24"/>
      <c r="V605" s="24"/>
      <c r="W605" s="3"/>
      <c r="X605" s="25" t="s">
        <v>5528</v>
      </c>
      <c r="Y605" s="25" t="s">
        <v>6185</v>
      </c>
      <c r="Z605" s="25"/>
      <c r="AA605" s="25"/>
      <c r="AB605" s="25"/>
      <c r="AC605" s="3" t="str">
        <f>IF(Caja_Finanzas[[#This Row],[FECHA]]&gt;0,TEXT(Caja_Finanzas[[#This Row],[FECHA]],"mmmm"),0)</f>
        <v>Julio</v>
      </c>
    </row>
    <row r="606" spans="2:29" ht="24" x14ac:dyDescent="0.3">
      <c r="B606" s="193">
        <f>IF(Caja_Finanzas[[#This Row],[TIPO DE R.]]="R",COUNTIFS($D$4:$D605,"R")+1,"")</f>
        <v>548</v>
      </c>
      <c r="C606" s="19" t="str">
        <f t="shared" si="53"/>
        <v>C-Finanzas</v>
      </c>
      <c r="D606" s="3" t="s">
        <v>1074</v>
      </c>
      <c r="E606" s="14">
        <v>45846</v>
      </c>
      <c r="F606" s="5" t="s">
        <v>3562</v>
      </c>
      <c r="G606" s="5" t="s">
        <v>1079</v>
      </c>
      <c r="H606" s="5"/>
      <c r="I606" s="6"/>
      <c r="J606" s="6" t="s">
        <v>59</v>
      </c>
      <c r="K606" s="6" t="s">
        <v>6186</v>
      </c>
      <c r="L606" s="6">
        <v>45</v>
      </c>
      <c r="M606" s="7" t="s">
        <v>6187</v>
      </c>
      <c r="N606" s="8" t="str">
        <f>"CFI"&amp;".D"&amp;TEXT(Caja_Finanzas[[#This Row],[FECHA]],"DD-MM")&amp;"-"&amp;TEXT(Caja_Finanzas[[#This Row],[ITEM]],"0000")</f>
        <v>CFI.D08-07-0548</v>
      </c>
      <c r="O606" s="8" t="str">
        <f t="shared" si="54"/>
        <v>PEN</v>
      </c>
      <c r="P606" s="13"/>
      <c r="Q606" s="13">
        <v>6.5</v>
      </c>
      <c r="R606" s="3">
        <f t="shared" si="46"/>
        <v>0</v>
      </c>
      <c r="S606" s="3">
        <f t="shared" si="47"/>
        <v>6.5</v>
      </c>
      <c r="T606" s="3">
        <f t="shared" si="48"/>
        <v>4041.099999999994</v>
      </c>
      <c r="U606" s="24"/>
      <c r="V606" s="24"/>
      <c r="W606" s="3"/>
      <c r="X606" s="25" t="s">
        <v>5596</v>
      </c>
      <c r="Y606" s="25"/>
      <c r="Z606" s="25"/>
      <c r="AA606" s="25"/>
      <c r="AB606" s="25"/>
      <c r="AC606" s="3" t="str">
        <f>IF(Caja_Finanzas[[#This Row],[FECHA]]&gt;0,TEXT(Caja_Finanzas[[#This Row],[FECHA]],"mmmm"),0)</f>
        <v>Julio</v>
      </c>
    </row>
    <row r="607" spans="2:29" ht="24" x14ac:dyDescent="0.3">
      <c r="B607" s="2">
        <f>IF(Caja_Finanzas[[#This Row],[TIPO DE R.]]="R",COUNTIFS($D$4:$D606,"R")+1,"")</f>
        <v>549</v>
      </c>
      <c r="C607" s="19" t="str">
        <f t="shared" si="53"/>
        <v>C-Finanzas</v>
      </c>
      <c r="D607" s="3" t="s">
        <v>1074</v>
      </c>
      <c r="E607" s="14">
        <v>45846</v>
      </c>
      <c r="F607" s="5" t="s">
        <v>3816</v>
      </c>
      <c r="G607" s="5" t="s">
        <v>1087</v>
      </c>
      <c r="H607" s="5"/>
      <c r="I607" s="6" t="s">
        <v>368</v>
      </c>
      <c r="J607" s="6" t="s">
        <v>63</v>
      </c>
      <c r="K607" s="6">
        <v>1</v>
      </c>
      <c r="L607" s="6">
        <v>4459</v>
      </c>
      <c r="M607" s="7" t="s">
        <v>5156</v>
      </c>
      <c r="N607" s="8" t="str">
        <f>"CFI"&amp;".D"&amp;TEXT(Caja_Finanzas[[#This Row],[FECHA]],"DD-MM")&amp;"-"&amp;TEXT(Caja_Finanzas[[#This Row],[ITEM]],"0000")</f>
        <v>CFI.D08-07-0549</v>
      </c>
      <c r="O607" s="8" t="str">
        <f t="shared" si="54"/>
        <v>PEN</v>
      </c>
      <c r="P607" s="13"/>
      <c r="Q607" s="13">
        <v>314.39999999999998</v>
      </c>
      <c r="R607" s="3">
        <f t="shared" si="46"/>
        <v>314.39999999999998</v>
      </c>
      <c r="S607" s="3">
        <f t="shared" si="47"/>
        <v>0</v>
      </c>
      <c r="T607" s="3">
        <f t="shared" si="48"/>
        <v>4355.4999999999936</v>
      </c>
      <c r="U607" s="24"/>
      <c r="V607" s="24"/>
      <c r="W607" s="3"/>
      <c r="X607" s="25"/>
      <c r="Y607" s="25"/>
      <c r="Z607" s="25"/>
      <c r="AA607" s="25"/>
      <c r="AB607" s="25"/>
      <c r="AC607" s="3" t="str">
        <f>IF(Caja_Finanzas[[#This Row],[FECHA]]&gt;0,TEXT(Caja_Finanzas[[#This Row],[FECHA]],"mmmm"),0)</f>
        <v>Julio</v>
      </c>
    </row>
    <row r="608" spans="2:29" ht="24" x14ac:dyDescent="0.3">
      <c r="B608" s="2">
        <f>IF(Caja_Finanzas[[#This Row],[TIPO DE R.]]="R",COUNTIFS($D$4:$D607,"R")+1,"")</f>
        <v>550</v>
      </c>
      <c r="C608" s="19" t="str">
        <f t="shared" si="53"/>
        <v>C-Finanzas</v>
      </c>
      <c r="D608" s="3" t="s">
        <v>1074</v>
      </c>
      <c r="E608" s="14">
        <v>45846</v>
      </c>
      <c r="F608" s="5" t="s">
        <v>2728</v>
      </c>
      <c r="G608" s="5" t="s">
        <v>1087</v>
      </c>
      <c r="H608" s="5"/>
      <c r="I608" s="6" t="s">
        <v>368</v>
      </c>
      <c r="J608" s="6" t="s">
        <v>63</v>
      </c>
      <c r="K608" s="6">
        <v>1</v>
      </c>
      <c r="L608" s="6">
        <v>4579</v>
      </c>
      <c r="M608" s="7" t="s">
        <v>5156</v>
      </c>
      <c r="N608" s="8" t="str">
        <f>"CFI"&amp;".D"&amp;TEXT(Caja_Finanzas[[#This Row],[FECHA]],"DD-MM")&amp;"-"&amp;TEXT(Caja_Finanzas[[#This Row],[ITEM]],"0000")</f>
        <v>CFI.D08-07-0550</v>
      </c>
      <c r="O608" s="8" t="str">
        <f t="shared" si="54"/>
        <v>PEN</v>
      </c>
      <c r="P608" s="13"/>
      <c r="Q608" s="13">
        <v>16</v>
      </c>
      <c r="R608" s="3">
        <f t="shared" si="46"/>
        <v>16</v>
      </c>
      <c r="S608" s="3">
        <f t="shared" si="47"/>
        <v>0</v>
      </c>
      <c r="T608" s="3">
        <f t="shared" si="48"/>
        <v>4371.4999999999936</v>
      </c>
      <c r="U608" s="24"/>
      <c r="V608" s="24"/>
      <c r="W608" s="3"/>
      <c r="X608" s="25"/>
      <c r="Y608" s="25"/>
      <c r="Z608" s="25"/>
      <c r="AA608" s="25"/>
      <c r="AB608" s="25"/>
      <c r="AC608" s="3" t="str">
        <f>IF(Caja_Finanzas[[#This Row],[FECHA]]&gt;0,TEXT(Caja_Finanzas[[#This Row],[FECHA]],"mmmm"),0)</f>
        <v>Julio</v>
      </c>
    </row>
    <row r="609" spans="1:29" ht="24" x14ac:dyDescent="0.3">
      <c r="A609" t="s">
        <v>5246</v>
      </c>
      <c r="B609" s="2">
        <f>IF(Caja_Finanzas[[#This Row],[TIPO DE R.]]="R",COUNTIFS($D$4:$D608,"R")+1,"")</f>
        <v>551</v>
      </c>
      <c r="C609" s="19" t="str">
        <f t="shared" si="53"/>
        <v>C-Finanzas</v>
      </c>
      <c r="D609" s="3" t="s">
        <v>1074</v>
      </c>
      <c r="E609" s="14">
        <v>45846</v>
      </c>
      <c r="F609" s="5" t="s">
        <v>5188</v>
      </c>
      <c r="G609" s="5" t="s">
        <v>1079</v>
      </c>
      <c r="H609" s="5"/>
      <c r="I609" s="6"/>
      <c r="J609" s="6" t="s">
        <v>59</v>
      </c>
      <c r="K609" s="6" t="s">
        <v>6188</v>
      </c>
      <c r="L609" s="6">
        <v>1</v>
      </c>
      <c r="M609" s="7" t="s">
        <v>7986</v>
      </c>
      <c r="N609" s="8" t="str">
        <f>"CFI"&amp;".D"&amp;TEXT(Caja_Finanzas[[#This Row],[FECHA]],"DD-MM")&amp;"-"&amp;TEXT(Caja_Finanzas[[#This Row],[ITEM]],"0000")</f>
        <v>CFI.D08-07-0551</v>
      </c>
      <c r="O609" s="8" t="str">
        <f t="shared" si="54"/>
        <v>PEN</v>
      </c>
      <c r="P609" s="13"/>
      <c r="Q609" s="13">
        <v>12.4</v>
      </c>
      <c r="R609" s="3">
        <f t="shared" si="46"/>
        <v>0</v>
      </c>
      <c r="S609" s="3">
        <f t="shared" si="47"/>
        <v>12.4</v>
      </c>
      <c r="T609" s="3">
        <f t="shared" si="48"/>
        <v>4359.099999999994</v>
      </c>
      <c r="U609" s="24"/>
      <c r="V609" s="24"/>
      <c r="W609" s="3"/>
      <c r="X609" s="25"/>
      <c r="Y609" s="25"/>
      <c r="Z609" s="25"/>
      <c r="AA609" s="25"/>
      <c r="AB609" s="25"/>
      <c r="AC609" s="3" t="str">
        <f>IF(Caja_Finanzas[[#This Row],[FECHA]]&gt;0,TEXT(Caja_Finanzas[[#This Row],[FECHA]],"mmmm"),0)</f>
        <v>Julio</v>
      </c>
    </row>
    <row r="610" spans="1:29" x14ac:dyDescent="0.3">
      <c r="B610" s="2">
        <f>IF(Caja_Finanzas[[#This Row],[TIPO DE R.]]="R",COUNTIFS($D$4:$D609,"R")+1,"")</f>
        <v>552</v>
      </c>
      <c r="C610" s="19" t="str">
        <f t="shared" si="53"/>
        <v>C-Finanzas</v>
      </c>
      <c r="D610" s="3" t="s">
        <v>1074</v>
      </c>
      <c r="E610" s="14">
        <v>45847</v>
      </c>
      <c r="F610" s="5" t="s">
        <v>6189</v>
      </c>
      <c r="G610" s="5" t="s">
        <v>1087</v>
      </c>
      <c r="H610" s="5"/>
      <c r="I610" s="6"/>
      <c r="J610" s="6" t="s">
        <v>63</v>
      </c>
      <c r="K610" s="6">
        <v>1</v>
      </c>
      <c r="L610" s="6">
        <v>4586</v>
      </c>
      <c r="M610" s="7" t="s">
        <v>5156</v>
      </c>
      <c r="N610" s="8" t="str">
        <f>"CFI"&amp;".D"&amp;TEXT(Caja_Finanzas[[#This Row],[FECHA]],"DD-MM")&amp;"-"&amp;TEXT(Caja_Finanzas[[#This Row],[ITEM]],"0000")</f>
        <v>CFI.D09-07-0552</v>
      </c>
      <c r="O610" s="8" t="str">
        <f t="shared" si="54"/>
        <v>PEN</v>
      </c>
      <c r="P610" s="13"/>
      <c r="Q610" s="13">
        <v>132</v>
      </c>
      <c r="R610" s="3">
        <f t="shared" si="46"/>
        <v>132</v>
      </c>
      <c r="S610" s="3">
        <f t="shared" si="47"/>
        <v>0</v>
      </c>
      <c r="T610" s="3">
        <f t="shared" si="48"/>
        <v>4491.099999999994</v>
      </c>
      <c r="U610" s="24"/>
      <c r="V610" s="24"/>
      <c r="W610" s="3"/>
      <c r="X610" s="25"/>
      <c r="Y610" s="25"/>
      <c r="Z610" s="25"/>
      <c r="AA610" s="25"/>
      <c r="AB610" s="25"/>
      <c r="AC610" s="3" t="str">
        <f>IF(Caja_Finanzas[[#This Row],[FECHA]]&gt;0,TEXT(Caja_Finanzas[[#This Row],[FECHA]],"mmmm"),0)</f>
        <v>Julio</v>
      </c>
    </row>
    <row r="611" spans="1:29" ht="36" x14ac:dyDescent="0.3">
      <c r="B611" s="2">
        <f>IF(Caja_Finanzas[[#This Row],[TIPO DE R.]]="R",COUNTIFS($D$4:$D610,"R")+1,"")</f>
        <v>553</v>
      </c>
      <c r="C611" s="19" t="str">
        <f t="shared" si="53"/>
        <v>C-Finanzas</v>
      </c>
      <c r="D611" s="3" t="s">
        <v>1074</v>
      </c>
      <c r="E611" s="14">
        <v>45847</v>
      </c>
      <c r="F611" s="5" t="s">
        <v>6190</v>
      </c>
      <c r="G611" s="5" t="s">
        <v>1087</v>
      </c>
      <c r="H611" s="5"/>
      <c r="I611" s="6"/>
      <c r="J611" s="6" t="s">
        <v>63</v>
      </c>
      <c r="K611" s="6">
        <v>1</v>
      </c>
      <c r="L611" s="6">
        <v>4584</v>
      </c>
      <c r="M611" s="7" t="s">
        <v>5156</v>
      </c>
      <c r="N611" s="8" t="str">
        <f>"CFI"&amp;".D"&amp;TEXT(Caja_Finanzas[[#This Row],[FECHA]],"DD-MM")&amp;"-"&amp;TEXT(Caja_Finanzas[[#This Row],[ITEM]],"0000")</f>
        <v>CFI.D09-07-0553</v>
      </c>
      <c r="O611" s="8" t="str">
        <f t="shared" si="54"/>
        <v>PEN</v>
      </c>
      <c r="P611" s="13"/>
      <c r="Q611" s="13">
        <v>140</v>
      </c>
      <c r="R611" s="3">
        <f t="shared" si="46"/>
        <v>140</v>
      </c>
      <c r="S611" s="3">
        <f t="shared" si="47"/>
        <v>0</v>
      </c>
      <c r="T611" s="3">
        <f t="shared" si="48"/>
        <v>4631.099999999994</v>
      </c>
      <c r="U611" s="24"/>
      <c r="V611" s="24"/>
      <c r="W611" s="3"/>
      <c r="X611" s="25"/>
      <c r="Y611" s="25"/>
      <c r="Z611" s="25"/>
      <c r="AA611" s="25"/>
      <c r="AB611" s="25"/>
      <c r="AC611" s="3" t="str">
        <f>IF(Caja_Finanzas[[#This Row],[FECHA]]&gt;0,TEXT(Caja_Finanzas[[#This Row],[FECHA]],"mmmm"),0)</f>
        <v>Julio</v>
      </c>
    </row>
    <row r="612" spans="1:29" x14ac:dyDescent="0.3">
      <c r="B612" s="2">
        <f>IF(Caja_Finanzas[[#This Row],[TIPO DE R.]]="R",COUNTIFS($D$4:$D611,"R")+1,"")</f>
        <v>554</v>
      </c>
      <c r="C612" s="19" t="str">
        <f t="shared" si="53"/>
        <v>C-Finanzas</v>
      </c>
      <c r="D612" s="3" t="s">
        <v>1074</v>
      </c>
      <c r="E612" s="14">
        <v>45847</v>
      </c>
      <c r="F612" s="5" t="s">
        <v>1239</v>
      </c>
      <c r="G612" s="5" t="s">
        <v>1087</v>
      </c>
      <c r="H612" s="5"/>
      <c r="I612" s="6"/>
      <c r="J612" s="6" t="s">
        <v>63</v>
      </c>
      <c r="K612" s="6">
        <v>1</v>
      </c>
      <c r="L612" s="6">
        <v>4585</v>
      </c>
      <c r="M612" s="7" t="s">
        <v>5156</v>
      </c>
      <c r="N612" s="8" t="str">
        <f>"CFI"&amp;".D"&amp;TEXT(Caja_Finanzas[[#This Row],[FECHA]],"DD-MM")&amp;"-"&amp;TEXT(Caja_Finanzas[[#This Row],[ITEM]],"0000")</f>
        <v>CFI.D09-07-0554</v>
      </c>
      <c r="O612" s="8" t="str">
        <f t="shared" si="54"/>
        <v>PEN</v>
      </c>
      <c r="P612" s="13"/>
      <c r="Q612" s="13">
        <v>51</v>
      </c>
      <c r="R612" s="3">
        <f t="shared" si="46"/>
        <v>51</v>
      </c>
      <c r="S612" s="3">
        <f t="shared" si="47"/>
        <v>0</v>
      </c>
      <c r="T612" s="3">
        <f t="shared" si="48"/>
        <v>4682.099999999994</v>
      </c>
      <c r="U612" s="24"/>
      <c r="V612" s="24"/>
      <c r="W612" s="3"/>
      <c r="X612" s="25"/>
      <c r="Y612" s="25"/>
      <c r="Z612" s="25"/>
      <c r="AA612" s="25"/>
      <c r="AB612" s="25"/>
      <c r="AC612" s="3" t="str">
        <f>IF(Caja_Finanzas[[#This Row],[FECHA]]&gt;0,TEXT(Caja_Finanzas[[#This Row],[FECHA]],"mmmm"),0)</f>
        <v>Julio</v>
      </c>
    </row>
    <row r="613" spans="1:29" ht="24" x14ac:dyDescent="0.3">
      <c r="B613" s="2">
        <f>IF(Caja_Finanzas[[#This Row],[TIPO DE R.]]="R",COUNTIFS($D$4:$D612,"R")+1,"")</f>
        <v>555</v>
      </c>
      <c r="C613" s="19" t="str">
        <f>"C-Finanzas"</f>
        <v>C-Finanzas</v>
      </c>
      <c r="D613" s="3" t="s">
        <v>1074</v>
      </c>
      <c r="E613" s="14">
        <v>45847</v>
      </c>
      <c r="F613" s="5" t="s">
        <v>1609</v>
      </c>
      <c r="G613" s="5" t="s">
        <v>1087</v>
      </c>
      <c r="H613" s="5"/>
      <c r="I613" s="6"/>
      <c r="J613" s="6" t="s">
        <v>63</v>
      </c>
      <c r="K613" s="6">
        <v>1</v>
      </c>
      <c r="L613" s="6">
        <v>4589</v>
      </c>
      <c r="M613" s="7" t="s">
        <v>5156</v>
      </c>
      <c r="N613" s="8" t="str">
        <f>"CFI"&amp;".D"&amp;TEXT(Caja_Finanzas[[#This Row],[FECHA]],"DD-MM")&amp;"-"&amp;TEXT(Caja_Finanzas[[#This Row],[ITEM]],"0000")</f>
        <v>CFI.D09-07-0555</v>
      </c>
      <c r="O613" s="8" t="str">
        <f>"PEN"</f>
        <v>PEN</v>
      </c>
      <c r="P613" s="13"/>
      <c r="Q613" s="13">
        <v>2115</v>
      </c>
      <c r="R613" s="3">
        <f t="shared" si="46"/>
        <v>2115</v>
      </c>
      <c r="S613" s="3">
        <f t="shared" si="47"/>
        <v>0</v>
      </c>
      <c r="T613" s="3">
        <f t="shared" si="48"/>
        <v>6797.099999999994</v>
      </c>
      <c r="U613" s="24"/>
      <c r="V613" s="24"/>
      <c r="W613" s="3"/>
      <c r="X613" s="25"/>
      <c r="Y613" s="25"/>
      <c r="Z613" s="25"/>
      <c r="AA613" s="25"/>
      <c r="AB613" s="25"/>
      <c r="AC613" s="3" t="str">
        <f>IF(Caja_Finanzas[[#This Row],[FECHA]]&gt;0,TEXT(Caja_Finanzas[[#This Row],[FECHA]],"mmmm"),0)</f>
        <v>Julio</v>
      </c>
    </row>
    <row r="614" spans="1:29" ht="24" x14ac:dyDescent="0.3">
      <c r="B614" s="2">
        <f>IF(Caja_Finanzas[[#This Row],[TIPO DE R.]]="R",COUNTIFS($D$4:$D613,"R")+1,"")</f>
        <v>556</v>
      </c>
      <c r="C614" s="19" t="str">
        <f>"C-Finanzas"</f>
        <v>C-Finanzas</v>
      </c>
      <c r="D614" s="3" t="s">
        <v>1074</v>
      </c>
      <c r="E614" s="14">
        <v>45847</v>
      </c>
      <c r="F614" s="5" t="s">
        <v>5347</v>
      </c>
      <c r="G614" s="5" t="s">
        <v>1079</v>
      </c>
      <c r="H614" s="5"/>
      <c r="I614" s="6"/>
      <c r="J614" s="6" t="s">
        <v>70</v>
      </c>
      <c r="K614" s="6"/>
      <c r="L614" s="6" t="s">
        <v>6191</v>
      </c>
      <c r="M614" s="7" t="s">
        <v>6192</v>
      </c>
      <c r="N614" s="8" t="str">
        <f>"CFI"&amp;".D"&amp;TEXT(Caja_Finanzas[[#This Row],[FECHA]],"DD-MM")&amp;"-"&amp;TEXT(Caja_Finanzas[[#This Row],[ITEM]],"0000")</f>
        <v>CFI.D09-07-0556</v>
      </c>
      <c r="O614" s="8" t="str">
        <f>"PEN"</f>
        <v>PEN</v>
      </c>
      <c r="P614" s="13"/>
      <c r="Q614" s="13">
        <v>5</v>
      </c>
      <c r="R614" s="3">
        <f t="shared" si="46"/>
        <v>0</v>
      </c>
      <c r="S614" s="3">
        <f t="shared" si="47"/>
        <v>5</v>
      </c>
      <c r="T614" s="3">
        <f t="shared" si="48"/>
        <v>6792.099999999994</v>
      </c>
      <c r="U614" s="24"/>
      <c r="V614" s="24"/>
      <c r="W614" s="3"/>
      <c r="X614" s="25"/>
      <c r="Y614" s="25"/>
      <c r="Z614" s="25"/>
      <c r="AA614" s="25"/>
      <c r="AB614" s="25"/>
      <c r="AC614" s="3" t="str">
        <f>IF(Caja_Finanzas[[#This Row],[FECHA]]&gt;0,TEXT(Caja_Finanzas[[#This Row],[FECHA]],"mmmm"),0)</f>
        <v>Julio</v>
      </c>
    </row>
    <row r="615" spans="1:29" ht="24" x14ac:dyDescent="0.3">
      <c r="B615" s="2">
        <f>IF(Caja_Finanzas[[#This Row],[TIPO DE R.]]="R",COUNTIFS($D$4:$D614,"R")+1,"")</f>
        <v>557</v>
      </c>
      <c r="C615" s="19" t="str">
        <f t="shared" ref="C615:C616" si="55">"C-Finanzas"</f>
        <v>C-Finanzas</v>
      </c>
      <c r="D615" s="3" t="s">
        <v>1074</v>
      </c>
      <c r="E615" s="14">
        <v>45848</v>
      </c>
      <c r="F615" s="5" t="s">
        <v>5618</v>
      </c>
      <c r="G615" s="5" t="s">
        <v>1079</v>
      </c>
      <c r="H615" s="5"/>
      <c r="I615" s="6"/>
      <c r="J615" s="6" t="s">
        <v>59</v>
      </c>
      <c r="K615" s="6" t="s">
        <v>6169</v>
      </c>
      <c r="L615" s="6">
        <v>128</v>
      </c>
      <c r="M615" s="7" t="s">
        <v>6193</v>
      </c>
      <c r="N615" s="8" t="str">
        <f>"CFI"&amp;".D"&amp;TEXT(Caja_Finanzas[[#This Row],[FECHA]],"DD-MM")&amp;"-"&amp;TEXT(Caja_Finanzas[[#This Row],[ITEM]],"0000")</f>
        <v>CFI.D10-07-0557</v>
      </c>
      <c r="O615" s="8" t="str">
        <f t="shared" ref="O615:O616" si="56">"PEN"</f>
        <v>PEN</v>
      </c>
      <c r="P615" s="13"/>
      <c r="Q615" s="13">
        <v>20</v>
      </c>
      <c r="R615" s="3">
        <f t="shared" si="46"/>
        <v>0</v>
      </c>
      <c r="S615" s="3">
        <f t="shared" si="47"/>
        <v>20</v>
      </c>
      <c r="T615" s="3">
        <f t="shared" si="48"/>
        <v>6772.099999999994</v>
      </c>
      <c r="U615" s="24"/>
      <c r="V615" s="24"/>
      <c r="W615" s="3"/>
      <c r="X615" s="25"/>
      <c r="Y615" s="25"/>
      <c r="Z615" s="25"/>
      <c r="AA615" s="25"/>
      <c r="AB615" s="25"/>
      <c r="AC615" s="3" t="str">
        <f>IF(Caja_Finanzas[[#This Row],[FECHA]]&gt;0,TEXT(Caja_Finanzas[[#This Row],[FECHA]],"mmmm"),0)</f>
        <v>Julio</v>
      </c>
    </row>
    <row r="616" spans="1:29" ht="24" x14ac:dyDescent="0.3">
      <c r="B616" s="2">
        <f>IF(Caja_Finanzas[[#This Row],[TIPO DE R.]]="R",COUNTIFS($D$4:$D615,"R")+1,"")</f>
        <v>558</v>
      </c>
      <c r="C616" s="19" t="str">
        <f t="shared" si="55"/>
        <v>C-Finanzas</v>
      </c>
      <c r="D616" s="3" t="s">
        <v>1074</v>
      </c>
      <c r="E616" s="14">
        <v>45848</v>
      </c>
      <c r="F616" s="5" t="s">
        <v>5618</v>
      </c>
      <c r="G616" s="5" t="s">
        <v>1079</v>
      </c>
      <c r="H616" s="5"/>
      <c r="I616" s="6"/>
      <c r="J616" s="6" t="s">
        <v>59</v>
      </c>
      <c r="K616" s="6" t="s">
        <v>6169</v>
      </c>
      <c r="L616" s="6">
        <v>124</v>
      </c>
      <c r="M616" s="7" t="s">
        <v>6194</v>
      </c>
      <c r="N616" s="8" t="str">
        <f>"CFI"&amp;".D"&amp;TEXT(Caja_Finanzas[[#This Row],[FECHA]],"DD-MM")&amp;"-"&amp;TEXT(Caja_Finanzas[[#This Row],[ITEM]],"0000")</f>
        <v>CFI.D10-07-0558</v>
      </c>
      <c r="O616" s="8" t="str">
        <f t="shared" si="56"/>
        <v>PEN</v>
      </c>
      <c r="P616" s="13"/>
      <c r="Q616" s="13">
        <v>25</v>
      </c>
      <c r="R616" s="3">
        <f t="shared" si="46"/>
        <v>0</v>
      </c>
      <c r="S616" s="3">
        <f t="shared" si="47"/>
        <v>25</v>
      </c>
      <c r="T616" s="3">
        <f t="shared" si="48"/>
        <v>6747.099999999994</v>
      </c>
      <c r="U616" s="24"/>
      <c r="V616" s="24"/>
      <c r="W616" s="3"/>
      <c r="X616" s="25"/>
      <c r="Y616" s="25"/>
      <c r="Z616" s="25"/>
      <c r="AA616" s="25"/>
      <c r="AB616" s="25"/>
      <c r="AC616" s="3" t="str">
        <f>IF(Caja_Finanzas[[#This Row],[FECHA]]&gt;0,TEXT(Caja_Finanzas[[#This Row],[FECHA]],"mmmm"),0)</f>
        <v>Julio</v>
      </c>
    </row>
    <row r="617" spans="1:29" ht="24" x14ac:dyDescent="0.3">
      <c r="B617" s="2">
        <f>IF(Caja_Finanzas[[#This Row],[TIPO DE R.]]="R",COUNTIFS($D$4:$D616,"R")+1,"")</f>
        <v>559</v>
      </c>
      <c r="C617" s="19" t="str">
        <f t="shared" ref="C617:C622" si="57">"C-Finanzas"</f>
        <v>C-Finanzas</v>
      </c>
      <c r="D617" s="3" t="s">
        <v>1074</v>
      </c>
      <c r="E617" s="14">
        <v>45848</v>
      </c>
      <c r="F617" s="5" t="s">
        <v>5443</v>
      </c>
      <c r="G617" s="5" t="s">
        <v>1079</v>
      </c>
      <c r="H617" s="5"/>
      <c r="I617" s="6" t="s">
        <v>823</v>
      </c>
      <c r="J617" s="6" t="s">
        <v>59</v>
      </c>
      <c r="K617" s="6" t="s">
        <v>6183</v>
      </c>
      <c r="L617" s="6">
        <v>122</v>
      </c>
      <c r="M617" s="7" t="s">
        <v>6195</v>
      </c>
      <c r="N617" s="8" t="str">
        <f>"CFI"&amp;".D"&amp;TEXT(Caja_Finanzas[[#This Row],[FECHA]],"DD-MM")&amp;"-"&amp;TEXT(Caja_Finanzas[[#This Row],[ITEM]],"0000")</f>
        <v>CFI.D10-07-0559</v>
      </c>
      <c r="O617" s="8" t="str">
        <f t="shared" ref="O617:O622" si="58">"PEN"</f>
        <v>PEN</v>
      </c>
      <c r="P617" s="13"/>
      <c r="Q617" s="13">
        <v>300</v>
      </c>
      <c r="R617" s="3">
        <f t="shared" si="46"/>
        <v>0</v>
      </c>
      <c r="S617" s="3">
        <f t="shared" si="47"/>
        <v>300</v>
      </c>
      <c r="T617" s="3">
        <f t="shared" si="48"/>
        <v>6447.099999999994</v>
      </c>
      <c r="U617" s="24"/>
      <c r="V617" s="24"/>
      <c r="W617" s="3"/>
      <c r="X617" s="25"/>
      <c r="Y617" s="25"/>
      <c r="Z617" s="25"/>
      <c r="AA617" s="25"/>
      <c r="AB617" s="25"/>
      <c r="AC617" s="3" t="str">
        <f>IF(Caja_Finanzas[[#This Row],[FECHA]]&gt;0,TEXT(Caja_Finanzas[[#This Row],[FECHA]],"mmmm"),0)</f>
        <v>Julio</v>
      </c>
    </row>
    <row r="618" spans="1:29" ht="24" x14ac:dyDescent="0.3">
      <c r="B618" s="2">
        <f>IF(Caja_Finanzas[[#This Row],[TIPO DE R.]]="R",COUNTIFS($D$4:$D617,"R")+1,"")</f>
        <v>560</v>
      </c>
      <c r="C618" s="19" t="str">
        <f t="shared" si="57"/>
        <v>C-Finanzas</v>
      </c>
      <c r="D618" s="3" t="s">
        <v>1074</v>
      </c>
      <c r="E618" s="14">
        <v>45848</v>
      </c>
      <c r="F618" s="5" t="s">
        <v>5338</v>
      </c>
      <c r="G618" s="5" t="s">
        <v>1079</v>
      </c>
      <c r="H618" s="5"/>
      <c r="I618" s="6"/>
      <c r="J618" s="6" t="s">
        <v>59</v>
      </c>
      <c r="K618" s="6" t="s">
        <v>6183</v>
      </c>
      <c r="L618" s="6">
        <v>123</v>
      </c>
      <c r="M618" s="7" t="s">
        <v>6196</v>
      </c>
      <c r="N618" s="8" t="str">
        <f>"CFI"&amp;".D"&amp;TEXT(Caja_Finanzas[[#This Row],[FECHA]],"DD-MM")&amp;"-"&amp;TEXT(Caja_Finanzas[[#This Row],[ITEM]],"0000")</f>
        <v>CFI.D10-07-0560</v>
      </c>
      <c r="O618" s="8" t="str">
        <f t="shared" si="58"/>
        <v>PEN</v>
      </c>
      <c r="P618" s="13"/>
      <c r="Q618" s="13">
        <v>7.5</v>
      </c>
      <c r="R618" s="3">
        <f t="shared" si="46"/>
        <v>0</v>
      </c>
      <c r="S618" s="3">
        <f t="shared" si="47"/>
        <v>7.5</v>
      </c>
      <c r="T618" s="3">
        <f t="shared" si="48"/>
        <v>6439.599999999994</v>
      </c>
      <c r="U618" s="24"/>
      <c r="V618" s="24"/>
      <c r="W618" s="3"/>
      <c r="X618" s="25"/>
      <c r="Y618" s="25"/>
      <c r="Z618" s="25"/>
      <c r="AA618" s="25"/>
      <c r="AB618" s="25"/>
      <c r="AC618" s="3" t="str">
        <f>IF(Caja_Finanzas[[#This Row],[FECHA]]&gt;0,TEXT(Caja_Finanzas[[#This Row],[FECHA]],"mmmm"),0)</f>
        <v>Julio</v>
      </c>
    </row>
    <row r="619" spans="1:29" ht="24" x14ac:dyDescent="0.3">
      <c r="B619" s="2">
        <f>IF(Caja_Finanzas[[#This Row],[TIPO DE R.]]="R",COUNTIFS($D$4:$D618,"R")+1,"")</f>
        <v>561</v>
      </c>
      <c r="C619" s="19" t="str">
        <f t="shared" si="57"/>
        <v>C-Finanzas</v>
      </c>
      <c r="D619" s="3" t="s">
        <v>1074</v>
      </c>
      <c r="E619" s="14">
        <v>45848</v>
      </c>
      <c r="F619" s="5" t="s">
        <v>6139</v>
      </c>
      <c r="G619" s="5" t="s">
        <v>1087</v>
      </c>
      <c r="H619" s="5"/>
      <c r="I619" s="6"/>
      <c r="J619" s="6" t="s">
        <v>63</v>
      </c>
      <c r="K619" s="6">
        <v>1</v>
      </c>
      <c r="L619" s="6">
        <v>4330</v>
      </c>
      <c r="M619" s="7" t="s">
        <v>5156</v>
      </c>
      <c r="N619" s="8" t="str">
        <f>"CFI"&amp;".D"&amp;TEXT(Caja_Finanzas[[#This Row],[FECHA]],"DD-MM")&amp;"-"&amp;TEXT(Caja_Finanzas[[#This Row],[ITEM]],"0000")</f>
        <v>CFI.D10-07-0561</v>
      </c>
      <c r="O619" s="8" t="str">
        <f t="shared" si="58"/>
        <v>PEN</v>
      </c>
      <c r="P619" s="13"/>
      <c r="Q619" s="13">
        <v>50</v>
      </c>
      <c r="R619" s="3">
        <f t="shared" si="46"/>
        <v>50</v>
      </c>
      <c r="S619" s="3">
        <f t="shared" si="47"/>
        <v>0</v>
      </c>
      <c r="T619" s="3">
        <f t="shared" si="48"/>
        <v>6489.599999999994</v>
      </c>
      <c r="U619" s="24"/>
      <c r="V619" s="24"/>
      <c r="W619" s="3"/>
      <c r="X619" s="25"/>
      <c r="Y619" s="25"/>
      <c r="Z619" s="25"/>
      <c r="AA619" s="25"/>
      <c r="AB619" s="25"/>
      <c r="AC619" s="3" t="str">
        <f>IF(Caja_Finanzas[[#This Row],[FECHA]]&gt;0,TEXT(Caja_Finanzas[[#This Row],[FECHA]],"mmmm"),0)</f>
        <v>Julio</v>
      </c>
    </row>
    <row r="620" spans="1:29" x14ac:dyDescent="0.3">
      <c r="B620" s="2">
        <f>IF(Caja_Finanzas[[#This Row],[TIPO DE R.]]="R",COUNTIFS($D$4:$D619,"R")+1,"")</f>
        <v>562</v>
      </c>
      <c r="C620" s="19" t="str">
        <f t="shared" si="57"/>
        <v>C-Finanzas</v>
      </c>
      <c r="D620" s="3" t="s">
        <v>1074</v>
      </c>
      <c r="E620" s="14">
        <v>45848</v>
      </c>
      <c r="F620" s="5" t="s">
        <v>1239</v>
      </c>
      <c r="G620" s="5" t="s">
        <v>1087</v>
      </c>
      <c r="H620" s="5"/>
      <c r="I620" s="6"/>
      <c r="J620" s="6" t="s">
        <v>63</v>
      </c>
      <c r="K620" s="6">
        <v>1</v>
      </c>
      <c r="L620" s="6">
        <v>4591</v>
      </c>
      <c r="M620" s="7" t="s">
        <v>5156</v>
      </c>
      <c r="N620" s="8" t="str">
        <f>"CFI"&amp;".D"&amp;TEXT(Caja_Finanzas[[#This Row],[FECHA]],"DD-MM")&amp;"-"&amp;TEXT(Caja_Finanzas[[#This Row],[ITEM]],"0000")</f>
        <v>CFI.D10-07-0562</v>
      </c>
      <c r="O620" s="8" t="str">
        <f t="shared" si="58"/>
        <v>PEN</v>
      </c>
      <c r="P620" s="13"/>
      <c r="Q620" s="13">
        <v>350</v>
      </c>
      <c r="R620" s="3">
        <f t="shared" si="46"/>
        <v>350</v>
      </c>
      <c r="S620" s="3">
        <f t="shared" si="47"/>
        <v>0</v>
      </c>
      <c r="T620" s="3">
        <f t="shared" si="48"/>
        <v>6839.599999999994</v>
      </c>
      <c r="U620" s="24"/>
      <c r="V620" s="24"/>
      <c r="W620" s="3"/>
      <c r="X620" s="25"/>
      <c r="Y620" s="25"/>
      <c r="Z620" s="25"/>
      <c r="AA620" s="25"/>
      <c r="AB620" s="25"/>
      <c r="AC620" s="3" t="str">
        <f>IF(Caja_Finanzas[[#This Row],[FECHA]]&gt;0,TEXT(Caja_Finanzas[[#This Row],[FECHA]],"mmmm"),0)</f>
        <v>Julio</v>
      </c>
    </row>
    <row r="621" spans="1:29" ht="24" x14ac:dyDescent="0.3">
      <c r="B621" s="2">
        <f>IF(Caja_Finanzas[[#This Row],[TIPO DE R.]]="R",COUNTIFS($D$4:$D620,"R")+1,"")</f>
        <v>563</v>
      </c>
      <c r="C621" s="19" t="str">
        <f t="shared" si="57"/>
        <v>C-Finanzas</v>
      </c>
      <c r="D621" s="3" t="s">
        <v>1074</v>
      </c>
      <c r="E621" s="14">
        <v>45848</v>
      </c>
      <c r="F621" s="5" t="s">
        <v>2226</v>
      </c>
      <c r="G621" s="5" t="s">
        <v>1087</v>
      </c>
      <c r="H621" s="5"/>
      <c r="I621" s="6"/>
      <c r="J621" s="6" t="s">
        <v>63</v>
      </c>
      <c r="K621" s="6">
        <v>1</v>
      </c>
      <c r="L621" s="6">
        <v>4592</v>
      </c>
      <c r="M621" s="7" t="s">
        <v>5156</v>
      </c>
      <c r="N621" s="8" t="str">
        <f>"CFI"&amp;".D"&amp;TEXT(Caja_Finanzas[[#This Row],[FECHA]],"DD-MM")&amp;"-"&amp;TEXT(Caja_Finanzas[[#This Row],[ITEM]],"0000")</f>
        <v>CFI.D10-07-0563</v>
      </c>
      <c r="O621" s="8" t="str">
        <f t="shared" si="58"/>
        <v>PEN</v>
      </c>
      <c r="P621" s="13"/>
      <c r="Q621" s="13">
        <v>2850</v>
      </c>
      <c r="R621" s="3">
        <f t="shared" si="46"/>
        <v>2850</v>
      </c>
      <c r="S621" s="3">
        <f t="shared" si="47"/>
        <v>0</v>
      </c>
      <c r="T621" s="3">
        <f t="shared" si="48"/>
        <v>9689.5999999999949</v>
      </c>
      <c r="U621" s="24"/>
      <c r="V621" s="24"/>
      <c r="W621" s="3"/>
      <c r="X621" s="25"/>
      <c r="Y621" s="25"/>
      <c r="Z621" s="25"/>
      <c r="AA621" s="25"/>
      <c r="AB621" s="25"/>
      <c r="AC621" s="3" t="str">
        <f>IF(Caja_Finanzas[[#This Row],[FECHA]]&gt;0,TEXT(Caja_Finanzas[[#This Row],[FECHA]],"mmmm"),0)</f>
        <v>Julio</v>
      </c>
    </row>
    <row r="622" spans="1:29" ht="24" x14ac:dyDescent="0.3">
      <c r="B622" s="2">
        <f>IF(Caja_Finanzas[[#This Row],[TIPO DE R.]]="R",COUNTIFS($D$4:$D621,"R")+1,"")</f>
        <v>564</v>
      </c>
      <c r="C622" s="19" t="str">
        <f t="shared" si="57"/>
        <v>C-Finanzas</v>
      </c>
      <c r="D622" s="3" t="s">
        <v>1074</v>
      </c>
      <c r="E622" s="14">
        <v>45848</v>
      </c>
      <c r="F622" s="5" t="s">
        <v>1745</v>
      </c>
      <c r="G622" s="5" t="s">
        <v>1087</v>
      </c>
      <c r="H622" s="5"/>
      <c r="I622" s="6"/>
      <c r="J622" s="6" t="s">
        <v>63</v>
      </c>
      <c r="K622" s="6">
        <v>1</v>
      </c>
      <c r="L622" s="6">
        <v>4593</v>
      </c>
      <c r="M622" s="7" t="s">
        <v>5156</v>
      </c>
      <c r="N622" s="8" t="str">
        <f>"CFI"&amp;".D"&amp;TEXT(Caja_Finanzas[[#This Row],[FECHA]],"DD-MM")&amp;"-"&amp;TEXT(Caja_Finanzas[[#This Row],[ITEM]],"0000")</f>
        <v>CFI.D10-07-0564</v>
      </c>
      <c r="O622" s="8" t="str">
        <f t="shared" si="58"/>
        <v>PEN</v>
      </c>
      <c r="P622" s="13"/>
      <c r="Q622" s="13">
        <v>1314</v>
      </c>
      <c r="R622" s="3">
        <f t="shared" si="46"/>
        <v>1314</v>
      </c>
      <c r="S622" s="3">
        <f t="shared" si="47"/>
        <v>0</v>
      </c>
      <c r="T622" s="3">
        <f t="shared" si="48"/>
        <v>11003.599999999995</v>
      </c>
      <c r="U622" s="24"/>
      <c r="V622" s="24"/>
      <c r="W622" s="3"/>
      <c r="X622" s="25"/>
      <c r="Y622" s="25"/>
      <c r="Z622" s="25"/>
      <c r="AA622" s="25"/>
      <c r="AB622" s="25"/>
      <c r="AC622" s="3" t="str">
        <f>IF(Caja_Finanzas[[#This Row],[FECHA]]&gt;0,TEXT(Caja_Finanzas[[#This Row],[FECHA]],"mmmm"),0)</f>
        <v>Julio</v>
      </c>
    </row>
    <row r="623" spans="1:29" ht="24" x14ac:dyDescent="0.3">
      <c r="B623" s="2">
        <f>IF(Caja_Finanzas[[#This Row],[TIPO DE R.]]="R",COUNTIFS($D$4:$D622,"R")+1,"")</f>
        <v>565</v>
      </c>
      <c r="C623" s="19" t="str">
        <f t="shared" ref="C623:C629" si="59">"C-Finanzas"</f>
        <v>C-Finanzas</v>
      </c>
      <c r="D623" s="3" t="s">
        <v>1074</v>
      </c>
      <c r="E623" s="14">
        <v>45849</v>
      </c>
      <c r="F623" s="5" t="s">
        <v>2906</v>
      </c>
      <c r="G623" s="5" t="s">
        <v>1087</v>
      </c>
      <c r="H623" s="5"/>
      <c r="I623" s="6"/>
      <c r="J623" s="6" t="s">
        <v>63</v>
      </c>
      <c r="K623" s="6">
        <v>1</v>
      </c>
      <c r="L623" s="6">
        <v>4454</v>
      </c>
      <c r="M623" s="7" t="s">
        <v>5156</v>
      </c>
      <c r="N623" s="8" t="str">
        <f>"CFI"&amp;".D"&amp;TEXT(Caja_Finanzas[[#This Row],[FECHA]],"DD-MM")&amp;"-"&amp;TEXT(Caja_Finanzas[[#This Row],[ITEM]],"0000")</f>
        <v>CFI.D11-07-0565</v>
      </c>
      <c r="O623" s="8" t="str">
        <f t="shared" ref="O623:O629" si="60">"PEN"</f>
        <v>PEN</v>
      </c>
      <c r="P623" s="13"/>
      <c r="Q623" s="13">
        <v>646</v>
      </c>
      <c r="R623" s="3">
        <f t="shared" si="46"/>
        <v>646</v>
      </c>
      <c r="S623" s="3">
        <f t="shared" si="47"/>
        <v>0</v>
      </c>
      <c r="T623" s="3">
        <f t="shared" si="48"/>
        <v>11649.599999999995</v>
      </c>
      <c r="U623" s="24"/>
      <c r="V623" s="24"/>
      <c r="W623" s="3"/>
      <c r="X623" s="25"/>
      <c r="Y623" s="25"/>
      <c r="Z623" s="25"/>
      <c r="AA623" s="25"/>
      <c r="AB623" s="25"/>
      <c r="AC623" s="3" t="str">
        <f>IF(Caja_Finanzas[[#This Row],[FECHA]]&gt;0,TEXT(Caja_Finanzas[[#This Row],[FECHA]],"mmmm"),0)</f>
        <v>Julio</v>
      </c>
    </row>
    <row r="624" spans="1:29" ht="24" x14ac:dyDescent="0.3">
      <c r="B624" s="2">
        <f>IF(Caja_Finanzas[[#This Row],[TIPO DE R.]]="R",COUNTIFS($D$4:$D623,"R")+1,"")</f>
        <v>566</v>
      </c>
      <c r="C624" s="19" t="str">
        <f t="shared" si="59"/>
        <v>C-Finanzas</v>
      </c>
      <c r="D624" s="3" t="s">
        <v>1074</v>
      </c>
      <c r="E624" s="14">
        <v>45849</v>
      </c>
      <c r="F624" s="5" t="s">
        <v>1745</v>
      </c>
      <c r="G624" s="5" t="s">
        <v>1087</v>
      </c>
      <c r="H624" s="5"/>
      <c r="I624" s="6"/>
      <c r="J624" s="6" t="s">
        <v>63</v>
      </c>
      <c r="K624" s="6">
        <v>1</v>
      </c>
      <c r="L624" s="6">
        <v>4598</v>
      </c>
      <c r="M624" s="7" t="s">
        <v>5156</v>
      </c>
      <c r="N624" s="8" t="str">
        <f>"CFI"&amp;".D"&amp;TEXT(Caja_Finanzas[[#This Row],[FECHA]],"DD-MM")&amp;"-"&amp;TEXT(Caja_Finanzas[[#This Row],[ITEM]],"0000")</f>
        <v>CFI.D11-07-0566</v>
      </c>
      <c r="O624" s="8" t="str">
        <f t="shared" si="60"/>
        <v>PEN</v>
      </c>
      <c r="P624" s="13"/>
      <c r="Q624" s="13">
        <v>730</v>
      </c>
      <c r="R624" s="3">
        <f t="shared" si="46"/>
        <v>730</v>
      </c>
      <c r="S624" s="3">
        <f t="shared" si="47"/>
        <v>0</v>
      </c>
      <c r="T624" s="3">
        <f t="shared" si="48"/>
        <v>12379.599999999995</v>
      </c>
      <c r="U624" s="24"/>
      <c r="V624" s="24"/>
      <c r="W624" s="3"/>
      <c r="X624" s="25"/>
      <c r="Y624" s="25"/>
      <c r="Z624" s="25"/>
      <c r="AA624" s="25"/>
      <c r="AB624" s="25"/>
      <c r="AC624" s="3" t="str">
        <f>IF(Caja_Finanzas[[#This Row],[FECHA]]&gt;0,TEXT(Caja_Finanzas[[#This Row],[FECHA]],"mmmm"),0)</f>
        <v>Julio</v>
      </c>
    </row>
    <row r="625" spans="2:29" ht="24" x14ac:dyDescent="0.3">
      <c r="B625" s="2">
        <f>IF(Caja_Finanzas[[#This Row],[TIPO DE R.]]="R",COUNTIFS($D$4:$D624,"R")+1,"")</f>
        <v>567</v>
      </c>
      <c r="C625" s="19" t="str">
        <f t="shared" si="59"/>
        <v>C-Finanzas</v>
      </c>
      <c r="D625" s="3" t="s">
        <v>1074</v>
      </c>
      <c r="E625" s="14">
        <v>45849</v>
      </c>
      <c r="F625" s="5" t="s">
        <v>1745</v>
      </c>
      <c r="G625" s="5" t="s">
        <v>1087</v>
      </c>
      <c r="H625" s="5"/>
      <c r="I625" s="6"/>
      <c r="J625" s="6" t="s">
        <v>63</v>
      </c>
      <c r="K625" s="6">
        <v>1</v>
      </c>
      <c r="L625" s="6">
        <v>4596</v>
      </c>
      <c r="M625" s="7" t="s">
        <v>5156</v>
      </c>
      <c r="N625" s="8" t="str">
        <f>"CFI"&amp;".D"&amp;TEXT(Caja_Finanzas[[#This Row],[FECHA]],"DD-MM")&amp;"-"&amp;TEXT(Caja_Finanzas[[#This Row],[ITEM]],"0000")</f>
        <v>CFI.D11-07-0567</v>
      </c>
      <c r="O625" s="8" t="str">
        <f t="shared" si="60"/>
        <v>PEN</v>
      </c>
      <c r="P625" s="13"/>
      <c r="Q625" s="13">
        <v>2860</v>
      </c>
      <c r="R625" s="3">
        <f t="shared" si="46"/>
        <v>2860</v>
      </c>
      <c r="S625" s="3">
        <f t="shared" si="47"/>
        <v>0</v>
      </c>
      <c r="T625" s="3">
        <f t="shared" si="48"/>
        <v>15239.599999999995</v>
      </c>
      <c r="U625" s="24"/>
      <c r="V625" s="24"/>
      <c r="W625" s="3"/>
      <c r="X625" s="25"/>
      <c r="Y625" s="25"/>
      <c r="Z625" s="25"/>
      <c r="AA625" s="25"/>
      <c r="AB625" s="25"/>
      <c r="AC625" s="3" t="str">
        <f>IF(Caja_Finanzas[[#This Row],[FECHA]]&gt;0,TEXT(Caja_Finanzas[[#This Row],[FECHA]],"mmmm"),0)</f>
        <v>Julio</v>
      </c>
    </row>
    <row r="626" spans="2:29" x14ac:dyDescent="0.3">
      <c r="B626" s="2">
        <f>IF(Caja_Finanzas[[#This Row],[TIPO DE R.]]="R",COUNTIFS($D$4:$D625,"R")+1,"")</f>
        <v>568</v>
      </c>
      <c r="C626" s="19" t="str">
        <f t="shared" si="59"/>
        <v>C-Finanzas</v>
      </c>
      <c r="D626" s="3" t="s">
        <v>1074</v>
      </c>
      <c r="E626" s="14">
        <v>45849</v>
      </c>
      <c r="F626" s="5" t="s">
        <v>1239</v>
      </c>
      <c r="G626" s="5" t="s">
        <v>1087</v>
      </c>
      <c r="H626" s="5"/>
      <c r="I626" s="6"/>
      <c r="J626" s="6" t="s">
        <v>63</v>
      </c>
      <c r="K626" s="6">
        <v>1</v>
      </c>
      <c r="L626" s="6">
        <v>4595</v>
      </c>
      <c r="M626" s="7" t="s">
        <v>5156</v>
      </c>
      <c r="N626" s="8" t="str">
        <f>"CFI"&amp;".D"&amp;TEXT(Caja_Finanzas[[#This Row],[FECHA]],"DD-MM")&amp;"-"&amp;TEXT(Caja_Finanzas[[#This Row],[ITEM]],"0000")</f>
        <v>CFI.D11-07-0568</v>
      </c>
      <c r="O626" s="8" t="str">
        <f t="shared" si="60"/>
        <v>PEN</v>
      </c>
      <c r="P626" s="13"/>
      <c r="Q626" s="13">
        <v>60</v>
      </c>
      <c r="R626" s="3">
        <f t="shared" si="46"/>
        <v>60</v>
      </c>
      <c r="S626" s="3">
        <f t="shared" si="47"/>
        <v>0</v>
      </c>
      <c r="T626" s="3">
        <f t="shared" si="48"/>
        <v>15299.599999999995</v>
      </c>
      <c r="U626" s="24"/>
      <c r="V626" s="24"/>
      <c r="W626" s="3"/>
      <c r="X626" s="25"/>
      <c r="Y626" s="25"/>
      <c r="Z626" s="25"/>
      <c r="AA626" s="25"/>
      <c r="AB626" s="25"/>
      <c r="AC626" s="3" t="str">
        <f>IF(Caja_Finanzas[[#This Row],[FECHA]]&gt;0,TEXT(Caja_Finanzas[[#This Row],[FECHA]],"mmmm"),0)</f>
        <v>Julio</v>
      </c>
    </row>
    <row r="627" spans="2:29" ht="24" x14ac:dyDescent="0.3">
      <c r="B627" s="2">
        <f>IF(Caja_Finanzas[[#This Row],[TIPO DE R.]]="R",COUNTIFS($D$4:$D626,"R")+1,"")</f>
        <v>569</v>
      </c>
      <c r="C627" s="19" t="str">
        <f t="shared" si="59"/>
        <v>C-Finanzas</v>
      </c>
      <c r="D627" s="3" t="s">
        <v>1074</v>
      </c>
      <c r="E627" s="14">
        <v>45849</v>
      </c>
      <c r="F627" s="5" t="s">
        <v>3562</v>
      </c>
      <c r="G627" s="5" t="s">
        <v>1079</v>
      </c>
      <c r="H627" s="5"/>
      <c r="I627" s="6"/>
      <c r="J627" s="6" t="s">
        <v>59</v>
      </c>
      <c r="K627" s="6" t="s">
        <v>6186</v>
      </c>
      <c r="L627" s="6">
        <v>47</v>
      </c>
      <c r="M627" s="7" t="s">
        <v>6197</v>
      </c>
      <c r="N627" s="8" t="str">
        <f>"CFI"&amp;".D"&amp;TEXT(Caja_Finanzas[[#This Row],[FECHA]],"DD-MM")&amp;"-"&amp;TEXT(Caja_Finanzas[[#This Row],[ITEM]],"0000")</f>
        <v>CFI.D11-07-0569</v>
      </c>
      <c r="O627" s="8" t="str">
        <f t="shared" si="60"/>
        <v>PEN</v>
      </c>
      <c r="P627" s="13"/>
      <c r="Q627" s="13">
        <v>40</v>
      </c>
      <c r="R627" s="3">
        <f t="shared" si="46"/>
        <v>0</v>
      </c>
      <c r="S627" s="3">
        <f t="shared" si="47"/>
        <v>40</v>
      </c>
      <c r="T627" s="3">
        <f t="shared" si="48"/>
        <v>15259.599999999995</v>
      </c>
      <c r="U627" s="24"/>
      <c r="V627" s="24"/>
      <c r="W627" s="3"/>
      <c r="X627" s="25"/>
      <c r="Y627" s="25"/>
      <c r="Z627" s="25"/>
      <c r="AA627" s="25"/>
      <c r="AB627" s="25"/>
      <c r="AC627" s="3" t="str">
        <f>IF(Caja_Finanzas[[#This Row],[FECHA]]&gt;0,TEXT(Caja_Finanzas[[#This Row],[FECHA]],"mmmm"),0)</f>
        <v>Julio</v>
      </c>
    </row>
    <row r="628" spans="2:29" ht="36" x14ac:dyDescent="0.3">
      <c r="B628" s="2">
        <f>IF(Caja_Finanzas[[#This Row],[TIPO DE R.]]="R",COUNTIFS($D$4:$D627,"R")+1,"")</f>
        <v>570</v>
      </c>
      <c r="C628" s="19" t="str">
        <f t="shared" si="59"/>
        <v>C-Finanzas</v>
      </c>
      <c r="D628" s="3" t="s">
        <v>1074</v>
      </c>
      <c r="E628" s="14">
        <v>45849</v>
      </c>
      <c r="F628" s="5" t="s">
        <v>5457</v>
      </c>
      <c r="G628" s="5" t="s">
        <v>1079</v>
      </c>
      <c r="H628" s="5"/>
      <c r="I628" s="6"/>
      <c r="J628" s="6" t="s">
        <v>59</v>
      </c>
      <c r="K628" s="6" t="s">
        <v>6169</v>
      </c>
      <c r="L628" s="6">
        <v>130</v>
      </c>
      <c r="M628" s="7" t="s">
        <v>6198</v>
      </c>
      <c r="N628" s="8" t="str">
        <f>"CFI"&amp;".D"&amp;TEXT(Caja_Finanzas[[#This Row],[FECHA]],"DD-MM")&amp;"-"&amp;TEXT(Caja_Finanzas[[#This Row],[ITEM]],"0000")</f>
        <v>CFI.D11-07-0570</v>
      </c>
      <c r="O628" s="8" t="str">
        <f t="shared" si="60"/>
        <v>PEN</v>
      </c>
      <c r="P628" s="13"/>
      <c r="Q628" s="13">
        <v>50</v>
      </c>
      <c r="R628" s="3">
        <f t="shared" si="46"/>
        <v>0</v>
      </c>
      <c r="S628" s="3">
        <f t="shared" si="47"/>
        <v>50</v>
      </c>
      <c r="T628" s="3">
        <f t="shared" si="48"/>
        <v>15209.599999999995</v>
      </c>
      <c r="U628" s="24"/>
      <c r="V628" s="24"/>
      <c r="W628" s="3"/>
      <c r="X628" s="25"/>
      <c r="Y628" s="25"/>
      <c r="Z628" s="25"/>
      <c r="AA628" s="25"/>
      <c r="AB628" s="25"/>
      <c r="AC628" s="3" t="str">
        <f>IF(Caja_Finanzas[[#This Row],[FECHA]]&gt;0,TEXT(Caja_Finanzas[[#This Row],[FECHA]],"mmmm"),0)</f>
        <v>Julio</v>
      </c>
    </row>
    <row r="629" spans="2:29" ht="24" x14ac:dyDescent="0.3">
      <c r="B629" s="2">
        <f>IF(Caja_Finanzas[[#This Row],[TIPO DE R.]]="R",COUNTIFS($D$4:$D628,"R")+1,"")</f>
        <v>571</v>
      </c>
      <c r="C629" s="19" t="str">
        <f t="shared" si="59"/>
        <v>C-Finanzas</v>
      </c>
      <c r="D629" s="3" t="s">
        <v>1074</v>
      </c>
      <c r="E629" s="14">
        <v>45849</v>
      </c>
      <c r="F629" s="5" t="s">
        <v>5618</v>
      </c>
      <c r="G629" s="5" t="s">
        <v>1079</v>
      </c>
      <c r="H629" s="5"/>
      <c r="I629" s="6" t="s">
        <v>863</v>
      </c>
      <c r="J629" s="6" t="s">
        <v>59</v>
      </c>
      <c r="K629" s="6" t="s">
        <v>6169</v>
      </c>
      <c r="L629" s="6">
        <v>132</v>
      </c>
      <c r="M629" s="7" t="s">
        <v>6199</v>
      </c>
      <c r="N629" s="8" t="str">
        <f>"CFI"&amp;".D"&amp;TEXT(Caja_Finanzas[[#This Row],[FECHA]],"DD-MM")&amp;"-"&amp;TEXT(Caja_Finanzas[[#This Row],[ITEM]],"0000")</f>
        <v>CFI.D11-07-0571</v>
      </c>
      <c r="O629" s="8" t="str">
        <f t="shared" si="60"/>
        <v>PEN</v>
      </c>
      <c r="P629" s="13"/>
      <c r="Q629" s="13">
        <v>520</v>
      </c>
      <c r="R629" s="3">
        <f t="shared" si="46"/>
        <v>0</v>
      </c>
      <c r="S629" s="3">
        <f t="shared" si="47"/>
        <v>520</v>
      </c>
      <c r="T629" s="3">
        <f t="shared" si="48"/>
        <v>14689.599999999995</v>
      </c>
      <c r="U629" s="24"/>
      <c r="V629" s="24"/>
      <c r="W629" s="3"/>
      <c r="X629" s="25"/>
      <c r="Y629" s="25"/>
      <c r="Z629" s="25"/>
      <c r="AA629" s="25"/>
      <c r="AB629" s="25"/>
      <c r="AC629" s="3" t="str">
        <f>IF(Caja_Finanzas[[#This Row],[FECHA]]&gt;0,TEXT(Caja_Finanzas[[#This Row],[FECHA]],"mmmm"),0)</f>
        <v>Julio</v>
      </c>
    </row>
    <row r="630" spans="2:29" ht="24" x14ac:dyDescent="0.3">
      <c r="B630" s="2">
        <f>IF(Caja_Finanzas[[#This Row],[TIPO DE R.]]="R",COUNTIFS($D$4:$D629,"R")+1,"")</f>
        <v>572</v>
      </c>
      <c r="C630" s="19" t="str">
        <f t="shared" ref="C630:C640" si="61">"C-Finanzas"</f>
        <v>C-Finanzas</v>
      </c>
      <c r="D630" s="3" t="s">
        <v>1074</v>
      </c>
      <c r="E630" s="14">
        <v>45852</v>
      </c>
      <c r="F630" s="5" t="s">
        <v>3562</v>
      </c>
      <c r="G630" s="5" t="s">
        <v>1079</v>
      </c>
      <c r="H630" s="5"/>
      <c r="I630" s="6"/>
      <c r="J630" s="6" t="s">
        <v>59</v>
      </c>
      <c r="K630" s="6" t="s">
        <v>6186</v>
      </c>
      <c r="L630" s="6">
        <v>46</v>
      </c>
      <c r="M630" s="7" t="s">
        <v>6200</v>
      </c>
      <c r="N630" s="8" t="str">
        <f>"CFI"&amp;".D"&amp;TEXT(Caja_Finanzas[[#This Row],[FECHA]],"DD-MM")&amp;"-"&amp;TEXT(Caja_Finanzas[[#This Row],[ITEM]],"0000")</f>
        <v>CFI.D14-07-0572</v>
      </c>
      <c r="O630" s="8" t="str">
        <f t="shared" ref="O630:O640" si="62">"PEN"</f>
        <v>PEN</v>
      </c>
      <c r="P630" s="13"/>
      <c r="Q630" s="13">
        <v>35</v>
      </c>
      <c r="R630" s="3">
        <f t="shared" si="46"/>
        <v>0</v>
      </c>
      <c r="S630" s="3">
        <f t="shared" si="47"/>
        <v>35</v>
      </c>
      <c r="T630" s="3">
        <f t="shared" si="48"/>
        <v>14654.599999999995</v>
      </c>
      <c r="U630" s="24"/>
      <c r="V630" s="24"/>
      <c r="W630" s="3"/>
      <c r="X630" s="25"/>
      <c r="Y630" s="25"/>
      <c r="Z630" s="25"/>
      <c r="AA630" s="25"/>
      <c r="AB630" s="25"/>
      <c r="AC630" s="3" t="str">
        <f>IF(Caja_Finanzas[[#This Row],[FECHA]]&gt;0,TEXT(Caja_Finanzas[[#This Row],[FECHA]],"mmmm"),0)</f>
        <v>Julio</v>
      </c>
    </row>
    <row r="631" spans="2:29" ht="36" x14ac:dyDescent="0.3">
      <c r="B631" s="2">
        <f>IF(Caja_Finanzas[[#This Row],[TIPO DE R.]]="R",COUNTIFS($D$4:$D630,"R")+1,"")</f>
        <v>573</v>
      </c>
      <c r="C631" s="19" t="str">
        <f t="shared" si="61"/>
        <v>C-Finanzas</v>
      </c>
      <c r="D631" s="3" t="s">
        <v>1074</v>
      </c>
      <c r="E631" s="14">
        <v>45852</v>
      </c>
      <c r="F631" s="5" t="s">
        <v>5827</v>
      </c>
      <c r="G631" s="5" t="s">
        <v>1079</v>
      </c>
      <c r="H631" s="5"/>
      <c r="I631" s="6"/>
      <c r="J631" s="6" t="s">
        <v>59</v>
      </c>
      <c r="K631" s="6" t="s">
        <v>6169</v>
      </c>
      <c r="L631" s="6">
        <v>129</v>
      </c>
      <c r="M631" s="7" t="s">
        <v>6201</v>
      </c>
      <c r="N631" s="8" t="str">
        <f>"CFI"&amp;".D"&amp;TEXT(Caja_Finanzas[[#This Row],[FECHA]],"DD-MM")&amp;"-"&amp;TEXT(Caja_Finanzas[[#This Row],[ITEM]],"0000")</f>
        <v>CFI.D14-07-0573</v>
      </c>
      <c r="O631" s="8" t="str">
        <f t="shared" si="62"/>
        <v>PEN</v>
      </c>
      <c r="P631" s="13"/>
      <c r="Q631" s="13">
        <v>900</v>
      </c>
      <c r="R631" s="3">
        <f t="shared" si="46"/>
        <v>0</v>
      </c>
      <c r="S631" s="3">
        <f t="shared" si="47"/>
        <v>900</v>
      </c>
      <c r="T631" s="3">
        <f t="shared" si="48"/>
        <v>13754.599999999995</v>
      </c>
      <c r="U631" s="24"/>
      <c r="V631" s="24"/>
      <c r="W631" s="3"/>
      <c r="X631" s="25"/>
      <c r="Y631" s="25"/>
      <c r="Z631" s="25"/>
      <c r="AA631" s="25"/>
      <c r="AB631" s="25"/>
      <c r="AC631" s="3" t="str">
        <f>IF(Caja_Finanzas[[#This Row],[FECHA]]&gt;0,TEXT(Caja_Finanzas[[#This Row],[FECHA]],"mmmm"),0)</f>
        <v>Julio</v>
      </c>
    </row>
    <row r="632" spans="2:29" ht="36" x14ac:dyDescent="0.3">
      <c r="B632" s="2">
        <f>IF(Caja_Finanzas[[#This Row],[TIPO DE R.]]="R",COUNTIFS($D$4:$D631,"R")+1,"")</f>
        <v>574</v>
      </c>
      <c r="C632" s="19" t="str">
        <f t="shared" si="61"/>
        <v>C-Finanzas</v>
      </c>
      <c r="D632" s="3" t="s">
        <v>1074</v>
      </c>
      <c r="E632" s="14">
        <v>45852</v>
      </c>
      <c r="F632" s="5" t="s">
        <v>5827</v>
      </c>
      <c r="G632" s="5" t="s">
        <v>1079</v>
      </c>
      <c r="H632" s="5"/>
      <c r="I632" s="6"/>
      <c r="J632" s="6" t="s">
        <v>59</v>
      </c>
      <c r="K632" s="6" t="s">
        <v>6169</v>
      </c>
      <c r="L632" s="6">
        <v>131</v>
      </c>
      <c r="M632" s="7" t="s">
        <v>6202</v>
      </c>
      <c r="N632" s="8" t="str">
        <f>"CFI"&amp;".D"&amp;TEXT(Caja_Finanzas[[#This Row],[FECHA]],"DD-MM")&amp;"-"&amp;TEXT(Caja_Finanzas[[#This Row],[ITEM]],"0000")</f>
        <v>CFI.D14-07-0574</v>
      </c>
      <c r="O632" s="8" t="str">
        <f t="shared" si="62"/>
        <v>PEN</v>
      </c>
      <c r="P632" s="13"/>
      <c r="Q632" s="13">
        <v>900</v>
      </c>
      <c r="R632" s="3">
        <f t="shared" si="46"/>
        <v>0</v>
      </c>
      <c r="S632" s="3">
        <f t="shared" si="47"/>
        <v>900</v>
      </c>
      <c r="T632" s="3">
        <f t="shared" si="48"/>
        <v>12854.599999999995</v>
      </c>
      <c r="U632" s="24"/>
      <c r="V632" s="24"/>
      <c r="W632" s="3"/>
      <c r="X632" s="25"/>
      <c r="Y632" s="25"/>
      <c r="Z632" s="25"/>
      <c r="AA632" s="25"/>
      <c r="AB632" s="25"/>
      <c r="AC632" s="3" t="str">
        <f>IF(Caja_Finanzas[[#This Row],[FECHA]]&gt;0,TEXT(Caja_Finanzas[[#This Row],[FECHA]],"mmmm"),0)</f>
        <v>Julio</v>
      </c>
    </row>
    <row r="633" spans="2:29" ht="24" x14ac:dyDescent="0.3">
      <c r="B633" s="2">
        <f>IF(Caja_Finanzas[[#This Row],[TIPO DE R.]]="R",COUNTIFS($D$4:$D632,"R")+1,"")</f>
        <v>575</v>
      </c>
      <c r="C633" s="19" t="str">
        <f t="shared" si="61"/>
        <v>C-Finanzas</v>
      </c>
      <c r="D633" s="3" t="s">
        <v>1074</v>
      </c>
      <c r="E633" s="14">
        <v>45852</v>
      </c>
      <c r="F633" s="5" t="s">
        <v>5343</v>
      </c>
      <c r="G633" s="5" t="s">
        <v>1087</v>
      </c>
      <c r="H633" s="5"/>
      <c r="I633" s="6"/>
      <c r="J633" s="6"/>
      <c r="K633" s="6"/>
      <c r="L633" s="6"/>
      <c r="M633" s="7" t="s">
        <v>6203</v>
      </c>
      <c r="N633" s="8" t="str">
        <f>"CFI"&amp;".D"&amp;TEXT(Caja_Finanzas[[#This Row],[FECHA]],"DD-MM")&amp;"-"&amp;TEXT(Caja_Finanzas[[#This Row],[ITEM]],"0000")</f>
        <v>CFI.D14-07-0575</v>
      </c>
      <c r="O633" s="8" t="str">
        <f t="shared" si="62"/>
        <v>PEN</v>
      </c>
      <c r="P633" s="13"/>
      <c r="Q633" s="13">
        <v>80</v>
      </c>
      <c r="R633" s="3">
        <f t="shared" si="46"/>
        <v>80</v>
      </c>
      <c r="S633" s="3">
        <f t="shared" si="47"/>
        <v>0</v>
      </c>
      <c r="T633" s="3">
        <f t="shared" si="48"/>
        <v>12934.599999999995</v>
      </c>
      <c r="U633" s="24"/>
      <c r="V633" s="24"/>
      <c r="W633" s="3"/>
      <c r="X633" s="25"/>
      <c r="Y633" s="25"/>
      <c r="Z633" s="25"/>
      <c r="AA633" s="25"/>
      <c r="AB633" s="25"/>
      <c r="AC633" s="3" t="str">
        <f>IF(Caja_Finanzas[[#This Row],[FECHA]]&gt;0,TEXT(Caja_Finanzas[[#This Row],[FECHA]],"mmmm"),0)</f>
        <v>Julio</v>
      </c>
    </row>
    <row r="634" spans="2:29" x14ac:dyDescent="0.3">
      <c r="B634" s="2">
        <f>IF(Caja_Finanzas[[#This Row],[TIPO DE R.]]="R",COUNTIFS($D$4:$D633,"R")+1,"")</f>
        <v>576</v>
      </c>
      <c r="C634" s="19" t="str">
        <f t="shared" si="61"/>
        <v>C-Finanzas</v>
      </c>
      <c r="D634" s="3" t="s">
        <v>1074</v>
      </c>
      <c r="E634" s="14">
        <v>45853</v>
      </c>
      <c r="F634" s="5" t="s">
        <v>1239</v>
      </c>
      <c r="G634" s="5" t="s">
        <v>1087</v>
      </c>
      <c r="H634" s="5"/>
      <c r="I634" s="6"/>
      <c r="J634" s="6" t="s">
        <v>63</v>
      </c>
      <c r="K634" s="6">
        <v>1</v>
      </c>
      <c r="L634" s="6">
        <v>4605</v>
      </c>
      <c r="M634" s="7" t="s">
        <v>5156</v>
      </c>
      <c r="N634" s="8" t="str">
        <f>"CFI"&amp;".D"&amp;TEXT(Caja_Finanzas[[#This Row],[FECHA]],"DD-MM")&amp;"-"&amp;TEXT(Caja_Finanzas[[#This Row],[ITEM]],"0000")</f>
        <v>CFI.D15-07-0576</v>
      </c>
      <c r="O634" s="8" t="str">
        <f t="shared" si="62"/>
        <v>PEN</v>
      </c>
      <c r="P634" s="13"/>
      <c r="Q634" s="13">
        <v>150</v>
      </c>
      <c r="R634" s="3">
        <f t="shared" si="46"/>
        <v>150</v>
      </c>
      <c r="S634" s="3">
        <f t="shared" si="47"/>
        <v>0</v>
      </c>
      <c r="T634" s="3">
        <f t="shared" si="48"/>
        <v>13084.599999999995</v>
      </c>
      <c r="U634" s="24"/>
      <c r="V634" s="24"/>
      <c r="W634" s="3"/>
      <c r="X634" s="25"/>
      <c r="Y634" s="25"/>
      <c r="Z634" s="25"/>
      <c r="AA634" s="25"/>
      <c r="AB634" s="25"/>
      <c r="AC634" s="3" t="str">
        <f>IF(Caja_Finanzas[[#This Row],[FECHA]]&gt;0,TEXT(Caja_Finanzas[[#This Row],[FECHA]],"mmmm"),0)</f>
        <v>Julio</v>
      </c>
    </row>
    <row r="635" spans="2:29" ht="24" x14ac:dyDescent="0.3">
      <c r="B635" s="2">
        <f>IF(Caja_Finanzas[[#This Row],[TIPO DE R.]]="R",COUNTIFS($D$4:$D634,"R")+1,"")</f>
        <v>577</v>
      </c>
      <c r="C635" s="19" t="str">
        <f t="shared" si="61"/>
        <v>C-Finanzas</v>
      </c>
      <c r="D635" s="3" t="s">
        <v>1074</v>
      </c>
      <c r="E635" s="14">
        <v>45853</v>
      </c>
      <c r="F635" s="5" t="s">
        <v>6204</v>
      </c>
      <c r="G635" s="5" t="s">
        <v>1087</v>
      </c>
      <c r="H635" s="5"/>
      <c r="I635" s="6"/>
      <c r="J635" s="6" t="s">
        <v>63</v>
      </c>
      <c r="K635" s="6">
        <v>1</v>
      </c>
      <c r="L635" s="6">
        <v>4603</v>
      </c>
      <c r="M635" s="7" t="s">
        <v>5156</v>
      </c>
      <c r="N635" s="8" t="str">
        <f>"CFI"&amp;".D"&amp;TEXT(Caja_Finanzas[[#This Row],[FECHA]],"DD-MM")&amp;"-"&amp;TEXT(Caja_Finanzas[[#This Row],[ITEM]],"0000")</f>
        <v>CFI.D15-07-0577</v>
      </c>
      <c r="O635" s="8" t="str">
        <f t="shared" si="62"/>
        <v>PEN</v>
      </c>
      <c r="P635" s="13"/>
      <c r="Q635" s="13">
        <v>231</v>
      </c>
      <c r="R635" s="3">
        <f t="shared" si="46"/>
        <v>231</v>
      </c>
      <c r="S635" s="3">
        <f t="shared" si="47"/>
        <v>0</v>
      </c>
      <c r="T635" s="3">
        <f t="shared" si="48"/>
        <v>13315.599999999995</v>
      </c>
      <c r="U635" s="24"/>
      <c r="V635" s="24"/>
      <c r="W635" s="3"/>
      <c r="X635" s="25"/>
      <c r="Y635" s="25"/>
      <c r="Z635" s="25"/>
      <c r="AA635" s="25"/>
      <c r="AB635" s="25"/>
      <c r="AC635" s="3" t="str">
        <f>IF(Caja_Finanzas[[#This Row],[FECHA]]&gt;0,TEXT(Caja_Finanzas[[#This Row],[FECHA]],"mmmm"),0)</f>
        <v>Julio</v>
      </c>
    </row>
    <row r="636" spans="2:29" ht="24" x14ac:dyDescent="0.3">
      <c r="B636" s="2">
        <f>IF(Caja_Finanzas[[#This Row],[TIPO DE R.]]="R",COUNTIFS($D$4:$D635,"R")+1,"")</f>
        <v>578</v>
      </c>
      <c r="C636" s="19" t="str">
        <f t="shared" si="61"/>
        <v>C-Finanzas</v>
      </c>
      <c r="D636" s="3" t="s">
        <v>1074</v>
      </c>
      <c r="E636" s="14">
        <v>45853</v>
      </c>
      <c r="F636" s="5" t="s">
        <v>5712</v>
      </c>
      <c r="G636" s="5" t="s">
        <v>1087</v>
      </c>
      <c r="H636" s="5"/>
      <c r="I636" s="6"/>
      <c r="J636" s="6" t="s">
        <v>63</v>
      </c>
      <c r="K636" s="6">
        <v>1</v>
      </c>
      <c r="L636" s="6">
        <v>4604</v>
      </c>
      <c r="M636" s="7" t="s">
        <v>5156</v>
      </c>
      <c r="N636" s="8" t="str">
        <f>"CFI"&amp;".D"&amp;TEXT(Caja_Finanzas[[#This Row],[FECHA]],"DD-MM")&amp;"-"&amp;TEXT(Caja_Finanzas[[#This Row],[ITEM]],"0000")</f>
        <v>CFI.D15-07-0578</v>
      </c>
      <c r="O636" s="8" t="str">
        <f t="shared" si="62"/>
        <v>PEN</v>
      </c>
      <c r="P636" s="13"/>
      <c r="Q636" s="13">
        <v>4110</v>
      </c>
      <c r="R636" s="3">
        <f t="shared" si="46"/>
        <v>4110</v>
      </c>
      <c r="S636" s="3">
        <f t="shared" si="47"/>
        <v>0</v>
      </c>
      <c r="T636" s="3">
        <f t="shared" si="48"/>
        <v>17425.599999999995</v>
      </c>
      <c r="U636" s="24"/>
      <c r="V636" s="24"/>
      <c r="W636" s="3"/>
      <c r="X636" s="25"/>
      <c r="Y636" s="25"/>
      <c r="Z636" s="25"/>
      <c r="AA636" s="25"/>
      <c r="AB636" s="25"/>
      <c r="AC636" s="3" t="str">
        <f>IF(Caja_Finanzas[[#This Row],[FECHA]]&gt;0,TEXT(Caja_Finanzas[[#This Row],[FECHA]],"mmmm"),0)</f>
        <v>Julio</v>
      </c>
    </row>
    <row r="637" spans="2:29" ht="24" x14ac:dyDescent="0.3">
      <c r="B637" s="2">
        <f>IF(Caja_Finanzas[[#This Row],[TIPO DE R.]]="R",COUNTIFS($D$4:$D636,"R")+1,"")</f>
        <v>579</v>
      </c>
      <c r="C637" s="19" t="str">
        <f t="shared" si="61"/>
        <v>C-Finanzas</v>
      </c>
      <c r="D637" s="3" t="s">
        <v>1074</v>
      </c>
      <c r="E637" s="14">
        <v>45853</v>
      </c>
      <c r="F637" s="5" t="s">
        <v>2226</v>
      </c>
      <c r="G637" s="5" t="s">
        <v>1087</v>
      </c>
      <c r="H637" s="5"/>
      <c r="I637" s="6"/>
      <c r="J637" s="6" t="s">
        <v>63</v>
      </c>
      <c r="K637" s="6">
        <v>1</v>
      </c>
      <c r="L637" s="6">
        <v>4601</v>
      </c>
      <c r="M637" s="7" t="s">
        <v>5156</v>
      </c>
      <c r="N637" s="8" t="str">
        <f>"CFI"&amp;".D"&amp;TEXT(Caja_Finanzas[[#This Row],[FECHA]],"DD-MM")&amp;"-"&amp;TEXT(Caja_Finanzas[[#This Row],[ITEM]],"0000")</f>
        <v>CFI.D15-07-0579</v>
      </c>
      <c r="O637" s="8" t="str">
        <f t="shared" si="62"/>
        <v>PEN</v>
      </c>
      <c r="P637" s="13"/>
      <c r="Q637" s="13">
        <v>1591.2</v>
      </c>
      <c r="R637" s="3">
        <f t="shared" si="46"/>
        <v>1591.2</v>
      </c>
      <c r="S637" s="3">
        <f t="shared" si="47"/>
        <v>0</v>
      </c>
      <c r="T637" s="3">
        <f t="shared" si="48"/>
        <v>19016.799999999996</v>
      </c>
      <c r="U637" s="24"/>
      <c r="V637" s="24"/>
      <c r="W637" s="3"/>
      <c r="X637" s="25"/>
      <c r="Y637" s="25"/>
      <c r="Z637" s="25"/>
      <c r="AA637" s="25"/>
      <c r="AB637" s="25"/>
      <c r="AC637" s="3" t="str">
        <f>IF(Caja_Finanzas[[#This Row],[FECHA]]&gt;0,TEXT(Caja_Finanzas[[#This Row],[FECHA]],"mmmm"),0)</f>
        <v>Julio</v>
      </c>
    </row>
    <row r="638" spans="2:29" x14ac:dyDescent="0.3">
      <c r="B638" s="2">
        <f>IF(Caja_Finanzas[[#This Row],[TIPO DE R.]]="R",COUNTIFS($D$4:$D637,"R")+1,"")</f>
        <v>580</v>
      </c>
      <c r="C638" s="19" t="str">
        <f t="shared" si="61"/>
        <v>C-Finanzas</v>
      </c>
      <c r="D638" s="3" t="s">
        <v>1074</v>
      </c>
      <c r="E638" s="14">
        <v>45853</v>
      </c>
      <c r="F638" s="5" t="s">
        <v>382</v>
      </c>
      <c r="G638" s="5" t="s">
        <v>1087</v>
      </c>
      <c r="H638" s="5"/>
      <c r="I638" s="6"/>
      <c r="J638" s="6" t="s">
        <v>63</v>
      </c>
      <c r="K638" s="6">
        <v>1</v>
      </c>
      <c r="L638" s="6">
        <v>4594</v>
      </c>
      <c r="M638" s="7" t="s">
        <v>5156</v>
      </c>
      <c r="N638" s="8" t="str">
        <f>"CFI"&amp;".D"&amp;TEXT(Caja_Finanzas[[#This Row],[FECHA]],"DD-MM")&amp;"-"&amp;TEXT(Caja_Finanzas[[#This Row],[ITEM]],"0000")</f>
        <v>CFI.D15-07-0580</v>
      </c>
      <c r="O638" s="8" t="str">
        <f t="shared" si="62"/>
        <v>PEN</v>
      </c>
      <c r="P638" s="13"/>
      <c r="Q638" s="13">
        <v>556</v>
      </c>
      <c r="R638" s="3">
        <f t="shared" si="46"/>
        <v>556</v>
      </c>
      <c r="S638" s="3">
        <f t="shared" si="47"/>
        <v>0</v>
      </c>
      <c r="T638" s="3">
        <f t="shared" si="48"/>
        <v>19572.799999999996</v>
      </c>
      <c r="U638" s="24"/>
      <c r="V638" s="24"/>
      <c r="W638" s="3"/>
      <c r="X638" s="25"/>
      <c r="Y638" s="25"/>
      <c r="Z638" s="25"/>
      <c r="AA638" s="25"/>
      <c r="AB638" s="25"/>
      <c r="AC638" s="3" t="str">
        <f>IF(Caja_Finanzas[[#This Row],[FECHA]]&gt;0,TEXT(Caja_Finanzas[[#This Row],[FECHA]],"mmmm"),0)</f>
        <v>Julio</v>
      </c>
    </row>
    <row r="639" spans="2:29" x14ac:dyDescent="0.3">
      <c r="B639" s="2">
        <f>IF(Caja_Finanzas[[#This Row],[TIPO DE R.]]="R",COUNTIFS($D$4:$D638,"R")+1,"")</f>
        <v>581</v>
      </c>
      <c r="C639" s="19" t="str">
        <f t="shared" si="61"/>
        <v>C-Finanzas</v>
      </c>
      <c r="D639" s="3" t="s">
        <v>1074</v>
      </c>
      <c r="E639" s="14">
        <v>45853</v>
      </c>
      <c r="F639" s="5" t="s">
        <v>382</v>
      </c>
      <c r="G639" s="5" t="s">
        <v>1087</v>
      </c>
      <c r="H639" s="5"/>
      <c r="I639" s="6"/>
      <c r="J639" s="6" t="s">
        <v>63</v>
      </c>
      <c r="K639" s="6">
        <v>1</v>
      </c>
      <c r="L639" s="6">
        <v>4597</v>
      </c>
      <c r="M639" s="7" t="s">
        <v>5156</v>
      </c>
      <c r="N639" s="8" t="str">
        <f>"CFI"&amp;".D"&amp;TEXT(Caja_Finanzas[[#This Row],[FECHA]],"DD-MM")&amp;"-"&amp;TEXT(Caja_Finanzas[[#This Row],[ITEM]],"0000")</f>
        <v>CFI.D15-07-0581</v>
      </c>
      <c r="O639" s="8" t="str">
        <f t="shared" si="62"/>
        <v>PEN</v>
      </c>
      <c r="P639" s="13"/>
      <c r="Q639" s="13">
        <v>600</v>
      </c>
      <c r="R639" s="3">
        <f t="shared" si="46"/>
        <v>600</v>
      </c>
      <c r="S639" s="3">
        <f t="shared" si="47"/>
        <v>0</v>
      </c>
      <c r="T639" s="3">
        <f t="shared" si="48"/>
        <v>20172.799999999996</v>
      </c>
      <c r="U639" s="24"/>
      <c r="V639" s="24"/>
      <c r="W639" s="3"/>
      <c r="X639" s="25"/>
      <c r="Y639" s="25"/>
      <c r="Z639" s="25"/>
      <c r="AA639" s="25"/>
      <c r="AB639" s="25"/>
      <c r="AC639" s="3" t="str">
        <f>IF(Caja_Finanzas[[#This Row],[FECHA]]&gt;0,TEXT(Caja_Finanzas[[#This Row],[FECHA]],"mmmm"),0)</f>
        <v>Julio</v>
      </c>
    </row>
    <row r="640" spans="2:29" x14ac:dyDescent="0.3">
      <c r="B640" s="2">
        <f>IF(Caja_Finanzas[[#This Row],[TIPO DE R.]]="R",COUNTIFS($D$4:$D639,"R")+1,"")</f>
        <v>582</v>
      </c>
      <c r="C640" s="19" t="str">
        <f t="shared" si="61"/>
        <v>C-Finanzas</v>
      </c>
      <c r="D640" s="3" t="s">
        <v>1074</v>
      </c>
      <c r="E640" s="14">
        <v>45853</v>
      </c>
      <c r="F640" s="5" t="s">
        <v>382</v>
      </c>
      <c r="G640" s="5" t="s">
        <v>1087</v>
      </c>
      <c r="H640" s="5"/>
      <c r="I640" s="6"/>
      <c r="J640" s="6" t="s">
        <v>63</v>
      </c>
      <c r="K640" s="6">
        <v>1</v>
      </c>
      <c r="L640" s="6">
        <v>4602</v>
      </c>
      <c r="M640" s="7" t="s">
        <v>5156</v>
      </c>
      <c r="N640" s="8" t="str">
        <f>"CFI"&amp;".D"&amp;TEXT(Caja_Finanzas[[#This Row],[FECHA]],"DD-MM")&amp;"-"&amp;TEXT(Caja_Finanzas[[#This Row],[ITEM]],"0000")</f>
        <v>CFI.D15-07-0582</v>
      </c>
      <c r="O640" s="8" t="str">
        <f t="shared" si="62"/>
        <v>PEN</v>
      </c>
      <c r="P640" s="13"/>
      <c r="Q640" s="13">
        <v>785</v>
      </c>
      <c r="R640" s="3">
        <f t="shared" si="46"/>
        <v>785</v>
      </c>
      <c r="S640" s="3">
        <f t="shared" si="47"/>
        <v>0</v>
      </c>
      <c r="T640" s="3">
        <f t="shared" si="48"/>
        <v>20957.799999999996</v>
      </c>
      <c r="U640" s="24"/>
      <c r="V640" s="24"/>
      <c r="W640" s="3"/>
      <c r="X640" s="25"/>
      <c r="Y640" s="25"/>
      <c r="Z640" s="25"/>
      <c r="AA640" s="25"/>
      <c r="AB640" s="25"/>
      <c r="AC640" s="3" t="str">
        <f>IF(Caja_Finanzas[[#This Row],[FECHA]]&gt;0,TEXT(Caja_Finanzas[[#This Row],[FECHA]],"mmmm"),0)</f>
        <v>Julio</v>
      </c>
    </row>
    <row r="641" spans="2:29" ht="24" x14ac:dyDescent="0.3">
      <c r="B641" s="2">
        <f>IF(Caja_Finanzas[[#This Row],[TIPO DE R.]]="R",COUNTIFS($D$4:$D640,"R")+1,"")</f>
        <v>583</v>
      </c>
      <c r="C641" s="19" t="str">
        <f t="shared" ref="C641:C650" si="63">"C-Finanzas"</f>
        <v>C-Finanzas</v>
      </c>
      <c r="D641" s="3" t="s">
        <v>1074</v>
      </c>
      <c r="E641" s="14">
        <v>45853</v>
      </c>
      <c r="F641" s="5" t="s">
        <v>5343</v>
      </c>
      <c r="G641" s="5" t="s">
        <v>1079</v>
      </c>
      <c r="H641" s="5"/>
      <c r="I641" s="6"/>
      <c r="J641" s="6" t="s">
        <v>59</v>
      </c>
      <c r="K641" s="6" t="s">
        <v>6205</v>
      </c>
      <c r="L641" s="6">
        <v>12</v>
      </c>
      <c r="M641" s="7" t="s">
        <v>6206</v>
      </c>
      <c r="N641" s="8" t="str">
        <f>"CFI"&amp;".D"&amp;TEXT(Caja_Finanzas[[#This Row],[FECHA]],"DD-MM")&amp;"-"&amp;TEXT(Caja_Finanzas[[#This Row],[ITEM]],"0000")</f>
        <v>CFI.D15-07-0583</v>
      </c>
      <c r="O641" s="8" t="str">
        <f t="shared" ref="O641:O650" si="64">"PEN"</f>
        <v>PEN</v>
      </c>
      <c r="P641" s="13"/>
      <c r="Q641" s="13">
        <v>3000</v>
      </c>
      <c r="R641" s="3">
        <f t="shared" si="46"/>
        <v>0</v>
      </c>
      <c r="S641" s="3">
        <f t="shared" si="47"/>
        <v>3000</v>
      </c>
      <c r="T641" s="3">
        <f t="shared" si="48"/>
        <v>17957.799999999996</v>
      </c>
      <c r="U641" s="24"/>
      <c r="V641" s="24"/>
      <c r="W641" s="3"/>
      <c r="X641" s="25"/>
      <c r="Y641" s="25"/>
      <c r="Z641" s="25"/>
      <c r="AA641" s="25"/>
      <c r="AB641" s="25"/>
      <c r="AC641" s="3" t="str">
        <f>IF(Caja_Finanzas[[#This Row],[FECHA]]&gt;0,TEXT(Caja_Finanzas[[#This Row],[FECHA]],"mmmm"),0)</f>
        <v>Julio</v>
      </c>
    </row>
    <row r="642" spans="2:29" ht="24" x14ac:dyDescent="0.3">
      <c r="B642" s="2">
        <f>IF(Caja_Finanzas[[#This Row],[TIPO DE R.]]="R",COUNTIFS($D$4:$D641,"R")+1,"")</f>
        <v>584</v>
      </c>
      <c r="C642" s="19" t="str">
        <f t="shared" si="63"/>
        <v>C-Finanzas</v>
      </c>
      <c r="D642" s="3" t="s">
        <v>1074</v>
      </c>
      <c r="E642" s="14">
        <v>45854</v>
      </c>
      <c r="F642" s="5" t="s">
        <v>3562</v>
      </c>
      <c r="G642" s="5" t="s">
        <v>1079</v>
      </c>
      <c r="H642" s="5"/>
      <c r="I642" s="6"/>
      <c r="J642" s="6" t="s">
        <v>59</v>
      </c>
      <c r="K642" s="6" t="s">
        <v>6207</v>
      </c>
      <c r="L642" s="6">
        <v>48</v>
      </c>
      <c r="M642" s="7" t="s">
        <v>6208</v>
      </c>
      <c r="N642" s="8" t="str">
        <f>"CFI"&amp;".D"&amp;TEXT(Caja_Finanzas[[#This Row],[FECHA]],"DD-MM")&amp;"-"&amp;TEXT(Caja_Finanzas[[#This Row],[ITEM]],"0000")</f>
        <v>CFI.D16-07-0584</v>
      </c>
      <c r="O642" s="8" t="str">
        <f t="shared" si="64"/>
        <v>PEN</v>
      </c>
      <c r="P642" s="13"/>
      <c r="Q642" s="13">
        <v>243.9</v>
      </c>
      <c r="R642" s="3">
        <f t="shared" si="46"/>
        <v>0</v>
      </c>
      <c r="S642" s="3">
        <f t="shared" si="47"/>
        <v>243.9</v>
      </c>
      <c r="T642" s="3">
        <f t="shared" si="48"/>
        <v>17713.899999999994</v>
      </c>
      <c r="U642" s="24"/>
      <c r="V642" s="24"/>
      <c r="W642" s="3"/>
      <c r="X642" s="25">
        <v>244</v>
      </c>
      <c r="Y642" s="25"/>
      <c r="Z642" s="25"/>
      <c r="AA642" s="25"/>
      <c r="AB642" s="25"/>
      <c r="AC642" s="3" t="str">
        <f>IF(Caja_Finanzas[[#This Row],[FECHA]]&gt;0,TEXT(Caja_Finanzas[[#This Row],[FECHA]],"mmmm"),0)</f>
        <v>Julio</v>
      </c>
    </row>
    <row r="643" spans="2:29" ht="24" x14ac:dyDescent="0.3">
      <c r="B643" s="2">
        <f>IF(Caja_Finanzas[[#This Row],[TIPO DE R.]]="R",COUNTIFS($D$4:$D642,"R")+1,"")</f>
        <v>585</v>
      </c>
      <c r="C643" s="19" t="str">
        <f t="shared" si="63"/>
        <v>C-Finanzas</v>
      </c>
      <c r="D643" s="3" t="s">
        <v>1074</v>
      </c>
      <c r="E643" s="14">
        <v>45854</v>
      </c>
      <c r="F643" s="5" t="s">
        <v>5338</v>
      </c>
      <c r="G643" s="5" t="s">
        <v>1079</v>
      </c>
      <c r="H643" s="5"/>
      <c r="I643" s="6" t="s">
        <v>168</v>
      </c>
      <c r="J643" s="6" t="s">
        <v>78</v>
      </c>
      <c r="K643" s="6">
        <v>1</v>
      </c>
      <c r="L643" s="6">
        <v>261</v>
      </c>
      <c r="M643" s="7" t="s">
        <v>6209</v>
      </c>
      <c r="N643" s="8" t="str">
        <f>"CFI"&amp;".D"&amp;TEXT(Caja_Finanzas[[#This Row],[FECHA]],"DD-MM")&amp;"-"&amp;TEXT(Caja_Finanzas[[#This Row],[ITEM]],"0000")</f>
        <v>CFI.D16-07-0585</v>
      </c>
      <c r="O643" s="8" t="str">
        <f t="shared" si="64"/>
        <v>PEN</v>
      </c>
      <c r="P643" s="13"/>
      <c r="Q643" s="13">
        <v>125.6</v>
      </c>
      <c r="R643" s="3">
        <f t="shared" ref="R643:R650" si="65">+IF(OR($G643="SALDO",$G643="INGRESO"),$Q643,0)</f>
        <v>0</v>
      </c>
      <c r="S643" s="3">
        <f t="shared" ref="S643:S650" si="66">+IF($G643="EGRESO",$Q643,0)</f>
        <v>125.6</v>
      </c>
      <c r="T643" s="3">
        <f t="shared" si="48"/>
        <v>17588.299999999996</v>
      </c>
      <c r="U643" s="24"/>
      <c r="V643" s="24"/>
      <c r="W643" s="3"/>
      <c r="X643" s="25"/>
      <c r="Y643" s="25"/>
      <c r="Z643" s="25"/>
      <c r="AA643" s="25"/>
      <c r="AB643" s="25"/>
      <c r="AC643" s="3" t="str">
        <f>IF(Caja_Finanzas[[#This Row],[FECHA]]&gt;0,TEXT(Caja_Finanzas[[#This Row],[FECHA]],"mmmm"),0)</f>
        <v>Julio</v>
      </c>
    </row>
    <row r="644" spans="2:29" ht="48" x14ac:dyDescent="0.3">
      <c r="B644" s="2">
        <f>IF(Caja_Finanzas[[#This Row],[TIPO DE R.]]="R",COUNTIFS($D$4:$D643,"R")+1,"")</f>
        <v>586</v>
      </c>
      <c r="C644" s="19" t="str">
        <f t="shared" si="63"/>
        <v>C-Finanzas</v>
      </c>
      <c r="D644" s="3" t="s">
        <v>1074</v>
      </c>
      <c r="E644" s="14">
        <v>45855</v>
      </c>
      <c r="F644" s="5" t="s">
        <v>5416</v>
      </c>
      <c r="G644" s="5" t="s">
        <v>1087</v>
      </c>
      <c r="H644" s="5"/>
      <c r="I644" s="6"/>
      <c r="J644" s="6"/>
      <c r="K644" s="6"/>
      <c r="L644" s="6"/>
      <c r="M644" s="7" t="s">
        <v>6210</v>
      </c>
      <c r="N644" s="8" t="str">
        <f>"CFI"&amp;".D"&amp;TEXT(Caja_Finanzas[[#This Row],[FECHA]],"DD-MM")&amp;"-"&amp;TEXT(Caja_Finanzas[[#This Row],[ITEM]],"0000")</f>
        <v>CFI.D17-07-0586</v>
      </c>
      <c r="O644" s="8" t="str">
        <f t="shared" si="64"/>
        <v>PEN</v>
      </c>
      <c r="P644" s="13"/>
      <c r="Q644" s="13">
        <v>100</v>
      </c>
      <c r="R644" s="3">
        <f t="shared" si="65"/>
        <v>100</v>
      </c>
      <c r="S644" s="3">
        <f t="shared" si="66"/>
        <v>0</v>
      </c>
      <c r="T644" s="3">
        <f t="shared" si="48"/>
        <v>17688.299999999996</v>
      </c>
      <c r="U644" s="24"/>
      <c r="V644" s="24"/>
      <c r="W644" s="3"/>
      <c r="X644" s="25"/>
      <c r="Y644" s="25"/>
      <c r="Z644" s="25"/>
      <c r="AA644" s="25"/>
      <c r="AB644" s="25"/>
      <c r="AC644" s="3" t="str">
        <f>IF(Caja_Finanzas[[#This Row],[FECHA]]&gt;0,TEXT(Caja_Finanzas[[#This Row],[FECHA]],"mmmm"),0)</f>
        <v>Julio</v>
      </c>
    </row>
    <row r="645" spans="2:29" ht="36" x14ac:dyDescent="0.3">
      <c r="B645" s="2">
        <f>IF(Caja_Finanzas[[#This Row],[TIPO DE R.]]="R",COUNTIFS($D$4:$D644,"R")+1,"")</f>
        <v>587</v>
      </c>
      <c r="C645" s="19" t="str">
        <f t="shared" si="63"/>
        <v>C-Finanzas</v>
      </c>
      <c r="D645" s="3" t="s">
        <v>1074</v>
      </c>
      <c r="E645" s="14">
        <v>45855</v>
      </c>
      <c r="F645" s="5" t="s">
        <v>3562</v>
      </c>
      <c r="G645" s="5" t="s">
        <v>1079</v>
      </c>
      <c r="H645" s="5"/>
      <c r="I645" s="6"/>
      <c r="J645" s="6" t="s">
        <v>59</v>
      </c>
      <c r="K645" s="6" t="s">
        <v>6186</v>
      </c>
      <c r="L645" s="6">
        <v>49</v>
      </c>
      <c r="M645" s="7" t="s">
        <v>6211</v>
      </c>
      <c r="N645" s="8" t="str">
        <f>"CFI"&amp;".D"&amp;TEXT(Caja_Finanzas[[#This Row],[FECHA]],"DD-MM")&amp;"-"&amp;TEXT(Caja_Finanzas[[#This Row],[ITEM]],"0000")</f>
        <v>CFI.D17-07-0587</v>
      </c>
      <c r="O645" s="8" t="str">
        <f t="shared" si="64"/>
        <v>PEN</v>
      </c>
      <c r="P645" s="13"/>
      <c r="Q645" s="13">
        <v>180</v>
      </c>
      <c r="R645" s="3">
        <f t="shared" si="65"/>
        <v>0</v>
      </c>
      <c r="S645" s="3">
        <f t="shared" si="66"/>
        <v>180</v>
      </c>
      <c r="T645" s="3">
        <f t="shared" ref="T645:T708" si="67">IFERROR(IF(G645="SALDO",R645,T644+R645-S645),0)</f>
        <v>17508.299999999996</v>
      </c>
      <c r="U645" s="24"/>
      <c r="V645" s="24"/>
      <c r="W645" s="3"/>
      <c r="X645" s="25"/>
      <c r="Y645" s="25"/>
      <c r="Z645" s="25"/>
      <c r="AA645" s="25"/>
      <c r="AB645" s="25"/>
      <c r="AC645" s="3" t="str">
        <f>IF(Caja_Finanzas[[#This Row],[FECHA]]&gt;0,TEXT(Caja_Finanzas[[#This Row],[FECHA]],"mmmm"),0)</f>
        <v>Julio</v>
      </c>
    </row>
    <row r="646" spans="2:29" ht="24" x14ac:dyDescent="0.3">
      <c r="B646" s="2">
        <f>IF(Caja_Finanzas[[#This Row],[TIPO DE R.]]="R",COUNTIFS($D$4:$D645,"R")+1,"")</f>
        <v>588</v>
      </c>
      <c r="C646" s="19" t="str">
        <f t="shared" si="63"/>
        <v>C-Finanzas</v>
      </c>
      <c r="D646" s="3" t="s">
        <v>1074</v>
      </c>
      <c r="E646" s="14">
        <v>45855</v>
      </c>
      <c r="F646" s="5" t="s">
        <v>3353</v>
      </c>
      <c r="G646" s="5" t="s">
        <v>1079</v>
      </c>
      <c r="H646" s="5"/>
      <c r="I646" s="6"/>
      <c r="J646" s="6" t="s">
        <v>59</v>
      </c>
      <c r="K646" s="6" t="s">
        <v>6212</v>
      </c>
      <c r="L646" s="6">
        <v>2</v>
      </c>
      <c r="M646" s="7" t="s">
        <v>6213</v>
      </c>
      <c r="N646" s="8" t="str">
        <f>"CFI"&amp;".D"&amp;TEXT(Caja_Finanzas[[#This Row],[FECHA]],"DD-MM")&amp;"-"&amp;TEXT(Caja_Finanzas[[#This Row],[ITEM]],"0000")</f>
        <v>CFI.D17-07-0588</v>
      </c>
      <c r="O646" s="8" t="str">
        <f t="shared" si="64"/>
        <v>PEN</v>
      </c>
      <c r="P646" s="13"/>
      <c r="Q646" s="13">
        <v>253</v>
      </c>
      <c r="R646" s="3">
        <f t="shared" si="65"/>
        <v>0</v>
      </c>
      <c r="S646" s="3">
        <f t="shared" si="66"/>
        <v>253</v>
      </c>
      <c r="T646" s="3">
        <f t="shared" si="67"/>
        <v>17255.299999999996</v>
      </c>
      <c r="U646" s="24"/>
      <c r="V646" s="24"/>
      <c r="W646" s="3"/>
      <c r="X646" s="25"/>
      <c r="Y646" s="25"/>
      <c r="Z646" s="25"/>
      <c r="AA646" s="25"/>
      <c r="AB646" s="25"/>
      <c r="AC646" s="3" t="str">
        <f>IF(Caja_Finanzas[[#This Row],[FECHA]]&gt;0,TEXT(Caja_Finanzas[[#This Row],[FECHA]],"mmmm"),0)</f>
        <v>Julio</v>
      </c>
    </row>
    <row r="647" spans="2:29" ht="24" x14ac:dyDescent="0.3">
      <c r="B647" s="2">
        <f>IF(Caja_Finanzas[[#This Row],[TIPO DE R.]]="R",COUNTIFS($D$4:$D646,"R")+1,"")</f>
        <v>589</v>
      </c>
      <c r="C647" s="19" t="str">
        <f t="shared" si="63"/>
        <v>C-Finanzas</v>
      </c>
      <c r="D647" s="3" t="s">
        <v>1074</v>
      </c>
      <c r="E647" s="14">
        <v>45855</v>
      </c>
      <c r="F647" s="5" t="s">
        <v>3353</v>
      </c>
      <c r="G647" s="5" t="s">
        <v>1079</v>
      </c>
      <c r="H647" s="5"/>
      <c r="I647" s="6"/>
      <c r="J647" s="6" t="s">
        <v>59</v>
      </c>
      <c r="K647" s="6" t="s">
        <v>6212</v>
      </c>
      <c r="L647" s="6">
        <v>1</v>
      </c>
      <c r="M647" s="7" t="s">
        <v>6214</v>
      </c>
      <c r="N647" s="8" t="str">
        <f>"CFI"&amp;".D"&amp;TEXT(Caja_Finanzas[[#This Row],[FECHA]],"DD-MM")&amp;"-"&amp;TEXT(Caja_Finanzas[[#This Row],[ITEM]],"0000")</f>
        <v>CFI.D17-07-0589</v>
      </c>
      <c r="O647" s="8" t="str">
        <f t="shared" si="64"/>
        <v>PEN</v>
      </c>
      <c r="P647" s="13"/>
      <c r="Q647" s="13">
        <v>44.2</v>
      </c>
      <c r="R647" s="3">
        <f t="shared" si="65"/>
        <v>0</v>
      </c>
      <c r="S647" s="3">
        <f t="shared" si="66"/>
        <v>44.2</v>
      </c>
      <c r="T647" s="3">
        <f t="shared" si="67"/>
        <v>17211.099999999995</v>
      </c>
      <c r="U647" s="24"/>
      <c r="V647" s="24"/>
      <c r="W647" s="3"/>
      <c r="X647" s="25"/>
      <c r="Y647" s="25"/>
      <c r="Z647" s="25"/>
      <c r="AA647" s="25"/>
      <c r="AB647" s="25"/>
      <c r="AC647" s="3" t="str">
        <f>IF(Caja_Finanzas[[#This Row],[FECHA]]&gt;0,TEXT(Caja_Finanzas[[#This Row],[FECHA]],"mmmm"),0)</f>
        <v>Julio</v>
      </c>
    </row>
    <row r="648" spans="2:29" ht="36" x14ac:dyDescent="0.3">
      <c r="B648" s="2">
        <f>IF(Caja_Finanzas[[#This Row],[TIPO DE R.]]="R",COUNTIFS($D$4:$D647,"R")+1,"")</f>
        <v>590</v>
      </c>
      <c r="C648" s="19" t="str">
        <f t="shared" si="63"/>
        <v>C-Finanzas</v>
      </c>
      <c r="D648" s="3" t="s">
        <v>1074</v>
      </c>
      <c r="E648" s="14">
        <v>45855</v>
      </c>
      <c r="F648" s="5" t="s">
        <v>5457</v>
      </c>
      <c r="G648" s="5" t="s">
        <v>1079</v>
      </c>
      <c r="H648" s="5"/>
      <c r="I648" s="6"/>
      <c r="J648" s="6" t="s">
        <v>59</v>
      </c>
      <c r="K648" s="6" t="s">
        <v>6169</v>
      </c>
      <c r="L648" s="6">
        <v>135</v>
      </c>
      <c r="M648" s="7" t="s">
        <v>6215</v>
      </c>
      <c r="N648" s="8" t="str">
        <f>"CFI"&amp;".D"&amp;TEXT(Caja_Finanzas[[#This Row],[FECHA]],"DD-MM")&amp;"-"&amp;TEXT(Caja_Finanzas[[#This Row],[ITEM]],"0000")</f>
        <v>CFI.D17-07-0590</v>
      </c>
      <c r="O648" s="8" t="str">
        <f t="shared" si="64"/>
        <v>PEN</v>
      </c>
      <c r="P648" s="13"/>
      <c r="Q648" s="13">
        <v>100</v>
      </c>
      <c r="R648" s="3">
        <f t="shared" si="65"/>
        <v>0</v>
      </c>
      <c r="S648" s="3">
        <f t="shared" si="66"/>
        <v>100</v>
      </c>
      <c r="T648" s="3">
        <f t="shared" si="67"/>
        <v>17111.099999999995</v>
      </c>
      <c r="U648" s="24"/>
      <c r="V648" s="24"/>
      <c r="W648" s="3"/>
      <c r="X648" s="25"/>
      <c r="Y648" s="25"/>
      <c r="Z648" s="25"/>
      <c r="AA648" s="25"/>
      <c r="AB648" s="25"/>
      <c r="AC648" s="3" t="str">
        <f>IF(Caja_Finanzas[[#This Row],[FECHA]]&gt;0,TEXT(Caja_Finanzas[[#This Row],[FECHA]],"mmmm"),0)</f>
        <v>Julio</v>
      </c>
    </row>
    <row r="649" spans="2:29" ht="36" x14ac:dyDescent="0.3">
      <c r="B649" s="2">
        <f>IF(Caja_Finanzas[[#This Row],[TIPO DE R.]]="R",COUNTIFS($D$4:$D648,"R")+1,"")</f>
        <v>591</v>
      </c>
      <c r="C649" s="19" t="str">
        <f t="shared" si="63"/>
        <v>C-Finanzas</v>
      </c>
      <c r="D649" s="3" t="s">
        <v>1074</v>
      </c>
      <c r="E649" s="14">
        <v>45855</v>
      </c>
      <c r="F649" s="5" t="s">
        <v>5457</v>
      </c>
      <c r="G649" s="5" t="s">
        <v>1079</v>
      </c>
      <c r="H649" s="5"/>
      <c r="I649" s="6"/>
      <c r="J649" s="6" t="s">
        <v>59</v>
      </c>
      <c r="K649" s="6" t="s">
        <v>6169</v>
      </c>
      <c r="L649" s="6">
        <v>134</v>
      </c>
      <c r="M649" s="7" t="s">
        <v>6216</v>
      </c>
      <c r="N649" s="8" t="str">
        <f>"CFI"&amp;".D"&amp;TEXT(Caja_Finanzas[[#This Row],[FECHA]],"DD-MM")&amp;"-"&amp;TEXT(Caja_Finanzas[[#This Row],[ITEM]],"0000")</f>
        <v>CFI.D17-07-0591</v>
      </c>
      <c r="O649" s="8" t="str">
        <f t="shared" si="64"/>
        <v>PEN</v>
      </c>
      <c r="P649" s="13"/>
      <c r="Q649" s="13">
        <v>90</v>
      </c>
      <c r="R649" s="3">
        <f t="shared" si="65"/>
        <v>0</v>
      </c>
      <c r="S649" s="3">
        <f t="shared" si="66"/>
        <v>90</v>
      </c>
      <c r="T649" s="3">
        <f t="shared" si="67"/>
        <v>17021.099999999995</v>
      </c>
      <c r="U649" s="24"/>
      <c r="V649" s="24"/>
      <c r="W649" s="3"/>
      <c r="X649" s="25"/>
      <c r="Y649" s="25"/>
      <c r="Z649" s="25"/>
      <c r="AA649" s="25"/>
      <c r="AB649" s="25"/>
      <c r="AC649" s="3" t="str">
        <f>IF(Caja_Finanzas[[#This Row],[FECHA]]&gt;0,TEXT(Caja_Finanzas[[#This Row],[FECHA]],"mmmm"),0)</f>
        <v>Julio</v>
      </c>
    </row>
    <row r="650" spans="2:29" ht="24" x14ac:dyDescent="0.3">
      <c r="B650" s="2">
        <f>IF(Caja_Finanzas[[#This Row],[TIPO DE R.]]="R",COUNTIFS($D$4:$D649,"R")+1,"")</f>
        <v>592</v>
      </c>
      <c r="C650" s="19" t="str">
        <f t="shared" si="63"/>
        <v>C-Finanzas</v>
      </c>
      <c r="D650" s="3" t="s">
        <v>1074</v>
      </c>
      <c r="E650" s="14">
        <v>45855</v>
      </c>
      <c r="F650" s="5" t="s">
        <v>6217</v>
      </c>
      <c r="G650" s="5" t="s">
        <v>1079</v>
      </c>
      <c r="H650" s="5"/>
      <c r="I650" s="6" t="s">
        <v>950</v>
      </c>
      <c r="J650" s="6" t="s">
        <v>59</v>
      </c>
      <c r="K650" s="6" t="s">
        <v>6218</v>
      </c>
      <c r="L650" s="6">
        <v>1</v>
      </c>
      <c r="M650" s="7" t="s">
        <v>6219</v>
      </c>
      <c r="N650" s="8" t="str">
        <f>"CFI"&amp;".D"&amp;TEXT(Caja_Finanzas[[#This Row],[FECHA]],"DD-MM")&amp;"-"&amp;TEXT(Caja_Finanzas[[#This Row],[ITEM]],"0000")</f>
        <v>CFI.D17-07-0592</v>
      </c>
      <c r="O650" s="8" t="str">
        <f t="shared" si="64"/>
        <v>PEN</v>
      </c>
      <c r="P650" s="13"/>
      <c r="Q650" s="13">
        <v>32.1</v>
      </c>
      <c r="R650" s="3">
        <f t="shared" si="65"/>
        <v>0</v>
      </c>
      <c r="S650" s="3">
        <f t="shared" si="66"/>
        <v>32.1</v>
      </c>
      <c r="T650" s="3">
        <f t="shared" si="67"/>
        <v>16988.999999999996</v>
      </c>
      <c r="U650" s="24"/>
      <c r="V650" s="24"/>
      <c r="W650" s="3"/>
      <c r="X650" s="25"/>
      <c r="Y650" s="25"/>
      <c r="Z650" s="25"/>
      <c r="AA650" s="25"/>
      <c r="AB650" s="25"/>
      <c r="AC650" s="3" t="str">
        <f>IF(Caja_Finanzas[[#This Row],[FECHA]]&gt;0,TEXT(Caja_Finanzas[[#This Row],[FECHA]],"mmmm"),0)</f>
        <v>Julio</v>
      </c>
    </row>
    <row r="651" spans="2:29" ht="24" x14ac:dyDescent="0.3">
      <c r="B651" s="2">
        <f>IF(Caja_Finanzas[[#This Row],[TIPO DE R.]]="R",COUNTIFS($D$4:$D650,"R")+1,"")</f>
        <v>593</v>
      </c>
      <c r="C651" s="19" t="str">
        <f t="shared" ref="C651:C659" si="68">"C-Finanzas"</f>
        <v>C-Finanzas</v>
      </c>
      <c r="D651" s="3" t="s">
        <v>1074</v>
      </c>
      <c r="E651" s="14">
        <v>45856</v>
      </c>
      <c r="F651" s="5" t="s">
        <v>5618</v>
      </c>
      <c r="G651" s="5" t="s">
        <v>1079</v>
      </c>
      <c r="H651" s="5"/>
      <c r="I651" s="6"/>
      <c r="J651" s="6" t="s">
        <v>59</v>
      </c>
      <c r="K651" s="6" t="s">
        <v>6169</v>
      </c>
      <c r="L651" s="6">
        <v>133</v>
      </c>
      <c r="M651" s="7" t="s">
        <v>6220</v>
      </c>
      <c r="N651" s="8" t="str">
        <f>"CFI"&amp;".D"&amp;TEXT(Caja_Finanzas[[#This Row],[FECHA]],"DD-MM")&amp;"-"&amp;TEXT(Caja_Finanzas[[#This Row],[ITEM]],"0000")</f>
        <v>CFI.D18-07-0593</v>
      </c>
      <c r="O651" s="8" t="str">
        <f t="shared" ref="O651:O659" si="69">"PEN"</f>
        <v>PEN</v>
      </c>
      <c r="P651" s="13"/>
      <c r="Q651" s="13">
        <v>15</v>
      </c>
      <c r="R651" s="3">
        <f t="shared" ref="R651:R659" si="70">+IF(OR($G651="SALDO",$G651="INGRESO"),$Q651,0)</f>
        <v>0</v>
      </c>
      <c r="S651" s="3">
        <f t="shared" ref="S651:S659" si="71">+IF($G651="EGRESO",$Q651,0)</f>
        <v>15</v>
      </c>
      <c r="T651" s="3">
        <f t="shared" si="67"/>
        <v>16973.999999999996</v>
      </c>
      <c r="U651" s="24"/>
      <c r="V651" s="24"/>
      <c r="W651" s="3"/>
      <c r="X651" s="25"/>
      <c r="Y651" s="25"/>
      <c r="Z651" s="25"/>
      <c r="AA651" s="25"/>
      <c r="AB651" s="25"/>
      <c r="AC651" s="3" t="str">
        <f>IF(Caja_Finanzas[[#This Row],[FECHA]]&gt;0,TEXT(Caja_Finanzas[[#This Row],[FECHA]],"mmmm"),0)</f>
        <v>Julio</v>
      </c>
    </row>
    <row r="652" spans="2:29" ht="36" x14ac:dyDescent="0.3">
      <c r="B652" s="2">
        <f>IF(Caja_Finanzas[[#This Row],[TIPO DE R.]]="R",COUNTIFS($D$4:$D651,"R")+1,"")</f>
        <v>594</v>
      </c>
      <c r="C652" s="19" t="str">
        <f t="shared" si="68"/>
        <v>C-Finanzas</v>
      </c>
      <c r="D652" s="3" t="s">
        <v>1074</v>
      </c>
      <c r="E652" s="14">
        <v>45856</v>
      </c>
      <c r="F652" s="5" t="s">
        <v>5827</v>
      </c>
      <c r="G652" s="5" t="s">
        <v>1079</v>
      </c>
      <c r="H652" s="5"/>
      <c r="I652" s="6"/>
      <c r="J652" s="6" t="s">
        <v>59</v>
      </c>
      <c r="K652" s="6" t="s">
        <v>6169</v>
      </c>
      <c r="L652" s="6">
        <v>125</v>
      </c>
      <c r="M652" s="7" t="s">
        <v>6221</v>
      </c>
      <c r="N652" s="8" t="str">
        <f>"CFI"&amp;".D"&amp;TEXT(Caja_Finanzas[[#This Row],[FECHA]],"DD-MM")&amp;"-"&amp;TEXT(Caja_Finanzas[[#This Row],[ITEM]],"0000")</f>
        <v>CFI.D18-07-0594</v>
      </c>
      <c r="O652" s="8" t="str">
        <f t="shared" si="69"/>
        <v>PEN</v>
      </c>
      <c r="P652" s="13"/>
      <c r="Q652" s="13">
        <v>600</v>
      </c>
      <c r="R652" s="3">
        <f t="shared" si="70"/>
        <v>0</v>
      </c>
      <c r="S652" s="3">
        <f t="shared" si="71"/>
        <v>600</v>
      </c>
      <c r="T652" s="3">
        <f t="shared" si="67"/>
        <v>16373.999999999996</v>
      </c>
      <c r="U652" s="24"/>
      <c r="V652" s="24"/>
      <c r="W652" s="3"/>
      <c r="X652" s="25"/>
      <c r="Y652" s="25"/>
      <c r="Z652" s="25"/>
      <c r="AA652" s="25"/>
      <c r="AB652" s="25"/>
      <c r="AC652" s="3" t="str">
        <f>IF(Caja_Finanzas[[#This Row],[FECHA]]&gt;0,TEXT(Caja_Finanzas[[#This Row],[FECHA]],"mmmm"),0)</f>
        <v>Julio</v>
      </c>
    </row>
    <row r="653" spans="2:29" ht="24" x14ac:dyDescent="0.3">
      <c r="B653" s="2">
        <f>IF(Caja_Finanzas[[#This Row],[TIPO DE R.]]="R",COUNTIFS($D$4:$D652,"R")+1,"")</f>
        <v>595</v>
      </c>
      <c r="C653" s="19" t="str">
        <f t="shared" si="68"/>
        <v>C-Finanzas</v>
      </c>
      <c r="D653" s="3" t="s">
        <v>1074</v>
      </c>
      <c r="E653" s="14">
        <v>45856</v>
      </c>
      <c r="F653" s="5" t="s">
        <v>5827</v>
      </c>
      <c r="G653" s="5" t="s">
        <v>1079</v>
      </c>
      <c r="H653" s="5"/>
      <c r="I653" s="6"/>
      <c r="J653" s="6" t="s">
        <v>59</v>
      </c>
      <c r="K653" s="6" t="s">
        <v>6222</v>
      </c>
      <c r="L653" s="6">
        <v>65</v>
      </c>
      <c r="M653" s="7" t="s">
        <v>6223</v>
      </c>
      <c r="N653" s="8" t="str">
        <f>"CFI"&amp;".D"&amp;TEXT(Caja_Finanzas[[#This Row],[FECHA]],"DD-MM")&amp;"-"&amp;TEXT(Caja_Finanzas[[#This Row],[ITEM]],"0000")</f>
        <v>CFI.D18-07-0595</v>
      </c>
      <c r="O653" s="8" t="str">
        <f t="shared" si="69"/>
        <v>PEN</v>
      </c>
      <c r="P653" s="13"/>
      <c r="Q653" s="13">
        <v>460</v>
      </c>
      <c r="R653" s="3">
        <f t="shared" si="70"/>
        <v>0</v>
      </c>
      <c r="S653" s="3">
        <f t="shared" si="71"/>
        <v>460</v>
      </c>
      <c r="T653" s="3">
        <f t="shared" si="67"/>
        <v>15913.999999999996</v>
      </c>
      <c r="U653" s="24"/>
      <c r="V653" s="24"/>
      <c r="W653" s="3"/>
      <c r="X653" s="25"/>
      <c r="Y653" s="25"/>
      <c r="Z653" s="25"/>
      <c r="AA653" s="25"/>
      <c r="AB653" s="25"/>
      <c r="AC653" s="3" t="str">
        <f>IF(Caja_Finanzas[[#This Row],[FECHA]]&gt;0,TEXT(Caja_Finanzas[[#This Row],[FECHA]],"mmmm"),0)</f>
        <v>Julio</v>
      </c>
    </row>
    <row r="654" spans="2:29" ht="24" x14ac:dyDescent="0.3">
      <c r="B654" s="2">
        <f>IF(Caja_Finanzas[[#This Row],[TIPO DE R.]]="R",COUNTIFS($D$4:$D653,"R")+1,"")</f>
        <v>596</v>
      </c>
      <c r="C654" s="19" t="str">
        <f t="shared" si="68"/>
        <v>C-Finanzas</v>
      </c>
      <c r="D654" s="3" t="s">
        <v>1074</v>
      </c>
      <c r="E654" s="14">
        <v>45859</v>
      </c>
      <c r="F654" s="5" t="s">
        <v>3158</v>
      </c>
      <c r="G654" s="5" t="s">
        <v>1087</v>
      </c>
      <c r="H654" s="5"/>
      <c r="I654" s="6"/>
      <c r="J654" s="6" t="s">
        <v>63</v>
      </c>
      <c r="K654" s="6">
        <v>1</v>
      </c>
      <c r="L654" s="6">
        <v>4617</v>
      </c>
      <c r="M654" s="7" t="s">
        <v>5156</v>
      </c>
      <c r="N654" s="8" t="str">
        <f>"CFI"&amp;".D"&amp;TEXT(Caja_Finanzas[[#This Row],[FECHA]],"DD-MM")&amp;"-"&amp;TEXT(Caja_Finanzas[[#This Row],[ITEM]],"0000")</f>
        <v>CFI.D21-07-0596</v>
      </c>
      <c r="O654" s="8" t="str">
        <f t="shared" si="69"/>
        <v>PEN</v>
      </c>
      <c r="P654" s="13"/>
      <c r="Q654" s="13">
        <v>2140</v>
      </c>
      <c r="R654" s="3">
        <f t="shared" si="70"/>
        <v>2140</v>
      </c>
      <c r="S654" s="3">
        <f t="shared" si="71"/>
        <v>0</v>
      </c>
      <c r="T654" s="3">
        <f t="shared" si="67"/>
        <v>18053.999999999996</v>
      </c>
      <c r="U654" s="24"/>
      <c r="V654" s="24"/>
      <c r="W654" s="3"/>
      <c r="X654" s="25"/>
      <c r="Y654" s="25"/>
      <c r="Z654" s="25"/>
      <c r="AA654" s="25"/>
      <c r="AB654" s="25"/>
      <c r="AC654" s="3" t="str">
        <f>IF(Caja_Finanzas[[#This Row],[FECHA]]&gt;0,TEXT(Caja_Finanzas[[#This Row],[FECHA]],"mmmm"),0)</f>
        <v>Julio</v>
      </c>
    </row>
    <row r="655" spans="2:29" x14ac:dyDescent="0.3">
      <c r="B655" s="2">
        <f>IF(Caja_Finanzas[[#This Row],[TIPO DE R.]]="R",COUNTIFS($D$4:$D654,"R")+1,"")</f>
        <v>597</v>
      </c>
      <c r="C655" s="19" t="str">
        <f t="shared" si="68"/>
        <v>C-Finanzas</v>
      </c>
      <c r="D655" s="3" t="s">
        <v>1074</v>
      </c>
      <c r="E655" s="14">
        <v>45859</v>
      </c>
      <c r="F655" s="5" t="s">
        <v>5566</v>
      </c>
      <c r="G655" s="5" t="s">
        <v>1087</v>
      </c>
      <c r="H655" s="5"/>
      <c r="I655" s="6"/>
      <c r="J655" s="6" t="s">
        <v>63</v>
      </c>
      <c r="K655" s="6">
        <v>1</v>
      </c>
      <c r="L655" s="6">
        <v>4618</v>
      </c>
      <c r="M655" s="7" t="s">
        <v>5156</v>
      </c>
      <c r="N655" s="8" t="str">
        <f>"CFI"&amp;".D"&amp;TEXT(Caja_Finanzas[[#This Row],[FECHA]],"DD-MM")&amp;"-"&amp;TEXT(Caja_Finanzas[[#This Row],[ITEM]],"0000")</f>
        <v>CFI.D21-07-0597</v>
      </c>
      <c r="O655" s="8" t="str">
        <f t="shared" si="69"/>
        <v>PEN</v>
      </c>
      <c r="P655" s="13"/>
      <c r="Q655" s="13">
        <v>1260</v>
      </c>
      <c r="R655" s="3">
        <f t="shared" si="70"/>
        <v>1260</v>
      </c>
      <c r="S655" s="3">
        <f t="shared" si="71"/>
        <v>0</v>
      </c>
      <c r="T655" s="3">
        <f t="shared" si="67"/>
        <v>19313.999999999996</v>
      </c>
      <c r="U655" s="24"/>
      <c r="V655" s="24"/>
      <c r="W655" s="3"/>
      <c r="X655" s="25"/>
      <c r="Y655" s="25"/>
      <c r="Z655" s="25"/>
      <c r="AA655" s="25"/>
      <c r="AB655" s="25"/>
      <c r="AC655" s="3" t="str">
        <f>IF(Caja_Finanzas[[#This Row],[FECHA]]&gt;0,TEXT(Caja_Finanzas[[#This Row],[FECHA]],"mmmm"),0)</f>
        <v>Julio</v>
      </c>
    </row>
    <row r="656" spans="2:29" ht="24" x14ac:dyDescent="0.3">
      <c r="B656" s="2">
        <f>IF(Caja_Finanzas[[#This Row],[TIPO DE R.]]="R",COUNTIFS($D$4:$D655,"R")+1,"")</f>
        <v>598</v>
      </c>
      <c r="C656" s="19" t="str">
        <f t="shared" si="68"/>
        <v>C-Finanzas</v>
      </c>
      <c r="D656" s="3" t="s">
        <v>1074</v>
      </c>
      <c r="E656" s="14">
        <v>45859</v>
      </c>
      <c r="F656" s="5" t="s">
        <v>5441</v>
      </c>
      <c r="G656" s="5" t="s">
        <v>1087</v>
      </c>
      <c r="H656" s="5"/>
      <c r="I656" s="6"/>
      <c r="J656" s="6" t="s">
        <v>63</v>
      </c>
      <c r="K656" s="6">
        <v>1</v>
      </c>
      <c r="L656" s="6">
        <v>4565</v>
      </c>
      <c r="M656" s="7" t="s">
        <v>5156</v>
      </c>
      <c r="N656" s="8" t="str">
        <f>"CFI"&amp;".D"&amp;TEXT(Caja_Finanzas[[#This Row],[FECHA]],"DD-MM")&amp;"-"&amp;TEXT(Caja_Finanzas[[#This Row],[ITEM]],"0000")</f>
        <v>CFI.D21-07-0598</v>
      </c>
      <c r="O656" s="8" t="str">
        <f t="shared" si="69"/>
        <v>PEN</v>
      </c>
      <c r="P656" s="13"/>
      <c r="Q656" s="13">
        <v>500</v>
      </c>
      <c r="R656" s="3">
        <f t="shared" si="70"/>
        <v>500</v>
      </c>
      <c r="S656" s="3">
        <f t="shared" si="71"/>
        <v>0</v>
      </c>
      <c r="T656" s="3">
        <f t="shared" si="67"/>
        <v>19813.999999999996</v>
      </c>
      <c r="U656" s="24"/>
      <c r="V656" s="24"/>
      <c r="W656" s="3"/>
      <c r="X656" s="25"/>
      <c r="Y656" s="25"/>
      <c r="Z656" s="25"/>
      <c r="AA656" s="25"/>
      <c r="AB656" s="25"/>
      <c r="AC656" s="3" t="str">
        <f>IF(Caja_Finanzas[[#This Row],[FECHA]]&gt;0,TEXT(Caja_Finanzas[[#This Row],[FECHA]],"mmmm"),0)</f>
        <v>Julio</v>
      </c>
    </row>
    <row r="657" spans="2:29" ht="24" x14ac:dyDescent="0.3">
      <c r="B657" s="2">
        <f>IF(Caja_Finanzas[[#This Row],[TIPO DE R.]]="R",COUNTIFS($D$4:$D656,"R")+1,"")</f>
        <v>599</v>
      </c>
      <c r="C657" s="19" t="str">
        <f t="shared" si="68"/>
        <v>C-Finanzas</v>
      </c>
      <c r="D657" s="3" t="s">
        <v>1074</v>
      </c>
      <c r="E657" s="14">
        <v>45859</v>
      </c>
      <c r="F657" s="5" t="s">
        <v>2226</v>
      </c>
      <c r="G657" s="5" t="s">
        <v>1087</v>
      </c>
      <c r="H657" s="5"/>
      <c r="I657" s="6"/>
      <c r="J657" s="6" t="s">
        <v>63</v>
      </c>
      <c r="K657" s="6">
        <v>1</v>
      </c>
      <c r="L657" s="6">
        <v>4612</v>
      </c>
      <c r="M657" s="7" t="s">
        <v>5156</v>
      </c>
      <c r="N657" s="8" t="str">
        <f>"CFI"&amp;".D"&amp;TEXT(Caja_Finanzas[[#This Row],[FECHA]],"DD-MM")&amp;"-"&amp;TEXT(Caja_Finanzas[[#This Row],[ITEM]],"0000")</f>
        <v>CFI.D21-07-0599</v>
      </c>
      <c r="O657" s="8" t="str">
        <f t="shared" si="69"/>
        <v>PEN</v>
      </c>
      <c r="P657" s="13"/>
      <c r="Q657" s="13">
        <v>2785.5</v>
      </c>
      <c r="R657" s="3">
        <f t="shared" si="70"/>
        <v>2785.5</v>
      </c>
      <c r="S657" s="3">
        <f t="shared" si="71"/>
        <v>0</v>
      </c>
      <c r="T657" s="3">
        <f t="shared" si="67"/>
        <v>22599.499999999996</v>
      </c>
      <c r="U657" s="24"/>
      <c r="V657" s="24"/>
      <c r="W657" s="3"/>
      <c r="X657" s="25"/>
      <c r="Y657" s="25"/>
      <c r="Z657" s="25"/>
      <c r="AA657" s="25"/>
      <c r="AB657" s="25"/>
      <c r="AC657" s="3" t="str">
        <f>IF(Caja_Finanzas[[#This Row],[FECHA]]&gt;0,TEXT(Caja_Finanzas[[#This Row],[FECHA]],"mmmm"),0)</f>
        <v>Julio</v>
      </c>
    </row>
    <row r="658" spans="2:29" x14ac:dyDescent="0.3">
      <c r="B658" s="2">
        <f>IF(Caja_Finanzas[[#This Row],[TIPO DE R.]]="R",COUNTIFS($D$4:$D657,"R")+1,"")</f>
        <v>600</v>
      </c>
      <c r="C658" s="19" t="str">
        <f t="shared" si="68"/>
        <v>C-Finanzas</v>
      </c>
      <c r="D658" s="3" t="s">
        <v>1074</v>
      </c>
      <c r="E658" s="14">
        <v>45859</v>
      </c>
      <c r="F658" s="5" t="s">
        <v>1239</v>
      </c>
      <c r="G658" s="5" t="s">
        <v>1087</v>
      </c>
      <c r="H658" s="5"/>
      <c r="I658" s="6"/>
      <c r="J658" s="6" t="s">
        <v>63</v>
      </c>
      <c r="K658" s="6">
        <v>1</v>
      </c>
      <c r="L658" s="6">
        <v>4615</v>
      </c>
      <c r="M658" s="7" t="s">
        <v>5156</v>
      </c>
      <c r="N658" s="8" t="str">
        <f>"CFI"&amp;".D"&amp;TEXT(Caja_Finanzas[[#This Row],[FECHA]],"DD-MM")&amp;"-"&amp;TEXT(Caja_Finanzas[[#This Row],[ITEM]],"0000")</f>
        <v>CFI.D21-07-0600</v>
      </c>
      <c r="O658" s="8" t="str">
        <f t="shared" si="69"/>
        <v>PEN</v>
      </c>
      <c r="P658" s="13"/>
      <c r="Q658" s="13">
        <v>30</v>
      </c>
      <c r="R658" s="3">
        <f t="shared" si="70"/>
        <v>30</v>
      </c>
      <c r="S658" s="3">
        <f t="shared" si="71"/>
        <v>0</v>
      </c>
      <c r="T658" s="3">
        <f t="shared" si="67"/>
        <v>22629.499999999996</v>
      </c>
      <c r="U658" s="24"/>
      <c r="V658" s="24"/>
      <c r="W658" s="3"/>
      <c r="X658" s="25"/>
      <c r="Y658" s="25"/>
      <c r="Z658" s="25"/>
      <c r="AA658" s="25"/>
      <c r="AB658" s="25"/>
      <c r="AC658" s="3" t="str">
        <f>IF(Caja_Finanzas[[#This Row],[FECHA]]&gt;0,TEXT(Caja_Finanzas[[#This Row],[FECHA]],"mmmm"),0)</f>
        <v>Julio</v>
      </c>
    </row>
    <row r="659" spans="2:29" ht="24" x14ac:dyDescent="0.3">
      <c r="B659" s="2">
        <f>IF(Caja_Finanzas[[#This Row],[TIPO DE R.]]="R",COUNTIFS($D$4:$D658,"R")+1,"")</f>
        <v>601</v>
      </c>
      <c r="C659" s="19" t="str">
        <f t="shared" si="68"/>
        <v>C-Finanzas</v>
      </c>
      <c r="D659" s="3" t="s">
        <v>1074</v>
      </c>
      <c r="E659" s="14">
        <v>45859</v>
      </c>
      <c r="F659" s="5" t="s">
        <v>6224</v>
      </c>
      <c r="G659" s="5" t="s">
        <v>1087</v>
      </c>
      <c r="H659" s="5"/>
      <c r="I659" s="6"/>
      <c r="J659" s="6" t="s">
        <v>63</v>
      </c>
      <c r="K659" s="6">
        <v>1</v>
      </c>
      <c r="L659" s="6">
        <v>4620</v>
      </c>
      <c r="M659" s="7" t="s">
        <v>5156</v>
      </c>
      <c r="N659" s="8" t="str">
        <f>"CFI"&amp;".D"&amp;TEXT(Caja_Finanzas[[#This Row],[FECHA]],"DD-MM")&amp;"-"&amp;TEXT(Caja_Finanzas[[#This Row],[ITEM]],"0000")</f>
        <v>CFI.D21-07-0601</v>
      </c>
      <c r="O659" s="8" t="str">
        <f t="shared" si="69"/>
        <v>PEN</v>
      </c>
      <c r="P659" s="13"/>
      <c r="Q659" s="13">
        <v>330</v>
      </c>
      <c r="R659" s="3">
        <f t="shared" si="70"/>
        <v>330</v>
      </c>
      <c r="S659" s="3">
        <f t="shared" si="71"/>
        <v>0</v>
      </c>
      <c r="T659" s="3">
        <f t="shared" si="67"/>
        <v>22959.499999999996</v>
      </c>
      <c r="U659" s="24"/>
      <c r="V659" s="24"/>
      <c r="W659" s="3"/>
      <c r="X659" s="25"/>
      <c r="Y659" s="25"/>
      <c r="Z659" s="25"/>
      <c r="AA659" s="25"/>
      <c r="AB659" s="25"/>
      <c r="AC659" s="3" t="str">
        <f>IF(Caja_Finanzas[[#This Row],[FECHA]]&gt;0,TEXT(Caja_Finanzas[[#This Row],[FECHA]],"mmmm"),0)</f>
        <v>Julio</v>
      </c>
    </row>
    <row r="660" spans="2:29" ht="24" x14ac:dyDescent="0.3">
      <c r="B660" s="2">
        <f>IF(Caja_Finanzas[[#This Row],[TIPO DE R.]]="R",COUNTIFS($D$4:$D659,"R")+1,"")</f>
        <v>602</v>
      </c>
      <c r="C660" s="19" t="str">
        <f t="shared" ref="C660:C665" si="72">"C-Finanzas"</f>
        <v>C-Finanzas</v>
      </c>
      <c r="D660" s="3" t="s">
        <v>1074</v>
      </c>
      <c r="E660" s="14">
        <v>45860</v>
      </c>
      <c r="F660" s="5" t="s">
        <v>2226</v>
      </c>
      <c r="G660" s="5" t="s">
        <v>1087</v>
      </c>
      <c r="H660" s="5"/>
      <c r="I660" s="6"/>
      <c r="J660" s="6" t="s">
        <v>63</v>
      </c>
      <c r="K660" s="6">
        <v>1</v>
      </c>
      <c r="L660" s="6">
        <v>4624</v>
      </c>
      <c r="M660" s="7" t="s">
        <v>5156</v>
      </c>
      <c r="N660" s="8" t="str">
        <f>"CFI"&amp;".D"&amp;TEXT(Caja_Finanzas[[#This Row],[FECHA]],"DD-MM")&amp;"-"&amp;TEXT(Caja_Finanzas[[#This Row],[ITEM]],"0000")</f>
        <v>CFI.D22-07-0602</v>
      </c>
      <c r="O660" s="8" t="str">
        <f t="shared" ref="O660:O665" si="73">"PEN"</f>
        <v>PEN</v>
      </c>
      <c r="P660" s="13"/>
      <c r="Q660" s="13">
        <v>1875</v>
      </c>
      <c r="R660" s="3">
        <f t="shared" ref="R660:R665" si="74">+IF(OR($G660="SALDO",$G660="INGRESO"),$Q660,0)</f>
        <v>1875</v>
      </c>
      <c r="S660" s="3">
        <f t="shared" ref="S660:S665" si="75">+IF($G660="EGRESO",$Q660,0)</f>
        <v>0</v>
      </c>
      <c r="T660" s="3">
        <f t="shared" si="67"/>
        <v>24834.499999999996</v>
      </c>
      <c r="U660" s="24"/>
      <c r="V660" s="24"/>
      <c r="W660" s="3"/>
      <c r="X660" s="25"/>
      <c r="Y660" s="25"/>
      <c r="Z660" s="25"/>
      <c r="AA660" s="25"/>
      <c r="AB660" s="25"/>
      <c r="AC660" s="3" t="str">
        <f>IF(Caja_Finanzas[[#This Row],[FECHA]]&gt;0,TEXT(Caja_Finanzas[[#This Row],[FECHA]],"mmmm"),0)</f>
        <v>Julio</v>
      </c>
    </row>
    <row r="661" spans="2:29" ht="24" x14ac:dyDescent="0.3">
      <c r="B661" s="2">
        <f>IF(Caja_Finanzas[[#This Row],[TIPO DE R.]]="R",COUNTIFS($D$4:$D660,"R")+1,"")</f>
        <v>603</v>
      </c>
      <c r="C661" s="19" t="str">
        <f t="shared" si="72"/>
        <v>C-Finanzas</v>
      </c>
      <c r="D661" s="3" t="s">
        <v>1074</v>
      </c>
      <c r="E661" s="14">
        <v>45862</v>
      </c>
      <c r="F661" s="5" t="s">
        <v>5618</v>
      </c>
      <c r="G661" s="5" t="s">
        <v>1079</v>
      </c>
      <c r="H661" s="5"/>
      <c r="I661" s="6"/>
      <c r="J661" s="6" t="s">
        <v>63</v>
      </c>
      <c r="K661" s="6" t="s">
        <v>6205</v>
      </c>
      <c r="L661" s="6">
        <v>13</v>
      </c>
      <c r="M661" s="7" t="s">
        <v>6225</v>
      </c>
      <c r="N661" s="8" t="str">
        <f>"CFI"&amp;".D"&amp;TEXT(Caja_Finanzas[[#This Row],[FECHA]],"DD-MM")&amp;"-"&amp;TEXT(Caja_Finanzas[[#This Row],[ITEM]],"0000")</f>
        <v>CFI.D24-07-0603</v>
      </c>
      <c r="O661" s="8" t="str">
        <f t="shared" si="73"/>
        <v>PEN</v>
      </c>
      <c r="P661" s="13"/>
      <c r="Q661" s="13">
        <v>61.21</v>
      </c>
      <c r="R661" s="3">
        <f t="shared" si="74"/>
        <v>0</v>
      </c>
      <c r="S661" s="3">
        <f t="shared" si="75"/>
        <v>61.21</v>
      </c>
      <c r="T661" s="3">
        <f t="shared" si="67"/>
        <v>24773.289999999997</v>
      </c>
      <c r="U661" s="24"/>
      <c r="V661" s="24"/>
      <c r="W661" s="3"/>
      <c r="X661" s="25"/>
      <c r="Y661" s="25"/>
      <c r="Z661" s="25"/>
      <c r="AA661" s="25"/>
      <c r="AB661" s="25"/>
      <c r="AC661" s="3" t="str">
        <f>IF(Caja_Finanzas[[#This Row],[FECHA]]&gt;0,TEXT(Caja_Finanzas[[#This Row],[FECHA]],"mmmm"),0)</f>
        <v>Julio</v>
      </c>
    </row>
    <row r="662" spans="2:29" ht="24" x14ac:dyDescent="0.3">
      <c r="B662" s="2">
        <f>IF(Caja_Finanzas[[#This Row],[TIPO DE R.]]="R",COUNTIFS($D$4:$D661,"R")+1,"")</f>
        <v>604</v>
      </c>
      <c r="C662" s="19" t="str">
        <f t="shared" si="72"/>
        <v>C-Finanzas</v>
      </c>
      <c r="D662" s="3" t="s">
        <v>1074</v>
      </c>
      <c r="E662" s="14">
        <v>45862</v>
      </c>
      <c r="F662" s="5" t="s">
        <v>5618</v>
      </c>
      <c r="G662" s="5" t="s">
        <v>1079</v>
      </c>
      <c r="H662" s="5"/>
      <c r="I662" s="6"/>
      <c r="J662" s="6" t="s">
        <v>63</v>
      </c>
      <c r="K662" s="6" t="s">
        <v>6169</v>
      </c>
      <c r="L662" s="6">
        <v>136</v>
      </c>
      <c r="M662" s="7" t="s">
        <v>6226</v>
      </c>
      <c r="N662" s="8" t="str">
        <f>"CFI"&amp;".D"&amp;TEXT(Caja_Finanzas[[#This Row],[FECHA]],"DD-MM")&amp;"-"&amp;TEXT(Caja_Finanzas[[#This Row],[ITEM]],"0000")</f>
        <v>CFI.D24-07-0604</v>
      </c>
      <c r="O662" s="8" t="str">
        <f t="shared" si="73"/>
        <v>PEN</v>
      </c>
      <c r="P662" s="13"/>
      <c r="Q662" s="13">
        <v>20</v>
      </c>
      <c r="R662" s="3">
        <f t="shared" si="74"/>
        <v>0</v>
      </c>
      <c r="S662" s="3">
        <f t="shared" si="75"/>
        <v>20</v>
      </c>
      <c r="T662" s="3">
        <f t="shared" si="67"/>
        <v>24753.289999999997</v>
      </c>
      <c r="U662" s="24"/>
      <c r="V662" s="24"/>
      <c r="W662" s="3"/>
      <c r="X662" s="25"/>
      <c r="Y662" s="25"/>
      <c r="Z662" s="25"/>
      <c r="AA662" s="25"/>
      <c r="AB662" s="25"/>
      <c r="AC662" s="3" t="str">
        <f>IF(Caja_Finanzas[[#This Row],[FECHA]]&gt;0,TEXT(Caja_Finanzas[[#This Row],[FECHA]],"mmmm"),0)</f>
        <v>Julio</v>
      </c>
    </row>
    <row r="663" spans="2:29" ht="24" x14ac:dyDescent="0.3">
      <c r="B663" s="2">
        <f>IF(Caja_Finanzas[[#This Row],[TIPO DE R.]]="R",COUNTIFS($D$4:$D662,"R")+1,"")</f>
        <v>605</v>
      </c>
      <c r="C663" s="19" t="str">
        <f t="shared" si="72"/>
        <v>C-Finanzas</v>
      </c>
      <c r="D663" s="3" t="s">
        <v>1074</v>
      </c>
      <c r="E663" s="14">
        <v>45862</v>
      </c>
      <c r="F663" s="5" t="s">
        <v>2801</v>
      </c>
      <c r="G663" s="5" t="s">
        <v>1087</v>
      </c>
      <c r="H663" s="5"/>
      <c r="I663" s="6"/>
      <c r="J663" s="6" t="s">
        <v>63</v>
      </c>
      <c r="K663" s="6">
        <v>2</v>
      </c>
      <c r="L663" s="6">
        <v>816</v>
      </c>
      <c r="M663" s="7" t="s">
        <v>5156</v>
      </c>
      <c r="N663" s="8" t="str">
        <f>"CFI"&amp;".D"&amp;TEXT(Caja_Finanzas[[#This Row],[FECHA]],"DD-MM")&amp;"-"&amp;TEXT(Caja_Finanzas[[#This Row],[ITEM]],"0000")</f>
        <v>CFI.D24-07-0605</v>
      </c>
      <c r="O663" s="8" t="str">
        <f t="shared" si="73"/>
        <v>PEN</v>
      </c>
      <c r="P663" s="13"/>
      <c r="Q663" s="13">
        <v>75</v>
      </c>
      <c r="R663" s="3">
        <f t="shared" si="74"/>
        <v>75</v>
      </c>
      <c r="S663" s="3">
        <f t="shared" si="75"/>
        <v>0</v>
      </c>
      <c r="T663" s="3">
        <f t="shared" si="67"/>
        <v>24828.289999999997</v>
      </c>
      <c r="U663" s="24"/>
      <c r="V663" s="24"/>
      <c r="W663" s="3"/>
      <c r="X663" s="25"/>
      <c r="Y663" s="25"/>
      <c r="Z663" s="25"/>
      <c r="AA663" s="25"/>
      <c r="AB663" s="25"/>
      <c r="AC663" s="3" t="str">
        <f>IF(Caja_Finanzas[[#This Row],[FECHA]]&gt;0,TEXT(Caja_Finanzas[[#This Row],[FECHA]],"mmmm"),0)</f>
        <v>Julio</v>
      </c>
    </row>
    <row r="664" spans="2:29" ht="24" x14ac:dyDescent="0.3">
      <c r="B664" s="2">
        <f>IF(Caja_Finanzas[[#This Row],[TIPO DE R.]]="R",COUNTIFS($D$4:$D663,"R")+1,"")</f>
        <v>606</v>
      </c>
      <c r="C664" s="19" t="str">
        <f t="shared" si="72"/>
        <v>C-Finanzas</v>
      </c>
      <c r="D664" s="3" t="s">
        <v>1074</v>
      </c>
      <c r="E664" s="14">
        <v>45862</v>
      </c>
      <c r="F664" s="5" t="s">
        <v>1936</v>
      </c>
      <c r="G664" s="5" t="s">
        <v>1087</v>
      </c>
      <c r="H664" s="5"/>
      <c r="I664" s="6"/>
      <c r="J664" s="6" t="s">
        <v>63</v>
      </c>
      <c r="K664" s="6">
        <v>1</v>
      </c>
      <c r="L664" s="6">
        <v>4619</v>
      </c>
      <c r="M664" s="7" t="s">
        <v>5156</v>
      </c>
      <c r="N664" s="8" t="str">
        <f>"CFI"&amp;".D"&amp;TEXT(Caja_Finanzas[[#This Row],[FECHA]],"DD-MM")&amp;"-"&amp;TEXT(Caja_Finanzas[[#This Row],[ITEM]],"0000")</f>
        <v>CFI.D24-07-0606</v>
      </c>
      <c r="O664" s="8" t="str">
        <f t="shared" si="73"/>
        <v>PEN</v>
      </c>
      <c r="P664" s="13"/>
      <c r="Q664" s="13">
        <v>0.3</v>
      </c>
      <c r="R664" s="3">
        <f t="shared" si="74"/>
        <v>0.3</v>
      </c>
      <c r="S664" s="3">
        <f t="shared" si="75"/>
        <v>0</v>
      </c>
      <c r="T664" s="3">
        <f t="shared" si="67"/>
        <v>24828.589999999997</v>
      </c>
      <c r="U664" s="24"/>
      <c r="V664" s="24"/>
      <c r="W664" s="3"/>
      <c r="X664" s="25"/>
      <c r="Y664" s="25"/>
      <c r="Z664" s="25"/>
      <c r="AA664" s="25"/>
      <c r="AB664" s="25"/>
      <c r="AC664" s="3" t="str">
        <f>IF(Caja_Finanzas[[#This Row],[FECHA]]&gt;0,TEXT(Caja_Finanzas[[#This Row],[FECHA]],"mmmm"),0)</f>
        <v>Julio</v>
      </c>
    </row>
    <row r="665" spans="2:29" ht="24" x14ac:dyDescent="0.3">
      <c r="B665" s="2">
        <f>IF(Caja_Finanzas[[#This Row],[TIPO DE R.]]="R",COUNTIFS($D$4:$D664,"R")+1,"")</f>
        <v>607</v>
      </c>
      <c r="C665" s="19" t="str">
        <f t="shared" si="72"/>
        <v>C-Finanzas</v>
      </c>
      <c r="D665" s="3" t="s">
        <v>1074</v>
      </c>
      <c r="E665" s="14">
        <v>45862</v>
      </c>
      <c r="F665" s="5" t="s">
        <v>1745</v>
      </c>
      <c r="G665" s="5" t="s">
        <v>1087</v>
      </c>
      <c r="H665" s="5"/>
      <c r="I665" s="6"/>
      <c r="J665" s="6" t="s">
        <v>63</v>
      </c>
      <c r="K665" s="6">
        <v>1</v>
      </c>
      <c r="L665" s="6">
        <v>4627</v>
      </c>
      <c r="M665" s="7" t="s">
        <v>5156</v>
      </c>
      <c r="N665" s="8" t="str">
        <f>"CFI"&amp;".D"&amp;TEXT(Caja_Finanzas[[#This Row],[FECHA]],"DD-MM")&amp;"-"&amp;TEXT(Caja_Finanzas[[#This Row],[ITEM]],"0000")</f>
        <v>CFI.D24-07-0607</v>
      </c>
      <c r="O665" s="8" t="str">
        <f t="shared" si="73"/>
        <v>PEN</v>
      </c>
      <c r="P665" s="13"/>
      <c r="Q665" s="13">
        <v>1605</v>
      </c>
      <c r="R665" s="3">
        <f t="shared" si="74"/>
        <v>1605</v>
      </c>
      <c r="S665" s="3">
        <f t="shared" si="75"/>
        <v>0</v>
      </c>
      <c r="T665" s="3">
        <f t="shared" si="67"/>
        <v>26433.589999999997</v>
      </c>
      <c r="U665" s="24"/>
      <c r="V665" s="24"/>
      <c r="W665" s="3"/>
      <c r="X665" s="25"/>
      <c r="Y665" s="25"/>
      <c r="Z665" s="25"/>
      <c r="AA665" s="25"/>
      <c r="AB665" s="25"/>
      <c r="AC665" s="3" t="str">
        <f>IF(Caja_Finanzas[[#This Row],[FECHA]]&gt;0,TEXT(Caja_Finanzas[[#This Row],[FECHA]],"mmmm"),0)</f>
        <v>Julio</v>
      </c>
    </row>
    <row r="666" spans="2:29" x14ac:dyDescent="0.3">
      <c r="B666" s="2">
        <f>IF(Caja_Finanzas[[#This Row],[TIPO DE R.]]="R",COUNTIFS($D$4:$D665,"R")+1,"")</f>
        <v>608</v>
      </c>
      <c r="C666" s="19" t="str">
        <f t="shared" ref="C666:C672" si="76">"C-Finanzas"</f>
        <v>C-Finanzas</v>
      </c>
      <c r="D666" s="3" t="s">
        <v>1074</v>
      </c>
      <c r="E666" s="14">
        <v>45863</v>
      </c>
      <c r="F666" s="5" t="s">
        <v>1239</v>
      </c>
      <c r="G666" s="5" t="s">
        <v>1087</v>
      </c>
      <c r="H666" s="5"/>
      <c r="I666" s="6"/>
      <c r="J666" s="6" t="s">
        <v>63</v>
      </c>
      <c r="K666" s="6">
        <v>1</v>
      </c>
      <c r="L666" s="6">
        <v>4628</v>
      </c>
      <c r="M666" s="7" t="s">
        <v>5156</v>
      </c>
      <c r="N666" s="8" t="str">
        <f>"CFI"&amp;".D"&amp;TEXT(Caja_Finanzas[[#This Row],[FECHA]],"DD-MM")&amp;"-"&amp;TEXT(Caja_Finanzas[[#This Row],[ITEM]],"0000")</f>
        <v>CFI.D25-07-0608</v>
      </c>
      <c r="O666" s="8" t="str">
        <f t="shared" ref="O666:O672" si="77">"PEN"</f>
        <v>PEN</v>
      </c>
      <c r="P666" s="13"/>
      <c r="Q666" s="13">
        <v>990</v>
      </c>
      <c r="R666" s="3">
        <f t="shared" ref="R666:R672" si="78">+IF(OR($G666="SALDO",$G666="INGRESO"),$Q666,0)</f>
        <v>990</v>
      </c>
      <c r="S666" s="3">
        <f t="shared" ref="S666:S672" si="79">+IF($G666="EGRESO",$Q666,0)</f>
        <v>0</v>
      </c>
      <c r="T666" s="3">
        <f t="shared" si="67"/>
        <v>27423.589999999997</v>
      </c>
      <c r="U666" s="24"/>
      <c r="V666" s="24"/>
      <c r="W666" s="3"/>
      <c r="X666" s="25"/>
      <c r="Y666" s="25"/>
      <c r="Z666" s="25"/>
      <c r="AA666" s="25"/>
      <c r="AB666" s="25"/>
      <c r="AC666" s="3" t="str">
        <f>IF(Caja_Finanzas[[#This Row],[FECHA]]&gt;0,TEXT(Caja_Finanzas[[#This Row],[FECHA]],"mmmm"),0)</f>
        <v>Julio</v>
      </c>
    </row>
    <row r="667" spans="2:29" x14ac:dyDescent="0.3">
      <c r="B667" s="2">
        <f>IF(Caja_Finanzas[[#This Row],[TIPO DE R.]]="R",COUNTIFS($D$4:$D666,"R")+1,"")</f>
        <v>609</v>
      </c>
      <c r="C667" s="19" t="str">
        <f t="shared" si="76"/>
        <v>C-Finanzas</v>
      </c>
      <c r="D667" s="3" t="s">
        <v>1074</v>
      </c>
      <c r="E667" s="14">
        <v>45863</v>
      </c>
      <c r="F667" s="5" t="s">
        <v>1477</v>
      </c>
      <c r="G667" s="5" t="s">
        <v>1087</v>
      </c>
      <c r="H667" s="5"/>
      <c r="I667" s="6"/>
      <c r="J667" s="6" t="s">
        <v>63</v>
      </c>
      <c r="K667" s="6">
        <v>1</v>
      </c>
      <c r="L667" s="6">
        <v>4629</v>
      </c>
      <c r="M667" s="7" t="s">
        <v>5156</v>
      </c>
      <c r="N667" s="8" t="str">
        <f>"CFI"&amp;".D"&amp;TEXT(Caja_Finanzas[[#This Row],[FECHA]],"DD-MM")&amp;"-"&amp;TEXT(Caja_Finanzas[[#This Row],[ITEM]],"0000")</f>
        <v>CFI.D25-07-0609</v>
      </c>
      <c r="O667" s="8" t="str">
        <f t="shared" si="77"/>
        <v>PEN</v>
      </c>
      <c r="P667" s="13"/>
      <c r="Q667" s="13">
        <v>48.4</v>
      </c>
      <c r="R667" s="3">
        <f t="shared" si="78"/>
        <v>48.4</v>
      </c>
      <c r="S667" s="3">
        <f t="shared" si="79"/>
        <v>0</v>
      </c>
      <c r="T667" s="3">
        <f t="shared" si="67"/>
        <v>27471.989999999998</v>
      </c>
      <c r="U667" s="24"/>
      <c r="V667" s="24"/>
      <c r="W667" s="3"/>
      <c r="X667" s="25"/>
      <c r="Y667" s="25"/>
      <c r="Z667" s="25"/>
      <c r="AA667" s="25"/>
      <c r="AB667" s="25"/>
      <c r="AC667" s="3" t="str">
        <f>IF(Caja_Finanzas[[#This Row],[FECHA]]&gt;0,TEXT(Caja_Finanzas[[#This Row],[FECHA]],"mmmm"),0)</f>
        <v>Julio</v>
      </c>
    </row>
    <row r="668" spans="2:29" ht="24" x14ac:dyDescent="0.3">
      <c r="B668" s="2">
        <f>IF(Caja_Finanzas[[#This Row],[TIPO DE R.]]="R",COUNTIFS($D$4:$D667,"R")+1,"")</f>
        <v>610</v>
      </c>
      <c r="C668" s="19" t="str">
        <f t="shared" si="76"/>
        <v>C-Finanzas</v>
      </c>
      <c r="D668" s="3" t="s">
        <v>1074</v>
      </c>
      <c r="E668" s="14">
        <v>45863</v>
      </c>
      <c r="F668" s="5" t="s">
        <v>2616</v>
      </c>
      <c r="G668" s="5" t="s">
        <v>1087</v>
      </c>
      <c r="H668" s="5"/>
      <c r="I668" s="6"/>
      <c r="J668" s="6" t="s">
        <v>63</v>
      </c>
      <c r="K668" s="6">
        <v>1</v>
      </c>
      <c r="L668" s="6">
        <v>4630</v>
      </c>
      <c r="M668" s="7" t="s">
        <v>5156</v>
      </c>
      <c r="N668" s="8" t="str">
        <f>"CFI"&amp;".D"&amp;TEXT(Caja_Finanzas[[#This Row],[FECHA]],"DD-MM")&amp;"-"&amp;TEXT(Caja_Finanzas[[#This Row],[ITEM]],"0000")</f>
        <v>CFI.D25-07-0610</v>
      </c>
      <c r="O668" s="8" t="str">
        <f t="shared" si="77"/>
        <v>PEN</v>
      </c>
      <c r="P668" s="13"/>
      <c r="Q668" s="13">
        <v>13.2</v>
      </c>
      <c r="R668" s="3">
        <f t="shared" si="78"/>
        <v>13.2</v>
      </c>
      <c r="S668" s="3">
        <f t="shared" si="79"/>
        <v>0</v>
      </c>
      <c r="T668" s="3">
        <f t="shared" si="67"/>
        <v>27485.19</v>
      </c>
      <c r="U668" s="24"/>
      <c r="V668" s="24"/>
      <c r="W668" s="3"/>
      <c r="X668" s="25"/>
      <c r="Y668" s="25"/>
      <c r="Z668" s="25"/>
      <c r="AA668" s="25"/>
      <c r="AB668" s="25"/>
      <c r="AC668" s="3" t="str">
        <f>IF(Caja_Finanzas[[#This Row],[FECHA]]&gt;0,TEXT(Caja_Finanzas[[#This Row],[FECHA]],"mmmm"),0)</f>
        <v>Julio</v>
      </c>
    </row>
    <row r="669" spans="2:29" ht="24" x14ac:dyDescent="0.3">
      <c r="B669" s="2">
        <f>IF(Caja_Finanzas[[#This Row],[TIPO DE R.]]="R",COUNTIFS($D$4:$D668,"R")+1,"")</f>
        <v>611</v>
      </c>
      <c r="C669" s="19" t="str">
        <f t="shared" si="76"/>
        <v>C-Finanzas</v>
      </c>
      <c r="D669" s="3" t="s">
        <v>1074</v>
      </c>
      <c r="E669" s="14">
        <v>45863</v>
      </c>
      <c r="F669" s="5" t="s">
        <v>3001</v>
      </c>
      <c r="G669" s="5" t="s">
        <v>1087</v>
      </c>
      <c r="H669" s="5"/>
      <c r="I669" s="6"/>
      <c r="J669" s="6" t="s">
        <v>63</v>
      </c>
      <c r="K669" s="6">
        <v>1</v>
      </c>
      <c r="L669" s="6">
        <v>4631</v>
      </c>
      <c r="M669" s="7" t="s">
        <v>5156</v>
      </c>
      <c r="N669" s="8" t="str">
        <f>"CFI"&amp;".D"&amp;TEXT(Caja_Finanzas[[#This Row],[FECHA]],"DD-MM")&amp;"-"&amp;TEXT(Caja_Finanzas[[#This Row],[ITEM]],"0000")</f>
        <v>CFI.D25-07-0611</v>
      </c>
      <c r="O669" s="8" t="str">
        <f t="shared" si="77"/>
        <v>PEN</v>
      </c>
      <c r="P669" s="13"/>
      <c r="Q669" s="13">
        <v>132.5</v>
      </c>
      <c r="R669" s="3">
        <f t="shared" si="78"/>
        <v>132.5</v>
      </c>
      <c r="S669" s="3">
        <f t="shared" si="79"/>
        <v>0</v>
      </c>
      <c r="T669" s="3">
        <f t="shared" si="67"/>
        <v>27617.69</v>
      </c>
      <c r="U669" s="24"/>
      <c r="V669" s="24"/>
      <c r="W669" s="3"/>
      <c r="X669" s="25"/>
      <c r="Y669" s="25"/>
      <c r="Z669" s="25"/>
      <c r="AA669" s="25"/>
      <c r="AB669" s="25"/>
      <c r="AC669" s="3" t="str">
        <f>IF(Caja_Finanzas[[#This Row],[FECHA]]&gt;0,TEXT(Caja_Finanzas[[#This Row],[FECHA]],"mmmm"),0)</f>
        <v>Julio</v>
      </c>
    </row>
    <row r="670" spans="2:29" ht="48" x14ac:dyDescent="0.3">
      <c r="B670" s="2">
        <f>IF(Caja_Finanzas[[#This Row],[TIPO DE R.]]="R",COUNTIFS($D$4:$D669,"R")+1,"")</f>
        <v>612</v>
      </c>
      <c r="C670" s="19" t="str">
        <f t="shared" si="76"/>
        <v>C-Finanzas</v>
      </c>
      <c r="D670" s="3" t="s">
        <v>1074</v>
      </c>
      <c r="E670" s="14">
        <v>45863</v>
      </c>
      <c r="F670" s="5" t="s">
        <v>5827</v>
      </c>
      <c r="G670" s="5" t="s">
        <v>1079</v>
      </c>
      <c r="H670" s="5"/>
      <c r="I670" s="6" t="s">
        <v>128</v>
      </c>
      <c r="J670" s="6" t="s">
        <v>59</v>
      </c>
      <c r="K670" s="6" t="s">
        <v>6183</v>
      </c>
      <c r="L670" s="6">
        <v>124</v>
      </c>
      <c r="M670" s="86" t="s">
        <v>6227</v>
      </c>
      <c r="N670" s="8" t="str">
        <f>"CFI"&amp;".D"&amp;TEXT(Caja_Finanzas[[#This Row],[FECHA]],"DD-MM")&amp;"-"&amp;TEXT(Caja_Finanzas[[#This Row],[ITEM]],"0000")</f>
        <v>CFI.D25-07-0612</v>
      </c>
      <c r="O670" s="8" t="str">
        <f t="shared" si="77"/>
        <v>PEN</v>
      </c>
      <c r="P670" s="13"/>
      <c r="Q670" s="13">
        <v>1200</v>
      </c>
      <c r="R670" s="3">
        <f t="shared" si="78"/>
        <v>0</v>
      </c>
      <c r="S670" s="3">
        <f t="shared" si="79"/>
        <v>1200</v>
      </c>
      <c r="T670" s="3">
        <f t="shared" si="67"/>
        <v>26417.69</v>
      </c>
      <c r="U670" s="24"/>
      <c r="V670" s="24"/>
      <c r="W670" s="3"/>
      <c r="X670" s="25"/>
      <c r="Y670" s="25"/>
      <c r="Z670" s="25"/>
      <c r="AA670" s="25"/>
      <c r="AB670" s="25"/>
      <c r="AC670" s="3" t="str">
        <f>IF(Caja_Finanzas[[#This Row],[FECHA]]&gt;0,TEXT(Caja_Finanzas[[#This Row],[FECHA]],"mmmm"),0)</f>
        <v>Julio</v>
      </c>
    </row>
    <row r="671" spans="2:29" ht="24" x14ac:dyDescent="0.3">
      <c r="B671" s="2">
        <f>IF(Caja_Finanzas[[#This Row],[TIPO DE R.]]="R",COUNTIFS($D$4:$D670,"R")+1,"")</f>
        <v>613</v>
      </c>
      <c r="C671" s="19" t="str">
        <f t="shared" si="76"/>
        <v>C-Finanzas</v>
      </c>
      <c r="D671" s="3" t="s">
        <v>1074</v>
      </c>
      <c r="E671" s="14">
        <v>45863</v>
      </c>
      <c r="F671" s="5" t="s">
        <v>3158</v>
      </c>
      <c r="G671" s="5" t="s">
        <v>1087</v>
      </c>
      <c r="H671" s="5"/>
      <c r="I671" s="6"/>
      <c r="J671" s="6" t="s">
        <v>63</v>
      </c>
      <c r="K671" s="6">
        <v>1</v>
      </c>
      <c r="L671" s="6">
        <v>4634</v>
      </c>
      <c r="M671" s="7" t="s">
        <v>5156</v>
      </c>
      <c r="N671" s="8" t="str">
        <f>"CFI"&amp;".D"&amp;TEXT(Caja_Finanzas[[#This Row],[FECHA]],"DD-MM")&amp;"-"&amp;TEXT(Caja_Finanzas[[#This Row],[ITEM]],"0000")</f>
        <v>CFI.D25-07-0613</v>
      </c>
      <c r="O671" s="8" t="str">
        <f t="shared" si="77"/>
        <v>PEN</v>
      </c>
      <c r="P671" s="13"/>
      <c r="Q671" s="13">
        <v>880</v>
      </c>
      <c r="R671" s="3">
        <f t="shared" si="78"/>
        <v>880</v>
      </c>
      <c r="S671" s="3">
        <f t="shared" si="79"/>
        <v>0</v>
      </c>
      <c r="T671" s="3">
        <f t="shared" si="67"/>
        <v>27297.69</v>
      </c>
      <c r="U671" s="24"/>
      <c r="V671" s="24"/>
      <c r="W671" s="3"/>
      <c r="X671" s="25"/>
      <c r="Y671" s="25"/>
      <c r="Z671" s="25"/>
      <c r="AA671" s="25"/>
      <c r="AB671" s="25"/>
      <c r="AC671" s="3" t="str">
        <f>IF(Caja_Finanzas[[#This Row],[FECHA]]&gt;0,TEXT(Caja_Finanzas[[#This Row],[FECHA]],"mmmm"),0)</f>
        <v>Julio</v>
      </c>
    </row>
    <row r="672" spans="2:29" ht="24" x14ac:dyDescent="0.3">
      <c r="B672" s="2">
        <f>IF(Caja_Finanzas[[#This Row],[TIPO DE R.]]="R",COUNTIFS($D$4:$D671,"R")+1,"")</f>
        <v>614</v>
      </c>
      <c r="C672" s="19" t="str">
        <f t="shared" si="76"/>
        <v>C-Finanzas</v>
      </c>
      <c r="D672" s="3" t="s">
        <v>1074</v>
      </c>
      <c r="E672" s="14">
        <v>45863</v>
      </c>
      <c r="F672" s="5" t="s">
        <v>5618</v>
      </c>
      <c r="G672" s="5" t="s">
        <v>1079</v>
      </c>
      <c r="H672" s="5"/>
      <c r="I672" s="6" t="s">
        <v>950</v>
      </c>
      <c r="J672" s="6" t="s">
        <v>59</v>
      </c>
      <c r="K672" s="6" t="s">
        <v>6169</v>
      </c>
      <c r="L672" s="6">
        <v>137</v>
      </c>
      <c r="M672" s="7" t="s">
        <v>6228</v>
      </c>
      <c r="N672" s="8" t="str">
        <f>"CFI"&amp;".D"&amp;TEXT(Caja_Finanzas[[#This Row],[FECHA]],"DD-MM")&amp;"-"&amp;TEXT(Caja_Finanzas[[#This Row],[ITEM]],"0000")</f>
        <v>CFI.D25-07-0614</v>
      </c>
      <c r="O672" s="8" t="str">
        <f t="shared" si="77"/>
        <v>PEN</v>
      </c>
      <c r="P672" s="13"/>
      <c r="Q672" s="13">
        <v>10</v>
      </c>
      <c r="R672" s="3">
        <f t="shared" si="78"/>
        <v>0</v>
      </c>
      <c r="S672" s="3">
        <f t="shared" si="79"/>
        <v>10</v>
      </c>
      <c r="T672" s="3">
        <f t="shared" si="67"/>
        <v>27287.69</v>
      </c>
      <c r="U672" s="24"/>
      <c r="V672" s="24"/>
      <c r="W672" s="3"/>
      <c r="X672" s="25"/>
      <c r="Y672" s="25"/>
      <c r="Z672" s="25"/>
      <c r="AA672" s="25"/>
      <c r="AB672" s="25"/>
      <c r="AC672" s="3" t="str">
        <f>IF(Caja_Finanzas[[#This Row],[FECHA]]&gt;0,TEXT(Caja_Finanzas[[#This Row],[FECHA]],"mmmm"),0)</f>
        <v>Julio</v>
      </c>
    </row>
    <row r="673" spans="2:29" ht="36" x14ac:dyDescent="0.3">
      <c r="B673" s="2">
        <f>IF(Caja_Finanzas[[#This Row],[TIPO DE R.]]="R",COUNTIFS($D$4:$D672,"R")+1,"")</f>
        <v>615</v>
      </c>
      <c r="C673" s="19" t="str">
        <f t="shared" ref="C673:C679" si="80">"C-Finanzas"</f>
        <v>C-Finanzas</v>
      </c>
      <c r="D673" s="3" t="s">
        <v>1074</v>
      </c>
      <c r="E673" s="14">
        <v>45868</v>
      </c>
      <c r="F673" s="5" t="s">
        <v>5827</v>
      </c>
      <c r="G673" s="5" t="s">
        <v>1079</v>
      </c>
      <c r="H673" s="5"/>
      <c r="I673" s="6" t="s">
        <v>6229</v>
      </c>
      <c r="J673" s="6" t="s">
        <v>59</v>
      </c>
      <c r="K673" s="6" t="s">
        <v>6183</v>
      </c>
      <c r="L673" s="6">
        <v>125</v>
      </c>
      <c r="M673" s="7" t="s">
        <v>6230</v>
      </c>
      <c r="N673" s="8" t="str">
        <f>"CFI"&amp;".D"&amp;TEXT(Caja_Finanzas[[#This Row],[FECHA]],"DD-MM")&amp;"-"&amp;TEXT(Caja_Finanzas[[#This Row],[ITEM]],"0000")</f>
        <v>CFI.D30-07-0615</v>
      </c>
      <c r="O673" s="8" t="str">
        <f t="shared" ref="O673:O679" si="81">"PEN"</f>
        <v>PEN</v>
      </c>
      <c r="P673" s="13"/>
      <c r="Q673" s="13">
        <v>700</v>
      </c>
      <c r="R673" s="3">
        <f t="shared" ref="R673:R679" si="82">+IF(OR($G673="SALDO",$G673="INGRESO"),$Q673,0)</f>
        <v>0</v>
      </c>
      <c r="S673" s="3">
        <f t="shared" ref="S673:S679" si="83">+IF($G673="EGRESO",$Q673,0)</f>
        <v>700</v>
      </c>
      <c r="T673" s="3">
        <f t="shared" si="67"/>
        <v>26587.69</v>
      </c>
      <c r="U673" s="24"/>
      <c r="V673" s="24"/>
      <c r="W673" s="3"/>
      <c r="X673" s="25"/>
      <c r="Y673" s="25"/>
      <c r="Z673" s="25"/>
      <c r="AA673" s="25"/>
      <c r="AB673" s="25"/>
      <c r="AC673" s="3" t="str">
        <f>IF(Caja_Finanzas[[#This Row],[FECHA]]&gt;0,TEXT(Caja_Finanzas[[#This Row],[FECHA]],"mmmm"),0)</f>
        <v>Julio</v>
      </c>
    </row>
    <row r="674" spans="2:29" ht="24" x14ac:dyDescent="0.3">
      <c r="B674" s="2">
        <f>IF(Caja_Finanzas[[#This Row],[TIPO DE R.]]="R",COUNTIFS($D$4:$D673,"R")+1,"")</f>
        <v>616</v>
      </c>
      <c r="C674" s="19" t="str">
        <f t="shared" si="80"/>
        <v>C-Finanzas</v>
      </c>
      <c r="D674" s="3" t="s">
        <v>1074</v>
      </c>
      <c r="E674" s="14">
        <v>45869</v>
      </c>
      <c r="F674" s="5" t="s">
        <v>6231</v>
      </c>
      <c r="G674" s="5" t="s">
        <v>1087</v>
      </c>
      <c r="H674" s="5"/>
      <c r="I674" s="6"/>
      <c r="J674" s="6"/>
      <c r="K674" s="6"/>
      <c r="L674" s="6"/>
      <c r="M674" s="7" t="s">
        <v>6232</v>
      </c>
      <c r="N674" s="8" t="str">
        <f>"CFI"&amp;".D"&amp;TEXT(Caja_Finanzas[[#This Row],[FECHA]],"DD-MM")&amp;"-"&amp;TEXT(Caja_Finanzas[[#This Row],[ITEM]],"0000")</f>
        <v>CFI.D31-07-0616</v>
      </c>
      <c r="O674" s="8" t="str">
        <f t="shared" si="81"/>
        <v>PEN</v>
      </c>
      <c r="P674" s="13"/>
      <c r="Q674" s="13">
        <v>200</v>
      </c>
      <c r="R674" s="3">
        <f t="shared" si="82"/>
        <v>200</v>
      </c>
      <c r="S674" s="3">
        <f t="shared" si="83"/>
        <v>0</v>
      </c>
      <c r="T674" s="3">
        <f t="shared" si="67"/>
        <v>26787.69</v>
      </c>
      <c r="U674" s="24"/>
      <c r="V674" s="24"/>
      <c r="W674" s="3"/>
      <c r="X674" s="25"/>
      <c r="Y674" s="25"/>
      <c r="Z674" s="25"/>
      <c r="AA674" s="25"/>
      <c r="AB674" s="25"/>
      <c r="AC674" s="3" t="str">
        <f>IF(Caja_Finanzas[[#This Row],[FECHA]]&gt;0,TEXT(Caja_Finanzas[[#This Row],[FECHA]],"mmmm"),0)</f>
        <v>Julio</v>
      </c>
    </row>
    <row r="675" spans="2:29" ht="24" x14ac:dyDescent="0.3">
      <c r="B675" s="2">
        <f>IF(Caja_Finanzas[[#This Row],[TIPO DE R.]]="R",COUNTIFS($D$4:$D674,"R")+1,"")</f>
        <v>617</v>
      </c>
      <c r="C675" s="19" t="str">
        <f t="shared" si="80"/>
        <v>C-Finanzas</v>
      </c>
      <c r="D675" s="3" t="s">
        <v>1074</v>
      </c>
      <c r="E675" s="14">
        <v>45869</v>
      </c>
      <c r="F675" s="5" t="s">
        <v>5441</v>
      </c>
      <c r="G675" s="5" t="s">
        <v>1087</v>
      </c>
      <c r="H675" s="5"/>
      <c r="I675" s="6"/>
      <c r="J675" s="6" t="s">
        <v>63</v>
      </c>
      <c r="K675" s="6">
        <v>1</v>
      </c>
      <c r="L675" s="6">
        <v>4565</v>
      </c>
      <c r="M675" s="7" t="s">
        <v>5156</v>
      </c>
      <c r="N675" s="8" t="str">
        <f>"CFI"&amp;".D"&amp;TEXT(Caja_Finanzas[[#This Row],[FECHA]],"DD-MM")&amp;"-"&amp;TEXT(Caja_Finanzas[[#This Row],[ITEM]],"0000")</f>
        <v>CFI.D31-07-0617</v>
      </c>
      <c r="O675" s="8" t="str">
        <f t="shared" si="81"/>
        <v>PEN</v>
      </c>
      <c r="P675" s="13"/>
      <c r="Q675" s="13">
        <v>100</v>
      </c>
      <c r="R675" s="3">
        <f t="shared" si="82"/>
        <v>100</v>
      </c>
      <c r="S675" s="3">
        <f t="shared" si="83"/>
        <v>0</v>
      </c>
      <c r="T675" s="3">
        <f t="shared" si="67"/>
        <v>26887.69</v>
      </c>
      <c r="U675" s="24"/>
      <c r="V675" s="24"/>
      <c r="W675" s="3"/>
      <c r="X675" s="25"/>
      <c r="Y675" s="25"/>
      <c r="Z675" s="25"/>
      <c r="AA675" s="25"/>
      <c r="AB675" s="25"/>
      <c r="AC675" s="3" t="str">
        <f>IF(Caja_Finanzas[[#This Row],[FECHA]]&gt;0,TEXT(Caja_Finanzas[[#This Row],[FECHA]],"mmmm"),0)</f>
        <v>Julio</v>
      </c>
    </row>
    <row r="676" spans="2:29" ht="24" x14ac:dyDescent="0.3">
      <c r="B676" s="2">
        <f>IF(Caja_Finanzas[[#This Row],[TIPO DE R.]]="R",COUNTIFS($D$4:$D675,"R")+1,"")</f>
        <v>618</v>
      </c>
      <c r="C676" s="19" t="str">
        <f t="shared" si="80"/>
        <v>C-Finanzas</v>
      </c>
      <c r="D676" s="3" t="s">
        <v>1074</v>
      </c>
      <c r="E676" s="14">
        <v>45869</v>
      </c>
      <c r="F676" s="5" t="s">
        <v>6139</v>
      </c>
      <c r="G676" s="5" t="s">
        <v>1087</v>
      </c>
      <c r="H676" s="5"/>
      <c r="I676" s="6"/>
      <c r="J676" s="6" t="s">
        <v>63</v>
      </c>
      <c r="K676" s="6">
        <v>1</v>
      </c>
      <c r="L676" s="6">
        <v>4330</v>
      </c>
      <c r="M676" s="7" t="s">
        <v>5156</v>
      </c>
      <c r="N676" s="8" t="str">
        <f>"CFI"&amp;".D"&amp;TEXT(Caja_Finanzas[[#This Row],[FECHA]],"DD-MM")&amp;"-"&amp;TEXT(Caja_Finanzas[[#This Row],[ITEM]],"0000")</f>
        <v>CFI.D31-07-0618</v>
      </c>
      <c r="O676" s="8" t="str">
        <f t="shared" si="81"/>
        <v>PEN</v>
      </c>
      <c r="P676" s="13"/>
      <c r="Q676" s="13">
        <v>30</v>
      </c>
      <c r="R676" s="3">
        <f t="shared" si="82"/>
        <v>30</v>
      </c>
      <c r="S676" s="3">
        <f t="shared" si="83"/>
        <v>0</v>
      </c>
      <c r="T676" s="3">
        <f t="shared" si="67"/>
        <v>26917.69</v>
      </c>
      <c r="U676" s="24"/>
      <c r="V676" s="24"/>
      <c r="W676" s="3"/>
      <c r="X676" s="25"/>
      <c r="Y676" s="25"/>
      <c r="Z676" s="25"/>
      <c r="AA676" s="25"/>
      <c r="AB676" s="25"/>
      <c r="AC676" s="3" t="str">
        <f>IF(Caja_Finanzas[[#This Row],[FECHA]]&gt;0,TEXT(Caja_Finanzas[[#This Row],[FECHA]],"mmmm"),0)</f>
        <v>Julio</v>
      </c>
    </row>
    <row r="677" spans="2:29" ht="60" x14ac:dyDescent="0.3">
      <c r="B677" s="2">
        <f>IF(Caja_Finanzas[[#This Row],[TIPO DE R.]]="R",COUNTIFS($D$4:$D676,"R")+1,"")</f>
        <v>619</v>
      </c>
      <c r="C677" s="19" t="str">
        <f t="shared" si="80"/>
        <v>C-Finanzas</v>
      </c>
      <c r="D677" s="3" t="s">
        <v>1074</v>
      </c>
      <c r="E677" s="14">
        <v>45870</v>
      </c>
      <c r="F677" s="5" t="s">
        <v>6233</v>
      </c>
      <c r="G677" s="5" t="s">
        <v>1087</v>
      </c>
      <c r="H677" s="5"/>
      <c r="I677" s="6"/>
      <c r="J677" s="6"/>
      <c r="K677" s="6"/>
      <c r="L677" s="6"/>
      <c r="M677" s="7" t="s">
        <v>6234</v>
      </c>
      <c r="N677" s="8" t="str">
        <f>"CFI"&amp;".D"&amp;TEXT(Caja_Finanzas[[#This Row],[FECHA]],"DD-MM")&amp;"-"&amp;TEXT(Caja_Finanzas[[#This Row],[ITEM]],"0000")</f>
        <v>CFI.D01-08-0619</v>
      </c>
      <c r="O677" s="8" t="str">
        <f t="shared" si="81"/>
        <v>PEN</v>
      </c>
      <c r="P677" s="13"/>
      <c r="Q677" s="13">
        <v>560</v>
      </c>
      <c r="R677" s="3">
        <f t="shared" si="82"/>
        <v>560</v>
      </c>
      <c r="S677" s="3">
        <f t="shared" si="83"/>
        <v>0</v>
      </c>
      <c r="T677" s="3">
        <f t="shared" si="67"/>
        <v>27477.69</v>
      </c>
      <c r="U677" s="24"/>
      <c r="V677" s="24"/>
      <c r="W677" s="3"/>
      <c r="X677" s="25"/>
      <c r="Y677" s="25"/>
      <c r="Z677" s="25"/>
      <c r="AA677" s="25"/>
      <c r="AB677" s="25"/>
      <c r="AC677" s="3" t="str">
        <f>IF(Caja_Finanzas[[#This Row],[FECHA]]&gt;0,TEXT(Caja_Finanzas[[#This Row],[FECHA]],"mmmm"),0)</f>
        <v>Agosto</v>
      </c>
    </row>
    <row r="678" spans="2:29" ht="24" x14ac:dyDescent="0.3">
      <c r="B678" s="2">
        <f>IF(Caja_Finanzas[[#This Row],[TIPO DE R.]]="R",COUNTIFS($D$4:$D677,"R")+1,"")</f>
        <v>620</v>
      </c>
      <c r="C678" s="19" t="str">
        <f t="shared" si="80"/>
        <v>C-Finanzas</v>
      </c>
      <c r="D678" s="3" t="s">
        <v>1074</v>
      </c>
      <c r="E678" s="14">
        <v>45870</v>
      </c>
      <c r="F678" s="5" t="s">
        <v>5343</v>
      </c>
      <c r="G678" s="5" t="s">
        <v>1079</v>
      </c>
      <c r="H678" s="5"/>
      <c r="I678" s="6" t="s">
        <v>820</v>
      </c>
      <c r="J678" s="6" t="s">
        <v>59</v>
      </c>
      <c r="K678" s="6" t="s">
        <v>6174</v>
      </c>
      <c r="L678" s="6">
        <v>15</v>
      </c>
      <c r="M678" s="7" t="s">
        <v>6235</v>
      </c>
      <c r="N678" s="8" t="str">
        <f>"CFI"&amp;".D"&amp;TEXT(Caja_Finanzas[[#This Row],[FECHA]],"DD-MM")&amp;"-"&amp;TEXT(Caja_Finanzas[[#This Row],[ITEM]],"0000")</f>
        <v>CFI.D01-08-0620</v>
      </c>
      <c r="O678" s="8" t="str">
        <f t="shared" si="81"/>
        <v>PEN</v>
      </c>
      <c r="P678" s="13"/>
      <c r="Q678" s="13">
        <v>330</v>
      </c>
      <c r="R678" s="3">
        <f t="shared" si="82"/>
        <v>0</v>
      </c>
      <c r="S678" s="3">
        <f t="shared" si="83"/>
        <v>330</v>
      </c>
      <c r="T678" s="3">
        <f t="shared" si="67"/>
        <v>27147.69</v>
      </c>
      <c r="U678" s="24"/>
      <c r="V678" s="24"/>
      <c r="W678" s="3"/>
      <c r="X678" s="25"/>
      <c r="Y678" s="25"/>
      <c r="Z678" s="25"/>
      <c r="AA678" s="25"/>
      <c r="AB678" s="25"/>
      <c r="AC678" s="3" t="str">
        <f>IF(Caja_Finanzas[[#This Row],[FECHA]]&gt;0,TEXT(Caja_Finanzas[[#This Row],[FECHA]],"mmmm"),0)</f>
        <v>Agosto</v>
      </c>
    </row>
    <row r="679" spans="2:29" ht="24" x14ac:dyDescent="0.3">
      <c r="B679" s="2">
        <f>IF(Caja_Finanzas[[#This Row],[TIPO DE R.]]="R",COUNTIFS($D$4:$D678,"R")+1,"")</f>
        <v>621</v>
      </c>
      <c r="C679" s="19" t="str">
        <f t="shared" si="80"/>
        <v>C-Finanzas</v>
      </c>
      <c r="D679" s="3" t="s">
        <v>1074</v>
      </c>
      <c r="E679" s="14">
        <v>45870</v>
      </c>
      <c r="F679" s="5" t="s">
        <v>1745</v>
      </c>
      <c r="G679" s="5" t="s">
        <v>1087</v>
      </c>
      <c r="H679" s="5"/>
      <c r="I679" s="6"/>
      <c r="J679" s="6" t="s">
        <v>63</v>
      </c>
      <c r="K679" s="6">
        <v>1</v>
      </c>
      <c r="L679" s="6">
        <v>4638</v>
      </c>
      <c r="M679" s="7" t="s">
        <v>5156</v>
      </c>
      <c r="N679" s="8" t="str">
        <f>"CFI"&amp;".D"&amp;TEXT(Caja_Finanzas[[#This Row],[FECHA]],"DD-MM")&amp;"-"&amp;TEXT(Caja_Finanzas[[#This Row],[ITEM]],"0000")</f>
        <v>CFI.D01-08-0621</v>
      </c>
      <c r="O679" s="8" t="str">
        <f t="shared" si="81"/>
        <v>PEN</v>
      </c>
      <c r="P679" s="13"/>
      <c r="Q679" s="13">
        <v>2655</v>
      </c>
      <c r="R679" s="3">
        <f t="shared" si="82"/>
        <v>2655</v>
      </c>
      <c r="S679" s="3">
        <f t="shared" si="83"/>
        <v>0</v>
      </c>
      <c r="T679" s="3">
        <f t="shared" si="67"/>
        <v>29802.69</v>
      </c>
      <c r="U679" s="24"/>
      <c r="V679" s="24"/>
      <c r="W679" s="3"/>
      <c r="X679" s="25"/>
      <c r="Y679" s="25"/>
      <c r="Z679" s="25"/>
      <c r="AA679" s="25"/>
      <c r="AB679" s="25"/>
      <c r="AC679" s="3" t="str">
        <f>IF(Caja_Finanzas[[#This Row],[FECHA]]&gt;0,TEXT(Caja_Finanzas[[#This Row],[FECHA]],"mmmm"),0)</f>
        <v>Agosto</v>
      </c>
    </row>
    <row r="680" spans="2:29" ht="24" x14ac:dyDescent="0.3">
      <c r="B680" s="2">
        <f>IF(Caja_Finanzas[[#This Row],[TIPO DE R.]]="R",COUNTIFS($D$4:$D679,"R")+1,"")</f>
        <v>622</v>
      </c>
      <c r="C680" s="19" t="str">
        <f>"C-Finanzas"</f>
        <v>C-Finanzas</v>
      </c>
      <c r="D680" s="3" t="s">
        <v>1074</v>
      </c>
      <c r="E680" s="14">
        <v>45870</v>
      </c>
      <c r="F680" s="5" t="s">
        <v>1745</v>
      </c>
      <c r="G680" s="5" t="s">
        <v>1087</v>
      </c>
      <c r="H680" s="5"/>
      <c r="I680" s="6"/>
      <c r="J680" s="6" t="s">
        <v>63</v>
      </c>
      <c r="K680" s="6">
        <v>1</v>
      </c>
      <c r="L680" s="6">
        <v>4641</v>
      </c>
      <c r="M680" s="7" t="s">
        <v>5156</v>
      </c>
      <c r="N680" s="8" t="str">
        <f>"CFI"&amp;".D"&amp;TEXT(Caja_Finanzas[[#This Row],[FECHA]],"DD-MM")&amp;"-"&amp;TEXT(Caja_Finanzas[[#This Row],[ITEM]],"0000")</f>
        <v>CFI.D01-08-0622</v>
      </c>
      <c r="O680" s="8" t="str">
        <f>"PEN"</f>
        <v>PEN</v>
      </c>
      <c r="P680" s="13"/>
      <c r="Q680" s="13">
        <v>1606</v>
      </c>
      <c r="R680" s="3">
        <f>+IF(OR($G680="SALDO",$G680="INGRESO"),$Q680,0)</f>
        <v>1606</v>
      </c>
      <c r="S680" s="3">
        <f>+IF($G680="EGRESO",$Q680,0)</f>
        <v>0</v>
      </c>
      <c r="T680" s="3">
        <f t="shared" si="67"/>
        <v>31408.69</v>
      </c>
      <c r="U680" s="24"/>
      <c r="V680" s="24"/>
      <c r="W680" s="3"/>
      <c r="X680" s="25"/>
      <c r="Y680" s="25"/>
      <c r="Z680" s="25"/>
      <c r="AA680" s="25"/>
      <c r="AB680" s="25"/>
      <c r="AC680" s="3" t="str">
        <f>IF(Caja_Finanzas[[#This Row],[FECHA]]&gt;0,TEXT(Caja_Finanzas[[#This Row],[FECHA]],"mmmm"),0)</f>
        <v>Agosto</v>
      </c>
    </row>
    <row r="681" spans="2:29" ht="48" x14ac:dyDescent="0.3">
      <c r="B681" s="2">
        <f>IF(Caja_Finanzas[[#This Row],[TIPO DE R.]]="R",COUNTIFS($D$4:$D680,"R")+1,"")</f>
        <v>623</v>
      </c>
      <c r="C681" s="19" t="str">
        <f>"C-Finanzas"</f>
        <v>C-Finanzas</v>
      </c>
      <c r="D681" s="3" t="s">
        <v>1074</v>
      </c>
      <c r="E681" s="14">
        <v>45873</v>
      </c>
      <c r="F681" s="5" t="s">
        <v>3562</v>
      </c>
      <c r="G681" s="5" t="s">
        <v>1079</v>
      </c>
      <c r="H681" s="5"/>
      <c r="I681" s="6"/>
      <c r="J681" s="6" t="s">
        <v>59</v>
      </c>
      <c r="K681" s="6" t="s">
        <v>6186</v>
      </c>
      <c r="L681" s="6">
        <v>50</v>
      </c>
      <c r="M681" s="7" t="s">
        <v>6236</v>
      </c>
      <c r="N681" s="8" t="str">
        <f>"CFI"&amp;".D"&amp;TEXT(Caja_Finanzas[[#This Row],[FECHA]],"DD-MM")&amp;"-"&amp;TEXT(Caja_Finanzas[[#This Row],[ITEM]],"0000")</f>
        <v>CFI.D04-08-0623</v>
      </c>
      <c r="O681" s="8" t="str">
        <f>"PEN"</f>
        <v>PEN</v>
      </c>
      <c r="P681" s="13"/>
      <c r="Q681" s="13">
        <v>128</v>
      </c>
      <c r="R681" s="3">
        <f>+IF(OR($G681="SALDO",$G681="INGRESO"),$Q681,0)</f>
        <v>0</v>
      </c>
      <c r="S681" s="3">
        <f>+IF($G681="EGRESO",$Q681,0)</f>
        <v>128</v>
      </c>
      <c r="T681" s="3">
        <f t="shared" si="67"/>
        <v>31280.69</v>
      </c>
      <c r="U681" s="24"/>
      <c r="V681" s="24"/>
      <c r="W681" s="3"/>
      <c r="X681" s="25"/>
      <c r="Y681" s="25"/>
      <c r="Z681" s="25"/>
      <c r="AA681" s="25"/>
      <c r="AB681" s="25"/>
      <c r="AC681" s="3" t="str">
        <f>IF(Caja_Finanzas[[#This Row],[FECHA]]&gt;0,TEXT(Caja_Finanzas[[#This Row],[FECHA]],"mmmm"),0)</f>
        <v>Agosto</v>
      </c>
    </row>
    <row r="682" spans="2:29" ht="24" x14ac:dyDescent="0.3">
      <c r="B682" s="2">
        <f>IF(Caja_Finanzas[[#This Row],[TIPO DE R.]]="R",COUNTIFS($D$4:$D681,"R")+1,"")</f>
        <v>624</v>
      </c>
      <c r="C682" s="19" t="str">
        <f t="shared" ref="C682:C685" si="84">"C-Finanzas"</f>
        <v>C-Finanzas</v>
      </c>
      <c r="D682" s="3" t="s">
        <v>1074</v>
      </c>
      <c r="E682" s="14">
        <v>45876</v>
      </c>
      <c r="F682" s="5" t="s">
        <v>1609</v>
      </c>
      <c r="G682" s="5" t="s">
        <v>1087</v>
      </c>
      <c r="H682" s="5"/>
      <c r="I682" s="6"/>
      <c r="J682" s="6" t="s">
        <v>63</v>
      </c>
      <c r="K682" s="6">
        <v>1</v>
      </c>
      <c r="L682" s="6">
        <v>4644</v>
      </c>
      <c r="M682" s="7" t="s">
        <v>5156</v>
      </c>
      <c r="N682" s="8" t="str">
        <f>"CFI"&amp;".D"&amp;TEXT(Caja_Finanzas[[#This Row],[FECHA]],"DD-MM")&amp;"-"&amp;TEXT(Caja_Finanzas[[#This Row],[ITEM]],"0000")</f>
        <v>CFI.D07-08-0624</v>
      </c>
      <c r="O682" s="8" t="str">
        <f t="shared" ref="O682:O685" si="85">"PEN"</f>
        <v>PEN</v>
      </c>
      <c r="P682" s="13"/>
      <c r="Q682" s="13">
        <v>360</v>
      </c>
      <c r="R682" s="3">
        <f t="shared" ref="R682:R685" si="86">+IF(OR($G682="SALDO",$G682="INGRESO"),$Q682,0)</f>
        <v>360</v>
      </c>
      <c r="S682" s="3">
        <f t="shared" ref="S682:S685" si="87">+IF($G682="EGRESO",$Q682,0)</f>
        <v>0</v>
      </c>
      <c r="T682" s="3">
        <f t="shared" si="67"/>
        <v>31640.69</v>
      </c>
      <c r="U682" s="24">
        <f>C_Arequipa_Soles!T584+C_Finanzas_Soles!T672</f>
        <v>28283.089999999997</v>
      </c>
      <c r="V682" s="24"/>
      <c r="W682" s="3"/>
      <c r="X682" s="25"/>
      <c r="Y682" s="25"/>
      <c r="Z682" s="25"/>
      <c r="AA682" s="25"/>
      <c r="AB682" s="25"/>
      <c r="AC682" s="3" t="str">
        <f>IF(Caja_Finanzas[[#This Row],[FECHA]]&gt;0,TEXT(Caja_Finanzas[[#This Row],[FECHA]],"mmmm"),0)</f>
        <v>Agosto</v>
      </c>
    </row>
    <row r="683" spans="2:29" x14ac:dyDescent="0.3">
      <c r="B683" s="2">
        <f>IF(Caja_Finanzas[[#This Row],[TIPO DE R.]]="R",COUNTIFS($D$4:$D682,"R")+1,"")</f>
        <v>625</v>
      </c>
      <c r="C683" s="19" t="str">
        <f t="shared" si="84"/>
        <v>C-Finanzas</v>
      </c>
      <c r="D683" s="3" t="s">
        <v>1074</v>
      </c>
      <c r="E683" s="14">
        <v>45876</v>
      </c>
      <c r="F683" s="5" t="s">
        <v>1239</v>
      </c>
      <c r="G683" s="5" t="s">
        <v>1087</v>
      </c>
      <c r="H683" s="5"/>
      <c r="I683" s="6"/>
      <c r="J683" s="6" t="s">
        <v>63</v>
      </c>
      <c r="K683" s="6">
        <v>1</v>
      </c>
      <c r="L683" s="6">
        <v>4649</v>
      </c>
      <c r="M683" s="7" t="s">
        <v>5156</v>
      </c>
      <c r="N683" s="8" t="str">
        <f>"CFI"&amp;".D"&amp;TEXT(Caja_Finanzas[[#This Row],[FECHA]],"DD-MM")&amp;"-"&amp;TEXT(Caja_Finanzas[[#This Row],[ITEM]],"0000")</f>
        <v>CFI.D07-08-0625</v>
      </c>
      <c r="O683" s="8" t="str">
        <f t="shared" si="85"/>
        <v>PEN</v>
      </c>
      <c r="P683" s="13"/>
      <c r="Q683" s="13">
        <v>450</v>
      </c>
      <c r="R683" s="3">
        <f t="shared" si="86"/>
        <v>450</v>
      </c>
      <c r="S683" s="3">
        <f t="shared" si="87"/>
        <v>0</v>
      </c>
      <c r="T683" s="3">
        <f t="shared" si="67"/>
        <v>32090.69</v>
      </c>
      <c r="U683" s="24"/>
      <c r="V683" s="24"/>
      <c r="W683" s="3"/>
      <c r="X683" s="25"/>
      <c r="Y683" s="25"/>
      <c r="Z683" s="25"/>
      <c r="AA683" s="25"/>
      <c r="AB683" s="25"/>
      <c r="AC683" s="3" t="str">
        <f>IF(Caja_Finanzas[[#This Row],[FECHA]]&gt;0,TEXT(Caja_Finanzas[[#This Row],[FECHA]],"mmmm"),0)</f>
        <v>Agosto</v>
      </c>
    </row>
    <row r="684" spans="2:29" ht="24" x14ac:dyDescent="0.3">
      <c r="B684" s="2">
        <f>IF(Caja_Finanzas[[#This Row],[TIPO DE R.]]="R",COUNTIFS($D$4:$D683,"R")+1,"")</f>
        <v>626</v>
      </c>
      <c r="C684" s="19" t="str">
        <f t="shared" si="84"/>
        <v>C-Finanzas</v>
      </c>
      <c r="D684" s="3" t="s">
        <v>1074</v>
      </c>
      <c r="E684" s="14">
        <v>45876</v>
      </c>
      <c r="F684" s="5" t="s">
        <v>1407</v>
      </c>
      <c r="G684" s="5" t="s">
        <v>1087</v>
      </c>
      <c r="H684" s="5"/>
      <c r="I684" s="6"/>
      <c r="J684" s="6" t="s">
        <v>63</v>
      </c>
      <c r="K684" s="6">
        <v>1</v>
      </c>
      <c r="L684" s="6">
        <v>4650</v>
      </c>
      <c r="M684" s="7" t="s">
        <v>5156</v>
      </c>
      <c r="N684" s="8" t="str">
        <f>"CFI"&amp;".D"&amp;TEXT(Caja_Finanzas[[#This Row],[FECHA]],"DD-MM")&amp;"-"&amp;TEXT(Caja_Finanzas[[#This Row],[ITEM]],"0000")</f>
        <v>CFI.D07-08-0626</v>
      </c>
      <c r="O684" s="8" t="str">
        <f t="shared" si="85"/>
        <v>PEN</v>
      </c>
      <c r="P684" s="13"/>
      <c r="Q684" s="13">
        <v>1050</v>
      </c>
      <c r="R684" s="3">
        <f t="shared" si="86"/>
        <v>1050</v>
      </c>
      <c r="S684" s="3">
        <f t="shared" si="87"/>
        <v>0</v>
      </c>
      <c r="T684" s="3">
        <f t="shared" si="67"/>
        <v>33140.69</v>
      </c>
      <c r="U684" s="24"/>
      <c r="V684" s="24"/>
      <c r="W684" s="3"/>
      <c r="X684" s="25"/>
      <c r="Y684" s="25"/>
      <c r="Z684" s="25"/>
      <c r="AA684" s="25"/>
      <c r="AB684" s="25"/>
      <c r="AC684" s="3" t="str">
        <f>IF(Caja_Finanzas[[#This Row],[FECHA]]&gt;0,TEXT(Caja_Finanzas[[#This Row],[FECHA]],"mmmm"),0)</f>
        <v>Agosto</v>
      </c>
    </row>
    <row r="685" spans="2:29" ht="24" x14ac:dyDescent="0.3">
      <c r="B685" s="2">
        <f>IF(Caja_Finanzas[[#This Row],[TIPO DE R.]]="R",COUNTIFS($D$4:$D684,"R")+1,"")</f>
        <v>627</v>
      </c>
      <c r="C685" s="19" t="str">
        <f t="shared" si="84"/>
        <v>C-Finanzas</v>
      </c>
      <c r="D685" s="3" t="s">
        <v>1074</v>
      </c>
      <c r="E685" s="14">
        <v>45876</v>
      </c>
      <c r="F685" s="5"/>
      <c r="G685" s="5" t="s">
        <v>1087</v>
      </c>
      <c r="H685" s="5"/>
      <c r="I685" s="6"/>
      <c r="J685" s="6"/>
      <c r="K685" s="6"/>
      <c r="L685" s="6"/>
      <c r="M685" s="7" t="s">
        <v>6237</v>
      </c>
      <c r="N685" s="8" t="str">
        <f>"CFI"&amp;".D"&amp;TEXT(Caja_Finanzas[[#This Row],[FECHA]],"DD-MM")&amp;"-"&amp;TEXT(Caja_Finanzas[[#This Row],[ITEM]],"0000")</f>
        <v>CFI.D07-08-0627</v>
      </c>
      <c r="O685" s="8" t="str">
        <f t="shared" si="85"/>
        <v>PEN</v>
      </c>
      <c r="P685" s="3"/>
      <c r="Q685" s="3">
        <v>908</v>
      </c>
      <c r="R685" s="3">
        <f t="shared" si="86"/>
        <v>908</v>
      </c>
      <c r="S685" s="3">
        <f t="shared" si="87"/>
        <v>0</v>
      </c>
      <c r="T685" s="3">
        <f t="shared" si="67"/>
        <v>34048.69</v>
      </c>
      <c r="U685" s="24"/>
      <c r="V685" s="24"/>
      <c r="W685" s="3"/>
      <c r="X685" s="25"/>
      <c r="Y685" s="25"/>
      <c r="Z685" s="25"/>
      <c r="AA685" s="25"/>
      <c r="AB685" s="25"/>
      <c r="AC685" s="3" t="str">
        <f>IF(Caja_Finanzas[[#This Row],[FECHA]]&gt;0,TEXT(Caja_Finanzas[[#This Row],[FECHA]],"mmmm"),0)</f>
        <v>Agosto</v>
      </c>
    </row>
    <row r="686" spans="2:29" ht="24" x14ac:dyDescent="0.3">
      <c r="B686" s="2" t="str">
        <f>IF(Caja_Finanzas[[#This Row],[TIPO DE R.]]="R",COUNTIFS($D$4:$D685,"R")+1,"")</f>
        <v/>
      </c>
      <c r="C686" s="19" t="str">
        <f t="shared" ref="C686:C697" si="88">"C-Finanzas"</f>
        <v>C-Finanzas</v>
      </c>
      <c r="D686" s="3" t="s">
        <v>1101</v>
      </c>
      <c r="E686" s="14">
        <v>45876</v>
      </c>
      <c r="F686" s="5" t="s">
        <v>6238</v>
      </c>
      <c r="G686" s="5"/>
      <c r="H686" s="5"/>
      <c r="I686" s="6"/>
      <c r="J686" s="6" t="s">
        <v>63</v>
      </c>
      <c r="K686" s="6">
        <v>3</v>
      </c>
      <c r="L686" s="6">
        <v>620</v>
      </c>
      <c r="M686" s="7" t="s">
        <v>6237</v>
      </c>
      <c r="N686" s="8" t="str">
        <f>"CFI"&amp;".D"&amp;TEXT(Caja_Finanzas[[#This Row],[FECHA]],"DD-MM")&amp;"-"&amp;TEXT(Caja_Finanzas[[#This Row],[ITEM]],"0000")</f>
        <v>CFI.D07-08-</v>
      </c>
      <c r="O686" s="8" t="str">
        <f t="shared" ref="O686:O697" si="89">"PEN"</f>
        <v>PEN</v>
      </c>
      <c r="P686" s="13">
        <v>162</v>
      </c>
      <c r="Q686" s="13"/>
      <c r="R686" s="3">
        <f t="shared" ref="R686:R697" si="90">+IF(OR($G686="SALDO",$G686="INGRESO"),$Q686,0)</f>
        <v>0</v>
      </c>
      <c r="S686" s="3">
        <f t="shared" ref="S686:S697" si="91">+IF($G686="EGRESO",$Q686,0)</f>
        <v>0</v>
      </c>
      <c r="T686" s="3">
        <f t="shared" si="67"/>
        <v>34048.69</v>
      </c>
      <c r="U686" s="24"/>
      <c r="V686" s="24"/>
      <c r="W686" s="3"/>
      <c r="X686" s="25"/>
      <c r="Y686" s="25"/>
      <c r="Z686" s="25"/>
      <c r="AA686" s="25"/>
      <c r="AB686" s="25"/>
      <c r="AC686" s="3" t="str">
        <f>IF(Caja_Finanzas[[#This Row],[FECHA]]&gt;0,TEXT(Caja_Finanzas[[#This Row],[FECHA]],"mmmm"),0)</f>
        <v>Agosto</v>
      </c>
    </row>
    <row r="687" spans="2:29" ht="24" x14ac:dyDescent="0.3">
      <c r="B687" s="2" t="str">
        <f>IF(Caja_Finanzas[[#This Row],[TIPO DE R.]]="R",COUNTIFS($D$4:$D686,"R")+1,"")</f>
        <v/>
      </c>
      <c r="C687" s="19" t="str">
        <f t="shared" si="88"/>
        <v>C-Finanzas</v>
      </c>
      <c r="D687" s="3" t="s">
        <v>1101</v>
      </c>
      <c r="E687" s="14">
        <v>45876</v>
      </c>
      <c r="F687" s="5" t="s">
        <v>5407</v>
      </c>
      <c r="G687" s="5"/>
      <c r="H687" s="5"/>
      <c r="I687" s="6"/>
      <c r="J687" s="6" t="s">
        <v>63</v>
      </c>
      <c r="K687" s="6">
        <v>3</v>
      </c>
      <c r="L687" s="6">
        <v>621</v>
      </c>
      <c r="M687" s="7" t="s">
        <v>6237</v>
      </c>
      <c r="N687" s="8" t="str">
        <f>"CFI"&amp;".D"&amp;TEXT(Caja_Finanzas[[#This Row],[FECHA]],"DD-MM")&amp;"-"&amp;TEXT(Caja_Finanzas[[#This Row],[ITEM]],"0000")</f>
        <v>CFI.D07-08-</v>
      </c>
      <c r="O687" s="8" t="str">
        <f t="shared" si="89"/>
        <v>PEN</v>
      </c>
      <c r="P687" s="13">
        <v>17</v>
      </c>
      <c r="Q687" s="13"/>
      <c r="R687" s="3">
        <f t="shared" si="90"/>
        <v>0</v>
      </c>
      <c r="S687" s="3">
        <f t="shared" si="91"/>
        <v>0</v>
      </c>
      <c r="T687" s="3">
        <f t="shared" si="67"/>
        <v>34048.69</v>
      </c>
      <c r="U687" s="24"/>
      <c r="V687" s="24"/>
      <c r="W687" s="3"/>
      <c r="X687" s="25"/>
      <c r="Y687" s="25"/>
      <c r="Z687" s="25"/>
      <c r="AA687" s="25"/>
      <c r="AB687" s="25"/>
      <c r="AC687" s="3" t="str">
        <f>IF(Caja_Finanzas[[#This Row],[FECHA]]&gt;0,TEXT(Caja_Finanzas[[#This Row],[FECHA]],"mmmm"),0)</f>
        <v>Agosto</v>
      </c>
    </row>
    <row r="688" spans="2:29" ht="24" x14ac:dyDescent="0.3">
      <c r="B688" s="2" t="str">
        <f>IF(Caja_Finanzas[[#This Row],[TIPO DE R.]]="R",COUNTIFS($D$4:$D687,"R")+1,"")</f>
        <v/>
      </c>
      <c r="C688" s="19" t="str">
        <f t="shared" si="88"/>
        <v>C-Finanzas</v>
      </c>
      <c r="D688" s="3" t="s">
        <v>1101</v>
      </c>
      <c r="E688" s="14">
        <v>45876</v>
      </c>
      <c r="F688" s="5" t="s">
        <v>6239</v>
      </c>
      <c r="G688" s="5"/>
      <c r="H688" s="5"/>
      <c r="I688" s="6"/>
      <c r="J688" s="6" t="s">
        <v>63</v>
      </c>
      <c r="K688" s="6">
        <v>3</v>
      </c>
      <c r="L688" s="6">
        <v>622</v>
      </c>
      <c r="M688" s="7" t="s">
        <v>6237</v>
      </c>
      <c r="N688" s="8" t="str">
        <f>"CFI"&amp;".D"&amp;TEXT(Caja_Finanzas[[#This Row],[FECHA]],"DD-MM")&amp;"-"&amp;TEXT(Caja_Finanzas[[#This Row],[ITEM]],"0000")</f>
        <v>CFI.D07-08-</v>
      </c>
      <c r="O688" s="8" t="str">
        <f t="shared" si="89"/>
        <v>PEN</v>
      </c>
      <c r="P688" s="13">
        <v>109</v>
      </c>
      <c r="Q688" s="13"/>
      <c r="R688" s="3">
        <f t="shared" si="90"/>
        <v>0</v>
      </c>
      <c r="S688" s="3">
        <f t="shared" si="91"/>
        <v>0</v>
      </c>
      <c r="T688" s="3">
        <f t="shared" si="67"/>
        <v>34048.69</v>
      </c>
      <c r="U688" s="24"/>
      <c r="V688" s="24"/>
      <c r="W688" s="3"/>
      <c r="X688" s="25"/>
      <c r="Y688" s="25"/>
      <c r="Z688" s="25"/>
      <c r="AA688" s="25"/>
      <c r="AB688" s="25"/>
      <c r="AC688" s="3" t="str">
        <f>IF(Caja_Finanzas[[#This Row],[FECHA]]&gt;0,TEXT(Caja_Finanzas[[#This Row],[FECHA]],"mmmm"),0)</f>
        <v>Agosto</v>
      </c>
    </row>
    <row r="689" spans="2:29" ht="24" x14ac:dyDescent="0.3">
      <c r="B689" s="2" t="str">
        <f>IF(Caja_Finanzas[[#This Row],[TIPO DE R.]]="R",COUNTIFS($D$4:$D688,"R")+1,"")</f>
        <v/>
      </c>
      <c r="C689" s="19" t="str">
        <f t="shared" si="88"/>
        <v>C-Finanzas</v>
      </c>
      <c r="D689" s="3" t="s">
        <v>1101</v>
      </c>
      <c r="E689" s="14">
        <v>45876</v>
      </c>
      <c r="F689" s="5" t="s">
        <v>6239</v>
      </c>
      <c r="G689" s="5"/>
      <c r="H689" s="5"/>
      <c r="I689" s="6"/>
      <c r="J689" s="6" t="s">
        <v>63</v>
      </c>
      <c r="K689" s="6">
        <v>3</v>
      </c>
      <c r="L689" s="6">
        <v>623</v>
      </c>
      <c r="M689" s="7" t="s">
        <v>6237</v>
      </c>
      <c r="N689" s="8" t="str">
        <f>"CFI"&amp;".D"&amp;TEXT(Caja_Finanzas[[#This Row],[FECHA]],"DD-MM")&amp;"-"&amp;TEXT(Caja_Finanzas[[#This Row],[ITEM]],"0000")</f>
        <v>CFI.D07-08-</v>
      </c>
      <c r="O689" s="8" t="str">
        <f t="shared" si="89"/>
        <v>PEN</v>
      </c>
      <c r="P689" s="13">
        <v>142</v>
      </c>
      <c r="Q689" s="13"/>
      <c r="R689" s="3">
        <f t="shared" si="90"/>
        <v>0</v>
      </c>
      <c r="S689" s="3">
        <f t="shared" si="91"/>
        <v>0</v>
      </c>
      <c r="T689" s="3">
        <f t="shared" si="67"/>
        <v>34048.69</v>
      </c>
      <c r="U689" s="24"/>
      <c r="V689" s="24"/>
      <c r="W689" s="3"/>
      <c r="X689" s="25"/>
      <c r="Y689" s="25"/>
      <c r="Z689" s="25"/>
      <c r="AA689" s="25"/>
      <c r="AB689" s="25"/>
      <c r="AC689" s="3" t="str">
        <f>IF(Caja_Finanzas[[#This Row],[FECHA]]&gt;0,TEXT(Caja_Finanzas[[#This Row],[FECHA]],"mmmm"),0)</f>
        <v>Agosto</v>
      </c>
    </row>
    <row r="690" spans="2:29" ht="24" x14ac:dyDescent="0.3">
      <c r="B690" s="2" t="str">
        <f>IF(Caja_Finanzas[[#This Row],[TIPO DE R.]]="R",COUNTIFS($D$4:$D689,"R")+1,"")</f>
        <v/>
      </c>
      <c r="C690" s="19" t="str">
        <f t="shared" si="88"/>
        <v>C-Finanzas</v>
      </c>
      <c r="D690" s="3" t="s">
        <v>1101</v>
      </c>
      <c r="E690" s="14">
        <v>45876</v>
      </c>
      <c r="F690" s="5" t="s">
        <v>5948</v>
      </c>
      <c r="G690" s="5"/>
      <c r="H690" s="5"/>
      <c r="I690" s="6"/>
      <c r="J690" s="6" t="s">
        <v>63</v>
      </c>
      <c r="K690" s="6">
        <v>3</v>
      </c>
      <c r="L690" s="6">
        <v>624</v>
      </c>
      <c r="M690" s="7" t="s">
        <v>6237</v>
      </c>
      <c r="N690" s="8" t="str">
        <f>"CFI"&amp;".D"&amp;TEXT(Caja_Finanzas[[#This Row],[FECHA]],"DD-MM")&amp;"-"&amp;TEXT(Caja_Finanzas[[#This Row],[ITEM]],"0000")</f>
        <v>CFI.D07-08-</v>
      </c>
      <c r="O690" s="8" t="str">
        <f t="shared" si="89"/>
        <v>PEN</v>
      </c>
      <c r="P690" s="13">
        <v>113.5</v>
      </c>
      <c r="Q690" s="13"/>
      <c r="R690" s="3">
        <f t="shared" si="90"/>
        <v>0</v>
      </c>
      <c r="S690" s="3">
        <f t="shared" si="91"/>
        <v>0</v>
      </c>
      <c r="T690" s="3">
        <f t="shared" si="67"/>
        <v>34048.69</v>
      </c>
      <c r="U690" s="24"/>
      <c r="V690" s="24"/>
      <c r="W690" s="3"/>
      <c r="X690" s="25"/>
      <c r="Y690" s="25"/>
      <c r="Z690" s="25"/>
      <c r="AA690" s="25"/>
      <c r="AB690" s="25"/>
      <c r="AC690" s="3" t="str">
        <f>IF(Caja_Finanzas[[#This Row],[FECHA]]&gt;0,TEXT(Caja_Finanzas[[#This Row],[FECHA]],"mmmm"),0)</f>
        <v>Agosto</v>
      </c>
    </row>
    <row r="691" spans="2:29" ht="24" x14ac:dyDescent="0.3">
      <c r="B691" s="2" t="str">
        <f>IF(Caja_Finanzas[[#This Row],[TIPO DE R.]]="R",COUNTIFS($D$4:$D690,"R")+1,"")</f>
        <v/>
      </c>
      <c r="C691" s="19" t="str">
        <f t="shared" si="88"/>
        <v>C-Finanzas</v>
      </c>
      <c r="D691" s="3" t="s">
        <v>1101</v>
      </c>
      <c r="E691" s="14">
        <v>45876</v>
      </c>
      <c r="F691" s="5" t="s">
        <v>5804</v>
      </c>
      <c r="G691" s="5"/>
      <c r="H691" s="5"/>
      <c r="I691" s="6"/>
      <c r="J691" s="6" t="s">
        <v>63</v>
      </c>
      <c r="K691" s="6">
        <v>3</v>
      </c>
      <c r="L691" s="6">
        <v>625</v>
      </c>
      <c r="M691" s="7" t="s">
        <v>6237</v>
      </c>
      <c r="N691" s="8" t="str">
        <f>"CFI"&amp;".D"&amp;TEXT(Caja_Finanzas[[#This Row],[FECHA]],"DD-MM")&amp;"-"&amp;TEXT(Caja_Finanzas[[#This Row],[ITEM]],"0000")</f>
        <v>CFI.D07-08-</v>
      </c>
      <c r="O691" s="8" t="str">
        <f t="shared" si="89"/>
        <v>PEN</v>
      </c>
      <c r="P691" s="13">
        <v>18.8</v>
      </c>
      <c r="Q691" s="13"/>
      <c r="R691" s="3">
        <f t="shared" si="90"/>
        <v>0</v>
      </c>
      <c r="S691" s="3">
        <f t="shared" si="91"/>
        <v>0</v>
      </c>
      <c r="T691" s="3">
        <f t="shared" si="67"/>
        <v>34048.69</v>
      </c>
      <c r="U691" s="24"/>
      <c r="V691" s="24"/>
      <c r="W691" s="3"/>
      <c r="X691" s="25"/>
      <c r="Y691" s="25"/>
      <c r="Z691" s="25"/>
      <c r="AA691" s="25"/>
      <c r="AB691" s="25"/>
      <c r="AC691" s="3" t="str">
        <f>IF(Caja_Finanzas[[#This Row],[FECHA]]&gt;0,TEXT(Caja_Finanzas[[#This Row],[FECHA]],"mmmm"),0)</f>
        <v>Agosto</v>
      </c>
    </row>
    <row r="692" spans="2:29" ht="24" x14ac:dyDescent="0.3">
      <c r="B692" s="2" t="str">
        <f>IF(Caja_Finanzas[[#This Row],[TIPO DE R.]]="R",COUNTIFS($D$4:$D691,"R")+1,"")</f>
        <v/>
      </c>
      <c r="C692" s="19" t="str">
        <f t="shared" si="88"/>
        <v>C-Finanzas</v>
      </c>
      <c r="D692" s="3" t="s">
        <v>1101</v>
      </c>
      <c r="E692" s="14">
        <v>45876</v>
      </c>
      <c r="F692" s="5" t="s">
        <v>6240</v>
      </c>
      <c r="G692" s="5"/>
      <c r="H692" s="5"/>
      <c r="I692" s="6"/>
      <c r="J692" s="6" t="s">
        <v>63</v>
      </c>
      <c r="K692" s="6">
        <v>3</v>
      </c>
      <c r="L692" s="6">
        <v>627</v>
      </c>
      <c r="M692" s="7" t="s">
        <v>6237</v>
      </c>
      <c r="N692" s="8" t="str">
        <f>"CFI"&amp;".D"&amp;TEXT(Caja_Finanzas[[#This Row],[FECHA]],"DD-MM")&amp;"-"&amp;TEXT(Caja_Finanzas[[#This Row],[ITEM]],"0000")</f>
        <v>CFI.D07-08-</v>
      </c>
      <c r="O692" s="8" t="str">
        <f t="shared" si="89"/>
        <v>PEN</v>
      </c>
      <c r="P692" s="13">
        <v>8</v>
      </c>
      <c r="Q692" s="13"/>
      <c r="R692" s="3">
        <f t="shared" si="90"/>
        <v>0</v>
      </c>
      <c r="S692" s="3">
        <f t="shared" si="91"/>
        <v>0</v>
      </c>
      <c r="T692" s="3">
        <f t="shared" si="67"/>
        <v>34048.69</v>
      </c>
      <c r="U692" s="24"/>
      <c r="V692" s="24"/>
      <c r="W692" s="3"/>
      <c r="X692" s="25"/>
      <c r="Y692" s="25"/>
      <c r="Z692" s="25"/>
      <c r="AA692" s="25"/>
      <c r="AB692" s="25"/>
      <c r="AC692" s="3" t="str">
        <f>IF(Caja_Finanzas[[#This Row],[FECHA]]&gt;0,TEXT(Caja_Finanzas[[#This Row],[FECHA]],"mmmm"),0)</f>
        <v>Agosto</v>
      </c>
    </row>
    <row r="693" spans="2:29" ht="24" x14ac:dyDescent="0.3">
      <c r="B693" s="2" t="str">
        <f>IF(Caja_Finanzas[[#This Row],[TIPO DE R.]]="R",COUNTIFS($D$4:$D692,"R")+1,"")</f>
        <v/>
      </c>
      <c r="C693" s="19" t="str">
        <f t="shared" si="88"/>
        <v>C-Finanzas</v>
      </c>
      <c r="D693" s="3" t="s">
        <v>1101</v>
      </c>
      <c r="E693" s="14">
        <v>45876</v>
      </c>
      <c r="F693" s="5" t="s">
        <v>3403</v>
      </c>
      <c r="G693" s="5"/>
      <c r="H693" s="5"/>
      <c r="I693" s="6"/>
      <c r="J693" s="6" t="s">
        <v>63</v>
      </c>
      <c r="K693" s="6">
        <v>3</v>
      </c>
      <c r="L693" s="6">
        <v>628</v>
      </c>
      <c r="M693" s="7" t="s">
        <v>6237</v>
      </c>
      <c r="N693" s="8" t="str">
        <f>"CFI"&amp;".D"&amp;TEXT(Caja_Finanzas[[#This Row],[FECHA]],"DD-MM")&amp;"-"&amp;TEXT(Caja_Finanzas[[#This Row],[ITEM]],"0000")</f>
        <v>CFI.D07-08-</v>
      </c>
      <c r="O693" s="8" t="str">
        <f t="shared" si="89"/>
        <v>PEN</v>
      </c>
      <c r="P693" s="13">
        <v>65</v>
      </c>
      <c r="Q693" s="13"/>
      <c r="R693" s="3">
        <f t="shared" si="90"/>
        <v>0</v>
      </c>
      <c r="S693" s="3">
        <f t="shared" si="91"/>
        <v>0</v>
      </c>
      <c r="T693" s="3">
        <f t="shared" si="67"/>
        <v>34048.69</v>
      </c>
      <c r="U693" s="24"/>
      <c r="V693" s="24"/>
      <c r="W693" s="3"/>
      <c r="X693" s="25"/>
      <c r="Y693" s="25"/>
      <c r="Z693" s="25"/>
      <c r="AA693" s="25"/>
      <c r="AB693" s="25"/>
      <c r="AC693" s="3" t="str">
        <f>IF(Caja_Finanzas[[#This Row],[FECHA]]&gt;0,TEXT(Caja_Finanzas[[#This Row],[FECHA]],"mmmm"),0)</f>
        <v>Agosto</v>
      </c>
    </row>
    <row r="694" spans="2:29" ht="24" x14ac:dyDescent="0.3">
      <c r="B694" s="2" t="str">
        <f>IF(Caja_Finanzas[[#This Row],[TIPO DE R.]]="R",COUNTIFS($D$4:$D693,"R")+1,"")</f>
        <v/>
      </c>
      <c r="C694" s="19" t="str">
        <f t="shared" si="88"/>
        <v>C-Finanzas</v>
      </c>
      <c r="D694" s="3" t="s">
        <v>1101</v>
      </c>
      <c r="E694" s="14">
        <v>45876</v>
      </c>
      <c r="F694" s="5" t="s">
        <v>3402</v>
      </c>
      <c r="G694" s="5"/>
      <c r="H694" s="5"/>
      <c r="I694" s="6"/>
      <c r="J694" s="6" t="s">
        <v>63</v>
      </c>
      <c r="K694" s="6">
        <v>3</v>
      </c>
      <c r="L694" s="6">
        <v>629</v>
      </c>
      <c r="M694" s="7" t="s">
        <v>6237</v>
      </c>
      <c r="N694" s="8" t="str">
        <f>"CFI"&amp;".D"&amp;TEXT(Caja_Finanzas[[#This Row],[FECHA]],"DD-MM")&amp;"-"&amp;TEXT(Caja_Finanzas[[#This Row],[ITEM]],"0000")</f>
        <v>CFI.D07-08-</v>
      </c>
      <c r="O694" s="8" t="str">
        <f t="shared" si="89"/>
        <v>PEN</v>
      </c>
      <c r="P694" s="13">
        <v>86.5</v>
      </c>
      <c r="Q694" s="13"/>
      <c r="R694" s="3">
        <f t="shared" si="90"/>
        <v>0</v>
      </c>
      <c r="S694" s="3">
        <f t="shared" si="91"/>
        <v>0</v>
      </c>
      <c r="T694" s="3">
        <f t="shared" si="67"/>
        <v>34048.69</v>
      </c>
      <c r="U694" s="24"/>
      <c r="V694" s="24"/>
      <c r="W694" s="3"/>
      <c r="X694" s="25"/>
      <c r="Y694" s="25"/>
      <c r="Z694" s="25"/>
      <c r="AA694" s="25"/>
      <c r="AB694" s="25"/>
      <c r="AC694" s="3" t="str">
        <f>IF(Caja_Finanzas[[#This Row],[FECHA]]&gt;0,TEXT(Caja_Finanzas[[#This Row],[FECHA]],"mmmm"),0)</f>
        <v>Agosto</v>
      </c>
    </row>
    <row r="695" spans="2:29" ht="24" x14ac:dyDescent="0.3">
      <c r="B695" s="2" t="str">
        <f>IF(Caja_Finanzas[[#This Row],[TIPO DE R.]]="R",COUNTIFS($D$4:$D694,"R")+1,"")</f>
        <v/>
      </c>
      <c r="C695" s="19" t="str">
        <f t="shared" si="88"/>
        <v>C-Finanzas</v>
      </c>
      <c r="D695" s="3" t="s">
        <v>1101</v>
      </c>
      <c r="E695" s="14">
        <v>45876</v>
      </c>
      <c r="F695" s="5" t="s">
        <v>1239</v>
      </c>
      <c r="G695" s="5"/>
      <c r="H695" s="5"/>
      <c r="I695" s="6"/>
      <c r="J695" s="6" t="s">
        <v>63</v>
      </c>
      <c r="K695" s="6">
        <v>3</v>
      </c>
      <c r="L695" s="6">
        <v>630</v>
      </c>
      <c r="M695" s="7" t="s">
        <v>6237</v>
      </c>
      <c r="N695" s="8" t="str">
        <f>"CFI"&amp;".D"&amp;TEXT(Caja_Finanzas[[#This Row],[FECHA]],"DD-MM")&amp;"-"&amp;TEXT(Caja_Finanzas[[#This Row],[ITEM]],"0000")</f>
        <v>CFI.D07-08-</v>
      </c>
      <c r="O695" s="8" t="str">
        <f t="shared" si="89"/>
        <v>PEN</v>
      </c>
      <c r="P695" s="13">
        <v>35.299999999999997</v>
      </c>
      <c r="Q695" s="13"/>
      <c r="R695" s="3">
        <f t="shared" si="90"/>
        <v>0</v>
      </c>
      <c r="S695" s="3">
        <f t="shared" si="91"/>
        <v>0</v>
      </c>
      <c r="T695" s="3">
        <f t="shared" si="67"/>
        <v>34048.69</v>
      </c>
      <c r="U695" s="24"/>
      <c r="V695" s="24"/>
      <c r="W695" s="3"/>
      <c r="X695" s="25"/>
      <c r="Y695" s="25"/>
      <c r="Z695" s="25"/>
      <c r="AA695" s="25"/>
      <c r="AB695" s="25"/>
      <c r="AC695" s="3" t="str">
        <f>IF(Caja_Finanzas[[#This Row],[FECHA]]&gt;0,TEXT(Caja_Finanzas[[#This Row],[FECHA]],"mmmm"),0)</f>
        <v>Agosto</v>
      </c>
    </row>
    <row r="696" spans="2:29" ht="24" x14ac:dyDescent="0.3">
      <c r="B696" s="2" t="str">
        <f>IF(Caja_Finanzas[[#This Row],[TIPO DE R.]]="R",COUNTIFS($D$4:$D695,"R")+1,"")</f>
        <v/>
      </c>
      <c r="C696" s="19" t="str">
        <f t="shared" si="88"/>
        <v>C-Finanzas</v>
      </c>
      <c r="D696" s="3" t="s">
        <v>1101</v>
      </c>
      <c r="E696" s="14">
        <v>45876</v>
      </c>
      <c r="F696" s="5" t="s">
        <v>6241</v>
      </c>
      <c r="G696" s="5"/>
      <c r="H696" s="5"/>
      <c r="I696" s="6"/>
      <c r="J696" s="6" t="s">
        <v>63</v>
      </c>
      <c r="K696" s="6">
        <v>3</v>
      </c>
      <c r="L696" s="6">
        <v>631</v>
      </c>
      <c r="M696" s="7" t="s">
        <v>6237</v>
      </c>
      <c r="N696" s="8" t="str">
        <f>"CFI"&amp;".D"&amp;TEXT(Caja_Finanzas[[#This Row],[FECHA]],"DD-MM")&amp;"-"&amp;TEXT(Caja_Finanzas[[#This Row],[ITEM]],"0000")</f>
        <v>CFI.D07-08-</v>
      </c>
      <c r="O696" s="8" t="str">
        <f t="shared" si="89"/>
        <v>PEN</v>
      </c>
      <c r="P696" s="13">
        <v>96</v>
      </c>
      <c r="Q696" s="13"/>
      <c r="R696" s="3">
        <f t="shared" si="90"/>
        <v>0</v>
      </c>
      <c r="S696" s="3">
        <f t="shared" si="91"/>
        <v>0</v>
      </c>
      <c r="T696" s="3">
        <f t="shared" si="67"/>
        <v>34048.69</v>
      </c>
      <c r="U696" s="24"/>
      <c r="V696" s="24"/>
      <c r="W696" s="3"/>
      <c r="X696" s="25"/>
      <c r="Y696" s="25"/>
      <c r="Z696" s="25"/>
      <c r="AA696" s="25"/>
      <c r="AB696" s="25"/>
      <c r="AC696" s="3" t="str">
        <f>IF(Caja_Finanzas[[#This Row],[FECHA]]&gt;0,TEXT(Caja_Finanzas[[#This Row],[FECHA]],"mmmm"),0)</f>
        <v>Agosto</v>
      </c>
    </row>
    <row r="697" spans="2:29" ht="24" x14ac:dyDescent="0.3">
      <c r="B697" s="2" t="str">
        <f>IF(Caja_Finanzas[[#This Row],[TIPO DE R.]]="R",COUNTIFS($D$4:$D696,"R")+1,"")</f>
        <v/>
      </c>
      <c r="C697" s="19" t="str">
        <f t="shared" si="88"/>
        <v>C-Finanzas</v>
      </c>
      <c r="D697" s="3" t="s">
        <v>1101</v>
      </c>
      <c r="E697" s="14">
        <v>45876</v>
      </c>
      <c r="F697" s="5" t="s">
        <v>6242</v>
      </c>
      <c r="G697" s="5"/>
      <c r="H697" s="5"/>
      <c r="I697" s="6"/>
      <c r="J697" s="6" t="s">
        <v>63</v>
      </c>
      <c r="K697" s="6">
        <v>3</v>
      </c>
      <c r="L697" s="6">
        <v>632</v>
      </c>
      <c r="M697" s="7" t="s">
        <v>6237</v>
      </c>
      <c r="N697" s="8" t="str">
        <f>"CFI"&amp;".D"&amp;TEXT(Caja_Finanzas[[#This Row],[FECHA]],"DD-MM")&amp;"-"&amp;TEXT(Caja_Finanzas[[#This Row],[ITEM]],"0000")</f>
        <v>CFI.D07-08-</v>
      </c>
      <c r="O697" s="8" t="str">
        <f t="shared" si="89"/>
        <v>PEN</v>
      </c>
      <c r="P697" s="13">
        <v>54.9</v>
      </c>
      <c r="Q697" s="13"/>
      <c r="R697" s="3">
        <f t="shared" si="90"/>
        <v>0</v>
      </c>
      <c r="S697" s="3">
        <f t="shared" si="91"/>
        <v>0</v>
      </c>
      <c r="T697" s="3">
        <f t="shared" si="67"/>
        <v>34048.69</v>
      </c>
      <c r="U697" s="24"/>
      <c r="V697" s="24"/>
      <c r="W697" s="3"/>
      <c r="X697" s="25"/>
      <c r="Y697" s="25"/>
      <c r="Z697" s="25"/>
      <c r="AA697" s="25"/>
      <c r="AB697" s="25"/>
      <c r="AC697" s="3" t="str">
        <f>IF(Caja_Finanzas[[#This Row],[FECHA]]&gt;0,TEXT(Caja_Finanzas[[#This Row],[FECHA]],"mmmm"),0)</f>
        <v>Agosto</v>
      </c>
    </row>
    <row r="698" spans="2:29" ht="24" x14ac:dyDescent="0.3">
      <c r="B698" s="2">
        <f>IF(Caja_Finanzas[[#This Row],[TIPO DE R.]]="R",COUNTIFS($D$4:$D697,"R")+1,"")</f>
        <v>628</v>
      </c>
      <c r="C698" s="19" t="str">
        <f t="shared" ref="C698:C720" si="92">"C-Finanzas"</f>
        <v>C-Finanzas</v>
      </c>
      <c r="D698" s="3" t="s">
        <v>1074</v>
      </c>
      <c r="E698" s="14">
        <v>45877</v>
      </c>
      <c r="F698" s="5" t="s">
        <v>6243</v>
      </c>
      <c r="G698" s="5" t="s">
        <v>1087</v>
      </c>
      <c r="H698" s="5"/>
      <c r="I698" s="6"/>
      <c r="J698" s="6" t="s">
        <v>63</v>
      </c>
      <c r="K698" s="6">
        <v>1</v>
      </c>
      <c r="L698" s="6">
        <v>4611</v>
      </c>
      <c r="M698" s="7" t="s">
        <v>5156</v>
      </c>
      <c r="N698" s="8" t="str">
        <f>"CFI"&amp;".D"&amp;TEXT(Caja_Finanzas[[#This Row],[FECHA]],"DD-MM")&amp;"-"&amp;TEXT(Caja_Finanzas[[#This Row],[ITEM]],"0000")</f>
        <v>CFI.D08-08-0628</v>
      </c>
      <c r="O698" s="8" t="str">
        <f t="shared" ref="O698:O720" si="93">"PEN"</f>
        <v>PEN</v>
      </c>
      <c r="P698" s="13"/>
      <c r="Q698" s="13">
        <v>250</v>
      </c>
      <c r="R698" s="3">
        <f t="shared" ref="R698:R720" si="94">+IF(OR($G698="SALDO",$G698="INGRESO"),$Q698,0)</f>
        <v>250</v>
      </c>
      <c r="S698" s="3">
        <f t="shared" ref="S698:S720" si="95">+IF($G698="EGRESO",$Q698,0)</f>
        <v>0</v>
      </c>
      <c r="T698" s="3">
        <f t="shared" si="67"/>
        <v>34298.69</v>
      </c>
      <c r="U698" s="24"/>
      <c r="V698" s="24"/>
      <c r="W698" s="3"/>
      <c r="X698" s="25"/>
      <c r="Y698" s="25"/>
      <c r="Z698" s="25"/>
      <c r="AA698" s="25"/>
      <c r="AB698" s="25"/>
      <c r="AC698" s="3" t="str">
        <f>IF(Caja_Finanzas[[#This Row],[FECHA]]&gt;0,TEXT(Caja_Finanzas[[#This Row],[FECHA]],"mmmm"),0)</f>
        <v>Agosto</v>
      </c>
    </row>
    <row r="699" spans="2:29" ht="24" x14ac:dyDescent="0.3">
      <c r="B699" s="2">
        <f>IF(Caja_Finanzas[[#This Row],[TIPO DE R.]]="R",COUNTIFS($D$4:$D698,"R")+1,"")</f>
        <v>629</v>
      </c>
      <c r="C699" s="19" t="str">
        <f t="shared" si="92"/>
        <v>C-Finanzas</v>
      </c>
      <c r="D699" s="3" t="s">
        <v>1074</v>
      </c>
      <c r="E699" s="14">
        <v>45877</v>
      </c>
      <c r="F699" s="5" t="s">
        <v>1745</v>
      </c>
      <c r="G699" s="5" t="s">
        <v>1087</v>
      </c>
      <c r="H699" s="5"/>
      <c r="I699" s="6"/>
      <c r="J699" s="6" t="s">
        <v>63</v>
      </c>
      <c r="K699" s="6">
        <v>1</v>
      </c>
      <c r="L699" s="6">
        <v>4654</v>
      </c>
      <c r="M699" s="7" t="s">
        <v>5156</v>
      </c>
      <c r="N699" s="8" t="str">
        <f>"CFI"&amp;".D"&amp;TEXT(Caja_Finanzas[[#This Row],[FECHA]],"DD-MM")&amp;"-"&amp;TEXT(Caja_Finanzas[[#This Row],[ITEM]],"0000")</f>
        <v>CFI.D08-08-0629</v>
      </c>
      <c r="O699" s="8" t="str">
        <f t="shared" si="93"/>
        <v>PEN</v>
      </c>
      <c r="P699" s="13"/>
      <c r="Q699" s="13">
        <v>925</v>
      </c>
      <c r="R699" s="3">
        <f t="shared" si="94"/>
        <v>925</v>
      </c>
      <c r="S699" s="3">
        <f t="shared" si="95"/>
        <v>0</v>
      </c>
      <c r="T699" s="3">
        <f t="shared" si="67"/>
        <v>35223.69</v>
      </c>
      <c r="U699" s="24"/>
      <c r="V699" s="24"/>
      <c r="W699" s="3"/>
      <c r="X699" s="25"/>
      <c r="Y699" s="25"/>
      <c r="Z699" s="25"/>
      <c r="AA699" s="25"/>
      <c r="AB699" s="25"/>
      <c r="AC699" s="3" t="str">
        <f>IF(Caja_Finanzas[[#This Row],[FECHA]]&gt;0,TEXT(Caja_Finanzas[[#This Row],[FECHA]],"mmmm"),0)</f>
        <v>Agosto</v>
      </c>
    </row>
    <row r="700" spans="2:29" ht="24" x14ac:dyDescent="0.3">
      <c r="B700" s="2">
        <f>IF(Caja_Finanzas[[#This Row],[TIPO DE R.]]="R",COUNTIFS($D$4:$D699,"R")+1,"")</f>
        <v>630</v>
      </c>
      <c r="C700" s="19" t="str">
        <f t="shared" si="92"/>
        <v>C-Finanzas</v>
      </c>
      <c r="D700" s="3" t="s">
        <v>1074</v>
      </c>
      <c r="E700" s="14">
        <v>45877</v>
      </c>
      <c r="F700" s="5" t="s">
        <v>3158</v>
      </c>
      <c r="G700" s="5" t="s">
        <v>1087</v>
      </c>
      <c r="H700" s="5"/>
      <c r="I700" s="6"/>
      <c r="J700" s="6" t="s">
        <v>63</v>
      </c>
      <c r="K700" s="6">
        <v>1</v>
      </c>
      <c r="L700" s="6">
        <v>4653</v>
      </c>
      <c r="M700" s="7" t="s">
        <v>5156</v>
      </c>
      <c r="N700" s="8" t="str">
        <f>"CFI"&amp;".D"&amp;TEXT(Caja_Finanzas[[#This Row],[FECHA]],"DD-MM")&amp;"-"&amp;TEXT(Caja_Finanzas[[#This Row],[ITEM]],"0000")</f>
        <v>CFI.D08-08-0630</v>
      </c>
      <c r="O700" s="8" t="str">
        <f t="shared" si="93"/>
        <v>PEN</v>
      </c>
      <c r="P700" s="13"/>
      <c r="Q700" s="13">
        <v>2100</v>
      </c>
      <c r="R700" s="3">
        <f t="shared" si="94"/>
        <v>2100</v>
      </c>
      <c r="S700" s="3">
        <f t="shared" si="95"/>
        <v>0</v>
      </c>
      <c r="T700" s="3">
        <f t="shared" si="67"/>
        <v>37323.69</v>
      </c>
      <c r="U700" s="24"/>
      <c r="V700" s="24"/>
      <c r="W700" s="3"/>
      <c r="X700" s="25"/>
      <c r="Y700" s="25"/>
      <c r="Z700" s="25"/>
      <c r="AA700" s="25"/>
      <c r="AB700" s="25"/>
      <c r="AC700" s="3" t="str">
        <f>IF(Caja_Finanzas[[#This Row],[FECHA]]&gt;0,TEXT(Caja_Finanzas[[#This Row],[FECHA]],"mmmm"),0)</f>
        <v>Agosto</v>
      </c>
    </row>
    <row r="701" spans="2:29" ht="24" x14ac:dyDescent="0.3">
      <c r="B701" s="2">
        <f>IF(Caja_Finanzas[[#This Row],[TIPO DE R.]]="R",COUNTIFS($D$4:$D700,"R")+1,"")</f>
        <v>631</v>
      </c>
      <c r="C701" s="19" t="str">
        <f t="shared" si="92"/>
        <v>C-Finanzas</v>
      </c>
      <c r="D701" s="3" t="s">
        <v>1074</v>
      </c>
      <c r="E701" s="14">
        <v>45877</v>
      </c>
      <c r="F701" s="5" t="s">
        <v>3158</v>
      </c>
      <c r="G701" s="5" t="s">
        <v>1087</v>
      </c>
      <c r="H701" s="5"/>
      <c r="I701" s="6"/>
      <c r="J701" s="6" t="s">
        <v>63</v>
      </c>
      <c r="K701" s="6">
        <v>1</v>
      </c>
      <c r="L701" s="6">
        <v>4655</v>
      </c>
      <c r="M701" s="7" t="s">
        <v>5156</v>
      </c>
      <c r="N701" s="8" t="str">
        <f>"CFI"&amp;".D"&amp;TEXT(Caja_Finanzas[[#This Row],[FECHA]],"DD-MM")&amp;"-"&amp;TEXT(Caja_Finanzas[[#This Row],[ITEM]],"0000")</f>
        <v>CFI.D08-08-0631</v>
      </c>
      <c r="O701" s="8" t="str">
        <f t="shared" si="93"/>
        <v>PEN</v>
      </c>
      <c r="P701" s="13"/>
      <c r="Q701" s="13">
        <v>350</v>
      </c>
      <c r="R701" s="3">
        <f t="shared" si="94"/>
        <v>350</v>
      </c>
      <c r="S701" s="3">
        <f t="shared" si="95"/>
        <v>0</v>
      </c>
      <c r="T701" s="3">
        <f t="shared" si="67"/>
        <v>37673.69</v>
      </c>
      <c r="U701" s="24"/>
      <c r="V701" s="24"/>
      <c r="W701" s="3"/>
      <c r="X701" s="25"/>
      <c r="Y701" s="25"/>
      <c r="Z701" s="25"/>
      <c r="AA701" s="25"/>
      <c r="AB701" s="25"/>
      <c r="AC701" s="3" t="str">
        <f>IF(Caja_Finanzas[[#This Row],[FECHA]]&gt;0,TEXT(Caja_Finanzas[[#This Row],[FECHA]],"mmmm"),0)</f>
        <v>Agosto</v>
      </c>
    </row>
    <row r="702" spans="2:29" x14ac:dyDescent="0.3">
      <c r="B702" s="2">
        <f>IF(Caja_Finanzas[[#This Row],[TIPO DE R.]]="R",COUNTIFS($D$4:$D701,"R")+1,"")</f>
        <v>632</v>
      </c>
      <c r="C702" s="19" t="str">
        <f t="shared" si="92"/>
        <v>C-Finanzas</v>
      </c>
      <c r="D702" s="3" t="s">
        <v>1074</v>
      </c>
      <c r="E702" s="14">
        <v>45877</v>
      </c>
      <c r="F702" s="5" t="s">
        <v>1262</v>
      </c>
      <c r="G702" s="5" t="s">
        <v>1087</v>
      </c>
      <c r="H702" s="5"/>
      <c r="I702" s="6"/>
      <c r="J702" s="6" t="s">
        <v>63</v>
      </c>
      <c r="K702" s="6">
        <v>1</v>
      </c>
      <c r="L702" s="6">
        <v>4608</v>
      </c>
      <c r="M702" s="7" t="s">
        <v>5156</v>
      </c>
      <c r="N702" s="8" t="str">
        <f>"CFI"&amp;".D"&amp;TEXT(Caja_Finanzas[[#This Row],[FECHA]],"DD-MM")&amp;"-"&amp;TEXT(Caja_Finanzas[[#This Row],[ITEM]],"0000")</f>
        <v>CFI.D08-08-0632</v>
      </c>
      <c r="O702" s="8" t="str">
        <f t="shared" si="93"/>
        <v>PEN</v>
      </c>
      <c r="P702" s="13"/>
      <c r="Q702" s="13">
        <v>1827</v>
      </c>
      <c r="R702" s="3">
        <f t="shared" si="94"/>
        <v>1827</v>
      </c>
      <c r="S702" s="3">
        <f t="shared" si="95"/>
        <v>0</v>
      </c>
      <c r="T702" s="3">
        <f t="shared" si="67"/>
        <v>39500.69</v>
      </c>
      <c r="U702" s="24"/>
      <c r="V702" s="24"/>
      <c r="W702" s="3"/>
      <c r="X702" s="25"/>
      <c r="Y702" s="25"/>
      <c r="Z702" s="25"/>
      <c r="AA702" s="25"/>
      <c r="AB702" s="25"/>
      <c r="AC702" s="3" t="str">
        <f>IF(Caja_Finanzas[[#This Row],[FECHA]]&gt;0,TEXT(Caja_Finanzas[[#This Row],[FECHA]],"mmmm"),0)</f>
        <v>Agosto</v>
      </c>
    </row>
    <row r="703" spans="2:29" x14ac:dyDescent="0.3">
      <c r="B703" s="2">
        <f>IF(Caja_Finanzas[[#This Row],[TIPO DE R.]]="R",COUNTIFS($D$4:$D702,"R")+1,"")</f>
        <v>633</v>
      </c>
      <c r="C703" s="19" t="str">
        <f t="shared" si="92"/>
        <v>C-Finanzas</v>
      </c>
      <c r="D703" s="3" t="s">
        <v>1074</v>
      </c>
      <c r="E703" s="14">
        <v>45877</v>
      </c>
      <c r="F703" s="5" t="s">
        <v>1262</v>
      </c>
      <c r="G703" s="5" t="s">
        <v>1087</v>
      </c>
      <c r="H703" s="5"/>
      <c r="I703" s="6"/>
      <c r="J703" s="6" t="s">
        <v>63</v>
      </c>
      <c r="K703" s="6">
        <v>1</v>
      </c>
      <c r="L703" s="6">
        <v>4632</v>
      </c>
      <c r="M703" s="7" t="s">
        <v>5156</v>
      </c>
      <c r="N703" s="8" t="str">
        <f>"CFI"&amp;".D"&amp;TEXT(Caja_Finanzas[[#This Row],[FECHA]],"DD-MM")&amp;"-"&amp;TEXT(Caja_Finanzas[[#This Row],[ITEM]],"0000")</f>
        <v>CFI.D08-08-0633</v>
      </c>
      <c r="O703" s="8" t="str">
        <f t="shared" si="93"/>
        <v>PEN</v>
      </c>
      <c r="P703" s="13"/>
      <c r="Q703" s="13">
        <v>2106</v>
      </c>
      <c r="R703" s="3">
        <f t="shared" si="94"/>
        <v>2106</v>
      </c>
      <c r="S703" s="3">
        <f t="shared" si="95"/>
        <v>0</v>
      </c>
      <c r="T703" s="3">
        <f t="shared" si="67"/>
        <v>41606.69</v>
      </c>
      <c r="U703" s="24"/>
      <c r="V703" s="24"/>
      <c r="W703" s="3"/>
      <c r="X703" s="25"/>
      <c r="Y703" s="25"/>
      <c r="Z703" s="25"/>
      <c r="AA703" s="25"/>
      <c r="AB703" s="25"/>
      <c r="AC703" s="3" t="str">
        <f>IF(Caja_Finanzas[[#This Row],[FECHA]]&gt;0,TEXT(Caja_Finanzas[[#This Row],[FECHA]],"mmmm"),0)</f>
        <v>Agosto</v>
      </c>
    </row>
    <row r="704" spans="2:29" ht="24" x14ac:dyDescent="0.3">
      <c r="B704" s="2">
        <f>IF(Caja_Finanzas[[#This Row],[TIPO DE R.]]="R",COUNTIFS($D$4:$D703,"R")+1,"")</f>
        <v>634</v>
      </c>
      <c r="C704" s="19" t="str">
        <f t="shared" si="92"/>
        <v>C-Finanzas</v>
      </c>
      <c r="D704" s="3" t="s">
        <v>1074</v>
      </c>
      <c r="E704" s="14">
        <v>45877</v>
      </c>
      <c r="F704" s="5" t="s">
        <v>5305</v>
      </c>
      <c r="G704" s="5" t="s">
        <v>1079</v>
      </c>
      <c r="H704" s="5"/>
      <c r="I704" s="6"/>
      <c r="J704" s="6"/>
      <c r="K704" s="6"/>
      <c r="L704" s="6"/>
      <c r="M704" s="7" t="s">
        <v>6244</v>
      </c>
      <c r="N704" s="8" t="str">
        <f>"CFI"&amp;".D"&amp;TEXT(Caja_Finanzas[[#This Row],[FECHA]],"DD-MM")&amp;"-"&amp;TEXT(Caja_Finanzas[[#This Row],[ITEM]],"0000")</f>
        <v>CFI.D08-08-0634</v>
      </c>
      <c r="O704" s="8" t="str">
        <f t="shared" si="93"/>
        <v>PEN</v>
      </c>
      <c r="P704" s="13"/>
      <c r="Q704" s="13">
        <v>20000</v>
      </c>
      <c r="R704" s="3">
        <f t="shared" si="94"/>
        <v>0</v>
      </c>
      <c r="S704" s="3">
        <f t="shared" si="95"/>
        <v>20000</v>
      </c>
      <c r="T704" s="3">
        <f t="shared" si="67"/>
        <v>21606.690000000002</v>
      </c>
      <c r="U704" s="24"/>
      <c r="V704" s="24"/>
      <c r="W704" s="3"/>
      <c r="X704" s="25"/>
      <c r="Y704" s="25"/>
      <c r="Z704" s="25"/>
      <c r="AA704" s="25"/>
      <c r="AB704" s="25"/>
      <c r="AC704" s="3" t="str">
        <f>IF(Caja_Finanzas[[#This Row],[FECHA]]&gt;0,TEXT(Caja_Finanzas[[#This Row],[FECHA]],"mmmm"),0)</f>
        <v>Agosto</v>
      </c>
    </row>
    <row r="705" spans="2:29" x14ac:dyDescent="0.3">
      <c r="B705" s="2">
        <f>IF(Caja_Finanzas[[#This Row],[TIPO DE R.]]="R",COUNTIFS($D$4:$D704,"R")+1,"")</f>
        <v>635</v>
      </c>
      <c r="C705" s="19" t="str">
        <f t="shared" si="92"/>
        <v>C-Finanzas</v>
      </c>
      <c r="D705" s="3" t="s">
        <v>1074</v>
      </c>
      <c r="E705" s="14">
        <v>45877</v>
      </c>
      <c r="F705" s="5" t="s">
        <v>3562</v>
      </c>
      <c r="G705" s="5" t="s">
        <v>1079</v>
      </c>
      <c r="H705" s="5"/>
      <c r="I705" s="6"/>
      <c r="J705" s="6"/>
      <c r="K705" s="6"/>
      <c r="L705" s="6"/>
      <c r="M705" s="7" t="s">
        <v>6245</v>
      </c>
      <c r="N705" s="8" t="str">
        <f>"CFI"&amp;".D"&amp;TEXT(Caja_Finanzas[[#This Row],[FECHA]],"DD-MM")&amp;"-"&amp;TEXT(Caja_Finanzas[[#This Row],[ITEM]],"0000")</f>
        <v>CFI.D08-08-0635</v>
      </c>
      <c r="O705" s="8" t="str">
        <f t="shared" si="93"/>
        <v>PEN</v>
      </c>
      <c r="P705" s="13"/>
      <c r="Q705" s="13">
        <v>7361</v>
      </c>
      <c r="R705" s="3">
        <f t="shared" si="94"/>
        <v>0</v>
      </c>
      <c r="S705" s="3">
        <f t="shared" si="95"/>
        <v>7361</v>
      </c>
      <c r="T705" s="3">
        <f t="shared" si="67"/>
        <v>14245.690000000002</v>
      </c>
      <c r="U705" s="24" t="s">
        <v>1081</v>
      </c>
      <c r="V705" s="24"/>
      <c r="W705" s="3"/>
      <c r="X705" s="25"/>
      <c r="Y705" s="25"/>
      <c r="Z705" s="25"/>
      <c r="AA705" s="25"/>
      <c r="AB705" s="25"/>
      <c r="AC705" s="3" t="str">
        <f>IF(Caja_Finanzas[[#This Row],[FECHA]]&gt;0,TEXT(Caja_Finanzas[[#This Row],[FECHA]],"mmmm"),0)</f>
        <v>Agosto</v>
      </c>
    </row>
    <row r="706" spans="2:29" ht="36" x14ac:dyDescent="0.3">
      <c r="B706" s="2" t="str">
        <f>IF(Caja_Finanzas[[#This Row],[TIPO DE R.]]="R",COUNTIFS($D$4:$D705,"R")+1,"")</f>
        <v/>
      </c>
      <c r="C706" s="19" t="str">
        <f t="shared" ref="C706:C719" si="96">"C-Finanzas"</f>
        <v>C-Finanzas</v>
      </c>
      <c r="D706" s="3" t="s">
        <v>1101</v>
      </c>
      <c r="E706" s="14">
        <v>45877</v>
      </c>
      <c r="F706" s="5" t="s">
        <v>3562</v>
      </c>
      <c r="G706" s="5"/>
      <c r="H706" s="5"/>
      <c r="I706" s="6" t="s">
        <v>1011</v>
      </c>
      <c r="J706" s="6" t="s">
        <v>99</v>
      </c>
      <c r="K706" s="6" t="s">
        <v>6246</v>
      </c>
      <c r="L706" s="6">
        <v>1</v>
      </c>
      <c r="M706" s="7" t="s">
        <v>6245</v>
      </c>
      <c r="N706" s="8" t="str">
        <f>"CFI"&amp;".D"&amp;TEXT(Caja_Finanzas[[#This Row],[FECHA]],"DD-MM")&amp;"-"&amp;TEXT(Caja_Finanzas[[#This Row],[ITEM]],"0000")</f>
        <v>CFI.D08-08-</v>
      </c>
      <c r="O706" s="8" t="str">
        <f t="shared" ref="O706:O719" si="97">"PEN"</f>
        <v>PEN</v>
      </c>
      <c r="P706" s="13">
        <v>134</v>
      </c>
      <c r="Q706" s="13"/>
      <c r="R706" s="3">
        <f t="shared" ref="R706:R719" si="98">+IF(OR($G706="SALDO",$G706="INGRESO"),$Q706,0)</f>
        <v>0</v>
      </c>
      <c r="S706" s="3">
        <f t="shared" ref="S706:S719" si="99">+IF($G706="EGRESO",$Q706,0)</f>
        <v>0</v>
      </c>
      <c r="T706" s="3">
        <f t="shared" si="67"/>
        <v>14245.690000000002</v>
      </c>
      <c r="U706" s="24" t="s">
        <v>1081</v>
      </c>
      <c r="V706" s="24"/>
      <c r="W706" s="3"/>
      <c r="X706" s="25"/>
      <c r="Y706" s="25"/>
      <c r="Z706" s="25"/>
      <c r="AA706" s="25"/>
      <c r="AB706" s="25"/>
      <c r="AC706" s="3" t="str">
        <f>IF(Caja_Finanzas[[#This Row],[FECHA]]&gt;0,TEXT(Caja_Finanzas[[#This Row],[FECHA]],"mmmm"),0)</f>
        <v>Agosto</v>
      </c>
    </row>
    <row r="707" spans="2:29" ht="36" x14ac:dyDescent="0.3">
      <c r="B707" s="2" t="str">
        <f>IF(Caja_Finanzas[[#This Row],[TIPO DE R.]]="R",COUNTIFS($D$4:$D706,"R")+1,"")</f>
        <v/>
      </c>
      <c r="C707" s="19" t="str">
        <f t="shared" si="96"/>
        <v>C-Finanzas</v>
      </c>
      <c r="D707" s="3" t="s">
        <v>1101</v>
      </c>
      <c r="E707" s="14">
        <v>45877</v>
      </c>
      <c r="F707" s="5" t="s">
        <v>3562</v>
      </c>
      <c r="G707" s="5"/>
      <c r="H707" s="5"/>
      <c r="I707" s="6" t="s">
        <v>1026</v>
      </c>
      <c r="J707" s="6" t="s">
        <v>99</v>
      </c>
      <c r="K707" s="6" t="s">
        <v>6246</v>
      </c>
      <c r="L707" s="6">
        <v>2</v>
      </c>
      <c r="M707" s="7" t="s">
        <v>6245</v>
      </c>
      <c r="N707" s="8" t="str">
        <f>"CFI"&amp;".D"&amp;TEXT(Caja_Finanzas[[#This Row],[FECHA]],"DD-MM")&amp;"-"&amp;TEXT(Caja_Finanzas[[#This Row],[ITEM]],"0000")</f>
        <v>CFI.D08-08-</v>
      </c>
      <c r="O707" s="8" t="str">
        <f t="shared" si="97"/>
        <v>PEN</v>
      </c>
      <c r="P707" s="13">
        <v>456</v>
      </c>
      <c r="Q707" s="13"/>
      <c r="R707" s="3">
        <f t="shared" si="98"/>
        <v>0</v>
      </c>
      <c r="S707" s="3">
        <f t="shared" si="99"/>
        <v>0</v>
      </c>
      <c r="T707" s="3">
        <f t="shared" si="67"/>
        <v>14245.690000000002</v>
      </c>
      <c r="U707" s="24" t="s">
        <v>1081</v>
      </c>
      <c r="V707" s="24"/>
      <c r="W707" s="3"/>
      <c r="X707" s="25"/>
      <c r="Y707" s="25"/>
      <c r="Z707" s="25"/>
      <c r="AA707" s="25"/>
      <c r="AB707" s="25"/>
      <c r="AC707" s="3" t="str">
        <f>IF(Caja_Finanzas[[#This Row],[FECHA]]&gt;0,TEXT(Caja_Finanzas[[#This Row],[FECHA]],"mmmm"),0)</f>
        <v>Agosto</v>
      </c>
    </row>
    <row r="708" spans="2:29" ht="36" x14ac:dyDescent="0.3">
      <c r="B708" s="2" t="str">
        <f>IF(Caja_Finanzas[[#This Row],[TIPO DE R.]]="R",COUNTIFS($D$4:$D707,"R")+1,"")</f>
        <v/>
      </c>
      <c r="C708" s="19" t="str">
        <f t="shared" si="96"/>
        <v>C-Finanzas</v>
      </c>
      <c r="D708" s="3" t="s">
        <v>1101</v>
      </c>
      <c r="E708" s="14">
        <v>45877</v>
      </c>
      <c r="F708" s="5" t="s">
        <v>3562</v>
      </c>
      <c r="G708" s="5"/>
      <c r="H708" s="5"/>
      <c r="I708" s="6" t="s">
        <v>1027</v>
      </c>
      <c r="J708" s="6" t="s">
        <v>99</v>
      </c>
      <c r="K708" s="6" t="s">
        <v>6246</v>
      </c>
      <c r="L708" s="6">
        <v>3</v>
      </c>
      <c r="M708" s="7" t="s">
        <v>6245</v>
      </c>
      <c r="N708" s="8" t="str">
        <f>"CFI"&amp;".D"&amp;TEXT(Caja_Finanzas[[#This Row],[FECHA]],"DD-MM")&amp;"-"&amp;TEXT(Caja_Finanzas[[#This Row],[ITEM]],"0000")</f>
        <v>CFI.D08-08-</v>
      </c>
      <c r="O708" s="8" t="str">
        <f t="shared" si="97"/>
        <v>PEN</v>
      </c>
      <c r="P708" s="13">
        <v>617</v>
      </c>
      <c r="Q708" s="13"/>
      <c r="R708" s="3">
        <f t="shared" si="98"/>
        <v>0</v>
      </c>
      <c r="S708" s="3">
        <f t="shared" si="99"/>
        <v>0</v>
      </c>
      <c r="T708" s="3">
        <f t="shared" si="67"/>
        <v>14245.690000000002</v>
      </c>
      <c r="U708" s="24" t="s">
        <v>1081</v>
      </c>
      <c r="V708" s="24"/>
      <c r="W708" s="3"/>
      <c r="X708" s="25"/>
      <c r="Y708" s="25"/>
      <c r="Z708" s="25"/>
      <c r="AA708" s="25"/>
      <c r="AB708" s="25"/>
      <c r="AC708" s="3" t="str">
        <f>IF(Caja_Finanzas[[#This Row],[FECHA]]&gt;0,TEXT(Caja_Finanzas[[#This Row],[FECHA]],"mmmm"),0)</f>
        <v>Agosto</v>
      </c>
    </row>
    <row r="709" spans="2:29" ht="36" x14ac:dyDescent="0.3">
      <c r="B709" s="2" t="str">
        <f>IF(Caja_Finanzas[[#This Row],[TIPO DE R.]]="R",COUNTIFS($D$4:$D708,"R")+1,"")</f>
        <v/>
      </c>
      <c r="C709" s="19" t="str">
        <f t="shared" si="96"/>
        <v>C-Finanzas</v>
      </c>
      <c r="D709" s="3" t="s">
        <v>1101</v>
      </c>
      <c r="E709" s="14">
        <v>45877</v>
      </c>
      <c r="F709" s="5" t="s">
        <v>3562</v>
      </c>
      <c r="G709" s="5"/>
      <c r="H709" s="5"/>
      <c r="I709" s="6" t="s">
        <v>1028</v>
      </c>
      <c r="J709" s="6" t="s">
        <v>99</v>
      </c>
      <c r="K709" s="6" t="s">
        <v>6246</v>
      </c>
      <c r="L709" s="6">
        <v>4</v>
      </c>
      <c r="M709" s="7" t="s">
        <v>6245</v>
      </c>
      <c r="N709" s="8" t="str">
        <f>"CFI"&amp;".D"&amp;TEXT(Caja_Finanzas[[#This Row],[FECHA]],"DD-MM")&amp;"-"&amp;TEXT(Caja_Finanzas[[#This Row],[ITEM]],"0000")</f>
        <v>CFI.D08-08-</v>
      </c>
      <c r="O709" s="8" t="str">
        <f t="shared" si="97"/>
        <v>PEN</v>
      </c>
      <c r="P709" s="13">
        <v>1231</v>
      </c>
      <c r="Q709" s="13"/>
      <c r="R709" s="3">
        <f t="shared" si="98"/>
        <v>0</v>
      </c>
      <c r="S709" s="3">
        <f t="shared" si="99"/>
        <v>0</v>
      </c>
      <c r="T709" s="3">
        <f t="shared" ref="T709:T759" si="100">IFERROR(IF(G709="SALDO",R709,T708+R709-S709),0)</f>
        <v>14245.690000000002</v>
      </c>
      <c r="U709" s="24" t="s">
        <v>1081</v>
      </c>
      <c r="V709" s="24"/>
      <c r="W709" s="3"/>
      <c r="X709" s="25"/>
      <c r="Y709" s="25"/>
      <c r="Z709" s="25"/>
      <c r="AA709" s="25"/>
      <c r="AB709" s="25"/>
      <c r="AC709" s="3" t="str">
        <f>IF(Caja_Finanzas[[#This Row],[FECHA]]&gt;0,TEXT(Caja_Finanzas[[#This Row],[FECHA]],"mmmm"),0)</f>
        <v>Agosto</v>
      </c>
    </row>
    <row r="710" spans="2:29" ht="36" x14ac:dyDescent="0.3">
      <c r="B710" s="2" t="str">
        <f>IF(Caja_Finanzas[[#This Row],[TIPO DE R.]]="R",COUNTIFS($D$4:$D709,"R")+1,"")</f>
        <v/>
      </c>
      <c r="C710" s="19" t="str">
        <f t="shared" si="96"/>
        <v>C-Finanzas</v>
      </c>
      <c r="D710" s="3" t="s">
        <v>1101</v>
      </c>
      <c r="E710" s="14">
        <v>45877</v>
      </c>
      <c r="F710" s="5" t="s">
        <v>3562</v>
      </c>
      <c r="G710" s="5"/>
      <c r="H710" s="5"/>
      <c r="I710" s="6" t="s">
        <v>1029</v>
      </c>
      <c r="J710" s="6" t="s">
        <v>99</v>
      </c>
      <c r="K710" s="6" t="s">
        <v>6246</v>
      </c>
      <c r="L710" s="6">
        <v>5</v>
      </c>
      <c r="M710" s="7" t="s">
        <v>6245</v>
      </c>
      <c r="N710" s="8" t="str">
        <f>"CFI"&amp;".D"&amp;TEXT(Caja_Finanzas[[#This Row],[FECHA]],"DD-MM")&amp;"-"&amp;TEXT(Caja_Finanzas[[#This Row],[ITEM]],"0000")</f>
        <v>CFI.D08-08-</v>
      </c>
      <c r="O710" s="8" t="str">
        <f t="shared" si="97"/>
        <v>PEN</v>
      </c>
      <c r="P710" s="13">
        <v>456</v>
      </c>
      <c r="Q710" s="13"/>
      <c r="R710" s="3">
        <f t="shared" si="98"/>
        <v>0</v>
      </c>
      <c r="S710" s="3">
        <f t="shared" si="99"/>
        <v>0</v>
      </c>
      <c r="T710" s="3">
        <f t="shared" si="100"/>
        <v>14245.690000000002</v>
      </c>
      <c r="U710" s="24" t="s">
        <v>1081</v>
      </c>
      <c r="V710" s="24"/>
      <c r="W710" s="3"/>
      <c r="X710" s="25"/>
      <c r="Y710" s="25"/>
      <c r="Z710" s="25"/>
      <c r="AA710" s="25"/>
      <c r="AB710" s="25"/>
      <c r="AC710" s="3" t="str">
        <f>IF(Caja_Finanzas[[#This Row],[FECHA]]&gt;0,TEXT(Caja_Finanzas[[#This Row],[FECHA]],"mmmm"),0)</f>
        <v>Agosto</v>
      </c>
    </row>
    <row r="711" spans="2:29" ht="36" x14ac:dyDescent="0.3">
      <c r="B711" s="2" t="str">
        <f>IF(Caja_Finanzas[[#This Row],[TIPO DE R.]]="R",COUNTIFS($D$4:$D710,"R")+1,"")</f>
        <v/>
      </c>
      <c r="C711" s="19" t="str">
        <f t="shared" si="96"/>
        <v>C-Finanzas</v>
      </c>
      <c r="D711" s="3" t="s">
        <v>1101</v>
      </c>
      <c r="E711" s="14">
        <v>45877</v>
      </c>
      <c r="F711" s="5" t="s">
        <v>3562</v>
      </c>
      <c r="G711" s="5"/>
      <c r="H711" s="5"/>
      <c r="I711" s="6" t="s">
        <v>1030</v>
      </c>
      <c r="J711" s="6" t="s">
        <v>99</v>
      </c>
      <c r="K711" s="6" t="s">
        <v>6246</v>
      </c>
      <c r="L711" s="6">
        <v>6</v>
      </c>
      <c r="M711" s="7" t="s">
        <v>6245</v>
      </c>
      <c r="N711" s="8" t="str">
        <f>"CFI"&amp;".D"&amp;TEXT(Caja_Finanzas[[#This Row],[FECHA]],"DD-MM")&amp;"-"&amp;TEXT(Caja_Finanzas[[#This Row],[ITEM]],"0000")</f>
        <v>CFI.D08-08-</v>
      </c>
      <c r="O711" s="8" t="str">
        <f t="shared" si="97"/>
        <v>PEN</v>
      </c>
      <c r="P711" s="13">
        <v>1161</v>
      </c>
      <c r="Q711" s="13"/>
      <c r="R711" s="3">
        <f t="shared" si="98"/>
        <v>0</v>
      </c>
      <c r="S711" s="3">
        <f t="shared" si="99"/>
        <v>0</v>
      </c>
      <c r="T711" s="3">
        <f t="shared" si="100"/>
        <v>14245.690000000002</v>
      </c>
      <c r="U711" s="24" t="s">
        <v>1081</v>
      </c>
      <c r="V711" s="24"/>
      <c r="W711" s="3"/>
      <c r="X711" s="25"/>
      <c r="Y711" s="25"/>
      <c r="Z711" s="25"/>
      <c r="AA711" s="25"/>
      <c r="AB711" s="25"/>
      <c r="AC711" s="3" t="str">
        <f>IF(Caja_Finanzas[[#This Row],[FECHA]]&gt;0,TEXT(Caja_Finanzas[[#This Row],[FECHA]],"mmmm"),0)</f>
        <v>Agosto</v>
      </c>
    </row>
    <row r="712" spans="2:29" ht="36" x14ac:dyDescent="0.3">
      <c r="B712" s="2" t="str">
        <f>IF(Caja_Finanzas[[#This Row],[TIPO DE R.]]="R",COUNTIFS($D$4:$D711,"R")+1,"")</f>
        <v/>
      </c>
      <c r="C712" s="19" t="str">
        <f t="shared" si="96"/>
        <v>C-Finanzas</v>
      </c>
      <c r="D712" s="3" t="s">
        <v>1101</v>
      </c>
      <c r="E712" s="14">
        <v>45877</v>
      </c>
      <c r="F712" s="5" t="s">
        <v>3562</v>
      </c>
      <c r="G712" s="5"/>
      <c r="H712" s="5"/>
      <c r="I712" s="6" t="s">
        <v>1031</v>
      </c>
      <c r="J712" s="6" t="s">
        <v>99</v>
      </c>
      <c r="K712" s="6" t="s">
        <v>6246</v>
      </c>
      <c r="L712" s="6">
        <v>7</v>
      </c>
      <c r="M712" s="7" t="s">
        <v>6245</v>
      </c>
      <c r="N712" s="8" t="str">
        <f>"CFI"&amp;".D"&amp;TEXT(Caja_Finanzas[[#This Row],[FECHA]],"DD-MM")&amp;"-"&amp;TEXT(Caja_Finanzas[[#This Row],[ITEM]],"0000")</f>
        <v>CFI.D08-08-</v>
      </c>
      <c r="O712" s="8" t="str">
        <f t="shared" si="97"/>
        <v>PEN</v>
      </c>
      <c r="P712" s="13">
        <v>1295</v>
      </c>
      <c r="Q712" s="13"/>
      <c r="R712" s="3">
        <f t="shared" si="98"/>
        <v>0</v>
      </c>
      <c r="S712" s="3">
        <f t="shared" si="99"/>
        <v>0</v>
      </c>
      <c r="T712" s="3">
        <f t="shared" si="100"/>
        <v>14245.690000000002</v>
      </c>
      <c r="U712" s="24" t="s">
        <v>1081</v>
      </c>
      <c r="V712" s="24"/>
      <c r="W712" s="3"/>
      <c r="X712" s="25"/>
      <c r="Y712" s="25"/>
      <c r="Z712" s="25"/>
      <c r="AA712" s="25"/>
      <c r="AB712" s="25"/>
      <c r="AC712" s="3" t="str">
        <f>IF(Caja_Finanzas[[#This Row],[FECHA]]&gt;0,TEXT(Caja_Finanzas[[#This Row],[FECHA]],"mmmm"),0)</f>
        <v>Agosto</v>
      </c>
    </row>
    <row r="713" spans="2:29" ht="36" x14ac:dyDescent="0.3">
      <c r="B713" s="2" t="str">
        <f>IF(Caja_Finanzas[[#This Row],[TIPO DE R.]]="R",COUNTIFS($D$4:$D712,"R")+1,"")</f>
        <v/>
      </c>
      <c r="C713" s="19" t="str">
        <f t="shared" si="96"/>
        <v>C-Finanzas</v>
      </c>
      <c r="D713" s="3" t="s">
        <v>1101</v>
      </c>
      <c r="E713" s="14">
        <v>45877</v>
      </c>
      <c r="F713" s="5" t="s">
        <v>3562</v>
      </c>
      <c r="G713" s="5"/>
      <c r="H713" s="5"/>
      <c r="I713" s="6" t="s">
        <v>1032</v>
      </c>
      <c r="J713" s="6" t="s">
        <v>99</v>
      </c>
      <c r="K713" s="6" t="s">
        <v>6246</v>
      </c>
      <c r="L713" s="6">
        <v>8</v>
      </c>
      <c r="M713" s="7" t="s">
        <v>6245</v>
      </c>
      <c r="N713" s="8" t="str">
        <f>"CFI"&amp;".D"&amp;TEXT(Caja_Finanzas[[#This Row],[FECHA]],"DD-MM")&amp;"-"&amp;TEXT(Caja_Finanzas[[#This Row],[ITEM]],"0000")</f>
        <v>CFI.D08-08-</v>
      </c>
      <c r="O713" s="8" t="str">
        <f t="shared" si="97"/>
        <v>PEN</v>
      </c>
      <c r="P713" s="13">
        <v>493</v>
      </c>
      <c r="Q713" s="13"/>
      <c r="R713" s="3">
        <f t="shared" si="98"/>
        <v>0</v>
      </c>
      <c r="S713" s="3">
        <f t="shared" si="99"/>
        <v>0</v>
      </c>
      <c r="T713" s="3">
        <f t="shared" si="100"/>
        <v>14245.690000000002</v>
      </c>
      <c r="U713" s="24" t="s">
        <v>1081</v>
      </c>
      <c r="V713" s="24"/>
      <c r="W713" s="3"/>
      <c r="X713" s="25"/>
      <c r="Y713" s="25"/>
      <c r="Z713" s="25"/>
      <c r="AA713" s="25"/>
      <c r="AB713" s="25"/>
      <c r="AC713" s="3" t="str">
        <f>IF(Caja_Finanzas[[#This Row],[FECHA]]&gt;0,TEXT(Caja_Finanzas[[#This Row],[FECHA]],"mmmm"),0)</f>
        <v>Agosto</v>
      </c>
    </row>
    <row r="714" spans="2:29" ht="36" x14ac:dyDescent="0.3">
      <c r="B714" s="2" t="str">
        <f>IF(Caja_Finanzas[[#This Row],[TIPO DE R.]]="R",COUNTIFS($D$4:$D713,"R")+1,"")</f>
        <v/>
      </c>
      <c r="C714" s="19" t="str">
        <f t="shared" si="96"/>
        <v>C-Finanzas</v>
      </c>
      <c r="D714" s="3" t="s">
        <v>1101</v>
      </c>
      <c r="E714" s="14">
        <v>45877</v>
      </c>
      <c r="F714" s="5" t="s">
        <v>3562</v>
      </c>
      <c r="G714" s="5"/>
      <c r="H714" s="5"/>
      <c r="I714" s="6" t="s">
        <v>1033</v>
      </c>
      <c r="J714" s="6" t="s">
        <v>99</v>
      </c>
      <c r="K714" s="6" t="s">
        <v>6246</v>
      </c>
      <c r="L714" s="6">
        <v>9</v>
      </c>
      <c r="M714" s="7" t="s">
        <v>6245</v>
      </c>
      <c r="N714" s="8" t="str">
        <f>"CFI"&amp;".D"&amp;TEXT(Caja_Finanzas[[#This Row],[FECHA]],"DD-MM")&amp;"-"&amp;TEXT(Caja_Finanzas[[#This Row],[ITEM]],"0000")</f>
        <v>CFI.D08-08-</v>
      </c>
      <c r="O714" s="8" t="str">
        <f t="shared" si="97"/>
        <v>PEN</v>
      </c>
      <c r="P714" s="13">
        <v>249</v>
      </c>
      <c r="Q714" s="13"/>
      <c r="R714" s="3">
        <f t="shared" si="98"/>
        <v>0</v>
      </c>
      <c r="S714" s="3">
        <f t="shared" si="99"/>
        <v>0</v>
      </c>
      <c r="T714" s="3">
        <f t="shared" si="100"/>
        <v>14245.690000000002</v>
      </c>
      <c r="U714" s="24" t="s">
        <v>1081</v>
      </c>
      <c r="V714" s="24"/>
      <c r="W714" s="3"/>
      <c r="X714" s="25"/>
      <c r="Y714" s="25"/>
      <c r="Z714" s="25"/>
      <c r="AA714" s="25"/>
      <c r="AB714" s="25"/>
      <c r="AC714" s="3" t="str">
        <f>IF(Caja_Finanzas[[#This Row],[FECHA]]&gt;0,TEXT(Caja_Finanzas[[#This Row],[FECHA]],"mmmm"),0)</f>
        <v>Agosto</v>
      </c>
    </row>
    <row r="715" spans="2:29" ht="36" x14ac:dyDescent="0.3">
      <c r="B715" s="2" t="str">
        <f>IF(Caja_Finanzas[[#This Row],[TIPO DE R.]]="R",COUNTIFS($D$4:$D714,"R")+1,"")</f>
        <v/>
      </c>
      <c r="C715" s="19" t="str">
        <f t="shared" si="96"/>
        <v>C-Finanzas</v>
      </c>
      <c r="D715" s="3" t="s">
        <v>1101</v>
      </c>
      <c r="E715" s="14">
        <v>45877</v>
      </c>
      <c r="F715" s="5" t="s">
        <v>3562</v>
      </c>
      <c r="G715" s="5"/>
      <c r="H715" s="5"/>
      <c r="I715" s="6" t="s">
        <v>1010</v>
      </c>
      <c r="J715" s="6" t="s">
        <v>99</v>
      </c>
      <c r="K715" s="6" t="s">
        <v>6246</v>
      </c>
      <c r="L715" s="6">
        <v>10</v>
      </c>
      <c r="M715" s="7" t="s">
        <v>6245</v>
      </c>
      <c r="N715" s="8" t="str">
        <f>"CFI"&amp;".D"&amp;TEXT(Caja_Finanzas[[#This Row],[FECHA]],"DD-MM")&amp;"-"&amp;TEXT(Caja_Finanzas[[#This Row],[ITEM]],"0000")</f>
        <v>CFI.D08-08-</v>
      </c>
      <c r="O715" s="8" t="str">
        <f t="shared" si="97"/>
        <v>PEN</v>
      </c>
      <c r="P715" s="13">
        <v>140</v>
      </c>
      <c r="Q715" s="13"/>
      <c r="R715" s="3">
        <f t="shared" si="98"/>
        <v>0</v>
      </c>
      <c r="S715" s="3">
        <f t="shared" si="99"/>
        <v>0</v>
      </c>
      <c r="T715" s="3">
        <f t="shared" si="100"/>
        <v>14245.690000000002</v>
      </c>
      <c r="U715" s="24" t="s">
        <v>1081</v>
      </c>
      <c r="V715" s="24"/>
      <c r="W715" s="3"/>
      <c r="X715" s="25"/>
      <c r="Y715" s="25"/>
      <c r="Z715" s="25"/>
      <c r="AA715" s="25"/>
      <c r="AB715" s="25"/>
      <c r="AC715" s="3" t="str">
        <f>IF(Caja_Finanzas[[#This Row],[FECHA]]&gt;0,TEXT(Caja_Finanzas[[#This Row],[FECHA]],"mmmm"),0)</f>
        <v>Agosto</v>
      </c>
    </row>
    <row r="716" spans="2:29" ht="36" x14ac:dyDescent="0.3">
      <c r="B716" s="2" t="str">
        <f>IF(Caja_Finanzas[[#This Row],[TIPO DE R.]]="R",COUNTIFS($D$4:$D715,"R")+1,"")</f>
        <v/>
      </c>
      <c r="C716" s="19" t="str">
        <f t="shared" si="96"/>
        <v>C-Finanzas</v>
      </c>
      <c r="D716" s="3" t="s">
        <v>1101</v>
      </c>
      <c r="E716" s="14">
        <v>45877</v>
      </c>
      <c r="F716" s="5" t="s">
        <v>3562</v>
      </c>
      <c r="G716" s="5"/>
      <c r="H716" s="5"/>
      <c r="I716" s="6" t="s">
        <v>1034</v>
      </c>
      <c r="J716" s="6" t="s">
        <v>99</v>
      </c>
      <c r="K716" s="6" t="s">
        <v>6246</v>
      </c>
      <c r="L716" s="6">
        <v>11</v>
      </c>
      <c r="M716" s="7" t="s">
        <v>6245</v>
      </c>
      <c r="N716" s="8" t="str">
        <f>"CFI"&amp;".D"&amp;TEXT(Caja_Finanzas[[#This Row],[FECHA]],"DD-MM")&amp;"-"&amp;TEXT(Caja_Finanzas[[#This Row],[ITEM]],"0000")</f>
        <v>CFI.D08-08-</v>
      </c>
      <c r="O716" s="8" t="str">
        <f t="shared" si="97"/>
        <v>PEN</v>
      </c>
      <c r="P716" s="13">
        <v>206</v>
      </c>
      <c r="Q716" s="13"/>
      <c r="R716" s="3">
        <f t="shared" si="98"/>
        <v>0</v>
      </c>
      <c r="S716" s="3">
        <f t="shared" si="99"/>
        <v>0</v>
      </c>
      <c r="T716" s="3">
        <f t="shared" si="100"/>
        <v>14245.690000000002</v>
      </c>
      <c r="U716" s="24" t="s">
        <v>1081</v>
      </c>
      <c r="V716" s="24"/>
      <c r="W716" s="3"/>
      <c r="X716" s="25"/>
      <c r="Y716" s="25"/>
      <c r="Z716" s="25"/>
      <c r="AA716" s="25"/>
      <c r="AB716" s="25"/>
      <c r="AC716" s="3" t="str">
        <f>IF(Caja_Finanzas[[#This Row],[FECHA]]&gt;0,TEXT(Caja_Finanzas[[#This Row],[FECHA]],"mmmm"),0)</f>
        <v>Agosto</v>
      </c>
    </row>
    <row r="717" spans="2:29" ht="36" x14ac:dyDescent="0.3">
      <c r="B717" s="2" t="str">
        <f>IF(Caja_Finanzas[[#This Row],[TIPO DE R.]]="R",COUNTIFS($D$4:$D716,"R")+1,"")</f>
        <v/>
      </c>
      <c r="C717" s="19" t="str">
        <f t="shared" si="96"/>
        <v>C-Finanzas</v>
      </c>
      <c r="D717" s="3" t="s">
        <v>1101</v>
      </c>
      <c r="E717" s="14">
        <v>45877</v>
      </c>
      <c r="F717" s="5" t="s">
        <v>3562</v>
      </c>
      <c r="G717" s="5"/>
      <c r="H717" s="5"/>
      <c r="I717" s="6" t="s">
        <v>872</v>
      </c>
      <c r="J717" s="6" t="s">
        <v>99</v>
      </c>
      <c r="K717" s="6" t="s">
        <v>6246</v>
      </c>
      <c r="L717" s="6">
        <v>12</v>
      </c>
      <c r="M717" s="7" t="s">
        <v>6245</v>
      </c>
      <c r="N717" s="8" t="str">
        <f>"CFI"&amp;".D"&amp;TEXT(Caja_Finanzas[[#This Row],[FECHA]],"DD-MM")&amp;"-"&amp;TEXT(Caja_Finanzas[[#This Row],[ITEM]],"0000")</f>
        <v>CFI.D08-08-</v>
      </c>
      <c r="O717" s="8" t="str">
        <f t="shared" si="97"/>
        <v>PEN</v>
      </c>
      <c r="P717" s="13">
        <v>170</v>
      </c>
      <c r="Q717" s="13"/>
      <c r="R717" s="3">
        <f t="shared" si="98"/>
        <v>0</v>
      </c>
      <c r="S717" s="3">
        <f t="shared" si="99"/>
        <v>0</v>
      </c>
      <c r="T717" s="3">
        <f t="shared" si="100"/>
        <v>14245.690000000002</v>
      </c>
      <c r="U717" s="24" t="s">
        <v>1081</v>
      </c>
      <c r="V717" s="24"/>
      <c r="W717" s="3"/>
      <c r="X717" s="25"/>
      <c r="Y717" s="25"/>
      <c r="Z717" s="25"/>
      <c r="AA717" s="25"/>
      <c r="AB717" s="25"/>
      <c r="AC717" s="3" t="str">
        <f>IF(Caja_Finanzas[[#This Row],[FECHA]]&gt;0,TEXT(Caja_Finanzas[[#This Row],[FECHA]],"mmmm"),0)</f>
        <v>Agosto</v>
      </c>
    </row>
    <row r="718" spans="2:29" ht="36" x14ac:dyDescent="0.3">
      <c r="B718" s="2" t="str">
        <f>IF(Caja_Finanzas[[#This Row],[TIPO DE R.]]="R",COUNTIFS($D$4:$D717,"R")+1,"")</f>
        <v/>
      </c>
      <c r="C718" s="19" t="str">
        <f t="shared" si="96"/>
        <v>C-Finanzas</v>
      </c>
      <c r="D718" s="3" t="s">
        <v>1101</v>
      </c>
      <c r="E718" s="14">
        <v>45877</v>
      </c>
      <c r="F718" s="5" t="s">
        <v>3562</v>
      </c>
      <c r="G718" s="5"/>
      <c r="H718" s="5"/>
      <c r="I718" s="6" t="s">
        <v>1035</v>
      </c>
      <c r="J718" s="6" t="s">
        <v>99</v>
      </c>
      <c r="K718" s="6" t="s">
        <v>6246</v>
      </c>
      <c r="L718" s="6">
        <v>13</v>
      </c>
      <c r="M718" s="7" t="s">
        <v>6245</v>
      </c>
      <c r="N718" s="8" t="str">
        <f>"CFI"&amp;".D"&amp;TEXT(Caja_Finanzas[[#This Row],[FECHA]],"DD-MM")&amp;"-"&amp;TEXT(Caja_Finanzas[[#This Row],[ITEM]],"0000")</f>
        <v>CFI.D08-08-</v>
      </c>
      <c r="O718" s="8" t="str">
        <f t="shared" si="97"/>
        <v>PEN</v>
      </c>
      <c r="P718" s="13">
        <v>130</v>
      </c>
      <c r="Q718" s="13"/>
      <c r="R718" s="3">
        <f t="shared" si="98"/>
        <v>0</v>
      </c>
      <c r="S718" s="3">
        <f t="shared" si="99"/>
        <v>0</v>
      </c>
      <c r="T718" s="3">
        <f t="shared" si="100"/>
        <v>14245.690000000002</v>
      </c>
      <c r="U718" s="24" t="s">
        <v>1081</v>
      </c>
      <c r="V718" s="24"/>
      <c r="W718" s="3"/>
      <c r="X718" s="25"/>
      <c r="Y718" s="25"/>
      <c r="Z718" s="25"/>
      <c r="AA718" s="25"/>
      <c r="AB718" s="25"/>
      <c r="AC718" s="3" t="str">
        <f>IF(Caja_Finanzas[[#This Row],[FECHA]]&gt;0,TEXT(Caja_Finanzas[[#This Row],[FECHA]],"mmmm"),0)</f>
        <v>Agosto</v>
      </c>
    </row>
    <row r="719" spans="2:29" ht="36" x14ac:dyDescent="0.3">
      <c r="B719" s="2" t="str">
        <f>IF(Caja_Finanzas[[#This Row],[TIPO DE R.]]="R",COUNTIFS($D$4:$D718,"R")+1,"")</f>
        <v/>
      </c>
      <c r="C719" s="19" t="str">
        <f t="shared" si="96"/>
        <v>C-Finanzas</v>
      </c>
      <c r="D719" s="3" t="s">
        <v>1101</v>
      </c>
      <c r="E719" s="14">
        <v>45877</v>
      </c>
      <c r="F719" s="5" t="s">
        <v>3562</v>
      </c>
      <c r="G719" s="5"/>
      <c r="H719" s="5"/>
      <c r="I719" s="6" t="s">
        <v>1036</v>
      </c>
      <c r="J719" s="6" t="s">
        <v>99</v>
      </c>
      <c r="K719" s="6" t="s">
        <v>6246</v>
      </c>
      <c r="L719" s="6">
        <v>14</v>
      </c>
      <c r="M719" s="7" t="s">
        <v>6245</v>
      </c>
      <c r="N719" s="8" t="str">
        <f>"CFI"&amp;".D"&amp;TEXT(Caja_Finanzas[[#This Row],[FECHA]],"DD-MM")&amp;"-"&amp;TEXT(Caja_Finanzas[[#This Row],[ITEM]],"0000")</f>
        <v>CFI.D08-08-</v>
      </c>
      <c r="O719" s="8" t="str">
        <f t="shared" si="97"/>
        <v>PEN</v>
      </c>
      <c r="P719" s="13">
        <v>623</v>
      </c>
      <c r="Q719" s="13"/>
      <c r="R719" s="3">
        <f t="shared" si="98"/>
        <v>0</v>
      </c>
      <c r="S719" s="3">
        <f t="shared" si="99"/>
        <v>0</v>
      </c>
      <c r="T719" s="3">
        <f t="shared" si="100"/>
        <v>14245.690000000002</v>
      </c>
      <c r="U719" s="24" t="s">
        <v>1081</v>
      </c>
      <c r="V719" s="24"/>
      <c r="W719" s="3"/>
      <c r="X719" s="25"/>
      <c r="Y719" s="25"/>
      <c r="Z719" s="25"/>
      <c r="AA719" s="25"/>
      <c r="AB719" s="25"/>
      <c r="AC719" s="3" t="str">
        <f>IF(Caja_Finanzas[[#This Row],[FECHA]]&gt;0,TEXT(Caja_Finanzas[[#This Row],[FECHA]],"mmmm"),0)</f>
        <v>Agosto</v>
      </c>
    </row>
    <row r="720" spans="2:29" ht="36" x14ac:dyDescent="0.3">
      <c r="B720" s="2">
        <f>IF(Caja_Finanzas[[#This Row],[TIPO DE R.]]="R",COUNTIFS($D$4:$D719,"R")+1,"")</f>
        <v>636</v>
      </c>
      <c r="C720" s="19" t="str">
        <f t="shared" si="92"/>
        <v>C-Finanzas</v>
      </c>
      <c r="D720" s="3" t="s">
        <v>1074</v>
      </c>
      <c r="E720" s="14">
        <v>45880</v>
      </c>
      <c r="F720" s="5" t="s">
        <v>5457</v>
      </c>
      <c r="G720" s="5" t="s">
        <v>1079</v>
      </c>
      <c r="H720" s="5"/>
      <c r="I720" s="6"/>
      <c r="J720" s="6" t="s">
        <v>59</v>
      </c>
      <c r="K720" s="6" t="s">
        <v>6169</v>
      </c>
      <c r="L720" s="6">
        <v>139</v>
      </c>
      <c r="M720" s="7" t="s">
        <v>6247</v>
      </c>
      <c r="N720" s="8" t="str">
        <f>"CFI"&amp;".D"&amp;TEXT(Caja_Finanzas[[#This Row],[FECHA]],"DD-MM")&amp;"-"&amp;TEXT(Caja_Finanzas[[#This Row],[ITEM]],"0000")</f>
        <v>CFI.D11-08-0636</v>
      </c>
      <c r="O720" s="8" t="str">
        <f t="shared" si="93"/>
        <v>PEN</v>
      </c>
      <c r="P720" s="13"/>
      <c r="Q720" s="13">
        <v>18</v>
      </c>
      <c r="R720" s="3">
        <f t="shared" si="94"/>
        <v>0</v>
      </c>
      <c r="S720" s="3">
        <f t="shared" si="95"/>
        <v>18</v>
      </c>
      <c r="T720" s="3">
        <f t="shared" si="100"/>
        <v>14227.690000000002</v>
      </c>
      <c r="U720" s="24"/>
      <c r="V720" s="24"/>
      <c r="W720" s="3"/>
      <c r="X720" s="25"/>
      <c r="Y720" s="25"/>
      <c r="Z720" s="25"/>
      <c r="AA720" s="25"/>
      <c r="AB720" s="25"/>
      <c r="AC720" s="3" t="str">
        <f>IF(Caja_Finanzas[[#This Row],[FECHA]]&gt;0,TEXT(Caja_Finanzas[[#This Row],[FECHA]],"mmmm"),0)</f>
        <v>Agosto</v>
      </c>
    </row>
    <row r="721" spans="2:29" ht="24" x14ac:dyDescent="0.3">
      <c r="B721" s="2">
        <f>IF(Caja_Finanzas[[#This Row],[TIPO DE R.]]="R",COUNTIFS($D$4:$D720,"R")+1,"")</f>
        <v>637</v>
      </c>
      <c r="C721" s="19" t="str">
        <f t="shared" ref="C721:C733" si="101">"C-Finanzas"</f>
        <v>C-Finanzas</v>
      </c>
      <c r="D721" s="3" t="s">
        <v>1074</v>
      </c>
      <c r="E721" s="14">
        <v>45880</v>
      </c>
      <c r="F721" s="5" t="s">
        <v>5295</v>
      </c>
      <c r="G721" s="5" t="s">
        <v>1079</v>
      </c>
      <c r="H721" s="5"/>
      <c r="I721" s="6"/>
      <c r="J721" s="6" t="s">
        <v>59</v>
      </c>
      <c r="K721" s="6" t="s">
        <v>6169</v>
      </c>
      <c r="L721" s="6">
        <v>142</v>
      </c>
      <c r="M721" s="7" t="s">
        <v>6248</v>
      </c>
      <c r="N721" s="8" t="str">
        <f>"CFI"&amp;".D"&amp;TEXT(Caja_Finanzas[[#This Row],[FECHA]],"DD-MM")&amp;"-"&amp;TEXT(Caja_Finanzas[[#This Row],[ITEM]],"0000")</f>
        <v>CFI.D11-08-0637</v>
      </c>
      <c r="O721" s="8" t="str">
        <f t="shared" ref="O721:O733" si="102">"PEN"</f>
        <v>PEN</v>
      </c>
      <c r="P721" s="13"/>
      <c r="Q721" s="13">
        <v>150</v>
      </c>
      <c r="R721" s="3">
        <f t="shared" ref="R721:R733" si="103">+IF(OR($G721="SALDO",$G721="INGRESO"),$Q721,0)</f>
        <v>0</v>
      </c>
      <c r="S721" s="3">
        <f t="shared" ref="S721:S733" si="104">+IF($G721="EGRESO",$Q721,0)</f>
        <v>150</v>
      </c>
      <c r="T721" s="3">
        <f t="shared" si="100"/>
        <v>14077.690000000002</v>
      </c>
      <c r="U721" s="24"/>
      <c r="V721" s="24"/>
      <c r="W721" s="3"/>
      <c r="X721" s="25"/>
      <c r="Y721" s="25"/>
      <c r="Z721" s="25"/>
      <c r="AA721" s="25"/>
      <c r="AB721" s="25"/>
      <c r="AC721" s="3" t="str">
        <f>IF(Caja_Finanzas[[#This Row],[FECHA]]&gt;0,TEXT(Caja_Finanzas[[#This Row],[FECHA]],"mmmm"),0)</f>
        <v>Agosto</v>
      </c>
    </row>
    <row r="722" spans="2:29" ht="24" x14ac:dyDescent="0.3">
      <c r="B722" s="2">
        <f>IF(Caja_Finanzas[[#This Row],[TIPO DE R.]]="R",COUNTIFS($D$4:$D721,"R")+1,"")</f>
        <v>638</v>
      </c>
      <c r="C722" s="19" t="str">
        <f t="shared" si="101"/>
        <v>C-Finanzas</v>
      </c>
      <c r="D722" s="3" t="s">
        <v>1074</v>
      </c>
      <c r="E722" s="14">
        <v>45880</v>
      </c>
      <c r="F722" s="5" t="s">
        <v>5295</v>
      </c>
      <c r="G722" s="5" t="s">
        <v>1079</v>
      </c>
      <c r="H722" s="5"/>
      <c r="I722" s="6"/>
      <c r="J722" s="6" t="s">
        <v>59</v>
      </c>
      <c r="K722" s="6" t="s">
        <v>6169</v>
      </c>
      <c r="L722" s="6">
        <v>140</v>
      </c>
      <c r="M722" s="7" t="s">
        <v>6249</v>
      </c>
      <c r="N722" s="8" t="str">
        <f>"CFI"&amp;".D"&amp;TEXT(Caja_Finanzas[[#This Row],[FECHA]],"DD-MM")&amp;"-"&amp;TEXT(Caja_Finanzas[[#This Row],[ITEM]],"0000")</f>
        <v>CFI.D11-08-0638</v>
      </c>
      <c r="O722" s="8" t="str">
        <f t="shared" si="102"/>
        <v>PEN</v>
      </c>
      <c r="P722" s="13"/>
      <c r="Q722" s="13">
        <v>20</v>
      </c>
      <c r="R722" s="3">
        <f t="shared" si="103"/>
        <v>0</v>
      </c>
      <c r="S722" s="3">
        <f t="shared" si="104"/>
        <v>20</v>
      </c>
      <c r="T722" s="3">
        <f t="shared" si="100"/>
        <v>14057.690000000002</v>
      </c>
      <c r="U722" s="24"/>
      <c r="V722" s="24"/>
      <c r="W722" s="3"/>
      <c r="X722" s="25"/>
      <c r="Y722" s="25"/>
      <c r="Z722" s="25"/>
      <c r="AA722" s="25"/>
      <c r="AB722" s="25"/>
      <c r="AC722" s="3" t="str">
        <f>IF(Caja_Finanzas[[#This Row],[FECHA]]&gt;0,TEXT(Caja_Finanzas[[#This Row],[FECHA]],"mmmm"),0)</f>
        <v>Agosto</v>
      </c>
    </row>
    <row r="723" spans="2:29" ht="24" x14ac:dyDescent="0.3">
      <c r="B723" s="2">
        <f>IF(Caja_Finanzas[[#This Row],[TIPO DE R.]]="R",COUNTIFS($D$4:$D722,"R")+1,"")</f>
        <v>639</v>
      </c>
      <c r="C723" s="19" t="str">
        <f t="shared" si="101"/>
        <v>C-Finanzas</v>
      </c>
      <c r="D723" s="3" t="s">
        <v>1074</v>
      </c>
      <c r="E723" s="14">
        <v>45880</v>
      </c>
      <c r="F723" s="5" t="s">
        <v>5343</v>
      </c>
      <c r="G723" s="5" t="s">
        <v>1079</v>
      </c>
      <c r="H723" s="5"/>
      <c r="I723" s="6"/>
      <c r="J723" s="6" t="s">
        <v>59</v>
      </c>
      <c r="K723" s="6" t="s">
        <v>6174</v>
      </c>
      <c r="L723" s="6">
        <v>17</v>
      </c>
      <c r="M723" s="7" t="s">
        <v>6250</v>
      </c>
      <c r="N723" s="8" t="str">
        <f>"CFI"&amp;".D"&amp;TEXT(Caja_Finanzas[[#This Row],[FECHA]],"DD-MM")&amp;"-"&amp;TEXT(Caja_Finanzas[[#This Row],[ITEM]],"0000")</f>
        <v>CFI.D11-08-0639</v>
      </c>
      <c r="O723" s="8" t="str">
        <f t="shared" si="102"/>
        <v>PEN</v>
      </c>
      <c r="P723" s="13"/>
      <c r="Q723" s="13">
        <v>20</v>
      </c>
      <c r="R723" s="3">
        <f t="shared" si="103"/>
        <v>0</v>
      </c>
      <c r="S723" s="3">
        <f t="shared" si="104"/>
        <v>20</v>
      </c>
      <c r="T723" s="3">
        <f t="shared" si="100"/>
        <v>14037.690000000002</v>
      </c>
      <c r="U723" s="24"/>
      <c r="V723" s="24"/>
      <c r="W723" s="3"/>
      <c r="X723" s="25"/>
      <c r="Y723" s="25"/>
      <c r="Z723" s="25"/>
      <c r="AA723" s="25"/>
      <c r="AB723" s="25"/>
      <c r="AC723" s="3" t="str">
        <f>IF(Caja_Finanzas[[#This Row],[FECHA]]&gt;0,TEXT(Caja_Finanzas[[#This Row],[FECHA]],"mmmm"),0)</f>
        <v>Agosto</v>
      </c>
    </row>
    <row r="724" spans="2:29" ht="24" x14ac:dyDescent="0.3">
      <c r="B724" s="2">
        <f>IF(Caja_Finanzas[[#This Row],[TIPO DE R.]]="R",COUNTIFS($D$4:$D723,"R")+1,"")</f>
        <v>640</v>
      </c>
      <c r="C724" s="19" t="str">
        <f t="shared" si="101"/>
        <v>C-Finanzas</v>
      </c>
      <c r="D724" s="3" t="s">
        <v>1074</v>
      </c>
      <c r="E724" s="14">
        <v>45881</v>
      </c>
      <c r="F724" s="5" t="s">
        <v>5618</v>
      </c>
      <c r="G724" s="5" t="s">
        <v>1087</v>
      </c>
      <c r="H724" s="5"/>
      <c r="I724" s="6"/>
      <c r="J724" s="6"/>
      <c r="K724" s="6"/>
      <c r="L724" s="6"/>
      <c r="M724" s="7" t="s">
        <v>6251</v>
      </c>
      <c r="N724" s="8" t="str">
        <f>"CFI"&amp;".D"&amp;TEXT(Caja_Finanzas[[#This Row],[FECHA]],"DD-MM")&amp;"-"&amp;TEXT(Caja_Finanzas[[#This Row],[ITEM]],"0000")</f>
        <v>CFI.D12-08-0640</v>
      </c>
      <c r="O724" s="8" t="str">
        <f t="shared" si="102"/>
        <v>PEN</v>
      </c>
      <c r="P724" s="13"/>
      <c r="Q724" s="13">
        <v>120</v>
      </c>
      <c r="R724" s="3">
        <f t="shared" si="103"/>
        <v>120</v>
      </c>
      <c r="S724" s="3">
        <f t="shared" si="104"/>
        <v>0</v>
      </c>
      <c r="T724" s="3">
        <f t="shared" si="100"/>
        <v>14157.690000000002</v>
      </c>
      <c r="U724" s="24"/>
      <c r="V724" s="24"/>
      <c r="W724" s="3"/>
      <c r="X724" s="25"/>
      <c r="Y724" s="25"/>
      <c r="Z724" s="25"/>
      <c r="AA724" s="25"/>
      <c r="AB724" s="25"/>
      <c r="AC724" s="3" t="str">
        <f>IF(Caja_Finanzas[[#This Row],[FECHA]]&gt;0,TEXT(Caja_Finanzas[[#This Row],[FECHA]],"mmmm"),0)</f>
        <v>Agosto</v>
      </c>
    </row>
    <row r="725" spans="2:29" ht="36" x14ac:dyDescent="0.3">
      <c r="B725" s="2">
        <f>IF(Caja_Finanzas[[#This Row],[TIPO DE R.]]="R",COUNTIFS($D$4:$D724,"R")+1,"")</f>
        <v>641</v>
      </c>
      <c r="C725" s="19" t="str">
        <f t="shared" si="101"/>
        <v>C-Finanzas</v>
      </c>
      <c r="D725" s="3" t="s">
        <v>1074</v>
      </c>
      <c r="E725" s="14">
        <v>45881</v>
      </c>
      <c r="F725" s="5" t="s">
        <v>5338</v>
      </c>
      <c r="G725" s="5" t="s">
        <v>1079</v>
      </c>
      <c r="H725" s="5"/>
      <c r="I725" s="6"/>
      <c r="J725" s="6" t="s">
        <v>59</v>
      </c>
      <c r="K725" s="6" t="s">
        <v>6183</v>
      </c>
      <c r="L725" s="6">
        <v>128</v>
      </c>
      <c r="M725" s="7" t="s">
        <v>6252</v>
      </c>
      <c r="N725" s="8" t="str">
        <f>"CFI"&amp;".D"&amp;TEXT(Caja_Finanzas[[#This Row],[FECHA]],"DD-MM")&amp;"-"&amp;TEXT(Caja_Finanzas[[#This Row],[ITEM]],"0000")</f>
        <v>CFI.D12-08-0641</v>
      </c>
      <c r="O725" s="8" t="str">
        <f t="shared" si="102"/>
        <v>PEN</v>
      </c>
      <c r="P725" s="13"/>
      <c r="Q725" s="13">
        <v>220</v>
      </c>
      <c r="R725" s="3">
        <f t="shared" si="103"/>
        <v>0</v>
      </c>
      <c r="S725" s="3">
        <f t="shared" si="104"/>
        <v>220</v>
      </c>
      <c r="T725" s="3">
        <f t="shared" si="100"/>
        <v>13937.690000000002</v>
      </c>
      <c r="U725" s="24"/>
      <c r="V725" s="24"/>
      <c r="W725" s="3"/>
      <c r="X725" s="25"/>
      <c r="Y725" s="25"/>
      <c r="Z725" s="25"/>
      <c r="AA725" s="25"/>
      <c r="AB725" s="25"/>
      <c r="AC725" s="3" t="str">
        <f>IF(Caja_Finanzas[[#This Row],[FECHA]]&gt;0,TEXT(Caja_Finanzas[[#This Row],[FECHA]],"mmmm"),0)</f>
        <v>Agosto</v>
      </c>
    </row>
    <row r="726" spans="2:29" ht="24" x14ac:dyDescent="0.3">
      <c r="B726" s="2">
        <f>IF(Caja_Finanzas[[#This Row],[TIPO DE R.]]="R",COUNTIFS($D$4:$D725,"R")+1,"")</f>
        <v>642</v>
      </c>
      <c r="C726" s="19" t="str">
        <f t="shared" si="101"/>
        <v>C-Finanzas</v>
      </c>
      <c r="D726" s="13" t="s">
        <v>1074</v>
      </c>
      <c r="E726" s="14">
        <v>45881</v>
      </c>
      <c r="F726" s="5" t="s">
        <v>6253</v>
      </c>
      <c r="G726" s="5" t="s">
        <v>1087</v>
      </c>
      <c r="H726" s="5"/>
      <c r="I726" s="6"/>
      <c r="J726" s="6" t="s">
        <v>63</v>
      </c>
      <c r="K726" s="6">
        <v>1</v>
      </c>
      <c r="L726" s="6">
        <v>4662</v>
      </c>
      <c r="M726" s="7" t="s">
        <v>5156</v>
      </c>
      <c r="N726" s="8" t="str">
        <f>"CFI"&amp;".D"&amp;TEXT(Caja_Finanzas[[#This Row],[FECHA]],"DD-MM")&amp;"-"&amp;TEXT(Caja_Finanzas[[#This Row],[ITEM]],"0000")</f>
        <v>CFI.D12-08-0642</v>
      </c>
      <c r="O726" s="8" t="str">
        <f t="shared" si="102"/>
        <v>PEN</v>
      </c>
      <c r="P726" s="13"/>
      <c r="Q726" s="13">
        <v>540</v>
      </c>
      <c r="R726" s="3">
        <f t="shared" si="103"/>
        <v>540</v>
      </c>
      <c r="S726" s="3">
        <f t="shared" si="104"/>
        <v>0</v>
      </c>
      <c r="T726" s="3">
        <f t="shared" si="100"/>
        <v>14477.690000000002</v>
      </c>
      <c r="U726" s="24"/>
      <c r="V726" s="24"/>
      <c r="W726" s="3"/>
      <c r="X726" s="25"/>
      <c r="Y726" s="25"/>
      <c r="Z726" s="25"/>
      <c r="AA726" s="25"/>
      <c r="AB726" s="25"/>
      <c r="AC726" s="3" t="str">
        <f>IF(Caja_Finanzas[[#This Row],[FECHA]]&gt;0,TEXT(Caja_Finanzas[[#This Row],[FECHA]],"mmmm"),0)</f>
        <v>Agosto</v>
      </c>
    </row>
    <row r="727" spans="2:29" ht="36" x14ac:dyDescent="0.3">
      <c r="B727" s="2">
        <f>IF(Caja_Finanzas[[#This Row],[TIPO DE R.]]="R",COUNTIFS($D$4:$D726,"R")+1,"")</f>
        <v>643</v>
      </c>
      <c r="C727" s="19" t="str">
        <f t="shared" si="101"/>
        <v>C-Finanzas</v>
      </c>
      <c r="D727" s="13" t="s">
        <v>1074</v>
      </c>
      <c r="E727" s="14">
        <v>45881</v>
      </c>
      <c r="F727" s="5" t="s">
        <v>6254</v>
      </c>
      <c r="G727" s="5" t="s">
        <v>1087</v>
      </c>
      <c r="H727" s="5"/>
      <c r="I727" s="6"/>
      <c r="J727" s="6" t="s">
        <v>63</v>
      </c>
      <c r="K727" s="6">
        <v>1</v>
      </c>
      <c r="L727" s="6">
        <v>4661</v>
      </c>
      <c r="M727" s="7" t="s">
        <v>5156</v>
      </c>
      <c r="N727" s="8" t="str">
        <f>"CFI"&amp;".D"&amp;TEXT(Caja_Finanzas[[#This Row],[FECHA]],"DD-MM")&amp;"-"&amp;TEXT(Caja_Finanzas[[#This Row],[ITEM]],"0000")</f>
        <v>CFI.D12-08-0643</v>
      </c>
      <c r="O727" s="8" t="str">
        <f t="shared" si="102"/>
        <v>PEN</v>
      </c>
      <c r="P727" s="13"/>
      <c r="Q727" s="13">
        <v>720</v>
      </c>
      <c r="R727" s="3">
        <f t="shared" si="103"/>
        <v>720</v>
      </c>
      <c r="S727" s="3">
        <f t="shared" si="104"/>
        <v>0</v>
      </c>
      <c r="T727" s="3">
        <f t="shared" si="100"/>
        <v>15197.690000000002</v>
      </c>
      <c r="U727" s="24"/>
      <c r="V727" s="24"/>
      <c r="W727" s="3"/>
      <c r="X727" s="25"/>
      <c r="Y727" s="25"/>
      <c r="Z727" s="25"/>
      <c r="AA727" s="25"/>
      <c r="AB727" s="25"/>
      <c r="AC727" s="3" t="str">
        <f>IF(Caja_Finanzas[[#This Row],[FECHA]]&gt;0,TEXT(Caja_Finanzas[[#This Row],[FECHA]],"mmmm"),0)</f>
        <v>Agosto</v>
      </c>
    </row>
    <row r="728" spans="2:29" ht="24" x14ac:dyDescent="0.3">
      <c r="B728" s="2">
        <f>IF(Caja_Finanzas[[#This Row],[TIPO DE R.]]="R",COUNTIFS($D$4:$D727,"R")+1,"")</f>
        <v>644</v>
      </c>
      <c r="C728" s="19" t="str">
        <f t="shared" si="101"/>
        <v>C-Finanzas</v>
      </c>
      <c r="D728" s="3" t="s">
        <v>1074</v>
      </c>
      <c r="E728" s="14">
        <v>45881</v>
      </c>
      <c r="F728" s="5" t="s">
        <v>5343</v>
      </c>
      <c r="G728" s="5" t="s">
        <v>1079</v>
      </c>
      <c r="H728" s="5"/>
      <c r="I728" s="6"/>
      <c r="J728" s="6" t="s">
        <v>59</v>
      </c>
      <c r="K728" s="6" t="s">
        <v>6174</v>
      </c>
      <c r="L728" s="6">
        <v>18</v>
      </c>
      <c r="M728" s="7" t="s">
        <v>6255</v>
      </c>
      <c r="N728" s="194" t="str">
        <f>"CFI"&amp;".D"&amp;TEXT(Caja_Finanzas[[#This Row],[FECHA]],"DD-MM")&amp;"-"&amp;TEXT(Caja_Finanzas[[#This Row],[ITEM]],"0000")</f>
        <v>CFI.D12-08-0644</v>
      </c>
      <c r="O728" s="8" t="str">
        <f t="shared" si="102"/>
        <v>PEN</v>
      </c>
      <c r="P728" s="13"/>
      <c r="Q728" s="13">
        <v>10</v>
      </c>
      <c r="R728" s="3">
        <f t="shared" si="103"/>
        <v>0</v>
      </c>
      <c r="S728" s="3">
        <f t="shared" si="104"/>
        <v>10</v>
      </c>
      <c r="T728" s="3">
        <f t="shared" si="100"/>
        <v>15187.690000000002</v>
      </c>
      <c r="U728" s="24"/>
      <c r="V728" s="24"/>
      <c r="W728" s="3"/>
      <c r="X728" s="25"/>
      <c r="Y728" s="25"/>
      <c r="Z728" s="25"/>
      <c r="AA728" s="25"/>
      <c r="AB728" s="25"/>
      <c r="AC728" s="3" t="str">
        <f>IF(Caja_Finanzas[[#This Row],[FECHA]]&gt;0,TEXT(Caja_Finanzas[[#This Row],[FECHA]],"mmmm"),0)</f>
        <v>Agosto</v>
      </c>
    </row>
    <row r="729" spans="2:29" ht="24" x14ac:dyDescent="0.3">
      <c r="B729" s="2">
        <f>IF(Caja_Finanzas[[#This Row],[TIPO DE R.]]="R",COUNTIFS($D$4:$D728,"R")+1,"")</f>
        <v>645</v>
      </c>
      <c r="C729" s="19" t="str">
        <f t="shared" si="101"/>
        <v>C-Finanzas</v>
      </c>
      <c r="D729" s="3" t="s">
        <v>1074</v>
      </c>
      <c r="E729" s="14">
        <v>45881</v>
      </c>
      <c r="F729" s="5" t="s">
        <v>3562</v>
      </c>
      <c r="G729" s="5" t="s">
        <v>1079</v>
      </c>
      <c r="H729" s="5"/>
      <c r="I729" s="6"/>
      <c r="J729" s="6"/>
      <c r="K729" s="6"/>
      <c r="L729" s="6"/>
      <c r="M729" s="7" t="s">
        <v>6256</v>
      </c>
      <c r="N729" s="8" t="str">
        <f>"CFI"&amp;".D"&amp;TEXT(Caja_Finanzas[[#This Row],[FECHA]],"DD-MM")&amp;"-"&amp;TEXT(Caja_Finanzas[[#This Row],[ITEM]],"0000")</f>
        <v>CFI.D12-08-0645</v>
      </c>
      <c r="O729" s="8" t="str">
        <f t="shared" si="102"/>
        <v>PEN</v>
      </c>
      <c r="P729" s="13"/>
      <c r="Q729" s="13">
        <v>300</v>
      </c>
      <c r="R729" s="3">
        <f t="shared" si="103"/>
        <v>0</v>
      </c>
      <c r="S729" s="3">
        <f t="shared" si="104"/>
        <v>300</v>
      </c>
      <c r="T729" s="3">
        <f t="shared" si="100"/>
        <v>14887.690000000002</v>
      </c>
      <c r="U729" s="24"/>
      <c r="V729" s="24"/>
      <c r="W729" s="3"/>
      <c r="X729" s="25"/>
      <c r="Y729" s="25"/>
      <c r="Z729" s="25"/>
      <c r="AA729" s="25"/>
      <c r="AB729" s="25"/>
      <c r="AC729" s="3" t="str">
        <f>IF(Caja_Finanzas[[#This Row],[FECHA]]&gt;0,TEXT(Caja_Finanzas[[#This Row],[FECHA]],"mmmm"),0)</f>
        <v>Agosto</v>
      </c>
    </row>
    <row r="730" spans="2:29" ht="36" x14ac:dyDescent="0.3">
      <c r="B730" s="2">
        <f>IF(Caja_Finanzas[[#This Row],[TIPO DE R.]]="R",COUNTIFS($D$4:$D729,"R")+1,"")</f>
        <v>646</v>
      </c>
      <c r="C730" s="19" t="str">
        <f t="shared" si="101"/>
        <v>C-Finanzas</v>
      </c>
      <c r="D730" s="3" t="s">
        <v>1074</v>
      </c>
      <c r="E730" s="14">
        <v>45881</v>
      </c>
      <c r="F730" s="5" t="s">
        <v>5827</v>
      </c>
      <c r="G730" s="5" t="s">
        <v>1079</v>
      </c>
      <c r="H730" s="5"/>
      <c r="I730" s="6"/>
      <c r="J730" s="6" t="s">
        <v>59</v>
      </c>
      <c r="K730" s="6" t="s">
        <v>6257</v>
      </c>
      <c r="L730" s="6">
        <v>127</v>
      </c>
      <c r="M730" s="7" t="s">
        <v>6258</v>
      </c>
      <c r="N730" s="8" t="str">
        <f>"CFI"&amp;".D"&amp;TEXT(Caja_Finanzas[[#This Row],[FECHA]],"DD-MM")&amp;"-"&amp;TEXT(Caja_Finanzas[[#This Row],[ITEM]],"0000")</f>
        <v>CFI.D12-08-0646</v>
      </c>
      <c r="O730" s="8" t="str">
        <f t="shared" si="102"/>
        <v>PEN</v>
      </c>
      <c r="P730" s="13"/>
      <c r="Q730" s="13">
        <v>450</v>
      </c>
      <c r="R730" s="3">
        <f t="shared" si="103"/>
        <v>0</v>
      </c>
      <c r="S730" s="3">
        <f t="shared" si="104"/>
        <v>450</v>
      </c>
      <c r="T730" s="3">
        <f t="shared" si="100"/>
        <v>14437.690000000002</v>
      </c>
      <c r="U730" s="24"/>
      <c r="V730" s="24"/>
      <c r="W730" s="3"/>
      <c r="X730" s="25"/>
      <c r="Y730" s="25"/>
      <c r="Z730" s="25"/>
      <c r="AA730" s="25"/>
      <c r="AB730" s="25"/>
      <c r="AC730" s="3" t="str">
        <f>IF(Caja_Finanzas[[#This Row],[FECHA]]&gt;0,TEXT(Caja_Finanzas[[#This Row],[FECHA]],"mmmm"),0)</f>
        <v>Agosto</v>
      </c>
    </row>
    <row r="731" spans="2:29" ht="24" x14ac:dyDescent="0.3">
      <c r="B731" s="2">
        <f>IF(Caja_Finanzas[[#This Row],[TIPO DE R.]]="R",COUNTIFS($D$4:$D730,"R")+1,"")</f>
        <v>647</v>
      </c>
      <c r="C731" s="19" t="str">
        <f t="shared" si="101"/>
        <v>C-Finanzas</v>
      </c>
      <c r="D731" s="3" t="s">
        <v>1074</v>
      </c>
      <c r="E731" s="14">
        <v>45881</v>
      </c>
      <c r="F731" s="5" t="s">
        <v>5827</v>
      </c>
      <c r="G731" s="5" t="s">
        <v>1079</v>
      </c>
      <c r="H731" s="5"/>
      <c r="I731" s="6" t="s">
        <v>536</v>
      </c>
      <c r="J731" s="6" t="s">
        <v>59</v>
      </c>
      <c r="K731" s="6" t="s">
        <v>6169</v>
      </c>
      <c r="L731" s="6">
        <v>138</v>
      </c>
      <c r="M731" s="7" t="s">
        <v>6259</v>
      </c>
      <c r="N731" s="8" t="str">
        <f>"CFI"&amp;".D"&amp;TEXT(Caja_Finanzas[[#This Row],[FECHA]],"DD-MM")&amp;"-"&amp;TEXT(Caja_Finanzas[[#This Row],[ITEM]],"0000")</f>
        <v>CFI.D12-08-0647</v>
      </c>
      <c r="O731" s="8" t="str">
        <f t="shared" si="102"/>
        <v>PEN</v>
      </c>
      <c r="P731" s="13"/>
      <c r="Q731" s="13">
        <v>300</v>
      </c>
      <c r="R731" s="3">
        <f t="shared" si="103"/>
        <v>0</v>
      </c>
      <c r="S731" s="3">
        <f t="shared" si="104"/>
        <v>300</v>
      </c>
      <c r="T731" s="3">
        <f t="shared" si="100"/>
        <v>14137.690000000002</v>
      </c>
      <c r="U731" s="24"/>
      <c r="V731" s="24"/>
      <c r="W731" s="3"/>
      <c r="X731" s="25"/>
      <c r="Y731" s="25"/>
      <c r="Z731" s="25"/>
      <c r="AA731" s="25"/>
      <c r="AB731" s="25"/>
      <c r="AC731" s="3" t="str">
        <f>IF(Caja_Finanzas[[#This Row],[FECHA]]&gt;0,TEXT(Caja_Finanzas[[#This Row],[FECHA]],"mmmm"),0)</f>
        <v>Agosto</v>
      </c>
    </row>
    <row r="732" spans="2:29" ht="36" x14ac:dyDescent="0.3">
      <c r="B732" s="2">
        <f>IF(Caja_Finanzas[[#This Row],[TIPO DE R.]]="R",COUNTIFS($D$4:$D731,"R")+1,"")</f>
        <v>648</v>
      </c>
      <c r="C732" s="19" t="str">
        <f t="shared" si="101"/>
        <v>C-Finanzas</v>
      </c>
      <c r="D732" s="3" t="s">
        <v>1074</v>
      </c>
      <c r="E732" s="14">
        <v>45881</v>
      </c>
      <c r="F732" s="5" t="s">
        <v>5827</v>
      </c>
      <c r="G732" s="5" t="s">
        <v>1079</v>
      </c>
      <c r="H732" s="5"/>
      <c r="I732" s="6"/>
      <c r="J732" s="6" t="s">
        <v>59</v>
      </c>
      <c r="K732" s="6" t="s">
        <v>6183</v>
      </c>
      <c r="L732" s="6">
        <v>126</v>
      </c>
      <c r="M732" s="7" t="s">
        <v>6260</v>
      </c>
      <c r="N732" s="8" t="str">
        <f>"CFI"&amp;".D"&amp;TEXT(Caja_Finanzas[[#This Row],[FECHA]],"DD-MM")&amp;"-"&amp;TEXT(Caja_Finanzas[[#This Row],[ITEM]],"0000")</f>
        <v>CFI.D12-08-0648</v>
      </c>
      <c r="O732" s="8" t="str">
        <f t="shared" si="102"/>
        <v>PEN</v>
      </c>
      <c r="P732" s="13"/>
      <c r="Q732" s="13">
        <v>450</v>
      </c>
      <c r="R732" s="3">
        <f t="shared" si="103"/>
        <v>0</v>
      </c>
      <c r="S732" s="3">
        <f t="shared" si="104"/>
        <v>450</v>
      </c>
      <c r="T732" s="3">
        <f t="shared" si="100"/>
        <v>13687.690000000002</v>
      </c>
      <c r="U732" s="24"/>
      <c r="V732" s="24"/>
      <c r="W732" s="3"/>
      <c r="X732" s="25"/>
      <c r="Y732" s="25"/>
      <c r="Z732" s="25"/>
      <c r="AA732" s="25"/>
      <c r="AB732" s="25"/>
      <c r="AC732" s="3" t="str">
        <f>IF(Caja_Finanzas[[#This Row],[FECHA]]&gt;0,TEXT(Caja_Finanzas[[#This Row],[FECHA]],"mmmm"),0)</f>
        <v>Agosto</v>
      </c>
    </row>
    <row r="733" spans="2:29" ht="24" x14ac:dyDescent="0.3">
      <c r="B733" s="2">
        <f>IF(Caja_Finanzas[[#This Row],[TIPO DE R.]]="R",COUNTIFS($D$4:$D732,"R")+1,"")</f>
        <v>649</v>
      </c>
      <c r="C733" s="19" t="str">
        <f t="shared" si="101"/>
        <v>C-Finanzas</v>
      </c>
      <c r="D733" s="3" t="s">
        <v>1074</v>
      </c>
      <c r="E733" s="14">
        <v>45882</v>
      </c>
      <c r="F733" s="5" t="s">
        <v>5343</v>
      </c>
      <c r="G733" s="5" t="s">
        <v>1079</v>
      </c>
      <c r="H733" s="5"/>
      <c r="I733" s="6"/>
      <c r="J733" s="6" t="s">
        <v>59</v>
      </c>
      <c r="K733" s="6" t="s">
        <v>6174</v>
      </c>
      <c r="L733" s="6">
        <v>11</v>
      </c>
      <c r="M733" s="7" t="s">
        <v>6261</v>
      </c>
      <c r="N733" s="8" t="str">
        <f>"CFI"&amp;".D"&amp;TEXT(Caja_Finanzas[[#This Row],[FECHA]],"DD-MM")&amp;"-"&amp;TEXT(Caja_Finanzas[[#This Row],[ITEM]],"0000")</f>
        <v>CFI.D13-08-0649</v>
      </c>
      <c r="O733" s="8" t="str">
        <f t="shared" si="102"/>
        <v>PEN</v>
      </c>
      <c r="P733" s="13"/>
      <c r="Q733" s="13">
        <v>69</v>
      </c>
      <c r="R733" s="3">
        <f t="shared" si="103"/>
        <v>0</v>
      </c>
      <c r="S733" s="3">
        <f t="shared" si="104"/>
        <v>69</v>
      </c>
      <c r="T733" s="3">
        <f t="shared" si="100"/>
        <v>13618.690000000002</v>
      </c>
      <c r="U733" s="24"/>
      <c r="V733" s="24"/>
      <c r="W733" s="3"/>
      <c r="X733" s="25"/>
      <c r="Y733" s="25"/>
      <c r="Z733" s="25"/>
      <c r="AA733" s="25"/>
      <c r="AB733" s="25"/>
      <c r="AC733" s="3" t="str">
        <f>IF(Caja_Finanzas[[#This Row],[FECHA]]&gt;0,TEXT(Caja_Finanzas[[#This Row],[FECHA]],"mmmm"),0)</f>
        <v>Agosto</v>
      </c>
    </row>
    <row r="734" spans="2:29" ht="24" x14ac:dyDescent="0.3">
      <c r="B734" s="2">
        <f>IF(Caja_Finanzas[[#This Row],[TIPO DE R.]]="R",COUNTIFS($D$4:$D733,"R")+1,"")</f>
        <v>650</v>
      </c>
      <c r="C734" s="19" t="str">
        <f t="shared" ref="C734:C740" si="105">"C-Finanzas"</f>
        <v>C-Finanzas</v>
      </c>
      <c r="D734" s="3" t="s">
        <v>1074</v>
      </c>
      <c r="E734" s="14">
        <v>45882</v>
      </c>
      <c r="F734" s="5" t="s">
        <v>5343</v>
      </c>
      <c r="G734" s="5" t="s">
        <v>1079</v>
      </c>
      <c r="H734" s="5"/>
      <c r="I734" s="6" t="s">
        <v>820</v>
      </c>
      <c r="J734" s="6" t="s">
        <v>59</v>
      </c>
      <c r="K734" s="6" t="s">
        <v>6174</v>
      </c>
      <c r="L734" s="6">
        <v>16</v>
      </c>
      <c r="M734" s="7" t="s">
        <v>6262</v>
      </c>
      <c r="N734" s="8" t="str">
        <f>"CFI"&amp;".D"&amp;TEXT(Caja_Finanzas[[#This Row],[FECHA]],"DD-MM")&amp;"-"&amp;TEXT(Caja_Finanzas[[#This Row],[ITEM]],"0000")</f>
        <v>CFI.D13-08-0650</v>
      </c>
      <c r="O734" s="8" t="str">
        <f t="shared" ref="O734:O740" si="106">"PEN"</f>
        <v>PEN</v>
      </c>
      <c r="P734" s="13"/>
      <c r="Q734" s="13">
        <v>80</v>
      </c>
      <c r="R734" s="3">
        <f t="shared" ref="R734:R740" si="107">+IF(OR($G734="SALDO",$G734="INGRESO"),$Q734,0)</f>
        <v>0</v>
      </c>
      <c r="S734" s="3">
        <f t="shared" ref="S734:S740" si="108">+IF($G734="EGRESO",$Q734,0)</f>
        <v>80</v>
      </c>
      <c r="T734" s="3">
        <f t="shared" si="100"/>
        <v>13538.690000000002</v>
      </c>
      <c r="U734" s="24"/>
      <c r="V734" s="24"/>
      <c r="W734" s="3"/>
      <c r="X734" s="25"/>
      <c r="Y734" s="25"/>
      <c r="Z734" s="25"/>
      <c r="AA734" s="25"/>
      <c r="AB734" s="25"/>
      <c r="AC734" s="3" t="str">
        <f>IF(Caja_Finanzas[[#This Row],[FECHA]]&gt;0,TEXT(Caja_Finanzas[[#This Row],[FECHA]],"mmmm"),0)</f>
        <v>Agosto</v>
      </c>
    </row>
    <row r="735" spans="2:29" ht="24" x14ac:dyDescent="0.3">
      <c r="B735" s="2">
        <f>IF(Caja_Finanzas[[#This Row],[TIPO DE R.]]="R",COUNTIFS($D$4:$D734,"R")+1,"")</f>
        <v>651</v>
      </c>
      <c r="C735" s="19" t="str">
        <f t="shared" si="105"/>
        <v>C-Finanzas</v>
      </c>
      <c r="D735" s="3" t="s">
        <v>1074</v>
      </c>
      <c r="E735" s="14">
        <v>45882</v>
      </c>
      <c r="F735" s="5" t="s">
        <v>1562</v>
      </c>
      <c r="G735" s="5" t="s">
        <v>1087</v>
      </c>
      <c r="H735" s="5"/>
      <c r="I735" s="6"/>
      <c r="J735" s="6" t="s">
        <v>63</v>
      </c>
      <c r="K735" s="6">
        <v>1</v>
      </c>
      <c r="L735" s="6">
        <v>4666</v>
      </c>
      <c r="M735" s="7" t="s">
        <v>5156</v>
      </c>
      <c r="N735" s="8" t="str">
        <f>"CFI"&amp;".D"&amp;TEXT(Caja_Finanzas[[#This Row],[FECHA]],"DD-MM")&amp;"-"&amp;TEXT(Caja_Finanzas[[#This Row],[ITEM]],"0000")</f>
        <v>CFI.D13-08-0651</v>
      </c>
      <c r="O735" s="8" t="str">
        <f t="shared" si="106"/>
        <v>PEN</v>
      </c>
      <c r="P735" s="13"/>
      <c r="Q735" s="13">
        <v>2634.3</v>
      </c>
      <c r="R735" s="3">
        <f t="shared" si="107"/>
        <v>2634.3</v>
      </c>
      <c r="S735" s="3">
        <f t="shared" si="108"/>
        <v>0</v>
      </c>
      <c r="T735" s="3">
        <f t="shared" si="100"/>
        <v>16172.990000000002</v>
      </c>
      <c r="U735" s="24"/>
      <c r="V735" s="24"/>
      <c r="W735" s="3"/>
      <c r="X735" s="25"/>
      <c r="Y735" s="25"/>
      <c r="Z735" s="25"/>
      <c r="AA735" s="25"/>
      <c r="AB735" s="25"/>
      <c r="AC735" s="3" t="str">
        <f>IF(Caja_Finanzas[[#This Row],[FECHA]]&gt;0,TEXT(Caja_Finanzas[[#This Row],[FECHA]],"mmmm"),0)</f>
        <v>Agosto</v>
      </c>
    </row>
    <row r="736" spans="2:29" ht="24" x14ac:dyDescent="0.3">
      <c r="B736" s="2">
        <f>IF(Caja_Finanzas[[#This Row],[TIPO DE R.]]="R",COUNTIFS($D$4:$D735,"R")+1,"")</f>
        <v>652</v>
      </c>
      <c r="C736" s="19" t="str">
        <f t="shared" si="105"/>
        <v>C-Finanzas</v>
      </c>
      <c r="D736" s="3" t="s">
        <v>1074</v>
      </c>
      <c r="E736" s="14">
        <v>45882</v>
      </c>
      <c r="F736" s="5" t="s">
        <v>6243</v>
      </c>
      <c r="G736" s="5" t="s">
        <v>1087</v>
      </c>
      <c r="H736" s="5"/>
      <c r="I736" s="6"/>
      <c r="J736" s="6" t="s">
        <v>63</v>
      </c>
      <c r="K736" s="6">
        <v>1</v>
      </c>
      <c r="L736" s="6">
        <v>4611</v>
      </c>
      <c r="M736" s="7" t="s">
        <v>5156</v>
      </c>
      <c r="N736" s="8" t="str">
        <f>"CFI"&amp;".D"&amp;TEXT(Caja_Finanzas[[#This Row],[FECHA]],"DD-MM")&amp;"-"&amp;TEXT(Caja_Finanzas[[#This Row],[ITEM]],"0000")</f>
        <v>CFI.D13-08-0652</v>
      </c>
      <c r="O736" s="8" t="str">
        <f t="shared" si="106"/>
        <v>PEN</v>
      </c>
      <c r="P736" s="13"/>
      <c r="Q736" s="13">
        <v>200</v>
      </c>
      <c r="R736" s="3">
        <f t="shared" si="107"/>
        <v>200</v>
      </c>
      <c r="S736" s="3">
        <f t="shared" si="108"/>
        <v>0</v>
      </c>
      <c r="T736" s="3">
        <f t="shared" si="100"/>
        <v>16372.990000000002</v>
      </c>
      <c r="U736" s="24"/>
      <c r="V736" s="24"/>
      <c r="W736" s="3"/>
      <c r="X736" s="25"/>
      <c r="Y736" s="25"/>
      <c r="Z736" s="25"/>
      <c r="AA736" s="25"/>
      <c r="AB736" s="25"/>
      <c r="AC736" s="3" t="str">
        <f>IF(Caja_Finanzas[[#This Row],[FECHA]]&gt;0,TEXT(Caja_Finanzas[[#This Row],[FECHA]],"mmmm"),0)</f>
        <v>Agosto</v>
      </c>
    </row>
    <row r="737" spans="2:29" ht="24" x14ac:dyDescent="0.3">
      <c r="B737" s="2">
        <f>IF(Caja_Finanzas[[#This Row],[TIPO DE R.]]="R",COUNTIFS($D$4:$D736,"R")+1,"")</f>
        <v>653</v>
      </c>
      <c r="C737" s="19" t="str">
        <f t="shared" si="105"/>
        <v>C-Finanzas</v>
      </c>
      <c r="D737" s="3" t="s">
        <v>1074</v>
      </c>
      <c r="E737" s="14">
        <v>45882</v>
      </c>
      <c r="F737" s="5" t="s">
        <v>1357</v>
      </c>
      <c r="G737" s="5" t="s">
        <v>1087</v>
      </c>
      <c r="H737" s="5"/>
      <c r="I737" s="6"/>
      <c r="J737" s="6" t="s">
        <v>63</v>
      </c>
      <c r="K737" s="6">
        <v>1</v>
      </c>
      <c r="L737" s="6">
        <v>4639</v>
      </c>
      <c r="M737" s="7" t="s">
        <v>5156</v>
      </c>
      <c r="N737" s="8" t="str">
        <f>"CFI"&amp;".D"&amp;TEXT(Caja_Finanzas[[#This Row],[FECHA]],"DD-MM")&amp;"-"&amp;TEXT(Caja_Finanzas[[#This Row],[ITEM]],"0000")</f>
        <v>CFI.D13-08-0653</v>
      </c>
      <c r="O737" s="8" t="str">
        <f t="shared" si="106"/>
        <v>PEN</v>
      </c>
      <c r="P737" s="13"/>
      <c r="Q737" s="13">
        <v>228.8</v>
      </c>
      <c r="R737" s="3">
        <f t="shared" si="107"/>
        <v>228.8</v>
      </c>
      <c r="S737" s="3">
        <f t="shared" si="108"/>
        <v>0</v>
      </c>
      <c r="T737" s="3">
        <f t="shared" si="100"/>
        <v>16601.79</v>
      </c>
      <c r="U737" s="24"/>
      <c r="V737" s="24"/>
      <c r="W737" s="3"/>
      <c r="X737" s="25"/>
      <c r="Y737" s="25"/>
      <c r="Z737" s="25"/>
      <c r="AA737" s="25"/>
      <c r="AB737" s="25"/>
      <c r="AC737" s="3" t="str">
        <f>IF(Caja_Finanzas[[#This Row],[FECHA]]&gt;0,TEXT(Caja_Finanzas[[#This Row],[FECHA]],"mmmm"),0)</f>
        <v>Agosto</v>
      </c>
    </row>
    <row r="738" spans="2:29" ht="24" x14ac:dyDescent="0.3">
      <c r="B738" s="2">
        <f>IF(Caja_Finanzas[[#This Row],[TIPO DE R.]]="R",COUNTIFS($D$4:$D737,"R")+1,"")</f>
        <v>654</v>
      </c>
      <c r="C738" s="19" t="str">
        <f t="shared" si="105"/>
        <v>C-Finanzas</v>
      </c>
      <c r="D738" s="3" t="s">
        <v>1074</v>
      </c>
      <c r="E738" s="14">
        <v>45887</v>
      </c>
      <c r="F738" s="5" t="s">
        <v>5347</v>
      </c>
      <c r="G738" s="5" t="s">
        <v>1079</v>
      </c>
      <c r="H738" s="5"/>
      <c r="I738" s="6"/>
      <c r="J738" s="6" t="s">
        <v>59</v>
      </c>
      <c r="K738" s="6" t="s">
        <v>6183</v>
      </c>
      <c r="L738" s="6">
        <v>128</v>
      </c>
      <c r="M738" s="7" t="s">
        <v>6263</v>
      </c>
      <c r="N738" s="8" t="str">
        <f>"CFI"&amp;".D"&amp;TEXT(Caja_Finanzas[[#This Row],[FECHA]],"DD-MM")&amp;"-"&amp;TEXT(Caja_Finanzas[[#This Row],[ITEM]],"0000")</f>
        <v>CFI.D18-08-0654</v>
      </c>
      <c r="O738" s="8" t="str">
        <f t="shared" si="106"/>
        <v>PEN</v>
      </c>
      <c r="P738" s="13"/>
      <c r="Q738" s="13">
        <v>207</v>
      </c>
      <c r="R738" s="3">
        <f t="shared" si="107"/>
        <v>0</v>
      </c>
      <c r="S738" s="3">
        <f t="shared" si="108"/>
        <v>207</v>
      </c>
      <c r="T738" s="3">
        <f t="shared" si="100"/>
        <v>16394.79</v>
      </c>
      <c r="U738" s="24"/>
      <c r="V738" s="24"/>
      <c r="W738" s="3"/>
      <c r="X738" s="25"/>
      <c r="Y738" s="25"/>
      <c r="Z738" s="25"/>
      <c r="AA738" s="25"/>
      <c r="AB738" s="25"/>
      <c r="AC738" s="3" t="str">
        <f>IF(Caja_Finanzas[[#This Row],[FECHA]]&gt;0,TEXT(Caja_Finanzas[[#This Row],[FECHA]],"mmmm"),0)</f>
        <v>Agosto</v>
      </c>
    </row>
    <row r="739" spans="2:29" x14ac:dyDescent="0.3">
      <c r="B739" s="2">
        <f>IF(Caja_Finanzas[[#This Row],[TIPO DE R.]]="R",COUNTIFS($D$4:$D738,"R")+1,"")</f>
        <v>655</v>
      </c>
      <c r="C739" s="19" t="str">
        <f t="shared" si="105"/>
        <v>C-Finanzas</v>
      </c>
      <c r="D739" s="3" t="s">
        <v>1074</v>
      </c>
      <c r="E739" s="14">
        <v>45887</v>
      </c>
      <c r="F739" s="5" t="s">
        <v>5566</v>
      </c>
      <c r="G739" s="5" t="s">
        <v>1087</v>
      </c>
      <c r="H739" s="5"/>
      <c r="I739" s="6"/>
      <c r="J739" s="6" t="s">
        <v>63</v>
      </c>
      <c r="K739" s="6">
        <v>1</v>
      </c>
      <c r="L739" s="6">
        <v>4671</v>
      </c>
      <c r="M739" s="7" t="s">
        <v>5156</v>
      </c>
      <c r="N739" s="8" t="str">
        <f>"CFI"&amp;".D"&amp;TEXT(Caja_Finanzas[[#This Row],[FECHA]],"DD-MM")&amp;"-"&amp;TEXT(Caja_Finanzas[[#This Row],[ITEM]],"0000")</f>
        <v>CFI.D18-08-0655</v>
      </c>
      <c r="O739" s="8" t="str">
        <f t="shared" si="106"/>
        <v>PEN</v>
      </c>
      <c r="P739" s="13"/>
      <c r="Q739" s="13">
        <v>450</v>
      </c>
      <c r="R739" s="3">
        <f t="shared" si="107"/>
        <v>450</v>
      </c>
      <c r="S739" s="3">
        <f t="shared" si="108"/>
        <v>0</v>
      </c>
      <c r="T739" s="3">
        <f t="shared" si="100"/>
        <v>16844.79</v>
      </c>
      <c r="U739" s="24"/>
      <c r="V739" s="24"/>
      <c r="W739" s="3"/>
      <c r="X739" s="25"/>
      <c r="Y739" s="25"/>
      <c r="Z739" s="25"/>
      <c r="AA739" s="25"/>
      <c r="AB739" s="25"/>
      <c r="AC739" s="3" t="str">
        <f>IF(Caja_Finanzas[[#This Row],[FECHA]]&gt;0,TEXT(Caja_Finanzas[[#This Row],[FECHA]],"mmmm"),0)</f>
        <v>Agosto</v>
      </c>
    </row>
    <row r="740" spans="2:29" ht="24" x14ac:dyDescent="0.3">
      <c r="B740" s="2">
        <f>IF(Caja_Finanzas[[#This Row],[TIPO DE R.]]="R",COUNTIFS($D$4:$D739,"R")+1,"")</f>
        <v>656</v>
      </c>
      <c r="C740" s="19" t="str">
        <f t="shared" si="105"/>
        <v>C-Finanzas</v>
      </c>
      <c r="D740" s="3" t="s">
        <v>1074</v>
      </c>
      <c r="E740" s="14">
        <v>45887</v>
      </c>
      <c r="F740" s="5" t="s">
        <v>6264</v>
      </c>
      <c r="G740" s="5" t="s">
        <v>1087</v>
      </c>
      <c r="H740" s="5"/>
      <c r="I740" s="6"/>
      <c r="J740" s="6" t="s">
        <v>63</v>
      </c>
      <c r="K740" s="6">
        <v>1</v>
      </c>
      <c r="L740" s="6">
        <v>4672</v>
      </c>
      <c r="M740" s="7" t="s">
        <v>5156</v>
      </c>
      <c r="N740" s="8" t="str">
        <f>"CFI"&amp;".D"&amp;TEXT(Caja_Finanzas[[#This Row],[FECHA]],"DD-MM")&amp;"-"&amp;TEXT(Caja_Finanzas[[#This Row],[ITEM]],"0000")</f>
        <v>CFI.D18-08-0656</v>
      </c>
      <c r="O740" s="8" t="str">
        <f t="shared" si="106"/>
        <v>PEN</v>
      </c>
      <c r="P740" s="13"/>
      <c r="Q740" s="13">
        <v>600</v>
      </c>
      <c r="R740" s="3">
        <f t="shared" si="107"/>
        <v>600</v>
      </c>
      <c r="S740" s="3">
        <f t="shared" si="108"/>
        <v>0</v>
      </c>
      <c r="T740" s="3">
        <f t="shared" si="100"/>
        <v>17444.79</v>
      </c>
      <c r="U740" s="24"/>
      <c r="V740" s="24"/>
      <c r="W740" s="3"/>
      <c r="X740" s="25"/>
      <c r="Y740" s="25"/>
      <c r="Z740" s="25"/>
      <c r="AA740" s="25"/>
      <c r="AB740" s="25"/>
      <c r="AC740" s="3" t="str">
        <f>IF(Caja_Finanzas[[#This Row],[FECHA]]&gt;0,TEXT(Caja_Finanzas[[#This Row],[FECHA]],"mmmm"),0)</f>
        <v>Agosto</v>
      </c>
    </row>
    <row r="741" spans="2:29" ht="24" x14ac:dyDescent="0.3">
      <c r="B741" s="2">
        <f>IF(Caja_Finanzas[[#This Row],[TIPO DE R.]]="R",COUNTIFS($D$4:$D740,"R")+1,"")</f>
        <v>657</v>
      </c>
      <c r="C741" s="19" t="str">
        <f t="shared" ref="C741:C748" si="109">"C-Finanzas"</f>
        <v>C-Finanzas</v>
      </c>
      <c r="D741" s="3" t="s">
        <v>1074</v>
      </c>
      <c r="E741" s="14">
        <v>45889</v>
      </c>
      <c r="F741" s="5" t="s">
        <v>1745</v>
      </c>
      <c r="G741" s="5" t="s">
        <v>1087</v>
      </c>
      <c r="H741" s="5"/>
      <c r="I741" s="129"/>
      <c r="J741" s="6" t="s">
        <v>63</v>
      </c>
      <c r="K741" s="6">
        <v>1</v>
      </c>
      <c r="L741" s="6">
        <v>4675</v>
      </c>
      <c r="M741" s="7" t="s">
        <v>5156</v>
      </c>
      <c r="N741" s="8" t="str">
        <f>"CFI"&amp;".D"&amp;TEXT(Caja_Finanzas[[#This Row],[FECHA]],"DD-MM")&amp;"-"&amp;TEXT(Caja_Finanzas[[#This Row],[ITEM]],"0000")</f>
        <v>CFI.D20-08-0657</v>
      </c>
      <c r="O741" s="8" t="str">
        <f t="shared" ref="O741:O748" si="110">"PEN"</f>
        <v>PEN</v>
      </c>
      <c r="P741" s="13"/>
      <c r="Q741" s="13">
        <v>1000</v>
      </c>
      <c r="R741" s="3">
        <f t="shared" ref="R741:R748" si="111">+IF(OR($G741="SALDO",$G741="INGRESO"),$Q741,0)</f>
        <v>1000</v>
      </c>
      <c r="S741" s="3">
        <f t="shared" ref="S741:S748" si="112">+IF($G741="EGRESO",$Q741,0)</f>
        <v>0</v>
      </c>
      <c r="T741" s="3">
        <f t="shared" si="100"/>
        <v>18444.79</v>
      </c>
      <c r="U741" s="24"/>
      <c r="V741" s="24"/>
      <c r="W741" s="3"/>
      <c r="X741" s="25"/>
      <c r="Y741" s="25"/>
      <c r="Z741" s="25"/>
      <c r="AA741" s="25"/>
      <c r="AB741" s="25"/>
      <c r="AC741" s="3" t="str">
        <f>IF(Caja_Finanzas[[#This Row],[FECHA]]&gt;0,TEXT(Caja_Finanzas[[#This Row],[FECHA]],"mmmm"),0)</f>
        <v>Agosto</v>
      </c>
    </row>
    <row r="742" spans="2:29" ht="24" x14ac:dyDescent="0.3">
      <c r="B742" s="2">
        <f>IF(Caja_Finanzas[[#This Row],[TIPO DE R.]]="R",COUNTIFS($D$4:$D741,"R")+1,"")</f>
        <v>658</v>
      </c>
      <c r="C742" s="19" t="str">
        <f t="shared" si="109"/>
        <v>C-Finanzas</v>
      </c>
      <c r="D742" s="3" t="s">
        <v>1074</v>
      </c>
      <c r="E742" s="14">
        <v>45889</v>
      </c>
      <c r="F742" s="5" t="s">
        <v>2100</v>
      </c>
      <c r="G742" s="5" t="s">
        <v>1087</v>
      </c>
      <c r="H742" s="5"/>
      <c r="I742" s="129"/>
      <c r="J742" s="6" t="s">
        <v>63</v>
      </c>
      <c r="K742" s="6">
        <v>1</v>
      </c>
      <c r="L742" s="6">
        <v>4685</v>
      </c>
      <c r="M742" s="7" t="s">
        <v>5156</v>
      </c>
      <c r="N742" s="8" t="str">
        <f>"CFI"&amp;".D"&amp;TEXT(Caja_Finanzas[[#This Row],[FECHA]],"DD-MM")&amp;"-"&amp;TEXT(Caja_Finanzas[[#This Row],[ITEM]],"0000")</f>
        <v>CFI.D20-08-0658</v>
      </c>
      <c r="O742" s="8" t="str">
        <f t="shared" si="110"/>
        <v>PEN</v>
      </c>
      <c r="P742" s="13"/>
      <c r="Q742" s="13">
        <v>856</v>
      </c>
      <c r="R742" s="3">
        <f t="shared" si="111"/>
        <v>856</v>
      </c>
      <c r="S742" s="3">
        <f t="shared" si="112"/>
        <v>0</v>
      </c>
      <c r="T742" s="3">
        <f t="shared" si="100"/>
        <v>19300.79</v>
      </c>
      <c r="U742" s="24"/>
      <c r="V742" s="24"/>
      <c r="W742" s="3"/>
      <c r="X742" s="25"/>
      <c r="Y742" s="25"/>
      <c r="Z742" s="25"/>
      <c r="AA742" s="25"/>
      <c r="AB742" s="25"/>
      <c r="AC742" s="3" t="str">
        <f>IF(Caja_Finanzas[[#This Row],[FECHA]]&gt;0,TEXT(Caja_Finanzas[[#This Row],[FECHA]],"mmmm"),0)</f>
        <v>Agosto</v>
      </c>
    </row>
    <row r="743" spans="2:29" ht="24" x14ac:dyDescent="0.3">
      <c r="B743" s="2">
        <f>IF(Caja_Finanzas[[#This Row],[TIPO DE R.]]="R",COUNTIFS($D$4:$D742,"R")+1,"")</f>
        <v>659</v>
      </c>
      <c r="C743" s="19" t="str">
        <f t="shared" si="109"/>
        <v>C-Finanzas</v>
      </c>
      <c r="D743" s="3" t="s">
        <v>1074</v>
      </c>
      <c r="E743" s="14">
        <v>45889</v>
      </c>
      <c r="F743" s="5" t="s">
        <v>2134</v>
      </c>
      <c r="G743" s="5" t="s">
        <v>1087</v>
      </c>
      <c r="H743" s="5"/>
      <c r="I743" s="129"/>
      <c r="J743" s="6" t="s">
        <v>63</v>
      </c>
      <c r="K743" s="6">
        <v>1</v>
      </c>
      <c r="L743" s="6">
        <v>4682</v>
      </c>
      <c r="M743" s="7" t="s">
        <v>5156</v>
      </c>
      <c r="N743" s="8" t="str">
        <f>"CFI"&amp;".D"&amp;TEXT(Caja_Finanzas[[#This Row],[FECHA]],"DD-MM")&amp;"-"&amp;TEXT(Caja_Finanzas[[#This Row],[ITEM]],"0000")</f>
        <v>CFI.D20-08-0659</v>
      </c>
      <c r="O743" s="8" t="str">
        <f t="shared" si="110"/>
        <v>PEN</v>
      </c>
      <c r="P743" s="13"/>
      <c r="Q743" s="13">
        <v>440</v>
      </c>
      <c r="R743" s="3">
        <f t="shared" si="111"/>
        <v>440</v>
      </c>
      <c r="S743" s="3">
        <f t="shared" si="112"/>
        <v>0</v>
      </c>
      <c r="T743" s="3">
        <f t="shared" si="100"/>
        <v>19740.79</v>
      </c>
      <c r="U743" s="24"/>
      <c r="V743" s="24"/>
      <c r="W743" s="3"/>
      <c r="X743" s="25"/>
      <c r="Y743" s="25"/>
      <c r="Z743" s="25"/>
      <c r="AA743" s="25"/>
      <c r="AB743" s="25"/>
      <c r="AC743" s="3" t="str">
        <f>IF(Caja_Finanzas[[#This Row],[FECHA]]&gt;0,TEXT(Caja_Finanzas[[#This Row],[FECHA]],"mmmm"),0)</f>
        <v>Agosto</v>
      </c>
    </row>
    <row r="744" spans="2:29" ht="24" x14ac:dyDescent="0.3">
      <c r="B744" s="2">
        <f>IF(Caja_Finanzas[[#This Row],[TIPO DE R.]]="R",COUNTIFS($D$4:$D743,"R")+1,"")</f>
        <v>660</v>
      </c>
      <c r="C744" s="19" t="str">
        <f t="shared" si="109"/>
        <v>C-Finanzas</v>
      </c>
      <c r="D744" s="3" t="s">
        <v>1074</v>
      </c>
      <c r="E744" s="14">
        <v>45889</v>
      </c>
      <c r="F744" s="5" t="s">
        <v>2100</v>
      </c>
      <c r="G744" s="5" t="s">
        <v>1087</v>
      </c>
      <c r="H744" s="5"/>
      <c r="I744" s="129"/>
      <c r="J744" s="6" t="s">
        <v>63</v>
      </c>
      <c r="K744" s="6">
        <v>1</v>
      </c>
      <c r="L744" s="6">
        <v>4686</v>
      </c>
      <c r="M744" s="7" t="s">
        <v>5156</v>
      </c>
      <c r="N744" s="8" t="str">
        <f>"CFI"&amp;".D"&amp;TEXT(Caja_Finanzas[[#This Row],[FECHA]],"DD-MM")&amp;"-"&amp;TEXT(Caja_Finanzas[[#This Row],[ITEM]],"0000")</f>
        <v>CFI.D20-08-0660</v>
      </c>
      <c r="O744" s="8" t="str">
        <f t="shared" si="110"/>
        <v>PEN</v>
      </c>
      <c r="P744" s="13"/>
      <c r="Q744" s="13">
        <v>544</v>
      </c>
      <c r="R744" s="3">
        <f t="shared" si="111"/>
        <v>544</v>
      </c>
      <c r="S744" s="3">
        <f t="shared" si="112"/>
        <v>0</v>
      </c>
      <c r="T744" s="3">
        <f t="shared" si="100"/>
        <v>20284.79</v>
      </c>
      <c r="U744" s="24"/>
      <c r="V744" s="24"/>
      <c r="W744" s="3"/>
      <c r="X744" s="25"/>
      <c r="Y744" s="25"/>
      <c r="Z744" s="25"/>
      <c r="AA744" s="25"/>
      <c r="AB744" s="25"/>
      <c r="AC744" s="3" t="str">
        <f>IF(Caja_Finanzas[[#This Row],[FECHA]]&gt;0,TEXT(Caja_Finanzas[[#This Row],[FECHA]],"mmmm"),0)</f>
        <v>Agosto</v>
      </c>
    </row>
    <row r="745" spans="2:29" ht="24" x14ac:dyDescent="0.3">
      <c r="B745" s="2">
        <f>IF(Caja_Finanzas[[#This Row],[TIPO DE R.]]="R",COUNTIFS($D$4:$D744,"R")+1,"")</f>
        <v>661</v>
      </c>
      <c r="C745" s="19" t="str">
        <f t="shared" si="109"/>
        <v>C-Finanzas</v>
      </c>
      <c r="D745" s="3" t="s">
        <v>1074</v>
      </c>
      <c r="E745" s="14">
        <v>45889</v>
      </c>
      <c r="F745" s="5" t="s">
        <v>5457</v>
      </c>
      <c r="G745" s="5" t="s">
        <v>1079</v>
      </c>
      <c r="H745" s="5"/>
      <c r="I745" s="129"/>
      <c r="J745" s="6" t="s">
        <v>59</v>
      </c>
      <c r="K745" s="6" t="s">
        <v>6169</v>
      </c>
      <c r="L745" s="6">
        <v>143</v>
      </c>
      <c r="M745" s="7" t="s">
        <v>6265</v>
      </c>
      <c r="N745" s="8" t="str">
        <f>"CFI"&amp;".D"&amp;TEXT(Caja_Finanzas[[#This Row],[FECHA]],"DD-MM")&amp;"-"&amp;TEXT(Caja_Finanzas[[#This Row],[ITEM]],"0000")</f>
        <v>CFI.D20-08-0661</v>
      </c>
      <c r="O745" s="8" t="str">
        <f t="shared" si="110"/>
        <v>PEN</v>
      </c>
      <c r="P745" s="13"/>
      <c r="Q745" s="13">
        <v>45</v>
      </c>
      <c r="R745" s="3">
        <f t="shared" si="111"/>
        <v>0</v>
      </c>
      <c r="S745" s="3">
        <f t="shared" si="112"/>
        <v>45</v>
      </c>
      <c r="T745" s="3">
        <f t="shared" si="100"/>
        <v>20239.79</v>
      </c>
      <c r="U745" s="24"/>
      <c r="V745" s="24"/>
      <c r="W745" s="3"/>
      <c r="X745" s="25"/>
      <c r="Y745" s="25"/>
      <c r="Z745" s="25"/>
      <c r="AA745" s="25"/>
      <c r="AB745" s="25"/>
      <c r="AC745" s="3" t="str">
        <f>IF(Caja_Finanzas[[#This Row],[FECHA]]&gt;0,TEXT(Caja_Finanzas[[#This Row],[FECHA]],"mmmm"),0)</f>
        <v>Agosto</v>
      </c>
    </row>
    <row r="746" spans="2:29" ht="24" x14ac:dyDescent="0.3">
      <c r="B746" s="2">
        <f>IF(Caja_Finanzas[[#This Row],[TIPO DE R.]]="R",COUNTIFS($D$4:$D745,"R")+1,"")</f>
        <v>662</v>
      </c>
      <c r="C746" s="19" t="str">
        <f t="shared" si="109"/>
        <v>C-Finanzas</v>
      </c>
      <c r="D746" s="3" t="s">
        <v>1074</v>
      </c>
      <c r="E746" s="14">
        <v>45890</v>
      </c>
      <c r="F746" s="5" t="s">
        <v>252</v>
      </c>
      <c r="G746" s="5" t="s">
        <v>1087</v>
      </c>
      <c r="H746" s="5"/>
      <c r="I746" s="129"/>
      <c r="J746" s="6" t="s">
        <v>63</v>
      </c>
      <c r="K746" s="6">
        <v>1</v>
      </c>
      <c r="L746" s="6">
        <v>4688</v>
      </c>
      <c r="M746" s="7" t="s">
        <v>5156</v>
      </c>
      <c r="N746" s="8" t="str">
        <f>"CFI"&amp;".D"&amp;TEXT(Caja_Finanzas[[#This Row],[FECHA]],"DD-MM")&amp;"-"&amp;TEXT(Caja_Finanzas[[#This Row],[ITEM]],"0000")</f>
        <v>CFI.D21-08-0662</v>
      </c>
      <c r="O746" s="8" t="str">
        <f t="shared" si="110"/>
        <v>PEN</v>
      </c>
      <c r="P746" s="13"/>
      <c r="Q746" s="13">
        <v>5500</v>
      </c>
      <c r="R746" s="3">
        <f t="shared" si="111"/>
        <v>5500</v>
      </c>
      <c r="S746" s="3">
        <f t="shared" si="112"/>
        <v>0</v>
      </c>
      <c r="T746" s="3">
        <f t="shared" si="100"/>
        <v>25739.79</v>
      </c>
      <c r="U746" s="24"/>
      <c r="V746" s="24"/>
      <c r="W746" s="3"/>
      <c r="X746" s="25"/>
      <c r="Y746" s="25"/>
      <c r="Z746" s="25"/>
      <c r="AA746" s="25"/>
      <c r="AB746" s="25"/>
      <c r="AC746" s="3" t="str">
        <f>IF(Caja_Finanzas[[#This Row],[FECHA]]&gt;0,TEXT(Caja_Finanzas[[#This Row],[FECHA]],"mmmm"),0)</f>
        <v>Agosto</v>
      </c>
    </row>
    <row r="747" spans="2:29" ht="24" x14ac:dyDescent="0.3">
      <c r="B747" s="2">
        <f>IF(Caja_Finanzas[[#This Row],[TIPO DE R.]]="R",COUNTIFS($D$4:$D746,"R")+1,"")</f>
        <v>663</v>
      </c>
      <c r="C747" s="19" t="str">
        <f t="shared" si="109"/>
        <v>C-Finanzas</v>
      </c>
      <c r="D747" s="3" t="s">
        <v>1074</v>
      </c>
      <c r="E747" s="14">
        <v>45890</v>
      </c>
      <c r="F747" s="5" t="s">
        <v>2226</v>
      </c>
      <c r="G747" s="5" t="s">
        <v>1087</v>
      </c>
      <c r="H747" s="5"/>
      <c r="I747" s="129"/>
      <c r="J747" s="6" t="s">
        <v>63</v>
      </c>
      <c r="K747" s="6">
        <v>1</v>
      </c>
      <c r="L747" s="6">
        <v>4690</v>
      </c>
      <c r="M747" s="7" t="s">
        <v>5156</v>
      </c>
      <c r="N747" s="8" t="str">
        <f>"CFI"&amp;".D"&amp;TEXT(Caja_Finanzas[[#This Row],[FECHA]],"DD-MM")&amp;"-"&amp;TEXT(Caja_Finanzas[[#This Row],[ITEM]],"0000")</f>
        <v>CFI.D21-08-0663</v>
      </c>
      <c r="O747" s="8" t="str">
        <f t="shared" si="110"/>
        <v>PEN</v>
      </c>
      <c r="P747" s="13"/>
      <c r="Q747" s="13">
        <v>1150</v>
      </c>
      <c r="R747" s="3">
        <f t="shared" si="111"/>
        <v>1150</v>
      </c>
      <c r="S747" s="3">
        <f t="shared" si="112"/>
        <v>0</v>
      </c>
      <c r="T747" s="3">
        <f t="shared" si="100"/>
        <v>26889.79</v>
      </c>
      <c r="U747" s="24"/>
      <c r="V747" s="24"/>
      <c r="W747" s="3"/>
      <c r="X747" s="25"/>
      <c r="Y747" s="25"/>
      <c r="Z747" s="25"/>
      <c r="AA747" s="25"/>
      <c r="AB747" s="25"/>
      <c r="AC747" s="3" t="str">
        <f>IF(Caja_Finanzas[[#This Row],[FECHA]]&gt;0,TEXT(Caja_Finanzas[[#This Row],[FECHA]],"mmmm"),0)</f>
        <v>Agosto</v>
      </c>
    </row>
    <row r="748" spans="2:29" ht="24" x14ac:dyDescent="0.3">
      <c r="B748" s="2">
        <f>IF(Caja_Finanzas[[#This Row],[TIPO DE R.]]="R",COUNTIFS($D$4:$D747,"R")+1,"")</f>
        <v>664</v>
      </c>
      <c r="C748" s="19" t="str">
        <f t="shared" si="109"/>
        <v>C-Finanzas</v>
      </c>
      <c r="D748" s="3" t="s">
        <v>1074</v>
      </c>
      <c r="E748" s="14">
        <v>45890</v>
      </c>
      <c r="F748" s="5" t="s">
        <v>6264</v>
      </c>
      <c r="G748" s="5" t="s">
        <v>1087</v>
      </c>
      <c r="H748" s="5"/>
      <c r="I748" s="129"/>
      <c r="J748" s="6" t="s">
        <v>63</v>
      </c>
      <c r="K748" s="6">
        <v>1</v>
      </c>
      <c r="L748" s="6">
        <v>4692</v>
      </c>
      <c r="M748" s="7" t="s">
        <v>5156</v>
      </c>
      <c r="N748" s="8" t="str">
        <f>"CFI"&amp;".D"&amp;TEXT(Caja_Finanzas[[#This Row],[FECHA]],"DD-MM")&amp;"-"&amp;TEXT(Caja_Finanzas[[#This Row],[ITEM]],"0000")</f>
        <v>CFI.D21-08-0664</v>
      </c>
      <c r="O748" s="8" t="str">
        <f t="shared" si="110"/>
        <v>PEN</v>
      </c>
      <c r="P748" s="13"/>
      <c r="Q748" s="13">
        <v>600</v>
      </c>
      <c r="R748" s="3">
        <f t="shared" si="111"/>
        <v>600</v>
      </c>
      <c r="S748" s="3">
        <f t="shared" si="112"/>
        <v>0</v>
      </c>
      <c r="T748" s="3">
        <f t="shared" si="100"/>
        <v>27489.79</v>
      </c>
      <c r="U748" s="24"/>
      <c r="V748" s="24"/>
      <c r="W748" s="3"/>
      <c r="X748" s="25"/>
      <c r="Y748" s="25"/>
      <c r="Z748" s="25"/>
      <c r="AA748" s="25"/>
      <c r="AB748" s="25"/>
      <c r="AC748" s="3" t="str">
        <f>IF(Caja_Finanzas[[#This Row],[FECHA]]&gt;0,TEXT(Caja_Finanzas[[#This Row],[FECHA]],"mmmm"),0)</f>
        <v>Agosto</v>
      </c>
    </row>
    <row r="749" spans="2:29" ht="24" x14ac:dyDescent="0.3">
      <c r="B749" s="2">
        <f>IF(Caja_Finanzas[[#This Row],[TIPO DE R.]]="R",COUNTIFS($D$4:$D748,"R")+1,"")</f>
        <v>665</v>
      </c>
      <c r="C749" s="19" t="str">
        <f>"C-Finanzas"</f>
        <v>C-Finanzas</v>
      </c>
      <c r="D749" s="3" t="s">
        <v>1074</v>
      </c>
      <c r="E749" s="14">
        <v>45891</v>
      </c>
      <c r="F749" s="5" t="s">
        <v>3396</v>
      </c>
      <c r="G749" s="5" t="s">
        <v>1087</v>
      </c>
      <c r="H749" s="5"/>
      <c r="I749" s="129"/>
      <c r="J749" s="6" t="s">
        <v>63</v>
      </c>
      <c r="K749" s="6">
        <v>3</v>
      </c>
      <c r="L749" s="6">
        <v>605</v>
      </c>
      <c r="M749" s="7" t="s">
        <v>6266</v>
      </c>
      <c r="N749" s="8" t="str">
        <f>"CFI"&amp;".D"&amp;TEXT(Caja_Finanzas[[#This Row],[FECHA]],"DD-MM")&amp;"-"&amp;TEXT(Caja_Finanzas[[#This Row],[ITEM]],"0000")</f>
        <v>CFI.D22-08-0665</v>
      </c>
      <c r="O749" s="8" t="str">
        <f>"PEN"</f>
        <v>PEN</v>
      </c>
      <c r="P749" s="13"/>
      <c r="Q749" s="13">
        <v>10</v>
      </c>
      <c r="R749" s="3">
        <f>+IF(OR($G749="SALDO",$G749="INGRESO"),$Q749,0)</f>
        <v>10</v>
      </c>
      <c r="S749" s="3">
        <f>+IF($G749="EGRESO",$Q749,0)</f>
        <v>0</v>
      </c>
      <c r="T749" s="3">
        <f t="shared" si="100"/>
        <v>27499.79</v>
      </c>
      <c r="U749" s="24"/>
      <c r="V749" s="24"/>
      <c r="W749" s="3"/>
      <c r="X749" s="25"/>
      <c r="Y749" s="25"/>
      <c r="Z749" s="25"/>
      <c r="AA749" s="25"/>
      <c r="AB749" s="25"/>
      <c r="AC749" s="3" t="str">
        <f>IF(Caja_Finanzas[[#This Row],[FECHA]]&gt;0,TEXT(Caja_Finanzas[[#This Row],[FECHA]],"mmmm"),0)</f>
        <v>Agosto</v>
      </c>
    </row>
    <row r="750" spans="2:29" ht="24" x14ac:dyDescent="0.3">
      <c r="B750" s="2">
        <f>IF(Caja_Finanzas[[#This Row],[TIPO DE R.]]="R",COUNTIFS($D$4:$D749,"R")+1,"")</f>
        <v>666</v>
      </c>
      <c r="C750" s="19" t="str">
        <f>"C-Finanzas"</f>
        <v>C-Finanzas</v>
      </c>
      <c r="D750" s="3" t="s">
        <v>1074</v>
      </c>
      <c r="E750" s="14">
        <v>45891</v>
      </c>
      <c r="F750" s="5" t="s">
        <v>6267</v>
      </c>
      <c r="G750" s="5" t="s">
        <v>1087</v>
      </c>
      <c r="H750" s="5"/>
      <c r="I750" s="129"/>
      <c r="J750" s="6" t="s">
        <v>63</v>
      </c>
      <c r="K750" s="6">
        <v>3</v>
      </c>
      <c r="L750" s="6">
        <v>614</v>
      </c>
      <c r="M750" s="7" t="s">
        <v>6266</v>
      </c>
      <c r="N750" s="8" t="str">
        <f>"CFI"&amp;".D"&amp;TEXT(Caja_Finanzas[[#This Row],[FECHA]],"DD-MM")&amp;"-"&amp;TEXT(Caja_Finanzas[[#This Row],[ITEM]],"0000")</f>
        <v>CFI.D22-08-0666</v>
      </c>
      <c r="O750" s="8" t="str">
        <f>"PEN"</f>
        <v>PEN</v>
      </c>
      <c r="P750" s="13"/>
      <c r="Q750" s="13">
        <v>360</v>
      </c>
      <c r="R750" s="3">
        <f>+IF(OR($G750="SALDO",$G750="INGRESO"),$Q750,0)</f>
        <v>360</v>
      </c>
      <c r="S750" s="3">
        <f>+IF($G750="EGRESO",$Q750,0)</f>
        <v>0</v>
      </c>
      <c r="T750" s="3">
        <f t="shared" si="100"/>
        <v>27859.79</v>
      </c>
      <c r="U750" s="24"/>
      <c r="V750" s="24"/>
      <c r="W750" s="3"/>
      <c r="X750" s="25"/>
      <c r="Y750" s="25"/>
      <c r="Z750" s="25"/>
      <c r="AA750" s="25"/>
      <c r="AB750" s="25"/>
      <c r="AC750" s="3" t="str">
        <f>IF(Caja_Finanzas[[#This Row],[FECHA]]&gt;0,TEXT(Caja_Finanzas[[#This Row],[FECHA]],"mmmm"),0)</f>
        <v>Agosto</v>
      </c>
    </row>
    <row r="751" spans="2:29" ht="24" x14ac:dyDescent="0.3">
      <c r="B751" s="2">
        <f>IF(Caja_Finanzas[[#This Row],[TIPO DE R.]]="R",COUNTIFS($D$4:$D750,"R")+1,"")</f>
        <v>667</v>
      </c>
      <c r="C751" s="19" t="str">
        <f>"C-Finanzas"</f>
        <v>C-Finanzas</v>
      </c>
      <c r="D751" s="3" t="s">
        <v>1074</v>
      </c>
      <c r="E751" s="14">
        <v>45891</v>
      </c>
      <c r="F751" s="5"/>
      <c r="G751" s="5" t="s">
        <v>1079</v>
      </c>
      <c r="H751" s="5"/>
      <c r="I751" s="129"/>
      <c r="J751" s="6"/>
      <c r="K751" s="6"/>
      <c r="L751" s="6"/>
      <c r="M751" s="7" t="s">
        <v>6268</v>
      </c>
      <c r="N751" s="8" t="str">
        <f>"CFI"&amp;".D"&amp;TEXT(Caja_Finanzas[[#This Row],[FECHA]],"DD-MM")&amp;"-"&amp;TEXT(Caja_Finanzas[[#This Row],[ITEM]],"0000")</f>
        <v>CFI.D22-08-0667</v>
      </c>
      <c r="O751" s="8" t="str">
        <f>"PEN"</f>
        <v>PEN</v>
      </c>
      <c r="P751" s="13"/>
      <c r="Q751" s="13">
        <v>300</v>
      </c>
      <c r="R751" s="3">
        <f>+IF(OR($G751="SALDO",$G751="INGRESO"),$Q751,0)</f>
        <v>0</v>
      </c>
      <c r="S751" s="3">
        <f>+IF($G751="EGRESO",$Q751,0)</f>
        <v>300</v>
      </c>
      <c r="T751" s="3">
        <f t="shared" si="100"/>
        <v>27559.79</v>
      </c>
      <c r="U751" s="24"/>
      <c r="V751" s="24"/>
      <c r="W751" s="3"/>
      <c r="X751" s="25"/>
      <c r="Y751" s="25"/>
      <c r="Z751" s="25"/>
      <c r="AA751" s="25"/>
      <c r="AB751" s="25"/>
      <c r="AC751" s="3" t="str">
        <f>IF(Caja_Finanzas[[#This Row],[FECHA]]&gt;0,TEXT(Caja_Finanzas[[#This Row],[FECHA]],"mmmm"),0)</f>
        <v>Agosto</v>
      </c>
    </row>
    <row r="752" spans="2:29" ht="24" x14ac:dyDescent="0.3">
      <c r="B752" s="2">
        <f>IF(Caja_Finanzas[[#This Row],[TIPO DE R.]]="R",COUNTIFS($D$4:$D751,"R")+1,"")</f>
        <v>668</v>
      </c>
      <c r="C752" s="19" t="str">
        <f>"C-Finanzas"</f>
        <v>C-Finanzas</v>
      </c>
      <c r="D752" s="3" t="s">
        <v>1074</v>
      </c>
      <c r="E752" s="14">
        <v>45891</v>
      </c>
      <c r="F752" s="5"/>
      <c r="G752" s="5" t="s">
        <v>1079</v>
      </c>
      <c r="H752" s="5"/>
      <c r="I752" s="129"/>
      <c r="J752" s="6"/>
      <c r="K752" s="6"/>
      <c r="L752" s="6"/>
      <c r="M752" s="7" t="s">
        <v>6269</v>
      </c>
      <c r="N752" s="8" t="str">
        <f>"CFI"&amp;".D"&amp;TEXT(Caja_Finanzas[[#This Row],[FECHA]],"DD-MM")&amp;"-"&amp;TEXT(Caja_Finanzas[[#This Row],[ITEM]],"0000")</f>
        <v>CFI.D22-08-0668</v>
      </c>
      <c r="O752" s="8" t="str">
        <f>"PEN"</f>
        <v>PEN</v>
      </c>
      <c r="P752" s="13"/>
      <c r="Q752" s="13">
        <v>30</v>
      </c>
      <c r="R752" s="3">
        <f>+IF(OR($G752="SALDO",$G752="INGRESO"),$Q752,0)</f>
        <v>0</v>
      </c>
      <c r="S752" s="3">
        <f>+IF($G752="EGRESO",$Q752,0)</f>
        <v>30</v>
      </c>
      <c r="T752" s="3">
        <f t="shared" si="100"/>
        <v>27529.79</v>
      </c>
      <c r="U752" s="24"/>
      <c r="V752" s="24"/>
      <c r="W752" s="3"/>
      <c r="X752" s="25"/>
      <c r="Y752" s="25"/>
      <c r="Z752" s="25"/>
      <c r="AA752" s="25"/>
      <c r="AB752" s="25"/>
      <c r="AC752" s="3" t="str">
        <f>IF(Caja_Finanzas[[#This Row],[FECHA]]&gt;0,TEXT(Caja_Finanzas[[#This Row],[FECHA]],"mmmm"),0)</f>
        <v>Agosto</v>
      </c>
    </row>
    <row r="753" spans="2:29" ht="24" x14ac:dyDescent="0.3">
      <c r="B753" s="2">
        <f>IF(Caja_Finanzas[[#This Row],[TIPO DE R.]]="R",COUNTIFS($D$4:$D752,"R")+1,"")</f>
        <v>669</v>
      </c>
      <c r="C753" s="19" t="str">
        <f t="shared" ref="C753:C756" si="113">"C-Finanzas"</f>
        <v>C-Finanzas</v>
      </c>
      <c r="D753" s="3" t="s">
        <v>1074</v>
      </c>
      <c r="E753" s="14">
        <v>45891</v>
      </c>
      <c r="F753" s="5" t="s">
        <v>6242</v>
      </c>
      <c r="G753" s="5" t="s">
        <v>1087</v>
      </c>
      <c r="H753" s="5"/>
      <c r="I753" s="129"/>
      <c r="J753" s="6" t="s">
        <v>63</v>
      </c>
      <c r="K753" s="6">
        <v>3</v>
      </c>
      <c r="L753" s="6">
        <v>632</v>
      </c>
      <c r="M753" s="7" t="s">
        <v>6237</v>
      </c>
      <c r="N753" s="8" t="str">
        <f>"CFI"&amp;".D"&amp;TEXT(Caja_Finanzas[[#This Row],[FECHA]],"DD-MM")&amp;"-"&amp;TEXT(Caja_Finanzas[[#This Row],[ITEM]],"0000")</f>
        <v>CFI.D22-08-0669</v>
      </c>
      <c r="O753" s="8" t="str">
        <f t="shared" ref="O753:O756" si="114">"PEN"</f>
        <v>PEN</v>
      </c>
      <c r="P753" s="13"/>
      <c r="Q753" s="13">
        <v>9.1</v>
      </c>
      <c r="R753" s="3">
        <f t="shared" ref="R753:R756" si="115">+IF(OR($G753="SALDO",$G753="INGRESO"),$Q753,0)</f>
        <v>9.1</v>
      </c>
      <c r="S753" s="3">
        <f t="shared" ref="S753:S756" si="116">+IF($G753="EGRESO",$Q753,0)</f>
        <v>0</v>
      </c>
      <c r="T753" s="3">
        <f t="shared" si="100"/>
        <v>27538.89</v>
      </c>
      <c r="U753" s="24"/>
      <c r="V753" s="24"/>
      <c r="W753" s="3"/>
      <c r="X753" s="25"/>
      <c r="Y753" s="25"/>
      <c r="Z753" s="25"/>
      <c r="AA753" s="25"/>
      <c r="AB753" s="25"/>
      <c r="AC753" s="3" t="str">
        <f>IF(Caja_Finanzas[[#This Row],[FECHA]]&gt;0,TEXT(Caja_Finanzas[[#This Row],[FECHA]],"mmmm"),0)</f>
        <v>Agosto</v>
      </c>
    </row>
    <row r="754" spans="2:29" ht="24" x14ac:dyDescent="0.3">
      <c r="B754" s="2">
        <f>IF(Caja_Finanzas[[#This Row],[TIPO DE R.]]="R",COUNTIFS($D$4:$D753,"R")+1,"")</f>
        <v>670</v>
      </c>
      <c r="C754" s="19" t="str">
        <f t="shared" si="113"/>
        <v>C-Finanzas</v>
      </c>
      <c r="D754" s="3" t="s">
        <v>1074</v>
      </c>
      <c r="E754" s="14">
        <v>45891</v>
      </c>
      <c r="F754" s="5" t="s">
        <v>6058</v>
      </c>
      <c r="G754" s="5" t="s">
        <v>1087</v>
      </c>
      <c r="H754" s="5"/>
      <c r="I754" s="129"/>
      <c r="J754" s="6" t="s">
        <v>63</v>
      </c>
      <c r="K754" s="6">
        <v>3</v>
      </c>
      <c r="L754" s="6">
        <v>633</v>
      </c>
      <c r="M754" s="7" t="s">
        <v>6237</v>
      </c>
      <c r="N754" s="8" t="str">
        <f>"CFI"&amp;".D"&amp;TEXT(Caja_Finanzas[[#This Row],[FECHA]],"DD-MM")&amp;"-"&amp;TEXT(Caja_Finanzas[[#This Row],[ITEM]],"0000")</f>
        <v>CFI.D22-08-0670</v>
      </c>
      <c r="O754" s="8" t="str">
        <f t="shared" si="114"/>
        <v>PEN</v>
      </c>
      <c r="P754" s="13"/>
      <c r="Q754" s="13">
        <v>196.8</v>
      </c>
      <c r="R754" s="3">
        <f t="shared" si="115"/>
        <v>196.8</v>
      </c>
      <c r="S754" s="3">
        <f t="shared" si="116"/>
        <v>0</v>
      </c>
      <c r="T754" s="3">
        <f t="shared" si="100"/>
        <v>27735.69</v>
      </c>
      <c r="U754" s="24"/>
      <c r="V754" s="24"/>
      <c r="W754" s="3"/>
      <c r="X754" s="25"/>
      <c r="Y754" s="25"/>
      <c r="Z754" s="25"/>
      <c r="AA754" s="25"/>
      <c r="AB754" s="25"/>
      <c r="AC754" s="3" t="str">
        <f>IF(Caja_Finanzas[[#This Row],[FECHA]]&gt;0,TEXT(Caja_Finanzas[[#This Row],[FECHA]],"mmmm"),0)</f>
        <v>Agosto</v>
      </c>
    </row>
    <row r="755" spans="2:29" ht="24" x14ac:dyDescent="0.3">
      <c r="B755" s="2">
        <f>IF(Caja_Finanzas[[#This Row],[TIPO DE R.]]="R",COUNTIFS($D$4:$D754,"R")+1,"")</f>
        <v>671</v>
      </c>
      <c r="C755" s="19" t="str">
        <f t="shared" si="113"/>
        <v>C-Finanzas</v>
      </c>
      <c r="D755" s="3" t="s">
        <v>1074</v>
      </c>
      <c r="E755" s="14">
        <v>45891</v>
      </c>
      <c r="F755" s="5" t="s">
        <v>3403</v>
      </c>
      <c r="G755" s="5" t="s">
        <v>1087</v>
      </c>
      <c r="H755" s="5"/>
      <c r="I755" s="129"/>
      <c r="J755" s="6" t="s">
        <v>63</v>
      </c>
      <c r="K755" s="6">
        <v>3</v>
      </c>
      <c r="L755" s="6">
        <v>634</v>
      </c>
      <c r="M755" s="7" t="s">
        <v>6237</v>
      </c>
      <c r="N755" s="8" t="str">
        <f>"CFI"&amp;".D"&amp;TEXT(Caja_Finanzas[[#This Row],[FECHA]],"DD-MM")&amp;"-"&amp;TEXT(Caja_Finanzas[[#This Row],[ITEM]],"0000")</f>
        <v>CFI.D22-08-0671</v>
      </c>
      <c r="O755" s="8" t="str">
        <f t="shared" si="114"/>
        <v>PEN</v>
      </c>
      <c r="P755" s="13"/>
      <c r="Q755" s="13">
        <v>1.1000000000000001</v>
      </c>
      <c r="R755" s="3">
        <f t="shared" si="115"/>
        <v>1.1000000000000001</v>
      </c>
      <c r="S755" s="3">
        <f t="shared" si="116"/>
        <v>0</v>
      </c>
      <c r="T755" s="3">
        <f t="shared" si="100"/>
        <v>27736.789999999997</v>
      </c>
      <c r="U755" s="24"/>
      <c r="V755" s="24"/>
      <c r="W755" s="3"/>
      <c r="X755" s="25"/>
      <c r="Y755" s="25"/>
      <c r="Z755" s="25"/>
      <c r="AA755" s="25"/>
      <c r="AB755" s="25"/>
      <c r="AC755" s="3" t="str">
        <f>IF(Caja_Finanzas[[#This Row],[FECHA]]&gt;0,TEXT(Caja_Finanzas[[#This Row],[FECHA]],"mmmm"),0)</f>
        <v>Agosto</v>
      </c>
    </row>
    <row r="756" spans="2:29" ht="24" x14ac:dyDescent="0.3">
      <c r="B756" s="2">
        <f>IF(Caja_Finanzas[[#This Row],[TIPO DE R.]]="R",COUNTIFS($D$4:$D755,"R")+1,"")</f>
        <v>672</v>
      </c>
      <c r="C756" s="19" t="str">
        <f t="shared" si="113"/>
        <v>C-Finanzas</v>
      </c>
      <c r="D756" s="3" t="s">
        <v>1074</v>
      </c>
      <c r="E756" s="14">
        <v>45891</v>
      </c>
      <c r="F756" s="5" t="s">
        <v>3403</v>
      </c>
      <c r="G756" s="5" t="s">
        <v>1087</v>
      </c>
      <c r="H756" s="5"/>
      <c r="I756" s="129"/>
      <c r="J756" s="6" t="s">
        <v>63</v>
      </c>
      <c r="K756" s="6">
        <v>3</v>
      </c>
      <c r="L756" s="6">
        <v>635</v>
      </c>
      <c r="M756" s="7" t="s">
        <v>6237</v>
      </c>
      <c r="N756" s="8" t="str">
        <f>"CFI"&amp;".D"&amp;TEXT(Caja_Finanzas[[#This Row],[FECHA]],"DD-MM")&amp;"-"&amp;TEXT(Caja_Finanzas[[#This Row],[ITEM]],"0000")</f>
        <v>CFI.D22-08-0672</v>
      </c>
      <c r="O756" s="8" t="str">
        <f t="shared" si="114"/>
        <v>PEN</v>
      </c>
      <c r="P756" s="13"/>
      <c r="Q756" s="13">
        <v>83</v>
      </c>
      <c r="R756" s="3">
        <f t="shared" si="115"/>
        <v>83</v>
      </c>
      <c r="S756" s="3">
        <f t="shared" si="116"/>
        <v>0</v>
      </c>
      <c r="T756" s="3">
        <f t="shared" si="100"/>
        <v>27819.789999999997</v>
      </c>
      <c r="U756" s="24"/>
      <c r="V756" s="24"/>
      <c r="W756" s="3"/>
      <c r="X756" s="25"/>
      <c r="Y756" s="25"/>
      <c r="Z756" s="25"/>
      <c r="AA756" s="25"/>
      <c r="AB756" s="25"/>
      <c r="AC756" s="3" t="str">
        <f>IF(Caja_Finanzas[[#This Row],[FECHA]]&gt;0,TEXT(Caja_Finanzas[[#This Row],[FECHA]],"mmmm"),0)</f>
        <v>Agosto</v>
      </c>
    </row>
    <row r="757" spans="2:29" ht="24" x14ac:dyDescent="0.3">
      <c r="B757" s="2">
        <f>IF(Caja_Finanzas[[#This Row],[TIPO DE R.]]="R",COUNTIFS($D$4:$D756,"R")+1,"")</f>
        <v>673</v>
      </c>
      <c r="C757" s="19" t="str">
        <f t="shared" ref="C757:C758" si="117">"C-Finanzas"</f>
        <v>C-Finanzas</v>
      </c>
      <c r="D757" s="3" t="s">
        <v>1074</v>
      </c>
      <c r="E757" s="14">
        <v>45891</v>
      </c>
      <c r="F757" s="5"/>
      <c r="G757" s="5" t="s">
        <v>1079</v>
      </c>
      <c r="H757" s="5"/>
      <c r="I757" s="129"/>
      <c r="J757" s="6"/>
      <c r="K757" s="6"/>
      <c r="L757" s="6"/>
      <c r="M757" s="7" t="s">
        <v>6270</v>
      </c>
      <c r="N757" s="8" t="str">
        <f>"CFI"&amp;".D"&amp;TEXT(Caja_Finanzas[[#This Row],[FECHA]],"DD-MM")&amp;"-"&amp;TEXT(Caja_Finanzas[[#This Row],[ITEM]],"0000")</f>
        <v>CFI.D22-08-0673</v>
      </c>
      <c r="O757" s="8" t="str">
        <f t="shared" ref="O757:O758" si="118">"PEN"</f>
        <v>PEN</v>
      </c>
      <c r="P757" s="13"/>
      <c r="Q757" s="13">
        <v>200</v>
      </c>
      <c r="R757" s="3">
        <f t="shared" ref="R757:R758" si="119">+IF(OR($G757="SALDO",$G757="INGRESO"),$Q757,0)</f>
        <v>0</v>
      </c>
      <c r="S757" s="3">
        <f t="shared" ref="S757:S758" si="120">+IF($G757="EGRESO",$Q757,0)</f>
        <v>200</v>
      </c>
      <c r="T757" s="3">
        <f t="shared" si="100"/>
        <v>27619.789999999997</v>
      </c>
      <c r="U757" s="24"/>
      <c r="V757" s="24"/>
      <c r="W757" s="3"/>
      <c r="X757" s="25"/>
      <c r="Y757" s="25"/>
      <c r="Z757" s="25"/>
      <c r="AA757" s="25"/>
      <c r="AB757" s="25"/>
      <c r="AC757" s="3" t="str">
        <f>IF(Caja_Finanzas[[#This Row],[FECHA]]&gt;0,TEXT(Caja_Finanzas[[#This Row],[FECHA]],"mmmm"),0)</f>
        <v>Agosto</v>
      </c>
    </row>
    <row r="758" spans="2:29" ht="24" x14ac:dyDescent="0.3">
      <c r="B758" s="2">
        <f>IF(Caja_Finanzas[[#This Row],[TIPO DE R.]]="R",COUNTIFS($D$4:$D757,"R")+1,"")</f>
        <v>674</v>
      </c>
      <c r="C758" s="19" t="str">
        <f t="shared" si="117"/>
        <v>C-Finanzas</v>
      </c>
      <c r="D758" s="3" t="s">
        <v>1074</v>
      </c>
      <c r="E758" s="14">
        <v>45891</v>
      </c>
      <c r="F758" s="5"/>
      <c r="G758" s="5" t="s">
        <v>1079</v>
      </c>
      <c r="H758" s="5"/>
      <c r="I758" s="129"/>
      <c r="J758" s="6"/>
      <c r="K758" s="6"/>
      <c r="L758" s="6"/>
      <c r="M758" s="7" t="s">
        <v>6271</v>
      </c>
      <c r="N758" s="8" t="str">
        <f>"CFI"&amp;".D"&amp;TEXT(Caja_Finanzas[[#This Row],[FECHA]],"DD-MM")&amp;"-"&amp;TEXT(Caja_Finanzas[[#This Row],[ITEM]],"0000")</f>
        <v>CFI.D22-08-0674</v>
      </c>
      <c r="O758" s="8" t="str">
        <f t="shared" si="118"/>
        <v>PEN</v>
      </c>
      <c r="P758" s="13"/>
      <c r="Q758" s="13">
        <v>30</v>
      </c>
      <c r="R758" s="3">
        <f t="shared" si="119"/>
        <v>0</v>
      </c>
      <c r="S758" s="3">
        <f t="shared" si="120"/>
        <v>30</v>
      </c>
      <c r="T758" s="3">
        <f t="shared" si="100"/>
        <v>27589.789999999997</v>
      </c>
      <c r="U758" s="24"/>
      <c r="V758" s="24"/>
      <c r="W758" s="3"/>
      <c r="X758" s="25"/>
      <c r="Y758" s="25"/>
      <c r="Z758" s="25"/>
      <c r="AA758" s="25"/>
      <c r="AB758" s="25"/>
      <c r="AC758" s="3" t="str">
        <f>IF(Caja_Finanzas[[#This Row],[FECHA]]&gt;0,TEXT(Caja_Finanzas[[#This Row],[FECHA]],"mmmm"),0)</f>
        <v>Agosto</v>
      </c>
    </row>
    <row r="759" spans="2:29" ht="48" x14ac:dyDescent="0.3">
      <c r="B759" s="2">
        <f>IF(Caja_Finanzas[[#This Row],[TIPO DE R.]]="R",COUNTIFS($D$4:$D758,"R")+1,"")</f>
        <v>675</v>
      </c>
      <c r="C759" s="19" t="str">
        <f t="shared" ref="C759:C764" si="121">"C-Finanzas"</f>
        <v>C-Finanzas</v>
      </c>
      <c r="D759" s="3" t="s">
        <v>1074</v>
      </c>
      <c r="E759" s="14">
        <v>45891</v>
      </c>
      <c r="F759" s="5" t="s">
        <v>5338</v>
      </c>
      <c r="G759" s="5" t="s">
        <v>1079</v>
      </c>
      <c r="H759" s="5"/>
      <c r="I759" s="129"/>
      <c r="J759" s="6" t="s">
        <v>59</v>
      </c>
      <c r="K759" s="6" t="s">
        <v>6183</v>
      </c>
      <c r="L759" s="6">
        <v>129</v>
      </c>
      <c r="M759" s="7" t="s">
        <v>6272</v>
      </c>
      <c r="N759" s="8" t="str">
        <f>"CFI"&amp;".D"&amp;TEXT(Caja_Finanzas[[#This Row],[FECHA]],"DD-MM")&amp;"-"&amp;TEXT(Caja_Finanzas[[#This Row],[ITEM]],"0000")</f>
        <v>CFI.D22-08-0675</v>
      </c>
      <c r="O759" s="8" t="str">
        <f t="shared" ref="O759:O764" si="122">"PEN"</f>
        <v>PEN</v>
      </c>
      <c r="P759" s="13"/>
      <c r="Q759" s="13">
        <v>50</v>
      </c>
      <c r="R759" s="3">
        <f t="shared" ref="R759:R764" si="123">+IF(OR($G759="SALDO",$G759="INGRESO"),$Q759,0)</f>
        <v>0</v>
      </c>
      <c r="S759" s="3">
        <f t="shared" ref="S759:S764" si="124">+IF($G759="EGRESO",$Q759,0)</f>
        <v>50</v>
      </c>
      <c r="T759" s="3">
        <f t="shared" si="100"/>
        <v>27539.789999999997</v>
      </c>
      <c r="U759" s="24"/>
      <c r="V759" s="24"/>
      <c r="W759" s="3"/>
      <c r="X759" s="25"/>
      <c r="Y759" s="25"/>
      <c r="Z759" s="25"/>
      <c r="AA759" s="25"/>
      <c r="AB759" s="25"/>
      <c r="AC759" s="3" t="str">
        <f>IF(Caja_Finanzas[[#This Row],[FECHA]]&gt;0,TEXT(Caja_Finanzas[[#This Row],[FECHA]],"mmmm"),0)</f>
        <v>Agosto</v>
      </c>
    </row>
    <row r="760" spans="2:29" ht="24" x14ac:dyDescent="0.3">
      <c r="B760" s="2">
        <f>IF(Caja_Finanzas[[#This Row],[TIPO DE R.]]="R",COUNTIFS($D$4:$D759,"R")+1,"")</f>
        <v>676</v>
      </c>
      <c r="C760" s="19" t="str">
        <f t="shared" si="121"/>
        <v>C-Finanzas</v>
      </c>
      <c r="D760" s="3" t="s">
        <v>1074</v>
      </c>
      <c r="E760" s="14">
        <v>45894</v>
      </c>
      <c r="F760" s="5" t="s">
        <v>7911</v>
      </c>
      <c r="G760" s="5" t="s">
        <v>1087</v>
      </c>
      <c r="H760" s="5"/>
      <c r="I760" s="129"/>
      <c r="J760" s="6" t="s">
        <v>63</v>
      </c>
      <c r="K760" s="6">
        <v>1</v>
      </c>
      <c r="L760" s="6">
        <v>4697</v>
      </c>
      <c r="M760" s="7" t="s">
        <v>5156</v>
      </c>
      <c r="N760" s="8" t="str">
        <f>"CFI"&amp;".D"&amp;TEXT(Caja_Finanzas[[#This Row],[FECHA]],"DD-MM")&amp;"-"&amp;TEXT(Caja_Finanzas[[#This Row],[ITEM]],"0000")</f>
        <v>CFI.D25-08-0676</v>
      </c>
      <c r="O760" s="8" t="str">
        <f t="shared" si="122"/>
        <v>PEN</v>
      </c>
      <c r="P760" s="13"/>
      <c r="Q760" s="13">
        <v>55</v>
      </c>
      <c r="R760" s="3">
        <f t="shared" si="123"/>
        <v>55</v>
      </c>
      <c r="S760" s="3">
        <f t="shared" si="124"/>
        <v>0</v>
      </c>
      <c r="T760" s="3">
        <f t="shared" ref="T760:T767" si="125">IFERROR(IF(G760="SALDO",R760,T759+R760-S760),0)</f>
        <v>27594.789999999997</v>
      </c>
      <c r="U760" s="24"/>
      <c r="V760" s="24"/>
      <c r="W760" s="3"/>
      <c r="X760" s="25"/>
      <c r="Y760" s="25"/>
      <c r="Z760" s="25"/>
      <c r="AA760" s="25"/>
      <c r="AB760" s="25"/>
      <c r="AC760" s="3" t="str">
        <f>IF(Caja_Finanzas[[#This Row],[FECHA]]&gt;0,TEXT(Caja_Finanzas[[#This Row],[FECHA]],"mmmm"),0)</f>
        <v>Agosto</v>
      </c>
    </row>
    <row r="761" spans="2:29" ht="24" x14ac:dyDescent="0.3">
      <c r="B761" s="2">
        <f>IF(Caja_Finanzas[[#This Row],[TIPO DE R.]]="R",COUNTIFS($D$4:$D760,"R")+1,"")</f>
        <v>677</v>
      </c>
      <c r="C761" s="19" t="str">
        <f t="shared" si="121"/>
        <v>C-Finanzas</v>
      </c>
      <c r="D761" s="3" t="s">
        <v>1074</v>
      </c>
      <c r="E761" s="14">
        <v>45895</v>
      </c>
      <c r="F761" s="5" t="s">
        <v>5618</v>
      </c>
      <c r="G761" s="5" t="s">
        <v>1079</v>
      </c>
      <c r="H761" s="5"/>
      <c r="I761" s="129"/>
      <c r="J761" s="6" t="s">
        <v>59</v>
      </c>
      <c r="K761" s="6" t="s">
        <v>6169</v>
      </c>
      <c r="L761" s="6">
        <v>144</v>
      </c>
      <c r="M761" s="7" t="s">
        <v>6273</v>
      </c>
      <c r="N761" s="8" t="str">
        <f>"CFI"&amp;".D"&amp;TEXT(Caja_Finanzas[[#This Row],[FECHA]],"DD-MM")&amp;"-"&amp;TEXT(Caja_Finanzas[[#This Row],[ITEM]],"0000")</f>
        <v>CFI.D26-08-0677</v>
      </c>
      <c r="O761" s="8" t="str">
        <f t="shared" si="122"/>
        <v>PEN</v>
      </c>
      <c r="P761" s="13"/>
      <c r="Q761" s="13">
        <v>50</v>
      </c>
      <c r="R761" s="3">
        <f t="shared" si="123"/>
        <v>0</v>
      </c>
      <c r="S761" s="3">
        <f t="shared" si="124"/>
        <v>50</v>
      </c>
      <c r="T761" s="3">
        <f t="shared" si="125"/>
        <v>27544.789999999997</v>
      </c>
      <c r="U761" s="24"/>
      <c r="V761" s="24"/>
      <c r="W761" s="3"/>
      <c r="X761" s="25"/>
      <c r="Y761" s="25"/>
      <c r="Z761" s="25"/>
      <c r="AA761" s="25"/>
      <c r="AB761" s="25"/>
      <c r="AC761" s="3" t="str">
        <f>IF(Caja_Finanzas[[#This Row],[FECHA]]&gt;0,TEXT(Caja_Finanzas[[#This Row],[FECHA]],"mmmm"),0)</f>
        <v>Agosto</v>
      </c>
    </row>
    <row r="762" spans="2:29" ht="24" x14ac:dyDescent="0.3">
      <c r="B762" s="2">
        <f>IF(Caja_Finanzas[[#This Row],[TIPO DE R.]]="R",COUNTIFS($D$4:$D761,"R")+1,"")</f>
        <v>678</v>
      </c>
      <c r="C762" s="19" t="str">
        <f t="shared" si="121"/>
        <v>C-Finanzas</v>
      </c>
      <c r="D762" s="3" t="s">
        <v>1074</v>
      </c>
      <c r="E762" s="14">
        <v>45895</v>
      </c>
      <c r="F762" s="5" t="s">
        <v>5827</v>
      </c>
      <c r="G762" s="5" t="s">
        <v>1079</v>
      </c>
      <c r="H762" s="5"/>
      <c r="I762" s="129"/>
      <c r="J762" s="6" t="s">
        <v>59</v>
      </c>
      <c r="K762" s="6" t="s">
        <v>6166</v>
      </c>
      <c r="L762" s="6">
        <v>66</v>
      </c>
      <c r="M762" s="7" t="s">
        <v>6274</v>
      </c>
      <c r="N762" s="8" t="str">
        <f>"CFI"&amp;".D"&amp;TEXT(Caja_Finanzas[[#This Row],[FECHA]],"DD-MM")&amp;"-"&amp;TEXT(Caja_Finanzas[[#This Row],[ITEM]],"0000")</f>
        <v>CFI.D26-08-0678</v>
      </c>
      <c r="O762" s="8" t="str">
        <f t="shared" si="122"/>
        <v>PEN</v>
      </c>
      <c r="P762" s="13"/>
      <c r="Q762" s="13">
        <v>10</v>
      </c>
      <c r="R762" s="3">
        <f t="shared" si="123"/>
        <v>0</v>
      </c>
      <c r="S762" s="3">
        <f t="shared" si="124"/>
        <v>10</v>
      </c>
      <c r="T762" s="3">
        <f t="shared" si="125"/>
        <v>27534.789999999997</v>
      </c>
      <c r="U762" s="24"/>
      <c r="V762" s="24"/>
      <c r="W762" s="3"/>
      <c r="X762" s="25"/>
      <c r="Y762" s="25"/>
      <c r="Z762" s="25"/>
      <c r="AA762" s="25"/>
      <c r="AB762" s="25"/>
      <c r="AC762" s="3" t="str">
        <f>IF(Caja_Finanzas[[#This Row],[FECHA]]&gt;0,TEXT(Caja_Finanzas[[#This Row],[FECHA]],"mmmm"),0)</f>
        <v>Agosto</v>
      </c>
    </row>
    <row r="763" spans="2:29" ht="24" x14ac:dyDescent="0.3">
      <c r="B763" s="2">
        <f>IF(Caja_Finanzas[[#This Row],[TIPO DE R.]]="R",COUNTIFS($D$4:$D762,"R")+1,"")</f>
        <v>679</v>
      </c>
      <c r="C763" s="19" t="str">
        <f t="shared" si="121"/>
        <v>C-Finanzas</v>
      </c>
      <c r="D763" s="3" t="s">
        <v>1074</v>
      </c>
      <c r="E763" s="14">
        <v>45895</v>
      </c>
      <c r="F763" s="5" t="s">
        <v>5343</v>
      </c>
      <c r="G763" s="5" t="s">
        <v>1079</v>
      </c>
      <c r="H763" s="5"/>
      <c r="I763" s="129"/>
      <c r="J763" s="6" t="s">
        <v>59</v>
      </c>
      <c r="K763" s="6" t="s">
        <v>6174</v>
      </c>
      <c r="L763" s="6">
        <v>19</v>
      </c>
      <c r="M763" s="7" t="s">
        <v>7881</v>
      </c>
      <c r="N763" s="8" t="str">
        <f>"CFI"&amp;".D"&amp;TEXT(Caja_Finanzas[[#This Row],[FECHA]],"DD-MM")&amp;"-"&amp;TEXT(Caja_Finanzas[[#This Row],[ITEM]],"0000")</f>
        <v>CFI.D26-08-0679</v>
      </c>
      <c r="O763" s="8" t="str">
        <f t="shared" si="122"/>
        <v>PEN</v>
      </c>
      <c r="P763" s="13"/>
      <c r="Q763" s="13">
        <v>40</v>
      </c>
      <c r="R763" s="3">
        <f t="shared" si="123"/>
        <v>0</v>
      </c>
      <c r="S763" s="3">
        <f t="shared" si="124"/>
        <v>40</v>
      </c>
      <c r="T763" s="3">
        <f t="shared" si="125"/>
        <v>27494.789999999997</v>
      </c>
      <c r="U763" s="24"/>
      <c r="V763" s="24"/>
      <c r="W763" s="3"/>
      <c r="X763" s="25"/>
      <c r="Y763" s="25"/>
      <c r="Z763" s="25"/>
      <c r="AA763" s="25"/>
      <c r="AB763" s="25"/>
      <c r="AC763" s="3" t="str">
        <f>IF(Caja_Finanzas[[#This Row],[FECHA]]&gt;0,TEXT(Caja_Finanzas[[#This Row],[FECHA]],"mmmm"),0)</f>
        <v>Agosto</v>
      </c>
    </row>
    <row r="764" spans="2:29" ht="24" x14ac:dyDescent="0.3">
      <c r="B764" s="2">
        <f>IF(Caja_Finanzas[[#This Row],[TIPO DE R.]]="R",COUNTIFS($D$4:$D763,"R")+1,"")</f>
        <v>680</v>
      </c>
      <c r="C764" s="19" t="str">
        <f t="shared" si="121"/>
        <v>C-Finanzas</v>
      </c>
      <c r="D764" s="3" t="s">
        <v>1074</v>
      </c>
      <c r="E764" s="14">
        <v>45895</v>
      </c>
      <c r="F764" s="5" t="s">
        <v>2226</v>
      </c>
      <c r="G764" s="5" t="s">
        <v>1087</v>
      </c>
      <c r="H764" s="5"/>
      <c r="I764" s="129"/>
      <c r="J764" s="6" t="s">
        <v>63</v>
      </c>
      <c r="K764" s="6">
        <v>1</v>
      </c>
      <c r="L764" s="6">
        <v>4701</v>
      </c>
      <c r="M764" s="7" t="s">
        <v>5156</v>
      </c>
      <c r="N764" s="8" t="str">
        <f>"CFI"&amp;".D"&amp;TEXT(Caja_Finanzas[[#This Row],[FECHA]],"DD-MM")&amp;"-"&amp;TEXT(Caja_Finanzas[[#This Row],[ITEM]],"0000")</f>
        <v>CFI.D26-08-0680</v>
      </c>
      <c r="O764" s="8" t="str">
        <f t="shared" si="122"/>
        <v>PEN</v>
      </c>
      <c r="P764" s="13"/>
      <c r="Q764" s="13">
        <v>1230</v>
      </c>
      <c r="R764" s="3">
        <f t="shared" si="123"/>
        <v>1230</v>
      </c>
      <c r="S764" s="3">
        <f t="shared" si="124"/>
        <v>0</v>
      </c>
      <c r="T764" s="3">
        <f t="shared" si="125"/>
        <v>28724.789999999997</v>
      </c>
      <c r="U764" s="24"/>
      <c r="V764" s="24"/>
      <c r="W764" s="3"/>
      <c r="X764" s="25"/>
      <c r="Y764" s="25"/>
      <c r="Z764" s="25"/>
      <c r="AA764" s="25"/>
      <c r="AB764" s="25"/>
      <c r="AC764" s="3" t="str">
        <f>IF(Caja_Finanzas[[#This Row],[FECHA]]&gt;0,TEXT(Caja_Finanzas[[#This Row],[FECHA]],"mmmm"),0)</f>
        <v>Agosto</v>
      </c>
    </row>
    <row r="765" spans="2:29" ht="24" x14ac:dyDescent="0.3">
      <c r="B765" s="2">
        <f>IF(Caja_Finanzas[[#This Row],[TIPO DE R.]]="R",COUNTIFS($D$4:$D764,"R")+1,"")</f>
        <v>681</v>
      </c>
      <c r="C765" s="19" t="str">
        <f t="shared" ref="C765:C770" si="126">"C-Finanzas"</f>
        <v>C-Finanzas</v>
      </c>
      <c r="D765" s="3" t="s">
        <v>1074</v>
      </c>
      <c r="E765" s="14">
        <v>45896</v>
      </c>
      <c r="F765" s="5" t="s">
        <v>5457</v>
      </c>
      <c r="G765" s="5" t="s">
        <v>1079</v>
      </c>
      <c r="H765" s="5"/>
      <c r="I765" s="129"/>
      <c r="J765" s="6" t="s">
        <v>59</v>
      </c>
      <c r="K765" s="6" t="s">
        <v>6169</v>
      </c>
      <c r="L765" s="6">
        <v>145</v>
      </c>
      <c r="M765" s="7" t="s">
        <v>7944</v>
      </c>
      <c r="N765" s="8" t="str">
        <f>"CFI"&amp;".D"&amp;TEXT(Caja_Finanzas[[#This Row],[FECHA]],"DD-MM")&amp;"-"&amp;TEXT(Caja_Finanzas[[#This Row],[ITEM]],"0000")</f>
        <v>CFI.D27-08-0681</v>
      </c>
      <c r="O765" s="8" t="str">
        <f t="shared" ref="O765:O770" si="127">"PEN"</f>
        <v>PEN</v>
      </c>
      <c r="P765" s="13"/>
      <c r="Q765" s="13">
        <v>60</v>
      </c>
      <c r="R765" s="3">
        <f t="shared" ref="R765:R770" si="128">+IF(OR($G765="SALDO",$G765="INGRESO"),$Q765,0)</f>
        <v>0</v>
      </c>
      <c r="S765" s="3">
        <f t="shared" ref="S765:S770" si="129">+IF($G765="EGRESO",$Q765,0)</f>
        <v>60</v>
      </c>
      <c r="T765" s="3">
        <f t="shared" si="125"/>
        <v>28664.789999999997</v>
      </c>
      <c r="U765" s="24"/>
      <c r="V765" s="24"/>
      <c r="W765" s="3"/>
      <c r="X765" s="25"/>
      <c r="Y765" s="25"/>
      <c r="Z765" s="25"/>
      <c r="AA765" s="25"/>
      <c r="AB765" s="25"/>
      <c r="AC765" s="3" t="str">
        <f>IF(Caja_Finanzas[[#This Row],[FECHA]]&gt;0,TEXT(Caja_Finanzas[[#This Row],[FECHA]],"mmmm"),0)</f>
        <v>Agosto</v>
      </c>
    </row>
    <row r="766" spans="2:29" ht="24" x14ac:dyDescent="0.3">
      <c r="B766" s="195">
        <f>IF(Caja_Finanzas[[#This Row],[TIPO DE R.]]="R",COUNTIFS($D$4:$D765,"R")+1,"")</f>
        <v>682</v>
      </c>
      <c r="C766" s="19" t="str">
        <f t="shared" si="126"/>
        <v>C-Finanzas</v>
      </c>
      <c r="D766" s="3" t="s">
        <v>1074</v>
      </c>
      <c r="E766" s="196">
        <v>45896</v>
      </c>
      <c r="F766" s="5" t="s">
        <v>5295</v>
      </c>
      <c r="G766" s="197" t="s">
        <v>1079</v>
      </c>
      <c r="H766" s="5"/>
      <c r="I766" s="129"/>
      <c r="J766" s="6"/>
      <c r="K766" s="6"/>
      <c r="L766" s="6"/>
      <c r="M766" s="7" t="s">
        <v>7947</v>
      </c>
      <c r="N766" s="199" t="str">
        <f>"CFI"&amp;".D"&amp;TEXT(Caja_Finanzas[[#This Row],[FECHA]],"DD-MM")&amp;"-"&amp;TEXT(Caja_Finanzas[[#This Row],[ITEM]],"0000")</f>
        <v>CFI.D27-08-0682</v>
      </c>
      <c r="O766" s="199" t="str">
        <f t="shared" si="127"/>
        <v>PEN</v>
      </c>
      <c r="P766" s="13"/>
      <c r="Q766" s="200">
        <v>200</v>
      </c>
      <c r="R766" s="201">
        <f t="shared" si="128"/>
        <v>0</v>
      </c>
      <c r="S766" s="201">
        <f t="shared" si="129"/>
        <v>200</v>
      </c>
      <c r="T766" s="201">
        <f t="shared" si="125"/>
        <v>28464.789999999997</v>
      </c>
      <c r="U766" s="202"/>
      <c r="V766" s="202"/>
      <c r="W766" s="201"/>
      <c r="X766" s="25"/>
      <c r="Y766" s="25"/>
      <c r="Z766" s="25"/>
      <c r="AA766" s="25"/>
      <c r="AB766" s="25"/>
      <c r="AC766" s="201" t="str">
        <f>IF(Caja_Finanzas[[#This Row],[FECHA]]&gt;0,TEXT(Caja_Finanzas[[#This Row],[FECHA]],"mmmm"),0)</f>
        <v>Agosto</v>
      </c>
    </row>
    <row r="767" spans="2:29" ht="24" x14ac:dyDescent="0.3">
      <c r="B767" s="2">
        <f>IF(Caja_Finanzas[[#This Row],[TIPO DE R.]]="R",COUNTIFS($D$4:$D766,"R")+1,"")</f>
        <v>683</v>
      </c>
      <c r="C767" s="19" t="str">
        <f t="shared" si="126"/>
        <v>C-Finanzas</v>
      </c>
      <c r="D767" s="3" t="s">
        <v>1074</v>
      </c>
      <c r="E767" s="14">
        <v>45896</v>
      </c>
      <c r="F767" s="5" t="s">
        <v>3562</v>
      </c>
      <c r="G767" s="5" t="s">
        <v>1079</v>
      </c>
      <c r="H767" s="5"/>
      <c r="I767" s="129"/>
      <c r="J767" s="6" t="s">
        <v>59</v>
      </c>
      <c r="K767" s="6" t="s">
        <v>6186</v>
      </c>
      <c r="L767" s="6">
        <v>51</v>
      </c>
      <c r="M767" s="7" t="s">
        <v>7950</v>
      </c>
      <c r="N767" s="8" t="str">
        <f>"CFI"&amp;".D"&amp;TEXT(Caja_Finanzas[[#This Row],[FECHA]],"DD-MM")&amp;"-"&amp;TEXT(Caja_Finanzas[[#This Row],[ITEM]],"0000")</f>
        <v>CFI.D27-08-0683</v>
      </c>
      <c r="O767" s="8" t="str">
        <f t="shared" si="127"/>
        <v>PEN</v>
      </c>
      <c r="P767" s="13"/>
      <c r="Q767" s="13">
        <v>60</v>
      </c>
      <c r="R767" s="3">
        <f t="shared" si="128"/>
        <v>0</v>
      </c>
      <c r="S767" s="3">
        <f t="shared" si="129"/>
        <v>60</v>
      </c>
      <c r="T767" s="3">
        <f t="shared" si="125"/>
        <v>28404.789999999997</v>
      </c>
      <c r="U767" s="24"/>
      <c r="V767" s="24"/>
      <c r="W767" s="3"/>
      <c r="X767" s="25"/>
      <c r="Y767" s="25"/>
      <c r="Z767" s="25"/>
      <c r="AA767" s="25"/>
      <c r="AB767" s="25"/>
      <c r="AC767" s="3" t="str">
        <f>IF(Caja_Finanzas[[#This Row],[FECHA]]&gt;0,TEXT(Caja_Finanzas[[#This Row],[FECHA]],"mmmm"),0)</f>
        <v>Agosto</v>
      </c>
    </row>
    <row r="768" spans="2:29" ht="24" x14ac:dyDescent="0.3">
      <c r="B768" s="2">
        <f>IF(Caja_Finanzas[[#This Row],[TIPO DE R.]]="R",COUNTIFS($D$4:$D767,"R")+1,"")</f>
        <v>684</v>
      </c>
      <c r="C768" s="19" t="str">
        <f t="shared" si="126"/>
        <v>C-Finanzas</v>
      </c>
      <c r="D768" s="3" t="s">
        <v>1074</v>
      </c>
      <c r="E768" s="14">
        <v>45896</v>
      </c>
      <c r="F768" s="5" t="s">
        <v>5305</v>
      </c>
      <c r="G768" s="5" t="s">
        <v>1079</v>
      </c>
      <c r="H768" s="5"/>
      <c r="I768" s="129"/>
      <c r="J768" s="6"/>
      <c r="K768" s="6"/>
      <c r="L768" s="6"/>
      <c r="M768" s="7" t="s">
        <v>7970</v>
      </c>
      <c r="N768" s="8" t="str">
        <f>"CFI"&amp;".D"&amp;TEXT(Caja_Finanzas[[#This Row],[FECHA]],"DD-MM")&amp;"-"&amp;TEXT(Caja_Finanzas[[#This Row],[ITEM]],"0000")</f>
        <v>CFI.D27-08-0684</v>
      </c>
      <c r="O768" s="8" t="str">
        <f t="shared" si="127"/>
        <v>PEN</v>
      </c>
      <c r="P768" s="13"/>
      <c r="Q768" s="13">
        <v>8000</v>
      </c>
      <c r="R768" s="3">
        <f t="shared" si="128"/>
        <v>0</v>
      </c>
      <c r="S768" s="3">
        <f t="shared" si="129"/>
        <v>8000</v>
      </c>
      <c r="T768" s="3">
        <f>IFERROR(IF(G768="SALDO",R768,T767+R768-S768),0)</f>
        <v>20404.789999999997</v>
      </c>
      <c r="U768" s="24"/>
      <c r="V768" s="24"/>
      <c r="W768" s="3"/>
      <c r="X768" s="25"/>
      <c r="Y768" s="25"/>
      <c r="Z768" s="25"/>
      <c r="AA768" s="25"/>
      <c r="AB768" s="25"/>
      <c r="AC768" s="3" t="str">
        <f>IF(Caja_Finanzas[[#This Row],[FECHA]]&gt;0,TEXT(Caja_Finanzas[[#This Row],[FECHA]],"mmmm"),0)</f>
        <v>Agosto</v>
      </c>
    </row>
    <row r="769" spans="2:29" ht="24" x14ac:dyDescent="0.3">
      <c r="B769" s="2">
        <f>IF(Caja_Finanzas[[#This Row],[TIPO DE R.]]="R",COUNTIFS($D$4:$D768,"R")+1,"")</f>
        <v>685</v>
      </c>
      <c r="C769" s="19" t="str">
        <f t="shared" si="126"/>
        <v>C-Finanzas</v>
      </c>
      <c r="D769" s="3" t="s">
        <v>1074</v>
      </c>
      <c r="E769" s="14">
        <v>45898</v>
      </c>
      <c r="F769" s="5" t="s">
        <v>3562</v>
      </c>
      <c r="G769" s="5" t="s">
        <v>1087</v>
      </c>
      <c r="H769" s="5"/>
      <c r="I769" s="129"/>
      <c r="J769" s="6"/>
      <c r="K769" s="6"/>
      <c r="L769" s="6"/>
      <c r="M769" s="7" t="s">
        <v>7989</v>
      </c>
      <c r="N769" s="8" t="str">
        <f>"CFI"&amp;".D"&amp;TEXT(Caja_Finanzas[[#This Row],[FECHA]],"DD-MM")&amp;"-"&amp;TEXT(Caja_Finanzas[[#This Row],[ITEM]],"0000")</f>
        <v>CFI.D29-08-0685</v>
      </c>
      <c r="O769" s="8" t="str">
        <f t="shared" si="127"/>
        <v>PEN</v>
      </c>
      <c r="P769" s="13"/>
      <c r="Q769" s="13">
        <v>300</v>
      </c>
      <c r="R769" s="3">
        <f t="shared" si="128"/>
        <v>300</v>
      </c>
      <c r="S769" s="3">
        <f t="shared" si="129"/>
        <v>0</v>
      </c>
      <c r="T769" s="3">
        <f>IFERROR(IF(G769="SALDO",R769,T768+R769-S769),0)</f>
        <v>20704.789999999997</v>
      </c>
      <c r="U769" s="24"/>
      <c r="V769" s="24"/>
      <c r="W769" s="3"/>
      <c r="X769" s="25"/>
      <c r="Y769" s="25"/>
      <c r="Z769" s="25"/>
      <c r="AA769" s="25"/>
      <c r="AB769" s="25"/>
      <c r="AC769" s="3" t="str">
        <f>IF(Caja_Finanzas[[#This Row],[FECHA]]&gt;0,TEXT(Caja_Finanzas[[#This Row],[FECHA]],"mmmm"),0)</f>
        <v>Agosto</v>
      </c>
    </row>
    <row r="770" spans="2:29" x14ac:dyDescent="0.3">
      <c r="B770" s="2">
        <f>IF(Caja_Finanzas[[#This Row],[TIPO DE R.]]="R",COUNTIFS($D$4:$D769,"R")+1,"")</f>
        <v>686</v>
      </c>
      <c r="C770" s="19" t="str">
        <f t="shared" si="126"/>
        <v>C-Finanzas</v>
      </c>
      <c r="D770" s="3" t="s">
        <v>1074</v>
      </c>
      <c r="E770" s="14">
        <v>45898</v>
      </c>
      <c r="F770" s="5" t="s">
        <v>3562</v>
      </c>
      <c r="G770" s="5" t="s">
        <v>1079</v>
      </c>
      <c r="H770" s="5"/>
      <c r="I770" s="129"/>
      <c r="J770" s="6"/>
      <c r="K770" s="6"/>
      <c r="L770" s="6"/>
      <c r="M770" s="7" t="s">
        <v>7987</v>
      </c>
      <c r="N770" s="8" t="str">
        <f>"CFI"&amp;".D"&amp;TEXT(Caja_Finanzas[[#This Row],[FECHA]],"DD-MM")&amp;"-"&amp;TEXT(Caja_Finanzas[[#This Row],[ITEM]],"0000")</f>
        <v>CFI.D29-08-0686</v>
      </c>
      <c r="O770" s="8" t="str">
        <f t="shared" si="127"/>
        <v>PEN</v>
      </c>
      <c r="P770" s="13"/>
      <c r="Q770" s="13">
        <v>17440</v>
      </c>
      <c r="R770" s="3">
        <f t="shared" si="128"/>
        <v>0</v>
      </c>
      <c r="S770" s="3">
        <f t="shared" si="129"/>
        <v>17440</v>
      </c>
      <c r="T770" s="3">
        <f>IFERROR(IF(G770="SALDO",R770,T769+R770-S770),0)</f>
        <v>3264.7899999999972</v>
      </c>
      <c r="U770" s="24"/>
      <c r="V770" s="24"/>
      <c r="W770" s="3"/>
      <c r="X770" s="25"/>
      <c r="Y770" s="25"/>
      <c r="Z770" s="25"/>
      <c r="AA770" s="25"/>
      <c r="AB770" s="25"/>
      <c r="AC770" s="3" t="str">
        <f>IF(Caja_Finanzas[[#This Row],[FECHA]]&gt;0,TEXT(Caja_Finanzas[[#This Row],[FECHA]],"mmmm"),0)</f>
        <v>Agosto</v>
      </c>
    </row>
    <row r="771" spans="2:29" x14ac:dyDescent="0.3">
      <c r="B771" s="2"/>
      <c r="C771" s="19"/>
      <c r="D771" s="3"/>
      <c r="E771" s="14"/>
      <c r="F771" s="5"/>
      <c r="G771" s="5"/>
      <c r="H771" s="5"/>
      <c r="I771" s="129"/>
      <c r="J771" s="6"/>
      <c r="K771" s="6"/>
      <c r="L771" s="6"/>
      <c r="M771" s="7"/>
      <c r="N771" s="8"/>
      <c r="O771" s="8"/>
      <c r="P771" s="13"/>
      <c r="Q771" s="13"/>
      <c r="R771" s="3"/>
      <c r="S771" s="3"/>
      <c r="T771" s="3"/>
      <c r="U771" s="24"/>
      <c r="V771" s="24"/>
      <c r="W771" s="3"/>
      <c r="X771" s="25"/>
      <c r="Y771" s="25"/>
      <c r="Z771" s="25"/>
      <c r="AA771" s="25"/>
      <c r="AB771" s="25"/>
      <c r="AC771" s="3"/>
    </row>
    <row r="772" spans="2:29" x14ac:dyDescent="0.3">
      <c r="B772" s="2"/>
      <c r="C772" s="19"/>
      <c r="D772" s="3"/>
      <c r="E772" s="14"/>
      <c r="F772" s="5"/>
      <c r="G772" s="5"/>
      <c r="H772" s="5"/>
      <c r="I772" s="129"/>
      <c r="J772" s="6"/>
      <c r="K772" s="6"/>
      <c r="L772" s="6"/>
      <c r="M772" s="7"/>
      <c r="N772" s="8"/>
      <c r="O772" s="8"/>
      <c r="P772" s="13"/>
      <c r="Q772" s="13"/>
      <c r="R772" s="3"/>
      <c r="S772" s="3"/>
      <c r="T772" s="3"/>
      <c r="U772" s="24"/>
      <c r="V772" s="24"/>
      <c r="W772" s="3"/>
      <c r="X772" s="25"/>
      <c r="Y772" s="25"/>
      <c r="Z772" s="25"/>
      <c r="AA772" s="25"/>
      <c r="AB772" s="25"/>
      <c r="AC772" s="3"/>
    </row>
    <row r="773" spans="2:29" x14ac:dyDescent="0.3">
      <c r="B773" s="2"/>
      <c r="C773" s="19"/>
      <c r="D773" s="3"/>
      <c r="E773" s="14"/>
      <c r="F773" s="5"/>
      <c r="G773" s="5"/>
      <c r="H773" s="5"/>
      <c r="I773" s="129"/>
      <c r="J773" s="6"/>
      <c r="K773" s="6"/>
      <c r="L773" s="6"/>
      <c r="M773" s="7"/>
      <c r="N773" s="8"/>
      <c r="O773" s="8"/>
      <c r="P773" s="13"/>
      <c r="Q773" s="13"/>
      <c r="R773" s="3"/>
      <c r="S773" s="3"/>
      <c r="T773" s="3"/>
      <c r="U773" s="24"/>
      <c r="V773" s="24"/>
      <c r="W773" s="3"/>
      <c r="X773" s="25"/>
      <c r="Y773" s="25"/>
      <c r="Z773" s="25"/>
      <c r="AA773" s="25"/>
      <c r="AB773" s="25"/>
      <c r="AC773" s="3"/>
    </row>
    <row r="774" spans="2:29" x14ac:dyDescent="0.3">
      <c r="I774" s="83"/>
      <c r="U774" s="83"/>
    </row>
    <row r="775" spans="2:29" x14ac:dyDescent="0.3">
      <c r="I775" s="83"/>
      <c r="U775" s="83"/>
    </row>
    <row r="776" spans="2:29" x14ac:dyDescent="0.3">
      <c r="I776" s="83"/>
      <c r="U776" s="83"/>
    </row>
    <row r="777" spans="2:29" x14ac:dyDescent="0.3">
      <c r="I777" s="83"/>
      <c r="U777" s="83"/>
    </row>
    <row r="778" spans="2:29" x14ac:dyDescent="0.3">
      <c r="I778" s="83"/>
      <c r="U778" s="83"/>
    </row>
    <row r="779" spans="2:29" x14ac:dyDescent="0.3">
      <c r="I779" s="83"/>
      <c r="U779" s="83"/>
    </row>
    <row r="780" spans="2:29" x14ac:dyDescent="0.3">
      <c r="I780" s="83"/>
      <c r="U780" s="83">
        <v>25000</v>
      </c>
    </row>
    <row r="781" spans="2:29" x14ac:dyDescent="0.3">
      <c r="I781" s="83"/>
      <c r="O781" s="265" t="s">
        <v>5283</v>
      </c>
      <c r="P781" s="265"/>
      <c r="Q781" s="265"/>
      <c r="R781" s="265"/>
      <c r="S781" s="62"/>
      <c r="U781" s="83">
        <v>2000</v>
      </c>
    </row>
    <row r="782" spans="2:29" x14ac:dyDescent="0.3">
      <c r="I782" s="83"/>
      <c r="O782" s="265" t="s">
        <v>5283</v>
      </c>
      <c r="P782" s="265"/>
      <c r="Q782" s="265"/>
      <c r="R782" s="265"/>
      <c r="S782" s="62"/>
      <c r="U782" s="83">
        <v>800</v>
      </c>
    </row>
    <row r="783" spans="2:29" x14ac:dyDescent="0.3">
      <c r="I783" s="83"/>
      <c r="O783" s="265" t="s">
        <v>6275</v>
      </c>
      <c r="P783" s="265"/>
      <c r="Q783" s="265"/>
      <c r="R783" s="265"/>
      <c r="S783" s="62"/>
      <c r="U783" s="83">
        <v>130</v>
      </c>
    </row>
    <row r="784" spans="2:29" x14ac:dyDescent="0.3">
      <c r="I784" s="83"/>
      <c r="O784" s="265" t="s">
        <v>6276</v>
      </c>
      <c r="P784" s="265"/>
      <c r="Q784" s="265"/>
      <c r="R784" s="265"/>
      <c r="S784" s="62"/>
      <c r="U784" s="83">
        <v>19</v>
      </c>
    </row>
    <row r="785" spans="9:22" x14ac:dyDescent="0.3">
      <c r="I785" s="82"/>
      <c r="O785" s="266"/>
      <c r="P785" s="266"/>
      <c r="Q785" s="266"/>
      <c r="R785" s="266"/>
      <c r="S785" s="64"/>
      <c r="U785" s="83">
        <v>0.8</v>
      </c>
    </row>
    <row r="786" spans="9:22" x14ac:dyDescent="0.3">
      <c r="I786" s="82"/>
      <c r="O786" s="266" t="s">
        <v>6277</v>
      </c>
      <c r="P786" s="266"/>
      <c r="Q786" s="266"/>
      <c r="R786" s="266"/>
      <c r="S786" s="64">
        <v>14</v>
      </c>
      <c r="U786" s="85">
        <f>SUM(U780:U785)</f>
        <v>27949.8</v>
      </c>
    </row>
    <row r="787" spans="9:22" x14ac:dyDescent="0.3">
      <c r="I787" s="82"/>
      <c r="O787" s="266" t="s">
        <v>6278</v>
      </c>
      <c r="P787" s="266"/>
      <c r="Q787" s="266"/>
      <c r="R787" s="266"/>
      <c r="S787" s="64">
        <v>20</v>
      </c>
      <c r="U787" s="83"/>
    </row>
    <row r="788" spans="9:22" x14ac:dyDescent="0.3">
      <c r="O788" s="266" t="s">
        <v>6279</v>
      </c>
      <c r="P788" s="266"/>
      <c r="Q788" s="266"/>
      <c r="R788" s="266"/>
      <c r="S788" s="64">
        <v>2</v>
      </c>
      <c r="U788" s="83">
        <f>U682-U786</f>
        <v>333.28999999999724</v>
      </c>
      <c r="V788" t="s">
        <v>6280</v>
      </c>
    </row>
    <row r="789" spans="9:22" x14ac:dyDescent="0.3">
      <c r="I789" s="82"/>
      <c r="O789" s="266" t="s">
        <v>6281</v>
      </c>
      <c r="P789" s="266"/>
      <c r="Q789" s="266"/>
      <c r="R789" s="266"/>
      <c r="S789" s="64">
        <v>0.5</v>
      </c>
      <c r="U789" s="83"/>
    </row>
    <row r="790" spans="9:22" x14ac:dyDescent="0.3">
      <c r="O790" s="266" t="s">
        <v>6282</v>
      </c>
      <c r="P790" s="266"/>
      <c r="Q790" s="266"/>
      <c r="R790" s="266"/>
      <c r="S790" s="64">
        <v>0.1</v>
      </c>
      <c r="U790" s="83"/>
    </row>
    <row r="791" spans="9:22" x14ac:dyDescent="0.3">
      <c r="O791" s="63" t="s">
        <v>7988</v>
      </c>
      <c r="P791" s="63"/>
      <c r="Q791" s="63"/>
      <c r="R791" s="63"/>
      <c r="S791" s="64">
        <v>60</v>
      </c>
      <c r="U791" s="83"/>
    </row>
    <row r="792" spans="9:22" x14ac:dyDescent="0.3">
      <c r="O792" s="264" t="s">
        <v>5288</v>
      </c>
      <c r="P792" s="264"/>
      <c r="Q792" s="264"/>
      <c r="R792" s="264"/>
      <c r="S792" s="65">
        <f>SUM(S781:S791)</f>
        <v>96.6</v>
      </c>
      <c r="U792" s="83"/>
    </row>
  </sheetData>
  <mergeCells count="12">
    <mergeCell ref="B2:AC2"/>
    <mergeCell ref="O781:R781"/>
    <mergeCell ref="O782:R782"/>
    <mergeCell ref="O783:R783"/>
    <mergeCell ref="O784:R784"/>
    <mergeCell ref="O790:R790"/>
    <mergeCell ref="O792:R792"/>
    <mergeCell ref="O785:R785"/>
    <mergeCell ref="O786:R786"/>
    <mergeCell ref="O787:R787"/>
    <mergeCell ref="O788:R788"/>
    <mergeCell ref="O789:R789"/>
  </mergeCells>
  <phoneticPr fontId="11" type="noConversion"/>
  <conditionalFormatting sqref="B5:AC773">
    <cfRule type="expression" dxfId="77" priority="37">
      <formula>$D5="D"</formula>
    </cfRule>
    <cfRule type="expression" dxfId="76" priority="276">
      <formula>$V5="OK"</formula>
    </cfRule>
    <cfRule type="expression" dxfId="75" priority="277">
      <formula>$U5="OK"</formula>
    </cfRule>
  </conditionalFormatting>
  <conditionalFormatting sqref="B682:AC697 G698:G701 J698:J737 M698:M737">
    <cfRule type="expression" dxfId="74" priority="35">
      <formula>$V682="OK"</formula>
    </cfRule>
    <cfRule type="expression" dxfId="73" priority="36">
      <formula>$U682="OK"</formula>
    </cfRule>
  </conditionalFormatting>
  <conditionalFormatting sqref="D757:M758">
    <cfRule type="expression" dxfId="72" priority="5">
      <formula>$D757="D"</formula>
    </cfRule>
    <cfRule type="expression" dxfId="71" priority="6">
      <formula>$V757="OK"</formula>
    </cfRule>
    <cfRule type="expression" dxfId="70" priority="7">
      <formula>$U757="OK"</formula>
    </cfRule>
  </conditionalFormatting>
  <conditionalFormatting sqref="G749:G750">
    <cfRule type="expression" dxfId="69" priority="19">
      <formula>$D749="D"</formula>
    </cfRule>
    <cfRule type="expression" dxfId="68" priority="20">
      <formula>$V749="OK"</formula>
    </cfRule>
    <cfRule type="expression" dxfId="67" priority="21">
      <formula>$U749="OK"</formula>
    </cfRule>
  </conditionalFormatting>
  <conditionalFormatting sqref="M644">
    <cfRule type="expression" dxfId="66" priority="38">
      <formula>$V644="OK"</formula>
    </cfRule>
    <cfRule type="expression" dxfId="65" priority="39">
      <formula>$U644="OK"</formula>
    </cfRule>
    <cfRule type="expression" dxfId="64" priority="40">
      <formula>$D644="D"</formula>
    </cfRule>
  </conditionalFormatting>
  <conditionalFormatting sqref="M739:M744">
    <cfRule type="expression" dxfId="63" priority="27">
      <formula>$V739="OK"</formula>
    </cfRule>
    <cfRule type="expression" dxfId="62" priority="28">
      <formula>$U739="OK"</formula>
    </cfRule>
  </conditionalFormatting>
  <conditionalFormatting sqref="M746:M750">
    <cfRule type="expression" dxfId="61" priority="25">
      <formula>$V746="OK"</formula>
    </cfRule>
    <cfRule type="expression" dxfId="60" priority="26">
      <formula>$U746="OK"</formula>
    </cfRule>
  </conditionalFormatting>
  <conditionalFormatting sqref="M760">
    <cfRule type="expression" dxfId="59" priority="3">
      <formula>$V760="OK"</formula>
    </cfRule>
    <cfRule type="expression" dxfId="58" priority="4">
      <formula>$U760="OK"</formula>
    </cfRule>
  </conditionalFormatting>
  <conditionalFormatting sqref="M764">
    <cfRule type="expression" dxfId="57" priority="1">
      <formula>$V764="OK"</formula>
    </cfRule>
    <cfRule type="expression" dxfId="56" priority="2">
      <formula>$U764="OK"</formula>
    </cfRule>
  </conditionalFormatting>
  <conditionalFormatting sqref="O751">
    <cfRule type="expression" dxfId="55" priority="16">
      <formula>$D751="D"</formula>
    </cfRule>
    <cfRule type="expression" dxfId="54" priority="17">
      <formula>$V751="OK"</formula>
    </cfRule>
    <cfRule type="expression" dxfId="53" priority="18">
      <formula>$U751="OK"</formula>
    </cfRule>
  </conditionalFormatting>
  <dataValidations count="4">
    <dataValidation type="list" allowBlank="1" showInputMessage="1" showErrorMessage="1" sqref="I5:I773" xr:uid="{EF9DB461-752E-4460-8743-BEC8A22F635B}">
      <formula1>Proveedores_Clientes</formula1>
    </dataValidation>
    <dataValidation type="list" allowBlank="1" showInputMessage="1" showErrorMessage="1" sqref="J5:J773" xr:uid="{6CB01F49-E4EF-410D-9035-72E226298161}">
      <formula1>Documentos</formula1>
    </dataValidation>
    <dataValidation type="list" allowBlank="1" showInputMessage="1" showErrorMessage="1" sqref="G5:G773" xr:uid="{86BACD11-7417-4BE9-9282-EB27000D47C8}">
      <formula1>"SALDO,INGRESO,EGRESO"</formula1>
    </dataValidation>
    <dataValidation type="list" allowBlank="1" showInputMessage="1" showErrorMessage="1" sqref="D5:D773" xr:uid="{3711FE85-91CB-4B1F-A13B-968F23384EE9}">
      <formula1>"R,D"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35" fitToHeight="0" orientation="landscape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4962-840E-4F37-8DD8-A272FE35A783}">
  <sheetPr codeName="Hoja12">
    <tabColor rgb="FFFF0000"/>
    <pageSetUpPr fitToPage="1"/>
  </sheetPr>
  <dimension ref="B2:L42"/>
  <sheetViews>
    <sheetView showGridLines="0" showZeros="0" view="pageBreakPreview" zoomScale="130" zoomScaleNormal="175" zoomScaleSheetLayoutView="130" workbookViewId="0">
      <selection activeCell="H4" sqref="H4"/>
    </sheetView>
  </sheetViews>
  <sheetFormatPr defaultColWidth="11.44140625" defaultRowHeight="14.4" x14ac:dyDescent="0.3"/>
  <cols>
    <col min="1" max="1" width="1.44140625" style="11" customWidth="1"/>
    <col min="2" max="2" width="16.44140625" style="11" customWidth="1"/>
    <col min="3" max="5" width="12.109375" style="11" customWidth="1"/>
    <col min="6" max="6" width="4.21875" style="11" customWidth="1"/>
    <col min="7" max="9" width="12.109375" style="11" customWidth="1"/>
    <col min="10" max="10" width="15.44140625" style="11" customWidth="1"/>
    <col min="11" max="12" width="11.44140625" style="11"/>
    <col min="13" max="13" width="11.44140625" style="11" bestFit="1" customWidth="1"/>
    <col min="14" max="16384" width="11.44140625" style="11"/>
  </cols>
  <sheetData>
    <row r="2" spans="2:12" ht="44.25" customHeight="1" x14ac:dyDescent="0.3">
      <c r="B2" s="42"/>
      <c r="C2" s="42"/>
      <c r="D2" s="42"/>
      <c r="H2" s="280" t="str">
        <f>"RECIBO DE CAJA"&amp;" - "&amp;L2</f>
        <v>RECIBO DE CAJA - EGRESO</v>
      </c>
      <c r="I2" s="280"/>
      <c r="J2" s="280"/>
      <c r="L2" s="43" t="str">
        <f>VLOOKUP(H3,Caja_Finanzas[[ITEM]:[TIPO DE MOV.]],6,0)</f>
        <v>EGRESO</v>
      </c>
    </row>
    <row r="3" spans="2:12" ht="44.25" customHeight="1" x14ac:dyDescent="0.3">
      <c r="B3" s="281" t="s">
        <v>6283</v>
      </c>
      <c r="C3" s="281"/>
      <c r="D3" s="281"/>
      <c r="E3" s="281"/>
      <c r="F3" s="281"/>
      <c r="G3" s="281"/>
      <c r="H3" s="282">
        <v>686</v>
      </c>
      <c r="I3" s="282"/>
      <c r="J3" s="282"/>
    </row>
    <row r="4" spans="2:12" x14ac:dyDescent="0.3">
      <c r="B4" s="42"/>
      <c r="C4" s="42"/>
      <c r="D4" s="42"/>
      <c r="E4" s="42"/>
      <c r="F4" s="42"/>
      <c r="G4" s="42"/>
      <c r="H4" s="42"/>
      <c r="I4" s="42"/>
      <c r="J4" s="42"/>
    </row>
    <row r="5" spans="2:12" ht="22.5" customHeight="1" x14ac:dyDescent="0.3">
      <c r="B5" s="44" t="s">
        <v>6284</v>
      </c>
      <c r="C5" s="275" t="s">
        <v>6285</v>
      </c>
      <c r="D5" s="275"/>
      <c r="E5" s="279" t="s">
        <v>6286</v>
      </c>
      <c r="F5" s="279"/>
      <c r="G5" s="45">
        <f>VLOOKUP(H3,Caja_Finanzas[[ITEM]:[MONTO ]],4,0)</f>
        <v>45898</v>
      </c>
      <c r="H5" s="46">
        <f>VLOOKUP(H3,Caja_Finanzas[[ITEM]:[FECHA]],4,0)</f>
        <v>45898</v>
      </c>
      <c r="I5" s="47">
        <f>VLOOKUP(H3,Caja_Finanzas[[ITEM]:[FECHA]],4,0)</f>
        <v>45898</v>
      </c>
      <c r="J5" s="71" t="str">
        <f>VLOOKUP(H3,Caja_Finanzas[[ITEM]:[MONEDA]],14,0)</f>
        <v>PEN</v>
      </c>
    </row>
    <row r="6" spans="2:12" ht="22.5" customHeight="1" x14ac:dyDescent="0.3">
      <c r="B6" s="44" t="str">
        <f>IF(L2="Ingreso","Recibi de:","Entregado a:")</f>
        <v>Entregado a:</v>
      </c>
      <c r="C6" s="275" t="str">
        <f>VLOOKUP(H3,Caja_Finanzas[],5,0)</f>
        <v>Karol Pari</v>
      </c>
      <c r="D6" s="275"/>
      <c r="E6" s="275"/>
      <c r="F6" s="275"/>
      <c r="G6" s="275"/>
      <c r="H6" s="275"/>
      <c r="I6" s="275"/>
      <c r="J6" s="275"/>
    </row>
    <row r="7" spans="2:12" ht="22.5" customHeight="1" x14ac:dyDescent="0.3">
      <c r="B7" s="44" t="s">
        <v>6287</v>
      </c>
      <c r="C7" s="275" t="e" cm="1">
        <f t="array" aca="1" ref="C7" ca="1">[2]!NumLetras(J7)</f>
        <v>#NAME?</v>
      </c>
      <c r="D7" s="275"/>
      <c r="E7" s="275"/>
      <c r="F7" s="275"/>
      <c r="G7" s="275"/>
      <c r="H7" s="275"/>
      <c r="I7" s="275"/>
      <c r="J7" s="77">
        <f>VLOOKUP(H3,Caja_Finanzas[[ITEM]:[MONTO ]],16,0)</f>
        <v>17440</v>
      </c>
      <c r="L7" s="72"/>
    </row>
    <row r="8" spans="2:12" ht="22.5" customHeight="1" x14ac:dyDescent="0.3">
      <c r="B8" s="44" t="s">
        <v>6288</v>
      </c>
      <c r="C8" s="277">
        <f>VLOOKUP(H3,Caja_Finanzas[],8,0)</f>
        <v>0</v>
      </c>
      <c r="D8" s="277"/>
      <c r="E8" s="277"/>
      <c r="F8" s="277"/>
      <c r="G8" s="277"/>
      <c r="H8" s="277"/>
      <c r="I8" s="277"/>
      <c r="J8" s="277"/>
      <c r="L8" s="72"/>
    </row>
    <row r="9" spans="2:12" ht="22.5" customHeight="1" x14ac:dyDescent="0.3">
      <c r="B9" s="44" t="s">
        <v>6289</v>
      </c>
      <c r="C9" s="270">
        <f>VLOOKUP(H3,Caja_Finanzas[],9,0)</f>
        <v>0</v>
      </c>
      <c r="D9" s="271"/>
      <c r="E9" s="279" t="s">
        <v>6290</v>
      </c>
      <c r="F9" s="279"/>
      <c r="G9" s="268">
        <f>VLOOKUP(H3,Caja_Finanzas[],10,0)</f>
        <v>0</v>
      </c>
      <c r="H9" s="269"/>
      <c r="I9" s="71" t="s">
        <v>6291</v>
      </c>
      <c r="J9" s="75">
        <f>VLOOKUP(H3,Caja_Finanzas[],11,0)</f>
        <v>0</v>
      </c>
      <c r="L9" s="72"/>
    </row>
    <row r="10" spans="2:12" ht="45" customHeight="1" x14ac:dyDescent="0.3">
      <c r="B10" s="44" t="s">
        <v>6292</v>
      </c>
      <c r="C10" s="276" t="str">
        <f>VLOOKUP(H3,C_Finanzas_Soles!B5:M770,12,0)</f>
        <v>Pago de RXH - Agosto 2025- 17200</v>
      </c>
      <c r="D10" s="277"/>
      <c r="E10" s="277"/>
      <c r="F10" s="277"/>
      <c r="G10" s="277"/>
      <c r="H10" s="277"/>
      <c r="I10" s="277"/>
      <c r="J10" s="277"/>
    </row>
    <row r="11" spans="2:12" x14ac:dyDescent="0.3">
      <c r="B11" s="48">
        <f>H3</f>
        <v>686</v>
      </c>
      <c r="C11" s="11" t="s">
        <v>5246</v>
      </c>
    </row>
    <row r="12" spans="2:12" x14ac:dyDescent="0.3">
      <c r="C12" s="50"/>
    </row>
    <row r="13" spans="2:12" x14ac:dyDescent="0.3">
      <c r="B13" s="50"/>
      <c r="C13" s="50"/>
      <c r="D13" s="50"/>
    </row>
    <row r="14" spans="2:12" x14ac:dyDescent="0.3">
      <c r="H14" s="49"/>
      <c r="I14" s="49"/>
      <c r="J14" s="49"/>
    </row>
    <row r="15" spans="2:12" x14ac:dyDescent="0.3">
      <c r="H15" s="49"/>
      <c r="I15" s="49"/>
      <c r="J15" s="49"/>
    </row>
    <row r="16" spans="2:12" ht="14.25" customHeight="1" x14ac:dyDescent="0.3">
      <c r="C16" s="278" t="s">
        <v>6293</v>
      </c>
      <c r="D16" s="278"/>
      <c r="E16" s="278"/>
      <c r="F16" s="73"/>
      <c r="G16" s="278" t="str">
        <f>IF(L2="INGRESO","ENTREGA","RECIBE")</f>
        <v>RECIBE</v>
      </c>
      <c r="H16" s="278"/>
      <c r="I16" s="278"/>
      <c r="J16" s="49"/>
    </row>
    <row r="17" spans="2:10" ht="14.25" customHeight="1" x14ac:dyDescent="0.3">
      <c r="C17" s="272" t="s">
        <v>6294</v>
      </c>
      <c r="D17" s="272"/>
      <c r="E17" s="272"/>
      <c r="F17" s="73"/>
      <c r="G17" s="272" t="str">
        <f>+C6</f>
        <v>Karol Pari</v>
      </c>
      <c r="H17" s="272"/>
      <c r="I17" s="272"/>
      <c r="J17" s="49"/>
    </row>
    <row r="18" spans="2:10" x14ac:dyDescent="0.3">
      <c r="B18" s="49"/>
      <c r="C18" s="272">
        <v>71311214</v>
      </c>
      <c r="D18" s="272"/>
      <c r="E18" s="272"/>
      <c r="F18" s="73"/>
      <c r="G18" s="273"/>
      <c r="H18" s="273"/>
      <c r="I18" s="74"/>
      <c r="J18" s="49"/>
    </row>
    <row r="19" spans="2:10" x14ac:dyDescent="0.3">
      <c r="B19" s="50"/>
      <c r="C19" s="50"/>
      <c r="D19" s="50"/>
      <c r="E19" s="50"/>
      <c r="F19" s="50"/>
      <c r="G19" s="50"/>
      <c r="H19" s="50"/>
      <c r="I19" s="50"/>
      <c r="J19" s="50"/>
    </row>
    <row r="20" spans="2:10" x14ac:dyDescent="0.3">
      <c r="B20" s="49"/>
      <c r="C20" s="50"/>
      <c r="D20" s="50"/>
      <c r="G20" s="50"/>
      <c r="H20" s="50"/>
      <c r="I20" s="49"/>
      <c r="J20" s="49"/>
    </row>
    <row r="21" spans="2:10" x14ac:dyDescent="0.3">
      <c r="B21" s="49"/>
      <c r="C21" s="49"/>
      <c r="D21" s="49"/>
      <c r="G21" s="49"/>
      <c r="H21" s="49"/>
      <c r="I21" s="49"/>
    </row>
    <row r="22" spans="2:10" x14ac:dyDescent="0.3">
      <c r="J22" s="51" t="str">
        <f>VLOOKUP(H3,Caja_Finanzas[[ITEM]:[N° OPERACIÓN]],13,0)</f>
        <v>CFI.D29-08-0686</v>
      </c>
    </row>
    <row r="24" spans="2:10" ht="44.25" customHeight="1" x14ac:dyDescent="0.3">
      <c r="B24" s="42"/>
      <c r="C24" s="42"/>
      <c r="D24" s="42"/>
      <c r="H24" s="280" t="str">
        <f>H2</f>
        <v>RECIBO DE CAJA - EGRESO</v>
      </c>
      <c r="I24" s="280"/>
      <c r="J24" s="280"/>
    </row>
    <row r="25" spans="2:10" ht="44.25" customHeight="1" x14ac:dyDescent="0.3">
      <c r="B25" s="281" t="s">
        <v>6283</v>
      </c>
      <c r="C25" s="281"/>
      <c r="D25" s="281"/>
      <c r="E25" s="281"/>
      <c r="F25" s="281"/>
      <c r="G25" s="281"/>
      <c r="H25" s="283">
        <f>H3</f>
        <v>686</v>
      </c>
      <c r="I25" s="284"/>
      <c r="J25" s="285"/>
    </row>
    <row r="26" spans="2:10" x14ac:dyDescent="0.3">
      <c r="B26" s="42"/>
      <c r="C26" s="42"/>
      <c r="D26" s="42"/>
      <c r="E26" s="42"/>
      <c r="F26" s="42"/>
      <c r="G26" s="42"/>
      <c r="H26" s="42"/>
      <c r="I26" s="42"/>
      <c r="J26" s="42"/>
    </row>
    <row r="27" spans="2:10" ht="22.5" customHeight="1" x14ac:dyDescent="0.3">
      <c r="B27" s="44" t="s">
        <v>6284</v>
      </c>
      <c r="C27" s="275" t="s">
        <v>6285</v>
      </c>
      <c r="D27" s="275"/>
      <c r="E27" s="279" t="s">
        <v>6286</v>
      </c>
      <c r="F27" s="279"/>
      <c r="G27" s="45">
        <f>VLOOKUP(H25,Caja_Finanzas[[ITEM]:[MONTO ]],4,0)</f>
        <v>45898</v>
      </c>
      <c r="H27" s="46">
        <f>VLOOKUP(H25,Caja_Finanzas[[ITEM]:[FECHA]],4,0)</f>
        <v>45898</v>
      </c>
      <c r="I27" s="47">
        <f>VLOOKUP(H25,Caja_Finanzas[[ITEM]:[FECHA]],4,0)</f>
        <v>45898</v>
      </c>
      <c r="J27" s="71" t="str">
        <f>VLOOKUP(H25,Caja_Finanzas[[ITEM]:[MONEDA]],14,0)</f>
        <v>PEN</v>
      </c>
    </row>
    <row r="28" spans="2:10" ht="22.5" customHeight="1" x14ac:dyDescent="0.3">
      <c r="B28" s="44" t="s">
        <v>6295</v>
      </c>
      <c r="C28" s="274" t="str">
        <f>VLOOKUP(H25,C_Finanzas_Soles!B5:F770,5,0)</f>
        <v>Karol Pari</v>
      </c>
      <c r="D28" s="275"/>
      <c r="E28" s="275"/>
      <c r="F28" s="275"/>
      <c r="G28" s="275"/>
      <c r="H28" s="275"/>
      <c r="I28" s="275"/>
      <c r="J28" s="275"/>
    </row>
    <row r="29" spans="2:10" ht="22.5" customHeight="1" x14ac:dyDescent="0.3">
      <c r="B29" s="44" t="s">
        <v>6287</v>
      </c>
      <c r="C29" s="275" t="e">
        <f ca="1">C7</f>
        <v>#NAME?</v>
      </c>
      <c r="D29" s="275"/>
      <c r="E29" s="275"/>
      <c r="F29" s="275"/>
      <c r="G29" s="275"/>
      <c r="H29" s="275"/>
      <c r="I29" s="275"/>
      <c r="J29" s="77">
        <f>VLOOKUP(H25,Caja_Finanzas[[ITEM]:[MONTO ]],16,0)</f>
        <v>17440</v>
      </c>
    </row>
    <row r="30" spans="2:10" ht="22.5" customHeight="1" x14ac:dyDescent="0.3">
      <c r="B30" s="44" t="s">
        <v>6288</v>
      </c>
      <c r="C30" s="277">
        <f>VLOOKUP(H25,Caja_Finanzas[],8,0)</f>
        <v>0</v>
      </c>
      <c r="D30" s="277"/>
      <c r="E30" s="277"/>
      <c r="F30" s="277"/>
      <c r="G30" s="277"/>
      <c r="H30" s="277"/>
      <c r="I30" s="277"/>
      <c r="J30" s="277"/>
    </row>
    <row r="31" spans="2:10" ht="22.5" customHeight="1" x14ac:dyDescent="0.3">
      <c r="B31" s="44" t="s">
        <v>6289</v>
      </c>
      <c r="C31" s="270">
        <f>VLOOKUP(H25,Caja_Finanzas[],9,0)</f>
        <v>0</v>
      </c>
      <c r="D31" s="271"/>
      <c r="E31" s="279" t="s">
        <v>6290</v>
      </c>
      <c r="F31" s="279"/>
      <c r="G31" s="268">
        <f>VLOOKUP(H25,Caja_Finanzas[],10,0)</f>
        <v>0</v>
      </c>
      <c r="H31" s="269"/>
      <c r="I31" s="71" t="s">
        <v>6291</v>
      </c>
      <c r="J31" s="76">
        <f>VLOOKUP(H25,Caja_Finanzas[],11,0)</f>
        <v>0</v>
      </c>
    </row>
    <row r="32" spans="2:10" ht="60" customHeight="1" x14ac:dyDescent="0.3">
      <c r="B32" s="44" t="s">
        <v>6292</v>
      </c>
      <c r="C32" s="276" t="str">
        <f>VLOOKUP(H25,C_Finanzas_Soles!B5:M770,12,0)</f>
        <v>Pago de RXH - Agosto 2025- 17200</v>
      </c>
      <c r="D32" s="277"/>
      <c r="E32" s="277"/>
      <c r="F32" s="277"/>
      <c r="G32" s="277"/>
      <c r="H32" s="277"/>
      <c r="I32" s="277"/>
      <c r="J32" s="277"/>
    </row>
    <row r="33" spans="2:10" x14ac:dyDescent="0.3">
      <c r="B33" s="48">
        <f>H25</f>
        <v>686</v>
      </c>
    </row>
    <row r="36" spans="2:10" x14ac:dyDescent="0.3">
      <c r="H36" s="49"/>
      <c r="I36" s="49"/>
      <c r="J36" s="49"/>
    </row>
    <row r="37" spans="2:10" x14ac:dyDescent="0.3">
      <c r="H37" s="49"/>
      <c r="I37" s="49"/>
      <c r="J37" s="49"/>
    </row>
    <row r="38" spans="2:10" x14ac:dyDescent="0.3">
      <c r="C38" s="278" t="s">
        <v>6293</v>
      </c>
      <c r="D38" s="278"/>
      <c r="E38" s="278"/>
      <c r="G38" s="278" t="s">
        <v>6296</v>
      </c>
      <c r="H38" s="278"/>
      <c r="I38" s="278"/>
      <c r="J38" s="49"/>
    </row>
    <row r="39" spans="2:10" x14ac:dyDescent="0.3">
      <c r="C39" s="272" t="str">
        <f>C17</f>
        <v xml:space="preserve">Judith Serrano V.  </v>
      </c>
      <c r="D39" s="272"/>
      <c r="E39" s="272"/>
      <c r="G39" s="272" t="str">
        <f>C28</f>
        <v>Karol Pari</v>
      </c>
      <c r="H39" s="272"/>
      <c r="I39" s="272"/>
      <c r="J39" s="49"/>
    </row>
    <row r="40" spans="2:10" x14ac:dyDescent="0.3">
      <c r="B40" s="49"/>
      <c r="C40" s="272">
        <f>C18</f>
        <v>71311214</v>
      </c>
      <c r="D40" s="272"/>
      <c r="E40" s="272"/>
      <c r="G40" s="273"/>
      <c r="H40" s="273"/>
      <c r="I40" s="49"/>
      <c r="J40" s="49"/>
    </row>
    <row r="41" spans="2:10" x14ac:dyDescent="0.3">
      <c r="B41" s="49"/>
      <c r="C41" s="49"/>
      <c r="D41" s="49"/>
      <c r="G41" s="49"/>
      <c r="H41" s="49"/>
      <c r="I41" s="49"/>
    </row>
    <row r="42" spans="2:10" x14ac:dyDescent="0.3">
      <c r="J42" s="51" t="str">
        <f>VLOOKUP(H25,Caja_Finanzas[[ITEM]:[N° OPERACIÓN]],13,0)</f>
        <v>CFI.D29-08-0686</v>
      </c>
    </row>
  </sheetData>
  <mergeCells count="36">
    <mergeCell ref="C6:J6"/>
    <mergeCell ref="C27:D27"/>
    <mergeCell ref="E27:F27"/>
    <mergeCell ref="C7:I7"/>
    <mergeCell ref="C10:J10"/>
    <mergeCell ref="C16:E16"/>
    <mergeCell ref="G16:I16"/>
    <mergeCell ref="C17:E17"/>
    <mergeCell ref="G17:I17"/>
    <mergeCell ref="C18:E18"/>
    <mergeCell ref="G18:H18"/>
    <mergeCell ref="H24:J24"/>
    <mergeCell ref="B25:G25"/>
    <mergeCell ref="H25:J25"/>
    <mergeCell ref="C8:J8"/>
    <mergeCell ref="E9:F9"/>
    <mergeCell ref="H2:J2"/>
    <mergeCell ref="B3:G3"/>
    <mergeCell ref="H3:J3"/>
    <mergeCell ref="C5:D5"/>
    <mergeCell ref="E5:F5"/>
    <mergeCell ref="G9:H9"/>
    <mergeCell ref="C9:D9"/>
    <mergeCell ref="C40:E40"/>
    <mergeCell ref="G40:H40"/>
    <mergeCell ref="C28:J28"/>
    <mergeCell ref="C29:I29"/>
    <mergeCell ref="C32:J32"/>
    <mergeCell ref="C38:E38"/>
    <mergeCell ref="G38:I38"/>
    <mergeCell ref="C39:E39"/>
    <mergeCell ref="G39:I39"/>
    <mergeCell ref="C30:J30"/>
    <mergeCell ref="C31:D31"/>
    <mergeCell ref="E31:F31"/>
    <mergeCell ref="G31:H31"/>
  </mergeCells>
  <dataValidations count="1">
    <dataValidation type="list" allowBlank="1" showInputMessage="1" showErrorMessage="1" sqref="H3:J3" xr:uid="{C85CA25E-B99F-4679-96DC-8F9BD2FC5C0C}">
      <formula1>Operaciones_Finanzas</formula1>
    </dataValidation>
  </dataValidations>
  <printOptions horizontalCentered="1"/>
  <pageMargins left="0.11811023622047245" right="0.11811023622047245" top="0.55118110236220474" bottom="0.55118110236220474" header="0.31496062992125984" footer="0.31496062992125984"/>
  <pageSetup paperSize="9" scale="8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44D1-5565-4B05-9584-C0DC648D5B4C}">
  <sheetPr codeName="Hoja20">
    <tabColor theme="8"/>
    <pageSetUpPr fitToPage="1"/>
  </sheetPr>
  <dimension ref="B2:AC426"/>
  <sheetViews>
    <sheetView showGridLines="0" zoomScaleNormal="100" zoomScaleSheetLayoutView="100" workbookViewId="0">
      <selection activeCell="C432" sqref="C432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5.44140625" bestFit="1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bestFit="1" customWidth="1"/>
    <col min="23" max="27" width="15.88671875" hidden="1" customWidth="1" outlineLevel="1"/>
    <col min="28" max="28" width="12.88671875" hidden="1" customWidth="1" outlineLevel="1"/>
    <col min="29" max="29" width="11.44140625" collapsed="1"/>
  </cols>
  <sheetData>
    <row r="2" spans="2:28" ht="23.4" x14ac:dyDescent="0.3">
      <c r="B2" s="263" t="s">
        <v>6297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hidden="1" x14ac:dyDescent="0.3">
      <c r="B5" s="2">
        <f>IF(Caja_Operativa[[#This Row],[TIPO DE R.]]="R",COUNTIFS($D$4:$D4,"R")+1,"")</f>
        <v>1</v>
      </c>
      <c r="C5" s="19" t="str">
        <f>"C-Operativa"</f>
        <v>C-Operativa</v>
      </c>
      <c r="D5" s="3" t="s">
        <v>1074</v>
      </c>
      <c r="E5" s="4">
        <v>45659</v>
      </c>
      <c r="F5" s="5" t="s">
        <v>6298</v>
      </c>
      <c r="G5" s="6" t="s">
        <v>1064</v>
      </c>
      <c r="H5" s="6"/>
      <c r="I5" s="6"/>
      <c r="J5" s="6"/>
      <c r="K5" s="6"/>
      <c r="L5" s="7" t="s">
        <v>1076</v>
      </c>
      <c r="M5" s="8" t="s">
        <v>1077</v>
      </c>
      <c r="N5" s="8" t="str">
        <f t="shared" ref="N5" si="0">"PEN"</f>
        <v>PEN</v>
      </c>
      <c r="O5" s="13"/>
      <c r="P5" s="9">
        <v>2019.85</v>
      </c>
      <c r="Q5" s="9">
        <f t="shared" ref="Q5" si="1">+IF(OR($G5="SALDO",$G5="INGRESO"),$P5,0)</f>
        <v>2019.85</v>
      </c>
      <c r="R5" s="9">
        <f t="shared" ref="R5" si="2">+IF($G5="EGRESO",$P5,0)</f>
        <v>0</v>
      </c>
      <c r="S5" s="9">
        <f t="shared" ref="S5:S68" si="3">IFERROR(IF(G5="SALDO",Q5,S4+Q5-R5),0)</f>
        <v>2019.85</v>
      </c>
      <c r="T5" s="24"/>
      <c r="U5" s="24"/>
      <c r="V5" s="67"/>
      <c r="W5" s="25" t="s">
        <v>6299</v>
      </c>
      <c r="X5" s="25"/>
      <c r="Y5" s="25"/>
      <c r="Z5" s="25"/>
      <c r="AA5" s="66"/>
      <c r="AB5" s="3" t="str">
        <f>IF(Caja_Operativa[[#This Row],[FECHA]]&gt;0,TEXT(Caja_Operativa[[#This Row],[FECHA]],"mmmm"),0)</f>
        <v>Enero</v>
      </c>
    </row>
    <row r="6" spans="2:28" ht="24" hidden="1" x14ac:dyDescent="0.3">
      <c r="B6" s="2">
        <f>IF(Caja_Operativa[[#This Row],[TIPO DE R.]]="R",COUNTIFS($D$4:$D5,"R")+1,"")</f>
        <v>2</v>
      </c>
      <c r="C6" s="19" t="str">
        <f t="shared" ref="C6:C69" si="4">"C-Operativa"</f>
        <v>C-Operativa</v>
      </c>
      <c r="D6" s="3" t="s">
        <v>1074</v>
      </c>
      <c r="E6" s="14">
        <v>45659</v>
      </c>
      <c r="F6" s="5" t="s">
        <v>6299</v>
      </c>
      <c r="G6" s="5" t="s">
        <v>1087</v>
      </c>
      <c r="H6" s="6"/>
      <c r="I6" s="6"/>
      <c r="J6" s="6"/>
      <c r="K6" s="6"/>
      <c r="L6" s="7" t="s">
        <v>6300</v>
      </c>
      <c r="M6" s="8"/>
      <c r="N6" s="8" t="str">
        <f t="shared" ref="N6:N69" si="5">"PEN"</f>
        <v>PEN</v>
      </c>
      <c r="O6" s="13"/>
      <c r="P6" s="13">
        <v>700</v>
      </c>
      <c r="Q6" s="3">
        <f t="shared" ref="Q6:Q69" si="6">+IF(OR($G6="SALDO",$G6="INGRESO"),$P6,0)</f>
        <v>700</v>
      </c>
      <c r="R6" s="3">
        <f t="shared" ref="R6:R69" si="7">+IF($G6="EGRESO",$P6,0)</f>
        <v>0</v>
      </c>
      <c r="S6" s="3">
        <f t="shared" si="3"/>
        <v>2719.85</v>
      </c>
      <c r="T6" s="24"/>
      <c r="U6" s="24"/>
      <c r="V6" s="69"/>
      <c r="W6" s="25" t="s">
        <v>6301</v>
      </c>
      <c r="X6" s="25"/>
      <c r="Y6" s="25"/>
      <c r="Z6" s="25"/>
      <c r="AA6" s="25"/>
      <c r="AB6" s="3" t="str">
        <f>IF(Caja_Operativa[[#This Row],[FECHA]]&gt;0,TEXT(Caja_Operativa[[#This Row],[FECHA]],"mmmm"),0)</f>
        <v>Enero</v>
      </c>
    </row>
    <row r="7" spans="2:28" hidden="1" x14ac:dyDescent="0.3">
      <c r="B7" s="2">
        <f>IF(Caja_Operativa[[#This Row],[TIPO DE R.]]="R",COUNTIFS($D$4:$D6,"R")+1,"")</f>
        <v>3</v>
      </c>
      <c r="C7" s="19" t="str">
        <f t="shared" si="4"/>
        <v>C-Operativa</v>
      </c>
      <c r="D7" s="3" t="s">
        <v>1074</v>
      </c>
      <c r="E7" s="14">
        <v>45660</v>
      </c>
      <c r="F7" s="5" t="s">
        <v>6299</v>
      </c>
      <c r="G7" s="5" t="s">
        <v>1079</v>
      </c>
      <c r="H7" s="6"/>
      <c r="I7" s="6"/>
      <c r="J7" s="6"/>
      <c r="K7" s="6"/>
      <c r="L7" s="7" t="s">
        <v>6302</v>
      </c>
      <c r="M7" s="8">
        <v>2531988</v>
      </c>
      <c r="N7" s="8" t="str">
        <f t="shared" si="5"/>
        <v>PEN</v>
      </c>
      <c r="O7" s="13"/>
      <c r="P7" s="13">
        <v>160</v>
      </c>
      <c r="Q7" s="3">
        <f t="shared" si="6"/>
        <v>0</v>
      </c>
      <c r="R7" s="3">
        <f t="shared" si="7"/>
        <v>160</v>
      </c>
      <c r="S7" s="3">
        <f t="shared" si="3"/>
        <v>2559.85</v>
      </c>
      <c r="T7" s="24"/>
      <c r="U7" s="24"/>
      <c r="V7" s="69"/>
      <c r="W7" s="25" t="s">
        <v>6303</v>
      </c>
      <c r="X7" s="25"/>
      <c r="Y7" s="25"/>
      <c r="Z7" s="25"/>
      <c r="AA7" s="25"/>
      <c r="AB7" s="3" t="str">
        <f>IF(Caja_Operativa[[#This Row],[FECHA]]&gt;0,TEXT(Caja_Operativa[[#This Row],[FECHA]],"mmmm"),0)</f>
        <v>Enero</v>
      </c>
    </row>
    <row r="8" spans="2:28" ht="24" hidden="1" x14ac:dyDescent="0.3">
      <c r="B8" s="2">
        <f>IF(Caja_Operativa[[#This Row],[TIPO DE R.]]="R",COUNTIFS($D$4:$D7,"R")+1,"")</f>
        <v>4</v>
      </c>
      <c r="C8" s="19" t="str">
        <f t="shared" si="4"/>
        <v>C-Operativa</v>
      </c>
      <c r="D8" s="3" t="s">
        <v>1074</v>
      </c>
      <c r="E8" s="14">
        <v>45660</v>
      </c>
      <c r="F8" s="5" t="s">
        <v>6299</v>
      </c>
      <c r="G8" s="5" t="s">
        <v>1079</v>
      </c>
      <c r="H8" s="6"/>
      <c r="I8" s="6"/>
      <c r="J8" s="6"/>
      <c r="K8" s="6"/>
      <c r="L8" s="7" t="s">
        <v>6302</v>
      </c>
      <c r="M8" s="8">
        <v>2643338</v>
      </c>
      <c r="N8" s="8" t="str">
        <f t="shared" si="5"/>
        <v>PEN</v>
      </c>
      <c r="O8" s="13"/>
      <c r="P8" s="13">
        <v>100</v>
      </c>
      <c r="Q8" s="3">
        <f t="shared" si="6"/>
        <v>0</v>
      </c>
      <c r="R8" s="3">
        <f t="shared" si="7"/>
        <v>100</v>
      </c>
      <c r="S8" s="3">
        <f t="shared" si="3"/>
        <v>2459.85</v>
      </c>
      <c r="T8" s="24"/>
      <c r="U8" s="24"/>
      <c r="V8" s="69"/>
      <c r="W8" s="25" t="s">
        <v>6304</v>
      </c>
      <c r="X8" s="25"/>
      <c r="Y8" s="25"/>
      <c r="Z8" s="25"/>
      <c r="AA8" s="25"/>
      <c r="AB8" s="3" t="str">
        <f>IF(Caja_Operativa[[#This Row],[FECHA]]&gt;0,TEXT(Caja_Operativa[[#This Row],[FECHA]],"mmmm"),0)</f>
        <v>Enero</v>
      </c>
    </row>
    <row r="9" spans="2:28" ht="24" hidden="1" x14ac:dyDescent="0.3">
      <c r="B9" s="2">
        <f>IF(Caja_Operativa[[#This Row],[TIPO DE R.]]="R",COUNTIFS($D$4:$D8,"R")+1,"")</f>
        <v>5</v>
      </c>
      <c r="C9" s="19" t="str">
        <f t="shared" si="4"/>
        <v>C-Operativa</v>
      </c>
      <c r="D9" s="3" t="s">
        <v>1074</v>
      </c>
      <c r="E9" s="14">
        <v>45660</v>
      </c>
      <c r="F9" s="5" t="s">
        <v>6299</v>
      </c>
      <c r="G9" s="5" t="s">
        <v>1079</v>
      </c>
      <c r="H9" s="6"/>
      <c r="I9" s="6"/>
      <c r="J9" s="6"/>
      <c r="K9" s="6"/>
      <c r="L9" s="7" t="s">
        <v>6302</v>
      </c>
      <c r="M9" s="8">
        <v>2654283</v>
      </c>
      <c r="N9" s="8" t="str">
        <f t="shared" si="5"/>
        <v>PEN</v>
      </c>
      <c r="O9" s="13"/>
      <c r="P9" s="13">
        <v>90</v>
      </c>
      <c r="Q9" s="3">
        <f t="shared" si="6"/>
        <v>0</v>
      </c>
      <c r="R9" s="3">
        <f t="shared" si="7"/>
        <v>90</v>
      </c>
      <c r="S9" s="3">
        <f t="shared" si="3"/>
        <v>2369.85</v>
      </c>
      <c r="T9" s="24"/>
      <c r="U9" s="24"/>
      <c r="V9" s="69"/>
      <c r="W9" s="25" t="s">
        <v>6305</v>
      </c>
      <c r="X9" s="25"/>
      <c r="Y9" s="25"/>
      <c r="Z9" s="25"/>
      <c r="AA9" s="25"/>
      <c r="AB9" s="3" t="str">
        <f>IF(Caja_Operativa[[#This Row],[FECHA]]&gt;0,TEXT(Caja_Operativa[[#This Row],[FECHA]],"mmmm"),0)</f>
        <v>Enero</v>
      </c>
    </row>
    <row r="10" spans="2:28" ht="60" hidden="1" x14ac:dyDescent="0.3">
      <c r="B10" s="2">
        <f>IF(Caja_Operativa[[#This Row],[TIPO DE R.]]="R",COUNTIFS($D$4:$D9,"R")+1,"")</f>
        <v>6</v>
      </c>
      <c r="C10" s="19" t="str">
        <f t="shared" si="4"/>
        <v>C-Operativa</v>
      </c>
      <c r="D10" s="3" t="s">
        <v>1074</v>
      </c>
      <c r="E10" s="14">
        <v>45664</v>
      </c>
      <c r="F10" s="5" t="s">
        <v>6299</v>
      </c>
      <c r="G10" s="5" t="s">
        <v>1079</v>
      </c>
      <c r="H10" s="6"/>
      <c r="I10" s="6"/>
      <c r="J10" s="6"/>
      <c r="K10" s="6"/>
      <c r="L10" s="7" t="s">
        <v>6306</v>
      </c>
      <c r="M10" s="8">
        <v>503914</v>
      </c>
      <c r="N10" s="8" t="str">
        <f t="shared" si="5"/>
        <v>PEN</v>
      </c>
      <c r="O10" s="13"/>
      <c r="P10" s="13">
        <v>8</v>
      </c>
      <c r="Q10" s="3">
        <f t="shared" si="6"/>
        <v>0</v>
      </c>
      <c r="R10" s="3">
        <f t="shared" si="7"/>
        <v>8</v>
      </c>
      <c r="S10" s="3">
        <f t="shared" si="3"/>
        <v>2361.85</v>
      </c>
      <c r="T10" s="24"/>
      <c r="U10" s="24"/>
      <c r="V10" s="69"/>
      <c r="W10" s="25" t="s">
        <v>6307</v>
      </c>
      <c r="X10" s="25"/>
      <c r="Y10" s="25"/>
      <c r="Z10" s="25"/>
      <c r="AA10" s="25"/>
      <c r="AB10" s="3" t="str">
        <f>IF(Caja_Operativa[[#This Row],[FECHA]]&gt;0,TEXT(Caja_Operativa[[#This Row],[FECHA]],"mmmm"),0)</f>
        <v>Enero</v>
      </c>
    </row>
    <row r="11" spans="2:28" ht="60" hidden="1" x14ac:dyDescent="0.3">
      <c r="B11" s="2">
        <f>IF(Caja_Operativa[[#This Row],[TIPO DE R.]]="R",COUNTIFS($D$4:$D10,"R")+1,"")</f>
        <v>7</v>
      </c>
      <c r="C11" s="19" t="str">
        <f t="shared" si="4"/>
        <v>C-Operativa</v>
      </c>
      <c r="D11" s="3" t="s">
        <v>1074</v>
      </c>
      <c r="E11" s="14">
        <v>45664</v>
      </c>
      <c r="F11" s="5" t="s">
        <v>6299</v>
      </c>
      <c r="G11" s="5" t="s">
        <v>1079</v>
      </c>
      <c r="H11" s="6"/>
      <c r="I11" s="6"/>
      <c r="J11" s="6"/>
      <c r="K11" s="6"/>
      <c r="L11" s="7" t="s">
        <v>6308</v>
      </c>
      <c r="M11" s="8">
        <v>528381</v>
      </c>
      <c r="N11" s="8" t="str">
        <f t="shared" si="5"/>
        <v>PEN</v>
      </c>
      <c r="O11" s="13"/>
      <c r="P11" s="13">
        <v>8</v>
      </c>
      <c r="Q11" s="3">
        <f t="shared" si="6"/>
        <v>0</v>
      </c>
      <c r="R11" s="3">
        <f t="shared" si="7"/>
        <v>8</v>
      </c>
      <c r="S11" s="3">
        <f t="shared" si="3"/>
        <v>2353.85</v>
      </c>
      <c r="T11" s="24"/>
      <c r="U11" s="24"/>
      <c r="V11" s="69"/>
      <c r="W11" s="25" t="s">
        <v>6307</v>
      </c>
      <c r="X11" s="25"/>
      <c r="Y11" s="25"/>
      <c r="Z11" s="25"/>
      <c r="AA11" s="25"/>
      <c r="AB11" s="3" t="str">
        <f>IF(Caja_Operativa[[#This Row],[FECHA]]&gt;0,TEXT(Caja_Operativa[[#This Row],[FECHA]],"mmmm"),0)</f>
        <v>Enero</v>
      </c>
    </row>
    <row r="12" spans="2:28" ht="60" hidden="1" x14ac:dyDescent="0.3">
      <c r="B12" s="2">
        <f>IF(Caja_Operativa[[#This Row],[TIPO DE R.]]="R",COUNTIFS($D$4:$D11,"R")+1,"")</f>
        <v>8</v>
      </c>
      <c r="C12" s="19" t="str">
        <f t="shared" si="4"/>
        <v>C-Operativa</v>
      </c>
      <c r="D12" s="3" t="s">
        <v>1074</v>
      </c>
      <c r="E12" s="14">
        <v>45664</v>
      </c>
      <c r="F12" s="5" t="s">
        <v>6299</v>
      </c>
      <c r="G12" s="5" t="s">
        <v>1079</v>
      </c>
      <c r="H12" s="6"/>
      <c r="I12" s="6"/>
      <c r="J12" s="6"/>
      <c r="K12" s="6"/>
      <c r="L12" s="7" t="s">
        <v>6309</v>
      </c>
      <c r="M12" s="8">
        <v>534539</v>
      </c>
      <c r="N12" s="8" t="str">
        <f t="shared" si="5"/>
        <v>PEN</v>
      </c>
      <c r="O12" s="13"/>
      <c r="P12" s="13">
        <v>8</v>
      </c>
      <c r="Q12" s="3">
        <f t="shared" si="6"/>
        <v>0</v>
      </c>
      <c r="R12" s="3">
        <f t="shared" si="7"/>
        <v>8</v>
      </c>
      <c r="S12" s="3">
        <f t="shared" si="3"/>
        <v>2345.85</v>
      </c>
      <c r="T12" s="24"/>
      <c r="U12" s="24"/>
      <c r="V12" s="69"/>
      <c r="W12" s="25" t="s">
        <v>6307</v>
      </c>
      <c r="X12" s="25"/>
      <c r="Y12" s="25"/>
      <c r="Z12" s="25"/>
      <c r="AA12" s="25"/>
      <c r="AB12" s="3" t="str">
        <f>IF(Caja_Operativa[[#This Row],[FECHA]]&gt;0,TEXT(Caja_Operativa[[#This Row],[FECHA]],"mmmm"),0)</f>
        <v>Enero</v>
      </c>
    </row>
    <row r="13" spans="2:28" ht="60" hidden="1" x14ac:dyDescent="0.3">
      <c r="B13" s="2">
        <f>IF(Caja_Operativa[[#This Row],[TIPO DE R.]]="R",COUNTIFS($D$4:$D12,"R")+1,"")</f>
        <v>9</v>
      </c>
      <c r="C13" s="19" t="str">
        <f t="shared" si="4"/>
        <v>C-Operativa</v>
      </c>
      <c r="D13" s="3" t="s">
        <v>1074</v>
      </c>
      <c r="E13" s="14">
        <v>45664</v>
      </c>
      <c r="F13" s="5" t="s">
        <v>6299</v>
      </c>
      <c r="G13" s="5" t="s">
        <v>1079</v>
      </c>
      <c r="H13" s="6"/>
      <c r="I13" s="6"/>
      <c r="J13" s="6"/>
      <c r="K13" s="6"/>
      <c r="L13" s="7" t="s">
        <v>6310</v>
      </c>
      <c r="M13" s="8">
        <v>558637</v>
      </c>
      <c r="N13" s="8" t="str">
        <f t="shared" si="5"/>
        <v>PEN</v>
      </c>
      <c r="O13" s="13"/>
      <c r="P13" s="13">
        <v>8</v>
      </c>
      <c r="Q13" s="3">
        <f t="shared" si="6"/>
        <v>0</v>
      </c>
      <c r="R13" s="3">
        <f t="shared" si="7"/>
        <v>8</v>
      </c>
      <c r="S13" s="3">
        <f t="shared" si="3"/>
        <v>2337.85</v>
      </c>
      <c r="T13" s="24"/>
      <c r="U13" s="24"/>
      <c r="V13" s="69"/>
      <c r="W13" s="25" t="s">
        <v>6307</v>
      </c>
      <c r="X13" s="25"/>
      <c r="Y13" s="25"/>
      <c r="Z13" s="25"/>
      <c r="AA13" s="25"/>
      <c r="AB13" s="3" t="str">
        <f>IF(Caja_Operativa[[#This Row],[FECHA]]&gt;0,TEXT(Caja_Operativa[[#This Row],[FECHA]],"mmmm"),0)</f>
        <v>Enero</v>
      </c>
    </row>
    <row r="14" spans="2:28" ht="60" hidden="1" x14ac:dyDescent="0.3">
      <c r="B14" s="2">
        <f>IF(Caja_Operativa[[#This Row],[TIPO DE R.]]="R",COUNTIFS($D$4:$D13,"R")+1,"")</f>
        <v>10</v>
      </c>
      <c r="C14" s="19" t="str">
        <f t="shared" si="4"/>
        <v>C-Operativa</v>
      </c>
      <c r="D14" s="3" t="s">
        <v>1074</v>
      </c>
      <c r="E14" s="14">
        <v>45664</v>
      </c>
      <c r="F14" s="5" t="s">
        <v>6299</v>
      </c>
      <c r="G14" s="5" t="s">
        <v>1079</v>
      </c>
      <c r="H14" s="6"/>
      <c r="I14" s="6"/>
      <c r="J14" s="6"/>
      <c r="K14" s="6"/>
      <c r="L14" s="7" t="s">
        <v>6311</v>
      </c>
      <c r="M14" s="8">
        <v>561931</v>
      </c>
      <c r="N14" s="8" t="str">
        <f t="shared" si="5"/>
        <v>PEN</v>
      </c>
      <c r="O14" s="13"/>
      <c r="P14" s="13">
        <v>8</v>
      </c>
      <c r="Q14" s="3">
        <f t="shared" si="6"/>
        <v>0</v>
      </c>
      <c r="R14" s="3">
        <f t="shared" si="7"/>
        <v>8</v>
      </c>
      <c r="S14" s="3">
        <f t="shared" si="3"/>
        <v>2329.85</v>
      </c>
      <c r="T14" s="24"/>
      <c r="U14" s="24"/>
      <c r="V14" s="69"/>
      <c r="W14" s="25" t="s">
        <v>6307</v>
      </c>
      <c r="X14" s="25"/>
      <c r="Y14" s="25"/>
      <c r="Z14" s="25"/>
      <c r="AA14" s="25"/>
      <c r="AB14" s="3" t="str">
        <f>IF(Caja_Operativa[[#This Row],[FECHA]]&gt;0,TEXT(Caja_Operativa[[#This Row],[FECHA]],"mmmm"),0)</f>
        <v>Enero</v>
      </c>
    </row>
    <row r="15" spans="2:28" ht="60" hidden="1" x14ac:dyDescent="0.3">
      <c r="B15" s="2">
        <f>IF(Caja_Operativa[[#This Row],[TIPO DE R.]]="R",COUNTIFS($D$4:$D14,"R")+1,"")</f>
        <v>11</v>
      </c>
      <c r="C15" s="19" t="str">
        <f t="shared" si="4"/>
        <v>C-Operativa</v>
      </c>
      <c r="D15" s="3" t="s">
        <v>1074</v>
      </c>
      <c r="E15" s="14">
        <v>45664</v>
      </c>
      <c r="F15" s="5" t="s">
        <v>6299</v>
      </c>
      <c r="G15" s="5" t="s">
        <v>1079</v>
      </c>
      <c r="H15" s="6"/>
      <c r="I15" s="6"/>
      <c r="J15" s="6"/>
      <c r="K15" s="6"/>
      <c r="L15" s="7" t="s">
        <v>6312</v>
      </c>
      <c r="M15" s="8">
        <v>529498</v>
      </c>
      <c r="N15" s="8" t="str">
        <f t="shared" si="5"/>
        <v>PEN</v>
      </c>
      <c r="O15" s="13"/>
      <c r="P15" s="13">
        <v>8</v>
      </c>
      <c r="Q15" s="3">
        <f t="shared" si="6"/>
        <v>0</v>
      </c>
      <c r="R15" s="3">
        <f t="shared" si="7"/>
        <v>8</v>
      </c>
      <c r="S15" s="3">
        <f t="shared" si="3"/>
        <v>2321.85</v>
      </c>
      <c r="T15" s="24"/>
      <c r="U15" s="24"/>
      <c r="V15" s="69"/>
      <c r="W15" s="25" t="s">
        <v>6307</v>
      </c>
      <c r="X15" s="25"/>
      <c r="Y15" s="25"/>
      <c r="Z15" s="25"/>
      <c r="AA15" s="25"/>
      <c r="AB15" s="3" t="str">
        <f>IF(Caja_Operativa[[#This Row],[FECHA]]&gt;0,TEXT(Caja_Operativa[[#This Row],[FECHA]],"mmmm"),0)</f>
        <v>Enero</v>
      </c>
    </row>
    <row r="16" spans="2:28" ht="60" hidden="1" x14ac:dyDescent="0.3">
      <c r="B16" s="2">
        <f>IF(Caja_Operativa[[#This Row],[TIPO DE R.]]="R",COUNTIFS($D$4:$D15,"R")+1,"")</f>
        <v>12</v>
      </c>
      <c r="C16" s="19" t="str">
        <f t="shared" si="4"/>
        <v>C-Operativa</v>
      </c>
      <c r="D16" s="3" t="s">
        <v>1074</v>
      </c>
      <c r="E16" s="14">
        <v>45664</v>
      </c>
      <c r="F16" s="5" t="s">
        <v>6299</v>
      </c>
      <c r="G16" s="5" t="s">
        <v>1079</v>
      </c>
      <c r="H16" s="6"/>
      <c r="I16" s="6"/>
      <c r="J16" s="6"/>
      <c r="K16" s="6"/>
      <c r="L16" s="7" t="s">
        <v>6313</v>
      </c>
      <c r="M16" s="8">
        <v>526737</v>
      </c>
      <c r="N16" s="8" t="str">
        <f t="shared" si="5"/>
        <v>PEN</v>
      </c>
      <c r="O16" s="13"/>
      <c r="P16" s="13">
        <v>8</v>
      </c>
      <c r="Q16" s="3">
        <f t="shared" si="6"/>
        <v>0</v>
      </c>
      <c r="R16" s="3">
        <f t="shared" si="7"/>
        <v>8</v>
      </c>
      <c r="S16" s="3">
        <f t="shared" si="3"/>
        <v>2313.85</v>
      </c>
      <c r="T16" s="24"/>
      <c r="U16" s="24"/>
      <c r="V16" s="69"/>
      <c r="W16" s="25" t="s">
        <v>6307</v>
      </c>
      <c r="X16" s="25"/>
      <c r="Y16" s="25"/>
      <c r="Z16" s="25"/>
      <c r="AA16" s="25"/>
      <c r="AB16" s="3" t="str">
        <f>IF(Caja_Operativa[[#This Row],[FECHA]]&gt;0,TEXT(Caja_Operativa[[#This Row],[FECHA]],"mmmm"),0)</f>
        <v>Enero</v>
      </c>
    </row>
    <row r="17" spans="2:28" ht="60" hidden="1" x14ac:dyDescent="0.3">
      <c r="B17" s="2">
        <f>IF(Caja_Operativa[[#This Row],[TIPO DE R.]]="R",COUNTIFS($D$4:$D16,"R")+1,"")</f>
        <v>13</v>
      </c>
      <c r="C17" s="19" t="str">
        <f t="shared" si="4"/>
        <v>C-Operativa</v>
      </c>
      <c r="D17" s="3" t="s">
        <v>1074</v>
      </c>
      <c r="E17" s="14">
        <v>45664</v>
      </c>
      <c r="F17" s="5" t="s">
        <v>6299</v>
      </c>
      <c r="G17" s="5" t="s">
        <v>1079</v>
      </c>
      <c r="H17" s="6"/>
      <c r="I17" s="6"/>
      <c r="J17" s="6"/>
      <c r="K17" s="6"/>
      <c r="L17" s="7" t="s">
        <v>6314</v>
      </c>
      <c r="M17" s="8">
        <v>564894</v>
      </c>
      <c r="N17" s="8" t="str">
        <f t="shared" si="5"/>
        <v>PEN</v>
      </c>
      <c r="O17" s="13"/>
      <c r="P17" s="13">
        <v>8</v>
      </c>
      <c r="Q17" s="3">
        <f t="shared" si="6"/>
        <v>0</v>
      </c>
      <c r="R17" s="3">
        <f t="shared" si="7"/>
        <v>8</v>
      </c>
      <c r="S17" s="3">
        <f t="shared" si="3"/>
        <v>2305.85</v>
      </c>
      <c r="T17" s="24"/>
      <c r="U17" s="24"/>
      <c r="V17" s="69"/>
      <c r="W17" s="25" t="s">
        <v>6307</v>
      </c>
      <c r="X17" s="25"/>
      <c r="Y17" s="25"/>
      <c r="Z17" s="25"/>
      <c r="AA17" s="25"/>
      <c r="AB17" s="3" t="str">
        <f>IF(Caja_Operativa[[#This Row],[FECHA]]&gt;0,TEXT(Caja_Operativa[[#This Row],[FECHA]],"mmmm"),0)</f>
        <v>Enero</v>
      </c>
    </row>
    <row r="18" spans="2:28" ht="60" hidden="1" x14ac:dyDescent="0.3">
      <c r="B18" s="2">
        <f>IF(Caja_Operativa[[#This Row],[TIPO DE R.]]="R",COUNTIFS($D$4:$D17,"R")+1,"")</f>
        <v>14</v>
      </c>
      <c r="C18" s="19" t="str">
        <f t="shared" si="4"/>
        <v>C-Operativa</v>
      </c>
      <c r="D18" s="3" t="s">
        <v>1074</v>
      </c>
      <c r="E18" s="14">
        <v>45664</v>
      </c>
      <c r="F18" s="5" t="s">
        <v>6299</v>
      </c>
      <c r="G18" s="5" t="s">
        <v>1079</v>
      </c>
      <c r="H18" s="6"/>
      <c r="I18" s="6"/>
      <c r="J18" s="6"/>
      <c r="K18" s="6"/>
      <c r="L18" s="7" t="s">
        <v>6315</v>
      </c>
      <c r="M18" s="8">
        <v>539049</v>
      </c>
      <c r="N18" s="8" t="str">
        <f t="shared" si="5"/>
        <v>PEN</v>
      </c>
      <c r="O18" s="13"/>
      <c r="P18" s="13">
        <v>10</v>
      </c>
      <c r="Q18" s="3">
        <f t="shared" si="6"/>
        <v>0</v>
      </c>
      <c r="R18" s="3">
        <f t="shared" si="7"/>
        <v>10</v>
      </c>
      <c r="S18" s="3">
        <f t="shared" si="3"/>
        <v>2295.85</v>
      </c>
      <c r="T18" s="24"/>
      <c r="U18" s="24"/>
      <c r="V18" s="69"/>
      <c r="W18" s="25" t="s">
        <v>6307</v>
      </c>
      <c r="X18" s="25"/>
      <c r="Y18" s="25"/>
      <c r="Z18" s="25"/>
      <c r="AA18" s="25"/>
      <c r="AB18" s="3" t="str">
        <f>IF(Caja_Operativa[[#This Row],[FECHA]]&gt;0,TEXT(Caja_Operativa[[#This Row],[FECHA]],"mmmm"),0)</f>
        <v>Enero</v>
      </c>
    </row>
    <row r="19" spans="2:28" ht="60" hidden="1" x14ac:dyDescent="0.3">
      <c r="B19" s="2">
        <f>IF(Caja_Operativa[[#This Row],[TIPO DE R.]]="R",COUNTIFS($D$4:$D18,"R")+1,"")</f>
        <v>15</v>
      </c>
      <c r="C19" s="19" t="str">
        <f t="shared" si="4"/>
        <v>C-Operativa</v>
      </c>
      <c r="D19" s="3" t="s">
        <v>1074</v>
      </c>
      <c r="E19" s="14">
        <v>45664</v>
      </c>
      <c r="F19" s="5" t="s">
        <v>6299</v>
      </c>
      <c r="G19" s="5" t="s">
        <v>1079</v>
      </c>
      <c r="H19" s="6"/>
      <c r="I19" s="6"/>
      <c r="J19" s="6"/>
      <c r="K19" s="6"/>
      <c r="L19" s="7" t="s">
        <v>6316</v>
      </c>
      <c r="M19" s="8">
        <v>542784</v>
      </c>
      <c r="N19" s="8" t="str">
        <f t="shared" si="5"/>
        <v>PEN</v>
      </c>
      <c r="O19" s="13"/>
      <c r="P19" s="13">
        <v>8</v>
      </c>
      <c r="Q19" s="3">
        <f t="shared" si="6"/>
        <v>0</v>
      </c>
      <c r="R19" s="3">
        <f t="shared" si="7"/>
        <v>8</v>
      </c>
      <c r="S19" s="3">
        <f t="shared" si="3"/>
        <v>2287.85</v>
      </c>
      <c r="T19" s="24"/>
      <c r="U19" s="24"/>
      <c r="V19" s="69"/>
      <c r="W19" s="25" t="s">
        <v>6307</v>
      </c>
      <c r="X19" s="25"/>
      <c r="Y19" s="25"/>
      <c r="Z19" s="25"/>
      <c r="AA19" s="25"/>
      <c r="AB19" s="3" t="str">
        <f>IF(Caja_Operativa[[#This Row],[FECHA]]&gt;0,TEXT(Caja_Operativa[[#This Row],[FECHA]],"mmmm"),0)</f>
        <v>Enero</v>
      </c>
    </row>
    <row r="20" spans="2:28" ht="60" hidden="1" x14ac:dyDescent="0.3">
      <c r="B20" s="2">
        <f>IF(Caja_Operativa[[#This Row],[TIPO DE R.]]="R",COUNTIFS($D$4:$D19,"R")+1,"")</f>
        <v>16</v>
      </c>
      <c r="C20" s="19" t="str">
        <f t="shared" si="4"/>
        <v>C-Operativa</v>
      </c>
      <c r="D20" s="3" t="s">
        <v>1074</v>
      </c>
      <c r="E20" s="14">
        <v>45664</v>
      </c>
      <c r="F20" s="5" t="s">
        <v>6299</v>
      </c>
      <c r="G20" s="5" t="s">
        <v>1079</v>
      </c>
      <c r="H20" s="6"/>
      <c r="I20" s="6"/>
      <c r="J20" s="6"/>
      <c r="K20" s="6"/>
      <c r="L20" s="7" t="s">
        <v>6317</v>
      </c>
      <c r="M20" s="8">
        <v>566210</v>
      </c>
      <c r="N20" s="8" t="str">
        <f t="shared" si="5"/>
        <v>PEN</v>
      </c>
      <c r="O20" s="13"/>
      <c r="P20" s="13">
        <v>8</v>
      </c>
      <c r="Q20" s="3">
        <f t="shared" si="6"/>
        <v>0</v>
      </c>
      <c r="R20" s="3">
        <f t="shared" si="7"/>
        <v>8</v>
      </c>
      <c r="S20" s="3">
        <f t="shared" si="3"/>
        <v>2279.85</v>
      </c>
      <c r="T20" s="24"/>
      <c r="U20" s="24"/>
      <c r="V20" s="69"/>
      <c r="W20" s="25" t="s">
        <v>6307</v>
      </c>
      <c r="X20" s="25"/>
      <c r="Y20" s="25"/>
      <c r="Z20" s="25"/>
      <c r="AA20" s="25"/>
      <c r="AB20" s="3" t="str">
        <f>IF(Caja_Operativa[[#This Row],[FECHA]]&gt;0,TEXT(Caja_Operativa[[#This Row],[FECHA]],"mmmm"),0)</f>
        <v>Enero</v>
      </c>
    </row>
    <row r="21" spans="2:28" ht="60" hidden="1" x14ac:dyDescent="0.3">
      <c r="B21" s="2">
        <f>IF(Caja_Operativa[[#This Row],[TIPO DE R.]]="R",COUNTIFS($D$4:$D20,"R")+1,"")</f>
        <v>17</v>
      </c>
      <c r="C21" s="19" t="str">
        <f t="shared" si="4"/>
        <v>C-Operativa</v>
      </c>
      <c r="D21" s="3" t="s">
        <v>1074</v>
      </c>
      <c r="E21" s="14">
        <v>45664</v>
      </c>
      <c r="F21" s="5" t="s">
        <v>6299</v>
      </c>
      <c r="G21" s="5" t="s">
        <v>1079</v>
      </c>
      <c r="H21" s="6"/>
      <c r="I21" s="6"/>
      <c r="J21" s="6"/>
      <c r="K21" s="6"/>
      <c r="L21" s="7" t="s">
        <v>6318</v>
      </c>
      <c r="M21" s="8">
        <v>585258</v>
      </c>
      <c r="N21" s="8" t="str">
        <f t="shared" si="5"/>
        <v>PEN</v>
      </c>
      <c r="O21" s="13"/>
      <c r="P21" s="13">
        <v>8</v>
      </c>
      <c r="Q21" s="3">
        <f t="shared" si="6"/>
        <v>0</v>
      </c>
      <c r="R21" s="3">
        <f t="shared" si="7"/>
        <v>8</v>
      </c>
      <c r="S21" s="3">
        <f t="shared" si="3"/>
        <v>2271.85</v>
      </c>
      <c r="T21" s="24"/>
      <c r="U21" s="24"/>
      <c r="V21" s="69"/>
      <c r="W21" s="25" t="s">
        <v>6307</v>
      </c>
      <c r="X21" s="25"/>
      <c r="Y21" s="25"/>
      <c r="Z21" s="25"/>
      <c r="AA21" s="25"/>
      <c r="AB21" s="3" t="str">
        <f>IF(Caja_Operativa[[#This Row],[FECHA]]&gt;0,TEXT(Caja_Operativa[[#This Row],[FECHA]],"mmmm"),0)</f>
        <v>Enero</v>
      </c>
    </row>
    <row r="22" spans="2:28" ht="60" hidden="1" x14ac:dyDescent="0.3">
      <c r="B22" s="2">
        <f>IF(Caja_Operativa[[#This Row],[TIPO DE R.]]="R",COUNTIFS($D$4:$D21,"R")+1,"")</f>
        <v>18</v>
      </c>
      <c r="C22" s="19" t="str">
        <f t="shared" si="4"/>
        <v>C-Operativa</v>
      </c>
      <c r="D22" s="3" t="s">
        <v>1074</v>
      </c>
      <c r="E22" s="14">
        <v>45664</v>
      </c>
      <c r="F22" s="5" t="s">
        <v>6299</v>
      </c>
      <c r="G22" s="5" t="s">
        <v>1079</v>
      </c>
      <c r="H22" s="6"/>
      <c r="I22" s="6"/>
      <c r="J22" s="6"/>
      <c r="K22" s="6"/>
      <c r="L22" s="7" t="s">
        <v>6319</v>
      </c>
      <c r="M22" s="8">
        <v>576632</v>
      </c>
      <c r="N22" s="8" t="str">
        <f t="shared" si="5"/>
        <v>PEN</v>
      </c>
      <c r="O22" s="13"/>
      <c r="P22" s="13">
        <v>8</v>
      </c>
      <c r="Q22" s="3">
        <f t="shared" si="6"/>
        <v>0</v>
      </c>
      <c r="R22" s="3">
        <f t="shared" si="7"/>
        <v>8</v>
      </c>
      <c r="S22" s="3">
        <f t="shared" si="3"/>
        <v>2263.85</v>
      </c>
      <c r="T22" s="24"/>
      <c r="U22" s="24"/>
      <c r="V22" s="69"/>
      <c r="W22" s="25" t="s">
        <v>6307</v>
      </c>
      <c r="X22" s="25"/>
      <c r="Y22" s="25"/>
      <c r="Z22" s="25"/>
      <c r="AA22" s="25"/>
      <c r="AB22" s="3" t="str">
        <f>IF(Caja_Operativa[[#This Row],[FECHA]]&gt;0,TEXT(Caja_Operativa[[#This Row],[FECHA]],"mmmm"),0)</f>
        <v>Enero</v>
      </c>
    </row>
    <row r="23" spans="2:28" ht="60" hidden="1" x14ac:dyDescent="0.3">
      <c r="B23" s="2">
        <f>IF(Caja_Operativa[[#This Row],[TIPO DE R.]]="R",COUNTIFS($D$4:$D22,"R")+1,"")</f>
        <v>19</v>
      </c>
      <c r="C23" s="19" t="str">
        <f t="shared" si="4"/>
        <v>C-Operativa</v>
      </c>
      <c r="D23" s="3" t="s">
        <v>1074</v>
      </c>
      <c r="E23" s="14">
        <v>45664</v>
      </c>
      <c r="F23" s="5" t="s">
        <v>6299</v>
      </c>
      <c r="G23" s="5" t="s">
        <v>1079</v>
      </c>
      <c r="H23" s="6"/>
      <c r="I23" s="6"/>
      <c r="J23" s="6"/>
      <c r="K23" s="6"/>
      <c r="L23" s="7" t="s">
        <v>6320</v>
      </c>
      <c r="M23" s="8">
        <v>573918</v>
      </c>
      <c r="N23" s="8" t="str">
        <f t="shared" si="5"/>
        <v>PEN</v>
      </c>
      <c r="O23" s="13"/>
      <c r="P23" s="13">
        <v>25</v>
      </c>
      <c r="Q23" s="3">
        <f t="shared" si="6"/>
        <v>0</v>
      </c>
      <c r="R23" s="3">
        <f t="shared" si="7"/>
        <v>25</v>
      </c>
      <c r="S23" s="3">
        <f t="shared" si="3"/>
        <v>2238.85</v>
      </c>
      <c r="T23" s="24"/>
      <c r="U23" s="24"/>
      <c r="V23" s="69"/>
      <c r="W23" s="25" t="s">
        <v>6307</v>
      </c>
      <c r="X23" s="25"/>
      <c r="Y23" s="25"/>
      <c r="Z23" s="25"/>
      <c r="AA23" s="25"/>
      <c r="AB23" s="3" t="str">
        <f>IF(Caja_Operativa[[#This Row],[FECHA]]&gt;0,TEXT(Caja_Operativa[[#This Row],[FECHA]],"mmmm"),0)</f>
        <v>Enero</v>
      </c>
    </row>
    <row r="24" spans="2:28" ht="60" hidden="1" x14ac:dyDescent="0.3">
      <c r="B24" s="2">
        <f>IF(Caja_Operativa[[#This Row],[TIPO DE R.]]="R",COUNTIFS($D$4:$D23,"R")+1,"")</f>
        <v>20</v>
      </c>
      <c r="C24" s="19" t="str">
        <f t="shared" si="4"/>
        <v>C-Operativa</v>
      </c>
      <c r="D24" s="3" t="s">
        <v>1074</v>
      </c>
      <c r="E24" s="14">
        <v>45664</v>
      </c>
      <c r="F24" s="5" t="s">
        <v>6299</v>
      </c>
      <c r="G24" s="5" t="s">
        <v>1079</v>
      </c>
      <c r="H24" s="6"/>
      <c r="I24" s="6"/>
      <c r="J24" s="6"/>
      <c r="K24" s="6"/>
      <c r="L24" s="7" t="s">
        <v>6321</v>
      </c>
      <c r="M24" s="8">
        <v>577011</v>
      </c>
      <c r="N24" s="8" t="str">
        <f t="shared" si="5"/>
        <v>PEN</v>
      </c>
      <c r="O24" s="13"/>
      <c r="P24" s="13">
        <v>8</v>
      </c>
      <c r="Q24" s="3">
        <f t="shared" si="6"/>
        <v>0</v>
      </c>
      <c r="R24" s="3">
        <f t="shared" si="7"/>
        <v>8</v>
      </c>
      <c r="S24" s="3">
        <f t="shared" si="3"/>
        <v>2230.85</v>
      </c>
      <c r="T24" s="24"/>
      <c r="U24" s="24"/>
      <c r="V24" s="69"/>
      <c r="W24" s="25" t="s">
        <v>6307</v>
      </c>
      <c r="X24" s="25"/>
      <c r="Y24" s="25"/>
      <c r="Z24" s="25"/>
      <c r="AA24" s="25"/>
      <c r="AB24" s="3" t="str">
        <f>IF(Caja_Operativa[[#This Row],[FECHA]]&gt;0,TEXT(Caja_Operativa[[#This Row],[FECHA]],"mmmm"),0)</f>
        <v>Enero</v>
      </c>
    </row>
    <row r="25" spans="2:28" ht="60" hidden="1" x14ac:dyDescent="0.3">
      <c r="B25" s="2">
        <f>IF(Caja_Operativa[[#This Row],[TIPO DE R.]]="R",COUNTIFS($D$4:$D24,"R")+1,"")</f>
        <v>21</v>
      </c>
      <c r="C25" s="19" t="str">
        <f t="shared" si="4"/>
        <v>C-Operativa</v>
      </c>
      <c r="D25" s="3" t="s">
        <v>1074</v>
      </c>
      <c r="E25" s="14">
        <v>45664</v>
      </c>
      <c r="F25" s="5" t="s">
        <v>6299</v>
      </c>
      <c r="G25" s="5" t="s">
        <v>1079</v>
      </c>
      <c r="H25" s="6"/>
      <c r="I25" s="6"/>
      <c r="J25" s="6"/>
      <c r="K25" s="6"/>
      <c r="L25" s="7" t="s">
        <v>6322</v>
      </c>
      <c r="M25" s="8">
        <v>601259</v>
      </c>
      <c r="N25" s="8" t="str">
        <f t="shared" si="5"/>
        <v>PEN</v>
      </c>
      <c r="O25" s="13"/>
      <c r="P25" s="13">
        <v>8</v>
      </c>
      <c r="Q25" s="3">
        <f t="shared" si="6"/>
        <v>0</v>
      </c>
      <c r="R25" s="3">
        <f t="shared" si="7"/>
        <v>8</v>
      </c>
      <c r="S25" s="3">
        <f t="shared" si="3"/>
        <v>2222.85</v>
      </c>
      <c r="T25" s="24"/>
      <c r="U25" s="24"/>
      <c r="V25" s="69"/>
      <c r="W25" s="25" t="s">
        <v>6307</v>
      </c>
      <c r="X25" s="25"/>
      <c r="Y25" s="25"/>
      <c r="Z25" s="25"/>
      <c r="AA25" s="25"/>
      <c r="AB25" s="3" t="str">
        <f>IF(Caja_Operativa[[#This Row],[FECHA]]&gt;0,TEXT(Caja_Operativa[[#This Row],[FECHA]],"mmmm"),0)</f>
        <v>Enero</v>
      </c>
    </row>
    <row r="26" spans="2:28" ht="60" hidden="1" x14ac:dyDescent="0.3">
      <c r="B26" s="2">
        <f>IF(Caja_Operativa[[#This Row],[TIPO DE R.]]="R",COUNTIFS($D$4:$D25,"R")+1,"")</f>
        <v>22</v>
      </c>
      <c r="C26" s="19" t="str">
        <f t="shared" si="4"/>
        <v>C-Operativa</v>
      </c>
      <c r="D26" s="3" t="s">
        <v>1074</v>
      </c>
      <c r="E26" s="14">
        <v>45664</v>
      </c>
      <c r="F26" s="5" t="s">
        <v>6299</v>
      </c>
      <c r="G26" s="5" t="s">
        <v>1079</v>
      </c>
      <c r="H26" s="6"/>
      <c r="I26" s="6"/>
      <c r="J26" s="6"/>
      <c r="K26" s="6"/>
      <c r="L26" s="7" t="s">
        <v>6323</v>
      </c>
      <c r="M26" s="8">
        <v>612542</v>
      </c>
      <c r="N26" s="8" t="str">
        <f t="shared" si="5"/>
        <v>PEN</v>
      </c>
      <c r="O26" s="13"/>
      <c r="P26" s="13">
        <v>10</v>
      </c>
      <c r="Q26" s="3">
        <f t="shared" si="6"/>
        <v>0</v>
      </c>
      <c r="R26" s="3">
        <f t="shared" si="7"/>
        <v>10</v>
      </c>
      <c r="S26" s="3">
        <f t="shared" si="3"/>
        <v>2212.85</v>
      </c>
      <c r="T26" s="24"/>
      <c r="U26" s="24"/>
      <c r="V26" s="69"/>
      <c r="W26" s="25" t="s">
        <v>6307</v>
      </c>
      <c r="X26" s="25"/>
      <c r="Y26" s="25"/>
      <c r="Z26" s="25"/>
      <c r="AA26" s="25"/>
      <c r="AB26" s="3" t="str">
        <f>IF(Caja_Operativa[[#This Row],[FECHA]]&gt;0,TEXT(Caja_Operativa[[#This Row],[FECHA]],"mmmm"),0)</f>
        <v>Enero</v>
      </c>
    </row>
    <row r="27" spans="2:28" ht="60" hidden="1" x14ac:dyDescent="0.3">
      <c r="B27" s="2">
        <f>IF(Caja_Operativa[[#This Row],[TIPO DE R.]]="R",COUNTIFS($D$4:$D26,"R")+1,"")</f>
        <v>23</v>
      </c>
      <c r="C27" s="19" t="str">
        <f t="shared" si="4"/>
        <v>C-Operativa</v>
      </c>
      <c r="D27" s="3" t="s">
        <v>1074</v>
      </c>
      <c r="E27" s="14">
        <v>45664</v>
      </c>
      <c r="F27" s="5" t="s">
        <v>6299</v>
      </c>
      <c r="G27" s="5" t="s">
        <v>1079</v>
      </c>
      <c r="H27" s="6"/>
      <c r="I27" s="6"/>
      <c r="J27" s="6"/>
      <c r="K27" s="6"/>
      <c r="L27" s="7" t="s">
        <v>6324</v>
      </c>
      <c r="M27" s="8">
        <v>574851</v>
      </c>
      <c r="N27" s="8" t="str">
        <f t="shared" si="5"/>
        <v>PEN</v>
      </c>
      <c r="O27" s="13"/>
      <c r="P27" s="13">
        <v>8</v>
      </c>
      <c r="Q27" s="3">
        <f t="shared" si="6"/>
        <v>0</v>
      </c>
      <c r="R27" s="3">
        <f t="shared" si="7"/>
        <v>8</v>
      </c>
      <c r="S27" s="3">
        <f t="shared" si="3"/>
        <v>2204.85</v>
      </c>
      <c r="T27" s="24"/>
      <c r="U27" s="24"/>
      <c r="V27" s="69"/>
      <c r="W27" s="25" t="s">
        <v>6307</v>
      </c>
      <c r="X27" s="25"/>
      <c r="Y27" s="25"/>
      <c r="Z27" s="25"/>
      <c r="AA27" s="25"/>
      <c r="AB27" s="3" t="str">
        <f>IF(Caja_Operativa[[#This Row],[FECHA]]&gt;0,TEXT(Caja_Operativa[[#This Row],[FECHA]],"mmmm"),0)</f>
        <v>Enero</v>
      </c>
    </row>
    <row r="28" spans="2:28" ht="24" hidden="1" x14ac:dyDescent="0.3">
      <c r="B28" s="2">
        <f>IF(Caja_Operativa[[#This Row],[TIPO DE R.]]="R",COUNTIFS($D$4:$D27,"R")+1,"")</f>
        <v>24</v>
      </c>
      <c r="C28" s="19" t="str">
        <f t="shared" si="4"/>
        <v>C-Operativa</v>
      </c>
      <c r="D28" s="3" t="s">
        <v>1074</v>
      </c>
      <c r="E28" s="14">
        <v>45665</v>
      </c>
      <c r="F28" s="5" t="s">
        <v>6299</v>
      </c>
      <c r="G28" s="5" t="s">
        <v>1079</v>
      </c>
      <c r="H28" s="6"/>
      <c r="I28" s="6"/>
      <c r="J28" s="6"/>
      <c r="K28" s="6"/>
      <c r="L28" s="7" t="s">
        <v>6302</v>
      </c>
      <c r="M28" s="8">
        <v>250932</v>
      </c>
      <c r="N28" s="8" t="str">
        <f t="shared" si="5"/>
        <v>PEN</v>
      </c>
      <c r="O28" s="13"/>
      <c r="P28" s="13">
        <v>200</v>
      </c>
      <c r="Q28" s="3">
        <f t="shared" si="6"/>
        <v>0</v>
      </c>
      <c r="R28" s="3">
        <f t="shared" si="7"/>
        <v>200</v>
      </c>
      <c r="S28" s="3">
        <f t="shared" si="3"/>
        <v>2004.85</v>
      </c>
      <c r="T28" s="24"/>
      <c r="U28" s="24"/>
      <c r="V28" s="69"/>
      <c r="W28" s="25" t="s">
        <v>6325</v>
      </c>
      <c r="X28" s="25"/>
      <c r="Y28" s="25"/>
      <c r="Z28" s="25"/>
      <c r="AA28" s="25"/>
      <c r="AB28" s="3" t="str">
        <f>IF(Caja_Operativa[[#This Row],[FECHA]]&gt;0,TEXT(Caja_Operativa[[#This Row],[FECHA]],"mmmm"),0)</f>
        <v>Enero</v>
      </c>
    </row>
    <row r="29" spans="2:28" ht="24" hidden="1" x14ac:dyDescent="0.3">
      <c r="B29" s="2">
        <f>IF(Caja_Operativa[[#This Row],[TIPO DE R.]]="R",COUNTIFS($D$4:$D28,"R")+1,"")</f>
        <v>25</v>
      </c>
      <c r="C29" s="19" t="str">
        <f t="shared" si="4"/>
        <v>C-Operativa</v>
      </c>
      <c r="D29" s="3" t="s">
        <v>1074</v>
      </c>
      <c r="E29" s="14">
        <v>45665</v>
      </c>
      <c r="F29" s="5" t="s">
        <v>6299</v>
      </c>
      <c r="G29" s="5" t="s">
        <v>1079</v>
      </c>
      <c r="H29" s="6"/>
      <c r="I29" s="6"/>
      <c r="J29" s="6"/>
      <c r="K29" s="6"/>
      <c r="L29" s="7" t="s">
        <v>6302</v>
      </c>
      <c r="M29" s="8">
        <v>324967</v>
      </c>
      <c r="N29" s="8" t="str">
        <f t="shared" si="5"/>
        <v>PEN</v>
      </c>
      <c r="O29" s="13"/>
      <c r="P29" s="13">
        <v>70</v>
      </c>
      <c r="Q29" s="3">
        <f t="shared" si="6"/>
        <v>0</v>
      </c>
      <c r="R29" s="3">
        <f t="shared" si="7"/>
        <v>70</v>
      </c>
      <c r="S29" s="3">
        <f t="shared" si="3"/>
        <v>1934.85</v>
      </c>
      <c r="T29" s="24"/>
      <c r="U29" s="24"/>
      <c r="V29" s="69"/>
      <c r="W29" s="25" t="s">
        <v>6326</v>
      </c>
      <c r="X29" s="25"/>
      <c r="Y29" s="25"/>
      <c r="Z29" s="25"/>
      <c r="AA29" s="25"/>
      <c r="AB29" s="3" t="str">
        <f>IF(Caja_Operativa[[#This Row],[FECHA]]&gt;0,TEXT(Caja_Operativa[[#This Row],[FECHA]],"mmmm"),0)</f>
        <v>Enero</v>
      </c>
    </row>
    <row r="30" spans="2:28" ht="24" hidden="1" x14ac:dyDescent="0.3">
      <c r="B30" s="2">
        <f>IF(Caja_Operativa[[#This Row],[TIPO DE R.]]="R",COUNTIFS($D$4:$D29,"R")+1,"")</f>
        <v>26</v>
      </c>
      <c r="C30" s="19" t="str">
        <f t="shared" si="4"/>
        <v>C-Operativa</v>
      </c>
      <c r="D30" s="3" t="s">
        <v>1074</v>
      </c>
      <c r="E30" s="14">
        <v>45670</v>
      </c>
      <c r="F30" s="5" t="s">
        <v>6299</v>
      </c>
      <c r="G30" s="5" t="s">
        <v>1079</v>
      </c>
      <c r="H30" s="6"/>
      <c r="I30" s="6"/>
      <c r="J30" s="6"/>
      <c r="K30" s="6"/>
      <c r="L30" s="7" t="s">
        <v>6302</v>
      </c>
      <c r="M30" s="8">
        <v>1440598</v>
      </c>
      <c r="N30" s="8" t="str">
        <f t="shared" si="5"/>
        <v>PEN</v>
      </c>
      <c r="O30" s="13"/>
      <c r="P30" s="13">
        <v>150</v>
      </c>
      <c r="Q30" s="3">
        <f t="shared" si="6"/>
        <v>0</v>
      </c>
      <c r="R30" s="3">
        <f t="shared" si="7"/>
        <v>150</v>
      </c>
      <c r="S30" s="3">
        <f t="shared" si="3"/>
        <v>1784.85</v>
      </c>
      <c r="T30" s="24"/>
      <c r="U30" s="24"/>
      <c r="V30" s="69"/>
      <c r="W30" s="25" t="s">
        <v>6305</v>
      </c>
      <c r="X30" s="25"/>
      <c r="Y30" s="25"/>
      <c r="Z30" s="25"/>
      <c r="AA30" s="25"/>
      <c r="AB30" s="3" t="str">
        <f>IF(Caja_Operativa[[#This Row],[FECHA]]&gt;0,TEXT(Caja_Operativa[[#This Row],[FECHA]],"mmmm"),0)</f>
        <v>Enero</v>
      </c>
    </row>
    <row r="31" spans="2:28" ht="24" hidden="1" x14ac:dyDescent="0.3">
      <c r="B31" s="2">
        <f>IF(Caja_Operativa[[#This Row],[TIPO DE R.]]="R",COUNTIFS($D$4:$D30,"R")+1,"")</f>
        <v>27</v>
      </c>
      <c r="C31" s="19" t="str">
        <f t="shared" si="4"/>
        <v>C-Operativa</v>
      </c>
      <c r="D31" s="3" t="s">
        <v>1074</v>
      </c>
      <c r="E31" s="14">
        <v>45670</v>
      </c>
      <c r="F31" s="5" t="s">
        <v>6299</v>
      </c>
      <c r="G31" s="5" t="s">
        <v>1079</v>
      </c>
      <c r="H31" s="6"/>
      <c r="I31" s="6"/>
      <c r="J31" s="6"/>
      <c r="K31" s="6"/>
      <c r="L31" s="7" t="s">
        <v>6302</v>
      </c>
      <c r="M31" s="8">
        <v>1440980</v>
      </c>
      <c r="N31" s="8" t="str">
        <f t="shared" si="5"/>
        <v>PEN</v>
      </c>
      <c r="O31" s="13"/>
      <c r="P31" s="13">
        <v>120</v>
      </c>
      <c r="Q31" s="3">
        <f t="shared" si="6"/>
        <v>0</v>
      </c>
      <c r="R31" s="3">
        <f t="shared" si="7"/>
        <v>120</v>
      </c>
      <c r="S31" s="3">
        <f t="shared" si="3"/>
        <v>1664.85</v>
      </c>
      <c r="T31" s="24"/>
      <c r="U31" s="24"/>
      <c r="V31" s="69"/>
      <c r="W31" s="25" t="s">
        <v>6325</v>
      </c>
      <c r="X31" s="25"/>
      <c r="Y31" s="25"/>
      <c r="Z31" s="25"/>
      <c r="AA31" s="25"/>
      <c r="AB31" s="3" t="str">
        <f>IF(Caja_Operativa[[#This Row],[FECHA]]&gt;0,TEXT(Caja_Operativa[[#This Row],[FECHA]],"mmmm"),0)</f>
        <v>Enero</v>
      </c>
    </row>
    <row r="32" spans="2:28" hidden="1" x14ac:dyDescent="0.3">
      <c r="B32" s="2">
        <f>IF(Caja_Operativa[[#This Row],[TIPO DE R.]]="R",COUNTIFS($D$4:$D31,"R")+1,"")</f>
        <v>28</v>
      </c>
      <c r="C32" s="19" t="str">
        <f t="shared" si="4"/>
        <v>C-Operativa</v>
      </c>
      <c r="D32" s="3" t="s">
        <v>1074</v>
      </c>
      <c r="E32" s="14">
        <v>45670</v>
      </c>
      <c r="F32" s="5" t="s">
        <v>6299</v>
      </c>
      <c r="G32" s="5" t="s">
        <v>1079</v>
      </c>
      <c r="H32" s="6"/>
      <c r="I32" s="6"/>
      <c r="J32" s="6"/>
      <c r="K32" s="6"/>
      <c r="L32" s="7" t="s">
        <v>6302</v>
      </c>
      <c r="M32" s="8">
        <v>1441313</v>
      </c>
      <c r="N32" s="8" t="str">
        <f t="shared" si="5"/>
        <v>PEN</v>
      </c>
      <c r="O32" s="13"/>
      <c r="P32" s="13">
        <v>120</v>
      </c>
      <c r="Q32" s="3">
        <f t="shared" si="6"/>
        <v>0</v>
      </c>
      <c r="R32" s="3">
        <f t="shared" si="7"/>
        <v>120</v>
      </c>
      <c r="S32" s="3">
        <f t="shared" si="3"/>
        <v>1544.85</v>
      </c>
      <c r="T32" s="24"/>
      <c r="U32" s="24"/>
      <c r="V32" s="69"/>
      <c r="W32" s="25" t="s">
        <v>6303</v>
      </c>
      <c r="X32" s="25"/>
      <c r="Y32" s="25"/>
      <c r="Z32" s="25"/>
      <c r="AA32" s="25"/>
      <c r="AB32" s="3" t="str">
        <f>IF(Caja_Operativa[[#This Row],[FECHA]]&gt;0,TEXT(Caja_Operativa[[#This Row],[FECHA]],"mmmm"),0)</f>
        <v>Enero</v>
      </c>
    </row>
    <row r="33" spans="2:28" ht="24" hidden="1" x14ac:dyDescent="0.3">
      <c r="B33" s="2">
        <f>IF(Caja_Operativa[[#This Row],[TIPO DE R.]]="R",COUNTIFS($D$4:$D32,"R")+1,"")</f>
        <v>29</v>
      </c>
      <c r="C33" s="19" t="str">
        <f t="shared" si="4"/>
        <v>C-Operativa</v>
      </c>
      <c r="D33" s="3" t="s">
        <v>1074</v>
      </c>
      <c r="E33" s="14">
        <v>45670</v>
      </c>
      <c r="F33" s="5" t="s">
        <v>6299</v>
      </c>
      <c r="G33" s="5" t="s">
        <v>1079</v>
      </c>
      <c r="H33" s="6"/>
      <c r="I33" s="6"/>
      <c r="J33" s="6"/>
      <c r="K33" s="6"/>
      <c r="L33" s="7" t="s">
        <v>6302</v>
      </c>
      <c r="M33" s="8">
        <v>1460226</v>
      </c>
      <c r="N33" s="8" t="str">
        <f t="shared" si="5"/>
        <v>PEN</v>
      </c>
      <c r="O33" s="13"/>
      <c r="P33" s="13">
        <v>220</v>
      </c>
      <c r="Q33" s="3">
        <f t="shared" si="6"/>
        <v>0</v>
      </c>
      <c r="R33" s="3">
        <f t="shared" si="7"/>
        <v>220</v>
      </c>
      <c r="S33" s="3">
        <f t="shared" si="3"/>
        <v>1324.85</v>
      </c>
      <c r="T33" s="24"/>
      <c r="U33" s="24"/>
      <c r="V33" s="69"/>
      <c r="W33" s="25" t="s">
        <v>6301</v>
      </c>
      <c r="X33" s="25"/>
      <c r="Y33" s="25"/>
      <c r="Z33" s="25"/>
      <c r="AA33" s="25"/>
      <c r="AB33" s="3" t="str">
        <f>IF(Caja_Operativa[[#This Row],[FECHA]]&gt;0,TEXT(Caja_Operativa[[#This Row],[FECHA]],"mmmm"),0)</f>
        <v>Enero</v>
      </c>
    </row>
    <row r="34" spans="2:28" ht="24" hidden="1" x14ac:dyDescent="0.3">
      <c r="B34" s="2">
        <f>IF(Caja_Operativa[[#This Row],[TIPO DE R.]]="R",COUNTIFS($D$4:$D33,"R")+1,"")</f>
        <v>30</v>
      </c>
      <c r="C34" s="19" t="str">
        <f t="shared" si="4"/>
        <v>C-Operativa</v>
      </c>
      <c r="D34" s="3" t="s">
        <v>1074</v>
      </c>
      <c r="E34" s="14">
        <v>45670</v>
      </c>
      <c r="F34" s="5" t="s">
        <v>6299</v>
      </c>
      <c r="G34" s="5" t="s">
        <v>1079</v>
      </c>
      <c r="H34" s="6"/>
      <c r="I34" s="6"/>
      <c r="J34" s="6"/>
      <c r="K34" s="6"/>
      <c r="L34" s="7" t="s">
        <v>6327</v>
      </c>
      <c r="M34" s="8">
        <v>2322337</v>
      </c>
      <c r="N34" s="8" t="str">
        <f t="shared" si="5"/>
        <v>PEN</v>
      </c>
      <c r="O34" s="13"/>
      <c r="P34" s="13">
        <v>170</v>
      </c>
      <c r="Q34" s="3">
        <f t="shared" si="6"/>
        <v>0</v>
      </c>
      <c r="R34" s="3">
        <f t="shared" si="7"/>
        <v>170</v>
      </c>
      <c r="S34" s="3">
        <f t="shared" si="3"/>
        <v>1154.8499999999999</v>
      </c>
      <c r="T34" s="24"/>
      <c r="U34" s="24"/>
      <c r="V34" s="69"/>
      <c r="W34" s="25" t="s">
        <v>5618</v>
      </c>
      <c r="X34" s="25"/>
      <c r="Y34" s="25"/>
      <c r="Z34" s="25"/>
      <c r="AA34" s="25"/>
      <c r="AB34" s="3" t="str">
        <f>IF(Caja_Operativa[[#This Row],[FECHA]]&gt;0,TEXT(Caja_Operativa[[#This Row],[FECHA]],"mmmm"),0)</f>
        <v>Enero</v>
      </c>
    </row>
    <row r="35" spans="2:28" ht="24" hidden="1" x14ac:dyDescent="0.3">
      <c r="B35" s="2">
        <f>IF(Caja_Operativa[[#This Row],[TIPO DE R.]]="R",COUNTIFS($D$4:$D34,"R")+1,"")</f>
        <v>31</v>
      </c>
      <c r="C35" s="19" t="str">
        <f t="shared" si="4"/>
        <v>C-Operativa</v>
      </c>
      <c r="D35" s="3" t="s">
        <v>1074</v>
      </c>
      <c r="E35" s="14">
        <v>45670</v>
      </c>
      <c r="F35" s="5" t="s">
        <v>6299</v>
      </c>
      <c r="G35" s="5" t="s">
        <v>1079</v>
      </c>
      <c r="H35" s="6"/>
      <c r="I35" s="6"/>
      <c r="J35" s="6"/>
      <c r="K35" s="6"/>
      <c r="L35" s="7" t="s">
        <v>6302</v>
      </c>
      <c r="M35" s="8">
        <v>2316081</v>
      </c>
      <c r="N35" s="8" t="str">
        <f t="shared" si="5"/>
        <v>PEN</v>
      </c>
      <c r="O35" s="13"/>
      <c r="P35" s="13">
        <v>100</v>
      </c>
      <c r="Q35" s="3">
        <f t="shared" si="6"/>
        <v>0</v>
      </c>
      <c r="R35" s="3">
        <f t="shared" si="7"/>
        <v>100</v>
      </c>
      <c r="S35" s="3">
        <f t="shared" si="3"/>
        <v>1054.8499999999999</v>
      </c>
      <c r="T35" s="24"/>
      <c r="U35" s="24"/>
      <c r="V35" s="69"/>
      <c r="W35" s="25" t="s">
        <v>6326</v>
      </c>
      <c r="X35" s="25"/>
      <c r="Y35" s="25"/>
      <c r="Z35" s="25"/>
      <c r="AA35" s="25"/>
      <c r="AB35" s="3" t="str">
        <f>IF(Caja_Operativa[[#This Row],[FECHA]]&gt;0,TEXT(Caja_Operativa[[#This Row],[FECHA]],"mmmm"),0)</f>
        <v>Enero</v>
      </c>
    </row>
    <row r="36" spans="2:28" ht="60" hidden="1" x14ac:dyDescent="0.3">
      <c r="B36" s="2">
        <f>IF(Caja_Operativa[[#This Row],[TIPO DE R.]]="R",COUNTIFS($D$4:$D35,"R")+1,"")</f>
        <v>32</v>
      </c>
      <c r="C36" s="19" t="str">
        <f t="shared" si="4"/>
        <v>C-Operativa</v>
      </c>
      <c r="D36" s="3" t="s">
        <v>1074</v>
      </c>
      <c r="E36" s="14">
        <v>45670</v>
      </c>
      <c r="F36" s="5" t="s">
        <v>6299</v>
      </c>
      <c r="G36" s="5" t="s">
        <v>1079</v>
      </c>
      <c r="H36" s="6"/>
      <c r="I36" s="6"/>
      <c r="J36" s="6"/>
      <c r="K36" s="6"/>
      <c r="L36" s="7" t="s">
        <v>6328</v>
      </c>
      <c r="M36" s="8">
        <v>1484638</v>
      </c>
      <c r="N36" s="8" t="str">
        <f t="shared" si="5"/>
        <v>PEN</v>
      </c>
      <c r="O36" s="13"/>
      <c r="P36" s="13">
        <v>25</v>
      </c>
      <c r="Q36" s="3">
        <f t="shared" si="6"/>
        <v>0</v>
      </c>
      <c r="R36" s="3">
        <f t="shared" si="7"/>
        <v>25</v>
      </c>
      <c r="S36" s="3">
        <f t="shared" si="3"/>
        <v>1029.8499999999999</v>
      </c>
      <c r="T36" s="24"/>
      <c r="U36" s="24"/>
      <c r="V36" s="69"/>
      <c r="W36" s="25" t="s">
        <v>6307</v>
      </c>
      <c r="X36" s="25"/>
      <c r="Y36" s="25"/>
      <c r="Z36" s="25"/>
      <c r="AA36" s="25"/>
      <c r="AB36" s="3" t="str">
        <f>IF(Caja_Operativa[[#This Row],[FECHA]]&gt;0,TEXT(Caja_Operativa[[#This Row],[FECHA]],"mmmm"),0)</f>
        <v>Enero</v>
      </c>
    </row>
    <row r="37" spans="2:28" hidden="1" x14ac:dyDescent="0.3">
      <c r="B37" s="2">
        <f>IF(Caja_Operativa[[#This Row],[TIPO DE R.]]="R",COUNTIFS($D$4:$D36,"R")+1,"")</f>
        <v>33</v>
      </c>
      <c r="C37" s="19" t="str">
        <f t="shared" si="4"/>
        <v>C-Operativa</v>
      </c>
      <c r="D37" s="3" t="s">
        <v>1074</v>
      </c>
      <c r="E37" s="14">
        <v>45670</v>
      </c>
      <c r="F37" s="5" t="s">
        <v>6298</v>
      </c>
      <c r="G37" s="5" t="s">
        <v>1087</v>
      </c>
      <c r="H37" s="6"/>
      <c r="I37" s="6"/>
      <c r="J37" s="6" t="s">
        <v>6329</v>
      </c>
      <c r="K37" s="6">
        <v>1</v>
      </c>
      <c r="L37" s="7" t="s">
        <v>6330</v>
      </c>
      <c r="M37" s="8">
        <v>110189</v>
      </c>
      <c r="N37" s="8" t="str">
        <f t="shared" si="5"/>
        <v>PEN</v>
      </c>
      <c r="O37" s="13"/>
      <c r="P37" s="13">
        <v>2970.15</v>
      </c>
      <c r="Q37" s="3">
        <f t="shared" si="6"/>
        <v>2970.15</v>
      </c>
      <c r="R37" s="3">
        <f t="shared" si="7"/>
        <v>0</v>
      </c>
      <c r="S37" s="3">
        <f t="shared" si="3"/>
        <v>4000</v>
      </c>
      <c r="T37" s="24"/>
      <c r="U37" s="24"/>
      <c r="V37" s="69"/>
      <c r="W37" s="25" t="s">
        <v>6299</v>
      </c>
      <c r="X37" s="25"/>
      <c r="Y37" s="25"/>
      <c r="Z37" s="25"/>
      <c r="AA37" s="25"/>
      <c r="AB37" s="3" t="str">
        <f>IF(Caja_Operativa[[#This Row],[FECHA]]&gt;0,TEXT(Caja_Operativa[[#This Row],[FECHA]],"mmmm"),0)</f>
        <v>Enero</v>
      </c>
    </row>
    <row r="38" spans="2:28" hidden="1" x14ac:dyDescent="0.3">
      <c r="B38" s="2">
        <f>IF(Caja_Operativa[[#This Row],[TIPO DE R.]]="R",COUNTIFS($D$4:$D37,"R")+1,"")</f>
        <v>34</v>
      </c>
      <c r="C38" s="19" t="str">
        <f t="shared" si="4"/>
        <v>C-Operativa</v>
      </c>
      <c r="D38" s="3" t="s">
        <v>1074</v>
      </c>
      <c r="E38" s="14">
        <v>45670</v>
      </c>
      <c r="F38" s="5" t="s">
        <v>1078</v>
      </c>
      <c r="G38" s="5" t="s">
        <v>1079</v>
      </c>
      <c r="H38" s="6"/>
      <c r="I38" s="6"/>
      <c r="J38" s="6"/>
      <c r="K38" s="6"/>
      <c r="L38" s="7" t="s">
        <v>4128</v>
      </c>
      <c r="M38" s="8"/>
      <c r="N38" s="8" t="str">
        <f t="shared" si="5"/>
        <v>PEN</v>
      </c>
      <c r="O38" s="13"/>
      <c r="P38" s="13">
        <v>0.1</v>
      </c>
      <c r="Q38" s="3">
        <f t="shared" si="6"/>
        <v>0</v>
      </c>
      <c r="R38" s="3">
        <f t="shared" si="7"/>
        <v>0.1</v>
      </c>
      <c r="S38" s="3">
        <f t="shared" si="3"/>
        <v>3999.9</v>
      </c>
      <c r="T38" s="24"/>
      <c r="U38" s="24"/>
      <c r="V38" s="69"/>
      <c r="W38" s="25"/>
      <c r="X38" s="25"/>
      <c r="Y38" s="25"/>
      <c r="Z38" s="25"/>
      <c r="AA38" s="25"/>
      <c r="AB38" s="3" t="str">
        <f>IF(Caja_Operativa[[#This Row],[FECHA]]&gt;0,TEXT(Caja_Operativa[[#This Row],[FECHA]],"mmmm"),0)</f>
        <v>Enero</v>
      </c>
    </row>
    <row r="39" spans="2:28" ht="24" hidden="1" x14ac:dyDescent="0.3">
      <c r="B39" s="2">
        <f>IF(Caja_Operativa[[#This Row],[TIPO DE R.]]="R",COUNTIFS($D$4:$D38,"R")+1,"")</f>
        <v>35</v>
      </c>
      <c r="C39" s="19" t="str">
        <f t="shared" si="4"/>
        <v>C-Operativa</v>
      </c>
      <c r="D39" s="3" t="s">
        <v>1074</v>
      </c>
      <c r="E39" s="14">
        <v>45671</v>
      </c>
      <c r="F39" s="5" t="s">
        <v>6299</v>
      </c>
      <c r="G39" s="5" t="s">
        <v>1079</v>
      </c>
      <c r="H39" s="6"/>
      <c r="I39" s="6"/>
      <c r="J39" s="6"/>
      <c r="K39" s="6"/>
      <c r="L39" s="7" t="s">
        <v>6331</v>
      </c>
      <c r="M39" s="8">
        <v>1205596</v>
      </c>
      <c r="N39" s="8" t="str">
        <f t="shared" si="5"/>
        <v>PEN</v>
      </c>
      <c r="O39" s="13"/>
      <c r="P39" s="13">
        <v>700</v>
      </c>
      <c r="Q39" s="3">
        <f t="shared" si="6"/>
        <v>0</v>
      </c>
      <c r="R39" s="3">
        <f t="shared" si="7"/>
        <v>700</v>
      </c>
      <c r="S39" s="3">
        <f t="shared" si="3"/>
        <v>3299.9</v>
      </c>
      <c r="T39" s="24"/>
      <c r="U39" s="24"/>
      <c r="V39" s="69"/>
      <c r="W39" s="25" t="s">
        <v>6301</v>
      </c>
      <c r="X39" s="25"/>
      <c r="Y39" s="25"/>
      <c r="Z39" s="25"/>
      <c r="AA39" s="25"/>
      <c r="AB39" s="3" t="str">
        <f>IF(Caja_Operativa[[#This Row],[FECHA]]&gt;0,TEXT(Caja_Operativa[[#This Row],[FECHA]],"mmmm"),0)</f>
        <v>Enero</v>
      </c>
    </row>
    <row r="40" spans="2:28" ht="24" hidden="1" x14ac:dyDescent="0.3">
      <c r="B40" s="2">
        <f>IF(Caja_Operativa[[#This Row],[TIPO DE R.]]="R",COUNTIFS($D$4:$D39,"R")+1,"")</f>
        <v>36</v>
      </c>
      <c r="C40" s="19" t="str">
        <f t="shared" si="4"/>
        <v>C-Operativa</v>
      </c>
      <c r="D40" s="3" t="s">
        <v>1074</v>
      </c>
      <c r="E40" s="14">
        <v>45674</v>
      </c>
      <c r="F40" s="5" t="s">
        <v>6299</v>
      </c>
      <c r="G40" s="5" t="s">
        <v>1079</v>
      </c>
      <c r="H40" s="6"/>
      <c r="I40" s="6"/>
      <c r="J40" s="6"/>
      <c r="K40" s="6"/>
      <c r="L40" s="7" t="s">
        <v>6302</v>
      </c>
      <c r="M40" s="8">
        <v>536081</v>
      </c>
      <c r="N40" s="8" t="str">
        <f t="shared" si="5"/>
        <v>PEN</v>
      </c>
      <c r="O40" s="13"/>
      <c r="P40" s="13">
        <v>100</v>
      </c>
      <c r="Q40" s="3">
        <f t="shared" si="6"/>
        <v>0</v>
      </c>
      <c r="R40" s="3">
        <f t="shared" si="7"/>
        <v>100</v>
      </c>
      <c r="S40" s="3">
        <f t="shared" si="3"/>
        <v>3199.9</v>
      </c>
      <c r="T40" s="24"/>
      <c r="U40" s="24"/>
      <c r="V40" s="69"/>
      <c r="W40" s="25" t="s">
        <v>6326</v>
      </c>
      <c r="X40" s="25"/>
      <c r="Y40" s="25"/>
      <c r="Z40" s="25"/>
      <c r="AA40" s="25"/>
      <c r="AB40" s="3" t="str">
        <f>IF(Caja_Operativa[[#This Row],[FECHA]]&gt;0,TEXT(Caja_Operativa[[#This Row],[FECHA]],"mmmm"),0)</f>
        <v>Enero</v>
      </c>
    </row>
    <row r="41" spans="2:28" ht="24" hidden="1" x14ac:dyDescent="0.3">
      <c r="B41" s="2">
        <f>IF(Caja_Operativa[[#This Row],[TIPO DE R.]]="R",COUNTIFS($D$4:$D40,"R")+1,"")</f>
        <v>37</v>
      </c>
      <c r="C41" s="19" t="str">
        <f t="shared" si="4"/>
        <v>C-Operativa</v>
      </c>
      <c r="D41" s="3" t="s">
        <v>1074</v>
      </c>
      <c r="E41" s="14">
        <v>45677</v>
      </c>
      <c r="F41" s="5" t="s">
        <v>6299</v>
      </c>
      <c r="G41" s="5" t="s">
        <v>1079</v>
      </c>
      <c r="H41" s="6"/>
      <c r="I41" s="6"/>
      <c r="J41" s="6"/>
      <c r="K41" s="6"/>
      <c r="L41" s="7" t="s">
        <v>6302</v>
      </c>
      <c r="M41" s="8">
        <v>233782</v>
      </c>
      <c r="N41" s="8" t="str">
        <f t="shared" si="5"/>
        <v>PEN</v>
      </c>
      <c r="O41" s="13"/>
      <c r="P41" s="13">
        <v>200</v>
      </c>
      <c r="Q41" s="3">
        <f t="shared" si="6"/>
        <v>0</v>
      </c>
      <c r="R41" s="3">
        <f t="shared" si="7"/>
        <v>200</v>
      </c>
      <c r="S41" s="3">
        <f t="shared" si="3"/>
        <v>2999.9</v>
      </c>
      <c r="T41" s="24"/>
      <c r="U41" s="24"/>
      <c r="V41" s="69"/>
      <c r="W41" s="25" t="s">
        <v>6326</v>
      </c>
      <c r="X41" s="25"/>
      <c r="Y41" s="25"/>
      <c r="Z41" s="25"/>
      <c r="AA41" s="25"/>
      <c r="AB41" s="3" t="str">
        <f>IF(Caja_Operativa[[#This Row],[FECHA]]&gt;0,TEXT(Caja_Operativa[[#This Row],[FECHA]],"mmmm"),0)</f>
        <v>Enero</v>
      </c>
    </row>
    <row r="42" spans="2:28" ht="24" hidden="1" x14ac:dyDescent="0.3">
      <c r="B42" s="2">
        <f>IF(Caja_Operativa[[#This Row],[TIPO DE R.]]="R",COUNTIFS($D$4:$D41,"R")+1,"")</f>
        <v>38</v>
      </c>
      <c r="C42" s="19" t="str">
        <f t="shared" si="4"/>
        <v>C-Operativa</v>
      </c>
      <c r="D42" s="3" t="s">
        <v>1074</v>
      </c>
      <c r="E42" s="14">
        <v>45678</v>
      </c>
      <c r="F42" s="5" t="s">
        <v>6299</v>
      </c>
      <c r="G42" s="5" t="s">
        <v>1079</v>
      </c>
      <c r="H42" s="6"/>
      <c r="I42" s="6"/>
      <c r="J42" s="6"/>
      <c r="K42" s="6"/>
      <c r="L42" s="7" t="s">
        <v>6302</v>
      </c>
      <c r="M42" s="8">
        <v>290231</v>
      </c>
      <c r="N42" s="8" t="str">
        <f t="shared" si="5"/>
        <v>PEN</v>
      </c>
      <c r="O42" s="13"/>
      <c r="P42" s="13">
        <v>140</v>
      </c>
      <c r="Q42" s="3">
        <f t="shared" si="6"/>
        <v>0</v>
      </c>
      <c r="R42" s="3">
        <f t="shared" si="7"/>
        <v>140</v>
      </c>
      <c r="S42" s="3">
        <f t="shared" si="3"/>
        <v>2859.9</v>
      </c>
      <c r="T42" s="24"/>
      <c r="U42" s="24"/>
      <c r="V42" s="69"/>
      <c r="W42" s="25" t="s">
        <v>6305</v>
      </c>
      <c r="X42" s="25"/>
      <c r="Y42" s="25"/>
      <c r="Z42" s="25"/>
      <c r="AA42" s="25"/>
      <c r="AB42" s="3" t="str">
        <f>IF(Caja_Operativa[[#This Row],[FECHA]]&gt;0,TEXT(Caja_Operativa[[#This Row],[FECHA]],"mmmm"),0)</f>
        <v>Enero</v>
      </c>
    </row>
    <row r="43" spans="2:28" hidden="1" x14ac:dyDescent="0.3">
      <c r="B43" s="2">
        <f>IF(Caja_Operativa[[#This Row],[TIPO DE R.]]="R",COUNTIFS($D$4:$D42,"R")+1,"")</f>
        <v>39</v>
      </c>
      <c r="C43" s="19" t="str">
        <f t="shared" si="4"/>
        <v>C-Operativa</v>
      </c>
      <c r="D43" s="3" t="s">
        <v>1074</v>
      </c>
      <c r="E43" s="14">
        <v>45678</v>
      </c>
      <c r="F43" s="5" t="s">
        <v>6299</v>
      </c>
      <c r="G43" s="5" t="s">
        <v>1079</v>
      </c>
      <c r="H43" s="6"/>
      <c r="I43" s="6"/>
      <c r="J43" s="6"/>
      <c r="K43" s="6"/>
      <c r="L43" s="7" t="s">
        <v>6302</v>
      </c>
      <c r="M43" s="8">
        <v>308424</v>
      </c>
      <c r="N43" s="8" t="str">
        <f t="shared" si="5"/>
        <v>PEN</v>
      </c>
      <c r="O43" s="13"/>
      <c r="P43" s="13">
        <v>170</v>
      </c>
      <c r="Q43" s="3">
        <f t="shared" si="6"/>
        <v>0</v>
      </c>
      <c r="R43" s="3">
        <f t="shared" si="7"/>
        <v>170</v>
      </c>
      <c r="S43" s="3">
        <f t="shared" si="3"/>
        <v>2689.9</v>
      </c>
      <c r="T43" s="24"/>
      <c r="U43" s="24"/>
      <c r="V43" s="69"/>
      <c r="W43" s="25" t="s">
        <v>6303</v>
      </c>
      <c r="X43" s="25"/>
      <c r="Y43" s="25"/>
      <c r="Z43" s="25"/>
      <c r="AA43" s="25"/>
      <c r="AB43" s="3" t="str">
        <f>IF(Caja_Operativa[[#This Row],[FECHA]]&gt;0,TEXT(Caja_Operativa[[#This Row],[FECHA]],"mmmm"),0)</f>
        <v>Enero</v>
      </c>
    </row>
    <row r="44" spans="2:28" ht="24" hidden="1" x14ac:dyDescent="0.3">
      <c r="B44" s="2">
        <f>IF(Caja_Operativa[[#This Row],[TIPO DE R.]]="R",COUNTIFS($D$4:$D43,"R")+1,"")</f>
        <v>40</v>
      </c>
      <c r="C44" s="19" t="str">
        <f t="shared" si="4"/>
        <v>C-Operativa</v>
      </c>
      <c r="D44" s="3" t="s">
        <v>1074</v>
      </c>
      <c r="E44" s="14">
        <v>45678</v>
      </c>
      <c r="F44" s="5" t="s">
        <v>6299</v>
      </c>
      <c r="G44" s="5" t="s">
        <v>1079</v>
      </c>
      <c r="H44" s="6"/>
      <c r="I44" s="6"/>
      <c r="J44" s="6"/>
      <c r="K44" s="6"/>
      <c r="L44" s="7" t="s">
        <v>6302</v>
      </c>
      <c r="M44" s="8">
        <v>308659</v>
      </c>
      <c r="N44" s="8" t="str">
        <f t="shared" si="5"/>
        <v>PEN</v>
      </c>
      <c r="O44" s="13"/>
      <c r="P44" s="13">
        <v>100</v>
      </c>
      <c r="Q44" s="3">
        <f t="shared" si="6"/>
        <v>0</v>
      </c>
      <c r="R44" s="3">
        <f t="shared" si="7"/>
        <v>100</v>
      </c>
      <c r="S44" s="3">
        <f t="shared" si="3"/>
        <v>2589.9</v>
      </c>
      <c r="T44" s="24"/>
      <c r="U44" s="24"/>
      <c r="V44" s="69"/>
      <c r="W44" s="25" t="s">
        <v>6301</v>
      </c>
      <c r="X44" s="25"/>
      <c r="Y44" s="25"/>
      <c r="Z44" s="25"/>
      <c r="AA44" s="25"/>
      <c r="AB44" s="3" t="str">
        <f>IF(Caja_Operativa[[#This Row],[FECHA]]&gt;0,TEXT(Caja_Operativa[[#This Row],[FECHA]],"mmmm"),0)</f>
        <v>Enero</v>
      </c>
    </row>
    <row r="45" spans="2:28" ht="24" hidden="1" x14ac:dyDescent="0.3">
      <c r="B45" s="2">
        <f>IF(Caja_Operativa[[#This Row],[TIPO DE R.]]="R",COUNTIFS($D$4:$D44,"R")+1,"")</f>
        <v>41</v>
      </c>
      <c r="C45" s="19" t="str">
        <f t="shared" si="4"/>
        <v>C-Operativa</v>
      </c>
      <c r="D45" s="3" t="s">
        <v>1074</v>
      </c>
      <c r="E45" s="14">
        <v>45678</v>
      </c>
      <c r="F45" s="5" t="s">
        <v>6299</v>
      </c>
      <c r="G45" s="5" t="s">
        <v>1079</v>
      </c>
      <c r="H45" s="6"/>
      <c r="I45" s="6"/>
      <c r="J45" s="6"/>
      <c r="K45" s="6"/>
      <c r="L45" s="7" t="s">
        <v>6327</v>
      </c>
      <c r="M45" s="8">
        <v>315449</v>
      </c>
      <c r="N45" s="8" t="str">
        <f t="shared" si="5"/>
        <v>PEN</v>
      </c>
      <c r="O45" s="13"/>
      <c r="P45" s="13">
        <v>190</v>
      </c>
      <c r="Q45" s="3">
        <f t="shared" si="6"/>
        <v>0</v>
      </c>
      <c r="R45" s="3">
        <f t="shared" si="7"/>
        <v>190</v>
      </c>
      <c r="S45" s="3">
        <f t="shared" si="3"/>
        <v>2399.9</v>
      </c>
      <c r="T45" s="24"/>
      <c r="U45" s="24"/>
      <c r="V45" s="69"/>
      <c r="W45" s="25" t="s">
        <v>5618</v>
      </c>
      <c r="X45" s="25"/>
      <c r="Y45" s="25"/>
      <c r="Z45" s="25"/>
      <c r="AA45" s="25"/>
      <c r="AB45" s="3" t="str">
        <f>IF(Caja_Operativa[[#This Row],[FECHA]]&gt;0,TEXT(Caja_Operativa[[#This Row],[FECHA]],"mmmm"),0)</f>
        <v>Enero</v>
      </c>
    </row>
    <row r="46" spans="2:28" ht="60" hidden="1" x14ac:dyDescent="0.3">
      <c r="B46" s="2">
        <f>IF(Caja_Operativa[[#This Row],[TIPO DE R.]]="R",COUNTIFS($D$4:$D45,"R")+1,"")</f>
        <v>42</v>
      </c>
      <c r="C46" s="19" t="str">
        <f t="shared" si="4"/>
        <v>C-Operativa</v>
      </c>
      <c r="D46" s="3" t="s">
        <v>1074</v>
      </c>
      <c r="E46" s="14">
        <v>45678</v>
      </c>
      <c r="F46" s="5" t="s">
        <v>6299</v>
      </c>
      <c r="G46" s="5" t="s">
        <v>1079</v>
      </c>
      <c r="H46" s="6"/>
      <c r="I46" s="6"/>
      <c r="J46" s="6"/>
      <c r="K46" s="6"/>
      <c r="L46" s="7" t="s">
        <v>6332</v>
      </c>
      <c r="M46" s="8">
        <v>392200</v>
      </c>
      <c r="N46" s="8" t="str">
        <f t="shared" si="5"/>
        <v>PEN</v>
      </c>
      <c r="O46" s="13"/>
      <c r="P46" s="13">
        <v>13</v>
      </c>
      <c r="Q46" s="3">
        <f t="shared" si="6"/>
        <v>0</v>
      </c>
      <c r="R46" s="3">
        <f t="shared" si="7"/>
        <v>13</v>
      </c>
      <c r="S46" s="3">
        <f t="shared" si="3"/>
        <v>2386.9</v>
      </c>
      <c r="T46" s="24"/>
      <c r="U46" s="24"/>
      <c r="V46" s="69"/>
      <c r="W46" s="25" t="s">
        <v>6307</v>
      </c>
      <c r="X46" s="25"/>
      <c r="Y46" s="25"/>
      <c r="Z46" s="25"/>
      <c r="AA46" s="25"/>
      <c r="AB46" s="3" t="str">
        <f>IF(Caja_Operativa[[#This Row],[FECHA]]&gt;0,TEXT(Caja_Operativa[[#This Row],[FECHA]],"mmmm"),0)</f>
        <v>Enero</v>
      </c>
    </row>
    <row r="47" spans="2:28" ht="60" hidden="1" x14ac:dyDescent="0.3">
      <c r="B47" s="2">
        <f>IF(Caja_Operativa[[#This Row],[TIPO DE R.]]="R",COUNTIFS($D$4:$D46,"R")+1,"")</f>
        <v>43</v>
      </c>
      <c r="C47" s="19" t="str">
        <f t="shared" si="4"/>
        <v>C-Operativa</v>
      </c>
      <c r="D47" s="3" t="s">
        <v>1074</v>
      </c>
      <c r="E47" s="14">
        <v>45678</v>
      </c>
      <c r="F47" s="5" t="s">
        <v>6299</v>
      </c>
      <c r="G47" s="5" t="s">
        <v>1079</v>
      </c>
      <c r="H47" s="6"/>
      <c r="I47" s="6"/>
      <c r="J47" s="6"/>
      <c r="K47" s="6"/>
      <c r="L47" s="7" t="s">
        <v>6333</v>
      </c>
      <c r="M47" s="8">
        <v>404273</v>
      </c>
      <c r="N47" s="8" t="str">
        <f t="shared" si="5"/>
        <v>PEN</v>
      </c>
      <c r="O47" s="13"/>
      <c r="P47" s="13">
        <v>8</v>
      </c>
      <c r="Q47" s="3">
        <f t="shared" si="6"/>
        <v>0</v>
      </c>
      <c r="R47" s="3">
        <f t="shared" si="7"/>
        <v>8</v>
      </c>
      <c r="S47" s="3">
        <f t="shared" si="3"/>
        <v>2378.9</v>
      </c>
      <c r="T47" s="24"/>
      <c r="U47" s="24"/>
      <c r="V47" s="69"/>
      <c r="W47" s="25" t="s">
        <v>6307</v>
      </c>
      <c r="X47" s="25"/>
      <c r="Y47" s="25"/>
      <c r="Z47" s="25"/>
      <c r="AA47" s="25"/>
      <c r="AB47" s="3" t="str">
        <f>IF(Caja_Operativa[[#This Row],[FECHA]]&gt;0,TEXT(Caja_Operativa[[#This Row],[FECHA]],"mmmm"),0)</f>
        <v>Enero</v>
      </c>
    </row>
    <row r="48" spans="2:28" ht="60" hidden="1" x14ac:dyDescent="0.3">
      <c r="B48" s="2">
        <f>IF(Caja_Operativa[[#This Row],[TIPO DE R.]]="R",COUNTIFS($D$4:$D47,"R")+1,"")</f>
        <v>44</v>
      </c>
      <c r="C48" s="19" t="str">
        <f t="shared" si="4"/>
        <v>C-Operativa</v>
      </c>
      <c r="D48" s="3" t="s">
        <v>1074</v>
      </c>
      <c r="E48" s="14">
        <v>45678</v>
      </c>
      <c r="F48" s="5" t="s">
        <v>6299</v>
      </c>
      <c r="G48" s="5" t="s">
        <v>1079</v>
      </c>
      <c r="H48" s="6"/>
      <c r="I48" s="6"/>
      <c r="J48" s="6"/>
      <c r="K48" s="6"/>
      <c r="L48" s="7" t="s">
        <v>6334</v>
      </c>
      <c r="M48" s="8">
        <v>368769</v>
      </c>
      <c r="N48" s="8" t="str">
        <f t="shared" si="5"/>
        <v>PEN</v>
      </c>
      <c r="O48" s="13"/>
      <c r="P48" s="13">
        <v>8</v>
      </c>
      <c r="Q48" s="3">
        <f t="shared" si="6"/>
        <v>0</v>
      </c>
      <c r="R48" s="3">
        <f t="shared" si="7"/>
        <v>8</v>
      </c>
      <c r="S48" s="3">
        <f t="shared" si="3"/>
        <v>2370.9</v>
      </c>
      <c r="T48" s="24"/>
      <c r="U48" s="24"/>
      <c r="V48" s="69"/>
      <c r="W48" s="25" t="s">
        <v>6307</v>
      </c>
      <c r="X48" s="25"/>
      <c r="Y48" s="25"/>
      <c r="Z48" s="25"/>
      <c r="AA48" s="25"/>
      <c r="AB48" s="3" t="str">
        <f>IF(Caja_Operativa[[#This Row],[FECHA]]&gt;0,TEXT(Caja_Operativa[[#This Row],[FECHA]],"mmmm"),0)</f>
        <v>Enero</v>
      </c>
    </row>
    <row r="49" spans="2:28" ht="60" hidden="1" x14ac:dyDescent="0.3">
      <c r="B49" s="2">
        <f>IF(Caja_Operativa[[#This Row],[TIPO DE R.]]="R",COUNTIFS($D$4:$D48,"R")+1,"")</f>
        <v>45</v>
      </c>
      <c r="C49" s="19" t="str">
        <f t="shared" si="4"/>
        <v>C-Operativa</v>
      </c>
      <c r="D49" s="3" t="s">
        <v>1074</v>
      </c>
      <c r="E49" s="14">
        <v>45678</v>
      </c>
      <c r="F49" s="5" t="s">
        <v>6299</v>
      </c>
      <c r="G49" s="5" t="s">
        <v>1079</v>
      </c>
      <c r="H49" s="6"/>
      <c r="I49" s="6"/>
      <c r="J49" s="6"/>
      <c r="K49" s="6"/>
      <c r="L49" s="7" t="s">
        <v>6335</v>
      </c>
      <c r="M49" s="8">
        <v>401772</v>
      </c>
      <c r="N49" s="8" t="str">
        <f t="shared" si="5"/>
        <v>PEN</v>
      </c>
      <c r="O49" s="13"/>
      <c r="P49" s="13">
        <v>15</v>
      </c>
      <c r="Q49" s="3">
        <f t="shared" si="6"/>
        <v>0</v>
      </c>
      <c r="R49" s="3">
        <f t="shared" si="7"/>
        <v>15</v>
      </c>
      <c r="S49" s="3">
        <f t="shared" si="3"/>
        <v>2355.9</v>
      </c>
      <c r="T49" s="24"/>
      <c r="U49" s="24"/>
      <c r="V49" s="69"/>
      <c r="W49" s="25" t="s">
        <v>6307</v>
      </c>
      <c r="X49" s="25"/>
      <c r="Y49" s="25"/>
      <c r="Z49" s="25"/>
      <c r="AA49" s="25"/>
      <c r="AB49" s="3" t="str">
        <f>IF(Caja_Operativa[[#This Row],[FECHA]]&gt;0,TEXT(Caja_Operativa[[#This Row],[FECHA]],"mmmm"),0)</f>
        <v>Enero</v>
      </c>
    </row>
    <row r="50" spans="2:28" ht="60" hidden="1" x14ac:dyDescent="0.3">
      <c r="B50" s="2">
        <f>IF(Caja_Operativa[[#This Row],[TIPO DE R.]]="R",COUNTIFS($D$4:$D49,"R")+1,"")</f>
        <v>46</v>
      </c>
      <c r="C50" s="19" t="str">
        <f t="shared" si="4"/>
        <v>C-Operativa</v>
      </c>
      <c r="D50" s="3" t="s">
        <v>1074</v>
      </c>
      <c r="E50" s="14">
        <v>45678</v>
      </c>
      <c r="F50" s="5" t="s">
        <v>6299</v>
      </c>
      <c r="G50" s="5" t="s">
        <v>1079</v>
      </c>
      <c r="H50" s="6"/>
      <c r="I50" s="6"/>
      <c r="J50" s="6"/>
      <c r="K50" s="6"/>
      <c r="L50" s="7" t="s">
        <v>6336</v>
      </c>
      <c r="M50" s="8" t="s">
        <v>6337</v>
      </c>
      <c r="N50" s="8" t="str">
        <f t="shared" si="5"/>
        <v>PEN</v>
      </c>
      <c r="O50" s="13"/>
      <c r="P50" s="13">
        <v>8</v>
      </c>
      <c r="Q50" s="3">
        <f t="shared" si="6"/>
        <v>0</v>
      </c>
      <c r="R50" s="3">
        <f t="shared" si="7"/>
        <v>8</v>
      </c>
      <c r="S50" s="3">
        <f t="shared" si="3"/>
        <v>2347.9</v>
      </c>
      <c r="T50" s="24"/>
      <c r="U50" s="24"/>
      <c r="V50" s="69"/>
      <c r="W50" s="25" t="s">
        <v>6307</v>
      </c>
      <c r="X50" s="25"/>
      <c r="Y50" s="25"/>
      <c r="Z50" s="25"/>
      <c r="AA50" s="25"/>
      <c r="AB50" s="3" t="str">
        <f>IF(Caja_Operativa[[#This Row],[FECHA]]&gt;0,TEXT(Caja_Operativa[[#This Row],[FECHA]],"mmmm"),0)</f>
        <v>Enero</v>
      </c>
    </row>
    <row r="51" spans="2:28" ht="60" hidden="1" x14ac:dyDescent="0.3">
      <c r="B51" s="2">
        <f>IF(Caja_Operativa[[#This Row],[TIPO DE R.]]="R",COUNTIFS($D$4:$D50,"R")+1,"")</f>
        <v>47</v>
      </c>
      <c r="C51" s="19" t="str">
        <f t="shared" si="4"/>
        <v>C-Operativa</v>
      </c>
      <c r="D51" s="3" t="s">
        <v>1074</v>
      </c>
      <c r="E51" s="14">
        <v>45678</v>
      </c>
      <c r="F51" s="5" t="s">
        <v>6299</v>
      </c>
      <c r="G51" s="5" t="s">
        <v>1079</v>
      </c>
      <c r="H51" s="6"/>
      <c r="I51" s="6"/>
      <c r="J51" s="6"/>
      <c r="K51" s="6"/>
      <c r="L51" s="7" t="s">
        <v>6338</v>
      </c>
      <c r="M51" s="8">
        <v>405450</v>
      </c>
      <c r="N51" s="8" t="str">
        <f t="shared" si="5"/>
        <v>PEN</v>
      </c>
      <c r="O51" s="13"/>
      <c r="P51" s="13">
        <v>15</v>
      </c>
      <c r="Q51" s="3">
        <f t="shared" si="6"/>
        <v>0</v>
      </c>
      <c r="R51" s="3">
        <f t="shared" si="7"/>
        <v>15</v>
      </c>
      <c r="S51" s="3">
        <f t="shared" si="3"/>
        <v>2332.9</v>
      </c>
      <c r="T51" s="24"/>
      <c r="U51" s="24"/>
      <c r="V51" s="69"/>
      <c r="W51" s="25" t="s">
        <v>6307</v>
      </c>
      <c r="X51" s="25"/>
      <c r="Y51" s="25"/>
      <c r="Z51" s="25"/>
      <c r="AA51" s="25"/>
      <c r="AB51" s="3" t="str">
        <f>IF(Caja_Operativa[[#This Row],[FECHA]]&gt;0,TEXT(Caja_Operativa[[#This Row],[FECHA]],"mmmm"),0)</f>
        <v>Enero</v>
      </c>
    </row>
    <row r="52" spans="2:28" ht="60" hidden="1" x14ac:dyDescent="0.3">
      <c r="B52" s="2">
        <f>IF(Caja_Operativa[[#This Row],[TIPO DE R.]]="R",COUNTIFS($D$4:$D51,"R")+1,"")</f>
        <v>48</v>
      </c>
      <c r="C52" s="19" t="str">
        <f t="shared" si="4"/>
        <v>C-Operativa</v>
      </c>
      <c r="D52" s="3" t="s">
        <v>1074</v>
      </c>
      <c r="E52" s="14">
        <v>45678</v>
      </c>
      <c r="F52" s="5" t="s">
        <v>6299</v>
      </c>
      <c r="G52" s="5" t="s">
        <v>1079</v>
      </c>
      <c r="H52" s="6"/>
      <c r="I52" s="6"/>
      <c r="J52" s="6"/>
      <c r="K52" s="6"/>
      <c r="L52" s="7" t="s">
        <v>6339</v>
      </c>
      <c r="M52" s="8">
        <v>435490</v>
      </c>
      <c r="N52" s="8" t="str">
        <f t="shared" si="5"/>
        <v>PEN</v>
      </c>
      <c r="O52" s="13"/>
      <c r="P52" s="13">
        <v>30</v>
      </c>
      <c r="Q52" s="3">
        <f t="shared" si="6"/>
        <v>0</v>
      </c>
      <c r="R52" s="3">
        <f t="shared" si="7"/>
        <v>30</v>
      </c>
      <c r="S52" s="3">
        <f t="shared" si="3"/>
        <v>2302.9</v>
      </c>
      <c r="T52" s="24"/>
      <c r="U52" s="24"/>
      <c r="V52" s="69"/>
      <c r="W52" s="25" t="s">
        <v>6307</v>
      </c>
      <c r="X52" s="25"/>
      <c r="Y52" s="25"/>
      <c r="Z52" s="25"/>
      <c r="AA52" s="25"/>
      <c r="AB52" s="3" t="str">
        <f>IF(Caja_Operativa[[#This Row],[FECHA]]&gt;0,TEXT(Caja_Operativa[[#This Row],[FECHA]],"mmmm"),0)</f>
        <v>Enero</v>
      </c>
    </row>
    <row r="53" spans="2:28" ht="60" hidden="1" x14ac:dyDescent="0.3">
      <c r="B53" s="2">
        <f>IF(Caja_Operativa[[#This Row],[TIPO DE R.]]="R",COUNTIFS($D$4:$D52,"R")+1,"")</f>
        <v>49</v>
      </c>
      <c r="C53" s="19" t="str">
        <f t="shared" si="4"/>
        <v>C-Operativa</v>
      </c>
      <c r="D53" s="3" t="s">
        <v>1074</v>
      </c>
      <c r="E53" s="14">
        <v>45678</v>
      </c>
      <c r="F53" s="5" t="s">
        <v>6299</v>
      </c>
      <c r="G53" s="5" t="s">
        <v>1079</v>
      </c>
      <c r="H53" s="6"/>
      <c r="I53" s="6"/>
      <c r="J53" s="6"/>
      <c r="K53" s="6"/>
      <c r="L53" s="7" t="s">
        <v>6340</v>
      </c>
      <c r="M53" s="8">
        <v>438720</v>
      </c>
      <c r="N53" s="8" t="str">
        <f t="shared" si="5"/>
        <v>PEN</v>
      </c>
      <c r="O53" s="13"/>
      <c r="P53" s="13">
        <v>8</v>
      </c>
      <c r="Q53" s="3">
        <f t="shared" si="6"/>
        <v>0</v>
      </c>
      <c r="R53" s="3">
        <f t="shared" si="7"/>
        <v>8</v>
      </c>
      <c r="S53" s="3">
        <f t="shared" si="3"/>
        <v>2294.9</v>
      </c>
      <c r="T53" s="24"/>
      <c r="U53" s="24"/>
      <c r="V53" s="69"/>
      <c r="W53" s="25" t="s">
        <v>6307</v>
      </c>
      <c r="X53" s="25"/>
      <c r="Y53" s="25"/>
      <c r="Z53" s="25"/>
      <c r="AA53" s="25"/>
      <c r="AB53" s="3" t="str">
        <f>IF(Caja_Operativa[[#This Row],[FECHA]]&gt;0,TEXT(Caja_Operativa[[#This Row],[FECHA]],"mmmm"),0)</f>
        <v>Enero</v>
      </c>
    </row>
    <row r="54" spans="2:28" ht="60" hidden="1" x14ac:dyDescent="0.3">
      <c r="B54" s="2">
        <f>IF(Caja_Operativa[[#This Row],[TIPO DE R.]]="R",COUNTIFS($D$4:$D53,"R")+1,"")</f>
        <v>50</v>
      </c>
      <c r="C54" s="19" t="str">
        <f t="shared" si="4"/>
        <v>C-Operativa</v>
      </c>
      <c r="D54" s="3" t="s">
        <v>1074</v>
      </c>
      <c r="E54" s="14">
        <v>45678</v>
      </c>
      <c r="F54" s="5" t="s">
        <v>6299</v>
      </c>
      <c r="G54" s="5" t="s">
        <v>1079</v>
      </c>
      <c r="H54" s="6"/>
      <c r="I54" s="6"/>
      <c r="J54" s="6"/>
      <c r="K54" s="6"/>
      <c r="L54" s="7" t="s">
        <v>6341</v>
      </c>
      <c r="M54" s="8">
        <v>412074</v>
      </c>
      <c r="N54" s="8" t="str">
        <f t="shared" si="5"/>
        <v>PEN</v>
      </c>
      <c r="O54" s="13"/>
      <c r="P54" s="13">
        <v>8</v>
      </c>
      <c r="Q54" s="3">
        <f t="shared" si="6"/>
        <v>0</v>
      </c>
      <c r="R54" s="3">
        <f t="shared" si="7"/>
        <v>8</v>
      </c>
      <c r="S54" s="3">
        <f t="shared" si="3"/>
        <v>2286.9</v>
      </c>
      <c r="T54" s="24"/>
      <c r="U54" s="24"/>
      <c r="V54" s="69"/>
      <c r="W54" s="25" t="s">
        <v>6307</v>
      </c>
      <c r="X54" s="25"/>
      <c r="Y54" s="25"/>
      <c r="Z54" s="25"/>
      <c r="AA54" s="25"/>
      <c r="AB54" s="3" t="str">
        <f>IF(Caja_Operativa[[#This Row],[FECHA]]&gt;0,TEXT(Caja_Operativa[[#This Row],[FECHA]],"mmmm"),0)</f>
        <v>Enero</v>
      </c>
    </row>
    <row r="55" spans="2:28" ht="60" hidden="1" x14ac:dyDescent="0.3">
      <c r="B55" s="2">
        <f>IF(Caja_Operativa[[#This Row],[TIPO DE R.]]="R",COUNTIFS($D$4:$D54,"R")+1,"")</f>
        <v>51</v>
      </c>
      <c r="C55" s="19" t="str">
        <f t="shared" si="4"/>
        <v>C-Operativa</v>
      </c>
      <c r="D55" s="3" t="s">
        <v>1074</v>
      </c>
      <c r="E55" s="14">
        <v>45678</v>
      </c>
      <c r="F55" s="5" t="s">
        <v>6299</v>
      </c>
      <c r="G55" s="5" t="s">
        <v>1079</v>
      </c>
      <c r="H55" s="6"/>
      <c r="I55" s="6"/>
      <c r="J55" s="6"/>
      <c r="K55" s="6"/>
      <c r="L55" s="7" t="s">
        <v>6342</v>
      </c>
      <c r="M55" s="8">
        <v>424139</v>
      </c>
      <c r="N55" s="8" t="str">
        <f t="shared" si="5"/>
        <v>PEN</v>
      </c>
      <c r="O55" s="13"/>
      <c r="P55" s="13">
        <v>8</v>
      </c>
      <c r="Q55" s="3">
        <f t="shared" si="6"/>
        <v>0</v>
      </c>
      <c r="R55" s="3">
        <f t="shared" si="7"/>
        <v>8</v>
      </c>
      <c r="S55" s="3">
        <f t="shared" si="3"/>
        <v>2278.9</v>
      </c>
      <c r="T55" s="24"/>
      <c r="U55" s="24"/>
      <c r="V55" s="69"/>
      <c r="W55" s="25" t="s">
        <v>6307</v>
      </c>
      <c r="X55" s="25"/>
      <c r="Y55" s="25"/>
      <c r="Z55" s="25"/>
      <c r="AA55" s="25"/>
      <c r="AB55" s="3" t="str">
        <f>IF(Caja_Operativa[[#This Row],[FECHA]]&gt;0,TEXT(Caja_Operativa[[#This Row],[FECHA]],"mmmm"),0)</f>
        <v>Enero</v>
      </c>
    </row>
    <row r="56" spans="2:28" ht="60" hidden="1" x14ac:dyDescent="0.3">
      <c r="B56" s="2">
        <f>IF(Caja_Operativa[[#This Row],[TIPO DE R.]]="R",COUNTIFS($D$4:$D55,"R")+1,"")</f>
        <v>52</v>
      </c>
      <c r="C56" s="19" t="str">
        <f t="shared" si="4"/>
        <v>C-Operativa</v>
      </c>
      <c r="D56" s="3" t="s">
        <v>1074</v>
      </c>
      <c r="E56" s="14">
        <v>45678</v>
      </c>
      <c r="F56" s="5" t="s">
        <v>6299</v>
      </c>
      <c r="G56" s="5" t="s">
        <v>1079</v>
      </c>
      <c r="H56" s="6"/>
      <c r="I56" s="6"/>
      <c r="J56" s="6"/>
      <c r="K56" s="6"/>
      <c r="L56" s="7" t="s">
        <v>6343</v>
      </c>
      <c r="M56" s="8">
        <v>442328</v>
      </c>
      <c r="N56" s="8" t="str">
        <f t="shared" si="5"/>
        <v>PEN</v>
      </c>
      <c r="O56" s="13"/>
      <c r="P56" s="13">
        <v>10</v>
      </c>
      <c r="Q56" s="3">
        <f t="shared" si="6"/>
        <v>0</v>
      </c>
      <c r="R56" s="3">
        <f t="shared" si="7"/>
        <v>10</v>
      </c>
      <c r="S56" s="3">
        <f t="shared" si="3"/>
        <v>2268.9</v>
      </c>
      <c r="T56" s="24"/>
      <c r="U56" s="24"/>
      <c r="V56" s="69"/>
      <c r="W56" s="25" t="s">
        <v>6307</v>
      </c>
      <c r="X56" s="25"/>
      <c r="Y56" s="25"/>
      <c r="Z56" s="25"/>
      <c r="AA56" s="25"/>
      <c r="AB56" s="3" t="str">
        <f>IF(Caja_Operativa[[#This Row],[FECHA]]&gt;0,TEXT(Caja_Operativa[[#This Row],[FECHA]],"mmmm"),0)</f>
        <v>Enero</v>
      </c>
    </row>
    <row r="57" spans="2:28" ht="24" hidden="1" x14ac:dyDescent="0.3">
      <c r="B57" s="2">
        <f>IF(Caja_Operativa[[#This Row],[TIPO DE R.]]="R",COUNTIFS($D$4:$D56,"R")+1,"")</f>
        <v>53</v>
      </c>
      <c r="C57" s="19" t="str">
        <f t="shared" si="4"/>
        <v>C-Operativa</v>
      </c>
      <c r="D57" s="3" t="s">
        <v>1074</v>
      </c>
      <c r="E57" s="14">
        <v>45678</v>
      </c>
      <c r="F57" s="5" t="s">
        <v>6299</v>
      </c>
      <c r="G57" s="5" t="s">
        <v>1079</v>
      </c>
      <c r="H57" s="6"/>
      <c r="I57" s="6"/>
      <c r="J57" s="6"/>
      <c r="K57" s="6"/>
      <c r="L57" s="7" t="s">
        <v>6302</v>
      </c>
      <c r="M57" s="8">
        <v>667481</v>
      </c>
      <c r="N57" s="8" t="str">
        <f t="shared" si="5"/>
        <v>PEN</v>
      </c>
      <c r="O57" s="13"/>
      <c r="P57" s="13">
        <v>150</v>
      </c>
      <c r="Q57" s="3">
        <f t="shared" si="6"/>
        <v>0</v>
      </c>
      <c r="R57" s="3">
        <f t="shared" si="7"/>
        <v>150</v>
      </c>
      <c r="S57" s="3">
        <f t="shared" si="3"/>
        <v>2118.9</v>
      </c>
      <c r="T57" s="24"/>
      <c r="U57" s="24"/>
      <c r="V57" s="69"/>
      <c r="W57" s="25" t="s">
        <v>6325</v>
      </c>
      <c r="X57" s="25"/>
      <c r="Y57" s="25"/>
      <c r="Z57" s="25"/>
      <c r="AA57" s="25"/>
      <c r="AB57" s="3" t="str">
        <f>IF(Caja_Operativa[[#This Row],[FECHA]]&gt;0,TEXT(Caja_Operativa[[#This Row],[FECHA]],"mmmm"),0)</f>
        <v>Enero</v>
      </c>
    </row>
    <row r="58" spans="2:28" ht="24" hidden="1" x14ac:dyDescent="0.3">
      <c r="B58" s="2">
        <f>IF(Caja_Operativa[[#This Row],[TIPO DE R.]]="R",COUNTIFS($D$4:$D57,"R")+1,"")</f>
        <v>54</v>
      </c>
      <c r="C58" s="19" t="str">
        <f t="shared" si="4"/>
        <v>C-Operativa</v>
      </c>
      <c r="D58" s="3" t="s">
        <v>1074</v>
      </c>
      <c r="E58" s="14">
        <v>45679</v>
      </c>
      <c r="F58" s="5" t="s">
        <v>6299</v>
      </c>
      <c r="G58" s="5" t="s">
        <v>1079</v>
      </c>
      <c r="H58" s="6"/>
      <c r="I58" s="6"/>
      <c r="J58" s="6"/>
      <c r="K58" s="6"/>
      <c r="L58" s="7" t="s">
        <v>6344</v>
      </c>
      <c r="M58" s="8">
        <v>2336216</v>
      </c>
      <c r="N58" s="8" t="str">
        <f t="shared" si="5"/>
        <v>PEN</v>
      </c>
      <c r="O58" s="13"/>
      <c r="P58" s="13">
        <v>200</v>
      </c>
      <c r="Q58" s="3">
        <f t="shared" si="6"/>
        <v>0</v>
      </c>
      <c r="R58" s="3">
        <f t="shared" si="7"/>
        <v>200</v>
      </c>
      <c r="S58" s="3">
        <f t="shared" si="3"/>
        <v>1918.9</v>
      </c>
      <c r="T58" s="24"/>
      <c r="U58" s="24"/>
      <c r="V58" s="69"/>
      <c r="W58" s="25" t="s">
        <v>6301</v>
      </c>
      <c r="X58" s="25"/>
      <c r="Y58" s="25"/>
      <c r="Z58" s="25"/>
      <c r="AA58" s="25"/>
      <c r="AB58" s="3" t="str">
        <f>IF(Caja_Operativa[[#This Row],[FECHA]]&gt;0,TEXT(Caja_Operativa[[#This Row],[FECHA]],"mmmm"),0)</f>
        <v>Enero</v>
      </c>
    </row>
    <row r="59" spans="2:28" ht="24" hidden="1" x14ac:dyDescent="0.3">
      <c r="B59" s="2">
        <f>IF(Caja_Operativa[[#This Row],[TIPO DE R.]]="R",COUNTIFS($D$4:$D58,"R")+1,"")</f>
        <v>55</v>
      </c>
      <c r="C59" s="19" t="str">
        <f t="shared" si="4"/>
        <v>C-Operativa</v>
      </c>
      <c r="D59" s="3" t="s">
        <v>1074</v>
      </c>
      <c r="E59" s="14">
        <v>45684</v>
      </c>
      <c r="F59" s="5" t="s">
        <v>6299</v>
      </c>
      <c r="G59" s="5" t="s">
        <v>1079</v>
      </c>
      <c r="H59" s="6"/>
      <c r="I59" s="6"/>
      <c r="J59" s="6"/>
      <c r="K59" s="6"/>
      <c r="L59" s="7" t="s">
        <v>6302</v>
      </c>
      <c r="M59" s="8">
        <v>1541688</v>
      </c>
      <c r="N59" s="8" t="str">
        <f t="shared" si="5"/>
        <v>PEN</v>
      </c>
      <c r="O59" s="13"/>
      <c r="P59" s="13">
        <v>80</v>
      </c>
      <c r="Q59" s="3">
        <f t="shared" si="6"/>
        <v>0</v>
      </c>
      <c r="R59" s="3">
        <f t="shared" si="7"/>
        <v>80</v>
      </c>
      <c r="S59" s="3">
        <f t="shared" si="3"/>
        <v>1838.9</v>
      </c>
      <c r="T59" s="24"/>
      <c r="U59" s="24"/>
      <c r="V59" s="69"/>
      <c r="W59" s="25" t="s">
        <v>6305</v>
      </c>
      <c r="X59" s="25"/>
      <c r="Y59" s="25"/>
      <c r="Z59" s="25"/>
      <c r="AA59" s="25"/>
      <c r="AB59" s="3" t="str">
        <f>IF(Caja_Operativa[[#This Row],[FECHA]]&gt;0,TEXT(Caja_Operativa[[#This Row],[FECHA]],"mmmm"),0)</f>
        <v>Enero</v>
      </c>
    </row>
    <row r="60" spans="2:28" ht="24" hidden="1" x14ac:dyDescent="0.3">
      <c r="B60" s="2">
        <f>IF(Caja_Operativa[[#This Row],[TIPO DE R.]]="R",COUNTIFS($D$4:$D59,"R")+1,"")</f>
        <v>56</v>
      </c>
      <c r="C60" s="19" t="str">
        <f t="shared" si="4"/>
        <v>C-Operativa</v>
      </c>
      <c r="D60" s="3" t="s">
        <v>1074</v>
      </c>
      <c r="E60" s="14">
        <v>45684</v>
      </c>
      <c r="F60" s="5" t="s">
        <v>6299</v>
      </c>
      <c r="G60" s="5" t="s">
        <v>1079</v>
      </c>
      <c r="H60" s="6"/>
      <c r="I60" s="6"/>
      <c r="J60" s="6"/>
      <c r="K60" s="6"/>
      <c r="L60" s="7" t="s">
        <v>6302</v>
      </c>
      <c r="M60" s="8">
        <v>1550902</v>
      </c>
      <c r="N60" s="8" t="str">
        <f t="shared" si="5"/>
        <v>PEN</v>
      </c>
      <c r="O60" s="13"/>
      <c r="P60" s="13">
        <v>100</v>
      </c>
      <c r="Q60" s="3">
        <f t="shared" si="6"/>
        <v>0</v>
      </c>
      <c r="R60" s="3">
        <f t="shared" si="7"/>
        <v>100</v>
      </c>
      <c r="S60" s="3">
        <f t="shared" si="3"/>
        <v>1738.9</v>
      </c>
      <c r="T60" s="24"/>
      <c r="U60" s="24"/>
      <c r="V60" s="69"/>
      <c r="W60" s="25" t="s">
        <v>6325</v>
      </c>
      <c r="X60" s="25"/>
      <c r="Y60" s="25"/>
      <c r="Z60" s="25"/>
      <c r="AA60" s="25"/>
      <c r="AB60" s="3" t="str">
        <f>IF(Caja_Operativa[[#This Row],[FECHA]]&gt;0,TEXT(Caja_Operativa[[#This Row],[FECHA]],"mmmm"),0)</f>
        <v>Enero</v>
      </c>
    </row>
    <row r="61" spans="2:28" hidden="1" x14ac:dyDescent="0.3">
      <c r="B61" s="2">
        <f>IF(Caja_Operativa[[#This Row],[TIPO DE R.]]="R",COUNTIFS($D$4:$D60,"R")+1,"")</f>
        <v>57</v>
      </c>
      <c r="C61" s="19" t="str">
        <f t="shared" si="4"/>
        <v>C-Operativa</v>
      </c>
      <c r="D61" s="3" t="s">
        <v>1074</v>
      </c>
      <c r="E61" s="14">
        <v>45684</v>
      </c>
      <c r="F61" s="5" t="s">
        <v>6299</v>
      </c>
      <c r="G61" s="5" t="s">
        <v>1079</v>
      </c>
      <c r="H61" s="6"/>
      <c r="I61" s="6"/>
      <c r="J61" s="6"/>
      <c r="K61" s="6"/>
      <c r="L61" s="7" t="s">
        <v>6302</v>
      </c>
      <c r="M61" s="8">
        <v>1602652</v>
      </c>
      <c r="N61" s="8" t="str">
        <f t="shared" si="5"/>
        <v>PEN</v>
      </c>
      <c r="O61" s="13"/>
      <c r="P61" s="13">
        <v>80</v>
      </c>
      <c r="Q61" s="3">
        <f t="shared" si="6"/>
        <v>0</v>
      </c>
      <c r="R61" s="3">
        <f t="shared" si="7"/>
        <v>80</v>
      </c>
      <c r="S61" s="3">
        <f t="shared" si="3"/>
        <v>1658.9</v>
      </c>
      <c r="T61" s="24"/>
      <c r="U61" s="24"/>
      <c r="V61" s="69"/>
      <c r="W61" s="25" t="s">
        <v>6303</v>
      </c>
      <c r="X61" s="25"/>
      <c r="Y61" s="25"/>
      <c r="Z61" s="25"/>
      <c r="AA61" s="25"/>
      <c r="AB61" s="3" t="str">
        <f>IF(Caja_Operativa[[#This Row],[FECHA]]&gt;0,TEXT(Caja_Operativa[[#This Row],[FECHA]],"mmmm"),0)</f>
        <v>Enero</v>
      </c>
    </row>
    <row r="62" spans="2:28" ht="24" hidden="1" x14ac:dyDescent="0.3">
      <c r="B62" s="2">
        <f>IF(Caja_Operativa[[#This Row],[TIPO DE R.]]="R",COUNTIFS($D$4:$D61,"R")+1,"")</f>
        <v>58</v>
      </c>
      <c r="C62" s="19" t="str">
        <f t="shared" si="4"/>
        <v>C-Operativa</v>
      </c>
      <c r="D62" s="3" t="s">
        <v>1074</v>
      </c>
      <c r="E62" s="14">
        <v>45684</v>
      </c>
      <c r="F62" s="5" t="s">
        <v>6299</v>
      </c>
      <c r="G62" s="5" t="s">
        <v>1079</v>
      </c>
      <c r="H62" s="6"/>
      <c r="I62" s="6"/>
      <c r="J62" s="6"/>
      <c r="K62" s="6"/>
      <c r="L62" s="7" t="s">
        <v>6302</v>
      </c>
      <c r="M62" s="8">
        <v>1617845</v>
      </c>
      <c r="N62" s="8" t="str">
        <f t="shared" si="5"/>
        <v>PEN</v>
      </c>
      <c r="O62" s="13"/>
      <c r="P62" s="13">
        <v>30</v>
      </c>
      <c r="Q62" s="3">
        <f t="shared" si="6"/>
        <v>0</v>
      </c>
      <c r="R62" s="3">
        <f t="shared" si="7"/>
        <v>30</v>
      </c>
      <c r="S62" s="3">
        <f t="shared" si="3"/>
        <v>1628.9</v>
      </c>
      <c r="T62" s="24"/>
      <c r="U62" s="24"/>
      <c r="V62" s="69"/>
      <c r="W62" s="25" t="s">
        <v>6301</v>
      </c>
      <c r="X62" s="25"/>
      <c r="Y62" s="25"/>
      <c r="Z62" s="25"/>
      <c r="AA62" s="25"/>
      <c r="AB62" s="3" t="str">
        <f>IF(Caja_Operativa[[#This Row],[FECHA]]&gt;0,TEXT(Caja_Operativa[[#This Row],[FECHA]],"mmmm"),0)</f>
        <v>Enero</v>
      </c>
    </row>
    <row r="63" spans="2:28" ht="24" hidden="1" x14ac:dyDescent="0.3">
      <c r="B63" s="2">
        <f>IF(Caja_Operativa[[#This Row],[TIPO DE R.]]="R",COUNTIFS($D$4:$D62,"R")+1,"")</f>
        <v>59</v>
      </c>
      <c r="C63" s="19" t="str">
        <f t="shared" si="4"/>
        <v>C-Operativa</v>
      </c>
      <c r="D63" s="3" t="s">
        <v>1074</v>
      </c>
      <c r="E63" s="14">
        <v>45684</v>
      </c>
      <c r="F63" s="5" t="s">
        <v>6299</v>
      </c>
      <c r="G63" s="5" t="s">
        <v>1079</v>
      </c>
      <c r="H63" s="6"/>
      <c r="I63" s="6"/>
      <c r="J63" s="6"/>
      <c r="K63" s="6"/>
      <c r="L63" s="7" t="s">
        <v>6302</v>
      </c>
      <c r="M63" s="8">
        <v>1591760</v>
      </c>
      <c r="N63" s="8" t="str">
        <f t="shared" si="5"/>
        <v>PEN</v>
      </c>
      <c r="O63" s="13"/>
      <c r="P63" s="13">
        <v>120</v>
      </c>
      <c r="Q63" s="3">
        <f t="shared" si="6"/>
        <v>0</v>
      </c>
      <c r="R63" s="3">
        <f t="shared" si="7"/>
        <v>120</v>
      </c>
      <c r="S63" s="3">
        <f t="shared" si="3"/>
        <v>1508.9</v>
      </c>
      <c r="T63" s="24"/>
      <c r="U63" s="24"/>
      <c r="V63" s="69"/>
      <c r="W63" s="25" t="s">
        <v>6326</v>
      </c>
      <c r="X63" s="25"/>
      <c r="Y63" s="25"/>
      <c r="Z63" s="25"/>
      <c r="AA63" s="25"/>
      <c r="AB63" s="3" t="str">
        <f>IF(Caja_Operativa[[#This Row],[FECHA]]&gt;0,TEXT(Caja_Operativa[[#This Row],[FECHA]],"mmmm"),0)</f>
        <v>Enero</v>
      </c>
    </row>
    <row r="64" spans="2:28" ht="24" hidden="1" x14ac:dyDescent="0.3">
      <c r="B64" s="2">
        <f>IF(Caja_Operativa[[#This Row],[TIPO DE R.]]="R",COUNTIFS($D$4:$D63,"R")+1,"")</f>
        <v>60</v>
      </c>
      <c r="C64" s="19" t="str">
        <f t="shared" si="4"/>
        <v>C-Operativa</v>
      </c>
      <c r="D64" s="3" t="s">
        <v>1074</v>
      </c>
      <c r="E64" s="14">
        <v>45684</v>
      </c>
      <c r="F64" s="5" t="s">
        <v>6299</v>
      </c>
      <c r="G64" s="5" t="s">
        <v>1079</v>
      </c>
      <c r="H64" s="6"/>
      <c r="I64" s="6"/>
      <c r="J64" s="6"/>
      <c r="K64" s="6"/>
      <c r="L64" s="7" t="s">
        <v>6327</v>
      </c>
      <c r="M64" s="8">
        <v>1598130</v>
      </c>
      <c r="N64" s="8" t="str">
        <f t="shared" si="5"/>
        <v>PEN</v>
      </c>
      <c r="O64" s="13"/>
      <c r="P64" s="13">
        <v>130</v>
      </c>
      <c r="Q64" s="3">
        <f t="shared" si="6"/>
        <v>0</v>
      </c>
      <c r="R64" s="3">
        <f t="shared" si="7"/>
        <v>130</v>
      </c>
      <c r="S64" s="3">
        <f t="shared" si="3"/>
        <v>1378.9</v>
      </c>
      <c r="T64" s="24"/>
      <c r="U64" s="24"/>
      <c r="V64" s="69"/>
      <c r="W64" s="25" t="s">
        <v>5618</v>
      </c>
      <c r="X64" s="25"/>
      <c r="Y64" s="25"/>
      <c r="Z64" s="25"/>
      <c r="AA64" s="25"/>
      <c r="AB64" s="3" t="str">
        <f>IF(Caja_Operativa[[#This Row],[FECHA]]&gt;0,TEXT(Caja_Operativa[[#This Row],[FECHA]],"mmmm"),0)</f>
        <v>Enero</v>
      </c>
    </row>
    <row r="65" spans="2:28" ht="24" hidden="1" x14ac:dyDescent="0.3">
      <c r="B65" s="2">
        <f>IF(Caja_Operativa[[#This Row],[TIPO DE R.]]="R",COUNTIFS($D$4:$D64,"R")+1,"")</f>
        <v>61</v>
      </c>
      <c r="C65" s="19" t="str">
        <f t="shared" si="4"/>
        <v>C-Operativa</v>
      </c>
      <c r="D65" s="3" t="s">
        <v>1074</v>
      </c>
      <c r="E65" s="14">
        <v>45685</v>
      </c>
      <c r="F65" s="5" t="s">
        <v>6299</v>
      </c>
      <c r="G65" s="5" t="s">
        <v>1079</v>
      </c>
      <c r="H65" s="6"/>
      <c r="I65" s="6"/>
      <c r="J65" s="6"/>
      <c r="K65" s="6"/>
      <c r="L65" s="7" t="s">
        <v>6345</v>
      </c>
      <c r="M65" s="8">
        <v>3242853</v>
      </c>
      <c r="N65" s="8" t="str">
        <f t="shared" si="5"/>
        <v>PEN</v>
      </c>
      <c r="O65" s="13"/>
      <c r="P65" s="13">
        <v>130</v>
      </c>
      <c r="Q65" s="3">
        <f t="shared" si="6"/>
        <v>0</v>
      </c>
      <c r="R65" s="3">
        <f t="shared" si="7"/>
        <v>130</v>
      </c>
      <c r="S65" s="3">
        <f t="shared" si="3"/>
        <v>1248.9000000000001</v>
      </c>
      <c r="T65" s="24"/>
      <c r="U65" s="24"/>
      <c r="V65" s="69"/>
      <c r="W65" s="25" t="s">
        <v>6307</v>
      </c>
      <c r="X65" s="25"/>
      <c r="Y65" s="25"/>
      <c r="Z65" s="25"/>
      <c r="AA65" s="25"/>
      <c r="AB65" s="3" t="str">
        <f>IF(Caja_Operativa[[#This Row],[FECHA]]&gt;0,TEXT(Caja_Operativa[[#This Row],[FECHA]],"mmmm"),0)</f>
        <v>Enero</v>
      </c>
    </row>
    <row r="66" spans="2:28" ht="60" hidden="1" x14ac:dyDescent="0.3">
      <c r="B66" s="2">
        <f>IF(Caja_Operativa[[#This Row],[TIPO DE R.]]="R",COUNTIFS($D$4:$D65,"R")+1,"")</f>
        <v>62</v>
      </c>
      <c r="C66" s="19" t="str">
        <f t="shared" si="4"/>
        <v>C-Operativa</v>
      </c>
      <c r="D66" s="3" t="s">
        <v>1074</v>
      </c>
      <c r="E66" s="14">
        <v>45685</v>
      </c>
      <c r="F66" s="5" t="s">
        <v>6299</v>
      </c>
      <c r="G66" s="5" t="s">
        <v>1079</v>
      </c>
      <c r="H66" s="6"/>
      <c r="I66" s="6"/>
      <c r="J66" s="6"/>
      <c r="K66" s="6"/>
      <c r="L66" s="7" t="s">
        <v>6346</v>
      </c>
      <c r="M66" s="8">
        <v>3248766</v>
      </c>
      <c r="N66" s="8" t="str">
        <f t="shared" si="5"/>
        <v>PEN</v>
      </c>
      <c r="O66" s="13"/>
      <c r="P66" s="13">
        <v>8</v>
      </c>
      <c r="Q66" s="3">
        <f t="shared" si="6"/>
        <v>0</v>
      </c>
      <c r="R66" s="3">
        <f t="shared" si="7"/>
        <v>8</v>
      </c>
      <c r="S66" s="3">
        <f t="shared" si="3"/>
        <v>1240.9000000000001</v>
      </c>
      <c r="T66" s="24"/>
      <c r="U66" s="24"/>
      <c r="V66" s="69"/>
      <c r="W66" s="25" t="s">
        <v>6307</v>
      </c>
      <c r="X66" s="25"/>
      <c r="Y66" s="25"/>
      <c r="Z66" s="25"/>
      <c r="AA66" s="25"/>
      <c r="AB66" s="3" t="str">
        <f>IF(Caja_Operativa[[#This Row],[FECHA]]&gt;0,TEXT(Caja_Operativa[[#This Row],[FECHA]],"mmmm"),0)</f>
        <v>Enero</v>
      </c>
    </row>
    <row r="67" spans="2:28" ht="60" hidden="1" x14ac:dyDescent="0.3">
      <c r="B67" s="2">
        <f>IF(Caja_Operativa[[#This Row],[TIPO DE R.]]="R",COUNTIFS($D$4:$D66,"R")+1,"")</f>
        <v>63</v>
      </c>
      <c r="C67" s="19" t="str">
        <f t="shared" si="4"/>
        <v>C-Operativa</v>
      </c>
      <c r="D67" s="3" t="s">
        <v>1074</v>
      </c>
      <c r="E67" s="14">
        <v>45685</v>
      </c>
      <c r="F67" s="5" t="s">
        <v>6299</v>
      </c>
      <c r="G67" s="5" t="s">
        <v>1079</v>
      </c>
      <c r="H67" s="6"/>
      <c r="I67" s="6"/>
      <c r="J67" s="6"/>
      <c r="K67" s="6"/>
      <c r="L67" s="7" t="s">
        <v>6347</v>
      </c>
      <c r="M67" s="8">
        <v>3278607</v>
      </c>
      <c r="N67" s="8" t="str">
        <f t="shared" si="5"/>
        <v>PEN</v>
      </c>
      <c r="O67" s="13"/>
      <c r="P67" s="13">
        <v>8</v>
      </c>
      <c r="Q67" s="3">
        <f t="shared" si="6"/>
        <v>0</v>
      </c>
      <c r="R67" s="3">
        <f t="shared" si="7"/>
        <v>8</v>
      </c>
      <c r="S67" s="3">
        <f t="shared" si="3"/>
        <v>1232.9000000000001</v>
      </c>
      <c r="T67" s="24"/>
      <c r="U67" s="24"/>
      <c r="V67" s="69"/>
      <c r="W67" s="25" t="s">
        <v>6307</v>
      </c>
      <c r="X67" s="25"/>
      <c r="Y67" s="25"/>
      <c r="Z67" s="25"/>
      <c r="AA67" s="25"/>
      <c r="AB67" s="3" t="str">
        <f>IF(Caja_Operativa[[#This Row],[FECHA]]&gt;0,TEXT(Caja_Operativa[[#This Row],[FECHA]],"mmmm"),0)</f>
        <v>Enero</v>
      </c>
    </row>
    <row r="68" spans="2:28" ht="60" hidden="1" x14ac:dyDescent="0.3">
      <c r="B68" s="2">
        <f>IF(Caja_Operativa[[#This Row],[TIPO DE R.]]="R",COUNTIFS($D$4:$D67,"R")+1,"")</f>
        <v>64</v>
      </c>
      <c r="C68" s="19" t="str">
        <f t="shared" si="4"/>
        <v>C-Operativa</v>
      </c>
      <c r="D68" s="3" t="s">
        <v>1074</v>
      </c>
      <c r="E68" s="14">
        <v>45685</v>
      </c>
      <c r="F68" s="5" t="s">
        <v>6299</v>
      </c>
      <c r="G68" s="5" t="s">
        <v>1079</v>
      </c>
      <c r="H68" s="6"/>
      <c r="I68" s="6"/>
      <c r="J68" s="6"/>
      <c r="K68" s="6"/>
      <c r="L68" s="7" t="s">
        <v>6348</v>
      </c>
      <c r="M68" s="8">
        <v>3309137</v>
      </c>
      <c r="N68" s="8" t="str">
        <f t="shared" si="5"/>
        <v>PEN</v>
      </c>
      <c r="O68" s="13"/>
      <c r="P68" s="13">
        <v>8</v>
      </c>
      <c r="Q68" s="3">
        <f t="shared" si="6"/>
        <v>0</v>
      </c>
      <c r="R68" s="3">
        <f t="shared" si="7"/>
        <v>8</v>
      </c>
      <c r="S68" s="3">
        <f t="shared" si="3"/>
        <v>1224.9000000000001</v>
      </c>
      <c r="T68" s="24"/>
      <c r="U68" s="24"/>
      <c r="V68" s="69"/>
      <c r="W68" s="25" t="s">
        <v>6307</v>
      </c>
      <c r="X68" s="25"/>
      <c r="Y68" s="25"/>
      <c r="Z68" s="25"/>
      <c r="AA68" s="25"/>
      <c r="AB68" s="3" t="str">
        <f>IF(Caja_Operativa[[#This Row],[FECHA]]&gt;0,TEXT(Caja_Operativa[[#This Row],[FECHA]],"mmmm"),0)</f>
        <v>Enero</v>
      </c>
    </row>
    <row r="69" spans="2:28" ht="60" hidden="1" x14ac:dyDescent="0.3">
      <c r="B69" s="2">
        <f>IF(Caja_Operativa[[#This Row],[TIPO DE R.]]="R",COUNTIFS($D$4:$D68,"R")+1,"")</f>
        <v>65</v>
      </c>
      <c r="C69" s="19" t="str">
        <f t="shared" si="4"/>
        <v>C-Operativa</v>
      </c>
      <c r="D69" s="3" t="s">
        <v>1074</v>
      </c>
      <c r="E69" s="14">
        <v>45685</v>
      </c>
      <c r="F69" s="5" t="s">
        <v>6299</v>
      </c>
      <c r="G69" s="5" t="s">
        <v>1079</v>
      </c>
      <c r="H69" s="6"/>
      <c r="I69" s="6"/>
      <c r="J69" s="6"/>
      <c r="K69" s="6"/>
      <c r="L69" s="7" t="s">
        <v>6349</v>
      </c>
      <c r="M69" s="8">
        <v>3294820</v>
      </c>
      <c r="N69" s="8" t="str">
        <f t="shared" si="5"/>
        <v>PEN</v>
      </c>
      <c r="O69" s="13"/>
      <c r="P69" s="13">
        <v>8</v>
      </c>
      <c r="Q69" s="3">
        <f t="shared" si="6"/>
        <v>0</v>
      </c>
      <c r="R69" s="3">
        <f t="shared" si="7"/>
        <v>8</v>
      </c>
      <c r="S69" s="3">
        <f t="shared" ref="S69:S132" si="8">IFERROR(IF(G69="SALDO",Q69,S68+Q69-R69),0)</f>
        <v>1216.9000000000001</v>
      </c>
      <c r="T69" s="24"/>
      <c r="U69" s="24"/>
      <c r="V69" s="69"/>
      <c r="W69" s="25" t="s">
        <v>6307</v>
      </c>
      <c r="X69" s="25"/>
      <c r="Y69" s="25"/>
      <c r="Z69" s="25"/>
      <c r="AA69" s="25"/>
      <c r="AB69" s="3" t="str">
        <f>IF(Caja_Operativa[[#This Row],[FECHA]]&gt;0,TEXT(Caja_Operativa[[#This Row],[FECHA]],"mmmm"),0)</f>
        <v>Enero</v>
      </c>
    </row>
    <row r="70" spans="2:28" ht="60" hidden="1" x14ac:dyDescent="0.3">
      <c r="B70" s="2">
        <f>IF(Caja_Operativa[[#This Row],[TIPO DE R.]]="R",COUNTIFS($D$4:$D69,"R")+1,"")</f>
        <v>66</v>
      </c>
      <c r="C70" s="19" t="str">
        <f t="shared" ref="C70:C133" si="9">"C-Operativa"</f>
        <v>C-Operativa</v>
      </c>
      <c r="D70" s="3" t="s">
        <v>1074</v>
      </c>
      <c r="E70" s="14">
        <v>45685</v>
      </c>
      <c r="F70" s="5" t="s">
        <v>6299</v>
      </c>
      <c r="G70" s="5" t="s">
        <v>1079</v>
      </c>
      <c r="H70" s="6"/>
      <c r="I70" s="6"/>
      <c r="J70" s="6"/>
      <c r="K70" s="6"/>
      <c r="L70" s="7" t="s">
        <v>6350</v>
      </c>
      <c r="M70" s="8">
        <v>3327771</v>
      </c>
      <c r="N70" s="8" t="str">
        <f t="shared" ref="N70:N133" si="10">"PEN"</f>
        <v>PEN</v>
      </c>
      <c r="O70" s="13"/>
      <c r="P70" s="13">
        <v>8</v>
      </c>
      <c r="Q70" s="3">
        <f t="shared" ref="Q70:Q133" si="11">+IF(OR($G70="SALDO",$G70="INGRESO"),$P70,0)</f>
        <v>0</v>
      </c>
      <c r="R70" s="3">
        <f t="shared" ref="R70:R133" si="12">+IF($G70="EGRESO",$P70,0)</f>
        <v>8</v>
      </c>
      <c r="S70" s="3">
        <f t="shared" si="8"/>
        <v>1208.9000000000001</v>
      </c>
      <c r="T70" s="24"/>
      <c r="U70" s="24"/>
      <c r="V70" s="69"/>
      <c r="W70" s="25" t="s">
        <v>6307</v>
      </c>
      <c r="X70" s="25"/>
      <c r="Y70" s="25"/>
      <c r="Z70" s="25"/>
      <c r="AA70" s="25"/>
      <c r="AB70" s="3" t="str">
        <f>IF(Caja_Operativa[[#This Row],[FECHA]]&gt;0,TEXT(Caja_Operativa[[#This Row],[FECHA]],"mmmm"),0)</f>
        <v>Enero</v>
      </c>
    </row>
    <row r="71" spans="2:28" ht="60" hidden="1" x14ac:dyDescent="0.3">
      <c r="B71" s="2">
        <f>IF(Caja_Operativa[[#This Row],[TIPO DE R.]]="R",COUNTIFS($D$4:$D70,"R")+1,"")</f>
        <v>67</v>
      </c>
      <c r="C71" s="19" t="str">
        <f t="shared" si="9"/>
        <v>C-Operativa</v>
      </c>
      <c r="D71" s="3" t="s">
        <v>1074</v>
      </c>
      <c r="E71" s="14">
        <v>45685</v>
      </c>
      <c r="F71" s="5" t="s">
        <v>6299</v>
      </c>
      <c r="G71" s="5" t="s">
        <v>1079</v>
      </c>
      <c r="H71" s="6"/>
      <c r="I71" s="6"/>
      <c r="J71" s="6"/>
      <c r="K71" s="6"/>
      <c r="L71" s="7" t="s">
        <v>6351</v>
      </c>
      <c r="M71" s="8">
        <v>3328066</v>
      </c>
      <c r="N71" s="8" t="str">
        <f t="shared" si="10"/>
        <v>PEN</v>
      </c>
      <c r="O71" s="13"/>
      <c r="P71" s="13">
        <v>8</v>
      </c>
      <c r="Q71" s="3">
        <f t="shared" si="11"/>
        <v>0</v>
      </c>
      <c r="R71" s="3">
        <f t="shared" si="12"/>
        <v>8</v>
      </c>
      <c r="S71" s="3">
        <f t="shared" si="8"/>
        <v>1200.9000000000001</v>
      </c>
      <c r="T71" s="24"/>
      <c r="U71" s="24"/>
      <c r="V71" s="69"/>
      <c r="W71" s="25" t="s">
        <v>6307</v>
      </c>
      <c r="X71" s="25"/>
      <c r="Y71" s="25"/>
      <c r="Z71" s="25"/>
      <c r="AA71" s="25"/>
      <c r="AB71" s="3" t="str">
        <f>IF(Caja_Operativa[[#This Row],[FECHA]]&gt;0,TEXT(Caja_Operativa[[#This Row],[FECHA]],"mmmm"),0)</f>
        <v>Enero</v>
      </c>
    </row>
    <row r="72" spans="2:28" hidden="1" x14ac:dyDescent="0.3">
      <c r="B72" s="2">
        <f>IF(Caja_Operativa[[#This Row],[TIPO DE R.]]="R",COUNTIFS($D$4:$D71,"R")+1,"")</f>
        <v>68</v>
      </c>
      <c r="C72" s="19" t="str">
        <f t="shared" si="9"/>
        <v>C-Operativa</v>
      </c>
      <c r="D72" s="3" t="s">
        <v>1074</v>
      </c>
      <c r="E72" s="14">
        <v>45685</v>
      </c>
      <c r="F72" s="5" t="s">
        <v>6298</v>
      </c>
      <c r="G72" s="5" t="s">
        <v>1087</v>
      </c>
      <c r="H72" s="6"/>
      <c r="I72" s="6"/>
      <c r="J72" s="6" t="s">
        <v>6329</v>
      </c>
      <c r="K72" s="6">
        <v>2</v>
      </c>
      <c r="L72" s="7" t="s">
        <v>6330</v>
      </c>
      <c r="M72" s="8">
        <v>256044</v>
      </c>
      <c r="N72" s="8" t="str">
        <f t="shared" si="10"/>
        <v>PEN</v>
      </c>
      <c r="O72" s="13"/>
      <c r="P72" s="13">
        <v>2799.1</v>
      </c>
      <c r="Q72" s="3">
        <f t="shared" si="11"/>
        <v>2799.1</v>
      </c>
      <c r="R72" s="3">
        <f t="shared" si="12"/>
        <v>0</v>
      </c>
      <c r="S72" s="3">
        <f t="shared" si="8"/>
        <v>4000</v>
      </c>
      <c r="T72" s="24"/>
      <c r="U72" s="24"/>
      <c r="V72" s="69"/>
      <c r="W72" s="25" t="s">
        <v>6299</v>
      </c>
      <c r="X72" s="25"/>
      <c r="Y72" s="25"/>
      <c r="Z72" s="25"/>
      <c r="AA72" s="25"/>
      <c r="AB72" s="3" t="str">
        <f>IF(Caja_Operativa[[#This Row],[FECHA]]&gt;0,TEXT(Caja_Operativa[[#This Row],[FECHA]],"mmmm"),0)</f>
        <v>Enero</v>
      </c>
    </row>
    <row r="73" spans="2:28" hidden="1" x14ac:dyDescent="0.3">
      <c r="B73" s="2">
        <f>IF(Caja_Operativa[[#This Row],[TIPO DE R.]]="R",COUNTIFS($D$4:$D72,"R")+1,"")</f>
        <v>69</v>
      </c>
      <c r="C73" s="19" t="str">
        <f t="shared" si="9"/>
        <v>C-Operativa</v>
      </c>
      <c r="D73" s="3" t="s">
        <v>1074</v>
      </c>
      <c r="E73" s="14">
        <v>45685</v>
      </c>
      <c r="F73" s="5" t="s">
        <v>1078</v>
      </c>
      <c r="G73" s="5" t="s">
        <v>1079</v>
      </c>
      <c r="H73" s="6"/>
      <c r="I73" s="6"/>
      <c r="J73" s="6"/>
      <c r="K73" s="6"/>
      <c r="L73" s="7" t="s">
        <v>4128</v>
      </c>
      <c r="M73" s="8"/>
      <c r="N73" s="8" t="str">
        <f t="shared" si="10"/>
        <v>PEN</v>
      </c>
      <c r="O73" s="13"/>
      <c r="P73" s="13">
        <v>0.1</v>
      </c>
      <c r="Q73" s="3">
        <f t="shared" si="11"/>
        <v>0</v>
      </c>
      <c r="R73" s="3">
        <f t="shared" si="12"/>
        <v>0.1</v>
      </c>
      <c r="S73" s="3">
        <f t="shared" si="8"/>
        <v>3999.9</v>
      </c>
      <c r="T73" s="24"/>
      <c r="U73" s="24"/>
      <c r="V73" s="69"/>
      <c r="W73" s="25"/>
      <c r="X73" s="25"/>
      <c r="Y73" s="25"/>
      <c r="Z73" s="25"/>
      <c r="AA73" s="25"/>
      <c r="AB73" s="3" t="str">
        <f>IF(Caja_Operativa[[#This Row],[FECHA]]&gt;0,TEXT(Caja_Operativa[[#This Row],[FECHA]],"mmmm"),0)</f>
        <v>Enero</v>
      </c>
    </row>
    <row r="74" spans="2:28" ht="24" hidden="1" x14ac:dyDescent="0.3">
      <c r="B74" s="2">
        <f>IF(Caja_Operativa[[#This Row],[TIPO DE R.]]="R",COUNTIFS($D$4:$D73,"R")+1,"")</f>
        <v>70</v>
      </c>
      <c r="C74" s="19" t="str">
        <f t="shared" si="9"/>
        <v>C-Operativa</v>
      </c>
      <c r="D74" s="3" t="s">
        <v>1074</v>
      </c>
      <c r="E74" s="14">
        <v>45691</v>
      </c>
      <c r="F74" s="5" t="s">
        <v>6299</v>
      </c>
      <c r="G74" s="5" t="s">
        <v>1079</v>
      </c>
      <c r="H74" s="6"/>
      <c r="I74" s="6"/>
      <c r="J74" s="6"/>
      <c r="K74" s="6"/>
      <c r="L74" s="7" t="s">
        <v>6302</v>
      </c>
      <c r="M74" s="8">
        <v>1016460</v>
      </c>
      <c r="N74" s="8" t="str">
        <f t="shared" si="10"/>
        <v>PEN</v>
      </c>
      <c r="O74" s="13"/>
      <c r="P74" s="13">
        <v>110</v>
      </c>
      <c r="Q74" s="3">
        <f t="shared" si="11"/>
        <v>0</v>
      </c>
      <c r="R74" s="3">
        <f t="shared" si="12"/>
        <v>110</v>
      </c>
      <c r="S74" s="3">
        <f t="shared" si="8"/>
        <v>3889.9</v>
      </c>
      <c r="T74" s="24"/>
      <c r="U74" s="24"/>
      <c r="V74" s="69"/>
      <c r="W74" s="25" t="s">
        <v>6305</v>
      </c>
      <c r="X74" s="25"/>
      <c r="Y74" s="25"/>
      <c r="Z74" s="25"/>
      <c r="AA74" s="25"/>
      <c r="AB74" s="3" t="str">
        <f>IF(Caja_Operativa[[#This Row],[FECHA]]&gt;0,TEXT(Caja_Operativa[[#This Row],[FECHA]],"mmmm"),0)</f>
        <v>Febrero</v>
      </c>
    </row>
    <row r="75" spans="2:28" ht="24" hidden="1" x14ac:dyDescent="0.3">
      <c r="B75" s="2">
        <f>IF(Caja_Operativa[[#This Row],[TIPO DE R.]]="R",COUNTIFS($D$4:$D74,"R")+1,"")</f>
        <v>71</v>
      </c>
      <c r="C75" s="19" t="str">
        <f t="shared" si="9"/>
        <v>C-Operativa</v>
      </c>
      <c r="D75" s="3" t="s">
        <v>1074</v>
      </c>
      <c r="E75" s="14">
        <v>45691</v>
      </c>
      <c r="F75" s="5" t="s">
        <v>6299</v>
      </c>
      <c r="G75" s="5" t="s">
        <v>1079</v>
      </c>
      <c r="H75" s="6"/>
      <c r="I75" s="6"/>
      <c r="J75" s="6"/>
      <c r="K75" s="6"/>
      <c r="L75" s="7" t="s">
        <v>6302</v>
      </c>
      <c r="M75" s="8">
        <v>1035317</v>
      </c>
      <c r="N75" s="8" t="str">
        <f t="shared" si="10"/>
        <v>PEN</v>
      </c>
      <c r="O75" s="13"/>
      <c r="P75" s="13">
        <v>160</v>
      </c>
      <c r="Q75" s="3">
        <f t="shared" si="11"/>
        <v>0</v>
      </c>
      <c r="R75" s="3">
        <f t="shared" si="12"/>
        <v>160</v>
      </c>
      <c r="S75" s="3">
        <f t="shared" si="8"/>
        <v>3729.9</v>
      </c>
      <c r="T75" s="24"/>
      <c r="U75" s="24"/>
      <c r="V75" s="69"/>
      <c r="W75" s="25" t="s">
        <v>6325</v>
      </c>
      <c r="X75" s="25"/>
      <c r="Y75" s="25"/>
      <c r="Z75" s="25"/>
      <c r="AA75" s="25"/>
      <c r="AB75" s="3" t="str">
        <f>IF(Caja_Operativa[[#This Row],[FECHA]]&gt;0,TEXT(Caja_Operativa[[#This Row],[FECHA]],"mmmm"),0)</f>
        <v>Febrero</v>
      </c>
    </row>
    <row r="76" spans="2:28" hidden="1" x14ac:dyDescent="0.3">
      <c r="B76" s="2">
        <f>IF(Caja_Operativa[[#This Row],[TIPO DE R.]]="R",COUNTIFS($D$4:$D75,"R")+1,"")</f>
        <v>72</v>
      </c>
      <c r="C76" s="19" t="str">
        <f t="shared" si="9"/>
        <v>C-Operativa</v>
      </c>
      <c r="D76" s="3" t="s">
        <v>1074</v>
      </c>
      <c r="E76" s="14">
        <v>45691</v>
      </c>
      <c r="F76" s="5" t="s">
        <v>6299</v>
      </c>
      <c r="G76" s="5" t="s">
        <v>1079</v>
      </c>
      <c r="H76" s="6"/>
      <c r="I76" s="6"/>
      <c r="J76" s="6"/>
      <c r="K76" s="6"/>
      <c r="L76" s="7" t="s">
        <v>6302</v>
      </c>
      <c r="M76" s="8">
        <v>1062477</v>
      </c>
      <c r="N76" s="8" t="str">
        <f t="shared" si="10"/>
        <v>PEN</v>
      </c>
      <c r="O76" s="13"/>
      <c r="P76" s="13">
        <v>150</v>
      </c>
      <c r="Q76" s="3">
        <f t="shared" si="11"/>
        <v>0</v>
      </c>
      <c r="R76" s="3">
        <f t="shared" si="12"/>
        <v>150</v>
      </c>
      <c r="S76" s="3">
        <f t="shared" si="8"/>
        <v>3579.9</v>
      </c>
      <c r="T76" s="24"/>
      <c r="U76" s="24"/>
      <c r="V76" s="69"/>
      <c r="W76" s="25" t="s">
        <v>6303</v>
      </c>
      <c r="X76" s="25"/>
      <c r="Y76" s="25"/>
      <c r="Z76" s="25"/>
      <c r="AA76" s="25"/>
      <c r="AB76" s="3" t="str">
        <f>IF(Caja_Operativa[[#This Row],[FECHA]]&gt;0,TEXT(Caja_Operativa[[#This Row],[FECHA]],"mmmm"),0)</f>
        <v>Febrero</v>
      </c>
    </row>
    <row r="77" spans="2:28" ht="24" hidden="1" x14ac:dyDescent="0.3">
      <c r="B77" s="2">
        <f>IF(Caja_Operativa[[#This Row],[TIPO DE R.]]="R",COUNTIFS($D$4:$D76,"R")+1,"")</f>
        <v>73</v>
      </c>
      <c r="C77" s="19" t="str">
        <f t="shared" si="9"/>
        <v>C-Operativa</v>
      </c>
      <c r="D77" s="3" t="s">
        <v>1074</v>
      </c>
      <c r="E77" s="14">
        <v>45691</v>
      </c>
      <c r="F77" s="5" t="s">
        <v>6299</v>
      </c>
      <c r="G77" s="5" t="s">
        <v>1079</v>
      </c>
      <c r="H77" s="6"/>
      <c r="I77" s="6"/>
      <c r="J77" s="6"/>
      <c r="K77" s="6"/>
      <c r="L77" s="7" t="s">
        <v>6302</v>
      </c>
      <c r="M77" s="8">
        <v>1047862</v>
      </c>
      <c r="N77" s="8" t="str">
        <f t="shared" si="10"/>
        <v>PEN</v>
      </c>
      <c r="O77" s="13"/>
      <c r="P77" s="13">
        <v>70</v>
      </c>
      <c r="Q77" s="3">
        <f t="shared" si="11"/>
        <v>0</v>
      </c>
      <c r="R77" s="3">
        <f t="shared" si="12"/>
        <v>70</v>
      </c>
      <c r="S77" s="3">
        <f t="shared" si="8"/>
        <v>3509.9</v>
      </c>
      <c r="T77" s="24"/>
      <c r="U77" s="24"/>
      <c r="V77" s="69"/>
      <c r="W77" s="25" t="s">
        <v>6301</v>
      </c>
      <c r="X77" s="25"/>
      <c r="Y77" s="25"/>
      <c r="Z77" s="25"/>
      <c r="AA77" s="25"/>
      <c r="AB77" s="3" t="str">
        <f>IF(Caja_Operativa[[#This Row],[FECHA]]&gt;0,TEXT(Caja_Operativa[[#This Row],[FECHA]],"mmmm"),0)</f>
        <v>Febrero</v>
      </c>
    </row>
    <row r="78" spans="2:28" ht="60" hidden="1" x14ac:dyDescent="0.3">
      <c r="B78" s="2">
        <f>IF(Caja_Operativa[[#This Row],[TIPO DE R.]]="R",COUNTIFS($D$4:$D77,"R")+1,"")</f>
        <v>74</v>
      </c>
      <c r="C78" s="19" t="str">
        <f t="shared" si="9"/>
        <v>C-Operativa</v>
      </c>
      <c r="D78" s="3" t="s">
        <v>1074</v>
      </c>
      <c r="E78" s="14">
        <v>45691</v>
      </c>
      <c r="F78" s="5" t="s">
        <v>6299</v>
      </c>
      <c r="G78" s="5" t="s">
        <v>1079</v>
      </c>
      <c r="H78" s="6"/>
      <c r="I78" s="6"/>
      <c r="J78" s="6"/>
      <c r="K78" s="6"/>
      <c r="L78" s="7" t="s">
        <v>6352</v>
      </c>
      <c r="M78" s="8">
        <v>1057550</v>
      </c>
      <c r="N78" s="8" t="str">
        <f t="shared" si="10"/>
        <v>PEN</v>
      </c>
      <c r="O78" s="13"/>
      <c r="P78" s="13">
        <v>8</v>
      </c>
      <c r="Q78" s="3">
        <f t="shared" si="11"/>
        <v>0</v>
      </c>
      <c r="R78" s="3">
        <f t="shared" si="12"/>
        <v>8</v>
      </c>
      <c r="S78" s="3">
        <f t="shared" si="8"/>
        <v>3501.9</v>
      </c>
      <c r="T78" s="24"/>
      <c r="U78" s="24"/>
      <c r="V78" s="69"/>
      <c r="W78" s="25" t="s">
        <v>6307</v>
      </c>
      <c r="X78" s="25"/>
      <c r="Y78" s="25"/>
      <c r="Z78" s="25"/>
      <c r="AA78" s="25"/>
      <c r="AB78" s="3" t="str">
        <f>IF(Caja_Operativa[[#This Row],[FECHA]]&gt;0,TEXT(Caja_Operativa[[#This Row],[FECHA]],"mmmm"),0)</f>
        <v>Febrero</v>
      </c>
    </row>
    <row r="79" spans="2:28" ht="60" hidden="1" x14ac:dyDescent="0.3">
      <c r="B79" s="2">
        <f>IF(Caja_Operativa[[#This Row],[TIPO DE R.]]="R",COUNTIFS($D$4:$D78,"R")+1,"")</f>
        <v>75</v>
      </c>
      <c r="C79" s="19" t="str">
        <f t="shared" si="9"/>
        <v>C-Operativa</v>
      </c>
      <c r="D79" s="3" t="s">
        <v>1074</v>
      </c>
      <c r="E79" s="14">
        <v>45691</v>
      </c>
      <c r="F79" s="5" t="s">
        <v>6299</v>
      </c>
      <c r="G79" s="5" t="s">
        <v>1079</v>
      </c>
      <c r="H79" s="6"/>
      <c r="I79" s="6"/>
      <c r="J79" s="6"/>
      <c r="K79" s="6"/>
      <c r="L79" s="7" t="s">
        <v>6353</v>
      </c>
      <c r="M79" s="8">
        <v>1072800</v>
      </c>
      <c r="N79" s="8" t="str">
        <f t="shared" si="10"/>
        <v>PEN</v>
      </c>
      <c r="O79" s="13"/>
      <c r="P79" s="13">
        <v>8</v>
      </c>
      <c r="Q79" s="3">
        <f t="shared" si="11"/>
        <v>0</v>
      </c>
      <c r="R79" s="3">
        <f t="shared" si="12"/>
        <v>8</v>
      </c>
      <c r="S79" s="3">
        <f t="shared" si="8"/>
        <v>3493.9</v>
      </c>
      <c r="T79" s="24"/>
      <c r="U79" s="24"/>
      <c r="V79" s="69"/>
      <c r="W79" s="25" t="s">
        <v>6307</v>
      </c>
      <c r="X79" s="25"/>
      <c r="Y79" s="25"/>
      <c r="Z79" s="25"/>
      <c r="AA79" s="25"/>
      <c r="AB79" s="3" t="str">
        <f>IF(Caja_Operativa[[#This Row],[FECHA]]&gt;0,TEXT(Caja_Operativa[[#This Row],[FECHA]],"mmmm"),0)</f>
        <v>Febrero</v>
      </c>
    </row>
    <row r="80" spans="2:28" ht="60" hidden="1" x14ac:dyDescent="0.3">
      <c r="B80" s="2">
        <f>IF(Caja_Operativa[[#This Row],[TIPO DE R.]]="R",COUNTIFS($D$4:$D79,"R")+1,"")</f>
        <v>76</v>
      </c>
      <c r="C80" s="19" t="str">
        <f t="shared" si="9"/>
        <v>C-Operativa</v>
      </c>
      <c r="D80" s="3" t="s">
        <v>1074</v>
      </c>
      <c r="E80" s="14">
        <v>45691</v>
      </c>
      <c r="F80" s="5" t="s">
        <v>6299</v>
      </c>
      <c r="G80" s="5" t="s">
        <v>1079</v>
      </c>
      <c r="H80" s="6"/>
      <c r="I80" s="6"/>
      <c r="J80" s="6"/>
      <c r="K80" s="6"/>
      <c r="L80" s="7" t="s">
        <v>6354</v>
      </c>
      <c r="M80" s="8">
        <v>1037713</v>
      </c>
      <c r="N80" s="8" t="str">
        <f t="shared" si="10"/>
        <v>PEN</v>
      </c>
      <c r="O80" s="13"/>
      <c r="P80" s="13">
        <v>8</v>
      </c>
      <c r="Q80" s="3">
        <f t="shared" si="11"/>
        <v>0</v>
      </c>
      <c r="R80" s="3">
        <f t="shared" si="12"/>
        <v>8</v>
      </c>
      <c r="S80" s="3">
        <f t="shared" si="8"/>
        <v>3485.9</v>
      </c>
      <c r="T80" s="24"/>
      <c r="U80" s="24"/>
      <c r="V80" s="69"/>
      <c r="W80" s="25" t="s">
        <v>6307</v>
      </c>
      <c r="X80" s="25"/>
      <c r="Y80" s="25"/>
      <c r="Z80" s="25"/>
      <c r="AA80" s="25"/>
      <c r="AB80" s="3" t="str">
        <f>IF(Caja_Operativa[[#This Row],[FECHA]]&gt;0,TEXT(Caja_Operativa[[#This Row],[FECHA]],"mmmm"),0)</f>
        <v>Febrero</v>
      </c>
    </row>
    <row r="81" spans="2:28" ht="60" hidden="1" x14ac:dyDescent="0.3">
      <c r="B81" s="2">
        <f>IF(Caja_Operativa[[#This Row],[TIPO DE R.]]="R",COUNTIFS($D$4:$D80,"R")+1,"")</f>
        <v>77</v>
      </c>
      <c r="C81" s="19" t="str">
        <f t="shared" si="9"/>
        <v>C-Operativa</v>
      </c>
      <c r="D81" s="3" t="s">
        <v>1074</v>
      </c>
      <c r="E81" s="14">
        <v>45691</v>
      </c>
      <c r="F81" s="5" t="s">
        <v>6299</v>
      </c>
      <c r="G81" s="5" t="s">
        <v>1079</v>
      </c>
      <c r="H81" s="6"/>
      <c r="I81" s="6"/>
      <c r="J81" s="6"/>
      <c r="K81" s="6"/>
      <c r="L81" s="7" t="s">
        <v>6355</v>
      </c>
      <c r="M81" s="8">
        <v>1040953</v>
      </c>
      <c r="N81" s="8" t="str">
        <f t="shared" si="10"/>
        <v>PEN</v>
      </c>
      <c r="O81" s="13"/>
      <c r="P81" s="13">
        <v>8</v>
      </c>
      <c r="Q81" s="3">
        <f t="shared" si="11"/>
        <v>0</v>
      </c>
      <c r="R81" s="3">
        <f t="shared" si="12"/>
        <v>8</v>
      </c>
      <c r="S81" s="3">
        <f t="shared" si="8"/>
        <v>3477.9</v>
      </c>
      <c r="T81" s="24"/>
      <c r="U81" s="24"/>
      <c r="V81" s="69"/>
      <c r="W81" s="25" t="s">
        <v>6307</v>
      </c>
      <c r="X81" s="25"/>
      <c r="Y81" s="25"/>
      <c r="Z81" s="25"/>
      <c r="AA81" s="25"/>
      <c r="AB81" s="3" t="str">
        <f>IF(Caja_Operativa[[#This Row],[FECHA]]&gt;0,TEXT(Caja_Operativa[[#This Row],[FECHA]],"mmmm"),0)</f>
        <v>Febrero</v>
      </c>
    </row>
    <row r="82" spans="2:28" ht="24" hidden="1" x14ac:dyDescent="0.3">
      <c r="B82" s="2">
        <f>IF(Caja_Operativa[[#This Row],[TIPO DE R.]]="R",COUNTIFS($D$4:$D81,"R")+1,"")</f>
        <v>78</v>
      </c>
      <c r="C82" s="19" t="str">
        <f t="shared" si="9"/>
        <v>C-Operativa</v>
      </c>
      <c r="D82" s="3" t="s">
        <v>1074</v>
      </c>
      <c r="E82" s="14">
        <v>45691</v>
      </c>
      <c r="F82" s="5" t="s">
        <v>6299</v>
      </c>
      <c r="G82" s="5" t="s">
        <v>1079</v>
      </c>
      <c r="H82" s="6"/>
      <c r="I82" s="6"/>
      <c r="J82" s="6"/>
      <c r="K82" s="6"/>
      <c r="L82" s="7" t="s">
        <v>6356</v>
      </c>
      <c r="M82" s="8">
        <v>1095537</v>
      </c>
      <c r="N82" s="8" t="str">
        <f t="shared" si="10"/>
        <v>PEN</v>
      </c>
      <c r="O82" s="13"/>
      <c r="P82" s="13">
        <v>800</v>
      </c>
      <c r="Q82" s="3">
        <f t="shared" si="11"/>
        <v>0</v>
      </c>
      <c r="R82" s="3">
        <f t="shared" si="12"/>
        <v>800</v>
      </c>
      <c r="S82" s="3">
        <f t="shared" si="8"/>
        <v>2677.9</v>
      </c>
      <c r="T82" s="24"/>
      <c r="U82" s="24"/>
      <c r="V82" s="69"/>
      <c r="W82" s="25" t="s">
        <v>5685</v>
      </c>
      <c r="X82" s="25"/>
      <c r="Y82" s="25"/>
      <c r="Z82" s="25"/>
      <c r="AA82" s="25"/>
      <c r="AB82" s="3" t="str">
        <f>IF(Caja_Operativa[[#This Row],[FECHA]]&gt;0,TEXT(Caja_Operativa[[#This Row],[FECHA]],"mmmm"),0)</f>
        <v>Febrero</v>
      </c>
    </row>
    <row r="83" spans="2:28" ht="24" hidden="1" x14ac:dyDescent="0.3">
      <c r="B83" s="2">
        <f>IF(Caja_Operativa[[#This Row],[TIPO DE R.]]="R",COUNTIFS($D$4:$D82,"R")+1,"")</f>
        <v>79</v>
      </c>
      <c r="C83" s="19" t="str">
        <f t="shared" si="9"/>
        <v>C-Operativa</v>
      </c>
      <c r="D83" s="3" t="s">
        <v>1074</v>
      </c>
      <c r="E83" s="14">
        <v>45693</v>
      </c>
      <c r="F83" s="5" t="s">
        <v>6299</v>
      </c>
      <c r="G83" s="5" t="s">
        <v>1079</v>
      </c>
      <c r="H83" s="6"/>
      <c r="I83" s="6"/>
      <c r="J83" s="6"/>
      <c r="K83" s="6"/>
      <c r="L83" s="7" t="s">
        <v>6357</v>
      </c>
      <c r="M83" s="8">
        <v>3659446</v>
      </c>
      <c r="N83" s="8" t="str">
        <f t="shared" si="10"/>
        <v>PEN</v>
      </c>
      <c r="O83" s="13"/>
      <c r="P83" s="13">
        <v>600</v>
      </c>
      <c r="Q83" s="3">
        <f t="shared" si="11"/>
        <v>0</v>
      </c>
      <c r="R83" s="3">
        <f t="shared" si="12"/>
        <v>600</v>
      </c>
      <c r="S83" s="3">
        <f t="shared" si="8"/>
        <v>2077.9</v>
      </c>
      <c r="T83" s="24"/>
      <c r="U83" s="24"/>
      <c r="V83" s="69"/>
      <c r="W83" s="25" t="s">
        <v>6301</v>
      </c>
      <c r="X83" s="25"/>
      <c r="Y83" s="25"/>
      <c r="Z83" s="25"/>
      <c r="AA83" s="25"/>
      <c r="AB83" s="3" t="str">
        <f>IF(Caja_Operativa[[#This Row],[FECHA]]&gt;0,TEXT(Caja_Operativa[[#This Row],[FECHA]],"mmmm"),0)</f>
        <v>Febrero</v>
      </c>
    </row>
    <row r="84" spans="2:28" ht="24" hidden="1" x14ac:dyDescent="0.3">
      <c r="B84" s="2">
        <f>IF(Caja_Operativa[[#This Row],[TIPO DE R.]]="R",COUNTIFS($D$4:$D83,"R")+1,"")</f>
        <v>80</v>
      </c>
      <c r="C84" s="19" t="str">
        <f t="shared" si="9"/>
        <v>C-Operativa</v>
      </c>
      <c r="D84" s="3" t="s">
        <v>1074</v>
      </c>
      <c r="E84" s="14">
        <v>45695</v>
      </c>
      <c r="F84" s="5" t="s">
        <v>6299</v>
      </c>
      <c r="G84" s="5" t="s">
        <v>1079</v>
      </c>
      <c r="H84" s="6"/>
      <c r="I84" s="6"/>
      <c r="J84" s="6"/>
      <c r="K84" s="6"/>
      <c r="L84" s="7" t="s">
        <v>6356</v>
      </c>
      <c r="M84" s="8">
        <v>366891</v>
      </c>
      <c r="N84" s="8" t="str">
        <f t="shared" si="10"/>
        <v>PEN</v>
      </c>
      <c r="O84" s="13"/>
      <c r="P84" s="13">
        <v>300</v>
      </c>
      <c r="Q84" s="3">
        <f t="shared" si="11"/>
        <v>0</v>
      </c>
      <c r="R84" s="3">
        <f t="shared" si="12"/>
        <v>300</v>
      </c>
      <c r="S84" s="3">
        <f t="shared" si="8"/>
        <v>1777.9</v>
      </c>
      <c r="T84" s="24"/>
      <c r="U84" s="24"/>
      <c r="V84" s="69"/>
      <c r="W84" s="25" t="s">
        <v>5685</v>
      </c>
      <c r="X84" s="25"/>
      <c r="Y84" s="25"/>
      <c r="Z84" s="25"/>
      <c r="AA84" s="25"/>
      <c r="AB84" s="3" t="str">
        <f>IF(Caja_Operativa[[#This Row],[FECHA]]&gt;0,TEXT(Caja_Operativa[[#This Row],[FECHA]],"mmmm"),0)</f>
        <v>Febrero</v>
      </c>
    </row>
    <row r="85" spans="2:28" ht="24" hidden="1" x14ac:dyDescent="0.3">
      <c r="B85" s="2">
        <f>IF(Caja_Operativa[[#This Row],[TIPO DE R.]]="R",COUNTIFS($D$4:$D84,"R")+1,"")</f>
        <v>81</v>
      </c>
      <c r="C85" s="19" t="str">
        <f t="shared" si="9"/>
        <v>C-Operativa</v>
      </c>
      <c r="D85" s="3" t="s">
        <v>1074</v>
      </c>
      <c r="E85" s="14">
        <v>45695</v>
      </c>
      <c r="F85" s="5" t="s">
        <v>6299</v>
      </c>
      <c r="G85" s="5" t="s">
        <v>1079</v>
      </c>
      <c r="H85" s="6"/>
      <c r="I85" s="6"/>
      <c r="J85" s="6"/>
      <c r="K85" s="6"/>
      <c r="L85" s="7" t="s">
        <v>6327</v>
      </c>
      <c r="M85" s="8">
        <v>362742</v>
      </c>
      <c r="N85" s="8" t="str">
        <f t="shared" si="10"/>
        <v>PEN</v>
      </c>
      <c r="O85" s="13"/>
      <c r="P85" s="13">
        <v>20</v>
      </c>
      <c r="Q85" s="3">
        <f t="shared" si="11"/>
        <v>0</v>
      </c>
      <c r="R85" s="3">
        <f t="shared" si="12"/>
        <v>20</v>
      </c>
      <c r="S85" s="3">
        <f t="shared" si="8"/>
        <v>1757.9</v>
      </c>
      <c r="T85" s="24"/>
      <c r="U85" s="24"/>
      <c r="V85" s="69"/>
      <c r="W85" s="25" t="s">
        <v>5618</v>
      </c>
      <c r="X85" s="25"/>
      <c r="Y85" s="25"/>
      <c r="Z85" s="25"/>
      <c r="AA85" s="25"/>
      <c r="AB85" s="3" t="str">
        <f>IF(Caja_Operativa[[#This Row],[FECHA]]&gt;0,TEXT(Caja_Operativa[[#This Row],[FECHA]],"mmmm"),0)</f>
        <v>Febrero</v>
      </c>
    </row>
    <row r="86" spans="2:28" ht="24" hidden="1" x14ac:dyDescent="0.3">
      <c r="B86" s="2">
        <f>IF(Caja_Operativa[[#This Row],[TIPO DE R.]]="R",COUNTIFS($D$4:$D85,"R")+1,"")</f>
        <v>82</v>
      </c>
      <c r="C86" s="19" t="str">
        <f t="shared" si="9"/>
        <v>C-Operativa</v>
      </c>
      <c r="D86" s="3" t="s">
        <v>1074</v>
      </c>
      <c r="E86" s="14">
        <v>45695</v>
      </c>
      <c r="F86" s="5" t="s">
        <v>6299</v>
      </c>
      <c r="G86" s="5" t="s">
        <v>1079</v>
      </c>
      <c r="H86" s="6"/>
      <c r="I86" s="6"/>
      <c r="J86" s="6"/>
      <c r="K86" s="6"/>
      <c r="L86" s="7" t="s">
        <v>6345</v>
      </c>
      <c r="M86" s="8">
        <v>398829</v>
      </c>
      <c r="N86" s="8" t="str">
        <f t="shared" si="10"/>
        <v>PEN</v>
      </c>
      <c r="O86" s="13"/>
      <c r="P86" s="13">
        <v>400</v>
      </c>
      <c r="Q86" s="3">
        <f t="shared" si="11"/>
        <v>0</v>
      </c>
      <c r="R86" s="3">
        <f t="shared" si="12"/>
        <v>400</v>
      </c>
      <c r="S86" s="3">
        <f t="shared" si="8"/>
        <v>1357.9</v>
      </c>
      <c r="T86" s="24"/>
      <c r="U86" s="24"/>
      <c r="V86" s="69"/>
      <c r="W86" s="25" t="s">
        <v>6307</v>
      </c>
      <c r="X86" s="25"/>
      <c r="Y86" s="25"/>
      <c r="Z86" s="25"/>
      <c r="AA86" s="25"/>
      <c r="AB86" s="3" t="str">
        <f>IF(Caja_Operativa[[#This Row],[FECHA]]&gt;0,TEXT(Caja_Operativa[[#This Row],[FECHA]],"mmmm"),0)</f>
        <v>Febrero</v>
      </c>
    </row>
    <row r="87" spans="2:28" hidden="1" x14ac:dyDescent="0.3">
      <c r="B87" s="2">
        <f>IF(Caja_Operativa[[#This Row],[TIPO DE R.]]="R",COUNTIFS($D$4:$D86,"R")+1,"")</f>
        <v>83</v>
      </c>
      <c r="C87" s="19" t="str">
        <f t="shared" si="9"/>
        <v>C-Operativa</v>
      </c>
      <c r="D87" s="3" t="s">
        <v>1074</v>
      </c>
      <c r="E87" s="14">
        <v>45694</v>
      </c>
      <c r="F87" s="5" t="s">
        <v>6298</v>
      </c>
      <c r="G87" s="5" t="s">
        <v>1087</v>
      </c>
      <c r="H87" s="6"/>
      <c r="I87" s="6"/>
      <c r="J87" s="6" t="s">
        <v>6329</v>
      </c>
      <c r="K87" s="6">
        <v>3</v>
      </c>
      <c r="L87" s="7" t="s">
        <v>6330</v>
      </c>
      <c r="M87" s="8">
        <v>170205</v>
      </c>
      <c r="N87" s="8" t="str">
        <f t="shared" si="10"/>
        <v>PEN</v>
      </c>
      <c r="O87" s="13"/>
      <c r="P87" s="13">
        <v>2642.1</v>
      </c>
      <c r="Q87" s="3">
        <f t="shared" si="11"/>
        <v>2642.1</v>
      </c>
      <c r="R87" s="3">
        <f t="shared" si="12"/>
        <v>0</v>
      </c>
      <c r="S87" s="3">
        <f t="shared" si="8"/>
        <v>4000</v>
      </c>
      <c r="T87" s="24"/>
      <c r="U87" s="24"/>
      <c r="V87" s="69"/>
      <c r="W87" s="25" t="s">
        <v>6299</v>
      </c>
      <c r="X87" s="25"/>
      <c r="Y87" s="25"/>
      <c r="Z87" s="25"/>
      <c r="AA87" s="25"/>
      <c r="AB87" s="3" t="str">
        <f>IF(Caja_Operativa[[#This Row],[FECHA]]&gt;0,TEXT(Caja_Operativa[[#This Row],[FECHA]],"mmmm"),0)</f>
        <v>Febrero</v>
      </c>
    </row>
    <row r="88" spans="2:28" hidden="1" x14ac:dyDescent="0.3">
      <c r="B88" s="2">
        <f>IF(Caja_Operativa[[#This Row],[TIPO DE R.]]="R",COUNTIFS($D$4:$D87,"R")+1,"")</f>
        <v>84</v>
      </c>
      <c r="C88" s="19" t="str">
        <f t="shared" si="9"/>
        <v>C-Operativa</v>
      </c>
      <c r="D88" s="3" t="s">
        <v>1074</v>
      </c>
      <c r="E88" s="14">
        <v>45694</v>
      </c>
      <c r="F88" s="5" t="s">
        <v>1078</v>
      </c>
      <c r="G88" s="5" t="s">
        <v>1079</v>
      </c>
      <c r="H88" s="6"/>
      <c r="I88" s="6"/>
      <c r="J88" s="6"/>
      <c r="K88" s="6"/>
      <c r="L88" s="7" t="s">
        <v>4128</v>
      </c>
      <c r="M88" s="8"/>
      <c r="N88" s="8" t="str">
        <f t="shared" si="10"/>
        <v>PEN</v>
      </c>
      <c r="O88" s="13"/>
      <c r="P88" s="13">
        <v>0.1</v>
      </c>
      <c r="Q88" s="3">
        <f t="shared" si="11"/>
        <v>0</v>
      </c>
      <c r="R88" s="3">
        <f t="shared" si="12"/>
        <v>0.1</v>
      </c>
      <c r="S88" s="3">
        <f t="shared" si="8"/>
        <v>3999.9</v>
      </c>
      <c r="T88" s="24"/>
      <c r="U88" s="24"/>
      <c r="V88" s="69"/>
      <c r="W88" s="25"/>
      <c r="X88" s="25"/>
      <c r="Y88" s="25"/>
      <c r="Z88" s="25"/>
      <c r="AA88" s="25"/>
      <c r="AB88" s="3" t="str">
        <f>IF(Caja_Operativa[[#This Row],[FECHA]]&gt;0,TEXT(Caja_Operativa[[#This Row],[FECHA]],"mmmm"),0)</f>
        <v>Febrero</v>
      </c>
    </row>
    <row r="89" spans="2:28" ht="24" hidden="1" x14ac:dyDescent="0.3">
      <c r="B89" s="2">
        <f>IF(Caja_Operativa[[#This Row],[TIPO DE R.]]="R",COUNTIFS($D$4:$D88,"R")+1,"")</f>
        <v>85</v>
      </c>
      <c r="C89" s="19" t="str">
        <f t="shared" si="9"/>
        <v>C-Operativa</v>
      </c>
      <c r="D89" s="3" t="s">
        <v>1074</v>
      </c>
      <c r="E89" s="14">
        <v>45695</v>
      </c>
      <c r="F89" s="5" t="s">
        <v>6299</v>
      </c>
      <c r="G89" s="5" t="s">
        <v>1079</v>
      </c>
      <c r="H89" s="6"/>
      <c r="I89" s="6"/>
      <c r="J89" s="6"/>
      <c r="K89" s="6"/>
      <c r="L89" s="7" t="s">
        <v>6302</v>
      </c>
      <c r="M89" s="8">
        <v>429737</v>
      </c>
      <c r="N89" s="8" t="str">
        <f t="shared" si="10"/>
        <v>PEN</v>
      </c>
      <c r="O89" s="13"/>
      <c r="P89" s="13">
        <v>400</v>
      </c>
      <c r="Q89" s="3">
        <f t="shared" si="11"/>
        <v>0</v>
      </c>
      <c r="R89" s="3">
        <f t="shared" si="12"/>
        <v>400</v>
      </c>
      <c r="S89" s="3">
        <f t="shared" si="8"/>
        <v>3599.9</v>
      </c>
      <c r="T89" s="24"/>
      <c r="U89" s="24"/>
      <c r="V89" s="69"/>
      <c r="W89" s="25" t="s">
        <v>6305</v>
      </c>
      <c r="X89" s="25"/>
      <c r="Y89" s="25"/>
      <c r="Z89" s="25"/>
      <c r="AA89" s="25"/>
      <c r="AB89" s="3" t="str">
        <f>IF(Caja_Operativa[[#This Row],[FECHA]]&gt;0,TEXT(Caja_Operativa[[#This Row],[FECHA]],"mmmm"),0)</f>
        <v>Febrero</v>
      </c>
    </row>
    <row r="90" spans="2:28" ht="24" hidden="1" x14ac:dyDescent="0.3">
      <c r="B90" s="2">
        <f>IF(Caja_Operativa[[#This Row],[TIPO DE R.]]="R",COUNTIFS($D$4:$D89,"R")+1,"")</f>
        <v>86</v>
      </c>
      <c r="C90" s="19" t="str">
        <f t="shared" si="9"/>
        <v>C-Operativa</v>
      </c>
      <c r="D90" s="3" t="s">
        <v>1074</v>
      </c>
      <c r="E90" s="14">
        <v>45695</v>
      </c>
      <c r="F90" s="5" t="s">
        <v>6299</v>
      </c>
      <c r="G90" s="5" t="s">
        <v>1079</v>
      </c>
      <c r="H90" s="6"/>
      <c r="I90" s="6"/>
      <c r="J90" s="6"/>
      <c r="K90" s="6"/>
      <c r="L90" s="7" t="s">
        <v>6302</v>
      </c>
      <c r="M90" s="8">
        <v>44093</v>
      </c>
      <c r="N90" s="8" t="str">
        <f t="shared" si="10"/>
        <v>PEN</v>
      </c>
      <c r="O90" s="13"/>
      <c r="P90" s="13">
        <v>400</v>
      </c>
      <c r="Q90" s="3">
        <f t="shared" si="11"/>
        <v>0</v>
      </c>
      <c r="R90" s="3">
        <f t="shared" si="12"/>
        <v>400</v>
      </c>
      <c r="S90" s="3">
        <f t="shared" si="8"/>
        <v>3199.9</v>
      </c>
      <c r="T90" s="24"/>
      <c r="U90" s="24"/>
      <c r="V90" s="69"/>
      <c r="W90" s="25" t="s">
        <v>6325</v>
      </c>
      <c r="X90" s="25"/>
      <c r="Y90" s="25"/>
      <c r="Z90" s="25"/>
      <c r="AA90" s="25"/>
      <c r="AB90" s="3" t="str">
        <f>IF(Caja_Operativa[[#This Row],[FECHA]]&gt;0,TEXT(Caja_Operativa[[#This Row],[FECHA]],"mmmm"),0)</f>
        <v>Febrero</v>
      </c>
    </row>
    <row r="91" spans="2:28" ht="24" hidden="1" x14ac:dyDescent="0.3">
      <c r="B91" s="2">
        <f>IF(Caja_Operativa[[#This Row],[TIPO DE R.]]="R",COUNTIFS($D$4:$D90,"R")+1,"")</f>
        <v>87</v>
      </c>
      <c r="C91" s="19" t="str">
        <f t="shared" si="9"/>
        <v>C-Operativa</v>
      </c>
      <c r="D91" s="3" t="s">
        <v>1074</v>
      </c>
      <c r="E91" s="14">
        <v>45695</v>
      </c>
      <c r="F91" s="5" t="s">
        <v>6299</v>
      </c>
      <c r="G91" s="5" t="s">
        <v>1079</v>
      </c>
      <c r="H91" s="6"/>
      <c r="I91" s="6"/>
      <c r="J91" s="6"/>
      <c r="K91" s="6"/>
      <c r="L91" s="7" t="s">
        <v>6302</v>
      </c>
      <c r="M91" s="8">
        <v>443030</v>
      </c>
      <c r="N91" s="8" t="str">
        <f t="shared" si="10"/>
        <v>PEN</v>
      </c>
      <c r="O91" s="13"/>
      <c r="P91" s="13">
        <v>400</v>
      </c>
      <c r="Q91" s="3">
        <f t="shared" si="11"/>
        <v>0</v>
      </c>
      <c r="R91" s="3">
        <f t="shared" si="12"/>
        <v>400</v>
      </c>
      <c r="S91" s="3">
        <f t="shared" si="8"/>
        <v>2799.9</v>
      </c>
      <c r="T91" s="24"/>
      <c r="U91" s="24"/>
      <c r="V91" s="69"/>
      <c r="W91" s="25" t="s">
        <v>5685</v>
      </c>
      <c r="X91" s="25"/>
      <c r="Y91" s="25"/>
      <c r="Z91" s="25"/>
      <c r="AA91" s="25"/>
      <c r="AB91" s="3" t="str">
        <f>IF(Caja_Operativa[[#This Row],[FECHA]]&gt;0,TEXT(Caja_Operativa[[#This Row],[FECHA]],"mmmm"),0)</f>
        <v>Febrero</v>
      </c>
    </row>
    <row r="92" spans="2:28" hidden="1" x14ac:dyDescent="0.3">
      <c r="B92" s="2">
        <f>IF(Caja_Operativa[[#This Row],[TIPO DE R.]]="R",COUNTIFS($D$4:$D91,"R")+1,"")</f>
        <v>88</v>
      </c>
      <c r="C92" s="19" t="str">
        <f t="shared" si="9"/>
        <v>C-Operativa</v>
      </c>
      <c r="D92" s="3" t="s">
        <v>1074</v>
      </c>
      <c r="E92" s="14">
        <v>45695</v>
      </c>
      <c r="F92" s="5" t="s">
        <v>6299</v>
      </c>
      <c r="G92" s="5" t="s">
        <v>1079</v>
      </c>
      <c r="H92" s="6"/>
      <c r="I92" s="6"/>
      <c r="J92" s="6"/>
      <c r="K92" s="6"/>
      <c r="L92" s="7" t="s">
        <v>6302</v>
      </c>
      <c r="M92" s="8">
        <v>455541</v>
      </c>
      <c r="N92" s="8" t="str">
        <f t="shared" si="10"/>
        <v>PEN</v>
      </c>
      <c r="O92" s="13"/>
      <c r="P92" s="13">
        <v>400</v>
      </c>
      <c r="Q92" s="3">
        <f t="shared" si="11"/>
        <v>0</v>
      </c>
      <c r="R92" s="3">
        <f t="shared" si="12"/>
        <v>400</v>
      </c>
      <c r="S92" s="3">
        <f t="shared" si="8"/>
        <v>2399.9</v>
      </c>
      <c r="T92" s="24"/>
      <c r="U92" s="24"/>
      <c r="V92" s="69"/>
      <c r="W92" s="25" t="s">
        <v>6303</v>
      </c>
      <c r="X92" s="25"/>
      <c r="Y92" s="25"/>
      <c r="Z92" s="25"/>
      <c r="AA92" s="25"/>
      <c r="AB92" s="3" t="str">
        <f>IF(Caja_Operativa[[#This Row],[FECHA]]&gt;0,TEXT(Caja_Operativa[[#This Row],[FECHA]],"mmmm"),0)</f>
        <v>Febrero</v>
      </c>
    </row>
    <row r="93" spans="2:28" ht="24" hidden="1" x14ac:dyDescent="0.3">
      <c r="B93" s="2">
        <f>IF(Caja_Operativa[[#This Row],[TIPO DE R.]]="R",COUNTIFS($D$4:$D92,"R")+1,"")</f>
        <v>89</v>
      </c>
      <c r="C93" s="19" t="str">
        <f t="shared" si="9"/>
        <v>C-Operativa</v>
      </c>
      <c r="D93" s="3" t="s">
        <v>1074</v>
      </c>
      <c r="E93" s="14">
        <v>45695</v>
      </c>
      <c r="F93" s="5" t="s">
        <v>6299</v>
      </c>
      <c r="G93" s="5" t="s">
        <v>1079</v>
      </c>
      <c r="H93" s="6"/>
      <c r="I93" s="6"/>
      <c r="J93" s="6"/>
      <c r="K93" s="6"/>
      <c r="L93" s="7" t="s">
        <v>6302</v>
      </c>
      <c r="M93" s="8">
        <v>522036</v>
      </c>
      <c r="N93" s="8" t="str">
        <f t="shared" si="10"/>
        <v>PEN</v>
      </c>
      <c r="O93" s="13"/>
      <c r="P93" s="13">
        <v>400</v>
      </c>
      <c r="Q93" s="3">
        <f t="shared" si="11"/>
        <v>0</v>
      </c>
      <c r="R93" s="3">
        <f t="shared" si="12"/>
        <v>400</v>
      </c>
      <c r="S93" s="3">
        <f t="shared" si="8"/>
        <v>1999.9</v>
      </c>
      <c r="T93" s="24"/>
      <c r="U93" s="24"/>
      <c r="V93" s="69"/>
      <c r="W93" s="25" t="s">
        <v>6301</v>
      </c>
      <c r="X93" s="25"/>
      <c r="Y93" s="25"/>
      <c r="Z93" s="25"/>
      <c r="AA93" s="25"/>
      <c r="AB93" s="3" t="str">
        <f>IF(Caja_Operativa[[#This Row],[FECHA]]&gt;0,TEXT(Caja_Operativa[[#This Row],[FECHA]],"mmmm"),0)</f>
        <v>Febrero</v>
      </c>
    </row>
    <row r="94" spans="2:28" ht="24" hidden="1" x14ac:dyDescent="0.3">
      <c r="B94" s="2">
        <f>IF(Caja_Operativa[[#This Row],[TIPO DE R.]]="R",COUNTIFS($D$4:$D93,"R")+1,"")</f>
        <v>90</v>
      </c>
      <c r="C94" s="19" t="str">
        <f t="shared" si="9"/>
        <v>C-Operativa</v>
      </c>
      <c r="D94" s="3" t="s">
        <v>1074</v>
      </c>
      <c r="E94" s="14">
        <v>45695</v>
      </c>
      <c r="F94" s="5" t="s">
        <v>6299</v>
      </c>
      <c r="G94" s="5" t="s">
        <v>1079</v>
      </c>
      <c r="H94" s="6"/>
      <c r="I94" s="6"/>
      <c r="J94" s="6"/>
      <c r="K94" s="6"/>
      <c r="L94" s="7" t="s">
        <v>6327</v>
      </c>
      <c r="M94" s="8">
        <v>513494</v>
      </c>
      <c r="N94" s="8" t="str">
        <f t="shared" si="10"/>
        <v>PEN</v>
      </c>
      <c r="O94" s="13"/>
      <c r="P94" s="13">
        <v>400</v>
      </c>
      <c r="Q94" s="3">
        <f t="shared" si="11"/>
        <v>0</v>
      </c>
      <c r="R94" s="3">
        <f t="shared" si="12"/>
        <v>400</v>
      </c>
      <c r="S94" s="3">
        <f t="shared" si="8"/>
        <v>1599.9</v>
      </c>
      <c r="T94" s="24"/>
      <c r="U94" s="24"/>
      <c r="V94" s="69"/>
      <c r="W94" s="25" t="s">
        <v>5618</v>
      </c>
      <c r="X94" s="25"/>
      <c r="Y94" s="25"/>
      <c r="Z94" s="25"/>
      <c r="AA94" s="25"/>
      <c r="AB94" s="3" t="str">
        <f>IF(Caja_Operativa[[#This Row],[FECHA]]&gt;0,TEXT(Caja_Operativa[[#This Row],[FECHA]],"mmmm"),0)</f>
        <v>Febrero</v>
      </c>
    </row>
    <row r="95" spans="2:28" ht="24" hidden="1" x14ac:dyDescent="0.3">
      <c r="B95" s="2">
        <f>IF(Caja_Operativa[[#This Row],[TIPO DE R.]]="R",COUNTIFS($D$4:$D94,"R")+1,"")</f>
        <v>91</v>
      </c>
      <c r="C95" s="19" t="str">
        <f t="shared" si="9"/>
        <v>C-Operativa</v>
      </c>
      <c r="D95" s="3" t="s">
        <v>1074</v>
      </c>
      <c r="E95" s="14">
        <v>45705</v>
      </c>
      <c r="F95" s="5" t="s">
        <v>6299</v>
      </c>
      <c r="G95" s="5" t="s">
        <v>1079</v>
      </c>
      <c r="H95" s="6"/>
      <c r="I95" s="6"/>
      <c r="J95" s="6"/>
      <c r="K95" s="6"/>
      <c r="L95" s="7" t="s">
        <v>6302</v>
      </c>
      <c r="M95" s="8">
        <v>5349712</v>
      </c>
      <c r="N95" s="8" t="str">
        <f t="shared" si="10"/>
        <v>PEN</v>
      </c>
      <c r="O95" s="13"/>
      <c r="P95" s="13">
        <v>600</v>
      </c>
      <c r="Q95" s="3">
        <f t="shared" si="11"/>
        <v>0</v>
      </c>
      <c r="R95" s="3">
        <f t="shared" si="12"/>
        <v>600</v>
      </c>
      <c r="S95" s="3">
        <f t="shared" si="8"/>
        <v>999.90000000000009</v>
      </c>
      <c r="T95" s="24"/>
      <c r="U95" s="24"/>
      <c r="V95" s="69"/>
      <c r="W95" s="25" t="s">
        <v>6301</v>
      </c>
      <c r="X95" s="25"/>
      <c r="Y95" s="25"/>
      <c r="Z95" s="25"/>
      <c r="AA95" s="25"/>
      <c r="AB95" s="3" t="str">
        <f>IF(Caja_Operativa[[#This Row],[FECHA]]&gt;0,TEXT(Caja_Operativa[[#This Row],[FECHA]],"mmmm"),0)</f>
        <v>Febrero</v>
      </c>
    </row>
    <row r="96" spans="2:28" hidden="1" x14ac:dyDescent="0.3">
      <c r="B96" s="2">
        <f>IF(Caja_Operativa[[#This Row],[TIPO DE R.]]="R",COUNTIFS($D$4:$D95,"R")+1,"")</f>
        <v>92</v>
      </c>
      <c r="C96" s="19" t="str">
        <f t="shared" si="9"/>
        <v>C-Operativa</v>
      </c>
      <c r="D96" s="3" t="s">
        <v>1074</v>
      </c>
      <c r="E96" s="14">
        <v>45707</v>
      </c>
      <c r="F96" s="5" t="s">
        <v>6298</v>
      </c>
      <c r="G96" s="5" t="s">
        <v>1087</v>
      </c>
      <c r="H96" s="6"/>
      <c r="I96" s="6"/>
      <c r="J96" s="6" t="s">
        <v>6329</v>
      </c>
      <c r="K96" s="6">
        <v>4</v>
      </c>
      <c r="L96" s="7" t="s">
        <v>6330</v>
      </c>
      <c r="M96" s="8">
        <v>76119</v>
      </c>
      <c r="N96" s="8" t="str">
        <f t="shared" si="10"/>
        <v>PEN</v>
      </c>
      <c r="O96" s="13"/>
      <c r="P96" s="13">
        <v>3000.1</v>
      </c>
      <c r="Q96" s="3">
        <f t="shared" si="11"/>
        <v>3000.1</v>
      </c>
      <c r="R96" s="3">
        <f t="shared" si="12"/>
        <v>0</v>
      </c>
      <c r="S96" s="3">
        <f t="shared" si="8"/>
        <v>4000</v>
      </c>
      <c r="T96" s="24"/>
      <c r="U96" s="24"/>
      <c r="V96" s="69"/>
      <c r="W96" s="25" t="s">
        <v>6299</v>
      </c>
      <c r="X96" s="25"/>
      <c r="Y96" s="25"/>
      <c r="Z96" s="25"/>
      <c r="AA96" s="25"/>
      <c r="AB96" s="3" t="str">
        <f>IF(Caja_Operativa[[#This Row],[FECHA]]&gt;0,TEXT(Caja_Operativa[[#This Row],[FECHA]],"mmmm"),0)</f>
        <v>Febrero</v>
      </c>
    </row>
    <row r="97" spans="2:28" hidden="1" x14ac:dyDescent="0.3">
      <c r="B97" s="2">
        <f>IF(Caja_Operativa[[#This Row],[TIPO DE R.]]="R",COUNTIFS($D$4:$D96,"R")+1,"")</f>
        <v>93</v>
      </c>
      <c r="C97" s="19" t="str">
        <f t="shared" si="9"/>
        <v>C-Operativa</v>
      </c>
      <c r="D97" s="3" t="s">
        <v>1074</v>
      </c>
      <c r="E97" s="14">
        <v>45707</v>
      </c>
      <c r="F97" s="5" t="s">
        <v>1078</v>
      </c>
      <c r="G97" s="5" t="s">
        <v>1079</v>
      </c>
      <c r="H97" s="6"/>
      <c r="I97" s="6"/>
      <c r="J97" s="6"/>
      <c r="K97" s="6"/>
      <c r="L97" s="7" t="s">
        <v>4128</v>
      </c>
      <c r="M97" s="8"/>
      <c r="N97" s="8" t="str">
        <f t="shared" si="10"/>
        <v>PEN</v>
      </c>
      <c r="O97" s="13"/>
      <c r="P97" s="13">
        <v>0.2</v>
      </c>
      <c r="Q97" s="3">
        <f t="shared" si="11"/>
        <v>0</v>
      </c>
      <c r="R97" s="3">
        <f t="shared" si="12"/>
        <v>0.2</v>
      </c>
      <c r="S97" s="3">
        <f t="shared" si="8"/>
        <v>3999.8</v>
      </c>
      <c r="T97" s="24"/>
      <c r="U97" s="24"/>
      <c r="V97" s="69"/>
      <c r="W97" s="25"/>
      <c r="X97" s="25"/>
      <c r="Y97" s="25"/>
      <c r="Z97" s="25"/>
      <c r="AA97" s="25"/>
      <c r="AB97" s="3" t="str">
        <f>IF(Caja_Operativa[[#This Row],[FECHA]]&gt;0,TEXT(Caja_Operativa[[#This Row],[FECHA]],"mmmm"),0)</f>
        <v>Febrero</v>
      </c>
    </row>
    <row r="98" spans="2:28" ht="24" hidden="1" x14ac:dyDescent="0.3">
      <c r="B98" s="2">
        <f>IF(Caja_Operativa[[#This Row],[TIPO DE R.]]="R",COUNTIFS($D$4:$D97,"R")+1,"")</f>
        <v>94</v>
      </c>
      <c r="C98" s="19" t="str">
        <f t="shared" si="9"/>
        <v>C-Operativa</v>
      </c>
      <c r="D98" s="3" t="s">
        <v>1074</v>
      </c>
      <c r="E98" s="14">
        <v>45707</v>
      </c>
      <c r="F98" s="5" t="s">
        <v>6299</v>
      </c>
      <c r="G98" s="5" t="s">
        <v>1079</v>
      </c>
      <c r="H98" s="6"/>
      <c r="I98" s="6"/>
      <c r="J98" s="6"/>
      <c r="K98" s="6"/>
      <c r="L98" s="7" t="s">
        <v>6356</v>
      </c>
      <c r="M98" s="8">
        <v>2328942</v>
      </c>
      <c r="N98" s="8" t="str">
        <f t="shared" si="10"/>
        <v>PEN</v>
      </c>
      <c r="O98" s="13"/>
      <c r="P98" s="13">
        <v>1000</v>
      </c>
      <c r="Q98" s="3">
        <f t="shared" si="11"/>
        <v>0</v>
      </c>
      <c r="R98" s="3">
        <f t="shared" si="12"/>
        <v>1000</v>
      </c>
      <c r="S98" s="3">
        <f t="shared" si="8"/>
        <v>2999.8</v>
      </c>
      <c r="T98" s="24"/>
      <c r="U98" s="24"/>
      <c r="V98" s="69"/>
      <c r="W98" s="25" t="s">
        <v>5685</v>
      </c>
      <c r="X98" s="25"/>
      <c r="Y98" s="25"/>
      <c r="Z98" s="25"/>
      <c r="AA98" s="25"/>
      <c r="AB98" s="3" t="str">
        <f>IF(Caja_Operativa[[#This Row],[FECHA]]&gt;0,TEXT(Caja_Operativa[[#This Row],[FECHA]],"mmmm"),0)</f>
        <v>Febrero</v>
      </c>
    </row>
    <row r="99" spans="2:28" ht="24" hidden="1" x14ac:dyDescent="0.3">
      <c r="B99" s="2">
        <f>IF(Caja_Operativa[[#This Row],[TIPO DE R.]]="R",COUNTIFS($D$4:$D98,"R")+1,"")</f>
        <v>95</v>
      </c>
      <c r="C99" s="19" t="str">
        <f t="shared" si="9"/>
        <v>C-Operativa</v>
      </c>
      <c r="D99" s="3" t="s">
        <v>1074</v>
      </c>
      <c r="E99" s="14">
        <v>45712</v>
      </c>
      <c r="F99" s="5" t="s">
        <v>6299</v>
      </c>
      <c r="G99" s="5" t="s">
        <v>1079</v>
      </c>
      <c r="H99" s="6"/>
      <c r="I99" s="6"/>
      <c r="J99" s="6"/>
      <c r="K99" s="6"/>
      <c r="L99" s="7" t="s">
        <v>6302</v>
      </c>
      <c r="M99" s="8">
        <v>2346708</v>
      </c>
      <c r="N99" s="8" t="str">
        <f t="shared" si="10"/>
        <v>PEN</v>
      </c>
      <c r="O99" s="13"/>
      <c r="P99" s="13">
        <v>70</v>
      </c>
      <c r="Q99" s="3">
        <f t="shared" si="11"/>
        <v>0</v>
      </c>
      <c r="R99" s="3">
        <f t="shared" si="12"/>
        <v>70</v>
      </c>
      <c r="S99" s="3">
        <f t="shared" si="8"/>
        <v>2929.8</v>
      </c>
      <c r="T99" s="24"/>
      <c r="U99" s="24"/>
      <c r="V99" s="69"/>
      <c r="W99" s="25" t="s">
        <v>6326</v>
      </c>
      <c r="X99" s="25"/>
      <c r="Y99" s="25"/>
      <c r="Z99" s="25"/>
      <c r="AA99" s="25"/>
      <c r="AB99" s="3" t="str">
        <f>IF(Caja_Operativa[[#This Row],[FECHA]]&gt;0,TEXT(Caja_Operativa[[#This Row],[FECHA]],"mmmm"),0)</f>
        <v>Febrero</v>
      </c>
    </row>
    <row r="100" spans="2:28" ht="24" hidden="1" x14ac:dyDescent="0.3">
      <c r="B100" s="2">
        <f>IF(Caja_Operativa[[#This Row],[TIPO DE R.]]="R",COUNTIFS($D$4:$D99,"R")+1,"")</f>
        <v>96</v>
      </c>
      <c r="C100" s="19" t="str">
        <f t="shared" si="9"/>
        <v>C-Operativa</v>
      </c>
      <c r="D100" s="3" t="s">
        <v>1074</v>
      </c>
      <c r="E100" s="14">
        <v>45712</v>
      </c>
      <c r="F100" s="5" t="s">
        <v>6299</v>
      </c>
      <c r="G100" s="5" t="s">
        <v>1079</v>
      </c>
      <c r="H100" s="6"/>
      <c r="I100" s="6"/>
      <c r="J100" s="6"/>
      <c r="K100" s="6"/>
      <c r="L100" s="7" t="s">
        <v>6302</v>
      </c>
      <c r="M100" s="8">
        <v>2555800</v>
      </c>
      <c r="N100" s="8" t="str">
        <f t="shared" si="10"/>
        <v>PEN</v>
      </c>
      <c r="O100" s="13"/>
      <c r="P100" s="13">
        <v>180</v>
      </c>
      <c r="Q100" s="3">
        <f t="shared" si="11"/>
        <v>0</v>
      </c>
      <c r="R100" s="3">
        <f t="shared" si="12"/>
        <v>180</v>
      </c>
      <c r="S100" s="3">
        <f t="shared" si="8"/>
        <v>2749.8</v>
      </c>
      <c r="T100" s="24"/>
      <c r="U100" s="24"/>
      <c r="V100" s="69"/>
      <c r="W100" s="25" t="s">
        <v>6301</v>
      </c>
      <c r="X100" s="25"/>
      <c r="Y100" s="25"/>
      <c r="Z100" s="25"/>
      <c r="AA100" s="25"/>
      <c r="AB100" s="3" t="str">
        <f>IF(Caja_Operativa[[#This Row],[FECHA]]&gt;0,TEXT(Caja_Operativa[[#This Row],[FECHA]],"mmmm"),0)</f>
        <v>Febrero</v>
      </c>
    </row>
    <row r="101" spans="2:28" ht="24" hidden="1" x14ac:dyDescent="0.3">
      <c r="B101" s="2">
        <f>IF(Caja_Operativa[[#This Row],[TIPO DE R.]]="R",COUNTIFS($D$4:$D100,"R")+1,"")</f>
        <v>97</v>
      </c>
      <c r="C101" s="19" t="str">
        <f t="shared" si="9"/>
        <v>C-Operativa</v>
      </c>
      <c r="D101" s="3" t="s">
        <v>1074</v>
      </c>
      <c r="E101" s="14">
        <v>45713</v>
      </c>
      <c r="F101" s="5" t="s">
        <v>6299</v>
      </c>
      <c r="G101" s="5" t="s">
        <v>1079</v>
      </c>
      <c r="H101" s="6"/>
      <c r="I101" s="6"/>
      <c r="J101" s="6"/>
      <c r="K101" s="6"/>
      <c r="L101" s="7" t="s">
        <v>6302</v>
      </c>
      <c r="M101" s="8" t="s">
        <v>6358</v>
      </c>
      <c r="N101" s="8" t="str">
        <f t="shared" si="10"/>
        <v>PEN</v>
      </c>
      <c r="O101" s="13"/>
      <c r="P101" s="13">
        <v>100</v>
      </c>
      <c r="Q101" s="3">
        <f t="shared" si="11"/>
        <v>0</v>
      </c>
      <c r="R101" s="3">
        <f t="shared" si="12"/>
        <v>100</v>
      </c>
      <c r="S101" s="3">
        <f t="shared" si="8"/>
        <v>2649.8</v>
      </c>
      <c r="T101" s="24"/>
      <c r="U101" s="24"/>
      <c r="V101" s="69"/>
      <c r="W101" s="25" t="s">
        <v>6325</v>
      </c>
      <c r="X101" s="25"/>
      <c r="Y101" s="25"/>
      <c r="Z101" s="25"/>
      <c r="AA101" s="25"/>
      <c r="AB101" s="3" t="str">
        <f>IF(Caja_Operativa[[#This Row],[FECHA]]&gt;0,TEXT(Caja_Operativa[[#This Row],[FECHA]],"mmmm"),0)</f>
        <v>Febrero</v>
      </c>
    </row>
    <row r="102" spans="2:28" ht="24" hidden="1" x14ac:dyDescent="0.3">
      <c r="B102" s="2">
        <f>IF(Caja_Operativa[[#This Row],[TIPO DE R.]]="R",COUNTIFS($D$4:$D101,"R")+1,"")</f>
        <v>98</v>
      </c>
      <c r="C102" s="19" t="str">
        <f t="shared" si="9"/>
        <v>C-Operativa</v>
      </c>
      <c r="D102" s="3" t="s">
        <v>1074</v>
      </c>
      <c r="E102" s="14">
        <v>45714</v>
      </c>
      <c r="F102" s="5" t="s">
        <v>6299</v>
      </c>
      <c r="G102" s="5" t="s">
        <v>1079</v>
      </c>
      <c r="H102" s="6"/>
      <c r="I102" s="6"/>
      <c r="J102" s="6"/>
      <c r="K102" s="6"/>
      <c r="L102" s="7" t="s">
        <v>6302</v>
      </c>
      <c r="M102" s="8">
        <v>3166401</v>
      </c>
      <c r="N102" s="8" t="str">
        <f t="shared" si="10"/>
        <v>PEN</v>
      </c>
      <c r="O102" s="13"/>
      <c r="P102" s="13">
        <v>200</v>
      </c>
      <c r="Q102" s="3">
        <f t="shared" si="11"/>
        <v>0</v>
      </c>
      <c r="R102" s="3">
        <f t="shared" si="12"/>
        <v>200</v>
      </c>
      <c r="S102" s="3">
        <f t="shared" si="8"/>
        <v>2449.8000000000002</v>
      </c>
      <c r="T102" s="24"/>
      <c r="U102" s="24"/>
      <c r="V102" s="69"/>
      <c r="W102" s="25" t="s">
        <v>6359</v>
      </c>
      <c r="X102" s="25"/>
      <c r="Y102" s="25"/>
      <c r="Z102" s="25"/>
      <c r="AA102" s="25"/>
      <c r="AB102" s="3" t="str">
        <f>IF(Caja_Operativa[[#This Row],[FECHA]]&gt;0,TEXT(Caja_Operativa[[#This Row],[FECHA]],"mmmm"),0)</f>
        <v>Febrero</v>
      </c>
    </row>
    <row r="103" spans="2:28" ht="24" hidden="1" x14ac:dyDescent="0.3">
      <c r="B103" s="2">
        <f>IF(Caja_Operativa[[#This Row],[TIPO DE R.]]="R",COUNTIFS($D$4:$D102,"R")+1,"")</f>
        <v>99</v>
      </c>
      <c r="C103" s="19" t="str">
        <f t="shared" si="9"/>
        <v>C-Operativa</v>
      </c>
      <c r="D103" s="3" t="s">
        <v>1074</v>
      </c>
      <c r="E103" s="14">
        <v>45720</v>
      </c>
      <c r="F103" s="5" t="s">
        <v>6299</v>
      </c>
      <c r="G103" s="5" t="s">
        <v>1079</v>
      </c>
      <c r="H103" s="6"/>
      <c r="I103" s="6"/>
      <c r="J103" s="6"/>
      <c r="K103" s="6"/>
      <c r="L103" s="7" t="s">
        <v>6302</v>
      </c>
      <c r="M103" s="8">
        <v>3482026</v>
      </c>
      <c r="N103" s="8" t="str">
        <f t="shared" si="10"/>
        <v>PEN</v>
      </c>
      <c r="O103" s="13"/>
      <c r="P103" s="13">
        <v>100</v>
      </c>
      <c r="Q103" s="3">
        <f t="shared" si="11"/>
        <v>0</v>
      </c>
      <c r="R103" s="3">
        <f t="shared" si="12"/>
        <v>100</v>
      </c>
      <c r="S103" s="3">
        <f t="shared" si="8"/>
        <v>2349.8000000000002</v>
      </c>
      <c r="T103" s="24"/>
      <c r="U103" s="24"/>
      <c r="V103" s="69"/>
      <c r="W103" s="25" t="s">
        <v>6325</v>
      </c>
      <c r="X103" s="25"/>
      <c r="Y103" s="25"/>
      <c r="Z103" s="25"/>
      <c r="AA103" s="25"/>
      <c r="AB103" s="3" t="str">
        <f>IF(Caja_Operativa[[#This Row],[FECHA]]&gt;0,TEXT(Caja_Operativa[[#This Row],[FECHA]],"mmmm"),0)</f>
        <v>Marzo</v>
      </c>
    </row>
    <row r="104" spans="2:28" hidden="1" x14ac:dyDescent="0.3">
      <c r="B104" s="2">
        <f>IF(Caja_Operativa[[#This Row],[TIPO DE R.]]="R",COUNTIFS($D$4:$D103,"R")+1,"")</f>
        <v>100</v>
      </c>
      <c r="C104" s="19" t="str">
        <f t="shared" si="9"/>
        <v>C-Operativa</v>
      </c>
      <c r="D104" s="3" t="s">
        <v>1074</v>
      </c>
      <c r="E104" s="14">
        <v>45720</v>
      </c>
      <c r="F104" s="5" t="s">
        <v>6299</v>
      </c>
      <c r="G104" s="5" t="s">
        <v>1079</v>
      </c>
      <c r="H104" s="6"/>
      <c r="I104" s="6"/>
      <c r="J104" s="6"/>
      <c r="K104" s="6"/>
      <c r="L104" s="7" t="s">
        <v>6302</v>
      </c>
      <c r="M104" s="8">
        <v>3485245</v>
      </c>
      <c r="N104" s="8" t="str">
        <f t="shared" si="10"/>
        <v>PEN</v>
      </c>
      <c r="O104" s="13"/>
      <c r="P104" s="13">
        <v>50</v>
      </c>
      <c r="Q104" s="3">
        <f t="shared" si="11"/>
        <v>0</v>
      </c>
      <c r="R104" s="3">
        <f t="shared" si="12"/>
        <v>50</v>
      </c>
      <c r="S104" s="3">
        <f t="shared" si="8"/>
        <v>2299.8000000000002</v>
      </c>
      <c r="T104" s="24"/>
      <c r="U104" s="24"/>
      <c r="V104" s="69"/>
      <c r="W104" s="25" t="s">
        <v>6303</v>
      </c>
      <c r="X104" s="25"/>
      <c r="Y104" s="25"/>
      <c r="Z104" s="25"/>
      <c r="AA104" s="25"/>
      <c r="AB104" s="3" t="str">
        <f>IF(Caja_Operativa[[#This Row],[FECHA]]&gt;0,TEXT(Caja_Operativa[[#This Row],[FECHA]],"mmmm"),0)</f>
        <v>Marzo</v>
      </c>
    </row>
    <row r="105" spans="2:28" ht="24" hidden="1" x14ac:dyDescent="0.3">
      <c r="B105" s="2">
        <f>IF(Caja_Operativa[[#This Row],[TIPO DE R.]]="R",COUNTIFS($D$4:$D104,"R")+1,"")</f>
        <v>101</v>
      </c>
      <c r="C105" s="19" t="str">
        <f t="shared" si="9"/>
        <v>C-Operativa</v>
      </c>
      <c r="D105" s="3" t="s">
        <v>1074</v>
      </c>
      <c r="E105" s="14">
        <v>45720</v>
      </c>
      <c r="F105" s="5" t="s">
        <v>6299</v>
      </c>
      <c r="G105" s="5" t="s">
        <v>1079</v>
      </c>
      <c r="H105" s="6"/>
      <c r="I105" s="6"/>
      <c r="J105" s="6"/>
      <c r="K105" s="6"/>
      <c r="L105" s="7" t="s">
        <v>6302</v>
      </c>
      <c r="M105" s="8">
        <v>3476543</v>
      </c>
      <c r="N105" s="8" t="str">
        <f t="shared" si="10"/>
        <v>PEN</v>
      </c>
      <c r="O105" s="13"/>
      <c r="P105" s="13">
        <v>100</v>
      </c>
      <c r="Q105" s="3">
        <f t="shared" si="11"/>
        <v>0</v>
      </c>
      <c r="R105" s="3">
        <f t="shared" si="12"/>
        <v>100</v>
      </c>
      <c r="S105" s="3">
        <f t="shared" si="8"/>
        <v>2199.8000000000002</v>
      </c>
      <c r="T105" s="24"/>
      <c r="U105" s="24"/>
      <c r="V105" s="69"/>
      <c r="W105" s="25" t="s">
        <v>6301</v>
      </c>
      <c r="X105" s="25"/>
      <c r="Y105" s="25"/>
      <c r="Z105" s="25"/>
      <c r="AA105" s="25"/>
      <c r="AB105" s="3" t="str">
        <f>IF(Caja_Operativa[[#This Row],[FECHA]]&gt;0,TEXT(Caja_Operativa[[#This Row],[FECHA]],"mmmm"),0)</f>
        <v>Marzo</v>
      </c>
    </row>
    <row r="106" spans="2:28" ht="24" hidden="1" x14ac:dyDescent="0.3">
      <c r="B106" s="2">
        <f>IF(Caja_Operativa[[#This Row],[TIPO DE R.]]="R",COUNTIFS($D$4:$D105,"R")+1,"")</f>
        <v>102</v>
      </c>
      <c r="C106" s="19" t="str">
        <f t="shared" si="9"/>
        <v>C-Operativa</v>
      </c>
      <c r="D106" s="3" t="s">
        <v>1074</v>
      </c>
      <c r="E106" s="14">
        <v>45720</v>
      </c>
      <c r="F106" s="5" t="s">
        <v>6299</v>
      </c>
      <c r="G106" s="5" t="s">
        <v>1079</v>
      </c>
      <c r="H106" s="6"/>
      <c r="I106" s="6"/>
      <c r="J106" s="6"/>
      <c r="K106" s="6"/>
      <c r="L106" s="7" t="s">
        <v>6302</v>
      </c>
      <c r="M106" s="8">
        <v>3540060</v>
      </c>
      <c r="N106" s="8" t="str">
        <f t="shared" si="10"/>
        <v>PEN</v>
      </c>
      <c r="O106" s="13"/>
      <c r="P106" s="13">
        <v>100</v>
      </c>
      <c r="Q106" s="3">
        <f t="shared" si="11"/>
        <v>0</v>
      </c>
      <c r="R106" s="3">
        <f t="shared" si="12"/>
        <v>100</v>
      </c>
      <c r="S106" s="3">
        <f t="shared" si="8"/>
        <v>2099.8000000000002</v>
      </c>
      <c r="T106" s="24"/>
      <c r="U106" s="24"/>
      <c r="V106" s="69"/>
      <c r="W106" s="25" t="s">
        <v>6359</v>
      </c>
      <c r="X106" s="25"/>
      <c r="Y106" s="25"/>
      <c r="Z106" s="25"/>
      <c r="AA106" s="25"/>
      <c r="AB106" s="3" t="str">
        <f>IF(Caja_Operativa[[#This Row],[FECHA]]&gt;0,TEXT(Caja_Operativa[[#This Row],[FECHA]],"mmmm"),0)</f>
        <v>Marzo</v>
      </c>
    </row>
    <row r="107" spans="2:28" ht="60" hidden="1" x14ac:dyDescent="0.3">
      <c r="B107" s="2">
        <f>IF(Caja_Operativa[[#This Row],[TIPO DE R.]]="R",COUNTIFS($D$4:$D106,"R")+1,"")</f>
        <v>103</v>
      </c>
      <c r="C107" s="19" t="str">
        <f t="shared" si="9"/>
        <v>C-Operativa</v>
      </c>
      <c r="D107" s="3" t="s">
        <v>1074</v>
      </c>
      <c r="E107" s="14">
        <v>45720</v>
      </c>
      <c r="F107" s="5" t="s">
        <v>6299</v>
      </c>
      <c r="G107" s="5" t="s">
        <v>1079</v>
      </c>
      <c r="H107" s="6"/>
      <c r="I107" s="6"/>
      <c r="J107" s="6"/>
      <c r="K107" s="6"/>
      <c r="L107" s="7" t="s">
        <v>6360</v>
      </c>
      <c r="M107" s="8">
        <v>3514353</v>
      </c>
      <c r="N107" s="8" t="str">
        <f t="shared" si="10"/>
        <v>PEN</v>
      </c>
      <c r="O107" s="13"/>
      <c r="P107" s="13">
        <v>8</v>
      </c>
      <c r="Q107" s="3">
        <f t="shared" si="11"/>
        <v>0</v>
      </c>
      <c r="R107" s="3">
        <f t="shared" si="12"/>
        <v>8</v>
      </c>
      <c r="S107" s="3">
        <f t="shared" si="8"/>
        <v>2091.8000000000002</v>
      </c>
      <c r="T107" s="24"/>
      <c r="U107" s="24"/>
      <c r="V107" s="69"/>
      <c r="W107" s="25" t="s">
        <v>6307</v>
      </c>
      <c r="X107" s="25"/>
      <c r="Y107" s="25"/>
      <c r="Z107" s="25"/>
      <c r="AA107" s="25"/>
      <c r="AB107" s="3" t="str">
        <f>IF(Caja_Operativa[[#This Row],[FECHA]]&gt;0,TEXT(Caja_Operativa[[#This Row],[FECHA]],"mmmm"),0)</f>
        <v>Marzo</v>
      </c>
    </row>
    <row r="108" spans="2:28" ht="60" hidden="1" x14ac:dyDescent="0.3">
      <c r="B108" s="2">
        <f>IF(Caja_Operativa[[#This Row],[TIPO DE R.]]="R",COUNTIFS($D$4:$D107,"R")+1,"")</f>
        <v>104</v>
      </c>
      <c r="C108" s="19" t="str">
        <f t="shared" si="9"/>
        <v>C-Operativa</v>
      </c>
      <c r="D108" s="3" t="s">
        <v>1074</v>
      </c>
      <c r="E108" s="14">
        <v>45720</v>
      </c>
      <c r="F108" s="5" t="s">
        <v>6299</v>
      </c>
      <c r="G108" s="5" t="s">
        <v>1079</v>
      </c>
      <c r="H108" s="6"/>
      <c r="I108" s="6"/>
      <c r="J108" s="6"/>
      <c r="K108" s="6"/>
      <c r="L108" s="7" t="s">
        <v>6361</v>
      </c>
      <c r="M108" s="8">
        <v>3514934</v>
      </c>
      <c r="N108" s="8" t="str">
        <f t="shared" si="10"/>
        <v>PEN</v>
      </c>
      <c r="O108" s="13"/>
      <c r="P108" s="13">
        <v>8</v>
      </c>
      <c r="Q108" s="3">
        <f t="shared" si="11"/>
        <v>0</v>
      </c>
      <c r="R108" s="3">
        <f t="shared" si="12"/>
        <v>8</v>
      </c>
      <c r="S108" s="3">
        <f t="shared" si="8"/>
        <v>2083.8000000000002</v>
      </c>
      <c r="T108" s="24"/>
      <c r="U108" s="24"/>
      <c r="V108" s="69"/>
      <c r="W108" s="25" t="s">
        <v>6307</v>
      </c>
      <c r="X108" s="25"/>
      <c r="Y108" s="25"/>
      <c r="Z108" s="25"/>
      <c r="AA108" s="25"/>
      <c r="AB108" s="3" t="str">
        <f>IF(Caja_Operativa[[#This Row],[FECHA]]&gt;0,TEXT(Caja_Operativa[[#This Row],[FECHA]],"mmmm"),0)</f>
        <v>Marzo</v>
      </c>
    </row>
    <row r="109" spans="2:28" ht="60" hidden="1" x14ac:dyDescent="0.3">
      <c r="B109" s="2">
        <f>IF(Caja_Operativa[[#This Row],[TIPO DE R.]]="R",COUNTIFS($D$4:$D108,"R")+1,"")</f>
        <v>105</v>
      </c>
      <c r="C109" s="19" t="str">
        <f t="shared" si="9"/>
        <v>C-Operativa</v>
      </c>
      <c r="D109" s="3" t="s">
        <v>1074</v>
      </c>
      <c r="E109" s="14">
        <v>45720</v>
      </c>
      <c r="F109" s="5" t="s">
        <v>6299</v>
      </c>
      <c r="G109" s="5" t="s">
        <v>1079</v>
      </c>
      <c r="H109" s="6"/>
      <c r="I109" s="6"/>
      <c r="J109" s="6"/>
      <c r="K109" s="6"/>
      <c r="L109" s="7" t="s">
        <v>6362</v>
      </c>
      <c r="M109" s="8">
        <v>3512922</v>
      </c>
      <c r="N109" s="8" t="str">
        <f t="shared" si="10"/>
        <v>PEN</v>
      </c>
      <c r="O109" s="13"/>
      <c r="P109" s="13">
        <v>8</v>
      </c>
      <c r="Q109" s="3">
        <f t="shared" si="11"/>
        <v>0</v>
      </c>
      <c r="R109" s="3">
        <f t="shared" si="12"/>
        <v>8</v>
      </c>
      <c r="S109" s="3">
        <f t="shared" si="8"/>
        <v>2075.8000000000002</v>
      </c>
      <c r="T109" s="24"/>
      <c r="U109" s="24"/>
      <c r="V109" s="69"/>
      <c r="W109" s="25" t="s">
        <v>6307</v>
      </c>
      <c r="X109" s="25"/>
      <c r="Y109" s="25"/>
      <c r="Z109" s="25"/>
      <c r="AA109" s="25"/>
      <c r="AB109" s="3" t="str">
        <f>IF(Caja_Operativa[[#This Row],[FECHA]]&gt;0,TEXT(Caja_Operativa[[#This Row],[FECHA]],"mmmm"),0)</f>
        <v>Marzo</v>
      </c>
    </row>
    <row r="110" spans="2:28" ht="60" hidden="1" x14ac:dyDescent="0.3">
      <c r="B110" s="2">
        <f>IF(Caja_Operativa[[#This Row],[TIPO DE R.]]="R",COUNTIFS($D$4:$D109,"R")+1,"")</f>
        <v>106</v>
      </c>
      <c r="C110" s="19" t="str">
        <f t="shared" si="9"/>
        <v>C-Operativa</v>
      </c>
      <c r="D110" s="3" t="s">
        <v>1074</v>
      </c>
      <c r="E110" s="14">
        <v>45720</v>
      </c>
      <c r="F110" s="5" t="s">
        <v>6299</v>
      </c>
      <c r="G110" s="5" t="s">
        <v>1079</v>
      </c>
      <c r="H110" s="6"/>
      <c r="I110" s="6"/>
      <c r="J110" s="6"/>
      <c r="K110" s="6"/>
      <c r="L110" s="7" t="s">
        <v>6363</v>
      </c>
      <c r="M110" s="8">
        <v>3539822</v>
      </c>
      <c r="N110" s="8" t="str">
        <f t="shared" si="10"/>
        <v>PEN</v>
      </c>
      <c r="O110" s="13"/>
      <c r="P110" s="13">
        <v>25</v>
      </c>
      <c r="Q110" s="3">
        <f t="shared" si="11"/>
        <v>0</v>
      </c>
      <c r="R110" s="3">
        <f t="shared" si="12"/>
        <v>25</v>
      </c>
      <c r="S110" s="3">
        <f t="shared" si="8"/>
        <v>2050.8000000000002</v>
      </c>
      <c r="T110" s="24"/>
      <c r="U110" s="24"/>
      <c r="V110" s="69"/>
      <c r="W110" s="25" t="s">
        <v>6307</v>
      </c>
      <c r="X110" s="25"/>
      <c r="Y110" s="25"/>
      <c r="Z110" s="25"/>
      <c r="AA110" s="25"/>
      <c r="AB110" s="3" t="str">
        <f>IF(Caja_Operativa[[#This Row],[FECHA]]&gt;0,TEXT(Caja_Operativa[[#This Row],[FECHA]],"mmmm"),0)</f>
        <v>Marzo</v>
      </c>
    </row>
    <row r="111" spans="2:28" ht="60" hidden="1" x14ac:dyDescent="0.3">
      <c r="B111" s="2">
        <f>IF(Caja_Operativa[[#This Row],[TIPO DE R.]]="R",COUNTIFS($D$4:$D110,"R")+1,"")</f>
        <v>107</v>
      </c>
      <c r="C111" s="19" t="str">
        <f t="shared" si="9"/>
        <v>C-Operativa</v>
      </c>
      <c r="D111" s="3" t="s">
        <v>1074</v>
      </c>
      <c r="E111" s="14">
        <v>45720</v>
      </c>
      <c r="F111" s="5" t="s">
        <v>6299</v>
      </c>
      <c r="G111" s="5" t="s">
        <v>1079</v>
      </c>
      <c r="H111" s="6"/>
      <c r="I111" s="6"/>
      <c r="J111" s="6"/>
      <c r="K111" s="6"/>
      <c r="L111" s="7" t="s">
        <v>6364</v>
      </c>
      <c r="M111" s="8">
        <v>3582499</v>
      </c>
      <c r="N111" s="8" t="str">
        <f t="shared" si="10"/>
        <v>PEN</v>
      </c>
      <c r="O111" s="13"/>
      <c r="P111" s="13">
        <v>8</v>
      </c>
      <c r="Q111" s="3">
        <f t="shared" si="11"/>
        <v>0</v>
      </c>
      <c r="R111" s="3">
        <f t="shared" si="12"/>
        <v>8</v>
      </c>
      <c r="S111" s="3">
        <f t="shared" si="8"/>
        <v>2042.8000000000002</v>
      </c>
      <c r="T111" s="24"/>
      <c r="U111" s="24"/>
      <c r="V111" s="69"/>
      <c r="W111" s="25" t="s">
        <v>6307</v>
      </c>
      <c r="X111" s="25"/>
      <c r="Y111" s="25"/>
      <c r="Z111" s="25"/>
      <c r="AA111" s="25"/>
      <c r="AB111" s="3" t="str">
        <f>IF(Caja_Operativa[[#This Row],[FECHA]]&gt;0,TEXT(Caja_Operativa[[#This Row],[FECHA]],"mmmm"),0)</f>
        <v>Marzo</v>
      </c>
    </row>
    <row r="112" spans="2:28" ht="60" hidden="1" x14ac:dyDescent="0.3">
      <c r="B112" s="2">
        <f>IF(Caja_Operativa[[#This Row],[TIPO DE R.]]="R",COUNTIFS($D$4:$D111,"R")+1,"")</f>
        <v>108</v>
      </c>
      <c r="C112" s="19" t="str">
        <f t="shared" si="9"/>
        <v>C-Operativa</v>
      </c>
      <c r="D112" s="3" t="s">
        <v>1074</v>
      </c>
      <c r="E112" s="14">
        <v>45720</v>
      </c>
      <c r="F112" s="5" t="s">
        <v>6299</v>
      </c>
      <c r="G112" s="5" t="s">
        <v>1079</v>
      </c>
      <c r="H112" s="6"/>
      <c r="I112" s="6"/>
      <c r="J112" s="6"/>
      <c r="K112" s="6"/>
      <c r="L112" s="7" t="s">
        <v>6365</v>
      </c>
      <c r="M112" s="8">
        <v>3574213</v>
      </c>
      <c r="N112" s="8" t="str">
        <f t="shared" si="10"/>
        <v>PEN</v>
      </c>
      <c r="O112" s="13"/>
      <c r="P112" s="13">
        <v>30</v>
      </c>
      <c r="Q112" s="3">
        <f t="shared" si="11"/>
        <v>0</v>
      </c>
      <c r="R112" s="3">
        <f t="shared" si="12"/>
        <v>30</v>
      </c>
      <c r="S112" s="3">
        <f t="shared" si="8"/>
        <v>2012.8000000000002</v>
      </c>
      <c r="T112" s="24"/>
      <c r="U112" s="24"/>
      <c r="V112" s="69"/>
      <c r="W112" s="25" t="s">
        <v>6307</v>
      </c>
      <c r="X112" s="25"/>
      <c r="Y112" s="25"/>
      <c r="Z112" s="25"/>
      <c r="AA112" s="25"/>
      <c r="AB112" s="3" t="str">
        <f>IF(Caja_Operativa[[#This Row],[FECHA]]&gt;0,TEXT(Caja_Operativa[[#This Row],[FECHA]],"mmmm"),0)</f>
        <v>Marzo</v>
      </c>
    </row>
    <row r="113" spans="2:28" ht="60" hidden="1" x14ac:dyDescent="0.3">
      <c r="B113" s="2">
        <f>IF(Caja_Operativa[[#This Row],[TIPO DE R.]]="R",COUNTIFS($D$4:$D112,"R")+1,"")</f>
        <v>109</v>
      </c>
      <c r="C113" s="19" t="str">
        <f t="shared" si="9"/>
        <v>C-Operativa</v>
      </c>
      <c r="D113" s="3" t="s">
        <v>1074</v>
      </c>
      <c r="E113" s="14">
        <v>45720</v>
      </c>
      <c r="F113" s="5" t="s">
        <v>6299</v>
      </c>
      <c r="G113" s="5" t="s">
        <v>1079</v>
      </c>
      <c r="H113" s="6"/>
      <c r="I113" s="6"/>
      <c r="J113" s="6"/>
      <c r="K113" s="6"/>
      <c r="L113" s="7" t="s">
        <v>6366</v>
      </c>
      <c r="M113" s="8">
        <v>3595352</v>
      </c>
      <c r="N113" s="8" t="str">
        <f t="shared" si="10"/>
        <v>PEN</v>
      </c>
      <c r="O113" s="13"/>
      <c r="P113" s="13">
        <v>8</v>
      </c>
      <c r="Q113" s="3">
        <f t="shared" si="11"/>
        <v>0</v>
      </c>
      <c r="R113" s="3">
        <f t="shared" si="12"/>
        <v>8</v>
      </c>
      <c r="S113" s="3">
        <f t="shared" si="8"/>
        <v>2004.8000000000002</v>
      </c>
      <c r="T113" s="24"/>
      <c r="U113" s="24"/>
      <c r="V113" s="69"/>
      <c r="W113" s="25" t="s">
        <v>6307</v>
      </c>
      <c r="X113" s="25"/>
      <c r="Y113" s="25"/>
      <c r="Z113" s="25"/>
      <c r="AA113" s="25"/>
      <c r="AB113" s="3" t="str">
        <f>IF(Caja_Operativa[[#This Row],[FECHA]]&gt;0,TEXT(Caja_Operativa[[#This Row],[FECHA]],"mmmm"),0)</f>
        <v>Marzo</v>
      </c>
    </row>
    <row r="114" spans="2:28" ht="60" hidden="1" x14ac:dyDescent="0.3">
      <c r="B114" s="2">
        <f>IF(Caja_Operativa[[#This Row],[TIPO DE R.]]="R",COUNTIFS($D$4:$D113,"R")+1,"")</f>
        <v>110</v>
      </c>
      <c r="C114" s="19" t="str">
        <f t="shared" si="9"/>
        <v>C-Operativa</v>
      </c>
      <c r="D114" s="3" t="s">
        <v>1074</v>
      </c>
      <c r="E114" s="14">
        <v>45720</v>
      </c>
      <c r="F114" s="5" t="s">
        <v>6299</v>
      </c>
      <c r="G114" s="5" t="s">
        <v>1079</v>
      </c>
      <c r="H114" s="6"/>
      <c r="I114" s="6"/>
      <c r="J114" s="6"/>
      <c r="K114" s="6"/>
      <c r="L114" s="7" t="s">
        <v>6367</v>
      </c>
      <c r="M114" s="8">
        <v>3578515</v>
      </c>
      <c r="N114" s="8" t="str">
        <f t="shared" si="10"/>
        <v>PEN</v>
      </c>
      <c r="O114" s="13"/>
      <c r="P114" s="13">
        <v>8</v>
      </c>
      <c r="Q114" s="3">
        <f t="shared" si="11"/>
        <v>0</v>
      </c>
      <c r="R114" s="3">
        <f t="shared" si="12"/>
        <v>8</v>
      </c>
      <c r="S114" s="3">
        <f t="shared" si="8"/>
        <v>1996.8000000000002</v>
      </c>
      <c r="T114" s="24"/>
      <c r="U114" s="24"/>
      <c r="V114" s="69"/>
      <c r="W114" s="25" t="s">
        <v>6307</v>
      </c>
      <c r="X114" s="25"/>
      <c r="Y114" s="25"/>
      <c r="Z114" s="25"/>
      <c r="AA114" s="25"/>
      <c r="AB114" s="3" t="str">
        <f>IF(Caja_Operativa[[#This Row],[FECHA]]&gt;0,TEXT(Caja_Operativa[[#This Row],[FECHA]],"mmmm"),0)</f>
        <v>Marzo</v>
      </c>
    </row>
    <row r="115" spans="2:28" ht="60" hidden="1" x14ac:dyDescent="0.3">
      <c r="B115" s="2">
        <f>IF(Caja_Operativa[[#This Row],[TIPO DE R.]]="R",COUNTIFS($D$4:$D114,"R")+1,"")</f>
        <v>111</v>
      </c>
      <c r="C115" s="19" t="str">
        <f t="shared" si="9"/>
        <v>C-Operativa</v>
      </c>
      <c r="D115" s="3" t="s">
        <v>1074</v>
      </c>
      <c r="E115" s="14">
        <v>45720</v>
      </c>
      <c r="F115" s="5" t="s">
        <v>6299</v>
      </c>
      <c r="G115" s="5" t="s">
        <v>1079</v>
      </c>
      <c r="H115" s="6"/>
      <c r="I115" s="6"/>
      <c r="J115" s="6"/>
      <c r="K115" s="6"/>
      <c r="L115" s="7" t="s">
        <v>6368</v>
      </c>
      <c r="M115" s="8">
        <v>3615070</v>
      </c>
      <c r="N115" s="8" t="str">
        <f t="shared" si="10"/>
        <v>PEN</v>
      </c>
      <c r="O115" s="13"/>
      <c r="P115" s="13">
        <v>8</v>
      </c>
      <c r="Q115" s="3">
        <f t="shared" si="11"/>
        <v>0</v>
      </c>
      <c r="R115" s="3">
        <f t="shared" si="12"/>
        <v>8</v>
      </c>
      <c r="S115" s="3">
        <f t="shared" si="8"/>
        <v>1988.8000000000002</v>
      </c>
      <c r="T115" s="24"/>
      <c r="U115" s="24"/>
      <c r="V115" s="69"/>
      <c r="W115" s="25" t="s">
        <v>6307</v>
      </c>
      <c r="X115" s="25"/>
      <c r="Y115" s="25"/>
      <c r="Z115" s="25"/>
      <c r="AA115" s="25"/>
      <c r="AB115" s="3" t="str">
        <f>IF(Caja_Operativa[[#This Row],[FECHA]]&gt;0,TEXT(Caja_Operativa[[#This Row],[FECHA]],"mmmm"),0)</f>
        <v>Marzo</v>
      </c>
    </row>
    <row r="116" spans="2:28" ht="60" hidden="1" x14ac:dyDescent="0.3">
      <c r="B116" s="2">
        <f>IF(Caja_Operativa[[#This Row],[TIPO DE R.]]="R",COUNTIFS($D$4:$D115,"R")+1,"")</f>
        <v>112</v>
      </c>
      <c r="C116" s="19" t="str">
        <f t="shared" si="9"/>
        <v>C-Operativa</v>
      </c>
      <c r="D116" s="3" t="s">
        <v>1074</v>
      </c>
      <c r="E116" s="14">
        <v>45720</v>
      </c>
      <c r="F116" s="5" t="s">
        <v>6299</v>
      </c>
      <c r="G116" s="5" t="s">
        <v>1079</v>
      </c>
      <c r="H116" s="6"/>
      <c r="I116" s="6"/>
      <c r="J116" s="6"/>
      <c r="K116" s="6"/>
      <c r="L116" s="7" t="s">
        <v>6369</v>
      </c>
      <c r="M116" s="8">
        <v>3621805</v>
      </c>
      <c r="N116" s="8" t="str">
        <f t="shared" si="10"/>
        <v>PEN</v>
      </c>
      <c r="O116" s="13"/>
      <c r="P116" s="13">
        <v>10</v>
      </c>
      <c r="Q116" s="3">
        <f t="shared" si="11"/>
        <v>0</v>
      </c>
      <c r="R116" s="3">
        <f t="shared" si="12"/>
        <v>10</v>
      </c>
      <c r="S116" s="3">
        <f t="shared" si="8"/>
        <v>1978.8000000000002</v>
      </c>
      <c r="T116" s="24"/>
      <c r="U116" s="24"/>
      <c r="V116" s="69"/>
      <c r="W116" s="25" t="s">
        <v>6307</v>
      </c>
      <c r="X116" s="25"/>
      <c r="Y116" s="25"/>
      <c r="Z116" s="25"/>
      <c r="AA116" s="25"/>
      <c r="AB116" s="3" t="str">
        <f>IF(Caja_Operativa[[#This Row],[FECHA]]&gt;0,TEXT(Caja_Operativa[[#This Row],[FECHA]],"mmmm"),0)</f>
        <v>Marzo</v>
      </c>
    </row>
    <row r="117" spans="2:28" ht="60" hidden="1" x14ac:dyDescent="0.3">
      <c r="B117" s="2">
        <f>IF(Caja_Operativa[[#This Row],[TIPO DE R.]]="R",COUNTIFS($D$4:$D116,"R")+1,"")</f>
        <v>113</v>
      </c>
      <c r="C117" s="19" t="str">
        <f t="shared" si="9"/>
        <v>C-Operativa</v>
      </c>
      <c r="D117" s="3" t="s">
        <v>1074</v>
      </c>
      <c r="E117" s="14">
        <v>45720</v>
      </c>
      <c r="F117" s="5" t="s">
        <v>6299</v>
      </c>
      <c r="G117" s="5" t="s">
        <v>1079</v>
      </c>
      <c r="H117" s="6"/>
      <c r="I117" s="6"/>
      <c r="J117" s="6"/>
      <c r="K117" s="6"/>
      <c r="L117" s="7" t="s">
        <v>6370</v>
      </c>
      <c r="M117" s="8">
        <v>3628057</v>
      </c>
      <c r="N117" s="8" t="str">
        <f t="shared" si="10"/>
        <v>PEN</v>
      </c>
      <c r="O117" s="13"/>
      <c r="P117" s="13">
        <v>8</v>
      </c>
      <c r="Q117" s="3">
        <f t="shared" si="11"/>
        <v>0</v>
      </c>
      <c r="R117" s="3">
        <f t="shared" si="12"/>
        <v>8</v>
      </c>
      <c r="S117" s="3">
        <f t="shared" si="8"/>
        <v>1970.8000000000002</v>
      </c>
      <c r="T117" s="24"/>
      <c r="U117" s="24"/>
      <c r="V117" s="69"/>
      <c r="W117" s="25" t="s">
        <v>6307</v>
      </c>
      <c r="X117" s="25"/>
      <c r="Y117" s="25"/>
      <c r="Z117" s="25"/>
      <c r="AA117" s="25"/>
      <c r="AB117" s="3" t="str">
        <f>IF(Caja_Operativa[[#This Row],[FECHA]]&gt;0,TEXT(Caja_Operativa[[#This Row],[FECHA]],"mmmm"),0)</f>
        <v>Marzo</v>
      </c>
    </row>
    <row r="118" spans="2:28" ht="60" hidden="1" x14ac:dyDescent="0.3">
      <c r="B118" s="2">
        <f>IF(Caja_Operativa[[#This Row],[TIPO DE R.]]="R",COUNTIFS($D$4:$D117,"R")+1,"")</f>
        <v>114</v>
      </c>
      <c r="C118" s="19" t="str">
        <f t="shared" si="9"/>
        <v>C-Operativa</v>
      </c>
      <c r="D118" s="3" t="s">
        <v>1074</v>
      </c>
      <c r="E118" s="14">
        <v>45720</v>
      </c>
      <c r="F118" s="5" t="s">
        <v>6299</v>
      </c>
      <c r="G118" s="5" t="s">
        <v>1079</v>
      </c>
      <c r="H118" s="6"/>
      <c r="I118" s="6"/>
      <c r="J118" s="6"/>
      <c r="K118" s="6"/>
      <c r="L118" s="7" t="s">
        <v>6371</v>
      </c>
      <c r="M118" s="8">
        <v>3648314</v>
      </c>
      <c r="N118" s="8" t="str">
        <f t="shared" si="10"/>
        <v>PEN</v>
      </c>
      <c r="O118" s="13"/>
      <c r="P118" s="13">
        <v>25</v>
      </c>
      <c r="Q118" s="3">
        <f t="shared" si="11"/>
        <v>0</v>
      </c>
      <c r="R118" s="3">
        <f t="shared" si="12"/>
        <v>25</v>
      </c>
      <c r="S118" s="3">
        <f t="shared" si="8"/>
        <v>1945.8000000000002</v>
      </c>
      <c r="T118" s="24"/>
      <c r="U118" s="24"/>
      <c r="V118" s="69"/>
      <c r="W118" s="25" t="s">
        <v>6307</v>
      </c>
      <c r="X118" s="25"/>
      <c r="Y118" s="25"/>
      <c r="Z118" s="25"/>
      <c r="AA118" s="25"/>
      <c r="AB118" s="3" t="str">
        <f>IF(Caja_Operativa[[#This Row],[FECHA]]&gt;0,TEXT(Caja_Operativa[[#This Row],[FECHA]],"mmmm"),0)</f>
        <v>Marzo</v>
      </c>
    </row>
    <row r="119" spans="2:28" ht="60" hidden="1" x14ac:dyDescent="0.3">
      <c r="B119" s="2">
        <f>IF(Caja_Operativa[[#This Row],[TIPO DE R.]]="R",COUNTIFS($D$4:$D118,"R")+1,"")</f>
        <v>115</v>
      </c>
      <c r="C119" s="19" t="str">
        <f t="shared" si="9"/>
        <v>C-Operativa</v>
      </c>
      <c r="D119" s="3" t="s">
        <v>1074</v>
      </c>
      <c r="E119" s="14">
        <v>45721</v>
      </c>
      <c r="F119" s="5" t="s">
        <v>6299</v>
      </c>
      <c r="G119" s="5" t="s">
        <v>1079</v>
      </c>
      <c r="H119" s="6"/>
      <c r="I119" s="6"/>
      <c r="J119" s="6"/>
      <c r="K119" s="6"/>
      <c r="L119" s="7" t="s">
        <v>6372</v>
      </c>
      <c r="M119" s="8">
        <v>646472</v>
      </c>
      <c r="N119" s="8" t="str">
        <f t="shared" si="10"/>
        <v>PEN</v>
      </c>
      <c r="O119" s="13"/>
      <c r="P119" s="13">
        <v>8</v>
      </c>
      <c r="Q119" s="3">
        <f t="shared" si="11"/>
        <v>0</v>
      </c>
      <c r="R119" s="3">
        <f t="shared" si="12"/>
        <v>8</v>
      </c>
      <c r="S119" s="3">
        <f t="shared" si="8"/>
        <v>1937.8000000000002</v>
      </c>
      <c r="T119" s="24"/>
      <c r="U119" s="24"/>
      <c r="V119" s="69"/>
      <c r="W119" s="25" t="s">
        <v>6307</v>
      </c>
      <c r="X119" s="25"/>
      <c r="Y119" s="25"/>
      <c r="Z119" s="25"/>
      <c r="AA119" s="25"/>
      <c r="AB119" s="3" t="str">
        <f>IF(Caja_Operativa[[#This Row],[FECHA]]&gt;0,TEXT(Caja_Operativa[[#This Row],[FECHA]],"mmmm"),0)</f>
        <v>Marzo</v>
      </c>
    </row>
    <row r="120" spans="2:28" ht="60" hidden="1" x14ac:dyDescent="0.3">
      <c r="B120" s="2">
        <f>IF(Caja_Operativa[[#This Row],[TIPO DE R.]]="R",COUNTIFS($D$4:$D119,"R")+1,"")</f>
        <v>116</v>
      </c>
      <c r="C120" s="19" t="str">
        <f t="shared" si="9"/>
        <v>C-Operativa</v>
      </c>
      <c r="D120" s="3" t="s">
        <v>1074</v>
      </c>
      <c r="E120" s="14">
        <v>45721</v>
      </c>
      <c r="F120" s="5" t="s">
        <v>6299</v>
      </c>
      <c r="G120" s="5" t="s">
        <v>1079</v>
      </c>
      <c r="H120" s="6"/>
      <c r="I120" s="6"/>
      <c r="J120" s="6"/>
      <c r="K120" s="6"/>
      <c r="L120" s="7" t="s">
        <v>6373</v>
      </c>
      <c r="M120" s="8">
        <v>649759</v>
      </c>
      <c r="N120" s="8" t="str">
        <f t="shared" si="10"/>
        <v>PEN</v>
      </c>
      <c r="O120" s="13"/>
      <c r="P120" s="13">
        <v>8</v>
      </c>
      <c r="Q120" s="3">
        <f t="shared" si="11"/>
        <v>0</v>
      </c>
      <c r="R120" s="3">
        <f t="shared" si="12"/>
        <v>8</v>
      </c>
      <c r="S120" s="3">
        <f t="shared" si="8"/>
        <v>1929.8000000000002</v>
      </c>
      <c r="T120" s="24"/>
      <c r="U120" s="24"/>
      <c r="V120" s="69"/>
      <c r="W120" s="25" t="s">
        <v>6307</v>
      </c>
      <c r="X120" s="25"/>
      <c r="Y120" s="25"/>
      <c r="Z120" s="25"/>
      <c r="AA120" s="25"/>
      <c r="AB120" s="3" t="str">
        <f>IF(Caja_Operativa[[#This Row],[FECHA]]&gt;0,TEXT(Caja_Operativa[[#This Row],[FECHA]],"mmmm"),0)</f>
        <v>Marzo</v>
      </c>
    </row>
    <row r="121" spans="2:28" ht="60" hidden="1" x14ac:dyDescent="0.3">
      <c r="B121" s="2">
        <f>IF(Caja_Operativa[[#This Row],[TIPO DE R.]]="R",COUNTIFS($D$4:$D120,"R")+1,"")</f>
        <v>117</v>
      </c>
      <c r="C121" s="19" t="str">
        <f t="shared" si="9"/>
        <v>C-Operativa</v>
      </c>
      <c r="D121" s="3" t="s">
        <v>1074</v>
      </c>
      <c r="E121" s="14">
        <v>45721</v>
      </c>
      <c r="F121" s="5" t="s">
        <v>6299</v>
      </c>
      <c r="G121" s="5" t="s">
        <v>1079</v>
      </c>
      <c r="H121" s="6"/>
      <c r="I121" s="6"/>
      <c r="J121" s="6"/>
      <c r="K121" s="6"/>
      <c r="L121" s="7" t="s">
        <v>6374</v>
      </c>
      <c r="M121" s="8">
        <v>635140</v>
      </c>
      <c r="N121" s="8" t="str">
        <f t="shared" si="10"/>
        <v>PEN</v>
      </c>
      <c r="O121" s="13"/>
      <c r="P121" s="13">
        <v>8</v>
      </c>
      <c r="Q121" s="3">
        <f t="shared" si="11"/>
        <v>0</v>
      </c>
      <c r="R121" s="3">
        <f t="shared" si="12"/>
        <v>8</v>
      </c>
      <c r="S121" s="3">
        <f t="shared" si="8"/>
        <v>1921.8000000000002</v>
      </c>
      <c r="T121" s="24"/>
      <c r="U121" s="24"/>
      <c r="V121" s="69"/>
      <c r="W121" s="25" t="s">
        <v>6307</v>
      </c>
      <c r="X121" s="25"/>
      <c r="Y121" s="25"/>
      <c r="Z121" s="25"/>
      <c r="AA121" s="25"/>
      <c r="AB121" s="3" t="str">
        <f>IF(Caja_Operativa[[#This Row],[FECHA]]&gt;0,TEXT(Caja_Operativa[[#This Row],[FECHA]],"mmmm"),0)</f>
        <v>Marzo</v>
      </c>
    </row>
    <row r="122" spans="2:28" ht="60" hidden="1" x14ac:dyDescent="0.3">
      <c r="B122" s="2">
        <f>IF(Caja_Operativa[[#This Row],[TIPO DE R.]]="R",COUNTIFS($D$4:$D121,"R")+1,"")</f>
        <v>118</v>
      </c>
      <c r="C122" s="19" t="str">
        <f t="shared" si="9"/>
        <v>C-Operativa</v>
      </c>
      <c r="D122" s="3" t="s">
        <v>1074</v>
      </c>
      <c r="E122" s="14">
        <v>45721</v>
      </c>
      <c r="F122" s="5" t="s">
        <v>6299</v>
      </c>
      <c r="G122" s="5" t="s">
        <v>1079</v>
      </c>
      <c r="H122" s="6"/>
      <c r="I122" s="6"/>
      <c r="J122" s="6"/>
      <c r="K122" s="6"/>
      <c r="L122" s="7" t="s">
        <v>6375</v>
      </c>
      <c r="M122" s="8">
        <v>687617</v>
      </c>
      <c r="N122" s="8" t="str">
        <f t="shared" si="10"/>
        <v>PEN</v>
      </c>
      <c r="O122" s="13"/>
      <c r="P122" s="13">
        <v>8</v>
      </c>
      <c r="Q122" s="3">
        <f t="shared" si="11"/>
        <v>0</v>
      </c>
      <c r="R122" s="3">
        <f t="shared" si="12"/>
        <v>8</v>
      </c>
      <c r="S122" s="3">
        <f t="shared" si="8"/>
        <v>1913.8000000000002</v>
      </c>
      <c r="T122" s="24"/>
      <c r="U122" s="24"/>
      <c r="V122" s="69"/>
      <c r="W122" s="25" t="s">
        <v>6307</v>
      </c>
      <c r="X122" s="25"/>
      <c r="Y122" s="25"/>
      <c r="Z122" s="25"/>
      <c r="AA122" s="25"/>
      <c r="AB122" s="3" t="str">
        <f>IF(Caja_Operativa[[#This Row],[FECHA]]&gt;0,TEXT(Caja_Operativa[[#This Row],[FECHA]],"mmmm"),0)</f>
        <v>Marzo</v>
      </c>
    </row>
    <row r="123" spans="2:28" ht="60" hidden="1" x14ac:dyDescent="0.3">
      <c r="B123" s="2">
        <f>IF(Caja_Operativa[[#This Row],[TIPO DE R.]]="R",COUNTIFS($D$4:$D122,"R")+1,"")</f>
        <v>119</v>
      </c>
      <c r="C123" s="19" t="str">
        <f t="shared" si="9"/>
        <v>C-Operativa</v>
      </c>
      <c r="D123" s="3" t="s">
        <v>1074</v>
      </c>
      <c r="E123" s="14">
        <v>45721</v>
      </c>
      <c r="F123" s="5" t="s">
        <v>6299</v>
      </c>
      <c r="G123" s="5" t="s">
        <v>1079</v>
      </c>
      <c r="H123" s="6"/>
      <c r="I123" s="6"/>
      <c r="J123" s="6"/>
      <c r="K123" s="6"/>
      <c r="L123" s="7" t="s">
        <v>6376</v>
      </c>
      <c r="M123" s="8">
        <v>712022</v>
      </c>
      <c r="N123" s="8" t="str">
        <f t="shared" si="10"/>
        <v>PEN</v>
      </c>
      <c r="O123" s="13"/>
      <c r="P123" s="13">
        <v>8</v>
      </c>
      <c r="Q123" s="3">
        <f t="shared" si="11"/>
        <v>0</v>
      </c>
      <c r="R123" s="3">
        <f t="shared" si="12"/>
        <v>8</v>
      </c>
      <c r="S123" s="3">
        <f t="shared" si="8"/>
        <v>1905.8000000000002</v>
      </c>
      <c r="T123" s="24"/>
      <c r="U123" s="24"/>
      <c r="V123" s="69"/>
      <c r="W123" s="25" t="s">
        <v>6307</v>
      </c>
      <c r="X123" s="25"/>
      <c r="Y123" s="25"/>
      <c r="Z123" s="25"/>
      <c r="AA123" s="25"/>
      <c r="AB123" s="3" t="str">
        <f>IF(Caja_Operativa[[#This Row],[FECHA]]&gt;0,TEXT(Caja_Operativa[[#This Row],[FECHA]],"mmmm"),0)</f>
        <v>Marzo</v>
      </c>
    </row>
    <row r="124" spans="2:28" ht="48" hidden="1" x14ac:dyDescent="0.3">
      <c r="B124" s="2">
        <f>IF(Caja_Operativa[[#This Row],[TIPO DE R.]]="R",COUNTIFS($D$4:$D123,"R")+1,"")</f>
        <v>120</v>
      </c>
      <c r="C124" s="19" t="str">
        <f t="shared" si="9"/>
        <v>C-Operativa</v>
      </c>
      <c r="D124" s="3" t="s">
        <v>1074</v>
      </c>
      <c r="E124" s="14">
        <v>45721</v>
      </c>
      <c r="F124" s="5" t="s">
        <v>6299</v>
      </c>
      <c r="G124" s="5" t="s">
        <v>1079</v>
      </c>
      <c r="H124" s="6"/>
      <c r="I124" s="6"/>
      <c r="J124" s="6"/>
      <c r="K124" s="6"/>
      <c r="L124" s="7" t="s">
        <v>6377</v>
      </c>
      <c r="M124" s="8">
        <v>715551</v>
      </c>
      <c r="N124" s="8" t="str">
        <f t="shared" si="10"/>
        <v>PEN</v>
      </c>
      <c r="O124" s="13"/>
      <c r="P124" s="13">
        <v>7</v>
      </c>
      <c r="Q124" s="3">
        <f t="shared" si="11"/>
        <v>0</v>
      </c>
      <c r="R124" s="3">
        <f t="shared" si="12"/>
        <v>7</v>
      </c>
      <c r="S124" s="3">
        <f t="shared" si="8"/>
        <v>1898.8000000000002</v>
      </c>
      <c r="T124" s="24"/>
      <c r="U124" s="24"/>
      <c r="V124" s="69"/>
      <c r="W124" s="25" t="s">
        <v>5685</v>
      </c>
      <c r="X124" s="25"/>
      <c r="Y124" s="25"/>
      <c r="Z124" s="25"/>
      <c r="AA124" s="25"/>
      <c r="AB124" s="3" t="str">
        <f>IF(Caja_Operativa[[#This Row],[FECHA]]&gt;0,TEXT(Caja_Operativa[[#This Row],[FECHA]],"mmmm"),0)</f>
        <v>Marzo</v>
      </c>
    </row>
    <row r="125" spans="2:28" ht="48" hidden="1" x14ac:dyDescent="0.3">
      <c r="B125" s="2">
        <f>IF(Caja_Operativa[[#This Row],[TIPO DE R.]]="R",COUNTIFS($D$4:$D124,"R")+1,"")</f>
        <v>121</v>
      </c>
      <c r="C125" s="19" t="str">
        <f t="shared" si="9"/>
        <v>C-Operativa</v>
      </c>
      <c r="D125" s="3" t="s">
        <v>1074</v>
      </c>
      <c r="E125" s="14">
        <v>45721</v>
      </c>
      <c r="F125" s="5" t="s">
        <v>6299</v>
      </c>
      <c r="G125" s="5" t="s">
        <v>1079</v>
      </c>
      <c r="H125" s="6"/>
      <c r="I125" s="6"/>
      <c r="J125" s="6"/>
      <c r="K125" s="6"/>
      <c r="L125" s="7" t="s">
        <v>6378</v>
      </c>
      <c r="M125" s="8">
        <v>720351</v>
      </c>
      <c r="N125" s="8" t="str">
        <f t="shared" si="10"/>
        <v>PEN</v>
      </c>
      <c r="O125" s="13"/>
      <c r="P125" s="13">
        <v>8</v>
      </c>
      <c r="Q125" s="3">
        <f t="shared" si="11"/>
        <v>0</v>
      </c>
      <c r="R125" s="3">
        <f t="shared" si="12"/>
        <v>8</v>
      </c>
      <c r="S125" s="3">
        <f t="shared" si="8"/>
        <v>1890.8000000000002</v>
      </c>
      <c r="T125" s="24"/>
      <c r="U125" s="24"/>
      <c r="V125" s="69"/>
      <c r="W125" s="25" t="s">
        <v>5685</v>
      </c>
      <c r="X125" s="25"/>
      <c r="Y125" s="25"/>
      <c r="Z125" s="25"/>
      <c r="AA125" s="25"/>
      <c r="AB125" s="3" t="str">
        <f>IF(Caja_Operativa[[#This Row],[FECHA]]&gt;0,TEXT(Caja_Operativa[[#This Row],[FECHA]],"mmmm"),0)</f>
        <v>Marzo</v>
      </c>
    </row>
    <row r="126" spans="2:28" ht="60" hidden="1" x14ac:dyDescent="0.3">
      <c r="B126" s="2">
        <f>IF(Caja_Operativa[[#This Row],[TIPO DE R.]]="R",COUNTIFS($D$4:$D125,"R")+1,"")</f>
        <v>122</v>
      </c>
      <c r="C126" s="19" t="str">
        <f t="shared" si="9"/>
        <v>C-Operativa</v>
      </c>
      <c r="D126" s="3" t="s">
        <v>1074</v>
      </c>
      <c r="E126" s="14">
        <v>45721</v>
      </c>
      <c r="F126" s="5" t="s">
        <v>6299</v>
      </c>
      <c r="G126" s="5" t="s">
        <v>1079</v>
      </c>
      <c r="H126" s="6"/>
      <c r="I126" s="6"/>
      <c r="J126" s="6"/>
      <c r="K126" s="6"/>
      <c r="L126" s="7" t="s">
        <v>6379</v>
      </c>
      <c r="M126" s="8">
        <v>707124</v>
      </c>
      <c r="N126" s="8" t="str">
        <f t="shared" si="10"/>
        <v>PEN</v>
      </c>
      <c r="O126" s="13"/>
      <c r="P126" s="13">
        <v>10</v>
      </c>
      <c r="Q126" s="3">
        <f t="shared" si="11"/>
        <v>0</v>
      </c>
      <c r="R126" s="3">
        <f t="shared" si="12"/>
        <v>10</v>
      </c>
      <c r="S126" s="3">
        <f t="shared" si="8"/>
        <v>1880.8000000000002</v>
      </c>
      <c r="T126" s="24"/>
      <c r="U126" s="24"/>
      <c r="V126" s="69"/>
      <c r="W126" s="25" t="s">
        <v>5685</v>
      </c>
      <c r="X126" s="25"/>
      <c r="Y126" s="25"/>
      <c r="Z126" s="25"/>
      <c r="AA126" s="25"/>
      <c r="AB126" s="3" t="str">
        <f>IF(Caja_Operativa[[#This Row],[FECHA]]&gt;0,TEXT(Caja_Operativa[[#This Row],[FECHA]],"mmmm"),0)</f>
        <v>Marzo</v>
      </c>
    </row>
    <row r="127" spans="2:28" ht="72" hidden="1" x14ac:dyDescent="0.3">
      <c r="B127" s="2">
        <f>IF(Caja_Operativa[[#This Row],[TIPO DE R.]]="R",COUNTIFS($D$4:$D126,"R")+1,"")</f>
        <v>123</v>
      </c>
      <c r="C127" s="19" t="str">
        <f t="shared" si="9"/>
        <v>C-Operativa</v>
      </c>
      <c r="D127" s="3" t="s">
        <v>1074</v>
      </c>
      <c r="E127" s="14">
        <v>45721</v>
      </c>
      <c r="F127" s="5" t="s">
        <v>6299</v>
      </c>
      <c r="G127" s="5" t="s">
        <v>1079</v>
      </c>
      <c r="H127" s="6"/>
      <c r="I127" s="6"/>
      <c r="J127" s="6"/>
      <c r="K127" s="6"/>
      <c r="L127" s="7" t="s">
        <v>6380</v>
      </c>
      <c r="M127" s="8">
        <v>716360</v>
      </c>
      <c r="N127" s="8" t="str">
        <f t="shared" si="10"/>
        <v>PEN</v>
      </c>
      <c r="O127" s="13"/>
      <c r="P127" s="13">
        <v>7</v>
      </c>
      <c r="Q127" s="3">
        <f t="shared" si="11"/>
        <v>0</v>
      </c>
      <c r="R127" s="3">
        <f t="shared" si="12"/>
        <v>7</v>
      </c>
      <c r="S127" s="3">
        <f t="shared" si="8"/>
        <v>1873.8000000000002</v>
      </c>
      <c r="T127" s="24"/>
      <c r="U127" s="24"/>
      <c r="V127" s="69"/>
      <c r="W127" s="25" t="s">
        <v>5685</v>
      </c>
      <c r="X127" s="25"/>
      <c r="Y127" s="25"/>
      <c r="Z127" s="25"/>
      <c r="AA127" s="25"/>
      <c r="AB127" s="3" t="str">
        <f>IF(Caja_Operativa[[#This Row],[FECHA]]&gt;0,TEXT(Caja_Operativa[[#This Row],[FECHA]],"mmmm"),0)</f>
        <v>Marzo</v>
      </c>
    </row>
    <row r="128" spans="2:28" ht="48" hidden="1" x14ac:dyDescent="0.3">
      <c r="B128" s="2">
        <f>IF(Caja_Operativa[[#This Row],[TIPO DE R.]]="R",COUNTIFS($D$4:$D127,"R")+1,"")</f>
        <v>124</v>
      </c>
      <c r="C128" s="19" t="str">
        <f t="shared" si="9"/>
        <v>C-Operativa</v>
      </c>
      <c r="D128" s="3" t="s">
        <v>1074</v>
      </c>
      <c r="E128" s="14">
        <v>45721</v>
      </c>
      <c r="F128" s="5" t="s">
        <v>6299</v>
      </c>
      <c r="G128" s="5" t="s">
        <v>1079</v>
      </c>
      <c r="H128" s="6"/>
      <c r="I128" s="6"/>
      <c r="J128" s="6"/>
      <c r="K128" s="6"/>
      <c r="L128" s="7" t="s">
        <v>6381</v>
      </c>
      <c r="M128" s="8">
        <v>680909</v>
      </c>
      <c r="N128" s="8" t="str">
        <f t="shared" si="10"/>
        <v>PEN</v>
      </c>
      <c r="O128" s="13"/>
      <c r="P128" s="13">
        <v>10</v>
      </c>
      <c r="Q128" s="3">
        <f t="shared" si="11"/>
        <v>0</v>
      </c>
      <c r="R128" s="3">
        <f t="shared" si="12"/>
        <v>10</v>
      </c>
      <c r="S128" s="3">
        <f t="shared" si="8"/>
        <v>1863.8000000000002</v>
      </c>
      <c r="T128" s="24"/>
      <c r="U128" s="24"/>
      <c r="V128" s="69"/>
      <c r="W128" s="25" t="s">
        <v>5685</v>
      </c>
      <c r="X128" s="25"/>
      <c r="Y128" s="25"/>
      <c r="Z128" s="25"/>
      <c r="AA128" s="25"/>
      <c r="AB128" s="3" t="str">
        <f>IF(Caja_Operativa[[#This Row],[FECHA]]&gt;0,TEXT(Caja_Operativa[[#This Row],[FECHA]],"mmmm"),0)</f>
        <v>Marzo</v>
      </c>
    </row>
    <row r="129" spans="2:28" ht="48" hidden="1" x14ac:dyDescent="0.3">
      <c r="B129" s="2">
        <f>IF(Caja_Operativa[[#This Row],[TIPO DE R.]]="R",COUNTIFS($D$4:$D128,"R")+1,"")</f>
        <v>125</v>
      </c>
      <c r="C129" s="19" t="str">
        <f t="shared" si="9"/>
        <v>C-Operativa</v>
      </c>
      <c r="D129" s="3" t="s">
        <v>1074</v>
      </c>
      <c r="E129" s="14">
        <v>45721</v>
      </c>
      <c r="F129" s="5" t="s">
        <v>6299</v>
      </c>
      <c r="G129" s="5" t="s">
        <v>1079</v>
      </c>
      <c r="H129" s="6"/>
      <c r="I129" s="6"/>
      <c r="J129" s="6"/>
      <c r="K129" s="6"/>
      <c r="L129" s="7" t="s">
        <v>6382</v>
      </c>
      <c r="M129" s="8">
        <v>726074</v>
      </c>
      <c r="N129" s="8" t="str">
        <f t="shared" si="10"/>
        <v>PEN</v>
      </c>
      <c r="O129" s="13"/>
      <c r="P129" s="13">
        <v>9</v>
      </c>
      <c r="Q129" s="3">
        <f t="shared" si="11"/>
        <v>0</v>
      </c>
      <c r="R129" s="3">
        <f t="shared" si="12"/>
        <v>9</v>
      </c>
      <c r="S129" s="3">
        <f t="shared" si="8"/>
        <v>1854.8000000000002</v>
      </c>
      <c r="T129" s="24"/>
      <c r="U129" s="24"/>
      <c r="V129" s="69"/>
      <c r="W129" s="25" t="s">
        <v>5685</v>
      </c>
      <c r="X129" s="25"/>
      <c r="Y129" s="25"/>
      <c r="Z129" s="25"/>
      <c r="AA129" s="25"/>
      <c r="AB129" s="3" t="str">
        <f>IF(Caja_Operativa[[#This Row],[FECHA]]&gt;0,TEXT(Caja_Operativa[[#This Row],[FECHA]],"mmmm"),0)</f>
        <v>Marzo</v>
      </c>
    </row>
    <row r="130" spans="2:28" ht="48" hidden="1" x14ac:dyDescent="0.3">
      <c r="B130" s="2">
        <f>IF(Caja_Operativa[[#This Row],[TIPO DE R.]]="R",COUNTIFS($D$4:$D129,"R")+1,"")</f>
        <v>126</v>
      </c>
      <c r="C130" s="19" t="str">
        <f t="shared" si="9"/>
        <v>C-Operativa</v>
      </c>
      <c r="D130" s="3" t="s">
        <v>1074</v>
      </c>
      <c r="E130" s="14">
        <v>45721</v>
      </c>
      <c r="F130" s="5" t="s">
        <v>6299</v>
      </c>
      <c r="G130" s="5" t="s">
        <v>1079</v>
      </c>
      <c r="H130" s="6"/>
      <c r="I130" s="6"/>
      <c r="J130" s="6"/>
      <c r="K130" s="6"/>
      <c r="L130" s="7" t="s">
        <v>6383</v>
      </c>
      <c r="M130" s="8">
        <v>723468</v>
      </c>
      <c r="N130" s="8" t="str">
        <f t="shared" si="10"/>
        <v>PEN</v>
      </c>
      <c r="O130" s="13"/>
      <c r="P130" s="13">
        <v>5</v>
      </c>
      <c r="Q130" s="3">
        <f t="shared" si="11"/>
        <v>0</v>
      </c>
      <c r="R130" s="3">
        <f t="shared" si="12"/>
        <v>5</v>
      </c>
      <c r="S130" s="3">
        <f t="shared" si="8"/>
        <v>1849.8000000000002</v>
      </c>
      <c r="T130" s="24"/>
      <c r="U130" s="24"/>
      <c r="V130" s="69"/>
      <c r="W130" s="25" t="s">
        <v>5685</v>
      </c>
      <c r="X130" s="25"/>
      <c r="Y130" s="25"/>
      <c r="Z130" s="25"/>
      <c r="AA130" s="25"/>
      <c r="AB130" s="3" t="str">
        <f>IF(Caja_Operativa[[#This Row],[FECHA]]&gt;0,TEXT(Caja_Operativa[[#This Row],[FECHA]],"mmmm"),0)</f>
        <v>Marzo</v>
      </c>
    </row>
    <row r="131" spans="2:28" ht="48" hidden="1" x14ac:dyDescent="0.3">
      <c r="B131" s="2">
        <f>IF(Caja_Operativa[[#This Row],[TIPO DE R.]]="R",COUNTIFS($D$4:$D130,"R")+1,"")</f>
        <v>127</v>
      </c>
      <c r="C131" s="19" t="str">
        <f t="shared" si="9"/>
        <v>C-Operativa</v>
      </c>
      <c r="D131" s="3" t="s">
        <v>1074</v>
      </c>
      <c r="E131" s="14">
        <v>45721</v>
      </c>
      <c r="F131" s="5" t="s">
        <v>6299</v>
      </c>
      <c r="G131" s="5" t="s">
        <v>1079</v>
      </c>
      <c r="H131" s="6"/>
      <c r="I131" s="6"/>
      <c r="J131" s="6"/>
      <c r="K131" s="6"/>
      <c r="L131" s="7" t="s">
        <v>6384</v>
      </c>
      <c r="M131" s="8">
        <v>730070</v>
      </c>
      <c r="N131" s="8" t="str">
        <f t="shared" si="10"/>
        <v>PEN</v>
      </c>
      <c r="O131" s="13"/>
      <c r="P131" s="13">
        <v>6</v>
      </c>
      <c r="Q131" s="3">
        <f t="shared" si="11"/>
        <v>0</v>
      </c>
      <c r="R131" s="3">
        <f t="shared" si="12"/>
        <v>6</v>
      </c>
      <c r="S131" s="3">
        <f t="shared" si="8"/>
        <v>1843.8000000000002</v>
      </c>
      <c r="T131" s="24"/>
      <c r="U131" s="24"/>
      <c r="V131" s="69"/>
      <c r="W131" s="25" t="s">
        <v>5685</v>
      </c>
      <c r="X131" s="25"/>
      <c r="Y131" s="25"/>
      <c r="Z131" s="25"/>
      <c r="AA131" s="25"/>
      <c r="AB131" s="3" t="str">
        <f>IF(Caja_Operativa[[#This Row],[FECHA]]&gt;0,TEXT(Caja_Operativa[[#This Row],[FECHA]],"mmmm"),0)</f>
        <v>Marzo</v>
      </c>
    </row>
    <row r="132" spans="2:28" ht="48" hidden="1" x14ac:dyDescent="0.3">
      <c r="B132" s="2">
        <f>IF(Caja_Operativa[[#This Row],[TIPO DE R.]]="R",COUNTIFS($D$4:$D131,"R")+1,"")</f>
        <v>128</v>
      </c>
      <c r="C132" s="19" t="str">
        <f t="shared" si="9"/>
        <v>C-Operativa</v>
      </c>
      <c r="D132" s="3" t="s">
        <v>1074</v>
      </c>
      <c r="E132" s="14">
        <v>45721</v>
      </c>
      <c r="F132" s="5" t="s">
        <v>6299</v>
      </c>
      <c r="G132" s="5" t="s">
        <v>1079</v>
      </c>
      <c r="H132" s="6"/>
      <c r="I132" s="6"/>
      <c r="J132" s="6"/>
      <c r="K132" s="6"/>
      <c r="L132" s="7" t="s">
        <v>6385</v>
      </c>
      <c r="M132" s="8">
        <v>754115</v>
      </c>
      <c r="N132" s="8" t="str">
        <f t="shared" si="10"/>
        <v>PEN</v>
      </c>
      <c r="O132" s="13"/>
      <c r="P132" s="13">
        <v>20</v>
      </c>
      <c r="Q132" s="3">
        <f t="shared" si="11"/>
        <v>0</v>
      </c>
      <c r="R132" s="3">
        <f t="shared" si="12"/>
        <v>20</v>
      </c>
      <c r="S132" s="3">
        <f t="shared" si="8"/>
        <v>1823.8000000000002</v>
      </c>
      <c r="T132" s="24"/>
      <c r="U132" s="24"/>
      <c r="V132" s="69"/>
      <c r="W132" s="25" t="s">
        <v>5685</v>
      </c>
      <c r="X132" s="25"/>
      <c r="Y132" s="25"/>
      <c r="Z132" s="25"/>
      <c r="AA132" s="25"/>
      <c r="AB132" s="3" t="str">
        <f>IF(Caja_Operativa[[#This Row],[FECHA]]&gt;0,TEXT(Caja_Operativa[[#This Row],[FECHA]],"mmmm"),0)</f>
        <v>Marzo</v>
      </c>
    </row>
    <row r="133" spans="2:28" ht="24" hidden="1" x14ac:dyDescent="0.3">
      <c r="B133" s="2">
        <f>IF(Caja_Operativa[[#This Row],[TIPO DE R.]]="R",COUNTIFS($D$4:$D132,"R")+1,"")</f>
        <v>129</v>
      </c>
      <c r="C133" s="19" t="str">
        <f t="shared" si="9"/>
        <v>C-Operativa</v>
      </c>
      <c r="D133" s="3" t="s">
        <v>1074</v>
      </c>
      <c r="E133" s="14">
        <v>45723</v>
      </c>
      <c r="F133" s="5" t="s">
        <v>6299</v>
      </c>
      <c r="G133" s="5" t="s">
        <v>1079</v>
      </c>
      <c r="H133" s="6"/>
      <c r="I133" s="6"/>
      <c r="J133" s="6"/>
      <c r="K133" s="6"/>
      <c r="L133" s="7" t="s">
        <v>6302</v>
      </c>
      <c r="M133" s="8">
        <v>2461255</v>
      </c>
      <c r="N133" s="8" t="str">
        <f t="shared" si="10"/>
        <v>PEN</v>
      </c>
      <c r="O133" s="13"/>
      <c r="P133" s="13">
        <v>130</v>
      </c>
      <c r="Q133" s="3">
        <f t="shared" si="11"/>
        <v>0</v>
      </c>
      <c r="R133" s="3">
        <f t="shared" si="12"/>
        <v>130</v>
      </c>
      <c r="S133" s="3">
        <f t="shared" ref="S133:S196" si="13">IFERROR(IF(G133="SALDO",Q133,S132+Q133-R133),0)</f>
        <v>1693.8000000000002</v>
      </c>
      <c r="T133" s="24"/>
      <c r="U133" s="24"/>
      <c r="V133" s="69"/>
      <c r="W133" s="25" t="s">
        <v>6326</v>
      </c>
      <c r="X133" s="25"/>
      <c r="Y133" s="25"/>
      <c r="Z133" s="25"/>
      <c r="AA133" s="25"/>
      <c r="AB133" s="3" t="str">
        <f>IF(Caja_Operativa[[#This Row],[FECHA]]&gt;0,TEXT(Caja_Operativa[[#This Row],[FECHA]],"mmmm"),0)</f>
        <v>Marzo</v>
      </c>
    </row>
    <row r="134" spans="2:28" hidden="1" x14ac:dyDescent="0.3">
      <c r="B134" s="2">
        <f>IF(Caja_Operativa[[#This Row],[TIPO DE R.]]="R",COUNTIFS($D$4:$D133,"R")+1,"")</f>
        <v>130</v>
      </c>
      <c r="C134" s="19" t="str">
        <f t="shared" ref="C134:C197" si="14">"C-Operativa"</f>
        <v>C-Operativa</v>
      </c>
      <c r="D134" s="3" t="s">
        <v>1074</v>
      </c>
      <c r="E134" s="14">
        <v>45727</v>
      </c>
      <c r="F134" s="5" t="s">
        <v>6299</v>
      </c>
      <c r="G134" s="5" t="s">
        <v>1079</v>
      </c>
      <c r="H134" s="6"/>
      <c r="I134" s="6"/>
      <c r="J134" s="6"/>
      <c r="K134" s="6"/>
      <c r="L134" s="7" t="s">
        <v>6302</v>
      </c>
      <c r="M134" s="8">
        <v>1061083</v>
      </c>
      <c r="N134" s="8" t="str">
        <f t="shared" ref="N134:N197" si="15">"PEN"</f>
        <v>PEN</v>
      </c>
      <c r="O134" s="13"/>
      <c r="P134" s="13">
        <v>110</v>
      </c>
      <c r="Q134" s="3">
        <f t="shared" ref="Q134:Q197" si="16">+IF(OR($G134="SALDO",$G134="INGRESO"),$P134,0)</f>
        <v>0</v>
      </c>
      <c r="R134" s="3">
        <f t="shared" ref="R134:R197" si="17">+IF($G134="EGRESO",$P134,0)</f>
        <v>110</v>
      </c>
      <c r="S134" s="3">
        <f t="shared" si="13"/>
        <v>1583.8000000000002</v>
      </c>
      <c r="T134" s="24"/>
      <c r="U134" s="24"/>
      <c r="V134" s="69"/>
      <c r="W134" s="25" t="s">
        <v>6303</v>
      </c>
      <c r="X134" s="25"/>
      <c r="Y134" s="25"/>
      <c r="Z134" s="25"/>
      <c r="AA134" s="25"/>
      <c r="AB134" s="3" t="str">
        <f>IF(Caja_Operativa[[#This Row],[FECHA]]&gt;0,TEXT(Caja_Operativa[[#This Row],[FECHA]],"mmmm"),0)</f>
        <v>Marzo</v>
      </c>
    </row>
    <row r="135" spans="2:28" ht="24" hidden="1" x14ac:dyDescent="0.3">
      <c r="B135" s="2">
        <f>IF(Caja_Operativa[[#This Row],[TIPO DE R.]]="R",COUNTIFS($D$4:$D134,"R")+1,"")</f>
        <v>131</v>
      </c>
      <c r="C135" s="19" t="str">
        <f t="shared" si="14"/>
        <v>C-Operativa</v>
      </c>
      <c r="D135" s="3" t="s">
        <v>1074</v>
      </c>
      <c r="E135" s="14">
        <v>45727</v>
      </c>
      <c r="F135" s="5" t="s">
        <v>6299</v>
      </c>
      <c r="G135" s="5" t="s">
        <v>1079</v>
      </c>
      <c r="H135" s="6"/>
      <c r="I135" s="6"/>
      <c r="J135" s="6"/>
      <c r="K135" s="6"/>
      <c r="L135" s="7" t="s">
        <v>6302</v>
      </c>
      <c r="M135" s="8">
        <v>447317</v>
      </c>
      <c r="N135" s="8" t="str">
        <f t="shared" si="15"/>
        <v>PEN</v>
      </c>
      <c r="O135" s="13"/>
      <c r="P135" s="13">
        <v>110</v>
      </c>
      <c r="Q135" s="3">
        <f t="shared" si="16"/>
        <v>0</v>
      </c>
      <c r="R135" s="3">
        <f t="shared" si="17"/>
        <v>110</v>
      </c>
      <c r="S135" s="3">
        <f t="shared" si="13"/>
        <v>1473.8000000000002</v>
      </c>
      <c r="T135" s="24"/>
      <c r="U135" s="24"/>
      <c r="V135" s="69"/>
      <c r="W135" s="25" t="s">
        <v>6359</v>
      </c>
      <c r="X135" s="25"/>
      <c r="Y135" s="25"/>
      <c r="Z135" s="25"/>
      <c r="AA135" s="25"/>
      <c r="AB135" s="3" t="str">
        <f>IF(Caja_Operativa[[#This Row],[FECHA]]&gt;0,TEXT(Caja_Operativa[[#This Row],[FECHA]],"mmmm"),0)</f>
        <v>Marzo</v>
      </c>
    </row>
    <row r="136" spans="2:28" ht="60" hidden="1" x14ac:dyDescent="0.3">
      <c r="B136" s="2">
        <f>IF(Caja_Operativa[[#This Row],[TIPO DE R.]]="R",COUNTIFS($D$4:$D135,"R")+1,"")</f>
        <v>132</v>
      </c>
      <c r="C136" s="19" t="str">
        <f t="shared" si="14"/>
        <v>C-Operativa</v>
      </c>
      <c r="D136" s="3" t="s">
        <v>1074</v>
      </c>
      <c r="E136" s="14">
        <v>45723</v>
      </c>
      <c r="F136" s="5" t="s">
        <v>6299</v>
      </c>
      <c r="G136" s="5" t="s">
        <v>1079</v>
      </c>
      <c r="H136" s="6"/>
      <c r="I136" s="6"/>
      <c r="J136" s="6"/>
      <c r="K136" s="6"/>
      <c r="L136" s="7" t="s">
        <v>6386</v>
      </c>
      <c r="M136" s="8">
        <v>2475152</v>
      </c>
      <c r="N136" s="8" t="str">
        <f t="shared" si="15"/>
        <v>PEN</v>
      </c>
      <c r="O136" s="13"/>
      <c r="P136" s="13">
        <v>12</v>
      </c>
      <c r="Q136" s="3">
        <f t="shared" si="16"/>
        <v>0</v>
      </c>
      <c r="R136" s="3">
        <f t="shared" si="17"/>
        <v>12</v>
      </c>
      <c r="S136" s="3">
        <f t="shared" si="13"/>
        <v>1461.8000000000002</v>
      </c>
      <c r="T136" s="24"/>
      <c r="U136" s="24"/>
      <c r="V136" s="69"/>
      <c r="W136" s="25" t="s">
        <v>6307</v>
      </c>
      <c r="X136" s="25"/>
      <c r="Y136" s="25"/>
      <c r="Z136" s="25"/>
      <c r="AA136" s="25"/>
      <c r="AB136" s="3" t="str">
        <f>IF(Caja_Operativa[[#This Row],[FECHA]]&gt;0,TEXT(Caja_Operativa[[#This Row],[FECHA]],"mmmm"),0)</f>
        <v>Marzo</v>
      </c>
    </row>
    <row r="137" spans="2:28" ht="60" hidden="1" x14ac:dyDescent="0.3">
      <c r="B137" s="2">
        <f>IF(Caja_Operativa[[#This Row],[TIPO DE R.]]="R",COUNTIFS($D$4:$D136,"R")+1,"")</f>
        <v>133</v>
      </c>
      <c r="C137" s="19" t="str">
        <f t="shared" si="14"/>
        <v>C-Operativa</v>
      </c>
      <c r="D137" s="3" t="s">
        <v>1074</v>
      </c>
      <c r="E137" s="14">
        <v>45723</v>
      </c>
      <c r="F137" s="5" t="s">
        <v>6299</v>
      </c>
      <c r="G137" s="5" t="s">
        <v>1079</v>
      </c>
      <c r="H137" s="6"/>
      <c r="I137" s="6"/>
      <c r="J137" s="6"/>
      <c r="K137" s="6"/>
      <c r="L137" s="7" t="s">
        <v>6387</v>
      </c>
      <c r="M137" s="8">
        <v>2496345</v>
      </c>
      <c r="N137" s="8" t="str">
        <f t="shared" si="15"/>
        <v>PEN</v>
      </c>
      <c r="O137" s="13"/>
      <c r="P137" s="13">
        <v>15</v>
      </c>
      <c r="Q137" s="3">
        <f t="shared" si="16"/>
        <v>0</v>
      </c>
      <c r="R137" s="3">
        <f t="shared" si="17"/>
        <v>15</v>
      </c>
      <c r="S137" s="3">
        <f t="shared" si="13"/>
        <v>1446.8000000000002</v>
      </c>
      <c r="T137" s="24"/>
      <c r="U137" s="24"/>
      <c r="V137" s="69"/>
      <c r="W137" s="25" t="s">
        <v>6307</v>
      </c>
      <c r="X137" s="25"/>
      <c r="Y137" s="25"/>
      <c r="Z137" s="25"/>
      <c r="AA137" s="25"/>
      <c r="AB137" s="3" t="str">
        <f>IF(Caja_Operativa[[#This Row],[FECHA]]&gt;0,TEXT(Caja_Operativa[[#This Row],[FECHA]],"mmmm"),0)</f>
        <v>Marzo</v>
      </c>
    </row>
    <row r="138" spans="2:28" ht="60" hidden="1" x14ac:dyDescent="0.3">
      <c r="B138" s="2">
        <f>IF(Caja_Operativa[[#This Row],[TIPO DE R.]]="R",COUNTIFS($D$4:$D137,"R")+1,"")</f>
        <v>134</v>
      </c>
      <c r="C138" s="19" t="str">
        <f t="shared" si="14"/>
        <v>C-Operativa</v>
      </c>
      <c r="D138" s="3" t="s">
        <v>1074</v>
      </c>
      <c r="E138" s="14">
        <v>45723</v>
      </c>
      <c r="F138" s="5" t="s">
        <v>6299</v>
      </c>
      <c r="G138" s="5" t="s">
        <v>1079</v>
      </c>
      <c r="H138" s="6"/>
      <c r="I138" s="6"/>
      <c r="J138" s="6"/>
      <c r="K138" s="6"/>
      <c r="L138" s="7" t="s">
        <v>6388</v>
      </c>
      <c r="M138" s="8">
        <v>2511796</v>
      </c>
      <c r="N138" s="8" t="str">
        <f t="shared" si="15"/>
        <v>PEN</v>
      </c>
      <c r="O138" s="13"/>
      <c r="P138" s="13">
        <v>8</v>
      </c>
      <c r="Q138" s="3">
        <f t="shared" si="16"/>
        <v>0</v>
      </c>
      <c r="R138" s="3">
        <f t="shared" si="17"/>
        <v>8</v>
      </c>
      <c r="S138" s="3">
        <f t="shared" si="13"/>
        <v>1438.8000000000002</v>
      </c>
      <c r="T138" s="24"/>
      <c r="U138" s="24"/>
      <c r="V138" s="69"/>
      <c r="W138" s="25" t="s">
        <v>6307</v>
      </c>
      <c r="X138" s="25"/>
      <c r="Y138" s="25"/>
      <c r="Z138" s="25"/>
      <c r="AA138" s="25"/>
      <c r="AB138" s="3" t="str">
        <f>IF(Caja_Operativa[[#This Row],[FECHA]]&gt;0,TEXT(Caja_Operativa[[#This Row],[FECHA]],"mmmm"),0)</f>
        <v>Marzo</v>
      </c>
    </row>
    <row r="139" spans="2:28" ht="60" hidden="1" x14ac:dyDescent="0.3">
      <c r="B139" s="2">
        <f>IF(Caja_Operativa[[#This Row],[TIPO DE R.]]="R",COUNTIFS($D$4:$D138,"R")+1,"")</f>
        <v>135</v>
      </c>
      <c r="C139" s="19" t="str">
        <f t="shared" si="14"/>
        <v>C-Operativa</v>
      </c>
      <c r="D139" s="3" t="s">
        <v>1074</v>
      </c>
      <c r="E139" s="14">
        <v>45723</v>
      </c>
      <c r="F139" s="5" t="s">
        <v>6299</v>
      </c>
      <c r="G139" s="5" t="s">
        <v>1079</v>
      </c>
      <c r="H139" s="6"/>
      <c r="I139" s="6"/>
      <c r="J139" s="6"/>
      <c r="K139" s="6"/>
      <c r="L139" s="7" t="s">
        <v>6389</v>
      </c>
      <c r="M139" s="8">
        <v>2509206</v>
      </c>
      <c r="N139" s="8" t="str">
        <f t="shared" si="15"/>
        <v>PEN</v>
      </c>
      <c r="O139" s="13"/>
      <c r="P139" s="13">
        <v>8</v>
      </c>
      <c r="Q139" s="3">
        <f t="shared" si="16"/>
        <v>0</v>
      </c>
      <c r="R139" s="3">
        <f t="shared" si="17"/>
        <v>8</v>
      </c>
      <c r="S139" s="3">
        <f t="shared" si="13"/>
        <v>1430.8000000000002</v>
      </c>
      <c r="T139" s="24"/>
      <c r="U139" s="24"/>
      <c r="V139" s="69"/>
      <c r="W139" s="25" t="s">
        <v>6307</v>
      </c>
      <c r="X139" s="25"/>
      <c r="Y139" s="25"/>
      <c r="Z139" s="25"/>
      <c r="AA139" s="25"/>
      <c r="AB139" s="3" t="str">
        <f>IF(Caja_Operativa[[#This Row],[FECHA]]&gt;0,TEXT(Caja_Operativa[[#This Row],[FECHA]],"mmmm"),0)</f>
        <v>Marzo</v>
      </c>
    </row>
    <row r="140" spans="2:28" ht="60" hidden="1" x14ac:dyDescent="0.3">
      <c r="B140" s="2">
        <f>IF(Caja_Operativa[[#This Row],[TIPO DE R.]]="R",COUNTIFS($D$4:$D139,"R")+1,"")</f>
        <v>136</v>
      </c>
      <c r="C140" s="19" t="str">
        <f t="shared" si="14"/>
        <v>C-Operativa</v>
      </c>
      <c r="D140" s="3" t="s">
        <v>1074</v>
      </c>
      <c r="E140" s="14">
        <v>45723</v>
      </c>
      <c r="F140" s="5" t="s">
        <v>6299</v>
      </c>
      <c r="G140" s="5" t="s">
        <v>1079</v>
      </c>
      <c r="H140" s="6"/>
      <c r="I140" s="6"/>
      <c r="J140" s="6"/>
      <c r="K140" s="6"/>
      <c r="L140" s="7" t="s">
        <v>6390</v>
      </c>
      <c r="M140" s="8">
        <v>2498331</v>
      </c>
      <c r="N140" s="8" t="str">
        <f t="shared" si="15"/>
        <v>PEN</v>
      </c>
      <c r="O140" s="13"/>
      <c r="P140" s="13">
        <v>10</v>
      </c>
      <c r="Q140" s="3">
        <f t="shared" si="16"/>
        <v>0</v>
      </c>
      <c r="R140" s="3">
        <f t="shared" si="17"/>
        <v>10</v>
      </c>
      <c r="S140" s="3">
        <f t="shared" si="13"/>
        <v>1420.8000000000002</v>
      </c>
      <c r="T140" s="24"/>
      <c r="U140" s="24"/>
      <c r="V140" s="69"/>
      <c r="W140" s="25" t="s">
        <v>6307</v>
      </c>
      <c r="X140" s="25"/>
      <c r="Y140" s="25"/>
      <c r="Z140" s="25"/>
      <c r="AA140" s="25"/>
      <c r="AB140" s="3" t="str">
        <f>IF(Caja_Operativa[[#This Row],[FECHA]]&gt;0,TEXT(Caja_Operativa[[#This Row],[FECHA]],"mmmm"),0)</f>
        <v>Marzo</v>
      </c>
    </row>
    <row r="141" spans="2:28" ht="60" hidden="1" x14ac:dyDescent="0.3">
      <c r="B141" s="2">
        <f>IF(Caja_Operativa[[#This Row],[TIPO DE R.]]="R",COUNTIFS($D$4:$D140,"R")+1,"")</f>
        <v>137</v>
      </c>
      <c r="C141" s="19" t="str">
        <f t="shared" si="14"/>
        <v>C-Operativa</v>
      </c>
      <c r="D141" s="3" t="s">
        <v>1074</v>
      </c>
      <c r="E141" s="14">
        <v>45723</v>
      </c>
      <c r="F141" s="5" t="s">
        <v>6299</v>
      </c>
      <c r="G141" s="5" t="s">
        <v>1079</v>
      </c>
      <c r="H141" s="6"/>
      <c r="I141" s="6"/>
      <c r="J141" s="6"/>
      <c r="K141" s="6"/>
      <c r="L141" s="7" t="s">
        <v>6391</v>
      </c>
      <c r="M141" s="8">
        <v>2979221</v>
      </c>
      <c r="N141" s="8" t="str">
        <f t="shared" si="15"/>
        <v>PEN</v>
      </c>
      <c r="O141" s="13"/>
      <c r="P141" s="13">
        <v>15</v>
      </c>
      <c r="Q141" s="3">
        <f t="shared" si="16"/>
        <v>0</v>
      </c>
      <c r="R141" s="3">
        <f t="shared" si="17"/>
        <v>15</v>
      </c>
      <c r="S141" s="3">
        <f t="shared" si="13"/>
        <v>1405.8000000000002</v>
      </c>
      <c r="T141" s="24"/>
      <c r="U141" s="24"/>
      <c r="V141" s="69"/>
      <c r="W141" s="25" t="s">
        <v>6307</v>
      </c>
      <c r="X141" s="25"/>
      <c r="Y141" s="25"/>
      <c r="Z141" s="25"/>
      <c r="AA141" s="25"/>
      <c r="AB141" s="3" t="str">
        <f>IF(Caja_Operativa[[#This Row],[FECHA]]&gt;0,TEXT(Caja_Operativa[[#This Row],[FECHA]],"mmmm"),0)</f>
        <v>Marzo</v>
      </c>
    </row>
    <row r="142" spans="2:28" hidden="1" x14ac:dyDescent="0.3">
      <c r="B142" s="2">
        <f>IF(Caja_Operativa[[#This Row],[TIPO DE R.]]="R",COUNTIFS($D$4:$D141,"R")+1,"")</f>
        <v>138</v>
      </c>
      <c r="C142" s="19" t="str">
        <f t="shared" si="14"/>
        <v>C-Operativa</v>
      </c>
      <c r="D142" s="3" t="s">
        <v>1074</v>
      </c>
      <c r="E142" s="14">
        <v>45723</v>
      </c>
      <c r="F142" s="5" t="s">
        <v>6298</v>
      </c>
      <c r="G142" s="5" t="s">
        <v>1087</v>
      </c>
      <c r="H142" s="6"/>
      <c r="I142" s="6"/>
      <c r="J142" s="6" t="s">
        <v>6329</v>
      </c>
      <c r="K142" s="6">
        <v>5</v>
      </c>
      <c r="L142" s="7" t="s">
        <v>6330</v>
      </c>
      <c r="M142" s="8">
        <v>277103</v>
      </c>
      <c r="N142" s="8" t="str">
        <f t="shared" si="15"/>
        <v>PEN</v>
      </c>
      <c r="O142" s="13"/>
      <c r="P142" s="13">
        <v>2604.1</v>
      </c>
      <c r="Q142" s="3">
        <f t="shared" si="16"/>
        <v>2604.1</v>
      </c>
      <c r="R142" s="3">
        <f t="shared" si="17"/>
        <v>0</v>
      </c>
      <c r="S142" s="3">
        <f t="shared" si="13"/>
        <v>4009.9</v>
      </c>
      <c r="T142" s="24"/>
      <c r="U142" s="24"/>
      <c r="V142" s="69"/>
      <c r="W142" s="25" t="s">
        <v>6299</v>
      </c>
      <c r="X142" s="25"/>
      <c r="Y142" s="25"/>
      <c r="Z142" s="25"/>
      <c r="AA142" s="25"/>
      <c r="AB142" s="3" t="str">
        <f>IF(Caja_Operativa[[#This Row],[FECHA]]&gt;0,TEXT(Caja_Operativa[[#This Row],[FECHA]],"mmmm"),0)</f>
        <v>Marzo</v>
      </c>
    </row>
    <row r="143" spans="2:28" hidden="1" x14ac:dyDescent="0.3">
      <c r="B143" s="2">
        <f>IF(Caja_Operativa[[#This Row],[TIPO DE R.]]="R",COUNTIFS($D$4:$D142,"R")+1,"")</f>
        <v>139</v>
      </c>
      <c r="C143" s="19" t="str">
        <f t="shared" si="14"/>
        <v>C-Operativa</v>
      </c>
      <c r="D143" s="3" t="s">
        <v>1074</v>
      </c>
      <c r="E143" s="14">
        <v>45723</v>
      </c>
      <c r="F143" s="5" t="s">
        <v>1078</v>
      </c>
      <c r="G143" s="5" t="s">
        <v>1079</v>
      </c>
      <c r="H143" s="6"/>
      <c r="I143" s="6"/>
      <c r="J143" s="6"/>
      <c r="K143" s="6"/>
      <c r="L143" s="7" t="s">
        <v>4128</v>
      </c>
      <c r="M143" s="8"/>
      <c r="N143" s="8" t="str">
        <f t="shared" si="15"/>
        <v>PEN</v>
      </c>
      <c r="O143" s="13"/>
      <c r="P143" s="13">
        <v>0.1</v>
      </c>
      <c r="Q143" s="3">
        <f t="shared" si="16"/>
        <v>0</v>
      </c>
      <c r="R143" s="3">
        <f t="shared" si="17"/>
        <v>0.1</v>
      </c>
      <c r="S143" s="3">
        <f t="shared" si="13"/>
        <v>4009.8</v>
      </c>
      <c r="T143" s="24"/>
      <c r="U143" s="24"/>
      <c r="V143" s="69"/>
      <c r="W143" s="25"/>
      <c r="X143" s="25"/>
      <c r="Y143" s="25"/>
      <c r="Z143" s="25"/>
      <c r="AA143" s="25"/>
      <c r="AB143" s="3" t="str">
        <f>IF(Caja_Operativa[[#This Row],[FECHA]]&gt;0,TEXT(Caja_Operativa[[#This Row],[FECHA]],"mmmm"),0)</f>
        <v>Marzo</v>
      </c>
    </row>
    <row r="144" spans="2:28" ht="24" hidden="1" x14ac:dyDescent="0.3">
      <c r="B144" s="2">
        <f>IF(Caja_Operativa[[#This Row],[TIPO DE R.]]="R",COUNTIFS($D$4:$D143,"R")+1,"")</f>
        <v>140</v>
      </c>
      <c r="C144" s="19" t="str">
        <f t="shared" si="14"/>
        <v>C-Operativa</v>
      </c>
      <c r="D144" s="3" t="s">
        <v>1074</v>
      </c>
      <c r="E144" s="14">
        <v>45727</v>
      </c>
      <c r="F144" s="5" t="s">
        <v>6299</v>
      </c>
      <c r="G144" s="5" t="s">
        <v>1079</v>
      </c>
      <c r="H144" s="6"/>
      <c r="I144" s="6"/>
      <c r="J144" s="6"/>
      <c r="K144" s="6"/>
      <c r="L144" s="7" t="s">
        <v>6302</v>
      </c>
      <c r="M144" s="8">
        <v>899251</v>
      </c>
      <c r="N144" s="8" t="str">
        <f t="shared" si="15"/>
        <v>PEN</v>
      </c>
      <c r="O144" s="13"/>
      <c r="P144" s="13">
        <v>100</v>
      </c>
      <c r="Q144" s="3">
        <f t="shared" si="16"/>
        <v>0</v>
      </c>
      <c r="R144" s="3">
        <f t="shared" si="17"/>
        <v>100</v>
      </c>
      <c r="S144" s="3">
        <f t="shared" si="13"/>
        <v>3909.8</v>
      </c>
      <c r="T144" s="24"/>
      <c r="U144" s="24"/>
      <c r="V144" s="69"/>
      <c r="W144" s="25" t="s">
        <v>6301</v>
      </c>
      <c r="X144" s="25"/>
      <c r="Y144" s="25"/>
      <c r="Z144" s="25"/>
      <c r="AA144" s="25"/>
      <c r="AB144" s="3" t="str">
        <f>IF(Caja_Operativa[[#This Row],[FECHA]]&gt;0,TEXT(Caja_Operativa[[#This Row],[FECHA]],"mmmm"),0)</f>
        <v>Marzo</v>
      </c>
    </row>
    <row r="145" spans="2:28" ht="24" hidden="1" x14ac:dyDescent="0.3">
      <c r="B145" s="2">
        <f>IF(Caja_Operativa[[#This Row],[TIPO DE R.]]="R",COUNTIFS($D$4:$D144,"R")+1,"")</f>
        <v>141</v>
      </c>
      <c r="C145" s="19" t="str">
        <f t="shared" si="14"/>
        <v>C-Operativa</v>
      </c>
      <c r="D145" s="3" t="s">
        <v>1074</v>
      </c>
      <c r="E145" s="14">
        <v>45727</v>
      </c>
      <c r="F145" s="5" t="s">
        <v>6299</v>
      </c>
      <c r="G145" s="5" t="s">
        <v>1079</v>
      </c>
      <c r="H145" s="6"/>
      <c r="I145" s="6"/>
      <c r="J145" s="6"/>
      <c r="K145" s="6"/>
      <c r="L145" s="7" t="s">
        <v>6302</v>
      </c>
      <c r="M145" s="8">
        <v>616340</v>
      </c>
      <c r="N145" s="8" t="str">
        <f t="shared" si="15"/>
        <v>PEN</v>
      </c>
      <c r="O145" s="13"/>
      <c r="P145" s="13">
        <v>120</v>
      </c>
      <c r="Q145" s="3">
        <f t="shared" si="16"/>
        <v>0</v>
      </c>
      <c r="R145" s="3">
        <f t="shared" si="17"/>
        <v>120</v>
      </c>
      <c r="S145" s="3">
        <f t="shared" si="13"/>
        <v>3789.8</v>
      </c>
      <c r="T145" s="24"/>
      <c r="U145" s="24"/>
      <c r="V145" s="69"/>
      <c r="W145" s="25" t="s">
        <v>6325</v>
      </c>
      <c r="X145" s="25"/>
      <c r="Y145" s="25"/>
      <c r="Z145" s="25"/>
      <c r="AA145" s="25"/>
      <c r="AB145" s="3" t="str">
        <f>IF(Caja_Operativa[[#This Row],[FECHA]]&gt;0,TEXT(Caja_Operativa[[#This Row],[FECHA]],"mmmm"),0)</f>
        <v>Marzo</v>
      </c>
    </row>
    <row r="146" spans="2:28" ht="24" hidden="1" x14ac:dyDescent="0.3">
      <c r="B146" s="2">
        <f>IF(Caja_Operativa[[#This Row],[TIPO DE R.]]="R",COUNTIFS($D$4:$D145,"R")+1,"")</f>
        <v>142</v>
      </c>
      <c r="C146" s="19" t="str">
        <f t="shared" si="14"/>
        <v>C-Operativa</v>
      </c>
      <c r="D146" s="3" t="s">
        <v>1074</v>
      </c>
      <c r="E146" s="14">
        <v>45727</v>
      </c>
      <c r="F146" s="5" t="s">
        <v>6299</v>
      </c>
      <c r="G146" s="5" t="s">
        <v>1079</v>
      </c>
      <c r="H146" s="6"/>
      <c r="I146" s="6"/>
      <c r="J146" s="6"/>
      <c r="K146" s="6"/>
      <c r="L146" s="7" t="s">
        <v>6327</v>
      </c>
      <c r="M146" s="8">
        <v>1182687</v>
      </c>
      <c r="N146" s="8" t="str">
        <f t="shared" si="15"/>
        <v>PEN</v>
      </c>
      <c r="O146" s="13"/>
      <c r="P146" s="13">
        <v>20</v>
      </c>
      <c r="Q146" s="3">
        <f t="shared" si="16"/>
        <v>0</v>
      </c>
      <c r="R146" s="3">
        <f t="shared" si="17"/>
        <v>20</v>
      </c>
      <c r="S146" s="3">
        <f t="shared" si="13"/>
        <v>3769.8</v>
      </c>
      <c r="T146" s="24"/>
      <c r="U146" s="24"/>
      <c r="V146" s="69"/>
      <c r="W146" s="25" t="s">
        <v>5618</v>
      </c>
      <c r="X146" s="25"/>
      <c r="Y146" s="25"/>
      <c r="Z146" s="25"/>
      <c r="AA146" s="25"/>
      <c r="AB146" s="3" t="str">
        <f>IF(Caja_Operativa[[#This Row],[FECHA]]&gt;0,TEXT(Caja_Operativa[[#This Row],[FECHA]],"mmmm"),0)</f>
        <v>Marzo</v>
      </c>
    </row>
    <row r="147" spans="2:28" ht="24" hidden="1" x14ac:dyDescent="0.3">
      <c r="B147" s="2">
        <f>IF(Caja_Operativa[[#This Row],[TIPO DE R.]]="R",COUNTIFS($D$4:$D146,"R")+1,"")</f>
        <v>143</v>
      </c>
      <c r="C147" s="19" t="str">
        <f t="shared" si="14"/>
        <v>C-Operativa</v>
      </c>
      <c r="D147" s="3" t="s">
        <v>1074</v>
      </c>
      <c r="E147" s="14">
        <v>45727</v>
      </c>
      <c r="F147" s="5" t="s">
        <v>6299</v>
      </c>
      <c r="G147" s="5" t="s">
        <v>1079</v>
      </c>
      <c r="H147" s="6"/>
      <c r="I147" s="6"/>
      <c r="J147" s="6"/>
      <c r="K147" s="6"/>
      <c r="L147" s="7" t="s">
        <v>6302</v>
      </c>
      <c r="M147" s="8">
        <v>2628912</v>
      </c>
      <c r="N147" s="8" t="str">
        <f t="shared" si="15"/>
        <v>PEN</v>
      </c>
      <c r="O147" s="13"/>
      <c r="P147" s="13">
        <v>30</v>
      </c>
      <c r="Q147" s="3">
        <f t="shared" si="16"/>
        <v>0</v>
      </c>
      <c r="R147" s="3">
        <f t="shared" si="17"/>
        <v>30</v>
      </c>
      <c r="S147" s="3">
        <f t="shared" si="13"/>
        <v>3739.8</v>
      </c>
      <c r="T147" s="24"/>
      <c r="U147" s="24"/>
      <c r="V147" s="69"/>
      <c r="W147" s="25" t="s">
        <v>6305</v>
      </c>
      <c r="X147" s="25"/>
      <c r="Y147" s="25"/>
      <c r="Z147" s="25"/>
      <c r="AA147" s="25"/>
      <c r="AB147" s="3" t="str">
        <f>IF(Caja_Operativa[[#This Row],[FECHA]]&gt;0,TEXT(Caja_Operativa[[#This Row],[FECHA]],"mmmm"),0)</f>
        <v>Marzo</v>
      </c>
    </row>
    <row r="148" spans="2:28" ht="24" hidden="1" x14ac:dyDescent="0.3">
      <c r="B148" s="2">
        <f>IF(Caja_Operativa[[#This Row],[TIPO DE R.]]="R",COUNTIFS($D$4:$D147,"R")+1,"")</f>
        <v>144</v>
      </c>
      <c r="C148" s="19" t="str">
        <f t="shared" si="14"/>
        <v>C-Operativa</v>
      </c>
      <c r="D148" s="3" t="s">
        <v>1074</v>
      </c>
      <c r="E148" s="14">
        <v>45733</v>
      </c>
      <c r="F148" s="5" t="s">
        <v>6299</v>
      </c>
      <c r="G148" s="5" t="s">
        <v>1079</v>
      </c>
      <c r="H148" s="6"/>
      <c r="I148" s="6"/>
      <c r="J148" s="6"/>
      <c r="K148" s="6"/>
      <c r="L148" s="7" t="s">
        <v>6302</v>
      </c>
      <c r="M148" s="8">
        <v>3011037</v>
      </c>
      <c r="N148" s="8" t="str">
        <f t="shared" si="15"/>
        <v>PEN</v>
      </c>
      <c r="O148" s="13"/>
      <c r="P148" s="13">
        <v>110</v>
      </c>
      <c r="Q148" s="3">
        <f t="shared" si="16"/>
        <v>0</v>
      </c>
      <c r="R148" s="3">
        <f t="shared" si="17"/>
        <v>110</v>
      </c>
      <c r="S148" s="3">
        <f t="shared" si="13"/>
        <v>3629.8</v>
      </c>
      <c r="T148" s="24"/>
      <c r="U148" s="24"/>
      <c r="V148" s="69"/>
      <c r="W148" s="25" t="s">
        <v>6326</v>
      </c>
      <c r="X148" s="25"/>
      <c r="Y148" s="25"/>
      <c r="Z148" s="25"/>
      <c r="AA148" s="25"/>
      <c r="AB148" s="3" t="str">
        <f>IF(Caja_Operativa[[#This Row],[FECHA]]&gt;0,TEXT(Caja_Operativa[[#This Row],[FECHA]],"mmmm"),0)</f>
        <v>Marzo</v>
      </c>
    </row>
    <row r="149" spans="2:28" ht="24" hidden="1" x14ac:dyDescent="0.3">
      <c r="B149" s="2">
        <f>IF(Caja_Operativa[[#This Row],[TIPO DE R.]]="R",COUNTIFS($D$4:$D148,"R")+1,"")</f>
        <v>145</v>
      </c>
      <c r="C149" s="19" t="str">
        <f t="shared" si="14"/>
        <v>C-Operativa</v>
      </c>
      <c r="D149" s="3" t="s">
        <v>1074</v>
      </c>
      <c r="E149" s="14">
        <v>45733</v>
      </c>
      <c r="F149" s="5" t="s">
        <v>6299</v>
      </c>
      <c r="G149" s="5" t="s">
        <v>1079</v>
      </c>
      <c r="H149" s="6"/>
      <c r="I149" s="6"/>
      <c r="J149" s="6"/>
      <c r="K149" s="6"/>
      <c r="L149" s="7" t="s">
        <v>6302</v>
      </c>
      <c r="M149" s="8">
        <v>3008467</v>
      </c>
      <c r="N149" s="8" t="str">
        <f t="shared" si="15"/>
        <v>PEN</v>
      </c>
      <c r="O149" s="13"/>
      <c r="P149" s="13">
        <v>30</v>
      </c>
      <c r="Q149" s="3">
        <f t="shared" si="16"/>
        <v>0</v>
      </c>
      <c r="R149" s="3">
        <f t="shared" si="17"/>
        <v>30</v>
      </c>
      <c r="S149" s="3">
        <f t="shared" si="13"/>
        <v>3599.8</v>
      </c>
      <c r="T149" s="24"/>
      <c r="U149" s="24"/>
      <c r="V149" s="69"/>
      <c r="W149" s="25" t="s">
        <v>5685</v>
      </c>
      <c r="X149" s="25"/>
      <c r="Y149" s="25"/>
      <c r="Z149" s="25"/>
      <c r="AA149" s="25"/>
      <c r="AB149" s="3" t="str">
        <f>IF(Caja_Operativa[[#This Row],[FECHA]]&gt;0,TEXT(Caja_Operativa[[#This Row],[FECHA]],"mmmm"),0)</f>
        <v>Marzo</v>
      </c>
    </row>
    <row r="150" spans="2:28" hidden="1" x14ac:dyDescent="0.3">
      <c r="B150" s="2">
        <f>IF(Caja_Operativa[[#This Row],[TIPO DE R.]]="R",COUNTIFS($D$4:$D149,"R")+1,"")</f>
        <v>146</v>
      </c>
      <c r="C150" s="19" t="str">
        <f t="shared" si="14"/>
        <v>C-Operativa</v>
      </c>
      <c r="D150" s="3" t="s">
        <v>1074</v>
      </c>
      <c r="E150" s="14">
        <v>45734</v>
      </c>
      <c r="F150" s="5" t="s">
        <v>6299</v>
      </c>
      <c r="G150" s="5" t="s">
        <v>1079</v>
      </c>
      <c r="H150" s="6"/>
      <c r="I150" s="6"/>
      <c r="J150" s="6"/>
      <c r="K150" s="6"/>
      <c r="L150" s="7" t="s">
        <v>6302</v>
      </c>
      <c r="M150" s="8">
        <v>444965</v>
      </c>
      <c r="N150" s="8" t="str">
        <f t="shared" si="15"/>
        <v>PEN</v>
      </c>
      <c r="O150" s="13"/>
      <c r="P150" s="13">
        <v>150</v>
      </c>
      <c r="Q150" s="3">
        <f t="shared" si="16"/>
        <v>0</v>
      </c>
      <c r="R150" s="3">
        <f t="shared" si="17"/>
        <v>150</v>
      </c>
      <c r="S150" s="3">
        <f t="shared" si="13"/>
        <v>3449.8</v>
      </c>
      <c r="T150" s="24"/>
      <c r="U150" s="24"/>
      <c r="V150" s="69"/>
      <c r="W150" s="25" t="s">
        <v>6303</v>
      </c>
      <c r="X150" s="25"/>
      <c r="Y150" s="25"/>
      <c r="Z150" s="25"/>
      <c r="AA150" s="25"/>
      <c r="AB150" s="3" t="str">
        <f>IF(Caja_Operativa[[#This Row],[FECHA]]&gt;0,TEXT(Caja_Operativa[[#This Row],[FECHA]],"mmmm"),0)</f>
        <v>Marzo</v>
      </c>
    </row>
    <row r="151" spans="2:28" ht="24" hidden="1" x14ac:dyDescent="0.3">
      <c r="B151" s="2">
        <f>IF(Caja_Operativa[[#This Row],[TIPO DE R.]]="R",COUNTIFS($D$4:$D150,"R")+1,"")</f>
        <v>147</v>
      </c>
      <c r="C151" s="19" t="str">
        <f t="shared" si="14"/>
        <v>C-Operativa</v>
      </c>
      <c r="D151" s="3" t="s">
        <v>1074</v>
      </c>
      <c r="E151" s="14">
        <v>45734</v>
      </c>
      <c r="F151" s="5" t="s">
        <v>6299</v>
      </c>
      <c r="G151" s="5" t="s">
        <v>1079</v>
      </c>
      <c r="H151" s="6"/>
      <c r="I151" s="6"/>
      <c r="J151" s="6"/>
      <c r="K151" s="6"/>
      <c r="L151" s="7" t="s">
        <v>6302</v>
      </c>
      <c r="M151" s="8">
        <v>786488</v>
      </c>
      <c r="N151" s="8" t="str">
        <f t="shared" si="15"/>
        <v>PEN</v>
      </c>
      <c r="O151" s="13"/>
      <c r="P151" s="13">
        <v>110</v>
      </c>
      <c r="Q151" s="3">
        <f t="shared" si="16"/>
        <v>0</v>
      </c>
      <c r="R151" s="3">
        <f t="shared" si="17"/>
        <v>110</v>
      </c>
      <c r="S151" s="3">
        <f t="shared" si="13"/>
        <v>3339.8</v>
      </c>
      <c r="T151" s="24"/>
      <c r="U151" s="24"/>
      <c r="V151" s="69"/>
      <c r="W151" s="25" t="s">
        <v>6305</v>
      </c>
      <c r="X151" s="25"/>
      <c r="Y151" s="25"/>
      <c r="Z151" s="25"/>
      <c r="AA151" s="25"/>
      <c r="AB151" s="3" t="str">
        <f>IF(Caja_Operativa[[#This Row],[FECHA]]&gt;0,TEXT(Caja_Operativa[[#This Row],[FECHA]],"mmmm"),0)</f>
        <v>Marzo</v>
      </c>
    </row>
    <row r="152" spans="2:28" ht="24" hidden="1" x14ac:dyDescent="0.3">
      <c r="B152" s="2">
        <f>IF(Caja_Operativa[[#This Row],[TIPO DE R.]]="R",COUNTIFS($D$4:$D151,"R")+1,"")</f>
        <v>148</v>
      </c>
      <c r="C152" s="19" t="str">
        <f t="shared" si="14"/>
        <v>C-Operativa</v>
      </c>
      <c r="D152" s="3" t="s">
        <v>1074</v>
      </c>
      <c r="E152" s="14">
        <v>45734</v>
      </c>
      <c r="F152" s="5" t="s">
        <v>6299</v>
      </c>
      <c r="G152" s="5" t="s">
        <v>1079</v>
      </c>
      <c r="H152" s="6"/>
      <c r="I152" s="6"/>
      <c r="J152" s="6"/>
      <c r="K152" s="6"/>
      <c r="L152" s="7" t="s">
        <v>6327</v>
      </c>
      <c r="M152" s="8">
        <v>918407</v>
      </c>
      <c r="N152" s="8" t="str">
        <f t="shared" si="15"/>
        <v>PEN</v>
      </c>
      <c r="O152" s="13"/>
      <c r="P152" s="13">
        <v>110</v>
      </c>
      <c r="Q152" s="3">
        <f t="shared" si="16"/>
        <v>0</v>
      </c>
      <c r="R152" s="3">
        <f t="shared" si="17"/>
        <v>110</v>
      </c>
      <c r="S152" s="3">
        <f t="shared" si="13"/>
        <v>3229.8</v>
      </c>
      <c r="T152" s="24"/>
      <c r="U152" s="24"/>
      <c r="V152" s="69"/>
      <c r="W152" s="25" t="s">
        <v>5618</v>
      </c>
      <c r="X152" s="25"/>
      <c r="Y152" s="25"/>
      <c r="Z152" s="25"/>
      <c r="AA152" s="25"/>
      <c r="AB152" s="3" t="str">
        <f>IF(Caja_Operativa[[#This Row],[FECHA]]&gt;0,TEXT(Caja_Operativa[[#This Row],[FECHA]],"mmmm"),0)</f>
        <v>Marzo</v>
      </c>
    </row>
    <row r="153" spans="2:28" ht="24" hidden="1" x14ac:dyDescent="0.3">
      <c r="B153" s="2">
        <f>IF(Caja_Operativa[[#This Row],[TIPO DE R.]]="R",COUNTIFS($D$4:$D152,"R")+1,"")</f>
        <v>149</v>
      </c>
      <c r="C153" s="19" t="str">
        <f t="shared" si="14"/>
        <v>C-Operativa</v>
      </c>
      <c r="D153" s="3" t="s">
        <v>1074</v>
      </c>
      <c r="E153" s="14">
        <v>45734</v>
      </c>
      <c r="F153" s="5" t="s">
        <v>6299</v>
      </c>
      <c r="G153" s="5" t="s">
        <v>1079</v>
      </c>
      <c r="H153" s="6"/>
      <c r="I153" s="6"/>
      <c r="J153" s="6"/>
      <c r="K153" s="6"/>
      <c r="L153" s="7" t="s">
        <v>6302</v>
      </c>
      <c r="M153" s="8">
        <v>1070434</v>
      </c>
      <c r="N153" s="8" t="str">
        <f t="shared" si="15"/>
        <v>PEN</v>
      </c>
      <c r="O153" s="13"/>
      <c r="P153" s="13">
        <v>120</v>
      </c>
      <c r="Q153" s="3">
        <f t="shared" si="16"/>
        <v>0</v>
      </c>
      <c r="R153" s="3">
        <f t="shared" si="17"/>
        <v>120</v>
      </c>
      <c r="S153" s="3">
        <f t="shared" si="13"/>
        <v>3109.8</v>
      </c>
      <c r="T153" s="24"/>
      <c r="U153" s="24"/>
      <c r="V153" s="69"/>
      <c r="W153" s="25" t="s">
        <v>6359</v>
      </c>
      <c r="X153" s="25"/>
      <c r="Y153" s="25"/>
      <c r="Z153" s="25"/>
      <c r="AA153" s="25"/>
      <c r="AB153" s="3" t="str">
        <f>IF(Caja_Operativa[[#This Row],[FECHA]]&gt;0,TEXT(Caja_Operativa[[#This Row],[FECHA]],"mmmm"),0)</f>
        <v>Marzo</v>
      </c>
    </row>
    <row r="154" spans="2:28" ht="24" hidden="1" x14ac:dyDescent="0.3">
      <c r="B154" s="2">
        <f>IF(Caja_Operativa[[#This Row],[TIPO DE R.]]="R",COUNTIFS($D$4:$D153,"R")+1,"")</f>
        <v>150</v>
      </c>
      <c r="C154" s="19" t="str">
        <f t="shared" si="14"/>
        <v>C-Operativa</v>
      </c>
      <c r="D154" s="3" t="s">
        <v>1074</v>
      </c>
      <c r="E154" s="14">
        <v>45734</v>
      </c>
      <c r="F154" s="5" t="s">
        <v>6299</v>
      </c>
      <c r="G154" s="5" t="s">
        <v>1079</v>
      </c>
      <c r="H154" s="6"/>
      <c r="I154" s="6"/>
      <c r="J154" s="6"/>
      <c r="K154" s="6"/>
      <c r="L154" s="7" t="s">
        <v>6302</v>
      </c>
      <c r="M154" s="8">
        <v>3115312</v>
      </c>
      <c r="N154" s="8" t="str">
        <f t="shared" si="15"/>
        <v>PEN</v>
      </c>
      <c r="O154" s="13"/>
      <c r="P154" s="13">
        <v>100</v>
      </c>
      <c r="Q154" s="3">
        <f t="shared" si="16"/>
        <v>0</v>
      </c>
      <c r="R154" s="3">
        <f t="shared" si="17"/>
        <v>100</v>
      </c>
      <c r="S154" s="3">
        <f t="shared" si="13"/>
        <v>3009.8</v>
      </c>
      <c r="T154" s="24"/>
      <c r="U154" s="24"/>
      <c r="V154" s="69"/>
      <c r="W154" s="25" t="s">
        <v>6301</v>
      </c>
      <c r="X154" s="25"/>
      <c r="Y154" s="25"/>
      <c r="Z154" s="25"/>
      <c r="AA154" s="25"/>
      <c r="AB154" s="3" t="str">
        <f>IF(Caja_Operativa[[#This Row],[FECHA]]&gt;0,TEXT(Caja_Operativa[[#This Row],[FECHA]],"mmmm"),0)</f>
        <v>Marzo</v>
      </c>
    </row>
    <row r="155" spans="2:28" ht="24" hidden="1" x14ac:dyDescent="0.3">
      <c r="B155" s="2">
        <f>IF(Caja_Operativa[[#This Row],[TIPO DE R.]]="R",COUNTIFS($D$4:$D154,"R")+1,"")</f>
        <v>151</v>
      </c>
      <c r="C155" s="19" t="str">
        <f t="shared" si="14"/>
        <v>C-Operativa</v>
      </c>
      <c r="D155" s="3" t="s">
        <v>1074</v>
      </c>
      <c r="E155" s="14">
        <v>45735</v>
      </c>
      <c r="F155" s="5" t="s">
        <v>6299</v>
      </c>
      <c r="G155" s="5" t="s">
        <v>1079</v>
      </c>
      <c r="H155" s="6"/>
      <c r="I155" s="6"/>
      <c r="J155" s="6"/>
      <c r="K155" s="6"/>
      <c r="L155" s="7" t="s">
        <v>6392</v>
      </c>
      <c r="M155" s="8">
        <v>981752</v>
      </c>
      <c r="N155" s="8" t="str">
        <f t="shared" si="15"/>
        <v>PEN</v>
      </c>
      <c r="O155" s="13"/>
      <c r="P155" s="13">
        <v>400</v>
      </c>
      <c r="Q155" s="3">
        <f t="shared" si="16"/>
        <v>0</v>
      </c>
      <c r="R155" s="3">
        <f t="shared" si="17"/>
        <v>400</v>
      </c>
      <c r="S155" s="3">
        <f t="shared" si="13"/>
        <v>2609.8000000000002</v>
      </c>
      <c r="T155" s="24"/>
      <c r="U155" s="24"/>
      <c r="V155" s="69"/>
      <c r="W155" s="25" t="s">
        <v>6359</v>
      </c>
      <c r="X155" s="25"/>
      <c r="Y155" s="25"/>
      <c r="Z155" s="25"/>
      <c r="AA155" s="25"/>
      <c r="AB155" s="3" t="str">
        <f>IF(Caja_Operativa[[#This Row],[FECHA]]&gt;0,TEXT(Caja_Operativa[[#This Row],[FECHA]],"mmmm"),0)</f>
        <v>Marzo</v>
      </c>
    </row>
    <row r="156" spans="2:28" ht="24" hidden="1" x14ac:dyDescent="0.3">
      <c r="B156" s="2">
        <f>IF(Caja_Operativa[[#This Row],[TIPO DE R.]]="R",COUNTIFS($D$4:$D155,"R")+1,"")</f>
        <v>152</v>
      </c>
      <c r="C156" s="19" t="str">
        <f t="shared" si="14"/>
        <v>C-Operativa</v>
      </c>
      <c r="D156" s="3" t="s">
        <v>1074</v>
      </c>
      <c r="E156" s="14">
        <v>45737</v>
      </c>
      <c r="F156" s="5" t="s">
        <v>6299</v>
      </c>
      <c r="G156" s="5" t="s">
        <v>1079</v>
      </c>
      <c r="H156" s="6"/>
      <c r="I156" s="6"/>
      <c r="J156" s="6"/>
      <c r="K156" s="6"/>
      <c r="L156" s="7" t="s">
        <v>6392</v>
      </c>
      <c r="M156" s="8">
        <v>472060</v>
      </c>
      <c r="N156" s="8" t="str">
        <f t="shared" si="15"/>
        <v>PEN</v>
      </c>
      <c r="O156" s="13"/>
      <c r="P156" s="13">
        <v>100</v>
      </c>
      <c r="Q156" s="3">
        <f t="shared" si="16"/>
        <v>0</v>
      </c>
      <c r="R156" s="3">
        <f t="shared" si="17"/>
        <v>100</v>
      </c>
      <c r="S156" s="3">
        <f t="shared" si="13"/>
        <v>2509.8000000000002</v>
      </c>
      <c r="T156" s="24"/>
      <c r="U156" s="24"/>
      <c r="V156" s="69"/>
      <c r="W156" s="25" t="s">
        <v>6359</v>
      </c>
      <c r="X156" s="25"/>
      <c r="Y156" s="25"/>
      <c r="Z156" s="25"/>
      <c r="AA156" s="25"/>
      <c r="AB156" s="3" t="str">
        <f>IF(Caja_Operativa[[#This Row],[FECHA]]&gt;0,TEXT(Caja_Operativa[[#This Row],[FECHA]],"mmmm"),0)</f>
        <v>Marzo</v>
      </c>
    </row>
    <row r="157" spans="2:28" hidden="1" x14ac:dyDescent="0.3">
      <c r="B157" s="2">
        <f>IF(Caja_Operativa[[#This Row],[TIPO DE R.]]="R",COUNTIFS($D$4:$D156,"R")+1,"")</f>
        <v>153</v>
      </c>
      <c r="C157" s="19" t="str">
        <f t="shared" si="14"/>
        <v>C-Operativa</v>
      </c>
      <c r="D157" s="3" t="s">
        <v>1074</v>
      </c>
      <c r="E157" s="14">
        <v>45737</v>
      </c>
      <c r="F157" s="5" t="s">
        <v>6299</v>
      </c>
      <c r="G157" s="5" t="s">
        <v>1079</v>
      </c>
      <c r="H157" s="6"/>
      <c r="I157" s="6"/>
      <c r="J157" s="6"/>
      <c r="K157" s="6"/>
      <c r="L157" s="7" t="s">
        <v>6302</v>
      </c>
      <c r="M157" s="8">
        <v>558911</v>
      </c>
      <c r="N157" s="8" t="str">
        <f t="shared" si="15"/>
        <v>PEN</v>
      </c>
      <c r="O157" s="13"/>
      <c r="P157" s="13">
        <v>200</v>
      </c>
      <c r="Q157" s="3">
        <f t="shared" si="16"/>
        <v>0</v>
      </c>
      <c r="R157" s="3">
        <f t="shared" si="17"/>
        <v>200</v>
      </c>
      <c r="S157" s="3">
        <f t="shared" si="13"/>
        <v>2309.8000000000002</v>
      </c>
      <c r="T157" s="24"/>
      <c r="U157" s="24"/>
      <c r="V157" s="69"/>
      <c r="W157" s="25" t="s">
        <v>6303</v>
      </c>
      <c r="X157" s="25"/>
      <c r="Y157" s="25"/>
      <c r="Z157" s="25"/>
      <c r="AA157" s="25"/>
      <c r="AB157" s="3" t="str">
        <f>IF(Caja_Operativa[[#This Row],[FECHA]]&gt;0,TEXT(Caja_Operativa[[#This Row],[FECHA]],"mmmm"),0)</f>
        <v>Marzo</v>
      </c>
    </row>
    <row r="158" spans="2:28" hidden="1" x14ac:dyDescent="0.3">
      <c r="B158" s="2">
        <f>IF(Caja_Operativa[[#This Row],[TIPO DE R.]]="R",COUNTIFS($D$4:$D157,"R")+1,"")</f>
        <v>154</v>
      </c>
      <c r="C158" s="19" t="str">
        <f t="shared" si="14"/>
        <v>C-Operativa</v>
      </c>
      <c r="D158" s="3" t="s">
        <v>1074</v>
      </c>
      <c r="E158" s="14">
        <v>45740</v>
      </c>
      <c r="F158" s="5" t="s">
        <v>6299</v>
      </c>
      <c r="G158" s="5" t="s">
        <v>1079</v>
      </c>
      <c r="H158" s="6"/>
      <c r="I158" s="6"/>
      <c r="J158" s="6"/>
      <c r="K158" s="6"/>
      <c r="L158" s="7" t="s">
        <v>6393</v>
      </c>
      <c r="M158" s="8">
        <v>3150921</v>
      </c>
      <c r="N158" s="8" t="str">
        <f t="shared" si="15"/>
        <v>PEN</v>
      </c>
      <c r="O158" s="13"/>
      <c r="P158" s="13">
        <v>900</v>
      </c>
      <c r="Q158" s="3">
        <f t="shared" si="16"/>
        <v>0</v>
      </c>
      <c r="R158" s="3">
        <f t="shared" si="17"/>
        <v>900</v>
      </c>
      <c r="S158" s="3">
        <f t="shared" si="13"/>
        <v>1409.8000000000002</v>
      </c>
      <c r="T158" s="24"/>
      <c r="U158" s="24"/>
      <c r="V158" s="69"/>
      <c r="W158" s="25" t="s">
        <v>6303</v>
      </c>
      <c r="X158" s="25"/>
      <c r="Y158" s="25"/>
      <c r="Z158" s="25"/>
      <c r="AA158" s="25"/>
      <c r="AB158" s="3" t="str">
        <f>IF(Caja_Operativa[[#This Row],[FECHA]]&gt;0,TEXT(Caja_Operativa[[#This Row],[FECHA]],"mmmm"),0)</f>
        <v>Marzo</v>
      </c>
    </row>
    <row r="159" spans="2:28" ht="24" hidden="1" x14ac:dyDescent="0.3">
      <c r="B159" s="2">
        <f>IF(Caja_Operativa[[#This Row],[TIPO DE R.]]="R",COUNTIFS($D$4:$D158,"R")+1,"")</f>
        <v>155</v>
      </c>
      <c r="C159" s="19" t="str">
        <f t="shared" si="14"/>
        <v>C-Operativa</v>
      </c>
      <c r="D159" s="3" t="s">
        <v>1074</v>
      </c>
      <c r="E159" s="14">
        <v>45740</v>
      </c>
      <c r="F159" s="5" t="s">
        <v>6299</v>
      </c>
      <c r="G159" s="5" t="s">
        <v>1079</v>
      </c>
      <c r="H159" s="6"/>
      <c r="I159" s="6"/>
      <c r="J159" s="6"/>
      <c r="K159" s="6"/>
      <c r="L159" s="7" t="s">
        <v>6302</v>
      </c>
      <c r="M159" s="8">
        <v>3040529</v>
      </c>
      <c r="N159" s="8" t="str">
        <f t="shared" si="15"/>
        <v>PEN</v>
      </c>
      <c r="O159" s="13"/>
      <c r="P159" s="13">
        <v>100</v>
      </c>
      <c r="Q159" s="3">
        <f t="shared" si="16"/>
        <v>0</v>
      </c>
      <c r="R159" s="3">
        <f t="shared" si="17"/>
        <v>100</v>
      </c>
      <c r="S159" s="3">
        <f t="shared" si="13"/>
        <v>1309.8000000000002</v>
      </c>
      <c r="T159" s="24"/>
      <c r="U159" s="24"/>
      <c r="V159" s="69"/>
      <c r="W159" s="25" t="s">
        <v>6305</v>
      </c>
      <c r="X159" s="25"/>
      <c r="Y159" s="25"/>
      <c r="Z159" s="25"/>
      <c r="AA159" s="25"/>
      <c r="AB159" s="3" t="str">
        <f>IF(Caja_Operativa[[#This Row],[FECHA]]&gt;0,TEXT(Caja_Operativa[[#This Row],[FECHA]],"mmmm"),0)</f>
        <v>Marzo</v>
      </c>
    </row>
    <row r="160" spans="2:28" ht="24" hidden="1" x14ac:dyDescent="0.3">
      <c r="B160" s="2">
        <f>IF(Caja_Operativa[[#This Row],[TIPO DE R.]]="R",COUNTIFS($D$4:$D159,"R")+1,"")</f>
        <v>156</v>
      </c>
      <c r="C160" s="19" t="str">
        <f t="shared" si="14"/>
        <v>C-Operativa</v>
      </c>
      <c r="D160" s="3" t="s">
        <v>1074</v>
      </c>
      <c r="E160" s="14">
        <v>45740</v>
      </c>
      <c r="F160" s="5" t="s">
        <v>6299</v>
      </c>
      <c r="G160" s="5" t="s">
        <v>1079</v>
      </c>
      <c r="H160" s="6"/>
      <c r="I160" s="6"/>
      <c r="J160" s="6"/>
      <c r="K160" s="6"/>
      <c r="L160" s="7" t="s">
        <v>6302</v>
      </c>
      <c r="M160" s="8">
        <v>3427977</v>
      </c>
      <c r="N160" s="8" t="str">
        <f t="shared" si="15"/>
        <v>PEN</v>
      </c>
      <c r="O160" s="13"/>
      <c r="P160" s="13">
        <v>50</v>
      </c>
      <c r="Q160" s="3">
        <f t="shared" si="16"/>
        <v>0</v>
      </c>
      <c r="R160" s="3">
        <f t="shared" si="17"/>
        <v>50</v>
      </c>
      <c r="S160" s="3">
        <f t="shared" si="13"/>
        <v>1259.8000000000002</v>
      </c>
      <c r="T160" s="24"/>
      <c r="U160" s="24"/>
      <c r="V160" s="69"/>
      <c r="W160" s="25" t="s">
        <v>5685</v>
      </c>
      <c r="X160" s="25"/>
      <c r="Y160" s="25"/>
      <c r="Z160" s="25"/>
      <c r="AA160" s="25"/>
      <c r="AB160" s="3" t="str">
        <f>IF(Caja_Operativa[[#This Row],[FECHA]]&gt;0,TEXT(Caja_Operativa[[#This Row],[FECHA]],"mmmm"),0)</f>
        <v>Marzo</v>
      </c>
    </row>
    <row r="161" spans="2:28" ht="24" hidden="1" x14ac:dyDescent="0.3">
      <c r="B161" s="2">
        <f>IF(Caja_Operativa[[#This Row],[TIPO DE R.]]="R",COUNTIFS($D$4:$D160,"R")+1,"")</f>
        <v>157</v>
      </c>
      <c r="C161" s="19" t="str">
        <f t="shared" si="14"/>
        <v>C-Operativa</v>
      </c>
      <c r="D161" s="3" t="s">
        <v>1074</v>
      </c>
      <c r="E161" s="14">
        <v>45740</v>
      </c>
      <c r="F161" s="5" t="s">
        <v>6299</v>
      </c>
      <c r="G161" s="5" t="s">
        <v>1079</v>
      </c>
      <c r="H161" s="6"/>
      <c r="I161" s="6"/>
      <c r="J161" s="6"/>
      <c r="K161" s="6"/>
      <c r="L161" s="7" t="s">
        <v>6302</v>
      </c>
      <c r="M161" s="8">
        <v>3398900</v>
      </c>
      <c r="N161" s="8" t="str">
        <f t="shared" si="15"/>
        <v>PEN</v>
      </c>
      <c r="O161" s="13"/>
      <c r="P161" s="13">
        <v>150</v>
      </c>
      <c r="Q161" s="3">
        <f t="shared" si="16"/>
        <v>0</v>
      </c>
      <c r="R161" s="3">
        <f t="shared" si="17"/>
        <v>150</v>
      </c>
      <c r="S161" s="3">
        <f t="shared" si="13"/>
        <v>1109.8000000000002</v>
      </c>
      <c r="T161" s="24"/>
      <c r="U161" s="24"/>
      <c r="V161" s="69"/>
      <c r="W161" s="25" t="s">
        <v>6301</v>
      </c>
      <c r="X161" s="25"/>
      <c r="Y161" s="25"/>
      <c r="Z161" s="25"/>
      <c r="AA161" s="25"/>
      <c r="AB161" s="3" t="str">
        <f>IF(Caja_Operativa[[#This Row],[FECHA]]&gt;0,TEXT(Caja_Operativa[[#This Row],[FECHA]],"mmmm"),0)</f>
        <v>Marzo</v>
      </c>
    </row>
    <row r="162" spans="2:28" ht="24" hidden="1" x14ac:dyDescent="0.3">
      <c r="B162" s="2">
        <f>IF(Caja_Operativa[[#This Row],[TIPO DE R.]]="R",COUNTIFS($D$4:$D161,"R")+1,"")</f>
        <v>158</v>
      </c>
      <c r="C162" s="19" t="str">
        <f t="shared" si="14"/>
        <v>C-Operativa</v>
      </c>
      <c r="D162" s="3" t="s">
        <v>1074</v>
      </c>
      <c r="E162" s="14">
        <v>45740</v>
      </c>
      <c r="F162" s="5" t="s">
        <v>6299</v>
      </c>
      <c r="G162" s="5" t="s">
        <v>1079</v>
      </c>
      <c r="H162" s="6"/>
      <c r="I162" s="6"/>
      <c r="J162" s="6"/>
      <c r="K162" s="6"/>
      <c r="L162" s="7" t="s">
        <v>6302</v>
      </c>
      <c r="M162" s="8">
        <v>3456605</v>
      </c>
      <c r="N162" s="8" t="str">
        <f t="shared" si="15"/>
        <v>PEN</v>
      </c>
      <c r="O162" s="13"/>
      <c r="P162" s="13">
        <v>90</v>
      </c>
      <c r="Q162" s="3">
        <f t="shared" si="16"/>
        <v>0</v>
      </c>
      <c r="R162" s="3">
        <f t="shared" si="17"/>
        <v>90</v>
      </c>
      <c r="S162" s="3">
        <f t="shared" si="13"/>
        <v>1019.8000000000002</v>
      </c>
      <c r="T162" s="24"/>
      <c r="U162" s="24"/>
      <c r="V162" s="69"/>
      <c r="W162" s="25" t="s">
        <v>5618</v>
      </c>
      <c r="X162" s="25"/>
      <c r="Y162" s="25"/>
      <c r="Z162" s="25"/>
      <c r="AA162" s="25"/>
      <c r="AB162" s="3" t="str">
        <f>IF(Caja_Operativa[[#This Row],[FECHA]]&gt;0,TEXT(Caja_Operativa[[#This Row],[FECHA]],"mmmm"),0)</f>
        <v>Marzo</v>
      </c>
    </row>
    <row r="163" spans="2:28" ht="24" hidden="1" x14ac:dyDescent="0.3">
      <c r="B163" s="2">
        <f>IF(Caja_Operativa[[#This Row],[TIPO DE R.]]="R",COUNTIFS($D$4:$D162,"R")+1,"")</f>
        <v>159</v>
      </c>
      <c r="C163" s="19" t="str">
        <f t="shared" si="14"/>
        <v>C-Operativa</v>
      </c>
      <c r="D163" s="3" t="s">
        <v>1074</v>
      </c>
      <c r="E163" s="14">
        <v>45740</v>
      </c>
      <c r="F163" s="5" t="s">
        <v>6299</v>
      </c>
      <c r="G163" s="5" t="s">
        <v>1079</v>
      </c>
      <c r="H163" s="6"/>
      <c r="I163" s="6"/>
      <c r="J163" s="6"/>
      <c r="K163" s="6"/>
      <c r="L163" s="7" t="s">
        <v>6302</v>
      </c>
      <c r="M163" s="8">
        <v>2847668</v>
      </c>
      <c r="N163" s="8" t="str">
        <f t="shared" si="15"/>
        <v>PEN</v>
      </c>
      <c r="O163" s="13"/>
      <c r="P163" s="13">
        <v>220</v>
      </c>
      <c r="Q163" s="3">
        <f t="shared" si="16"/>
        <v>0</v>
      </c>
      <c r="R163" s="3">
        <f t="shared" si="17"/>
        <v>220</v>
      </c>
      <c r="S163" s="3">
        <f t="shared" si="13"/>
        <v>799.80000000000018</v>
      </c>
      <c r="T163" s="24"/>
      <c r="U163" s="24"/>
      <c r="V163" s="69"/>
      <c r="W163" s="25" t="s">
        <v>6359</v>
      </c>
      <c r="X163" s="25"/>
      <c r="Y163" s="25"/>
      <c r="Z163" s="25"/>
      <c r="AA163" s="25"/>
      <c r="AB163" s="3" t="str">
        <f>IF(Caja_Operativa[[#This Row],[FECHA]]&gt;0,TEXT(Caja_Operativa[[#This Row],[FECHA]],"mmmm"),0)</f>
        <v>Marzo</v>
      </c>
    </row>
    <row r="164" spans="2:28" hidden="1" x14ac:dyDescent="0.3">
      <c r="B164" s="2">
        <f>IF(Caja_Operativa[[#This Row],[TIPO DE R.]]="R",COUNTIFS($D$4:$D163,"R")+1,"")</f>
        <v>160</v>
      </c>
      <c r="C164" s="19" t="str">
        <f t="shared" si="14"/>
        <v>C-Operativa</v>
      </c>
      <c r="D164" s="3" t="s">
        <v>1074</v>
      </c>
      <c r="E164" s="14">
        <v>45740</v>
      </c>
      <c r="F164" s="5" t="s">
        <v>6298</v>
      </c>
      <c r="G164" s="5" t="s">
        <v>1087</v>
      </c>
      <c r="H164" s="6"/>
      <c r="I164" s="6"/>
      <c r="J164" s="6" t="s">
        <v>6329</v>
      </c>
      <c r="K164" s="6">
        <v>6</v>
      </c>
      <c r="L164" s="7" t="s">
        <v>6330</v>
      </c>
      <c r="M164" s="8" t="s">
        <v>6394</v>
      </c>
      <c r="N164" s="8" t="str">
        <f t="shared" si="15"/>
        <v>PEN</v>
      </c>
      <c r="O164" s="13"/>
      <c r="P164" s="13">
        <v>3200.2</v>
      </c>
      <c r="Q164" s="3">
        <f t="shared" si="16"/>
        <v>3200.2</v>
      </c>
      <c r="R164" s="3">
        <f t="shared" si="17"/>
        <v>0</v>
      </c>
      <c r="S164" s="3">
        <f t="shared" si="13"/>
        <v>4000</v>
      </c>
      <c r="T164" s="24"/>
      <c r="U164" s="24"/>
      <c r="V164" s="69"/>
      <c r="W164" s="25" t="s">
        <v>6299</v>
      </c>
      <c r="X164" s="25"/>
      <c r="Y164" s="25"/>
      <c r="Z164" s="25"/>
      <c r="AA164" s="25"/>
      <c r="AB164" s="3" t="str">
        <f>IF(Caja_Operativa[[#This Row],[FECHA]]&gt;0,TEXT(Caja_Operativa[[#This Row],[FECHA]],"mmmm"),0)</f>
        <v>Marzo</v>
      </c>
    </row>
    <row r="165" spans="2:28" hidden="1" x14ac:dyDescent="0.3">
      <c r="B165" s="2">
        <f>IF(Caja_Operativa[[#This Row],[TIPO DE R.]]="R",COUNTIFS($D$4:$D164,"R")+1,"")</f>
        <v>161</v>
      </c>
      <c r="C165" s="19" t="str">
        <f t="shared" si="14"/>
        <v>C-Operativa</v>
      </c>
      <c r="D165" s="3" t="s">
        <v>1074</v>
      </c>
      <c r="E165" s="14">
        <v>45740</v>
      </c>
      <c r="F165" s="5" t="s">
        <v>1078</v>
      </c>
      <c r="G165" s="5" t="s">
        <v>1079</v>
      </c>
      <c r="H165" s="6"/>
      <c r="I165" s="6"/>
      <c r="J165" s="6"/>
      <c r="K165" s="6"/>
      <c r="L165" s="7" t="s">
        <v>4128</v>
      </c>
      <c r="M165" s="8"/>
      <c r="N165" s="8" t="str">
        <f t="shared" si="15"/>
        <v>PEN</v>
      </c>
      <c r="O165" s="13"/>
      <c r="P165" s="13">
        <v>0.15</v>
      </c>
      <c r="Q165" s="3">
        <f t="shared" si="16"/>
        <v>0</v>
      </c>
      <c r="R165" s="3">
        <f t="shared" si="17"/>
        <v>0.15</v>
      </c>
      <c r="S165" s="3">
        <f t="shared" si="13"/>
        <v>3999.85</v>
      </c>
      <c r="T165" s="24"/>
      <c r="U165" s="24"/>
      <c r="V165" s="69"/>
      <c r="W165" s="25"/>
      <c r="X165" s="25"/>
      <c r="Y165" s="25"/>
      <c r="Z165" s="25"/>
      <c r="AA165" s="25"/>
      <c r="AB165" s="3" t="str">
        <f>IF(Caja_Operativa[[#This Row],[FECHA]]&gt;0,TEXT(Caja_Operativa[[#This Row],[FECHA]],"mmmm"),0)</f>
        <v>Marzo</v>
      </c>
    </row>
    <row r="166" spans="2:28" ht="24" hidden="1" x14ac:dyDescent="0.3">
      <c r="B166" s="2">
        <f>IF(Caja_Operativa[[#This Row],[TIPO DE R.]]="R",COUNTIFS($D$4:$D165,"R")+1,"")</f>
        <v>162</v>
      </c>
      <c r="C166" s="19" t="str">
        <f t="shared" si="14"/>
        <v>C-Operativa</v>
      </c>
      <c r="D166" s="3" t="s">
        <v>1074</v>
      </c>
      <c r="E166" s="14">
        <v>45742</v>
      </c>
      <c r="F166" s="5" t="s">
        <v>6299</v>
      </c>
      <c r="G166" s="5" t="s">
        <v>1079</v>
      </c>
      <c r="H166" s="6"/>
      <c r="I166" s="6"/>
      <c r="J166" s="6"/>
      <c r="K166" s="6"/>
      <c r="L166" s="7" t="s">
        <v>6302</v>
      </c>
      <c r="M166" s="8">
        <v>3186079</v>
      </c>
      <c r="N166" s="8" t="str">
        <f t="shared" si="15"/>
        <v>PEN</v>
      </c>
      <c r="O166" s="13"/>
      <c r="P166" s="13">
        <v>300</v>
      </c>
      <c r="Q166" s="3">
        <f t="shared" si="16"/>
        <v>0</v>
      </c>
      <c r="R166" s="3">
        <f t="shared" si="17"/>
        <v>300</v>
      </c>
      <c r="S166" s="3">
        <f t="shared" si="13"/>
        <v>3699.85</v>
      </c>
      <c r="T166" s="24"/>
      <c r="U166" s="24"/>
      <c r="V166" s="69"/>
      <c r="W166" s="25" t="s">
        <v>6301</v>
      </c>
      <c r="X166" s="25"/>
      <c r="Y166" s="25"/>
      <c r="Z166" s="25"/>
      <c r="AA166" s="25"/>
      <c r="AB166" s="3" t="str">
        <f>IF(Caja_Operativa[[#This Row],[FECHA]]&gt;0,TEXT(Caja_Operativa[[#This Row],[FECHA]],"mmmm"),0)</f>
        <v>Marzo</v>
      </c>
    </row>
    <row r="167" spans="2:28" ht="24" hidden="1" x14ac:dyDescent="0.3">
      <c r="B167" s="2">
        <f>IF(Caja_Operativa[[#This Row],[TIPO DE R.]]="R",COUNTIFS($D$4:$D166,"R")+1,"")</f>
        <v>163</v>
      </c>
      <c r="C167" s="19" t="str">
        <f t="shared" si="14"/>
        <v>C-Operativa</v>
      </c>
      <c r="D167" s="3" t="s">
        <v>1074</v>
      </c>
      <c r="E167" s="14">
        <v>45747</v>
      </c>
      <c r="F167" s="5" t="s">
        <v>6299</v>
      </c>
      <c r="G167" s="5" t="s">
        <v>1079</v>
      </c>
      <c r="H167" s="6"/>
      <c r="I167" s="6"/>
      <c r="J167" s="6"/>
      <c r="K167" s="6"/>
      <c r="L167" s="7" t="s">
        <v>6302</v>
      </c>
      <c r="M167" s="8">
        <v>531801</v>
      </c>
      <c r="N167" s="8" t="str">
        <f t="shared" si="15"/>
        <v>PEN</v>
      </c>
      <c r="O167" s="13"/>
      <c r="P167" s="13">
        <v>220</v>
      </c>
      <c r="Q167" s="3">
        <f t="shared" si="16"/>
        <v>0</v>
      </c>
      <c r="R167" s="3">
        <f t="shared" si="17"/>
        <v>220</v>
      </c>
      <c r="S167" s="3">
        <f t="shared" si="13"/>
        <v>3479.85</v>
      </c>
      <c r="T167" s="24"/>
      <c r="U167" s="24"/>
      <c r="V167" s="69"/>
      <c r="W167" s="25" t="s">
        <v>6326</v>
      </c>
      <c r="X167" s="25"/>
      <c r="Y167" s="25"/>
      <c r="Z167" s="25"/>
      <c r="AA167" s="25"/>
      <c r="AB167" s="3" t="str">
        <f>IF(Caja_Operativa[[#This Row],[FECHA]]&gt;0,TEXT(Caja_Operativa[[#This Row],[FECHA]],"mmmm"),0)</f>
        <v>Marzo</v>
      </c>
    </row>
    <row r="168" spans="2:28" hidden="1" x14ac:dyDescent="0.3">
      <c r="B168" s="2">
        <f>IF(Caja_Operativa[[#This Row],[TIPO DE R.]]="R",COUNTIFS($D$4:$D167,"R")+1,"")</f>
        <v>164</v>
      </c>
      <c r="C168" s="19" t="str">
        <f t="shared" si="14"/>
        <v>C-Operativa</v>
      </c>
      <c r="D168" s="3" t="s">
        <v>1074</v>
      </c>
      <c r="E168" s="14">
        <v>45747</v>
      </c>
      <c r="F168" s="5" t="s">
        <v>6299</v>
      </c>
      <c r="G168" s="5" t="s">
        <v>1079</v>
      </c>
      <c r="H168" s="6"/>
      <c r="I168" s="6"/>
      <c r="J168" s="6"/>
      <c r="K168" s="6"/>
      <c r="L168" s="7" t="s">
        <v>6302</v>
      </c>
      <c r="M168" s="8">
        <v>1074315</v>
      </c>
      <c r="N168" s="8" t="str">
        <f t="shared" si="15"/>
        <v>PEN</v>
      </c>
      <c r="O168" s="13"/>
      <c r="P168" s="13">
        <v>140</v>
      </c>
      <c r="Q168" s="3">
        <f t="shared" si="16"/>
        <v>0</v>
      </c>
      <c r="R168" s="3">
        <f t="shared" si="17"/>
        <v>140</v>
      </c>
      <c r="S168" s="3">
        <f t="shared" si="13"/>
        <v>3339.85</v>
      </c>
      <c r="T168" s="24"/>
      <c r="U168" s="24"/>
      <c r="V168" s="69"/>
      <c r="W168" s="25" t="s">
        <v>6303</v>
      </c>
      <c r="X168" s="25"/>
      <c r="Y168" s="25"/>
      <c r="Z168" s="25"/>
      <c r="AA168" s="25"/>
      <c r="AB168" s="3" t="str">
        <f>IF(Caja_Operativa[[#This Row],[FECHA]]&gt;0,TEXT(Caja_Operativa[[#This Row],[FECHA]],"mmmm"),0)</f>
        <v>Marzo</v>
      </c>
    </row>
    <row r="169" spans="2:28" ht="24" hidden="1" x14ac:dyDescent="0.3">
      <c r="B169" s="2">
        <f>IF(Caja_Operativa[[#This Row],[TIPO DE R.]]="R",COUNTIFS($D$4:$D168,"R")+1,"")</f>
        <v>165</v>
      </c>
      <c r="C169" s="19" t="str">
        <f t="shared" si="14"/>
        <v>C-Operativa</v>
      </c>
      <c r="D169" s="3" t="s">
        <v>1074</v>
      </c>
      <c r="E169" s="14">
        <v>45748</v>
      </c>
      <c r="F169" s="5" t="s">
        <v>6299</v>
      </c>
      <c r="G169" s="5" t="s">
        <v>1079</v>
      </c>
      <c r="H169" s="6"/>
      <c r="I169" s="6"/>
      <c r="J169" s="6"/>
      <c r="K169" s="6"/>
      <c r="L169" s="7" t="s">
        <v>6302</v>
      </c>
      <c r="M169" s="8">
        <v>576863</v>
      </c>
      <c r="N169" s="8" t="str">
        <f t="shared" si="15"/>
        <v>PEN</v>
      </c>
      <c r="O169" s="13"/>
      <c r="P169" s="13">
        <v>140</v>
      </c>
      <c r="Q169" s="3">
        <f t="shared" si="16"/>
        <v>0</v>
      </c>
      <c r="R169" s="3">
        <f t="shared" si="17"/>
        <v>140</v>
      </c>
      <c r="S169" s="3">
        <f t="shared" si="13"/>
        <v>3199.85</v>
      </c>
      <c r="T169" s="24"/>
      <c r="U169" s="24"/>
      <c r="V169" s="69"/>
      <c r="W169" s="25" t="s">
        <v>6305</v>
      </c>
      <c r="X169" s="25"/>
      <c r="Y169" s="25"/>
      <c r="Z169" s="25"/>
      <c r="AA169" s="25"/>
      <c r="AB169" s="3" t="str">
        <f>IF(Caja_Operativa[[#This Row],[FECHA]]&gt;0,TEXT(Caja_Operativa[[#This Row],[FECHA]],"mmmm"),0)</f>
        <v>Abril</v>
      </c>
    </row>
    <row r="170" spans="2:28" ht="24" hidden="1" x14ac:dyDescent="0.3">
      <c r="B170" s="2">
        <f>IF(Caja_Operativa[[#This Row],[TIPO DE R.]]="R",COUNTIFS($D$4:$D169,"R")+1,"")</f>
        <v>166</v>
      </c>
      <c r="C170" s="19" t="str">
        <f t="shared" si="14"/>
        <v>C-Operativa</v>
      </c>
      <c r="D170" s="3" t="s">
        <v>1074</v>
      </c>
      <c r="E170" s="14">
        <v>45748</v>
      </c>
      <c r="F170" s="5" t="s">
        <v>6299</v>
      </c>
      <c r="G170" s="5" t="s">
        <v>1079</v>
      </c>
      <c r="H170" s="6"/>
      <c r="I170" s="6"/>
      <c r="J170" s="6"/>
      <c r="K170" s="6"/>
      <c r="L170" s="7" t="s">
        <v>6302</v>
      </c>
      <c r="M170" s="8">
        <v>568394</v>
      </c>
      <c r="N170" s="8" t="str">
        <f t="shared" si="15"/>
        <v>PEN</v>
      </c>
      <c r="O170" s="13"/>
      <c r="P170" s="13">
        <v>150</v>
      </c>
      <c r="Q170" s="3">
        <f t="shared" si="16"/>
        <v>0</v>
      </c>
      <c r="R170" s="3">
        <f t="shared" si="17"/>
        <v>150</v>
      </c>
      <c r="S170" s="3">
        <f t="shared" si="13"/>
        <v>3049.85</v>
      </c>
      <c r="T170" s="24"/>
      <c r="U170" s="24"/>
      <c r="V170" s="69"/>
      <c r="W170" s="25" t="s">
        <v>6359</v>
      </c>
      <c r="X170" s="25"/>
      <c r="Y170" s="25"/>
      <c r="Z170" s="25"/>
      <c r="AA170" s="25"/>
      <c r="AB170" s="3" t="str">
        <f>IF(Caja_Operativa[[#This Row],[FECHA]]&gt;0,TEXT(Caja_Operativa[[#This Row],[FECHA]],"mmmm"),0)</f>
        <v>Abril</v>
      </c>
    </row>
    <row r="171" spans="2:28" ht="24" hidden="1" x14ac:dyDescent="0.3">
      <c r="B171" s="2">
        <f>IF(Caja_Operativa[[#This Row],[TIPO DE R.]]="R",COUNTIFS($D$4:$D170,"R")+1,"")</f>
        <v>167</v>
      </c>
      <c r="C171" s="19" t="str">
        <f t="shared" si="14"/>
        <v>C-Operativa</v>
      </c>
      <c r="D171" s="3" t="s">
        <v>1074</v>
      </c>
      <c r="E171" s="14">
        <v>45749</v>
      </c>
      <c r="F171" s="5" t="s">
        <v>6299</v>
      </c>
      <c r="G171" s="5" t="s">
        <v>1079</v>
      </c>
      <c r="H171" s="6"/>
      <c r="I171" s="6"/>
      <c r="J171" s="6"/>
      <c r="K171" s="6"/>
      <c r="L171" s="7" t="s">
        <v>6302</v>
      </c>
      <c r="M171" s="8">
        <v>615973</v>
      </c>
      <c r="N171" s="8" t="str">
        <f t="shared" si="15"/>
        <v>PEN</v>
      </c>
      <c r="O171" s="13"/>
      <c r="P171" s="13">
        <v>120</v>
      </c>
      <c r="Q171" s="3">
        <f t="shared" si="16"/>
        <v>0</v>
      </c>
      <c r="R171" s="3">
        <f t="shared" si="17"/>
        <v>120</v>
      </c>
      <c r="S171" s="3">
        <f t="shared" si="13"/>
        <v>2929.85</v>
      </c>
      <c r="T171" s="24"/>
      <c r="U171" s="24"/>
      <c r="V171" s="69"/>
      <c r="W171" s="25" t="s">
        <v>5685</v>
      </c>
      <c r="X171" s="25"/>
      <c r="Y171" s="25"/>
      <c r="Z171" s="25"/>
      <c r="AA171" s="25"/>
      <c r="AB171" s="3" t="str">
        <f>IF(Caja_Operativa[[#This Row],[FECHA]]&gt;0,TEXT(Caja_Operativa[[#This Row],[FECHA]],"mmmm"),0)</f>
        <v>Abril</v>
      </c>
    </row>
    <row r="172" spans="2:28" ht="24" hidden="1" x14ac:dyDescent="0.3">
      <c r="B172" s="2">
        <f>IF(Caja_Operativa[[#This Row],[TIPO DE R.]]="R",COUNTIFS($D$4:$D171,"R")+1,"")</f>
        <v>168</v>
      </c>
      <c r="C172" s="19" t="str">
        <f t="shared" si="14"/>
        <v>C-Operativa</v>
      </c>
      <c r="D172" s="3" t="s">
        <v>1074</v>
      </c>
      <c r="E172" s="14">
        <v>45749</v>
      </c>
      <c r="F172" s="5" t="s">
        <v>6299</v>
      </c>
      <c r="G172" s="5" t="s">
        <v>1079</v>
      </c>
      <c r="H172" s="6"/>
      <c r="I172" s="6"/>
      <c r="J172" s="6"/>
      <c r="K172" s="6"/>
      <c r="L172" s="7" t="s">
        <v>6302</v>
      </c>
      <c r="M172" s="8">
        <v>666040</v>
      </c>
      <c r="N172" s="8" t="str">
        <f t="shared" si="15"/>
        <v>PEN</v>
      </c>
      <c r="O172" s="13"/>
      <c r="P172" s="13">
        <v>130</v>
      </c>
      <c r="Q172" s="3">
        <f t="shared" si="16"/>
        <v>0</v>
      </c>
      <c r="R172" s="3">
        <f t="shared" si="17"/>
        <v>130</v>
      </c>
      <c r="S172" s="3">
        <f t="shared" si="13"/>
        <v>2799.85</v>
      </c>
      <c r="T172" s="24"/>
      <c r="U172" s="24"/>
      <c r="V172" s="69"/>
      <c r="W172" s="25" t="s">
        <v>6325</v>
      </c>
      <c r="X172" s="25"/>
      <c r="Y172" s="25"/>
      <c r="Z172" s="25"/>
      <c r="AA172" s="25"/>
      <c r="AB172" s="3" t="str">
        <f>IF(Caja_Operativa[[#This Row],[FECHA]]&gt;0,TEXT(Caja_Operativa[[#This Row],[FECHA]],"mmmm"),0)</f>
        <v>Abril</v>
      </c>
    </row>
    <row r="173" spans="2:28" ht="60" hidden="1" x14ac:dyDescent="0.3">
      <c r="B173" s="2">
        <f>IF(Caja_Operativa[[#This Row],[TIPO DE R.]]="R",COUNTIFS($D$4:$D172,"R")+1,"")</f>
        <v>169</v>
      </c>
      <c r="C173" s="19" t="str">
        <f t="shared" si="14"/>
        <v>C-Operativa</v>
      </c>
      <c r="D173" s="3" t="s">
        <v>1074</v>
      </c>
      <c r="E173" s="14">
        <v>45749</v>
      </c>
      <c r="F173" s="5" t="s">
        <v>6299</v>
      </c>
      <c r="G173" s="5" t="s">
        <v>1079</v>
      </c>
      <c r="H173" s="6"/>
      <c r="I173" s="6"/>
      <c r="J173" s="6"/>
      <c r="K173" s="6"/>
      <c r="L173" s="7" t="s">
        <v>6395</v>
      </c>
      <c r="M173" s="8">
        <v>2834136</v>
      </c>
      <c r="N173" s="8" t="str">
        <f t="shared" si="15"/>
        <v>PEN</v>
      </c>
      <c r="O173" s="13"/>
      <c r="P173" s="13">
        <v>8</v>
      </c>
      <c r="Q173" s="3">
        <f t="shared" si="16"/>
        <v>0</v>
      </c>
      <c r="R173" s="3">
        <f t="shared" si="17"/>
        <v>8</v>
      </c>
      <c r="S173" s="3">
        <f t="shared" si="13"/>
        <v>2791.85</v>
      </c>
      <c r="T173" s="24"/>
      <c r="U173" s="24"/>
      <c r="V173" s="69"/>
      <c r="W173" s="25" t="s">
        <v>6307</v>
      </c>
      <c r="X173" s="25"/>
      <c r="Y173" s="25"/>
      <c r="Z173" s="25"/>
      <c r="AA173" s="25"/>
      <c r="AB173" s="3" t="str">
        <f>IF(Caja_Operativa[[#This Row],[FECHA]]&gt;0,TEXT(Caja_Operativa[[#This Row],[FECHA]],"mmmm"),0)</f>
        <v>Abril</v>
      </c>
    </row>
    <row r="174" spans="2:28" ht="60" hidden="1" x14ac:dyDescent="0.3">
      <c r="B174" s="2">
        <f>IF(Caja_Operativa[[#This Row],[TIPO DE R.]]="R",COUNTIFS($D$4:$D173,"R")+1,"")</f>
        <v>170</v>
      </c>
      <c r="C174" s="19" t="str">
        <f t="shared" si="14"/>
        <v>C-Operativa</v>
      </c>
      <c r="D174" s="3" t="s">
        <v>1074</v>
      </c>
      <c r="E174" s="14">
        <v>45749</v>
      </c>
      <c r="F174" s="5" t="s">
        <v>6299</v>
      </c>
      <c r="G174" s="5" t="s">
        <v>1079</v>
      </c>
      <c r="H174" s="6"/>
      <c r="I174" s="6"/>
      <c r="J174" s="6"/>
      <c r="K174" s="6"/>
      <c r="L174" s="7" t="s">
        <v>6396</v>
      </c>
      <c r="M174" s="8">
        <v>2841763</v>
      </c>
      <c r="N174" s="8" t="str">
        <f t="shared" si="15"/>
        <v>PEN</v>
      </c>
      <c r="O174" s="13"/>
      <c r="P174" s="13">
        <v>20</v>
      </c>
      <c r="Q174" s="3">
        <f t="shared" si="16"/>
        <v>0</v>
      </c>
      <c r="R174" s="3">
        <f t="shared" si="17"/>
        <v>20</v>
      </c>
      <c r="S174" s="3">
        <f t="shared" si="13"/>
        <v>2771.85</v>
      </c>
      <c r="T174" s="24"/>
      <c r="U174" s="24"/>
      <c r="V174" s="69"/>
      <c r="W174" s="25" t="s">
        <v>6307</v>
      </c>
      <c r="X174" s="25"/>
      <c r="Y174" s="25"/>
      <c r="Z174" s="25"/>
      <c r="AA174" s="25"/>
      <c r="AB174" s="3" t="str">
        <f>IF(Caja_Operativa[[#This Row],[FECHA]]&gt;0,TEXT(Caja_Operativa[[#This Row],[FECHA]],"mmmm"),0)</f>
        <v>Abril</v>
      </c>
    </row>
    <row r="175" spans="2:28" ht="60" hidden="1" x14ac:dyDescent="0.3">
      <c r="B175" s="2">
        <f>IF(Caja_Operativa[[#This Row],[TIPO DE R.]]="R",COUNTIFS($D$4:$D174,"R")+1,"")</f>
        <v>171</v>
      </c>
      <c r="C175" s="19" t="str">
        <f t="shared" si="14"/>
        <v>C-Operativa</v>
      </c>
      <c r="D175" s="3" t="s">
        <v>1074</v>
      </c>
      <c r="E175" s="14">
        <v>45749</v>
      </c>
      <c r="F175" s="5" t="s">
        <v>6299</v>
      </c>
      <c r="G175" s="5" t="s">
        <v>1079</v>
      </c>
      <c r="H175" s="6"/>
      <c r="I175" s="6"/>
      <c r="J175" s="6"/>
      <c r="K175" s="6"/>
      <c r="L175" s="7" t="s">
        <v>6397</v>
      </c>
      <c r="M175" s="8">
        <v>2877182</v>
      </c>
      <c r="N175" s="8" t="str">
        <f t="shared" si="15"/>
        <v>PEN</v>
      </c>
      <c r="O175" s="13"/>
      <c r="P175" s="13">
        <v>8</v>
      </c>
      <c r="Q175" s="3">
        <f t="shared" si="16"/>
        <v>0</v>
      </c>
      <c r="R175" s="3">
        <f t="shared" si="17"/>
        <v>8</v>
      </c>
      <c r="S175" s="3">
        <f t="shared" si="13"/>
        <v>2763.85</v>
      </c>
      <c r="T175" s="24"/>
      <c r="U175" s="24"/>
      <c r="V175" s="69"/>
      <c r="W175" s="25" t="s">
        <v>6307</v>
      </c>
      <c r="X175" s="25"/>
      <c r="Y175" s="25"/>
      <c r="Z175" s="25"/>
      <c r="AA175" s="25"/>
      <c r="AB175" s="3" t="str">
        <f>IF(Caja_Operativa[[#This Row],[FECHA]]&gt;0,TEXT(Caja_Operativa[[#This Row],[FECHA]],"mmmm"),0)</f>
        <v>Abril</v>
      </c>
    </row>
    <row r="176" spans="2:28" ht="60" hidden="1" x14ac:dyDescent="0.3">
      <c r="B176" s="2">
        <f>IF(Caja_Operativa[[#This Row],[TIPO DE R.]]="R",COUNTIFS($D$4:$D175,"R")+1,"")</f>
        <v>172</v>
      </c>
      <c r="C176" s="19" t="str">
        <f t="shared" si="14"/>
        <v>C-Operativa</v>
      </c>
      <c r="D176" s="3" t="s">
        <v>1074</v>
      </c>
      <c r="E176" s="14">
        <v>45749</v>
      </c>
      <c r="F176" s="5" t="s">
        <v>6299</v>
      </c>
      <c r="G176" s="5" t="s">
        <v>1079</v>
      </c>
      <c r="H176" s="6"/>
      <c r="I176" s="6"/>
      <c r="J176" s="6"/>
      <c r="K176" s="6"/>
      <c r="L176" s="7" t="s">
        <v>6398</v>
      </c>
      <c r="M176" s="8">
        <v>2863148</v>
      </c>
      <c r="N176" s="8" t="str">
        <f t="shared" si="15"/>
        <v>PEN</v>
      </c>
      <c r="O176" s="13"/>
      <c r="P176" s="13">
        <v>8</v>
      </c>
      <c r="Q176" s="3">
        <f t="shared" si="16"/>
        <v>0</v>
      </c>
      <c r="R176" s="3">
        <f t="shared" si="17"/>
        <v>8</v>
      </c>
      <c r="S176" s="3">
        <f t="shared" si="13"/>
        <v>2755.85</v>
      </c>
      <c r="T176" s="24"/>
      <c r="U176" s="24"/>
      <c r="V176" s="69"/>
      <c r="W176" s="25" t="s">
        <v>6307</v>
      </c>
      <c r="X176" s="25"/>
      <c r="Y176" s="25"/>
      <c r="Z176" s="25"/>
      <c r="AA176" s="25"/>
      <c r="AB176" s="3" t="str">
        <f>IF(Caja_Operativa[[#This Row],[FECHA]]&gt;0,TEXT(Caja_Operativa[[#This Row],[FECHA]],"mmmm"),0)</f>
        <v>Abril</v>
      </c>
    </row>
    <row r="177" spans="2:28" ht="60" hidden="1" x14ac:dyDescent="0.3">
      <c r="B177" s="2">
        <f>IF(Caja_Operativa[[#This Row],[TIPO DE R.]]="R",COUNTIFS($D$4:$D176,"R")+1,"")</f>
        <v>173</v>
      </c>
      <c r="C177" s="19" t="str">
        <f t="shared" si="14"/>
        <v>C-Operativa</v>
      </c>
      <c r="D177" s="3" t="s">
        <v>1074</v>
      </c>
      <c r="E177" s="14">
        <v>45749</v>
      </c>
      <c r="F177" s="5" t="s">
        <v>6299</v>
      </c>
      <c r="G177" s="5" t="s">
        <v>1079</v>
      </c>
      <c r="H177" s="6"/>
      <c r="I177" s="6"/>
      <c r="J177" s="6"/>
      <c r="K177" s="6"/>
      <c r="L177" s="7" t="s">
        <v>6399</v>
      </c>
      <c r="M177" s="8">
        <v>2854628</v>
      </c>
      <c r="N177" s="8" t="str">
        <f t="shared" si="15"/>
        <v>PEN</v>
      </c>
      <c r="O177" s="13"/>
      <c r="P177" s="13">
        <v>8</v>
      </c>
      <c r="Q177" s="3">
        <f t="shared" si="16"/>
        <v>0</v>
      </c>
      <c r="R177" s="3">
        <f t="shared" si="17"/>
        <v>8</v>
      </c>
      <c r="S177" s="3">
        <f t="shared" si="13"/>
        <v>2747.85</v>
      </c>
      <c r="T177" s="24"/>
      <c r="U177" s="24"/>
      <c r="V177" s="69"/>
      <c r="W177" s="25" t="s">
        <v>6307</v>
      </c>
      <c r="X177" s="25"/>
      <c r="Y177" s="25"/>
      <c r="Z177" s="25"/>
      <c r="AA177" s="25"/>
      <c r="AB177" s="3" t="str">
        <f>IF(Caja_Operativa[[#This Row],[FECHA]]&gt;0,TEXT(Caja_Operativa[[#This Row],[FECHA]],"mmmm"),0)</f>
        <v>Abril</v>
      </c>
    </row>
    <row r="178" spans="2:28" ht="60" hidden="1" x14ac:dyDescent="0.3">
      <c r="B178" s="2">
        <f>IF(Caja_Operativa[[#This Row],[TIPO DE R.]]="R",COUNTIFS($D$4:$D177,"R")+1,"")</f>
        <v>174</v>
      </c>
      <c r="C178" s="19" t="str">
        <f t="shared" si="14"/>
        <v>C-Operativa</v>
      </c>
      <c r="D178" s="3" t="s">
        <v>1074</v>
      </c>
      <c r="E178" s="14">
        <v>45749</v>
      </c>
      <c r="F178" s="5" t="s">
        <v>6299</v>
      </c>
      <c r="G178" s="5" t="s">
        <v>1079</v>
      </c>
      <c r="H178" s="6"/>
      <c r="I178" s="6"/>
      <c r="J178" s="6"/>
      <c r="K178" s="6"/>
      <c r="L178" s="7" t="s">
        <v>6400</v>
      </c>
      <c r="M178" s="8">
        <v>2861291</v>
      </c>
      <c r="N178" s="8" t="str">
        <f t="shared" si="15"/>
        <v>PEN</v>
      </c>
      <c r="O178" s="13"/>
      <c r="P178" s="13">
        <v>10</v>
      </c>
      <c r="Q178" s="3">
        <f t="shared" si="16"/>
        <v>0</v>
      </c>
      <c r="R178" s="3">
        <f t="shared" si="17"/>
        <v>10</v>
      </c>
      <c r="S178" s="3">
        <f t="shared" si="13"/>
        <v>2737.85</v>
      </c>
      <c r="T178" s="24"/>
      <c r="U178" s="24"/>
      <c r="V178" s="69"/>
      <c r="W178" s="25" t="s">
        <v>6307</v>
      </c>
      <c r="X178" s="25"/>
      <c r="Y178" s="25"/>
      <c r="Z178" s="25"/>
      <c r="AA178" s="25"/>
      <c r="AB178" s="3" t="str">
        <f>IF(Caja_Operativa[[#This Row],[FECHA]]&gt;0,TEXT(Caja_Operativa[[#This Row],[FECHA]],"mmmm"),0)</f>
        <v>Abril</v>
      </c>
    </row>
    <row r="179" spans="2:28" ht="60" hidden="1" x14ac:dyDescent="0.3">
      <c r="B179" s="2">
        <f>IF(Caja_Operativa[[#This Row],[TIPO DE R.]]="R",COUNTIFS($D$4:$D178,"R")+1,"")</f>
        <v>175</v>
      </c>
      <c r="C179" s="19" t="str">
        <f t="shared" si="14"/>
        <v>C-Operativa</v>
      </c>
      <c r="D179" s="3" t="s">
        <v>1074</v>
      </c>
      <c r="E179" s="14">
        <v>45749</v>
      </c>
      <c r="F179" s="5" t="s">
        <v>6299</v>
      </c>
      <c r="G179" s="5" t="s">
        <v>1079</v>
      </c>
      <c r="H179" s="6"/>
      <c r="I179" s="6"/>
      <c r="J179" s="6"/>
      <c r="K179" s="6"/>
      <c r="L179" s="7" t="s">
        <v>6401</v>
      </c>
      <c r="M179" s="8">
        <v>2861798</v>
      </c>
      <c r="N179" s="8" t="str">
        <f t="shared" si="15"/>
        <v>PEN</v>
      </c>
      <c r="O179" s="13"/>
      <c r="P179" s="13">
        <v>8</v>
      </c>
      <c r="Q179" s="3">
        <f t="shared" si="16"/>
        <v>0</v>
      </c>
      <c r="R179" s="3">
        <f t="shared" si="17"/>
        <v>8</v>
      </c>
      <c r="S179" s="3">
        <f t="shared" si="13"/>
        <v>2729.85</v>
      </c>
      <c r="T179" s="24"/>
      <c r="U179" s="24"/>
      <c r="V179" s="69"/>
      <c r="W179" s="25" t="s">
        <v>6307</v>
      </c>
      <c r="X179" s="25"/>
      <c r="Y179" s="25"/>
      <c r="Z179" s="25"/>
      <c r="AA179" s="25"/>
      <c r="AB179" s="3" t="str">
        <f>IF(Caja_Operativa[[#This Row],[FECHA]]&gt;0,TEXT(Caja_Operativa[[#This Row],[FECHA]],"mmmm"),0)</f>
        <v>Abril</v>
      </c>
    </row>
    <row r="180" spans="2:28" ht="60" hidden="1" x14ac:dyDescent="0.3">
      <c r="B180" s="2">
        <f>IF(Caja_Operativa[[#This Row],[TIPO DE R.]]="R",COUNTIFS($D$4:$D179,"R")+1,"")</f>
        <v>176</v>
      </c>
      <c r="C180" s="19" t="str">
        <f t="shared" si="14"/>
        <v>C-Operativa</v>
      </c>
      <c r="D180" s="3" t="s">
        <v>1074</v>
      </c>
      <c r="E180" s="14">
        <v>45749</v>
      </c>
      <c r="F180" s="5" t="s">
        <v>6299</v>
      </c>
      <c r="G180" s="5" t="s">
        <v>1079</v>
      </c>
      <c r="H180" s="6"/>
      <c r="I180" s="6"/>
      <c r="J180" s="6"/>
      <c r="K180" s="6"/>
      <c r="L180" s="7" t="s">
        <v>6402</v>
      </c>
      <c r="M180" s="8">
        <v>2883721</v>
      </c>
      <c r="N180" s="8" t="str">
        <f t="shared" si="15"/>
        <v>PEN</v>
      </c>
      <c r="O180" s="13"/>
      <c r="P180" s="13">
        <v>8</v>
      </c>
      <c r="Q180" s="3">
        <f t="shared" si="16"/>
        <v>0</v>
      </c>
      <c r="R180" s="3">
        <f t="shared" si="17"/>
        <v>8</v>
      </c>
      <c r="S180" s="3">
        <f t="shared" si="13"/>
        <v>2721.85</v>
      </c>
      <c r="T180" s="24"/>
      <c r="U180" s="24"/>
      <c r="V180" s="69"/>
      <c r="W180" s="25" t="s">
        <v>6307</v>
      </c>
      <c r="X180" s="25"/>
      <c r="Y180" s="25"/>
      <c r="Z180" s="25"/>
      <c r="AA180" s="25"/>
      <c r="AB180" s="3" t="str">
        <f>IF(Caja_Operativa[[#This Row],[FECHA]]&gt;0,TEXT(Caja_Operativa[[#This Row],[FECHA]],"mmmm"),0)</f>
        <v>Abril</v>
      </c>
    </row>
    <row r="181" spans="2:28" ht="60" hidden="1" x14ac:dyDescent="0.3">
      <c r="B181" s="2">
        <f>IF(Caja_Operativa[[#This Row],[TIPO DE R.]]="R",COUNTIFS($D$4:$D180,"R")+1,"")</f>
        <v>177</v>
      </c>
      <c r="C181" s="19" t="str">
        <f t="shared" si="14"/>
        <v>C-Operativa</v>
      </c>
      <c r="D181" s="3" t="s">
        <v>1074</v>
      </c>
      <c r="E181" s="14">
        <v>45749</v>
      </c>
      <c r="F181" s="5" t="s">
        <v>6299</v>
      </c>
      <c r="G181" s="5" t="s">
        <v>1079</v>
      </c>
      <c r="H181" s="6"/>
      <c r="I181" s="6"/>
      <c r="J181" s="6"/>
      <c r="K181" s="6"/>
      <c r="L181" s="7" t="s">
        <v>6403</v>
      </c>
      <c r="M181" s="8">
        <v>2911035</v>
      </c>
      <c r="N181" s="8" t="str">
        <f t="shared" si="15"/>
        <v>PEN</v>
      </c>
      <c r="O181" s="13"/>
      <c r="P181" s="13">
        <v>8</v>
      </c>
      <c r="Q181" s="3">
        <f t="shared" si="16"/>
        <v>0</v>
      </c>
      <c r="R181" s="3">
        <f t="shared" si="17"/>
        <v>8</v>
      </c>
      <c r="S181" s="3">
        <f t="shared" si="13"/>
        <v>2713.85</v>
      </c>
      <c r="T181" s="24"/>
      <c r="U181" s="24"/>
      <c r="V181" s="69"/>
      <c r="W181" s="25" t="s">
        <v>6307</v>
      </c>
      <c r="X181" s="25"/>
      <c r="Y181" s="25"/>
      <c r="Z181" s="25"/>
      <c r="AA181" s="25"/>
      <c r="AB181" s="3" t="str">
        <f>IF(Caja_Operativa[[#This Row],[FECHA]]&gt;0,TEXT(Caja_Operativa[[#This Row],[FECHA]],"mmmm"),0)</f>
        <v>Abril</v>
      </c>
    </row>
    <row r="182" spans="2:28" ht="60" hidden="1" x14ac:dyDescent="0.3">
      <c r="B182" s="2">
        <f>IF(Caja_Operativa[[#This Row],[TIPO DE R.]]="R",COUNTIFS($D$4:$D181,"R")+1,"")</f>
        <v>178</v>
      </c>
      <c r="C182" s="19" t="str">
        <f t="shared" si="14"/>
        <v>C-Operativa</v>
      </c>
      <c r="D182" s="3" t="s">
        <v>1074</v>
      </c>
      <c r="E182" s="14">
        <v>45749</v>
      </c>
      <c r="F182" s="5" t="s">
        <v>6299</v>
      </c>
      <c r="G182" s="5" t="s">
        <v>1079</v>
      </c>
      <c r="H182" s="6"/>
      <c r="I182" s="6"/>
      <c r="J182" s="6"/>
      <c r="K182" s="6"/>
      <c r="L182" s="7" t="s">
        <v>6404</v>
      </c>
      <c r="M182" s="8">
        <v>2905496</v>
      </c>
      <c r="N182" s="8" t="str">
        <f t="shared" si="15"/>
        <v>PEN</v>
      </c>
      <c r="O182" s="13"/>
      <c r="P182" s="13">
        <v>8</v>
      </c>
      <c r="Q182" s="3">
        <f t="shared" si="16"/>
        <v>0</v>
      </c>
      <c r="R182" s="3">
        <f t="shared" si="17"/>
        <v>8</v>
      </c>
      <c r="S182" s="3">
        <f t="shared" si="13"/>
        <v>2705.85</v>
      </c>
      <c r="T182" s="24"/>
      <c r="U182" s="24"/>
      <c r="V182" s="69"/>
      <c r="W182" s="25" t="s">
        <v>6307</v>
      </c>
      <c r="X182" s="25"/>
      <c r="Y182" s="25"/>
      <c r="Z182" s="25"/>
      <c r="AA182" s="25"/>
      <c r="AB182" s="3" t="str">
        <f>IF(Caja_Operativa[[#This Row],[FECHA]]&gt;0,TEXT(Caja_Operativa[[#This Row],[FECHA]],"mmmm"),0)</f>
        <v>Abril</v>
      </c>
    </row>
    <row r="183" spans="2:28" ht="60" hidden="1" x14ac:dyDescent="0.3">
      <c r="B183" s="2">
        <f>IF(Caja_Operativa[[#This Row],[TIPO DE R.]]="R",COUNTIFS($D$4:$D182,"R")+1,"")</f>
        <v>179</v>
      </c>
      <c r="C183" s="19" t="str">
        <f t="shared" si="14"/>
        <v>C-Operativa</v>
      </c>
      <c r="D183" s="3" t="s">
        <v>1074</v>
      </c>
      <c r="E183" s="14">
        <v>45749</v>
      </c>
      <c r="F183" s="5" t="s">
        <v>6299</v>
      </c>
      <c r="G183" s="5" t="s">
        <v>1079</v>
      </c>
      <c r="H183" s="6"/>
      <c r="I183" s="6"/>
      <c r="J183" s="6"/>
      <c r="K183" s="6"/>
      <c r="L183" s="7" t="s">
        <v>6405</v>
      </c>
      <c r="M183" s="8">
        <v>2897001</v>
      </c>
      <c r="N183" s="8" t="str">
        <f t="shared" si="15"/>
        <v>PEN</v>
      </c>
      <c r="O183" s="13"/>
      <c r="P183" s="13">
        <v>8</v>
      </c>
      <c r="Q183" s="3">
        <f t="shared" si="16"/>
        <v>0</v>
      </c>
      <c r="R183" s="3">
        <f t="shared" si="17"/>
        <v>8</v>
      </c>
      <c r="S183" s="3">
        <f t="shared" si="13"/>
        <v>2697.85</v>
      </c>
      <c r="T183" s="24"/>
      <c r="U183" s="24"/>
      <c r="V183" s="69"/>
      <c r="W183" s="25" t="s">
        <v>6307</v>
      </c>
      <c r="X183" s="25"/>
      <c r="Y183" s="25"/>
      <c r="Z183" s="25"/>
      <c r="AA183" s="25"/>
      <c r="AB183" s="3" t="str">
        <f>IF(Caja_Operativa[[#This Row],[FECHA]]&gt;0,TEXT(Caja_Operativa[[#This Row],[FECHA]],"mmmm"),0)</f>
        <v>Abril</v>
      </c>
    </row>
    <row r="184" spans="2:28" ht="60" hidden="1" x14ac:dyDescent="0.3">
      <c r="B184" s="2">
        <f>IF(Caja_Operativa[[#This Row],[TIPO DE R.]]="R",COUNTIFS($D$4:$D183,"R")+1,"")</f>
        <v>180</v>
      </c>
      <c r="C184" s="19" t="str">
        <f t="shared" si="14"/>
        <v>C-Operativa</v>
      </c>
      <c r="D184" s="3" t="s">
        <v>1074</v>
      </c>
      <c r="E184" s="14">
        <v>45749</v>
      </c>
      <c r="F184" s="5" t="s">
        <v>6299</v>
      </c>
      <c r="G184" s="5" t="s">
        <v>1079</v>
      </c>
      <c r="H184" s="6"/>
      <c r="I184" s="6"/>
      <c r="J184" s="6"/>
      <c r="K184" s="6"/>
      <c r="L184" s="7" t="s">
        <v>6406</v>
      </c>
      <c r="M184" s="8">
        <v>2923866</v>
      </c>
      <c r="N184" s="8" t="str">
        <f t="shared" si="15"/>
        <v>PEN</v>
      </c>
      <c r="O184" s="13"/>
      <c r="P184" s="13">
        <v>8</v>
      </c>
      <c r="Q184" s="3">
        <f t="shared" si="16"/>
        <v>0</v>
      </c>
      <c r="R184" s="3">
        <f t="shared" si="17"/>
        <v>8</v>
      </c>
      <c r="S184" s="3">
        <f t="shared" si="13"/>
        <v>2689.85</v>
      </c>
      <c r="T184" s="24"/>
      <c r="U184" s="24"/>
      <c r="V184" s="69"/>
      <c r="W184" s="25" t="s">
        <v>6307</v>
      </c>
      <c r="X184" s="25"/>
      <c r="Y184" s="25"/>
      <c r="Z184" s="25"/>
      <c r="AA184" s="25"/>
      <c r="AB184" s="3" t="str">
        <f>IF(Caja_Operativa[[#This Row],[FECHA]]&gt;0,TEXT(Caja_Operativa[[#This Row],[FECHA]],"mmmm"),0)</f>
        <v>Abril</v>
      </c>
    </row>
    <row r="185" spans="2:28" ht="60" hidden="1" x14ac:dyDescent="0.3">
      <c r="B185" s="2">
        <f>IF(Caja_Operativa[[#This Row],[TIPO DE R.]]="R",COUNTIFS($D$4:$D184,"R")+1,"")</f>
        <v>181</v>
      </c>
      <c r="C185" s="19" t="str">
        <f t="shared" si="14"/>
        <v>C-Operativa</v>
      </c>
      <c r="D185" s="3" t="s">
        <v>1074</v>
      </c>
      <c r="E185" s="14">
        <v>45749</v>
      </c>
      <c r="F185" s="5" t="s">
        <v>6299</v>
      </c>
      <c r="G185" s="5" t="s">
        <v>1079</v>
      </c>
      <c r="H185" s="6"/>
      <c r="I185" s="6"/>
      <c r="J185" s="6"/>
      <c r="K185" s="6"/>
      <c r="L185" s="7" t="s">
        <v>6407</v>
      </c>
      <c r="M185" s="8">
        <v>2921714</v>
      </c>
      <c r="N185" s="8" t="str">
        <f t="shared" si="15"/>
        <v>PEN</v>
      </c>
      <c r="O185" s="13"/>
      <c r="P185" s="13">
        <v>20</v>
      </c>
      <c r="Q185" s="3">
        <f t="shared" si="16"/>
        <v>0</v>
      </c>
      <c r="R185" s="3">
        <f t="shared" si="17"/>
        <v>20</v>
      </c>
      <c r="S185" s="3">
        <f t="shared" si="13"/>
        <v>2669.85</v>
      </c>
      <c r="T185" s="24"/>
      <c r="U185" s="24"/>
      <c r="V185" s="69"/>
      <c r="W185" s="25" t="s">
        <v>6307</v>
      </c>
      <c r="X185" s="25"/>
      <c r="Y185" s="25"/>
      <c r="Z185" s="25"/>
      <c r="AA185" s="25"/>
      <c r="AB185" s="3" t="str">
        <f>IF(Caja_Operativa[[#This Row],[FECHA]]&gt;0,TEXT(Caja_Operativa[[#This Row],[FECHA]],"mmmm"),0)</f>
        <v>Abril</v>
      </c>
    </row>
    <row r="186" spans="2:28" ht="60" hidden="1" x14ac:dyDescent="0.3">
      <c r="B186" s="2">
        <f>IF(Caja_Operativa[[#This Row],[TIPO DE R.]]="R",COUNTIFS($D$4:$D185,"R")+1,"")</f>
        <v>182</v>
      </c>
      <c r="C186" s="19" t="str">
        <f t="shared" si="14"/>
        <v>C-Operativa</v>
      </c>
      <c r="D186" s="3" t="s">
        <v>1074</v>
      </c>
      <c r="E186" s="14">
        <v>45749</v>
      </c>
      <c r="F186" s="5" t="s">
        <v>6299</v>
      </c>
      <c r="G186" s="5" t="s">
        <v>1079</v>
      </c>
      <c r="H186" s="6"/>
      <c r="I186" s="6"/>
      <c r="J186" s="6"/>
      <c r="K186" s="6"/>
      <c r="L186" s="7" t="s">
        <v>6408</v>
      </c>
      <c r="M186" s="8">
        <v>2924860</v>
      </c>
      <c r="N186" s="8" t="str">
        <f t="shared" si="15"/>
        <v>PEN</v>
      </c>
      <c r="O186" s="13"/>
      <c r="P186" s="13">
        <v>8</v>
      </c>
      <c r="Q186" s="3">
        <f t="shared" si="16"/>
        <v>0</v>
      </c>
      <c r="R186" s="3">
        <f t="shared" si="17"/>
        <v>8</v>
      </c>
      <c r="S186" s="3">
        <f t="shared" si="13"/>
        <v>2661.85</v>
      </c>
      <c r="T186" s="24"/>
      <c r="U186" s="24"/>
      <c r="V186" s="69"/>
      <c r="W186" s="25" t="s">
        <v>6307</v>
      </c>
      <c r="X186" s="25"/>
      <c r="Y186" s="25"/>
      <c r="Z186" s="25"/>
      <c r="AA186" s="25"/>
      <c r="AB186" s="3" t="str">
        <f>IF(Caja_Operativa[[#This Row],[FECHA]]&gt;0,TEXT(Caja_Operativa[[#This Row],[FECHA]],"mmmm"),0)</f>
        <v>Abril</v>
      </c>
    </row>
    <row r="187" spans="2:28" ht="60" hidden="1" x14ac:dyDescent="0.3">
      <c r="B187" s="2">
        <f>IF(Caja_Operativa[[#This Row],[TIPO DE R.]]="R",COUNTIFS($D$4:$D186,"R")+1,"")</f>
        <v>183</v>
      </c>
      <c r="C187" s="19" t="str">
        <f t="shared" si="14"/>
        <v>C-Operativa</v>
      </c>
      <c r="D187" s="3" t="s">
        <v>1074</v>
      </c>
      <c r="E187" s="14">
        <v>45749</v>
      </c>
      <c r="F187" s="5" t="s">
        <v>6299</v>
      </c>
      <c r="G187" s="5" t="s">
        <v>1079</v>
      </c>
      <c r="H187" s="6"/>
      <c r="I187" s="6"/>
      <c r="J187" s="6"/>
      <c r="K187" s="6"/>
      <c r="L187" s="7" t="s">
        <v>6409</v>
      </c>
      <c r="M187" s="8">
        <v>2932232</v>
      </c>
      <c r="N187" s="8" t="str">
        <f t="shared" si="15"/>
        <v>PEN</v>
      </c>
      <c r="O187" s="13"/>
      <c r="P187" s="13">
        <v>8</v>
      </c>
      <c r="Q187" s="3">
        <f t="shared" si="16"/>
        <v>0</v>
      </c>
      <c r="R187" s="3">
        <f t="shared" si="17"/>
        <v>8</v>
      </c>
      <c r="S187" s="3">
        <f t="shared" si="13"/>
        <v>2653.85</v>
      </c>
      <c r="T187" s="24"/>
      <c r="U187" s="24"/>
      <c r="V187" s="69"/>
      <c r="W187" s="25" t="s">
        <v>6307</v>
      </c>
      <c r="X187" s="25"/>
      <c r="Y187" s="25"/>
      <c r="Z187" s="25"/>
      <c r="AA187" s="25"/>
      <c r="AB187" s="3" t="str">
        <f>IF(Caja_Operativa[[#This Row],[FECHA]]&gt;0,TEXT(Caja_Operativa[[#This Row],[FECHA]],"mmmm"),0)</f>
        <v>Abril</v>
      </c>
    </row>
    <row r="188" spans="2:28" ht="60" hidden="1" x14ac:dyDescent="0.3">
      <c r="B188" s="2">
        <f>IF(Caja_Operativa[[#This Row],[TIPO DE R.]]="R",COUNTIFS($D$4:$D187,"R")+1,"")</f>
        <v>184</v>
      </c>
      <c r="C188" s="19" t="str">
        <f t="shared" si="14"/>
        <v>C-Operativa</v>
      </c>
      <c r="D188" s="3" t="s">
        <v>1074</v>
      </c>
      <c r="E188" s="14">
        <v>45749</v>
      </c>
      <c r="F188" s="5" t="s">
        <v>6299</v>
      </c>
      <c r="G188" s="5" t="s">
        <v>1079</v>
      </c>
      <c r="H188" s="6"/>
      <c r="I188" s="6"/>
      <c r="J188" s="6"/>
      <c r="K188" s="6"/>
      <c r="L188" s="7" t="s">
        <v>6410</v>
      </c>
      <c r="M188" s="8">
        <v>2926903</v>
      </c>
      <c r="N188" s="8" t="str">
        <f t="shared" si="15"/>
        <v>PEN</v>
      </c>
      <c r="O188" s="13"/>
      <c r="P188" s="13">
        <v>8</v>
      </c>
      <c r="Q188" s="3">
        <f t="shared" si="16"/>
        <v>0</v>
      </c>
      <c r="R188" s="3">
        <f t="shared" si="17"/>
        <v>8</v>
      </c>
      <c r="S188" s="3">
        <f t="shared" si="13"/>
        <v>2645.85</v>
      </c>
      <c r="T188" s="24"/>
      <c r="U188" s="24"/>
      <c r="V188" s="69"/>
      <c r="W188" s="25" t="s">
        <v>6307</v>
      </c>
      <c r="X188" s="25"/>
      <c r="Y188" s="25"/>
      <c r="Z188" s="25"/>
      <c r="AA188" s="25"/>
      <c r="AB188" s="3" t="str">
        <f>IF(Caja_Operativa[[#This Row],[FECHA]]&gt;0,TEXT(Caja_Operativa[[#This Row],[FECHA]],"mmmm"),0)</f>
        <v>Abril</v>
      </c>
    </row>
    <row r="189" spans="2:28" ht="60" hidden="1" x14ac:dyDescent="0.3">
      <c r="B189" s="2">
        <f>IF(Caja_Operativa[[#This Row],[TIPO DE R.]]="R",COUNTIFS($D$4:$D188,"R")+1,"")</f>
        <v>185</v>
      </c>
      <c r="C189" s="19" t="str">
        <f t="shared" si="14"/>
        <v>C-Operativa</v>
      </c>
      <c r="D189" s="3" t="s">
        <v>1074</v>
      </c>
      <c r="E189" s="14">
        <v>45749</v>
      </c>
      <c r="F189" s="5" t="s">
        <v>6299</v>
      </c>
      <c r="G189" s="5" t="s">
        <v>1079</v>
      </c>
      <c r="H189" s="6"/>
      <c r="I189" s="6"/>
      <c r="J189" s="6"/>
      <c r="K189" s="6"/>
      <c r="L189" s="7" t="s">
        <v>6411</v>
      </c>
      <c r="M189" s="8">
        <v>2939277</v>
      </c>
      <c r="N189" s="8" t="str">
        <f t="shared" si="15"/>
        <v>PEN</v>
      </c>
      <c r="O189" s="13"/>
      <c r="P189" s="13">
        <v>8</v>
      </c>
      <c r="Q189" s="3">
        <f t="shared" si="16"/>
        <v>0</v>
      </c>
      <c r="R189" s="3">
        <f t="shared" si="17"/>
        <v>8</v>
      </c>
      <c r="S189" s="3">
        <f t="shared" si="13"/>
        <v>2637.85</v>
      </c>
      <c r="T189" s="24"/>
      <c r="U189" s="24"/>
      <c r="V189" s="69"/>
      <c r="W189" s="25" t="s">
        <v>6307</v>
      </c>
      <c r="X189" s="25"/>
      <c r="Y189" s="25"/>
      <c r="Z189" s="25"/>
      <c r="AA189" s="25"/>
      <c r="AB189" s="3" t="str">
        <f>IF(Caja_Operativa[[#This Row],[FECHA]]&gt;0,TEXT(Caja_Operativa[[#This Row],[FECHA]],"mmmm"),0)</f>
        <v>Abril</v>
      </c>
    </row>
    <row r="190" spans="2:28" ht="60" hidden="1" x14ac:dyDescent="0.3">
      <c r="B190" s="2">
        <f>IF(Caja_Operativa[[#This Row],[TIPO DE R.]]="R",COUNTIFS($D$4:$D189,"R")+1,"")</f>
        <v>186</v>
      </c>
      <c r="C190" s="19" t="str">
        <f t="shared" si="14"/>
        <v>C-Operativa</v>
      </c>
      <c r="D190" s="3" t="s">
        <v>1074</v>
      </c>
      <c r="E190" s="14">
        <v>45749</v>
      </c>
      <c r="F190" s="5" t="s">
        <v>6299</v>
      </c>
      <c r="G190" s="5" t="s">
        <v>1079</v>
      </c>
      <c r="H190" s="6"/>
      <c r="I190" s="6"/>
      <c r="J190" s="6"/>
      <c r="K190" s="6"/>
      <c r="L190" s="7" t="s">
        <v>6412</v>
      </c>
      <c r="M190" s="8">
        <v>2948616</v>
      </c>
      <c r="N190" s="8" t="str">
        <f t="shared" si="15"/>
        <v>PEN</v>
      </c>
      <c r="O190" s="13"/>
      <c r="P190" s="13">
        <v>8</v>
      </c>
      <c r="Q190" s="3">
        <f t="shared" si="16"/>
        <v>0</v>
      </c>
      <c r="R190" s="3">
        <f t="shared" si="17"/>
        <v>8</v>
      </c>
      <c r="S190" s="3">
        <f t="shared" si="13"/>
        <v>2629.85</v>
      </c>
      <c r="T190" s="24"/>
      <c r="U190" s="24"/>
      <c r="V190" s="69"/>
      <c r="W190" s="25" t="s">
        <v>6307</v>
      </c>
      <c r="X190" s="25"/>
      <c r="Y190" s="25"/>
      <c r="Z190" s="25"/>
      <c r="AA190" s="25"/>
      <c r="AB190" s="3" t="str">
        <f>IF(Caja_Operativa[[#This Row],[FECHA]]&gt;0,TEXT(Caja_Operativa[[#This Row],[FECHA]],"mmmm"),0)</f>
        <v>Abril</v>
      </c>
    </row>
    <row r="191" spans="2:28" ht="60" hidden="1" x14ac:dyDescent="0.3">
      <c r="B191" s="2">
        <f>IF(Caja_Operativa[[#This Row],[TIPO DE R.]]="R",COUNTIFS($D$4:$D190,"R")+1,"")</f>
        <v>187</v>
      </c>
      <c r="C191" s="19" t="str">
        <f t="shared" si="14"/>
        <v>C-Operativa</v>
      </c>
      <c r="D191" s="3" t="s">
        <v>1074</v>
      </c>
      <c r="E191" s="14">
        <v>45749</v>
      </c>
      <c r="F191" s="5" t="s">
        <v>6299</v>
      </c>
      <c r="G191" s="5" t="s">
        <v>1079</v>
      </c>
      <c r="H191" s="6"/>
      <c r="I191" s="6"/>
      <c r="J191" s="6"/>
      <c r="K191" s="6"/>
      <c r="L191" s="7" t="s">
        <v>6413</v>
      </c>
      <c r="M191" s="8">
        <v>2985175</v>
      </c>
      <c r="N191" s="8" t="str">
        <f t="shared" si="15"/>
        <v>PEN</v>
      </c>
      <c r="O191" s="13"/>
      <c r="P191" s="13">
        <v>6</v>
      </c>
      <c r="Q191" s="3">
        <f t="shared" si="16"/>
        <v>0</v>
      </c>
      <c r="R191" s="3">
        <f t="shared" si="17"/>
        <v>6</v>
      </c>
      <c r="S191" s="3">
        <f t="shared" si="13"/>
        <v>2623.85</v>
      </c>
      <c r="T191" s="24"/>
      <c r="U191" s="24"/>
      <c r="V191" s="69"/>
      <c r="W191" s="25" t="s">
        <v>6307</v>
      </c>
      <c r="X191" s="25"/>
      <c r="Y191" s="25"/>
      <c r="Z191" s="25"/>
      <c r="AA191" s="25"/>
      <c r="AB191" s="3" t="str">
        <f>IF(Caja_Operativa[[#This Row],[FECHA]]&gt;0,TEXT(Caja_Operativa[[#This Row],[FECHA]],"mmmm"),0)</f>
        <v>Abril</v>
      </c>
    </row>
    <row r="192" spans="2:28" ht="60" hidden="1" x14ac:dyDescent="0.3">
      <c r="B192" s="2">
        <f>IF(Caja_Operativa[[#This Row],[TIPO DE R.]]="R",COUNTIFS($D$4:$D191,"R")+1,"")</f>
        <v>188</v>
      </c>
      <c r="C192" s="19" t="str">
        <f t="shared" si="14"/>
        <v>C-Operativa</v>
      </c>
      <c r="D192" s="3" t="s">
        <v>1074</v>
      </c>
      <c r="E192" s="14">
        <v>45749</v>
      </c>
      <c r="F192" s="5" t="s">
        <v>6299</v>
      </c>
      <c r="G192" s="5" t="s">
        <v>1079</v>
      </c>
      <c r="H192" s="6"/>
      <c r="I192" s="6"/>
      <c r="J192" s="6"/>
      <c r="K192" s="6"/>
      <c r="L192" s="7" t="s">
        <v>6414</v>
      </c>
      <c r="M192" s="8">
        <v>2971157</v>
      </c>
      <c r="N192" s="8" t="str">
        <f t="shared" si="15"/>
        <v>PEN</v>
      </c>
      <c r="O192" s="13"/>
      <c r="P192" s="13">
        <v>12</v>
      </c>
      <c r="Q192" s="3">
        <f t="shared" si="16"/>
        <v>0</v>
      </c>
      <c r="R192" s="3">
        <f t="shared" si="17"/>
        <v>12</v>
      </c>
      <c r="S192" s="3">
        <f t="shared" si="13"/>
        <v>2611.85</v>
      </c>
      <c r="T192" s="24"/>
      <c r="U192" s="24"/>
      <c r="V192" s="69"/>
      <c r="W192" s="25" t="s">
        <v>6307</v>
      </c>
      <c r="X192" s="25"/>
      <c r="Y192" s="25"/>
      <c r="Z192" s="25"/>
      <c r="AA192" s="25"/>
      <c r="AB192" s="3" t="str">
        <f>IF(Caja_Operativa[[#This Row],[FECHA]]&gt;0,TEXT(Caja_Operativa[[#This Row],[FECHA]],"mmmm"),0)</f>
        <v>Abril</v>
      </c>
    </row>
    <row r="193" spans="2:28" ht="60" hidden="1" x14ac:dyDescent="0.3">
      <c r="B193" s="2">
        <f>IF(Caja_Operativa[[#This Row],[TIPO DE R.]]="R",COUNTIFS($D$4:$D192,"R")+1,"")</f>
        <v>189</v>
      </c>
      <c r="C193" s="19" t="str">
        <f t="shared" si="14"/>
        <v>C-Operativa</v>
      </c>
      <c r="D193" s="3" t="s">
        <v>1074</v>
      </c>
      <c r="E193" s="14">
        <v>45749</v>
      </c>
      <c r="F193" s="5" t="s">
        <v>6299</v>
      </c>
      <c r="G193" s="5" t="s">
        <v>1079</v>
      </c>
      <c r="H193" s="6"/>
      <c r="I193" s="6"/>
      <c r="J193" s="6"/>
      <c r="K193" s="6"/>
      <c r="L193" s="7" t="s">
        <v>6415</v>
      </c>
      <c r="M193" s="8">
        <v>2989344</v>
      </c>
      <c r="N193" s="8" t="str">
        <f t="shared" si="15"/>
        <v>PEN</v>
      </c>
      <c r="O193" s="13"/>
      <c r="P193" s="13">
        <v>12</v>
      </c>
      <c r="Q193" s="3">
        <f t="shared" si="16"/>
        <v>0</v>
      </c>
      <c r="R193" s="3">
        <f t="shared" si="17"/>
        <v>12</v>
      </c>
      <c r="S193" s="3">
        <f t="shared" si="13"/>
        <v>2599.85</v>
      </c>
      <c r="T193" s="24"/>
      <c r="U193" s="24"/>
      <c r="V193" s="69"/>
      <c r="W193" s="25" t="s">
        <v>6307</v>
      </c>
      <c r="X193" s="25"/>
      <c r="Y193" s="25"/>
      <c r="Z193" s="25"/>
      <c r="AA193" s="25"/>
      <c r="AB193" s="3" t="str">
        <f>IF(Caja_Operativa[[#This Row],[FECHA]]&gt;0,TEXT(Caja_Operativa[[#This Row],[FECHA]],"mmmm"),0)</f>
        <v>Abril</v>
      </c>
    </row>
    <row r="194" spans="2:28" ht="60" hidden="1" x14ac:dyDescent="0.3">
      <c r="B194" s="2">
        <f>IF(Caja_Operativa[[#This Row],[TIPO DE R.]]="R",COUNTIFS($D$4:$D193,"R")+1,"")</f>
        <v>190</v>
      </c>
      <c r="C194" s="19" t="str">
        <f t="shared" si="14"/>
        <v>C-Operativa</v>
      </c>
      <c r="D194" s="3" t="s">
        <v>1074</v>
      </c>
      <c r="E194" s="14">
        <v>45749</v>
      </c>
      <c r="F194" s="5" t="s">
        <v>6299</v>
      </c>
      <c r="G194" s="5" t="s">
        <v>1079</v>
      </c>
      <c r="H194" s="6"/>
      <c r="I194" s="6"/>
      <c r="J194" s="6"/>
      <c r="K194" s="6"/>
      <c r="L194" s="7" t="s">
        <v>6416</v>
      </c>
      <c r="M194" s="8">
        <v>2981061</v>
      </c>
      <c r="N194" s="8" t="str">
        <f t="shared" si="15"/>
        <v>PEN</v>
      </c>
      <c r="O194" s="13"/>
      <c r="P194" s="13">
        <v>8</v>
      </c>
      <c r="Q194" s="3">
        <f t="shared" si="16"/>
        <v>0</v>
      </c>
      <c r="R194" s="3">
        <f t="shared" si="17"/>
        <v>8</v>
      </c>
      <c r="S194" s="3">
        <f t="shared" si="13"/>
        <v>2591.85</v>
      </c>
      <c r="T194" s="24"/>
      <c r="U194" s="24"/>
      <c r="V194" s="69"/>
      <c r="W194" s="25" t="s">
        <v>6307</v>
      </c>
      <c r="X194" s="25"/>
      <c r="Y194" s="25"/>
      <c r="Z194" s="25"/>
      <c r="AA194" s="25"/>
      <c r="AB194" s="3" t="str">
        <f>IF(Caja_Operativa[[#This Row],[FECHA]]&gt;0,TEXT(Caja_Operativa[[#This Row],[FECHA]],"mmmm"),0)</f>
        <v>Abril</v>
      </c>
    </row>
    <row r="195" spans="2:28" ht="60" hidden="1" x14ac:dyDescent="0.3">
      <c r="B195" s="2">
        <f>IF(Caja_Operativa[[#This Row],[TIPO DE R.]]="R",COUNTIFS($D$4:$D194,"R")+1,"")</f>
        <v>191</v>
      </c>
      <c r="C195" s="19" t="str">
        <f t="shared" si="14"/>
        <v>C-Operativa</v>
      </c>
      <c r="D195" s="3" t="s">
        <v>1074</v>
      </c>
      <c r="E195" s="14">
        <v>45749</v>
      </c>
      <c r="F195" s="5" t="s">
        <v>6299</v>
      </c>
      <c r="G195" s="5" t="s">
        <v>1079</v>
      </c>
      <c r="H195" s="6"/>
      <c r="I195" s="6"/>
      <c r="J195" s="6"/>
      <c r="K195" s="6"/>
      <c r="L195" s="7" t="s">
        <v>6417</v>
      </c>
      <c r="M195" s="8">
        <v>3004994</v>
      </c>
      <c r="N195" s="8" t="str">
        <f t="shared" si="15"/>
        <v>PEN</v>
      </c>
      <c r="O195" s="13"/>
      <c r="P195" s="13">
        <v>10</v>
      </c>
      <c r="Q195" s="3">
        <f t="shared" si="16"/>
        <v>0</v>
      </c>
      <c r="R195" s="3">
        <f t="shared" si="17"/>
        <v>10</v>
      </c>
      <c r="S195" s="3">
        <f t="shared" si="13"/>
        <v>2581.85</v>
      </c>
      <c r="T195" s="24"/>
      <c r="U195" s="24"/>
      <c r="V195" s="69"/>
      <c r="W195" s="25" t="s">
        <v>6307</v>
      </c>
      <c r="X195" s="25"/>
      <c r="Y195" s="25"/>
      <c r="Z195" s="25"/>
      <c r="AA195" s="25"/>
      <c r="AB195" s="3" t="str">
        <f>IF(Caja_Operativa[[#This Row],[FECHA]]&gt;0,TEXT(Caja_Operativa[[#This Row],[FECHA]],"mmmm"),0)</f>
        <v>Abril</v>
      </c>
    </row>
    <row r="196" spans="2:28" ht="60" hidden="1" x14ac:dyDescent="0.3">
      <c r="B196" s="2">
        <f>IF(Caja_Operativa[[#This Row],[TIPO DE R.]]="R",COUNTIFS($D$4:$D195,"R")+1,"")</f>
        <v>192</v>
      </c>
      <c r="C196" s="19" t="str">
        <f t="shared" si="14"/>
        <v>C-Operativa</v>
      </c>
      <c r="D196" s="3" t="s">
        <v>1074</v>
      </c>
      <c r="E196" s="14">
        <v>45749</v>
      </c>
      <c r="F196" s="5" t="s">
        <v>6299</v>
      </c>
      <c r="G196" s="5" t="s">
        <v>1079</v>
      </c>
      <c r="H196" s="6"/>
      <c r="I196" s="6"/>
      <c r="J196" s="6"/>
      <c r="K196" s="6"/>
      <c r="L196" s="7" t="s">
        <v>6418</v>
      </c>
      <c r="M196" s="8">
        <v>2975850</v>
      </c>
      <c r="N196" s="8" t="str">
        <f t="shared" si="15"/>
        <v>PEN</v>
      </c>
      <c r="O196" s="13"/>
      <c r="P196" s="13">
        <v>8</v>
      </c>
      <c r="Q196" s="3">
        <f t="shared" si="16"/>
        <v>0</v>
      </c>
      <c r="R196" s="3">
        <f t="shared" si="17"/>
        <v>8</v>
      </c>
      <c r="S196" s="3">
        <f t="shared" si="13"/>
        <v>2573.85</v>
      </c>
      <c r="T196" s="24"/>
      <c r="U196" s="24"/>
      <c r="V196" s="69"/>
      <c r="W196" s="25" t="s">
        <v>6307</v>
      </c>
      <c r="X196" s="25"/>
      <c r="Y196" s="25"/>
      <c r="Z196" s="25"/>
      <c r="AA196" s="25"/>
      <c r="AB196" s="3" t="str">
        <f>IF(Caja_Operativa[[#This Row],[FECHA]]&gt;0,TEXT(Caja_Operativa[[#This Row],[FECHA]],"mmmm"),0)</f>
        <v>Abril</v>
      </c>
    </row>
    <row r="197" spans="2:28" ht="60" hidden="1" x14ac:dyDescent="0.3">
      <c r="B197" s="2">
        <f>IF(Caja_Operativa[[#This Row],[TIPO DE R.]]="R",COUNTIFS($D$4:$D196,"R")+1,"")</f>
        <v>193</v>
      </c>
      <c r="C197" s="19" t="str">
        <f t="shared" si="14"/>
        <v>C-Operativa</v>
      </c>
      <c r="D197" s="3" t="s">
        <v>1074</v>
      </c>
      <c r="E197" s="14">
        <v>45749</v>
      </c>
      <c r="F197" s="5" t="s">
        <v>6299</v>
      </c>
      <c r="G197" s="5" t="s">
        <v>1079</v>
      </c>
      <c r="H197" s="6"/>
      <c r="I197" s="6"/>
      <c r="J197" s="6"/>
      <c r="K197" s="6"/>
      <c r="L197" s="7" t="s">
        <v>6419</v>
      </c>
      <c r="M197" s="8">
        <v>3048254</v>
      </c>
      <c r="N197" s="8" t="str">
        <f t="shared" si="15"/>
        <v>PEN</v>
      </c>
      <c r="O197" s="13"/>
      <c r="P197" s="13">
        <v>8</v>
      </c>
      <c r="Q197" s="3">
        <f t="shared" si="16"/>
        <v>0</v>
      </c>
      <c r="R197" s="3">
        <f t="shared" si="17"/>
        <v>8</v>
      </c>
      <c r="S197" s="3">
        <f t="shared" ref="S197:S260" si="18">IFERROR(IF(G197="SALDO",Q197,S196+Q197-R197),0)</f>
        <v>2565.85</v>
      </c>
      <c r="T197" s="24"/>
      <c r="U197" s="24"/>
      <c r="V197" s="69"/>
      <c r="W197" s="25" t="s">
        <v>6307</v>
      </c>
      <c r="X197" s="25"/>
      <c r="Y197" s="25"/>
      <c r="Z197" s="25"/>
      <c r="AA197" s="25"/>
      <c r="AB197" s="3" t="str">
        <f>IF(Caja_Operativa[[#This Row],[FECHA]]&gt;0,TEXT(Caja_Operativa[[#This Row],[FECHA]],"mmmm"),0)</f>
        <v>Abril</v>
      </c>
    </row>
    <row r="198" spans="2:28" ht="24" hidden="1" x14ac:dyDescent="0.3">
      <c r="B198" s="2">
        <f>IF(Caja_Operativa[[#This Row],[TIPO DE R.]]="R",COUNTIFS($D$4:$D197,"R")+1,"")</f>
        <v>194</v>
      </c>
      <c r="C198" s="19" t="str">
        <f t="shared" ref="C198:C261" si="19">"C-Operativa"</f>
        <v>C-Operativa</v>
      </c>
      <c r="D198" s="3" t="s">
        <v>1074</v>
      </c>
      <c r="E198" s="14">
        <v>45755</v>
      </c>
      <c r="F198" s="5" t="s">
        <v>6299</v>
      </c>
      <c r="G198" s="5" t="s">
        <v>1079</v>
      </c>
      <c r="H198" s="6"/>
      <c r="I198" s="6"/>
      <c r="J198" s="6"/>
      <c r="K198" s="6"/>
      <c r="L198" s="7" t="s">
        <v>6302</v>
      </c>
      <c r="M198" s="8">
        <v>1403766</v>
      </c>
      <c r="N198" s="8" t="str">
        <f t="shared" ref="N198:N261" si="20">"PEN"</f>
        <v>PEN</v>
      </c>
      <c r="O198" s="13"/>
      <c r="P198" s="13">
        <v>60</v>
      </c>
      <c r="Q198" s="3">
        <f t="shared" ref="Q198:Q261" si="21">+IF(OR($G198="SALDO",$G198="INGRESO"),$P198,0)</f>
        <v>0</v>
      </c>
      <c r="R198" s="3">
        <f t="shared" ref="R198:R261" si="22">+IF($G198="EGRESO",$P198,0)</f>
        <v>60</v>
      </c>
      <c r="S198" s="3">
        <f t="shared" si="18"/>
        <v>2505.85</v>
      </c>
      <c r="T198" s="24"/>
      <c r="U198" s="24"/>
      <c r="V198" s="69"/>
      <c r="W198" s="25" t="s">
        <v>6305</v>
      </c>
      <c r="X198" s="25"/>
      <c r="Y198" s="25"/>
      <c r="Z198" s="25"/>
      <c r="AA198" s="25"/>
      <c r="AB198" s="3" t="str">
        <f>IF(Caja_Operativa[[#This Row],[FECHA]]&gt;0,TEXT(Caja_Operativa[[#This Row],[FECHA]],"mmmm"),0)</f>
        <v>Abril</v>
      </c>
    </row>
    <row r="199" spans="2:28" ht="24" hidden="1" x14ac:dyDescent="0.3">
      <c r="B199" s="2">
        <f>IF(Caja_Operativa[[#This Row],[TIPO DE R.]]="R",COUNTIFS($D$4:$D198,"R")+1,"")</f>
        <v>195</v>
      </c>
      <c r="C199" s="19" t="str">
        <f t="shared" si="19"/>
        <v>C-Operativa</v>
      </c>
      <c r="D199" s="3" t="s">
        <v>1074</v>
      </c>
      <c r="E199" s="14">
        <v>45755</v>
      </c>
      <c r="F199" s="5" t="s">
        <v>6299</v>
      </c>
      <c r="G199" s="5" t="s">
        <v>1079</v>
      </c>
      <c r="H199" s="6"/>
      <c r="I199" s="6"/>
      <c r="J199" s="6"/>
      <c r="K199" s="6"/>
      <c r="L199" s="7" t="s">
        <v>6302</v>
      </c>
      <c r="M199" s="8">
        <v>1446065</v>
      </c>
      <c r="N199" s="8" t="str">
        <f t="shared" si="20"/>
        <v>PEN</v>
      </c>
      <c r="O199" s="13"/>
      <c r="P199" s="13">
        <v>120</v>
      </c>
      <c r="Q199" s="3">
        <f t="shared" si="21"/>
        <v>0</v>
      </c>
      <c r="R199" s="3">
        <f t="shared" si="22"/>
        <v>120</v>
      </c>
      <c r="S199" s="3">
        <f t="shared" si="18"/>
        <v>2385.85</v>
      </c>
      <c r="T199" s="24"/>
      <c r="U199" s="24"/>
      <c r="V199" s="69"/>
      <c r="W199" s="25" t="s">
        <v>5685</v>
      </c>
      <c r="X199" s="25"/>
      <c r="Y199" s="25"/>
      <c r="Z199" s="25"/>
      <c r="AA199" s="25"/>
      <c r="AB199" s="3" t="str">
        <f>IF(Caja_Operativa[[#This Row],[FECHA]]&gt;0,TEXT(Caja_Operativa[[#This Row],[FECHA]],"mmmm"),0)</f>
        <v>Abril</v>
      </c>
    </row>
    <row r="200" spans="2:28" hidden="1" x14ac:dyDescent="0.3">
      <c r="B200" s="2">
        <f>IF(Caja_Operativa[[#This Row],[TIPO DE R.]]="R",COUNTIFS($D$4:$D199,"R")+1,"")</f>
        <v>196</v>
      </c>
      <c r="C200" s="19" t="str">
        <f t="shared" si="19"/>
        <v>C-Operativa</v>
      </c>
      <c r="D200" s="3" t="s">
        <v>1074</v>
      </c>
      <c r="E200" s="14">
        <v>45755</v>
      </c>
      <c r="F200" s="5" t="s">
        <v>6299</v>
      </c>
      <c r="G200" s="5" t="s">
        <v>1079</v>
      </c>
      <c r="H200" s="6"/>
      <c r="I200" s="6"/>
      <c r="J200" s="6"/>
      <c r="K200" s="6"/>
      <c r="L200" s="7" t="s">
        <v>6302</v>
      </c>
      <c r="M200" s="8">
        <v>1479036</v>
      </c>
      <c r="N200" s="8" t="str">
        <f t="shared" si="20"/>
        <v>PEN</v>
      </c>
      <c r="O200" s="13"/>
      <c r="P200" s="13">
        <v>100</v>
      </c>
      <c r="Q200" s="3">
        <f t="shared" si="21"/>
        <v>0</v>
      </c>
      <c r="R200" s="3">
        <f t="shared" si="22"/>
        <v>100</v>
      </c>
      <c r="S200" s="3">
        <f t="shared" si="18"/>
        <v>2285.85</v>
      </c>
      <c r="T200" s="24"/>
      <c r="U200" s="24"/>
      <c r="V200" s="69"/>
      <c r="W200" s="25" t="s">
        <v>6303</v>
      </c>
      <c r="X200" s="25"/>
      <c r="Y200" s="25"/>
      <c r="Z200" s="25"/>
      <c r="AA200" s="25"/>
      <c r="AB200" s="3" t="str">
        <f>IF(Caja_Operativa[[#This Row],[FECHA]]&gt;0,TEXT(Caja_Operativa[[#This Row],[FECHA]],"mmmm"),0)</f>
        <v>Abril</v>
      </c>
    </row>
    <row r="201" spans="2:28" ht="24" hidden="1" x14ac:dyDescent="0.3">
      <c r="B201" s="2">
        <f>IF(Caja_Operativa[[#This Row],[TIPO DE R.]]="R",COUNTIFS($D$4:$D200,"R")+1,"")</f>
        <v>197</v>
      </c>
      <c r="C201" s="19" t="str">
        <f t="shared" si="19"/>
        <v>C-Operativa</v>
      </c>
      <c r="D201" s="3" t="s">
        <v>1074</v>
      </c>
      <c r="E201" s="14">
        <v>45755</v>
      </c>
      <c r="F201" s="5" t="s">
        <v>6299</v>
      </c>
      <c r="G201" s="5" t="s">
        <v>1079</v>
      </c>
      <c r="H201" s="6"/>
      <c r="I201" s="6"/>
      <c r="J201" s="6"/>
      <c r="K201" s="6"/>
      <c r="L201" s="7" t="s">
        <v>6302</v>
      </c>
      <c r="M201" s="8">
        <v>1482460</v>
      </c>
      <c r="N201" s="8" t="str">
        <f t="shared" si="20"/>
        <v>PEN</v>
      </c>
      <c r="O201" s="13"/>
      <c r="P201" s="13">
        <v>20</v>
      </c>
      <c r="Q201" s="3">
        <f t="shared" si="21"/>
        <v>0</v>
      </c>
      <c r="R201" s="3">
        <f t="shared" si="22"/>
        <v>20</v>
      </c>
      <c r="S201" s="3">
        <f t="shared" si="18"/>
        <v>2265.85</v>
      </c>
      <c r="T201" s="24"/>
      <c r="U201" s="24"/>
      <c r="V201" s="69"/>
      <c r="W201" s="25" t="s">
        <v>6301</v>
      </c>
      <c r="X201" s="25"/>
      <c r="Y201" s="25"/>
      <c r="Z201" s="25"/>
      <c r="AA201" s="25"/>
      <c r="AB201" s="3" t="str">
        <f>IF(Caja_Operativa[[#This Row],[FECHA]]&gt;0,TEXT(Caja_Operativa[[#This Row],[FECHA]],"mmmm"),0)</f>
        <v>Abril</v>
      </c>
    </row>
    <row r="202" spans="2:28" ht="24" hidden="1" x14ac:dyDescent="0.3">
      <c r="B202" s="2">
        <f>IF(Caja_Operativa[[#This Row],[TIPO DE R.]]="R",COUNTIFS($D$4:$D201,"R")+1,"")</f>
        <v>198</v>
      </c>
      <c r="C202" s="19" t="str">
        <f t="shared" si="19"/>
        <v>C-Operativa</v>
      </c>
      <c r="D202" s="3" t="s">
        <v>1074</v>
      </c>
      <c r="E202" s="14">
        <v>45755</v>
      </c>
      <c r="F202" s="5" t="s">
        <v>6299</v>
      </c>
      <c r="G202" s="5" t="s">
        <v>1079</v>
      </c>
      <c r="H202" s="6"/>
      <c r="I202" s="6"/>
      <c r="J202" s="6"/>
      <c r="K202" s="6"/>
      <c r="L202" s="7" t="s">
        <v>6327</v>
      </c>
      <c r="M202" s="8">
        <v>1465179</v>
      </c>
      <c r="N202" s="8" t="str">
        <f t="shared" si="20"/>
        <v>PEN</v>
      </c>
      <c r="O202" s="13"/>
      <c r="P202" s="13">
        <v>130</v>
      </c>
      <c r="Q202" s="3">
        <f t="shared" si="21"/>
        <v>0</v>
      </c>
      <c r="R202" s="3">
        <f t="shared" si="22"/>
        <v>130</v>
      </c>
      <c r="S202" s="3">
        <f t="shared" si="18"/>
        <v>2135.85</v>
      </c>
      <c r="T202" s="24"/>
      <c r="U202" s="24"/>
      <c r="V202" s="69"/>
      <c r="W202" s="25" t="s">
        <v>5618</v>
      </c>
      <c r="X202" s="25"/>
      <c r="Y202" s="25"/>
      <c r="Z202" s="25"/>
      <c r="AA202" s="25"/>
      <c r="AB202" s="3" t="str">
        <f>IF(Caja_Operativa[[#This Row],[FECHA]]&gt;0,TEXT(Caja_Operativa[[#This Row],[FECHA]],"mmmm"),0)</f>
        <v>Abril</v>
      </c>
    </row>
    <row r="203" spans="2:28" ht="24" hidden="1" x14ac:dyDescent="0.3">
      <c r="B203" s="2">
        <f>IF(Caja_Operativa[[#This Row],[TIPO DE R.]]="R",COUNTIFS($D$4:$D202,"R")+1,"")</f>
        <v>199</v>
      </c>
      <c r="C203" s="19" t="str">
        <f t="shared" si="19"/>
        <v>C-Operativa</v>
      </c>
      <c r="D203" s="3" t="s">
        <v>1074</v>
      </c>
      <c r="E203" s="14">
        <v>45755</v>
      </c>
      <c r="F203" s="5" t="s">
        <v>6299</v>
      </c>
      <c r="G203" s="5" t="s">
        <v>1079</v>
      </c>
      <c r="H203" s="6"/>
      <c r="I203" s="6"/>
      <c r="J203" s="6"/>
      <c r="K203" s="6"/>
      <c r="L203" s="7" t="s">
        <v>6302</v>
      </c>
      <c r="M203" s="8">
        <v>1483486</v>
      </c>
      <c r="N203" s="8" t="str">
        <f t="shared" si="20"/>
        <v>PEN</v>
      </c>
      <c r="O203" s="13"/>
      <c r="P203" s="13">
        <v>20</v>
      </c>
      <c r="Q203" s="3">
        <f t="shared" si="21"/>
        <v>0</v>
      </c>
      <c r="R203" s="3">
        <f t="shared" si="22"/>
        <v>20</v>
      </c>
      <c r="S203" s="3">
        <f t="shared" si="18"/>
        <v>2115.85</v>
      </c>
      <c r="T203" s="24"/>
      <c r="U203" s="24"/>
      <c r="V203" s="69"/>
      <c r="W203" s="25" t="s">
        <v>6359</v>
      </c>
      <c r="X203" s="25"/>
      <c r="Y203" s="25"/>
      <c r="Z203" s="25"/>
      <c r="AA203" s="25"/>
      <c r="AB203" s="3" t="str">
        <f>IF(Caja_Operativa[[#This Row],[FECHA]]&gt;0,TEXT(Caja_Operativa[[#This Row],[FECHA]],"mmmm"),0)</f>
        <v>Abril</v>
      </c>
    </row>
    <row r="204" spans="2:28" ht="24" hidden="1" x14ac:dyDescent="0.3">
      <c r="B204" s="2">
        <f>IF(Caja_Operativa[[#This Row],[TIPO DE R.]]="R",COUNTIFS($D$4:$D203,"R")+1,"")</f>
        <v>200</v>
      </c>
      <c r="C204" s="19" t="str">
        <f t="shared" si="19"/>
        <v>C-Operativa</v>
      </c>
      <c r="D204" s="3" t="s">
        <v>1074</v>
      </c>
      <c r="E204" s="14">
        <v>45756</v>
      </c>
      <c r="F204" s="5" t="s">
        <v>6299</v>
      </c>
      <c r="G204" s="5" t="s">
        <v>1079</v>
      </c>
      <c r="H204" s="6"/>
      <c r="I204" s="6"/>
      <c r="J204" s="6"/>
      <c r="K204" s="6"/>
      <c r="L204" s="7" t="s">
        <v>6302</v>
      </c>
      <c r="M204" s="8">
        <v>1962744</v>
      </c>
      <c r="N204" s="8" t="str">
        <f t="shared" si="20"/>
        <v>PEN</v>
      </c>
      <c r="O204" s="13"/>
      <c r="P204" s="13">
        <v>300</v>
      </c>
      <c r="Q204" s="3">
        <f t="shared" si="21"/>
        <v>0</v>
      </c>
      <c r="R204" s="3">
        <f t="shared" si="22"/>
        <v>300</v>
      </c>
      <c r="S204" s="3">
        <f t="shared" si="18"/>
        <v>1815.85</v>
      </c>
      <c r="T204" s="24"/>
      <c r="U204" s="24"/>
      <c r="V204" s="69"/>
      <c r="W204" s="25" t="s">
        <v>6301</v>
      </c>
      <c r="X204" s="25"/>
      <c r="Y204" s="25"/>
      <c r="Z204" s="25"/>
      <c r="AA204" s="25"/>
      <c r="AB204" s="3" t="str">
        <f>IF(Caja_Operativa[[#This Row],[FECHA]]&gt;0,TEXT(Caja_Operativa[[#This Row],[FECHA]],"mmmm"),0)</f>
        <v>Abril</v>
      </c>
    </row>
    <row r="205" spans="2:28" ht="24" hidden="1" x14ac:dyDescent="0.3">
      <c r="B205" s="2">
        <f>IF(Caja_Operativa[[#This Row],[TIPO DE R.]]="R",COUNTIFS($D$4:$D204,"R")+1,"")</f>
        <v>201</v>
      </c>
      <c r="C205" s="19" t="str">
        <f t="shared" si="19"/>
        <v>C-Operativa</v>
      </c>
      <c r="D205" s="3" t="s">
        <v>1074</v>
      </c>
      <c r="E205" s="14">
        <v>45761</v>
      </c>
      <c r="F205" s="5" t="s">
        <v>6299</v>
      </c>
      <c r="G205" s="5" t="s">
        <v>1079</v>
      </c>
      <c r="H205" s="6"/>
      <c r="I205" s="6"/>
      <c r="J205" s="6"/>
      <c r="K205" s="6"/>
      <c r="L205" s="7" t="s">
        <v>6302</v>
      </c>
      <c r="M205" s="8">
        <v>2871471</v>
      </c>
      <c r="N205" s="8" t="str">
        <f t="shared" si="20"/>
        <v>PEN</v>
      </c>
      <c r="O205" s="13"/>
      <c r="P205" s="13">
        <v>90</v>
      </c>
      <c r="Q205" s="3">
        <f t="shared" si="21"/>
        <v>0</v>
      </c>
      <c r="R205" s="3">
        <f t="shared" si="22"/>
        <v>90</v>
      </c>
      <c r="S205" s="3">
        <f t="shared" si="18"/>
        <v>1725.85</v>
      </c>
      <c r="T205" s="24"/>
      <c r="U205" s="24"/>
      <c r="V205" s="69"/>
      <c r="W205" s="25" t="s">
        <v>6305</v>
      </c>
      <c r="X205" s="25"/>
      <c r="Y205" s="25"/>
      <c r="Z205" s="25"/>
      <c r="AA205" s="25"/>
      <c r="AB205" s="3" t="str">
        <f>IF(Caja_Operativa[[#This Row],[FECHA]]&gt;0,TEXT(Caja_Operativa[[#This Row],[FECHA]],"mmmm"),0)</f>
        <v>Abril</v>
      </c>
    </row>
    <row r="206" spans="2:28" ht="24" hidden="1" x14ac:dyDescent="0.3">
      <c r="B206" s="2">
        <f>IF(Caja_Operativa[[#This Row],[TIPO DE R.]]="R",COUNTIFS($D$4:$D205,"R")+1,"")</f>
        <v>202</v>
      </c>
      <c r="C206" s="19" t="str">
        <f t="shared" si="19"/>
        <v>C-Operativa</v>
      </c>
      <c r="D206" s="3" t="s">
        <v>1074</v>
      </c>
      <c r="E206" s="14">
        <v>45761</v>
      </c>
      <c r="F206" s="5" t="s">
        <v>6299</v>
      </c>
      <c r="G206" s="5" t="s">
        <v>1079</v>
      </c>
      <c r="H206" s="6"/>
      <c r="I206" s="6"/>
      <c r="J206" s="6"/>
      <c r="K206" s="6"/>
      <c r="L206" s="7" t="s">
        <v>6302</v>
      </c>
      <c r="M206" s="8">
        <v>2845120</v>
      </c>
      <c r="N206" s="8" t="str">
        <f t="shared" si="20"/>
        <v>PEN</v>
      </c>
      <c r="O206" s="13"/>
      <c r="P206" s="13">
        <v>100</v>
      </c>
      <c r="Q206" s="3">
        <f t="shared" si="21"/>
        <v>0</v>
      </c>
      <c r="R206" s="3">
        <f t="shared" si="22"/>
        <v>100</v>
      </c>
      <c r="S206" s="3">
        <f t="shared" si="18"/>
        <v>1625.85</v>
      </c>
      <c r="T206" s="24"/>
      <c r="U206" s="24"/>
      <c r="V206" s="69"/>
      <c r="W206" s="25" t="s">
        <v>6301</v>
      </c>
      <c r="X206" s="25"/>
      <c r="Y206" s="25"/>
      <c r="Z206" s="25"/>
      <c r="AA206" s="25"/>
      <c r="AB206" s="3" t="str">
        <f>IF(Caja_Operativa[[#This Row],[FECHA]]&gt;0,TEXT(Caja_Operativa[[#This Row],[FECHA]],"mmmm"),0)</f>
        <v>Abril</v>
      </c>
    </row>
    <row r="207" spans="2:28" ht="24" hidden="1" x14ac:dyDescent="0.3">
      <c r="B207" s="2">
        <f>IF(Caja_Operativa[[#This Row],[TIPO DE R.]]="R",COUNTIFS($D$4:$D206,"R")+1,"")</f>
        <v>203</v>
      </c>
      <c r="C207" s="19" t="str">
        <f t="shared" si="19"/>
        <v>C-Operativa</v>
      </c>
      <c r="D207" s="3" t="s">
        <v>1074</v>
      </c>
      <c r="E207" s="14">
        <v>45761</v>
      </c>
      <c r="F207" s="5" t="s">
        <v>6299</v>
      </c>
      <c r="G207" s="5" t="s">
        <v>1079</v>
      </c>
      <c r="H207" s="6"/>
      <c r="I207" s="6"/>
      <c r="J207" s="6"/>
      <c r="K207" s="6"/>
      <c r="L207" s="7" t="s">
        <v>6302</v>
      </c>
      <c r="M207" s="8">
        <v>2875357</v>
      </c>
      <c r="N207" s="8" t="str">
        <f t="shared" si="20"/>
        <v>PEN</v>
      </c>
      <c r="O207" s="13"/>
      <c r="P207" s="13">
        <v>100</v>
      </c>
      <c r="Q207" s="3">
        <f t="shared" si="21"/>
        <v>0</v>
      </c>
      <c r="R207" s="3">
        <f t="shared" si="22"/>
        <v>100</v>
      </c>
      <c r="S207" s="3">
        <f t="shared" si="18"/>
        <v>1525.85</v>
      </c>
      <c r="T207" s="24"/>
      <c r="U207" s="24"/>
      <c r="V207" s="69"/>
      <c r="W207" s="25" t="s">
        <v>6359</v>
      </c>
      <c r="X207" s="25"/>
      <c r="Y207" s="25"/>
      <c r="Z207" s="25"/>
      <c r="AA207" s="25"/>
      <c r="AB207" s="3" t="str">
        <f>IF(Caja_Operativa[[#This Row],[FECHA]]&gt;0,TEXT(Caja_Operativa[[#This Row],[FECHA]],"mmmm"),0)</f>
        <v>Abril</v>
      </c>
    </row>
    <row r="208" spans="2:28" ht="24" hidden="1" x14ac:dyDescent="0.3">
      <c r="B208" s="2">
        <f>IF(Caja_Operativa[[#This Row],[TIPO DE R.]]="R",COUNTIFS($D$4:$D207,"R")+1,"")</f>
        <v>204</v>
      </c>
      <c r="C208" s="19" t="str">
        <f t="shared" si="19"/>
        <v>C-Operativa</v>
      </c>
      <c r="D208" s="3" t="s">
        <v>1074</v>
      </c>
      <c r="E208" s="14">
        <v>45761</v>
      </c>
      <c r="F208" s="5" t="s">
        <v>6299</v>
      </c>
      <c r="G208" s="5" t="s">
        <v>1079</v>
      </c>
      <c r="H208" s="6"/>
      <c r="I208" s="6"/>
      <c r="J208" s="6"/>
      <c r="K208" s="6"/>
      <c r="L208" s="7" t="s">
        <v>6327</v>
      </c>
      <c r="M208" s="8">
        <v>2857916</v>
      </c>
      <c r="N208" s="8" t="str">
        <f t="shared" si="20"/>
        <v>PEN</v>
      </c>
      <c r="O208" s="13"/>
      <c r="P208" s="13">
        <v>220</v>
      </c>
      <c r="Q208" s="3">
        <f t="shared" si="21"/>
        <v>0</v>
      </c>
      <c r="R208" s="3">
        <f t="shared" si="22"/>
        <v>220</v>
      </c>
      <c r="S208" s="3">
        <f t="shared" si="18"/>
        <v>1305.8499999999999</v>
      </c>
      <c r="T208" s="24"/>
      <c r="U208" s="24"/>
      <c r="V208" s="69"/>
      <c r="W208" s="25" t="s">
        <v>5618</v>
      </c>
      <c r="X208" s="25"/>
      <c r="Y208" s="25"/>
      <c r="Z208" s="25"/>
      <c r="AA208" s="25"/>
      <c r="AB208" s="3" t="str">
        <f>IF(Caja_Operativa[[#This Row],[FECHA]]&gt;0,TEXT(Caja_Operativa[[#This Row],[FECHA]],"mmmm"),0)</f>
        <v>Abril</v>
      </c>
    </row>
    <row r="209" spans="2:28" ht="24" hidden="1" x14ac:dyDescent="0.3">
      <c r="B209" s="2">
        <f>IF(Caja_Operativa[[#This Row],[TIPO DE R.]]="R",COUNTIFS($D$4:$D208,"R")+1,"")</f>
        <v>205</v>
      </c>
      <c r="C209" s="19" t="str">
        <f t="shared" si="19"/>
        <v>C-Operativa</v>
      </c>
      <c r="D209" s="3" t="s">
        <v>1074</v>
      </c>
      <c r="E209" s="14">
        <v>45761</v>
      </c>
      <c r="F209" s="5" t="s">
        <v>6299</v>
      </c>
      <c r="G209" s="5" t="s">
        <v>1079</v>
      </c>
      <c r="H209" s="6"/>
      <c r="I209" s="6"/>
      <c r="J209" s="6"/>
      <c r="K209" s="6"/>
      <c r="L209" s="7" t="s">
        <v>6302</v>
      </c>
      <c r="M209" s="8">
        <v>2578895</v>
      </c>
      <c r="N209" s="8" t="str">
        <f t="shared" si="20"/>
        <v>PEN</v>
      </c>
      <c r="O209" s="13"/>
      <c r="P209" s="13">
        <v>40</v>
      </c>
      <c r="Q209" s="3">
        <f t="shared" si="21"/>
        <v>0</v>
      </c>
      <c r="R209" s="3">
        <f t="shared" si="22"/>
        <v>40</v>
      </c>
      <c r="S209" s="3">
        <f t="shared" si="18"/>
        <v>1265.8499999999999</v>
      </c>
      <c r="T209" s="24"/>
      <c r="U209" s="24"/>
      <c r="V209" s="69"/>
      <c r="W209" s="25" t="s">
        <v>6326</v>
      </c>
      <c r="X209" s="25"/>
      <c r="Y209" s="25"/>
      <c r="Z209" s="25"/>
      <c r="AA209" s="25"/>
      <c r="AB209" s="3" t="str">
        <f>IF(Caja_Operativa[[#This Row],[FECHA]]&gt;0,TEXT(Caja_Operativa[[#This Row],[FECHA]],"mmmm"),0)</f>
        <v>Abril</v>
      </c>
    </row>
    <row r="210" spans="2:28" ht="24" hidden="1" x14ac:dyDescent="0.3">
      <c r="B210" s="2">
        <f>IF(Caja_Operativa[[#This Row],[TIPO DE R.]]="R",COUNTIFS($D$4:$D209,"R")+1,"")</f>
        <v>206</v>
      </c>
      <c r="C210" s="19" t="str">
        <f t="shared" si="19"/>
        <v>C-Operativa</v>
      </c>
      <c r="D210" s="3" t="s">
        <v>1074</v>
      </c>
      <c r="E210" s="14">
        <v>45761</v>
      </c>
      <c r="F210" s="5" t="s">
        <v>6299</v>
      </c>
      <c r="G210" s="5" t="s">
        <v>1079</v>
      </c>
      <c r="H210" s="6"/>
      <c r="I210" s="6"/>
      <c r="J210" s="6"/>
      <c r="K210" s="6"/>
      <c r="L210" s="7" t="s">
        <v>6302</v>
      </c>
      <c r="M210" s="8">
        <v>2599196</v>
      </c>
      <c r="N210" s="8" t="str">
        <f t="shared" si="20"/>
        <v>PEN</v>
      </c>
      <c r="O210" s="13"/>
      <c r="P210" s="13">
        <v>900</v>
      </c>
      <c r="Q210" s="3">
        <f t="shared" si="21"/>
        <v>0</v>
      </c>
      <c r="R210" s="3">
        <f t="shared" si="22"/>
        <v>900</v>
      </c>
      <c r="S210" s="3">
        <f t="shared" si="18"/>
        <v>365.84999999999991</v>
      </c>
      <c r="T210" s="24"/>
      <c r="U210" s="24"/>
      <c r="V210" s="69"/>
      <c r="W210" s="25" t="s">
        <v>5685</v>
      </c>
      <c r="X210" s="25"/>
      <c r="Y210" s="25"/>
      <c r="Z210" s="25"/>
      <c r="AA210" s="25"/>
      <c r="AB210" s="3" t="str">
        <f>IF(Caja_Operativa[[#This Row],[FECHA]]&gt;0,TEXT(Caja_Operativa[[#This Row],[FECHA]],"mmmm"),0)</f>
        <v>Abril</v>
      </c>
    </row>
    <row r="211" spans="2:28" hidden="1" x14ac:dyDescent="0.3">
      <c r="B211" s="2">
        <f>IF(Caja_Operativa[[#This Row],[TIPO DE R.]]="R",COUNTIFS($D$4:$D210,"R")+1,"")</f>
        <v>207</v>
      </c>
      <c r="C211" s="19" t="str">
        <f t="shared" si="19"/>
        <v>C-Operativa</v>
      </c>
      <c r="D211" s="3" t="s">
        <v>1074</v>
      </c>
      <c r="E211" s="14">
        <v>45761</v>
      </c>
      <c r="F211" s="5" t="s">
        <v>6298</v>
      </c>
      <c r="G211" s="5" t="s">
        <v>1087</v>
      </c>
      <c r="H211" s="6"/>
      <c r="I211" s="6"/>
      <c r="J211" s="6" t="s">
        <v>6329</v>
      </c>
      <c r="K211" s="6">
        <v>7</v>
      </c>
      <c r="L211" s="7" t="s">
        <v>6330</v>
      </c>
      <c r="M211" s="8" t="s">
        <v>6394</v>
      </c>
      <c r="N211" s="8" t="str">
        <f t="shared" si="20"/>
        <v>PEN</v>
      </c>
      <c r="O211" s="13"/>
      <c r="P211" s="13">
        <v>3634.15</v>
      </c>
      <c r="Q211" s="3">
        <f t="shared" si="21"/>
        <v>3634.15</v>
      </c>
      <c r="R211" s="3">
        <f t="shared" si="22"/>
        <v>0</v>
      </c>
      <c r="S211" s="3">
        <f t="shared" si="18"/>
        <v>4000</v>
      </c>
      <c r="T211" s="24"/>
      <c r="U211" s="24"/>
      <c r="V211" s="69"/>
      <c r="W211" s="25" t="s">
        <v>6299</v>
      </c>
      <c r="X211" s="25"/>
      <c r="Y211" s="25"/>
      <c r="Z211" s="25"/>
      <c r="AA211" s="25"/>
      <c r="AB211" s="3" t="str">
        <f>IF(Caja_Operativa[[#This Row],[FECHA]]&gt;0,TEXT(Caja_Operativa[[#This Row],[FECHA]],"mmmm"),0)</f>
        <v>Abril</v>
      </c>
    </row>
    <row r="212" spans="2:28" hidden="1" x14ac:dyDescent="0.3">
      <c r="B212" s="2">
        <f>IF(Caja_Operativa[[#This Row],[TIPO DE R.]]="R",COUNTIFS($D$4:$D211,"R")+1,"")</f>
        <v>208</v>
      </c>
      <c r="C212" s="19" t="str">
        <f t="shared" si="19"/>
        <v>C-Operativa</v>
      </c>
      <c r="D212" s="3" t="s">
        <v>1074</v>
      </c>
      <c r="E212" s="14">
        <v>45761</v>
      </c>
      <c r="F212" s="5" t="s">
        <v>1078</v>
      </c>
      <c r="G212" s="5" t="s">
        <v>1079</v>
      </c>
      <c r="H212" s="6"/>
      <c r="I212" s="6"/>
      <c r="J212" s="6"/>
      <c r="K212" s="6"/>
      <c r="L212" s="7" t="s">
        <v>4128</v>
      </c>
      <c r="M212" s="8"/>
      <c r="N212" s="8" t="str">
        <f t="shared" si="20"/>
        <v>PEN</v>
      </c>
      <c r="O212" s="13"/>
      <c r="P212" s="13">
        <v>0.15</v>
      </c>
      <c r="Q212" s="3">
        <f t="shared" si="21"/>
        <v>0</v>
      </c>
      <c r="R212" s="3">
        <f t="shared" si="22"/>
        <v>0.15</v>
      </c>
      <c r="S212" s="3">
        <f t="shared" si="18"/>
        <v>3999.85</v>
      </c>
      <c r="T212" s="24"/>
      <c r="U212" s="24"/>
      <c r="V212" s="69"/>
      <c r="W212" s="25"/>
      <c r="X212" s="25"/>
      <c r="Y212" s="25"/>
      <c r="Z212" s="25"/>
      <c r="AA212" s="25"/>
      <c r="AB212" s="3" t="str">
        <f>IF(Caja_Operativa[[#This Row],[FECHA]]&gt;0,TEXT(Caja_Operativa[[#This Row],[FECHA]],"mmmm"),0)</f>
        <v>Abril</v>
      </c>
    </row>
    <row r="213" spans="2:28" hidden="1" x14ac:dyDescent="0.3">
      <c r="B213" s="2">
        <f>IF(Caja_Operativa[[#This Row],[TIPO DE R.]]="R",COUNTIFS($D$4:$D212,"R")+1,"")</f>
        <v>209</v>
      </c>
      <c r="C213" s="19" t="str">
        <f t="shared" si="19"/>
        <v>C-Operativa</v>
      </c>
      <c r="D213" s="3" t="s">
        <v>1074</v>
      </c>
      <c r="E213" s="14">
        <v>45769</v>
      </c>
      <c r="F213" s="5" t="s">
        <v>6299</v>
      </c>
      <c r="G213" s="5" t="s">
        <v>1079</v>
      </c>
      <c r="H213" s="6"/>
      <c r="I213" s="6"/>
      <c r="J213" s="6"/>
      <c r="K213" s="6"/>
      <c r="L213" s="7" t="s">
        <v>6302</v>
      </c>
      <c r="M213" s="8">
        <v>567809</v>
      </c>
      <c r="N213" s="8" t="str">
        <f t="shared" si="20"/>
        <v>PEN</v>
      </c>
      <c r="O213" s="13"/>
      <c r="P213" s="13">
        <v>110</v>
      </c>
      <c r="Q213" s="3">
        <f t="shared" si="21"/>
        <v>0</v>
      </c>
      <c r="R213" s="3">
        <f t="shared" si="22"/>
        <v>110</v>
      </c>
      <c r="S213" s="3">
        <f t="shared" si="18"/>
        <v>3889.85</v>
      </c>
      <c r="T213" s="24"/>
      <c r="U213" s="24"/>
      <c r="V213" s="69"/>
      <c r="W213" s="25" t="s">
        <v>6303</v>
      </c>
      <c r="X213" s="25"/>
      <c r="Y213" s="25"/>
      <c r="Z213" s="25"/>
      <c r="AA213" s="25"/>
      <c r="AB213" s="3" t="str">
        <f>IF(Caja_Operativa[[#This Row],[FECHA]]&gt;0,TEXT(Caja_Operativa[[#This Row],[FECHA]],"mmmm"),0)</f>
        <v>Abril</v>
      </c>
    </row>
    <row r="214" spans="2:28" ht="24" hidden="1" x14ac:dyDescent="0.3">
      <c r="B214" s="2">
        <f>IF(Caja_Operativa[[#This Row],[TIPO DE R.]]="R",COUNTIFS($D$4:$D213,"R")+1,"")</f>
        <v>210</v>
      </c>
      <c r="C214" s="19" t="str">
        <f t="shared" si="19"/>
        <v>C-Operativa</v>
      </c>
      <c r="D214" s="3" t="s">
        <v>1074</v>
      </c>
      <c r="E214" s="14">
        <v>45769</v>
      </c>
      <c r="F214" s="5" t="s">
        <v>6299</v>
      </c>
      <c r="G214" s="5" t="s">
        <v>1079</v>
      </c>
      <c r="H214" s="6"/>
      <c r="I214" s="6"/>
      <c r="J214" s="6"/>
      <c r="K214" s="6"/>
      <c r="L214" s="7" t="s">
        <v>6302</v>
      </c>
      <c r="M214" s="8">
        <v>580168</v>
      </c>
      <c r="N214" s="8" t="str">
        <f t="shared" si="20"/>
        <v>PEN</v>
      </c>
      <c r="O214" s="13"/>
      <c r="P214" s="13">
        <v>80</v>
      </c>
      <c r="Q214" s="3">
        <f t="shared" si="21"/>
        <v>0</v>
      </c>
      <c r="R214" s="3">
        <f t="shared" si="22"/>
        <v>80</v>
      </c>
      <c r="S214" s="3">
        <f t="shared" si="18"/>
        <v>3809.85</v>
      </c>
      <c r="T214" s="24"/>
      <c r="U214" s="24"/>
      <c r="V214" s="69"/>
      <c r="W214" s="25" t="s">
        <v>6301</v>
      </c>
      <c r="X214" s="25"/>
      <c r="Y214" s="25"/>
      <c r="Z214" s="25"/>
      <c r="AA214" s="25"/>
      <c r="AB214" s="3" t="str">
        <f>IF(Caja_Operativa[[#This Row],[FECHA]]&gt;0,TEXT(Caja_Operativa[[#This Row],[FECHA]],"mmmm"),0)</f>
        <v>Abril</v>
      </c>
    </row>
    <row r="215" spans="2:28" ht="24" hidden="1" x14ac:dyDescent="0.3">
      <c r="B215" s="2">
        <f>IF(Caja_Operativa[[#This Row],[TIPO DE R.]]="R",COUNTIFS($D$4:$D214,"R")+1,"")</f>
        <v>211</v>
      </c>
      <c r="C215" s="19" t="str">
        <f t="shared" si="19"/>
        <v>C-Operativa</v>
      </c>
      <c r="D215" s="3" t="s">
        <v>1074</v>
      </c>
      <c r="E215" s="14">
        <v>45769</v>
      </c>
      <c r="F215" s="5" t="s">
        <v>6299</v>
      </c>
      <c r="G215" s="5" t="s">
        <v>1079</v>
      </c>
      <c r="H215" s="6"/>
      <c r="I215" s="6"/>
      <c r="J215" s="6"/>
      <c r="K215" s="6"/>
      <c r="L215" s="7" t="s">
        <v>6302</v>
      </c>
      <c r="M215" s="8">
        <v>583577</v>
      </c>
      <c r="N215" s="8" t="str">
        <f t="shared" si="20"/>
        <v>PEN</v>
      </c>
      <c r="O215" s="13"/>
      <c r="P215" s="13">
        <v>25</v>
      </c>
      <c r="Q215" s="3">
        <f t="shared" si="21"/>
        <v>0</v>
      </c>
      <c r="R215" s="3">
        <f t="shared" si="22"/>
        <v>25</v>
      </c>
      <c r="S215" s="3">
        <f t="shared" si="18"/>
        <v>3784.85</v>
      </c>
      <c r="T215" s="24"/>
      <c r="U215" s="24"/>
      <c r="V215" s="69"/>
      <c r="W215" s="25" t="s">
        <v>6359</v>
      </c>
      <c r="X215" s="25"/>
      <c r="Y215" s="25"/>
      <c r="Z215" s="25"/>
      <c r="AA215" s="25"/>
      <c r="AB215" s="3" t="str">
        <f>IF(Caja_Operativa[[#This Row],[FECHA]]&gt;0,TEXT(Caja_Operativa[[#This Row],[FECHA]],"mmmm"),0)</f>
        <v>Abril</v>
      </c>
    </row>
    <row r="216" spans="2:28" ht="24" hidden="1" x14ac:dyDescent="0.3">
      <c r="B216" s="2">
        <f>IF(Caja_Operativa[[#This Row],[TIPO DE R.]]="R",COUNTIFS($D$4:$D215,"R")+1,"")</f>
        <v>212</v>
      </c>
      <c r="C216" s="19" t="str">
        <f t="shared" si="19"/>
        <v>C-Operativa</v>
      </c>
      <c r="D216" s="3" t="s">
        <v>1074</v>
      </c>
      <c r="E216" s="14">
        <v>45770</v>
      </c>
      <c r="F216" s="5" t="s">
        <v>6299</v>
      </c>
      <c r="G216" s="5" t="s">
        <v>1079</v>
      </c>
      <c r="H216" s="6"/>
      <c r="I216" s="6"/>
      <c r="J216" s="6"/>
      <c r="K216" s="6"/>
      <c r="L216" s="7" t="s">
        <v>6302</v>
      </c>
      <c r="M216" s="8">
        <v>641533</v>
      </c>
      <c r="N216" s="8" t="str">
        <f t="shared" si="20"/>
        <v>PEN</v>
      </c>
      <c r="O216" s="13"/>
      <c r="P216" s="13">
        <v>160</v>
      </c>
      <c r="Q216" s="3">
        <f t="shared" si="21"/>
        <v>0</v>
      </c>
      <c r="R216" s="3">
        <f t="shared" si="22"/>
        <v>160</v>
      </c>
      <c r="S216" s="3">
        <f t="shared" si="18"/>
        <v>3624.85</v>
      </c>
      <c r="T216" s="24"/>
      <c r="U216" s="24"/>
      <c r="V216" s="69"/>
      <c r="W216" s="25" t="s">
        <v>6326</v>
      </c>
      <c r="X216" s="25"/>
      <c r="Y216" s="25"/>
      <c r="Z216" s="25"/>
      <c r="AA216" s="25"/>
      <c r="AB216" s="3" t="str">
        <f>IF(Caja_Operativa[[#This Row],[FECHA]]&gt;0,TEXT(Caja_Operativa[[#This Row],[FECHA]],"mmmm"),0)</f>
        <v>Abril</v>
      </c>
    </row>
    <row r="217" spans="2:28" ht="24" hidden="1" x14ac:dyDescent="0.3">
      <c r="B217" s="2">
        <f>IF(Caja_Operativa[[#This Row],[TIPO DE R.]]="R",COUNTIFS($D$4:$D216,"R")+1,"")</f>
        <v>213</v>
      </c>
      <c r="C217" s="19" t="str">
        <f t="shared" si="19"/>
        <v>C-Operativa</v>
      </c>
      <c r="D217" s="3" t="s">
        <v>1074</v>
      </c>
      <c r="E217" s="14">
        <v>45772</v>
      </c>
      <c r="F217" s="5" t="s">
        <v>6299</v>
      </c>
      <c r="G217" s="5" t="s">
        <v>1079</v>
      </c>
      <c r="H217" s="6"/>
      <c r="I217" s="6"/>
      <c r="J217" s="6"/>
      <c r="K217" s="6"/>
      <c r="L217" s="7" t="s">
        <v>6420</v>
      </c>
      <c r="M217" s="8">
        <v>2380243</v>
      </c>
      <c r="N217" s="8" t="str">
        <f t="shared" si="20"/>
        <v>PEN</v>
      </c>
      <c r="O217" s="13"/>
      <c r="P217" s="13">
        <v>600</v>
      </c>
      <c r="Q217" s="3">
        <f t="shared" si="21"/>
        <v>0</v>
      </c>
      <c r="R217" s="3">
        <f t="shared" si="22"/>
        <v>600</v>
      </c>
      <c r="S217" s="3">
        <f t="shared" si="18"/>
        <v>3024.85</v>
      </c>
      <c r="T217" s="24"/>
      <c r="U217" s="24"/>
      <c r="V217" s="69"/>
      <c r="W217" s="25" t="s">
        <v>6301</v>
      </c>
      <c r="X217" s="25"/>
      <c r="Y217" s="25"/>
      <c r="Z217" s="25"/>
      <c r="AA217" s="25"/>
      <c r="AB217" s="3" t="str">
        <f>IF(Caja_Operativa[[#This Row],[FECHA]]&gt;0,TEXT(Caja_Operativa[[#This Row],[FECHA]],"mmmm"),0)</f>
        <v>Abril</v>
      </c>
    </row>
    <row r="218" spans="2:28" ht="60" hidden="1" x14ac:dyDescent="0.3">
      <c r="B218" s="2">
        <f>IF(Caja_Operativa[[#This Row],[TIPO DE R.]]="R",COUNTIFS($D$4:$D217,"R")+1,"")</f>
        <v>214</v>
      </c>
      <c r="C218" s="19" t="str">
        <f t="shared" si="19"/>
        <v>C-Operativa</v>
      </c>
      <c r="D218" s="3" t="s">
        <v>1074</v>
      </c>
      <c r="E218" s="14">
        <v>45775</v>
      </c>
      <c r="F218" s="5" t="s">
        <v>6299</v>
      </c>
      <c r="G218" s="5" t="s">
        <v>1079</v>
      </c>
      <c r="H218" s="6"/>
      <c r="I218" s="6"/>
      <c r="J218" s="6"/>
      <c r="K218" s="6"/>
      <c r="L218" s="7" t="s">
        <v>6421</v>
      </c>
      <c r="M218" s="8">
        <v>381141</v>
      </c>
      <c r="N218" s="8" t="str">
        <f t="shared" si="20"/>
        <v>PEN</v>
      </c>
      <c r="O218" s="13"/>
      <c r="P218" s="13">
        <v>8</v>
      </c>
      <c r="Q218" s="3">
        <f t="shared" si="21"/>
        <v>0</v>
      </c>
      <c r="R218" s="3">
        <f t="shared" si="22"/>
        <v>8</v>
      </c>
      <c r="S218" s="3">
        <f t="shared" si="18"/>
        <v>3016.85</v>
      </c>
      <c r="T218" s="24"/>
      <c r="U218" s="24"/>
      <c r="V218" s="69"/>
      <c r="W218" s="25" t="s">
        <v>6307</v>
      </c>
      <c r="X218" s="25"/>
      <c r="Y218" s="25"/>
      <c r="Z218" s="25"/>
      <c r="AA218" s="25"/>
      <c r="AB218" s="3" t="str">
        <f>IF(Caja_Operativa[[#This Row],[FECHA]]&gt;0,TEXT(Caja_Operativa[[#This Row],[FECHA]],"mmmm"),0)</f>
        <v>Abril</v>
      </c>
    </row>
    <row r="219" spans="2:28" ht="60" hidden="1" x14ac:dyDescent="0.3">
      <c r="B219" s="2">
        <f>IF(Caja_Operativa[[#This Row],[TIPO DE R.]]="R",COUNTIFS($D$4:$D218,"R")+1,"")</f>
        <v>215</v>
      </c>
      <c r="C219" s="19" t="str">
        <f t="shared" si="19"/>
        <v>C-Operativa</v>
      </c>
      <c r="D219" s="3" t="s">
        <v>1074</v>
      </c>
      <c r="E219" s="14">
        <v>45775</v>
      </c>
      <c r="F219" s="5" t="s">
        <v>6299</v>
      </c>
      <c r="G219" s="5" t="s">
        <v>1079</v>
      </c>
      <c r="H219" s="6"/>
      <c r="I219" s="6"/>
      <c r="J219" s="6"/>
      <c r="K219" s="6"/>
      <c r="L219" s="7" t="s">
        <v>6422</v>
      </c>
      <c r="M219" s="8">
        <v>372506</v>
      </c>
      <c r="N219" s="8" t="str">
        <f t="shared" si="20"/>
        <v>PEN</v>
      </c>
      <c r="O219" s="13"/>
      <c r="P219" s="13">
        <v>8</v>
      </c>
      <c r="Q219" s="3">
        <f t="shared" si="21"/>
        <v>0</v>
      </c>
      <c r="R219" s="3">
        <f t="shared" si="22"/>
        <v>8</v>
      </c>
      <c r="S219" s="3">
        <f t="shared" si="18"/>
        <v>3008.85</v>
      </c>
      <c r="T219" s="24"/>
      <c r="U219" s="24"/>
      <c r="V219" s="69"/>
      <c r="W219" s="25" t="s">
        <v>6307</v>
      </c>
      <c r="X219" s="25"/>
      <c r="Y219" s="25"/>
      <c r="Z219" s="25"/>
      <c r="AA219" s="25"/>
      <c r="AB219" s="3" t="str">
        <f>IF(Caja_Operativa[[#This Row],[FECHA]]&gt;0,TEXT(Caja_Operativa[[#This Row],[FECHA]],"mmmm"),0)</f>
        <v>Abril</v>
      </c>
    </row>
    <row r="220" spans="2:28" ht="60" hidden="1" x14ac:dyDescent="0.3">
      <c r="B220" s="2">
        <f>IF(Caja_Operativa[[#This Row],[TIPO DE R.]]="R",COUNTIFS($D$4:$D219,"R")+1,"")</f>
        <v>216</v>
      </c>
      <c r="C220" s="19" t="str">
        <f t="shared" si="19"/>
        <v>C-Operativa</v>
      </c>
      <c r="D220" s="3" t="s">
        <v>1074</v>
      </c>
      <c r="E220" s="14">
        <v>45775</v>
      </c>
      <c r="F220" s="5" t="s">
        <v>6299</v>
      </c>
      <c r="G220" s="5" t="s">
        <v>1079</v>
      </c>
      <c r="H220" s="6"/>
      <c r="I220" s="6"/>
      <c r="J220" s="6"/>
      <c r="K220" s="6"/>
      <c r="L220" s="7" t="s">
        <v>6423</v>
      </c>
      <c r="M220" s="8">
        <v>381756</v>
      </c>
      <c r="N220" s="8" t="str">
        <f t="shared" si="20"/>
        <v>PEN</v>
      </c>
      <c r="O220" s="13"/>
      <c r="P220" s="13">
        <v>8</v>
      </c>
      <c r="Q220" s="3">
        <f t="shared" si="21"/>
        <v>0</v>
      </c>
      <c r="R220" s="3">
        <f t="shared" si="22"/>
        <v>8</v>
      </c>
      <c r="S220" s="3">
        <f t="shared" si="18"/>
        <v>3000.85</v>
      </c>
      <c r="T220" s="24"/>
      <c r="U220" s="24"/>
      <c r="V220" s="69"/>
      <c r="W220" s="25" t="s">
        <v>6307</v>
      </c>
      <c r="X220" s="25"/>
      <c r="Y220" s="25"/>
      <c r="Z220" s="25"/>
      <c r="AA220" s="25"/>
      <c r="AB220" s="3" t="str">
        <f>IF(Caja_Operativa[[#This Row],[FECHA]]&gt;0,TEXT(Caja_Operativa[[#This Row],[FECHA]],"mmmm"),0)</f>
        <v>Abril</v>
      </c>
    </row>
    <row r="221" spans="2:28" ht="60" hidden="1" x14ac:dyDescent="0.3">
      <c r="B221" s="2">
        <f>IF(Caja_Operativa[[#This Row],[TIPO DE R.]]="R",COUNTIFS($D$4:$D220,"R")+1,"")</f>
        <v>217</v>
      </c>
      <c r="C221" s="19" t="str">
        <f t="shared" si="19"/>
        <v>C-Operativa</v>
      </c>
      <c r="D221" s="3" t="s">
        <v>1074</v>
      </c>
      <c r="E221" s="14">
        <v>45775</v>
      </c>
      <c r="F221" s="5" t="s">
        <v>6299</v>
      </c>
      <c r="G221" s="5" t="s">
        <v>1079</v>
      </c>
      <c r="H221" s="6"/>
      <c r="I221" s="6"/>
      <c r="J221" s="6"/>
      <c r="K221" s="6"/>
      <c r="L221" s="7" t="s">
        <v>6424</v>
      </c>
      <c r="M221" s="8">
        <v>367105</v>
      </c>
      <c r="N221" s="8" t="str">
        <f t="shared" si="20"/>
        <v>PEN</v>
      </c>
      <c r="O221" s="13"/>
      <c r="P221" s="13">
        <v>8</v>
      </c>
      <c r="Q221" s="3">
        <f t="shared" si="21"/>
        <v>0</v>
      </c>
      <c r="R221" s="3">
        <f t="shared" si="22"/>
        <v>8</v>
      </c>
      <c r="S221" s="3">
        <f t="shared" si="18"/>
        <v>2992.85</v>
      </c>
      <c r="T221" s="24"/>
      <c r="U221" s="24"/>
      <c r="V221" s="69"/>
      <c r="W221" s="25" t="s">
        <v>6307</v>
      </c>
      <c r="X221" s="25"/>
      <c r="Y221" s="25"/>
      <c r="Z221" s="25"/>
      <c r="AA221" s="25"/>
      <c r="AB221" s="3" t="str">
        <f>IF(Caja_Operativa[[#This Row],[FECHA]]&gt;0,TEXT(Caja_Operativa[[#This Row],[FECHA]],"mmmm"),0)</f>
        <v>Abril</v>
      </c>
    </row>
    <row r="222" spans="2:28" ht="60" hidden="1" x14ac:dyDescent="0.3">
      <c r="B222" s="2">
        <f>IF(Caja_Operativa[[#This Row],[TIPO DE R.]]="R",COUNTIFS($D$4:$D221,"R")+1,"")</f>
        <v>218</v>
      </c>
      <c r="C222" s="19" t="str">
        <f t="shared" si="19"/>
        <v>C-Operativa</v>
      </c>
      <c r="D222" s="3" t="s">
        <v>1074</v>
      </c>
      <c r="E222" s="14">
        <v>45775</v>
      </c>
      <c r="F222" s="5" t="s">
        <v>6299</v>
      </c>
      <c r="G222" s="5" t="s">
        <v>1079</v>
      </c>
      <c r="H222" s="6"/>
      <c r="I222" s="6"/>
      <c r="J222" s="6"/>
      <c r="K222" s="6"/>
      <c r="L222" s="7" t="s">
        <v>6425</v>
      </c>
      <c r="M222" s="8">
        <v>367352</v>
      </c>
      <c r="N222" s="8" t="str">
        <f t="shared" si="20"/>
        <v>PEN</v>
      </c>
      <c r="O222" s="13"/>
      <c r="P222" s="13">
        <v>10</v>
      </c>
      <c r="Q222" s="3">
        <f t="shared" si="21"/>
        <v>0</v>
      </c>
      <c r="R222" s="3">
        <f t="shared" si="22"/>
        <v>10</v>
      </c>
      <c r="S222" s="3">
        <f t="shared" si="18"/>
        <v>2982.85</v>
      </c>
      <c r="T222" s="24"/>
      <c r="U222" s="24"/>
      <c r="V222" s="69"/>
      <c r="W222" s="25" t="s">
        <v>6307</v>
      </c>
      <c r="X222" s="25"/>
      <c r="Y222" s="25"/>
      <c r="Z222" s="25"/>
      <c r="AA222" s="25"/>
      <c r="AB222" s="3" t="str">
        <f>IF(Caja_Operativa[[#This Row],[FECHA]]&gt;0,TEXT(Caja_Operativa[[#This Row],[FECHA]],"mmmm"),0)</f>
        <v>Abril</v>
      </c>
    </row>
    <row r="223" spans="2:28" ht="60" hidden="1" x14ac:dyDescent="0.3">
      <c r="B223" s="2">
        <f>IF(Caja_Operativa[[#This Row],[TIPO DE R.]]="R",COUNTIFS($D$4:$D222,"R")+1,"")</f>
        <v>219</v>
      </c>
      <c r="C223" s="19" t="str">
        <f t="shared" si="19"/>
        <v>C-Operativa</v>
      </c>
      <c r="D223" s="3" t="s">
        <v>1074</v>
      </c>
      <c r="E223" s="14">
        <v>45775</v>
      </c>
      <c r="F223" s="5" t="s">
        <v>6299</v>
      </c>
      <c r="G223" s="5" t="s">
        <v>1079</v>
      </c>
      <c r="H223" s="6"/>
      <c r="I223" s="6"/>
      <c r="J223" s="6"/>
      <c r="K223" s="6"/>
      <c r="L223" s="7" t="s">
        <v>6426</v>
      </c>
      <c r="M223" s="8">
        <v>367625</v>
      </c>
      <c r="N223" s="8" t="str">
        <f t="shared" si="20"/>
        <v>PEN</v>
      </c>
      <c r="O223" s="13"/>
      <c r="P223" s="13">
        <v>20</v>
      </c>
      <c r="Q223" s="3">
        <f t="shared" si="21"/>
        <v>0</v>
      </c>
      <c r="R223" s="3">
        <f t="shared" si="22"/>
        <v>20</v>
      </c>
      <c r="S223" s="3">
        <f t="shared" si="18"/>
        <v>2962.85</v>
      </c>
      <c r="T223" s="24"/>
      <c r="U223" s="24"/>
      <c r="V223" s="69"/>
      <c r="W223" s="25" t="s">
        <v>6307</v>
      </c>
      <c r="X223" s="25"/>
      <c r="Y223" s="25"/>
      <c r="Z223" s="25"/>
      <c r="AA223" s="25"/>
      <c r="AB223" s="3" t="str">
        <f>IF(Caja_Operativa[[#This Row],[FECHA]]&gt;0,TEXT(Caja_Operativa[[#This Row],[FECHA]],"mmmm"),0)</f>
        <v>Abril</v>
      </c>
    </row>
    <row r="224" spans="2:28" ht="60" hidden="1" x14ac:dyDescent="0.3">
      <c r="B224" s="2">
        <f>IF(Caja_Operativa[[#This Row],[TIPO DE R.]]="R",COUNTIFS($D$4:$D223,"R")+1,"")</f>
        <v>220</v>
      </c>
      <c r="C224" s="19" t="str">
        <f t="shared" si="19"/>
        <v>C-Operativa</v>
      </c>
      <c r="D224" s="3" t="s">
        <v>1074</v>
      </c>
      <c r="E224" s="14">
        <v>45775</v>
      </c>
      <c r="F224" s="5" t="s">
        <v>6299</v>
      </c>
      <c r="G224" s="5" t="s">
        <v>1079</v>
      </c>
      <c r="H224" s="6"/>
      <c r="I224" s="6"/>
      <c r="J224" s="6"/>
      <c r="K224" s="6"/>
      <c r="L224" s="7" t="s">
        <v>6427</v>
      </c>
      <c r="M224" s="8">
        <v>364905</v>
      </c>
      <c r="N224" s="8" t="str">
        <f t="shared" si="20"/>
        <v>PEN</v>
      </c>
      <c r="O224" s="13"/>
      <c r="P224" s="13">
        <v>12</v>
      </c>
      <c r="Q224" s="3">
        <f t="shared" si="21"/>
        <v>0</v>
      </c>
      <c r="R224" s="3">
        <f t="shared" si="22"/>
        <v>12</v>
      </c>
      <c r="S224" s="3">
        <f t="shared" si="18"/>
        <v>2950.85</v>
      </c>
      <c r="T224" s="24"/>
      <c r="U224" s="24"/>
      <c r="V224" s="69"/>
      <c r="W224" s="25" t="s">
        <v>6307</v>
      </c>
      <c r="X224" s="25"/>
      <c r="Y224" s="25"/>
      <c r="Z224" s="25"/>
      <c r="AA224" s="25"/>
      <c r="AB224" s="3" t="str">
        <f>IF(Caja_Operativa[[#This Row],[FECHA]]&gt;0,TEXT(Caja_Operativa[[#This Row],[FECHA]],"mmmm"),0)</f>
        <v>Abril</v>
      </c>
    </row>
    <row r="225" spans="2:28" ht="60" hidden="1" x14ac:dyDescent="0.3">
      <c r="B225" s="2">
        <f>IF(Caja_Operativa[[#This Row],[TIPO DE R.]]="R",COUNTIFS($D$4:$D224,"R")+1,"")</f>
        <v>221</v>
      </c>
      <c r="C225" s="19" t="str">
        <f t="shared" si="19"/>
        <v>C-Operativa</v>
      </c>
      <c r="D225" s="3" t="s">
        <v>1074</v>
      </c>
      <c r="E225" s="14">
        <v>45775</v>
      </c>
      <c r="F225" s="5" t="s">
        <v>6299</v>
      </c>
      <c r="G225" s="5" t="s">
        <v>1079</v>
      </c>
      <c r="H225" s="6"/>
      <c r="I225" s="6"/>
      <c r="J225" s="6"/>
      <c r="K225" s="6"/>
      <c r="L225" s="7" t="s">
        <v>6428</v>
      </c>
      <c r="M225" s="8">
        <v>400977</v>
      </c>
      <c r="N225" s="8" t="str">
        <f t="shared" si="20"/>
        <v>PEN</v>
      </c>
      <c r="O225" s="13"/>
      <c r="P225" s="13">
        <v>15</v>
      </c>
      <c r="Q225" s="3">
        <f t="shared" si="21"/>
        <v>0</v>
      </c>
      <c r="R225" s="3">
        <f t="shared" si="22"/>
        <v>15</v>
      </c>
      <c r="S225" s="3">
        <f t="shared" si="18"/>
        <v>2935.85</v>
      </c>
      <c r="T225" s="24"/>
      <c r="U225" s="24"/>
      <c r="V225" s="69"/>
      <c r="W225" s="25" t="s">
        <v>6307</v>
      </c>
      <c r="X225" s="25"/>
      <c r="Y225" s="25"/>
      <c r="Z225" s="25"/>
      <c r="AA225" s="25"/>
      <c r="AB225" s="3" t="str">
        <f>IF(Caja_Operativa[[#This Row],[FECHA]]&gt;0,TEXT(Caja_Operativa[[#This Row],[FECHA]],"mmmm"),0)</f>
        <v>Abril</v>
      </c>
    </row>
    <row r="226" spans="2:28" ht="60" hidden="1" x14ac:dyDescent="0.3">
      <c r="B226" s="2">
        <f>IF(Caja_Operativa[[#This Row],[TIPO DE R.]]="R",COUNTIFS($D$4:$D225,"R")+1,"")</f>
        <v>222</v>
      </c>
      <c r="C226" s="19" t="str">
        <f t="shared" si="19"/>
        <v>C-Operativa</v>
      </c>
      <c r="D226" s="3" t="s">
        <v>1074</v>
      </c>
      <c r="E226" s="14">
        <v>45775</v>
      </c>
      <c r="F226" s="5" t="s">
        <v>6299</v>
      </c>
      <c r="G226" s="5" t="s">
        <v>1079</v>
      </c>
      <c r="H226" s="6"/>
      <c r="I226" s="6"/>
      <c r="J226" s="6"/>
      <c r="K226" s="6"/>
      <c r="L226" s="7" t="s">
        <v>6429</v>
      </c>
      <c r="M226" s="8">
        <v>362739</v>
      </c>
      <c r="N226" s="8" t="str">
        <f t="shared" si="20"/>
        <v>PEN</v>
      </c>
      <c r="O226" s="13"/>
      <c r="P226" s="13">
        <v>8</v>
      </c>
      <c r="Q226" s="3">
        <f t="shared" si="21"/>
        <v>0</v>
      </c>
      <c r="R226" s="3">
        <f t="shared" si="22"/>
        <v>8</v>
      </c>
      <c r="S226" s="3">
        <f t="shared" si="18"/>
        <v>2927.85</v>
      </c>
      <c r="T226" s="24"/>
      <c r="U226" s="24"/>
      <c r="V226" s="69"/>
      <c r="W226" s="25" t="s">
        <v>6307</v>
      </c>
      <c r="X226" s="25"/>
      <c r="Y226" s="25"/>
      <c r="Z226" s="25"/>
      <c r="AA226" s="25"/>
      <c r="AB226" s="3" t="str">
        <f>IF(Caja_Operativa[[#This Row],[FECHA]]&gt;0,TEXT(Caja_Operativa[[#This Row],[FECHA]],"mmmm"),0)</f>
        <v>Abril</v>
      </c>
    </row>
    <row r="227" spans="2:28" ht="60" hidden="1" x14ac:dyDescent="0.3">
      <c r="B227" s="2">
        <f>IF(Caja_Operativa[[#This Row],[TIPO DE R.]]="R",COUNTIFS($D$4:$D226,"R")+1,"")</f>
        <v>223</v>
      </c>
      <c r="C227" s="19" t="str">
        <f t="shared" si="19"/>
        <v>C-Operativa</v>
      </c>
      <c r="D227" s="3" t="s">
        <v>1074</v>
      </c>
      <c r="E227" s="14">
        <v>45775</v>
      </c>
      <c r="F227" s="5" t="s">
        <v>6299</v>
      </c>
      <c r="G227" s="5" t="s">
        <v>1079</v>
      </c>
      <c r="H227" s="6"/>
      <c r="I227" s="6"/>
      <c r="J227" s="6"/>
      <c r="K227" s="6"/>
      <c r="L227" s="7" t="s">
        <v>6430</v>
      </c>
      <c r="M227" s="8">
        <v>377840</v>
      </c>
      <c r="N227" s="8" t="str">
        <f t="shared" si="20"/>
        <v>PEN</v>
      </c>
      <c r="O227" s="13"/>
      <c r="P227" s="13">
        <v>12</v>
      </c>
      <c r="Q227" s="3">
        <f t="shared" si="21"/>
        <v>0</v>
      </c>
      <c r="R227" s="3">
        <f t="shared" si="22"/>
        <v>12</v>
      </c>
      <c r="S227" s="3">
        <f t="shared" si="18"/>
        <v>2915.85</v>
      </c>
      <c r="T227" s="24"/>
      <c r="U227" s="24"/>
      <c r="V227" s="69"/>
      <c r="W227" s="25" t="s">
        <v>6307</v>
      </c>
      <c r="X227" s="25"/>
      <c r="Y227" s="25"/>
      <c r="Z227" s="25"/>
      <c r="AA227" s="25"/>
      <c r="AB227" s="3" t="str">
        <f>IF(Caja_Operativa[[#This Row],[FECHA]]&gt;0,TEXT(Caja_Operativa[[#This Row],[FECHA]],"mmmm"),0)</f>
        <v>Abril</v>
      </c>
    </row>
    <row r="228" spans="2:28" ht="60" hidden="1" x14ac:dyDescent="0.3">
      <c r="B228" s="2">
        <f>IF(Caja_Operativa[[#This Row],[TIPO DE R.]]="R",COUNTIFS($D$4:$D227,"R")+1,"")</f>
        <v>224</v>
      </c>
      <c r="C228" s="19" t="str">
        <f t="shared" si="19"/>
        <v>C-Operativa</v>
      </c>
      <c r="D228" s="3" t="s">
        <v>1074</v>
      </c>
      <c r="E228" s="14">
        <v>45775</v>
      </c>
      <c r="F228" s="5" t="s">
        <v>6299</v>
      </c>
      <c r="G228" s="5" t="s">
        <v>1079</v>
      </c>
      <c r="H228" s="6"/>
      <c r="I228" s="6"/>
      <c r="J228" s="6"/>
      <c r="K228" s="6"/>
      <c r="L228" s="7" t="s">
        <v>6431</v>
      </c>
      <c r="M228" s="8">
        <v>420112</v>
      </c>
      <c r="N228" s="8" t="str">
        <f t="shared" si="20"/>
        <v>PEN</v>
      </c>
      <c r="O228" s="13"/>
      <c r="P228" s="13">
        <v>8</v>
      </c>
      <c r="Q228" s="3">
        <f t="shared" si="21"/>
        <v>0</v>
      </c>
      <c r="R228" s="3">
        <f t="shared" si="22"/>
        <v>8</v>
      </c>
      <c r="S228" s="3">
        <f t="shared" si="18"/>
        <v>2907.85</v>
      </c>
      <c r="T228" s="24"/>
      <c r="U228" s="24"/>
      <c r="V228" s="69"/>
      <c r="W228" s="25" t="s">
        <v>6307</v>
      </c>
      <c r="X228" s="25"/>
      <c r="Y228" s="25"/>
      <c r="Z228" s="25"/>
      <c r="AA228" s="25"/>
      <c r="AB228" s="3" t="str">
        <f>IF(Caja_Operativa[[#This Row],[FECHA]]&gt;0,TEXT(Caja_Operativa[[#This Row],[FECHA]],"mmmm"),0)</f>
        <v>Abril</v>
      </c>
    </row>
    <row r="229" spans="2:28" ht="60" hidden="1" x14ac:dyDescent="0.3">
      <c r="B229" s="2">
        <f>IF(Caja_Operativa[[#This Row],[TIPO DE R.]]="R",COUNTIFS($D$4:$D228,"R")+1,"")</f>
        <v>225</v>
      </c>
      <c r="C229" s="19" t="str">
        <f t="shared" si="19"/>
        <v>C-Operativa</v>
      </c>
      <c r="D229" s="3" t="s">
        <v>1074</v>
      </c>
      <c r="E229" s="14">
        <v>45775</v>
      </c>
      <c r="F229" s="5" t="s">
        <v>6299</v>
      </c>
      <c r="G229" s="5" t="s">
        <v>1079</v>
      </c>
      <c r="H229" s="6"/>
      <c r="I229" s="6"/>
      <c r="J229" s="6"/>
      <c r="K229" s="6"/>
      <c r="L229" s="7" t="s">
        <v>6432</v>
      </c>
      <c r="M229" s="8">
        <v>426318</v>
      </c>
      <c r="N229" s="8" t="str">
        <f t="shared" si="20"/>
        <v>PEN</v>
      </c>
      <c r="O229" s="13"/>
      <c r="P229" s="13">
        <v>8</v>
      </c>
      <c r="Q229" s="3">
        <f t="shared" si="21"/>
        <v>0</v>
      </c>
      <c r="R229" s="3">
        <f t="shared" si="22"/>
        <v>8</v>
      </c>
      <c r="S229" s="3">
        <f t="shared" si="18"/>
        <v>2899.85</v>
      </c>
      <c r="T229" s="24"/>
      <c r="U229" s="24"/>
      <c r="V229" s="69"/>
      <c r="W229" s="25" t="s">
        <v>6307</v>
      </c>
      <c r="X229" s="25"/>
      <c r="Y229" s="25"/>
      <c r="Z229" s="25"/>
      <c r="AA229" s="25"/>
      <c r="AB229" s="3" t="str">
        <f>IF(Caja_Operativa[[#This Row],[FECHA]]&gt;0,TEXT(Caja_Operativa[[#This Row],[FECHA]],"mmmm"),0)</f>
        <v>Abril</v>
      </c>
    </row>
    <row r="230" spans="2:28" ht="60" hidden="1" x14ac:dyDescent="0.3">
      <c r="B230" s="2">
        <f>IF(Caja_Operativa[[#This Row],[TIPO DE R.]]="R",COUNTIFS($D$4:$D229,"R")+1,"")</f>
        <v>226</v>
      </c>
      <c r="C230" s="19" t="str">
        <f t="shared" si="19"/>
        <v>C-Operativa</v>
      </c>
      <c r="D230" s="3" t="s">
        <v>1074</v>
      </c>
      <c r="E230" s="14">
        <v>45775</v>
      </c>
      <c r="F230" s="5" t="s">
        <v>6299</v>
      </c>
      <c r="G230" s="5" t="s">
        <v>1079</v>
      </c>
      <c r="H230" s="6"/>
      <c r="I230" s="6"/>
      <c r="J230" s="6"/>
      <c r="K230" s="6"/>
      <c r="L230" s="7" t="s">
        <v>6433</v>
      </c>
      <c r="M230" s="8">
        <v>432700</v>
      </c>
      <c r="N230" s="8" t="str">
        <f t="shared" si="20"/>
        <v>PEN</v>
      </c>
      <c r="O230" s="13"/>
      <c r="P230" s="13">
        <v>12</v>
      </c>
      <c r="Q230" s="3">
        <f t="shared" si="21"/>
        <v>0</v>
      </c>
      <c r="R230" s="3">
        <f t="shared" si="22"/>
        <v>12</v>
      </c>
      <c r="S230" s="3">
        <f t="shared" si="18"/>
        <v>2887.85</v>
      </c>
      <c r="T230" s="24"/>
      <c r="U230" s="24"/>
      <c r="V230" s="69"/>
      <c r="W230" s="25" t="s">
        <v>6307</v>
      </c>
      <c r="X230" s="25"/>
      <c r="Y230" s="25"/>
      <c r="Z230" s="25"/>
      <c r="AA230" s="25"/>
      <c r="AB230" s="3" t="str">
        <f>IF(Caja_Operativa[[#This Row],[FECHA]]&gt;0,TEXT(Caja_Operativa[[#This Row],[FECHA]],"mmmm"),0)</f>
        <v>Abril</v>
      </c>
    </row>
    <row r="231" spans="2:28" ht="60" hidden="1" x14ac:dyDescent="0.3">
      <c r="B231" s="2">
        <f>IF(Caja_Operativa[[#This Row],[TIPO DE R.]]="R",COUNTIFS($D$4:$D230,"R")+1,"")</f>
        <v>227</v>
      </c>
      <c r="C231" s="19" t="str">
        <f t="shared" si="19"/>
        <v>C-Operativa</v>
      </c>
      <c r="D231" s="3" t="s">
        <v>1074</v>
      </c>
      <c r="E231" s="14">
        <v>45775</v>
      </c>
      <c r="F231" s="5" t="s">
        <v>6299</v>
      </c>
      <c r="G231" s="5" t="s">
        <v>1079</v>
      </c>
      <c r="H231" s="6"/>
      <c r="I231" s="6"/>
      <c r="J231" s="6"/>
      <c r="K231" s="6"/>
      <c r="L231" s="7" t="s">
        <v>6434</v>
      </c>
      <c r="M231" s="8">
        <v>445409</v>
      </c>
      <c r="N231" s="8" t="str">
        <f t="shared" si="20"/>
        <v>PEN</v>
      </c>
      <c r="O231" s="13"/>
      <c r="P231" s="13">
        <v>12</v>
      </c>
      <c r="Q231" s="3">
        <f t="shared" si="21"/>
        <v>0</v>
      </c>
      <c r="R231" s="3">
        <f t="shared" si="22"/>
        <v>12</v>
      </c>
      <c r="S231" s="3">
        <f t="shared" si="18"/>
        <v>2875.85</v>
      </c>
      <c r="T231" s="24"/>
      <c r="U231" s="24"/>
      <c r="V231" s="69"/>
      <c r="W231" s="25" t="s">
        <v>6307</v>
      </c>
      <c r="X231" s="25"/>
      <c r="Y231" s="25"/>
      <c r="Z231" s="25"/>
      <c r="AA231" s="25"/>
      <c r="AB231" s="3" t="str">
        <f>IF(Caja_Operativa[[#This Row],[FECHA]]&gt;0,TEXT(Caja_Operativa[[#This Row],[FECHA]],"mmmm"),0)</f>
        <v>Abril</v>
      </c>
    </row>
    <row r="232" spans="2:28" ht="60" hidden="1" x14ac:dyDescent="0.3">
      <c r="B232" s="2">
        <f>IF(Caja_Operativa[[#This Row],[TIPO DE R.]]="R",COUNTIFS($D$4:$D231,"R")+1,"")</f>
        <v>228</v>
      </c>
      <c r="C232" s="19" t="str">
        <f t="shared" si="19"/>
        <v>C-Operativa</v>
      </c>
      <c r="D232" s="3" t="s">
        <v>1074</v>
      </c>
      <c r="E232" s="14">
        <v>45775</v>
      </c>
      <c r="F232" s="5" t="s">
        <v>6299</v>
      </c>
      <c r="G232" s="5" t="s">
        <v>1079</v>
      </c>
      <c r="H232" s="6"/>
      <c r="I232" s="6"/>
      <c r="J232" s="6"/>
      <c r="K232" s="6"/>
      <c r="L232" s="7" t="s">
        <v>6435</v>
      </c>
      <c r="M232" s="8">
        <v>437035</v>
      </c>
      <c r="N232" s="8" t="str">
        <f t="shared" si="20"/>
        <v>PEN</v>
      </c>
      <c r="O232" s="13"/>
      <c r="P232" s="13">
        <v>8</v>
      </c>
      <c r="Q232" s="3">
        <f t="shared" si="21"/>
        <v>0</v>
      </c>
      <c r="R232" s="3">
        <f t="shared" si="22"/>
        <v>8</v>
      </c>
      <c r="S232" s="3">
        <f t="shared" si="18"/>
        <v>2867.85</v>
      </c>
      <c r="T232" s="24"/>
      <c r="U232" s="24"/>
      <c r="V232" s="69"/>
      <c r="W232" s="25" t="s">
        <v>6307</v>
      </c>
      <c r="X232" s="25"/>
      <c r="Y232" s="25"/>
      <c r="Z232" s="25"/>
      <c r="AA232" s="25"/>
      <c r="AB232" s="3" t="str">
        <f>IF(Caja_Operativa[[#This Row],[FECHA]]&gt;0,TEXT(Caja_Operativa[[#This Row],[FECHA]],"mmmm"),0)</f>
        <v>Abril</v>
      </c>
    </row>
    <row r="233" spans="2:28" ht="60" hidden="1" x14ac:dyDescent="0.3">
      <c r="B233" s="2">
        <f>IF(Caja_Operativa[[#This Row],[TIPO DE R.]]="R",COUNTIFS($D$4:$D232,"R")+1,"")</f>
        <v>229</v>
      </c>
      <c r="C233" s="19" t="str">
        <f t="shared" si="19"/>
        <v>C-Operativa</v>
      </c>
      <c r="D233" s="3" t="s">
        <v>1074</v>
      </c>
      <c r="E233" s="14">
        <v>45775</v>
      </c>
      <c r="F233" s="5" t="s">
        <v>6299</v>
      </c>
      <c r="G233" s="5" t="s">
        <v>1079</v>
      </c>
      <c r="H233" s="6"/>
      <c r="I233" s="6"/>
      <c r="J233" s="6"/>
      <c r="K233" s="6"/>
      <c r="L233" s="7" t="s">
        <v>6436</v>
      </c>
      <c r="M233" s="8">
        <v>449322</v>
      </c>
      <c r="N233" s="8" t="str">
        <f t="shared" si="20"/>
        <v>PEN</v>
      </c>
      <c r="O233" s="13"/>
      <c r="P233" s="13">
        <v>8</v>
      </c>
      <c r="Q233" s="3">
        <f t="shared" si="21"/>
        <v>0</v>
      </c>
      <c r="R233" s="3">
        <f t="shared" si="22"/>
        <v>8</v>
      </c>
      <c r="S233" s="3">
        <f t="shared" si="18"/>
        <v>2859.85</v>
      </c>
      <c r="T233" s="24"/>
      <c r="U233" s="24"/>
      <c r="V233" s="69"/>
      <c r="W233" s="25" t="s">
        <v>6307</v>
      </c>
      <c r="X233" s="25"/>
      <c r="Y233" s="25"/>
      <c r="Z233" s="25"/>
      <c r="AA233" s="25"/>
      <c r="AB233" s="3" t="str">
        <f>IF(Caja_Operativa[[#This Row],[FECHA]]&gt;0,TEXT(Caja_Operativa[[#This Row],[FECHA]],"mmmm"),0)</f>
        <v>Abril</v>
      </c>
    </row>
    <row r="234" spans="2:28" ht="60" hidden="1" x14ac:dyDescent="0.3">
      <c r="B234" s="2">
        <f>IF(Caja_Operativa[[#This Row],[TIPO DE R.]]="R",COUNTIFS($D$4:$D233,"R")+1,"")</f>
        <v>230</v>
      </c>
      <c r="C234" s="19" t="str">
        <f t="shared" si="19"/>
        <v>C-Operativa</v>
      </c>
      <c r="D234" s="3" t="s">
        <v>1074</v>
      </c>
      <c r="E234" s="14">
        <v>45775</v>
      </c>
      <c r="F234" s="5" t="s">
        <v>6299</v>
      </c>
      <c r="G234" s="5" t="s">
        <v>1079</v>
      </c>
      <c r="H234" s="6"/>
      <c r="I234" s="6"/>
      <c r="J234" s="6"/>
      <c r="K234" s="6"/>
      <c r="L234" s="7" t="s">
        <v>6437</v>
      </c>
      <c r="M234" s="8">
        <v>425676</v>
      </c>
      <c r="N234" s="8" t="str">
        <f t="shared" si="20"/>
        <v>PEN</v>
      </c>
      <c r="O234" s="13"/>
      <c r="P234" s="13">
        <v>8</v>
      </c>
      <c r="Q234" s="3">
        <f t="shared" si="21"/>
        <v>0</v>
      </c>
      <c r="R234" s="3">
        <f t="shared" si="22"/>
        <v>8</v>
      </c>
      <c r="S234" s="3">
        <f t="shared" si="18"/>
        <v>2851.85</v>
      </c>
      <c r="T234" s="24"/>
      <c r="U234" s="24"/>
      <c r="V234" s="69"/>
      <c r="W234" s="25" t="s">
        <v>6307</v>
      </c>
      <c r="X234" s="25"/>
      <c r="Y234" s="25"/>
      <c r="Z234" s="25"/>
      <c r="AA234" s="25"/>
      <c r="AB234" s="3" t="str">
        <f>IF(Caja_Operativa[[#This Row],[FECHA]]&gt;0,TEXT(Caja_Operativa[[#This Row],[FECHA]],"mmmm"),0)</f>
        <v>Abril</v>
      </c>
    </row>
    <row r="235" spans="2:28" ht="60" hidden="1" x14ac:dyDescent="0.3">
      <c r="B235" s="2">
        <f>IF(Caja_Operativa[[#This Row],[TIPO DE R.]]="R",COUNTIFS($D$4:$D234,"R")+1,"")</f>
        <v>231</v>
      </c>
      <c r="C235" s="19" t="str">
        <f t="shared" si="19"/>
        <v>C-Operativa</v>
      </c>
      <c r="D235" s="3" t="s">
        <v>1074</v>
      </c>
      <c r="E235" s="14">
        <v>45775</v>
      </c>
      <c r="F235" s="5" t="s">
        <v>6299</v>
      </c>
      <c r="G235" s="5" t="s">
        <v>1079</v>
      </c>
      <c r="H235" s="6"/>
      <c r="I235" s="6"/>
      <c r="J235" s="6"/>
      <c r="K235" s="6"/>
      <c r="L235" s="7" t="s">
        <v>6438</v>
      </c>
      <c r="M235" s="8">
        <v>459137</v>
      </c>
      <c r="N235" s="8" t="str">
        <f t="shared" si="20"/>
        <v>PEN</v>
      </c>
      <c r="O235" s="13"/>
      <c r="P235" s="13">
        <v>10</v>
      </c>
      <c r="Q235" s="3">
        <f t="shared" si="21"/>
        <v>0</v>
      </c>
      <c r="R235" s="3">
        <f t="shared" si="22"/>
        <v>10</v>
      </c>
      <c r="S235" s="3">
        <f t="shared" si="18"/>
        <v>2841.85</v>
      </c>
      <c r="T235" s="24"/>
      <c r="U235" s="24"/>
      <c r="V235" s="69"/>
      <c r="W235" s="25" t="s">
        <v>6307</v>
      </c>
      <c r="X235" s="25"/>
      <c r="Y235" s="25"/>
      <c r="Z235" s="25"/>
      <c r="AA235" s="25"/>
      <c r="AB235" s="3" t="str">
        <f>IF(Caja_Operativa[[#This Row],[FECHA]]&gt;0,TEXT(Caja_Operativa[[#This Row],[FECHA]],"mmmm"),0)</f>
        <v>Abril</v>
      </c>
    </row>
    <row r="236" spans="2:28" ht="60" hidden="1" x14ac:dyDescent="0.3">
      <c r="B236" s="2">
        <f>IF(Caja_Operativa[[#This Row],[TIPO DE R.]]="R",COUNTIFS($D$4:$D235,"R")+1,"")</f>
        <v>232</v>
      </c>
      <c r="C236" s="19" t="str">
        <f t="shared" si="19"/>
        <v>C-Operativa</v>
      </c>
      <c r="D236" s="3" t="s">
        <v>1074</v>
      </c>
      <c r="E236" s="14">
        <v>45775</v>
      </c>
      <c r="F236" s="5" t="s">
        <v>6299</v>
      </c>
      <c r="G236" s="5" t="s">
        <v>1079</v>
      </c>
      <c r="H236" s="6"/>
      <c r="I236" s="6"/>
      <c r="J236" s="6"/>
      <c r="K236" s="6"/>
      <c r="L236" s="7" t="s">
        <v>6439</v>
      </c>
      <c r="M236" s="8">
        <v>471337</v>
      </c>
      <c r="N236" s="8" t="str">
        <f t="shared" si="20"/>
        <v>PEN</v>
      </c>
      <c r="O236" s="13"/>
      <c r="P236" s="13">
        <v>8</v>
      </c>
      <c r="Q236" s="3">
        <f t="shared" si="21"/>
        <v>0</v>
      </c>
      <c r="R236" s="3">
        <f t="shared" si="22"/>
        <v>8</v>
      </c>
      <c r="S236" s="3">
        <f t="shared" si="18"/>
        <v>2833.85</v>
      </c>
      <c r="T236" s="24"/>
      <c r="U236" s="24"/>
      <c r="V236" s="69"/>
      <c r="W236" s="25" t="s">
        <v>6307</v>
      </c>
      <c r="X236" s="25"/>
      <c r="Y236" s="25"/>
      <c r="Z236" s="25"/>
      <c r="AA236" s="25"/>
      <c r="AB236" s="3" t="str">
        <f>IF(Caja_Operativa[[#This Row],[FECHA]]&gt;0,TEXT(Caja_Operativa[[#This Row],[FECHA]],"mmmm"),0)</f>
        <v>Abril</v>
      </c>
    </row>
    <row r="237" spans="2:28" ht="60" hidden="1" x14ac:dyDescent="0.3">
      <c r="B237" s="2">
        <f>IF(Caja_Operativa[[#This Row],[TIPO DE R.]]="R",COUNTIFS($D$4:$D236,"R")+1,"")</f>
        <v>233</v>
      </c>
      <c r="C237" s="19" t="str">
        <f t="shared" si="19"/>
        <v>C-Operativa</v>
      </c>
      <c r="D237" s="3" t="s">
        <v>1074</v>
      </c>
      <c r="E237" s="14">
        <v>45775</v>
      </c>
      <c r="F237" s="5" t="s">
        <v>6299</v>
      </c>
      <c r="G237" s="5" t="s">
        <v>1079</v>
      </c>
      <c r="H237" s="6"/>
      <c r="I237" s="6"/>
      <c r="J237" s="6"/>
      <c r="K237" s="6"/>
      <c r="L237" s="7" t="s">
        <v>6440</v>
      </c>
      <c r="M237" s="8">
        <v>489487</v>
      </c>
      <c r="N237" s="8" t="str">
        <f t="shared" si="20"/>
        <v>PEN</v>
      </c>
      <c r="O237" s="13"/>
      <c r="P237" s="13">
        <v>10</v>
      </c>
      <c r="Q237" s="3">
        <f t="shared" si="21"/>
        <v>0</v>
      </c>
      <c r="R237" s="3">
        <f t="shared" si="22"/>
        <v>10</v>
      </c>
      <c r="S237" s="3">
        <f t="shared" si="18"/>
        <v>2823.85</v>
      </c>
      <c r="T237" s="24"/>
      <c r="U237" s="24"/>
      <c r="V237" s="69"/>
      <c r="W237" s="25" t="s">
        <v>6307</v>
      </c>
      <c r="X237" s="25"/>
      <c r="Y237" s="25"/>
      <c r="Z237" s="25"/>
      <c r="AA237" s="25"/>
      <c r="AB237" s="3" t="str">
        <f>IF(Caja_Operativa[[#This Row],[FECHA]]&gt;0,TEXT(Caja_Operativa[[#This Row],[FECHA]],"mmmm"),0)</f>
        <v>Abril</v>
      </c>
    </row>
    <row r="238" spans="2:28" ht="60" hidden="1" x14ac:dyDescent="0.3">
      <c r="B238" s="2">
        <f>IF(Caja_Operativa[[#This Row],[TIPO DE R.]]="R",COUNTIFS($D$4:$D237,"R")+1,"")</f>
        <v>234</v>
      </c>
      <c r="C238" s="19" t="str">
        <f t="shared" si="19"/>
        <v>C-Operativa</v>
      </c>
      <c r="D238" s="3" t="s">
        <v>1074</v>
      </c>
      <c r="E238" s="14">
        <v>45775</v>
      </c>
      <c r="F238" s="5" t="s">
        <v>6299</v>
      </c>
      <c r="G238" s="5" t="s">
        <v>1079</v>
      </c>
      <c r="H238" s="6"/>
      <c r="I238" s="6"/>
      <c r="J238" s="6"/>
      <c r="K238" s="6"/>
      <c r="L238" s="7" t="s">
        <v>6441</v>
      </c>
      <c r="M238" s="8">
        <v>463191</v>
      </c>
      <c r="N238" s="8" t="str">
        <f t="shared" si="20"/>
        <v>PEN</v>
      </c>
      <c r="O238" s="13"/>
      <c r="P238" s="13">
        <v>10</v>
      </c>
      <c r="Q238" s="3">
        <f t="shared" si="21"/>
        <v>0</v>
      </c>
      <c r="R238" s="3">
        <f t="shared" si="22"/>
        <v>10</v>
      </c>
      <c r="S238" s="3">
        <f t="shared" si="18"/>
        <v>2813.85</v>
      </c>
      <c r="T238" s="24"/>
      <c r="U238" s="24"/>
      <c r="V238" s="69"/>
      <c r="W238" s="25" t="s">
        <v>6307</v>
      </c>
      <c r="X238" s="25"/>
      <c r="Y238" s="25"/>
      <c r="Z238" s="25"/>
      <c r="AA238" s="25"/>
      <c r="AB238" s="3" t="str">
        <f>IF(Caja_Operativa[[#This Row],[FECHA]]&gt;0,TEXT(Caja_Operativa[[#This Row],[FECHA]],"mmmm"),0)</f>
        <v>Abril</v>
      </c>
    </row>
    <row r="239" spans="2:28" ht="60" hidden="1" x14ac:dyDescent="0.3">
      <c r="B239" s="2">
        <f>IF(Caja_Operativa[[#This Row],[TIPO DE R.]]="R",COUNTIFS($D$4:$D238,"R")+1,"")</f>
        <v>235</v>
      </c>
      <c r="C239" s="19" t="str">
        <f t="shared" si="19"/>
        <v>C-Operativa</v>
      </c>
      <c r="D239" s="3" t="s">
        <v>1074</v>
      </c>
      <c r="E239" s="14">
        <v>45775</v>
      </c>
      <c r="F239" s="5" t="s">
        <v>6299</v>
      </c>
      <c r="G239" s="5" t="s">
        <v>1079</v>
      </c>
      <c r="H239" s="6"/>
      <c r="I239" s="6"/>
      <c r="J239" s="6"/>
      <c r="K239" s="6"/>
      <c r="L239" s="7" t="s">
        <v>6442</v>
      </c>
      <c r="M239" s="8">
        <v>469683</v>
      </c>
      <c r="N239" s="8" t="str">
        <f t="shared" si="20"/>
        <v>PEN</v>
      </c>
      <c r="O239" s="13"/>
      <c r="P239" s="13">
        <v>8</v>
      </c>
      <c r="Q239" s="3">
        <f t="shared" si="21"/>
        <v>0</v>
      </c>
      <c r="R239" s="3">
        <f t="shared" si="22"/>
        <v>8</v>
      </c>
      <c r="S239" s="3">
        <f t="shared" si="18"/>
        <v>2805.85</v>
      </c>
      <c r="T239" s="24"/>
      <c r="U239" s="24"/>
      <c r="V239" s="69"/>
      <c r="W239" s="25" t="s">
        <v>6307</v>
      </c>
      <c r="X239" s="25"/>
      <c r="Y239" s="25"/>
      <c r="Z239" s="25"/>
      <c r="AA239" s="25"/>
      <c r="AB239" s="3" t="str">
        <f>IF(Caja_Operativa[[#This Row],[FECHA]]&gt;0,TEXT(Caja_Operativa[[#This Row],[FECHA]],"mmmm"),0)</f>
        <v>Abril</v>
      </c>
    </row>
    <row r="240" spans="2:28" ht="60" hidden="1" x14ac:dyDescent="0.3">
      <c r="B240" s="2">
        <f>IF(Caja_Operativa[[#This Row],[TIPO DE R.]]="R",COUNTIFS($D$4:$D239,"R")+1,"")</f>
        <v>236</v>
      </c>
      <c r="C240" s="19" t="str">
        <f t="shared" si="19"/>
        <v>C-Operativa</v>
      </c>
      <c r="D240" s="3" t="s">
        <v>1074</v>
      </c>
      <c r="E240" s="14">
        <v>45775</v>
      </c>
      <c r="F240" s="5" t="s">
        <v>6299</v>
      </c>
      <c r="G240" s="5" t="s">
        <v>1079</v>
      </c>
      <c r="H240" s="6"/>
      <c r="I240" s="6"/>
      <c r="J240" s="6"/>
      <c r="K240" s="6"/>
      <c r="L240" s="7" t="s">
        <v>6443</v>
      </c>
      <c r="M240" s="8">
        <v>452247</v>
      </c>
      <c r="N240" s="8" t="str">
        <f t="shared" si="20"/>
        <v>PEN</v>
      </c>
      <c r="O240" s="13"/>
      <c r="P240" s="13">
        <v>8</v>
      </c>
      <c r="Q240" s="3">
        <f t="shared" si="21"/>
        <v>0</v>
      </c>
      <c r="R240" s="3">
        <f t="shared" si="22"/>
        <v>8</v>
      </c>
      <c r="S240" s="3">
        <f t="shared" si="18"/>
        <v>2797.85</v>
      </c>
      <c r="T240" s="24"/>
      <c r="U240" s="24"/>
      <c r="V240" s="69"/>
      <c r="W240" s="25" t="s">
        <v>6307</v>
      </c>
      <c r="X240" s="25"/>
      <c r="Y240" s="25"/>
      <c r="Z240" s="25"/>
      <c r="AA240" s="25"/>
      <c r="AB240" s="3" t="str">
        <f>IF(Caja_Operativa[[#This Row],[FECHA]]&gt;0,TEXT(Caja_Operativa[[#This Row],[FECHA]],"mmmm"),0)</f>
        <v>Abril</v>
      </c>
    </row>
    <row r="241" spans="2:28" ht="60" hidden="1" x14ac:dyDescent="0.3">
      <c r="B241" s="2">
        <f>IF(Caja_Operativa[[#This Row],[TIPO DE R.]]="R",COUNTIFS($D$4:$D240,"R")+1,"")</f>
        <v>237</v>
      </c>
      <c r="C241" s="19" t="str">
        <f t="shared" si="19"/>
        <v>C-Operativa</v>
      </c>
      <c r="D241" s="3" t="s">
        <v>1074</v>
      </c>
      <c r="E241" s="14">
        <v>45775</v>
      </c>
      <c r="F241" s="5" t="s">
        <v>6299</v>
      </c>
      <c r="G241" s="5" t="s">
        <v>1079</v>
      </c>
      <c r="H241" s="6"/>
      <c r="I241" s="6"/>
      <c r="J241" s="6"/>
      <c r="K241" s="6"/>
      <c r="L241" s="7" t="s">
        <v>6444</v>
      </c>
      <c r="M241" s="8">
        <v>482292</v>
      </c>
      <c r="N241" s="8" t="str">
        <f t="shared" si="20"/>
        <v>PEN</v>
      </c>
      <c r="O241" s="13"/>
      <c r="P241" s="13">
        <v>20</v>
      </c>
      <c r="Q241" s="3">
        <f t="shared" si="21"/>
        <v>0</v>
      </c>
      <c r="R241" s="3">
        <f t="shared" si="22"/>
        <v>20</v>
      </c>
      <c r="S241" s="3">
        <f t="shared" si="18"/>
        <v>2777.85</v>
      </c>
      <c r="T241" s="24"/>
      <c r="U241" s="24"/>
      <c r="V241" s="69"/>
      <c r="W241" s="25" t="s">
        <v>6307</v>
      </c>
      <c r="X241" s="25"/>
      <c r="Y241" s="25"/>
      <c r="Z241" s="25"/>
      <c r="AA241" s="25"/>
      <c r="AB241" s="3" t="str">
        <f>IF(Caja_Operativa[[#This Row],[FECHA]]&gt;0,TEXT(Caja_Operativa[[#This Row],[FECHA]],"mmmm"),0)</f>
        <v>Abril</v>
      </c>
    </row>
    <row r="242" spans="2:28" ht="60" hidden="1" x14ac:dyDescent="0.3">
      <c r="B242" s="2">
        <f>IF(Caja_Operativa[[#This Row],[TIPO DE R.]]="R",COUNTIFS($D$4:$D241,"R")+1,"")</f>
        <v>238</v>
      </c>
      <c r="C242" s="19" t="str">
        <f t="shared" si="19"/>
        <v>C-Operativa</v>
      </c>
      <c r="D242" s="3" t="s">
        <v>1074</v>
      </c>
      <c r="E242" s="14">
        <v>45775</v>
      </c>
      <c r="F242" s="5" t="s">
        <v>6299</v>
      </c>
      <c r="G242" s="5" t="s">
        <v>1079</v>
      </c>
      <c r="H242" s="6"/>
      <c r="I242" s="6"/>
      <c r="J242" s="6"/>
      <c r="K242" s="6"/>
      <c r="L242" s="7" t="s">
        <v>6445</v>
      </c>
      <c r="M242" s="8">
        <v>455791</v>
      </c>
      <c r="N242" s="8" t="str">
        <f t="shared" si="20"/>
        <v>PEN</v>
      </c>
      <c r="O242" s="13"/>
      <c r="P242" s="13">
        <v>8</v>
      </c>
      <c r="Q242" s="3">
        <f t="shared" si="21"/>
        <v>0</v>
      </c>
      <c r="R242" s="3">
        <f t="shared" si="22"/>
        <v>8</v>
      </c>
      <c r="S242" s="3">
        <f t="shared" si="18"/>
        <v>2769.85</v>
      </c>
      <c r="T242" s="24"/>
      <c r="U242" s="24"/>
      <c r="V242" s="69"/>
      <c r="W242" s="25" t="s">
        <v>6307</v>
      </c>
      <c r="X242" s="25"/>
      <c r="Y242" s="25"/>
      <c r="Z242" s="25"/>
      <c r="AA242" s="25"/>
      <c r="AB242" s="3" t="str">
        <f>IF(Caja_Operativa[[#This Row],[FECHA]]&gt;0,TEXT(Caja_Operativa[[#This Row],[FECHA]],"mmmm"),0)</f>
        <v>Abril</v>
      </c>
    </row>
    <row r="243" spans="2:28" ht="60" hidden="1" x14ac:dyDescent="0.3">
      <c r="B243" s="2">
        <f>IF(Caja_Operativa[[#This Row],[TIPO DE R.]]="R",COUNTIFS($D$4:$D242,"R")+1,"")</f>
        <v>239</v>
      </c>
      <c r="C243" s="19" t="str">
        <f t="shared" si="19"/>
        <v>C-Operativa</v>
      </c>
      <c r="D243" s="3" t="s">
        <v>1074</v>
      </c>
      <c r="E243" s="14">
        <v>45775</v>
      </c>
      <c r="F243" s="5" t="s">
        <v>6299</v>
      </c>
      <c r="G243" s="5" t="s">
        <v>1079</v>
      </c>
      <c r="H243" s="6"/>
      <c r="I243" s="6"/>
      <c r="J243" s="6"/>
      <c r="K243" s="6"/>
      <c r="L243" s="7" t="s">
        <v>6446</v>
      </c>
      <c r="M243" s="8">
        <v>473840</v>
      </c>
      <c r="N243" s="8" t="str">
        <f t="shared" si="20"/>
        <v>PEN</v>
      </c>
      <c r="O243" s="13"/>
      <c r="P243" s="13">
        <v>8</v>
      </c>
      <c r="Q243" s="3">
        <f t="shared" si="21"/>
        <v>0</v>
      </c>
      <c r="R243" s="3">
        <f t="shared" si="22"/>
        <v>8</v>
      </c>
      <c r="S243" s="3">
        <f t="shared" si="18"/>
        <v>2761.85</v>
      </c>
      <c r="T243" s="24"/>
      <c r="U243" s="24"/>
      <c r="V243" s="69"/>
      <c r="W243" s="25" t="s">
        <v>6307</v>
      </c>
      <c r="X243" s="25"/>
      <c r="Y243" s="25"/>
      <c r="Z243" s="25"/>
      <c r="AA243" s="25"/>
      <c r="AB243" s="3" t="str">
        <f>IF(Caja_Operativa[[#This Row],[FECHA]]&gt;0,TEXT(Caja_Operativa[[#This Row],[FECHA]],"mmmm"),0)</f>
        <v>Abril</v>
      </c>
    </row>
    <row r="244" spans="2:28" ht="60" hidden="1" x14ac:dyDescent="0.3">
      <c r="B244" s="2">
        <f>IF(Caja_Operativa[[#This Row],[TIPO DE R.]]="R",COUNTIFS($D$4:$D243,"R")+1,"")</f>
        <v>240</v>
      </c>
      <c r="C244" s="19" t="str">
        <f t="shared" si="19"/>
        <v>C-Operativa</v>
      </c>
      <c r="D244" s="3" t="s">
        <v>1074</v>
      </c>
      <c r="E244" s="14">
        <v>45775</v>
      </c>
      <c r="F244" s="5" t="s">
        <v>6299</v>
      </c>
      <c r="G244" s="5" t="s">
        <v>1079</v>
      </c>
      <c r="H244" s="6"/>
      <c r="I244" s="6"/>
      <c r="J244" s="6"/>
      <c r="K244" s="6"/>
      <c r="L244" s="7" t="s">
        <v>6447</v>
      </c>
      <c r="M244" s="8">
        <v>510085</v>
      </c>
      <c r="N244" s="8" t="str">
        <f t="shared" si="20"/>
        <v>PEN</v>
      </c>
      <c r="O244" s="13"/>
      <c r="P244" s="13">
        <v>8</v>
      </c>
      <c r="Q244" s="3">
        <f t="shared" si="21"/>
        <v>0</v>
      </c>
      <c r="R244" s="3">
        <f t="shared" si="22"/>
        <v>8</v>
      </c>
      <c r="S244" s="3">
        <f t="shared" si="18"/>
        <v>2753.85</v>
      </c>
      <c r="T244" s="24"/>
      <c r="U244" s="24"/>
      <c r="V244" s="69"/>
      <c r="W244" s="25" t="s">
        <v>6307</v>
      </c>
      <c r="X244" s="25"/>
      <c r="Y244" s="25"/>
      <c r="Z244" s="25"/>
      <c r="AA244" s="25"/>
      <c r="AB244" s="3" t="str">
        <f>IF(Caja_Operativa[[#This Row],[FECHA]]&gt;0,TEXT(Caja_Operativa[[#This Row],[FECHA]],"mmmm"),0)</f>
        <v>Abril</v>
      </c>
    </row>
    <row r="245" spans="2:28" ht="24" hidden="1" x14ac:dyDescent="0.3">
      <c r="B245" s="2">
        <f>IF(Caja_Operativa[[#This Row],[TIPO DE R.]]="R",COUNTIFS($D$4:$D244,"R")+1,"")</f>
        <v>241</v>
      </c>
      <c r="C245" s="19" t="str">
        <f t="shared" si="19"/>
        <v>C-Operativa</v>
      </c>
      <c r="D245" s="3" t="s">
        <v>1074</v>
      </c>
      <c r="E245" s="14">
        <v>45775</v>
      </c>
      <c r="F245" s="5" t="s">
        <v>6299</v>
      </c>
      <c r="G245" s="5" t="s">
        <v>1079</v>
      </c>
      <c r="H245" s="6"/>
      <c r="I245" s="6"/>
      <c r="J245" s="6"/>
      <c r="K245" s="6"/>
      <c r="L245" s="7" t="s">
        <v>6302</v>
      </c>
      <c r="M245" s="8">
        <v>3826365</v>
      </c>
      <c r="N245" s="8" t="str">
        <f t="shared" si="20"/>
        <v>PEN</v>
      </c>
      <c r="O245" s="13"/>
      <c r="P245" s="13">
        <v>150</v>
      </c>
      <c r="Q245" s="3">
        <f t="shared" si="21"/>
        <v>0</v>
      </c>
      <c r="R245" s="3">
        <f t="shared" si="22"/>
        <v>150</v>
      </c>
      <c r="S245" s="3">
        <f t="shared" si="18"/>
        <v>2603.85</v>
      </c>
      <c r="T245" s="24"/>
      <c r="U245" s="24"/>
      <c r="V245" s="69"/>
      <c r="W245" s="25" t="s">
        <v>6305</v>
      </c>
      <c r="X245" s="25"/>
      <c r="Y245" s="25"/>
      <c r="Z245" s="25"/>
      <c r="AA245" s="25"/>
      <c r="AB245" s="3" t="str">
        <f>IF(Caja_Operativa[[#This Row],[FECHA]]&gt;0,TEXT(Caja_Operativa[[#This Row],[FECHA]],"mmmm"),0)</f>
        <v>Abril</v>
      </c>
    </row>
    <row r="246" spans="2:28" ht="24" hidden="1" x14ac:dyDescent="0.3">
      <c r="B246" s="2">
        <f>IF(Caja_Operativa[[#This Row],[TIPO DE R.]]="R",COUNTIFS($D$4:$D245,"R")+1,"")</f>
        <v>242</v>
      </c>
      <c r="C246" s="19" t="str">
        <f t="shared" si="19"/>
        <v>C-Operativa</v>
      </c>
      <c r="D246" s="3" t="s">
        <v>1074</v>
      </c>
      <c r="E246" s="14">
        <v>45775</v>
      </c>
      <c r="F246" s="5" t="s">
        <v>6299</v>
      </c>
      <c r="G246" s="5" t="s">
        <v>1079</v>
      </c>
      <c r="H246" s="6"/>
      <c r="I246" s="6"/>
      <c r="J246" s="6"/>
      <c r="K246" s="6"/>
      <c r="L246" s="7" t="s">
        <v>6302</v>
      </c>
      <c r="M246" s="8">
        <v>3847022</v>
      </c>
      <c r="N246" s="8" t="str">
        <f t="shared" si="20"/>
        <v>PEN</v>
      </c>
      <c r="O246" s="13"/>
      <c r="P246" s="13">
        <v>40</v>
      </c>
      <c r="Q246" s="3">
        <f t="shared" si="21"/>
        <v>0</v>
      </c>
      <c r="R246" s="3">
        <f t="shared" si="22"/>
        <v>40</v>
      </c>
      <c r="S246" s="3">
        <f t="shared" si="18"/>
        <v>2563.85</v>
      </c>
      <c r="T246" s="24"/>
      <c r="U246" s="24"/>
      <c r="V246" s="69"/>
      <c r="W246" s="25" t="s">
        <v>6325</v>
      </c>
      <c r="X246" s="25"/>
      <c r="Y246" s="25"/>
      <c r="Z246" s="25"/>
      <c r="AA246" s="25"/>
      <c r="AB246" s="3" t="str">
        <f>IF(Caja_Operativa[[#This Row],[FECHA]]&gt;0,TEXT(Caja_Operativa[[#This Row],[FECHA]],"mmmm"),0)</f>
        <v>Abril</v>
      </c>
    </row>
    <row r="247" spans="2:28" hidden="1" x14ac:dyDescent="0.3">
      <c r="B247" s="2">
        <f>IF(Caja_Operativa[[#This Row],[TIPO DE R.]]="R",COUNTIFS($D$4:$D246,"R")+1,"")</f>
        <v>243</v>
      </c>
      <c r="C247" s="19" t="str">
        <f t="shared" si="19"/>
        <v>C-Operativa</v>
      </c>
      <c r="D247" s="3" t="s">
        <v>1074</v>
      </c>
      <c r="E247" s="14">
        <v>45775</v>
      </c>
      <c r="F247" s="5" t="s">
        <v>6299</v>
      </c>
      <c r="G247" s="5" t="s">
        <v>1079</v>
      </c>
      <c r="H247" s="6"/>
      <c r="I247" s="6"/>
      <c r="J247" s="6"/>
      <c r="K247" s="6"/>
      <c r="L247" s="7" t="s">
        <v>6302</v>
      </c>
      <c r="M247" s="8">
        <v>3841714</v>
      </c>
      <c r="N247" s="8" t="str">
        <f t="shared" si="20"/>
        <v>PEN</v>
      </c>
      <c r="O247" s="13"/>
      <c r="P247" s="13">
        <v>140</v>
      </c>
      <c r="Q247" s="3">
        <f t="shared" si="21"/>
        <v>0</v>
      </c>
      <c r="R247" s="3">
        <f t="shared" si="22"/>
        <v>140</v>
      </c>
      <c r="S247" s="3">
        <f t="shared" si="18"/>
        <v>2423.85</v>
      </c>
      <c r="T247" s="24"/>
      <c r="U247" s="24"/>
      <c r="V247" s="69"/>
      <c r="W247" s="25" t="s">
        <v>6303</v>
      </c>
      <c r="X247" s="25"/>
      <c r="Y247" s="25"/>
      <c r="Z247" s="25"/>
      <c r="AA247" s="25"/>
      <c r="AB247" s="3" t="str">
        <f>IF(Caja_Operativa[[#This Row],[FECHA]]&gt;0,TEXT(Caja_Operativa[[#This Row],[FECHA]],"mmmm"),0)</f>
        <v>Abril</v>
      </c>
    </row>
    <row r="248" spans="2:28" ht="24" hidden="1" x14ac:dyDescent="0.3">
      <c r="B248" s="2">
        <f>IF(Caja_Operativa[[#This Row],[TIPO DE R.]]="R",COUNTIFS($D$4:$D247,"R")+1,"")</f>
        <v>244</v>
      </c>
      <c r="C248" s="19" t="str">
        <f t="shared" si="19"/>
        <v>C-Operativa</v>
      </c>
      <c r="D248" s="3" t="s">
        <v>1074</v>
      </c>
      <c r="E248" s="14">
        <v>45775</v>
      </c>
      <c r="F248" s="5" t="s">
        <v>6299</v>
      </c>
      <c r="G248" s="5" t="s">
        <v>1079</v>
      </c>
      <c r="H248" s="6"/>
      <c r="I248" s="6"/>
      <c r="J248" s="6"/>
      <c r="K248" s="6"/>
      <c r="L248" s="7" t="s">
        <v>6302</v>
      </c>
      <c r="M248" s="8">
        <v>3836659</v>
      </c>
      <c r="N248" s="8" t="str">
        <f t="shared" si="20"/>
        <v>PEN</v>
      </c>
      <c r="O248" s="13"/>
      <c r="P248" s="13">
        <v>80</v>
      </c>
      <c r="Q248" s="3">
        <f t="shared" si="21"/>
        <v>0</v>
      </c>
      <c r="R248" s="3">
        <f t="shared" si="22"/>
        <v>80</v>
      </c>
      <c r="S248" s="3">
        <f t="shared" si="18"/>
        <v>2343.85</v>
      </c>
      <c r="T248" s="24"/>
      <c r="U248" s="24"/>
      <c r="V248" s="69"/>
      <c r="W248" s="25" t="s">
        <v>6359</v>
      </c>
      <c r="X248" s="25"/>
      <c r="Y248" s="25"/>
      <c r="Z248" s="25"/>
      <c r="AA248" s="25"/>
      <c r="AB248" s="3" t="str">
        <f>IF(Caja_Operativa[[#This Row],[FECHA]]&gt;0,TEXT(Caja_Operativa[[#This Row],[FECHA]],"mmmm"),0)</f>
        <v>Abril</v>
      </c>
    </row>
    <row r="249" spans="2:28" ht="24" hidden="1" x14ac:dyDescent="0.3">
      <c r="B249" s="2">
        <f>IF(Caja_Operativa[[#This Row],[TIPO DE R.]]="R",COUNTIFS($D$4:$D248,"R")+1,"")</f>
        <v>245</v>
      </c>
      <c r="C249" s="19" t="str">
        <f t="shared" si="19"/>
        <v>C-Operativa</v>
      </c>
      <c r="D249" s="3" t="s">
        <v>1074</v>
      </c>
      <c r="E249" s="14">
        <v>45775</v>
      </c>
      <c r="F249" s="5" t="s">
        <v>6299</v>
      </c>
      <c r="G249" s="5" t="s">
        <v>1079</v>
      </c>
      <c r="H249" s="6"/>
      <c r="I249" s="6"/>
      <c r="J249" s="6"/>
      <c r="K249" s="6"/>
      <c r="L249" s="7" t="s">
        <v>6448</v>
      </c>
      <c r="M249" s="8">
        <v>3860428</v>
      </c>
      <c r="N249" s="8" t="str">
        <f t="shared" si="20"/>
        <v>PEN</v>
      </c>
      <c r="O249" s="13"/>
      <c r="P249" s="13">
        <v>200</v>
      </c>
      <c r="Q249" s="3">
        <f t="shared" si="21"/>
        <v>0</v>
      </c>
      <c r="R249" s="3">
        <f t="shared" si="22"/>
        <v>200</v>
      </c>
      <c r="S249" s="3">
        <f t="shared" si="18"/>
        <v>2143.85</v>
      </c>
      <c r="T249" s="24"/>
      <c r="U249" s="24"/>
      <c r="V249" s="69"/>
      <c r="W249" s="25" t="s">
        <v>6307</v>
      </c>
      <c r="X249" s="25"/>
      <c r="Y249" s="25"/>
      <c r="Z249" s="25"/>
      <c r="AA249" s="25"/>
      <c r="AB249" s="3" t="str">
        <f>IF(Caja_Operativa[[#This Row],[FECHA]]&gt;0,TEXT(Caja_Operativa[[#This Row],[FECHA]],"mmmm"),0)</f>
        <v>Abril</v>
      </c>
    </row>
    <row r="250" spans="2:28" ht="48" hidden="1" x14ac:dyDescent="0.3">
      <c r="B250" s="2">
        <f>IF(Caja_Operativa[[#This Row],[TIPO DE R.]]="R",COUNTIFS($D$4:$D249,"R")+1,"")</f>
        <v>246</v>
      </c>
      <c r="C250" s="19" t="str">
        <f t="shared" si="19"/>
        <v>C-Operativa</v>
      </c>
      <c r="D250" s="3" t="s">
        <v>1074</v>
      </c>
      <c r="E250" s="14">
        <v>45776</v>
      </c>
      <c r="F250" s="5" t="s">
        <v>6299</v>
      </c>
      <c r="G250" s="5" t="s">
        <v>1079</v>
      </c>
      <c r="H250" s="6"/>
      <c r="I250" s="6"/>
      <c r="J250" s="6"/>
      <c r="K250" s="6"/>
      <c r="L250" s="7" t="s">
        <v>6449</v>
      </c>
      <c r="M250" s="8">
        <v>608344</v>
      </c>
      <c r="N250" s="8" t="str">
        <f t="shared" si="20"/>
        <v>PEN</v>
      </c>
      <c r="O250" s="13"/>
      <c r="P250" s="13">
        <v>12</v>
      </c>
      <c r="Q250" s="3">
        <f t="shared" si="21"/>
        <v>0</v>
      </c>
      <c r="R250" s="3">
        <f t="shared" si="22"/>
        <v>12</v>
      </c>
      <c r="S250" s="3">
        <f t="shared" si="18"/>
        <v>2131.85</v>
      </c>
      <c r="T250" s="24"/>
      <c r="U250" s="24"/>
      <c r="V250" s="69"/>
      <c r="W250" s="25" t="s">
        <v>5685</v>
      </c>
      <c r="X250" s="25"/>
      <c r="Y250" s="25"/>
      <c r="Z250" s="25"/>
      <c r="AA250" s="25"/>
      <c r="AB250" s="3" t="str">
        <f>IF(Caja_Operativa[[#This Row],[FECHA]]&gt;0,TEXT(Caja_Operativa[[#This Row],[FECHA]],"mmmm"),0)</f>
        <v>Abril</v>
      </c>
    </row>
    <row r="251" spans="2:28" ht="48" hidden="1" x14ac:dyDescent="0.3">
      <c r="B251" s="2">
        <f>IF(Caja_Operativa[[#This Row],[TIPO DE R.]]="R",COUNTIFS($D$4:$D250,"R")+1,"")</f>
        <v>247</v>
      </c>
      <c r="C251" s="19" t="str">
        <f t="shared" si="19"/>
        <v>C-Operativa</v>
      </c>
      <c r="D251" s="3" t="s">
        <v>1074</v>
      </c>
      <c r="E251" s="14">
        <v>45776</v>
      </c>
      <c r="F251" s="5" t="s">
        <v>6299</v>
      </c>
      <c r="G251" s="5" t="s">
        <v>1079</v>
      </c>
      <c r="H251" s="6"/>
      <c r="I251" s="6"/>
      <c r="J251" s="6"/>
      <c r="K251" s="6"/>
      <c r="L251" s="7" t="s">
        <v>6450</v>
      </c>
      <c r="M251" s="8">
        <v>599808</v>
      </c>
      <c r="N251" s="8" t="str">
        <f t="shared" si="20"/>
        <v>PEN</v>
      </c>
      <c r="O251" s="13"/>
      <c r="P251" s="13">
        <v>13</v>
      </c>
      <c r="Q251" s="3">
        <f t="shared" si="21"/>
        <v>0</v>
      </c>
      <c r="R251" s="3">
        <f t="shared" si="22"/>
        <v>13</v>
      </c>
      <c r="S251" s="3">
        <f t="shared" si="18"/>
        <v>2118.85</v>
      </c>
      <c r="T251" s="24"/>
      <c r="U251" s="24"/>
      <c r="V251" s="69"/>
      <c r="W251" s="25" t="s">
        <v>5685</v>
      </c>
      <c r="X251" s="25"/>
      <c r="Y251" s="25"/>
      <c r="Z251" s="25"/>
      <c r="AA251" s="25"/>
      <c r="AB251" s="3" t="str">
        <f>IF(Caja_Operativa[[#This Row],[FECHA]]&gt;0,TEXT(Caja_Operativa[[#This Row],[FECHA]],"mmmm"),0)</f>
        <v>Abril</v>
      </c>
    </row>
    <row r="252" spans="2:28" ht="24" hidden="1" x14ac:dyDescent="0.3">
      <c r="B252" s="2">
        <f>IF(Caja_Operativa[[#This Row],[TIPO DE R.]]="R",COUNTIFS($D$4:$D251,"R")+1,"")</f>
        <v>248</v>
      </c>
      <c r="C252" s="19" t="str">
        <f t="shared" si="19"/>
        <v>C-Operativa</v>
      </c>
      <c r="D252" s="3" t="s">
        <v>1074</v>
      </c>
      <c r="E252" s="14">
        <v>45776</v>
      </c>
      <c r="F252" s="5" t="s">
        <v>6299</v>
      </c>
      <c r="G252" s="5" t="s">
        <v>1079</v>
      </c>
      <c r="H252" s="6"/>
      <c r="I252" s="6"/>
      <c r="J252" s="6"/>
      <c r="K252" s="6"/>
      <c r="L252" s="7" t="s">
        <v>6302</v>
      </c>
      <c r="M252" s="8">
        <v>905846</v>
      </c>
      <c r="N252" s="8" t="str">
        <f t="shared" si="20"/>
        <v>PEN</v>
      </c>
      <c r="O252" s="13"/>
      <c r="P252" s="13">
        <v>90</v>
      </c>
      <c r="Q252" s="3">
        <f t="shared" si="21"/>
        <v>0</v>
      </c>
      <c r="R252" s="3">
        <f t="shared" si="22"/>
        <v>90</v>
      </c>
      <c r="S252" s="3">
        <f t="shared" si="18"/>
        <v>2028.85</v>
      </c>
      <c r="T252" s="24"/>
      <c r="U252" s="24"/>
      <c r="V252" s="69"/>
      <c r="W252" s="25" t="s">
        <v>6326</v>
      </c>
      <c r="X252" s="25"/>
      <c r="Y252" s="25"/>
      <c r="Z252" s="25"/>
      <c r="AA252" s="25"/>
      <c r="AB252" s="3" t="str">
        <f>IF(Caja_Operativa[[#This Row],[FECHA]]&gt;0,TEXT(Caja_Operativa[[#This Row],[FECHA]],"mmmm"),0)</f>
        <v>Abril</v>
      </c>
    </row>
    <row r="253" spans="2:28" ht="24" hidden="1" x14ac:dyDescent="0.3">
      <c r="B253" s="2">
        <f>IF(Caja_Operativa[[#This Row],[TIPO DE R.]]="R",COUNTIFS($D$4:$D252,"R")+1,"")</f>
        <v>249</v>
      </c>
      <c r="C253" s="19" t="str">
        <f t="shared" si="19"/>
        <v>C-Operativa</v>
      </c>
      <c r="D253" s="3" t="s">
        <v>1074</v>
      </c>
      <c r="E253" s="14">
        <v>45777</v>
      </c>
      <c r="F253" s="5" t="s">
        <v>6299</v>
      </c>
      <c r="G253" s="5" t="s">
        <v>1079</v>
      </c>
      <c r="H253" s="6"/>
      <c r="I253" s="6"/>
      <c r="J253" s="6"/>
      <c r="K253" s="6"/>
      <c r="L253" s="7" t="s">
        <v>6327</v>
      </c>
      <c r="M253" s="8">
        <v>3453841</v>
      </c>
      <c r="N253" s="8" t="str">
        <f t="shared" si="20"/>
        <v>PEN</v>
      </c>
      <c r="O253" s="13"/>
      <c r="P253" s="13">
        <v>110</v>
      </c>
      <c r="Q253" s="3">
        <f t="shared" si="21"/>
        <v>0</v>
      </c>
      <c r="R253" s="3">
        <f t="shared" si="22"/>
        <v>110</v>
      </c>
      <c r="S253" s="3">
        <f t="shared" si="18"/>
        <v>1918.85</v>
      </c>
      <c r="T253" s="24"/>
      <c r="U253" s="24"/>
      <c r="V253" s="69"/>
      <c r="W253" s="25" t="s">
        <v>5618</v>
      </c>
      <c r="X253" s="25"/>
      <c r="Y253" s="25"/>
      <c r="Z253" s="25"/>
      <c r="AA253" s="25"/>
      <c r="AB253" s="3" t="str">
        <f>IF(Caja_Operativa[[#This Row],[FECHA]]&gt;0,TEXT(Caja_Operativa[[#This Row],[FECHA]],"mmmm"),0)</f>
        <v>Abril</v>
      </c>
    </row>
    <row r="254" spans="2:28" ht="24" hidden="1" x14ac:dyDescent="0.3">
      <c r="B254" s="2">
        <f>IF(Caja_Operativa[[#This Row],[TIPO DE R.]]="R",COUNTIFS($D$4:$D253,"R")+1,"")</f>
        <v>250</v>
      </c>
      <c r="C254" s="19" t="str">
        <f t="shared" si="19"/>
        <v>C-Operativa</v>
      </c>
      <c r="D254" s="3" t="s">
        <v>1074</v>
      </c>
      <c r="E254" s="14">
        <v>45777</v>
      </c>
      <c r="F254" s="5" t="s">
        <v>6299</v>
      </c>
      <c r="G254" s="5" t="s">
        <v>1079</v>
      </c>
      <c r="H254" s="6"/>
      <c r="I254" s="6"/>
      <c r="J254" s="6"/>
      <c r="K254" s="6"/>
      <c r="L254" s="7" t="s">
        <v>6302</v>
      </c>
      <c r="M254" s="8">
        <v>3445956</v>
      </c>
      <c r="N254" s="8" t="str">
        <f t="shared" si="20"/>
        <v>PEN</v>
      </c>
      <c r="O254" s="13"/>
      <c r="P254" s="13">
        <v>400</v>
      </c>
      <c r="Q254" s="3">
        <f t="shared" si="21"/>
        <v>0</v>
      </c>
      <c r="R254" s="3">
        <f t="shared" si="22"/>
        <v>400</v>
      </c>
      <c r="S254" s="3">
        <f t="shared" si="18"/>
        <v>1518.85</v>
      </c>
      <c r="T254" s="24"/>
      <c r="U254" s="24"/>
      <c r="V254" s="69"/>
      <c r="W254" s="25" t="s">
        <v>6305</v>
      </c>
      <c r="X254" s="25"/>
      <c r="Y254" s="25"/>
      <c r="Z254" s="25"/>
      <c r="AA254" s="25"/>
      <c r="AB254" s="3" t="str">
        <f>IF(Caja_Operativa[[#This Row],[FECHA]]&gt;0,TEXT(Caja_Operativa[[#This Row],[FECHA]],"mmmm"),0)</f>
        <v>Abril</v>
      </c>
    </row>
    <row r="255" spans="2:28" ht="24" hidden="1" x14ac:dyDescent="0.3">
      <c r="B255" s="2">
        <f>IF(Caja_Operativa[[#This Row],[TIPO DE R.]]="R",COUNTIFS($D$4:$D254,"R")+1,"")</f>
        <v>251</v>
      </c>
      <c r="C255" s="19" t="str">
        <f t="shared" si="19"/>
        <v>C-Operativa</v>
      </c>
      <c r="D255" s="3" t="s">
        <v>1074</v>
      </c>
      <c r="E255" s="14">
        <v>45777</v>
      </c>
      <c r="F255" s="5" t="s">
        <v>6299</v>
      </c>
      <c r="G255" s="5" t="s">
        <v>1079</v>
      </c>
      <c r="H255" s="6"/>
      <c r="I255" s="6"/>
      <c r="J255" s="6"/>
      <c r="K255" s="6"/>
      <c r="L255" s="7" t="s">
        <v>6302</v>
      </c>
      <c r="M255" s="8">
        <v>3495045</v>
      </c>
      <c r="N255" s="8" t="str">
        <f t="shared" si="20"/>
        <v>PEN</v>
      </c>
      <c r="O255" s="13"/>
      <c r="P255" s="13">
        <v>400</v>
      </c>
      <c r="Q255" s="3">
        <f t="shared" si="21"/>
        <v>0</v>
      </c>
      <c r="R255" s="3">
        <f t="shared" si="22"/>
        <v>400</v>
      </c>
      <c r="S255" s="3">
        <f t="shared" si="18"/>
        <v>1118.8499999999999</v>
      </c>
      <c r="T255" s="24"/>
      <c r="U255" s="24"/>
      <c r="V255" s="69"/>
      <c r="W255" s="25" t="s">
        <v>6325</v>
      </c>
      <c r="X255" s="25"/>
      <c r="Y255" s="25"/>
      <c r="Z255" s="25"/>
      <c r="AA255" s="25"/>
      <c r="AB255" s="3" t="str">
        <f>IF(Caja_Operativa[[#This Row],[FECHA]]&gt;0,TEXT(Caja_Operativa[[#This Row],[FECHA]],"mmmm"),0)</f>
        <v>Abril</v>
      </c>
    </row>
    <row r="256" spans="2:28" ht="24" hidden="1" x14ac:dyDescent="0.3">
      <c r="B256" s="2">
        <f>IF(Caja_Operativa[[#This Row],[TIPO DE R.]]="R",COUNTIFS($D$4:$D255,"R")+1,"")</f>
        <v>252</v>
      </c>
      <c r="C256" s="19" t="str">
        <f t="shared" si="19"/>
        <v>C-Operativa</v>
      </c>
      <c r="D256" s="3" t="s">
        <v>1074</v>
      </c>
      <c r="E256" s="14">
        <v>45777</v>
      </c>
      <c r="F256" s="5" t="s">
        <v>6299</v>
      </c>
      <c r="G256" s="5" t="s">
        <v>1079</v>
      </c>
      <c r="H256" s="6"/>
      <c r="I256" s="6"/>
      <c r="J256" s="6"/>
      <c r="K256" s="6"/>
      <c r="L256" s="7" t="s">
        <v>6302</v>
      </c>
      <c r="M256" s="8">
        <v>3501489</v>
      </c>
      <c r="N256" s="8" t="str">
        <f t="shared" si="20"/>
        <v>PEN</v>
      </c>
      <c r="O256" s="13"/>
      <c r="P256" s="13">
        <v>400</v>
      </c>
      <c r="Q256" s="3">
        <f t="shared" si="21"/>
        <v>0</v>
      </c>
      <c r="R256" s="3">
        <f t="shared" si="22"/>
        <v>400</v>
      </c>
      <c r="S256" s="3">
        <f t="shared" si="18"/>
        <v>718.84999999999991</v>
      </c>
      <c r="T256" s="24"/>
      <c r="U256" s="24"/>
      <c r="V256" s="69"/>
      <c r="W256" s="25" t="s">
        <v>5685</v>
      </c>
      <c r="X256" s="25"/>
      <c r="Y256" s="25"/>
      <c r="Z256" s="25"/>
      <c r="AA256" s="25"/>
      <c r="AB256" s="3" t="str">
        <f>IF(Caja_Operativa[[#This Row],[FECHA]]&gt;0,TEXT(Caja_Operativa[[#This Row],[FECHA]],"mmmm"),0)</f>
        <v>Abril</v>
      </c>
    </row>
    <row r="257" spans="2:28" hidden="1" x14ac:dyDescent="0.3">
      <c r="B257" s="2">
        <f>IF(Caja_Operativa[[#This Row],[TIPO DE R.]]="R",COUNTIFS($D$4:$D256,"R")+1,"")</f>
        <v>253</v>
      </c>
      <c r="C257" s="19" t="str">
        <f t="shared" si="19"/>
        <v>C-Operativa</v>
      </c>
      <c r="D257" s="3" t="s">
        <v>1074</v>
      </c>
      <c r="E257" s="14">
        <v>45777</v>
      </c>
      <c r="F257" s="5" t="s">
        <v>6299</v>
      </c>
      <c r="G257" s="5" t="s">
        <v>1079</v>
      </c>
      <c r="H257" s="6"/>
      <c r="I257" s="6"/>
      <c r="J257" s="6"/>
      <c r="K257" s="6"/>
      <c r="L257" s="7" t="s">
        <v>6302</v>
      </c>
      <c r="M257" s="8">
        <v>3478183</v>
      </c>
      <c r="N257" s="8" t="str">
        <f t="shared" si="20"/>
        <v>PEN</v>
      </c>
      <c r="O257" s="13"/>
      <c r="P257" s="13">
        <v>400</v>
      </c>
      <c r="Q257" s="3">
        <f t="shared" si="21"/>
        <v>0</v>
      </c>
      <c r="R257" s="3">
        <f t="shared" si="22"/>
        <v>400</v>
      </c>
      <c r="S257" s="3">
        <f t="shared" si="18"/>
        <v>318.84999999999991</v>
      </c>
      <c r="T257" s="24"/>
      <c r="U257" s="24"/>
      <c r="V257" s="69"/>
      <c r="W257" s="25" t="s">
        <v>6303</v>
      </c>
      <c r="X257" s="25"/>
      <c r="Y257" s="25"/>
      <c r="Z257" s="25"/>
      <c r="AA257" s="25"/>
      <c r="AB257" s="3" t="str">
        <f>IF(Caja_Operativa[[#This Row],[FECHA]]&gt;0,TEXT(Caja_Operativa[[#This Row],[FECHA]],"mmmm"),0)</f>
        <v>Abril</v>
      </c>
    </row>
    <row r="258" spans="2:28" ht="24" hidden="1" x14ac:dyDescent="0.3">
      <c r="B258" s="2">
        <f>IF(Caja_Operativa[[#This Row],[TIPO DE R.]]="R",COUNTIFS($D$4:$D257,"R")+1,"")</f>
        <v>254</v>
      </c>
      <c r="C258" s="19" t="str">
        <f t="shared" si="19"/>
        <v>C-Operativa</v>
      </c>
      <c r="D258" s="3" t="s">
        <v>1074</v>
      </c>
      <c r="E258" s="14">
        <v>45777</v>
      </c>
      <c r="F258" s="5" t="s">
        <v>6299</v>
      </c>
      <c r="G258" s="5" t="s">
        <v>1079</v>
      </c>
      <c r="H258" s="6"/>
      <c r="I258" s="6"/>
      <c r="J258" s="6"/>
      <c r="K258" s="6"/>
      <c r="L258" s="7" t="s">
        <v>6327</v>
      </c>
      <c r="M258" s="8">
        <v>3481970</v>
      </c>
      <c r="N258" s="8" t="str">
        <f t="shared" si="20"/>
        <v>PEN</v>
      </c>
      <c r="O258" s="13"/>
      <c r="P258" s="13">
        <v>300</v>
      </c>
      <c r="Q258" s="3">
        <f t="shared" si="21"/>
        <v>0</v>
      </c>
      <c r="R258" s="3">
        <f t="shared" si="22"/>
        <v>300</v>
      </c>
      <c r="S258" s="3">
        <f t="shared" si="18"/>
        <v>18.849999999999909</v>
      </c>
      <c r="T258" s="24"/>
      <c r="U258" s="24"/>
      <c r="V258" s="69"/>
      <c r="W258" s="25" t="s">
        <v>5618</v>
      </c>
      <c r="X258" s="25"/>
      <c r="Y258" s="25"/>
      <c r="Z258" s="25"/>
      <c r="AA258" s="25"/>
      <c r="AB258" s="3" t="str">
        <f>IF(Caja_Operativa[[#This Row],[FECHA]]&gt;0,TEXT(Caja_Operativa[[#This Row],[FECHA]],"mmmm"),0)</f>
        <v>Abril</v>
      </c>
    </row>
    <row r="259" spans="2:28" hidden="1" x14ac:dyDescent="0.3">
      <c r="B259" s="2">
        <f>IF(Caja_Operativa[[#This Row],[TIPO DE R.]]="R",COUNTIFS($D$4:$D258,"R")+1,"")</f>
        <v>255</v>
      </c>
      <c r="C259" s="19" t="str">
        <f t="shared" si="19"/>
        <v>C-Operativa</v>
      </c>
      <c r="D259" s="3" t="s">
        <v>1074</v>
      </c>
      <c r="E259" s="14">
        <v>45776</v>
      </c>
      <c r="F259" s="5" t="s">
        <v>6298</v>
      </c>
      <c r="G259" s="5" t="s">
        <v>1087</v>
      </c>
      <c r="H259" s="6"/>
      <c r="I259" s="6"/>
      <c r="J259" s="6" t="s">
        <v>6329</v>
      </c>
      <c r="K259" s="6">
        <v>8</v>
      </c>
      <c r="L259" s="7" t="s">
        <v>6330</v>
      </c>
      <c r="M259" s="8">
        <v>129793</v>
      </c>
      <c r="N259" s="8" t="str">
        <f t="shared" si="20"/>
        <v>PEN</v>
      </c>
      <c r="O259" s="13"/>
      <c r="P259" s="13">
        <v>3981.15</v>
      </c>
      <c r="Q259" s="3">
        <f t="shared" si="21"/>
        <v>3981.15</v>
      </c>
      <c r="R259" s="3">
        <f t="shared" si="22"/>
        <v>0</v>
      </c>
      <c r="S259" s="3">
        <f t="shared" si="18"/>
        <v>4000</v>
      </c>
      <c r="T259" s="24"/>
      <c r="U259" s="24"/>
      <c r="V259" s="69"/>
      <c r="W259" s="25" t="s">
        <v>6299</v>
      </c>
      <c r="X259" s="25"/>
      <c r="Y259" s="25"/>
      <c r="Z259" s="25"/>
      <c r="AA259" s="25"/>
      <c r="AB259" s="3" t="str">
        <f>IF(Caja_Operativa[[#This Row],[FECHA]]&gt;0,TEXT(Caja_Operativa[[#This Row],[FECHA]],"mmmm"),0)</f>
        <v>Abril</v>
      </c>
    </row>
    <row r="260" spans="2:28" hidden="1" x14ac:dyDescent="0.3">
      <c r="B260" s="2">
        <f>IF(Caja_Operativa[[#This Row],[TIPO DE R.]]="R",COUNTIFS($D$4:$D259,"R")+1,"")</f>
        <v>256</v>
      </c>
      <c r="C260" s="19" t="str">
        <f t="shared" si="19"/>
        <v>C-Operativa</v>
      </c>
      <c r="D260" s="3" t="s">
        <v>1074</v>
      </c>
      <c r="E260" s="14">
        <v>45776</v>
      </c>
      <c r="F260" s="5" t="s">
        <v>1078</v>
      </c>
      <c r="G260" s="5" t="s">
        <v>1079</v>
      </c>
      <c r="H260" s="6"/>
      <c r="I260" s="6"/>
      <c r="J260" s="6"/>
      <c r="K260" s="6"/>
      <c r="L260" s="7" t="s">
        <v>4128</v>
      </c>
      <c r="M260" s="8"/>
      <c r="N260" s="8" t="str">
        <f t="shared" si="20"/>
        <v>PEN</v>
      </c>
      <c r="O260" s="13"/>
      <c r="P260" s="13">
        <v>0.15</v>
      </c>
      <c r="Q260" s="3">
        <f t="shared" si="21"/>
        <v>0</v>
      </c>
      <c r="R260" s="3">
        <f t="shared" si="22"/>
        <v>0.15</v>
      </c>
      <c r="S260" s="3">
        <f t="shared" si="18"/>
        <v>3999.85</v>
      </c>
      <c r="T260" s="24"/>
      <c r="U260" s="24"/>
      <c r="V260" s="69"/>
      <c r="W260" s="25"/>
      <c r="X260" s="25"/>
      <c r="Y260" s="25"/>
      <c r="Z260" s="25"/>
      <c r="AA260" s="25"/>
      <c r="AB260" s="3" t="str">
        <f>IF(Caja_Operativa[[#This Row],[FECHA]]&gt;0,TEXT(Caja_Operativa[[#This Row],[FECHA]],"mmmm"),0)</f>
        <v>Abril</v>
      </c>
    </row>
    <row r="261" spans="2:28" ht="24" hidden="1" x14ac:dyDescent="0.3">
      <c r="B261" s="2">
        <f>IF(Caja_Operativa[[#This Row],[TIPO DE R.]]="R",COUNTIFS($D$4:$D260,"R")+1,"")</f>
        <v>257</v>
      </c>
      <c r="C261" s="19" t="str">
        <f t="shared" si="19"/>
        <v>C-Operativa</v>
      </c>
      <c r="D261" s="3" t="s">
        <v>1074</v>
      </c>
      <c r="E261" s="14">
        <v>45777</v>
      </c>
      <c r="F261" s="5" t="s">
        <v>6299</v>
      </c>
      <c r="G261" s="5" t="s">
        <v>1079</v>
      </c>
      <c r="H261" s="6"/>
      <c r="I261" s="6"/>
      <c r="J261" s="6"/>
      <c r="K261" s="6"/>
      <c r="L261" s="7" t="s">
        <v>6302</v>
      </c>
      <c r="M261" s="8">
        <v>3549800</v>
      </c>
      <c r="N261" s="8" t="str">
        <f t="shared" si="20"/>
        <v>PEN</v>
      </c>
      <c r="O261" s="13"/>
      <c r="P261" s="13">
        <v>500</v>
      </c>
      <c r="Q261" s="3">
        <f t="shared" si="21"/>
        <v>0</v>
      </c>
      <c r="R261" s="3">
        <f t="shared" si="22"/>
        <v>500</v>
      </c>
      <c r="S261" s="3">
        <f t="shared" ref="S261:S324" si="23">IFERROR(IF(G261="SALDO",Q261,S260+Q261-R261),0)</f>
        <v>3499.85</v>
      </c>
      <c r="T261" s="24"/>
      <c r="U261" s="24"/>
      <c r="V261" s="69"/>
      <c r="W261" s="25" t="s">
        <v>6301</v>
      </c>
      <c r="X261" s="25"/>
      <c r="Y261" s="25"/>
      <c r="Z261" s="25"/>
      <c r="AA261" s="25"/>
      <c r="AB261" s="3" t="str">
        <f>IF(Caja_Operativa[[#This Row],[FECHA]]&gt;0,TEXT(Caja_Operativa[[#This Row],[FECHA]],"mmmm"),0)</f>
        <v>Abril</v>
      </c>
    </row>
    <row r="262" spans="2:28" ht="24" hidden="1" x14ac:dyDescent="0.3">
      <c r="B262" s="2">
        <f>IF(Caja_Operativa[[#This Row],[TIPO DE R.]]="R",COUNTIFS($D$4:$D261,"R")+1,"")</f>
        <v>258</v>
      </c>
      <c r="C262" s="19" t="str">
        <f t="shared" ref="C262:C325" si="24">"C-Operativa"</f>
        <v>C-Operativa</v>
      </c>
      <c r="D262" s="3" t="s">
        <v>1074</v>
      </c>
      <c r="E262" s="14">
        <v>45777</v>
      </c>
      <c r="F262" s="5" t="s">
        <v>6299</v>
      </c>
      <c r="G262" s="5" t="s">
        <v>1079</v>
      </c>
      <c r="H262" s="6"/>
      <c r="I262" s="6"/>
      <c r="J262" s="6"/>
      <c r="K262" s="6"/>
      <c r="L262" s="7" t="s">
        <v>6302</v>
      </c>
      <c r="M262" s="8">
        <v>3524110</v>
      </c>
      <c r="N262" s="8" t="str">
        <f t="shared" ref="N262:N325" si="25">"PEN"</f>
        <v>PEN</v>
      </c>
      <c r="O262" s="13"/>
      <c r="P262" s="13">
        <v>400</v>
      </c>
      <c r="Q262" s="3">
        <f t="shared" ref="Q262:Q325" si="26">+IF(OR($G262="SALDO",$G262="INGRESO"),$P262,0)</f>
        <v>0</v>
      </c>
      <c r="R262" s="3">
        <f t="shared" ref="R262:R325" si="27">+IF($G262="EGRESO",$P262,0)</f>
        <v>400</v>
      </c>
      <c r="S262" s="3">
        <f t="shared" si="23"/>
        <v>3099.85</v>
      </c>
      <c r="T262" s="24"/>
      <c r="U262" s="24"/>
      <c r="V262" s="69"/>
      <c r="W262" s="25" t="s">
        <v>6326</v>
      </c>
      <c r="X262" s="25"/>
      <c r="Y262" s="25"/>
      <c r="Z262" s="25"/>
      <c r="AA262" s="25"/>
      <c r="AB262" s="3" t="str">
        <f>IF(Caja_Operativa[[#This Row],[FECHA]]&gt;0,TEXT(Caja_Operativa[[#This Row],[FECHA]],"mmmm"),0)</f>
        <v>Abril</v>
      </c>
    </row>
    <row r="263" spans="2:28" ht="24" hidden="1" x14ac:dyDescent="0.3">
      <c r="B263" s="2">
        <f>IF(Caja_Operativa[[#This Row],[TIPO DE R.]]="R",COUNTIFS($D$4:$D262,"R")+1,"")</f>
        <v>259</v>
      </c>
      <c r="C263" s="19" t="str">
        <f t="shared" si="24"/>
        <v>C-Operativa</v>
      </c>
      <c r="D263" s="3" t="s">
        <v>1074</v>
      </c>
      <c r="E263" s="14">
        <v>45777</v>
      </c>
      <c r="F263" s="5" t="s">
        <v>6299</v>
      </c>
      <c r="G263" s="5" t="s">
        <v>1079</v>
      </c>
      <c r="H263" s="6"/>
      <c r="I263" s="6"/>
      <c r="J263" s="6"/>
      <c r="K263" s="6"/>
      <c r="L263" s="7" t="s">
        <v>6302</v>
      </c>
      <c r="M263" s="8">
        <v>3579026</v>
      </c>
      <c r="N263" s="8" t="str">
        <f t="shared" si="25"/>
        <v>PEN</v>
      </c>
      <c r="O263" s="13"/>
      <c r="P263" s="13">
        <v>400</v>
      </c>
      <c r="Q263" s="3">
        <f t="shared" si="26"/>
        <v>0</v>
      </c>
      <c r="R263" s="3">
        <f t="shared" si="27"/>
        <v>400</v>
      </c>
      <c r="S263" s="3">
        <f t="shared" si="23"/>
        <v>2699.85</v>
      </c>
      <c r="T263" s="24"/>
      <c r="U263" s="24"/>
      <c r="V263" s="69"/>
      <c r="W263" s="25" t="s">
        <v>6359</v>
      </c>
      <c r="X263" s="25"/>
      <c r="Y263" s="25"/>
      <c r="Z263" s="25"/>
      <c r="AA263" s="25"/>
      <c r="AB263" s="3" t="str">
        <f>IF(Caja_Operativa[[#This Row],[FECHA]]&gt;0,TEXT(Caja_Operativa[[#This Row],[FECHA]],"mmmm"),0)</f>
        <v>Abril</v>
      </c>
    </row>
    <row r="264" spans="2:28" ht="24" hidden="1" x14ac:dyDescent="0.3">
      <c r="B264" s="2">
        <f>IF(Caja_Operativa[[#This Row],[TIPO DE R.]]="R",COUNTIFS($D$4:$D263,"R")+1,"")</f>
        <v>260</v>
      </c>
      <c r="C264" s="19" t="str">
        <f t="shared" si="24"/>
        <v>C-Operativa</v>
      </c>
      <c r="D264" s="3" t="s">
        <v>1074</v>
      </c>
      <c r="E264" s="14">
        <v>45790</v>
      </c>
      <c r="F264" s="5" t="s">
        <v>6299</v>
      </c>
      <c r="G264" s="5" t="s">
        <v>1079</v>
      </c>
      <c r="H264" s="6"/>
      <c r="I264" s="6"/>
      <c r="J264" s="6"/>
      <c r="K264" s="6"/>
      <c r="L264" s="7" t="s">
        <v>6302</v>
      </c>
      <c r="M264" s="8">
        <v>865606</v>
      </c>
      <c r="N264" s="8" t="str">
        <f t="shared" si="25"/>
        <v>PEN</v>
      </c>
      <c r="O264" s="13"/>
      <c r="P264" s="13">
        <v>300</v>
      </c>
      <c r="Q264" s="3">
        <f t="shared" si="26"/>
        <v>0</v>
      </c>
      <c r="R264" s="3">
        <f t="shared" si="27"/>
        <v>300</v>
      </c>
      <c r="S264" s="3">
        <f t="shared" si="23"/>
        <v>2399.85</v>
      </c>
      <c r="T264" s="24"/>
      <c r="U264" s="24"/>
      <c r="V264" s="69"/>
      <c r="W264" s="25" t="s">
        <v>6359</v>
      </c>
      <c r="X264" s="25"/>
      <c r="Y264" s="25"/>
      <c r="Z264" s="25"/>
      <c r="AA264" s="25"/>
      <c r="AB264" s="3" t="str">
        <f>IF(Caja_Operativa[[#This Row],[FECHA]]&gt;0,TEXT(Caja_Operativa[[#This Row],[FECHA]],"mmmm"),0)</f>
        <v>Mayo</v>
      </c>
    </row>
    <row r="265" spans="2:28" ht="24" hidden="1" x14ac:dyDescent="0.3">
      <c r="B265" s="2">
        <f>IF(Caja_Operativa[[#This Row],[TIPO DE R.]]="R",COUNTIFS($D$4:$D264,"R")+1,"")</f>
        <v>261</v>
      </c>
      <c r="C265" s="19" t="str">
        <f t="shared" si="24"/>
        <v>C-Operativa</v>
      </c>
      <c r="D265" s="3" t="s">
        <v>1074</v>
      </c>
      <c r="E265" s="14">
        <v>45790</v>
      </c>
      <c r="F265" s="5" t="s">
        <v>6299</v>
      </c>
      <c r="G265" s="5" t="s">
        <v>1079</v>
      </c>
      <c r="H265" s="6"/>
      <c r="I265" s="6"/>
      <c r="J265" s="6"/>
      <c r="K265" s="6"/>
      <c r="L265" s="7" t="s">
        <v>6302</v>
      </c>
      <c r="M265" s="8">
        <v>886859</v>
      </c>
      <c r="N265" s="8" t="str">
        <f t="shared" si="25"/>
        <v>PEN</v>
      </c>
      <c r="O265" s="13"/>
      <c r="P265" s="13">
        <v>300</v>
      </c>
      <c r="Q265" s="3">
        <f t="shared" si="26"/>
        <v>0</v>
      </c>
      <c r="R265" s="3">
        <f t="shared" si="27"/>
        <v>300</v>
      </c>
      <c r="S265" s="3">
        <f t="shared" si="23"/>
        <v>2099.85</v>
      </c>
      <c r="T265" s="24"/>
      <c r="U265" s="24"/>
      <c r="V265" s="69"/>
      <c r="W265" s="25" t="s">
        <v>6305</v>
      </c>
      <c r="X265" s="25"/>
      <c r="Y265" s="25"/>
      <c r="Z265" s="25"/>
      <c r="AA265" s="25"/>
      <c r="AB265" s="3" t="str">
        <f>IF(Caja_Operativa[[#This Row],[FECHA]]&gt;0,TEXT(Caja_Operativa[[#This Row],[FECHA]],"mmmm"),0)</f>
        <v>Mayo</v>
      </c>
    </row>
    <row r="266" spans="2:28" ht="24" hidden="1" x14ac:dyDescent="0.3">
      <c r="B266" s="2">
        <f>IF(Caja_Operativa[[#This Row],[TIPO DE R.]]="R",COUNTIFS($D$4:$D265,"R")+1,"")</f>
        <v>262</v>
      </c>
      <c r="C266" s="19" t="str">
        <f t="shared" si="24"/>
        <v>C-Operativa</v>
      </c>
      <c r="D266" s="3" t="s">
        <v>1074</v>
      </c>
      <c r="E266" s="14">
        <v>45790</v>
      </c>
      <c r="F266" s="5" t="s">
        <v>6299</v>
      </c>
      <c r="G266" s="5" t="s">
        <v>1079</v>
      </c>
      <c r="H266" s="6"/>
      <c r="I266" s="6"/>
      <c r="J266" s="6"/>
      <c r="K266" s="6"/>
      <c r="L266" s="7" t="s">
        <v>6302</v>
      </c>
      <c r="M266" s="8">
        <v>893287</v>
      </c>
      <c r="N266" s="8" t="str">
        <f t="shared" si="25"/>
        <v>PEN</v>
      </c>
      <c r="O266" s="13"/>
      <c r="P266" s="13">
        <v>300</v>
      </c>
      <c r="Q266" s="3">
        <f t="shared" si="26"/>
        <v>0</v>
      </c>
      <c r="R266" s="3">
        <f t="shared" si="27"/>
        <v>300</v>
      </c>
      <c r="S266" s="3">
        <f t="shared" si="23"/>
        <v>1799.85</v>
      </c>
      <c r="T266" s="24"/>
      <c r="U266" s="24"/>
      <c r="V266" s="69"/>
      <c r="W266" s="25" t="s">
        <v>6325</v>
      </c>
      <c r="X266" s="25"/>
      <c r="Y266" s="25"/>
      <c r="Z266" s="25"/>
      <c r="AA266" s="25"/>
      <c r="AB266" s="3" t="str">
        <f>IF(Caja_Operativa[[#This Row],[FECHA]]&gt;0,TEXT(Caja_Operativa[[#This Row],[FECHA]],"mmmm"),0)</f>
        <v>Mayo</v>
      </c>
    </row>
    <row r="267" spans="2:28" ht="24" hidden="1" x14ac:dyDescent="0.3">
      <c r="B267" s="2">
        <f>IF(Caja_Operativa[[#This Row],[TIPO DE R.]]="R",COUNTIFS($D$4:$D266,"R")+1,"")</f>
        <v>263</v>
      </c>
      <c r="C267" s="19" t="str">
        <f t="shared" si="24"/>
        <v>C-Operativa</v>
      </c>
      <c r="D267" s="3" t="s">
        <v>1074</v>
      </c>
      <c r="E267" s="14">
        <v>45790</v>
      </c>
      <c r="F267" s="5" t="s">
        <v>6299</v>
      </c>
      <c r="G267" s="5" t="s">
        <v>1079</v>
      </c>
      <c r="H267" s="6"/>
      <c r="I267" s="6"/>
      <c r="J267" s="6"/>
      <c r="K267" s="6"/>
      <c r="L267" s="7" t="s">
        <v>6327</v>
      </c>
      <c r="M267" s="8">
        <v>872912</v>
      </c>
      <c r="N267" s="8" t="str">
        <f t="shared" si="25"/>
        <v>PEN</v>
      </c>
      <c r="O267" s="13"/>
      <c r="P267" s="13">
        <v>300</v>
      </c>
      <c r="Q267" s="3">
        <f t="shared" si="26"/>
        <v>0</v>
      </c>
      <c r="R267" s="3">
        <f t="shared" si="27"/>
        <v>300</v>
      </c>
      <c r="S267" s="3">
        <f t="shared" si="23"/>
        <v>1499.85</v>
      </c>
      <c r="T267" s="24"/>
      <c r="U267" s="24"/>
      <c r="V267" s="69"/>
      <c r="W267" s="25" t="s">
        <v>5618</v>
      </c>
      <c r="X267" s="25"/>
      <c r="Y267" s="25"/>
      <c r="Z267" s="25"/>
      <c r="AA267" s="25"/>
      <c r="AB267" s="3" t="str">
        <f>IF(Caja_Operativa[[#This Row],[FECHA]]&gt;0,TEXT(Caja_Operativa[[#This Row],[FECHA]],"mmmm"),0)</f>
        <v>Mayo</v>
      </c>
    </row>
    <row r="268" spans="2:28" hidden="1" x14ac:dyDescent="0.3">
      <c r="B268" s="2">
        <f>IF(Caja_Operativa[[#This Row],[TIPO DE R.]]="R",COUNTIFS($D$4:$D267,"R")+1,"")</f>
        <v>264</v>
      </c>
      <c r="C268" s="19" t="str">
        <f t="shared" si="24"/>
        <v>C-Operativa</v>
      </c>
      <c r="D268" s="3" t="s">
        <v>1074</v>
      </c>
      <c r="E268" s="14">
        <v>45790</v>
      </c>
      <c r="F268" s="5" t="s">
        <v>6299</v>
      </c>
      <c r="G268" s="5" t="s">
        <v>1079</v>
      </c>
      <c r="H268" s="6"/>
      <c r="I268" s="6"/>
      <c r="J268" s="6"/>
      <c r="K268" s="6"/>
      <c r="L268" s="7" t="s">
        <v>6302</v>
      </c>
      <c r="M268" s="8">
        <v>930769</v>
      </c>
      <c r="N268" s="8" t="str">
        <f t="shared" si="25"/>
        <v>PEN</v>
      </c>
      <c r="O268" s="13"/>
      <c r="P268" s="13">
        <v>200</v>
      </c>
      <c r="Q268" s="3">
        <f t="shared" si="26"/>
        <v>0</v>
      </c>
      <c r="R268" s="3">
        <f t="shared" si="27"/>
        <v>200</v>
      </c>
      <c r="S268" s="3">
        <f t="shared" si="23"/>
        <v>1299.8499999999999</v>
      </c>
      <c r="T268" s="24"/>
      <c r="U268" s="24"/>
      <c r="V268" s="69"/>
      <c r="W268" s="25" t="s">
        <v>6303</v>
      </c>
      <c r="X268" s="25"/>
      <c r="Y268" s="25"/>
      <c r="Z268" s="25"/>
      <c r="AA268" s="25"/>
      <c r="AB268" s="3" t="str">
        <f>IF(Caja_Operativa[[#This Row],[FECHA]]&gt;0,TEXT(Caja_Operativa[[#This Row],[FECHA]],"mmmm"),0)</f>
        <v>Mayo</v>
      </c>
    </row>
    <row r="269" spans="2:28" ht="24" hidden="1" x14ac:dyDescent="0.3">
      <c r="B269" s="2">
        <f>IF(Caja_Operativa[[#This Row],[TIPO DE R.]]="R",COUNTIFS($D$4:$D268,"R")+1,"")</f>
        <v>265</v>
      </c>
      <c r="C269" s="19" t="str">
        <f t="shared" si="24"/>
        <v>C-Operativa</v>
      </c>
      <c r="D269" s="3" t="s">
        <v>1074</v>
      </c>
      <c r="E269" s="14">
        <v>45790</v>
      </c>
      <c r="F269" s="5" t="s">
        <v>6299</v>
      </c>
      <c r="G269" s="5" t="s">
        <v>1079</v>
      </c>
      <c r="H269" s="6"/>
      <c r="I269" s="6"/>
      <c r="J269" s="6"/>
      <c r="K269" s="6"/>
      <c r="L269" s="7" t="s">
        <v>6302</v>
      </c>
      <c r="M269" s="8">
        <v>922666</v>
      </c>
      <c r="N269" s="8" t="str">
        <f t="shared" si="25"/>
        <v>PEN</v>
      </c>
      <c r="O269" s="13"/>
      <c r="P269" s="13">
        <v>300</v>
      </c>
      <c r="Q269" s="3">
        <f t="shared" si="26"/>
        <v>0</v>
      </c>
      <c r="R269" s="3">
        <f t="shared" si="27"/>
        <v>300</v>
      </c>
      <c r="S269" s="3">
        <f t="shared" si="23"/>
        <v>999.84999999999991</v>
      </c>
      <c r="T269" s="24"/>
      <c r="U269" s="24"/>
      <c r="V269" s="69"/>
      <c r="W269" s="25" t="s">
        <v>6307</v>
      </c>
      <c r="X269" s="25"/>
      <c r="Y269" s="25"/>
      <c r="Z269" s="25"/>
      <c r="AA269" s="25"/>
      <c r="AB269" s="3" t="str">
        <f>IF(Caja_Operativa[[#This Row],[FECHA]]&gt;0,TEXT(Caja_Operativa[[#This Row],[FECHA]],"mmmm"),0)</f>
        <v>Mayo</v>
      </c>
    </row>
    <row r="270" spans="2:28" hidden="1" x14ac:dyDescent="0.3">
      <c r="B270" s="2">
        <f>IF(Caja_Operativa[[#This Row],[TIPO DE R.]]="R",COUNTIFS($D$4:$D269,"R")+1,"")</f>
        <v>266</v>
      </c>
      <c r="C270" s="19" t="str">
        <f t="shared" si="24"/>
        <v>C-Operativa</v>
      </c>
      <c r="D270" s="3" t="s">
        <v>1074</v>
      </c>
      <c r="E270" s="14">
        <v>45790</v>
      </c>
      <c r="F270" s="5" t="s">
        <v>6298</v>
      </c>
      <c r="G270" s="5" t="s">
        <v>1087</v>
      </c>
      <c r="H270" s="6"/>
      <c r="I270" s="6"/>
      <c r="J270" s="6" t="s">
        <v>6329</v>
      </c>
      <c r="K270" s="6">
        <v>9</v>
      </c>
      <c r="L270" s="7" t="s">
        <v>6330</v>
      </c>
      <c r="M270" s="8">
        <v>112266</v>
      </c>
      <c r="N270" s="8" t="str">
        <f t="shared" si="25"/>
        <v>PEN</v>
      </c>
      <c r="O270" s="13"/>
      <c r="P270" s="13">
        <v>3000.15</v>
      </c>
      <c r="Q270" s="3">
        <f t="shared" si="26"/>
        <v>3000.15</v>
      </c>
      <c r="R270" s="3">
        <f t="shared" si="27"/>
        <v>0</v>
      </c>
      <c r="S270" s="3">
        <f t="shared" si="23"/>
        <v>4000</v>
      </c>
      <c r="T270" s="24"/>
      <c r="U270" s="24"/>
      <c r="V270" s="69"/>
      <c r="W270" s="25" t="s">
        <v>6299</v>
      </c>
      <c r="X270" s="25"/>
      <c r="Y270" s="25"/>
      <c r="Z270" s="25"/>
      <c r="AA270" s="25"/>
      <c r="AB270" s="3" t="str">
        <f>IF(Caja_Operativa[[#This Row],[FECHA]]&gt;0,TEXT(Caja_Operativa[[#This Row],[FECHA]],"mmmm"),0)</f>
        <v>Mayo</v>
      </c>
    </row>
    <row r="271" spans="2:28" hidden="1" x14ac:dyDescent="0.3">
      <c r="B271" s="2">
        <f>IF(Caja_Operativa[[#This Row],[TIPO DE R.]]="R",COUNTIFS($D$4:$D270,"R")+1,"")</f>
        <v>267</v>
      </c>
      <c r="C271" s="19" t="str">
        <f t="shared" si="24"/>
        <v>C-Operativa</v>
      </c>
      <c r="D271" s="3" t="s">
        <v>1074</v>
      </c>
      <c r="E271" s="14">
        <v>45790</v>
      </c>
      <c r="F271" s="5" t="s">
        <v>1078</v>
      </c>
      <c r="G271" s="5" t="s">
        <v>1079</v>
      </c>
      <c r="H271" s="6"/>
      <c r="I271" s="6"/>
      <c r="J271" s="6"/>
      <c r="K271" s="6"/>
      <c r="L271" s="7" t="s">
        <v>4128</v>
      </c>
      <c r="M271" s="8"/>
      <c r="N271" s="8" t="str">
        <f t="shared" si="25"/>
        <v>PEN</v>
      </c>
      <c r="O271" s="13"/>
      <c r="P271" s="13">
        <v>0.15</v>
      </c>
      <c r="Q271" s="3">
        <f t="shared" si="26"/>
        <v>0</v>
      </c>
      <c r="R271" s="3">
        <f t="shared" si="27"/>
        <v>0.15</v>
      </c>
      <c r="S271" s="3">
        <f t="shared" si="23"/>
        <v>3999.85</v>
      </c>
      <c r="T271" s="24"/>
      <c r="U271" s="24"/>
      <c r="V271" s="69"/>
      <c r="W271" s="25"/>
      <c r="X271" s="25"/>
      <c r="Y271" s="25"/>
      <c r="Z271" s="25"/>
      <c r="AA271" s="25"/>
      <c r="AB271" s="3" t="str">
        <f>IF(Caja_Operativa[[#This Row],[FECHA]]&gt;0,TEXT(Caja_Operativa[[#This Row],[FECHA]],"mmmm"),0)</f>
        <v>Mayo</v>
      </c>
    </row>
    <row r="272" spans="2:28" ht="60" hidden="1" x14ac:dyDescent="0.3">
      <c r="B272" s="2">
        <f>IF(Caja_Operativa[[#This Row],[TIPO DE R.]]="R",COUNTIFS($D$4:$D271,"R")+1,"")</f>
        <v>268</v>
      </c>
      <c r="C272" s="19" t="str">
        <f t="shared" si="24"/>
        <v>C-Operativa</v>
      </c>
      <c r="D272" s="3" t="s">
        <v>1074</v>
      </c>
      <c r="E272" s="14">
        <v>45791</v>
      </c>
      <c r="F272" s="5" t="s">
        <v>6299</v>
      </c>
      <c r="G272" s="5" t="s">
        <v>1079</v>
      </c>
      <c r="H272" s="6"/>
      <c r="I272" s="6"/>
      <c r="J272" s="6"/>
      <c r="K272" s="6"/>
      <c r="L272" s="7" t="s">
        <v>6451</v>
      </c>
      <c r="M272" s="8">
        <v>982624</v>
      </c>
      <c r="N272" s="8" t="str">
        <f t="shared" si="25"/>
        <v>PEN</v>
      </c>
      <c r="O272" s="13"/>
      <c r="P272" s="13">
        <v>10</v>
      </c>
      <c r="Q272" s="3">
        <f t="shared" si="26"/>
        <v>0</v>
      </c>
      <c r="R272" s="3">
        <f t="shared" si="27"/>
        <v>10</v>
      </c>
      <c r="S272" s="3">
        <f t="shared" si="23"/>
        <v>3989.85</v>
      </c>
      <c r="T272" s="24"/>
      <c r="U272" s="24"/>
      <c r="V272" s="69"/>
      <c r="W272" s="25" t="s">
        <v>6307</v>
      </c>
      <c r="X272" s="25"/>
      <c r="Y272" s="25"/>
      <c r="Z272" s="25"/>
      <c r="AA272" s="25"/>
      <c r="AB272" s="3" t="str">
        <f>IF(Caja_Operativa[[#This Row],[FECHA]]&gt;0,TEXT(Caja_Operativa[[#This Row],[FECHA]],"mmmm"),0)</f>
        <v>Mayo</v>
      </c>
    </row>
    <row r="273" spans="2:28" ht="60" hidden="1" x14ac:dyDescent="0.3">
      <c r="B273" s="2">
        <f>IF(Caja_Operativa[[#This Row],[TIPO DE R.]]="R",COUNTIFS($D$4:$D272,"R")+1,"")</f>
        <v>269</v>
      </c>
      <c r="C273" s="19" t="str">
        <f t="shared" si="24"/>
        <v>C-Operativa</v>
      </c>
      <c r="D273" s="3" t="s">
        <v>1074</v>
      </c>
      <c r="E273" s="14">
        <v>45791</v>
      </c>
      <c r="F273" s="5" t="s">
        <v>6299</v>
      </c>
      <c r="G273" s="5" t="s">
        <v>1079</v>
      </c>
      <c r="H273" s="6"/>
      <c r="I273" s="6"/>
      <c r="J273" s="6"/>
      <c r="K273" s="6"/>
      <c r="L273" s="7" t="s">
        <v>6452</v>
      </c>
      <c r="M273" s="8">
        <v>983593</v>
      </c>
      <c r="N273" s="8" t="str">
        <f t="shared" si="25"/>
        <v>PEN</v>
      </c>
      <c r="O273" s="13"/>
      <c r="P273" s="13">
        <v>8</v>
      </c>
      <c r="Q273" s="3">
        <f t="shared" si="26"/>
        <v>0</v>
      </c>
      <c r="R273" s="3">
        <f t="shared" si="27"/>
        <v>8</v>
      </c>
      <c r="S273" s="3">
        <f t="shared" si="23"/>
        <v>3981.85</v>
      </c>
      <c r="T273" s="24"/>
      <c r="U273" s="24"/>
      <c r="V273" s="69"/>
      <c r="W273" s="25" t="s">
        <v>6307</v>
      </c>
      <c r="X273" s="25"/>
      <c r="Y273" s="25"/>
      <c r="Z273" s="25"/>
      <c r="AA273" s="25"/>
      <c r="AB273" s="3" t="str">
        <f>IF(Caja_Operativa[[#This Row],[FECHA]]&gt;0,TEXT(Caja_Operativa[[#This Row],[FECHA]],"mmmm"),0)</f>
        <v>Mayo</v>
      </c>
    </row>
    <row r="274" spans="2:28" ht="60" hidden="1" x14ac:dyDescent="0.3">
      <c r="B274" s="2">
        <f>IF(Caja_Operativa[[#This Row],[TIPO DE R.]]="R",COUNTIFS($D$4:$D273,"R")+1,"")</f>
        <v>270</v>
      </c>
      <c r="C274" s="19" t="str">
        <f t="shared" si="24"/>
        <v>C-Operativa</v>
      </c>
      <c r="D274" s="3" t="s">
        <v>1074</v>
      </c>
      <c r="E274" s="14">
        <v>45791</v>
      </c>
      <c r="F274" s="5" t="s">
        <v>6299</v>
      </c>
      <c r="G274" s="5" t="s">
        <v>1079</v>
      </c>
      <c r="H274" s="6"/>
      <c r="I274" s="6"/>
      <c r="J274" s="6"/>
      <c r="K274" s="6"/>
      <c r="L274" s="7" t="s">
        <v>6453</v>
      </c>
      <c r="M274" s="8">
        <v>983841</v>
      </c>
      <c r="N274" s="8" t="str">
        <f t="shared" si="25"/>
        <v>PEN</v>
      </c>
      <c r="O274" s="13"/>
      <c r="P274" s="13">
        <v>8</v>
      </c>
      <c r="Q274" s="3">
        <f t="shared" si="26"/>
        <v>0</v>
      </c>
      <c r="R274" s="3">
        <f t="shared" si="27"/>
        <v>8</v>
      </c>
      <c r="S274" s="3">
        <f t="shared" si="23"/>
        <v>3973.85</v>
      </c>
      <c r="T274" s="24"/>
      <c r="U274" s="24"/>
      <c r="V274" s="69"/>
      <c r="W274" s="25" t="s">
        <v>6307</v>
      </c>
      <c r="X274" s="25"/>
      <c r="Y274" s="25"/>
      <c r="Z274" s="25"/>
      <c r="AA274" s="25"/>
      <c r="AB274" s="3" t="str">
        <f>IF(Caja_Operativa[[#This Row],[FECHA]]&gt;0,TEXT(Caja_Operativa[[#This Row],[FECHA]],"mmmm"),0)</f>
        <v>Mayo</v>
      </c>
    </row>
    <row r="275" spans="2:28" ht="60" hidden="1" x14ac:dyDescent="0.3">
      <c r="B275" s="2">
        <f>IF(Caja_Operativa[[#This Row],[TIPO DE R.]]="R",COUNTIFS($D$4:$D274,"R")+1,"")</f>
        <v>271</v>
      </c>
      <c r="C275" s="19" t="str">
        <f t="shared" si="24"/>
        <v>C-Operativa</v>
      </c>
      <c r="D275" s="3" t="s">
        <v>1074</v>
      </c>
      <c r="E275" s="14">
        <v>45791</v>
      </c>
      <c r="F275" s="5" t="s">
        <v>6299</v>
      </c>
      <c r="G275" s="5" t="s">
        <v>1079</v>
      </c>
      <c r="H275" s="6"/>
      <c r="I275" s="6"/>
      <c r="J275" s="6"/>
      <c r="K275" s="6"/>
      <c r="L275" s="7" t="s">
        <v>6454</v>
      </c>
      <c r="M275" s="8">
        <v>1023213</v>
      </c>
      <c r="N275" s="8" t="str">
        <f t="shared" si="25"/>
        <v>PEN</v>
      </c>
      <c r="O275" s="13"/>
      <c r="P275" s="13">
        <v>8</v>
      </c>
      <c r="Q275" s="3">
        <f t="shared" si="26"/>
        <v>0</v>
      </c>
      <c r="R275" s="3">
        <f t="shared" si="27"/>
        <v>8</v>
      </c>
      <c r="S275" s="3">
        <f t="shared" si="23"/>
        <v>3965.85</v>
      </c>
      <c r="T275" s="24"/>
      <c r="U275" s="24"/>
      <c r="V275" s="69"/>
      <c r="W275" s="25" t="s">
        <v>6307</v>
      </c>
      <c r="X275" s="25"/>
      <c r="Y275" s="25"/>
      <c r="Z275" s="25"/>
      <c r="AA275" s="25"/>
      <c r="AB275" s="3" t="str">
        <f>IF(Caja_Operativa[[#This Row],[FECHA]]&gt;0,TEXT(Caja_Operativa[[#This Row],[FECHA]],"mmmm"),0)</f>
        <v>Mayo</v>
      </c>
    </row>
    <row r="276" spans="2:28" ht="60" hidden="1" x14ac:dyDescent="0.3">
      <c r="B276" s="2">
        <f>IF(Caja_Operativa[[#This Row],[TIPO DE R.]]="R",COUNTIFS($D$4:$D275,"R")+1,"")</f>
        <v>272</v>
      </c>
      <c r="C276" s="19" t="str">
        <f t="shared" si="24"/>
        <v>C-Operativa</v>
      </c>
      <c r="D276" s="3" t="s">
        <v>1074</v>
      </c>
      <c r="E276" s="14">
        <v>45791</v>
      </c>
      <c r="F276" s="5" t="s">
        <v>6299</v>
      </c>
      <c r="G276" s="5" t="s">
        <v>1079</v>
      </c>
      <c r="H276" s="6"/>
      <c r="I276" s="6"/>
      <c r="J276" s="6"/>
      <c r="K276" s="6"/>
      <c r="L276" s="7" t="s">
        <v>6455</v>
      </c>
      <c r="M276" s="8">
        <v>999833</v>
      </c>
      <c r="N276" s="8" t="str">
        <f t="shared" si="25"/>
        <v>PEN</v>
      </c>
      <c r="O276" s="13"/>
      <c r="P276" s="13">
        <v>8</v>
      </c>
      <c r="Q276" s="3">
        <f t="shared" si="26"/>
        <v>0</v>
      </c>
      <c r="R276" s="3">
        <f t="shared" si="27"/>
        <v>8</v>
      </c>
      <c r="S276" s="3">
        <f t="shared" si="23"/>
        <v>3957.85</v>
      </c>
      <c r="T276" s="24"/>
      <c r="U276" s="24"/>
      <c r="V276" s="69"/>
      <c r="W276" s="25" t="s">
        <v>6307</v>
      </c>
      <c r="X276" s="25"/>
      <c r="Y276" s="25"/>
      <c r="Z276" s="25"/>
      <c r="AA276" s="25"/>
      <c r="AB276" s="3" t="str">
        <f>IF(Caja_Operativa[[#This Row],[FECHA]]&gt;0,TEXT(Caja_Operativa[[#This Row],[FECHA]],"mmmm"),0)</f>
        <v>Mayo</v>
      </c>
    </row>
    <row r="277" spans="2:28" ht="60" hidden="1" x14ac:dyDescent="0.3">
      <c r="B277" s="2">
        <f>IF(Caja_Operativa[[#This Row],[TIPO DE R.]]="R",COUNTIFS($D$4:$D276,"R")+1,"")</f>
        <v>273</v>
      </c>
      <c r="C277" s="19" t="str">
        <f t="shared" si="24"/>
        <v>C-Operativa</v>
      </c>
      <c r="D277" s="3" t="s">
        <v>1074</v>
      </c>
      <c r="E277" s="14">
        <v>45791</v>
      </c>
      <c r="F277" s="5" t="s">
        <v>6299</v>
      </c>
      <c r="G277" s="5" t="s">
        <v>1079</v>
      </c>
      <c r="H277" s="6"/>
      <c r="I277" s="6"/>
      <c r="J277" s="6"/>
      <c r="K277" s="6"/>
      <c r="L277" s="7" t="s">
        <v>6456</v>
      </c>
      <c r="M277" s="8">
        <v>992352</v>
      </c>
      <c r="N277" s="8" t="str">
        <f t="shared" si="25"/>
        <v>PEN</v>
      </c>
      <c r="O277" s="13"/>
      <c r="P277" s="13">
        <v>30</v>
      </c>
      <c r="Q277" s="3">
        <f t="shared" si="26"/>
        <v>0</v>
      </c>
      <c r="R277" s="3">
        <f t="shared" si="27"/>
        <v>30</v>
      </c>
      <c r="S277" s="3">
        <f t="shared" si="23"/>
        <v>3927.85</v>
      </c>
      <c r="T277" s="24"/>
      <c r="U277" s="24"/>
      <c r="V277" s="69"/>
      <c r="W277" s="25" t="s">
        <v>6307</v>
      </c>
      <c r="X277" s="25"/>
      <c r="Y277" s="25"/>
      <c r="Z277" s="25"/>
      <c r="AA277" s="25"/>
      <c r="AB277" s="3" t="str">
        <f>IF(Caja_Operativa[[#This Row],[FECHA]]&gt;0,TEXT(Caja_Operativa[[#This Row],[FECHA]],"mmmm"),0)</f>
        <v>Mayo</v>
      </c>
    </row>
    <row r="278" spans="2:28" ht="60" hidden="1" x14ac:dyDescent="0.3">
      <c r="B278" s="2">
        <f>IF(Caja_Operativa[[#This Row],[TIPO DE R.]]="R",COUNTIFS($D$4:$D277,"R")+1,"")</f>
        <v>274</v>
      </c>
      <c r="C278" s="19" t="str">
        <f t="shared" si="24"/>
        <v>C-Operativa</v>
      </c>
      <c r="D278" s="3" t="s">
        <v>1074</v>
      </c>
      <c r="E278" s="14">
        <v>45791</v>
      </c>
      <c r="F278" s="5" t="s">
        <v>6299</v>
      </c>
      <c r="G278" s="5" t="s">
        <v>1079</v>
      </c>
      <c r="H278" s="6"/>
      <c r="I278" s="6"/>
      <c r="J278" s="6"/>
      <c r="K278" s="6"/>
      <c r="L278" s="7" t="s">
        <v>6457</v>
      </c>
      <c r="M278" s="8">
        <v>1007353</v>
      </c>
      <c r="N278" s="8" t="str">
        <f t="shared" si="25"/>
        <v>PEN</v>
      </c>
      <c r="O278" s="13"/>
      <c r="P278" s="13">
        <v>8</v>
      </c>
      <c r="Q278" s="3">
        <f t="shared" si="26"/>
        <v>0</v>
      </c>
      <c r="R278" s="3">
        <f t="shared" si="27"/>
        <v>8</v>
      </c>
      <c r="S278" s="3">
        <f t="shared" si="23"/>
        <v>3919.85</v>
      </c>
      <c r="T278" s="24"/>
      <c r="U278" s="24"/>
      <c r="V278" s="69"/>
      <c r="W278" s="25" t="s">
        <v>6307</v>
      </c>
      <c r="X278" s="25"/>
      <c r="Y278" s="25"/>
      <c r="Z278" s="25"/>
      <c r="AA278" s="25"/>
      <c r="AB278" s="3" t="str">
        <f>IF(Caja_Operativa[[#This Row],[FECHA]]&gt;0,TEXT(Caja_Operativa[[#This Row],[FECHA]],"mmmm"),0)</f>
        <v>Mayo</v>
      </c>
    </row>
    <row r="279" spans="2:28" ht="60" hidden="1" x14ac:dyDescent="0.3">
      <c r="B279" s="2">
        <f>IF(Caja_Operativa[[#This Row],[TIPO DE R.]]="R",COUNTIFS($D$4:$D278,"R")+1,"")</f>
        <v>275</v>
      </c>
      <c r="C279" s="19" t="str">
        <f t="shared" si="24"/>
        <v>C-Operativa</v>
      </c>
      <c r="D279" s="3" t="s">
        <v>1074</v>
      </c>
      <c r="E279" s="14">
        <v>45791</v>
      </c>
      <c r="F279" s="5" t="s">
        <v>6299</v>
      </c>
      <c r="G279" s="5" t="s">
        <v>1079</v>
      </c>
      <c r="H279" s="6"/>
      <c r="I279" s="6"/>
      <c r="J279" s="6"/>
      <c r="K279" s="6"/>
      <c r="L279" s="7" t="s">
        <v>6458</v>
      </c>
      <c r="M279" s="8">
        <v>1022700</v>
      </c>
      <c r="N279" s="8" t="str">
        <f t="shared" si="25"/>
        <v>PEN</v>
      </c>
      <c r="O279" s="13"/>
      <c r="P279" s="13">
        <v>18</v>
      </c>
      <c r="Q279" s="3">
        <f t="shared" si="26"/>
        <v>0</v>
      </c>
      <c r="R279" s="3">
        <f t="shared" si="27"/>
        <v>18</v>
      </c>
      <c r="S279" s="3">
        <f t="shared" si="23"/>
        <v>3901.85</v>
      </c>
      <c r="T279" s="24"/>
      <c r="U279" s="24"/>
      <c r="V279" s="69"/>
      <c r="W279" s="25" t="s">
        <v>6307</v>
      </c>
      <c r="X279" s="25"/>
      <c r="Y279" s="25"/>
      <c r="Z279" s="25"/>
      <c r="AA279" s="25"/>
      <c r="AB279" s="3" t="str">
        <f>IF(Caja_Operativa[[#This Row],[FECHA]]&gt;0,TEXT(Caja_Operativa[[#This Row],[FECHA]],"mmmm"),0)</f>
        <v>Mayo</v>
      </c>
    </row>
    <row r="280" spans="2:28" ht="60" hidden="1" x14ac:dyDescent="0.3">
      <c r="B280" s="2">
        <f>IF(Caja_Operativa[[#This Row],[TIPO DE R.]]="R",COUNTIFS($D$4:$D279,"R")+1,"")</f>
        <v>276</v>
      </c>
      <c r="C280" s="19" t="str">
        <f t="shared" si="24"/>
        <v>C-Operativa</v>
      </c>
      <c r="D280" s="3" t="s">
        <v>1074</v>
      </c>
      <c r="E280" s="14">
        <v>45791</v>
      </c>
      <c r="F280" s="5" t="s">
        <v>6299</v>
      </c>
      <c r="G280" s="5" t="s">
        <v>1079</v>
      </c>
      <c r="H280" s="6"/>
      <c r="I280" s="6"/>
      <c r="J280" s="6"/>
      <c r="K280" s="6"/>
      <c r="L280" s="7" t="s">
        <v>6459</v>
      </c>
      <c r="M280" s="8">
        <v>1031802</v>
      </c>
      <c r="N280" s="8" t="str">
        <f t="shared" si="25"/>
        <v>PEN</v>
      </c>
      <c r="O280" s="13"/>
      <c r="P280" s="13">
        <v>15</v>
      </c>
      <c r="Q280" s="3">
        <f t="shared" si="26"/>
        <v>0</v>
      </c>
      <c r="R280" s="3">
        <f t="shared" si="27"/>
        <v>15</v>
      </c>
      <c r="S280" s="3">
        <f t="shared" si="23"/>
        <v>3886.85</v>
      </c>
      <c r="T280" s="24"/>
      <c r="U280" s="24"/>
      <c r="V280" s="69"/>
      <c r="W280" s="25" t="s">
        <v>6307</v>
      </c>
      <c r="X280" s="25"/>
      <c r="Y280" s="25"/>
      <c r="Z280" s="25"/>
      <c r="AA280" s="25"/>
      <c r="AB280" s="3" t="str">
        <f>IF(Caja_Operativa[[#This Row],[FECHA]]&gt;0,TEXT(Caja_Operativa[[#This Row],[FECHA]],"mmmm"),0)</f>
        <v>Mayo</v>
      </c>
    </row>
    <row r="281" spans="2:28" ht="60" hidden="1" x14ac:dyDescent="0.3">
      <c r="B281" s="2">
        <f>IF(Caja_Operativa[[#This Row],[TIPO DE R.]]="R",COUNTIFS($D$4:$D280,"R")+1,"")</f>
        <v>277</v>
      </c>
      <c r="C281" s="19" t="str">
        <f t="shared" si="24"/>
        <v>C-Operativa</v>
      </c>
      <c r="D281" s="3" t="s">
        <v>1074</v>
      </c>
      <c r="E281" s="14">
        <v>45791</v>
      </c>
      <c r="F281" s="5" t="s">
        <v>6299</v>
      </c>
      <c r="G281" s="5" t="s">
        <v>1079</v>
      </c>
      <c r="H281" s="6"/>
      <c r="I281" s="6"/>
      <c r="J281" s="6"/>
      <c r="K281" s="6"/>
      <c r="L281" s="7" t="s">
        <v>6460</v>
      </c>
      <c r="M281" s="8">
        <v>1056422</v>
      </c>
      <c r="N281" s="8" t="str">
        <f t="shared" si="25"/>
        <v>PEN</v>
      </c>
      <c r="O281" s="13"/>
      <c r="P281" s="13">
        <v>8</v>
      </c>
      <c r="Q281" s="3">
        <f t="shared" si="26"/>
        <v>0</v>
      </c>
      <c r="R281" s="3">
        <f t="shared" si="27"/>
        <v>8</v>
      </c>
      <c r="S281" s="3">
        <f t="shared" si="23"/>
        <v>3878.85</v>
      </c>
      <c r="T281" s="24"/>
      <c r="U281" s="24"/>
      <c r="V281" s="69"/>
      <c r="W281" s="25" t="s">
        <v>6307</v>
      </c>
      <c r="X281" s="25"/>
      <c r="Y281" s="25"/>
      <c r="Z281" s="25"/>
      <c r="AA281" s="25"/>
      <c r="AB281" s="3" t="str">
        <f>IF(Caja_Operativa[[#This Row],[FECHA]]&gt;0,TEXT(Caja_Operativa[[#This Row],[FECHA]],"mmmm"),0)</f>
        <v>Mayo</v>
      </c>
    </row>
    <row r="282" spans="2:28" ht="60" hidden="1" x14ac:dyDescent="0.3">
      <c r="B282" s="2">
        <f>IF(Caja_Operativa[[#This Row],[TIPO DE R.]]="R",COUNTIFS($D$4:$D281,"R")+1,"")</f>
        <v>278</v>
      </c>
      <c r="C282" s="19" t="str">
        <f t="shared" si="24"/>
        <v>C-Operativa</v>
      </c>
      <c r="D282" s="3" t="s">
        <v>1074</v>
      </c>
      <c r="E282" s="14">
        <v>45791</v>
      </c>
      <c r="F282" s="5" t="s">
        <v>6299</v>
      </c>
      <c r="G282" s="5" t="s">
        <v>1079</v>
      </c>
      <c r="H282" s="6"/>
      <c r="I282" s="6"/>
      <c r="J282" s="6"/>
      <c r="K282" s="6"/>
      <c r="L282" s="7" t="s">
        <v>6461</v>
      </c>
      <c r="M282" s="8">
        <v>1041845</v>
      </c>
      <c r="N282" s="8" t="str">
        <f t="shared" si="25"/>
        <v>PEN</v>
      </c>
      <c r="O282" s="13"/>
      <c r="P282" s="13">
        <v>8</v>
      </c>
      <c r="Q282" s="3">
        <f t="shared" si="26"/>
        <v>0</v>
      </c>
      <c r="R282" s="3">
        <f t="shared" si="27"/>
        <v>8</v>
      </c>
      <c r="S282" s="3">
        <f t="shared" si="23"/>
        <v>3870.85</v>
      </c>
      <c r="T282" s="24"/>
      <c r="U282" s="24"/>
      <c r="V282" s="69"/>
      <c r="W282" s="25" t="s">
        <v>6307</v>
      </c>
      <c r="X282" s="25"/>
      <c r="Y282" s="25"/>
      <c r="Z282" s="25"/>
      <c r="AA282" s="25"/>
      <c r="AB282" s="3" t="str">
        <f>IF(Caja_Operativa[[#This Row],[FECHA]]&gt;0,TEXT(Caja_Operativa[[#This Row],[FECHA]],"mmmm"),0)</f>
        <v>Mayo</v>
      </c>
    </row>
    <row r="283" spans="2:28" ht="60" hidden="1" x14ac:dyDescent="0.3">
      <c r="B283" s="2">
        <f>IF(Caja_Operativa[[#This Row],[TIPO DE R.]]="R",COUNTIFS($D$4:$D282,"R")+1,"")</f>
        <v>279</v>
      </c>
      <c r="C283" s="19" t="str">
        <f t="shared" si="24"/>
        <v>C-Operativa</v>
      </c>
      <c r="D283" s="3" t="s">
        <v>1074</v>
      </c>
      <c r="E283" s="14">
        <v>45791</v>
      </c>
      <c r="F283" s="5" t="s">
        <v>6299</v>
      </c>
      <c r="G283" s="5" t="s">
        <v>1079</v>
      </c>
      <c r="H283" s="6"/>
      <c r="I283" s="6"/>
      <c r="J283" s="6"/>
      <c r="K283" s="6"/>
      <c r="L283" s="7" t="s">
        <v>6462</v>
      </c>
      <c r="M283" s="8">
        <v>1036398</v>
      </c>
      <c r="N283" s="8" t="str">
        <f t="shared" si="25"/>
        <v>PEN</v>
      </c>
      <c r="O283" s="13"/>
      <c r="P283" s="13">
        <v>8</v>
      </c>
      <c r="Q283" s="3">
        <f t="shared" si="26"/>
        <v>0</v>
      </c>
      <c r="R283" s="3">
        <f t="shared" si="27"/>
        <v>8</v>
      </c>
      <c r="S283" s="3">
        <f t="shared" si="23"/>
        <v>3862.85</v>
      </c>
      <c r="T283" s="24"/>
      <c r="U283" s="24"/>
      <c r="V283" s="69"/>
      <c r="W283" s="25" t="s">
        <v>6307</v>
      </c>
      <c r="X283" s="25"/>
      <c r="Y283" s="25"/>
      <c r="Z283" s="25"/>
      <c r="AA283" s="25"/>
      <c r="AB283" s="3" t="str">
        <f>IF(Caja_Operativa[[#This Row],[FECHA]]&gt;0,TEXT(Caja_Operativa[[#This Row],[FECHA]],"mmmm"),0)</f>
        <v>Mayo</v>
      </c>
    </row>
    <row r="284" spans="2:28" ht="60" hidden="1" x14ac:dyDescent="0.3">
      <c r="B284" s="2">
        <f>IF(Caja_Operativa[[#This Row],[TIPO DE R.]]="R",COUNTIFS($D$4:$D283,"R")+1,"")</f>
        <v>280</v>
      </c>
      <c r="C284" s="19" t="str">
        <f t="shared" si="24"/>
        <v>C-Operativa</v>
      </c>
      <c r="D284" s="3" t="s">
        <v>1074</v>
      </c>
      <c r="E284" s="14">
        <v>45791</v>
      </c>
      <c r="F284" s="5" t="s">
        <v>6299</v>
      </c>
      <c r="G284" s="5" t="s">
        <v>1079</v>
      </c>
      <c r="H284" s="6"/>
      <c r="I284" s="6"/>
      <c r="J284" s="6"/>
      <c r="K284" s="6"/>
      <c r="L284" s="7" t="s">
        <v>6463</v>
      </c>
      <c r="M284" s="8">
        <v>1075255</v>
      </c>
      <c r="N284" s="8" t="str">
        <f t="shared" si="25"/>
        <v>PEN</v>
      </c>
      <c r="O284" s="13"/>
      <c r="P284" s="13">
        <v>8</v>
      </c>
      <c r="Q284" s="3">
        <f t="shared" si="26"/>
        <v>0</v>
      </c>
      <c r="R284" s="3">
        <f t="shared" si="27"/>
        <v>8</v>
      </c>
      <c r="S284" s="3">
        <f t="shared" si="23"/>
        <v>3854.85</v>
      </c>
      <c r="T284" s="24"/>
      <c r="U284" s="24"/>
      <c r="V284" s="69"/>
      <c r="W284" s="25" t="s">
        <v>6307</v>
      </c>
      <c r="X284" s="25"/>
      <c r="Y284" s="25"/>
      <c r="Z284" s="25"/>
      <c r="AA284" s="25"/>
      <c r="AB284" s="3" t="str">
        <f>IF(Caja_Operativa[[#This Row],[FECHA]]&gt;0,TEXT(Caja_Operativa[[#This Row],[FECHA]],"mmmm"),0)</f>
        <v>Mayo</v>
      </c>
    </row>
    <row r="285" spans="2:28" ht="60" hidden="1" x14ac:dyDescent="0.3">
      <c r="B285" s="2">
        <f>IF(Caja_Operativa[[#This Row],[TIPO DE R.]]="R",COUNTIFS($D$4:$D284,"R")+1,"")</f>
        <v>281</v>
      </c>
      <c r="C285" s="19" t="str">
        <f t="shared" si="24"/>
        <v>C-Operativa</v>
      </c>
      <c r="D285" s="3" t="s">
        <v>1074</v>
      </c>
      <c r="E285" s="14">
        <v>45791</v>
      </c>
      <c r="F285" s="5" t="s">
        <v>6299</v>
      </c>
      <c r="G285" s="5" t="s">
        <v>1079</v>
      </c>
      <c r="H285" s="6"/>
      <c r="I285" s="6"/>
      <c r="J285" s="6"/>
      <c r="K285" s="6"/>
      <c r="L285" s="7" t="s">
        <v>6464</v>
      </c>
      <c r="M285" s="8">
        <v>1046041</v>
      </c>
      <c r="N285" s="8" t="str">
        <f t="shared" si="25"/>
        <v>PEN</v>
      </c>
      <c r="O285" s="13"/>
      <c r="P285" s="13">
        <v>8</v>
      </c>
      <c r="Q285" s="3">
        <f t="shared" si="26"/>
        <v>0</v>
      </c>
      <c r="R285" s="3">
        <f t="shared" si="27"/>
        <v>8</v>
      </c>
      <c r="S285" s="3">
        <f t="shared" si="23"/>
        <v>3846.85</v>
      </c>
      <c r="T285" s="24"/>
      <c r="U285" s="24"/>
      <c r="V285" s="69"/>
      <c r="W285" s="25" t="s">
        <v>6307</v>
      </c>
      <c r="X285" s="25"/>
      <c r="Y285" s="25"/>
      <c r="Z285" s="25"/>
      <c r="AA285" s="25"/>
      <c r="AB285" s="3" t="str">
        <f>IF(Caja_Operativa[[#This Row],[FECHA]]&gt;0,TEXT(Caja_Operativa[[#This Row],[FECHA]],"mmmm"),0)</f>
        <v>Mayo</v>
      </c>
    </row>
    <row r="286" spans="2:28" ht="60" hidden="1" x14ac:dyDescent="0.3">
      <c r="B286" s="2">
        <f>IF(Caja_Operativa[[#This Row],[TIPO DE R.]]="R",COUNTIFS($D$4:$D285,"R")+1,"")</f>
        <v>282</v>
      </c>
      <c r="C286" s="19" t="str">
        <f t="shared" si="24"/>
        <v>C-Operativa</v>
      </c>
      <c r="D286" s="3" t="s">
        <v>1074</v>
      </c>
      <c r="E286" s="14">
        <v>45791</v>
      </c>
      <c r="F286" s="5" t="s">
        <v>6299</v>
      </c>
      <c r="G286" s="5" t="s">
        <v>1079</v>
      </c>
      <c r="H286" s="6"/>
      <c r="I286" s="6"/>
      <c r="J286" s="6"/>
      <c r="K286" s="6"/>
      <c r="L286" s="7" t="s">
        <v>6465</v>
      </c>
      <c r="M286" s="8">
        <v>1049375</v>
      </c>
      <c r="N286" s="8" t="str">
        <f t="shared" si="25"/>
        <v>PEN</v>
      </c>
      <c r="O286" s="13"/>
      <c r="P286" s="13">
        <v>10</v>
      </c>
      <c r="Q286" s="3">
        <f t="shared" si="26"/>
        <v>0</v>
      </c>
      <c r="R286" s="3">
        <f t="shared" si="27"/>
        <v>10</v>
      </c>
      <c r="S286" s="3">
        <f t="shared" si="23"/>
        <v>3836.85</v>
      </c>
      <c r="T286" s="24"/>
      <c r="U286" s="24"/>
      <c r="V286" s="69"/>
      <c r="W286" s="25" t="s">
        <v>6307</v>
      </c>
      <c r="X286" s="25"/>
      <c r="Y286" s="25"/>
      <c r="Z286" s="25"/>
      <c r="AA286" s="25"/>
      <c r="AB286" s="3" t="str">
        <f>IF(Caja_Operativa[[#This Row],[FECHA]]&gt;0,TEXT(Caja_Operativa[[#This Row],[FECHA]],"mmmm"),0)</f>
        <v>Mayo</v>
      </c>
    </row>
    <row r="287" spans="2:28" ht="24" hidden="1" x14ac:dyDescent="0.3">
      <c r="B287" s="2">
        <f>IF(Caja_Operativa[[#This Row],[TIPO DE R.]]="R",COUNTIFS($D$4:$D286,"R")+1,"")</f>
        <v>283</v>
      </c>
      <c r="C287" s="19" t="str">
        <f t="shared" si="24"/>
        <v>C-Operativa</v>
      </c>
      <c r="D287" s="3" t="s">
        <v>1074</v>
      </c>
      <c r="E287" s="14">
        <v>45804</v>
      </c>
      <c r="F287" s="5" t="s">
        <v>6299</v>
      </c>
      <c r="G287" s="5" t="s">
        <v>1079</v>
      </c>
      <c r="H287" s="6"/>
      <c r="I287" s="6"/>
      <c r="J287" s="6"/>
      <c r="K287" s="6"/>
      <c r="L287" s="7" t="s">
        <v>6302</v>
      </c>
      <c r="M287" s="8">
        <v>3613579</v>
      </c>
      <c r="N287" s="8" t="str">
        <f t="shared" si="25"/>
        <v>PEN</v>
      </c>
      <c r="O287" s="13"/>
      <c r="P287" s="13">
        <v>400</v>
      </c>
      <c r="Q287" s="3">
        <f t="shared" si="26"/>
        <v>0</v>
      </c>
      <c r="R287" s="3">
        <f t="shared" si="27"/>
        <v>400</v>
      </c>
      <c r="S287" s="3">
        <f t="shared" si="23"/>
        <v>3436.85</v>
      </c>
      <c r="T287" s="24"/>
      <c r="U287" s="24"/>
      <c r="V287" s="69"/>
      <c r="W287" s="25" t="s">
        <v>5685</v>
      </c>
      <c r="X287" s="25"/>
      <c r="Y287" s="25"/>
      <c r="Z287" s="25"/>
      <c r="AA287" s="25"/>
      <c r="AB287" s="3" t="str">
        <f>IF(Caja_Operativa[[#This Row],[FECHA]]&gt;0,TEXT(Caja_Operativa[[#This Row],[FECHA]],"mmmm"),0)</f>
        <v>Mayo</v>
      </c>
    </row>
    <row r="288" spans="2:28" ht="24" hidden="1" x14ac:dyDescent="0.3">
      <c r="B288" s="2">
        <f>IF(Caja_Operativa[[#This Row],[TIPO DE R.]]="R",COUNTIFS($D$4:$D287,"R")+1,"")</f>
        <v>284</v>
      </c>
      <c r="C288" s="19" t="str">
        <f t="shared" si="24"/>
        <v>C-Operativa</v>
      </c>
      <c r="D288" s="3" t="s">
        <v>1074</v>
      </c>
      <c r="E288" s="14">
        <v>45807</v>
      </c>
      <c r="F288" s="5" t="s">
        <v>6299</v>
      </c>
      <c r="G288" s="5" t="s">
        <v>1079</v>
      </c>
      <c r="H288" s="6"/>
      <c r="I288" s="6"/>
      <c r="J288" s="6"/>
      <c r="K288" s="6"/>
      <c r="L288" s="7" t="s">
        <v>6302</v>
      </c>
      <c r="M288" s="8">
        <v>3941420</v>
      </c>
      <c r="N288" s="8" t="str">
        <f t="shared" si="25"/>
        <v>PEN</v>
      </c>
      <c r="O288" s="13"/>
      <c r="P288" s="13">
        <v>150</v>
      </c>
      <c r="Q288" s="3">
        <f t="shared" si="26"/>
        <v>0</v>
      </c>
      <c r="R288" s="3">
        <f t="shared" si="27"/>
        <v>150</v>
      </c>
      <c r="S288" s="3">
        <f t="shared" si="23"/>
        <v>3286.85</v>
      </c>
      <c r="T288" s="24"/>
      <c r="U288" s="24"/>
      <c r="V288" s="69"/>
      <c r="W288" s="25" t="s">
        <v>6359</v>
      </c>
      <c r="X288" s="25"/>
      <c r="Y288" s="25"/>
      <c r="Z288" s="25"/>
      <c r="AA288" s="25"/>
      <c r="AB288" s="3" t="str">
        <f>IF(Caja_Operativa[[#This Row],[FECHA]]&gt;0,TEXT(Caja_Operativa[[#This Row],[FECHA]],"mmmm"),0)</f>
        <v>Mayo</v>
      </c>
    </row>
    <row r="289" spans="2:28" ht="24" hidden="1" x14ac:dyDescent="0.3">
      <c r="B289" s="2">
        <f>IF(Caja_Operativa[[#This Row],[TIPO DE R.]]="R",COUNTIFS($D$4:$D288,"R")+1,"")</f>
        <v>285</v>
      </c>
      <c r="C289" s="19" t="str">
        <f t="shared" si="24"/>
        <v>C-Operativa</v>
      </c>
      <c r="D289" s="3" t="s">
        <v>1074</v>
      </c>
      <c r="E289" s="14">
        <v>45807</v>
      </c>
      <c r="F289" s="5" t="s">
        <v>6299</v>
      </c>
      <c r="G289" s="5" t="s">
        <v>1079</v>
      </c>
      <c r="H289" s="6"/>
      <c r="I289" s="6"/>
      <c r="J289" s="6"/>
      <c r="K289" s="6"/>
      <c r="L289" s="7" t="s">
        <v>6302</v>
      </c>
      <c r="M289" s="8">
        <v>3950672</v>
      </c>
      <c r="N289" s="8" t="str">
        <f t="shared" si="25"/>
        <v>PEN</v>
      </c>
      <c r="O289" s="13"/>
      <c r="P289" s="13">
        <v>350</v>
      </c>
      <c r="Q289" s="3">
        <f t="shared" si="26"/>
        <v>0</v>
      </c>
      <c r="R289" s="3">
        <f t="shared" si="27"/>
        <v>350</v>
      </c>
      <c r="S289" s="3">
        <f t="shared" si="23"/>
        <v>2936.85</v>
      </c>
      <c r="T289" s="24"/>
      <c r="U289" s="24"/>
      <c r="V289" s="69"/>
      <c r="W289" s="25" t="s">
        <v>6326</v>
      </c>
      <c r="X289" s="25"/>
      <c r="Y289" s="25"/>
      <c r="Z289" s="25"/>
      <c r="AA289" s="25"/>
      <c r="AB289" s="3" t="str">
        <f>IF(Caja_Operativa[[#This Row],[FECHA]]&gt;0,TEXT(Caja_Operativa[[#This Row],[FECHA]],"mmmm"),0)</f>
        <v>Mayo</v>
      </c>
    </row>
    <row r="290" spans="2:28" ht="24" hidden="1" x14ac:dyDescent="0.3">
      <c r="B290" s="2">
        <f>IF(Caja_Operativa[[#This Row],[TIPO DE R.]]="R",COUNTIFS($D$4:$D289,"R")+1,"")</f>
        <v>286</v>
      </c>
      <c r="C290" s="19" t="str">
        <f t="shared" si="24"/>
        <v>C-Operativa</v>
      </c>
      <c r="D290" s="3" t="s">
        <v>1074</v>
      </c>
      <c r="E290" s="14">
        <v>45812</v>
      </c>
      <c r="F290" s="5" t="s">
        <v>6299</v>
      </c>
      <c r="G290" s="5" t="s">
        <v>1079</v>
      </c>
      <c r="H290" s="6"/>
      <c r="I290" s="6"/>
      <c r="J290" s="6"/>
      <c r="K290" s="6"/>
      <c r="L290" s="7" t="s">
        <v>6327</v>
      </c>
      <c r="M290" s="8">
        <v>625279</v>
      </c>
      <c r="N290" s="8" t="str">
        <f t="shared" si="25"/>
        <v>PEN</v>
      </c>
      <c r="O290" s="13"/>
      <c r="P290" s="13">
        <v>130</v>
      </c>
      <c r="Q290" s="3">
        <f t="shared" si="26"/>
        <v>0</v>
      </c>
      <c r="R290" s="3">
        <f t="shared" si="27"/>
        <v>130</v>
      </c>
      <c r="S290" s="3">
        <f t="shared" si="23"/>
        <v>2806.85</v>
      </c>
      <c r="T290" s="24"/>
      <c r="U290" s="24"/>
      <c r="V290" s="69"/>
      <c r="W290" s="25" t="s">
        <v>5618</v>
      </c>
      <c r="X290" s="25"/>
      <c r="Y290" s="25"/>
      <c r="Z290" s="25"/>
      <c r="AA290" s="25"/>
      <c r="AB290" s="3" t="str">
        <f>IF(Caja_Operativa[[#This Row],[FECHA]]&gt;0,TEXT(Caja_Operativa[[#This Row],[FECHA]],"mmmm"),0)</f>
        <v>Junio</v>
      </c>
    </row>
    <row r="291" spans="2:28" ht="24" hidden="1" x14ac:dyDescent="0.3">
      <c r="B291" s="2">
        <f>IF(Caja_Operativa[[#This Row],[TIPO DE R.]]="R",COUNTIFS($D$4:$D290,"R")+1,"")</f>
        <v>287</v>
      </c>
      <c r="C291" s="19" t="str">
        <f t="shared" si="24"/>
        <v>C-Operativa</v>
      </c>
      <c r="D291" s="3" t="s">
        <v>1074</v>
      </c>
      <c r="E291" s="14">
        <v>45812</v>
      </c>
      <c r="F291" s="5" t="s">
        <v>6299</v>
      </c>
      <c r="G291" s="5" t="s">
        <v>1079</v>
      </c>
      <c r="H291" s="6"/>
      <c r="I291" s="6"/>
      <c r="J291" s="6"/>
      <c r="K291" s="6"/>
      <c r="L291" s="7" t="s">
        <v>6356</v>
      </c>
      <c r="M291" s="8">
        <v>781313</v>
      </c>
      <c r="N291" s="8" t="str">
        <f t="shared" si="25"/>
        <v>PEN</v>
      </c>
      <c r="O291" s="13"/>
      <c r="P291" s="13">
        <v>500</v>
      </c>
      <c r="Q291" s="3">
        <f t="shared" si="26"/>
        <v>0</v>
      </c>
      <c r="R291" s="3">
        <f t="shared" si="27"/>
        <v>500</v>
      </c>
      <c r="S291" s="3">
        <f t="shared" si="23"/>
        <v>2306.85</v>
      </c>
      <c r="T291" s="24"/>
      <c r="U291" s="24"/>
      <c r="V291" s="69"/>
      <c r="W291" s="25" t="s">
        <v>5685</v>
      </c>
      <c r="X291" s="25"/>
      <c r="Y291" s="25"/>
      <c r="Z291" s="25"/>
      <c r="AA291" s="25"/>
      <c r="AB291" s="3" t="str">
        <f>IF(Caja_Operativa[[#This Row],[FECHA]]&gt;0,TEXT(Caja_Operativa[[#This Row],[FECHA]],"mmmm"),0)</f>
        <v>Junio</v>
      </c>
    </row>
    <row r="292" spans="2:28" ht="24" hidden="1" x14ac:dyDescent="0.3">
      <c r="B292" s="2">
        <f>IF(Caja_Operativa[[#This Row],[TIPO DE R.]]="R",COUNTIFS($D$4:$D291,"R")+1,"")</f>
        <v>288</v>
      </c>
      <c r="C292" s="19" t="str">
        <f t="shared" si="24"/>
        <v>C-Operativa</v>
      </c>
      <c r="D292" s="3" t="s">
        <v>1074</v>
      </c>
      <c r="E292" s="14">
        <v>45817</v>
      </c>
      <c r="F292" s="5" t="s">
        <v>6299</v>
      </c>
      <c r="G292" s="5" t="s">
        <v>1079</v>
      </c>
      <c r="H292" s="6"/>
      <c r="I292" s="6"/>
      <c r="J292" s="6"/>
      <c r="K292" s="6"/>
      <c r="L292" s="7" t="s">
        <v>6302</v>
      </c>
      <c r="M292" s="8">
        <v>2759398</v>
      </c>
      <c r="N292" s="8" t="str">
        <f t="shared" si="25"/>
        <v>PEN</v>
      </c>
      <c r="O292" s="13"/>
      <c r="P292" s="13">
        <v>60</v>
      </c>
      <c r="Q292" s="3">
        <f t="shared" si="26"/>
        <v>0</v>
      </c>
      <c r="R292" s="3">
        <f t="shared" si="27"/>
        <v>60</v>
      </c>
      <c r="S292" s="3">
        <f t="shared" si="23"/>
        <v>2246.85</v>
      </c>
      <c r="T292" s="24"/>
      <c r="U292" s="24"/>
      <c r="V292" s="69"/>
      <c r="W292" s="25" t="s">
        <v>5685</v>
      </c>
      <c r="X292" s="25"/>
      <c r="Y292" s="25"/>
      <c r="Z292" s="25"/>
      <c r="AA292" s="25"/>
      <c r="AB292" s="3" t="str">
        <f>IF(Caja_Operativa[[#This Row],[FECHA]]&gt;0,TEXT(Caja_Operativa[[#This Row],[FECHA]],"mmmm"),0)</f>
        <v>Junio</v>
      </c>
    </row>
    <row r="293" spans="2:28" ht="24" hidden="1" x14ac:dyDescent="0.3">
      <c r="B293" s="2">
        <f>IF(Caja_Operativa[[#This Row],[TIPO DE R.]]="R",COUNTIFS($D$4:$D292,"R")+1,"")</f>
        <v>289</v>
      </c>
      <c r="C293" s="19" t="str">
        <f t="shared" si="24"/>
        <v>C-Operativa</v>
      </c>
      <c r="D293" s="3" t="s">
        <v>1074</v>
      </c>
      <c r="E293" s="14">
        <v>45817</v>
      </c>
      <c r="F293" s="5" t="s">
        <v>6299</v>
      </c>
      <c r="G293" s="5" t="s">
        <v>1079</v>
      </c>
      <c r="H293" s="6"/>
      <c r="I293" s="6"/>
      <c r="J293" s="6"/>
      <c r="K293" s="6"/>
      <c r="L293" s="7" t="s">
        <v>6327</v>
      </c>
      <c r="M293" s="8">
        <v>2791903</v>
      </c>
      <c r="N293" s="8" t="str">
        <f t="shared" si="25"/>
        <v>PEN</v>
      </c>
      <c r="O293" s="13"/>
      <c r="P293" s="13">
        <v>70</v>
      </c>
      <c r="Q293" s="3">
        <f t="shared" si="26"/>
        <v>0</v>
      </c>
      <c r="R293" s="3">
        <f t="shared" si="27"/>
        <v>70</v>
      </c>
      <c r="S293" s="3">
        <f t="shared" si="23"/>
        <v>2176.85</v>
      </c>
      <c r="T293" s="24"/>
      <c r="U293" s="24"/>
      <c r="V293" s="69"/>
      <c r="W293" s="25" t="s">
        <v>5618</v>
      </c>
      <c r="X293" s="25"/>
      <c r="Y293" s="25"/>
      <c r="Z293" s="25"/>
      <c r="AA293" s="25"/>
      <c r="AB293" s="3" t="str">
        <f>IF(Caja_Operativa[[#This Row],[FECHA]]&gt;0,TEXT(Caja_Operativa[[#This Row],[FECHA]],"mmmm"),0)</f>
        <v>Junio</v>
      </c>
    </row>
    <row r="294" spans="2:28" ht="24" hidden="1" x14ac:dyDescent="0.3">
      <c r="B294" s="2">
        <f>IF(Caja_Operativa[[#This Row],[TIPO DE R.]]="R",COUNTIFS($D$4:$D293,"R")+1,"")</f>
        <v>290</v>
      </c>
      <c r="C294" s="19" t="str">
        <f t="shared" si="24"/>
        <v>C-Operativa</v>
      </c>
      <c r="D294" s="3" t="s">
        <v>1074</v>
      </c>
      <c r="E294" s="14">
        <v>45817</v>
      </c>
      <c r="F294" s="5" t="s">
        <v>6299</v>
      </c>
      <c r="G294" s="5" t="s">
        <v>1079</v>
      </c>
      <c r="H294" s="6"/>
      <c r="I294" s="6"/>
      <c r="J294" s="6"/>
      <c r="K294" s="6"/>
      <c r="L294" s="7" t="s">
        <v>6302</v>
      </c>
      <c r="M294" s="8">
        <v>2832212</v>
      </c>
      <c r="N294" s="8" t="str">
        <f t="shared" si="25"/>
        <v>PEN</v>
      </c>
      <c r="O294" s="13"/>
      <c r="P294" s="13">
        <v>40</v>
      </c>
      <c r="Q294" s="3">
        <f t="shared" si="26"/>
        <v>0</v>
      </c>
      <c r="R294" s="3">
        <f t="shared" si="27"/>
        <v>40</v>
      </c>
      <c r="S294" s="3">
        <f t="shared" si="23"/>
        <v>2136.85</v>
      </c>
      <c r="T294" s="24"/>
      <c r="U294" s="24"/>
      <c r="V294" s="69"/>
      <c r="W294" s="25" t="s">
        <v>6359</v>
      </c>
      <c r="X294" s="25"/>
      <c r="Y294" s="25"/>
      <c r="Z294" s="25"/>
      <c r="AA294" s="25"/>
      <c r="AB294" s="3" t="str">
        <f>IF(Caja_Operativa[[#This Row],[FECHA]]&gt;0,TEXT(Caja_Operativa[[#This Row],[FECHA]],"mmmm"),0)</f>
        <v>Junio</v>
      </c>
    </row>
    <row r="295" spans="2:28" ht="60" hidden="1" x14ac:dyDescent="0.3">
      <c r="B295" s="2">
        <f>IF(Caja_Operativa[[#This Row],[TIPO DE R.]]="R",COUNTIFS($D$4:$D294,"R")+1,"")</f>
        <v>291</v>
      </c>
      <c r="C295" s="19" t="str">
        <f t="shared" si="24"/>
        <v>C-Operativa</v>
      </c>
      <c r="D295" s="3" t="s">
        <v>1074</v>
      </c>
      <c r="E295" s="14">
        <v>45817</v>
      </c>
      <c r="F295" s="5" t="s">
        <v>6299</v>
      </c>
      <c r="G295" s="5" t="s">
        <v>1079</v>
      </c>
      <c r="H295" s="6"/>
      <c r="I295" s="6"/>
      <c r="J295" s="6"/>
      <c r="K295" s="6"/>
      <c r="L295" s="7" t="s">
        <v>6466</v>
      </c>
      <c r="M295" s="8">
        <v>2807506</v>
      </c>
      <c r="N295" s="8" t="str">
        <f t="shared" si="25"/>
        <v>PEN</v>
      </c>
      <c r="O295" s="13"/>
      <c r="P295" s="13">
        <v>15</v>
      </c>
      <c r="Q295" s="3">
        <f t="shared" si="26"/>
        <v>0</v>
      </c>
      <c r="R295" s="3">
        <f t="shared" si="27"/>
        <v>15</v>
      </c>
      <c r="S295" s="3">
        <f t="shared" si="23"/>
        <v>2121.85</v>
      </c>
      <c r="T295" s="24"/>
      <c r="U295" s="24"/>
      <c r="V295" s="69"/>
      <c r="W295" s="25" t="s">
        <v>6307</v>
      </c>
      <c r="X295" s="25"/>
      <c r="Y295" s="25"/>
      <c r="Z295" s="25"/>
      <c r="AA295" s="25"/>
      <c r="AB295" s="3" t="str">
        <f>IF(Caja_Operativa[[#This Row],[FECHA]]&gt;0,TEXT(Caja_Operativa[[#This Row],[FECHA]],"mmmm"),0)</f>
        <v>Junio</v>
      </c>
    </row>
    <row r="296" spans="2:28" ht="60" hidden="1" x14ac:dyDescent="0.3">
      <c r="B296" s="2">
        <f>IF(Caja_Operativa[[#This Row],[TIPO DE R.]]="R",COUNTIFS($D$4:$D295,"R")+1,"")</f>
        <v>292</v>
      </c>
      <c r="C296" s="19" t="str">
        <f t="shared" si="24"/>
        <v>C-Operativa</v>
      </c>
      <c r="D296" s="3" t="s">
        <v>1074</v>
      </c>
      <c r="E296" s="14">
        <v>45817</v>
      </c>
      <c r="F296" s="5" t="s">
        <v>6299</v>
      </c>
      <c r="G296" s="5" t="s">
        <v>1079</v>
      </c>
      <c r="H296" s="6"/>
      <c r="I296" s="6"/>
      <c r="J296" s="6"/>
      <c r="K296" s="6"/>
      <c r="L296" s="7" t="s">
        <v>6467</v>
      </c>
      <c r="M296" s="8">
        <v>2836317</v>
      </c>
      <c r="N296" s="8" t="str">
        <f t="shared" si="25"/>
        <v>PEN</v>
      </c>
      <c r="O296" s="13"/>
      <c r="P296" s="13">
        <v>8</v>
      </c>
      <c r="Q296" s="3">
        <f t="shared" si="26"/>
        <v>0</v>
      </c>
      <c r="R296" s="3">
        <f t="shared" si="27"/>
        <v>8</v>
      </c>
      <c r="S296" s="3">
        <f t="shared" si="23"/>
        <v>2113.85</v>
      </c>
      <c r="T296" s="24"/>
      <c r="U296" s="24"/>
      <c r="V296" s="69"/>
      <c r="W296" s="25" t="s">
        <v>6307</v>
      </c>
      <c r="X296" s="25"/>
      <c r="Y296" s="25"/>
      <c r="Z296" s="25"/>
      <c r="AA296" s="25"/>
      <c r="AB296" s="3" t="str">
        <f>IF(Caja_Operativa[[#This Row],[FECHA]]&gt;0,TEXT(Caja_Operativa[[#This Row],[FECHA]],"mmmm"),0)</f>
        <v>Junio</v>
      </c>
    </row>
    <row r="297" spans="2:28" ht="60" hidden="1" x14ac:dyDescent="0.3">
      <c r="B297" s="2">
        <f>IF(Caja_Operativa[[#This Row],[TIPO DE R.]]="R",COUNTIFS($D$4:$D296,"R")+1,"")</f>
        <v>293</v>
      </c>
      <c r="C297" s="19" t="str">
        <f t="shared" si="24"/>
        <v>C-Operativa</v>
      </c>
      <c r="D297" s="3" t="s">
        <v>1074</v>
      </c>
      <c r="E297" s="14">
        <v>45817</v>
      </c>
      <c r="F297" s="5" t="s">
        <v>6299</v>
      </c>
      <c r="G297" s="5" t="s">
        <v>1079</v>
      </c>
      <c r="H297" s="6"/>
      <c r="I297" s="6"/>
      <c r="J297" s="6"/>
      <c r="K297" s="6"/>
      <c r="L297" s="7" t="s">
        <v>6468</v>
      </c>
      <c r="M297" s="8">
        <v>2836954</v>
      </c>
      <c r="N297" s="8" t="str">
        <f t="shared" si="25"/>
        <v>PEN</v>
      </c>
      <c r="O297" s="13"/>
      <c r="P297" s="13">
        <v>8</v>
      </c>
      <c r="Q297" s="3">
        <f t="shared" si="26"/>
        <v>0</v>
      </c>
      <c r="R297" s="3">
        <f t="shared" si="27"/>
        <v>8</v>
      </c>
      <c r="S297" s="3">
        <f t="shared" si="23"/>
        <v>2105.85</v>
      </c>
      <c r="T297" s="24"/>
      <c r="U297" s="24"/>
      <c r="V297" s="69"/>
      <c r="W297" s="25" t="s">
        <v>6307</v>
      </c>
      <c r="X297" s="25"/>
      <c r="Y297" s="25"/>
      <c r="Z297" s="25"/>
      <c r="AA297" s="25"/>
      <c r="AB297" s="3" t="str">
        <f>IF(Caja_Operativa[[#This Row],[FECHA]]&gt;0,TEXT(Caja_Operativa[[#This Row],[FECHA]],"mmmm"),0)</f>
        <v>Junio</v>
      </c>
    </row>
    <row r="298" spans="2:28" ht="60" hidden="1" x14ac:dyDescent="0.3">
      <c r="B298" s="2">
        <f>IF(Caja_Operativa[[#This Row],[TIPO DE R.]]="R",COUNTIFS($D$4:$D297,"R")+1,"")</f>
        <v>294</v>
      </c>
      <c r="C298" s="19" t="str">
        <f t="shared" si="24"/>
        <v>C-Operativa</v>
      </c>
      <c r="D298" s="3" t="s">
        <v>1074</v>
      </c>
      <c r="E298" s="14">
        <v>45817</v>
      </c>
      <c r="F298" s="5" t="s">
        <v>6299</v>
      </c>
      <c r="G298" s="5" t="s">
        <v>1079</v>
      </c>
      <c r="H298" s="6"/>
      <c r="I298" s="6"/>
      <c r="J298" s="6"/>
      <c r="K298" s="6"/>
      <c r="L298" s="7" t="s">
        <v>6469</v>
      </c>
      <c r="M298" s="8">
        <v>2862596</v>
      </c>
      <c r="N298" s="8" t="str">
        <f t="shared" si="25"/>
        <v>PEN</v>
      </c>
      <c r="O298" s="13"/>
      <c r="P298" s="13">
        <v>8</v>
      </c>
      <c r="Q298" s="3">
        <f t="shared" si="26"/>
        <v>0</v>
      </c>
      <c r="R298" s="3">
        <f t="shared" si="27"/>
        <v>8</v>
      </c>
      <c r="S298" s="3">
        <f t="shared" si="23"/>
        <v>2097.85</v>
      </c>
      <c r="T298" s="24"/>
      <c r="U298" s="24"/>
      <c r="V298" s="69"/>
      <c r="W298" s="25" t="s">
        <v>6307</v>
      </c>
      <c r="X298" s="25"/>
      <c r="Y298" s="25"/>
      <c r="Z298" s="25"/>
      <c r="AA298" s="25"/>
      <c r="AB298" s="3" t="str">
        <f>IF(Caja_Operativa[[#This Row],[FECHA]]&gt;0,TEXT(Caja_Operativa[[#This Row],[FECHA]],"mmmm"),0)</f>
        <v>Junio</v>
      </c>
    </row>
    <row r="299" spans="2:28" ht="60" hidden="1" x14ac:dyDescent="0.3">
      <c r="B299" s="2">
        <f>IF(Caja_Operativa[[#This Row],[TIPO DE R.]]="R",COUNTIFS($D$4:$D298,"R")+1,"")</f>
        <v>295</v>
      </c>
      <c r="C299" s="19" t="str">
        <f t="shared" si="24"/>
        <v>C-Operativa</v>
      </c>
      <c r="D299" s="3" t="s">
        <v>1074</v>
      </c>
      <c r="E299" s="14">
        <v>45817</v>
      </c>
      <c r="F299" s="5" t="s">
        <v>6299</v>
      </c>
      <c r="G299" s="5" t="s">
        <v>1079</v>
      </c>
      <c r="H299" s="6"/>
      <c r="I299" s="6"/>
      <c r="J299" s="6"/>
      <c r="K299" s="6"/>
      <c r="L299" s="7" t="s">
        <v>6470</v>
      </c>
      <c r="M299" s="8">
        <v>2874612</v>
      </c>
      <c r="N299" s="8" t="str">
        <f t="shared" si="25"/>
        <v>PEN</v>
      </c>
      <c r="O299" s="13"/>
      <c r="P299" s="13">
        <v>10</v>
      </c>
      <c r="Q299" s="3">
        <f t="shared" si="26"/>
        <v>0</v>
      </c>
      <c r="R299" s="3">
        <f t="shared" si="27"/>
        <v>10</v>
      </c>
      <c r="S299" s="3">
        <f t="shared" si="23"/>
        <v>2087.85</v>
      </c>
      <c r="T299" s="24"/>
      <c r="U299" s="24"/>
      <c r="V299" s="69"/>
      <c r="W299" s="25" t="s">
        <v>6307</v>
      </c>
      <c r="X299" s="25"/>
      <c r="Y299" s="25"/>
      <c r="Z299" s="25"/>
      <c r="AA299" s="25"/>
      <c r="AB299" s="3" t="str">
        <f>IF(Caja_Operativa[[#This Row],[FECHA]]&gt;0,TEXT(Caja_Operativa[[#This Row],[FECHA]],"mmmm"),0)</f>
        <v>Junio</v>
      </c>
    </row>
    <row r="300" spans="2:28" ht="72" hidden="1" x14ac:dyDescent="0.3">
      <c r="B300" s="2">
        <f>IF(Caja_Operativa[[#This Row],[TIPO DE R.]]="R",COUNTIFS($D$4:$D299,"R")+1,"")</f>
        <v>296</v>
      </c>
      <c r="C300" s="19" t="str">
        <f t="shared" si="24"/>
        <v>C-Operativa</v>
      </c>
      <c r="D300" s="3" t="s">
        <v>1074</v>
      </c>
      <c r="E300" s="14">
        <v>45817</v>
      </c>
      <c r="F300" s="5" t="s">
        <v>6299</v>
      </c>
      <c r="G300" s="5" t="s">
        <v>1079</v>
      </c>
      <c r="H300" s="6"/>
      <c r="I300" s="6"/>
      <c r="J300" s="6"/>
      <c r="K300" s="6"/>
      <c r="L300" s="7" t="s">
        <v>6471</v>
      </c>
      <c r="M300" s="8">
        <v>2861107</v>
      </c>
      <c r="N300" s="8" t="str">
        <f t="shared" si="25"/>
        <v>PEN</v>
      </c>
      <c r="O300" s="13"/>
      <c r="P300" s="13">
        <v>8</v>
      </c>
      <c r="Q300" s="3">
        <f t="shared" si="26"/>
        <v>0</v>
      </c>
      <c r="R300" s="3">
        <f t="shared" si="27"/>
        <v>8</v>
      </c>
      <c r="S300" s="3">
        <f t="shared" si="23"/>
        <v>2079.85</v>
      </c>
      <c r="T300" s="24"/>
      <c r="U300" s="24"/>
      <c r="V300" s="69"/>
      <c r="W300" s="25" t="s">
        <v>6307</v>
      </c>
      <c r="X300" s="25"/>
      <c r="Y300" s="25"/>
      <c r="Z300" s="25"/>
      <c r="AA300" s="25"/>
      <c r="AB300" s="3" t="str">
        <f>IF(Caja_Operativa[[#This Row],[FECHA]]&gt;0,TEXT(Caja_Operativa[[#This Row],[FECHA]],"mmmm"),0)</f>
        <v>Junio</v>
      </c>
    </row>
    <row r="301" spans="2:28" ht="60" hidden="1" x14ac:dyDescent="0.3">
      <c r="B301" s="2">
        <f>IF(Caja_Operativa[[#This Row],[TIPO DE R.]]="R",COUNTIFS($D$4:$D300,"R")+1,"")</f>
        <v>297</v>
      </c>
      <c r="C301" s="19" t="str">
        <f t="shared" si="24"/>
        <v>C-Operativa</v>
      </c>
      <c r="D301" s="3" t="s">
        <v>1074</v>
      </c>
      <c r="E301" s="14">
        <v>45817</v>
      </c>
      <c r="F301" s="5" t="s">
        <v>6299</v>
      </c>
      <c r="G301" s="5" t="s">
        <v>1079</v>
      </c>
      <c r="H301" s="6"/>
      <c r="I301" s="6"/>
      <c r="J301" s="6"/>
      <c r="K301" s="6"/>
      <c r="L301" s="7" t="s">
        <v>6472</v>
      </c>
      <c r="M301" s="8">
        <v>2843689</v>
      </c>
      <c r="N301" s="8" t="str">
        <f t="shared" si="25"/>
        <v>PEN</v>
      </c>
      <c r="O301" s="13"/>
      <c r="P301" s="13">
        <v>10</v>
      </c>
      <c r="Q301" s="3">
        <f t="shared" si="26"/>
        <v>0</v>
      </c>
      <c r="R301" s="3">
        <f t="shared" si="27"/>
        <v>10</v>
      </c>
      <c r="S301" s="3">
        <f t="shared" si="23"/>
        <v>2069.85</v>
      </c>
      <c r="T301" s="24"/>
      <c r="U301" s="24"/>
      <c r="V301" s="69"/>
      <c r="W301" s="25" t="s">
        <v>6307</v>
      </c>
      <c r="X301" s="25"/>
      <c r="Y301" s="25"/>
      <c r="Z301" s="25"/>
      <c r="AA301" s="25"/>
      <c r="AB301" s="3" t="str">
        <f>IF(Caja_Operativa[[#This Row],[FECHA]]&gt;0,TEXT(Caja_Operativa[[#This Row],[FECHA]],"mmmm"),0)</f>
        <v>Junio</v>
      </c>
    </row>
    <row r="302" spans="2:28" ht="60" hidden="1" x14ac:dyDescent="0.3">
      <c r="B302" s="2">
        <f>IF(Caja_Operativa[[#This Row],[TIPO DE R.]]="R",COUNTIFS($D$4:$D301,"R")+1,"")</f>
        <v>298</v>
      </c>
      <c r="C302" s="19" t="str">
        <f t="shared" si="24"/>
        <v>C-Operativa</v>
      </c>
      <c r="D302" s="3" t="s">
        <v>1074</v>
      </c>
      <c r="E302" s="14">
        <v>45817</v>
      </c>
      <c r="F302" s="5" t="s">
        <v>6299</v>
      </c>
      <c r="G302" s="5" t="s">
        <v>1079</v>
      </c>
      <c r="H302" s="6"/>
      <c r="I302" s="6"/>
      <c r="J302" s="6"/>
      <c r="K302" s="6"/>
      <c r="L302" s="7" t="s">
        <v>6473</v>
      </c>
      <c r="M302" s="8">
        <v>2883904</v>
      </c>
      <c r="N302" s="8" t="str">
        <f t="shared" si="25"/>
        <v>PEN</v>
      </c>
      <c r="O302" s="13"/>
      <c r="P302" s="13">
        <v>10</v>
      </c>
      <c r="Q302" s="3">
        <f t="shared" si="26"/>
        <v>0</v>
      </c>
      <c r="R302" s="3">
        <f t="shared" si="27"/>
        <v>10</v>
      </c>
      <c r="S302" s="3">
        <f t="shared" si="23"/>
        <v>2059.85</v>
      </c>
      <c r="T302" s="24"/>
      <c r="U302" s="24"/>
      <c r="V302" s="69"/>
      <c r="W302" s="25" t="s">
        <v>6307</v>
      </c>
      <c r="X302" s="25"/>
      <c r="Y302" s="25"/>
      <c r="Z302" s="25"/>
      <c r="AA302" s="25"/>
      <c r="AB302" s="3" t="str">
        <f>IF(Caja_Operativa[[#This Row],[FECHA]]&gt;0,TEXT(Caja_Operativa[[#This Row],[FECHA]],"mmmm"),0)</f>
        <v>Junio</v>
      </c>
    </row>
    <row r="303" spans="2:28" ht="60" hidden="1" x14ac:dyDescent="0.3">
      <c r="B303" s="2">
        <f>IF(Caja_Operativa[[#This Row],[TIPO DE R.]]="R",COUNTIFS($D$4:$D302,"R")+1,"")</f>
        <v>299</v>
      </c>
      <c r="C303" s="19" t="str">
        <f t="shared" si="24"/>
        <v>C-Operativa</v>
      </c>
      <c r="D303" s="3" t="s">
        <v>1074</v>
      </c>
      <c r="E303" s="14">
        <v>45817</v>
      </c>
      <c r="F303" s="5" t="s">
        <v>6299</v>
      </c>
      <c r="G303" s="5" t="s">
        <v>1079</v>
      </c>
      <c r="H303" s="6"/>
      <c r="I303" s="6"/>
      <c r="J303" s="6"/>
      <c r="K303" s="6"/>
      <c r="L303" s="7" t="s">
        <v>6474</v>
      </c>
      <c r="M303" s="8">
        <v>2873829</v>
      </c>
      <c r="N303" s="8" t="str">
        <f t="shared" si="25"/>
        <v>PEN</v>
      </c>
      <c r="O303" s="13"/>
      <c r="P303" s="13">
        <v>8</v>
      </c>
      <c r="Q303" s="3">
        <f t="shared" si="26"/>
        <v>0</v>
      </c>
      <c r="R303" s="3">
        <f t="shared" si="27"/>
        <v>8</v>
      </c>
      <c r="S303" s="3">
        <f t="shared" si="23"/>
        <v>2051.85</v>
      </c>
      <c r="T303" s="24"/>
      <c r="U303" s="24"/>
      <c r="V303" s="69"/>
      <c r="W303" s="25" t="s">
        <v>6307</v>
      </c>
      <c r="X303" s="25"/>
      <c r="Y303" s="25"/>
      <c r="Z303" s="25"/>
      <c r="AA303" s="25"/>
      <c r="AB303" s="3" t="str">
        <f>IF(Caja_Operativa[[#This Row],[FECHA]]&gt;0,TEXT(Caja_Operativa[[#This Row],[FECHA]],"mmmm"),0)</f>
        <v>Junio</v>
      </c>
    </row>
    <row r="304" spans="2:28" ht="60" hidden="1" x14ac:dyDescent="0.3">
      <c r="B304" s="2">
        <f>IF(Caja_Operativa[[#This Row],[TIPO DE R.]]="R",COUNTIFS($D$4:$D303,"R")+1,"")</f>
        <v>300</v>
      </c>
      <c r="C304" s="19" t="str">
        <f t="shared" si="24"/>
        <v>C-Operativa</v>
      </c>
      <c r="D304" s="3" t="s">
        <v>1074</v>
      </c>
      <c r="E304" s="14">
        <v>45817</v>
      </c>
      <c r="F304" s="5" t="s">
        <v>6299</v>
      </c>
      <c r="G304" s="5" t="s">
        <v>1079</v>
      </c>
      <c r="H304" s="6"/>
      <c r="I304" s="6"/>
      <c r="J304" s="6"/>
      <c r="K304" s="6"/>
      <c r="L304" s="7" t="s">
        <v>6475</v>
      </c>
      <c r="M304" s="8">
        <v>2882149</v>
      </c>
      <c r="N304" s="8" t="str">
        <f t="shared" si="25"/>
        <v>PEN</v>
      </c>
      <c r="O304" s="13"/>
      <c r="P304" s="13">
        <v>10</v>
      </c>
      <c r="Q304" s="3">
        <f t="shared" si="26"/>
        <v>0</v>
      </c>
      <c r="R304" s="3">
        <f t="shared" si="27"/>
        <v>10</v>
      </c>
      <c r="S304" s="3">
        <f t="shared" si="23"/>
        <v>2041.85</v>
      </c>
      <c r="T304" s="24"/>
      <c r="U304" s="24"/>
      <c r="V304" s="69"/>
      <c r="W304" s="25" t="s">
        <v>6307</v>
      </c>
      <c r="X304" s="25"/>
      <c r="Y304" s="25"/>
      <c r="Z304" s="25"/>
      <c r="AA304" s="25"/>
      <c r="AB304" s="3" t="str">
        <f>IF(Caja_Operativa[[#This Row],[FECHA]]&gt;0,TEXT(Caja_Operativa[[#This Row],[FECHA]],"mmmm"),0)</f>
        <v>Junio</v>
      </c>
    </row>
    <row r="305" spans="2:28" ht="60" hidden="1" x14ac:dyDescent="0.3">
      <c r="B305" s="2">
        <f>IF(Caja_Operativa[[#This Row],[TIPO DE R.]]="R",COUNTIFS($D$4:$D304,"R")+1,"")</f>
        <v>301</v>
      </c>
      <c r="C305" s="19" t="str">
        <f t="shared" si="24"/>
        <v>C-Operativa</v>
      </c>
      <c r="D305" s="3" t="s">
        <v>1074</v>
      </c>
      <c r="E305" s="14">
        <v>45817</v>
      </c>
      <c r="F305" s="5" t="s">
        <v>6299</v>
      </c>
      <c r="G305" s="5" t="s">
        <v>1079</v>
      </c>
      <c r="H305" s="6"/>
      <c r="I305" s="6"/>
      <c r="J305" s="6"/>
      <c r="K305" s="6"/>
      <c r="L305" s="7" t="s">
        <v>6476</v>
      </c>
      <c r="M305" s="8">
        <v>2916568</v>
      </c>
      <c r="N305" s="8" t="str">
        <f t="shared" si="25"/>
        <v>PEN</v>
      </c>
      <c r="O305" s="13"/>
      <c r="P305" s="13">
        <v>10</v>
      </c>
      <c r="Q305" s="3">
        <f t="shared" si="26"/>
        <v>0</v>
      </c>
      <c r="R305" s="3">
        <f t="shared" si="27"/>
        <v>10</v>
      </c>
      <c r="S305" s="3">
        <f t="shared" si="23"/>
        <v>2031.85</v>
      </c>
      <c r="T305" s="24"/>
      <c r="U305" s="24"/>
      <c r="V305" s="69"/>
      <c r="W305" s="25" t="s">
        <v>6307</v>
      </c>
      <c r="X305" s="25"/>
      <c r="Y305" s="25"/>
      <c r="Z305" s="25"/>
      <c r="AA305" s="25"/>
      <c r="AB305" s="3" t="str">
        <f>IF(Caja_Operativa[[#This Row],[FECHA]]&gt;0,TEXT(Caja_Operativa[[#This Row],[FECHA]],"mmmm"),0)</f>
        <v>Junio</v>
      </c>
    </row>
    <row r="306" spans="2:28" ht="60" hidden="1" x14ac:dyDescent="0.3">
      <c r="B306" s="2">
        <f>IF(Caja_Operativa[[#This Row],[TIPO DE R.]]="R",COUNTIFS($D$4:$D305,"R")+1,"")</f>
        <v>302</v>
      </c>
      <c r="C306" s="19" t="str">
        <f t="shared" si="24"/>
        <v>C-Operativa</v>
      </c>
      <c r="D306" s="3" t="s">
        <v>1074</v>
      </c>
      <c r="E306" s="14">
        <v>45817</v>
      </c>
      <c r="F306" s="5" t="s">
        <v>6299</v>
      </c>
      <c r="G306" s="5" t="s">
        <v>1079</v>
      </c>
      <c r="H306" s="6"/>
      <c r="I306" s="6"/>
      <c r="J306" s="6"/>
      <c r="K306" s="6"/>
      <c r="L306" s="7" t="s">
        <v>6477</v>
      </c>
      <c r="M306" s="8">
        <v>2922962</v>
      </c>
      <c r="N306" s="8" t="str">
        <f t="shared" si="25"/>
        <v>PEN</v>
      </c>
      <c r="O306" s="13"/>
      <c r="P306" s="13">
        <v>8</v>
      </c>
      <c r="Q306" s="3">
        <f t="shared" si="26"/>
        <v>0</v>
      </c>
      <c r="R306" s="3">
        <f t="shared" si="27"/>
        <v>8</v>
      </c>
      <c r="S306" s="3">
        <f t="shared" si="23"/>
        <v>2023.85</v>
      </c>
      <c r="T306" s="24"/>
      <c r="U306" s="24"/>
      <c r="V306" s="69"/>
      <c r="W306" s="25" t="s">
        <v>6307</v>
      </c>
      <c r="X306" s="25"/>
      <c r="Y306" s="25"/>
      <c r="Z306" s="25"/>
      <c r="AA306" s="25"/>
      <c r="AB306" s="3" t="str">
        <f>IF(Caja_Operativa[[#This Row],[FECHA]]&gt;0,TEXT(Caja_Operativa[[#This Row],[FECHA]],"mmmm"),0)</f>
        <v>Junio</v>
      </c>
    </row>
    <row r="307" spans="2:28" ht="60" hidden="1" x14ac:dyDescent="0.3">
      <c r="B307" s="2">
        <f>IF(Caja_Operativa[[#This Row],[TIPO DE R.]]="R",COUNTIFS($D$4:$D306,"R")+1,"")</f>
        <v>303</v>
      </c>
      <c r="C307" s="19" t="str">
        <f t="shared" si="24"/>
        <v>C-Operativa</v>
      </c>
      <c r="D307" s="3" t="s">
        <v>1074</v>
      </c>
      <c r="E307" s="14">
        <v>45817</v>
      </c>
      <c r="F307" s="5" t="s">
        <v>6299</v>
      </c>
      <c r="G307" s="5" t="s">
        <v>1079</v>
      </c>
      <c r="H307" s="6"/>
      <c r="I307" s="6"/>
      <c r="J307" s="6"/>
      <c r="K307" s="6"/>
      <c r="L307" s="7" t="s">
        <v>6478</v>
      </c>
      <c r="M307" s="8">
        <v>2923307</v>
      </c>
      <c r="N307" s="8" t="str">
        <f t="shared" si="25"/>
        <v>PEN</v>
      </c>
      <c r="O307" s="13"/>
      <c r="P307" s="13">
        <v>8</v>
      </c>
      <c r="Q307" s="3">
        <f t="shared" si="26"/>
        <v>0</v>
      </c>
      <c r="R307" s="3">
        <f t="shared" si="27"/>
        <v>8</v>
      </c>
      <c r="S307" s="3">
        <f t="shared" si="23"/>
        <v>2015.85</v>
      </c>
      <c r="T307" s="24"/>
      <c r="U307" s="24"/>
      <c r="V307" s="69"/>
      <c r="W307" s="25" t="s">
        <v>6307</v>
      </c>
      <c r="X307" s="25"/>
      <c r="Y307" s="25"/>
      <c r="Z307" s="25"/>
      <c r="AA307" s="25"/>
      <c r="AB307" s="3" t="str">
        <f>IF(Caja_Operativa[[#This Row],[FECHA]]&gt;0,TEXT(Caja_Operativa[[#This Row],[FECHA]],"mmmm"),0)</f>
        <v>Junio</v>
      </c>
    </row>
    <row r="308" spans="2:28" ht="60" hidden="1" x14ac:dyDescent="0.3">
      <c r="B308" s="2">
        <f>IF(Caja_Operativa[[#This Row],[TIPO DE R.]]="R",COUNTIFS($D$4:$D307,"R")+1,"")</f>
        <v>304</v>
      </c>
      <c r="C308" s="19" t="str">
        <f t="shared" si="24"/>
        <v>C-Operativa</v>
      </c>
      <c r="D308" s="3" t="s">
        <v>1074</v>
      </c>
      <c r="E308" s="14">
        <v>45817</v>
      </c>
      <c r="F308" s="5" t="s">
        <v>6299</v>
      </c>
      <c r="G308" s="5" t="s">
        <v>1079</v>
      </c>
      <c r="H308" s="6"/>
      <c r="I308" s="6"/>
      <c r="J308" s="6"/>
      <c r="K308" s="6"/>
      <c r="L308" s="7" t="s">
        <v>6479</v>
      </c>
      <c r="M308" s="8">
        <v>2920683</v>
      </c>
      <c r="N308" s="8" t="str">
        <f t="shared" si="25"/>
        <v>PEN</v>
      </c>
      <c r="O308" s="13"/>
      <c r="P308" s="13">
        <v>8</v>
      </c>
      <c r="Q308" s="3">
        <f t="shared" si="26"/>
        <v>0</v>
      </c>
      <c r="R308" s="3">
        <f t="shared" si="27"/>
        <v>8</v>
      </c>
      <c r="S308" s="3">
        <f t="shared" si="23"/>
        <v>2007.85</v>
      </c>
      <c r="T308" s="24"/>
      <c r="U308" s="24"/>
      <c r="V308" s="69"/>
      <c r="W308" s="25" t="s">
        <v>6307</v>
      </c>
      <c r="X308" s="25"/>
      <c r="Y308" s="25"/>
      <c r="Z308" s="25"/>
      <c r="AA308" s="25"/>
      <c r="AB308" s="3" t="str">
        <f>IF(Caja_Operativa[[#This Row],[FECHA]]&gt;0,TEXT(Caja_Operativa[[#This Row],[FECHA]],"mmmm"),0)</f>
        <v>Junio</v>
      </c>
    </row>
    <row r="309" spans="2:28" ht="60" hidden="1" x14ac:dyDescent="0.3">
      <c r="B309" s="2">
        <f>IF(Caja_Operativa[[#This Row],[TIPO DE R.]]="R",COUNTIFS($D$4:$D308,"R")+1,"")</f>
        <v>305</v>
      </c>
      <c r="C309" s="19" t="str">
        <f t="shared" si="24"/>
        <v>C-Operativa</v>
      </c>
      <c r="D309" s="3" t="s">
        <v>1074</v>
      </c>
      <c r="E309" s="14">
        <v>45817</v>
      </c>
      <c r="F309" s="5" t="s">
        <v>6299</v>
      </c>
      <c r="G309" s="5" t="s">
        <v>1079</v>
      </c>
      <c r="H309" s="6"/>
      <c r="I309" s="6"/>
      <c r="J309" s="6"/>
      <c r="K309" s="6"/>
      <c r="L309" s="7" t="s">
        <v>6480</v>
      </c>
      <c r="M309" s="8">
        <v>2906462</v>
      </c>
      <c r="N309" s="8" t="str">
        <f t="shared" si="25"/>
        <v>PEN</v>
      </c>
      <c r="O309" s="13"/>
      <c r="P309" s="13">
        <v>8</v>
      </c>
      <c r="Q309" s="3">
        <f t="shared" si="26"/>
        <v>0</v>
      </c>
      <c r="R309" s="3">
        <f t="shared" si="27"/>
        <v>8</v>
      </c>
      <c r="S309" s="3">
        <f t="shared" si="23"/>
        <v>1999.85</v>
      </c>
      <c r="T309" s="24"/>
      <c r="U309" s="24"/>
      <c r="V309" s="69"/>
      <c r="W309" s="25" t="s">
        <v>6307</v>
      </c>
      <c r="X309" s="25"/>
      <c r="Y309" s="25"/>
      <c r="Z309" s="25"/>
      <c r="AA309" s="25"/>
      <c r="AB309" s="3" t="str">
        <f>IF(Caja_Operativa[[#This Row],[FECHA]]&gt;0,TEXT(Caja_Operativa[[#This Row],[FECHA]],"mmmm"),0)</f>
        <v>Junio</v>
      </c>
    </row>
    <row r="310" spans="2:28" ht="60" hidden="1" x14ac:dyDescent="0.3">
      <c r="B310" s="2">
        <f>IF(Caja_Operativa[[#This Row],[TIPO DE R.]]="R",COUNTIFS($D$4:$D309,"R")+1,"")</f>
        <v>306</v>
      </c>
      <c r="C310" s="19" t="str">
        <f t="shared" si="24"/>
        <v>C-Operativa</v>
      </c>
      <c r="D310" s="3" t="s">
        <v>1074</v>
      </c>
      <c r="E310" s="14">
        <v>45817</v>
      </c>
      <c r="F310" s="5" t="s">
        <v>6299</v>
      </c>
      <c r="G310" s="5" t="s">
        <v>1079</v>
      </c>
      <c r="H310" s="6"/>
      <c r="I310" s="6"/>
      <c r="J310" s="6"/>
      <c r="K310" s="6"/>
      <c r="L310" s="7" t="s">
        <v>6481</v>
      </c>
      <c r="M310" s="8">
        <v>2912565</v>
      </c>
      <c r="N310" s="8" t="str">
        <f t="shared" si="25"/>
        <v>PEN</v>
      </c>
      <c r="O310" s="13"/>
      <c r="P310" s="13">
        <v>8</v>
      </c>
      <c r="Q310" s="3">
        <f t="shared" si="26"/>
        <v>0</v>
      </c>
      <c r="R310" s="3">
        <f t="shared" si="27"/>
        <v>8</v>
      </c>
      <c r="S310" s="3">
        <f t="shared" si="23"/>
        <v>1991.85</v>
      </c>
      <c r="T310" s="24"/>
      <c r="U310" s="24"/>
      <c r="V310" s="69"/>
      <c r="W310" s="25" t="s">
        <v>6307</v>
      </c>
      <c r="X310" s="25"/>
      <c r="Y310" s="25"/>
      <c r="Z310" s="25"/>
      <c r="AA310" s="25"/>
      <c r="AB310" s="3" t="str">
        <f>IF(Caja_Operativa[[#This Row],[FECHA]]&gt;0,TEXT(Caja_Operativa[[#This Row],[FECHA]],"mmmm"),0)</f>
        <v>Junio</v>
      </c>
    </row>
    <row r="311" spans="2:28" ht="60" hidden="1" x14ac:dyDescent="0.3">
      <c r="B311" s="2">
        <f>IF(Caja_Operativa[[#This Row],[TIPO DE R.]]="R",COUNTIFS($D$4:$D310,"R")+1,"")</f>
        <v>307</v>
      </c>
      <c r="C311" s="19" t="str">
        <f t="shared" si="24"/>
        <v>C-Operativa</v>
      </c>
      <c r="D311" s="3" t="s">
        <v>1074</v>
      </c>
      <c r="E311" s="14">
        <v>45817</v>
      </c>
      <c r="F311" s="5" t="s">
        <v>6299</v>
      </c>
      <c r="G311" s="5" t="s">
        <v>1079</v>
      </c>
      <c r="H311" s="6"/>
      <c r="I311" s="6"/>
      <c r="J311" s="6"/>
      <c r="K311" s="6"/>
      <c r="L311" s="7" t="s">
        <v>6482</v>
      </c>
      <c r="M311" s="8">
        <v>2921635</v>
      </c>
      <c r="N311" s="8" t="str">
        <f t="shared" si="25"/>
        <v>PEN</v>
      </c>
      <c r="O311" s="13"/>
      <c r="P311" s="13">
        <v>8</v>
      </c>
      <c r="Q311" s="3">
        <f t="shared" si="26"/>
        <v>0</v>
      </c>
      <c r="R311" s="3">
        <f t="shared" si="27"/>
        <v>8</v>
      </c>
      <c r="S311" s="3">
        <f t="shared" si="23"/>
        <v>1983.85</v>
      </c>
      <c r="T311" s="24"/>
      <c r="U311" s="24"/>
      <c r="V311" s="69"/>
      <c r="W311" s="25" t="s">
        <v>6307</v>
      </c>
      <c r="X311" s="25"/>
      <c r="Y311" s="25"/>
      <c r="Z311" s="25"/>
      <c r="AA311" s="25"/>
      <c r="AB311" s="3" t="str">
        <f>IF(Caja_Operativa[[#This Row],[FECHA]]&gt;0,TEXT(Caja_Operativa[[#This Row],[FECHA]],"mmmm"),0)</f>
        <v>Junio</v>
      </c>
    </row>
    <row r="312" spans="2:28" ht="60" hidden="1" x14ac:dyDescent="0.3">
      <c r="B312" s="2">
        <f>IF(Caja_Operativa[[#This Row],[TIPO DE R.]]="R",COUNTIFS($D$4:$D311,"R")+1,"")</f>
        <v>308</v>
      </c>
      <c r="C312" s="19" t="str">
        <f t="shared" si="24"/>
        <v>C-Operativa</v>
      </c>
      <c r="D312" s="3" t="s">
        <v>1074</v>
      </c>
      <c r="E312" s="14">
        <v>45817</v>
      </c>
      <c r="F312" s="5" t="s">
        <v>6299</v>
      </c>
      <c r="G312" s="5" t="s">
        <v>1079</v>
      </c>
      <c r="H312" s="6"/>
      <c r="I312" s="6"/>
      <c r="J312" s="6"/>
      <c r="K312" s="6"/>
      <c r="L312" s="7" t="s">
        <v>6483</v>
      </c>
      <c r="M312" s="8">
        <v>2931490</v>
      </c>
      <c r="N312" s="8" t="str">
        <f t="shared" si="25"/>
        <v>PEN</v>
      </c>
      <c r="O312" s="13"/>
      <c r="P312" s="13">
        <v>10</v>
      </c>
      <c r="Q312" s="3">
        <f t="shared" si="26"/>
        <v>0</v>
      </c>
      <c r="R312" s="3">
        <f t="shared" si="27"/>
        <v>10</v>
      </c>
      <c r="S312" s="3">
        <f t="shared" si="23"/>
        <v>1973.85</v>
      </c>
      <c r="T312" s="24"/>
      <c r="U312" s="24"/>
      <c r="V312" s="69"/>
      <c r="W312" s="25" t="s">
        <v>6307</v>
      </c>
      <c r="X312" s="25"/>
      <c r="Y312" s="25"/>
      <c r="Z312" s="25"/>
      <c r="AA312" s="25"/>
      <c r="AB312" s="3" t="str">
        <f>IF(Caja_Operativa[[#This Row],[FECHA]]&gt;0,TEXT(Caja_Operativa[[#This Row],[FECHA]],"mmmm"),0)</f>
        <v>Junio</v>
      </c>
    </row>
    <row r="313" spans="2:28" ht="60" hidden="1" x14ac:dyDescent="0.3">
      <c r="B313" s="2">
        <f>IF(Caja_Operativa[[#This Row],[TIPO DE R.]]="R",COUNTIFS($D$4:$D312,"R")+1,"")</f>
        <v>309</v>
      </c>
      <c r="C313" s="19" t="str">
        <f t="shared" si="24"/>
        <v>C-Operativa</v>
      </c>
      <c r="D313" s="3" t="s">
        <v>1074</v>
      </c>
      <c r="E313" s="14">
        <v>45817</v>
      </c>
      <c r="F313" s="5" t="s">
        <v>6299</v>
      </c>
      <c r="G313" s="5" t="s">
        <v>1079</v>
      </c>
      <c r="H313" s="6"/>
      <c r="I313" s="6"/>
      <c r="J313" s="6"/>
      <c r="K313" s="6"/>
      <c r="L313" s="7" t="s">
        <v>6484</v>
      </c>
      <c r="M313" s="8">
        <v>2961386</v>
      </c>
      <c r="N313" s="8" t="str">
        <f t="shared" si="25"/>
        <v>PEN</v>
      </c>
      <c r="O313" s="13"/>
      <c r="P313" s="13">
        <v>8</v>
      </c>
      <c r="Q313" s="3">
        <f t="shared" si="26"/>
        <v>0</v>
      </c>
      <c r="R313" s="3">
        <f t="shared" si="27"/>
        <v>8</v>
      </c>
      <c r="S313" s="3">
        <f t="shared" si="23"/>
        <v>1965.85</v>
      </c>
      <c r="T313" s="24"/>
      <c r="U313" s="24"/>
      <c r="V313" s="69"/>
      <c r="W313" s="25" t="s">
        <v>6307</v>
      </c>
      <c r="X313" s="25"/>
      <c r="Y313" s="25"/>
      <c r="Z313" s="25"/>
      <c r="AA313" s="25"/>
      <c r="AB313" s="3" t="str">
        <f>IF(Caja_Operativa[[#This Row],[FECHA]]&gt;0,TEXT(Caja_Operativa[[#This Row],[FECHA]],"mmmm"),0)</f>
        <v>Junio</v>
      </c>
    </row>
    <row r="314" spans="2:28" ht="60" hidden="1" x14ac:dyDescent="0.3">
      <c r="B314" s="2">
        <f>IF(Caja_Operativa[[#This Row],[TIPO DE R.]]="R",COUNTIFS($D$4:$D313,"R")+1,"")</f>
        <v>310</v>
      </c>
      <c r="C314" s="19" t="str">
        <f t="shared" si="24"/>
        <v>C-Operativa</v>
      </c>
      <c r="D314" s="3" t="s">
        <v>1074</v>
      </c>
      <c r="E314" s="14">
        <v>45817</v>
      </c>
      <c r="F314" s="5" t="s">
        <v>6299</v>
      </c>
      <c r="G314" s="5" t="s">
        <v>1079</v>
      </c>
      <c r="H314" s="6"/>
      <c r="I314" s="6"/>
      <c r="J314" s="6"/>
      <c r="K314" s="6"/>
      <c r="L314" s="7" t="s">
        <v>6485</v>
      </c>
      <c r="M314" s="8">
        <v>2930096</v>
      </c>
      <c r="N314" s="8" t="str">
        <f t="shared" si="25"/>
        <v>PEN</v>
      </c>
      <c r="O314" s="13"/>
      <c r="P314" s="13">
        <v>10</v>
      </c>
      <c r="Q314" s="3">
        <f t="shared" si="26"/>
        <v>0</v>
      </c>
      <c r="R314" s="3">
        <f t="shared" si="27"/>
        <v>10</v>
      </c>
      <c r="S314" s="3">
        <f t="shared" si="23"/>
        <v>1955.85</v>
      </c>
      <c r="T314" s="24"/>
      <c r="U314" s="24"/>
      <c r="V314" s="69"/>
      <c r="W314" s="25" t="s">
        <v>6307</v>
      </c>
      <c r="X314" s="25"/>
      <c r="Y314" s="25"/>
      <c r="Z314" s="25"/>
      <c r="AA314" s="25"/>
      <c r="AB314" s="3" t="str">
        <f>IF(Caja_Operativa[[#This Row],[FECHA]]&gt;0,TEXT(Caja_Operativa[[#This Row],[FECHA]],"mmmm"),0)</f>
        <v>Junio</v>
      </c>
    </row>
    <row r="315" spans="2:28" ht="60" hidden="1" x14ac:dyDescent="0.3">
      <c r="B315" s="2">
        <f>IF(Caja_Operativa[[#This Row],[TIPO DE R.]]="R",COUNTIFS($D$4:$D314,"R")+1,"")</f>
        <v>311</v>
      </c>
      <c r="C315" s="19" t="str">
        <f t="shared" si="24"/>
        <v>C-Operativa</v>
      </c>
      <c r="D315" s="3" t="s">
        <v>1074</v>
      </c>
      <c r="E315" s="14">
        <v>45817</v>
      </c>
      <c r="F315" s="5" t="s">
        <v>6299</v>
      </c>
      <c r="G315" s="5" t="s">
        <v>1079</v>
      </c>
      <c r="H315" s="6"/>
      <c r="I315" s="6"/>
      <c r="J315" s="6"/>
      <c r="K315" s="6"/>
      <c r="L315" s="7" t="s">
        <v>6486</v>
      </c>
      <c r="M315" s="8">
        <v>2953251</v>
      </c>
      <c r="N315" s="8" t="str">
        <f t="shared" si="25"/>
        <v>PEN</v>
      </c>
      <c r="O315" s="13"/>
      <c r="P315" s="13">
        <v>8</v>
      </c>
      <c r="Q315" s="3">
        <f t="shared" si="26"/>
        <v>0</v>
      </c>
      <c r="R315" s="3">
        <f t="shared" si="27"/>
        <v>8</v>
      </c>
      <c r="S315" s="3">
        <f t="shared" si="23"/>
        <v>1947.85</v>
      </c>
      <c r="T315" s="24"/>
      <c r="U315" s="24"/>
      <c r="V315" s="69"/>
      <c r="W315" s="25" t="s">
        <v>6307</v>
      </c>
      <c r="X315" s="25"/>
      <c r="Y315" s="25"/>
      <c r="Z315" s="25"/>
      <c r="AA315" s="25"/>
      <c r="AB315" s="3" t="str">
        <f>IF(Caja_Operativa[[#This Row],[FECHA]]&gt;0,TEXT(Caja_Operativa[[#This Row],[FECHA]],"mmmm"),0)</f>
        <v>Junio</v>
      </c>
    </row>
    <row r="316" spans="2:28" ht="60" hidden="1" x14ac:dyDescent="0.3">
      <c r="B316" s="2">
        <f>IF(Caja_Operativa[[#This Row],[TIPO DE R.]]="R",COUNTIFS($D$4:$D315,"R")+1,"")</f>
        <v>312</v>
      </c>
      <c r="C316" s="19" t="str">
        <f t="shared" si="24"/>
        <v>C-Operativa</v>
      </c>
      <c r="D316" s="3" t="s">
        <v>1074</v>
      </c>
      <c r="E316" s="14">
        <v>45817</v>
      </c>
      <c r="F316" s="5" t="s">
        <v>6299</v>
      </c>
      <c r="G316" s="5" t="s">
        <v>1079</v>
      </c>
      <c r="H316" s="6"/>
      <c r="I316" s="6"/>
      <c r="J316" s="6"/>
      <c r="K316" s="6"/>
      <c r="L316" s="7" t="s">
        <v>6487</v>
      </c>
      <c r="M316" s="8">
        <v>2962546</v>
      </c>
      <c r="N316" s="8" t="str">
        <f t="shared" si="25"/>
        <v>PEN</v>
      </c>
      <c r="O316" s="13"/>
      <c r="P316" s="13">
        <v>8</v>
      </c>
      <c r="Q316" s="3">
        <f t="shared" si="26"/>
        <v>0</v>
      </c>
      <c r="R316" s="3">
        <f t="shared" si="27"/>
        <v>8</v>
      </c>
      <c r="S316" s="3">
        <f t="shared" si="23"/>
        <v>1939.85</v>
      </c>
      <c r="T316" s="24"/>
      <c r="U316" s="24"/>
      <c r="V316" s="69"/>
      <c r="W316" s="25" t="s">
        <v>6307</v>
      </c>
      <c r="X316" s="25"/>
      <c r="Y316" s="25"/>
      <c r="Z316" s="25"/>
      <c r="AA316" s="25"/>
      <c r="AB316" s="3" t="str">
        <f>IF(Caja_Operativa[[#This Row],[FECHA]]&gt;0,TEXT(Caja_Operativa[[#This Row],[FECHA]],"mmmm"),0)</f>
        <v>Junio</v>
      </c>
    </row>
    <row r="317" spans="2:28" ht="24" hidden="1" x14ac:dyDescent="0.3">
      <c r="B317" s="2">
        <f>IF(Caja_Operativa[[#This Row],[TIPO DE R.]]="R",COUNTIFS($D$4:$D316,"R")+1,"")</f>
        <v>313</v>
      </c>
      <c r="C317" s="19" t="str">
        <f t="shared" si="24"/>
        <v>C-Operativa</v>
      </c>
      <c r="D317" s="3" t="s">
        <v>1074</v>
      </c>
      <c r="E317" s="14">
        <v>45819</v>
      </c>
      <c r="F317" s="5" t="s">
        <v>6299</v>
      </c>
      <c r="G317" s="5" t="s">
        <v>1079</v>
      </c>
      <c r="H317" s="6"/>
      <c r="I317" s="6"/>
      <c r="J317" s="6"/>
      <c r="K317" s="6"/>
      <c r="L317" s="7" t="s">
        <v>6302</v>
      </c>
      <c r="M317" s="8">
        <v>534040</v>
      </c>
      <c r="N317" s="8" t="str">
        <f t="shared" si="25"/>
        <v>PEN</v>
      </c>
      <c r="O317" s="13"/>
      <c r="P317" s="13">
        <v>130</v>
      </c>
      <c r="Q317" s="3">
        <f t="shared" si="26"/>
        <v>0</v>
      </c>
      <c r="R317" s="3">
        <f t="shared" si="27"/>
        <v>130</v>
      </c>
      <c r="S317" s="3">
        <f t="shared" si="23"/>
        <v>1809.85</v>
      </c>
      <c r="T317" s="24"/>
      <c r="U317" s="24"/>
      <c r="V317" s="69"/>
      <c r="W317" s="25" t="s">
        <v>6326</v>
      </c>
      <c r="X317" s="25"/>
      <c r="Y317" s="25"/>
      <c r="Z317" s="25"/>
      <c r="AA317" s="25"/>
      <c r="AB317" s="3" t="str">
        <f>IF(Caja_Operativa[[#This Row],[FECHA]]&gt;0,TEXT(Caja_Operativa[[#This Row],[FECHA]],"mmmm"),0)</f>
        <v>Junio</v>
      </c>
    </row>
    <row r="318" spans="2:28" ht="24" hidden="1" x14ac:dyDescent="0.3">
      <c r="B318" s="2">
        <f>IF(Caja_Operativa[[#This Row],[TIPO DE R.]]="R",COUNTIFS($D$4:$D317,"R")+1,"")</f>
        <v>314</v>
      </c>
      <c r="C318" s="19" t="str">
        <f t="shared" si="24"/>
        <v>C-Operativa</v>
      </c>
      <c r="D318" s="3" t="s">
        <v>1074</v>
      </c>
      <c r="E318" s="14">
        <v>45826</v>
      </c>
      <c r="F318" s="5" t="s">
        <v>6299</v>
      </c>
      <c r="G318" s="5" t="s">
        <v>1079</v>
      </c>
      <c r="H318" s="6"/>
      <c r="I318" s="6"/>
      <c r="J318" s="6"/>
      <c r="K318" s="6"/>
      <c r="L318" s="7" t="s">
        <v>6302</v>
      </c>
      <c r="M318" s="8">
        <v>293963</v>
      </c>
      <c r="N318" s="8" t="str">
        <f t="shared" si="25"/>
        <v>PEN</v>
      </c>
      <c r="O318" s="13"/>
      <c r="P318" s="13">
        <v>30</v>
      </c>
      <c r="Q318" s="3">
        <f t="shared" si="26"/>
        <v>0</v>
      </c>
      <c r="R318" s="3">
        <f t="shared" si="27"/>
        <v>30</v>
      </c>
      <c r="S318" s="3">
        <f t="shared" si="23"/>
        <v>1779.85</v>
      </c>
      <c r="T318" s="24"/>
      <c r="U318" s="24"/>
      <c r="V318" s="69"/>
      <c r="W318" s="25" t="s">
        <v>6305</v>
      </c>
      <c r="X318" s="25"/>
      <c r="Y318" s="25"/>
      <c r="Z318" s="25"/>
      <c r="AA318" s="25"/>
      <c r="AB318" s="3" t="str">
        <f>IF(Caja_Operativa[[#This Row],[FECHA]]&gt;0,TEXT(Caja_Operativa[[#This Row],[FECHA]],"mmmm"),0)</f>
        <v>Junio</v>
      </c>
    </row>
    <row r="319" spans="2:28" ht="24" hidden="1" x14ac:dyDescent="0.3">
      <c r="B319" s="2">
        <f>IF(Caja_Operativa[[#This Row],[TIPO DE R.]]="R",COUNTIFS($D$4:$D318,"R")+1,"")</f>
        <v>315</v>
      </c>
      <c r="C319" s="19" t="str">
        <f t="shared" si="24"/>
        <v>C-Operativa</v>
      </c>
      <c r="D319" s="3" t="s">
        <v>1074</v>
      </c>
      <c r="E319" s="14">
        <v>45826</v>
      </c>
      <c r="F319" s="5" t="s">
        <v>6299</v>
      </c>
      <c r="G319" s="5" t="s">
        <v>1079</v>
      </c>
      <c r="H319" s="6"/>
      <c r="I319" s="6"/>
      <c r="J319" s="6"/>
      <c r="K319" s="6"/>
      <c r="L319" s="7" t="s">
        <v>6302</v>
      </c>
      <c r="M319" s="8">
        <v>348039</v>
      </c>
      <c r="N319" s="8" t="str">
        <f t="shared" si="25"/>
        <v>PEN</v>
      </c>
      <c r="O319" s="13"/>
      <c r="P319" s="13">
        <v>50</v>
      </c>
      <c r="Q319" s="3">
        <f t="shared" si="26"/>
        <v>0</v>
      </c>
      <c r="R319" s="3">
        <f t="shared" si="27"/>
        <v>50</v>
      </c>
      <c r="S319" s="3">
        <f t="shared" si="23"/>
        <v>1729.85</v>
      </c>
      <c r="T319" s="24"/>
      <c r="U319" s="24"/>
      <c r="V319" s="69"/>
      <c r="W319" s="25" t="s">
        <v>5685</v>
      </c>
      <c r="X319" s="25"/>
      <c r="Y319" s="25"/>
      <c r="Z319" s="25"/>
      <c r="AA319" s="25"/>
      <c r="AB319" s="3" t="str">
        <f>IF(Caja_Operativa[[#This Row],[FECHA]]&gt;0,TEXT(Caja_Operativa[[#This Row],[FECHA]],"mmmm"),0)</f>
        <v>Junio</v>
      </c>
    </row>
    <row r="320" spans="2:28" ht="24" hidden="1" x14ac:dyDescent="0.3">
      <c r="B320" s="2">
        <f>IF(Caja_Operativa[[#This Row],[TIPO DE R.]]="R",COUNTIFS($D$4:$D319,"R")+1,"")</f>
        <v>316</v>
      </c>
      <c r="C320" s="19" t="str">
        <f t="shared" si="24"/>
        <v>C-Operativa</v>
      </c>
      <c r="D320" s="3" t="s">
        <v>1074</v>
      </c>
      <c r="E320" s="14">
        <v>45826</v>
      </c>
      <c r="F320" s="5" t="s">
        <v>6299</v>
      </c>
      <c r="G320" s="5" t="s">
        <v>1079</v>
      </c>
      <c r="H320" s="6"/>
      <c r="I320" s="6"/>
      <c r="J320" s="6"/>
      <c r="K320" s="6"/>
      <c r="L320" s="7" t="s">
        <v>6302</v>
      </c>
      <c r="M320" s="8">
        <v>357174</v>
      </c>
      <c r="N320" s="8" t="str">
        <f t="shared" si="25"/>
        <v>PEN</v>
      </c>
      <c r="O320" s="13"/>
      <c r="P320" s="13">
        <v>70</v>
      </c>
      <c r="Q320" s="3">
        <f t="shared" si="26"/>
        <v>0</v>
      </c>
      <c r="R320" s="3">
        <f t="shared" si="27"/>
        <v>70</v>
      </c>
      <c r="S320" s="3">
        <f t="shared" si="23"/>
        <v>1659.85</v>
      </c>
      <c r="T320" s="24"/>
      <c r="U320" s="24"/>
      <c r="V320" s="69"/>
      <c r="W320" s="25" t="s">
        <v>6301</v>
      </c>
      <c r="X320" s="25"/>
      <c r="Y320" s="25"/>
      <c r="Z320" s="25"/>
      <c r="AA320" s="25"/>
      <c r="AB320" s="3" t="str">
        <f>IF(Caja_Operativa[[#This Row],[FECHA]]&gt;0,TEXT(Caja_Operativa[[#This Row],[FECHA]],"mmmm"),0)</f>
        <v>Junio</v>
      </c>
    </row>
    <row r="321" spans="2:28" ht="24" hidden="1" x14ac:dyDescent="0.3">
      <c r="B321" s="2">
        <f>IF(Caja_Operativa[[#This Row],[TIPO DE R.]]="R",COUNTIFS($D$4:$D320,"R")+1,"")</f>
        <v>317</v>
      </c>
      <c r="C321" s="19" t="str">
        <f t="shared" si="24"/>
        <v>C-Operativa</v>
      </c>
      <c r="D321" s="3" t="s">
        <v>1074</v>
      </c>
      <c r="E321" s="14">
        <v>45826</v>
      </c>
      <c r="F321" s="5" t="s">
        <v>6299</v>
      </c>
      <c r="G321" s="5" t="s">
        <v>1079</v>
      </c>
      <c r="H321" s="6"/>
      <c r="I321" s="6"/>
      <c r="J321" s="6"/>
      <c r="K321" s="6"/>
      <c r="L321" s="7" t="s">
        <v>6302</v>
      </c>
      <c r="M321" s="8">
        <v>336504</v>
      </c>
      <c r="N321" s="8" t="str">
        <f t="shared" si="25"/>
        <v>PEN</v>
      </c>
      <c r="O321" s="13"/>
      <c r="P321" s="13">
        <v>40</v>
      </c>
      <c r="Q321" s="3">
        <f t="shared" si="26"/>
        <v>0</v>
      </c>
      <c r="R321" s="3">
        <f t="shared" si="27"/>
        <v>40</v>
      </c>
      <c r="S321" s="3">
        <f t="shared" si="23"/>
        <v>1619.85</v>
      </c>
      <c r="T321" s="24"/>
      <c r="U321" s="24"/>
      <c r="V321" s="69"/>
      <c r="W321" s="25" t="s">
        <v>6359</v>
      </c>
      <c r="X321" s="25"/>
      <c r="Y321" s="25"/>
      <c r="Z321" s="25"/>
      <c r="AA321" s="25"/>
      <c r="AB321" s="3" t="str">
        <f>IF(Caja_Operativa[[#This Row],[FECHA]]&gt;0,TEXT(Caja_Operativa[[#This Row],[FECHA]],"mmmm"),0)</f>
        <v>Junio</v>
      </c>
    </row>
    <row r="322" spans="2:28" ht="24" hidden="1" x14ac:dyDescent="0.3">
      <c r="B322" s="2">
        <f>IF(Caja_Operativa[[#This Row],[TIPO DE R.]]="R",COUNTIFS($D$4:$D321,"R")+1,"")</f>
        <v>318</v>
      </c>
      <c r="C322" s="19" t="str">
        <f t="shared" si="24"/>
        <v>C-Operativa</v>
      </c>
      <c r="D322" s="3" t="s">
        <v>1074</v>
      </c>
      <c r="E322" s="14">
        <v>45828</v>
      </c>
      <c r="F322" s="5" t="s">
        <v>6299</v>
      </c>
      <c r="G322" s="5" t="s">
        <v>1079</v>
      </c>
      <c r="H322" s="6"/>
      <c r="I322" s="6"/>
      <c r="J322" s="6"/>
      <c r="K322" s="6"/>
      <c r="L322" s="7" t="s">
        <v>6420</v>
      </c>
      <c r="M322" s="8">
        <v>3675748</v>
      </c>
      <c r="N322" s="8" t="str">
        <f t="shared" si="25"/>
        <v>PEN</v>
      </c>
      <c r="O322" s="13"/>
      <c r="P322" s="13">
        <v>800</v>
      </c>
      <c r="Q322" s="3">
        <f t="shared" si="26"/>
        <v>0</v>
      </c>
      <c r="R322" s="3">
        <f t="shared" si="27"/>
        <v>800</v>
      </c>
      <c r="S322" s="3">
        <f t="shared" si="23"/>
        <v>819.84999999999991</v>
      </c>
      <c r="T322" s="24"/>
      <c r="U322" s="24"/>
      <c r="V322" s="69"/>
      <c r="W322" s="25" t="s">
        <v>6301</v>
      </c>
      <c r="X322" s="25"/>
      <c r="Y322" s="25"/>
      <c r="Z322" s="25"/>
      <c r="AA322" s="25"/>
      <c r="AB322" s="3" t="str">
        <f>IF(Caja_Operativa[[#This Row],[FECHA]]&gt;0,TEXT(Caja_Operativa[[#This Row],[FECHA]],"mmmm"),0)</f>
        <v>Junio</v>
      </c>
    </row>
    <row r="323" spans="2:28" ht="60" hidden="1" x14ac:dyDescent="0.3">
      <c r="B323" s="2">
        <f>IF(Caja_Operativa[[#This Row],[TIPO DE R.]]="R",COUNTIFS($D$4:$D322,"R")+1,"")</f>
        <v>319</v>
      </c>
      <c r="C323" s="19" t="str">
        <f t="shared" si="24"/>
        <v>C-Operativa</v>
      </c>
      <c r="D323" s="3" t="s">
        <v>1074</v>
      </c>
      <c r="E323" s="14">
        <v>45828</v>
      </c>
      <c r="F323" s="5" t="s">
        <v>6299</v>
      </c>
      <c r="G323" s="5" t="s">
        <v>1079</v>
      </c>
      <c r="H323" s="6"/>
      <c r="I323" s="6"/>
      <c r="J323" s="6"/>
      <c r="K323" s="6"/>
      <c r="L323" s="7" t="s">
        <v>6488</v>
      </c>
      <c r="M323" s="8">
        <v>3269449</v>
      </c>
      <c r="N323" s="8" t="str">
        <f t="shared" si="25"/>
        <v>PEN</v>
      </c>
      <c r="O323" s="13"/>
      <c r="P323" s="13">
        <v>8</v>
      </c>
      <c r="Q323" s="3">
        <f t="shared" si="26"/>
        <v>0</v>
      </c>
      <c r="R323" s="3">
        <f t="shared" si="27"/>
        <v>8</v>
      </c>
      <c r="S323" s="3">
        <f t="shared" si="23"/>
        <v>811.84999999999991</v>
      </c>
      <c r="T323" s="24"/>
      <c r="U323" s="24"/>
      <c r="V323" s="69"/>
      <c r="W323" s="25" t="s">
        <v>6307</v>
      </c>
      <c r="X323" s="25"/>
      <c r="Y323" s="25"/>
      <c r="Z323" s="25"/>
      <c r="AA323" s="25"/>
      <c r="AB323" s="3" t="str">
        <f>IF(Caja_Operativa[[#This Row],[FECHA]]&gt;0,TEXT(Caja_Operativa[[#This Row],[FECHA]],"mmmm"),0)</f>
        <v>Junio</v>
      </c>
    </row>
    <row r="324" spans="2:28" ht="60" hidden="1" x14ac:dyDescent="0.3">
      <c r="B324" s="2">
        <f>IF(Caja_Operativa[[#This Row],[TIPO DE R.]]="R",COUNTIFS($D$4:$D323,"R")+1,"")</f>
        <v>320</v>
      </c>
      <c r="C324" s="19" t="str">
        <f t="shared" si="24"/>
        <v>C-Operativa</v>
      </c>
      <c r="D324" s="3" t="s">
        <v>1074</v>
      </c>
      <c r="E324" s="14">
        <v>45828</v>
      </c>
      <c r="F324" s="5" t="s">
        <v>6299</v>
      </c>
      <c r="G324" s="5" t="s">
        <v>1079</v>
      </c>
      <c r="H324" s="6"/>
      <c r="I324" s="6"/>
      <c r="J324" s="6"/>
      <c r="K324" s="6"/>
      <c r="L324" s="7" t="s">
        <v>6489</v>
      </c>
      <c r="M324" s="8">
        <v>3303178</v>
      </c>
      <c r="N324" s="8" t="str">
        <f t="shared" si="25"/>
        <v>PEN</v>
      </c>
      <c r="O324" s="13"/>
      <c r="P324" s="13">
        <v>8</v>
      </c>
      <c r="Q324" s="3">
        <f t="shared" si="26"/>
        <v>0</v>
      </c>
      <c r="R324" s="3">
        <f t="shared" si="27"/>
        <v>8</v>
      </c>
      <c r="S324" s="3">
        <f t="shared" si="23"/>
        <v>803.84999999999991</v>
      </c>
      <c r="T324" s="24"/>
      <c r="U324" s="24"/>
      <c r="V324" s="69"/>
      <c r="W324" s="25" t="s">
        <v>6307</v>
      </c>
      <c r="X324" s="25"/>
      <c r="Y324" s="25"/>
      <c r="Z324" s="25"/>
      <c r="AA324" s="25"/>
      <c r="AB324" s="3" t="str">
        <f>IF(Caja_Operativa[[#This Row],[FECHA]]&gt;0,TEXT(Caja_Operativa[[#This Row],[FECHA]],"mmmm"),0)</f>
        <v>Junio</v>
      </c>
    </row>
    <row r="325" spans="2:28" ht="60" hidden="1" x14ac:dyDescent="0.3">
      <c r="B325" s="2">
        <f>IF(Caja_Operativa[[#This Row],[TIPO DE R.]]="R",COUNTIFS($D$4:$D324,"R")+1,"")</f>
        <v>321</v>
      </c>
      <c r="C325" s="19" t="str">
        <f t="shared" si="24"/>
        <v>C-Operativa</v>
      </c>
      <c r="D325" s="3" t="s">
        <v>1074</v>
      </c>
      <c r="E325" s="14">
        <v>45828</v>
      </c>
      <c r="F325" s="5" t="s">
        <v>6299</v>
      </c>
      <c r="G325" s="5" t="s">
        <v>1079</v>
      </c>
      <c r="H325" s="6"/>
      <c r="I325" s="6"/>
      <c r="J325" s="6"/>
      <c r="K325" s="6"/>
      <c r="L325" s="7" t="s">
        <v>6490</v>
      </c>
      <c r="M325" s="8">
        <v>3300571</v>
      </c>
      <c r="N325" s="8" t="str">
        <f t="shared" si="25"/>
        <v>PEN</v>
      </c>
      <c r="O325" s="13"/>
      <c r="P325" s="13">
        <v>10</v>
      </c>
      <c r="Q325" s="3">
        <f t="shared" si="26"/>
        <v>0</v>
      </c>
      <c r="R325" s="3">
        <f t="shared" si="27"/>
        <v>10</v>
      </c>
      <c r="S325" s="3">
        <f t="shared" ref="S325:S388" si="28">IFERROR(IF(G325="SALDO",Q325,S324+Q325-R325),0)</f>
        <v>793.84999999999991</v>
      </c>
      <c r="T325" s="24"/>
      <c r="U325" s="24"/>
      <c r="V325" s="69"/>
      <c r="W325" s="25" t="s">
        <v>6307</v>
      </c>
      <c r="X325" s="25"/>
      <c r="Y325" s="25"/>
      <c r="Z325" s="25"/>
      <c r="AA325" s="25"/>
      <c r="AB325" s="3" t="str">
        <f>IF(Caja_Operativa[[#This Row],[FECHA]]&gt;0,TEXT(Caja_Operativa[[#This Row],[FECHA]],"mmmm"),0)</f>
        <v>Junio</v>
      </c>
    </row>
    <row r="326" spans="2:28" ht="60" hidden="1" x14ac:dyDescent="0.3">
      <c r="B326" s="2">
        <f>IF(Caja_Operativa[[#This Row],[TIPO DE R.]]="R",COUNTIFS($D$4:$D325,"R")+1,"")</f>
        <v>322</v>
      </c>
      <c r="C326" s="19" t="str">
        <f t="shared" ref="C326:C381" si="29">"C-Operativa"</f>
        <v>C-Operativa</v>
      </c>
      <c r="D326" s="3" t="s">
        <v>1074</v>
      </c>
      <c r="E326" s="14">
        <v>45828</v>
      </c>
      <c r="F326" s="5" t="s">
        <v>6299</v>
      </c>
      <c r="G326" s="5" t="s">
        <v>1079</v>
      </c>
      <c r="H326" s="6"/>
      <c r="I326" s="6"/>
      <c r="J326" s="6"/>
      <c r="K326" s="6"/>
      <c r="L326" s="7" t="s">
        <v>6491</v>
      </c>
      <c r="M326" s="8">
        <v>3312933</v>
      </c>
      <c r="N326" s="8" t="str">
        <f t="shared" ref="N326:N381" si="30">"PEN"</f>
        <v>PEN</v>
      </c>
      <c r="O326" s="13"/>
      <c r="P326" s="13">
        <v>10</v>
      </c>
      <c r="Q326" s="3">
        <f t="shared" ref="Q326:Q381" si="31">+IF(OR($G326="SALDO",$G326="INGRESO"),$P326,0)</f>
        <v>0</v>
      </c>
      <c r="R326" s="3">
        <f t="shared" ref="R326:R381" si="32">+IF($G326="EGRESO",$P326,0)</f>
        <v>10</v>
      </c>
      <c r="S326" s="3">
        <f t="shared" si="28"/>
        <v>783.84999999999991</v>
      </c>
      <c r="T326" s="24"/>
      <c r="U326" s="24"/>
      <c r="V326" s="69"/>
      <c r="W326" s="25" t="s">
        <v>6307</v>
      </c>
      <c r="X326" s="25"/>
      <c r="Y326" s="25"/>
      <c r="Z326" s="25"/>
      <c r="AA326" s="25"/>
      <c r="AB326" s="3" t="str">
        <f>IF(Caja_Operativa[[#This Row],[FECHA]]&gt;0,TEXT(Caja_Operativa[[#This Row],[FECHA]],"mmmm"),0)</f>
        <v>Junio</v>
      </c>
    </row>
    <row r="327" spans="2:28" ht="60" hidden="1" x14ac:dyDescent="0.3">
      <c r="B327" s="2">
        <f>IF(Caja_Operativa[[#This Row],[TIPO DE R.]]="R",COUNTIFS($D$4:$D326,"R")+1,"")</f>
        <v>323</v>
      </c>
      <c r="C327" s="19" t="str">
        <f t="shared" si="29"/>
        <v>C-Operativa</v>
      </c>
      <c r="D327" s="3" t="s">
        <v>1074</v>
      </c>
      <c r="E327" s="14">
        <v>45828</v>
      </c>
      <c r="F327" s="5" t="s">
        <v>6299</v>
      </c>
      <c r="G327" s="5" t="s">
        <v>1079</v>
      </c>
      <c r="H327" s="6"/>
      <c r="I327" s="6"/>
      <c r="J327" s="6"/>
      <c r="K327" s="6"/>
      <c r="L327" s="7" t="s">
        <v>6492</v>
      </c>
      <c r="M327" s="8">
        <v>3289717</v>
      </c>
      <c r="N327" s="8" t="str">
        <f t="shared" si="30"/>
        <v>PEN</v>
      </c>
      <c r="O327" s="13"/>
      <c r="P327" s="13">
        <v>8</v>
      </c>
      <c r="Q327" s="3">
        <f t="shared" si="31"/>
        <v>0</v>
      </c>
      <c r="R327" s="3">
        <f t="shared" si="32"/>
        <v>8</v>
      </c>
      <c r="S327" s="3">
        <f t="shared" si="28"/>
        <v>775.84999999999991</v>
      </c>
      <c r="T327" s="24"/>
      <c r="U327" s="24"/>
      <c r="V327" s="69"/>
      <c r="W327" s="25" t="s">
        <v>6307</v>
      </c>
      <c r="X327" s="25"/>
      <c r="Y327" s="25"/>
      <c r="Z327" s="25"/>
      <c r="AA327" s="25"/>
      <c r="AB327" s="3" t="str">
        <f>IF(Caja_Operativa[[#This Row],[FECHA]]&gt;0,TEXT(Caja_Operativa[[#This Row],[FECHA]],"mmmm"),0)</f>
        <v>Junio</v>
      </c>
    </row>
    <row r="328" spans="2:28" ht="60" hidden="1" x14ac:dyDescent="0.3">
      <c r="B328" s="2">
        <f>IF(Caja_Operativa[[#This Row],[TIPO DE R.]]="R",COUNTIFS($D$4:$D327,"R")+1,"")</f>
        <v>324</v>
      </c>
      <c r="C328" s="19" t="str">
        <f t="shared" si="29"/>
        <v>C-Operativa</v>
      </c>
      <c r="D328" s="3" t="s">
        <v>1074</v>
      </c>
      <c r="E328" s="14">
        <v>45828</v>
      </c>
      <c r="F328" s="5" t="s">
        <v>6299</v>
      </c>
      <c r="G328" s="5" t="s">
        <v>1079</v>
      </c>
      <c r="H328" s="6"/>
      <c r="I328" s="6"/>
      <c r="J328" s="6"/>
      <c r="K328" s="6"/>
      <c r="L328" s="7" t="s">
        <v>6493</v>
      </c>
      <c r="M328" s="8">
        <v>3295974</v>
      </c>
      <c r="N328" s="8" t="str">
        <f t="shared" si="30"/>
        <v>PEN</v>
      </c>
      <c r="O328" s="13"/>
      <c r="P328" s="13">
        <v>25</v>
      </c>
      <c r="Q328" s="3">
        <f t="shared" si="31"/>
        <v>0</v>
      </c>
      <c r="R328" s="3">
        <f t="shared" si="32"/>
        <v>25</v>
      </c>
      <c r="S328" s="3">
        <f t="shared" si="28"/>
        <v>750.84999999999991</v>
      </c>
      <c r="T328" s="24"/>
      <c r="U328" s="24"/>
      <c r="V328" s="69"/>
      <c r="W328" s="25" t="s">
        <v>6307</v>
      </c>
      <c r="X328" s="25"/>
      <c r="Y328" s="25"/>
      <c r="Z328" s="25"/>
      <c r="AA328" s="25"/>
      <c r="AB328" s="3" t="str">
        <f>IF(Caja_Operativa[[#This Row],[FECHA]]&gt;0,TEXT(Caja_Operativa[[#This Row],[FECHA]],"mmmm"),0)</f>
        <v>Junio</v>
      </c>
    </row>
    <row r="329" spans="2:28" ht="60" hidden="1" x14ac:dyDescent="0.3">
      <c r="B329" s="2">
        <f>IF(Caja_Operativa[[#This Row],[TIPO DE R.]]="R",COUNTIFS($D$4:$D328,"R")+1,"")</f>
        <v>325</v>
      </c>
      <c r="C329" s="19" t="str">
        <f t="shared" si="29"/>
        <v>C-Operativa</v>
      </c>
      <c r="D329" s="3" t="s">
        <v>1074</v>
      </c>
      <c r="E329" s="14">
        <v>45828</v>
      </c>
      <c r="F329" s="5" t="s">
        <v>6299</v>
      </c>
      <c r="G329" s="5" t="s">
        <v>1079</v>
      </c>
      <c r="H329" s="6"/>
      <c r="I329" s="6"/>
      <c r="J329" s="6"/>
      <c r="K329" s="6"/>
      <c r="L329" s="7" t="s">
        <v>6494</v>
      </c>
      <c r="M329" s="8">
        <v>3287625</v>
      </c>
      <c r="N329" s="8" t="str">
        <f t="shared" si="30"/>
        <v>PEN</v>
      </c>
      <c r="O329" s="13"/>
      <c r="P329" s="13">
        <v>10</v>
      </c>
      <c r="Q329" s="3">
        <f t="shared" si="31"/>
        <v>0</v>
      </c>
      <c r="R329" s="3">
        <f t="shared" si="32"/>
        <v>10</v>
      </c>
      <c r="S329" s="3">
        <f t="shared" si="28"/>
        <v>740.84999999999991</v>
      </c>
      <c r="T329" s="24"/>
      <c r="U329" s="24"/>
      <c r="V329" s="69"/>
      <c r="W329" s="25" t="s">
        <v>6307</v>
      </c>
      <c r="X329" s="25"/>
      <c r="Y329" s="25"/>
      <c r="Z329" s="25"/>
      <c r="AA329" s="25"/>
      <c r="AB329" s="3" t="str">
        <f>IF(Caja_Operativa[[#This Row],[FECHA]]&gt;0,TEXT(Caja_Operativa[[#This Row],[FECHA]],"mmmm"),0)</f>
        <v>Junio</v>
      </c>
    </row>
    <row r="330" spans="2:28" ht="60" hidden="1" x14ac:dyDescent="0.3">
      <c r="B330" s="2">
        <f>IF(Caja_Operativa[[#This Row],[TIPO DE R.]]="R",COUNTIFS($D$4:$D329,"R")+1,"")</f>
        <v>326</v>
      </c>
      <c r="C330" s="19" t="str">
        <f t="shared" si="29"/>
        <v>C-Operativa</v>
      </c>
      <c r="D330" s="3" t="s">
        <v>1074</v>
      </c>
      <c r="E330" s="14">
        <v>45828</v>
      </c>
      <c r="F330" s="5" t="s">
        <v>6299</v>
      </c>
      <c r="G330" s="5" t="s">
        <v>1079</v>
      </c>
      <c r="H330" s="6"/>
      <c r="I330" s="6"/>
      <c r="J330" s="6"/>
      <c r="K330" s="6"/>
      <c r="L330" s="7" t="s">
        <v>6495</v>
      </c>
      <c r="M330" s="8">
        <v>3302614</v>
      </c>
      <c r="N330" s="8" t="str">
        <f t="shared" si="30"/>
        <v>PEN</v>
      </c>
      <c r="O330" s="13"/>
      <c r="P330" s="13">
        <v>10</v>
      </c>
      <c r="Q330" s="3">
        <f t="shared" si="31"/>
        <v>0</v>
      </c>
      <c r="R330" s="3">
        <f t="shared" si="32"/>
        <v>10</v>
      </c>
      <c r="S330" s="3">
        <f t="shared" si="28"/>
        <v>730.84999999999991</v>
      </c>
      <c r="T330" s="24"/>
      <c r="U330" s="24"/>
      <c r="V330" s="69"/>
      <c r="W330" s="25" t="s">
        <v>6307</v>
      </c>
      <c r="X330" s="25"/>
      <c r="Y330" s="25"/>
      <c r="Z330" s="25"/>
      <c r="AA330" s="25"/>
      <c r="AB330" s="3" t="str">
        <f>IF(Caja_Operativa[[#This Row],[FECHA]]&gt;0,TEXT(Caja_Operativa[[#This Row],[FECHA]],"mmmm"),0)</f>
        <v>Junio</v>
      </c>
    </row>
    <row r="331" spans="2:28" ht="60" hidden="1" x14ac:dyDescent="0.3">
      <c r="B331" s="2">
        <f>IF(Caja_Operativa[[#This Row],[TIPO DE R.]]="R",COUNTIFS($D$4:$D330,"R")+1,"")</f>
        <v>327</v>
      </c>
      <c r="C331" s="19" t="str">
        <f t="shared" si="29"/>
        <v>C-Operativa</v>
      </c>
      <c r="D331" s="3" t="s">
        <v>1074</v>
      </c>
      <c r="E331" s="14">
        <v>45828</v>
      </c>
      <c r="F331" s="5" t="s">
        <v>6299</v>
      </c>
      <c r="G331" s="5" t="s">
        <v>1079</v>
      </c>
      <c r="H331" s="6"/>
      <c r="I331" s="6"/>
      <c r="J331" s="6"/>
      <c r="K331" s="6"/>
      <c r="L331" s="7" t="s">
        <v>6496</v>
      </c>
      <c r="M331" s="8">
        <v>3320788</v>
      </c>
      <c r="N331" s="8" t="str">
        <f t="shared" si="30"/>
        <v>PEN</v>
      </c>
      <c r="O331" s="13"/>
      <c r="P331" s="13">
        <v>10</v>
      </c>
      <c r="Q331" s="3">
        <f t="shared" si="31"/>
        <v>0</v>
      </c>
      <c r="R331" s="3">
        <f t="shared" si="32"/>
        <v>10</v>
      </c>
      <c r="S331" s="3">
        <f t="shared" si="28"/>
        <v>720.84999999999991</v>
      </c>
      <c r="T331" s="24"/>
      <c r="U331" s="24"/>
      <c r="V331" s="69"/>
      <c r="W331" s="25" t="s">
        <v>6307</v>
      </c>
      <c r="X331" s="25"/>
      <c r="Y331" s="25"/>
      <c r="Z331" s="25"/>
      <c r="AA331" s="25"/>
      <c r="AB331" s="3" t="str">
        <f>IF(Caja_Operativa[[#This Row],[FECHA]]&gt;0,TEXT(Caja_Operativa[[#This Row],[FECHA]],"mmmm"),0)</f>
        <v>Junio</v>
      </c>
    </row>
    <row r="332" spans="2:28" ht="60" hidden="1" x14ac:dyDescent="0.3">
      <c r="B332" s="2">
        <f>IF(Caja_Operativa[[#This Row],[TIPO DE R.]]="R",COUNTIFS($D$4:$D331,"R")+1,"")</f>
        <v>328</v>
      </c>
      <c r="C332" s="19" t="str">
        <f t="shared" si="29"/>
        <v>C-Operativa</v>
      </c>
      <c r="D332" s="3" t="s">
        <v>1074</v>
      </c>
      <c r="E332" s="14">
        <v>45828</v>
      </c>
      <c r="F332" s="5" t="s">
        <v>6299</v>
      </c>
      <c r="G332" s="5" t="s">
        <v>1079</v>
      </c>
      <c r="H332" s="6"/>
      <c r="I332" s="6"/>
      <c r="J332" s="6"/>
      <c r="K332" s="6"/>
      <c r="L332" s="7" t="s">
        <v>6497</v>
      </c>
      <c r="M332" s="8">
        <v>3366646</v>
      </c>
      <c r="N332" s="8" t="str">
        <f t="shared" si="30"/>
        <v>PEN</v>
      </c>
      <c r="O332" s="13"/>
      <c r="P332" s="13">
        <v>8</v>
      </c>
      <c r="Q332" s="3">
        <f t="shared" si="31"/>
        <v>0</v>
      </c>
      <c r="R332" s="3">
        <f t="shared" si="32"/>
        <v>8</v>
      </c>
      <c r="S332" s="3">
        <f t="shared" si="28"/>
        <v>712.84999999999991</v>
      </c>
      <c r="T332" s="24"/>
      <c r="U332" s="24"/>
      <c r="V332" s="69"/>
      <c r="W332" s="25" t="s">
        <v>6307</v>
      </c>
      <c r="X332" s="25"/>
      <c r="Y332" s="25"/>
      <c r="Z332" s="25"/>
      <c r="AA332" s="25"/>
      <c r="AB332" s="3" t="str">
        <f>IF(Caja_Operativa[[#This Row],[FECHA]]&gt;0,TEXT(Caja_Operativa[[#This Row],[FECHA]],"mmmm"),0)</f>
        <v>Junio</v>
      </c>
    </row>
    <row r="333" spans="2:28" ht="60" hidden="1" x14ac:dyDescent="0.3">
      <c r="B333" s="2">
        <f>IF(Caja_Operativa[[#This Row],[TIPO DE R.]]="R",COUNTIFS($D$4:$D332,"R")+1,"")</f>
        <v>329</v>
      </c>
      <c r="C333" s="19" t="str">
        <f t="shared" si="29"/>
        <v>C-Operativa</v>
      </c>
      <c r="D333" s="3" t="s">
        <v>1074</v>
      </c>
      <c r="E333" s="14">
        <v>45828</v>
      </c>
      <c r="F333" s="5" t="s">
        <v>6299</v>
      </c>
      <c r="G333" s="5" t="s">
        <v>1079</v>
      </c>
      <c r="H333" s="6"/>
      <c r="I333" s="6"/>
      <c r="J333" s="6"/>
      <c r="K333" s="6"/>
      <c r="L333" s="7" t="s">
        <v>6498</v>
      </c>
      <c r="M333" s="8">
        <v>3352139</v>
      </c>
      <c r="N333" s="8" t="str">
        <f t="shared" si="30"/>
        <v>PEN</v>
      </c>
      <c r="O333" s="13"/>
      <c r="P333" s="13">
        <v>8</v>
      </c>
      <c r="Q333" s="3">
        <f t="shared" si="31"/>
        <v>0</v>
      </c>
      <c r="R333" s="3">
        <f t="shared" si="32"/>
        <v>8</v>
      </c>
      <c r="S333" s="3">
        <f t="shared" si="28"/>
        <v>704.84999999999991</v>
      </c>
      <c r="T333" s="24"/>
      <c r="U333" s="24"/>
      <c r="V333" s="69"/>
      <c r="W333" s="25" t="s">
        <v>6307</v>
      </c>
      <c r="X333" s="25"/>
      <c r="Y333" s="25"/>
      <c r="Z333" s="25"/>
      <c r="AA333" s="25"/>
      <c r="AB333" s="3" t="str">
        <f>IF(Caja_Operativa[[#This Row],[FECHA]]&gt;0,TEXT(Caja_Operativa[[#This Row],[FECHA]],"mmmm"),0)</f>
        <v>Junio</v>
      </c>
    </row>
    <row r="334" spans="2:28" ht="60" hidden="1" x14ac:dyDescent="0.3">
      <c r="B334" s="2">
        <f>IF(Caja_Operativa[[#This Row],[TIPO DE R.]]="R",COUNTIFS($D$4:$D333,"R")+1,"")</f>
        <v>330</v>
      </c>
      <c r="C334" s="19" t="str">
        <f t="shared" si="29"/>
        <v>C-Operativa</v>
      </c>
      <c r="D334" s="3" t="s">
        <v>1074</v>
      </c>
      <c r="E334" s="14">
        <v>45828</v>
      </c>
      <c r="F334" s="5" t="s">
        <v>6299</v>
      </c>
      <c r="G334" s="5" t="s">
        <v>1079</v>
      </c>
      <c r="H334" s="6"/>
      <c r="I334" s="6"/>
      <c r="J334" s="6"/>
      <c r="K334" s="6"/>
      <c r="L334" s="7" t="s">
        <v>6499</v>
      </c>
      <c r="M334" s="8">
        <v>3373104</v>
      </c>
      <c r="N334" s="8" t="str">
        <f t="shared" si="30"/>
        <v>PEN</v>
      </c>
      <c r="O334" s="13"/>
      <c r="P334" s="13">
        <v>8</v>
      </c>
      <c r="Q334" s="3">
        <f t="shared" si="31"/>
        <v>0</v>
      </c>
      <c r="R334" s="3">
        <f t="shared" si="32"/>
        <v>8</v>
      </c>
      <c r="S334" s="3">
        <f t="shared" si="28"/>
        <v>696.84999999999991</v>
      </c>
      <c r="T334" s="24"/>
      <c r="U334" s="24"/>
      <c r="V334" s="69"/>
      <c r="W334" s="25" t="s">
        <v>6307</v>
      </c>
      <c r="X334" s="25"/>
      <c r="Y334" s="25"/>
      <c r="Z334" s="25"/>
      <c r="AA334" s="25"/>
      <c r="AB334" s="3" t="str">
        <f>IF(Caja_Operativa[[#This Row],[FECHA]]&gt;0,TEXT(Caja_Operativa[[#This Row],[FECHA]],"mmmm"),0)</f>
        <v>Junio</v>
      </c>
    </row>
    <row r="335" spans="2:28" ht="60" hidden="1" x14ac:dyDescent="0.3">
      <c r="B335" s="2">
        <f>IF(Caja_Operativa[[#This Row],[TIPO DE R.]]="R",COUNTIFS($D$4:$D334,"R")+1,"")</f>
        <v>331</v>
      </c>
      <c r="C335" s="19" t="str">
        <f t="shared" si="29"/>
        <v>C-Operativa</v>
      </c>
      <c r="D335" s="3" t="s">
        <v>1074</v>
      </c>
      <c r="E335" s="14">
        <v>45828</v>
      </c>
      <c r="F335" s="5" t="s">
        <v>6299</v>
      </c>
      <c r="G335" s="5" t="s">
        <v>1079</v>
      </c>
      <c r="H335" s="6"/>
      <c r="I335" s="6"/>
      <c r="J335" s="6"/>
      <c r="K335" s="6"/>
      <c r="L335" s="7" t="s">
        <v>6500</v>
      </c>
      <c r="M335" s="8">
        <v>3364539</v>
      </c>
      <c r="N335" s="8" t="str">
        <f t="shared" si="30"/>
        <v>PEN</v>
      </c>
      <c r="O335" s="13"/>
      <c r="P335" s="13">
        <v>8</v>
      </c>
      <c r="Q335" s="3">
        <f t="shared" si="31"/>
        <v>0</v>
      </c>
      <c r="R335" s="3">
        <f t="shared" si="32"/>
        <v>8</v>
      </c>
      <c r="S335" s="3">
        <f t="shared" si="28"/>
        <v>688.84999999999991</v>
      </c>
      <c r="T335" s="24"/>
      <c r="U335" s="24"/>
      <c r="V335" s="69"/>
      <c r="W335" s="25" t="s">
        <v>6307</v>
      </c>
      <c r="X335" s="25"/>
      <c r="Y335" s="25"/>
      <c r="Z335" s="25"/>
      <c r="AA335" s="25"/>
      <c r="AB335" s="3" t="str">
        <f>IF(Caja_Operativa[[#This Row],[FECHA]]&gt;0,TEXT(Caja_Operativa[[#This Row],[FECHA]],"mmmm"),0)</f>
        <v>Junio</v>
      </c>
    </row>
    <row r="336" spans="2:28" ht="60" hidden="1" x14ac:dyDescent="0.3">
      <c r="B336" s="2">
        <f>IF(Caja_Operativa[[#This Row],[TIPO DE R.]]="R",COUNTIFS($D$4:$D335,"R")+1,"")</f>
        <v>332</v>
      </c>
      <c r="C336" s="19" t="str">
        <f t="shared" si="29"/>
        <v>C-Operativa</v>
      </c>
      <c r="D336" s="3" t="s">
        <v>1074</v>
      </c>
      <c r="E336" s="14">
        <v>45828</v>
      </c>
      <c r="F336" s="5" t="s">
        <v>6299</v>
      </c>
      <c r="G336" s="5" t="s">
        <v>1079</v>
      </c>
      <c r="H336" s="6"/>
      <c r="I336" s="6"/>
      <c r="J336" s="6"/>
      <c r="K336" s="6"/>
      <c r="L336" s="7" t="s">
        <v>6501</v>
      </c>
      <c r="M336" s="8">
        <v>3367950</v>
      </c>
      <c r="N336" s="8" t="str">
        <f t="shared" si="30"/>
        <v>PEN</v>
      </c>
      <c r="O336" s="13"/>
      <c r="P336" s="13">
        <v>8</v>
      </c>
      <c r="Q336" s="3">
        <f t="shared" si="31"/>
        <v>0</v>
      </c>
      <c r="R336" s="3">
        <f t="shared" si="32"/>
        <v>8</v>
      </c>
      <c r="S336" s="3">
        <f t="shared" si="28"/>
        <v>680.84999999999991</v>
      </c>
      <c r="T336" s="24"/>
      <c r="U336" s="24"/>
      <c r="V336" s="69"/>
      <c r="W336" s="25" t="s">
        <v>6307</v>
      </c>
      <c r="X336" s="25"/>
      <c r="Y336" s="25"/>
      <c r="Z336" s="25"/>
      <c r="AA336" s="25"/>
      <c r="AB336" s="3" t="str">
        <f>IF(Caja_Operativa[[#This Row],[FECHA]]&gt;0,TEXT(Caja_Operativa[[#This Row],[FECHA]],"mmmm"),0)</f>
        <v>Junio</v>
      </c>
    </row>
    <row r="337" spans="2:28" ht="60" hidden="1" x14ac:dyDescent="0.3">
      <c r="B337" s="2">
        <f>IF(Caja_Operativa[[#This Row],[TIPO DE R.]]="R",COUNTIFS($D$4:$D336,"R")+1,"")</f>
        <v>333</v>
      </c>
      <c r="C337" s="19" t="str">
        <f t="shared" si="29"/>
        <v>C-Operativa</v>
      </c>
      <c r="D337" s="3" t="s">
        <v>1074</v>
      </c>
      <c r="E337" s="14">
        <v>45828</v>
      </c>
      <c r="F337" s="5" t="s">
        <v>6299</v>
      </c>
      <c r="G337" s="5" t="s">
        <v>1079</v>
      </c>
      <c r="H337" s="6"/>
      <c r="I337" s="6"/>
      <c r="J337" s="6"/>
      <c r="K337" s="6"/>
      <c r="L337" s="7" t="s">
        <v>6502</v>
      </c>
      <c r="M337" s="8">
        <v>3335805</v>
      </c>
      <c r="N337" s="8" t="str">
        <f t="shared" si="30"/>
        <v>PEN</v>
      </c>
      <c r="O337" s="13"/>
      <c r="P337" s="13">
        <v>8</v>
      </c>
      <c r="Q337" s="3">
        <f t="shared" si="31"/>
        <v>0</v>
      </c>
      <c r="R337" s="3">
        <f t="shared" si="32"/>
        <v>8</v>
      </c>
      <c r="S337" s="3">
        <f t="shared" si="28"/>
        <v>672.84999999999991</v>
      </c>
      <c r="T337" s="24"/>
      <c r="U337" s="24"/>
      <c r="V337" s="69"/>
      <c r="W337" s="25" t="s">
        <v>6307</v>
      </c>
      <c r="X337" s="25"/>
      <c r="Y337" s="25"/>
      <c r="Z337" s="25"/>
      <c r="AA337" s="25"/>
      <c r="AB337" s="3" t="str">
        <f>IF(Caja_Operativa[[#This Row],[FECHA]]&gt;0,TEXT(Caja_Operativa[[#This Row],[FECHA]],"mmmm"),0)</f>
        <v>Junio</v>
      </c>
    </row>
    <row r="338" spans="2:28" ht="60" hidden="1" x14ac:dyDescent="0.3">
      <c r="B338" s="2">
        <f>IF(Caja_Operativa[[#This Row],[TIPO DE R.]]="R",COUNTIFS($D$4:$D337,"R")+1,"")</f>
        <v>334</v>
      </c>
      <c r="C338" s="19" t="str">
        <f t="shared" si="29"/>
        <v>C-Operativa</v>
      </c>
      <c r="D338" s="3" t="s">
        <v>1074</v>
      </c>
      <c r="E338" s="14">
        <v>45828</v>
      </c>
      <c r="F338" s="5" t="s">
        <v>6299</v>
      </c>
      <c r="G338" s="5" t="s">
        <v>1079</v>
      </c>
      <c r="H338" s="6"/>
      <c r="I338" s="6"/>
      <c r="J338" s="6"/>
      <c r="K338" s="6"/>
      <c r="L338" s="7" t="s">
        <v>6503</v>
      </c>
      <c r="M338" s="8">
        <v>3362597</v>
      </c>
      <c r="N338" s="8" t="str">
        <f t="shared" si="30"/>
        <v>PEN</v>
      </c>
      <c r="O338" s="13"/>
      <c r="P338" s="13">
        <v>8</v>
      </c>
      <c r="Q338" s="3">
        <f t="shared" si="31"/>
        <v>0</v>
      </c>
      <c r="R338" s="3">
        <f t="shared" si="32"/>
        <v>8</v>
      </c>
      <c r="S338" s="3">
        <f t="shared" si="28"/>
        <v>664.84999999999991</v>
      </c>
      <c r="T338" s="24"/>
      <c r="U338" s="24"/>
      <c r="V338" s="69"/>
      <c r="W338" s="25" t="s">
        <v>6307</v>
      </c>
      <c r="X338" s="25"/>
      <c r="Y338" s="25"/>
      <c r="Z338" s="25"/>
      <c r="AA338" s="25"/>
      <c r="AB338" s="3" t="str">
        <f>IF(Caja_Operativa[[#This Row],[FECHA]]&gt;0,TEXT(Caja_Operativa[[#This Row],[FECHA]],"mmmm"),0)</f>
        <v>Junio</v>
      </c>
    </row>
    <row r="339" spans="2:28" ht="60" hidden="1" x14ac:dyDescent="0.3">
      <c r="B339" s="2">
        <f>IF(Caja_Operativa[[#This Row],[TIPO DE R.]]="R",COUNTIFS($D$4:$D338,"R")+1,"")</f>
        <v>335</v>
      </c>
      <c r="C339" s="19" t="str">
        <f t="shared" si="29"/>
        <v>C-Operativa</v>
      </c>
      <c r="D339" s="3" t="s">
        <v>1074</v>
      </c>
      <c r="E339" s="14">
        <v>45828</v>
      </c>
      <c r="F339" s="5" t="s">
        <v>6299</v>
      </c>
      <c r="G339" s="5" t="s">
        <v>1079</v>
      </c>
      <c r="H339" s="6"/>
      <c r="I339" s="6"/>
      <c r="J339" s="6"/>
      <c r="K339" s="6"/>
      <c r="L339" s="7" t="s">
        <v>6504</v>
      </c>
      <c r="M339" s="8">
        <v>3390268</v>
      </c>
      <c r="N339" s="8" t="str">
        <f t="shared" si="30"/>
        <v>PEN</v>
      </c>
      <c r="O339" s="13"/>
      <c r="P339" s="13">
        <v>8</v>
      </c>
      <c r="Q339" s="3">
        <f t="shared" si="31"/>
        <v>0</v>
      </c>
      <c r="R339" s="3">
        <f t="shared" si="32"/>
        <v>8</v>
      </c>
      <c r="S339" s="3">
        <f t="shared" si="28"/>
        <v>656.84999999999991</v>
      </c>
      <c r="T339" s="24"/>
      <c r="U339" s="24"/>
      <c r="V339" s="69"/>
      <c r="W339" s="25" t="s">
        <v>6307</v>
      </c>
      <c r="X339" s="25"/>
      <c r="Y339" s="25"/>
      <c r="Z339" s="25"/>
      <c r="AA339" s="25"/>
      <c r="AB339" s="3" t="str">
        <f>IF(Caja_Operativa[[#This Row],[FECHA]]&gt;0,TEXT(Caja_Operativa[[#This Row],[FECHA]],"mmmm"),0)</f>
        <v>Junio</v>
      </c>
    </row>
    <row r="340" spans="2:28" ht="60" hidden="1" x14ac:dyDescent="0.3">
      <c r="B340" s="2">
        <f>IF(Caja_Operativa[[#This Row],[TIPO DE R.]]="R",COUNTIFS($D$4:$D339,"R")+1,"")</f>
        <v>336</v>
      </c>
      <c r="C340" s="19" t="str">
        <f t="shared" si="29"/>
        <v>C-Operativa</v>
      </c>
      <c r="D340" s="3" t="s">
        <v>1074</v>
      </c>
      <c r="E340" s="14">
        <v>45828</v>
      </c>
      <c r="F340" s="5" t="s">
        <v>6299</v>
      </c>
      <c r="G340" s="5" t="s">
        <v>1079</v>
      </c>
      <c r="H340" s="6"/>
      <c r="I340" s="6"/>
      <c r="J340" s="6"/>
      <c r="K340" s="6"/>
      <c r="L340" s="7" t="s">
        <v>6505</v>
      </c>
      <c r="M340" s="8">
        <v>3402392</v>
      </c>
      <c r="N340" s="8" t="str">
        <f t="shared" si="30"/>
        <v>PEN</v>
      </c>
      <c r="O340" s="13"/>
      <c r="P340" s="13">
        <v>8</v>
      </c>
      <c r="Q340" s="3">
        <f t="shared" si="31"/>
        <v>0</v>
      </c>
      <c r="R340" s="3">
        <f t="shared" si="32"/>
        <v>8</v>
      </c>
      <c r="S340" s="3">
        <f t="shared" si="28"/>
        <v>648.84999999999991</v>
      </c>
      <c r="T340" s="24"/>
      <c r="U340" s="24"/>
      <c r="V340" s="69"/>
      <c r="W340" s="25" t="s">
        <v>6307</v>
      </c>
      <c r="X340" s="25"/>
      <c r="Y340" s="25"/>
      <c r="Z340" s="25"/>
      <c r="AA340" s="25"/>
      <c r="AB340" s="3" t="str">
        <f>IF(Caja_Operativa[[#This Row],[FECHA]]&gt;0,TEXT(Caja_Operativa[[#This Row],[FECHA]],"mmmm"),0)</f>
        <v>Junio</v>
      </c>
    </row>
    <row r="341" spans="2:28" ht="60" hidden="1" x14ac:dyDescent="0.3">
      <c r="B341" s="2">
        <f>IF(Caja_Operativa[[#This Row],[TIPO DE R.]]="R",COUNTIFS($D$4:$D340,"R")+1,"")</f>
        <v>337</v>
      </c>
      <c r="C341" s="19" t="str">
        <f t="shared" si="29"/>
        <v>C-Operativa</v>
      </c>
      <c r="D341" s="3" t="s">
        <v>1074</v>
      </c>
      <c r="E341" s="14">
        <v>45828</v>
      </c>
      <c r="F341" s="5" t="s">
        <v>6299</v>
      </c>
      <c r="G341" s="5" t="s">
        <v>1079</v>
      </c>
      <c r="H341" s="6"/>
      <c r="I341" s="6"/>
      <c r="J341" s="6"/>
      <c r="K341" s="6"/>
      <c r="L341" s="7" t="s">
        <v>6506</v>
      </c>
      <c r="M341" s="8">
        <v>3390974</v>
      </c>
      <c r="N341" s="8" t="str">
        <f t="shared" si="30"/>
        <v>PEN</v>
      </c>
      <c r="O341" s="13"/>
      <c r="P341" s="13">
        <v>8</v>
      </c>
      <c r="Q341" s="3">
        <f t="shared" si="31"/>
        <v>0</v>
      </c>
      <c r="R341" s="3">
        <f t="shared" si="32"/>
        <v>8</v>
      </c>
      <c r="S341" s="3">
        <f t="shared" si="28"/>
        <v>640.84999999999991</v>
      </c>
      <c r="T341" s="24"/>
      <c r="U341" s="24"/>
      <c r="V341" s="69"/>
      <c r="W341" s="25" t="s">
        <v>6307</v>
      </c>
      <c r="X341" s="25"/>
      <c r="Y341" s="25"/>
      <c r="Z341" s="25"/>
      <c r="AA341" s="25"/>
      <c r="AB341" s="3" t="str">
        <f>IF(Caja_Operativa[[#This Row],[FECHA]]&gt;0,TEXT(Caja_Operativa[[#This Row],[FECHA]],"mmmm"),0)</f>
        <v>Junio</v>
      </c>
    </row>
    <row r="342" spans="2:28" ht="60" hidden="1" x14ac:dyDescent="0.3">
      <c r="B342" s="2">
        <f>IF(Caja_Operativa[[#This Row],[TIPO DE R.]]="R",COUNTIFS($D$4:$D341,"R")+1,"")</f>
        <v>338</v>
      </c>
      <c r="C342" s="19" t="str">
        <f t="shared" si="29"/>
        <v>C-Operativa</v>
      </c>
      <c r="D342" s="3" t="s">
        <v>1074</v>
      </c>
      <c r="E342" s="14">
        <v>45828</v>
      </c>
      <c r="F342" s="5" t="s">
        <v>6299</v>
      </c>
      <c r="G342" s="5" t="s">
        <v>1079</v>
      </c>
      <c r="H342" s="6"/>
      <c r="I342" s="6"/>
      <c r="J342" s="6"/>
      <c r="K342" s="6"/>
      <c r="L342" s="7" t="s">
        <v>6507</v>
      </c>
      <c r="M342" s="8">
        <v>3406023</v>
      </c>
      <c r="N342" s="8" t="str">
        <f t="shared" si="30"/>
        <v>PEN</v>
      </c>
      <c r="O342" s="13"/>
      <c r="P342" s="13">
        <v>10</v>
      </c>
      <c r="Q342" s="3">
        <f t="shared" si="31"/>
        <v>0</v>
      </c>
      <c r="R342" s="3">
        <f t="shared" si="32"/>
        <v>10</v>
      </c>
      <c r="S342" s="3">
        <f t="shared" si="28"/>
        <v>630.84999999999991</v>
      </c>
      <c r="T342" s="24"/>
      <c r="U342" s="24"/>
      <c r="V342" s="69"/>
      <c r="W342" s="25" t="s">
        <v>6307</v>
      </c>
      <c r="X342" s="25"/>
      <c r="Y342" s="25"/>
      <c r="Z342" s="25"/>
      <c r="AA342" s="25"/>
      <c r="AB342" s="3" t="str">
        <f>IF(Caja_Operativa[[#This Row],[FECHA]]&gt;0,TEXT(Caja_Operativa[[#This Row],[FECHA]],"mmmm"),0)</f>
        <v>Junio</v>
      </c>
    </row>
    <row r="343" spans="2:28" hidden="1" x14ac:dyDescent="0.3">
      <c r="B343" s="2">
        <f>IF(Caja_Operativa[[#This Row],[TIPO DE R.]]="R",COUNTIFS($D$4:$D342,"R")+1,"")</f>
        <v>339</v>
      </c>
      <c r="C343" s="19" t="str">
        <f t="shared" si="29"/>
        <v>C-Operativa</v>
      </c>
      <c r="D343" s="3" t="s">
        <v>1074</v>
      </c>
      <c r="E343" s="14">
        <v>45828</v>
      </c>
      <c r="F343" s="5" t="s">
        <v>6298</v>
      </c>
      <c r="G343" s="5" t="s">
        <v>1087</v>
      </c>
      <c r="H343" s="6"/>
      <c r="I343" s="6"/>
      <c r="J343" s="6" t="s">
        <v>6508</v>
      </c>
      <c r="K343" s="6">
        <v>10</v>
      </c>
      <c r="L343" s="7" t="s">
        <v>6330</v>
      </c>
      <c r="M343" s="8"/>
      <c r="N343" s="8" t="str">
        <f t="shared" si="30"/>
        <v>PEN</v>
      </c>
      <c r="O343" s="13"/>
      <c r="P343" s="13">
        <v>3369.15</v>
      </c>
      <c r="Q343" s="3">
        <f t="shared" si="31"/>
        <v>3369.15</v>
      </c>
      <c r="R343" s="3">
        <f t="shared" si="32"/>
        <v>0</v>
      </c>
      <c r="S343" s="3">
        <f t="shared" si="28"/>
        <v>4000</v>
      </c>
      <c r="T343" s="24"/>
      <c r="U343" s="24"/>
      <c r="V343" s="69"/>
      <c r="W343" s="25" t="s">
        <v>6299</v>
      </c>
      <c r="X343" s="25"/>
      <c r="Y343" s="25"/>
      <c r="Z343" s="25"/>
      <c r="AA343" s="25"/>
      <c r="AB343" s="3" t="str">
        <f>IF(Caja_Operativa[[#This Row],[FECHA]]&gt;0,TEXT(Caja_Operativa[[#This Row],[FECHA]],"mmmm"),0)</f>
        <v>Junio</v>
      </c>
    </row>
    <row r="344" spans="2:28" hidden="1" x14ac:dyDescent="0.3">
      <c r="B344" s="2">
        <f>IF(Caja_Operativa[[#This Row],[TIPO DE R.]]="R",COUNTIFS($D$4:$D343,"R")+1,"")</f>
        <v>340</v>
      </c>
      <c r="C344" s="19" t="str">
        <f t="shared" si="29"/>
        <v>C-Operativa</v>
      </c>
      <c r="D344" s="3" t="s">
        <v>1074</v>
      </c>
      <c r="E344" s="14">
        <v>45828</v>
      </c>
      <c r="F344" s="5" t="s">
        <v>1078</v>
      </c>
      <c r="G344" s="5" t="s">
        <v>1079</v>
      </c>
      <c r="H344" s="6"/>
      <c r="I344" s="6"/>
      <c r="J344" s="6"/>
      <c r="K344" s="6"/>
      <c r="L344" s="7" t="s">
        <v>4128</v>
      </c>
      <c r="M344" s="8"/>
      <c r="N344" s="8" t="str">
        <f t="shared" si="30"/>
        <v>PEN</v>
      </c>
      <c r="O344" s="13"/>
      <c r="P344" s="13">
        <v>0.2</v>
      </c>
      <c r="Q344" s="3">
        <f t="shared" si="31"/>
        <v>0</v>
      </c>
      <c r="R344" s="3">
        <f t="shared" si="32"/>
        <v>0.2</v>
      </c>
      <c r="S344" s="3">
        <f t="shared" si="28"/>
        <v>3999.8</v>
      </c>
      <c r="T344" s="24"/>
      <c r="U344" s="24"/>
      <c r="V344" s="69"/>
      <c r="W344" s="25"/>
      <c r="X344" s="25"/>
      <c r="Y344" s="25"/>
      <c r="Z344" s="25"/>
      <c r="AA344" s="25"/>
      <c r="AB344" s="3" t="str">
        <f>IF(Caja_Operativa[[#This Row],[FECHA]]&gt;0,TEXT(Caja_Operativa[[#This Row],[FECHA]],"mmmm"),0)</f>
        <v>Junio</v>
      </c>
    </row>
    <row r="345" spans="2:28" ht="24" hidden="1" x14ac:dyDescent="0.3">
      <c r="B345" s="2">
        <f>IF(Caja_Operativa[[#This Row],[TIPO DE R.]]="R",COUNTIFS($D$4:$D344,"R")+1,"")</f>
        <v>341</v>
      </c>
      <c r="C345" s="19" t="str">
        <f t="shared" si="29"/>
        <v>C-Operativa</v>
      </c>
      <c r="D345" s="3" t="s">
        <v>1074</v>
      </c>
      <c r="E345" s="14">
        <v>45831</v>
      </c>
      <c r="F345" s="5" t="s">
        <v>6299</v>
      </c>
      <c r="G345" s="5" t="s">
        <v>1079</v>
      </c>
      <c r="H345" s="6"/>
      <c r="I345" s="6"/>
      <c r="J345" s="6"/>
      <c r="K345" s="6"/>
      <c r="L345" s="7" t="s">
        <v>6302</v>
      </c>
      <c r="M345" s="8">
        <v>3619849</v>
      </c>
      <c r="N345" s="8" t="str">
        <f t="shared" si="30"/>
        <v>PEN</v>
      </c>
      <c r="O345" s="13"/>
      <c r="P345" s="13">
        <v>100</v>
      </c>
      <c r="Q345" s="3">
        <f t="shared" si="31"/>
        <v>0</v>
      </c>
      <c r="R345" s="3">
        <f t="shared" si="32"/>
        <v>100</v>
      </c>
      <c r="S345" s="3">
        <f t="shared" si="28"/>
        <v>3899.8</v>
      </c>
      <c r="T345" s="24"/>
      <c r="U345" s="24"/>
      <c r="V345" s="69"/>
      <c r="W345" s="25" t="s">
        <v>6305</v>
      </c>
      <c r="X345" s="25"/>
      <c r="Y345" s="25"/>
      <c r="Z345" s="25"/>
      <c r="AA345" s="25"/>
      <c r="AB345" s="3" t="str">
        <f>IF(Caja_Operativa[[#This Row],[FECHA]]&gt;0,TEXT(Caja_Operativa[[#This Row],[FECHA]],"mmmm"),0)</f>
        <v>Junio</v>
      </c>
    </row>
    <row r="346" spans="2:28" ht="24" hidden="1" x14ac:dyDescent="0.3">
      <c r="B346" s="2">
        <f>IF(Caja_Operativa[[#This Row],[TIPO DE R.]]="R",COUNTIFS($D$4:$D345,"R")+1,"")</f>
        <v>342</v>
      </c>
      <c r="C346" s="19" t="str">
        <f t="shared" si="29"/>
        <v>C-Operativa</v>
      </c>
      <c r="D346" s="3" t="s">
        <v>1074</v>
      </c>
      <c r="E346" s="14">
        <v>45831</v>
      </c>
      <c r="F346" s="5" t="s">
        <v>6299</v>
      </c>
      <c r="G346" s="5" t="s">
        <v>1079</v>
      </c>
      <c r="H346" s="6"/>
      <c r="I346" s="6"/>
      <c r="J346" s="6"/>
      <c r="K346" s="6"/>
      <c r="L346" s="7" t="s">
        <v>6302</v>
      </c>
      <c r="M346" s="8">
        <v>3645169</v>
      </c>
      <c r="N346" s="8" t="str">
        <f t="shared" si="30"/>
        <v>PEN</v>
      </c>
      <c r="O346" s="13"/>
      <c r="P346" s="13">
        <v>100</v>
      </c>
      <c r="Q346" s="3">
        <f t="shared" si="31"/>
        <v>0</v>
      </c>
      <c r="R346" s="3">
        <f t="shared" si="32"/>
        <v>100</v>
      </c>
      <c r="S346" s="3">
        <f t="shared" si="28"/>
        <v>3799.8</v>
      </c>
      <c r="T346" s="24"/>
      <c r="U346" s="24"/>
      <c r="V346" s="69"/>
      <c r="W346" s="25" t="s">
        <v>6359</v>
      </c>
      <c r="X346" s="25"/>
      <c r="Y346" s="25"/>
      <c r="Z346" s="25"/>
      <c r="AA346" s="25"/>
      <c r="AB346" s="3" t="str">
        <f>IF(Caja_Operativa[[#This Row],[FECHA]]&gt;0,TEXT(Caja_Operativa[[#This Row],[FECHA]],"mmmm"),0)</f>
        <v>Junio</v>
      </c>
    </row>
    <row r="347" spans="2:28" hidden="1" x14ac:dyDescent="0.3">
      <c r="B347" s="2">
        <f>IF(Caja_Operativa[[#This Row],[TIPO DE R.]]="R",COUNTIFS($D$4:$D346,"R")+1,"")</f>
        <v>343</v>
      </c>
      <c r="C347" s="19" t="str">
        <f t="shared" si="29"/>
        <v>C-Operativa</v>
      </c>
      <c r="D347" s="3" t="s">
        <v>1074</v>
      </c>
      <c r="E347" s="14">
        <v>45831</v>
      </c>
      <c r="F347" s="5" t="s">
        <v>6299</v>
      </c>
      <c r="G347" s="5" t="s">
        <v>1079</v>
      </c>
      <c r="H347" s="6"/>
      <c r="I347" s="6"/>
      <c r="J347" s="6"/>
      <c r="K347" s="6"/>
      <c r="L347" s="7" t="s">
        <v>6302</v>
      </c>
      <c r="M347" s="8">
        <v>3670126</v>
      </c>
      <c r="N347" s="8" t="str">
        <f t="shared" si="30"/>
        <v>PEN</v>
      </c>
      <c r="O347" s="13"/>
      <c r="P347" s="13">
        <v>90</v>
      </c>
      <c r="Q347" s="3">
        <f t="shared" si="31"/>
        <v>0</v>
      </c>
      <c r="R347" s="3">
        <f t="shared" si="32"/>
        <v>90</v>
      </c>
      <c r="S347" s="3">
        <f t="shared" si="28"/>
        <v>3709.8</v>
      </c>
      <c r="T347" s="24"/>
      <c r="U347" s="24"/>
      <c r="V347" s="69"/>
      <c r="W347" s="25" t="s">
        <v>6303</v>
      </c>
      <c r="X347" s="25"/>
      <c r="Y347" s="25"/>
      <c r="Z347" s="25"/>
      <c r="AA347" s="25"/>
      <c r="AB347" s="3" t="str">
        <f>IF(Caja_Operativa[[#This Row],[FECHA]]&gt;0,TEXT(Caja_Operativa[[#This Row],[FECHA]],"mmmm"),0)</f>
        <v>Junio</v>
      </c>
    </row>
    <row r="348" spans="2:28" hidden="1" x14ac:dyDescent="0.3">
      <c r="B348" s="2">
        <f>IF(Caja_Operativa[[#This Row],[TIPO DE R.]]="R",COUNTIFS($D$4:$D347,"R")+1,"")</f>
        <v>344</v>
      </c>
      <c r="C348" s="19" t="str">
        <f t="shared" si="29"/>
        <v>C-Operativa</v>
      </c>
      <c r="D348" s="3" t="s">
        <v>1074</v>
      </c>
      <c r="E348" s="14">
        <v>45832</v>
      </c>
      <c r="F348" s="5" t="s">
        <v>6299</v>
      </c>
      <c r="G348" s="5" t="s">
        <v>1079</v>
      </c>
      <c r="H348" s="6"/>
      <c r="I348" s="6"/>
      <c r="J348" s="6"/>
      <c r="K348" s="6"/>
      <c r="L348" s="7" t="s">
        <v>6302</v>
      </c>
      <c r="M348" s="8">
        <v>2066575</v>
      </c>
      <c r="N348" s="8" t="str">
        <f t="shared" si="30"/>
        <v>PEN</v>
      </c>
      <c r="O348" s="13"/>
      <c r="P348" s="13">
        <v>100</v>
      </c>
      <c r="Q348" s="3">
        <f t="shared" si="31"/>
        <v>0</v>
      </c>
      <c r="R348" s="3">
        <f t="shared" si="32"/>
        <v>100</v>
      </c>
      <c r="S348" s="3">
        <f t="shared" si="28"/>
        <v>3609.8</v>
      </c>
      <c r="T348" s="24"/>
      <c r="U348" s="24"/>
      <c r="V348" s="69"/>
      <c r="W348" s="25" t="s">
        <v>6303</v>
      </c>
      <c r="X348" s="25"/>
      <c r="Y348" s="25"/>
      <c r="Z348" s="25"/>
      <c r="AA348" s="25"/>
      <c r="AB348" s="3" t="str">
        <f>IF(Caja_Operativa[[#This Row],[FECHA]]&gt;0,TEXT(Caja_Operativa[[#This Row],[FECHA]],"mmmm"),0)</f>
        <v>Junio</v>
      </c>
    </row>
    <row r="349" spans="2:28" ht="24" hidden="1" x14ac:dyDescent="0.3">
      <c r="B349" s="2">
        <f>IF(Caja_Operativa[[#This Row],[TIPO DE R.]]="R",COUNTIFS($D$4:$D348,"R")+1,"")</f>
        <v>345</v>
      </c>
      <c r="C349" s="19" t="str">
        <f t="shared" si="29"/>
        <v>C-Operativa</v>
      </c>
      <c r="D349" s="3" t="s">
        <v>1074</v>
      </c>
      <c r="E349" s="14">
        <v>45833</v>
      </c>
      <c r="F349" s="5" t="s">
        <v>6299</v>
      </c>
      <c r="G349" s="5" t="s">
        <v>1079</v>
      </c>
      <c r="H349" s="6"/>
      <c r="I349" s="6"/>
      <c r="J349" s="6"/>
      <c r="K349" s="6"/>
      <c r="L349" s="7" t="s">
        <v>6327</v>
      </c>
      <c r="M349" s="8">
        <v>878890</v>
      </c>
      <c r="N349" s="8" t="str">
        <f t="shared" si="30"/>
        <v>PEN</v>
      </c>
      <c r="O349" s="13"/>
      <c r="P349" s="13">
        <v>110</v>
      </c>
      <c r="Q349" s="3">
        <f t="shared" si="31"/>
        <v>0</v>
      </c>
      <c r="R349" s="3">
        <f t="shared" si="32"/>
        <v>110</v>
      </c>
      <c r="S349" s="3">
        <f t="shared" si="28"/>
        <v>3499.8</v>
      </c>
      <c r="T349" s="24"/>
      <c r="U349" s="24"/>
      <c r="V349" s="69"/>
      <c r="W349" s="25" t="s">
        <v>5618</v>
      </c>
      <c r="X349" s="25"/>
      <c r="Y349" s="25"/>
      <c r="Z349" s="25"/>
      <c r="AA349" s="25"/>
      <c r="AB349" s="3" t="str">
        <f>IF(Caja_Operativa[[#This Row],[FECHA]]&gt;0,TEXT(Caja_Operativa[[#This Row],[FECHA]],"mmmm"),0)</f>
        <v>Junio</v>
      </c>
    </row>
    <row r="350" spans="2:28" ht="60" hidden="1" x14ac:dyDescent="0.3">
      <c r="B350" s="2">
        <f>IF(Caja_Operativa[[#This Row],[TIPO DE R.]]="R",COUNTIFS($D$4:$D349,"R")+1,"")</f>
        <v>346</v>
      </c>
      <c r="C350" s="19" t="str">
        <f t="shared" si="29"/>
        <v>C-Operativa</v>
      </c>
      <c r="D350" s="3" t="s">
        <v>1074</v>
      </c>
      <c r="E350" s="14">
        <v>45833</v>
      </c>
      <c r="F350" s="5" t="s">
        <v>6299</v>
      </c>
      <c r="G350" s="5" t="s">
        <v>1079</v>
      </c>
      <c r="H350" s="6"/>
      <c r="I350" s="6"/>
      <c r="J350" s="6"/>
      <c r="K350" s="6"/>
      <c r="L350" s="7" t="s">
        <v>6509</v>
      </c>
      <c r="M350" s="8">
        <v>3418651</v>
      </c>
      <c r="N350" s="8" t="str">
        <f t="shared" si="30"/>
        <v>PEN</v>
      </c>
      <c r="O350" s="13"/>
      <c r="P350" s="13">
        <v>10</v>
      </c>
      <c r="Q350" s="3">
        <f t="shared" si="31"/>
        <v>0</v>
      </c>
      <c r="R350" s="3">
        <f t="shared" si="32"/>
        <v>10</v>
      </c>
      <c r="S350" s="3">
        <f t="shared" si="28"/>
        <v>3489.8</v>
      </c>
      <c r="T350" s="24"/>
      <c r="U350" s="24"/>
      <c r="V350" s="69"/>
      <c r="W350" s="25" t="s">
        <v>6307</v>
      </c>
      <c r="X350" s="25"/>
      <c r="Y350" s="25"/>
      <c r="Z350" s="25"/>
      <c r="AA350" s="25"/>
      <c r="AB350" s="3" t="str">
        <f>IF(Caja_Operativa[[#This Row],[FECHA]]&gt;0,TEXT(Caja_Operativa[[#This Row],[FECHA]],"mmmm"),0)</f>
        <v>Junio</v>
      </c>
    </row>
    <row r="351" spans="2:28" ht="60" hidden="1" x14ac:dyDescent="0.3">
      <c r="B351" s="2">
        <f>IF(Caja_Operativa[[#This Row],[TIPO DE R.]]="R",COUNTIFS($D$4:$D350,"R")+1,"")</f>
        <v>347</v>
      </c>
      <c r="C351" s="19" t="str">
        <f t="shared" si="29"/>
        <v>C-Operativa</v>
      </c>
      <c r="D351" s="3" t="s">
        <v>1074</v>
      </c>
      <c r="E351" s="14">
        <v>45833</v>
      </c>
      <c r="F351" s="5" t="s">
        <v>6299</v>
      </c>
      <c r="G351" s="5" t="s">
        <v>1079</v>
      </c>
      <c r="H351" s="6"/>
      <c r="I351" s="6"/>
      <c r="J351" s="6"/>
      <c r="K351" s="6"/>
      <c r="L351" s="7" t="s">
        <v>6510</v>
      </c>
      <c r="M351" s="8">
        <v>3419035</v>
      </c>
      <c r="N351" s="8" t="str">
        <f t="shared" si="30"/>
        <v>PEN</v>
      </c>
      <c r="O351" s="13"/>
      <c r="P351" s="13">
        <v>18</v>
      </c>
      <c r="Q351" s="3">
        <f t="shared" si="31"/>
        <v>0</v>
      </c>
      <c r="R351" s="3">
        <f t="shared" si="32"/>
        <v>18</v>
      </c>
      <c r="S351" s="3">
        <f t="shared" si="28"/>
        <v>3471.8</v>
      </c>
      <c r="T351" s="24"/>
      <c r="U351" s="24"/>
      <c r="V351" s="69"/>
      <c r="W351" s="25" t="s">
        <v>6307</v>
      </c>
      <c r="X351" s="25"/>
      <c r="Y351" s="25"/>
      <c r="Z351" s="25"/>
      <c r="AA351" s="25"/>
      <c r="AB351" s="3" t="str">
        <f>IF(Caja_Operativa[[#This Row],[FECHA]]&gt;0,TEXT(Caja_Operativa[[#This Row],[FECHA]],"mmmm"),0)</f>
        <v>Junio</v>
      </c>
    </row>
    <row r="352" spans="2:28" ht="60" hidden="1" x14ac:dyDescent="0.3">
      <c r="B352" s="2">
        <f>IF(Caja_Operativa[[#This Row],[TIPO DE R.]]="R",COUNTIFS($D$4:$D351,"R")+1,"")</f>
        <v>348</v>
      </c>
      <c r="C352" s="19" t="str">
        <f t="shared" si="29"/>
        <v>C-Operativa</v>
      </c>
      <c r="D352" s="3" t="s">
        <v>1074</v>
      </c>
      <c r="E352" s="14">
        <v>45833</v>
      </c>
      <c r="F352" s="5" t="s">
        <v>6299</v>
      </c>
      <c r="G352" s="5" t="s">
        <v>1079</v>
      </c>
      <c r="H352" s="6"/>
      <c r="I352" s="6"/>
      <c r="J352" s="6"/>
      <c r="K352" s="6"/>
      <c r="L352" s="7" t="s">
        <v>6511</v>
      </c>
      <c r="M352" s="8">
        <v>3389838</v>
      </c>
      <c r="N352" s="8" t="str">
        <f t="shared" si="30"/>
        <v>PEN</v>
      </c>
      <c r="O352" s="13"/>
      <c r="P352" s="13">
        <v>8</v>
      </c>
      <c r="Q352" s="3">
        <f t="shared" si="31"/>
        <v>0</v>
      </c>
      <c r="R352" s="3">
        <f t="shared" si="32"/>
        <v>8</v>
      </c>
      <c r="S352" s="3">
        <f t="shared" si="28"/>
        <v>3463.8</v>
      </c>
      <c r="T352" s="24"/>
      <c r="U352" s="24"/>
      <c r="V352" s="69"/>
      <c r="W352" s="25" t="s">
        <v>6307</v>
      </c>
      <c r="X352" s="25"/>
      <c r="Y352" s="25"/>
      <c r="Z352" s="25"/>
      <c r="AA352" s="25"/>
      <c r="AB352" s="3" t="str">
        <f>IF(Caja_Operativa[[#This Row],[FECHA]]&gt;0,TEXT(Caja_Operativa[[#This Row],[FECHA]],"mmmm"),0)</f>
        <v>Junio</v>
      </c>
    </row>
    <row r="353" spans="2:28" ht="60" hidden="1" x14ac:dyDescent="0.3">
      <c r="B353" s="2">
        <f>IF(Caja_Operativa[[#This Row],[TIPO DE R.]]="R",COUNTIFS($D$4:$D352,"R")+1,"")</f>
        <v>349</v>
      </c>
      <c r="C353" s="19" t="str">
        <f t="shared" si="29"/>
        <v>C-Operativa</v>
      </c>
      <c r="D353" s="3" t="s">
        <v>1074</v>
      </c>
      <c r="E353" s="14">
        <v>45833</v>
      </c>
      <c r="F353" s="5" t="s">
        <v>6299</v>
      </c>
      <c r="G353" s="5" t="s">
        <v>1079</v>
      </c>
      <c r="H353" s="6"/>
      <c r="I353" s="6"/>
      <c r="J353" s="6"/>
      <c r="K353" s="6"/>
      <c r="L353" s="7" t="s">
        <v>6512</v>
      </c>
      <c r="M353" s="8">
        <v>3438079</v>
      </c>
      <c r="N353" s="8" t="str">
        <f t="shared" si="30"/>
        <v>PEN</v>
      </c>
      <c r="O353" s="13"/>
      <c r="P353" s="13">
        <v>20</v>
      </c>
      <c r="Q353" s="3">
        <f t="shared" si="31"/>
        <v>0</v>
      </c>
      <c r="R353" s="3">
        <f t="shared" si="32"/>
        <v>20</v>
      </c>
      <c r="S353" s="3">
        <f t="shared" si="28"/>
        <v>3443.8</v>
      </c>
      <c r="T353" s="24"/>
      <c r="U353" s="24"/>
      <c r="V353" s="69"/>
      <c r="W353" s="25" t="s">
        <v>6307</v>
      </c>
      <c r="X353" s="25"/>
      <c r="Y353" s="25"/>
      <c r="Z353" s="25"/>
      <c r="AA353" s="25"/>
      <c r="AB353" s="3" t="str">
        <f>IF(Caja_Operativa[[#This Row],[FECHA]]&gt;0,TEXT(Caja_Operativa[[#This Row],[FECHA]],"mmmm"),0)</f>
        <v>Junio</v>
      </c>
    </row>
    <row r="354" spans="2:28" ht="60" hidden="1" x14ac:dyDescent="0.3">
      <c r="B354" s="2">
        <f>IF(Caja_Operativa[[#This Row],[TIPO DE R.]]="R",COUNTIFS($D$4:$D353,"R")+1,"")</f>
        <v>350</v>
      </c>
      <c r="C354" s="19" t="str">
        <f t="shared" si="29"/>
        <v>C-Operativa</v>
      </c>
      <c r="D354" s="3" t="s">
        <v>1074</v>
      </c>
      <c r="E354" s="14">
        <v>45833</v>
      </c>
      <c r="F354" s="5" t="s">
        <v>6299</v>
      </c>
      <c r="G354" s="5" t="s">
        <v>1079</v>
      </c>
      <c r="H354" s="6"/>
      <c r="I354" s="6"/>
      <c r="J354" s="6"/>
      <c r="K354" s="6"/>
      <c r="L354" s="7" t="s">
        <v>6513</v>
      </c>
      <c r="M354" s="8">
        <v>3453448</v>
      </c>
      <c r="N354" s="8" t="str">
        <f t="shared" si="30"/>
        <v>PEN</v>
      </c>
      <c r="O354" s="13"/>
      <c r="P354" s="13">
        <v>8</v>
      </c>
      <c r="Q354" s="3">
        <f t="shared" si="31"/>
        <v>0</v>
      </c>
      <c r="R354" s="3">
        <f t="shared" si="32"/>
        <v>8</v>
      </c>
      <c r="S354" s="3">
        <f t="shared" si="28"/>
        <v>3435.8</v>
      </c>
      <c r="T354" s="24"/>
      <c r="U354" s="24"/>
      <c r="V354" s="69"/>
      <c r="W354" s="25" t="s">
        <v>6307</v>
      </c>
      <c r="X354" s="25"/>
      <c r="Y354" s="25"/>
      <c r="Z354" s="25"/>
      <c r="AA354" s="25"/>
      <c r="AB354" s="3" t="str">
        <f>IF(Caja_Operativa[[#This Row],[FECHA]]&gt;0,TEXT(Caja_Operativa[[#This Row],[FECHA]],"mmmm"),0)</f>
        <v>Junio</v>
      </c>
    </row>
    <row r="355" spans="2:28" ht="60" hidden="1" x14ac:dyDescent="0.3">
      <c r="B355" s="2">
        <f>IF(Caja_Operativa[[#This Row],[TIPO DE R.]]="R",COUNTIFS($D$4:$D354,"R")+1,"")</f>
        <v>351</v>
      </c>
      <c r="C355" s="19" t="str">
        <f t="shared" si="29"/>
        <v>C-Operativa</v>
      </c>
      <c r="D355" s="3" t="s">
        <v>1074</v>
      </c>
      <c r="E355" s="14">
        <v>45833</v>
      </c>
      <c r="F355" s="5" t="s">
        <v>6299</v>
      </c>
      <c r="G355" s="5" t="s">
        <v>1079</v>
      </c>
      <c r="H355" s="6"/>
      <c r="I355" s="6"/>
      <c r="J355" s="6"/>
      <c r="K355" s="6"/>
      <c r="L355" s="7" t="s">
        <v>6514</v>
      </c>
      <c r="M355" s="8">
        <v>3436088</v>
      </c>
      <c r="N355" s="8" t="str">
        <f t="shared" si="30"/>
        <v>PEN</v>
      </c>
      <c r="O355" s="13"/>
      <c r="P355" s="13">
        <v>10</v>
      </c>
      <c r="Q355" s="3">
        <f t="shared" si="31"/>
        <v>0</v>
      </c>
      <c r="R355" s="3">
        <f t="shared" si="32"/>
        <v>10</v>
      </c>
      <c r="S355" s="3">
        <f t="shared" si="28"/>
        <v>3425.8</v>
      </c>
      <c r="T355" s="24"/>
      <c r="U355" s="24"/>
      <c r="V355" s="69"/>
      <c r="W355" s="25" t="s">
        <v>6307</v>
      </c>
      <c r="X355" s="25"/>
      <c r="Y355" s="25"/>
      <c r="Z355" s="25"/>
      <c r="AA355" s="25"/>
      <c r="AB355" s="3" t="str">
        <f>IF(Caja_Operativa[[#This Row],[FECHA]]&gt;0,TEXT(Caja_Operativa[[#This Row],[FECHA]],"mmmm"),0)</f>
        <v>Junio</v>
      </c>
    </row>
    <row r="356" spans="2:28" ht="60" hidden="1" x14ac:dyDescent="0.3">
      <c r="B356" s="2">
        <f>IF(Caja_Operativa[[#This Row],[TIPO DE R.]]="R",COUNTIFS($D$4:$D355,"R")+1,"")</f>
        <v>352</v>
      </c>
      <c r="C356" s="19" t="str">
        <f t="shared" si="29"/>
        <v>C-Operativa</v>
      </c>
      <c r="D356" s="3" t="s">
        <v>1074</v>
      </c>
      <c r="E356" s="14">
        <v>45833</v>
      </c>
      <c r="F356" s="5" t="s">
        <v>6299</v>
      </c>
      <c r="G356" s="5" t="s">
        <v>1079</v>
      </c>
      <c r="H356" s="6"/>
      <c r="I356" s="6"/>
      <c r="J356" s="6"/>
      <c r="K356" s="6"/>
      <c r="L356" s="7" t="s">
        <v>6515</v>
      </c>
      <c r="M356" s="8">
        <v>3430420</v>
      </c>
      <c r="N356" s="8" t="str">
        <f t="shared" si="30"/>
        <v>PEN</v>
      </c>
      <c r="O356" s="13"/>
      <c r="P356" s="13">
        <v>8</v>
      </c>
      <c r="Q356" s="3">
        <f t="shared" si="31"/>
        <v>0</v>
      </c>
      <c r="R356" s="3">
        <f t="shared" si="32"/>
        <v>8</v>
      </c>
      <c r="S356" s="3">
        <f t="shared" si="28"/>
        <v>3417.8</v>
      </c>
      <c r="T356" s="24"/>
      <c r="U356" s="24"/>
      <c r="V356" s="69"/>
      <c r="W356" s="25" t="s">
        <v>6307</v>
      </c>
      <c r="X356" s="25"/>
      <c r="Y356" s="25"/>
      <c r="Z356" s="25"/>
      <c r="AA356" s="25"/>
      <c r="AB356" s="3" t="str">
        <f>IF(Caja_Operativa[[#This Row],[FECHA]]&gt;0,TEXT(Caja_Operativa[[#This Row],[FECHA]],"mmmm"),0)</f>
        <v>Junio</v>
      </c>
    </row>
    <row r="357" spans="2:28" ht="24" hidden="1" x14ac:dyDescent="0.3">
      <c r="B357" s="2">
        <f>IF(Caja_Operativa[[#This Row],[TIPO DE R.]]="R",COUNTIFS($D$4:$D356,"R")+1,"")</f>
        <v>353</v>
      </c>
      <c r="C357" s="19" t="str">
        <f t="shared" si="29"/>
        <v>C-Operativa</v>
      </c>
      <c r="D357" s="3" t="s">
        <v>1074</v>
      </c>
      <c r="E357" s="14">
        <v>45839</v>
      </c>
      <c r="F357" s="5" t="s">
        <v>6299</v>
      </c>
      <c r="G357" s="5" t="s">
        <v>1079</v>
      </c>
      <c r="H357" s="6"/>
      <c r="I357" s="6"/>
      <c r="J357" s="6"/>
      <c r="K357" s="6"/>
      <c r="L357" s="7" t="s">
        <v>6302</v>
      </c>
      <c r="M357" s="8">
        <v>2867731</v>
      </c>
      <c r="N357" s="8" t="str">
        <f t="shared" si="30"/>
        <v>PEN</v>
      </c>
      <c r="O357" s="13"/>
      <c r="P357" s="13">
        <v>180</v>
      </c>
      <c r="Q357" s="3">
        <f t="shared" si="31"/>
        <v>0</v>
      </c>
      <c r="R357" s="3">
        <f t="shared" si="32"/>
        <v>180</v>
      </c>
      <c r="S357" s="3">
        <f t="shared" si="28"/>
        <v>3237.8</v>
      </c>
      <c r="T357" s="24"/>
      <c r="U357" s="24"/>
      <c r="V357" s="69"/>
      <c r="W357" s="25" t="s">
        <v>6305</v>
      </c>
      <c r="X357" s="25"/>
      <c r="Y357" s="25"/>
      <c r="Z357" s="25"/>
      <c r="AA357" s="25"/>
      <c r="AB357" s="3" t="str">
        <f>IF(Caja_Operativa[[#This Row],[FECHA]]&gt;0,TEXT(Caja_Operativa[[#This Row],[FECHA]],"mmmm"),0)</f>
        <v>Julio</v>
      </c>
    </row>
    <row r="358" spans="2:28" ht="24" hidden="1" x14ac:dyDescent="0.3">
      <c r="B358" s="2">
        <f>IF(Caja_Operativa[[#This Row],[TIPO DE R.]]="R",COUNTIFS($D$4:$D357,"R")+1,"")</f>
        <v>354</v>
      </c>
      <c r="C358" s="19" t="str">
        <f t="shared" si="29"/>
        <v>C-Operativa</v>
      </c>
      <c r="D358" s="3" t="s">
        <v>1074</v>
      </c>
      <c r="E358" s="14">
        <v>45839</v>
      </c>
      <c r="F358" s="5" t="s">
        <v>6299</v>
      </c>
      <c r="G358" s="5" t="s">
        <v>1079</v>
      </c>
      <c r="H358" s="6"/>
      <c r="I358" s="6"/>
      <c r="J358" s="6"/>
      <c r="K358" s="6"/>
      <c r="L358" s="7" t="s">
        <v>6302</v>
      </c>
      <c r="M358" s="8">
        <v>2882081</v>
      </c>
      <c r="N358" s="8" t="str">
        <f t="shared" si="30"/>
        <v>PEN</v>
      </c>
      <c r="O358" s="13"/>
      <c r="P358" s="13">
        <v>110</v>
      </c>
      <c r="Q358" s="3">
        <f t="shared" si="31"/>
        <v>0</v>
      </c>
      <c r="R358" s="3">
        <f t="shared" si="32"/>
        <v>110</v>
      </c>
      <c r="S358" s="3">
        <f t="shared" si="28"/>
        <v>3127.8</v>
      </c>
      <c r="T358" s="24"/>
      <c r="U358" s="24"/>
      <c r="V358" s="69"/>
      <c r="W358" s="25" t="s">
        <v>5685</v>
      </c>
      <c r="X358" s="25"/>
      <c r="Y358" s="25"/>
      <c r="Z358" s="25"/>
      <c r="AA358" s="25"/>
      <c r="AB358" s="3" t="str">
        <f>IF(Caja_Operativa[[#This Row],[FECHA]]&gt;0,TEXT(Caja_Operativa[[#This Row],[FECHA]],"mmmm"),0)</f>
        <v>Julio</v>
      </c>
    </row>
    <row r="359" spans="2:28" ht="24" hidden="1" x14ac:dyDescent="0.3">
      <c r="B359" s="2">
        <f>IF(Caja_Operativa[[#This Row],[TIPO DE R.]]="R",COUNTIFS($D$4:$D358,"R")+1,"")</f>
        <v>355</v>
      </c>
      <c r="C359" s="19" t="str">
        <f t="shared" si="29"/>
        <v>C-Operativa</v>
      </c>
      <c r="D359" s="3" t="s">
        <v>1074</v>
      </c>
      <c r="E359" s="14">
        <v>45839</v>
      </c>
      <c r="F359" s="5" t="s">
        <v>6299</v>
      </c>
      <c r="G359" s="5" t="s">
        <v>1079</v>
      </c>
      <c r="H359" s="6"/>
      <c r="I359" s="6"/>
      <c r="J359" s="6"/>
      <c r="K359" s="6"/>
      <c r="L359" s="7" t="s">
        <v>6302</v>
      </c>
      <c r="M359" s="8">
        <v>2940229</v>
      </c>
      <c r="N359" s="8" t="str">
        <f t="shared" si="30"/>
        <v>PEN</v>
      </c>
      <c r="O359" s="13"/>
      <c r="P359" s="13">
        <v>140</v>
      </c>
      <c r="Q359" s="3">
        <f t="shared" si="31"/>
        <v>0</v>
      </c>
      <c r="R359" s="3">
        <f t="shared" si="32"/>
        <v>140</v>
      </c>
      <c r="S359" s="3">
        <f t="shared" si="28"/>
        <v>2987.8</v>
      </c>
      <c r="T359" s="24"/>
      <c r="U359" s="24"/>
      <c r="V359" s="69"/>
      <c r="W359" s="25" t="s">
        <v>6301</v>
      </c>
      <c r="X359" s="25"/>
      <c r="Y359" s="25"/>
      <c r="Z359" s="25"/>
      <c r="AA359" s="25"/>
      <c r="AB359" s="3" t="str">
        <f>IF(Caja_Operativa[[#This Row],[FECHA]]&gt;0,TEXT(Caja_Operativa[[#This Row],[FECHA]],"mmmm"),0)</f>
        <v>Julio</v>
      </c>
    </row>
    <row r="360" spans="2:28" ht="24" hidden="1" x14ac:dyDescent="0.3">
      <c r="B360" s="2">
        <f>IF(Caja_Operativa[[#This Row],[TIPO DE R.]]="R",COUNTIFS($D$4:$D359,"R")+1,"")</f>
        <v>356</v>
      </c>
      <c r="C360" s="19" t="str">
        <f t="shared" si="29"/>
        <v>C-Operativa</v>
      </c>
      <c r="D360" s="3" t="s">
        <v>1074</v>
      </c>
      <c r="E360" s="14">
        <v>45839</v>
      </c>
      <c r="F360" s="5" t="s">
        <v>6299</v>
      </c>
      <c r="G360" s="5" t="s">
        <v>1079</v>
      </c>
      <c r="H360" s="6"/>
      <c r="I360" s="6"/>
      <c r="J360" s="6"/>
      <c r="K360" s="6"/>
      <c r="L360" s="7" t="s">
        <v>6302</v>
      </c>
      <c r="M360" s="8">
        <v>2929348</v>
      </c>
      <c r="N360" s="8" t="str">
        <f t="shared" si="30"/>
        <v>PEN</v>
      </c>
      <c r="O360" s="13"/>
      <c r="P360" s="13">
        <v>110</v>
      </c>
      <c r="Q360" s="3">
        <f t="shared" si="31"/>
        <v>0</v>
      </c>
      <c r="R360" s="3">
        <f t="shared" si="32"/>
        <v>110</v>
      </c>
      <c r="S360" s="3">
        <f t="shared" si="28"/>
        <v>2877.8</v>
      </c>
      <c r="T360" s="24"/>
      <c r="U360" s="24"/>
      <c r="V360" s="69"/>
      <c r="W360" s="25" t="s">
        <v>6359</v>
      </c>
      <c r="X360" s="25"/>
      <c r="Y360" s="25"/>
      <c r="Z360" s="25"/>
      <c r="AA360" s="25"/>
      <c r="AB360" s="3" t="str">
        <f>IF(Caja_Operativa[[#This Row],[FECHA]]&gt;0,TEXT(Caja_Operativa[[#This Row],[FECHA]],"mmmm"),0)</f>
        <v>Julio</v>
      </c>
    </row>
    <row r="361" spans="2:28" ht="24" hidden="1" x14ac:dyDescent="0.3">
      <c r="B361" s="2">
        <f>IF(Caja_Operativa[[#This Row],[TIPO DE R.]]="R",COUNTIFS($D$4:$D360,"R")+1,"")</f>
        <v>357</v>
      </c>
      <c r="C361" s="19" t="str">
        <f t="shared" si="29"/>
        <v>C-Operativa</v>
      </c>
      <c r="D361" s="3" t="s">
        <v>1074</v>
      </c>
      <c r="E361" s="14">
        <v>45839</v>
      </c>
      <c r="F361" s="5" t="s">
        <v>6299</v>
      </c>
      <c r="G361" s="5" t="s">
        <v>1079</v>
      </c>
      <c r="H361" s="6"/>
      <c r="I361" s="6"/>
      <c r="J361" s="6"/>
      <c r="K361" s="6"/>
      <c r="L361" s="7" t="s">
        <v>6302</v>
      </c>
      <c r="M361" s="8">
        <v>2957059</v>
      </c>
      <c r="N361" s="8" t="str">
        <f t="shared" si="30"/>
        <v>PEN</v>
      </c>
      <c r="O361" s="13"/>
      <c r="P361" s="13">
        <v>150</v>
      </c>
      <c r="Q361" s="3">
        <f t="shared" si="31"/>
        <v>0</v>
      </c>
      <c r="R361" s="3">
        <f t="shared" si="32"/>
        <v>150</v>
      </c>
      <c r="S361" s="3">
        <f t="shared" si="28"/>
        <v>2727.8</v>
      </c>
      <c r="T361" s="24"/>
      <c r="U361" s="24"/>
      <c r="V361" s="69"/>
      <c r="W361" s="25" t="s">
        <v>6326</v>
      </c>
      <c r="X361" s="25"/>
      <c r="Y361" s="25"/>
      <c r="Z361" s="25"/>
      <c r="AA361" s="25"/>
      <c r="AB361" s="3" t="str">
        <f>IF(Caja_Operativa[[#This Row],[FECHA]]&gt;0,TEXT(Caja_Operativa[[#This Row],[FECHA]],"mmmm"),0)</f>
        <v>Julio</v>
      </c>
    </row>
    <row r="362" spans="2:28" ht="24" hidden="1" x14ac:dyDescent="0.3">
      <c r="B362" s="2">
        <f>IF(Caja_Operativa[[#This Row],[TIPO DE R.]]="R",COUNTIFS($D$4:$D361,"R")+1,"")</f>
        <v>358</v>
      </c>
      <c r="C362" s="19" t="str">
        <f t="shared" si="29"/>
        <v>C-Operativa</v>
      </c>
      <c r="D362" s="3" t="s">
        <v>1074</v>
      </c>
      <c r="E362" s="14">
        <v>45839</v>
      </c>
      <c r="F362" s="5" t="s">
        <v>6299</v>
      </c>
      <c r="G362" s="5" t="s">
        <v>1079</v>
      </c>
      <c r="H362" s="6"/>
      <c r="I362" s="6"/>
      <c r="J362" s="6"/>
      <c r="K362" s="6"/>
      <c r="L362" s="7" t="s">
        <v>6327</v>
      </c>
      <c r="M362" s="8">
        <v>2985128</v>
      </c>
      <c r="N362" s="8" t="str">
        <f t="shared" si="30"/>
        <v>PEN</v>
      </c>
      <c r="O362" s="13"/>
      <c r="P362" s="13">
        <v>30</v>
      </c>
      <c r="Q362" s="3">
        <f t="shared" si="31"/>
        <v>0</v>
      </c>
      <c r="R362" s="3">
        <f t="shared" si="32"/>
        <v>30</v>
      </c>
      <c r="S362" s="3">
        <f t="shared" si="28"/>
        <v>2697.8</v>
      </c>
      <c r="T362" s="24"/>
      <c r="U362" s="24"/>
      <c r="V362" s="69"/>
      <c r="W362" s="25" t="s">
        <v>5618</v>
      </c>
      <c r="X362" s="25"/>
      <c r="Y362" s="25"/>
      <c r="Z362" s="25"/>
      <c r="AA362" s="25"/>
      <c r="AB362" s="3" t="str">
        <f>IF(Caja_Operativa[[#This Row],[FECHA]]&gt;0,TEXT(Caja_Operativa[[#This Row],[FECHA]],"mmmm"),0)</f>
        <v>Julio</v>
      </c>
    </row>
    <row r="363" spans="2:28" ht="24" hidden="1" x14ac:dyDescent="0.3">
      <c r="B363" s="2">
        <f>IF(Caja_Operativa[[#This Row],[TIPO DE R.]]="R",COUNTIFS($D$4:$D362,"R")+1,"")</f>
        <v>359</v>
      </c>
      <c r="C363" s="19" t="str">
        <f t="shared" si="29"/>
        <v>C-Operativa</v>
      </c>
      <c r="D363" s="3" t="s">
        <v>1074</v>
      </c>
      <c r="E363" s="14">
        <v>45839</v>
      </c>
      <c r="F363" s="5" t="s">
        <v>6299</v>
      </c>
      <c r="G363" s="5" t="s">
        <v>1079</v>
      </c>
      <c r="H363" s="6"/>
      <c r="I363" s="6"/>
      <c r="J363" s="6"/>
      <c r="K363" s="6"/>
      <c r="L363" s="7" t="s">
        <v>6448</v>
      </c>
      <c r="M363" s="8">
        <v>2980079</v>
      </c>
      <c r="N363" s="8" t="str">
        <f t="shared" si="30"/>
        <v>PEN</v>
      </c>
      <c r="O363" s="13"/>
      <c r="P363" s="13">
        <v>160</v>
      </c>
      <c r="Q363" s="3">
        <f t="shared" si="31"/>
        <v>0</v>
      </c>
      <c r="R363" s="3">
        <f t="shared" si="32"/>
        <v>160</v>
      </c>
      <c r="S363" s="3">
        <f t="shared" si="28"/>
        <v>2537.8000000000002</v>
      </c>
      <c r="T363" s="24"/>
      <c r="U363" s="24"/>
      <c r="V363" s="69"/>
      <c r="W363" s="25" t="s">
        <v>6307</v>
      </c>
      <c r="X363" s="25"/>
      <c r="Y363" s="25"/>
      <c r="Z363" s="25"/>
      <c r="AA363" s="25"/>
      <c r="AB363" s="3" t="str">
        <f>IF(Caja_Operativa[[#This Row],[FECHA]]&gt;0,TEXT(Caja_Operativa[[#This Row],[FECHA]],"mmmm"),0)</f>
        <v>Julio</v>
      </c>
    </row>
    <row r="364" spans="2:28" ht="48" hidden="1" x14ac:dyDescent="0.3">
      <c r="B364" s="2">
        <f>IF(Caja_Operativa[[#This Row],[TIPO DE R.]]="R",COUNTIFS($D$4:$D363,"R")+1,"")</f>
        <v>360</v>
      </c>
      <c r="C364" s="19" t="str">
        <f t="shared" si="29"/>
        <v>C-Operativa</v>
      </c>
      <c r="D364" s="3" t="s">
        <v>1074</v>
      </c>
      <c r="E364" s="14">
        <v>45839</v>
      </c>
      <c r="F364" s="5" t="s">
        <v>6299</v>
      </c>
      <c r="G364" s="5" t="s">
        <v>1079</v>
      </c>
      <c r="H364" s="6"/>
      <c r="I364" s="6"/>
      <c r="J364" s="6"/>
      <c r="K364" s="6"/>
      <c r="L364" s="7" t="s">
        <v>6516</v>
      </c>
      <c r="M364" s="8">
        <v>3602759</v>
      </c>
      <c r="N364" s="8" t="str">
        <f t="shared" si="30"/>
        <v>PEN</v>
      </c>
      <c r="O364" s="13"/>
      <c r="P364" s="13">
        <v>7</v>
      </c>
      <c r="Q364" s="3">
        <f t="shared" si="31"/>
        <v>0</v>
      </c>
      <c r="R364" s="3">
        <f t="shared" si="32"/>
        <v>7</v>
      </c>
      <c r="S364" s="3">
        <f t="shared" si="28"/>
        <v>2530.8000000000002</v>
      </c>
      <c r="T364" s="24"/>
      <c r="U364" s="24"/>
      <c r="V364" s="69"/>
      <c r="W364" s="25" t="s">
        <v>5685</v>
      </c>
      <c r="X364" s="25"/>
      <c r="Y364" s="25"/>
      <c r="Z364" s="25"/>
      <c r="AA364" s="25"/>
      <c r="AB364" s="3" t="str">
        <f>IF(Caja_Operativa[[#This Row],[FECHA]]&gt;0,TEXT(Caja_Operativa[[#This Row],[FECHA]],"mmmm"),0)</f>
        <v>Julio</v>
      </c>
    </row>
    <row r="365" spans="2:28" ht="48" hidden="1" x14ac:dyDescent="0.3">
      <c r="B365" s="2">
        <f>IF(Caja_Operativa[[#This Row],[TIPO DE R.]]="R",COUNTIFS($D$4:$D364,"R")+1,"")</f>
        <v>361</v>
      </c>
      <c r="C365" s="19" t="str">
        <f t="shared" si="29"/>
        <v>C-Operativa</v>
      </c>
      <c r="D365" s="3" t="s">
        <v>1074</v>
      </c>
      <c r="E365" s="14">
        <v>45839</v>
      </c>
      <c r="F365" s="5" t="s">
        <v>6299</v>
      </c>
      <c r="G365" s="5" t="s">
        <v>1079</v>
      </c>
      <c r="H365" s="6"/>
      <c r="I365" s="6"/>
      <c r="J365" s="6"/>
      <c r="K365" s="6"/>
      <c r="L365" s="7" t="s">
        <v>6517</v>
      </c>
      <c r="M365" s="8">
        <v>3608946</v>
      </c>
      <c r="N365" s="8" t="str">
        <f t="shared" si="30"/>
        <v>PEN</v>
      </c>
      <c r="O365" s="13"/>
      <c r="P365" s="13">
        <v>8</v>
      </c>
      <c r="Q365" s="3">
        <f t="shared" si="31"/>
        <v>0</v>
      </c>
      <c r="R365" s="3">
        <f t="shared" si="32"/>
        <v>8</v>
      </c>
      <c r="S365" s="3">
        <f t="shared" si="28"/>
        <v>2522.8000000000002</v>
      </c>
      <c r="T365" s="24"/>
      <c r="U365" s="24"/>
      <c r="V365" s="69"/>
      <c r="W365" s="25" t="s">
        <v>5685</v>
      </c>
      <c r="X365" s="25"/>
      <c r="Y365" s="25"/>
      <c r="Z365" s="25"/>
      <c r="AA365" s="25"/>
      <c r="AB365" s="3" t="str">
        <f>IF(Caja_Operativa[[#This Row],[FECHA]]&gt;0,TEXT(Caja_Operativa[[#This Row],[FECHA]],"mmmm"),0)</f>
        <v>Julio</v>
      </c>
    </row>
    <row r="366" spans="2:28" ht="60" hidden="1" x14ac:dyDescent="0.3">
      <c r="B366" s="2">
        <f>IF(Caja_Operativa[[#This Row],[TIPO DE R.]]="R",COUNTIFS($D$4:$D365,"R")+1,"")</f>
        <v>362</v>
      </c>
      <c r="C366" s="19" t="str">
        <f t="shared" si="29"/>
        <v>C-Operativa</v>
      </c>
      <c r="D366" s="3" t="s">
        <v>1074</v>
      </c>
      <c r="E366" s="14">
        <v>45839</v>
      </c>
      <c r="F366" s="5" t="s">
        <v>6299</v>
      </c>
      <c r="G366" s="5" t="s">
        <v>1079</v>
      </c>
      <c r="H366" s="6"/>
      <c r="I366" s="6"/>
      <c r="J366" s="6"/>
      <c r="K366" s="6"/>
      <c r="L366" s="7" t="s">
        <v>6518</v>
      </c>
      <c r="M366" s="8">
        <v>3660329</v>
      </c>
      <c r="N366" s="8" t="str">
        <f t="shared" si="30"/>
        <v>PEN</v>
      </c>
      <c r="O366" s="13"/>
      <c r="P366" s="13">
        <v>18</v>
      </c>
      <c r="Q366" s="3">
        <f t="shared" si="31"/>
        <v>0</v>
      </c>
      <c r="R366" s="3">
        <f t="shared" si="32"/>
        <v>18</v>
      </c>
      <c r="S366" s="3">
        <f t="shared" si="28"/>
        <v>2504.8000000000002</v>
      </c>
      <c r="T366" s="24"/>
      <c r="U366" s="24"/>
      <c r="V366" s="69"/>
      <c r="W366" s="25" t="s">
        <v>6307</v>
      </c>
      <c r="X366" s="25"/>
      <c r="Y366" s="25"/>
      <c r="Z366" s="25"/>
      <c r="AA366" s="25"/>
      <c r="AB366" s="3" t="str">
        <f>IF(Caja_Operativa[[#This Row],[FECHA]]&gt;0,TEXT(Caja_Operativa[[#This Row],[FECHA]],"mmmm"),0)</f>
        <v>Julio</v>
      </c>
    </row>
    <row r="367" spans="2:28" ht="60" hidden="1" x14ac:dyDescent="0.3">
      <c r="B367" s="2">
        <f>IF(Caja_Operativa[[#This Row],[TIPO DE R.]]="R",COUNTIFS($D$4:$D366,"R")+1,"")</f>
        <v>363</v>
      </c>
      <c r="C367" s="19" t="str">
        <f t="shared" si="29"/>
        <v>C-Operativa</v>
      </c>
      <c r="D367" s="3" t="s">
        <v>1074</v>
      </c>
      <c r="E367" s="14">
        <v>45839</v>
      </c>
      <c r="F367" s="5" t="s">
        <v>6299</v>
      </c>
      <c r="G367" s="5" t="s">
        <v>1079</v>
      </c>
      <c r="H367" s="6"/>
      <c r="I367" s="6"/>
      <c r="J367" s="6"/>
      <c r="K367" s="6"/>
      <c r="L367" s="7" t="s">
        <v>6519</v>
      </c>
      <c r="M367" s="8">
        <v>3684726</v>
      </c>
      <c r="N367" s="8" t="str">
        <f t="shared" si="30"/>
        <v>PEN</v>
      </c>
      <c r="O367" s="13"/>
      <c r="P367" s="13">
        <v>8</v>
      </c>
      <c r="Q367" s="3">
        <f t="shared" si="31"/>
        <v>0</v>
      </c>
      <c r="R367" s="3">
        <f t="shared" si="32"/>
        <v>8</v>
      </c>
      <c r="S367" s="3">
        <f t="shared" si="28"/>
        <v>2496.8000000000002</v>
      </c>
      <c r="T367" s="24"/>
      <c r="U367" s="24"/>
      <c r="V367" s="69"/>
      <c r="W367" s="25" t="s">
        <v>6307</v>
      </c>
      <c r="X367" s="25"/>
      <c r="Y367" s="25"/>
      <c r="Z367" s="25"/>
      <c r="AA367" s="25"/>
      <c r="AB367" s="3" t="str">
        <f>IF(Caja_Operativa[[#This Row],[FECHA]]&gt;0,TEXT(Caja_Operativa[[#This Row],[FECHA]],"mmmm"),0)</f>
        <v>Julio</v>
      </c>
    </row>
    <row r="368" spans="2:28" ht="60" hidden="1" x14ac:dyDescent="0.3">
      <c r="B368" s="2">
        <f>IF(Caja_Operativa[[#This Row],[TIPO DE R.]]="R",COUNTIFS($D$4:$D367,"R")+1,"")</f>
        <v>364</v>
      </c>
      <c r="C368" s="19" t="str">
        <f t="shared" si="29"/>
        <v>C-Operativa</v>
      </c>
      <c r="D368" s="3" t="s">
        <v>1074</v>
      </c>
      <c r="E368" s="14">
        <v>45839</v>
      </c>
      <c r="F368" s="5" t="s">
        <v>6299</v>
      </c>
      <c r="G368" s="5" t="s">
        <v>1079</v>
      </c>
      <c r="H368" s="6"/>
      <c r="I368" s="6"/>
      <c r="J368" s="6"/>
      <c r="K368" s="6"/>
      <c r="L368" s="7" t="s">
        <v>6520</v>
      </c>
      <c r="M368" s="8">
        <v>3676140</v>
      </c>
      <c r="N368" s="8" t="str">
        <f t="shared" si="30"/>
        <v>PEN</v>
      </c>
      <c r="O368" s="13"/>
      <c r="P368" s="13">
        <v>8</v>
      </c>
      <c r="Q368" s="3">
        <f t="shared" si="31"/>
        <v>0</v>
      </c>
      <c r="R368" s="3">
        <f t="shared" si="32"/>
        <v>8</v>
      </c>
      <c r="S368" s="3">
        <f t="shared" si="28"/>
        <v>2488.8000000000002</v>
      </c>
      <c r="T368" s="24"/>
      <c r="U368" s="24"/>
      <c r="V368" s="69"/>
      <c r="W368" s="25" t="s">
        <v>6307</v>
      </c>
      <c r="X368" s="25"/>
      <c r="Y368" s="25"/>
      <c r="Z368" s="25"/>
      <c r="AA368" s="25"/>
      <c r="AB368" s="3" t="str">
        <f>IF(Caja_Operativa[[#This Row],[FECHA]]&gt;0,TEXT(Caja_Operativa[[#This Row],[FECHA]],"mmmm"),0)</f>
        <v>Julio</v>
      </c>
    </row>
    <row r="369" spans="2:28" ht="60" hidden="1" x14ac:dyDescent="0.3">
      <c r="B369" s="2">
        <f>IF(Caja_Operativa[[#This Row],[TIPO DE R.]]="R",COUNTIFS($D$4:$D368,"R")+1,"")</f>
        <v>365</v>
      </c>
      <c r="C369" s="19" t="str">
        <f t="shared" si="29"/>
        <v>C-Operativa</v>
      </c>
      <c r="D369" s="3" t="s">
        <v>1074</v>
      </c>
      <c r="E369" s="14">
        <v>45839</v>
      </c>
      <c r="F369" s="5" t="s">
        <v>6299</v>
      </c>
      <c r="G369" s="5" t="s">
        <v>1079</v>
      </c>
      <c r="H369" s="6"/>
      <c r="I369" s="6"/>
      <c r="J369" s="6"/>
      <c r="K369" s="6"/>
      <c r="L369" s="7" t="s">
        <v>6521</v>
      </c>
      <c r="M369" s="8">
        <v>3655911</v>
      </c>
      <c r="N369" s="8" t="str">
        <f t="shared" si="30"/>
        <v>PEN</v>
      </c>
      <c r="O369" s="13"/>
      <c r="P369" s="13">
        <v>10</v>
      </c>
      <c r="Q369" s="3">
        <f t="shared" si="31"/>
        <v>0</v>
      </c>
      <c r="R369" s="3">
        <f t="shared" si="32"/>
        <v>10</v>
      </c>
      <c r="S369" s="3">
        <f t="shared" si="28"/>
        <v>2478.8000000000002</v>
      </c>
      <c r="T369" s="24"/>
      <c r="U369" s="24"/>
      <c r="V369" s="69"/>
      <c r="W369" s="25" t="s">
        <v>6307</v>
      </c>
      <c r="X369" s="25"/>
      <c r="Y369" s="25"/>
      <c r="Z369" s="25"/>
      <c r="AA369" s="25"/>
      <c r="AB369" s="3" t="str">
        <f>IF(Caja_Operativa[[#This Row],[FECHA]]&gt;0,TEXT(Caja_Operativa[[#This Row],[FECHA]],"mmmm"),0)</f>
        <v>Julio</v>
      </c>
    </row>
    <row r="370" spans="2:28" ht="60" hidden="1" x14ac:dyDescent="0.3">
      <c r="B370" s="2">
        <f>IF(Caja_Operativa[[#This Row],[TIPO DE R.]]="R",COUNTIFS($D$4:$D369,"R")+1,"")</f>
        <v>366</v>
      </c>
      <c r="C370" s="19" t="str">
        <f t="shared" si="29"/>
        <v>C-Operativa</v>
      </c>
      <c r="D370" s="3" t="s">
        <v>1074</v>
      </c>
      <c r="E370" s="14">
        <v>45839</v>
      </c>
      <c r="F370" s="5" t="s">
        <v>6299</v>
      </c>
      <c r="G370" s="5" t="s">
        <v>1079</v>
      </c>
      <c r="H370" s="6"/>
      <c r="I370" s="6"/>
      <c r="J370" s="6"/>
      <c r="K370" s="6"/>
      <c r="L370" s="7" t="s">
        <v>6522</v>
      </c>
      <c r="M370" s="8">
        <v>3680026</v>
      </c>
      <c r="N370" s="8" t="str">
        <f t="shared" si="30"/>
        <v>PEN</v>
      </c>
      <c r="O370" s="13"/>
      <c r="P370" s="13">
        <v>12</v>
      </c>
      <c r="Q370" s="3">
        <f t="shared" si="31"/>
        <v>0</v>
      </c>
      <c r="R370" s="3">
        <f t="shared" si="32"/>
        <v>12</v>
      </c>
      <c r="S370" s="3">
        <f t="shared" si="28"/>
        <v>2466.8000000000002</v>
      </c>
      <c r="T370" s="24"/>
      <c r="U370" s="24"/>
      <c r="V370" s="69"/>
      <c r="W370" s="25" t="s">
        <v>6307</v>
      </c>
      <c r="X370" s="25"/>
      <c r="Y370" s="25"/>
      <c r="Z370" s="25"/>
      <c r="AA370" s="25"/>
      <c r="AB370" s="3" t="str">
        <f>IF(Caja_Operativa[[#This Row],[FECHA]]&gt;0,TEXT(Caja_Operativa[[#This Row],[FECHA]],"mmmm"),0)</f>
        <v>Julio</v>
      </c>
    </row>
    <row r="371" spans="2:28" ht="60" hidden="1" x14ac:dyDescent="0.3">
      <c r="B371" s="2">
        <f>IF(Caja_Operativa[[#This Row],[TIPO DE R.]]="R",COUNTIFS($D$4:$D370,"R")+1,"")</f>
        <v>367</v>
      </c>
      <c r="C371" s="19" t="str">
        <f t="shared" si="29"/>
        <v>C-Operativa</v>
      </c>
      <c r="D371" s="3" t="s">
        <v>1074</v>
      </c>
      <c r="E371" s="14">
        <v>45839</v>
      </c>
      <c r="F371" s="5" t="s">
        <v>6299</v>
      </c>
      <c r="G371" s="5" t="s">
        <v>1079</v>
      </c>
      <c r="H371" s="6"/>
      <c r="I371" s="6"/>
      <c r="J371" s="6"/>
      <c r="K371" s="6"/>
      <c r="L371" s="7" t="s">
        <v>6523</v>
      </c>
      <c r="M371" s="8">
        <v>3659720</v>
      </c>
      <c r="N371" s="8" t="str">
        <f t="shared" si="30"/>
        <v>PEN</v>
      </c>
      <c r="O371" s="13"/>
      <c r="P371" s="13">
        <v>10</v>
      </c>
      <c r="Q371" s="3">
        <f t="shared" si="31"/>
        <v>0</v>
      </c>
      <c r="R371" s="3">
        <f t="shared" si="32"/>
        <v>10</v>
      </c>
      <c r="S371" s="3">
        <f t="shared" si="28"/>
        <v>2456.8000000000002</v>
      </c>
      <c r="T371" s="24"/>
      <c r="U371" s="24"/>
      <c r="V371" s="69"/>
      <c r="W371" s="25" t="s">
        <v>6307</v>
      </c>
      <c r="X371" s="25"/>
      <c r="Y371" s="25"/>
      <c r="Z371" s="25"/>
      <c r="AA371" s="25"/>
      <c r="AB371" s="3" t="str">
        <f>IF(Caja_Operativa[[#This Row],[FECHA]]&gt;0,TEXT(Caja_Operativa[[#This Row],[FECHA]],"mmmm"),0)</f>
        <v>Julio</v>
      </c>
    </row>
    <row r="372" spans="2:28" ht="60" hidden="1" x14ac:dyDescent="0.3">
      <c r="B372" s="2">
        <f>IF(Caja_Operativa[[#This Row],[TIPO DE R.]]="R",COUNTIFS($D$4:$D371,"R")+1,"")</f>
        <v>368</v>
      </c>
      <c r="C372" s="19" t="str">
        <f t="shared" si="29"/>
        <v>C-Operativa</v>
      </c>
      <c r="D372" s="3" t="s">
        <v>1074</v>
      </c>
      <c r="E372" s="14">
        <v>45839</v>
      </c>
      <c r="F372" s="5" t="s">
        <v>6299</v>
      </c>
      <c r="G372" s="5" t="s">
        <v>1079</v>
      </c>
      <c r="H372" s="6"/>
      <c r="I372" s="6"/>
      <c r="J372" s="6"/>
      <c r="K372" s="6"/>
      <c r="L372" s="7" t="s">
        <v>6524</v>
      </c>
      <c r="M372" s="8">
        <v>3690657</v>
      </c>
      <c r="N372" s="8" t="str">
        <f t="shared" si="30"/>
        <v>PEN</v>
      </c>
      <c r="O372" s="13"/>
      <c r="P372" s="13">
        <v>8</v>
      </c>
      <c r="Q372" s="3">
        <f t="shared" si="31"/>
        <v>0</v>
      </c>
      <c r="R372" s="3">
        <f t="shared" si="32"/>
        <v>8</v>
      </c>
      <c r="S372" s="3">
        <f t="shared" si="28"/>
        <v>2448.8000000000002</v>
      </c>
      <c r="T372" s="24"/>
      <c r="U372" s="24"/>
      <c r="V372" s="69"/>
      <c r="W372" s="25" t="s">
        <v>6307</v>
      </c>
      <c r="X372" s="25"/>
      <c r="Y372" s="25"/>
      <c r="Z372" s="25"/>
      <c r="AA372" s="25"/>
      <c r="AB372" s="3" t="str">
        <f>IF(Caja_Operativa[[#This Row],[FECHA]]&gt;0,TEXT(Caja_Operativa[[#This Row],[FECHA]],"mmmm"),0)</f>
        <v>Julio</v>
      </c>
    </row>
    <row r="373" spans="2:28" ht="60" hidden="1" x14ac:dyDescent="0.3">
      <c r="B373" s="2">
        <f>IF(Caja_Operativa[[#This Row],[TIPO DE R.]]="R",COUNTIFS($D$4:$D372,"R")+1,"")</f>
        <v>369</v>
      </c>
      <c r="C373" s="19" t="str">
        <f t="shared" si="29"/>
        <v>C-Operativa</v>
      </c>
      <c r="D373" s="3" t="s">
        <v>1074</v>
      </c>
      <c r="E373" s="14">
        <v>45839</v>
      </c>
      <c r="F373" s="5" t="s">
        <v>6299</v>
      </c>
      <c r="G373" s="5" t="s">
        <v>1079</v>
      </c>
      <c r="H373" s="6"/>
      <c r="I373" s="6"/>
      <c r="J373" s="6"/>
      <c r="K373" s="6"/>
      <c r="L373" s="7" t="s">
        <v>6525</v>
      </c>
      <c r="M373" s="8">
        <v>3715117</v>
      </c>
      <c r="N373" s="8" t="str">
        <f t="shared" si="30"/>
        <v>PEN</v>
      </c>
      <c r="O373" s="13"/>
      <c r="P373" s="13">
        <v>8</v>
      </c>
      <c r="Q373" s="3">
        <f t="shared" si="31"/>
        <v>0</v>
      </c>
      <c r="R373" s="3">
        <f t="shared" si="32"/>
        <v>8</v>
      </c>
      <c r="S373" s="3">
        <f t="shared" si="28"/>
        <v>2440.8000000000002</v>
      </c>
      <c r="T373" s="24"/>
      <c r="U373" s="24"/>
      <c r="V373" s="69"/>
      <c r="W373" s="25" t="s">
        <v>6307</v>
      </c>
      <c r="X373" s="25"/>
      <c r="Y373" s="25"/>
      <c r="Z373" s="25"/>
      <c r="AA373" s="25"/>
      <c r="AB373" s="3" t="str">
        <f>IF(Caja_Operativa[[#This Row],[FECHA]]&gt;0,TEXT(Caja_Operativa[[#This Row],[FECHA]],"mmmm"),0)</f>
        <v>Julio</v>
      </c>
    </row>
    <row r="374" spans="2:28" ht="60" hidden="1" x14ac:dyDescent="0.3">
      <c r="B374" s="2">
        <f>IF(Caja_Operativa[[#This Row],[TIPO DE R.]]="R",COUNTIFS($D$4:$D373,"R")+1,"")</f>
        <v>370</v>
      </c>
      <c r="C374" s="19" t="str">
        <f t="shared" si="29"/>
        <v>C-Operativa</v>
      </c>
      <c r="D374" s="3" t="s">
        <v>1074</v>
      </c>
      <c r="E374" s="14">
        <v>45839</v>
      </c>
      <c r="F374" s="5" t="s">
        <v>6299</v>
      </c>
      <c r="G374" s="5" t="s">
        <v>1079</v>
      </c>
      <c r="H374" s="6"/>
      <c r="I374" s="6"/>
      <c r="J374" s="6"/>
      <c r="K374" s="6"/>
      <c r="L374" s="7" t="s">
        <v>6526</v>
      </c>
      <c r="M374" s="8">
        <v>3700714</v>
      </c>
      <c r="N374" s="8" t="str">
        <f t="shared" si="30"/>
        <v>PEN</v>
      </c>
      <c r="O374" s="13"/>
      <c r="P374" s="13">
        <v>8</v>
      </c>
      <c r="Q374" s="3">
        <f t="shared" si="31"/>
        <v>0</v>
      </c>
      <c r="R374" s="3">
        <f t="shared" si="32"/>
        <v>8</v>
      </c>
      <c r="S374" s="3">
        <f t="shared" si="28"/>
        <v>2432.8000000000002</v>
      </c>
      <c r="T374" s="24"/>
      <c r="U374" s="24"/>
      <c r="V374" s="69"/>
      <c r="W374" s="25" t="s">
        <v>6307</v>
      </c>
      <c r="X374" s="25"/>
      <c r="Y374" s="25"/>
      <c r="Z374" s="25"/>
      <c r="AA374" s="25"/>
      <c r="AB374" s="3" t="str">
        <f>IF(Caja_Operativa[[#This Row],[FECHA]]&gt;0,TEXT(Caja_Operativa[[#This Row],[FECHA]],"mmmm"),0)</f>
        <v>Julio</v>
      </c>
    </row>
    <row r="375" spans="2:28" ht="60" hidden="1" x14ac:dyDescent="0.3">
      <c r="B375" s="2">
        <f>IF(Caja_Operativa[[#This Row],[TIPO DE R.]]="R",COUNTIFS($D$4:$D374,"R")+1,"")</f>
        <v>371</v>
      </c>
      <c r="C375" s="19" t="str">
        <f t="shared" si="29"/>
        <v>C-Operativa</v>
      </c>
      <c r="D375" s="3" t="s">
        <v>1074</v>
      </c>
      <c r="E375" s="14">
        <v>45839</v>
      </c>
      <c r="F375" s="5" t="s">
        <v>6299</v>
      </c>
      <c r="G375" s="5" t="s">
        <v>1079</v>
      </c>
      <c r="H375" s="6"/>
      <c r="I375" s="6"/>
      <c r="J375" s="6"/>
      <c r="K375" s="6"/>
      <c r="L375" s="7" t="s">
        <v>6527</v>
      </c>
      <c r="M375" s="8">
        <v>3727610</v>
      </c>
      <c r="N375" s="8" t="str">
        <f t="shared" si="30"/>
        <v>PEN</v>
      </c>
      <c r="O375" s="13"/>
      <c r="P375" s="13">
        <v>20</v>
      </c>
      <c r="Q375" s="3">
        <f t="shared" si="31"/>
        <v>0</v>
      </c>
      <c r="R375" s="3">
        <f t="shared" si="32"/>
        <v>20</v>
      </c>
      <c r="S375" s="3">
        <f t="shared" si="28"/>
        <v>2412.8000000000002</v>
      </c>
      <c r="T375" s="24"/>
      <c r="U375" s="24"/>
      <c r="V375" s="69"/>
      <c r="W375" s="25" t="s">
        <v>6307</v>
      </c>
      <c r="X375" s="25"/>
      <c r="Y375" s="25"/>
      <c r="Z375" s="25"/>
      <c r="AA375" s="25"/>
      <c r="AB375" s="3" t="str">
        <f>IF(Caja_Operativa[[#This Row],[FECHA]]&gt;0,TEXT(Caja_Operativa[[#This Row],[FECHA]],"mmmm"),0)</f>
        <v>Julio</v>
      </c>
    </row>
    <row r="376" spans="2:28" ht="60" hidden="1" x14ac:dyDescent="0.3">
      <c r="B376" s="2">
        <f>IF(Caja_Operativa[[#This Row],[TIPO DE R.]]="R",COUNTIFS($D$4:$D375,"R")+1,"")</f>
        <v>372</v>
      </c>
      <c r="C376" s="19" t="str">
        <f t="shared" si="29"/>
        <v>C-Operativa</v>
      </c>
      <c r="D376" s="3" t="s">
        <v>1074</v>
      </c>
      <c r="E376" s="14">
        <v>45839</v>
      </c>
      <c r="F376" s="5" t="s">
        <v>6299</v>
      </c>
      <c r="G376" s="5" t="s">
        <v>1079</v>
      </c>
      <c r="H376" s="6"/>
      <c r="I376" s="6"/>
      <c r="J376" s="6"/>
      <c r="K376" s="6"/>
      <c r="L376" s="7" t="s">
        <v>6528</v>
      </c>
      <c r="M376" s="8">
        <v>3725095</v>
      </c>
      <c r="N376" s="8" t="str">
        <f t="shared" si="30"/>
        <v>PEN</v>
      </c>
      <c r="O376" s="13"/>
      <c r="P376" s="13">
        <v>30</v>
      </c>
      <c r="Q376" s="3">
        <f t="shared" si="31"/>
        <v>0</v>
      </c>
      <c r="R376" s="3">
        <f t="shared" si="32"/>
        <v>30</v>
      </c>
      <c r="S376" s="3">
        <f t="shared" si="28"/>
        <v>2382.8000000000002</v>
      </c>
      <c r="T376" s="24"/>
      <c r="U376" s="24"/>
      <c r="V376" s="69"/>
      <c r="W376" s="25" t="s">
        <v>6307</v>
      </c>
      <c r="X376" s="25"/>
      <c r="Y376" s="25"/>
      <c r="Z376" s="25"/>
      <c r="AA376" s="25"/>
      <c r="AB376" s="3" t="str">
        <f>IF(Caja_Operativa[[#This Row],[FECHA]]&gt;0,TEXT(Caja_Operativa[[#This Row],[FECHA]],"mmmm"),0)</f>
        <v>Julio</v>
      </c>
    </row>
    <row r="377" spans="2:28" ht="60" hidden="1" x14ac:dyDescent="0.3">
      <c r="B377" s="2">
        <f>IF(Caja_Operativa[[#This Row],[TIPO DE R.]]="R",COUNTIFS($D$4:$D376,"R")+1,"")</f>
        <v>373</v>
      </c>
      <c r="C377" s="19" t="str">
        <f t="shared" si="29"/>
        <v>C-Operativa</v>
      </c>
      <c r="D377" s="3" t="s">
        <v>1074</v>
      </c>
      <c r="E377" s="14">
        <v>45839</v>
      </c>
      <c r="F377" s="5" t="s">
        <v>6299</v>
      </c>
      <c r="G377" s="5" t="s">
        <v>1079</v>
      </c>
      <c r="H377" s="6"/>
      <c r="I377" s="6"/>
      <c r="J377" s="6"/>
      <c r="K377" s="6"/>
      <c r="L377" s="7" t="s">
        <v>6529</v>
      </c>
      <c r="M377" s="8">
        <v>3722606</v>
      </c>
      <c r="N377" s="8" t="str">
        <f t="shared" si="30"/>
        <v>PEN</v>
      </c>
      <c r="O377" s="13"/>
      <c r="P377" s="13">
        <v>10</v>
      </c>
      <c r="Q377" s="3">
        <f t="shared" si="31"/>
        <v>0</v>
      </c>
      <c r="R377" s="3">
        <f t="shared" si="32"/>
        <v>10</v>
      </c>
      <c r="S377" s="3">
        <f t="shared" si="28"/>
        <v>2372.8000000000002</v>
      </c>
      <c r="T377" s="24"/>
      <c r="U377" s="24"/>
      <c r="V377" s="69"/>
      <c r="W377" s="25" t="s">
        <v>6307</v>
      </c>
      <c r="X377" s="25"/>
      <c r="Y377" s="25"/>
      <c r="Z377" s="25"/>
      <c r="AA377" s="25"/>
      <c r="AB377" s="3" t="str">
        <f>IF(Caja_Operativa[[#This Row],[FECHA]]&gt;0,TEXT(Caja_Operativa[[#This Row],[FECHA]],"mmmm"),0)</f>
        <v>Julio</v>
      </c>
    </row>
    <row r="378" spans="2:28" ht="60" hidden="1" x14ac:dyDescent="0.3">
      <c r="B378" s="2">
        <f>IF(Caja_Operativa[[#This Row],[TIPO DE R.]]="R",COUNTIFS($D$4:$D377,"R")+1,"")</f>
        <v>374</v>
      </c>
      <c r="C378" s="19" t="str">
        <f t="shared" si="29"/>
        <v>C-Operativa</v>
      </c>
      <c r="D378" s="3" t="s">
        <v>1074</v>
      </c>
      <c r="E378" s="14">
        <v>45839</v>
      </c>
      <c r="F378" s="5" t="s">
        <v>6299</v>
      </c>
      <c r="G378" s="5" t="s">
        <v>1079</v>
      </c>
      <c r="H378" s="6"/>
      <c r="I378" s="6"/>
      <c r="J378" s="6"/>
      <c r="K378" s="6"/>
      <c r="L378" s="7" t="s">
        <v>6530</v>
      </c>
      <c r="M378" s="8">
        <v>3725923</v>
      </c>
      <c r="N378" s="8" t="str">
        <f t="shared" si="30"/>
        <v>PEN</v>
      </c>
      <c r="O378" s="13"/>
      <c r="P378" s="13">
        <v>20</v>
      </c>
      <c r="Q378" s="3">
        <f t="shared" si="31"/>
        <v>0</v>
      </c>
      <c r="R378" s="3">
        <f t="shared" si="32"/>
        <v>20</v>
      </c>
      <c r="S378" s="3">
        <f t="shared" si="28"/>
        <v>2352.8000000000002</v>
      </c>
      <c r="T378" s="24"/>
      <c r="U378" s="24"/>
      <c r="V378" s="69"/>
      <c r="W378" s="25" t="s">
        <v>6307</v>
      </c>
      <c r="X378" s="25"/>
      <c r="Y378" s="25"/>
      <c r="Z378" s="25"/>
      <c r="AA378" s="25"/>
      <c r="AB378" s="3" t="str">
        <f>IF(Caja_Operativa[[#This Row],[FECHA]]&gt;0,TEXT(Caja_Operativa[[#This Row],[FECHA]],"mmmm"),0)</f>
        <v>Julio</v>
      </c>
    </row>
    <row r="379" spans="2:28" ht="60" hidden="1" x14ac:dyDescent="0.3">
      <c r="B379" s="2">
        <f>IF(Caja_Operativa[[#This Row],[TIPO DE R.]]="R",COUNTIFS($D$4:$D378,"R")+1,"")</f>
        <v>375</v>
      </c>
      <c r="C379" s="19" t="str">
        <f t="shared" si="29"/>
        <v>C-Operativa</v>
      </c>
      <c r="D379" s="3" t="s">
        <v>1074</v>
      </c>
      <c r="E379" s="14">
        <v>45839</v>
      </c>
      <c r="F379" s="5" t="s">
        <v>6299</v>
      </c>
      <c r="G379" s="5" t="s">
        <v>1079</v>
      </c>
      <c r="H379" s="6"/>
      <c r="I379" s="6"/>
      <c r="J379" s="6"/>
      <c r="K379" s="6"/>
      <c r="L379" s="7" t="s">
        <v>6531</v>
      </c>
      <c r="M379" s="8">
        <v>3774287</v>
      </c>
      <c r="N379" s="8" t="str">
        <f t="shared" si="30"/>
        <v>PEN</v>
      </c>
      <c r="O379" s="13"/>
      <c r="P379" s="13">
        <v>10</v>
      </c>
      <c r="Q379" s="3">
        <f t="shared" si="31"/>
        <v>0</v>
      </c>
      <c r="R379" s="3">
        <f t="shared" si="32"/>
        <v>10</v>
      </c>
      <c r="S379" s="3">
        <f t="shared" si="28"/>
        <v>2342.8000000000002</v>
      </c>
      <c r="T379" s="24"/>
      <c r="U379" s="24"/>
      <c r="V379" s="69"/>
      <c r="W379" s="25" t="s">
        <v>6307</v>
      </c>
      <c r="X379" s="25"/>
      <c r="Y379" s="25"/>
      <c r="Z379" s="25"/>
      <c r="AA379" s="25"/>
      <c r="AB379" s="3" t="str">
        <f>IF(Caja_Operativa[[#This Row],[FECHA]]&gt;0,TEXT(Caja_Operativa[[#This Row],[FECHA]],"mmmm"),0)</f>
        <v>Julio</v>
      </c>
    </row>
    <row r="380" spans="2:28" hidden="1" x14ac:dyDescent="0.3">
      <c r="B380" s="2">
        <f>IF(Caja_Operativa[[#This Row],[TIPO DE R.]]="R",COUNTIFS($D$4:$D379,"R")+1,"")</f>
        <v>376</v>
      </c>
      <c r="C380" s="19" t="str">
        <f t="shared" si="29"/>
        <v>C-Operativa</v>
      </c>
      <c r="D380" s="3" t="s">
        <v>1074</v>
      </c>
      <c r="E380" s="14">
        <v>45840</v>
      </c>
      <c r="F380" s="5" t="s">
        <v>6299</v>
      </c>
      <c r="G380" s="5" t="s">
        <v>1079</v>
      </c>
      <c r="H380" s="6"/>
      <c r="I380" s="6"/>
      <c r="J380" s="6"/>
      <c r="K380" s="6"/>
      <c r="L380" s="7" t="s">
        <v>6532</v>
      </c>
      <c r="M380" s="8">
        <v>474146</v>
      </c>
      <c r="N380" s="8" t="str">
        <f t="shared" si="30"/>
        <v>PEN</v>
      </c>
      <c r="O380" s="13"/>
      <c r="P380" s="13">
        <v>2342.6999999999998</v>
      </c>
      <c r="Q380" s="3">
        <f t="shared" si="31"/>
        <v>0</v>
      </c>
      <c r="R380" s="3">
        <f t="shared" si="32"/>
        <v>2342.6999999999998</v>
      </c>
      <c r="S380" s="3">
        <f t="shared" si="28"/>
        <v>0.1000000000003638</v>
      </c>
      <c r="T380" s="24"/>
      <c r="U380" s="24"/>
      <c r="V380" s="69"/>
      <c r="W380" s="25" t="s">
        <v>368</v>
      </c>
      <c r="X380" s="25"/>
      <c r="Y380" s="25"/>
      <c r="Z380" s="25"/>
      <c r="AA380" s="25"/>
      <c r="AB380" s="3" t="str">
        <f>IF(Caja_Operativa[[#This Row],[FECHA]]&gt;0,TEXT(Caja_Operativa[[#This Row],[FECHA]],"mmmm"),0)</f>
        <v>Julio</v>
      </c>
    </row>
    <row r="381" spans="2:28" hidden="1" x14ac:dyDescent="0.3">
      <c r="B381" s="2">
        <f>IF(Caja_Operativa[[#This Row],[TIPO DE R.]]="R",COUNTIFS($D$4:$D380,"R")+1,"")</f>
        <v>377</v>
      </c>
      <c r="C381" s="19" t="str">
        <f t="shared" si="29"/>
        <v>C-Operativa</v>
      </c>
      <c r="D381" s="3" t="s">
        <v>1074</v>
      </c>
      <c r="E381" s="14">
        <v>45840</v>
      </c>
      <c r="F381" s="5" t="s">
        <v>1078</v>
      </c>
      <c r="G381" s="5" t="s">
        <v>1079</v>
      </c>
      <c r="H381" s="6"/>
      <c r="I381" s="6"/>
      <c r="J381" s="6"/>
      <c r="K381" s="6"/>
      <c r="L381" s="7" t="s">
        <v>4128</v>
      </c>
      <c r="M381" s="8"/>
      <c r="N381" s="8" t="str">
        <f t="shared" si="30"/>
        <v>PEN</v>
      </c>
      <c r="O381" s="13"/>
      <c r="P381" s="13">
        <v>0.1</v>
      </c>
      <c r="Q381" s="3">
        <f t="shared" si="31"/>
        <v>0</v>
      </c>
      <c r="R381" s="3">
        <f t="shared" si="32"/>
        <v>0.1</v>
      </c>
      <c r="S381" s="3">
        <f t="shared" si="28"/>
        <v>3.6379232959404817E-13</v>
      </c>
      <c r="T381" s="24"/>
      <c r="U381" s="24"/>
      <c r="V381" s="69"/>
      <c r="W381" s="25"/>
      <c r="X381" s="25"/>
      <c r="Y381" s="25"/>
      <c r="Z381" s="25"/>
      <c r="AA381" s="25"/>
      <c r="AB381" s="3" t="str">
        <f>IF(Caja_Operativa[[#This Row],[FECHA]]&gt;0,TEXT(Caja_Operativa[[#This Row],[FECHA]],"mmmm"),0)</f>
        <v>Julio</v>
      </c>
    </row>
    <row r="382" spans="2:28" hidden="1" x14ac:dyDescent="0.3">
      <c r="B382" s="2">
        <f>IF(Caja_Operativa[[#This Row],[TIPO DE R.]]="R",COUNTIFS($D$4:$D381,"R")+1,"")</f>
        <v>378</v>
      </c>
      <c r="C382" s="19" t="str">
        <f t="shared" ref="C382:C394" si="33">"C-Operativa"</f>
        <v>C-Operativa</v>
      </c>
      <c r="D382" s="3" t="s">
        <v>1074</v>
      </c>
      <c r="E382" s="14">
        <v>45842</v>
      </c>
      <c r="F382" s="5" t="s">
        <v>3353</v>
      </c>
      <c r="G382" s="5" t="s">
        <v>1087</v>
      </c>
      <c r="H382" s="6"/>
      <c r="I382" s="6"/>
      <c r="J382" s="6" t="s">
        <v>6329</v>
      </c>
      <c r="K382" s="6">
        <v>11</v>
      </c>
      <c r="L382" s="7" t="s">
        <v>6330</v>
      </c>
      <c r="M382" s="8">
        <v>1261731</v>
      </c>
      <c r="N382" s="8" t="str">
        <f t="shared" ref="N382:N394" si="34">"PEN"</f>
        <v>PEN</v>
      </c>
      <c r="O382" s="13"/>
      <c r="P382" s="13">
        <v>500</v>
      </c>
      <c r="Q382" s="3">
        <f t="shared" ref="Q382:Q394" si="35">+IF(OR($G382="SALDO",$G382="INGRESO"),$P382,0)</f>
        <v>500</v>
      </c>
      <c r="R382" s="3">
        <f t="shared" ref="R382:R394" si="36">+IF($G382="EGRESO",$P382,0)</f>
        <v>0</v>
      </c>
      <c r="S382" s="3">
        <f t="shared" si="28"/>
        <v>500.00000000000034</v>
      </c>
      <c r="T382" s="24"/>
      <c r="U382" s="24"/>
      <c r="V382" s="69"/>
      <c r="W382" s="25"/>
      <c r="X382" s="25"/>
      <c r="Y382" s="25"/>
      <c r="Z382" s="25"/>
      <c r="AA382" s="25"/>
      <c r="AB382" s="3" t="str">
        <f>IF(Caja_Operativa[[#This Row],[FECHA]]&gt;0,TEXT(Caja_Operativa[[#This Row],[FECHA]],"mmmm"),0)</f>
        <v>Julio</v>
      </c>
    </row>
    <row r="383" spans="2:28" ht="24" x14ac:dyDescent="0.3">
      <c r="B383" s="2">
        <f>IF(Caja_Operativa[[#This Row],[TIPO DE R.]]="R",COUNTIFS($D$4:$D382,"R")+1,"")</f>
        <v>379</v>
      </c>
      <c r="C383" s="19" t="str">
        <f t="shared" si="33"/>
        <v>C-Operativa</v>
      </c>
      <c r="D383" s="3" t="s">
        <v>1074</v>
      </c>
      <c r="E383" s="14">
        <v>45842</v>
      </c>
      <c r="F383" s="5" t="s">
        <v>3353</v>
      </c>
      <c r="G383" s="5" t="s">
        <v>1079</v>
      </c>
      <c r="H383" s="6" t="s">
        <v>753</v>
      </c>
      <c r="I383" s="6"/>
      <c r="J383" s="6"/>
      <c r="K383" s="6"/>
      <c r="L383" s="7" t="s">
        <v>6302</v>
      </c>
      <c r="M383" s="8">
        <v>1261731</v>
      </c>
      <c r="N383" s="8" t="str">
        <f t="shared" si="34"/>
        <v>PEN</v>
      </c>
      <c r="O383" s="13"/>
      <c r="P383" s="13">
        <v>500</v>
      </c>
      <c r="Q383" s="3">
        <f t="shared" si="35"/>
        <v>0</v>
      </c>
      <c r="R383" s="3">
        <f t="shared" si="36"/>
        <v>500</v>
      </c>
      <c r="S383" s="3">
        <f t="shared" si="28"/>
        <v>3.4106051316484809E-13</v>
      </c>
      <c r="T383" s="24"/>
      <c r="U383" s="24"/>
      <c r="V383" s="69"/>
      <c r="W383" s="25"/>
      <c r="X383" s="25"/>
      <c r="Y383" s="25"/>
      <c r="Z383" s="25"/>
      <c r="AA383" s="25"/>
      <c r="AB383" s="3" t="str">
        <f>IF(Caja_Operativa[[#This Row],[FECHA]]&gt;0,TEXT(Caja_Operativa[[#This Row],[FECHA]],"mmmm"),0)</f>
        <v>Julio</v>
      </c>
    </row>
    <row r="384" spans="2:28" hidden="1" x14ac:dyDescent="0.3">
      <c r="B384" s="2">
        <f>IF(Caja_Operativa[[#This Row],[TIPO DE R.]]="R",COUNTIFS($D$4:$D383,"R")+1,"")</f>
        <v>380</v>
      </c>
      <c r="C384" s="19" t="str">
        <f t="shared" si="33"/>
        <v>C-Operativa</v>
      </c>
      <c r="D384" s="3" t="s">
        <v>1074</v>
      </c>
      <c r="E384" s="14">
        <v>45849</v>
      </c>
      <c r="F384" s="5" t="s">
        <v>3353</v>
      </c>
      <c r="G384" s="5" t="s">
        <v>1087</v>
      </c>
      <c r="H384" s="6"/>
      <c r="I384" s="6"/>
      <c r="J384" s="6" t="s">
        <v>6329</v>
      </c>
      <c r="K384" s="6">
        <v>12</v>
      </c>
      <c r="L384" s="7" t="s">
        <v>6330</v>
      </c>
      <c r="M384" s="8">
        <v>1258432</v>
      </c>
      <c r="N384" s="8" t="str">
        <f t="shared" si="34"/>
        <v>PEN</v>
      </c>
      <c r="O384" s="13"/>
      <c r="P384" s="13">
        <v>100</v>
      </c>
      <c r="Q384" s="3">
        <f t="shared" si="35"/>
        <v>100</v>
      </c>
      <c r="R384" s="3">
        <f t="shared" si="36"/>
        <v>0</v>
      </c>
      <c r="S384" s="3">
        <f t="shared" si="28"/>
        <v>100.00000000000034</v>
      </c>
      <c r="T384" s="24"/>
      <c r="U384" s="24"/>
      <c r="V384" s="69"/>
      <c r="W384" s="25"/>
      <c r="X384" s="25"/>
      <c r="Y384" s="25"/>
      <c r="Z384" s="25"/>
      <c r="AA384" s="25"/>
      <c r="AB384" s="3" t="str">
        <f>IF(Caja_Operativa[[#This Row],[FECHA]]&gt;0,TEXT(Caja_Operativa[[#This Row],[FECHA]],"mmmm"),0)</f>
        <v>Julio</v>
      </c>
    </row>
    <row r="385" spans="2:28" hidden="1" x14ac:dyDescent="0.3">
      <c r="B385" s="2">
        <f>IF(Caja_Operativa[[#This Row],[TIPO DE R.]]="R",COUNTIFS($D$4:$D384,"R")+1,"")</f>
        <v>381</v>
      </c>
      <c r="C385" s="19" t="str">
        <f t="shared" si="33"/>
        <v>C-Operativa</v>
      </c>
      <c r="D385" s="3" t="s">
        <v>1074</v>
      </c>
      <c r="E385" s="14">
        <v>45849</v>
      </c>
      <c r="F385" s="5" t="s">
        <v>3353</v>
      </c>
      <c r="G385" s="5" t="s">
        <v>1079</v>
      </c>
      <c r="H385" s="6" t="s">
        <v>817</v>
      </c>
      <c r="I385" s="6"/>
      <c r="J385" s="6"/>
      <c r="K385" s="6"/>
      <c r="L385" s="7" t="s">
        <v>6302</v>
      </c>
      <c r="M385" s="8">
        <v>1258432</v>
      </c>
      <c r="N385" s="8" t="str">
        <f t="shared" si="34"/>
        <v>PEN</v>
      </c>
      <c r="O385" s="13"/>
      <c r="P385" s="13">
        <v>100</v>
      </c>
      <c r="Q385" s="3">
        <f t="shared" si="35"/>
        <v>0</v>
      </c>
      <c r="R385" s="3">
        <f t="shared" si="36"/>
        <v>100</v>
      </c>
      <c r="S385" s="3">
        <f t="shared" si="28"/>
        <v>3.4106051316484809E-13</v>
      </c>
      <c r="T385" s="24"/>
      <c r="U385" s="24"/>
      <c r="V385" s="69"/>
      <c r="W385" s="25"/>
      <c r="X385" s="25"/>
      <c r="Y385" s="25"/>
      <c r="Z385" s="25"/>
      <c r="AA385" s="25"/>
      <c r="AB385" s="3" t="str">
        <f>IF(Caja_Operativa[[#This Row],[FECHA]]&gt;0,TEXT(Caja_Operativa[[#This Row],[FECHA]],"mmmm"),0)</f>
        <v>Julio</v>
      </c>
    </row>
    <row r="386" spans="2:28" hidden="1" x14ac:dyDescent="0.3">
      <c r="B386" s="2">
        <f>IF(Caja_Operativa[[#This Row],[TIPO DE R.]]="R",COUNTIFS($D$4:$D385,"R")+1,"")</f>
        <v>382</v>
      </c>
      <c r="C386" s="19" t="str">
        <f t="shared" si="33"/>
        <v>C-Operativa</v>
      </c>
      <c r="D386" s="3" t="s">
        <v>1074</v>
      </c>
      <c r="E386" s="14">
        <v>45854</v>
      </c>
      <c r="F386" s="5" t="s">
        <v>3353</v>
      </c>
      <c r="G386" s="5" t="s">
        <v>1087</v>
      </c>
      <c r="H386" s="6"/>
      <c r="I386" s="6"/>
      <c r="J386" s="6" t="s">
        <v>6329</v>
      </c>
      <c r="K386" s="6">
        <v>13</v>
      </c>
      <c r="L386" s="7" t="s">
        <v>6330</v>
      </c>
      <c r="M386" s="8"/>
      <c r="N386" s="8" t="str">
        <f t="shared" si="34"/>
        <v>PEN</v>
      </c>
      <c r="O386" s="13"/>
      <c r="P386" s="13">
        <v>900</v>
      </c>
      <c r="Q386" s="3">
        <f t="shared" si="35"/>
        <v>900</v>
      </c>
      <c r="R386" s="3">
        <f t="shared" si="36"/>
        <v>0</v>
      </c>
      <c r="S386" s="3">
        <f t="shared" si="28"/>
        <v>900.00000000000034</v>
      </c>
      <c r="T386" s="24"/>
      <c r="U386" s="24"/>
      <c r="V386" s="69"/>
      <c r="W386" s="25"/>
      <c r="X386" s="25"/>
      <c r="Y386" s="25"/>
      <c r="Z386" s="25"/>
      <c r="AA386" s="25"/>
      <c r="AB386" s="3" t="str">
        <f>IF(Caja_Operativa[[#This Row],[FECHA]]&gt;0,TEXT(Caja_Operativa[[#This Row],[FECHA]],"mmmm"),0)</f>
        <v>Julio</v>
      </c>
    </row>
    <row r="387" spans="2:28" ht="24" hidden="1" x14ac:dyDescent="0.3">
      <c r="B387" s="2">
        <f>IF(Caja_Operativa[[#This Row],[TIPO DE R.]]="R",COUNTIFS($D$4:$D386,"R")+1,"")</f>
        <v>383</v>
      </c>
      <c r="C387" s="19" t="str">
        <f t="shared" si="33"/>
        <v>C-Operativa</v>
      </c>
      <c r="D387" s="3" t="s">
        <v>1074</v>
      </c>
      <c r="E387" s="14">
        <v>45854</v>
      </c>
      <c r="F387" s="5" t="s">
        <v>3353</v>
      </c>
      <c r="G387" s="5" t="s">
        <v>1079</v>
      </c>
      <c r="H387" s="6" t="s">
        <v>960</v>
      </c>
      <c r="I387" s="6"/>
      <c r="J387" s="6"/>
      <c r="K387" s="6"/>
      <c r="L387" s="7" t="s">
        <v>6302</v>
      </c>
      <c r="M387" s="8">
        <v>3748741</v>
      </c>
      <c r="N387" s="8" t="str">
        <f t="shared" si="34"/>
        <v>PEN</v>
      </c>
      <c r="O387" s="13"/>
      <c r="P387" s="13">
        <v>500</v>
      </c>
      <c r="Q387" s="3">
        <f t="shared" si="35"/>
        <v>0</v>
      </c>
      <c r="R387" s="3">
        <f t="shared" si="36"/>
        <v>500</v>
      </c>
      <c r="S387" s="3">
        <f t="shared" si="28"/>
        <v>400.00000000000034</v>
      </c>
      <c r="T387" s="24"/>
      <c r="U387" s="24"/>
      <c r="V387" s="69"/>
      <c r="W387" s="25"/>
      <c r="X387" s="25"/>
      <c r="Y387" s="25"/>
      <c r="Z387" s="25"/>
      <c r="AA387" s="25"/>
      <c r="AB387" s="3" t="str">
        <f>IF(Caja_Operativa[[#This Row],[FECHA]]&gt;0,TEXT(Caja_Operativa[[#This Row],[FECHA]],"mmmm"),0)</f>
        <v>Julio</v>
      </c>
    </row>
    <row r="388" spans="2:28" ht="24" hidden="1" x14ac:dyDescent="0.3">
      <c r="B388" s="2">
        <f>IF(Caja_Operativa[[#This Row],[TIPO DE R.]]="R",COUNTIFS($D$4:$D387,"R")+1,"")</f>
        <v>384</v>
      </c>
      <c r="C388" s="19" t="str">
        <f t="shared" si="33"/>
        <v>C-Operativa</v>
      </c>
      <c r="D388" s="3" t="s">
        <v>1074</v>
      </c>
      <c r="E388" s="14">
        <v>45854</v>
      </c>
      <c r="F388" s="5" t="s">
        <v>3353</v>
      </c>
      <c r="G388" s="5" t="s">
        <v>1079</v>
      </c>
      <c r="H388" s="6" t="s">
        <v>863</v>
      </c>
      <c r="I388" s="6"/>
      <c r="J388" s="6"/>
      <c r="K388" s="6"/>
      <c r="L388" s="7" t="s">
        <v>6302</v>
      </c>
      <c r="M388" s="8">
        <v>4213357</v>
      </c>
      <c r="N388" s="8" t="str">
        <f t="shared" si="34"/>
        <v>PEN</v>
      </c>
      <c r="O388" s="13"/>
      <c r="P388" s="13">
        <v>400</v>
      </c>
      <c r="Q388" s="3">
        <f t="shared" si="35"/>
        <v>0</v>
      </c>
      <c r="R388" s="3">
        <f t="shared" si="36"/>
        <v>400</v>
      </c>
      <c r="S388" s="3">
        <f t="shared" si="28"/>
        <v>3.4106051316484809E-13</v>
      </c>
      <c r="T388" s="24"/>
      <c r="U388" s="24"/>
      <c r="V388" s="69"/>
      <c r="W388" s="25"/>
      <c r="X388" s="25"/>
      <c r="Y388" s="25"/>
      <c r="Z388" s="25"/>
      <c r="AA388" s="25"/>
      <c r="AB388" s="3" t="str">
        <f>IF(Caja_Operativa[[#This Row],[FECHA]]&gt;0,TEXT(Caja_Operativa[[#This Row],[FECHA]],"mmmm"),0)</f>
        <v>Julio</v>
      </c>
    </row>
    <row r="389" spans="2:28" hidden="1" x14ac:dyDescent="0.3">
      <c r="B389" s="2">
        <f>IF(Caja_Operativa[[#This Row],[TIPO DE R.]]="R",COUNTIFS($D$4:$D388,"R")+1,"")</f>
        <v>385</v>
      </c>
      <c r="C389" s="19" t="str">
        <f t="shared" si="33"/>
        <v>C-Operativa</v>
      </c>
      <c r="D389" s="3" t="s">
        <v>1074</v>
      </c>
      <c r="E389" s="14">
        <v>45855</v>
      </c>
      <c r="F389" s="5" t="s">
        <v>3353</v>
      </c>
      <c r="G389" s="5" t="s">
        <v>1087</v>
      </c>
      <c r="H389" s="6"/>
      <c r="I389" s="6"/>
      <c r="J389" s="6" t="s">
        <v>6329</v>
      </c>
      <c r="K389" s="6">
        <v>14</v>
      </c>
      <c r="L389" s="7" t="s">
        <v>6330</v>
      </c>
      <c r="M389" s="8">
        <v>2198955</v>
      </c>
      <c r="N389" s="8" t="str">
        <f t="shared" si="34"/>
        <v>PEN</v>
      </c>
      <c r="O389" s="13"/>
      <c r="P389" s="13">
        <v>3000</v>
      </c>
      <c r="Q389" s="3">
        <f t="shared" si="35"/>
        <v>3000</v>
      </c>
      <c r="R389" s="3">
        <f t="shared" si="36"/>
        <v>0</v>
      </c>
      <c r="S389" s="3">
        <f t="shared" ref="S389:S404" si="37">IFERROR(IF(G389="SALDO",Q389,S388+Q389-R389),0)</f>
        <v>3000.0000000000005</v>
      </c>
      <c r="T389" s="24"/>
      <c r="U389" s="24"/>
      <c r="V389" s="69"/>
      <c r="W389" s="25"/>
      <c r="X389" s="25"/>
      <c r="Y389" s="25"/>
      <c r="Z389" s="25"/>
      <c r="AA389" s="25"/>
      <c r="AB389" s="3" t="str">
        <f>IF(Caja_Operativa[[#This Row],[FECHA]]&gt;0,TEXT(Caja_Operativa[[#This Row],[FECHA]],"mmmm"),0)</f>
        <v>Julio</v>
      </c>
    </row>
    <row r="390" spans="2:28" hidden="1" x14ac:dyDescent="0.3">
      <c r="B390" s="2">
        <f>IF(Caja_Operativa[[#This Row],[TIPO DE R.]]="R",COUNTIFS($D$4:$D389,"R")+1,"")</f>
        <v>386</v>
      </c>
      <c r="C390" s="19" t="str">
        <f t="shared" si="33"/>
        <v>C-Operativa</v>
      </c>
      <c r="D390" s="3" t="s">
        <v>1074</v>
      </c>
      <c r="E390" s="14">
        <v>45855</v>
      </c>
      <c r="F390" s="5"/>
      <c r="G390" s="5" t="s">
        <v>1079</v>
      </c>
      <c r="H390" s="6"/>
      <c r="I390" s="6"/>
      <c r="J390" s="6"/>
      <c r="K390" s="6"/>
      <c r="L390" s="7" t="s">
        <v>4128</v>
      </c>
      <c r="M390" s="8">
        <v>2</v>
      </c>
      <c r="N390" s="8" t="str">
        <f t="shared" si="34"/>
        <v>PEN</v>
      </c>
      <c r="O390" s="13"/>
      <c r="P390" s="13">
        <v>0.15</v>
      </c>
      <c r="Q390" s="3">
        <f t="shared" si="35"/>
        <v>0</v>
      </c>
      <c r="R390" s="3">
        <f t="shared" si="36"/>
        <v>0.15</v>
      </c>
      <c r="S390" s="3">
        <f t="shared" si="37"/>
        <v>2999.8500000000004</v>
      </c>
      <c r="T390" s="24"/>
      <c r="U390" s="24"/>
      <c r="V390" s="69"/>
      <c r="W390" s="25"/>
      <c r="X390" s="25"/>
      <c r="Y390" s="25"/>
      <c r="Z390" s="25"/>
      <c r="AA390" s="25"/>
      <c r="AB390" s="3" t="str">
        <f>IF(Caja_Operativa[[#This Row],[FECHA]]&gt;0,TEXT(Caja_Operativa[[#This Row],[FECHA]],"mmmm"),0)</f>
        <v>Julio</v>
      </c>
    </row>
    <row r="391" spans="2:28" hidden="1" x14ac:dyDescent="0.3">
      <c r="B391" s="2">
        <f>IF(Caja_Operativa[[#This Row],[TIPO DE R.]]="R",COUNTIFS($D$4:$D390,"R")+1,"")</f>
        <v>387</v>
      </c>
      <c r="C391" s="19" t="str">
        <f t="shared" si="33"/>
        <v>C-Operativa</v>
      </c>
      <c r="D391" s="3" t="s">
        <v>1074</v>
      </c>
      <c r="E391" s="14">
        <v>45856</v>
      </c>
      <c r="F391" s="5" t="s">
        <v>3353</v>
      </c>
      <c r="G391" s="5" t="s">
        <v>1079</v>
      </c>
      <c r="H391" s="6" t="s">
        <v>817</v>
      </c>
      <c r="I391" s="6"/>
      <c r="J391" s="6"/>
      <c r="K391" s="6"/>
      <c r="L391" s="7" t="s">
        <v>6302</v>
      </c>
      <c r="M391" s="8">
        <v>1383298</v>
      </c>
      <c r="N391" s="8" t="str">
        <f t="shared" si="34"/>
        <v>PEN</v>
      </c>
      <c r="O391" s="13"/>
      <c r="P391" s="13">
        <v>100</v>
      </c>
      <c r="Q391" s="3">
        <f t="shared" si="35"/>
        <v>0</v>
      </c>
      <c r="R391" s="3">
        <f t="shared" si="36"/>
        <v>100</v>
      </c>
      <c r="S391" s="3">
        <f t="shared" si="37"/>
        <v>2899.8500000000004</v>
      </c>
      <c r="T391" s="24"/>
      <c r="U391" s="24"/>
      <c r="V391" s="69"/>
      <c r="W391" s="25"/>
      <c r="X391" s="25"/>
      <c r="Y391" s="25"/>
      <c r="Z391" s="25"/>
      <c r="AA391" s="25"/>
      <c r="AB391" s="3" t="str">
        <f>IF(Caja_Operativa[[#This Row],[FECHA]]&gt;0,TEXT(Caja_Operativa[[#This Row],[FECHA]],"mmmm"),0)</f>
        <v>Julio</v>
      </c>
    </row>
    <row r="392" spans="2:28" ht="24" hidden="1" x14ac:dyDescent="0.3">
      <c r="B392" s="2">
        <f>IF(Caja_Operativa[[#This Row],[TIPO DE R.]]="R",COUNTIFS($D$4:$D391,"R")+1,"")</f>
        <v>388</v>
      </c>
      <c r="C392" s="19" t="str">
        <f t="shared" si="33"/>
        <v>C-Operativa</v>
      </c>
      <c r="D392" s="3" t="s">
        <v>1074</v>
      </c>
      <c r="E392" s="14">
        <v>45859</v>
      </c>
      <c r="F392" s="5" t="s">
        <v>3353</v>
      </c>
      <c r="G392" s="5" t="s">
        <v>1079</v>
      </c>
      <c r="H392" s="6" t="s">
        <v>770</v>
      </c>
      <c r="I392" s="6"/>
      <c r="J392" s="6"/>
      <c r="K392" s="6"/>
      <c r="L392" s="7" t="s">
        <v>6302</v>
      </c>
      <c r="M392" s="8">
        <v>1181970</v>
      </c>
      <c r="N392" s="8" t="str">
        <f t="shared" si="34"/>
        <v>PEN</v>
      </c>
      <c r="O392" s="13"/>
      <c r="P392" s="13">
        <v>150</v>
      </c>
      <c r="Q392" s="3">
        <f t="shared" si="35"/>
        <v>0</v>
      </c>
      <c r="R392" s="3">
        <f t="shared" si="36"/>
        <v>150</v>
      </c>
      <c r="S392" s="3">
        <f t="shared" si="37"/>
        <v>2749.8500000000004</v>
      </c>
      <c r="T392" s="24"/>
      <c r="U392" s="24"/>
      <c r="V392" s="69"/>
      <c r="W392" s="25"/>
      <c r="X392" s="25"/>
      <c r="Y392" s="25"/>
      <c r="Z392" s="25"/>
      <c r="AA392" s="25"/>
      <c r="AB392" s="3" t="str">
        <f>IF(Caja_Operativa[[#This Row],[FECHA]]&gt;0,TEXT(Caja_Operativa[[#This Row],[FECHA]],"mmmm"),0)</f>
        <v>Julio</v>
      </c>
    </row>
    <row r="393" spans="2:28" ht="24" hidden="1" x14ac:dyDescent="0.3">
      <c r="B393" s="2">
        <f>IF(Caja_Operativa[[#This Row],[TIPO DE R.]]="R",COUNTIFS($D$4:$D392,"R")+1,"")</f>
        <v>389</v>
      </c>
      <c r="C393" s="19" t="str">
        <f t="shared" si="33"/>
        <v>C-Operativa</v>
      </c>
      <c r="D393" s="3" t="s">
        <v>1074</v>
      </c>
      <c r="E393" s="14">
        <v>45859</v>
      </c>
      <c r="F393" s="5" t="s">
        <v>3353</v>
      </c>
      <c r="G393" s="5" t="s">
        <v>1079</v>
      </c>
      <c r="H393" s="6" t="s">
        <v>960</v>
      </c>
      <c r="I393" s="6"/>
      <c r="J393" s="6"/>
      <c r="K393" s="6"/>
      <c r="L393" s="7" t="s">
        <v>6302</v>
      </c>
      <c r="M393" s="8">
        <v>1766741</v>
      </c>
      <c r="N393" s="8" t="str">
        <f t="shared" si="34"/>
        <v>PEN</v>
      </c>
      <c r="O393" s="13"/>
      <c r="P393" s="13">
        <v>300</v>
      </c>
      <c r="Q393" s="3">
        <f t="shared" si="35"/>
        <v>0</v>
      </c>
      <c r="R393" s="3">
        <f t="shared" si="36"/>
        <v>300</v>
      </c>
      <c r="S393" s="3">
        <f t="shared" si="37"/>
        <v>2449.8500000000004</v>
      </c>
      <c r="T393" s="24"/>
      <c r="U393" s="24"/>
      <c r="V393" s="69"/>
      <c r="W393" s="25"/>
      <c r="X393" s="25"/>
      <c r="Y393" s="25"/>
      <c r="Z393" s="25"/>
      <c r="AA393" s="25"/>
      <c r="AB393" s="3" t="str">
        <f>IF(Caja_Operativa[[#This Row],[FECHA]]&gt;0,TEXT(Caja_Operativa[[#This Row],[FECHA]],"mmmm"),0)</f>
        <v>Julio</v>
      </c>
    </row>
    <row r="394" spans="2:28" ht="24" x14ac:dyDescent="0.3">
      <c r="B394" s="2">
        <f>IF(Caja_Operativa[[#This Row],[TIPO DE R.]]="R",COUNTIFS($D$4:$D393,"R")+1,"")</f>
        <v>390</v>
      </c>
      <c r="C394" s="19" t="str">
        <f t="shared" si="33"/>
        <v>C-Operativa</v>
      </c>
      <c r="D394" s="3" t="s">
        <v>1074</v>
      </c>
      <c r="E394" s="14">
        <v>45859</v>
      </c>
      <c r="F394" s="5" t="s">
        <v>3353</v>
      </c>
      <c r="G394" s="5" t="s">
        <v>1079</v>
      </c>
      <c r="H394" s="6" t="s">
        <v>753</v>
      </c>
      <c r="I394" s="6"/>
      <c r="J394" s="6"/>
      <c r="K394" s="6"/>
      <c r="L394" s="7" t="s">
        <v>6302</v>
      </c>
      <c r="M394" s="8">
        <v>3619103</v>
      </c>
      <c r="N394" s="8" t="str">
        <f t="shared" si="34"/>
        <v>PEN</v>
      </c>
      <c r="O394" s="13"/>
      <c r="P394" s="13">
        <v>300</v>
      </c>
      <c r="Q394" s="3">
        <f t="shared" si="35"/>
        <v>0</v>
      </c>
      <c r="R394" s="3">
        <f t="shared" si="36"/>
        <v>300</v>
      </c>
      <c r="S394" s="3">
        <f t="shared" si="37"/>
        <v>2149.8500000000004</v>
      </c>
      <c r="T394" s="24"/>
      <c r="U394" s="24"/>
      <c r="V394" s="69"/>
      <c r="W394" s="25"/>
      <c r="X394" s="25"/>
      <c r="Y394" s="25"/>
      <c r="Z394" s="25"/>
      <c r="AA394" s="25"/>
      <c r="AB394" s="3" t="str">
        <f>IF(Caja_Operativa[[#This Row],[FECHA]]&gt;0,TEXT(Caja_Operativa[[#This Row],[FECHA]],"mmmm"),0)</f>
        <v>Julio</v>
      </c>
    </row>
    <row r="395" spans="2:28" ht="24" hidden="1" x14ac:dyDescent="0.3">
      <c r="B395" s="2">
        <f>IF(Caja_Operativa[[#This Row],[TIPO DE R.]]="R",COUNTIFS($D$4:$D394,"R")+1,"")</f>
        <v>391</v>
      </c>
      <c r="C395" s="19" t="str">
        <f t="shared" ref="C395:C404" si="38">"C-Operativa"</f>
        <v>C-Operativa</v>
      </c>
      <c r="D395" s="3" t="s">
        <v>1074</v>
      </c>
      <c r="E395" s="14">
        <v>45860</v>
      </c>
      <c r="F395" s="5" t="s">
        <v>3353</v>
      </c>
      <c r="G395" s="5" t="s">
        <v>1079</v>
      </c>
      <c r="H395" s="6" t="s">
        <v>898</v>
      </c>
      <c r="I395" s="6"/>
      <c r="J395" s="6"/>
      <c r="K395" s="6"/>
      <c r="L395" s="7" t="s">
        <v>6302</v>
      </c>
      <c r="M395" s="8">
        <v>3624698</v>
      </c>
      <c r="N395" s="8" t="str">
        <f t="shared" ref="N395:N404" si="39">"PEN"</f>
        <v>PEN</v>
      </c>
      <c r="O395" s="13"/>
      <c r="P395" s="13">
        <v>800</v>
      </c>
      <c r="Q395" s="3">
        <f t="shared" ref="Q395:Q404" si="40">+IF(OR($G395="SALDO",$G395="INGRESO"),$P395,0)</f>
        <v>0</v>
      </c>
      <c r="R395" s="3">
        <f t="shared" ref="R395:R404" si="41">+IF($G395="EGRESO",$P395,0)</f>
        <v>800</v>
      </c>
      <c r="S395" s="3">
        <f t="shared" si="37"/>
        <v>1349.8500000000004</v>
      </c>
      <c r="T395" s="24"/>
      <c r="U395" s="24"/>
      <c r="V395" s="69"/>
      <c r="W395" s="25"/>
      <c r="X395" s="25"/>
      <c r="Y395" s="25"/>
      <c r="Z395" s="25"/>
      <c r="AA395" s="25"/>
      <c r="AB395" s="3" t="str">
        <f>IF(Caja_Operativa[[#This Row],[FECHA]]&gt;0,TEXT(Caja_Operativa[[#This Row],[FECHA]],"mmmm"),0)</f>
        <v>Julio</v>
      </c>
    </row>
    <row r="396" spans="2:28" hidden="1" x14ac:dyDescent="0.3">
      <c r="B396" s="2">
        <f>IF(Caja_Operativa[[#This Row],[TIPO DE R.]]="R",COUNTIFS($D$4:$D395,"R")+1,"")</f>
        <v>392</v>
      </c>
      <c r="C396" s="19" t="str">
        <f t="shared" si="38"/>
        <v>C-Operativa</v>
      </c>
      <c r="D396" s="3" t="s">
        <v>1074</v>
      </c>
      <c r="E396" s="14">
        <v>45863</v>
      </c>
      <c r="F396" s="5" t="s">
        <v>3353</v>
      </c>
      <c r="G396" s="5" t="s">
        <v>1079</v>
      </c>
      <c r="H396" s="6" t="s">
        <v>817</v>
      </c>
      <c r="I396" s="6"/>
      <c r="J396" s="6"/>
      <c r="K396" s="6"/>
      <c r="L396" s="7" t="s">
        <v>6302</v>
      </c>
      <c r="M396" s="8">
        <v>1334027</v>
      </c>
      <c r="N396" s="8" t="str">
        <f t="shared" si="39"/>
        <v>PEN</v>
      </c>
      <c r="O396" s="13"/>
      <c r="P396" s="13">
        <v>150</v>
      </c>
      <c r="Q396" s="3">
        <f t="shared" si="40"/>
        <v>0</v>
      </c>
      <c r="R396" s="3">
        <f t="shared" si="41"/>
        <v>150</v>
      </c>
      <c r="S396" s="3">
        <f t="shared" si="37"/>
        <v>1199.8500000000004</v>
      </c>
      <c r="T396" s="24"/>
      <c r="U396" s="24"/>
      <c r="V396" s="69"/>
      <c r="W396" s="25"/>
      <c r="X396" s="25"/>
      <c r="Y396" s="25"/>
      <c r="Z396" s="25"/>
      <c r="AA396" s="25"/>
      <c r="AB396" s="3" t="str">
        <f>IF(Caja_Operativa[[#This Row],[FECHA]]&gt;0,TEXT(Caja_Operativa[[#This Row],[FECHA]],"mmmm"),0)</f>
        <v>Julio</v>
      </c>
    </row>
    <row r="397" spans="2:28" ht="24" hidden="1" x14ac:dyDescent="0.3">
      <c r="B397" s="2">
        <f>IF(Caja_Operativa[[#This Row],[TIPO DE R.]]="R",COUNTIFS($D$4:$D396,"R")+1,"")</f>
        <v>393</v>
      </c>
      <c r="C397" s="19" t="str">
        <f t="shared" si="38"/>
        <v>C-Operativa</v>
      </c>
      <c r="D397" s="3" t="s">
        <v>1074</v>
      </c>
      <c r="E397" s="14">
        <v>45863</v>
      </c>
      <c r="F397" s="5" t="s">
        <v>3353</v>
      </c>
      <c r="G397" s="5" t="s">
        <v>1079</v>
      </c>
      <c r="H397" s="6" t="s">
        <v>798</v>
      </c>
      <c r="I397" s="6"/>
      <c r="J397" s="6"/>
      <c r="K397" s="6"/>
      <c r="L397" s="7" t="s">
        <v>6302</v>
      </c>
      <c r="M397" s="8">
        <v>3085284</v>
      </c>
      <c r="N397" s="8" t="str">
        <f t="shared" si="39"/>
        <v>PEN</v>
      </c>
      <c r="O397" s="13"/>
      <c r="P397" s="13">
        <v>200</v>
      </c>
      <c r="Q397" s="3">
        <f t="shared" si="40"/>
        <v>0</v>
      </c>
      <c r="R397" s="3">
        <f t="shared" si="41"/>
        <v>200</v>
      </c>
      <c r="S397" s="3">
        <f t="shared" si="37"/>
        <v>999.85000000000036</v>
      </c>
      <c r="T397" s="24"/>
      <c r="U397" s="24"/>
      <c r="V397" s="69"/>
      <c r="W397" s="25"/>
      <c r="X397" s="25"/>
      <c r="Y397" s="25"/>
      <c r="Z397" s="25"/>
      <c r="AA397" s="25"/>
      <c r="AB397" s="3" t="str">
        <f>IF(Caja_Operativa[[#This Row],[FECHA]]&gt;0,TEXT(Caja_Operativa[[#This Row],[FECHA]],"mmmm"),0)</f>
        <v>Julio</v>
      </c>
    </row>
    <row r="398" spans="2:28" ht="24" hidden="1" x14ac:dyDescent="0.3">
      <c r="B398" s="2">
        <f>IF(Caja_Operativa[[#This Row],[TIPO DE R.]]="R",COUNTIFS($D$4:$D397,"R")+1,"")</f>
        <v>394</v>
      </c>
      <c r="C398" s="19" t="str">
        <f t="shared" si="38"/>
        <v>C-Operativa</v>
      </c>
      <c r="D398" s="3" t="s">
        <v>1074</v>
      </c>
      <c r="E398" s="14">
        <v>45863</v>
      </c>
      <c r="F398" s="5" t="s">
        <v>3353</v>
      </c>
      <c r="G398" s="5" t="s">
        <v>1079</v>
      </c>
      <c r="H398" s="6" t="s">
        <v>960</v>
      </c>
      <c r="I398" s="6"/>
      <c r="J398" s="6"/>
      <c r="K398" s="6"/>
      <c r="L398" s="7" t="s">
        <v>6302</v>
      </c>
      <c r="M398" s="8">
        <v>3510582</v>
      </c>
      <c r="N398" s="8" t="str">
        <f t="shared" si="39"/>
        <v>PEN</v>
      </c>
      <c r="O398" s="13"/>
      <c r="P398" s="13">
        <v>200</v>
      </c>
      <c r="Q398" s="3">
        <f t="shared" si="40"/>
        <v>0</v>
      </c>
      <c r="R398" s="3">
        <f t="shared" si="41"/>
        <v>200</v>
      </c>
      <c r="S398" s="3">
        <f t="shared" si="37"/>
        <v>799.85000000000036</v>
      </c>
      <c r="T398" s="24"/>
      <c r="U398" s="24"/>
      <c r="V398" s="69"/>
      <c r="W398" s="25"/>
      <c r="X398" s="25"/>
      <c r="Y398" s="25"/>
      <c r="Z398" s="25"/>
      <c r="AA398" s="25"/>
      <c r="AB398" s="3" t="str">
        <f>IF(Caja_Operativa[[#This Row],[FECHA]]&gt;0,TEXT(Caja_Operativa[[#This Row],[FECHA]],"mmmm"),0)</f>
        <v>Julio</v>
      </c>
    </row>
    <row r="399" spans="2:28" ht="24" hidden="1" x14ac:dyDescent="0.3">
      <c r="B399" s="2">
        <f>IF(Caja_Operativa[[#This Row],[TIPO DE R.]]="R",COUNTIFS($D$4:$D398,"R")+1,"")</f>
        <v>395</v>
      </c>
      <c r="C399" s="19" t="str">
        <f t="shared" si="38"/>
        <v>C-Operativa</v>
      </c>
      <c r="D399" s="3" t="s">
        <v>1074</v>
      </c>
      <c r="E399" s="14">
        <v>45868</v>
      </c>
      <c r="F399" s="5" t="s">
        <v>3353</v>
      </c>
      <c r="G399" s="5" t="s">
        <v>1079</v>
      </c>
      <c r="H399" s="6" t="s">
        <v>898</v>
      </c>
      <c r="I399" s="6"/>
      <c r="J399" s="6"/>
      <c r="K399" s="6"/>
      <c r="L399" s="7" t="s">
        <v>6302</v>
      </c>
      <c r="M399" s="8">
        <v>4182045</v>
      </c>
      <c r="N399" s="8" t="str">
        <f t="shared" si="39"/>
        <v>PEN</v>
      </c>
      <c r="O399" s="13"/>
      <c r="P399" s="13">
        <v>200</v>
      </c>
      <c r="Q399" s="3">
        <f t="shared" si="40"/>
        <v>0</v>
      </c>
      <c r="R399" s="3">
        <f t="shared" si="41"/>
        <v>200</v>
      </c>
      <c r="S399" s="3">
        <f t="shared" si="37"/>
        <v>599.85000000000036</v>
      </c>
      <c r="T399" s="24"/>
      <c r="U399" s="24"/>
      <c r="V399" s="69"/>
      <c r="W399" s="25"/>
      <c r="X399" s="25"/>
      <c r="Y399" s="25"/>
      <c r="Z399" s="25"/>
      <c r="AA399" s="25"/>
      <c r="AB399" s="3" t="str">
        <f>IF(Caja_Operativa[[#This Row],[FECHA]]&gt;0,TEXT(Caja_Operativa[[#This Row],[FECHA]],"mmmm"),0)</f>
        <v>Julio</v>
      </c>
    </row>
    <row r="400" spans="2:28" ht="24" hidden="1" x14ac:dyDescent="0.3">
      <c r="B400" s="2">
        <f>IF(Caja_Operativa[[#This Row],[TIPO DE R.]]="R",COUNTIFS($D$4:$D399,"R")+1,"")</f>
        <v>396</v>
      </c>
      <c r="C400" s="19" t="str">
        <f t="shared" si="38"/>
        <v>C-Operativa</v>
      </c>
      <c r="D400" s="3" t="s">
        <v>1074</v>
      </c>
      <c r="E400" s="14">
        <v>45873</v>
      </c>
      <c r="F400" s="5" t="s">
        <v>3353</v>
      </c>
      <c r="G400" s="5" t="s">
        <v>1079</v>
      </c>
      <c r="H400" s="6" t="s">
        <v>829</v>
      </c>
      <c r="I400" s="6"/>
      <c r="J400" s="6"/>
      <c r="K400" s="6"/>
      <c r="L400" s="7" t="s">
        <v>6302</v>
      </c>
      <c r="M400" s="8">
        <v>3353014</v>
      </c>
      <c r="N400" s="8" t="str">
        <f t="shared" si="39"/>
        <v>PEN</v>
      </c>
      <c r="O400" s="13"/>
      <c r="P400" s="13">
        <v>140</v>
      </c>
      <c r="Q400" s="3">
        <f t="shared" si="40"/>
        <v>0</v>
      </c>
      <c r="R400" s="3">
        <f t="shared" si="41"/>
        <v>140</v>
      </c>
      <c r="S400" s="3">
        <f t="shared" si="37"/>
        <v>459.85000000000036</v>
      </c>
      <c r="T400" s="24"/>
      <c r="U400" s="24"/>
      <c r="V400" s="69"/>
      <c r="W400" s="25"/>
      <c r="X400" s="25"/>
      <c r="Y400" s="25"/>
      <c r="Z400" s="25"/>
      <c r="AA400" s="25"/>
      <c r="AB400" s="3" t="str">
        <f>IF(Caja_Operativa[[#This Row],[FECHA]]&gt;0,TEXT(Caja_Operativa[[#This Row],[FECHA]],"mmmm"),0)</f>
        <v>Agosto</v>
      </c>
    </row>
    <row r="401" spans="2:28" ht="24" hidden="1" x14ac:dyDescent="0.3">
      <c r="B401" s="2">
        <f>IF(Caja_Operativa[[#This Row],[TIPO DE R.]]="R",COUNTIFS($D$4:$D400,"R")+1,"")</f>
        <v>397</v>
      </c>
      <c r="C401" s="19" t="str">
        <f t="shared" si="38"/>
        <v>C-Operativa</v>
      </c>
      <c r="D401" s="3" t="s">
        <v>1074</v>
      </c>
      <c r="E401" s="14">
        <v>45873</v>
      </c>
      <c r="F401" s="5" t="s">
        <v>3353</v>
      </c>
      <c r="G401" s="5" t="s">
        <v>1079</v>
      </c>
      <c r="H401" s="6" t="s">
        <v>798</v>
      </c>
      <c r="I401" s="6"/>
      <c r="J401" s="6"/>
      <c r="K401" s="6"/>
      <c r="L401" s="7" t="s">
        <v>6533</v>
      </c>
      <c r="M401" s="8">
        <v>2227770</v>
      </c>
      <c r="N401" s="8" t="str">
        <f t="shared" si="39"/>
        <v>PEN</v>
      </c>
      <c r="O401" s="13"/>
      <c r="P401" s="13">
        <v>452</v>
      </c>
      <c r="Q401" s="3">
        <f t="shared" si="40"/>
        <v>0</v>
      </c>
      <c r="R401" s="3">
        <f t="shared" si="41"/>
        <v>452</v>
      </c>
      <c r="S401" s="3">
        <f t="shared" si="37"/>
        <v>7.8500000000003638</v>
      </c>
      <c r="T401" s="24"/>
      <c r="U401" s="24"/>
      <c r="V401" s="69"/>
      <c r="W401" s="25"/>
      <c r="X401" s="25"/>
      <c r="Y401" s="25"/>
      <c r="Z401" s="25"/>
      <c r="AA401" s="25"/>
      <c r="AB401" s="3" t="str">
        <f>IF(Caja_Operativa[[#This Row],[FECHA]]&gt;0,TEXT(Caja_Operativa[[#This Row],[FECHA]],"mmmm"),0)</f>
        <v>Agosto</v>
      </c>
    </row>
    <row r="402" spans="2:28" hidden="1" x14ac:dyDescent="0.3">
      <c r="B402" s="2">
        <f>IF(Caja_Operativa[[#This Row],[TIPO DE R.]]="R",COUNTIFS($D$4:$D401,"R")+1,"")</f>
        <v>398</v>
      </c>
      <c r="C402" s="19" t="str">
        <f t="shared" si="38"/>
        <v>C-Operativa</v>
      </c>
      <c r="D402" s="3" t="s">
        <v>1074</v>
      </c>
      <c r="E402" s="14">
        <v>45874</v>
      </c>
      <c r="F402" s="5" t="s">
        <v>3353</v>
      </c>
      <c r="G402" s="5" t="s">
        <v>1079</v>
      </c>
      <c r="H402" s="6" t="s">
        <v>817</v>
      </c>
      <c r="I402" s="6"/>
      <c r="J402" s="6"/>
      <c r="K402" s="6"/>
      <c r="L402" s="7" t="s">
        <v>6302</v>
      </c>
      <c r="M402" s="8">
        <v>3645100</v>
      </c>
      <c r="N402" s="8" t="str">
        <f t="shared" si="39"/>
        <v>PEN</v>
      </c>
      <c r="O402" s="13"/>
      <c r="P402" s="13">
        <v>150</v>
      </c>
      <c r="Q402" s="3">
        <f t="shared" si="40"/>
        <v>0</v>
      </c>
      <c r="R402" s="3">
        <f t="shared" si="41"/>
        <v>150</v>
      </c>
      <c r="S402" s="3">
        <f t="shared" si="37"/>
        <v>-142.14999999999964</v>
      </c>
      <c r="T402" s="24"/>
      <c r="U402" s="24"/>
      <c r="V402" s="69"/>
      <c r="W402" s="25"/>
      <c r="X402" s="25"/>
      <c r="Y402" s="25"/>
      <c r="Z402" s="25"/>
      <c r="AA402" s="25"/>
      <c r="AB402" s="3" t="str">
        <f>IF(Caja_Operativa[[#This Row],[FECHA]]&gt;0,TEXT(Caja_Operativa[[#This Row],[FECHA]],"mmmm"),0)</f>
        <v>Agosto</v>
      </c>
    </row>
    <row r="403" spans="2:28" hidden="1" x14ac:dyDescent="0.3">
      <c r="B403" s="2">
        <f>IF(Caja_Operativa[[#This Row],[TIPO DE R.]]="R",COUNTIFS($D$4:$D402,"R")+1,"")</f>
        <v>399</v>
      </c>
      <c r="C403" s="19" t="str">
        <f t="shared" si="38"/>
        <v>C-Operativa</v>
      </c>
      <c r="D403" s="3" t="s">
        <v>1074</v>
      </c>
      <c r="E403" s="14">
        <v>45874</v>
      </c>
      <c r="F403" s="5" t="s">
        <v>3353</v>
      </c>
      <c r="G403" s="5" t="s">
        <v>1087</v>
      </c>
      <c r="H403" s="6"/>
      <c r="I403" s="6"/>
      <c r="J403" s="6" t="s">
        <v>6329</v>
      </c>
      <c r="K403" s="6">
        <v>15</v>
      </c>
      <c r="L403" s="7" t="s">
        <v>6330</v>
      </c>
      <c r="M403" s="8">
        <v>3631894</v>
      </c>
      <c r="N403" s="8" t="str">
        <f t="shared" si="39"/>
        <v>PEN</v>
      </c>
      <c r="O403" s="13"/>
      <c r="P403" s="13">
        <v>900</v>
      </c>
      <c r="Q403" s="3">
        <f t="shared" si="40"/>
        <v>900</v>
      </c>
      <c r="R403" s="3">
        <f t="shared" si="41"/>
        <v>0</v>
      </c>
      <c r="S403" s="3">
        <f t="shared" si="37"/>
        <v>757.85000000000036</v>
      </c>
      <c r="T403" s="24"/>
      <c r="U403" s="24"/>
      <c r="V403" s="69"/>
      <c r="W403" s="25"/>
      <c r="X403" s="25"/>
      <c r="Y403" s="25"/>
      <c r="Z403" s="25"/>
      <c r="AA403" s="25"/>
      <c r="AB403" s="3" t="str">
        <f>IF(Caja_Operativa[[#This Row],[FECHA]]&gt;0,TEXT(Caja_Operativa[[#This Row],[FECHA]],"mmmm"),0)</f>
        <v>Agosto</v>
      </c>
    </row>
    <row r="404" spans="2:28" hidden="1" x14ac:dyDescent="0.3">
      <c r="B404" s="2">
        <f>IF(Caja_Operativa[[#This Row],[TIPO DE R.]]="R",COUNTIFS($D$4:$D403,"R")+1,"")</f>
        <v>400</v>
      </c>
      <c r="C404" s="19" t="str">
        <f t="shared" si="38"/>
        <v>C-Operativa</v>
      </c>
      <c r="D404" s="3" t="s">
        <v>1074</v>
      </c>
      <c r="E404" s="14">
        <v>45875</v>
      </c>
      <c r="F404" s="5" t="s">
        <v>3353</v>
      </c>
      <c r="G404" s="5" t="s">
        <v>1087</v>
      </c>
      <c r="H404" s="6"/>
      <c r="I404" s="6"/>
      <c r="J404" s="6"/>
      <c r="K404" s="6"/>
      <c r="L404" s="7" t="s">
        <v>6534</v>
      </c>
      <c r="M404" s="8">
        <v>1990639</v>
      </c>
      <c r="N404" s="8" t="str">
        <f t="shared" si="39"/>
        <v>PEN</v>
      </c>
      <c r="O404" s="13"/>
      <c r="P404" s="13">
        <v>73.7</v>
      </c>
      <c r="Q404" s="3">
        <f t="shared" si="40"/>
        <v>73.7</v>
      </c>
      <c r="R404" s="3">
        <f t="shared" si="41"/>
        <v>0</v>
      </c>
      <c r="S404" s="3">
        <f t="shared" si="37"/>
        <v>831.55000000000041</v>
      </c>
      <c r="T404" s="24"/>
      <c r="U404" s="24"/>
      <c r="V404" s="69"/>
      <c r="W404" s="25"/>
      <c r="X404" s="25"/>
      <c r="Y404" s="25"/>
      <c r="Z404" s="25"/>
      <c r="AA404" s="25"/>
      <c r="AB404" s="3" t="str">
        <f>IF(Caja_Operativa[[#This Row],[FECHA]]&gt;0,TEXT(Caja_Operativa[[#This Row],[FECHA]],"mmmm"),0)</f>
        <v>Agosto</v>
      </c>
    </row>
    <row r="405" spans="2:28" hidden="1" x14ac:dyDescent="0.3">
      <c r="B405" s="2">
        <f>IF(Caja_Operativa[[#This Row],[TIPO DE R.]]="R",COUNTIFS($D$4:$D404,"R")+1,"")</f>
        <v>401</v>
      </c>
      <c r="C405" s="19" t="str">
        <f t="shared" ref="C405:C413" si="42">"C-Operativa"</f>
        <v>C-Operativa</v>
      </c>
      <c r="D405" s="3" t="s">
        <v>1074</v>
      </c>
      <c r="E405" s="14">
        <v>45876</v>
      </c>
      <c r="F405" s="5" t="s">
        <v>3353</v>
      </c>
      <c r="G405" s="5" t="s">
        <v>1087</v>
      </c>
      <c r="H405" s="6"/>
      <c r="I405" s="6"/>
      <c r="J405" s="6"/>
      <c r="K405" s="6"/>
      <c r="L405" s="7" t="s">
        <v>6535</v>
      </c>
      <c r="M405" s="8">
        <v>1091695</v>
      </c>
      <c r="N405" s="8" t="str">
        <f t="shared" ref="N405:N413" si="43">"PEN"</f>
        <v>PEN</v>
      </c>
      <c r="O405" s="13"/>
      <c r="P405" s="13">
        <v>131.5</v>
      </c>
      <c r="Q405" s="3">
        <f t="shared" ref="Q405:Q413" si="44">+IF(OR($G405="SALDO",$G405="INGRESO"),$P405,0)</f>
        <v>131.5</v>
      </c>
      <c r="R405" s="3">
        <f t="shared" ref="R405:R413" si="45">+IF($G405="EGRESO",$P405,0)</f>
        <v>0</v>
      </c>
      <c r="S405" s="3">
        <f t="shared" ref="S405:S413" si="46">IFERROR(IF(G405="SALDO",Q405,S404+Q405-R405),0)</f>
        <v>963.05000000000041</v>
      </c>
      <c r="T405" s="24"/>
      <c r="U405" s="24"/>
      <c r="V405" s="69"/>
      <c r="W405" s="25"/>
      <c r="X405" s="25"/>
      <c r="Y405" s="25"/>
      <c r="Z405" s="25"/>
      <c r="AA405" s="25"/>
      <c r="AB405" s="3" t="str">
        <f>IF(Caja_Operativa[[#This Row],[FECHA]]&gt;0,TEXT(Caja_Operativa[[#This Row],[FECHA]],"mmmm"),0)</f>
        <v>Agosto</v>
      </c>
    </row>
    <row r="406" spans="2:28" hidden="1" x14ac:dyDescent="0.3">
      <c r="B406" s="2">
        <f>IF(Caja_Operativa[[#This Row],[TIPO DE R.]]="R",COUNTIFS($D$4:$D405,"R")+1,"")</f>
        <v>402</v>
      </c>
      <c r="C406" s="19" t="str">
        <f t="shared" si="42"/>
        <v>C-Operativa</v>
      </c>
      <c r="D406" s="3" t="s">
        <v>1074</v>
      </c>
      <c r="E406" s="14">
        <v>45877</v>
      </c>
      <c r="F406" s="5" t="s">
        <v>3353</v>
      </c>
      <c r="G406" s="5" t="s">
        <v>1079</v>
      </c>
      <c r="H406" s="6" t="s">
        <v>739</v>
      </c>
      <c r="I406" s="6"/>
      <c r="J406" s="6"/>
      <c r="K406" s="6"/>
      <c r="L406" s="7" t="s">
        <v>6302</v>
      </c>
      <c r="M406" s="8">
        <v>464866</v>
      </c>
      <c r="N406" s="8" t="str">
        <f t="shared" si="43"/>
        <v>PEN</v>
      </c>
      <c r="O406" s="13"/>
      <c r="P406" s="13">
        <v>150</v>
      </c>
      <c r="Q406" s="3">
        <f t="shared" si="44"/>
        <v>0</v>
      </c>
      <c r="R406" s="3">
        <f t="shared" si="45"/>
        <v>150</v>
      </c>
      <c r="S406" s="3">
        <f t="shared" si="46"/>
        <v>813.05000000000041</v>
      </c>
      <c r="T406" s="24"/>
      <c r="U406" s="24"/>
      <c r="V406" s="69"/>
      <c r="W406" s="25"/>
      <c r="X406" s="25"/>
      <c r="Y406" s="25"/>
      <c r="Z406" s="25"/>
      <c r="AA406" s="25"/>
      <c r="AB406" s="3" t="str">
        <f>IF(Caja_Operativa[[#This Row],[FECHA]]&gt;0,TEXT(Caja_Operativa[[#This Row],[FECHA]],"mmmm"),0)</f>
        <v>Agosto</v>
      </c>
    </row>
    <row r="407" spans="2:28" hidden="1" x14ac:dyDescent="0.3">
      <c r="B407" s="2">
        <f>IF(Caja_Operativa[[#This Row],[TIPO DE R.]]="R",COUNTIFS($D$4:$D406,"R")+1,"")</f>
        <v>403</v>
      </c>
      <c r="C407" s="19" t="str">
        <f t="shared" si="42"/>
        <v>C-Operativa</v>
      </c>
      <c r="D407" s="3" t="s">
        <v>1074</v>
      </c>
      <c r="E407" s="14">
        <v>45880</v>
      </c>
      <c r="F407" s="5" t="s">
        <v>3353</v>
      </c>
      <c r="G407" s="5" t="s">
        <v>1087</v>
      </c>
      <c r="H407" s="6"/>
      <c r="I407" s="6"/>
      <c r="J407" s="6"/>
      <c r="K407" s="6"/>
      <c r="L407" s="7" t="s">
        <v>6536</v>
      </c>
      <c r="M407" s="8">
        <v>3335174</v>
      </c>
      <c r="N407" s="8" t="str">
        <f t="shared" si="43"/>
        <v>PEN</v>
      </c>
      <c r="O407" s="13"/>
      <c r="P407" s="13">
        <v>129</v>
      </c>
      <c r="Q407" s="3">
        <f t="shared" si="44"/>
        <v>129</v>
      </c>
      <c r="R407" s="3">
        <f t="shared" si="45"/>
        <v>0</v>
      </c>
      <c r="S407" s="3">
        <f t="shared" si="46"/>
        <v>942.05000000000041</v>
      </c>
      <c r="T407" s="24"/>
      <c r="U407" s="24"/>
      <c r="V407" s="69"/>
      <c r="W407" s="25"/>
      <c r="X407" s="25"/>
      <c r="Y407" s="25"/>
      <c r="Z407" s="25"/>
      <c r="AA407" s="25"/>
      <c r="AB407" s="3" t="str">
        <f>IF(Caja_Operativa[[#This Row],[FECHA]]&gt;0,TEXT(Caja_Operativa[[#This Row],[FECHA]],"mmmm"),0)</f>
        <v>Agosto</v>
      </c>
    </row>
    <row r="408" spans="2:28" ht="24" hidden="1" x14ac:dyDescent="0.3">
      <c r="B408" s="2">
        <f>IF(Caja_Operativa[[#This Row],[TIPO DE R.]]="R",COUNTIFS($D$4:$D407,"R")+1,"")</f>
        <v>404</v>
      </c>
      <c r="C408" s="19" t="str">
        <f t="shared" si="42"/>
        <v>C-Operativa</v>
      </c>
      <c r="D408" s="3" t="s">
        <v>1074</v>
      </c>
      <c r="E408" s="14">
        <v>45880</v>
      </c>
      <c r="F408" s="5" t="s">
        <v>3353</v>
      </c>
      <c r="G408" s="5" t="s">
        <v>1079</v>
      </c>
      <c r="H408" s="6" t="s">
        <v>798</v>
      </c>
      <c r="I408" s="6"/>
      <c r="J408" s="6"/>
      <c r="K408" s="6"/>
      <c r="L408" s="7" t="s">
        <v>6302</v>
      </c>
      <c r="M408" s="8">
        <v>3530594</v>
      </c>
      <c r="N408" s="8" t="str">
        <f t="shared" si="43"/>
        <v>PEN</v>
      </c>
      <c r="O408" s="13"/>
      <c r="P408" s="13">
        <v>110</v>
      </c>
      <c r="Q408" s="3">
        <f t="shared" si="44"/>
        <v>0</v>
      </c>
      <c r="R408" s="3">
        <f t="shared" si="45"/>
        <v>110</v>
      </c>
      <c r="S408" s="3">
        <f t="shared" si="46"/>
        <v>832.05000000000041</v>
      </c>
      <c r="T408" s="24"/>
      <c r="U408" s="24"/>
      <c r="V408" s="69"/>
      <c r="W408" s="25"/>
      <c r="X408" s="25"/>
      <c r="Y408" s="25"/>
      <c r="Z408" s="25"/>
      <c r="AA408" s="25"/>
      <c r="AB408" s="3" t="str">
        <f>IF(Caja_Operativa[[#This Row],[FECHA]]&gt;0,TEXT(Caja_Operativa[[#This Row],[FECHA]],"mmmm"),0)</f>
        <v>Agosto</v>
      </c>
    </row>
    <row r="409" spans="2:28" ht="24" hidden="1" x14ac:dyDescent="0.3">
      <c r="B409" s="2">
        <f>IF(Caja_Operativa[[#This Row],[TIPO DE R.]]="R",COUNTIFS($D$4:$D408,"R")+1,"")</f>
        <v>405</v>
      </c>
      <c r="C409" s="19" t="str">
        <f t="shared" si="42"/>
        <v>C-Operativa</v>
      </c>
      <c r="D409" s="3" t="s">
        <v>1074</v>
      </c>
      <c r="E409" s="14">
        <v>45880</v>
      </c>
      <c r="F409" s="5" t="s">
        <v>3353</v>
      </c>
      <c r="G409" s="5" t="s">
        <v>1079</v>
      </c>
      <c r="H409" s="6" t="s">
        <v>863</v>
      </c>
      <c r="I409" s="6"/>
      <c r="J409" s="6"/>
      <c r="K409" s="6"/>
      <c r="L409" s="7" t="s">
        <v>6302</v>
      </c>
      <c r="M409" s="8">
        <v>3316921</v>
      </c>
      <c r="N409" s="8" t="str">
        <f t="shared" si="43"/>
        <v>PEN</v>
      </c>
      <c r="O409" s="13"/>
      <c r="P409" s="13">
        <v>200</v>
      </c>
      <c r="Q409" s="3">
        <f t="shared" si="44"/>
        <v>0</v>
      </c>
      <c r="R409" s="3">
        <f t="shared" si="45"/>
        <v>200</v>
      </c>
      <c r="S409" s="3">
        <f t="shared" si="46"/>
        <v>632.05000000000041</v>
      </c>
      <c r="T409" s="24"/>
      <c r="U409" s="24"/>
      <c r="V409" s="69"/>
      <c r="W409" s="25"/>
      <c r="X409" s="25"/>
      <c r="Y409" s="25"/>
      <c r="Z409" s="25"/>
      <c r="AA409" s="25"/>
      <c r="AB409" s="3" t="str">
        <f>IF(Caja_Operativa[[#This Row],[FECHA]]&gt;0,TEXT(Caja_Operativa[[#This Row],[FECHA]],"mmmm"),0)</f>
        <v>Agosto</v>
      </c>
    </row>
    <row r="410" spans="2:28" ht="24" hidden="1" x14ac:dyDescent="0.3">
      <c r="B410" s="2">
        <f>IF(Caja_Operativa[[#This Row],[TIPO DE R.]]="R",COUNTIFS($D$4:$D409,"R")+1,"")</f>
        <v>406</v>
      </c>
      <c r="C410" s="19" t="str">
        <f t="shared" si="42"/>
        <v>C-Operativa</v>
      </c>
      <c r="D410" s="3" t="s">
        <v>1074</v>
      </c>
      <c r="E410" s="14">
        <v>45880</v>
      </c>
      <c r="F410" s="5" t="s">
        <v>3353</v>
      </c>
      <c r="G410" s="5" t="s">
        <v>1079</v>
      </c>
      <c r="H410" s="6" t="s">
        <v>829</v>
      </c>
      <c r="I410" s="6"/>
      <c r="J410" s="6"/>
      <c r="K410" s="6"/>
      <c r="L410" s="7" t="s">
        <v>6302</v>
      </c>
      <c r="M410" s="8">
        <v>2063927</v>
      </c>
      <c r="N410" s="8" t="str">
        <f t="shared" si="43"/>
        <v>PEN</v>
      </c>
      <c r="O410" s="13"/>
      <c r="P410" s="13">
        <v>100</v>
      </c>
      <c r="Q410" s="3">
        <f t="shared" si="44"/>
        <v>0</v>
      </c>
      <c r="R410" s="3">
        <f t="shared" si="45"/>
        <v>100</v>
      </c>
      <c r="S410" s="3">
        <f t="shared" si="46"/>
        <v>532.05000000000041</v>
      </c>
      <c r="T410" s="24"/>
      <c r="U410" s="24"/>
      <c r="V410" s="69"/>
      <c r="W410" s="25"/>
      <c r="X410" s="25"/>
      <c r="Y410" s="25"/>
      <c r="Z410" s="25"/>
      <c r="AA410" s="25"/>
      <c r="AB410" s="3" t="str">
        <f>IF(Caja_Operativa[[#This Row],[FECHA]]&gt;0,TEXT(Caja_Operativa[[#This Row],[FECHA]],"mmmm"),0)</f>
        <v>Agosto</v>
      </c>
    </row>
    <row r="411" spans="2:28" ht="24" x14ac:dyDescent="0.3">
      <c r="B411" s="2">
        <f>IF(Caja_Operativa[[#This Row],[TIPO DE R.]]="R",COUNTIFS($D$4:$D410,"R")+1,"")</f>
        <v>407</v>
      </c>
      <c r="C411" s="19" t="str">
        <f t="shared" si="42"/>
        <v>C-Operativa</v>
      </c>
      <c r="D411" s="3" t="s">
        <v>1074</v>
      </c>
      <c r="E411" s="14">
        <v>45880</v>
      </c>
      <c r="F411" s="5" t="s">
        <v>3353</v>
      </c>
      <c r="G411" s="5" t="s">
        <v>1079</v>
      </c>
      <c r="H411" s="6" t="s">
        <v>753</v>
      </c>
      <c r="I411" s="6"/>
      <c r="J411" s="6"/>
      <c r="K411" s="6"/>
      <c r="L411" s="7" t="s">
        <v>6302</v>
      </c>
      <c r="M411" s="8">
        <v>1746831</v>
      </c>
      <c r="N411" s="8" t="str">
        <f t="shared" si="43"/>
        <v>PEN</v>
      </c>
      <c r="O411" s="13"/>
      <c r="P411" s="13">
        <v>150</v>
      </c>
      <c r="Q411" s="3">
        <f t="shared" si="44"/>
        <v>0</v>
      </c>
      <c r="R411" s="3">
        <f t="shared" si="45"/>
        <v>150</v>
      </c>
      <c r="S411" s="3">
        <f t="shared" si="46"/>
        <v>382.05000000000041</v>
      </c>
      <c r="T411" s="24"/>
      <c r="U411" s="24"/>
      <c r="V411" s="69"/>
      <c r="W411" s="25"/>
      <c r="X411" s="25"/>
      <c r="Y411" s="25"/>
      <c r="Z411" s="25"/>
      <c r="AA411" s="25"/>
      <c r="AB411" s="3" t="str">
        <f>IF(Caja_Operativa[[#This Row],[FECHA]]&gt;0,TEXT(Caja_Operativa[[#This Row],[FECHA]],"mmmm"),0)</f>
        <v>Agosto</v>
      </c>
    </row>
    <row r="412" spans="2:28" ht="24" hidden="1" x14ac:dyDescent="0.3">
      <c r="B412" s="2">
        <f>IF(Caja_Operativa[[#This Row],[TIPO DE R.]]="R",COUNTIFS($D$4:$D411,"R")+1,"")</f>
        <v>408</v>
      </c>
      <c r="C412" s="19" t="str">
        <f t="shared" si="42"/>
        <v>C-Operativa</v>
      </c>
      <c r="D412" s="3" t="s">
        <v>1074</v>
      </c>
      <c r="E412" s="14">
        <v>45882</v>
      </c>
      <c r="F412" s="5" t="s">
        <v>3353</v>
      </c>
      <c r="G412" s="5" t="s">
        <v>1079</v>
      </c>
      <c r="H412" s="6" t="s">
        <v>898</v>
      </c>
      <c r="I412" s="6"/>
      <c r="J412" s="6"/>
      <c r="K412" s="6"/>
      <c r="L412" s="7" t="s">
        <v>6302</v>
      </c>
      <c r="M412" s="8">
        <v>3310695</v>
      </c>
      <c r="N412" s="8" t="str">
        <f t="shared" si="43"/>
        <v>PEN</v>
      </c>
      <c r="O412" s="13"/>
      <c r="P412" s="13">
        <v>200</v>
      </c>
      <c r="Q412" s="3">
        <f t="shared" si="44"/>
        <v>0</v>
      </c>
      <c r="R412" s="3">
        <f t="shared" si="45"/>
        <v>200</v>
      </c>
      <c r="S412" s="3">
        <f t="shared" si="46"/>
        <v>182.05000000000041</v>
      </c>
      <c r="T412" s="24"/>
      <c r="U412" s="24"/>
      <c r="V412" s="69"/>
      <c r="W412" s="25"/>
      <c r="X412" s="25"/>
      <c r="Y412" s="25"/>
      <c r="Z412" s="25"/>
      <c r="AA412" s="25"/>
      <c r="AB412" s="3" t="str">
        <f>IF(Caja_Operativa[[#This Row],[FECHA]]&gt;0,TEXT(Caja_Operativa[[#This Row],[FECHA]],"mmmm"),0)</f>
        <v>Agosto</v>
      </c>
    </row>
    <row r="413" spans="2:28" ht="24" hidden="1" x14ac:dyDescent="0.3">
      <c r="B413" s="2">
        <f>IF(Caja_Operativa[[#This Row],[TIPO DE R.]]="R",COUNTIFS($D$4:$D412,"R")+1,"")</f>
        <v>409</v>
      </c>
      <c r="C413" s="19" t="str">
        <f t="shared" si="42"/>
        <v>C-Operativa</v>
      </c>
      <c r="D413" s="3" t="s">
        <v>1074</v>
      </c>
      <c r="E413" s="14">
        <v>45882</v>
      </c>
      <c r="F413" s="5" t="s">
        <v>3353</v>
      </c>
      <c r="G413" s="5" t="s">
        <v>1079</v>
      </c>
      <c r="H413" s="6" t="s">
        <v>859</v>
      </c>
      <c r="I413" s="6"/>
      <c r="J413" s="6"/>
      <c r="K413" s="6"/>
      <c r="L413" s="7" t="s">
        <v>6302</v>
      </c>
      <c r="M413" s="8">
        <v>569395</v>
      </c>
      <c r="N413" s="8" t="str">
        <f t="shared" si="43"/>
        <v>PEN</v>
      </c>
      <c r="O413" s="13"/>
      <c r="P413" s="13">
        <v>150</v>
      </c>
      <c r="Q413" s="3">
        <f t="shared" si="44"/>
        <v>0</v>
      </c>
      <c r="R413" s="3">
        <f t="shared" si="45"/>
        <v>150</v>
      </c>
      <c r="S413" s="3">
        <f t="shared" si="46"/>
        <v>32.050000000000409</v>
      </c>
      <c r="T413" s="24"/>
      <c r="U413" s="24"/>
      <c r="V413" s="69"/>
      <c r="W413" s="25"/>
      <c r="X413" s="25"/>
      <c r="Y413" s="25"/>
      <c r="Z413" s="25"/>
      <c r="AA413" s="25"/>
      <c r="AB413" s="3" t="str">
        <f>IF(Caja_Operativa[[#This Row],[FECHA]]&gt;0,TEXT(Caja_Operativa[[#This Row],[FECHA]],"mmmm"),0)</f>
        <v>Agosto</v>
      </c>
    </row>
    <row r="414" spans="2:28" hidden="1" x14ac:dyDescent="0.3">
      <c r="B414" s="2">
        <f>IF(Caja_Operativa[[#This Row],[TIPO DE R.]]="R",COUNTIFS($D$4:$D413,"R")+1,"")</f>
        <v>410</v>
      </c>
      <c r="C414" s="19" t="str">
        <f t="shared" ref="C414:C420" si="47">"C-Operativa"</f>
        <v>C-Operativa</v>
      </c>
      <c r="D414" s="3" t="s">
        <v>1074</v>
      </c>
      <c r="E414" s="14">
        <v>45887</v>
      </c>
      <c r="F414" s="5" t="s">
        <v>3353</v>
      </c>
      <c r="G414" s="5" t="s">
        <v>1087</v>
      </c>
      <c r="H414" s="6"/>
      <c r="I414" s="6"/>
      <c r="J414" s="6" t="s">
        <v>6329</v>
      </c>
      <c r="K414" s="6">
        <v>16</v>
      </c>
      <c r="L414" s="7" t="s">
        <v>6330</v>
      </c>
      <c r="M414" s="8">
        <v>2222659</v>
      </c>
      <c r="N414" s="8" t="str">
        <f t="shared" ref="N414:N420" si="48">"PEN"</f>
        <v>PEN</v>
      </c>
      <c r="O414" s="13"/>
      <c r="P414" s="13">
        <v>900</v>
      </c>
      <c r="Q414" s="3">
        <f t="shared" ref="Q414:Q420" si="49">+IF(OR($G414="SALDO",$G414="INGRESO"),$P414,0)</f>
        <v>900</v>
      </c>
      <c r="R414" s="3">
        <f t="shared" ref="R414:R420" si="50">+IF($G414="EGRESO",$P414,0)</f>
        <v>0</v>
      </c>
      <c r="S414" s="3">
        <f t="shared" ref="S414:S420" si="51">IFERROR(IF(G414="SALDO",Q414,S413+Q414-R414),0)</f>
        <v>932.05000000000041</v>
      </c>
      <c r="T414" s="24"/>
      <c r="U414" s="24"/>
      <c r="V414" s="69"/>
      <c r="W414" s="25"/>
      <c r="X414" s="25"/>
      <c r="Y414" s="25"/>
      <c r="Z414" s="25"/>
      <c r="AA414" s="25"/>
      <c r="AB414" s="3" t="str">
        <f>IF(Caja_Operativa[[#This Row],[FECHA]]&gt;0,TEXT(Caja_Operativa[[#This Row],[FECHA]],"mmmm"),0)</f>
        <v>Agosto</v>
      </c>
    </row>
    <row r="415" spans="2:28" ht="24" hidden="1" x14ac:dyDescent="0.3">
      <c r="B415" s="2">
        <f>IF(Caja_Operativa[[#This Row],[TIPO DE R.]]="R",COUNTIFS($D$4:$D414,"R")+1,"")</f>
        <v>411</v>
      </c>
      <c r="C415" s="19" t="str">
        <f t="shared" si="47"/>
        <v>C-Operativa</v>
      </c>
      <c r="D415" s="3" t="s">
        <v>1074</v>
      </c>
      <c r="E415" s="14">
        <v>45887</v>
      </c>
      <c r="F415" s="5" t="s">
        <v>3353</v>
      </c>
      <c r="G415" s="5" t="s">
        <v>1079</v>
      </c>
      <c r="H415" s="6" t="s">
        <v>898</v>
      </c>
      <c r="I415" s="6"/>
      <c r="J415" s="6"/>
      <c r="K415" s="6"/>
      <c r="L415" s="7" t="s">
        <v>6302</v>
      </c>
      <c r="M415" s="8">
        <v>3741336</v>
      </c>
      <c r="N415" s="8" t="str">
        <f t="shared" si="48"/>
        <v>PEN</v>
      </c>
      <c r="O415" s="13"/>
      <c r="P415" s="13">
        <v>700</v>
      </c>
      <c r="Q415" s="3">
        <f t="shared" si="49"/>
        <v>0</v>
      </c>
      <c r="R415" s="3">
        <f t="shared" si="50"/>
        <v>700</v>
      </c>
      <c r="S415" s="3">
        <f t="shared" si="51"/>
        <v>232.05000000000041</v>
      </c>
      <c r="T415" s="24"/>
      <c r="U415" s="24"/>
      <c r="V415" s="69"/>
      <c r="W415" s="25"/>
      <c r="X415" s="25"/>
      <c r="Y415" s="25"/>
      <c r="Z415" s="25"/>
      <c r="AA415" s="25"/>
      <c r="AB415" s="3" t="str">
        <f>IF(Caja_Operativa[[#This Row],[FECHA]]&gt;0,TEXT(Caja_Operativa[[#This Row],[FECHA]],"mmmm"),0)</f>
        <v>Agosto</v>
      </c>
    </row>
    <row r="416" spans="2:28" hidden="1" x14ac:dyDescent="0.3">
      <c r="B416" s="2">
        <f>IF(Caja_Operativa[[#This Row],[TIPO DE R.]]="R",COUNTIFS($D$4:$D415,"R")+1,"")</f>
        <v>412</v>
      </c>
      <c r="C416" s="19" t="str">
        <f t="shared" si="47"/>
        <v>C-Operativa</v>
      </c>
      <c r="D416" s="3" t="s">
        <v>1074</v>
      </c>
      <c r="E416" s="14">
        <v>45888</v>
      </c>
      <c r="F416" s="5" t="s">
        <v>3353</v>
      </c>
      <c r="G416" s="5" t="s">
        <v>1087</v>
      </c>
      <c r="H416" s="6"/>
      <c r="I416" s="6"/>
      <c r="J416" s="6" t="s">
        <v>6329</v>
      </c>
      <c r="K416" s="6">
        <v>17</v>
      </c>
      <c r="L416" s="7" t="s">
        <v>6330</v>
      </c>
      <c r="M416" s="8">
        <v>2210613</v>
      </c>
      <c r="N416" s="8" t="str">
        <f t="shared" si="48"/>
        <v>PEN</v>
      </c>
      <c r="O416" s="13"/>
      <c r="P416" s="13">
        <v>900</v>
      </c>
      <c r="Q416" s="3">
        <f t="shared" si="49"/>
        <v>900</v>
      </c>
      <c r="R416" s="3">
        <f t="shared" si="50"/>
        <v>0</v>
      </c>
      <c r="S416" s="3">
        <f t="shared" si="51"/>
        <v>1132.0500000000004</v>
      </c>
      <c r="T416" s="24"/>
      <c r="U416" s="24"/>
      <c r="V416" s="69"/>
      <c r="W416" s="25"/>
      <c r="X416" s="25"/>
      <c r="Y416" s="25"/>
      <c r="Z416" s="25"/>
      <c r="AA416" s="25"/>
      <c r="AB416" s="3" t="str">
        <f>IF(Caja_Operativa[[#This Row],[FECHA]]&gt;0,TEXT(Caja_Operativa[[#This Row],[FECHA]],"mmmm"),0)</f>
        <v>Agosto</v>
      </c>
    </row>
    <row r="417" spans="2:28" hidden="1" x14ac:dyDescent="0.3">
      <c r="B417" s="2">
        <f>IF(Caja_Operativa[[#This Row],[TIPO DE R.]]="R",COUNTIFS($D$4:$D416,"R")+1,"")</f>
        <v>413</v>
      </c>
      <c r="C417" s="19" t="str">
        <f t="shared" si="47"/>
        <v>C-Operativa</v>
      </c>
      <c r="D417" s="3" t="s">
        <v>1074</v>
      </c>
      <c r="E417" s="14">
        <v>45888</v>
      </c>
      <c r="F417" s="5" t="s">
        <v>3353</v>
      </c>
      <c r="G417" s="5" t="s">
        <v>1079</v>
      </c>
      <c r="H417" s="6" t="s">
        <v>817</v>
      </c>
      <c r="I417" s="6"/>
      <c r="J417" s="6"/>
      <c r="K417" s="6"/>
      <c r="L417" s="7" t="s">
        <v>6302</v>
      </c>
      <c r="M417" s="8">
        <v>1802313</v>
      </c>
      <c r="N417" s="8" t="str">
        <f t="shared" si="48"/>
        <v>PEN</v>
      </c>
      <c r="O417" s="13"/>
      <c r="P417" s="13">
        <v>150</v>
      </c>
      <c r="Q417" s="3">
        <f t="shared" si="49"/>
        <v>0</v>
      </c>
      <c r="R417" s="3">
        <f t="shared" si="50"/>
        <v>150</v>
      </c>
      <c r="S417" s="3">
        <f t="shared" si="51"/>
        <v>982.05000000000041</v>
      </c>
      <c r="T417" s="24"/>
      <c r="U417" s="24"/>
      <c r="V417" s="69"/>
      <c r="W417" s="25"/>
      <c r="X417" s="25"/>
      <c r="Y417" s="25"/>
      <c r="Z417" s="25"/>
      <c r="AA417" s="25"/>
      <c r="AB417" s="3" t="str">
        <f>IF(Caja_Operativa[[#This Row],[FECHA]]&gt;0,TEXT(Caja_Operativa[[#This Row],[FECHA]],"mmmm"),0)</f>
        <v>Agosto</v>
      </c>
    </row>
    <row r="418" spans="2:28" ht="24" hidden="1" x14ac:dyDescent="0.3">
      <c r="B418" s="2">
        <f>IF(Caja_Operativa[[#This Row],[TIPO DE R.]]="R",COUNTIFS($D$4:$D417,"R")+1,"")</f>
        <v>414</v>
      </c>
      <c r="C418" s="19" t="str">
        <f t="shared" si="47"/>
        <v>C-Operativa</v>
      </c>
      <c r="D418" s="3" t="s">
        <v>1074</v>
      </c>
      <c r="E418" s="14">
        <v>45889</v>
      </c>
      <c r="F418" s="5" t="s">
        <v>3353</v>
      </c>
      <c r="G418" s="5" t="s">
        <v>1079</v>
      </c>
      <c r="H418" s="6" t="s">
        <v>1038</v>
      </c>
      <c r="I418" s="6"/>
      <c r="J418" s="6"/>
      <c r="K418" s="6"/>
      <c r="L418" s="7" t="s">
        <v>6302</v>
      </c>
      <c r="M418" s="8">
        <v>487931</v>
      </c>
      <c r="N418" s="8" t="str">
        <f t="shared" si="48"/>
        <v>PEN</v>
      </c>
      <c r="O418" s="13"/>
      <c r="P418" s="13">
        <v>150</v>
      </c>
      <c r="Q418" s="3">
        <f t="shared" si="49"/>
        <v>0</v>
      </c>
      <c r="R418" s="3">
        <f t="shared" si="50"/>
        <v>150</v>
      </c>
      <c r="S418" s="3">
        <f t="shared" si="51"/>
        <v>832.05000000000041</v>
      </c>
      <c r="T418" s="24"/>
      <c r="U418" s="24"/>
      <c r="V418" s="69"/>
      <c r="W418" s="25"/>
      <c r="X418" s="25"/>
      <c r="Y418" s="25"/>
      <c r="Z418" s="25"/>
      <c r="AA418" s="25"/>
      <c r="AB418" s="3" t="str">
        <f>IF(Caja_Operativa[[#This Row],[FECHA]]&gt;0,TEXT(Caja_Operativa[[#This Row],[FECHA]],"mmmm"),0)</f>
        <v>Agosto</v>
      </c>
    </row>
    <row r="419" spans="2:28" ht="24" x14ac:dyDescent="0.3">
      <c r="B419" s="2">
        <f>IF(Caja_Operativa[[#This Row],[TIPO DE R.]]="R",COUNTIFS($D$4:$D418,"R")+1,"")</f>
        <v>415</v>
      </c>
      <c r="C419" s="19" t="str">
        <f t="shared" si="47"/>
        <v>C-Operativa</v>
      </c>
      <c r="D419" s="3" t="s">
        <v>1074</v>
      </c>
      <c r="E419" s="14">
        <v>45890</v>
      </c>
      <c r="F419" s="5" t="s">
        <v>3353</v>
      </c>
      <c r="G419" s="5" t="s">
        <v>1079</v>
      </c>
      <c r="H419" s="6" t="s">
        <v>753</v>
      </c>
      <c r="I419" s="6"/>
      <c r="J419" s="6"/>
      <c r="K419" s="6"/>
      <c r="L419" s="7" t="s">
        <v>6302</v>
      </c>
      <c r="M419" s="8">
        <v>475989</v>
      </c>
      <c r="N419" s="8" t="str">
        <f t="shared" si="48"/>
        <v>PEN</v>
      </c>
      <c r="O419" s="13"/>
      <c r="P419" s="13">
        <v>150</v>
      </c>
      <c r="Q419" s="3">
        <f t="shared" si="49"/>
        <v>0</v>
      </c>
      <c r="R419" s="3">
        <f t="shared" si="50"/>
        <v>150</v>
      </c>
      <c r="S419" s="3">
        <f t="shared" si="51"/>
        <v>682.05000000000041</v>
      </c>
      <c r="T419" s="24"/>
      <c r="U419" s="24"/>
      <c r="V419" s="69"/>
      <c r="W419" s="25"/>
      <c r="X419" s="25"/>
      <c r="Y419" s="25"/>
      <c r="Z419" s="25"/>
      <c r="AA419" s="25"/>
      <c r="AB419" s="3" t="str">
        <f>IF(Caja_Operativa[[#This Row],[FECHA]]&gt;0,TEXT(Caja_Operativa[[#This Row],[FECHA]],"mmmm"),0)</f>
        <v>Agosto</v>
      </c>
    </row>
    <row r="420" spans="2:28" hidden="1" x14ac:dyDescent="0.3">
      <c r="B420" s="2">
        <f>IF(Caja_Operativa[[#This Row],[TIPO DE R.]]="R",COUNTIFS($D$4:$D419,"R")+1,"")</f>
        <v>416</v>
      </c>
      <c r="C420" s="19" t="str">
        <f t="shared" si="47"/>
        <v>C-Operativa</v>
      </c>
      <c r="D420" s="3" t="s">
        <v>1074</v>
      </c>
      <c r="E420" s="14">
        <v>45890</v>
      </c>
      <c r="F420" s="5" t="s">
        <v>3353</v>
      </c>
      <c r="G420" s="5" t="s">
        <v>1079</v>
      </c>
      <c r="H420" s="6" t="s">
        <v>739</v>
      </c>
      <c r="I420" s="6"/>
      <c r="J420" s="6"/>
      <c r="K420" s="6"/>
      <c r="L420" s="7" t="s">
        <v>6302</v>
      </c>
      <c r="M420" s="8">
        <v>493626</v>
      </c>
      <c r="N420" s="8" t="str">
        <f t="shared" si="48"/>
        <v>PEN</v>
      </c>
      <c r="O420" s="13"/>
      <c r="P420" s="13">
        <v>150</v>
      </c>
      <c r="Q420" s="3">
        <f t="shared" si="49"/>
        <v>0</v>
      </c>
      <c r="R420" s="3">
        <f t="shared" si="50"/>
        <v>150</v>
      </c>
      <c r="S420" s="3">
        <f t="shared" si="51"/>
        <v>532.05000000000041</v>
      </c>
      <c r="T420" s="24"/>
      <c r="U420" s="24"/>
      <c r="V420" s="69"/>
      <c r="W420" s="25"/>
      <c r="X420" s="25"/>
      <c r="Y420" s="25"/>
      <c r="Z420" s="25"/>
      <c r="AA420" s="25"/>
      <c r="AB420" s="3" t="str">
        <f>IF(Caja_Operativa[[#This Row],[FECHA]]&gt;0,TEXT(Caja_Operativa[[#This Row],[FECHA]],"mmmm"),0)</f>
        <v>Agosto</v>
      </c>
    </row>
    <row r="421" spans="2:28" ht="24" x14ac:dyDescent="0.3">
      <c r="B421" s="206">
        <f>IF(Caja_Operativa[[#This Row],[TIPO DE R.]]="R",COUNTIFS($D$4:$D420,"R")+1,"")</f>
        <v>417</v>
      </c>
      <c r="C421" s="19" t="str">
        <f t="shared" ref="C421:C426" si="52">"C-Operativa"</f>
        <v>C-Operativa</v>
      </c>
      <c r="D421" s="3" t="s">
        <v>1074</v>
      </c>
      <c r="E421" s="207">
        <v>45894</v>
      </c>
      <c r="F421" s="208" t="s">
        <v>3353</v>
      </c>
      <c r="G421" s="208" t="s">
        <v>1079</v>
      </c>
      <c r="H421" s="6" t="s">
        <v>753</v>
      </c>
      <c r="I421" s="6"/>
      <c r="J421" s="6"/>
      <c r="K421" s="6"/>
      <c r="L421" s="209" t="s">
        <v>6302</v>
      </c>
      <c r="M421" s="210">
        <v>1710293</v>
      </c>
      <c r="N421" s="210" t="str">
        <f t="shared" ref="N421:N426" si="53">"PEN"</f>
        <v>PEN</v>
      </c>
      <c r="O421" s="13"/>
      <c r="P421" s="211">
        <v>220</v>
      </c>
      <c r="Q421" s="212">
        <f t="shared" ref="Q421:Q426" si="54">+IF(OR($G421="SALDO",$G421="INGRESO"),$P421,0)</f>
        <v>0</v>
      </c>
      <c r="R421" s="212">
        <f t="shared" ref="R421:R426" si="55">+IF($G421="EGRESO",$P421,0)</f>
        <v>220</v>
      </c>
      <c r="S421" s="212">
        <f t="shared" ref="S421:S426" si="56">IFERROR(IF(G421="SALDO",Q421,S420+Q421-R421),0)</f>
        <v>312.05000000000041</v>
      </c>
      <c r="T421" s="213"/>
      <c r="U421" s="213"/>
      <c r="V421" s="214"/>
      <c r="W421" s="25"/>
      <c r="X421" s="25"/>
      <c r="Y421" s="25"/>
      <c r="Z421" s="25"/>
      <c r="AA421" s="25"/>
      <c r="AB421" s="212" t="str">
        <f>IF(Caja_Operativa[[#This Row],[FECHA]]&gt;0,TEXT(Caja_Operativa[[#This Row],[FECHA]],"mmmm"),0)</f>
        <v>Agosto</v>
      </c>
    </row>
    <row r="422" spans="2:28" ht="24" hidden="1" x14ac:dyDescent="0.3">
      <c r="B422" s="206">
        <f>IF(Caja_Operativa[[#This Row],[TIPO DE R.]]="R",COUNTIFS($D$4:$D421,"R")+1,"")</f>
        <v>418</v>
      </c>
      <c r="C422" s="19" t="str">
        <f t="shared" si="52"/>
        <v>C-Operativa</v>
      </c>
      <c r="D422" s="3" t="s">
        <v>1074</v>
      </c>
      <c r="E422" s="207">
        <v>45895</v>
      </c>
      <c r="F422" s="208" t="s">
        <v>3353</v>
      </c>
      <c r="G422" s="208" t="s">
        <v>1079</v>
      </c>
      <c r="H422" s="6" t="s">
        <v>829</v>
      </c>
      <c r="I422" s="6"/>
      <c r="J422" s="6"/>
      <c r="K422" s="6"/>
      <c r="L422" s="209" t="s">
        <v>6302</v>
      </c>
      <c r="M422" s="210">
        <v>2976846</v>
      </c>
      <c r="N422" s="210" t="str">
        <f t="shared" si="53"/>
        <v>PEN</v>
      </c>
      <c r="O422" s="13"/>
      <c r="P422" s="211">
        <v>120</v>
      </c>
      <c r="Q422" s="212">
        <f t="shared" si="54"/>
        <v>0</v>
      </c>
      <c r="R422" s="212">
        <f t="shared" si="55"/>
        <v>120</v>
      </c>
      <c r="S422" s="212">
        <f t="shared" si="56"/>
        <v>192.05000000000041</v>
      </c>
      <c r="T422" s="213"/>
      <c r="U422" s="213"/>
      <c r="V422" s="214"/>
      <c r="W422" s="25"/>
      <c r="X422" s="25"/>
      <c r="Y422" s="25"/>
      <c r="Z422" s="25"/>
      <c r="AA422" s="25"/>
      <c r="AB422" s="212" t="str">
        <f>IF(Caja_Operativa[[#This Row],[FECHA]]&gt;0,TEXT(Caja_Operativa[[#This Row],[FECHA]],"mmmm"),0)</f>
        <v>Agosto</v>
      </c>
    </row>
    <row r="423" spans="2:28" hidden="1" x14ac:dyDescent="0.3">
      <c r="B423" s="206">
        <f>IF(Caja_Operativa[[#This Row],[TIPO DE R.]]="R",COUNTIFS($D$4:$D422,"R")+1,"")</f>
        <v>419</v>
      </c>
      <c r="C423" s="19" t="str">
        <f t="shared" si="52"/>
        <v>C-Operativa</v>
      </c>
      <c r="D423" s="3" t="s">
        <v>1074</v>
      </c>
      <c r="E423" s="207">
        <v>45895</v>
      </c>
      <c r="F423" s="208" t="s">
        <v>3353</v>
      </c>
      <c r="G423" s="208" t="s">
        <v>1079</v>
      </c>
      <c r="H423" s="6" t="s">
        <v>817</v>
      </c>
      <c r="I423" s="6"/>
      <c r="J423" s="6"/>
      <c r="K423" s="6"/>
      <c r="L423" s="209" t="s">
        <v>6302</v>
      </c>
      <c r="M423" s="210">
        <v>1132486</v>
      </c>
      <c r="N423" s="210" t="str">
        <f t="shared" si="53"/>
        <v>PEN</v>
      </c>
      <c r="O423" s="13"/>
      <c r="P423" s="211">
        <v>100</v>
      </c>
      <c r="Q423" s="212">
        <f t="shared" si="54"/>
        <v>0</v>
      </c>
      <c r="R423" s="212">
        <f t="shared" si="55"/>
        <v>100</v>
      </c>
      <c r="S423" s="212">
        <f t="shared" si="56"/>
        <v>92.050000000000409</v>
      </c>
      <c r="T423" s="213"/>
      <c r="U423" s="213"/>
      <c r="V423" s="214"/>
      <c r="W423" s="25"/>
      <c r="X423" s="25"/>
      <c r="Y423" s="25"/>
      <c r="Z423" s="25"/>
      <c r="AA423" s="25"/>
      <c r="AB423" s="212" t="str">
        <f>IF(Caja_Operativa[[#This Row],[FECHA]]&gt;0,TEXT(Caja_Operativa[[#This Row],[FECHA]],"mmmm"),0)</f>
        <v>Agosto</v>
      </c>
    </row>
    <row r="424" spans="2:28" hidden="1" x14ac:dyDescent="0.3">
      <c r="B424" s="206">
        <f>IF(Caja_Operativa[[#This Row],[TIPO DE R.]]="R",COUNTIFS($D$4:$D423,"R")+1,"")</f>
        <v>420</v>
      </c>
      <c r="C424" s="19" t="str">
        <f t="shared" si="52"/>
        <v>C-Operativa</v>
      </c>
      <c r="D424" s="3" t="s">
        <v>1074</v>
      </c>
      <c r="E424" s="207">
        <v>45896</v>
      </c>
      <c r="F424" s="208" t="s">
        <v>3353</v>
      </c>
      <c r="G424" s="208" t="s">
        <v>1087</v>
      </c>
      <c r="H424" s="6"/>
      <c r="I424" s="6"/>
      <c r="J424" s="6" t="s">
        <v>6329</v>
      </c>
      <c r="K424" s="6">
        <v>18</v>
      </c>
      <c r="L424" s="209" t="s">
        <v>6330</v>
      </c>
      <c r="M424" s="210">
        <v>2094423</v>
      </c>
      <c r="N424" s="210" t="str">
        <f t="shared" si="53"/>
        <v>PEN</v>
      </c>
      <c r="O424" s="13"/>
      <c r="P424" s="211">
        <v>900</v>
      </c>
      <c r="Q424" s="212">
        <f t="shared" si="54"/>
        <v>900</v>
      </c>
      <c r="R424" s="212">
        <f t="shared" si="55"/>
        <v>0</v>
      </c>
      <c r="S424" s="212">
        <f t="shared" si="56"/>
        <v>992.05000000000041</v>
      </c>
      <c r="T424" s="213"/>
      <c r="U424" s="213"/>
      <c r="V424" s="214"/>
      <c r="W424" s="25"/>
      <c r="X424" s="25"/>
      <c r="Y424" s="25"/>
      <c r="Z424" s="25"/>
      <c r="AA424" s="25"/>
      <c r="AB424" s="212" t="str">
        <f>IF(Caja_Operativa[[#This Row],[FECHA]]&gt;0,TEXT(Caja_Operativa[[#This Row],[FECHA]],"mmmm"),0)</f>
        <v>Agosto</v>
      </c>
    </row>
    <row r="425" spans="2:28" ht="24" hidden="1" x14ac:dyDescent="0.3">
      <c r="B425" s="206">
        <f>IF(Caja_Operativa[[#This Row],[TIPO DE R.]]="R",COUNTIFS($D$4:$D424,"R")+1,"")</f>
        <v>421</v>
      </c>
      <c r="C425" s="19" t="str">
        <f t="shared" si="52"/>
        <v>C-Operativa</v>
      </c>
      <c r="D425" s="3" t="s">
        <v>1074</v>
      </c>
      <c r="E425" s="207">
        <v>45896</v>
      </c>
      <c r="F425" s="208" t="s">
        <v>3353</v>
      </c>
      <c r="G425" s="208" t="s">
        <v>1079</v>
      </c>
      <c r="H425" s="6" t="s">
        <v>798</v>
      </c>
      <c r="I425" s="6"/>
      <c r="J425" s="6"/>
      <c r="K425" s="6"/>
      <c r="L425" s="209" t="s">
        <v>6302</v>
      </c>
      <c r="M425" s="210">
        <v>1738248</v>
      </c>
      <c r="N425" s="210" t="str">
        <f t="shared" si="53"/>
        <v>PEN</v>
      </c>
      <c r="O425" s="13"/>
      <c r="P425" s="211">
        <v>415</v>
      </c>
      <c r="Q425" s="212">
        <f t="shared" si="54"/>
        <v>0</v>
      </c>
      <c r="R425" s="212">
        <f t="shared" si="55"/>
        <v>415</v>
      </c>
      <c r="S425" s="212">
        <f t="shared" si="56"/>
        <v>577.05000000000041</v>
      </c>
      <c r="T425" s="213"/>
      <c r="U425" s="213"/>
      <c r="V425" s="214"/>
      <c r="W425" s="25"/>
      <c r="X425" s="25"/>
      <c r="Y425" s="25"/>
      <c r="Z425" s="25"/>
      <c r="AA425" s="25"/>
      <c r="AB425" s="212" t="str">
        <f>IF(Caja_Operativa[[#This Row],[FECHA]]&gt;0,TEXT(Caja_Operativa[[#This Row],[FECHA]],"mmmm"),0)</f>
        <v>Agosto</v>
      </c>
    </row>
    <row r="426" spans="2:28" ht="24" hidden="1" x14ac:dyDescent="0.3">
      <c r="B426" s="206">
        <f>IF(Caja_Operativa[[#This Row],[TIPO DE R.]]="R",COUNTIFS($D$4:$D425,"R")+1,"")</f>
        <v>422</v>
      </c>
      <c r="C426" s="19" t="str">
        <f t="shared" si="52"/>
        <v>C-Operativa</v>
      </c>
      <c r="D426" s="3" t="s">
        <v>1074</v>
      </c>
      <c r="E426" s="207">
        <v>45896</v>
      </c>
      <c r="F426" s="208" t="s">
        <v>3353</v>
      </c>
      <c r="G426" s="208" t="s">
        <v>1079</v>
      </c>
      <c r="H426" s="6" t="s">
        <v>898</v>
      </c>
      <c r="I426" s="6"/>
      <c r="J426" s="6"/>
      <c r="K426" s="6"/>
      <c r="L426" s="209" t="s">
        <v>6302</v>
      </c>
      <c r="M426" s="210">
        <v>1675580</v>
      </c>
      <c r="N426" s="210" t="str">
        <f t="shared" si="53"/>
        <v>PEN</v>
      </c>
      <c r="O426" s="13"/>
      <c r="P426" s="211">
        <v>250</v>
      </c>
      <c r="Q426" s="212">
        <f t="shared" si="54"/>
        <v>0</v>
      </c>
      <c r="R426" s="212">
        <f t="shared" si="55"/>
        <v>250</v>
      </c>
      <c r="S426" s="212">
        <f t="shared" si="56"/>
        <v>327.05000000000041</v>
      </c>
      <c r="T426" s="213"/>
      <c r="U426" s="213"/>
      <c r="V426" s="214"/>
      <c r="W426" s="25"/>
      <c r="X426" s="25"/>
      <c r="Y426" s="25"/>
      <c r="Z426" s="25"/>
      <c r="AA426" s="25"/>
      <c r="AB426" s="212" t="str">
        <f>IF(Caja_Operativa[[#This Row],[FECHA]]&gt;0,TEXT(Caja_Operativa[[#This Row],[FECHA]],"mmmm"),0)</f>
        <v>Agosto</v>
      </c>
    </row>
  </sheetData>
  <mergeCells count="1">
    <mergeCell ref="B2:AB2"/>
  </mergeCells>
  <conditionalFormatting sqref="B5:AB426">
    <cfRule type="expression" dxfId="52" priority="13">
      <formula>$U5="OK"</formula>
    </cfRule>
    <cfRule type="expression" dxfId="51" priority="14">
      <formula>$T5="OK"</formula>
    </cfRule>
    <cfRule type="expression" dxfId="50" priority="15">
      <formula>$D5="D"</formula>
    </cfRule>
  </conditionalFormatting>
  <conditionalFormatting sqref="E387:E388">
    <cfRule type="expression" dxfId="49" priority="7">
      <formula>$U387="OK"</formula>
    </cfRule>
    <cfRule type="expression" dxfId="48" priority="8">
      <formula>$T387="OK"</formula>
    </cfRule>
    <cfRule type="expression" dxfId="47" priority="9">
      <formula>$D387="D"</formula>
    </cfRule>
  </conditionalFormatting>
  <conditionalFormatting sqref="E413">
    <cfRule type="expression" dxfId="46" priority="1">
      <formula>$U413="OK"</formula>
    </cfRule>
    <cfRule type="expression" dxfId="45" priority="2">
      <formula>$T413="OK"</formula>
    </cfRule>
    <cfRule type="expression" dxfId="44" priority="3">
      <formula>$D413="D"</formula>
    </cfRule>
  </conditionalFormatting>
  <dataValidations count="4">
    <dataValidation type="list" allowBlank="1" showInputMessage="1" showErrorMessage="1" sqref="I5:I426" xr:uid="{DB662010-73D0-4A06-A6ED-04E9B53EE686}">
      <formula1>Documentos</formula1>
    </dataValidation>
    <dataValidation type="list" allowBlank="1" showInputMessage="1" showErrorMessage="1" sqref="G5:G426" xr:uid="{F090D379-F074-4B33-A988-378FA55D7ED3}">
      <formula1>"SALDO,INGRESO,EGRESO"</formula1>
    </dataValidation>
    <dataValidation type="list" allowBlank="1" showInputMessage="1" showErrorMessage="1" sqref="D5:D426" xr:uid="{93B5E693-14FE-4995-B211-D6ABEEAA25E1}">
      <formula1>"R,D"</formula1>
    </dataValidation>
    <dataValidation type="list" allowBlank="1" showInputMessage="1" showErrorMessage="1" sqref="H5:H426" xr:uid="{B7740B57-EB9C-4006-A461-BBB602D7407A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37" fitToHeight="0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F17B-F2D4-1A44-B1B5-F34C3CA03ECD}">
  <sheetPr codeName="Hoja9">
    <tabColor rgb="FFFFC000"/>
    <pageSetUpPr fitToPage="1"/>
  </sheetPr>
  <dimension ref="B2:AC415"/>
  <sheetViews>
    <sheetView showGridLines="0" topLeftCell="I1" zoomScaleNormal="100" zoomScaleSheetLayoutView="100" workbookViewId="0">
      <selection activeCell="B4" sqref="B4:V4"/>
    </sheetView>
  </sheetViews>
  <sheetFormatPr defaultColWidth="11.44140625" defaultRowHeight="14.4" outlineLevelCol="1" x14ac:dyDescent="0.3"/>
  <cols>
    <col min="1" max="1" width="1.44140625" style="11" customWidth="1"/>
    <col min="2" max="2" width="9.44140625" style="11" bestFit="1" customWidth="1"/>
    <col min="3" max="3" width="15.44140625" style="11" bestFit="1" customWidth="1"/>
    <col min="4" max="4" width="13.44140625" style="11" bestFit="1" customWidth="1"/>
    <col min="5" max="5" width="10.77734375" style="11" bestFit="1" customWidth="1"/>
    <col min="6" max="6" width="14.21875" style="11" customWidth="1"/>
    <col min="7" max="7" width="11.77734375" style="11" bestFit="1" customWidth="1"/>
    <col min="8" max="8" width="17" style="11" bestFit="1" customWidth="1"/>
    <col min="9" max="9" width="16" style="11" customWidth="1"/>
    <col min="10" max="10" width="10.109375" style="11" bestFit="1" customWidth="1"/>
    <col min="11" max="11" width="12.44140625" style="11" bestFit="1" customWidth="1"/>
    <col min="12" max="12" width="40.44140625" style="11" bestFit="1" customWidth="1"/>
    <col min="13" max="13" width="15" style="11" bestFit="1" customWidth="1"/>
    <col min="14" max="14" width="12.44140625" style="11" bestFit="1" customWidth="1"/>
    <col min="15" max="15" width="12.109375" style="11" bestFit="1" customWidth="1"/>
    <col min="16" max="16" width="11.44140625" style="11" bestFit="1" customWidth="1"/>
    <col min="17" max="18" width="11.21875" style="11" bestFit="1" customWidth="1"/>
    <col min="19" max="19" width="10.88671875" style="11" bestFit="1" customWidth="1"/>
    <col min="20" max="20" width="12" style="11" bestFit="1" customWidth="1"/>
    <col min="21" max="21" width="13" style="11" bestFit="1" customWidth="1"/>
    <col min="22" max="22" width="15.88671875" style="11" bestFit="1" customWidth="1"/>
    <col min="23" max="27" width="15.88671875" style="11" hidden="1" customWidth="1" outlineLevel="1"/>
    <col min="28" max="28" width="12.88671875" style="11" hidden="1" customWidth="1" outlineLevel="1"/>
    <col min="29" max="29" width="11.44140625" style="11" collapsed="1"/>
    <col min="30" max="16384" width="11.44140625" style="11"/>
  </cols>
  <sheetData>
    <row r="2" spans="2:28" ht="23.4" x14ac:dyDescent="0.3">
      <c r="B2" s="263" t="s">
        <v>6537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2">
        <f>IF(C_Ope_001[[#This Row],[TIPO DE R.]]="R",COUNTIFS($D$4:$D4,"R")+1,"")</f>
        <v>1</v>
      </c>
      <c r="C5" s="19" t="str">
        <f t="shared" ref="C5:C68" si="0">"C_Ope_001"</f>
        <v>C_Ope_001</v>
      </c>
      <c r="D5" s="3" t="s">
        <v>1074</v>
      </c>
      <c r="E5" s="14">
        <v>45658</v>
      </c>
      <c r="F5" s="5" t="s">
        <v>6538</v>
      </c>
      <c r="G5" s="6" t="s">
        <v>1064</v>
      </c>
      <c r="H5" s="6"/>
      <c r="I5" s="6"/>
      <c r="J5" s="6"/>
      <c r="K5" s="6"/>
      <c r="L5" s="7" t="s">
        <v>1076</v>
      </c>
      <c r="M5" s="8">
        <v>22538</v>
      </c>
      <c r="N5" s="8" t="str">
        <f t="shared" ref="N5" si="1">"PEN"</f>
        <v>PEN</v>
      </c>
      <c r="O5" s="13"/>
      <c r="P5" s="9">
        <v>108.74</v>
      </c>
      <c r="Q5" s="9">
        <f t="shared" ref="Q5:Q68" si="2">+IF(OR($G5="SALDO",$G5="INGRESO"),$P5,0)</f>
        <v>108.74</v>
      </c>
      <c r="R5" s="9">
        <f t="shared" ref="R5:R68" si="3">+IF($G5="EGRESO",$P5,0)</f>
        <v>0</v>
      </c>
      <c r="S5" s="9">
        <f t="shared" ref="S5:S68" si="4">IFERROR(IF(G5="SALDO",Q5,S4+Q5-R5),0)</f>
        <v>108.74</v>
      </c>
      <c r="T5" s="24"/>
      <c r="U5" s="24"/>
      <c r="V5" s="15"/>
      <c r="W5" s="25"/>
      <c r="X5" s="25"/>
      <c r="Y5" s="25" t="str">
        <f>IFERROR(VLOOKUP(C_Ope_001[[#This Row],[NOTA 2]],Clientes_Proveedores[[Ruc / Dni]:[Razon Social]],2,0),"")</f>
        <v/>
      </c>
      <c r="Z5" s="25"/>
      <c r="AA5" s="130"/>
      <c r="AB5" s="3" t="str">
        <f>IF(C_Ope_001[[#This Row],[FECHA]]&gt;0,TEXT(C_Ope_001[[#This Row],[FECHA]],"mmmm"),0)</f>
        <v>Enero</v>
      </c>
    </row>
    <row r="6" spans="2:28" x14ac:dyDescent="0.3">
      <c r="B6" s="2">
        <f>IF(C_Ope_001[[#This Row],[TIPO DE R.]]="R",COUNTIFS($D$4:$D5,"R")+1,"")</f>
        <v>2</v>
      </c>
      <c r="C6" s="19" t="str">
        <f t="shared" si="0"/>
        <v>C_Ope_001</v>
      </c>
      <c r="D6" s="3" t="s">
        <v>1074</v>
      </c>
      <c r="E6" s="14">
        <v>45660</v>
      </c>
      <c r="F6" s="5" t="s">
        <v>6299</v>
      </c>
      <c r="G6" s="5" t="s">
        <v>1087</v>
      </c>
      <c r="H6" s="6"/>
      <c r="I6" s="6"/>
      <c r="J6" s="6"/>
      <c r="K6" s="6"/>
      <c r="L6" s="7" t="s">
        <v>6302</v>
      </c>
      <c r="M6" s="8">
        <v>22545</v>
      </c>
      <c r="N6" s="8" t="str">
        <f t="shared" ref="N6:N69" si="5">"PEN"</f>
        <v>PEN</v>
      </c>
      <c r="O6" s="13"/>
      <c r="P6" s="13">
        <v>90</v>
      </c>
      <c r="Q6" s="3">
        <f t="shared" si="2"/>
        <v>90</v>
      </c>
      <c r="R6" s="3">
        <f t="shared" si="3"/>
        <v>0</v>
      </c>
      <c r="S6" s="3">
        <f t="shared" si="4"/>
        <v>198.74</v>
      </c>
      <c r="T6" s="24"/>
      <c r="U6" s="24"/>
      <c r="V6" s="3"/>
      <c r="W6" s="25" t="s">
        <v>6539</v>
      </c>
      <c r="X6" s="25"/>
      <c r="Y6" s="25" t="str">
        <f>IFERROR(VLOOKUP(C_Ope_001[[#This Row],[NOTA 2]],Clientes_Proveedores[[Ruc / Dni]:[Razon Social]],2,0),"")</f>
        <v/>
      </c>
      <c r="Z6" s="25"/>
      <c r="AA6" s="130"/>
      <c r="AB6" s="3" t="str">
        <f>IF(C_Ope_001[[#This Row],[FECHA]]&gt;0,TEXT(C_Ope_001[[#This Row],[FECHA]],"mmmm"),0)</f>
        <v>Enero</v>
      </c>
    </row>
    <row r="7" spans="2:28" ht="24" x14ac:dyDescent="0.3">
      <c r="B7" s="2">
        <f>IF(C_Ope_001[[#This Row],[TIPO DE R.]]="R",COUNTIFS($D$4:$D6,"R")+1,"")</f>
        <v>3</v>
      </c>
      <c r="C7" s="19" t="str">
        <f t="shared" si="0"/>
        <v>C_Ope_001</v>
      </c>
      <c r="D7" s="3" t="s">
        <v>1074</v>
      </c>
      <c r="E7" s="14">
        <v>45659</v>
      </c>
      <c r="F7" s="5" t="s">
        <v>6538</v>
      </c>
      <c r="G7" s="5" t="s">
        <v>1079</v>
      </c>
      <c r="H7" s="6"/>
      <c r="I7" s="6" t="s">
        <v>14</v>
      </c>
      <c r="J7" s="6" t="s">
        <v>5244</v>
      </c>
      <c r="K7" s="6">
        <v>1620881</v>
      </c>
      <c r="L7" s="7" t="s">
        <v>6540</v>
      </c>
      <c r="M7" s="8">
        <v>22518</v>
      </c>
      <c r="N7" s="8" t="str">
        <f t="shared" si="5"/>
        <v>PEN</v>
      </c>
      <c r="O7" s="13"/>
      <c r="P7" s="13">
        <v>8</v>
      </c>
      <c r="Q7" s="3">
        <f t="shared" si="2"/>
        <v>0</v>
      </c>
      <c r="R7" s="3">
        <f t="shared" si="3"/>
        <v>8</v>
      </c>
      <c r="S7" s="3">
        <f t="shared" si="4"/>
        <v>190.74</v>
      </c>
      <c r="T7" s="24"/>
      <c r="U7" s="24"/>
      <c r="V7" s="3"/>
      <c r="W7" s="25" t="s">
        <v>6541</v>
      </c>
      <c r="X7" s="25"/>
      <c r="Y7" s="25" t="str">
        <f>IFERROR(VLOOKUP(C_Ope_001[[#This Row],[NOTA 2]],Clientes_Proveedores[[Ruc / Dni]:[Razon Social]],2,0),"")</f>
        <v/>
      </c>
      <c r="Z7" s="25"/>
      <c r="AA7" s="130"/>
      <c r="AB7" s="3" t="str">
        <f>IF(C_Ope_001[[#This Row],[FECHA]]&gt;0,TEXT(C_Ope_001[[#This Row],[FECHA]],"mmmm"),0)</f>
        <v>Enero</v>
      </c>
    </row>
    <row r="8" spans="2:28" ht="24" x14ac:dyDescent="0.3">
      <c r="B8" s="2">
        <f>IF(C_Ope_001[[#This Row],[TIPO DE R.]]="R",COUNTIFS($D$4:$D7,"R")+1,"")</f>
        <v>4</v>
      </c>
      <c r="C8" s="19" t="str">
        <f t="shared" si="0"/>
        <v>C_Ope_001</v>
      </c>
      <c r="D8" s="3" t="s">
        <v>1074</v>
      </c>
      <c r="E8" s="14">
        <v>45659</v>
      </c>
      <c r="F8" s="5" t="s">
        <v>6538</v>
      </c>
      <c r="G8" s="5" t="s">
        <v>1079</v>
      </c>
      <c r="H8" s="6"/>
      <c r="I8" s="6" t="s">
        <v>14</v>
      </c>
      <c r="J8" s="6" t="s">
        <v>5281</v>
      </c>
      <c r="K8" s="6">
        <v>899747</v>
      </c>
      <c r="L8" s="7" t="s">
        <v>6542</v>
      </c>
      <c r="M8" s="8">
        <v>22519</v>
      </c>
      <c r="N8" s="8" t="str">
        <f t="shared" si="5"/>
        <v>PEN</v>
      </c>
      <c r="O8" s="13"/>
      <c r="P8" s="13">
        <v>8</v>
      </c>
      <c r="Q8" s="3">
        <f t="shared" si="2"/>
        <v>0</v>
      </c>
      <c r="R8" s="3">
        <f t="shared" si="3"/>
        <v>8</v>
      </c>
      <c r="S8" s="3">
        <f t="shared" si="4"/>
        <v>182.74</v>
      </c>
      <c r="T8" s="24"/>
      <c r="U8" s="24"/>
      <c r="V8" s="3"/>
      <c r="W8" s="25" t="s">
        <v>6541</v>
      </c>
      <c r="X8" s="25"/>
      <c r="Y8" s="25" t="str">
        <f>IFERROR(VLOOKUP(C_Ope_001[[#This Row],[NOTA 2]],Clientes_Proveedores[[Ruc / Dni]:[Razon Social]],2,0),"")</f>
        <v/>
      </c>
      <c r="Z8" s="25"/>
      <c r="AA8" s="130"/>
      <c r="AB8" s="3" t="str">
        <f>IF(C_Ope_001[[#This Row],[FECHA]]&gt;0,TEXT(C_Ope_001[[#This Row],[FECHA]],"mmmm"),0)</f>
        <v>Enero</v>
      </c>
    </row>
    <row r="9" spans="2:28" ht="24" x14ac:dyDescent="0.3">
      <c r="B9" s="2">
        <f>IF(C_Ope_001[[#This Row],[TIPO DE R.]]="R",COUNTIFS($D$4:$D8,"R")+1,"")</f>
        <v>5</v>
      </c>
      <c r="C9" s="19" t="str">
        <f t="shared" si="0"/>
        <v>C_Ope_001</v>
      </c>
      <c r="D9" s="3" t="s">
        <v>1074</v>
      </c>
      <c r="E9" s="14">
        <v>45659</v>
      </c>
      <c r="F9" s="5" t="s">
        <v>6538</v>
      </c>
      <c r="G9" s="5" t="s">
        <v>1079</v>
      </c>
      <c r="H9" s="6"/>
      <c r="I9" s="6" t="s">
        <v>14</v>
      </c>
      <c r="J9" s="6" t="s">
        <v>5245</v>
      </c>
      <c r="K9" s="6">
        <v>1639749</v>
      </c>
      <c r="L9" s="7" t="s">
        <v>6540</v>
      </c>
      <c r="M9" s="8">
        <v>22527</v>
      </c>
      <c r="N9" s="8" t="str">
        <f t="shared" si="5"/>
        <v>PEN</v>
      </c>
      <c r="O9" s="13"/>
      <c r="P9" s="13">
        <v>8</v>
      </c>
      <c r="Q9" s="3">
        <f t="shared" si="2"/>
        <v>0</v>
      </c>
      <c r="R9" s="3">
        <f t="shared" si="3"/>
        <v>8</v>
      </c>
      <c r="S9" s="3">
        <f t="shared" si="4"/>
        <v>174.74</v>
      </c>
      <c r="T9" s="24"/>
      <c r="U9" s="24"/>
      <c r="V9" s="3"/>
      <c r="W9" s="25" t="s">
        <v>6541</v>
      </c>
      <c r="X9" s="25"/>
      <c r="Y9" s="25" t="str">
        <f>IFERROR(VLOOKUP(C_Ope_001[[#This Row],[NOTA 2]],Clientes_Proveedores[[Ruc / Dni]:[Razon Social]],2,0),"")</f>
        <v/>
      </c>
      <c r="Z9" s="25"/>
      <c r="AA9" s="130"/>
      <c r="AB9" s="3" t="str">
        <f>IF(C_Ope_001[[#This Row],[FECHA]]&gt;0,TEXT(C_Ope_001[[#This Row],[FECHA]],"mmmm"),0)</f>
        <v>Enero</v>
      </c>
    </row>
    <row r="10" spans="2:28" ht="24" x14ac:dyDescent="0.3">
      <c r="B10" s="2">
        <f>IF(C_Ope_001[[#This Row],[TIPO DE R.]]="R",COUNTIFS($D$4:$D9,"R")+1,"")</f>
        <v>6</v>
      </c>
      <c r="C10" s="19" t="str">
        <f t="shared" si="0"/>
        <v>C_Ope_001</v>
      </c>
      <c r="D10" s="3" t="s">
        <v>1074</v>
      </c>
      <c r="E10" s="14">
        <v>45659</v>
      </c>
      <c r="F10" s="5" t="s">
        <v>6538</v>
      </c>
      <c r="G10" s="5" t="s">
        <v>1079</v>
      </c>
      <c r="H10" s="6"/>
      <c r="I10" s="6" t="s">
        <v>14</v>
      </c>
      <c r="J10" s="6" t="s">
        <v>5280</v>
      </c>
      <c r="K10" s="6">
        <v>980062</v>
      </c>
      <c r="L10" s="7" t="s">
        <v>6542</v>
      </c>
      <c r="M10" s="8">
        <v>22528</v>
      </c>
      <c r="N10" s="8" t="str">
        <f t="shared" si="5"/>
        <v>PEN</v>
      </c>
      <c r="O10" s="13"/>
      <c r="P10" s="13">
        <v>8</v>
      </c>
      <c r="Q10" s="3">
        <f t="shared" si="2"/>
        <v>0</v>
      </c>
      <c r="R10" s="3">
        <f t="shared" si="3"/>
        <v>8</v>
      </c>
      <c r="S10" s="3">
        <f t="shared" si="4"/>
        <v>166.74</v>
      </c>
      <c r="T10" s="24"/>
      <c r="U10" s="24"/>
      <c r="V10" s="3"/>
      <c r="W10" s="25" t="s">
        <v>6541</v>
      </c>
      <c r="X10" s="25"/>
      <c r="Y10" s="25" t="str">
        <f>IFERROR(VLOOKUP(C_Ope_001[[#This Row],[NOTA 2]],Clientes_Proveedores[[Ruc / Dni]:[Razon Social]],2,0),"")</f>
        <v/>
      </c>
      <c r="Z10" s="25"/>
      <c r="AA10" s="130"/>
      <c r="AB10" s="3" t="str">
        <f>IF(C_Ope_001[[#This Row],[FECHA]]&gt;0,TEXT(C_Ope_001[[#This Row],[FECHA]],"mmmm"),0)</f>
        <v>Enero</v>
      </c>
    </row>
    <row r="11" spans="2:28" ht="24" x14ac:dyDescent="0.3">
      <c r="B11" s="2">
        <f>IF(C_Ope_001[[#This Row],[TIPO DE R.]]="R",COUNTIFS($D$4:$D10,"R")+1,"")</f>
        <v>7</v>
      </c>
      <c r="C11" s="19" t="str">
        <f t="shared" si="0"/>
        <v>C_Ope_001</v>
      </c>
      <c r="D11" s="3" t="s">
        <v>1074</v>
      </c>
      <c r="E11" s="14">
        <v>45663</v>
      </c>
      <c r="F11" s="5" t="s">
        <v>6538</v>
      </c>
      <c r="G11" s="5" t="s">
        <v>1079</v>
      </c>
      <c r="H11" s="6"/>
      <c r="I11" s="6" t="s">
        <v>14</v>
      </c>
      <c r="J11" s="6" t="s">
        <v>5244</v>
      </c>
      <c r="K11" s="6">
        <v>1623795</v>
      </c>
      <c r="L11" s="7" t="s">
        <v>6543</v>
      </c>
      <c r="M11" s="8">
        <v>22551</v>
      </c>
      <c r="N11" s="8" t="str">
        <f t="shared" si="5"/>
        <v>PEN</v>
      </c>
      <c r="O11" s="13"/>
      <c r="P11" s="13">
        <v>8</v>
      </c>
      <c r="Q11" s="3">
        <f t="shared" si="2"/>
        <v>0</v>
      </c>
      <c r="R11" s="3">
        <f t="shared" si="3"/>
        <v>8</v>
      </c>
      <c r="S11" s="3">
        <f t="shared" si="4"/>
        <v>158.74</v>
      </c>
      <c r="T11" s="24"/>
      <c r="U11" s="24"/>
      <c r="V11" s="3"/>
      <c r="W11" s="25" t="s">
        <v>6541</v>
      </c>
      <c r="X11" s="25"/>
      <c r="Y11" s="25" t="str">
        <f>IFERROR(VLOOKUP(C_Ope_001[[#This Row],[NOTA 2]],Clientes_Proveedores[[Ruc / Dni]:[Razon Social]],2,0),"")</f>
        <v/>
      </c>
      <c r="Z11" s="25"/>
      <c r="AA11" s="130"/>
      <c r="AB11" s="3" t="str">
        <f>IF(C_Ope_001[[#This Row],[FECHA]]&gt;0,TEXT(C_Ope_001[[#This Row],[FECHA]],"mmmm"),0)</f>
        <v>Enero</v>
      </c>
    </row>
    <row r="12" spans="2:28" ht="24" x14ac:dyDescent="0.3">
      <c r="B12" s="2">
        <f>IF(C_Ope_001[[#This Row],[TIPO DE R.]]="R",COUNTIFS($D$4:$D11,"R")+1,"")</f>
        <v>8</v>
      </c>
      <c r="C12" s="19" t="str">
        <f t="shared" si="0"/>
        <v>C_Ope_001</v>
      </c>
      <c r="D12" s="3" t="s">
        <v>1074</v>
      </c>
      <c r="E12" s="14">
        <v>45663</v>
      </c>
      <c r="F12" s="5" t="s">
        <v>6538</v>
      </c>
      <c r="G12" s="5" t="s">
        <v>1079</v>
      </c>
      <c r="H12" s="6"/>
      <c r="I12" s="6" t="s">
        <v>14</v>
      </c>
      <c r="J12" s="6" t="s">
        <v>5245</v>
      </c>
      <c r="K12" s="6">
        <v>1642585</v>
      </c>
      <c r="L12" s="7" t="s">
        <v>6543</v>
      </c>
      <c r="M12" s="8">
        <v>22553</v>
      </c>
      <c r="N12" s="8" t="str">
        <f t="shared" si="5"/>
        <v>PEN</v>
      </c>
      <c r="O12" s="13"/>
      <c r="P12" s="13">
        <v>8</v>
      </c>
      <c r="Q12" s="3">
        <f t="shared" si="2"/>
        <v>0</v>
      </c>
      <c r="R12" s="3">
        <f t="shared" si="3"/>
        <v>8</v>
      </c>
      <c r="S12" s="3">
        <f t="shared" si="4"/>
        <v>150.74</v>
      </c>
      <c r="T12" s="24"/>
      <c r="U12" s="24"/>
      <c r="V12" s="3"/>
      <c r="W12" s="25" t="s">
        <v>6541</v>
      </c>
      <c r="X12" s="25"/>
      <c r="Y12" s="25" t="str">
        <f>IFERROR(VLOOKUP(C_Ope_001[[#This Row],[NOTA 2]],Clientes_Proveedores[[Ruc / Dni]:[Razon Social]],2,0),"")</f>
        <v/>
      </c>
      <c r="Z12" s="25"/>
      <c r="AA12" s="130"/>
      <c r="AB12" s="3" t="str">
        <f>IF(C_Ope_001[[#This Row],[FECHA]]&gt;0,TEXT(C_Ope_001[[#This Row],[FECHA]],"mmmm"),0)</f>
        <v>Enero</v>
      </c>
    </row>
    <row r="13" spans="2:28" ht="24" x14ac:dyDescent="0.3">
      <c r="B13" s="2">
        <f>IF(C_Ope_001[[#This Row],[TIPO DE R.]]="R",COUNTIFS($D$4:$D12,"R")+1,"")</f>
        <v>9</v>
      </c>
      <c r="C13" s="19" t="str">
        <f t="shared" si="0"/>
        <v>C_Ope_001</v>
      </c>
      <c r="D13" s="3" t="s">
        <v>1074</v>
      </c>
      <c r="E13" s="14">
        <v>45665</v>
      </c>
      <c r="F13" s="5" t="s">
        <v>6538</v>
      </c>
      <c r="G13" s="5" t="s">
        <v>1079</v>
      </c>
      <c r="H13" s="6"/>
      <c r="I13" s="6" t="s">
        <v>14</v>
      </c>
      <c r="J13" s="6" t="s">
        <v>5244</v>
      </c>
      <c r="K13" s="6">
        <v>1625596</v>
      </c>
      <c r="L13" s="7" t="s">
        <v>6544</v>
      </c>
      <c r="M13" s="8">
        <v>22590</v>
      </c>
      <c r="N13" s="8" t="str">
        <f t="shared" si="5"/>
        <v>PEN</v>
      </c>
      <c r="O13" s="13"/>
      <c r="P13" s="13">
        <v>8</v>
      </c>
      <c r="Q13" s="3">
        <f t="shared" si="2"/>
        <v>0</v>
      </c>
      <c r="R13" s="3">
        <f t="shared" si="3"/>
        <v>8</v>
      </c>
      <c r="S13" s="3">
        <f t="shared" si="4"/>
        <v>142.74</v>
      </c>
      <c r="T13" s="24"/>
      <c r="U13" s="24"/>
      <c r="V13" s="3"/>
      <c r="W13" s="25" t="s">
        <v>6541</v>
      </c>
      <c r="X13" s="25"/>
      <c r="Y13" s="25" t="str">
        <f>IFERROR(VLOOKUP(C_Ope_001[[#This Row],[NOTA 2]],Clientes_Proveedores[[Ruc / Dni]:[Razon Social]],2,0),"")</f>
        <v/>
      </c>
      <c r="Z13" s="25"/>
      <c r="AA13" s="130"/>
      <c r="AB13" s="3" t="str">
        <f>IF(C_Ope_001[[#This Row],[FECHA]]&gt;0,TEXT(C_Ope_001[[#This Row],[FECHA]],"mmmm"),0)</f>
        <v>Enero</v>
      </c>
    </row>
    <row r="14" spans="2:28" ht="24" x14ac:dyDescent="0.3">
      <c r="B14" s="2">
        <f>IF(C_Ope_001[[#This Row],[TIPO DE R.]]="R",COUNTIFS($D$4:$D13,"R")+1,"")</f>
        <v>10</v>
      </c>
      <c r="C14" s="19" t="str">
        <f t="shared" si="0"/>
        <v>C_Ope_001</v>
      </c>
      <c r="D14" s="3" t="s">
        <v>1074</v>
      </c>
      <c r="E14" s="14">
        <v>45665</v>
      </c>
      <c r="F14" s="5" t="s">
        <v>6538</v>
      </c>
      <c r="G14" s="5" t="s">
        <v>1079</v>
      </c>
      <c r="H14" s="6"/>
      <c r="I14" s="6" t="s">
        <v>14</v>
      </c>
      <c r="J14" s="6" t="s">
        <v>5242</v>
      </c>
      <c r="K14" s="6">
        <v>1921237</v>
      </c>
      <c r="L14" s="7" t="s">
        <v>6544</v>
      </c>
      <c r="M14" s="8">
        <v>22591</v>
      </c>
      <c r="N14" s="8" t="str">
        <f t="shared" si="5"/>
        <v>PEN</v>
      </c>
      <c r="O14" s="13"/>
      <c r="P14" s="13">
        <v>8</v>
      </c>
      <c r="Q14" s="3">
        <f t="shared" si="2"/>
        <v>0</v>
      </c>
      <c r="R14" s="3">
        <f t="shared" si="3"/>
        <v>8</v>
      </c>
      <c r="S14" s="3">
        <f t="shared" si="4"/>
        <v>134.74</v>
      </c>
      <c r="T14" s="24"/>
      <c r="U14" s="24"/>
      <c r="V14" s="3"/>
      <c r="W14" s="25" t="s">
        <v>6541</v>
      </c>
      <c r="X14" s="25"/>
      <c r="Y14" s="25" t="str">
        <f>IFERROR(VLOOKUP(C_Ope_001[[#This Row],[NOTA 2]],Clientes_Proveedores[[Ruc / Dni]:[Razon Social]],2,0),"")</f>
        <v/>
      </c>
      <c r="Z14" s="25"/>
      <c r="AA14" s="130"/>
      <c r="AB14" s="3" t="str">
        <f>IF(C_Ope_001[[#This Row],[FECHA]]&gt;0,TEXT(C_Ope_001[[#This Row],[FECHA]],"mmmm"),0)</f>
        <v>Enero</v>
      </c>
    </row>
    <row r="15" spans="2:28" ht="24" x14ac:dyDescent="0.3">
      <c r="B15" s="2">
        <f>IF(C_Ope_001[[#This Row],[TIPO DE R.]]="R",COUNTIFS($D$4:$D14,"R")+1,"")</f>
        <v>11</v>
      </c>
      <c r="C15" s="19" t="str">
        <f t="shared" si="0"/>
        <v>C_Ope_001</v>
      </c>
      <c r="D15" s="3" t="s">
        <v>1074</v>
      </c>
      <c r="E15" s="14">
        <v>45667</v>
      </c>
      <c r="F15" s="5" t="s">
        <v>6538</v>
      </c>
      <c r="G15" s="5" t="s">
        <v>1079</v>
      </c>
      <c r="H15" s="6"/>
      <c r="I15" s="6" t="s">
        <v>14</v>
      </c>
      <c r="J15" s="6" t="s">
        <v>5242</v>
      </c>
      <c r="K15" s="6">
        <v>1923433</v>
      </c>
      <c r="L15" s="7" t="s">
        <v>6545</v>
      </c>
      <c r="M15" s="8">
        <v>22611</v>
      </c>
      <c r="N15" s="8" t="str">
        <f t="shared" si="5"/>
        <v>PEN</v>
      </c>
      <c r="O15" s="13"/>
      <c r="P15" s="13">
        <v>8</v>
      </c>
      <c r="Q15" s="3">
        <f t="shared" si="2"/>
        <v>0</v>
      </c>
      <c r="R15" s="3">
        <f t="shared" si="3"/>
        <v>8</v>
      </c>
      <c r="S15" s="3">
        <f t="shared" si="4"/>
        <v>126.74000000000001</v>
      </c>
      <c r="T15" s="24"/>
      <c r="U15" s="24"/>
      <c r="V15" s="3"/>
      <c r="W15" s="25" t="s">
        <v>6546</v>
      </c>
      <c r="X15" s="25"/>
      <c r="Y15" s="25" t="str">
        <f>IFERROR(VLOOKUP(C_Ope_001[[#This Row],[NOTA 2]],Clientes_Proveedores[[Ruc / Dni]:[Razon Social]],2,0),"")</f>
        <v/>
      </c>
      <c r="Z15" s="25"/>
      <c r="AA15" s="130"/>
      <c r="AB15" s="3" t="str">
        <f>IF(C_Ope_001[[#This Row],[FECHA]]&gt;0,TEXT(C_Ope_001[[#This Row],[FECHA]],"mmmm"),0)</f>
        <v>Enero</v>
      </c>
    </row>
    <row r="16" spans="2:28" ht="24" x14ac:dyDescent="0.3">
      <c r="B16" s="2">
        <f>IF(C_Ope_001[[#This Row],[TIPO DE R.]]="R",COUNTIFS($D$4:$D15,"R")+1,"")</f>
        <v>12</v>
      </c>
      <c r="C16" s="19" t="str">
        <f t="shared" si="0"/>
        <v>C_Ope_001</v>
      </c>
      <c r="D16" s="3" t="s">
        <v>1074</v>
      </c>
      <c r="E16" s="14">
        <v>45667</v>
      </c>
      <c r="F16" s="5" t="s">
        <v>6538</v>
      </c>
      <c r="G16" s="5" t="s">
        <v>1079</v>
      </c>
      <c r="H16" s="6"/>
      <c r="I16" s="6" t="s">
        <v>14</v>
      </c>
      <c r="J16" s="6" t="s">
        <v>5244</v>
      </c>
      <c r="K16" s="6">
        <v>1627516</v>
      </c>
      <c r="L16" s="7" t="s">
        <v>6545</v>
      </c>
      <c r="M16" s="8">
        <v>22612</v>
      </c>
      <c r="N16" s="8" t="str">
        <f t="shared" si="5"/>
        <v>PEN</v>
      </c>
      <c r="O16" s="13"/>
      <c r="P16" s="13">
        <v>8</v>
      </c>
      <c r="Q16" s="3">
        <f t="shared" si="2"/>
        <v>0</v>
      </c>
      <c r="R16" s="3">
        <f t="shared" si="3"/>
        <v>8</v>
      </c>
      <c r="S16" s="3">
        <f t="shared" si="4"/>
        <v>118.74000000000001</v>
      </c>
      <c r="T16" s="24"/>
      <c r="U16" s="24"/>
      <c r="V16" s="3"/>
      <c r="W16" s="25" t="s">
        <v>6546</v>
      </c>
      <c r="X16" s="25"/>
      <c r="Y16" s="25" t="str">
        <f>IFERROR(VLOOKUP(C_Ope_001[[#This Row],[NOTA 2]],Clientes_Proveedores[[Ruc / Dni]:[Razon Social]],2,0),"")</f>
        <v/>
      </c>
      <c r="Z16" s="25"/>
      <c r="AA16" s="130"/>
      <c r="AB16" s="3" t="str">
        <f>IF(C_Ope_001[[#This Row],[FECHA]]&gt;0,TEXT(C_Ope_001[[#This Row],[FECHA]],"mmmm"),0)</f>
        <v>Enero</v>
      </c>
    </row>
    <row r="17" spans="2:28" ht="24" x14ac:dyDescent="0.3">
      <c r="B17" s="2">
        <f>IF(C_Ope_001[[#This Row],[TIPO DE R.]]="R",COUNTIFS($D$4:$D16,"R")+1,"")</f>
        <v>13</v>
      </c>
      <c r="C17" s="19" t="str">
        <f t="shared" si="0"/>
        <v>C_Ope_001</v>
      </c>
      <c r="D17" s="3" t="s">
        <v>1074</v>
      </c>
      <c r="E17" s="14">
        <v>45659</v>
      </c>
      <c r="F17" s="5" t="s">
        <v>6538</v>
      </c>
      <c r="G17" s="5" t="s">
        <v>1079</v>
      </c>
      <c r="H17" s="6"/>
      <c r="I17" s="6" t="s">
        <v>14</v>
      </c>
      <c r="J17" s="6" t="s">
        <v>1119</v>
      </c>
      <c r="K17" s="6">
        <v>16569</v>
      </c>
      <c r="L17" s="7" t="s">
        <v>6547</v>
      </c>
      <c r="M17" s="8">
        <v>22522</v>
      </c>
      <c r="N17" s="8" t="str">
        <f t="shared" si="5"/>
        <v>PEN</v>
      </c>
      <c r="O17" s="13"/>
      <c r="P17" s="13">
        <v>11</v>
      </c>
      <c r="Q17" s="3">
        <f t="shared" si="2"/>
        <v>0</v>
      </c>
      <c r="R17" s="3">
        <f t="shared" si="3"/>
        <v>11</v>
      </c>
      <c r="S17" s="3">
        <f t="shared" si="4"/>
        <v>107.74000000000001</v>
      </c>
      <c r="T17" s="24"/>
      <c r="U17" s="24"/>
      <c r="V17" s="3"/>
      <c r="W17" s="25" t="s">
        <v>6541</v>
      </c>
      <c r="X17" s="25"/>
      <c r="Y17" s="25" t="str">
        <f>IFERROR(VLOOKUP(C_Ope_001[[#This Row],[NOTA 2]],Clientes_Proveedores[[Ruc / Dni]:[Razon Social]],2,0),"")</f>
        <v/>
      </c>
      <c r="Z17" s="25"/>
      <c r="AA17" s="130"/>
      <c r="AB17" s="3" t="str">
        <f>IF(C_Ope_001[[#This Row],[FECHA]]&gt;0,TEXT(C_Ope_001[[#This Row],[FECHA]],"mmmm"),0)</f>
        <v>Enero</v>
      </c>
    </row>
    <row r="18" spans="2:28" x14ac:dyDescent="0.3">
      <c r="B18" s="2">
        <f>IF(C_Ope_001[[#This Row],[TIPO DE R.]]="R",COUNTIFS($D$4:$D17,"R")+1,"")</f>
        <v>14</v>
      </c>
      <c r="C18" s="19" t="str">
        <f t="shared" si="0"/>
        <v>C_Ope_001</v>
      </c>
      <c r="D18" s="3" t="s">
        <v>1074</v>
      </c>
      <c r="E18" s="14">
        <v>45664</v>
      </c>
      <c r="F18" s="5" t="s">
        <v>6538</v>
      </c>
      <c r="G18" s="5" t="s">
        <v>1079</v>
      </c>
      <c r="H18" s="6"/>
      <c r="I18" s="6" t="s">
        <v>14</v>
      </c>
      <c r="J18" s="6" t="s">
        <v>1088</v>
      </c>
      <c r="K18" s="6">
        <v>33416</v>
      </c>
      <c r="L18" s="7" t="s">
        <v>6548</v>
      </c>
      <c r="M18" s="8">
        <v>22575</v>
      </c>
      <c r="N18" s="8" t="str">
        <f t="shared" si="5"/>
        <v>PEN</v>
      </c>
      <c r="O18" s="13"/>
      <c r="P18" s="13">
        <v>10</v>
      </c>
      <c r="Q18" s="3">
        <f t="shared" si="2"/>
        <v>0</v>
      </c>
      <c r="R18" s="3">
        <f t="shared" si="3"/>
        <v>10</v>
      </c>
      <c r="S18" s="3">
        <f t="shared" si="4"/>
        <v>97.740000000000009</v>
      </c>
      <c r="T18" s="24"/>
      <c r="U18" s="24"/>
      <c r="V18" s="3"/>
      <c r="W18" s="25" t="s">
        <v>6541</v>
      </c>
      <c r="X18" s="25"/>
      <c r="Y18" s="25" t="str">
        <f>IFERROR(VLOOKUP(C_Ope_001[[#This Row],[NOTA 2]],Clientes_Proveedores[[Ruc / Dni]:[Razon Social]],2,0),"")</f>
        <v/>
      </c>
      <c r="Z18" s="25"/>
      <c r="AA18" s="130"/>
      <c r="AB18" s="3" t="str">
        <f>IF(C_Ope_001[[#This Row],[FECHA]]&gt;0,TEXT(C_Ope_001[[#This Row],[FECHA]],"mmmm"),0)</f>
        <v>Enero</v>
      </c>
    </row>
    <row r="19" spans="2:28" ht="24" x14ac:dyDescent="0.3">
      <c r="B19" s="2">
        <f>IF(C_Ope_001[[#This Row],[TIPO DE R.]]="R",COUNTIFS($D$4:$D18,"R")+1,"")</f>
        <v>15</v>
      </c>
      <c r="C19" s="19" t="str">
        <f t="shared" si="0"/>
        <v>C_Ope_001</v>
      </c>
      <c r="D19" s="3" t="s">
        <v>1074</v>
      </c>
      <c r="E19" s="14">
        <v>45665</v>
      </c>
      <c r="F19" s="5" t="s">
        <v>6538</v>
      </c>
      <c r="G19" s="5" t="s">
        <v>1079</v>
      </c>
      <c r="H19" s="6"/>
      <c r="I19" s="6" t="s">
        <v>14</v>
      </c>
      <c r="J19" s="6" t="s">
        <v>1097</v>
      </c>
      <c r="K19" s="6">
        <v>15270</v>
      </c>
      <c r="L19" s="7" t="s">
        <v>6549</v>
      </c>
      <c r="M19" s="8">
        <v>22589</v>
      </c>
      <c r="N19" s="8" t="str">
        <f t="shared" si="5"/>
        <v>PEN</v>
      </c>
      <c r="O19" s="13"/>
      <c r="P19" s="13">
        <v>20</v>
      </c>
      <c r="Q19" s="3">
        <f t="shared" si="2"/>
        <v>0</v>
      </c>
      <c r="R19" s="3">
        <f t="shared" si="3"/>
        <v>20</v>
      </c>
      <c r="S19" s="3">
        <f t="shared" si="4"/>
        <v>77.740000000000009</v>
      </c>
      <c r="T19" s="24"/>
      <c r="U19" s="24"/>
      <c r="V19" s="3"/>
      <c r="W19" s="25" t="s">
        <v>6541</v>
      </c>
      <c r="X19" s="25"/>
      <c r="Y19" s="25" t="str">
        <f>IFERROR(VLOOKUP(C_Ope_001[[#This Row],[NOTA 2]],Clientes_Proveedores[[Ruc / Dni]:[Razon Social]],2,0),"")</f>
        <v/>
      </c>
      <c r="Z19" s="25"/>
      <c r="AA19" s="130"/>
      <c r="AB19" s="3" t="str">
        <f>IF(C_Ope_001[[#This Row],[FECHA]]&gt;0,TEXT(C_Ope_001[[#This Row],[FECHA]],"mmmm"),0)</f>
        <v>Enero</v>
      </c>
    </row>
    <row r="20" spans="2:28" x14ac:dyDescent="0.3">
      <c r="B20" s="2">
        <f>IF(C_Ope_001[[#This Row],[TIPO DE R.]]="R",COUNTIFS($D$4:$D19,"R")+1,"")</f>
        <v>16</v>
      </c>
      <c r="C20" s="19" t="str">
        <f t="shared" si="0"/>
        <v>C_Ope_001</v>
      </c>
      <c r="D20" s="3" t="s">
        <v>1074</v>
      </c>
      <c r="E20" s="14">
        <v>45666</v>
      </c>
      <c r="F20" s="5" t="s">
        <v>6538</v>
      </c>
      <c r="G20" s="5" t="s">
        <v>1079</v>
      </c>
      <c r="H20" s="6"/>
      <c r="I20" s="6" t="s">
        <v>14</v>
      </c>
      <c r="J20" s="6" t="s">
        <v>1148</v>
      </c>
      <c r="K20" s="6">
        <v>126658</v>
      </c>
      <c r="L20" s="7" t="s">
        <v>6550</v>
      </c>
      <c r="M20" s="8">
        <v>22598</v>
      </c>
      <c r="N20" s="8" t="str">
        <f t="shared" si="5"/>
        <v>PEN</v>
      </c>
      <c r="O20" s="13"/>
      <c r="P20" s="13">
        <v>10</v>
      </c>
      <c r="Q20" s="3">
        <f t="shared" si="2"/>
        <v>0</v>
      </c>
      <c r="R20" s="3">
        <f t="shared" si="3"/>
        <v>10</v>
      </c>
      <c r="S20" s="3">
        <f t="shared" si="4"/>
        <v>67.740000000000009</v>
      </c>
      <c r="T20" s="24"/>
      <c r="U20" s="24"/>
      <c r="V20" s="3"/>
      <c r="W20" s="25" t="s">
        <v>6546</v>
      </c>
      <c r="X20" s="25"/>
      <c r="Y20" s="25" t="str">
        <f>IFERROR(VLOOKUP(C_Ope_001[[#This Row],[NOTA 2]],Clientes_Proveedores[[Ruc / Dni]:[Razon Social]],2,0),"")</f>
        <v/>
      </c>
      <c r="Z20" s="25"/>
      <c r="AA20" s="130"/>
      <c r="AB20" s="3" t="str">
        <f>IF(C_Ope_001[[#This Row],[FECHA]]&gt;0,TEXT(C_Ope_001[[#This Row],[FECHA]],"mmmm"),0)</f>
        <v>Enero</v>
      </c>
    </row>
    <row r="21" spans="2:28" x14ac:dyDescent="0.3">
      <c r="B21" s="2">
        <f>IF(C_Ope_001[[#This Row],[TIPO DE R.]]="R",COUNTIFS($D$4:$D20,"R")+1,"")</f>
        <v>17</v>
      </c>
      <c r="C21" s="19" t="str">
        <f t="shared" si="0"/>
        <v>C_Ope_001</v>
      </c>
      <c r="D21" s="3" t="s">
        <v>1074</v>
      </c>
      <c r="E21" s="14">
        <v>45666</v>
      </c>
      <c r="F21" s="5" t="s">
        <v>6538</v>
      </c>
      <c r="G21" s="5" t="s">
        <v>1079</v>
      </c>
      <c r="H21" s="6"/>
      <c r="I21" s="6" t="s">
        <v>14</v>
      </c>
      <c r="J21" s="6" t="s">
        <v>1119</v>
      </c>
      <c r="K21" s="6">
        <v>126653</v>
      </c>
      <c r="L21" s="7" t="s">
        <v>6551</v>
      </c>
      <c r="M21" s="8">
        <v>22600</v>
      </c>
      <c r="N21" s="8" t="str">
        <f t="shared" si="5"/>
        <v>PEN</v>
      </c>
      <c r="O21" s="13"/>
      <c r="P21" s="13">
        <v>10</v>
      </c>
      <c r="Q21" s="3">
        <f t="shared" si="2"/>
        <v>0</v>
      </c>
      <c r="R21" s="3">
        <f t="shared" si="3"/>
        <v>10</v>
      </c>
      <c r="S21" s="3">
        <f t="shared" si="4"/>
        <v>57.740000000000009</v>
      </c>
      <c r="T21" s="24"/>
      <c r="U21" s="24"/>
      <c r="V21" s="3"/>
      <c r="W21" s="25" t="s">
        <v>6546</v>
      </c>
      <c r="X21" s="25"/>
      <c r="Y21" s="25" t="str">
        <f>IFERROR(VLOOKUP(C_Ope_001[[#This Row],[NOTA 2]],Clientes_Proveedores[[Ruc / Dni]:[Razon Social]],2,0),"")</f>
        <v/>
      </c>
      <c r="Z21" s="25"/>
      <c r="AA21" s="130"/>
      <c r="AB21" s="3" t="str">
        <f>IF(C_Ope_001[[#This Row],[FECHA]]&gt;0,TEXT(C_Ope_001[[#This Row],[FECHA]],"mmmm"),0)</f>
        <v>Enero</v>
      </c>
    </row>
    <row r="22" spans="2:28" x14ac:dyDescent="0.3">
      <c r="B22" s="2">
        <f>IF(C_Ope_001[[#This Row],[TIPO DE R.]]="R",COUNTIFS($D$4:$D21,"R")+1,"")</f>
        <v>18</v>
      </c>
      <c r="C22" s="19" t="str">
        <f t="shared" si="0"/>
        <v>C_Ope_001</v>
      </c>
      <c r="D22" s="3" t="s">
        <v>1074</v>
      </c>
      <c r="E22" s="14">
        <v>45666</v>
      </c>
      <c r="F22" s="5" t="s">
        <v>6538</v>
      </c>
      <c r="G22" s="5" t="s">
        <v>1079</v>
      </c>
      <c r="H22" s="6"/>
      <c r="I22" s="6" t="s">
        <v>14</v>
      </c>
      <c r="J22" s="6" t="s">
        <v>1148</v>
      </c>
      <c r="K22" s="6">
        <v>126651</v>
      </c>
      <c r="L22" s="7" t="s">
        <v>6552</v>
      </c>
      <c r="M22" s="8">
        <v>22601</v>
      </c>
      <c r="N22" s="8" t="str">
        <f t="shared" si="5"/>
        <v>PEN</v>
      </c>
      <c r="O22" s="13"/>
      <c r="P22" s="13">
        <v>10</v>
      </c>
      <c r="Q22" s="3">
        <f t="shared" si="2"/>
        <v>0</v>
      </c>
      <c r="R22" s="3">
        <f t="shared" si="3"/>
        <v>10</v>
      </c>
      <c r="S22" s="3">
        <f t="shared" si="4"/>
        <v>47.740000000000009</v>
      </c>
      <c r="T22" s="24"/>
      <c r="U22" s="24"/>
      <c r="V22" s="3"/>
      <c r="W22" s="25" t="s">
        <v>6546</v>
      </c>
      <c r="X22" s="25"/>
      <c r="Y22" s="25" t="str">
        <f>IFERROR(VLOOKUP(C_Ope_001[[#This Row],[NOTA 2]],Clientes_Proveedores[[Ruc / Dni]:[Razon Social]],2,0),"")</f>
        <v/>
      </c>
      <c r="Z22" s="25"/>
      <c r="AA22" s="130"/>
      <c r="AB22" s="3" t="str">
        <f>IF(C_Ope_001[[#This Row],[FECHA]]&gt;0,TEXT(C_Ope_001[[#This Row],[FECHA]],"mmmm"),0)</f>
        <v>Enero</v>
      </c>
    </row>
    <row r="23" spans="2:28" x14ac:dyDescent="0.3">
      <c r="B23" s="2">
        <f>IF(C_Ope_001[[#This Row],[TIPO DE R.]]="R",COUNTIFS($D$4:$D22,"R")+1,"")</f>
        <v>19</v>
      </c>
      <c r="C23" s="19" t="str">
        <f t="shared" si="0"/>
        <v>C_Ope_001</v>
      </c>
      <c r="D23" s="3" t="s">
        <v>1074</v>
      </c>
      <c r="E23" s="14">
        <v>45670</v>
      </c>
      <c r="F23" s="5" t="s">
        <v>6299</v>
      </c>
      <c r="G23" s="5" t="s">
        <v>1087</v>
      </c>
      <c r="H23" s="6"/>
      <c r="I23" s="6"/>
      <c r="J23" s="6"/>
      <c r="K23" s="6"/>
      <c r="L23" s="7" t="s">
        <v>6302</v>
      </c>
      <c r="M23" s="8">
        <v>22622</v>
      </c>
      <c r="N23" s="8" t="str">
        <f t="shared" si="5"/>
        <v>PEN</v>
      </c>
      <c r="O23" s="13"/>
      <c r="P23" s="13">
        <v>150</v>
      </c>
      <c r="Q23" s="3">
        <f t="shared" si="2"/>
        <v>150</v>
      </c>
      <c r="R23" s="3">
        <f t="shared" si="3"/>
        <v>0</v>
      </c>
      <c r="S23" s="3">
        <f t="shared" si="4"/>
        <v>197.74</v>
      </c>
      <c r="T23" s="24"/>
      <c r="U23" s="24"/>
      <c r="V23" s="3"/>
      <c r="W23" s="25"/>
      <c r="X23" s="25"/>
      <c r="Y23" s="25" t="str">
        <f>IFERROR(VLOOKUP(C_Ope_001[[#This Row],[NOTA 2]],Clientes_Proveedores[[Ruc / Dni]:[Razon Social]],2,0),"")</f>
        <v/>
      </c>
      <c r="Z23" s="25"/>
      <c r="AA23" s="130"/>
      <c r="AB23" s="3" t="str">
        <f>IF(C_Ope_001[[#This Row],[FECHA]]&gt;0,TEXT(C_Ope_001[[#This Row],[FECHA]],"mmmm"),0)</f>
        <v>Enero</v>
      </c>
    </row>
    <row r="24" spans="2:28" ht="24" x14ac:dyDescent="0.3">
      <c r="B24" s="2">
        <f>IF(C_Ope_001[[#This Row],[TIPO DE R.]]="R",COUNTIFS($D$4:$D23,"R")+1,"")</f>
        <v>20</v>
      </c>
      <c r="C24" s="19" t="str">
        <f t="shared" si="0"/>
        <v>C_Ope_001</v>
      </c>
      <c r="D24" s="3" t="s">
        <v>1074</v>
      </c>
      <c r="E24" s="14">
        <v>45670</v>
      </c>
      <c r="F24" s="5" t="s">
        <v>6538</v>
      </c>
      <c r="G24" s="5" t="s">
        <v>1079</v>
      </c>
      <c r="H24" s="6"/>
      <c r="I24" s="6" t="s">
        <v>14</v>
      </c>
      <c r="J24" s="6" t="s">
        <v>5244</v>
      </c>
      <c r="K24" s="6">
        <v>1629749</v>
      </c>
      <c r="L24" s="7" t="s">
        <v>6553</v>
      </c>
      <c r="M24" s="8">
        <v>22623</v>
      </c>
      <c r="N24" s="8" t="str">
        <f t="shared" si="5"/>
        <v>PEN</v>
      </c>
      <c r="O24" s="13"/>
      <c r="P24" s="13">
        <v>8</v>
      </c>
      <c r="Q24" s="3">
        <f t="shared" si="2"/>
        <v>0</v>
      </c>
      <c r="R24" s="3">
        <f t="shared" si="3"/>
        <v>8</v>
      </c>
      <c r="S24" s="3">
        <f t="shared" si="4"/>
        <v>189.74</v>
      </c>
      <c r="T24" s="24"/>
      <c r="U24" s="24"/>
      <c r="V24" s="3"/>
      <c r="W24" s="25" t="s">
        <v>6541</v>
      </c>
      <c r="X24" s="25"/>
      <c r="Y24" s="25" t="str">
        <f>IFERROR(VLOOKUP(C_Ope_001[[#This Row],[NOTA 2]],Clientes_Proveedores[[Ruc / Dni]:[Razon Social]],2,0),"")</f>
        <v/>
      </c>
      <c r="Z24" s="25"/>
      <c r="AA24" s="130"/>
      <c r="AB24" s="3" t="str">
        <f>IF(C_Ope_001[[#This Row],[FECHA]]&gt;0,TEXT(C_Ope_001[[#This Row],[FECHA]],"mmmm"),0)</f>
        <v>Enero</v>
      </c>
    </row>
    <row r="25" spans="2:28" ht="24" x14ac:dyDescent="0.3">
      <c r="B25" s="2">
        <f>IF(C_Ope_001[[#This Row],[TIPO DE R.]]="R",COUNTIFS($D$4:$D24,"R")+1,"")</f>
        <v>21</v>
      </c>
      <c r="C25" s="19" t="str">
        <f t="shared" si="0"/>
        <v>C_Ope_001</v>
      </c>
      <c r="D25" s="3" t="s">
        <v>1074</v>
      </c>
      <c r="E25" s="14">
        <v>45670</v>
      </c>
      <c r="F25" s="5" t="s">
        <v>6538</v>
      </c>
      <c r="G25" s="5" t="s">
        <v>1079</v>
      </c>
      <c r="H25" s="6"/>
      <c r="I25" s="6" t="s">
        <v>14</v>
      </c>
      <c r="J25" s="6" t="s">
        <v>5242</v>
      </c>
      <c r="K25" s="6">
        <v>1926424</v>
      </c>
      <c r="L25" s="7" t="s">
        <v>6553</v>
      </c>
      <c r="M25" s="8">
        <v>22629</v>
      </c>
      <c r="N25" s="8" t="str">
        <f t="shared" si="5"/>
        <v>PEN</v>
      </c>
      <c r="O25" s="13"/>
      <c r="P25" s="13">
        <v>8</v>
      </c>
      <c r="Q25" s="3">
        <f t="shared" si="2"/>
        <v>0</v>
      </c>
      <c r="R25" s="3">
        <f t="shared" si="3"/>
        <v>8</v>
      </c>
      <c r="S25" s="3">
        <f t="shared" si="4"/>
        <v>181.74</v>
      </c>
      <c r="T25" s="24"/>
      <c r="U25" s="24"/>
      <c r="V25" s="3"/>
      <c r="W25" s="25" t="s">
        <v>6541</v>
      </c>
      <c r="X25" s="25"/>
      <c r="Y25" s="25" t="str">
        <f>IFERROR(VLOOKUP(C_Ope_001[[#This Row],[NOTA 2]],Clientes_Proveedores[[Ruc / Dni]:[Razon Social]],2,0),"")</f>
        <v/>
      </c>
      <c r="Z25" s="25"/>
      <c r="AA25" s="130"/>
      <c r="AB25" s="3" t="str">
        <f>IF(C_Ope_001[[#This Row],[FECHA]]&gt;0,TEXT(C_Ope_001[[#This Row],[FECHA]],"mmmm"),0)</f>
        <v>Enero</v>
      </c>
    </row>
    <row r="26" spans="2:28" ht="24" x14ac:dyDescent="0.3">
      <c r="B26" s="2">
        <f>IF(C_Ope_001[[#This Row],[TIPO DE R.]]="R",COUNTIFS($D$4:$D25,"R")+1,"")</f>
        <v>22</v>
      </c>
      <c r="C26" s="19" t="str">
        <f t="shared" si="0"/>
        <v>C_Ope_001</v>
      </c>
      <c r="D26" s="3" t="s">
        <v>1074</v>
      </c>
      <c r="E26" s="14">
        <v>45672</v>
      </c>
      <c r="F26" s="5" t="s">
        <v>6538</v>
      </c>
      <c r="G26" s="5" t="s">
        <v>1079</v>
      </c>
      <c r="H26" s="6"/>
      <c r="I26" s="6" t="s">
        <v>14</v>
      </c>
      <c r="J26" s="6" t="s">
        <v>5245</v>
      </c>
      <c r="K26" s="6">
        <v>1650209</v>
      </c>
      <c r="L26" s="7" t="s">
        <v>6554</v>
      </c>
      <c r="M26" s="8">
        <v>22656</v>
      </c>
      <c r="N26" s="8" t="str">
        <f t="shared" si="5"/>
        <v>PEN</v>
      </c>
      <c r="O26" s="13"/>
      <c r="P26" s="13">
        <v>5</v>
      </c>
      <c r="Q26" s="3">
        <f t="shared" si="2"/>
        <v>0</v>
      </c>
      <c r="R26" s="3">
        <f t="shared" si="3"/>
        <v>5</v>
      </c>
      <c r="S26" s="3">
        <f t="shared" si="4"/>
        <v>176.74</v>
      </c>
      <c r="T26" s="24"/>
      <c r="U26" s="24"/>
      <c r="V26" s="3"/>
      <c r="W26" s="25" t="s">
        <v>6541</v>
      </c>
      <c r="X26" s="25"/>
      <c r="Y26" s="25" t="str">
        <f>IFERROR(VLOOKUP(C_Ope_001[[#This Row],[NOTA 2]],Clientes_Proveedores[[Ruc / Dni]:[Razon Social]],2,0),"")</f>
        <v/>
      </c>
      <c r="Z26" s="25"/>
      <c r="AA26" s="130"/>
      <c r="AB26" s="3" t="str">
        <f>IF(C_Ope_001[[#This Row],[FECHA]]&gt;0,TEXT(C_Ope_001[[#This Row],[FECHA]],"mmmm"),0)</f>
        <v>Enero</v>
      </c>
    </row>
    <row r="27" spans="2:28" ht="24" x14ac:dyDescent="0.3">
      <c r="B27" s="2">
        <f>IF(C_Ope_001[[#This Row],[TIPO DE R.]]="R",COUNTIFS($D$4:$D26,"R")+1,"")</f>
        <v>23</v>
      </c>
      <c r="C27" s="19" t="str">
        <f t="shared" si="0"/>
        <v>C_Ope_001</v>
      </c>
      <c r="D27" s="3" t="s">
        <v>1074</v>
      </c>
      <c r="E27" s="14">
        <v>45672</v>
      </c>
      <c r="F27" s="5" t="s">
        <v>6538</v>
      </c>
      <c r="G27" s="5" t="s">
        <v>1079</v>
      </c>
      <c r="H27" s="6"/>
      <c r="I27" s="6" t="s">
        <v>14</v>
      </c>
      <c r="J27" s="6" t="s">
        <v>5244</v>
      </c>
      <c r="K27" s="6">
        <v>1631923</v>
      </c>
      <c r="L27" s="7" t="s">
        <v>6554</v>
      </c>
      <c r="M27" s="8">
        <v>22657</v>
      </c>
      <c r="N27" s="8" t="str">
        <f t="shared" si="5"/>
        <v>PEN</v>
      </c>
      <c r="O27" s="13"/>
      <c r="P27" s="13">
        <v>8</v>
      </c>
      <c r="Q27" s="3">
        <f t="shared" si="2"/>
        <v>0</v>
      </c>
      <c r="R27" s="3">
        <f t="shared" si="3"/>
        <v>8</v>
      </c>
      <c r="S27" s="3">
        <f t="shared" si="4"/>
        <v>168.74</v>
      </c>
      <c r="T27" s="24"/>
      <c r="U27" s="24"/>
      <c r="V27" s="3"/>
      <c r="W27" s="25" t="s">
        <v>6541</v>
      </c>
      <c r="X27" s="25"/>
      <c r="Y27" s="25" t="str">
        <f>IFERROR(VLOOKUP(C_Ope_001[[#This Row],[NOTA 2]],Clientes_Proveedores[[Ruc / Dni]:[Razon Social]],2,0),"")</f>
        <v/>
      </c>
      <c r="Z27" s="25"/>
      <c r="AA27" s="130"/>
      <c r="AB27" s="3" t="str">
        <f>IF(C_Ope_001[[#This Row],[FECHA]]&gt;0,TEXT(C_Ope_001[[#This Row],[FECHA]],"mmmm"),0)</f>
        <v>Enero</v>
      </c>
    </row>
    <row r="28" spans="2:28" ht="24" x14ac:dyDescent="0.3">
      <c r="B28" s="2">
        <f>IF(C_Ope_001[[#This Row],[TIPO DE R.]]="R",COUNTIFS($D$4:$D27,"R")+1,"")</f>
        <v>24</v>
      </c>
      <c r="C28" s="19" t="str">
        <f t="shared" si="0"/>
        <v>C_Ope_001</v>
      </c>
      <c r="D28" s="3" t="s">
        <v>1074</v>
      </c>
      <c r="E28" s="14">
        <v>45673</v>
      </c>
      <c r="F28" s="5" t="s">
        <v>6538</v>
      </c>
      <c r="G28" s="5" t="s">
        <v>1079</v>
      </c>
      <c r="H28" s="6"/>
      <c r="I28" s="6" t="s">
        <v>14</v>
      </c>
      <c r="J28" s="6" t="s">
        <v>5245</v>
      </c>
      <c r="K28" s="6">
        <v>1651158</v>
      </c>
      <c r="L28" s="7" t="s">
        <v>6555</v>
      </c>
      <c r="M28" s="8">
        <v>22672</v>
      </c>
      <c r="N28" s="8" t="str">
        <f t="shared" si="5"/>
        <v>PEN</v>
      </c>
      <c r="O28" s="13"/>
      <c r="P28" s="13">
        <v>8</v>
      </c>
      <c r="Q28" s="3">
        <f t="shared" si="2"/>
        <v>0</v>
      </c>
      <c r="R28" s="3">
        <f t="shared" si="3"/>
        <v>8</v>
      </c>
      <c r="S28" s="3">
        <f t="shared" si="4"/>
        <v>160.74</v>
      </c>
      <c r="T28" s="24"/>
      <c r="U28" s="24"/>
      <c r="V28" s="3"/>
      <c r="W28" s="25" t="s">
        <v>6541</v>
      </c>
      <c r="X28" s="25"/>
      <c r="Y28" s="25" t="str">
        <f>IFERROR(VLOOKUP(C_Ope_001[[#This Row],[NOTA 2]],Clientes_Proveedores[[Ruc / Dni]:[Razon Social]],2,0),"")</f>
        <v/>
      </c>
      <c r="Z28" s="25"/>
      <c r="AA28" s="130"/>
      <c r="AB28" s="3" t="str">
        <f>IF(C_Ope_001[[#This Row],[FECHA]]&gt;0,TEXT(C_Ope_001[[#This Row],[FECHA]],"mmmm"),0)</f>
        <v>Enero</v>
      </c>
    </row>
    <row r="29" spans="2:28" ht="24" x14ac:dyDescent="0.3">
      <c r="B29" s="2">
        <f>IF(C_Ope_001[[#This Row],[TIPO DE R.]]="R",COUNTIFS($D$4:$D28,"R")+1,"")</f>
        <v>25</v>
      </c>
      <c r="C29" s="19" t="str">
        <f t="shared" si="0"/>
        <v>C_Ope_001</v>
      </c>
      <c r="D29" s="3" t="s">
        <v>1074</v>
      </c>
      <c r="E29" s="14">
        <v>45673</v>
      </c>
      <c r="F29" s="5" t="s">
        <v>6538</v>
      </c>
      <c r="G29" s="5" t="s">
        <v>1079</v>
      </c>
      <c r="H29" s="6"/>
      <c r="I29" s="6" t="s">
        <v>14</v>
      </c>
      <c r="J29" s="6" t="s">
        <v>5244</v>
      </c>
      <c r="K29" s="6">
        <v>1632608</v>
      </c>
      <c r="L29" s="7" t="s">
        <v>6555</v>
      </c>
      <c r="M29" s="8">
        <v>22673</v>
      </c>
      <c r="N29" s="8" t="str">
        <f t="shared" si="5"/>
        <v>PEN</v>
      </c>
      <c r="O29" s="13"/>
      <c r="P29" s="13">
        <v>8</v>
      </c>
      <c r="Q29" s="3">
        <f t="shared" si="2"/>
        <v>0</v>
      </c>
      <c r="R29" s="3">
        <f t="shared" si="3"/>
        <v>8</v>
      </c>
      <c r="S29" s="3">
        <f t="shared" si="4"/>
        <v>152.74</v>
      </c>
      <c r="T29" s="24"/>
      <c r="U29" s="24"/>
      <c r="V29" s="3"/>
      <c r="W29" s="25" t="s">
        <v>6541</v>
      </c>
      <c r="X29" s="25"/>
      <c r="Y29" s="25" t="str">
        <f>IFERROR(VLOOKUP(C_Ope_001[[#This Row],[NOTA 2]],Clientes_Proveedores[[Ruc / Dni]:[Razon Social]],2,0),"")</f>
        <v/>
      </c>
      <c r="Z29" s="25"/>
      <c r="AA29" s="130"/>
      <c r="AB29" s="3" t="str">
        <f>IF(C_Ope_001[[#This Row],[FECHA]]&gt;0,TEXT(C_Ope_001[[#This Row],[FECHA]],"mmmm"),0)</f>
        <v>Enero</v>
      </c>
    </row>
    <row r="30" spans="2:28" ht="24" x14ac:dyDescent="0.3">
      <c r="B30" s="2">
        <f>IF(C_Ope_001[[#This Row],[TIPO DE R.]]="R",COUNTIFS($D$4:$D29,"R")+1,"")</f>
        <v>26</v>
      </c>
      <c r="C30" s="19" t="str">
        <f t="shared" si="0"/>
        <v>C_Ope_001</v>
      </c>
      <c r="D30" s="3" t="s">
        <v>1074</v>
      </c>
      <c r="E30" s="14">
        <v>45674</v>
      </c>
      <c r="F30" s="5" t="s">
        <v>6538</v>
      </c>
      <c r="G30" s="5" t="s">
        <v>1079</v>
      </c>
      <c r="H30" s="6"/>
      <c r="I30" s="6" t="s">
        <v>14</v>
      </c>
      <c r="J30" s="6" t="s">
        <v>6556</v>
      </c>
      <c r="K30" s="6">
        <v>446158</v>
      </c>
      <c r="L30" s="7" t="s">
        <v>6557</v>
      </c>
      <c r="M30" s="8">
        <v>22688</v>
      </c>
      <c r="N30" s="8" t="str">
        <f t="shared" si="5"/>
        <v>PEN</v>
      </c>
      <c r="O30" s="13"/>
      <c r="P30" s="13">
        <v>8</v>
      </c>
      <c r="Q30" s="3">
        <f t="shared" si="2"/>
        <v>0</v>
      </c>
      <c r="R30" s="3">
        <f t="shared" si="3"/>
        <v>8</v>
      </c>
      <c r="S30" s="3">
        <f t="shared" si="4"/>
        <v>144.74</v>
      </c>
      <c r="T30" s="24"/>
      <c r="U30" s="24"/>
      <c r="V30" s="3"/>
      <c r="W30" s="25" t="s">
        <v>6541</v>
      </c>
      <c r="X30" s="25"/>
      <c r="Y30" s="25" t="str">
        <f>IFERROR(VLOOKUP(C_Ope_001[[#This Row],[NOTA 2]],Clientes_Proveedores[[Ruc / Dni]:[Razon Social]],2,0),"")</f>
        <v/>
      </c>
      <c r="Z30" s="25"/>
      <c r="AA30" s="130"/>
      <c r="AB30" s="3" t="str">
        <f>IF(C_Ope_001[[#This Row],[FECHA]]&gt;0,TEXT(C_Ope_001[[#This Row],[FECHA]],"mmmm"),0)</f>
        <v>Enero</v>
      </c>
    </row>
    <row r="31" spans="2:28" ht="24" x14ac:dyDescent="0.3">
      <c r="B31" s="2">
        <f>IF(C_Ope_001[[#This Row],[TIPO DE R.]]="R",COUNTIFS($D$4:$D30,"R")+1,"")</f>
        <v>27</v>
      </c>
      <c r="C31" s="19" t="str">
        <f t="shared" si="0"/>
        <v>C_Ope_001</v>
      </c>
      <c r="D31" s="3" t="s">
        <v>1074</v>
      </c>
      <c r="E31" s="14">
        <v>45674</v>
      </c>
      <c r="F31" s="5" t="s">
        <v>6538</v>
      </c>
      <c r="G31" s="5" t="s">
        <v>1079</v>
      </c>
      <c r="H31" s="6"/>
      <c r="I31" s="6" t="s">
        <v>14</v>
      </c>
      <c r="J31" s="6" t="s">
        <v>5244</v>
      </c>
      <c r="K31" s="6">
        <v>1633539</v>
      </c>
      <c r="L31" s="7" t="s">
        <v>6558</v>
      </c>
      <c r="M31" s="8">
        <v>22689</v>
      </c>
      <c r="N31" s="8" t="str">
        <f t="shared" si="5"/>
        <v>PEN</v>
      </c>
      <c r="O31" s="13"/>
      <c r="P31" s="13">
        <v>8</v>
      </c>
      <c r="Q31" s="3">
        <f t="shared" si="2"/>
        <v>0</v>
      </c>
      <c r="R31" s="3">
        <f t="shared" si="3"/>
        <v>8</v>
      </c>
      <c r="S31" s="3">
        <f t="shared" si="4"/>
        <v>136.74</v>
      </c>
      <c r="T31" s="24"/>
      <c r="U31" s="24"/>
      <c r="V31" s="3"/>
      <c r="W31" s="25" t="s">
        <v>6541</v>
      </c>
      <c r="X31" s="25"/>
      <c r="Y31" s="25" t="str">
        <f>IFERROR(VLOOKUP(C_Ope_001[[#This Row],[NOTA 2]],Clientes_Proveedores[[Ruc / Dni]:[Razon Social]],2,0),"")</f>
        <v/>
      </c>
      <c r="Z31" s="25"/>
      <c r="AA31" s="130"/>
      <c r="AB31" s="3" t="str">
        <f>IF(C_Ope_001[[#This Row],[FECHA]]&gt;0,TEXT(C_Ope_001[[#This Row],[FECHA]],"mmmm"),0)</f>
        <v>Enero</v>
      </c>
    </row>
    <row r="32" spans="2:28" ht="24" x14ac:dyDescent="0.3">
      <c r="B32" s="2">
        <f>IF(C_Ope_001[[#This Row],[TIPO DE R.]]="R",COUNTIFS($D$4:$D31,"R")+1,"")</f>
        <v>28</v>
      </c>
      <c r="C32" s="19" t="str">
        <f t="shared" si="0"/>
        <v>C_Ope_001</v>
      </c>
      <c r="D32" s="3" t="s">
        <v>1074</v>
      </c>
      <c r="E32" s="14">
        <v>45674</v>
      </c>
      <c r="F32" s="5" t="s">
        <v>6538</v>
      </c>
      <c r="G32" s="5" t="s">
        <v>1079</v>
      </c>
      <c r="H32" s="6"/>
      <c r="I32" s="6" t="s">
        <v>14</v>
      </c>
      <c r="J32" s="6" t="s">
        <v>5245</v>
      </c>
      <c r="K32" s="6">
        <v>1652183</v>
      </c>
      <c r="L32" s="7" t="s">
        <v>6558</v>
      </c>
      <c r="M32" s="8">
        <v>22694</v>
      </c>
      <c r="N32" s="8" t="str">
        <f t="shared" si="5"/>
        <v>PEN</v>
      </c>
      <c r="O32" s="13"/>
      <c r="P32" s="13">
        <v>8</v>
      </c>
      <c r="Q32" s="3">
        <f t="shared" si="2"/>
        <v>0</v>
      </c>
      <c r="R32" s="3">
        <f t="shared" si="3"/>
        <v>8</v>
      </c>
      <c r="S32" s="3">
        <f t="shared" si="4"/>
        <v>128.74</v>
      </c>
      <c r="T32" s="24"/>
      <c r="U32" s="24"/>
      <c r="V32" s="3"/>
      <c r="W32" s="25" t="s">
        <v>6541</v>
      </c>
      <c r="X32" s="25"/>
      <c r="Y32" s="25" t="str">
        <f>IFERROR(VLOOKUP(C_Ope_001[[#This Row],[NOTA 2]],Clientes_Proveedores[[Ruc / Dni]:[Razon Social]],2,0),"")</f>
        <v/>
      </c>
      <c r="Z32" s="25"/>
      <c r="AA32" s="130"/>
      <c r="AB32" s="3" t="str">
        <f>IF(C_Ope_001[[#This Row],[FECHA]]&gt;0,TEXT(C_Ope_001[[#This Row],[FECHA]],"mmmm"),0)</f>
        <v>Enero</v>
      </c>
    </row>
    <row r="33" spans="2:28" x14ac:dyDescent="0.3">
      <c r="B33" s="2">
        <f>IF(C_Ope_001[[#This Row],[TIPO DE R.]]="R",COUNTIFS($D$4:$D32,"R")+1,"")</f>
        <v>29</v>
      </c>
      <c r="C33" s="19" t="str">
        <f t="shared" si="0"/>
        <v>C_Ope_001</v>
      </c>
      <c r="D33" s="3" t="s">
        <v>1074</v>
      </c>
      <c r="E33" s="14">
        <v>45674</v>
      </c>
      <c r="F33" s="5" t="s">
        <v>6538</v>
      </c>
      <c r="G33" s="5" t="s">
        <v>1079</v>
      </c>
      <c r="H33" s="6"/>
      <c r="I33" s="6" t="s">
        <v>14</v>
      </c>
      <c r="J33" s="6" t="s">
        <v>6559</v>
      </c>
      <c r="K33" s="6">
        <v>362477</v>
      </c>
      <c r="L33" s="7" t="s">
        <v>6560</v>
      </c>
      <c r="M33" s="8">
        <v>22733</v>
      </c>
      <c r="N33" s="8" t="str">
        <f t="shared" si="5"/>
        <v>PEN</v>
      </c>
      <c r="O33" s="13"/>
      <c r="P33" s="13">
        <v>8</v>
      </c>
      <c r="Q33" s="3">
        <f t="shared" si="2"/>
        <v>0</v>
      </c>
      <c r="R33" s="3">
        <f t="shared" si="3"/>
        <v>8</v>
      </c>
      <c r="S33" s="3">
        <f t="shared" si="4"/>
        <v>120.74000000000001</v>
      </c>
      <c r="T33" s="24"/>
      <c r="U33" s="24"/>
      <c r="V33" s="3"/>
      <c r="W33" s="25" t="s">
        <v>6541</v>
      </c>
      <c r="X33" s="25"/>
      <c r="Y33" s="25" t="str">
        <f>IFERROR(VLOOKUP(C_Ope_001[[#This Row],[NOTA 2]],Clientes_Proveedores[[Ruc / Dni]:[Razon Social]],2,0),"")</f>
        <v/>
      </c>
      <c r="Z33" s="25"/>
      <c r="AA33" s="130"/>
      <c r="AB33" s="3" t="str">
        <f>IF(C_Ope_001[[#This Row],[FECHA]]&gt;0,TEXT(C_Ope_001[[#This Row],[FECHA]],"mmmm"),0)</f>
        <v>Enero</v>
      </c>
    </row>
    <row r="34" spans="2:28" x14ac:dyDescent="0.3">
      <c r="B34" s="2">
        <f>IF(C_Ope_001[[#This Row],[TIPO DE R.]]="R",COUNTIFS($D$4:$D33,"R")+1,"")</f>
        <v>30</v>
      </c>
      <c r="C34" s="19" t="str">
        <f t="shared" si="0"/>
        <v>C_Ope_001</v>
      </c>
      <c r="D34" s="3" t="s">
        <v>1074</v>
      </c>
      <c r="E34" s="14">
        <v>45671</v>
      </c>
      <c r="F34" s="5" t="s">
        <v>6538</v>
      </c>
      <c r="G34" s="5" t="s">
        <v>1079</v>
      </c>
      <c r="H34" s="6"/>
      <c r="I34" s="6" t="s">
        <v>14</v>
      </c>
      <c r="J34" s="6" t="s">
        <v>6561</v>
      </c>
      <c r="K34" s="6">
        <v>4957</v>
      </c>
      <c r="L34" s="7" t="s">
        <v>6562</v>
      </c>
      <c r="M34" s="8">
        <v>22642</v>
      </c>
      <c r="N34" s="8" t="str">
        <f t="shared" si="5"/>
        <v>PEN</v>
      </c>
      <c r="O34" s="13"/>
      <c r="P34" s="13">
        <v>10</v>
      </c>
      <c r="Q34" s="3">
        <f t="shared" si="2"/>
        <v>0</v>
      </c>
      <c r="R34" s="3">
        <f t="shared" si="3"/>
        <v>10</v>
      </c>
      <c r="S34" s="3">
        <f t="shared" si="4"/>
        <v>110.74000000000001</v>
      </c>
      <c r="T34" s="24"/>
      <c r="U34" s="24"/>
      <c r="V34" s="3"/>
      <c r="W34" s="25" t="s">
        <v>6541</v>
      </c>
      <c r="X34" s="25"/>
      <c r="Y34" s="25" t="str">
        <f>IFERROR(VLOOKUP(C_Ope_001[[#This Row],[NOTA 2]],Clientes_Proveedores[[Ruc / Dni]:[Razon Social]],2,0),"")</f>
        <v/>
      </c>
      <c r="Z34" s="25"/>
      <c r="AA34" s="130"/>
      <c r="AB34" s="3" t="str">
        <f>IF(C_Ope_001[[#This Row],[FECHA]]&gt;0,TEXT(C_Ope_001[[#This Row],[FECHA]],"mmmm"),0)</f>
        <v>Enero</v>
      </c>
    </row>
    <row r="35" spans="2:28" x14ac:dyDescent="0.3">
      <c r="B35" s="2">
        <f>IF(C_Ope_001[[#This Row],[TIPO DE R.]]="R",COUNTIFS($D$4:$D34,"R")+1,"")</f>
        <v>31</v>
      </c>
      <c r="C35" s="19" t="str">
        <f t="shared" si="0"/>
        <v>C_Ope_001</v>
      </c>
      <c r="D35" s="3" t="s">
        <v>1074</v>
      </c>
      <c r="E35" s="14">
        <v>45671</v>
      </c>
      <c r="F35" s="5" t="s">
        <v>6538</v>
      </c>
      <c r="G35" s="5" t="s">
        <v>1079</v>
      </c>
      <c r="H35" s="6"/>
      <c r="I35" s="6" t="s">
        <v>14</v>
      </c>
      <c r="J35" s="6" t="s">
        <v>6561</v>
      </c>
      <c r="K35" s="6">
        <v>4959</v>
      </c>
      <c r="L35" s="7" t="s">
        <v>6563</v>
      </c>
      <c r="M35" s="8">
        <v>22643</v>
      </c>
      <c r="N35" s="8" t="str">
        <f t="shared" si="5"/>
        <v>PEN</v>
      </c>
      <c r="O35" s="13"/>
      <c r="P35" s="13">
        <v>10</v>
      </c>
      <c r="Q35" s="3">
        <f t="shared" si="2"/>
        <v>0</v>
      </c>
      <c r="R35" s="3">
        <f t="shared" si="3"/>
        <v>10</v>
      </c>
      <c r="S35" s="3">
        <f t="shared" si="4"/>
        <v>100.74000000000001</v>
      </c>
      <c r="T35" s="24"/>
      <c r="U35" s="24"/>
      <c r="V35" s="3"/>
      <c r="W35" s="25" t="s">
        <v>6541</v>
      </c>
      <c r="X35" s="25"/>
      <c r="Y35" s="25" t="str">
        <f>IFERROR(VLOOKUP(C_Ope_001[[#This Row],[NOTA 2]],Clientes_Proveedores[[Ruc / Dni]:[Razon Social]],2,0),"")</f>
        <v/>
      </c>
      <c r="Z35" s="25"/>
      <c r="AA35" s="130"/>
      <c r="AB35" s="3" t="str">
        <f>IF(C_Ope_001[[#This Row],[FECHA]]&gt;0,TEXT(C_Ope_001[[#This Row],[FECHA]],"mmmm"),0)</f>
        <v>Enero</v>
      </c>
    </row>
    <row r="36" spans="2:28" ht="24" x14ac:dyDescent="0.3">
      <c r="B36" s="2">
        <f>IF(C_Ope_001[[#This Row],[TIPO DE R.]]="R",COUNTIFS($D$4:$D35,"R")+1,"")</f>
        <v>32</v>
      </c>
      <c r="C36" s="19" t="str">
        <f t="shared" si="0"/>
        <v>C_Ope_001</v>
      </c>
      <c r="D36" s="3" t="s">
        <v>1074</v>
      </c>
      <c r="E36" s="14">
        <v>45674</v>
      </c>
      <c r="F36" s="5" t="s">
        <v>6538</v>
      </c>
      <c r="G36" s="5" t="s">
        <v>1079</v>
      </c>
      <c r="H36" s="6"/>
      <c r="I36" s="6" t="s">
        <v>14</v>
      </c>
      <c r="J36" s="6" t="s">
        <v>1119</v>
      </c>
      <c r="K36" s="6">
        <v>16660</v>
      </c>
      <c r="L36" s="7" t="s">
        <v>6564</v>
      </c>
      <c r="M36" s="8">
        <v>22690</v>
      </c>
      <c r="N36" s="8" t="str">
        <f t="shared" si="5"/>
        <v>PEN</v>
      </c>
      <c r="O36" s="13"/>
      <c r="P36" s="13">
        <v>0</v>
      </c>
      <c r="Q36" s="3">
        <f t="shared" si="2"/>
        <v>0</v>
      </c>
      <c r="R36" s="3">
        <f t="shared" si="3"/>
        <v>0</v>
      </c>
      <c r="S36" s="3">
        <f t="shared" si="4"/>
        <v>100.74000000000001</v>
      </c>
      <c r="T36" s="24"/>
      <c r="U36" s="24"/>
      <c r="V36" s="3"/>
      <c r="W36" s="25" t="s">
        <v>6541</v>
      </c>
      <c r="X36" s="25"/>
      <c r="Y36" s="25" t="str">
        <f>IFERROR(VLOOKUP(C_Ope_001[[#This Row],[NOTA 2]],Clientes_Proveedores[[Ruc / Dni]:[Razon Social]],2,0),"")</f>
        <v/>
      </c>
      <c r="Z36" s="25"/>
      <c r="AA36" s="130"/>
      <c r="AB36" s="3" t="str">
        <f>IF(C_Ope_001[[#This Row],[FECHA]]&gt;0,TEXT(C_Ope_001[[#This Row],[FECHA]],"mmmm"),0)</f>
        <v>Enero</v>
      </c>
    </row>
    <row r="37" spans="2:28" ht="24" x14ac:dyDescent="0.3">
      <c r="B37" s="2">
        <f>IF(C_Ope_001[[#This Row],[TIPO DE R.]]="R",COUNTIFS($D$4:$D36,"R")+1,"")</f>
        <v>33</v>
      </c>
      <c r="C37" s="19" t="str">
        <f t="shared" si="0"/>
        <v>C_Ope_001</v>
      </c>
      <c r="D37" s="3" t="s">
        <v>1074</v>
      </c>
      <c r="E37" s="14">
        <v>45674</v>
      </c>
      <c r="F37" s="5" t="s">
        <v>6538</v>
      </c>
      <c r="G37" s="5" t="s">
        <v>1079</v>
      </c>
      <c r="H37" s="6"/>
      <c r="I37" s="6" t="s">
        <v>14</v>
      </c>
      <c r="J37" s="6" t="s">
        <v>1119</v>
      </c>
      <c r="K37" s="6">
        <v>16661</v>
      </c>
      <c r="L37" s="7" t="s">
        <v>6564</v>
      </c>
      <c r="M37" s="8">
        <v>22695</v>
      </c>
      <c r="N37" s="8" t="str">
        <f t="shared" si="5"/>
        <v>PEN</v>
      </c>
      <c r="O37" s="13"/>
      <c r="P37" s="13">
        <v>11</v>
      </c>
      <c r="Q37" s="3">
        <f t="shared" si="2"/>
        <v>0</v>
      </c>
      <c r="R37" s="3">
        <f t="shared" si="3"/>
        <v>11</v>
      </c>
      <c r="S37" s="3">
        <f t="shared" si="4"/>
        <v>89.740000000000009</v>
      </c>
      <c r="T37" s="24"/>
      <c r="U37" s="24"/>
      <c r="V37" s="3"/>
      <c r="W37" s="25" t="s">
        <v>6541</v>
      </c>
      <c r="X37" s="25"/>
      <c r="Y37" s="25" t="str">
        <f>IFERROR(VLOOKUP(C_Ope_001[[#This Row],[NOTA 2]],Clientes_Proveedores[[Ruc / Dni]:[Razon Social]],2,0),"")</f>
        <v/>
      </c>
      <c r="Z37" s="25"/>
      <c r="AA37" s="130"/>
      <c r="AB37" s="3" t="str">
        <f>IF(C_Ope_001[[#This Row],[FECHA]]&gt;0,TEXT(C_Ope_001[[#This Row],[FECHA]],"mmmm"),0)</f>
        <v>Enero</v>
      </c>
    </row>
    <row r="38" spans="2:28" x14ac:dyDescent="0.3">
      <c r="B38" s="2">
        <f>IF(C_Ope_001[[#This Row],[TIPO DE R.]]="R",COUNTIFS($D$4:$D37,"R")+1,"")</f>
        <v>34</v>
      </c>
      <c r="C38" s="19" t="str">
        <f t="shared" si="0"/>
        <v>C_Ope_001</v>
      </c>
      <c r="D38" s="3" t="s">
        <v>1074</v>
      </c>
      <c r="E38" s="14">
        <v>45673</v>
      </c>
      <c r="F38" s="5" t="s">
        <v>6538</v>
      </c>
      <c r="G38" s="5" t="s">
        <v>1079</v>
      </c>
      <c r="H38" s="6"/>
      <c r="I38" s="6" t="s">
        <v>14</v>
      </c>
      <c r="J38" s="6" t="s">
        <v>1119</v>
      </c>
      <c r="K38" s="6">
        <v>15966</v>
      </c>
      <c r="L38" s="7" t="s">
        <v>6565</v>
      </c>
      <c r="M38" s="8">
        <v>22674</v>
      </c>
      <c r="N38" s="8" t="str">
        <f t="shared" si="5"/>
        <v>PEN</v>
      </c>
      <c r="O38" s="13"/>
      <c r="P38" s="13">
        <v>25</v>
      </c>
      <c r="Q38" s="3">
        <f t="shared" si="2"/>
        <v>0</v>
      </c>
      <c r="R38" s="3">
        <f t="shared" si="3"/>
        <v>25</v>
      </c>
      <c r="S38" s="3">
        <f t="shared" si="4"/>
        <v>64.740000000000009</v>
      </c>
      <c r="T38" s="24"/>
      <c r="U38" s="24"/>
      <c r="V38" s="3"/>
      <c r="W38" s="25" t="s">
        <v>6541</v>
      </c>
      <c r="X38" s="25"/>
      <c r="Y38" s="25" t="str">
        <f>IFERROR(VLOOKUP(C_Ope_001[[#This Row],[NOTA 2]],Clientes_Proveedores[[Ruc / Dni]:[Razon Social]],2,0),"")</f>
        <v/>
      </c>
      <c r="Z38" s="25"/>
      <c r="AA38" s="130"/>
      <c r="AB38" s="3" t="str">
        <f>IF(C_Ope_001[[#This Row],[FECHA]]&gt;0,TEXT(C_Ope_001[[#This Row],[FECHA]],"mmmm"),0)</f>
        <v>Enero</v>
      </c>
    </row>
    <row r="39" spans="2:28" x14ac:dyDescent="0.3">
      <c r="B39" s="2">
        <f>IF(C_Ope_001[[#This Row],[TIPO DE R.]]="R",COUNTIFS($D$4:$D38,"R")+1,"")</f>
        <v>35</v>
      </c>
      <c r="C39" s="19" t="str">
        <f t="shared" si="0"/>
        <v>C_Ope_001</v>
      </c>
      <c r="D39" s="3" t="s">
        <v>1074</v>
      </c>
      <c r="E39" s="14">
        <v>45678</v>
      </c>
      <c r="F39" s="5" t="s">
        <v>6299</v>
      </c>
      <c r="G39" s="5" t="s">
        <v>1087</v>
      </c>
      <c r="H39" s="6"/>
      <c r="I39" s="6"/>
      <c r="J39" s="6"/>
      <c r="K39" s="6"/>
      <c r="L39" s="7" t="s">
        <v>6302</v>
      </c>
      <c r="M39" s="8">
        <v>22749</v>
      </c>
      <c r="N39" s="8" t="str">
        <f t="shared" si="5"/>
        <v>PEN</v>
      </c>
      <c r="O39" s="13"/>
      <c r="P39" s="13">
        <v>140</v>
      </c>
      <c r="Q39" s="3">
        <f t="shared" si="2"/>
        <v>140</v>
      </c>
      <c r="R39" s="3">
        <f t="shared" si="3"/>
        <v>0</v>
      </c>
      <c r="S39" s="3">
        <f t="shared" si="4"/>
        <v>204.74</v>
      </c>
      <c r="T39" s="24"/>
      <c r="U39" s="24"/>
      <c r="V39" s="3"/>
      <c r="W39" s="25"/>
      <c r="X39" s="25"/>
      <c r="Y39" s="25" t="str">
        <f>IFERROR(VLOOKUP(C_Ope_001[[#This Row],[NOTA 2]],Clientes_Proveedores[[Ruc / Dni]:[Razon Social]],2,0),"")</f>
        <v/>
      </c>
      <c r="Z39" s="25"/>
      <c r="AA39" s="130"/>
      <c r="AB39" s="3" t="str">
        <f>IF(C_Ope_001[[#This Row],[FECHA]]&gt;0,TEXT(C_Ope_001[[#This Row],[FECHA]],"mmmm"),0)</f>
        <v>Enero</v>
      </c>
    </row>
    <row r="40" spans="2:28" ht="24" x14ac:dyDescent="0.3">
      <c r="B40" s="2">
        <f>IF(C_Ope_001[[#This Row],[TIPO DE R.]]="R",COUNTIFS($D$4:$D39,"R")+1,"")</f>
        <v>36</v>
      </c>
      <c r="C40" s="19" t="str">
        <f t="shared" si="0"/>
        <v>C_Ope_001</v>
      </c>
      <c r="D40" s="3" t="s">
        <v>1074</v>
      </c>
      <c r="E40" s="14">
        <v>45677</v>
      </c>
      <c r="F40" s="5" t="s">
        <v>6538</v>
      </c>
      <c r="G40" s="5" t="s">
        <v>1079</v>
      </c>
      <c r="H40" s="6"/>
      <c r="I40" s="6" t="s">
        <v>14</v>
      </c>
      <c r="J40" s="6" t="s">
        <v>5244</v>
      </c>
      <c r="K40" s="6">
        <v>1635580</v>
      </c>
      <c r="L40" s="7" t="s">
        <v>6566</v>
      </c>
      <c r="M40" s="8">
        <v>22730</v>
      </c>
      <c r="N40" s="8" t="str">
        <f t="shared" si="5"/>
        <v>PEN</v>
      </c>
      <c r="O40" s="13"/>
      <c r="P40" s="13">
        <v>8</v>
      </c>
      <c r="Q40" s="3">
        <f t="shared" si="2"/>
        <v>0</v>
      </c>
      <c r="R40" s="3">
        <f t="shared" si="3"/>
        <v>8</v>
      </c>
      <c r="S40" s="3">
        <f t="shared" si="4"/>
        <v>196.74</v>
      </c>
      <c r="T40" s="24"/>
      <c r="U40" s="24"/>
      <c r="V40" s="3"/>
      <c r="W40" s="25" t="s">
        <v>6541</v>
      </c>
      <c r="X40" s="25"/>
      <c r="Y40" s="25" t="str">
        <f>IFERROR(VLOOKUP(C_Ope_001[[#This Row],[NOTA 2]],Clientes_Proveedores[[Ruc / Dni]:[Razon Social]],2,0),"")</f>
        <v/>
      </c>
      <c r="Z40" s="25"/>
      <c r="AA40" s="130"/>
      <c r="AB40" s="3" t="str">
        <f>IF(C_Ope_001[[#This Row],[FECHA]]&gt;0,TEXT(C_Ope_001[[#This Row],[FECHA]],"mmmm"),0)</f>
        <v>Enero</v>
      </c>
    </row>
    <row r="41" spans="2:28" ht="24" x14ac:dyDescent="0.3">
      <c r="B41" s="2">
        <f>IF(C_Ope_001[[#This Row],[TIPO DE R.]]="R",COUNTIFS($D$4:$D40,"R")+1,"")</f>
        <v>37</v>
      </c>
      <c r="C41" s="19" t="str">
        <f t="shared" si="0"/>
        <v>C_Ope_001</v>
      </c>
      <c r="D41" s="3" t="s">
        <v>1074</v>
      </c>
      <c r="E41" s="14">
        <v>45677</v>
      </c>
      <c r="F41" s="5" t="s">
        <v>6538</v>
      </c>
      <c r="G41" s="5" t="s">
        <v>1079</v>
      </c>
      <c r="H41" s="6"/>
      <c r="I41" s="6" t="s">
        <v>14</v>
      </c>
      <c r="J41" s="6" t="s">
        <v>5242</v>
      </c>
      <c r="K41" s="6">
        <v>1933886</v>
      </c>
      <c r="L41" s="7" t="s">
        <v>6566</v>
      </c>
      <c r="M41" s="8">
        <v>22732</v>
      </c>
      <c r="N41" s="8" t="str">
        <f t="shared" si="5"/>
        <v>PEN</v>
      </c>
      <c r="O41" s="13"/>
      <c r="P41" s="13">
        <v>8</v>
      </c>
      <c r="Q41" s="3">
        <f t="shared" si="2"/>
        <v>0</v>
      </c>
      <c r="R41" s="3">
        <f t="shared" si="3"/>
        <v>8</v>
      </c>
      <c r="S41" s="3">
        <f t="shared" si="4"/>
        <v>188.74</v>
      </c>
      <c r="T41" s="24"/>
      <c r="U41" s="24"/>
      <c r="V41" s="3"/>
      <c r="W41" s="25" t="s">
        <v>6541</v>
      </c>
      <c r="X41" s="25"/>
      <c r="Y41" s="25" t="str">
        <f>IFERROR(VLOOKUP(C_Ope_001[[#This Row],[NOTA 2]],Clientes_Proveedores[[Ruc / Dni]:[Razon Social]],2,0),"")</f>
        <v/>
      </c>
      <c r="Z41" s="25"/>
      <c r="AA41" s="130"/>
      <c r="AB41" s="3" t="str">
        <f>IF(C_Ope_001[[#This Row],[FECHA]]&gt;0,TEXT(C_Ope_001[[#This Row],[FECHA]],"mmmm"),0)</f>
        <v>Enero</v>
      </c>
    </row>
    <row r="42" spans="2:28" ht="24" x14ac:dyDescent="0.3">
      <c r="B42" s="2">
        <f>IF(C_Ope_001[[#This Row],[TIPO DE R.]]="R",COUNTIFS($D$4:$D41,"R")+1,"")</f>
        <v>38</v>
      </c>
      <c r="C42" s="19" t="str">
        <f t="shared" si="0"/>
        <v>C_Ope_001</v>
      </c>
      <c r="D42" s="3" t="s">
        <v>1074</v>
      </c>
      <c r="E42" s="14">
        <v>45678</v>
      </c>
      <c r="F42" s="5" t="s">
        <v>6538</v>
      </c>
      <c r="G42" s="5" t="s">
        <v>1079</v>
      </c>
      <c r="H42" s="6"/>
      <c r="I42" s="6" t="s">
        <v>14</v>
      </c>
      <c r="J42" s="6" t="s">
        <v>5243</v>
      </c>
      <c r="K42" s="6">
        <v>2204680</v>
      </c>
      <c r="L42" s="7" t="s">
        <v>6567</v>
      </c>
      <c r="M42" s="8">
        <v>22748</v>
      </c>
      <c r="N42" s="8" t="str">
        <f t="shared" si="5"/>
        <v>PEN</v>
      </c>
      <c r="O42" s="13"/>
      <c r="P42" s="13">
        <v>8</v>
      </c>
      <c r="Q42" s="3">
        <f t="shared" si="2"/>
        <v>0</v>
      </c>
      <c r="R42" s="3">
        <f t="shared" si="3"/>
        <v>8</v>
      </c>
      <c r="S42" s="3">
        <f t="shared" si="4"/>
        <v>180.74</v>
      </c>
      <c r="T42" s="24"/>
      <c r="U42" s="24"/>
      <c r="V42" s="3"/>
      <c r="W42" s="25" t="s">
        <v>6541</v>
      </c>
      <c r="X42" s="25"/>
      <c r="Y42" s="25" t="str">
        <f>IFERROR(VLOOKUP(C_Ope_001[[#This Row],[NOTA 2]],Clientes_Proveedores[[Ruc / Dni]:[Razon Social]],2,0),"")</f>
        <v/>
      </c>
      <c r="Z42" s="25"/>
      <c r="AA42" s="130"/>
      <c r="AB42" s="3" t="str">
        <f>IF(C_Ope_001[[#This Row],[FECHA]]&gt;0,TEXT(C_Ope_001[[#This Row],[FECHA]],"mmmm"),0)</f>
        <v>Enero</v>
      </c>
    </row>
    <row r="43" spans="2:28" ht="24" x14ac:dyDescent="0.3">
      <c r="B43" s="2">
        <f>IF(C_Ope_001[[#This Row],[TIPO DE R.]]="R",COUNTIFS($D$4:$D42,"R")+1,"")</f>
        <v>39</v>
      </c>
      <c r="C43" s="19" t="str">
        <f t="shared" si="0"/>
        <v>C_Ope_001</v>
      </c>
      <c r="D43" s="3" t="s">
        <v>1074</v>
      </c>
      <c r="E43" s="14">
        <v>45678</v>
      </c>
      <c r="F43" s="5" t="s">
        <v>6538</v>
      </c>
      <c r="G43" s="5" t="s">
        <v>1079</v>
      </c>
      <c r="H43" s="6"/>
      <c r="I43" s="6" t="s">
        <v>14</v>
      </c>
      <c r="J43" s="6" t="s">
        <v>5245</v>
      </c>
      <c r="K43" s="6">
        <v>1655334</v>
      </c>
      <c r="L43" s="7" t="s">
        <v>6567</v>
      </c>
      <c r="M43" s="8">
        <v>22751</v>
      </c>
      <c r="N43" s="8" t="str">
        <f t="shared" si="5"/>
        <v>PEN</v>
      </c>
      <c r="O43" s="13"/>
      <c r="P43" s="13">
        <v>8</v>
      </c>
      <c r="Q43" s="3">
        <f t="shared" si="2"/>
        <v>0</v>
      </c>
      <c r="R43" s="3">
        <f t="shared" si="3"/>
        <v>8</v>
      </c>
      <c r="S43" s="3">
        <f t="shared" si="4"/>
        <v>172.74</v>
      </c>
      <c r="T43" s="24"/>
      <c r="U43" s="24"/>
      <c r="V43" s="3"/>
      <c r="W43" s="25" t="s">
        <v>6541</v>
      </c>
      <c r="X43" s="25"/>
      <c r="Y43" s="25" t="str">
        <f>IFERROR(VLOOKUP(C_Ope_001[[#This Row],[NOTA 2]],Clientes_Proveedores[[Ruc / Dni]:[Razon Social]],2,0),"")</f>
        <v/>
      </c>
      <c r="Z43" s="25"/>
      <c r="AA43" s="130"/>
      <c r="AB43" s="3" t="str">
        <f>IF(C_Ope_001[[#This Row],[FECHA]]&gt;0,TEXT(C_Ope_001[[#This Row],[FECHA]],"mmmm"),0)</f>
        <v>Enero</v>
      </c>
    </row>
    <row r="44" spans="2:28" ht="24" x14ac:dyDescent="0.3">
      <c r="B44" s="2">
        <f>IF(C_Ope_001[[#This Row],[TIPO DE R.]]="R",COUNTIFS($D$4:$D43,"R")+1,"")</f>
        <v>40</v>
      </c>
      <c r="C44" s="19" t="str">
        <f t="shared" si="0"/>
        <v>C_Ope_001</v>
      </c>
      <c r="D44" s="3" t="s">
        <v>1074</v>
      </c>
      <c r="E44" s="14">
        <v>45679</v>
      </c>
      <c r="F44" s="5" t="s">
        <v>6538</v>
      </c>
      <c r="G44" s="5" t="s">
        <v>1079</v>
      </c>
      <c r="H44" s="6"/>
      <c r="I44" s="6" t="s">
        <v>14</v>
      </c>
      <c r="J44" s="6" t="s">
        <v>5242</v>
      </c>
      <c r="K44" s="6">
        <v>1935759</v>
      </c>
      <c r="L44" s="7" t="s">
        <v>6568</v>
      </c>
      <c r="M44" s="8">
        <v>22761</v>
      </c>
      <c r="N44" s="8" t="str">
        <f t="shared" si="5"/>
        <v>PEN</v>
      </c>
      <c r="O44" s="13"/>
      <c r="P44" s="13">
        <v>8</v>
      </c>
      <c r="Q44" s="3">
        <f t="shared" si="2"/>
        <v>0</v>
      </c>
      <c r="R44" s="3">
        <f t="shared" si="3"/>
        <v>8</v>
      </c>
      <c r="S44" s="3">
        <f t="shared" si="4"/>
        <v>164.74</v>
      </c>
      <c r="T44" s="24"/>
      <c r="U44" s="24"/>
      <c r="V44" s="3"/>
      <c r="W44" s="25" t="s">
        <v>6541</v>
      </c>
      <c r="X44" s="25"/>
      <c r="Y44" s="25" t="str">
        <f>IFERROR(VLOOKUP(C_Ope_001[[#This Row],[NOTA 2]],Clientes_Proveedores[[Ruc / Dni]:[Razon Social]],2,0),"")</f>
        <v/>
      </c>
      <c r="Z44" s="25"/>
      <c r="AA44" s="130"/>
      <c r="AB44" s="3" t="str">
        <f>IF(C_Ope_001[[#This Row],[FECHA]]&gt;0,TEXT(C_Ope_001[[#This Row],[FECHA]],"mmmm"),0)</f>
        <v>Enero</v>
      </c>
    </row>
    <row r="45" spans="2:28" ht="24" x14ac:dyDescent="0.3">
      <c r="B45" s="2">
        <f>IF(C_Ope_001[[#This Row],[TIPO DE R.]]="R",COUNTIFS($D$4:$D44,"R")+1,"")</f>
        <v>41</v>
      </c>
      <c r="C45" s="19" t="str">
        <f t="shared" si="0"/>
        <v>C_Ope_001</v>
      </c>
      <c r="D45" s="3" t="s">
        <v>1074</v>
      </c>
      <c r="E45" s="14">
        <v>45679</v>
      </c>
      <c r="F45" s="5" t="s">
        <v>6538</v>
      </c>
      <c r="G45" s="5" t="s">
        <v>1079</v>
      </c>
      <c r="H45" s="6"/>
      <c r="I45" s="6" t="s">
        <v>14</v>
      </c>
      <c r="J45" s="6" t="s">
        <v>5243</v>
      </c>
      <c r="K45" s="6">
        <v>2205689</v>
      </c>
      <c r="L45" s="7" t="s">
        <v>6568</v>
      </c>
      <c r="M45" s="8">
        <v>22762</v>
      </c>
      <c r="N45" s="8" t="str">
        <f t="shared" si="5"/>
        <v>PEN</v>
      </c>
      <c r="O45" s="13"/>
      <c r="P45" s="13">
        <v>8</v>
      </c>
      <c r="Q45" s="3">
        <f t="shared" si="2"/>
        <v>0</v>
      </c>
      <c r="R45" s="3">
        <f t="shared" si="3"/>
        <v>8</v>
      </c>
      <c r="S45" s="3">
        <f t="shared" si="4"/>
        <v>156.74</v>
      </c>
      <c r="T45" s="24"/>
      <c r="U45" s="24"/>
      <c r="V45" s="3"/>
      <c r="W45" s="25" t="s">
        <v>6541</v>
      </c>
      <c r="X45" s="25"/>
      <c r="Y45" s="25" t="str">
        <f>IFERROR(VLOOKUP(C_Ope_001[[#This Row],[NOTA 2]],Clientes_Proveedores[[Ruc / Dni]:[Razon Social]],2,0),"")</f>
        <v/>
      </c>
      <c r="Z45" s="25"/>
      <c r="AA45" s="130"/>
      <c r="AB45" s="3" t="str">
        <f>IF(C_Ope_001[[#This Row],[FECHA]]&gt;0,TEXT(C_Ope_001[[#This Row],[FECHA]],"mmmm"),0)</f>
        <v>Enero</v>
      </c>
    </row>
    <row r="46" spans="2:28" ht="36" x14ac:dyDescent="0.3">
      <c r="B46" s="2">
        <f>IF(C_Ope_001[[#This Row],[TIPO DE R.]]="R",COUNTIFS($D$4:$D45,"R")+1,"")</f>
        <v>42</v>
      </c>
      <c r="C46" s="19" t="str">
        <f t="shared" si="0"/>
        <v>C_Ope_001</v>
      </c>
      <c r="D46" s="3" t="s">
        <v>1074</v>
      </c>
      <c r="E46" s="14">
        <v>45680</v>
      </c>
      <c r="F46" s="5" t="s">
        <v>6538</v>
      </c>
      <c r="G46" s="5" t="s">
        <v>1079</v>
      </c>
      <c r="H46" s="6"/>
      <c r="I46" s="6" t="s">
        <v>14</v>
      </c>
      <c r="J46" s="6" t="s">
        <v>5245</v>
      </c>
      <c r="K46" s="6">
        <v>1657302</v>
      </c>
      <c r="L46" s="7" t="s">
        <v>6569</v>
      </c>
      <c r="M46" s="8">
        <v>22772</v>
      </c>
      <c r="N46" s="8" t="str">
        <f t="shared" si="5"/>
        <v>PEN</v>
      </c>
      <c r="O46" s="13"/>
      <c r="P46" s="13">
        <v>8</v>
      </c>
      <c r="Q46" s="3">
        <f t="shared" si="2"/>
        <v>0</v>
      </c>
      <c r="R46" s="3">
        <f t="shared" si="3"/>
        <v>8</v>
      </c>
      <c r="S46" s="3">
        <f t="shared" si="4"/>
        <v>148.74</v>
      </c>
      <c r="T46" s="24"/>
      <c r="U46" s="24"/>
      <c r="V46" s="3"/>
      <c r="W46" s="25" t="s">
        <v>6541</v>
      </c>
      <c r="X46" s="25"/>
      <c r="Y46" s="25" t="str">
        <f>IFERROR(VLOOKUP(C_Ope_001[[#This Row],[NOTA 2]],Clientes_Proveedores[[Ruc / Dni]:[Razon Social]],2,0),"")</f>
        <v/>
      </c>
      <c r="Z46" s="25"/>
      <c r="AA46" s="130"/>
      <c r="AB46" s="3" t="str">
        <f>IF(C_Ope_001[[#This Row],[FECHA]]&gt;0,TEXT(C_Ope_001[[#This Row],[FECHA]],"mmmm"),0)</f>
        <v>Enero</v>
      </c>
    </row>
    <row r="47" spans="2:28" ht="36" x14ac:dyDescent="0.3">
      <c r="B47" s="2">
        <f>IF(C_Ope_001[[#This Row],[TIPO DE R.]]="R",COUNTIFS($D$4:$D46,"R")+1,"")</f>
        <v>43</v>
      </c>
      <c r="C47" s="19" t="str">
        <f t="shared" si="0"/>
        <v>C_Ope_001</v>
      </c>
      <c r="D47" s="3" t="s">
        <v>1074</v>
      </c>
      <c r="E47" s="14">
        <v>45680</v>
      </c>
      <c r="F47" s="5" t="s">
        <v>6538</v>
      </c>
      <c r="G47" s="5" t="s">
        <v>1079</v>
      </c>
      <c r="H47" s="6"/>
      <c r="I47" s="6" t="s">
        <v>14</v>
      </c>
      <c r="J47" s="6" t="s">
        <v>5244</v>
      </c>
      <c r="K47" s="6">
        <v>1638573</v>
      </c>
      <c r="L47" s="7" t="s">
        <v>6569</v>
      </c>
      <c r="M47" s="8">
        <v>22773</v>
      </c>
      <c r="N47" s="8" t="str">
        <f t="shared" si="5"/>
        <v>PEN</v>
      </c>
      <c r="O47" s="13"/>
      <c r="P47" s="13">
        <v>8</v>
      </c>
      <c r="Q47" s="3">
        <f t="shared" si="2"/>
        <v>0</v>
      </c>
      <c r="R47" s="3">
        <f t="shared" si="3"/>
        <v>8</v>
      </c>
      <c r="S47" s="3">
        <f t="shared" si="4"/>
        <v>140.74</v>
      </c>
      <c r="T47" s="24"/>
      <c r="U47" s="24"/>
      <c r="V47" s="3"/>
      <c r="W47" s="25" t="s">
        <v>6541</v>
      </c>
      <c r="X47" s="25"/>
      <c r="Y47" s="25" t="str">
        <f>IFERROR(VLOOKUP(C_Ope_001[[#This Row],[NOTA 2]],Clientes_Proveedores[[Ruc / Dni]:[Razon Social]],2,0),"")</f>
        <v/>
      </c>
      <c r="Z47" s="25"/>
      <c r="AA47" s="130"/>
      <c r="AB47" s="3" t="str">
        <f>IF(C_Ope_001[[#This Row],[FECHA]]&gt;0,TEXT(C_Ope_001[[#This Row],[FECHA]],"mmmm"),0)</f>
        <v>Enero</v>
      </c>
    </row>
    <row r="48" spans="2:28" x14ac:dyDescent="0.3">
      <c r="B48" s="2">
        <f>IF(C_Ope_001[[#This Row],[TIPO DE R.]]="R",COUNTIFS($D$4:$D47,"R")+1,"")</f>
        <v>44</v>
      </c>
      <c r="C48" s="19" t="str">
        <f t="shared" si="0"/>
        <v>C_Ope_001</v>
      </c>
      <c r="D48" s="3" t="s">
        <v>1074</v>
      </c>
      <c r="E48" s="14">
        <v>45681</v>
      </c>
      <c r="F48" s="5" t="s">
        <v>6538</v>
      </c>
      <c r="G48" s="5" t="s">
        <v>1079</v>
      </c>
      <c r="H48" s="6"/>
      <c r="I48" s="6" t="s">
        <v>14</v>
      </c>
      <c r="J48" s="6" t="s">
        <v>1119</v>
      </c>
      <c r="K48" s="6">
        <v>16083</v>
      </c>
      <c r="L48" s="7" t="s">
        <v>6565</v>
      </c>
      <c r="M48" s="8">
        <v>22783</v>
      </c>
      <c r="N48" s="8" t="str">
        <f t="shared" si="5"/>
        <v>PEN</v>
      </c>
      <c r="O48" s="13"/>
      <c r="P48" s="13">
        <v>25</v>
      </c>
      <c r="Q48" s="3">
        <f t="shared" si="2"/>
        <v>0</v>
      </c>
      <c r="R48" s="3">
        <f t="shared" si="3"/>
        <v>25</v>
      </c>
      <c r="S48" s="3">
        <f t="shared" si="4"/>
        <v>115.74000000000001</v>
      </c>
      <c r="T48" s="24"/>
      <c r="U48" s="24"/>
      <c r="V48" s="3"/>
      <c r="W48" s="25" t="s">
        <v>6541</v>
      </c>
      <c r="X48" s="25"/>
      <c r="Y48" s="25" t="str">
        <f>IFERROR(VLOOKUP(C_Ope_001[[#This Row],[NOTA 2]],Clientes_Proveedores[[Ruc / Dni]:[Razon Social]],2,0),"")</f>
        <v/>
      </c>
      <c r="Z48" s="25"/>
      <c r="AA48" s="130"/>
      <c r="AB48" s="3" t="str">
        <f>IF(C_Ope_001[[#This Row],[FECHA]]&gt;0,TEXT(C_Ope_001[[#This Row],[FECHA]],"mmmm"),0)</f>
        <v>Enero</v>
      </c>
    </row>
    <row r="49" spans="2:28" x14ac:dyDescent="0.3">
      <c r="B49" s="2">
        <f>IF(C_Ope_001[[#This Row],[TIPO DE R.]]="R",COUNTIFS($D$4:$D48,"R")+1,"")</f>
        <v>45</v>
      </c>
      <c r="C49" s="19" t="str">
        <f t="shared" si="0"/>
        <v>C_Ope_001</v>
      </c>
      <c r="D49" s="3" t="s">
        <v>1074</v>
      </c>
      <c r="E49" s="14">
        <v>45684</v>
      </c>
      <c r="F49" s="5" t="s">
        <v>6299</v>
      </c>
      <c r="G49" s="5" t="s">
        <v>1087</v>
      </c>
      <c r="H49" s="6"/>
      <c r="I49" s="6"/>
      <c r="J49" s="6"/>
      <c r="K49" s="6"/>
      <c r="L49" s="7" t="s">
        <v>6302</v>
      </c>
      <c r="M49" s="8">
        <v>22810</v>
      </c>
      <c r="N49" s="8" t="str">
        <f t="shared" si="5"/>
        <v>PEN</v>
      </c>
      <c r="O49" s="13"/>
      <c r="P49" s="13">
        <v>80</v>
      </c>
      <c r="Q49" s="3">
        <f t="shared" si="2"/>
        <v>80</v>
      </c>
      <c r="R49" s="3">
        <f t="shared" si="3"/>
        <v>0</v>
      </c>
      <c r="S49" s="3">
        <f t="shared" si="4"/>
        <v>195.74</v>
      </c>
      <c r="T49" s="24"/>
      <c r="U49" s="24"/>
      <c r="V49" s="3"/>
      <c r="W49" s="25"/>
      <c r="X49" s="25"/>
      <c r="Y49" s="25" t="str">
        <f>IFERROR(VLOOKUP(C_Ope_001[[#This Row],[NOTA 2]],Clientes_Proveedores[[Ruc / Dni]:[Razon Social]],2,0),"")</f>
        <v/>
      </c>
      <c r="Z49" s="25"/>
      <c r="AA49" s="130"/>
      <c r="AB49" s="3" t="str">
        <f>IF(C_Ope_001[[#This Row],[FECHA]]&gt;0,TEXT(C_Ope_001[[#This Row],[FECHA]],"mmmm"),0)</f>
        <v>Enero</v>
      </c>
    </row>
    <row r="50" spans="2:28" ht="24" x14ac:dyDescent="0.3">
      <c r="B50" s="2">
        <f>IF(C_Ope_001[[#This Row],[TIPO DE R.]]="R",COUNTIFS($D$4:$D49,"R")+1,"")</f>
        <v>46</v>
      </c>
      <c r="C50" s="19" t="str">
        <f t="shared" si="0"/>
        <v>C_Ope_001</v>
      </c>
      <c r="D50" s="3" t="s">
        <v>1074</v>
      </c>
      <c r="E50" s="14">
        <v>45686</v>
      </c>
      <c r="F50" s="5" t="s">
        <v>6538</v>
      </c>
      <c r="G50" s="5" t="s">
        <v>1079</v>
      </c>
      <c r="H50" s="6"/>
      <c r="I50" s="6" t="s">
        <v>14</v>
      </c>
      <c r="J50" s="6" t="s">
        <v>5243</v>
      </c>
      <c r="K50" s="6">
        <v>2214107</v>
      </c>
      <c r="L50" s="7" t="s">
        <v>6570</v>
      </c>
      <c r="M50" s="8">
        <v>22834</v>
      </c>
      <c r="N50" s="8" t="str">
        <f t="shared" si="5"/>
        <v>PEN</v>
      </c>
      <c r="O50" s="13"/>
      <c r="P50" s="13">
        <v>8</v>
      </c>
      <c r="Q50" s="3">
        <f t="shared" si="2"/>
        <v>0</v>
      </c>
      <c r="R50" s="3">
        <f t="shared" si="3"/>
        <v>8</v>
      </c>
      <c r="S50" s="3">
        <f t="shared" si="4"/>
        <v>187.74</v>
      </c>
      <c r="T50" s="24"/>
      <c r="U50" s="24"/>
      <c r="V50" s="3"/>
      <c r="W50" s="25" t="s">
        <v>6541</v>
      </c>
      <c r="X50" s="25"/>
      <c r="Y50" s="25" t="str">
        <f>IFERROR(VLOOKUP(C_Ope_001[[#This Row],[NOTA 2]],Clientes_Proveedores[[Ruc / Dni]:[Razon Social]],2,0),"")</f>
        <v/>
      </c>
      <c r="Z50" s="25"/>
      <c r="AA50" s="130"/>
      <c r="AB50" s="3" t="str">
        <f>IF(C_Ope_001[[#This Row],[FECHA]]&gt;0,TEXT(C_Ope_001[[#This Row],[FECHA]],"mmmm"),0)</f>
        <v>Enero</v>
      </c>
    </row>
    <row r="51" spans="2:28" ht="24" x14ac:dyDescent="0.3">
      <c r="B51" s="2">
        <f>IF(C_Ope_001[[#This Row],[TIPO DE R.]]="R",COUNTIFS($D$4:$D50,"R")+1,"")</f>
        <v>47</v>
      </c>
      <c r="C51" s="19" t="str">
        <f t="shared" si="0"/>
        <v>C_Ope_001</v>
      </c>
      <c r="D51" s="3" t="s">
        <v>1074</v>
      </c>
      <c r="E51" s="14">
        <v>45686</v>
      </c>
      <c r="F51" s="5" t="s">
        <v>6538</v>
      </c>
      <c r="G51" s="5" t="s">
        <v>1079</v>
      </c>
      <c r="H51" s="6"/>
      <c r="I51" s="6" t="s">
        <v>14</v>
      </c>
      <c r="J51" s="6" t="s">
        <v>5245</v>
      </c>
      <c r="K51" s="6">
        <v>1662514</v>
      </c>
      <c r="L51" s="7" t="s">
        <v>6570</v>
      </c>
      <c r="M51" s="8">
        <v>22835</v>
      </c>
      <c r="N51" s="8" t="str">
        <f t="shared" si="5"/>
        <v>PEN</v>
      </c>
      <c r="O51" s="13"/>
      <c r="P51" s="13">
        <v>8</v>
      </c>
      <c r="Q51" s="3">
        <f t="shared" si="2"/>
        <v>0</v>
      </c>
      <c r="R51" s="3">
        <f t="shared" si="3"/>
        <v>8</v>
      </c>
      <c r="S51" s="3">
        <f t="shared" si="4"/>
        <v>179.74</v>
      </c>
      <c r="T51" s="24"/>
      <c r="U51" s="24"/>
      <c r="V51" s="3"/>
      <c r="W51" s="25" t="s">
        <v>6541</v>
      </c>
      <c r="X51" s="25"/>
      <c r="Y51" s="25" t="str">
        <f>IFERROR(VLOOKUP(C_Ope_001[[#This Row],[NOTA 2]],Clientes_Proveedores[[Ruc / Dni]:[Razon Social]],2,0),"")</f>
        <v/>
      </c>
      <c r="Z51" s="25"/>
      <c r="AA51" s="130"/>
      <c r="AB51" s="3" t="str">
        <f>IF(C_Ope_001[[#This Row],[FECHA]]&gt;0,TEXT(C_Ope_001[[#This Row],[FECHA]],"mmmm"),0)</f>
        <v>Enero</v>
      </c>
    </row>
    <row r="52" spans="2:28" x14ac:dyDescent="0.3">
      <c r="B52" s="2">
        <f>IF(C_Ope_001[[#This Row],[TIPO DE R.]]="R",COUNTIFS($D$4:$D51,"R")+1,"")</f>
        <v>48</v>
      </c>
      <c r="C52" s="19" t="str">
        <f t="shared" si="0"/>
        <v>C_Ope_001</v>
      </c>
      <c r="D52" s="3" t="s">
        <v>1074</v>
      </c>
      <c r="E52" s="14">
        <v>45684</v>
      </c>
      <c r="F52" s="5" t="s">
        <v>6538</v>
      </c>
      <c r="G52" s="5" t="s">
        <v>1079</v>
      </c>
      <c r="H52" s="6"/>
      <c r="I52" s="6" t="s">
        <v>14</v>
      </c>
      <c r="J52" s="6" t="s">
        <v>1148</v>
      </c>
      <c r="K52" s="6">
        <v>127483</v>
      </c>
      <c r="L52" s="7" t="s">
        <v>6571</v>
      </c>
      <c r="M52" s="8">
        <v>22811</v>
      </c>
      <c r="N52" s="8" t="str">
        <f t="shared" si="5"/>
        <v>PEN</v>
      </c>
      <c r="O52" s="13"/>
      <c r="P52" s="13">
        <v>10</v>
      </c>
      <c r="Q52" s="3">
        <f t="shared" si="2"/>
        <v>0</v>
      </c>
      <c r="R52" s="3">
        <f t="shared" si="3"/>
        <v>10</v>
      </c>
      <c r="S52" s="3">
        <f t="shared" si="4"/>
        <v>169.74</v>
      </c>
      <c r="T52" s="24"/>
      <c r="U52" s="24"/>
      <c r="V52" s="3"/>
      <c r="W52" s="25" t="s">
        <v>6541</v>
      </c>
      <c r="X52" s="25"/>
      <c r="Y52" s="25" t="str">
        <f>IFERROR(VLOOKUP(C_Ope_001[[#This Row],[NOTA 2]],Clientes_Proveedores[[Ruc / Dni]:[Razon Social]],2,0),"")</f>
        <v/>
      </c>
      <c r="Z52" s="25"/>
      <c r="AA52" s="130"/>
      <c r="AB52" s="3" t="str">
        <f>IF(C_Ope_001[[#This Row],[FECHA]]&gt;0,TEXT(C_Ope_001[[#This Row],[FECHA]],"mmmm"),0)</f>
        <v>Enero</v>
      </c>
    </row>
    <row r="53" spans="2:28" x14ac:dyDescent="0.3">
      <c r="B53" s="2">
        <f>IF(C_Ope_001[[#This Row],[TIPO DE R.]]="R",COUNTIFS($D$4:$D52,"R")+1,"")</f>
        <v>49</v>
      </c>
      <c r="C53" s="19" t="str">
        <f t="shared" si="0"/>
        <v>C_Ope_001</v>
      </c>
      <c r="D53" s="3" t="s">
        <v>1074</v>
      </c>
      <c r="E53" s="14">
        <v>45684</v>
      </c>
      <c r="F53" s="5" t="s">
        <v>6538</v>
      </c>
      <c r="G53" s="5" t="s">
        <v>1079</v>
      </c>
      <c r="H53" s="6"/>
      <c r="I53" s="6" t="s">
        <v>14</v>
      </c>
      <c r="J53" s="6" t="s">
        <v>1148</v>
      </c>
      <c r="K53" s="6">
        <v>127475</v>
      </c>
      <c r="L53" s="7" t="s">
        <v>6571</v>
      </c>
      <c r="M53" s="8">
        <v>22812</v>
      </c>
      <c r="N53" s="8" t="str">
        <f t="shared" si="5"/>
        <v>PEN</v>
      </c>
      <c r="O53" s="13"/>
      <c r="P53" s="13">
        <v>10</v>
      </c>
      <c r="Q53" s="3">
        <f t="shared" si="2"/>
        <v>0</v>
      </c>
      <c r="R53" s="3">
        <f t="shared" si="3"/>
        <v>10</v>
      </c>
      <c r="S53" s="3">
        <f t="shared" si="4"/>
        <v>159.74</v>
      </c>
      <c r="T53" s="24"/>
      <c r="U53" s="24"/>
      <c r="V53" s="3"/>
      <c r="W53" s="25" t="s">
        <v>6541</v>
      </c>
      <c r="X53" s="25"/>
      <c r="Y53" s="25" t="str">
        <f>IFERROR(VLOOKUP(C_Ope_001[[#This Row],[NOTA 2]],Clientes_Proveedores[[Ruc / Dni]:[Razon Social]],2,0),"")</f>
        <v/>
      </c>
      <c r="Z53" s="25"/>
      <c r="AA53" s="130"/>
      <c r="AB53" s="3" t="str">
        <f>IF(C_Ope_001[[#This Row],[FECHA]]&gt;0,TEXT(C_Ope_001[[#This Row],[FECHA]],"mmmm"),0)</f>
        <v>Enero</v>
      </c>
    </row>
    <row r="54" spans="2:28" x14ac:dyDescent="0.3">
      <c r="B54" s="2">
        <f>IF(C_Ope_001[[#This Row],[TIPO DE R.]]="R",COUNTIFS($D$4:$D53,"R")+1,"")</f>
        <v>50</v>
      </c>
      <c r="C54" s="19" t="str">
        <f t="shared" si="0"/>
        <v>C_Ope_001</v>
      </c>
      <c r="D54" s="3" t="s">
        <v>1074</v>
      </c>
      <c r="E54" s="14">
        <v>45685</v>
      </c>
      <c r="F54" s="5" t="s">
        <v>6538</v>
      </c>
      <c r="G54" s="5" t="s">
        <v>1079</v>
      </c>
      <c r="H54" s="6"/>
      <c r="I54" s="6" t="s">
        <v>14</v>
      </c>
      <c r="J54" s="6" t="s">
        <v>1148</v>
      </c>
      <c r="K54" s="6">
        <v>127555</v>
      </c>
      <c r="L54" s="7" t="s">
        <v>6550</v>
      </c>
      <c r="M54" s="8">
        <v>22817</v>
      </c>
      <c r="N54" s="8" t="str">
        <f t="shared" si="5"/>
        <v>PEN</v>
      </c>
      <c r="O54" s="13"/>
      <c r="P54" s="13">
        <v>10</v>
      </c>
      <c r="Q54" s="3">
        <f t="shared" si="2"/>
        <v>0</v>
      </c>
      <c r="R54" s="3">
        <f t="shared" si="3"/>
        <v>10</v>
      </c>
      <c r="S54" s="3">
        <f t="shared" si="4"/>
        <v>149.74</v>
      </c>
      <c r="T54" s="24"/>
      <c r="U54" s="24"/>
      <c r="V54" s="3"/>
      <c r="W54" s="25" t="s">
        <v>6541</v>
      </c>
      <c r="X54" s="25"/>
      <c r="Y54" s="25" t="str">
        <f>IFERROR(VLOOKUP(C_Ope_001[[#This Row],[NOTA 2]],Clientes_Proveedores[[Ruc / Dni]:[Razon Social]],2,0),"")</f>
        <v/>
      </c>
      <c r="Z54" s="25"/>
      <c r="AA54" s="130"/>
      <c r="AB54" s="3" t="str">
        <f>IF(C_Ope_001[[#This Row],[FECHA]]&gt;0,TEXT(C_Ope_001[[#This Row],[FECHA]],"mmmm"),0)</f>
        <v>Enero</v>
      </c>
    </row>
    <row r="55" spans="2:28" x14ac:dyDescent="0.3">
      <c r="B55" s="2">
        <f>IF(C_Ope_001[[#This Row],[TIPO DE R.]]="R",COUNTIFS($D$4:$D54,"R")+1,"")</f>
        <v>51</v>
      </c>
      <c r="C55" s="19" t="str">
        <f t="shared" si="0"/>
        <v>C_Ope_001</v>
      </c>
      <c r="D55" s="3" t="s">
        <v>1074</v>
      </c>
      <c r="E55" s="14">
        <v>45685</v>
      </c>
      <c r="F55" s="5" t="s">
        <v>6538</v>
      </c>
      <c r="G55" s="5" t="s">
        <v>1079</v>
      </c>
      <c r="H55" s="6"/>
      <c r="I55" s="6" t="s">
        <v>14</v>
      </c>
      <c r="J55" s="6" t="s">
        <v>1148</v>
      </c>
      <c r="K55" s="6">
        <v>127518</v>
      </c>
      <c r="L55" s="7" t="s">
        <v>6550</v>
      </c>
      <c r="M55" s="8">
        <v>22818</v>
      </c>
      <c r="N55" s="8" t="str">
        <f t="shared" si="5"/>
        <v>PEN</v>
      </c>
      <c r="O55" s="13"/>
      <c r="P55" s="13">
        <v>10</v>
      </c>
      <c r="Q55" s="3">
        <f t="shared" si="2"/>
        <v>0</v>
      </c>
      <c r="R55" s="3">
        <f t="shared" si="3"/>
        <v>10</v>
      </c>
      <c r="S55" s="3">
        <f t="shared" si="4"/>
        <v>139.74</v>
      </c>
      <c r="T55" s="24"/>
      <c r="U55" s="24"/>
      <c r="V55" s="3"/>
      <c r="W55" s="25" t="s">
        <v>6541</v>
      </c>
      <c r="X55" s="25"/>
      <c r="Y55" s="25" t="str">
        <f>IFERROR(VLOOKUP(C_Ope_001[[#This Row],[NOTA 2]],Clientes_Proveedores[[Ruc / Dni]:[Razon Social]],2,0),"")</f>
        <v/>
      </c>
      <c r="Z55" s="25"/>
      <c r="AA55" s="130"/>
      <c r="AB55" s="3" t="str">
        <f>IF(C_Ope_001[[#This Row],[FECHA]]&gt;0,TEXT(C_Ope_001[[#This Row],[FECHA]],"mmmm"),0)</f>
        <v>Enero</v>
      </c>
    </row>
    <row r="56" spans="2:28" x14ac:dyDescent="0.3">
      <c r="B56" s="2">
        <f>IF(C_Ope_001[[#This Row],[TIPO DE R.]]="R",COUNTIFS($D$4:$D55,"R")+1,"")</f>
        <v>52</v>
      </c>
      <c r="C56" s="19" t="str">
        <f t="shared" si="0"/>
        <v>C_Ope_001</v>
      </c>
      <c r="D56" s="3" t="s">
        <v>1074</v>
      </c>
      <c r="E56" s="14">
        <v>45687</v>
      </c>
      <c r="F56" s="5" t="s">
        <v>6538</v>
      </c>
      <c r="G56" s="5" t="s">
        <v>1079</v>
      </c>
      <c r="H56" s="6"/>
      <c r="I56" s="6" t="s">
        <v>14</v>
      </c>
      <c r="J56" s="6" t="s">
        <v>1148</v>
      </c>
      <c r="K56" s="6">
        <v>127665</v>
      </c>
      <c r="L56" s="7" t="s">
        <v>6572</v>
      </c>
      <c r="M56" s="8">
        <v>22837</v>
      </c>
      <c r="N56" s="8" t="str">
        <f t="shared" si="5"/>
        <v>PEN</v>
      </c>
      <c r="O56" s="13"/>
      <c r="P56" s="13">
        <v>10</v>
      </c>
      <c r="Q56" s="3">
        <f t="shared" si="2"/>
        <v>0</v>
      </c>
      <c r="R56" s="3">
        <f t="shared" si="3"/>
        <v>10</v>
      </c>
      <c r="S56" s="3">
        <f t="shared" si="4"/>
        <v>129.74</v>
      </c>
      <c r="T56" s="24"/>
      <c r="U56" s="24"/>
      <c r="V56" s="3"/>
      <c r="W56" s="25" t="s">
        <v>6541</v>
      </c>
      <c r="X56" s="25"/>
      <c r="Y56" s="25" t="str">
        <f>IFERROR(VLOOKUP(C_Ope_001[[#This Row],[NOTA 2]],Clientes_Proveedores[[Ruc / Dni]:[Razon Social]],2,0),"")</f>
        <v/>
      </c>
      <c r="Z56" s="25"/>
      <c r="AA56" s="130"/>
      <c r="AB56" s="3" t="str">
        <f>IF(C_Ope_001[[#This Row],[FECHA]]&gt;0,TEXT(C_Ope_001[[#This Row],[FECHA]],"mmmm"),0)</f>
        <v>Enero</v>
      </c>
    </row>
    <row r="57" spans="2:28" x14ac:dyDescent="0.3">
      <c r="B57" s="2">
        <f>IF(C_Ope_001[[#This Row],[TIPO DE R.]]="R",COUNTIFS($D$4:$D56,"R")+1,"")</f>
        <v>53</v>
      </c>
      <c r="C57" s="19" t="str">
        <f t="shared" si="0"/>
        <v>C_Ope_001</v>
      </c>
      <c r="D57" s="3" t="s">
        <v>1074</v>
      </c>
      <c r="E57" s="14">
        <v>45687</v>
      </c>
      <c r="F57" s="5" t="s">
        <v>6538</v>
      </c>
      <c r="G57" s="5" t="s">
        <v>1079</v>
      </c>
      <c r="H57" s="6"/>
      <c r="I57" s="6" t="s">
        <v>14</v>
      </c>
      <c r="J57" s="6" t="s">
        <v>1148</v>
      </c>
      <c r="K57" s="6">
        <v>127666</v>
      </c>
      <c r="L57" s="7" t="s">
        <v>6573</v>
      </c>
      <c r="M57" s="8">
        <v>22838</v>
      </c>
      <c r="N57" s="8" t="str">
        <f t="shared" si="5"/>
        <v>PEN</v>
      </c>
      <c r="O57" s="13"/>
      <c r="P57" s="13">
        <v>10</v>
      </c>
      <c r="Q57" s="3">
        <f t="shared" si="2"/>
        <v>0</v>
      </c>
      <c r="R57" s="3">
        <f t="shared" si="3"/>
        <v>10</v>
      </c>
      <c r="S57" s="3">
        <f t="shared" si="4"/>
        <v>119.74000000000001</v>
      </c>
      <c r="T57" s="24"/>
      <c r="U57" s="24"/>
      <c r="V57" s="3"/>
      <c r="W57" s="25" t="s">
        <v>6541</v>
      </c>
      <c r="X57" s="25"/>
      <c r="Y57" s="25" t="str">
        <f>IFERROR(VLOOKUP(C_Ope_001[[#This Row],[NOTA 2]],Clientes_Proveedores[[Ruc / Dni]:[Razon Social]],2,0),"")</f>
        <v/>
      </c>
      <c r="Z57" s="25"/>
      <c r="AA57" s="130"/>
      <c r="AB57" s="3" t="str">
        <f>IF(C_Ope_001[[#This Row],[FECHA]]&gt;0,TEXT(C_Ope_001[[#This Row],[FECHA]],"mmmm"),0)</f>
        <v>Enero</v>
      </c>
    </row>
    <row r="58" spans="2:28" x14ac:dyDescent="0.3">
      <c r="B58" s="2">
        <f>IF(C_Ope_001[[#This Row],[TIPO DE R.]]="R",COUNTIFS($D$4:$D57,"R")+1,"")</f>
        <v>54</v>
      </c>
      <c r="C58" s="19" t="str">
        <f t="shared" si="0"/>
        <v>C_Ope_001</v>
      </c>
      <c r="D58" s="3" t="s">
        <v>1074</v>
      </c>
      <c r="E58" s="14">
        <v>45687</v>
      </c>
      <c r="F58" s="5" t="s">
        <v>6538</v>
      </c>
      <c r="G58" s="5" t="s">
        <v>1079</v>
      </c>
      <c r="H58" s="6"/>
      <c r="I58" s="6" t="s">
        <v>14</v>
      </c>
      <c r="J58" s="6" t="s">
        <v>1148</v>
      </c>
      <c r="K58" s="6">
        <v>127648</v>
      </c>
      <c r="L58" s="7" t="s">
        <v>6574</v>
      </c>
      <c r="M58" s="8">
        <v>22839</v>
      </c>
      <c r="N58" s="8" t="str">
        <f t="shared" si="5"/>
        <v>PEN</v>
      </c>
      <c r="O58" s="13"/>
      <c r="P58" s="13">
        <v>10</v>
      </c>
      <c r="Q58" s="3">
        <f t="shared" si="2"/>
        <v>0</v>
      </c>
      <c r="R58" s="3">
        <f t="shared" si="3"/>
        <v>10</v>
      </c>
      <c r="S58" s="3">
        <f t="shared" si="4"/>
        <v>109.74000000000001</v>
      </c>
      <c r="T58" s="24"/>
      <c r="U58" s="24"/>
      <c r="V58" s="3"/>
      <c r="W58" s="25" t="s">
        <v>6541</v>
      </c>
      <c r="X58" s="25"/>
      <c r="Y58" s="25" t="str">
        <f>IFERROR(VLOOKUP(C_Ope_001[[#This Row],[NOTA 2]],Clientes_Proveedores[[Ruc / Dni]:[Razon Social]],2,0),"")</f>
        <v/>
      </c>
      <c r="Z58" s="25"/>
      <c r="AA58" s="130"/>
      <c r="AB58" s="3" t="str">
        <f>IF(C_Ope_001[[#This Row],[FECHA]]&gt;0,TEXT(C_Ope_001[[#This Row],[FECHA]],"mmmm"),0)</f>
        <v>Enero</v>
      </c>
    </row>
    <row r="59" spans="2:28" x14ac:dyDescent="0.3">
      <c r="B59" s="2">
        <f>IF(C_Ope_001[[#This Row],[TIPO DE R.]]="R",COUNTIFS($D$4:$D58,"R")+1,"")</f>
        <v>55</v>
      </c>
      <c r="C59" s="19" t="str">
        <f t="shared" si="0"/>
        <v>C_Ope_001</v>
      </c>
      <c r="D59" s="3" t="s">
        <v>1074</v>
      </c>
      <c r="E59" s="14">
        <v>45688</v>
      </c>
      <c r="F59" s="5" t="s">
        <v>6538</v>
      </c>
      <c r="G59" s="5" t="s">
        <v>1079</v>
      </c>
      <c r="H59" s="6"/>
      <c r="I59" s="6" t="s">
        <v>14</v>
      </c>
      <c r="J59" s="6" t="s">
        <v>1148</v>
      </c>
      <c r="K59" s="6">
        <v>127710</v>
      </c>
      <c r="L59" s="7" t="s">
        <v>6575</v>
      </c>
      <c r="M59" s="8">
        <v>22850</v>
      </c>
      <c r="N59" s="8" t="str">
        <f t="shared" si="5"/>
        <v>PEN</v>
      </c>
      <c r="O59" s="13"/>
      <c r="P59" s="13">
        <v>10</v>
      </c>
      <c r="Q59" s="3">
        <f t="shared" si="2"/>
        <v>0</v>
      </c>
      <c r="R59" s="3">
        <f t="shared" si="3"/>
        <v>10</v>
      </c>
      <c r="S59" s="3">
        <f t="shared" si="4"/>
        <v>99.740000000000009</v>
      </c>
      <c r="T59" s="24"/>
      <c r="U59" s="24"/>
      <c r="V59" s="3"/>
      <c r="W59" s="25" t="s">
        <v>6546</v>
      </c>
      <c r="X59" s="25"/>
      <c r="Y59" s="25" t="str">
        <f>IFERROR(VLOOKUP(C_Ope_001[[#This Row],[NOTA 2]],Clientes_Proveedores[[Ruc / Dni]:[Razon Social]],2,0),"")</f>
        <v/>
      </c>
      <c r="Z59" s="25"/>
      <c r="AA59" s="130"/>
      <c r="AB59" s="3" t="str">
        <f>IF(C_Ope_001[[#This Row],[FECHA]]&gt;0,TEXT(C_Ope_001[[#This Row],[FECHA]],"mmmm"),0)</f>
        <v>Enero</v>
      </c>
    </row>
    <row r="60" spans="2:28" x14ac:dyDescent="0.3">
      <c r="B60" s="2">
        <f>IF(C_Ope_001[[#This Row],[TIPO DE R.]]="R",COUNTIFS($D$4:$D59,"R")+1,"")</f>
        <v>56</v>
      </c>
      <c r="C60" s="19" t="str">
        <f t="shared" si="0"/>
        <v>C_Ope_001</v>
      </c>
      <c r="D60" s="3" t="s">
        <v>1074</v>
      </c>
      <c r="E60" s="14">
        <v>45688</v>
      </c>
      <c r="F60" s="5" t="s">
        <v>6538</v>
      </c>
      <c r="G60" s="5" t="s">
        <v>1079</v>
      </c>
      <c r="H60" s="6"/>
      <c r="I60" s="6" t="s">
        <v>14</v>
      </c>
      <c r="J60" s="6" t="s">
        <v>1148</v>
      </c>
      <c r="K60" s="6">
        <v>127695</v>
      </c>
      <c r="L60" s="7" t="s">
        <v>6576</v>
      </c>
      <c r="M60" s="8">
        <v>22851</v>
      </c>
      <c r="N60" s="8" t="str">
        <f t="shared" si="5"/>
        <v>PEN</v>
      </c>
      <c r="O60" s="13"/>
      <c r="P60" s="13">
        <v>10</v>
      </c>
      <c r="Q60" s="3">
        <f t="shared" si="2"/>
        <v>0</v>
      </c>
      <c r="R60" s="3">
        <f t="shared" si="3"/>
        <v>10</v>
      </c>
      <c r="S60" s="3">
        <f t="shared" si="4"/>
        <v>89.740000000000009</v>
      </c>
      <c r="T60" s="24"/>
      <c r="U60" s="24"/>
      <c r="V60" s="3"/>
      <c r="W60" s="25" t="s">
        <v>6546</v>
      </c>
      <c r="X60" s="25"/>
      <c r="Y60" s="25" t="str">
        <f>IFERROR(VLOOKUP(C_Ope_001[[#This Row],[NOTA 2]],Clientes_Proveedores[[Ruc / Dni]:[Razon Social]],2,0),"")</f>
        <v/>
      </c>
      <c r="Z60" s="25"/>
      <c r="AA60" s="130"/>
      <c r="AB60" s="3" t="str">
        <f>IF(C_Ope_001[[#This Row],[FECHA]]&gt;0,TEXT(C_Ope_001[[#This Row],[FECHA]],"mmmm"),0)</f>
        <v>Enero</v>
      </c>
    </row>
    <row r="61" spans="2:28" x14ac:dyDescent="0.3">
      <c r="B61" s="2">
        <f>IF(C_Ope_001[[#This Row],[TIPO DE R.]]="R",COUNTIFS($D$4:$D60,"R")+1,"")</f>
        <v>57</v>
      </c>
      <c r="C61" s="19" t="str">
        <f t="shared" si="0"/>
        <v>C_Ope_001</v>
      </c>
      <c r="D61" s="3" t="s">
        <v>1074</v>
      </c>
      <c r="E61" s="14">
        <v>45691</v>
      </c>
      <c r="F61" s="5" t="s">
        <v>6299</v>
      </c>
      <c r="G61" s="5" t="s">
        <v>1087</v>
      </c>
      <c r="H61" s="6"/>
      <c r="I61" s="6"/>
      <c r="J61" s="6"/>
      <c r="K61" s="6"/>
      <c r="L61" s="7" t="s">
        <v>6302</v>
      </c>
      <c r="M61" s="8">
        <v>22860</v>
      </c>
      <c r="N61" s="8" t="str">
        <f t="shared" si="5"/>
        <v>PEN</v>
      </c>
      <c r="O61" s="13"/>
      <c r="P61" s="13">
        <v>110</v>
      </c>
      <c r="Q61" s="3">
        <f t="shared" si="2"/>
        <v>110</v>
      </c>
      <c r="R61" s="3">
        <f t="shared" si="3"/>
        <v>0</v>
      </c>
      <c r="S61" s="3">
        <f t="shared" si="4"/>
        <v>199.74</v>
      </c>
      <c r="T61" s="24"/>
      <c r="U61" s="24"/>
      <c r="V61" s="3"/>
      <c r="W61" s="25"/>
      <c r="X61" s="25"/>
      <c r="Y61" s="25" t="str">
        <f>IFERROR(VLOOKUP(C_Ope_001[[#This Row],[NOTA 2]],Clientes_Proveedores[[Ruc / Dni]:[Razon Social]],2,0),"")</f>
        <v/>
      </c>
      <c r="Z61" s="25"/>
      <c r="AA61" s="130"/>
      <c r="AB61" s="3" t="str">
        <f>IF(C_Ope_001[[#This Row],[FECHA]]&gt;0,TEXT(C_Ope_001[[#This Row],[FECHA]],"mmmm"),0)</f>
        <v>Febrero</v>
      </c>
    </row>
    <row r="62" spans="2:28" x14ac:dyDescent="0.3">
      <c r="B62" s="2">
        <f>IF(C_Ope_001[[#This Row],[TIPO DE R.]]="R",COUNTIFS($D$4:$D61,"R")+1,"")</f>
        <v>58</v>
      </c>
      <c r="C62" s="19" t="str">
        <f t="shared" si="0"/>
        <v>C_Ope_001</v>
      </c>
      <c r="D62" s="3" t="s">
        <v>1074</v>
      </c>
      <c r="E62" s="14">
        <v>45695</v>
      </c>
      <c r="F62" s="5" t="s">
        <v>6299</v>
      </c>
      <c r="G62" s="5" t="s">
        <v>1087</v>
      </c>
      <c r="H62" s="6"/>
      <c r="I62" s="6"/>
      <c r="J62" s="6"/>
      <c r="K62" s="6"/>
      <c r="L62" s="7" t="s">
        <v>6302</v>
      </c>
      <c r="M62" s="8">
        <v>23006</v>
      </c>
      <c r="N62" s="8" t="str">
        <f t="shared" si="5"/>
        <v>PEN</v>
      </c>
      <c r="O62" s="13"/>
      <c r="P62" s="13">
        <v>400</v>
      </c>
      <c r="Q62" s="3">
        <f t="shared" si="2"/>
        <v>400</v>
      </c>
      <c r="R62" s="3">
        <f t="shared" si="3"/>
        <v>0</v>
      </c>
      <c r="S62" s="3">
        <f t="shared" si="4"/>
        <v>599.74</v>
      </c>
      <c r="T62" s="24"/>
      <c r="U62" s="24"/>
      <c r="V62" s="3"/>
      <c r="W62" s="25"/>
      <c r="X62" s="25"/>
      <c r="Y62" s="25" t="str">
        <f>IFERROR(VLOOKUP(C_Ope_001[[#This Row],[NOTA 2]],Clientes_Proveedores[[Ruc / Dni]:[Razon Social]],2,0),"")</f>
        <v/>
      </c>
      <c r="Z62" s="25"/>
      <c r="AA62" s="130"/>
      <c r="AB62" s="3" t="str">
        <f>IF(C_Ope_001[[#This Row],[FECHA]]&gt;0,TEXT(C_Ope_001[[#This Row],[FECHA]],"mmmm"),0)</f>
        <v>Febrero</v>
      </c>
    </row>
    <row r="63" spans="2:28" x14ac:dyDescent="0.3">
      <c r="B63" s="2">
        <f>IF(C_Ope_001[[#This Row],[TIPO DE R.]]="R",COUNTIFS($D$4:$D62,"R")+1,"")</f>
        <v>59</v>
      </c>
      <c r="C63" s="19" t="str">
        <f t="shared" si="0"/>
        <v>C_Ope_001</v>
      </c>
      <c r="D63" s="3" t="s">
        <v>1074</v>
      </c>
      <c r="E63" s="14">
        <v>45691</v>
      </c>
      <c r="F63" s="5" t="s">
        <v>6538</v>
      </c>
      <c r="G63" s="5" t="s">
        <v>1079</v>
      </c>
      <c r="H63" s="6"/>
      <c r="I63" s="6" t="s">
        <v>14</v>
      </c>
      <c r="J63" s="6" t="s">
        <v>5243</v>
      </c>
      <c r="K63" s="6">
        <v>2219941</v>
      </c>
      <c r="L63" s="7" t="s">
        <v>6577</v>
      </c>
      <c r="M63" s="8">
        <v>22861</v>
      </c>
      <c r="N63" s="8" t="str">
        <f t="shared" si="5"/>
        <v>PEN</v>
      </c>
      <c r="O63" s="13"/>
      <c r="P63" s="13">
        <v>8</v>
      </c>
      <c r="Q63" s="3">
        <f t="shared" si="2"/>
        <v>0</v>
      </c>
      <c r="R63" s="3">
        <f t="shared" si="3"/>
        <v>8</v>
      </c>
      <c r="S63" s="3">
        <f t="shared" si="4"/>
        <v>591.74</v>
      </c>
      <c r="T63" s="24"/>
      <c r="U63" s="24"/>
      <c r="V63" s="3"/>
      <c r="W63" s="25" t="s">
        <v>6541</v>
      </c>
      <c r="X63" s="25"/>
      <c r="Y63" s="25" t="str">
        <f>IFERROR(VLOOKUP(C_Ope_001[[#This Row],[NOTA 2]],Clientes_Proveedores[[Ruc / Dni]:[Razon Social]],2,0),"")</f>
        <v/>
      </c>
      <c r="Z63" s="25"/>
      <c r="AA63" s="130"/>
      <c r="AB63" s="3" t="str">
        <f>IF(C_Ope_001[[#This Row],[FECHA]]&gt;0,TEXT(C_Ope_001[[#This Row],[FECHA]],"mmmm"),0)</f>
        <v>Febrero</v>
      </c>
    </row>
    <row r="64" spans="2:28" x14ac:dyDescent="0.3">
      <c r="B64" s="2">
        <f>IF(C_Ope_001[[#This Row],[TIPO DE R.]]="R",COUNTIFS($D$4:$D63,"R")+1,"")</f>
        <v>60</v>
      </c>
      <c r="C64" s="19" t="str">
        <f t="shared" si="0"/>
        <v>C_Ope_001</v>
      </c>
      <c r="D64" s="3" t="s">
        <v>1074</v>
      </c>
      <c r="E64" s="14">
        <v>45691</v>
      </c>
      <c r="F64" s="5" t="s">
        <v>6538</v>
      </c>
      <c r="G64" s="5" t="s">
        <v>1079</v>
      </c>
      <c r="H64" s="6"/>
      <c r="I64" s="6" t="s">
        <v>14</v>
      </c>
      <c r="J64" s="6" t="s">
        <v>5245</v>
      </c>
      <c r="K64" s="6">
        <v>1666677</v>
      </c>
      <c r="L64" s="7" t="s">
        <v>6577</v>
      </c>
      <c r="M64" s="8">
        <v>22862</v>
      </c>
      <c r="N64" s="8" t="str">
        <f t="shared" si="5"/>
        <v>PEN</v>
      </c>
      <c r="O64" s="13"/>
      <c r="P64" s="13">
        <v>8</v>
      </c>
      <c r="Q64" s="3">
        <f t="shared" si="2"/>
        <v>0</v>
      </c>
      <c r="R64" s="3">
        <f t="shared" si="3"/>
        <v>8</v>
      </c>
      <c r="S64" s="3">
        <f t="shared" si="4"/>
        <v>583.74</v>
      </c>
      <c r="T64" s="24"/>
      <c r="U64" s="24"/>
      <c r="V64" s="3"/>
      <c r="W64" s="25" t="s">
        <v>6541</v>
      </c>
      <c r="X64" s="25"/>
      <c r="Y64" s="25" t="str">
        <f>IFERROR(VLOOKUP(C_Ope_001[[#This Row],[NOTA 2]],Clientes_Proveedores[[Ruc / Dni]:[Razon Social]],2,0),"")</f>
        <v/>
      </c>
      <c r="Z64" s="25"/>
      <c r="AA64" s="130"/>
      <c r="AB64" s="3" t="str">
        <f>IF(C_Ope_001[[#This Row],[FECHA]]&gt;0,TEXT(C_Ope_001[[#This Row],[FECHA]],"mmmm"),0)</f>
        <v>Febrero</v>
      </c>
    </row>
    <row r="65" spans="2:28" x14ac:dyDescent="0.3">
      <c r="B65" s="2">
        <f>IF(C_Ope_001[[#This Row],[TIPO DE R.]]="R",COUNTIFS($D$4:$D64,"R")+1,"")</f>
        <v>61</v>
      </c>
      <c r="C65" s="19" t="str">
        <f t="shared" si="0"/>
        <v>C_Ope_001</v>
      </c>
      <c r="D65" s="3" t="s">
        <v>1074</v>
      </c>
      <c r="E65" s="14">
        <v>45693</v>
      </c>
      <c r="F65" s="5" t="s">
        <v>6538</v>
      </c>
      <c r="G65" s="5" t="s">
        <v>1079</v>
      </c>
      <c r="H65" s="6"/>
      <c r="I65" s="6" t="s">
        <v>14</v>
      </c>
      <c r="J65" s="6" t="s">
        <v>5245</v>
      </c>
      <c r="K65" s="6">
        <v>1668317</v>
      </c>
      <c r="L65" s="7" t="s">
        <v>6578</v>
      </c>
      <c r="M65" s="8">
        <v>22891</v>
      </c>
      <c r="N65" s="8" t="str">
        <f t="shared" si="5"/>
        <v>PEN</v>
      </c>
      <c r="O65" s="13"/>
      <c r="P65" s="13">
        <v>8</v>
      </c>
      <c r="Q65" s="3">
        <f t="shared" si="2"/>
        <v>0</v>
      </c>
      <c r="R65" s="3">
        <f t="shared" si="3"/>
        <v>8</v>
      </c>
      <c r="S65" s="3">
        <f t="shared" si="4"/>
        <v>575.74</v>
      </c>
      <c r="T65" s="24"/>
      <c r="U65" s="24"/>
      <c r="V65" s="3"/>
      <c r="W65" s="25" t="s">
        <v>6541</v>
      </c>
      <c r="X65" s="25"/>
      <c r="Y65" s="25" t="str">
        <f>IFERROR(VLOOKUP(C_Ope_001[[#This Row],[NOTA 2]],Clientes_Proveedores[[Ruc / Dni]:[Razon Social]],2,0),"")</f>
        <v/>
      </c>
      <c r="Z65" s="25"/>
      <c r="AA65" s="130"/>
      <c r="AB65" s="3" t="str">
        <f>IF(C_Ope_001[[#This Row],[FECHA]]&gt;0,TEXT(C_Ope_001[[#This Row],[FECHA]],"mmmm"),0)</f>
        <v>Febrero</v>
      </c>
    </row>
    <row r="66" spans="2:28" x14ac:dyDescent="0.3">
      <c r="B66" s="2">
        <f>IF(C_Ope_001[[#This Row],[TIPO DE R.]]="R",COUNTIFS($D$4:$D65,"R")+1,"")</f>
        <v>62</v>
      </c>
      <c r="C66" s="19" t="str">
        <f t="shared" si="0"/>
        <v>C_Ope_001</v>
      </c>
      <c r="D66" s="3" t="s">
        <v>1074</v>
      </c>
      <c r="E66" s="14">
        <v>45693</v>
      </c>
      <c r="F66" s="5" t="s">
        <v>6538</v>
      </c>
      <c r="G66" s="5" t="s">
        <v>1079</v>
      </c>
      <c r="H66" s="6"/>
      <c r="I66" s="6" t="s">
        <v>14</v>
      </c>
      <c r="J66" s="6" t="s">
        <v>5244</v>
      </c>
      <c r="K66" s="6">
        <v>1649454</v>
      </c>
      <c r="L66" s="7" t="s">
        <v>6578</v>
      </c>
      <c r="M66" s="8">
        <v>22892</v>
      </c>
      <c r="N66" s="8" t="str">
        <f t="shared" si="5"/>
        <v>PEN</v>
      </c>
      <c r="O66" s="13"/>
      <c r="P66" s="13">
        <v>8</v>
      </c>
      <c r="Q66" s="3">
        <f t="shared" si="2"/>
        <v>0</v>
      </c>
      <c r="R66" s="3">
        <f t="shared" si="3"/>
        <v>8</v>
      </c>
      <c r="S66" s="3">
        <f t="shared" si="4"/>
        <v>567.74</v>
      </c>
      <c r="T66" s="24"/>
      <c r="U66" s="24"/>
      <c r="V66" s="3"/>
      <c r="W66" s="25" t="s">
        <v>6541</v>
      </c>
      <c r="X66" s="25"/>
      <c r="Y66" s="25" t="str">
        <f>IFERROR(VLOOKUP(C_Ope_001[[#This Row],[NOTA 2]],Clientes_Proveedores[[Ruc / Dni]:[Razon Social]],2,0),"")</f>
        <v/>
      </c>
      <c r="Z66" s="25"/>
      <c r="AA66" s="130"/>
      <c r="AB66" s="3" t="str">
        <f>IF(C_Ope_001[[#This Row],[FECHA]]&gt;0,TEXT(C_Ope_001[[#This Row],[FECHA]],"mmmm"),0)</f>
        <v>Febrero</v>
      </c>
    </row>
    <row r="67" spans="2:28" ht="24" x14ac:dyDescent="0.3">
      <c r="B67" s="2">
        <f>IF(C_Ope_001[[#This Row],[TIPO DE R.]]="R",COUNTIFS($D$4:$D66,"R")+1,"")</f>
        <v>63</v>
      </c>
      <c r="C67" s="19" t="str">
        <f t="shared" si="0"/>
        <v>C_Ope_001</v>
      </c>
      <c r="D67" s="3" t="s">
        <v>1074</v>
      </c>
      <c r="E67" s="14">
        <v>45695</v>
      </c>
      <c r="F67" s="5" t="s">
        <v>6538</v>
      </c>
      <c r="G67" s="5" t="s">
        <v>1079</v>
      </c>
      <c r="H67" s="6"/>
      <c r="I67" s="6" t="s">
        <v>14</v>
      </c>
      <c r="J67" s="6" t="s">
        <v>5244</v>
      </c>
      <c r="K67" s="6">
        <v>1651320</v>
      </c>
      <c r="L67" s="7" t="s">
        <v>6579</v>
      </c>
      <c r="M67" s="8">
        <v>22941</v>
      </c>
      <c r="N67" s="8" t="str">
        <f t="shared" si="5"/>
        <v>PEN</v>
      </c>
      <c r="O67" s="13"/>
      <c r="P67" s="13">
        <v>8</v>
      </c>
      <c r="Q67" s="3">
        <f t="shared" si="2"/>
        <v>0</v>
      </c>
      <c r="R67" s="3">
        <f t="shared" si="3"/>
        <v>8</v>
      </c>
      <c r="S67" s="3">
        <f t="shared" si="4"/>
        <v>559.74</v>
      </c>
      <c r="T67" s="24"/>
      <c r="U67" s="24"/>
      <c r="V67" s="3"/>
      <c r="W67" s="25" t="s">
        <v>6541</v>
      </c>
      <c r="X67" s="25"/>
      <c r="Y67" s="25" t="str">
        <f>IFERROR(VLOOKUP(C_Ope_001[[#This Row],[NOTA 2]],Clientes_Proveedores[[Ruc / Dni]:[Razon Social]],2,0),"")</f>
        <v/>
      </c>
      <c r="Z67" s="25"/>
      <c r="AA67" s="130"/>
      <c r="AB67" s="3" t="str">
        <f>IF(C_Ope_001[[#This Row],[FECHA]]&gt;0,TEXT(C_Ope_001[[#This Row],[FECHA]],"mmmm"),0)</f>
        <v>Febrero</v>
      </c>
    </row>
    <row r="68" spans="2:28" ht="24" x14ac:dyDescent="0.3">
      <c r="B68" s="2">
        <f>IF(C_Ope_001[[#This Row],[TIPO DE R.]]="R",COUNTIFS($D$4:$D67,"R")+1,"")</f>
        <v>64</v>
      </c>
      <c r="C68" s="19" t="str">
        <f t="shared" si="0"/>
        <v>C_Ope_001</v>
      </c>
      <c r="D68" s="3" t="s">
        <v>1074</v>
      </c>
      <c r="E68" s="14">
        <v>45695</v>
      </c>
      <c r="F68" s="5" t="s">
        <v>6538</v>
      </c>
      <c r="G68" s="5" t="s">
        <v>1079</v>
      </c>
      <c r="H68" s="6"/>
      <c r="I68" s="6" t="s">
        <v>14</v>
      </c>
      <c r="J68" s="6" t="s">
        <v>5245</v>
      </c>
      <c r="K68" s="6">
        <v>1669856</v>
      </c>
      <c r="L68" s="7" t="s">
        <v>6579</v>
      </c>
      <c r="M68" s="8">
        <v>22942</v>
      </c>
      <c r="N68" s="8" t="str">
        <f t="shared" si="5"/>
        <v>PEN</v>
      </c>
      <c r="O68" s="13"/>
      <c r="P68" s="13">
        <v>8</v>
      </c>
      <c r="Q68" s="3">
        <f t="shared" si="2"/>
        <v>0</v>
      </c>
      <c r="R68" s="3">
        <f t="shared" si="3"/>
        <v>8</v>
      </c>
      <c r="S68" s="3">
        <f t="shared" si="4"/>
        <v>551.74</v>
      </c>
      <c r="T68" s="24"/>
      <c r="U68" s="24"/>
      <c r="V68" s="3"/>
      <c r="W68" s="25" t="s">
        <v>6541</v>
      </c>
      <c r="X68" s="25"/>
      <c r="Y68" s="25" t="str">
        <f>IFERROR(VLOOKUP(C_Ope_001[[#This Row],[NOTA 2]],Clientes_Proveedores[[Ruc / Dni]:[Razon Social]],2,0),"")</f>
        <v/>
      </c>
      <c r="Z68" s="25"/>
      <c r="AA68" s="130"/>
      <c r="AB68" s="3" t="str">
        <f>IF(C_Ope_001[[#This Row],[FECHA]]&gt;0,TEXT(C_Ope_001[[#This Row],[FECHA]],"mmmm"),0)</f>
        <v>Febrero</v>
      </c>
    </row>
    <row r="69" spans="2:28" x14ac:dyDescent="0.3">
      <c r="B69" s="2">
        <f>IF(C_Ope_001[[#This Row],[TIPO DE R.]]="R",COUNTIFS($D$4:$D68,"R")+1,"")</f>
        <v>65</v>
      </c>
      <c r="C69" s="19" t="str">
        <f t="shared" ref="C69:C132" si="6">"C_Ope_001"</f>
        <v>C_Ope_001</v>
      </c>
      <c r="D69" s="3" t="s">
        <v>1074</v>
      </c>
      <c r="E69" s="14">
        <v>45691</v>
      </c>
      <c r="F69" s="5" t="s">
        <v>6538</v>
      </c>
      <c r="G69" s="5" t="s">
        <v>1079</v>
      </c>
      <c r="H69" s="6"/>
      <c r="I69" s="6" t="s">
        <v>14</v>
      </c>
      <c r="J69" s="6" t="s">
        <v>1148</v>
      </c>
      <c r="K69" s="6">
        <v>127790</v>
      </c>
      <c r="L69" s="7" t="s">
        <v>6580</v>
      </c>
      <c r="M69" s="8">
        <v>22863</v>
      </c>
      <c r="N69" s="8" t="str">
        <f t="shared" si="5"/>
        <v>PEN</v>
      </c>
      <c r="O69" s="13"/>
      <c r="P69" s="13">
        <v>10</v>
      </c>
      <c r="Q69" s="3">
        <f t="shared" ref="Q69:Q132" si="7">+IF(OR($G69="SALDO",$G69="INGRESO"),$P69,0)</f>
        <v>0</v>
      </c>
      <c r="R69" s="3">
        <f t="shared" ref="R69:R132" si="8">+IF($G69="EGRESO",$P69,0)</f>
        <v>10</v>
      </c>
      <c r="S69" s="3">
        <f t="shared" ref="S69:S132" si="9">IFERROR(IF(G69="SALDO",Q69,S68+Q69-R69),0)</f>
        <v>541.74</v>
      </c>
      <c r="T69" s="24"/>
      <c r="U69" s="24"/>
      <c r="V69" s="3"/>
      <c r="W69" s="25" t="s">
        <v>6541</v>
      </c>
      <c r="X69" s="25"/>
      <c r="Y69" s="25" t="str">
        <f>IFERROR(VLOOKUP(C_Ope_001[[#This Row],[NOTA 2]],Clientes_Proveedores[[Ruc / Dni]:[Razon Social]],2,0),"")</f>
        <v/>
      </c>
      <c r="Z69" s="25"/>
      <c r="AA69" s="130"/>
      <c r="AB69" s="3" t="str">
        <f>IF(C_Ope_001[[#This Row],[FECHA]]&gt;0,TEXT(C_Ope_001[[#This Row],[FECHA]],"mmmm"),0)</f>
        <v>Febrero</v>
      </c>
    </row>
    <row r="70" spans="2:28" x14ac:dyDescent="0.3">
      <c r="B70" s="2">
        <f>IF(C_Ope_001[[#This Row],[TIPO DE R.]]="R",COUNTIFS($D$4:$D69,"R")+1,"")</f>
        <v>66</v>
      </c>
      <c r="C70" s="19" t="str">
        <f t="shared" si="6"/>
        <v>C_Ope_001</v>
      </c>
      <c r="D70" s="3" t="s">
        <v>1074</v>
      </c>
      <c r="E70" s="14">
        <v>45692</v>
      </c>
      <c r="F70" s="5" t="s">
        <v>6538</v>
      </c>
      <c r="G70" s="5" t="s">
        <v>1079</v>
      </c>
      <c r="H70" s="6"/>
      <c r="I70" s="6" t="s">
        <v>14</v>
      </c>
      <c r="J70" s="6" t="s">
        <v>6561</v>
      </c>
      <c r="K70" s="6">
        <v>5157</v>
      </c>
      <c r="L70" s="7" t="s">
        <v>6581</v>
      </c>
      <c r="M70" s="8">
        <v>22873</v>
      </c>
      <c r="N70" s="8" t="str">
        <f t="shared" ref="N70:N133" si="10">"PEN"</f>
        <v>PEN</v>
      </c>
      <c r="O70" s="13"/>
      <c r="P70" s="13">
        <v>10</v>
      </c>
      <c r="Q70" s="3">
        <f t="shared" si="7"/>
        <v>0</v>
      </c>
      <c r="R70" s="3">
        <f t="shared" si="8"/>
        <v>10</v>
      </c>
      <c r="S70" s="3">
        <f t="shared" si="9"/>
        <v>531.74</v>
      </c>
      <c r="T70" s="24"/>
      <c r="U70" s="24"/>
      <c r="V70" s="3"/>
      <c r="W70" s="25" t="s">
        <v>6541</v>
      </c>
      <c r="X70" s="25"/>
      <c r="Y70" s="25" t="str">
        <f>IFERROR(VLOOKUP(C_Ope_001[[#This Row],[NOTA 2]],Clientes_Proveedores[[Ruc / Dni]:[Razon Social]],2,0),"")</f>
        <v/>
      </c>
      <c r="Z70" s="25"/>
      <c r="AA70" s="130"/>
      <c r="AB70" s="3" t="str">
        <f>IF(C_Ope_001[[#This Row],[FECHA]]&gt;0,TEXT(C_Ope_001[[#This Row],[FECHA]],"mmmm"),0)</f>
        <v>Febrero</v>
      </c>
    </row>
    <row r="71" spans="2:28" x14ac:dyDescent="0.3">
      <c r="B71" s="2">
        <f>IF(C_Ope_001[[#This Row],[TIPO DE R.]]="R",COUNTIFS($D$4:$D70,"R")+1,"")</f>
        <v>67</v>
      </c>
      <c r="C71" s="19" t="str">
        <f t="shared" si="6"/>
        <v>C_Ope_001</v>
      </c>
      <c r="D71" s="3" t="s">
        <v>1074</v>
      </c>
      <c r="E71" s="14">
        <v>45692</v>
      </c>
      <c r="F71" s="5" t="s">
        <v>6538</v>
      </c>
      <c r="G71" s="5" t="s">
        <v>1079</v>
      </c>
      <c r="H71" s="6"/>
      <c r="I71" s="6" t="s">
        <v>14</v>
      </c>
      <c r="J71" s="6" t="s">
        <v>1148</v>
      </c>
      <c r="K71" s="6">
        <v>11745</v>
      </c>
      <c r="L71" s="7" t="s">
        <v>6582</v>
      </c>
      <c r="M71" s="8">
        <v>22875</v>
      </c>
      <c r="N71" s="8" t="str">
        <f t="shared" si="10"/>
        <v>PEN</v>
      </c>
      <c r="O71" s="13"/>
      <c r="P71" s="13">
        <v>10</v>
      </c>
      <c r="Q71" s="3">
        <f t="shared" si="7"/>
        <v>0</v>
      </c>
      <c r="R71" s="3">
        <f t="shared" si="8"/>
        <v>10</v>
      </c>
      <c r="S71" s="3">
        <f t="shared" si="9"/>
        <v>521.74</v>
      </c>
      <c r="T71" s="24"/>
      <c r="U71" s="24"/>
      <c r="V71" s="3"/>
      <c r="W71" s="25" t="s">
        <v>6541</v>
      </c>
      <c r="X71" s="25"/>
      <c r="Y71" s="25" t="str">
        <f>IFERROR(VLOOKUP(C_Ope_001[[#This Row],[NOTA 2]],Clientes_Proveedores[[Ruc / Dni]:[Razon Social]],2,0),"")</f>
        <v/>
      </c>
      <c r="Z71" s="25"/>
      <c r="AA71" s="130"/>
      <c r="AB71" s="3" t="str">
        <f>IF(C_Ope_001[[#This Row],[FECHA]]&gt;0,TEXT(C_Ope_001[[#This Row],[FECHA]],"mmmm"),0)</f>
        <v>Febrero</v>
      </c>
    </row>
    <row r="72" spans="2:28" x14ac:dyDescent="0.3">
      <c r="B72" s="2">
        <f>IF(C_Ope_001[[#This Row],[TIPO DE R.]]="R",COUNTIFS($D$4:$D71,"R")+1,"")</f>
        <v>68</v>
      </c>
      <c r="C72" s="19" t="str">
        <f t="shared" si="6"/>
        <v>C_Ope_001</v>
      </c>
      <c r="D72" s="3" t="s">
        <v>1074</v>
      </c>
      <c r="E72" s="14">
        <v>45695</v>
      </c>
      <c r="F72" s="5" t="s">
        <v>6538</v>
      </c>
      <c r="G72" s="5" t="s">
        <v>1079</v>
      </c>
      <c r="H72" s="6"/>
      <c r="I72" s="6" t="s">
        <v>14</v>
      </c>
      <c r="J72" s="6" t="s">
        <v>1148</v>
      </c>
      <c r="K72" s="6">
        <v>127969</v>
      </c>
      <c r="L72" s="7" t="s">
        <v>6583</v>
      </c>
      <c r="M72" s="8">
        <v>22940</v>
      </c>
      <c r="N72" s="8" t="str">
        <f t="shared" si="10"/>
        <v>PEN</v>
      </c>
      <c r="O72" s="13"/>
      <c r="P72" s="13">
        <v>10</v>
      </c>
      <c r="Q72" s="3">
        <f t="shared" si="7"/>
        <v>0</v>
      </c>
      <c r="R72" s="3">
        <f t="shared" si="8"/>
        <v>10</v>
      </c>
      <c r="S72" s="3">
        <f t="shared" si="9"/>
        <v>511.74</v>
      </c>
      <c r="T72" s="24"/>
      <c r="U72" s="24"/>
      <c r="V72" s="3"/>
      <c r="W72" s="25" t="s">
        <v>6541</v>
      </c>
      <c r="X72" s="25"/>
      <c r="Y72" s="25" t="str">
        <f>IFERROR(VLOOKUP(C_Ope_001[[#This Row],[NOTA 2]],Clientes_Proveedores[[Ruc / Dni]:[Razon Social]],2,0),"")</f>
        <v/>
      </c>
      <c r="Z72" s="25"/>
      <c r="AA72" s="130"/>
      <c r="AB72" s="3" t="str">
        <f>IF(C_Ope_001[[#This Row],[FECHA]]&gt;0,TEXT(C_Ope_001[[#This Row],[FECHA]],"mmmm"),0)</f>
        <v>Febrero</v>
      </c>
    </row>
    <row r="73" spans="2:28" x14ac:dyDescent="0.3">
      <c r="B73" s="2">
        <f>IF(C_Ope_001[[#This Row],[TIPO DE R.]]="R",COUNTIFS($D$4:$D72,"R")+1,"")</f>
        <v>69</v>
      </c>
      <c r="C73" s="19" t="str">
        <f t="shared" si="6"/>
        <v>C_Ope_001</v>
      </c>
      <c r="D73" s="3" t="s">
        <v>1074</v>
      </c>
      <c r="E73" s="14">
        <v>45695</v>
      </c>
      <c r="F73" s="5" t="s">
        <v>6538</v>
      </c>
      <c r="G73" s="5" t="s">
        <v>1079</v>
      </c>
      <c r="H73" s="6"/>
      <c r="I73" s="6" t="s">
        <v>14</v>
      </c>
      <c r="J73" s="6" t="s">
        <v>1119</v>
      </c>
      <c r="K73" s="6">
        <v>16340</v>
      </c>
      <c r="L73" s="7" t="s">
        <v>6565</v>
      </c>
      <c r="M73" s="8">
        <v>22943</v>
      </c>
      <c r="N73" s="8" t="str">
        <f t="shared" si="10"/>
        <v>PEN</v>
      </c>
      <c r="O73" s="13"/>
      <c r="P73" s="13">
        <v>25</v>
      </c>
      <c r="Q73" s="3">
        <f t="shared" si="7"/>
        <v>0</v>
      </c>
      <c r="R73" s="3">
        <f t="shared" si="8"/>
        <v>25</v>
      </c>
      <c r="S73" s="3">
        <f t="shared" si="9"/>
        <v>486.74</v>
      </c>
      <c r="T73" s="24"/>
      <c r="U73" s="24"/>
      <c r="V73" s="3"/>
      <c r="W73" s="25" t="s">
        <v>6541</v>
      </c>
      <c r="X73" s="25"/>
      <c r="Y73" s="25" t="str">
        <f>IFERROR(VLOOKUP(C_Ope_001[[#This Row],[NOTA 2]],Clientes_Proveedores[[Ruc / Dni]:[Razon Social]],2,0),"")</f>
        <v/>
      </c>
      <c r="Z73" s="25"/>
      <c r="AA73" s="130"/>
      <c r="AB73" s="3" t="str">
        <f>IF(C_Ope_001[[#This Row],[FECHA]]&gt;0,TEXT(C_Ope_001[[#This Row],[FECHA]],"mmmm"),0)</f>
        <v>Febrero</v>
      </c>
    </row>
    <row r="74" spans="2:28" ht="24" x14ac:dyDescent="0.3">
      <c r="B74" s="2">
        <f>IF(C_Ope_001[[#This Row],[TIPO DE R.]]="R",COUNTIFS($D$4:$D73,"R")+1,"")</f>
        <v>70</v>
      </c>
      <c r="C74" s="19" t="str">
        <f t="shared" si="6"/>
        <v>C_Ope_001</v>
      </c>
      <c r="D74" s="3" t="s">
        <v>1074</v>
      </c>
      <c r="E74" s="14">
        <v>45698</v>
      </c>
      <c r="F74" s="5" t="s">
        <v>6538</v>
      </c>
      <c r="G74" s="5" t="s">
        <v>1079</v>
      </c>
      <c r="H74" s="6"/>
      <c r="I74" s="6" t="s">
        <v>14</v>
      </c>
      <c r="J74" s="6" t="s">
        <v>5244</v>
      </c>
      <c r="K74" s="6">
        <v>1653331</v>
      </c>
      <c r="L74" s="7" t="s">
        <v>6584</v>
      </c>
      <c r="M74" s="8">
        <v>22974</v>
      </c>
      <c r="N74" s="8" t="str">
        <f t="shared" si="10"/>
        <v>PEN</v>
      </c>
      <c r="O74" s="13"/>
      <c r="P74" s="13">
        <v>8</v>
      </c>
      <c r="Q74" s="3">
        <f t="shared" si="7"/>
        <v>0</v>
      </c>
      <c r="R74" s="3">
        <f t="shared" si="8"/>
        <v>8</v>
      </c>
      <c r="S74" s="3">
        <f t="shared" si="9"/>
        <v>478.74</v>
      </c>
      <c r="T74" s="24"/>
      <c r="U74" s="24"/>
      <c r="V74" s="3"/>
      <c r="W74" s="25" t="s">
        <v>6541</v>
      </c>
      <c r="X74" s="25"/>
      <c r="Y74" s="25" t="str">
        <f>IFERROR(VLOOKUP(C_Ope_001[[#This Row],[NOTA 2]],Clientes_Proveedores[[Ruc / Dni]:[Razon Social]],2,0),"")</f>
        <v/>
      </c>
      <c r="Z74" s="25"/>
      <c r="AA74" s="130"/>
      <c r="AB74" s="3" t="str">
        <f>IF(C_Ope_001[[#This Row],[FECHA]]&gt;0,TEXT(C_Ope_001[[#This Row],[FECHA]],"mmmm"),0)</f>
        <v>Febrero</v>
      </c>
    </row>
    <row r="75" spans="2:28" ht="24" x14ac:dyDescent="0.3">
      <c r="B75" s="2">
        <f>IF(C_Ope_001[[#This Row],[TIPO DE R.]]="R",COUNTIFS($D$4:$D74,"R")+1,"")</f>
        <v>71</v>
      </c>
      <c r="C75" s="19" t="str">
        <f t="shared" si="6"/>
        <v>C_Ope_001</v>
      </c>
      <c r="D75" s="3" t="s">
        <v>1074</v>
      </c>
      <c r="E75" s="14">
        <v>45698</v>
      </c>
      <c r="F75" s="5" t="s">
        <v>6538</v>
      </c>
      <c r="G75" s="5" t="s">
        <v>1079</v>
      </c>
      <c r="H75" s="6"/>
      <c r="I75" s="6" t="s">
        <v>14</v>
      </c>
      <c r="J75" s="6" t="s">
        <v>5245</v>
      </c>
      <c r="K75" s="6">
        <v>1672522</v>
      </c>
      <c r="L75" s="7" t="s">
        <v>6584</v>
      </c>
      <c r="M75" s="8">
        <v>22975</v>
      </c>
      <c r="N75" s="8" t="str">
        <f t="shared" si="10"/>
        <v>PEN</v>
      </c>
      <c r="O75" s="13"/>
      <c r="P75" s="13">
        <v>8</v>
      </c>
      <c r="Q75" s="3">
        <f t="shared" si="7"/>
        <v>0</v>
      </c>
      <c r="R75" s="3">
        <f t="shared" si="8"/>
        <v>8</v>
      </c>
      <c r="S75" s="3">
        <f t="shared" si="9"/>
        <v>470.74</v>
      </c>
      <c r="T75" s="24"/>
      <c r="U75" s="24"/>
      <c r="V75" s="3"/>
      <c r="W75" s="25" t="s">
        <v>6541</v>
      </c>
      <c r="X75" s="25"/>
      <c r="Y75" s="25" t="str">
        <f>IFERROR(VLOOKUP(C_Ope_001[[#This Row],[NOTA 2]],Clientes_Proveedores[[Ruc / Dni]:[Razon Social]],2,0),"")</f>
        <v/>
      </c>
      <c r="Z75" s="25"/>
      <c r="AA75" s="130"/>
      <c r="AB75" s="3" t="str">
        <f>IF(C_Ope_001[[#This Row],[FECHA]]&gt;0,TEXT(C_Ope_001[[#This Row],[FECHA]],"mmmm"),0)</f>
        <v>Febrero</v>
      </c>
    </row>
    <row r="76" spans="2:28" ht="24" x14ac:dyDescent="0.3">
      <c r="B76" s="2">
        <f>IF(C_Ope_001[[#This Row],[TIPO DE R.]]="R",COUNTIFS($D$4:$D75,"R")+1,"")</f>
        <v>72</v>
      </c>
      <c r="C76" s="19" t="str">
        <f t="shared" si="6"/>
        <v>C_Ope_001</v>
      </c>
      <c r="D76" s="3" t="s">
        <v>1074</v>
      </c>
      <c r="E76" s="14">
        <v>45700</v>
      </c>
      <c r="F76" s="5" t="s">
        <v>6538</v>
      </c>
      <c r="G76" s="5" t="s">
        <v>1079</v>
      </c>
      <c r="H76" s="6"/>
      <c r="I76" s="6" t="s">
        <v>14</v>
      </c>
      <c r="J76" s="6" t="s">
        <v>5242</v>
      </c>
      <c r="K76" s="6">
        <v>1958258</v>
      </c>
      <c r="L76" s="7" t="s">
        <v>6585</v>
      </c>
      <c r="M76" s="8">
        <v>23011</v>
      </c>
      <c r="N76" s="8" t="str">
        <f t="shared" si="10"/>
        <v>PEN</v>
      </c>
      <c r="O76" s="13"/>
      <c r="P76" s="13">
        <v>8</v>
      </c>
      <c r="Q76" s="3">
        <f t="shared" si="7"/>
        <v>0</v>
      </c>
      <c r="R76" s="3">
        <f t="shared" si="8"/>
        <v>8</v>
      </c>
      <c r="S76" s="3">
        <f t="shared" si="9"/>
        <v>462.74</v>
      </c>
      <c r="T76" s="24"/>
      <c r="U76" s="24"/>
      <c r="V76" s="3"/>
      <c r="W76" s="25" t="s">
        <v>6541</v>
      </c>
      <c r="X76" s="25"/>
      <c r="Y76" s="25" t="str">
        <f>IFERROR(VLOOKUP(C_Ope_001[[#This Row],[NOTA 2]],Clientes_Proveedores[[Ruc / Dni]:[Razon Social]],2,0),"")</f>
        <v/>
      </c>
      <c r="Z76" s="25"/>
      <c r="AA76" s="130"/>
      <c r="AB76" s="3" t="str">
        <f>IF(C_Ope_001[[#This Row],[FECHA]]&gt;0,TEXT(C_Ope_001[[#This Row],[FECHA]],"mmmm"),0)</f>
        <v>Febrero</v>
      </c>
    </row>
    <row r="77" spans="2:28" ht="24" x14ac:dyDescent="0.3">
      <c r="B77" s="2">
        <f>IF(C_Ope_001[[#This Row],[TIPO DE R.]]="R",COUNTIFS($D$4:$D76,"R")+1,"")</f>
        <v>73</v>
      </c>
      <c r="C77" s="19" t="str">
        <f t="shared" si="6"/>
        <v>C_Ope_001</v>
      </c>
      <c r="D77" s="3" t="s">
        <v>1074</v>
      </c>
      <c r="E77" s="14">
        <v>45700</v>
      </c>
      <c r="F77" s="5" t="s">
        <v>6538</v>
      </c>
      <c r="G77" s="5" t="s">
        <v>1079</v>
      </c>
      <c r="H77" s="6"/>
      <c r="I77" s="6" t="s">
        <v>14</v>
      </c>
      <c r="J77" s="6" t="s">
        <v>5243</v>
      </c>
      <c r="K77" s="6">
        <v>2230314</v>
      </c>
      <c r="L77" s="7" t="s">
        <v>6585</v>
      </c>
      <c r="M77" s="8">
        <v>23012</v>
      </c>
      <c r="N77" s="8" t="str">
        <f t="shared" si="10"/>
        <v>PEN</v>
      </c>
      <c r="O77" s="13"/>
      <c r="P77" s="13">
        <v>8</v>
      </c>
      <c r="Q77" s="3">
        <f t="shared" si="7"/>
        <v>0</v>
      </c>
      <c r="R77" s="3">
        <f t="shared" si="8"/>
        <v>8</v>
      </c>
      <c r="S77" s="3">
        <f t="shared" si="9"/>
        <v>454.74</v>
      </c>
      <c r="T77" s="24"/>
      <c r="U77" s="24"/>
      <c r="V77" s="3"/>
      <c r="W77" s="25" t="s">
        <v>6541</v>
      </c>
      <c r="X77" s="25"/>
      <c r="Y77" s="25" t="str">
        <f>IFERROR(VLOOKUP(C_Ope_001[[#This Row],[NOTA 2]],Clientes_Proveedores[[Ruc / Dni]:[Razon Social]],2,0),"")</f>
        <v/>
      </c>
      <c r="Z77" s="25"/>
      <c r="AA77" s="130"/>
      <c r="AB77" s="3" t="str">
        <f>IF(C_Ope_001[[#This Row],[FECHA]]&gt;0,TEXT(C_Ope_001[[#This Row],[FECHA]],"mmmm"),0)</f>
        <v>Febrero</v>
      </c>
    </row>
    <row r="78" spans="2:28" x14ac:dyDescent="0.3">
      <c r="B78" s="2">
        <f>IF(C_Ope_001[[#This Row],[TIPO DE R.]]="R",COUNTIFS($D$4:$D77,"R")+1,"")</f>
        <v>74</v>
      </c>
      <c r="C78" s="19" t="str">
        <f t="shared" si="6"/>
        <v>C_Ope_001</v>
      </c>
      <c r="D78" s="3" t="s">
        <v>1074</v>
      </c>
      <c r="E78" s="14">
        <v>45702</v>
      </c>
      <c r="F78" s="5" t="s">
        <v>6538</v>
      </c>
      <c r="G78" s="5" t="s">
        <v>1079</v>
      </c>
      <c r="H78" s="6"/>
      <c r="I78" s="6" t="s">
        <v>14</v>
      </c>
      <c r="J78" s="6" t="s">
        <v>5242</v>
      </c>
      <c r="K78" s="6">
        <v>1960420</v>
      </c>
      <c r="L78" s="7" t="s">
        <v>6586</v>
      </c>
      <c r="M78" s="8">
        <v>23045</v>
      </c>
      <c r="N78" s="8" t="str">
        <f t="shared" si="10"/>
        <v>PEN</v>
      </c>
      <c r="O78" s="13"/>
      <c r="P78" s="13">
        <v>8</v>
      </c>
      <c r="Q78" s="3">
        <f t="shared" si="7"/>
        <v>0</v>
      </c>
      <c r="R78" s="3">
        <f t="shared" si="8"/>
        <v>8</v>
      </c>
      <c r="S78" s="3">
        <f t="shared" si="9"/>
        <v>446.74</v>
      </c>
      <c r="T78" s="24"/>
      <c r="U78" s="24"/>
      <c r="V78" s="3"/>
      <c r="W78" s="25" t="s">
        <v>6541</v>
      </c>
      <c r="X78" s="25"/>
      <c r="Y78" s="25" t="str">
        <f>IFERROR(VLOOKUP(C_Ope_001[[#This Row],[NOTA 2]],Clientes_Proveedores[[Ruc / Dni]:[Razon Social]],2,0),"")</f>
        <v/>
      </c>
      <c r="Z78" s="25"/>
      <c r="AA78" s="130"/>
      <c r="AB78" s="3" t="str">
        <f>IF(C_Ope_001[[#This Row],[FECHA]]&gt;0,TEXT(C_Ope_001[[#This Row],[FECHA]],"mmmm"),0)</f>
        <v>Febrero</v>
      </c>
    </row>
    <row r="79" spans="2:28" x14ac:dyDescent="0.3">
      <c r="B79" s="2">
        <f>IF(C_Ope_001[[#This Row],[TIPO DE R.]]="R",COUNTIFS($D$4:$D78,"R")+1,"")</f>
        <v>75</v>
      </c>
      <c r="C79" s="19" t="str">
        <f t="shared" si="6"/>
        <v>C_Ope_001</v>
      </c>
      <c r="D79" s="3" t="s">
        <v>1074</v>
      </c>
      <c r="E79" s="14">
        <v>45702</v>
      </c>
      <c r="F79" s="5" t="s">
        <v>6538</v>
      </c>
      <c r="G79" s="5" t="s">
        <v>1079</v>
      </c>
      <c r="H79" s="6"/>
      <c r="I79" s="6" t="s">
        <v>14</v>
      </c>
      <c r="J79" s="6" t="s">
        <v>5244</v>
      </c>
      <c r="K79" s="6">
        <v>1656758</v>
      </c>
      <c r="L79" s="7" t="s">
        <v>6586</v>
      </c>
      <c r="M79" s="8">
        <v>23046</v>
      </c>
      <c r="N79" s="8" t="str">
        <f t="shared" si="10"/>
        <v>PEN</v>
      </c>
      <c r="O79" s="13"/>
      <c r="P79" s="13">
        <v>8</v>
      </c>
      <c r="Q79" s="3">
        <f t="shared" si="7"/>
        <v>0</v>
      </c>
      <c r="R79" s="3">
        <f t="shared" si="8"/>
        <v>8</v>
      </c>
      <c r="S79" s="3">
        <f t="shared" si="9"/>
        <v>438.74</v>
      </c>
      <c r="T79" s="24"/>
      <c r="U79" s="24"/>
      <c r="V79" s="3"/>
      <c r="W79" s="25" t="s">
        <v>6541</v>
      </c>
      <c r="X79" s="25"/>
      <c r="Y79" s="25" t="str">
        <f>IFERROR(VLOOKUP(C_Ope_001[[#This Row],[NOTA 2]],Clientes_Proveedores[[Ruc / Dni]:[Razon Social]],2,0),"")</f>
        <v/>
      </c>
      <c r="Z79" s="25"/>
      <c r="AA79" s="130"/>
      <c r="AB79" s="3" t="str">
        <f>IF(C_Ope_001[[#This Row],[FECHA]]&gt;0,TEXT(C_Ope_001[[#This Row],[FECHA]],"mmmm"),0)</f>
        <v>Febrero</v>
      </c>
    </row>
    <row r="80" spans="2:28" ht="24" x14ac:dyDescent="0.3">
      <c r="B80" s="2">
        <f>IF(C_Ope_001[[#This Row],[TIPO DE R.]]="R",COUNTIFS($D$4:$D79,"R")+1,"")</f>
        <v>76</v>
      </c>
      <c r="C80" s="19" t="str">
        <f t="shared" si="6"/>
        <v>C_Ope_001</v>
      </c>
      <c r="D80" s="3" t="s">
        <v>1074</v>
      </c>
      <c r="E80" s="14">
        <v>45699</v>
      </c>
      <c r="F80" s="5" t="s">
        <v>6538</v>
      </c>
      <c r="G80" s="5" t="s">
        <v>1079</v>
      </c>
      <c r="H80" s="6"/>
      <c r="I80" s="6" t="s">
        <v>14</v>
      </c>
      <c r="J80" s="6" t="s">
        <v>1088</v>
      </c>
      <c r="K80" s="6">
        <v>33825</v>
      </c>
      <c r="L80" s="7" t="s">
        <v>6587</v>
      </c>
      <c r="M80" s="8">
        <v>22995</v>
      </c>
      <c r="N80" s="8" t="str">
        <f t="shared" si="10"/>
        <v>PEN</v>
      </c>
      <c r="O80" s="13"/>
      <c r="P80" s="13">
        <v>10</v>
      </c>
      <c r="Q80" s="3">
        <f t="shared" si="7"/>
        <v>0</v>
      </c>
      <c r="R80" s="3">
        <f t="shared" si="8"/>
        <v>10</v>
      </c>
      <c r="S80" s="3">
        <f t="shared" si="9"/>
        <v>428.74</v>
      </c>
      <c r="T80" s="24"/>
      <c r="U80" s="24"/>
      <c r="V80" s="3"/>
      <c r="W80" s="25" t="s">
        <v>6541</v>
      </c>
      <c r="X80" s="25"/>
      <c r="Y80" s="25" t="str">
        <f>IFERROR(VLOOKUP(C_Ope_001[[#This Row],[NOTA 2]],Clientes_Proveedores[[Ruc / Dni]:[Razon Social]],2,0),"")</f>
        <v/>
      </c>
      <c r="Z80" s="25"/>
      <c r="AA80" s="130"/>
      <c r="AB80" s="3" t="str">
        <f>IF(C_Ope_001[[#This Row],[FECHA]]&gt;0,TEXT(C_Ope_001[[#This Row],[FECHA]],"mmmm"),0)</f>
        <v>Febrero</v>
      </c>
    </row>
    <row r="81" spans="2:28" x14ac:dyDescent="0.3">
      <c r="B81" s="2">
        <f>IF(C_Ope_001[[#This Row],[TIPO DE R.]]="R",COUNTIFS($D$4:$D80,"R")+1,"")</f>
        <v>77</v>
      </c>
      <c r="C81" s="19" t="str">
        <f t="shared" si="6"/>
        <v>C_Ope_001</v>
      </c>
      <c r="D81" s="3" t="s">
        <v>1074</v>
      </c>
      <c r="E81" s="14">
        <v>45699</v>
      </c>
      <c r="F81" s="5" t="s">
        <v>6538</v>
      </c>
      <c r="G81" s="5" t="s">
        <v>1079</v>
      </c>
      <c r="H81" s="6"/>
      <c r="I81" s="6" t="s">
        <v>14</v>
      </c>
      <c r="J81" s="6" t="s">
        <v>1088</v>
      </c>
      <c r="K81" s="6">
        <v>33824</v>
      </c>
      <c r="L81" s="7" t="s">
        <v>6588</v>
      </c>
      <c r="M81" s="8">
        <v>22996</v>
      </c>
      <c r="N81" s="8" t="str">
        <f t="shared" si="10"/>
        <v>PEN</v>
      </c>
      <c r="O81" s="13"/>
      <c r="P81" s="13">
        <v>10</v>
      </c>
      <c r="Q81" s="3">
        <f t="shared" si="7"/>
        <v>0</v>
      </c>
      <c r="R81" s="3">
        <f t="shared" si="8"/>
        <v>10</v>
      </c>
      <c r="S81" s="3">
        <f t="shared" si="9"/>
        <v>418.74</v>
      </c>
      <c r="T81" s="24"/>
      <c r="U81" s="24"/>
      <c r="V81" s="3"/>
      <c r="W81" s="25" t="s">
        <v>6541</v>
      </c>
      <c r="X81" s="25"/>
      <c r="Y81" s="25" t="str">
        <f>IFERROR(VLOOKUP(C_Ope_001[[#This Row],[NOTA 2]],Clientes_Proveedores[[Ruc / Dni]:[Razon Social]],2,0),"")</f>
        <v/>
      </c>
      <c r="Z81" s="25"/>
      <c r="AA81" s="130"/>
      <c r="AB81" s="3" t="str">
        <f>IF(C_Ope_001[[#This Row],[FECHA]]&gt;0,TEXT(C_Ope_001[[#This Row],[FECHA]],"mmmm"),0)</f>
        <v>Febrero</v>
      </c>
    </row>
    <row r="82" spans="2:28" x14ac:dyDescent="0.3">
      <c r="B82" s="2">
        <f>IF(C_Ope_001[[#This Row],[TIPO DE R.]]="R",COUNTIFS($D$4:$D81,"R")+1,"")</f>
        <v>78</v>
      </c>
      <c r="C82" s="19" t="str">
        <f t="shared" si="6"/>
        <v>C_Ope_001</v>
      </c>
      <c r="D82" s="3" t="s">
        <v>1074</v>
      </c>
      <c r="E82" s="14">
        <v>45699</v>
      </c>
      <c r="F82" s="5" t="s">
        <v>6538</v>
      </c>
      <c r="G82" s="5" t="s">
        <v>1079</v>
      </c>
      <c r="H82" s="6"/>
      <c r="I82" s="6" t="s">
        <v>14</v>
      </c>
      <c r="J82" s="6" t="s">
        <v>1088</v>
      </c>
      <c r="K82" s="6">
        <v>33821</v>
      </c>
      <c r="L82" s="7" t="s">
        <v>6589</v>
      </c>
      <c r="M82" s="8">
        <v>22997</v>
      </c>
      <c r="N82" s="8" t="str">
        <f t="shared" si="10"/>
        <v>PEN</v>
      </c>
      <c r="O82" s="13"/>
      <c r="P82" s="13">
        <v>10</v>
      </c>
      <c r="Q82" s="3">
        <f t="shared" si="7"/>
        <v>0</v>
      </c>
      <c r="R82" s="3">
        <f t="shared" si="8"/>
        <v>10</v>
      </c>
      <c r="S82" s="3">
        <f t="shared" si="9"/>
        <v>408.74</v>
      </c>
      <c r="T82" s="24"/>
      <c r="U82" s="24"/>
      <c r="V82" s="3"/>
      <c r="W82" s="25" t="s">
        <v>6541</v>
      </c>
      <c r="X82" s="25"/>
      <c r="Y82" s="25" t="str">
        <f>IFERROR(VLOOKUP(C_Ope_001[[#This Row],[NOTA 2]],Clientes_Proveedores[[Ruc / Dni]:[Razon Social]],2,0),"")</f>
        <v/>
      </c>
      <c r="Z82" s="25"/>
      <c r="AA82" s="130"/>
      <c r="AB82" s="3" t="str">
        <f>IF(C_Ope_001[[#This Row],[FECHA]]&gt;0,TEXT(C_Ope_001[[#This Row],[FECHA]],"mmmm"),0)</f>
        <v>Febrero</v>
      </c>
    </row>
    <row r="83" spans="2:28" ht="24" x14ac:dyDescent="0.3">
      <c r="B83" s="2">
        <f>IF(C_Ope_001[[#This Row],[TIPO DE R.]]="R",COUNTIFS($D$4:$D82,"R")+1,"")</f>
        <v>79</v>
      </c>
      <c r="C83" s="19" t="str">
        <f t="shared" si="6"/>
        <v>C_Ope_001</v>
      </c>
      <c r="D83" s="3" t="s">
        <v>1074</v>
      </c>
      <c r="E83" s="14">
        <v>45702</v>
      </c>
      <c r="F83" s="5" t="s">
        <v>6538</v>
      </c>
      <c r="G83" s="5" t="s">
        <v>1079</v>
      </c>
      <c r="H83" s="6"/>
      <c r="I83" s="6" t="s">
        <v>14</v>
      </c>
      <c r="J83" s="6" t="s">
        <v>1088</v>
      </c>
      <c r="K83" s="6">
        <v>33864</v>
      </c>
      <c r="L83" s="7" t="s">
        <v>6590</v>
      </c>
      <c r="M83" s="8">
        <v>23047</v>
      </c>
      <c r="N83" s="8" t="str">
        <f t="shared" si="10"/>
        <v>PEN</v>
      </c>
      <c r="O83" s="13"/>
      <c r="P83" s="13">
        <v>10</v>
      </c>
      <c r="Q83" s="3">
        <f t="shared" si="7"/>
        <v>0</v>
      </c>
      <c r="R83" s="3">
        <f t="shared" si="8"/>
        <v>10</v>
      </c>
      <c r="S83" s="3">
        <f t="shared" si="9"/>
        <v>398.74</v>
      </c>
      <c r="T83" s="24"/>
      <c r="U83" s="24"/>
      <c r="V83" s="3"/>
      <c r="W83" s="25" t="s">
        <v>6541</v>
      </c>
      <c r="X83" s="25"/>
      <c r="Y83" s="25" t="str">
        <f>IFERROR(VLOOKUP(C_Ope_001[[#This Row],[NOTA 2]],Clientes_Proveedores[[Ruc / Dni]:[Razon Social]],2,0),"")</f>
        <v/>
      </c>
      <c r="Z83" s="25"/>
      <c r="AA83" s="130"/>
      <c r="AB83" s="3" t="str">
        <f>IF(C_Ope_001[[#This Row],[FECHA]]&gt;0,TEXT(C_Ope_001[[#This Row],[FECHA]],"mmmm"),0)</f>
        <v>Febrero</v>
      </c>
    </row>
    <row r="84" spans="2:28" ht="24" x14ac:dyDescent="0.3">
      <c r="B84" s="2">
        <f>IF(C_Ope_001[[#This Row],[TIPO DE R.]]="R",COUNTIFS($D$4:$D83,"R")+1,"")</f>
        <v>80</v>
      </c>
      <c r="C84" s="19" t="str">
        <f t="shared" si="6"/>
        <v>C_Ope_001</v>
      </c>
      <c r="D84" s="3" t="s">
        <v>1074</v>
      </c>
      <c r="E84" s="14">
        <v>45706</v>
      </c>
      <c r="F84" s="5" t="s">
        <v>6538</v>
      </c>
      <c r="G84" s="5" t="s">
        <v>1079</v>
      </c>
      <c r="H84" s="6"/>
      <c r="I84" s="6" t="s">
        <v>14</v>
      </c>
      <c r="J84" s="6" t="s">
        <v>5244</v>
      </c>
      <c r="K84" s="6">
        <v>1659471</v>
      </c>
      <c r="L84" s="7" t="s">
        <v>6591</v>
      </c>
      <c r="M84" s="8">
        <v>23080</v>
      </c>
      <c r="N84" s="8" t="str">
        <f t="shared" si="10"/>
        <v>PEN</v>
      </c>
      <c r="O84" s="13"/>
      <c r="P84" s="13">
        <v>8</v>
      </c>
      <c r="Q84" s="3">
        <f t="shared" si="7"/>
        <v>0</v>
      </c>
      <c r="R84" s="3">
        <f t="shared" si="8"/>
        <v>8</v>
      </c>
      <c r="S84" s="3">
        <f t="shared" si="9"/>
        <v>390.74</v>
      </c>
      <c r="T84" s="24"/>
      <c r="U84" s="24"/>
      <c r="V84" s="3"/>
      <c r="W84" s="25" t="s">
        <v>6541</v>
      </c>
      <c r="X84" s="25"/>
      <c r="Y84" s="25" t="str">
        <f>IFERROR(VLOOKUP(C_Ope_001[[#This Row],[NOTA 2]],Clientes_Proveedores[[Ruc / Dni]:[Razon Social]],2,0),"")</f>
        <v/>
      </c>
      <c r="Z84" s="25"/>
      <c r="AA84" s="130"/>
      <c r="AB84" s="3" t="str">
        <f>IF(C_Ope_001[[#This Row],[FECHA]]&gt;0,TEXT(C_Ope_001[[#This Row],[FECHA]],"mmmm"),0)</f>
        <v>Febrero</v>
      </c>
    </row>
    <row r="85" spans="2:28" ht="24" x14ac:dyDescent="0.3">
      <c r="B85" s="2">
        <f>IF(C_Ope_001[[#This Row],[TIPO DE R.]]="R",COUNTIFS($D$4:$D84,"R")+1,"")</f>
        <v>81</v>
      </c>
      <c r="C85" s="19" t="str">
        <f t="shared" si="6"/>
        <v>C_Ope_001</v>
      </c>
      <c r="D85" s="3" t="s">
        <v>1074</v>
      </c>
      <c r="E85" s="14">
        <v>45709</v>
      </c>
      <c r="F85" s="5" t="s">
        <v>6538</v>
      </c>
      <c r="G85" s="5" t="s">
        <v>1079</v>
      </c>
      <c r="H85" s="6"/>
      <c r="I85" s="6" t="s">
        <v>14</v>
      </c>
      <c r="J85" s="6" t="s">
        <v>6556</v>
      </c>
      <c r="K85" s="6">
        <v>453962</v>
      </c>
      <c r="L85" s="7" t="s">
        <v>6557</v>
      </c>
      <c r="M85" s="8">
        <v>23120</v>
      </c>
      <c r="N85" s="8" t="str">
        <f t="shared" si="10"/>
        <v>PEN</v>
      </c>
      <c r="O85" s="13"/>
      <c r="P85" s="13">
        <v>8</v>
      </c>
      <c r="Q85" s="3">
        <f t="shared" si="7"/>
        <v>0</v>
      </c>
      <c r="R85" s="3">
        <f t="shared" si="8"/>
        <v>8</v>
      </c>
      <c r="S85" s="3">
        <f t="shared" si="9"/>
        <v>382.74</v>
      </c>
      <c r="T85" s="24"/>
      <c r="U85" s="24"/>
      <c r="V85" s="3"/>
      <c r="W85" s="25" t="s">
        <v>6541</v>
      </c>
      <c r="X85" s="25"/>
      <c r="Y85" s="25" t="str">
        <f>IFERROR(VLOOKUP(C_Ope_001[[#This Row],[NOTA 2]],Clientes_Proveedores[[Ruc / Dni]:[Razon Social]],2,0),"")</f>
        <v/>
      </c>
      <c r="Z85" s="25"/>
      <c r="AA85" s="130"/>
      <c r="AB85" s="3" t="str">
        <f>IF(C_Ope_001[[#This Row],[FECHA]]&gt;0,TEXT(C_Ope_001[[#This Row],[FECHA]],"mmmm"),0)</f>
        <v>Febrero</v>
      </c>
    </row>
    <row r="86" spans="2:28" ht="24" x14ac:dyDescent="0.3">
      <c r="B86" s="2">
        <f>IF(C_Ope_001[[#This Row],[TIPO DE R.]]="R",COUNTIFS($D$4:$D85,"R")+1,"")</f>
        <v>82</v>
      </c>
      <c r="C86" s="19" t="str">
        <f t="shared" si="6"/>
        <v>C_Ope_001</v>
      </c>
      <c r="D86" s="3" t="s">
        <v>1074</v>
      </c>
      <c r="E86" s="14">
        <v>45709</v>
      </c>
      <c r="F86" s="5" t="s">
        <v>6538</v>
      </c>
      <c r="G86" s="5" t="s">
        <v>1079</v>
      </c>
      <c r="H86" s="6"/>
      <c r="I86" s="6" t="s">
        <v>14</v>
      </c>
      <c r="J86" s="6" t="s">
        <v>5245</v>
      </c>
      <c r="K86" s="6">
        <v>1681339</v>
      </c>
      <c r="L86" s="7" t="s">
        <v>6558</v>
      </c>
      <c r="M86" s="8">
        <v>23123</v>
      </c>
      <c r="N86" s="8" t="str">
        <f t="shared" si="10"/>
        <v>PEN</v>
      </c>
      <c r="O86" s="13"/>
      <c r="P86" s="13">
        <v>8</v>
      </c>
      <c r="Q86" s="3">
        <f t="shared" si="7"/>
        <v>0</v>
      </c>
      <c r="R86" s="3">
        <f t="shared" si="8"/>
        <v>8</v>
      </c>
      <c r="S86" s="3">
        <f t="shared" si="9"/>
        <v>374.74</v>
      </c>
      <c r="T86" s="24"/>
      <c r="U86" s="24"/>
      <c r="V86" s="3"/>
      <c r="W86" s="25" t="s">
        <v>6541</v>
      </c>
      <c r="X86" s="25"/>
      <c r="Y86" s="25" t="str">
        <f>IFERROR(VLOOKUP(C_Ope_001[[#This Row],[NOTA 2]],Clientes_Proveedores[[Ruc / Dni]:[Razon Social]],2,0),"")</f>
        <v/>
      </c>
      <c r="Z86" s="25"/>
      <c r="AA86" s="130"/>
      <c r="AB86" s="3" t="str">
        <f>IF(C_Ope_001[[#This Row],[FECHA]]&gt;0,TEXT(C_Ope_001[[#This Row],[FECHA]],"mmmm"),0)</f>
        <v>Febrero</v>
      </c>
    </row>
    <row r="87" spans="2:28" ht="24" x14ac:dyDescent="0.3">
      <c r="B87" s="2">
        <f>IF(C_Ope_001[[#This Row],[TIPO DE R.]]="R",COUNTIFS($D$4:$D86,"R")+1,"")</f>
        <v>83</v>
      </c>
      <c r="C87" s="19" t="str">
        <f t="shared" si="6"/>
        <v>C_Ope_001</v>
      </c>
      <c r="D87" s="3" t="s">
        <v>1074</v>
      </c>
      <c r="E87" s="14">
        <v>45709</v>
      </c>
      <c r="F87" s="5" t="s">
        <v>6538</v>
      </c>
      <c r="G87" s="5" t="s">
        <v>1079</v>
      </c>
      <c r="H87" s="6"/>
      <c r="I87" s="6" t="s">
        <v>14</v>
      </c>
      <c r="J87" s="6" t="s">
        <v>6559</v>
      </c>
      <c r="K87" s="6">
        <v>369755</v>
      </c>
      <c r="L87" s="7" t="s">
        <v>6557</v>
      </c>
      <c r="M87" s="8">
        <v>23124</v>
      </c>
      <c r="N87" s="8" t="str">
        <f t="shared" si="10"/>
        <v>PEN</v>
      </c>
      <c r="O87" s="13"/>
      <c r="P87" s="13">
        <v>8</v>
      </c>
      <c r="Q87" s="3">
        <f t="shared" si="7"/>
        <v>0</v>
      </c>
      <c r="R87" s="3">
        <f t="shared" si="8"/>
        <v>8</v>
      </c>
      <c r="S87" s="3">
        <f t="shared" si="9"/>
        <v>366.74</v>
      </c>
      <c r="T87" s="24"/>
      <c r="U87" s="24"/>
      <c r="V87" s="3"/>
      <c r="W87" s="25" t="s">
        <v>6541</v>
      </c>
      <c r="X87" s="25"/>
      <c r="Y87" s="25" t="str">
        <f>IFERROR(VLOOKUP(C_Ope_001[[#This Row],[NOTA 2]],Clientes_Proveedores[[Ruc / Dni]:[Razon Social]],2,0),"")</f>
        <v/>
      </c>
      <c r="Z87" s="25"/>
      <c r="AA87" s="130"/>
      <c r="AB87" s="3" t="str">
        <f>IF(C_Ope_001[[#This Row],[FECHA]]&gt;0,TEXT(C_Ope_001[[#This Row],[FECHA]],"mmmm"),0)</f>
        <v>Febrero</v>
      </c>
    </row>
    <row r="88" spans="2:28" x14ac:dyDescent="0.3">
      <c r="B88" s="2">
        <f>IF(C_Ope_001[[#This Row],[TIPO DE R.]]="R",COUNTIFS($D$4:$D87,"R")+1,"")</f>
        <v>84</v>
      </c>
      <c r="C88" s="19" t="str">
        <f t="shared" si="6"/>
        <v>C_Ope_001</v>
      </c>
      <c r="D88" s="3" t="s">
        <v>1074</v>
      </c>
      <c r="E88" s="14">
        <v>45705</v>
      </c>
      <c r="F88" s="5" t="s">
        <v>6538</v>
      </c>
      <c r="G88" s="5" t="s">
        <v>1079</v>
      </c>
      <c r="H88" s="6"/>
      <c r="I88" s="6" t="s">
        <v>14</v>
      </c>
      <c r="J88" s="6" t="s">
        <v>1088</v>
      </c>
      <c r="K88" s="6">
        <v>33884</v>
      </c>
      <c r="L88" s="7" t="s">
        <v>6592</v>
      </c>
      <c r="M88" s="8">
        <v>23071</v>
      </c>
      <c r="N88" s="8" t="str">
        <f t="shared" si="10"/>
        <v>PEN</v>
      </c>
      <c r="O88" s="13"/>
      <c r="P88" s="13">
        <v>10</v>
      </c>
      <c r="Q88" s="3">
        <f t="shared" si="7"/>
        <v>0</v>
      </c>
      <c r="R88" s="3">
        <f t="shared" si="8"/>
        <v>10</v>
      </c>
      <c r="S88" s="3">
        <f t="shared" si="9"/>
        <v>356.74</v>
      </c>
      <c r="T88" s="24"/>
      <c r="U88" s="24"/>
      <c r="V88" s="3"/>
      <c r="W88" s="25" t="s">
        <v>6541</v>
      </c>
      <c r="X88" s="25"/>
      <c r="Y88" s="25" t="str">
        <f>IFERROR(VLOOKUP(C_Ope_001[[#This Row],[NOTA 2]],Clientes_Proveedores[[Ruc / Dni]:[Razon Social]],2,0),"")</f>
        <v/>
      </c>
      <c r="Z88" s="25"/>
      <c r="AA88" s="130"/>
      <c r="AB88" s="3" t="str">
        <f>IF(C_Ope_001[[#This Row],[FECHA]]&gt;0,TEXT(C_Ope_001[[#This Row],[FECHA]],"mmmm"),0)</f>
        <v>Febrero</v>
      </c>
    </row>
    <row r="89" spans="2:28" ht="24" x14ac:dyDescent="0.3">
      <c r="B89" s="2">
        <f>IF(C_Ope_001[[#This Row],[TIPO DE R.]]="R",COUNTIFS($D$4:$D88,"R")+1,"")</f>
        <v>85</v>
      </c>
      <c r="C89" s="19" t="str">
        <f t="shared" si="6"/>
        <v>C_Ope_001</v>
      </c>
      <c r="D89" s="3" t="s">
        <v>1074</v>
      </c>
      <c r="E89" s="14">
        <v>45708</v>
      </c>
      <c r="F89" s="5" t="s">
        <v>6538</v>
      </c>
      <c r="G89" s="5" t="s">
        <v>1079</v>
      </c>
      <c r="H89" s="6"/>
      <c r="I89" s="6" t="s">
        <v>14</v>
      </c>
      <c r="J89" s="6" t="s">
        <v>1088</v>
      </c>
      <c r="K89" s="6">
        <v>33926</v>
      </c>
      <c r="L89" s="7" t="s">
        <v>6593</v>
      </c>
      <c r="M89" s="8">
        <v>23102</v>
      </c>
      <c r="N89" s="8" t="str">
        <f t="shared" si="10"/>
        <v>PEN</v>
      </c>
      <c r="O89" s="13"/>
      <c r="P89" s="13">
        <v>10</v>
      </c>
      <c r="Q89" s="3">
        <f t="shared" si="7"/>
        <v>0</v>
      </c>
      <c r="R89" s="3">
        <f t="shared" si="8"/>
        <v>10</v>
      </c>
      <c r="S89" s="3">
        <f t="shared" si="9"/>
        <v>346.74</v>
      </c>
      <c r="T89" s="24"/>
      <c r="U89" s="24"/>
      <c r="V89" s="3"/>
      <c r="W89" s="25" t="s">
        <v>6541</v>
      </c>
      <c r="X89" s="25"/>
      <c r="Y89" s="25" t="str">
        <f>IFERROR(VLOOKUP(C_Ope_001[[#This Row],[NOTA 2]],Clientes_Proveedores[[Ruc / Dni]:[Razon Social]],2,0),"")</f>
        <v/>
      </c>
      <c r="Z89" s="25"/>
      <c r="AA89" s="130"/>
      <c r="AB89" s="3" t="str">
        <f>IF(C_Ope_001[[#This Row],[FECHA]]&gt;0,TEXT(C_Ope_001[[#This Row],[FECHA]],"mmmm"),0)</f>
        <v>Febrero</v>
      </c>
    </row>
    <row r="90" spans="2:28" ht="24" x14ac:dyDescent="0.3">
      <c r="B90" s="2">
        <f>IF(C_Ope_001[[#This Row],[TIPO DE R.]]="R",COUNTIFS($D$4:$D89,"R")+1,"")</f>
        <v>86</v>
      </c>
      <c r="C90" s="19" t="str">
        <f t="shared" si="6"/>
        <v>C_Ope_001</v>
      </c>
      <c r="D90" s="3" t="s">
        <v>1074</v>
      </c>
      <c r="E90" s="14">
        <v>45709</v>
      </c>
      <c r="F90" s="5" t="s">
        <v>6538</v>
      </c>
      <c r="G90" s="5" t="s">
        <v>1079</v>
      </c>
      <c r="H90" s="6"/>
      <c r="I90" s="6" t="s">
        <v>14</v>
      </c>
      <c r="J90" s="6" t="s">
        <v>1119</v>
      </c>
      <c r="K90" s="6">
        <v>16932</v>
      </c>
      <c r="L90" s="7" t="s">
        <v>6564</v>
      </c>
      <c r="M90" s="8">
        <v>23121</v>
      </c>
      <c r="N90" s="8" t="str">
        <f t="shared" si="10"/>
        <v>PEN</v>
      </c>
      <c r="O90" s="13"/>
      <c r="P90" s="13">
        <v>11</v>
      </c>
      <c r="Q90" s="3">
        <f t="shared" si="7"/>
        <v>0</v>
      </c>
      <c r="R90" s="3">
        <f t="shared" si="8"/>
        <v>11</v>
      </c>
      <c r="S90" s="3">
        <f t="shared" si="9"/>
        <v>335.74</v>
      </c>
      <c r="T90" s="24"/>
      <c r="U90" s="24"/>
      <c r="V90" s="3"/>
      <c r="W90" s="25" t="s">
        <v>6541</v>
      </c>
      <c r="X90" s="25"/>
      <c r="Y90" s="25" t="str">
        <f>IFERROR(VLOOKUP(C_Ope_001[[#This Row],[NOTA 2]],Clientes_Proveedores[[Ruc / Dni]:[Razon Social]],2,0),"")</f>
        <v/>
      </c>
      <c r="Z90" s="25"/>
      <c r="AA90" s="130"/>
      <c r="AB90" s="3" t="str">
        <f>IF(C_Ope_001[[#This Row],[FECHA]]&gt;0,TEXT(C_Ope_001[[#This Row],[FECHA]],"mmmm"),0)</f>
        <v>Febrero</v>
      </c>
    </row>
    <row r="91" spans="2:28" ht="36" x14ac:dyDescent="0.3">
      <c r="B91" s="2">
        <f>IF(C_Ope_001[[#This Row],[TIPO DE R.]]="R",COUNTIFS($D$4:$D90,"R")+1,"")</f>
        <v>87</v>
      </c>
      <c r="C91" s="19" t="str">
        <f t="shared" si="6"/>
        <v>C_Ope_001</v>
      </c>
      <c r="D91" s="3" t="s">
        <v>1074</v>
      </c>
      <c r="E91" s="14">
        <v>45712</v>
      </c>
      <c r="F91" s="5" t="s">
        <v>6538</v>
      </c>
      <c r="G91" s="5" t="s">
        <v>1079</v>
      </c>
      <c r="H91" s="6"/>
      <c r="I91" s="6" t="s">
        <v>14</v>
      </c>
      <c r="J91" s="6" t="s">
        <v>5242</v>
      </c>
      <c r="K91" s="6">
        <v>1970578</v>
      </c>
      <c r="L91" s="7" t="s">
        <v>6594</v>
      </c>
      <c r="M91" s="8">
        <v>23176</v>
      </c>
      <c r="N91" s="8" t="str">
        <f t="shared" si="10"/>
        <v>PEN</v>
      </c>
      <c r="O91" s="13"/>
      <c r="P91" s="13">
        <v>8</v>
      </c>
      <c r="Q91" s="3">
        <f t="shared" si="7"/>
        <v>0</v>
      </c>
      <c r="R91" s="3">
        <f t="shared" si="8"/>
        <v>8</v>
      </c>
      <c r="S91" s="3">
        <f t="shared" si="9"/>
        <v>327.74</v>
      </c>
      <c r="T91" s="24"/>
      <c r="U91" s="24"/>
      <c r="V91" s="3"/>
      <c r="W91" s="25" t="s">
        <v>6541</v>
      </c>
      <c r="X91" s="25"/>
      <c r="Y91" s="25" t="str">
        <f>IFERROR(VLOOKUP(C_Ope_001[[#This Row],[NOTA 2]],Clientes_Proveedores[[Ruc / Dni]:[Razon Social]],2,0),"")</f>
        <v/>
      </c>
      <c r="Z91" s="25"/>
      <c r="AA91" s="130"/>
      <c r="AB91" s="3" t="str">
        <f>IF(C_Ope_001[[#This Row],[FECHA]]&gt;0,TEXT(C_Ope_001[[#This Row],[FECHA]],"mmmm"),0)</f>
        <v>Febrero</v>
      </c>
    </row>
    <row r="92" spans="2:28" ht="24" x14ac:dyDescent="0.3">
      <c r="B92" s="2">
        <f>IF(C_Ope_001[[#This Row],[TIPO DE R.]]="R",COUNTIFS($D$4:$D91,"R")+1,"")</f>
        <v>88</v>
      </c>
      <c r="C92" s="19" t="str">
        <f t="shared" si="6"/>
        <v>C_Ope_001</v>
      </c>
      <c r="D92" s="3" t="s">
        <v>1074</v>
      </c>
      <c r="E92" s="14">
        <v>45715</v>
      </c>
      <c r="F92" s="5" t="s">
        <v>6538</v>
      </c>
      <c r="G92" s="5" t="s">
        <v>1079</v>
      </c>
      <c r="H92" s="6"/>
      <c r="I92" s="6" t="s">
        <v>14</v>
      </c>
      <c r="J92" s="6" t="s">
        <v>5244</v>
      </c>
      <c r="K92" s="6">
        <v>2247443</v>
      </c>
      <c r="L92" s="7" t="s">
        <v>6595</v>
      </c>
      <c r="M92" s="8">
        <v>23234</v>
      </c>
      <c r="N92" s="8" t="str">
        <f t="shared" si="10"/>
        <v>PEN</v>
      </c>
      <c r="O92" s="13"/>
      <c r="P92" s="13">
        <v>8</v>
      </c>
      <c r="Q92" s="3">
        <f t="shared" si="7"/>
        <v>0</v>
      </c>
      <c r="R92" s="3">
        <f t="shared" si="8"/>
        <v>8</v>
      </c>
      <c r="S92" s="3">
        <f t="shared" si="9"/>
        <v>319.74</v>
      </c>
      <c r="T92" s="24"/>
      <c r="U92" s="24"/>
      <c r="V92" s="3"/>
      <c r="W92" s="25" t="s">
        <v>6541</v>
      </c>
      <c r="X92" s="25"/>
      <c r="Y92" s="25" t="str">
        <f>IFERROR(VLOOKUP(C_Ope_001[[#This Row],[NOTA 2]],Clientes_Proveedores[[Ruc / Dni]:[Razon Social]],2,0),"")</f>
        <v/>
      </c>
      <c r="Z92" s="25"/>
      <c r="AA92" s="130"/>
      <c r="AB92" s="3" t="str">
        <f>IF(C_Ope_001[[#This Row],[FECHA]]&gt;0,TEXT(C_Ope_001[[#This Row],[FECHA]],"mmmm"),0)</f>
        <v>Febrero</v>
      </c>
    </row>
    <row r="93" spans="2:28" x14ac:dyDescent="0.3">
      <c r="B93" s="2">
        <f>IF(C_Ope_001[[#This Row],[TIPO DE R.]]="R",COUNTIFS($D$4:$D92,"R")+1,"")</f>
        <v>89</v>
      </c>
      <c r="C93" s="19" t="str">
        <f t="shared" si="6"/>
        <v>C_Ope_001</v>
      </c>
      <c r="D93" s="3" t="s">
        <v>1074</v>
      </c>
      <c r="E93" s="14">
        <v>45713</v>
      </c>
      <c r="F93" s="5" t="s">
        <v>6538</v>
      </c>
      <c r="G93" s="5" t="s">
        <v>1079</v>
      </c>
      <c r="H93" s="6"/>
      <c r="I93" s="6" t="s">
        <v>14</v>
      </c>
      <c r="J93" s="6" t="s">
        <v>6561</v>
      </c>
      <c r="K93" s="6">
        <v>5331</v>
      </c>
      <c r="L93" s="7" t="s">
        <v>6596</v>
      </c>
      <c r="M93" s="8">
        <v>23190</v>
      </c>
      <c r="N93" s="8" t="str">
        <f t="shared" si="10"/>
        <v>PEN</v>
      </c>
      <c r="O93" s="13"/>
      <c r="P93" s="13">
        <v>10</v>
      </c>
      <c r="Q93" s="3">
        <f t="shared" si="7"/>
        <v>0</v>
      </c>
      <c r="R93" s="3">
        <f t="shared" si="8"/>
        <v>10</v>
      </c>
      <c r="S93" s="3">
        <f t="shared" si="9"/>
        <v>309.74</v>
      </c>
      <c r="T93" s="24"/>
      <c r="U93" s="24"/>
      <c r="V93" s="3"/>
      <c r="W93" s="25" t="s">
        <v>6546</v>
      </c>
      <c r="X93" s="25"/>
      <c r="Y93" s="25" t="str">
        <f>IFERROR(VLOOKUP(C_Ope_001[[#This Row],[NOTA 2]],Clientes_Proveedores[[Ruc / Dni]:[Razon Social]],2,0),"")</f>
        <v/>
      </c>
      <c r="Z93" s="25"/>
      <c r="AA93" s="130"/>
      <c r="AB93" s="3" t="str">
        <f>IF(C_Ope_001[[#This Row],[FECHA]]&gt;0,TEXT(C_Ope_001[[#This Row],[FECHA]],"mmmm"),0)</f>
        <v>Febrero</v>
      </c>
    </row>
    <row r="94" spans="2:28" x14ac:dyDescent="0.3">
      <c r="B94" s="2">
        <f>IF(C_Ope_001[[#This Row],[TIPO DE R.]]="R",COUNTIFS($D$4:$D93,"R")+1,"")</f>
        <v>90</v>
      </c>
      <c r="C94" s="19" t="str">
        <f t="shared" si="6"/>
        <v>C_Ope_001</v>
      </c>
      <c r="D94" s="3" t="s">
        <v>1074</v>
      </c>
      <c r="E94" s="14">
        <v>45713</v>
      </c>
      <c r="F94" s="5" t="s">
        <v>6538</v>
      </c>
      <c r="G94" s="5" t="s">
        <v>1079</v>
      </c>
      <c r="H94" s="6"/>
      <c r="I94" s="6" t="s">
        <v>14</v>
      </c>
      <c r="J94" s="6" t="s">
        <v>6561</v>
      </c>
      <c r="K94" s="6">
        <v>5340</v>
      </c>
      <c r="L94" s="7" t="s">
        <v>6597</v>
      </c>
      <c r="M94" s="8">
        <v>23191</v>
      </c>
      <c r="N94" s="8" t="str">
        <f t="shared" si="10"/>
        <v>PEN</v>
      </c>
      <c r="O94" s="13"/>
      <c r="P94" s="13">
        <v>10</v>
      </c>
      <c r="Q94" s="3">
        <f t="shared" si="7"/>
        <v>0</v>
      </c>
      <c r="R94" s="3">
        <f t="shared" si="8"/>
        <v>10</v>
      </c>
      <c r="S94" s="3">
        <f t="shared" si="9"/>
        <v>299.74</v>
      </c>
      <c r="T94" s="24"/>
      <c r="U94" s="24"/>
      <c r="V94" s="3"/>
      <c r="W94" s="25" t="s">
        <v>6546</v>
      </c>
      <c r="X94" s="25"/>
      <c r="Y94" s="25" t="str">
        <f>IFERROR(VLOOKUP(C_Ope_001[[#This Row],[NOTA 2]],Clientes_Proveedores[[Ruc / Dni]:[Razon Social]],2,0),"")</f>
        <v/>
      </c>
      <c r="Z94" s="25"/>
      <c r="AA94" s="130"/>
      <c r="AB94" s="3" t="str">
        <f>IF(C_Ope_001[[#This Row],[FECHA]]&gt;0,TEXT(C_Ope_001[[#This Row],[FECHA]],"mmmm"),0)</f>
        <v>Febrero</v>
      </c>
    </row>
    <row r="95" spans="2:28" x14ac:dyDescent="0.3">
      <c r="B95" s="2">
        <f>IF(C_Ope_001[[#This Row],[TIPO DE R.]]="R",COUNTIFS($D$4:$D94,"R")+1,"")</f>
        <v>91</v>
      </c>
      <c r="C95" s="19" t="str">
        <f t="shared" si="6"/>
        <v>C_Ope_001</v>
      </c>
      <c r="D95" s="3" t="s">
        <v>1074</v>
      </c>
      <c r="E95" s="14">
        <v>45713</v>
      </c>
      <c r="F95" s="5" t="s">
        <v>6538</v>
      </c>
      <c r="G95" s="5" t="s">
        <v>1079</v>
      </c>
      <c r="H95" s="6"/>
      <c r="I95" s="6" t="s">
        <v>14</v>
      </c>
      <c r="J95" s="6" t="s">
        <v>1088</v>
      </c>
      <c r="K95" s="6">
        <v>33962</v>
      </c>
      <c r="L95" s="7" t="s">
        <v>6598</v>
      </c>
      <c r="M95" s="8">
        <v>23192</v>
      </c>
      <c r="N95" s="8" t="str">
        <f t="shared" si="10"/>
        <v>PEN</v>
      </c>
      <c r="O95" s="13"/>
      <c r="P95" s="13">
        <v>10</v>
      </c>
      <c r="Q95" s="3">
        <f t="shared" si="7"/>
        <v>0</v>
      </c>
      <c r="R95" s="3">
        <f t="shared" si="8"/>
        <v>10</v>
      </c>
      <c r="S95" s="3">
        <f t="shared" si="9"/>
        <v>289.74</v>
      </c>
      <c r="T95" s="24"/>
      <c r="U95" s="24"/>
      <c r="V95" s="3"/>
      <c r="W95" s="25" t="s">
        <v>6546</v>
      </c>
      <c r="X95" s="25"/>
      <c r="Y95" s="25" t="str">
        <f>IFERROR(VLOOKUP(C_Ope_001[[#This Row],[NOTA 2]],Clientes_Proveedores[[Ruc / Dni]:[Razon Social]],2,0),"")</f>
        <v/>
      </c>
      <c r="Z95" s="25"/>
      <c r="AA95" s="130"/>
      <c r="AB95" s="3" t="str">
        <f>IF(C_Ope_001[[#This Row],[FECHA]]&gt;0,TEXT(C_Ope_001[[#This Row],[FECHA]],"mmmm"),0)</f>
        <v>Febrero</v>
      </c>
    </row>
    <row r="96" spans="2:28" x14ac:dyDescent="0.3">
      <c r="B96" s="2">
        <f>IF(C_Ope_001[[#This Row],[TIPO DE R.]]="R",COUNTIFS($D$4:$D95,"R")+1,"")</f>
        <v>92</v>
      </c>
      <c r="C96" s="19" t="str">
        <f t="shared" si="6"/>
        <v>C_Ope_001</v>
      </c>
      <c r="D96" s="3" t="s">
        <v>1074</v>
      </c>
      <c r="E96" s="14">
        <v>45714</v>
      </c>
      <c r="F96" s="5" t="s">
        <v>6538</v>
      </c>
      <c r="G96" s="5" t="s">
        <v>1079</v>
      </c>
      <c r="H96" s="6"/>
      <c r="I96" s="6" t="s">
        <v>14</v>
      </c>
      <c r="J96" s="6" t="s">
        <v>1088</v>
      </c>
      <c r="K96" s="6">
        <v>33988</v>
      </c>
      <c r="L96" s="7" t="s">
        <v>6599</v>
      </c>
      <c r="M96" s="8">
        <v>23210</v>
      </c>
      <c r="N96" s="8" t="str">
        <f t="shared" si="10"/>
        <v>PEN</v>
      </c>
      <c r="O96" s="13"/>
      <c r="P96" s="13">
        <v>5</v>
      </c>
      <c r="Q96" s="3">
        <f t="shared" si="7"/>
        <v>0</v>
      </c>
      <c r="R96" s="3">
        <f t="shared" si="8"/>
        <v>5</v>
      </c>
      <c r="S96" s="3">
        <f t="shared" si="9"/>
        <v>284.74</v>
      </c>
      <c r="T96" s="24"/>
      <c r="U96" s="24"/>
      <c r="V96" s="3"/>
      <c r="W96" s="25" t="s">
        <v>6541</v>
      </c>
      <c r="X96" s="25"/>
      <c r="Y96" s="25" t="str">
        <f>IFERROR(VLOOKUP(C_Ope_001[[#This Row],[NOTA 2]],Clientes_Proveedores[[Ruc / Dni]:[Razon Social]],2,0),"")</f>
        <v/>
      </c>
      <c r="Z96" s="25"/>
      <c r="AA96" s="130"/>
      <c r="AB96" s="3" t="str">
        <f>IF(C_Ope_001[[#This Row],[FECHA]]&gt;0,TEXT(C_Ope_001[[#This Row],[FECHA]],"mmmm"),0)</f>
        <v>Febrero</v>
      </c>
    </row>
    <row r="97" spans="2:28" x14ac:dyDescent="0.3">
      <c r="B97" s="2">
        <f>IF(C_Ope_001[[#This Row],[TIPO DE R.]]="R",COUNTIFS($D$4:$D96,"R")+1,"")</f>
        <v>93</v>
      </c>
      <c r="C97" s="19" t="str">
        <f t="shared" si="6"/>
        <v>C_Ope_001</v>
      </c>
      <c r="D97" s="3" t="s">
        <v>1074</v>
      </c>
      <c r="E97" s="14">
        <v>45714</v>
      </c>
      <c r="F97" s="5" t="s">
        <v>6538</v>
      </c>
      <c r="G97" s="5" t="s">
        <v>1079</v>
      </c>
      <c r="H97" s="6"/>
      <c r="I97" s="6" t="s">
        <v>14</v>
      </c>
      <c r="J97" s="6" t="s">
        <v>1088</v>
      </c>
      <c r="K97" s="6">
        <v>33982</v>
      </c>
      <c r="L97" s="7" t="s">
        <v>6600</v>
      </c>
      <c r="M97" s="8">
        <v>23211</v>
      </c>
      <c r="N97" s="8" t="str">
        <f t="shared" si="10"/>
        <v>PEN</v>
      </c>
      <c r="O97" s="13"/>
      <c r="P97" s="13">
        <v>10</v>
      </c>
      <c r="Q97" s="3">
        <f t="shared" si="7"/>
        <v>0</v>
      </c>
      <c r="R97" s="3">
        <f t="shared" si="8"/>
        <v>10</v>
      </c>
      <c r="S97" s="3">
        <f t="shared" si="9"/>
        <v>274.74</v>
      </c>
      <c r="T97" s="24"/>
      <c r="U97" s="24"/>
      <c r="V97" s="3"/>
      <c r="W97" s="25" t="s">
        <v>6541</v>
      </c>
      <c r="X97" s="25"/>
      <c r="Y97" s="25" t="str">
        <f>IFERROR(VLOOKUP(C_Ope_001[[#This Row],[NOTA 2]],Clientes_Proveedores[[Ruc / Dni]:[Razon Social]],2,0),"")</f>
        <v/>
      </c>
      <c r="Z97" s="25"/>
      <c r="AA97" s="130"/>
      <c r="AB97" s="3" t="str">
        <f>IF(C_Ope_001[[#This Row],[FECHA]]&gt;0,TEXT(C_Ope_001[[#This Row],[FECHA]],"mmmm"),0)</f>
        <v>Febrero</v>
      </c>
    </row>
    <row r="98" spans="2:28" x14ac:dyDescent="0.3">
      <c r="B98" s="2">
        <f>IF(C_Ope_001[[#This Row],[TIPO DE R.]]="R",COUNTIFS($D$4:$D97,"R")+1,"")</f>
        <v>94</v>
      </c>
      <c r="C98" s="19" t="str">
        <f t="shared" si="6"/>
        <v>C_Ope_001</v>
      </c>
      <c r="D98" s="3" t="s">
        <v>1074</v>
      </c>
      <c r="E98" s="14">
        <v>45716</v>
      </c>
      <c r="F98" s="5" t="s">
        <v>6538</v>
      </c>
      <c r="G98" s="5" t="s">
        <v>1079</v>
      </c>
      <c r="H98" s="6"/>
      <c r="I98" s="6" t="s">
        <v>14</v>
      </c>
      <c r="J98" s="6" t="s">
        <v>1119</v>
      </c>
      <c r="K98" s="6">
        <v>16619</v>
      </c>
      <c r="L98" s="7" t="s">
        <v>6565</v>
      </c>
      <c r="M98" s="8">
        <v>23240</v>
      </c>
      <c r="N98" s="8" t="str">
        <f t="shared" si="10"/>
        <v>PEN</v>
      </c>
      <c r="O98" s="13"/>
      <c r="P98" s="13">
        <v>25</v>
      </c>
      <c r="Q98" s="3">
        <f t="shared" si="7"/>
        <v>0</v>
      </c>
      <c r="R98" s="3">
        <f t="shared" si="8"/>
        <v>25</v>
      </c>
      <c r="S98" s="3">
        <f t="shared" si="9"/>
        <v>249.74</v>
      </c>
      <c r="T98" s="24"/>
      <c r="U98" s="24"/>
      <c r="V98" s="3"/>
      <c r="W98" s="25" t="s">
        <v>6541</v>
      </c>
      <c r="X98" s="25"/>
      <c r="Y98" s="25" t="str">
        <f>IFERROR(VLOOKUP(C_Ope_001[[#This Row],[NOTA 2]],Clientes_Proveedores[[Ruc / Dni]:[Razon Social]],2,0),"")</f>
        <v/>
      </c>
      <c r="Z98" s="25"/>
      <c r="AA98" s="130"/>
      <c r="AB98" s="3" t="str">
        <f>IF(C_Ope_001[[#This Row],[FECHA]]&gt;0,TEXT(C_Ope_001[[#This Row],[FECHA]],"mmmm"),0)</f>
        <v>Febrero</v>
      </c>
    </row>
    <row r="99" spans="2:28" ht="24" x14ac:dyDescent="0.3">
      <c r="B99" s="2">
        <f>IF(C_Ope_001[[#This Row],[TIPO DE R.]]="R",COUNTIFS($D$4:$D98,"R")+1,"")</f>
        <v>95</v>
      </c>
      <c r="C99" s="19" t="str">
        <f t="shared" si="6"/>
        <v>C_Ope_001</v>
      </c>
      <c r="D99" s="3" t="s">
        <v>1074</v>
      </c>
      <c r="E99" s="14">
        <v>45719</v>
      </c>
      <c r="F99" s="5" t="s">
        <v>6538</v>
      </c>
      <c r="G99" s="5" t="s">
        <v>1079</v>
      </c>
      <c r="H99" s="6"/>
      <c r="I99" s="6" t="s">
        <v>14</v>
      </c>
      <c r="J99" s="6" t="s">
        <v>5242</v>
      </c>
      <c r="K99" s="6">
        <v>1978464</v>
      </c>
      <c r="L99" s="7" t="s">
        <v>6601</v>
      </c>
      <c r="M99" s="8">
        <v>23276</v>
      </c>
      <c r="N99" s="8" t="str">
        <f t="shared" si="10"/>
        <v>PEN</v>
      </c>
      <c r="O99" s="13"/>
      <c r="P99" s="13">
        <v>8</v>
      </c>
      <c r="Q99" s="3">
        <f t="shared" si="7"/>
        <v>0</v>
      </c>
      <c r="R99" s="3">
        <f t="shared" si="8"/>
        <v>8</v>
      </c>
      <c r="S99" s="3">
        <f t="shared" si="9"/>
        <v>241.74</v>
      </c>
      <c r="T99" s="24"/>
      <c r="U99" s="24"/>
      <c r="V99" s="3"/>
      <c r="W99" s="25" t="s">
        <v>6541</v>
      </c>
      <c r="X99" s="25"/>
      <c r="Y99" s="25" t="str">
        <f>IFERROR(VLOOKUP(C_Ope_001[[#This Row],[NOTA 2]],Clientes_Proveedores[[Ruc / Dni]:[Razon Social]],2,0),"")</f>
        <v/>
      </c>
      <c r="Z99" s="25"/>
      <c r="AA99" s="130"/>
      <c r="AB99" s="3" t="str">
        <f>IF(C_Ope_001[[#This Row],[FECHA]]&gt;0,TEXT(C_Ope_001[[#This Row],[FECHA]],"mmmm"),0)</f>
        <v>Marzo</v>
      </c>
    </row>
    <row r="100" spans="2:28" ht="24" x14ac:dyDescent="0.3">
      <c r="B100" s="2">
        <f>IF(C_Ope_001[[#This Row],[TIPO DE R.]]="R",COUNTIFS($D$4:$D99,"R")+1,"")</f>
        <v>96</v>
      </c>
      <c r="C100" s="19" t="str">
        <f t="shared" si="6"/>
        <v>C_Ope_001</v>
      </c>
      <c r="D100" s="3" t="s">
        <v>1074</v>
      </c>
      <c r="E100" s="14">
        <v>45722</v>
      </c>
      <c r="F100" s="5" t="s">
        <v>6538</v>
      </c>
      <c r="G100" s="5" t="s">
        <v>1079</v>
      </c>
      <c r="H100" s="6"/>
      <c r="I100" s="6" t="s">
        <v>14</v>
      </c>
      <c r="J100" s="6" t="s">
        <v>5244</v>
      </c>
      <c r="K100" s="6">
        <v>1672812</v>
      </c>
      <c r="L100" s="7" t="s">
        <v>6602</v>
      </c>
      <c r="M100" s="8">
        <v>23308</v>
      </c>
      <c r="N100" s="8" t="str">
        <f t="shared" si="10"/>
        <v>PEN</v>
      </c>
      <c r="O100" s="13"/>
      <c r="P100" s="13">
        <v>8</v>
      </c>
      <c r="Q100" s="3">
        <f t="shared" si="7"/>
        <v>0</v>
      </c>
      <c r="R100" s="3">
        <f t="shared" si="8"/>
        <v>8</v>
      </c>
      <c r="S100" s="3">
        <f t="shared" si="9"/>
        <v>233.74</v>
      </c>
      <c r="T100" s="24"/>
      <c r="U100" s="24"/>
      <c r="V100" s="3"/>
      <c r="W100" s="25" t="s">
        <v>6541</v>
      </c>
      <c r="X100" s="25"/>
      <c r="Y100" s="25" t="str">
        <f>IFERROR(VLOOKUP(C_Ope_001[[#This Row],[NOTA 2]],Clientes_Proveedores[[Ruc / Dni]:[Razon Social]],2,0),"")</f>
        <v/>
      </c>
      <c r="Z100" s="25"/>
      <c r="AA100" s="130"/>
      <c r="AB100" s="3" t="str">
        <f>IF(C_Ope_001[[#This Row],[FECHA]]&gt;0,TEXT(C_Ope_001[[#This Row],[FECHA]],"mmmm"),0)</f>
        <v>Marzo</v>
      </c>
    </row>
    <row r="101" spans="2:28" ht="24" x14ac:dyDescent="0.3">
      <c r="B101" s="2">
        <f>IF(C_Ope_001[[#This Row],[TIPO DE R.]]="R",COUNTIFS($D$4:$D100,"R")+1,"")</f>
        <v>97</v>
      </c>
      <c r="C101" s="19" t="str">
        <f t="shared" si="6"/>
        <v>C_Ope_001</v>
      </c>
      <c r="D101" s="3" t="s">
        <v>1074</v>
      </c>
      <c r="E101" s="14">
        <v>45723</v>
      </c>
      <c r="F101" s="5" t="s">
        <v>6538</v>
      </c>
      <c r="G101" s="5" t="s">
        <v>1079</v>
      </c>
      <c r="H101" s="6"/>
      <c r="I101" s="6" t="s">
        <v>14</v>
      </c>
      <c r="J101" s="6" t="s">
        <v>5242</v>
      </c>
      <c r="K101" s="6">
        <v>1982750</v>
      </c>
      <c r="L101" s="7" t="s">
        <v>6543</v>
      </c>
      <c r="M101" s="8">
        <v>23341</v>
      </c>
      <c r="N101" s="8" t="str">
        <f t="shared" si="10"/>
        <v>PEN</v>
      </c>
      <c r="O101" s="13"/>
      <c r="P101" s="13">
        <v>8</v>
      </c>
      <c r="Q101" s="3">
        <f t="shared" si="7"/>
        <v>0</v>
      </c>
      <c r="R101" s="3">
        <f t="shared" si="8"/>
        <v>8</v>
      </c>
      <c r="S101" s="3">
        <f t="shared" si="9"/>
        <v>225.74</v>
      </c>
      <c r="T101" s="24"/>
      <c r="U101" s="24"/>
      <c r="V101" s="3"/>
      <c r="W101" s="25" t="s">
        <v>6541</v>
      </c>
      <c r="X101" s="25"/>
      <c r="Y101" s="25" t="str">
        <f>IFERROR(VLOOKUP(C_Ope_001[[#This Row],[NOTA 2]],Clientes_Proveedores[[Ruc / Dni]:[Razon Social]],2,0),"")</f>
        <v/>
      </c>
      <c r="Z101" s="25"/>
      <c r="AA101" s="130"/>
      <c r="AB101" s="3" t="str">
        <f>IF(C_Ope_001[[#This Row],[FECHA]]&gt;0,TEXT(C_Ope_001[[#This Row],[FECHA]],"mmmm"),0)</f>
        <v>Marzo</v>
      </c>
    </row>
    <row r="102" spans="2:28" ht="24" x14ac:dyDescent="0.3">
      <c r="B102" s="2">
        <f>IF(C_Ope_001[[#This Row],[TIPO DE R.]]="R",COUNTIFS($D$4:$D101,"R")+1,"")</f>
        <v>98</v>
      </c>
      <c r="C102" s="19" t="str">
        <f t="shared" si="6"/>
        <v>C_Ope_001</v>
      </c>
      <c r="D102" s="3" t="s">
        <v>1074</v>
      </c>
      <c r="E102" s="14">
        <v>45723</v>
      </c>
      <c r="F102" s="5" t="s">
        <v>6538</v>
      </c>
      <c r="G102" s="5" t="s">
        <v>1079</v>
      </c>
      <c r="H102" s="6"/>
      <c r="I102" s="6" t="s">
        <v>14</v>
      </c>
      <c r="J102" s="6" t="s">
        <v>5244</v>
      </c>
      <c r="K102" s="6">
        <v>1673685</v>
      </c>
      <c r="L102" s="7" t="s">
        <v>6543</v>
      </c>
      <c r="M102" s="8">
        <v>23342</v>
      </c>
      <c r="N102" s="8" t="str">
        <f t="shared" si="10"/>
        <v>PEN</v>
      </c>
      <c r="O102" s="13"/>
      <c r="P102" s="13">
        <v>8</v>
      </c>
      <c r="Q102" s="3">
        <f t="shared" si="7"/>
        <v>0</v>
      </c>
      <c r="R102" s="3">
        <f t="shared" si="8"/>
        <v>8</v>
      </c>
      <c r="S102" s="3">
        <f t="shared" si="9"/>
        <v>217.74</v>
      </c>
      <c r="T102" s="24"/>
      <c r="U102" s="24"/>
      <c r="V102" s="3"/>
      <c r="W102" s="25" t="s">
        <v>6541</v>
      </c>
      <c r="X102" s="25"/>
      <c r="Y102" s="25" t="str">
        <f>IFERROR(VLOOKUP(C_Ope_001[[#This Row],[NOTA 2]],Clientes_Proveedores[[Ruc / Dni]:[Razon Social]],2,0),"")</f>
        <v/>
      </c>
      <c r="Z102" s="25"/>
      <c r="AA102" s="130"/>
      <c r="AB102" s="3" t="str">
        <f>IF(C_Ope_001[[#This Row],[FECHA]]&gt;0,TEXT(C_Ope_001[[#This Row],[FECHA]],"mmmm"),0)</f>
        <v>Marzo</v>
      </c>
    </row>
    <row r="103" spans="2:28" x14ac:dyDescent="0.3">
      <c r="B103" s="2">
        <f>IF(C_Ope_001[[#This Row],[TIPO DE R.]]="R",COUNTIFS($D$4:$D102,"R")+1,"")</f>
        <v>99</v>
      </c>
      <c r="C103" s="19" t="str">
        <f t="shared" si="6"/>
        <v>C_Ope_001</v>
      </c>
      <c r="D103" s="3" t="s">
        <v>1074</v>
      </c>
      <c r="E103" s="14">
        <v>45720</v>
      </c>
      <c r="F103" s="5" t="s">
        <v>6538</v>
      </c>
      <c r="G103" s="5" t="s">
        <v>1079</v>
      </c>
      <c r="H103" s="6"/>
      <c r="I103" s="6" t="s">
        <v>14</v>
      </c>
      <c r="J103" s="6" t="s">
        <v>6561</v>
      </c>
      <c r="K103" s="6">
        <v>63</v>
      </c>
      <c r="L103" s="7" t="s">
        <v>6603</v>
      </c>
      <c r="M103" s="8">
        <v>23288</v>
      </c>
      <c r="N103" s="8" t="str">
        <f t="shared" si="10"/>
        <v>PEN</v>
      </c>
      <c r="O103" s="13"/>
      <c r="P103" s="13">
        <v>10</v>
      </c>
      <c r="Q103" s="3">
        <f t="shared" si="7"/>
        <v>0</v>
      </c>
      <c r="R103" s="3">
        <f t="shared" si="8"/>
        <v>10</v>
      </c>
      <c r="S103" s="3">
        <f t="shared" si="9"/>
        <v>207.74</v>
      </c>
      <c r="T103" s="24"/>
      <c r="U103" s="24"/>
      <c r="V103" s="3"/>
      <c r="W103" s="25" t="s">
        <v>6541</v>
      </c>
      <c r="X103" s="25"/>
      <c r="Y103" s="25" t="str">
        <f>IFERROR(VLOOKUP(C_Ope_001[[#This Row],[NOTA 2]],Clientes_Proveedores[[Ruc / Dni]:[Razon Social]],2,0),"")</f>
        <v/>
      </c>
      <c r="Z103" s="25"/>
      <c r="AA103" s="130"/>
      <c r="AB103" s="3" t="str">
        <f>IF(C_Ope_001[[#This Row],[FECHA]]&gt;0,TEXT(C_Ope_001[[#This Row],[FECHA]],"mmmm"),0)</f>
        <v>Marzo</v>
      </c>
    </row>
    <row r="104" spans="2:28" x14ac:dyDescent="0.3">
      <c r="B104" s="2">
        <f>IF(C_Ope_001[[#This Row],[TIPO DE R.]]="R",COUNTIFS($D$4:$D103,"R")+1,"")</f>
        <v>100</v>
      </c>
      <c r="C104" s="19" t="str">
        <f t="shared" si="6"/>
        <v>C_Ope_001</v>
      </c>
      <c r="D104" s="3" t="s">
        <v>1074</v>
      </c>
      <c r="E104" s="14">
        <v>45721</v>
      </c>
      <c r="F104" s="5" t="s">
        <v>6538</v>
      </c>
      <c r="G104" s="5" t="s">
        <v>1079</v>
      </c>
      <c r="H104" s="6"/>
      <c r="I104" s="6" t="s">
        <v>14</v>
      </c>
      <c r="J104" s="6" t="s">
        <v>1148</v>
      </c>
      <c r="K104" s="6">
        <v>129006</v>
      </c>
      <c r="L104" s="7" t="s">
        <v>6604</v>
      </c>
      <c r="M104" s="8">
        <v>23306</v>
      </c>
      <c r="N104" s="8" t="str">
        <f t="shared" si="10"/>
        <v>PEN</v>
      </c>
      <c r="O104" s="13"/>
      <c r="P104" s="13">
        <v>10</v>
      </c>
      <c r="Q104" s="3">
        <f t="shared" si="7"/>
        <v>0</v>
      </c>
      <c r="R104" s="3">
        <f t="shared" si="8"/>
        <v>10</v>
      </c>
      <c r="S104" s="3">
        <f t="shared" si="9"/>
        <v>197.74</v>
      </c>
      <c r="T104" s="24"/>
      <c r="U104" s="24"/>
      <c r="V104" s="3"/>
      <c r="W104" s="25" t="s">
        <v>6541</v>
      </c>
      <c r="X104" s="25"/>
      <c r="Y104" s="25" t="str">
        <f>IFERROR(VLOOKUP(C_Ope_001[[#This Row],[NOTA 2]],Clientes_Proveedores[[Ruc / Dni]:[Razon Social]],2,0),"")</f>
        <v/>
      </c>
      <c r="Z104" s="25"/>
      <c r="AA104" s="130"/>
      <c r="AB104" s="3" t="str">
        <f>IF(C_Ope_001[[#This Row],[FECHA]]&gt;0,TEXT(C_Ope_001[[#This Row],[FECHA]],"mmmm"),0)</f>
        <v>Marzo</v>
      </c>
    </row>
    <row r="105" spans="2:28" x14ac:dyDescent="0.3">
      <c r="B105" s="2">
        <f>IF(C_Ope_001[[#This Row],[TIPO DE R.]]="R",COUNTIFS($D$4:$D104,"R")+1,"")</f>
        <v>101</v>
      </c>
      <c r="C105" s="19" t="str">
        <f t="shared" si="6"/>
        <v>C_Ope_001</v>
      </c>
      <c r="D105" s="3" t="s">
        <v>1074</v>
      </c>
      <c r="E105" s="14">
        <v>45721</v>
      </c>
      <c r="F105" s="5" t="s">
        <v>6538</v>
      </c>
      <c r="G105" s="5" t="s">
        <v>1079</v>
      </c>
      <c r="H105" s="6"/>
      <c r="I105" s="6" t="s">
        <v>14</v>
      </c>
      <c r="J105" s="6" t="s">
        <v>1119</v>
      </c>
      <c r="K105" s="6">
        <v>16691</v>
      </c>
      <c r="L105" s="7" t="s">
        <v>6565</v>
      </c>
      <c r="M105" s="8">
        <v>23307</v>
      </c>
      <c r="N105" s="8" t="str">
        <f t="shared" si="10"/>
        <v>PEN</v>
      </c>
      <c r="O105" s="13"/>
      <c r="P105" s="13">
        <v>25</v>
      </c>
      <c r="Q105" s="3">
        <f t="shared" si="7"/>
        <v>0</v>
      </c>
      <c r="R105" s="3">
        <f t="shared" si="8"/>
        <v>25</v>
      </c>
      <c r="S105" s="3">
        <f t="shared" si="9"/>
        <v>172.74</v>
      </c>
      <c r="T105" s="24"/>
      <c r="U105" s="24"/>
      <c r="V105" s="3"/>
      <c r="W105" s="25" t="s">
        <v>6541</v>
      </c>
      <c r="X105" s="25"/>
      <c r="Y105" s="25" t="str">
        <f>IFERROR(VLOOKUP(C_Ope_001[[#This Row],[NOTA 2]],Clientes_Proveedores[[Ruc / Dni]:[Razon Social]],2,0),"")</f>
        <v/>
      </c>
      <c r="Z105" s="25"/>
      <c r="AA105" s="130"/>
      <c r="AB105" s="3" t="str">
        <f>IF(C_Ope_001[[#This Row],[FECHA]]&gt;0,TEXT(C_Ope_001[[#This Row],[FECHA]],"mmmm"),0)</f>
        <v>Marzo</v>
      </c>
    </row>
    <row r="106" spans="2:28" x14ac:dyDescent="0.3">
      <c r="B106" s="2">
        <f>IF(C_Ope_001[[#This Row],[TIPO DE R.]]="R",COUNTIFS($D$4:$D105,"R")+1,"")</f>
        <v>102</v>
      </c>
      <c r="C106" s="19" t="str">
        <f t="shared" si="6"/>
        <v>C_Ope_001</v>
      </c>
      <c r="D106" s="3" t="s">
        <v>1074</v>
      </c>
      <c r="E106" s="14">
        <v>45727</v>
      </c>
      <c r="F106" s="5" t="s">
        <v>6299</v>
      </c>
      <c r="G106" s="5" t="s">
        <v>1087</v>
      </c>
      <c r="H106" s="6"/>
      <c r="I106" s="6"/>
      <c r="J106" s="6"/>
      <c r="K106" s="6"/>
      <c r="L106" s="7" t="s">
        <v>6302</v>
      </c>
      <c r="M106" s="8">
        <v>23467</v>
      </c>
      <c r="N106" s="8" t="str">
        <f t="shared" si="10"/>
        <v>PEN</v>
      </c>
      <c r="O106" s="13"/>
      <c r="P106" s="13">
        <v>30</v>
      </c>
      <c r="Q106" s="3">
        <f t="shared" si="7"/>
        <v>30</v>
      </c>
      <c r="R106" s="3">
        <f t="shared" si="8"/>
        <v>0</v>
      </c>
      <c r="S106" s="3">
        <f t="shared" si="9"/>
        <v>202.74</v>
      </c>
      <c r="T106" s="24"/>
      <c r="U106" s="24"/>
      <c r="V106" s="3"/>
      <c r="W106" s="25"/>
      <c r="X106" s="25"/>
      <c r="Y106" s="25" t="str">
        <f>IFERROR(VLOOKUP(C_Ope_001[[#This Row],[NOTA 2]],Clientes_Proveedores[[Ruc / Dni]:[Razon Social]],2,0),"")</f>
        <v/>
      </c>
      <c r="Z106" s="25"/>
      <c r="AA106" s="130"/>
      <c r="AB106" s="3" t="str">
        <f>IF(C_Ope_001[[#This Row],[FECHA]]&gt;0,TEXT(C_Ope_001[[#This Row],[FECHA]],"mmmm"),0)</f>
        <v>Marzo</v>
      </c>
    </row>
    <row r="107" spans="2:28" ht="24" x14ac:dyDescent="0.3">
      <c r="B107" s="2">
        <f>IF(C_Ope_001[[#This Row],[TIPO DE R.]]="R",COUNTIFS($D$4:$D106,"R")+1,"")</f>
        <v>103</v>
      </c>
      <c r="C107" s="19" t="str">
        <f t="shared" si="6"/>
        <v>C_Ope_001</v>
      </c>
      <c r="D107" s="3" t="s">
        <v>1074</v>
      </c>
      <c r="E107" s="14">
        <v>45726</v>
      </c>
      <c r="F107" s="5" t="s">
        <v>6538</v>
      </c>
      <c r="G107" s="5" t="s">
        <v>1079</v>
      </c>
      <c r="H107" s="6"/>
      <c r="I107" s="6" t="s">
        <v>14</v>
      </c>
      <c r="J107" s="6" t="s">
        <v>5244</v>
      </c>
      <c r="K107" s="6">
        <v>1675754</v>
      </c>
      <c r="L107" s="7" t="s">
        <v>6558</v>
      </c>
      <c r="M107" s="8">
        <v>23352</v>
      </c>
      <c r="N107" s="8" t="str">
        <f t="shared" si="10"/>
        <v>PEN</v>
      </c>
      <c r="O107" s="13"/>
      <c r="P107" s="13">
        <v>8</v>
      </c>
      <c r="Q107" s="3">
        <f t="shared" si="7"/>
        <v>0</v>
      </c>
      <c r="R107" s="3">
        <f t="shared" si="8"/>
        <v>8</v>
      </c>
      <c r="S107" s="3">
        <f t="shared" si="9"/>
        <v>194.74</v>
      </c>
      <c r="T107" s="24"/>
      <c r="U107" s="24"/>
      <c r="V107" s="3"/>
      <c r="W107" s="25" t="s">
        <v>6541</v>
      </c>
      <c r="X107" s="25"/>
      <c r="Y107" s="25" t="str">
        <f>IFERROR(VLOOKUP(C_Ope_001[[#This Row],[NOTA 2]],Clientes_Proveedores[[Ruc / Dni]:[Razon Social]],2,0),"")</f>
        <v/>
      </c>
      <c r="Z107" s="25"/>
      <c r="AA107" s="130"/>
      <c r="AB107" s="3" t="str">
        <f>IF(C_Ope_001[[#This Row],[FECHA]]&gt;0,TEXT(C_Ope_001[[#This Row],[FECHA]],"mmmm"),0)</f>
        <v>Marzo</v>
      </c>
    </row>
    <row r="108" spans="2:28" ht="24" x14ac:dyDescent="0.3">
      <c r="B108" s="2">
        <f>IF(C_Ope_001[[#This Row],[TIPO DE R.]]="R",COUNTIFS($D$4:$D107,"R")+1,"")</f>
        <v>104</v>
      </c>
      <c r="C108" s="19" t="str">
        <f t="shared" si="6"/>
        <v>C_Ope_001</v>
      </c>
      <c r="D108" s="3" t="s">
        <v>1074</v>
      </c>
      <c r="E108" s="14">
        <v>45726</v>
      </c>
      <c r="F108" s="5" t="s">
        <v>6538</v>
      </c>
      <c r="G108" s="5" t="s">
        <v>1079</v>
      </c>
      <c r="H108" s="6"/>
      <c r="I108" s="6" t="s">
        <v>14</v>
      </c>
      <c r="J108" s="6" t="s">
        <v>5281</v>
      </c>
      <c r="K108" s="6">
        <v>935623</v>
      </c>
      <c r="L108" s="7" t="s">
        <v>6557</v>
      </c>
      <c r="M108" s="8">
        <v>23353</v>
      </c>
      <c r="N108" s="8" t="str">
        <f t="shared" si="10"/>
        <v>PEN</v>
      </c>
      <c r="O108" s="13"/>
      <c r="P108" s="13">
        <v>8</v>
      </c>
      <c r="Q108" s="3">
        <f t="shared" si="7"/>
        <v>0</v>
      </c>
      <c r="R108" s="3">
        <f t="shared" si="8"/>
        <v>8</v>
      </c>
      <c r="S108" s="3">
        <f t="shared" si="9"/>
        <v>186.74</v>
      </c>
      <c r="T108" s="24"/>
      <c r="U108" s="24"/>
      <c r="V108" s="3"/>
      <c r="W108" s="25" t="s">
        <v>6541</v>
      </c>
      <c r="X108" s="25"/>
      <c r="Y108" s="25" t="str">
        <f>IFERROR(VLOOKUP(C_Ope_001[[#This Row],[NOTA 2]],Clientes_Proveedores[[Ruc / Dni]:[Razon Social]],2,0),"")</f>
        <v/>
      </c>
      <c r="Z108" s="25"/>
      <c r="AA108" s="130"/>
      <c r="AB108" s="3" t="str">
        <f>IF(C_Ope_001[[#This Row],[FECHA]]&gt;0,TEXT(C_Ope_001[[#This Row],[FECHA]],"mmmm"),0)</f>
        <v>Marzo</v>
      </c>
    </row>
    <row r="109" spans="2:28" ht="24" x14ac:dyDescent="0.3">
      <c r="B109" s="2">
        <f>IF(C_Ope_001[[#This Row],[TIPO DE R.]]="R",COUNTIFS($D$4:$D108,"R")+1,"")</f>
        <v>105</v>
      </c>
      <c r="C109" s="19" t="str">
        <f t="shared" si="6"/>
        <v>C_Ope_001</v>
      </c>
      <c r="D109" s="3" t="s">
        <v>1074</v>
      </c>
      <c r="E109" s="14">
        <v>45726</v>
      </c>
      <c r="F109" s="5" t="s">
        <v>6538</v>
      </c>
      <c r="G109" s="5" t="s">
        <v>1079</v>
      </c>
      <c r="H109" s="6"/>
      <c r="I109" s="6" t="s">
        <v>14</v>
      </c>
      <c r="J109" s="6" t="s">
        <v>5280</v>
      </c>
      <c r="K109" s="6">
        <v>1017767</v>
      </c>
      <c r="L109" s="7" t="s">
        <v>6557</v>
      </c>
      <c r="M109" s="8">
        <v>23355</v>
      </c>
      <c r="N109" s="8" t="str">
        <f t="shared" si="10"/>
        <v>PEN</v>
      </c>
      <c r="O109" s="13"/>
      <c r="P109" s="13">
        <v>8</v>
      </c>
      <c r="Q109" s="3">
        <f t="shared" si="7"/>
        <v>0</v>
      </c>
      <c r="R109" s="3">
        <f t="shared" si="8"/>
        <v>8</v>
      </c>
      <c r="S109" s="3">
        <f t="shared" si="9"/>
        <v>178.74</v>
      </c>
      <c r="T109" s="24"/>
      <c r="U109" s="24"/>
      <c r="V109" s="3"/>
      <c r="W109" s="25" t="s">
        <v>6541</v>
      </c>
      <c r="X109" s="25"/>
      <c r="Y109" s="25" t="str">
        <f>IFERROR(VLOOKUP(C_Ope_001[[#This Row],[NOTA 2]],Clientes_Proveedores[[Ruc / Dni]:[Razon Social]],2,0),"")</f>
        <v/>
      </c>
      <c r="Z109" s="25"/>
      <c r="AA109" s="130"/>
      <c r="AB109" s="3" t="str">
        <f>IF(C_Ope_001[[#This Row],[FECHA]]&gt;0,TEXT(C_Ope_001[[#This Row],[FECHA]],"mmmm"),0)</f>
        <v>Marzo</v>
      </c>
    </row>
    <row r="110" spans="2:28" ht="24" x14ac:dyDescent="0.3">
      <c r="B110" s="2">
        <f>IF(C_Ope_001[[#This Row],[TIPO DE R.]]="R",COUNTIFS($D$4:$D109,"R")+1,"")</f>
        <v>106</v>
      </c>
      <c r="C110" s="19" t="str">
        <f t="shared" si="6"/>
        <v>C_Ope_001</v>
      </c>
      <c r="D110" s="3" t="s">
        <v>1074</v>
      </c>
      <c r="E110" s="14">
        <v>45727</v>
      </c>
      <c r="F110" s="5" t="s">
        <v>6538</v>
      </c>
      <c r="G110" s="5" t="s">
        <v>1079</v>
      </c>
      <c r="H110" s="6"/>
      <c r="I110" s="6" t="s">
        <v>14</v>
      </c>
      <c r="J110" s="6" t="s">
        <v>6556</v>
      </c>
      <c r="K110" s="6">
        <v>457850</v>
      </c>
      <c r="L110" s="7" t="s">
        <v>6605</v>
      </c>
      <c r="M110" s="8">
        <v>23371</v>
      </c>
      <c r="N110" s="8" t="str">
        <f t="shared" si="10"/>
        <v>PEN</v>
      </c>
      <c r="O110" s="13"/>
      <c r="P110" s="13">
        <v>5</v>
      </c>
      <c r="Q110" s="3">
        <f t="shared" si="7"/>
        <v>0</v>
      </c>
      <c r="R110" s="3">
        <f t="shared" si="8"/>
        <v>5</v>
      </c>
      <c r="S110" s="3">
        <f t="shared" si="9"/>
        <v>173.74</v>
      </c>
      <c r="T110" s="24"/>
      <c r="U110" s="24"/>
      <c r="V110" s="3"/>
      <c r="W110" s="25" t="s">
        <v>6541</v>
      </c>
      <c r="X110" s="25"/>
      <c r="Y110" s="25" t="str">
        <f>IFERROR(VLOOKUP(C_Ope_001[[#This Row],[NOTA 2]],Clientes_Proveedores[[Ruc / Dni]:[Razon Social]],2,0),"")</f>
        <v/>
      </c>
      <c r="Z110" s="25"/>
      <c r="AA110" s="130"/>
      <c r="AB110" s="3" t="str">
        <f>IF(C_Ope_001[[#This Row],[FECHA]]&gt;0,TEXT(C_Ope_001[[#This Row],[FECHA]],"mmmm"),0)</f>
        <v>Marzo</v>
      </c>
    </row>
    <row r="111" spans="2:28" ht="24" x14ac:dyDescent="0.3">
      <c r="B111" s="2">
        <f>IF(C_Ope_001[[#This Row],[TIPO DE R.]]="R",COUNTIFS($D$4:$D110,"R")+1,"")</f>
        <v>107</v>
      </c>
      <c r="C111" s="19" t="str">
        <f t="shared" si="6"/>
        <v>C_Ope_001</v>
      </c>
      <c r="D111" s="3" t="s">
        <v>1074</v>
      </c>
      <c r="E111" s="14">
        <v>45727</v>
      </c>
      <c r="F111" s="5" t="s">
        <v>6538</v>
      </c>
      <c r="G111" s="5" t="s">
        <v>1079</v>
      </c>
      <c r="H111" s="6"/>
      <c r="I111" s="6" t="s">
        <v>14</v>
      </c>
      <c r="J111" s="6" t="s">
        <v>5244</v>
      </c>
      <c r="K111" s="6">
        <v>1676673</v>
      </c>
      <c r="L111" s="7" t="s">
        <v>6606</v>
      </c>
      <c r="M111" s="8">
        <v>23373</v>
      </c>
      <c r="N111" s="8" t="str">
        <f t="shared" si="10"/>
        <v>PEN</v>
      </c>
      <c r="O111" s="13"/>
      <c r="P111" s="13">
        <v>8</v>
      </c>
      <c r="Q111" s="3">
        <f t="shared" si="7"/>
        <v>0</v>
      </c>
      <c r="R111" s="3">
        <f t="shared" si="8"/>
        <v>8</v>
      </c>
      <c r="S111" s="3">
        <f t="shared" si="9"/>
        <v>165.74</v>
      </c>
      <c r="T111" s="24"/>
      <c r="U111" s="24"/>
      <c r="V111" s="3"/>
      <c r="W111" s="25" t="s">
        <v>6541</v>
      </c>
      <c r="X111" s="25"/>
      <c r="Y111" s="25" t="str">
        <f>IFERROR(VLOOKUP(C_Ope_001[[#This Row],[NOTA 2]],Clientes_Proveedores[[Ruc / Dni]:[Razon Social]],2,0),"")</f>
        <v/>
      </c>
      <c r="Z111" s="25"/>
      <c r="AA111" s="130"/>
      <c r="AB111" s="3" t="str">
        <f>IF(C_Ope_001[[#This Row],[FECHA]]&gt;0,TEXT(C_Ope_001[[#This Row],[FECHA]],"mmmm"),0)</f>
        <v>Marzo</v>
      </c>
    </row>
    <row r="112" spans="2:28" ht="24" x14ac:dyDescent="0.3">
      <c r="B112" s="2">
        <f>IF(C_Ope_001[[#This Row],[TIPO DE R.]]="R",COUNTIFS($D$4:$D111,"R")+1,"")</f>
        <v>108</v>
      </c>
      <c r="C112" s="19" t="str">
        <f t="shared" si="6"/>
        <v>C_Ope_001</v>
      </c>
      <c r="D112" s="3" t="s">
        <v>1074</v>
      </c>
      <c r="E112" s="14">
        <v>45727</v>
      </c>
      <c r="F112" s="5" t="s">
        <v>6538</v>
      </c>
      <c r="G112" s="5" t="s">
        <v>1079</v>
      </c>
      <c r="H112" s="6"/>
      <c r="I112" s="6" t="s">
        <v>14</v>
      </c>
      <c r="J112" s="6" t="s">
        <v>6559</v>
      </c>
      <c r="K112" s="6">
        <v>373397</v>
      </c>
      <c r="L112" s="7" t="s">
        <v>6605</v>
      </c>
      <c r="M112" s="8">
        <v>23379</v>
      </c>
      <c r="N112" s="8" t="str">
        <f t="shared" si="10"/>
        <v>PEN</v>
      </c>
      <c r="O112" s="13"/>
      <c r="P112" s="13">
        <v>8</v>
      </c>
      <c r="Q112" s="3">
        <f t="shared" si="7"/>
        <v>0</v>
      </c>
      <c r="R112" s="3">
        <f t="shared" si="8"/>
        <v>8</v>
      </c>
      <c r="S112" s="3">
        <f t="shared" si="9"/>
        <v>157.74</v>
      </c>
      <c r="T112" s="24"/>
      <c r="U112" s="24"/>
      <c r="V112" s="3"/>
      <c r="W112" s="25" t="s">
        <v>6541</v>
      </c>
      <c r="X112" s="25"/>
      <c r="Y112" s="25" t="str">
        <f>IFERROR(VLOOKUP(C_Ope_001[[#This Row],[NOTA 2]],Clientes_Proveedores[[Ruc / Dni]:[Razon Social]],2,0),"")</f>
        <v/>
      </c>
      <c r="Z112" s="25"/>
      <c r="AA112" s="130"/>
      <c r="AB112" s="3" t="str">
        <f>IF(C_Ope_001[[#This Row],[FECHA]]&gt;0,TEXT(C_Ope_001[[#This Row],[FECHA]],"mmmm"),0)</f>
        <v>Marzo</v>
      </c>
    </row>
    <row r="113" spans="2:28" ht="24" x14ac:dyDescent="0.3">
      <c r="B113" s="2">
        <f>IF(C_Ope_001[[#This Row],[TIPO DE R.]]="R",COUNTIFS($D$4:$D112,"R")+1,"")</f>
        <v>109</v>
      </c>
      <c r="C113" s="19" t="str">
        <f t="shared" si="6"/>
        <v>C_Ope_001</v>
      </c>
      <c r="D113" s="3" t="s">
        <v>1074</v>
      </c>
      <c r="E113" s="14">
        <v>45728</v>
      </c>
      <c r="F113" s="5" t="s">
        <v>6538</v>
      </c>
      <c r="G113" s="5" t="s">
        <v>1079</v>
      </c>
      <c r="H113" s="6"/>
      <c r="I113" s="6" t="s">
        <v>14</v>
      </c>
      <c r="J113" s="6" t="s">
        <v>5244</v>
      </c>
      <c r="K113" s="6">
        <v>1677817</v>
      </c>
      <c r="L113" s="7" t="s">
        <v>6607</v>
      </c>
      <c r="M113" s="8">
        <v>23392</v>
      </c>
      <c r="N113" s="8" t="str">
        <f t="shared" si="10"/>
        <v>PEN</v>
      </c>
      <c r="O113" s="13"/>
      <c r="P113" s="13">
        <v>8</v>
      </c>
      <c r="Q113" s="3">
        <f t="shared" si="7"/>
        <v>0</v>
      </c>
      <c r="R113" s="3">
        <f t="shared" si="8"/>
        <v>8</v>
      </c>
      <c r="S113" s="3">
        <f t="shared" si="9"/>
        <v>149.74</v>
      </c>
      <c r="T113" s="24"/>
      <c r="U113" s="24"/>
      <c r="V113" s="3"/>
      <c r="W113" s="25" t="s">
        <v>6541</v>
      </c>
      <c r="X113" s="25"/>
      <c r="Y113" s="25" t="str">
        <f>IFERROR(VLOOKUP(C_Ope_001[[#This Row],[NOTA 2]],Clientes_Proveedores[[Ruc / Dni]:[Razon Social]],2,0),"")</f>
        <v/>
      </c>
      <c r="Z113" s="25"/>
      <c r="AA113" s="130"/>
      <c r="AB113" s="3" t="str">
        <f>IF(C_Ope_001[[#This Row],[FECHA]]&gt;0,TEXT(C_Ope_001[[#This Row],[FECHA]],"mmmm"),0)</f>
        <v>Marzo</v>
      </c>
    </row>
    <row r="114" spans="2:28" ht="24" x14ac:dyDescent="0.3">
      <c r="B114" s="2">
        <f>IF(C_Ope_001[[#This Row],[TIPO DE R.]]="R",COUNTIFS($D$4:$D113,"R")+1,"")</f>
        <v>110</v>
      </c>
      <c r="C114" s="19" t="str">
        <f t="shared" si="6"/>
        <v>C_Ope_001</v>
      </c>
      <c r="D114" s="3" t="s">
        <v>1074</v>
      </c>
      <c r="E114" s="14">
        <v>45728</v>
      </c>
      <c r="F114" s="5" t="s">
        <v>6538</v>
      </c>
      <c r="G114" s="5" t="s">
        <v>1079</v>
      </c>
      <c r="H114" s="6"/>
      <c r="I114" s="6" t="s">
        <v>14</v>
      </c>
      <c r="J114" s="6" t="s">
        <v>5244</v>
      </c>
      <c r="K114" s="6">
        <v>1677817</v>
      </c>
      <c r="L114" s="7" t="s">
        <v>6607</v>
      </c>
      <c r="M114" s="8">
        <v>23393</v>
      </c>
      <c r="N114" s="8" t="str">
        <f t="shared" si="10"/>
        <v>PEN</v>
      </c>
      <c r="O114" s="13"/>
      <c r="P114" s="13">
        <v>0</v>
      </c>
      <c r="Q114" s="3">
        <f t="shared" si="7"/>
        <v>0</v>
      </c>
      <c r="R114" s="3">
        <f t="shared" si="8"/>
        <v>0</v>
      </c>
      <c r="S114" s="3">
        <f t="shared" si="9"/>
        <v>149.74</v>
      </c>
      <c r="T114" s="24"/>
      <c r="U114" s="24"/>
      <c r="V114" s="3"/>
      <c r="W114" s="25" t="s">
        <v>6541</v>
      </c>
      <c r="X114" s="25"/>
      <c r="Y114" s="25" t="str">
        <f>IFERROR(VLOOKUP(C_Ope_001[[#This Row],[NOTA 2]],Clientes_Proveedores[[Ruc / Dni]:[Razon Social]],2,0),"")</f>
        <v/>
      </c>
      <c r="Z114" s="25"/>
      <c r="AA114" s="130"/>
      <c r="AB114" s="3" t="str">
        <f>IF(C_Ope_001[[#This Row],[FECHA]]&gt;0,TEXT(C_Ope_001[[#This Row],[FECHA]],"mmmm"),0)</f>
        <v>Marzo</v>
      </c>
    </row>
    <row r="115" spans="2:28" ht="24" x14ac:dyDescent="0.3">
      <c r="B115" s="2">
        <f>IF(C_Ope_001[[#This Row],[TIPO DE R.]]="R",COUNTIFS($D$4:$D114,"R")+1,"")</f>
        <v>111</v>
      </c>
      <c r="C115" s="19" t="str">
        <f t="shared" si="6"/>
        <v>C_Ope_001</v>
      </c>
      <c r="D115" s="3" t="s">
        <v>1074</v>
      </c>
      <c r="E115" s="14">
        <v>45728</v>
      </c>
      <c r="F115" s="5" t="s">
        <v>6538</v>
      </c>
      <c r="G115" s="5" t="s">
        <v>1079</v>
      </c>
      <c r="H115" s="6"/>
      <c r="I115" s="6" t="s">
        <v>14</v>
      </c>
      <c r="J115" s="6" t="s">
        <v>5245</v>
      </c>
      <c r="K115" s="6">
        <v>1696970</v>
      </c>
      <c r="L115" s="7" t="s">
        <v>6607</v>
      </c>
      <c r="M115" s="8">
        <v>23394</v>
      </c>
      <c r="N115" s="8" t="str">
        <f t="shared" si="10"/>
        <v>PEN</v>
      </c>
      <c r="O115" s="13"/>
      <c r="P115" s="13">
        <v>8</v>
      </c>
      <c r="Q115" s="3">
        <f t="shared" si="7"/>
        <v>0</v>
      </c>
      <c r="R115" s="3">
        <f t="shared" si="8"/>
        <v>8</v>
      </c>
      <c r="S115" s="3">
        <f t="shared" si="9"/>
        <v>141.74</v>
      </c>
      <c r="T115" s="24"/>
      <c r="U115" s="24"/>
      <c r="V115" s="3"/>
      <c r="W115" s="25" t="s">
        <v>6541</v>
      </c>
      <c r="X115" s="25"/>
      <c r="Y115" s="25" t="str">
        <f>IFERROR(VLOOKUP(C_Ope_001[[#This Row],[NOTA 2]],Clientes_Proveedores[[Ruc / Dni]:[Razon Social]],2,0),"")</f>
        <v/>
      </c>
      <c r="Z115" s="25"/>
      <c r="AA115" s="130"/>
      <c r="AB115" s="3" t="str">
        <f>IF(C_Ope_001[[#This Row],[FECHA]]&gt;0,TEXT(C_Ope_001[[#This Row],[FECHA]],"mmmm"),0)</f>
        <v>Marzo</v>
      </c>
    </row>
    <row r="116" spans="2:28" ht="24" x14ac:dyDescent="0.3">
      <c r="B116" s="2">
        <f>IF(C_Ope_001[[#This Row],[TIPO DE R.]]="R",COUNTIFS($D$4:$D115,"R")+1,"")</f>
        <v>112</v>
      </c>
      <c r="C116" s="19" t="str">
        <f t="shared" si="6"/>
        <v>C_Ope_001</v>
      </c>
      <c r="D116" s="3" t="s">
        <v>1074</v>
      </c>
      <c r="E116" s="14">
        <v>45729</v>
      </c>
      <c r="F116" s="5" t="s">
        <v>6538</v>
      </c>
      <c r="G116" s="5" t="s">
        <v>1079</v>
      </c>
      <c r="H116" s="6"/>
      <c r="I116" s="6" t="s">
        <v>14</v>
      </c>
      <c r="J116" s="6" t="s">
        <v>5245</v>
      </c>
      <c r="K116" s="6">
        <v>1697830</v>
      </c>
      <c r="L116" s="7" t="s">
        <v>6607</v>
      </c>
      <c r="M116" s="8">
        <v>23423</v>
      </c>
      <c r="N116" s="8" t="str">
        <f t="shared" si="10"/>
        <v>PEN</v>
      </c>
      <c r="O116" s="13"/>
      <c r="P116" s="13">
        <v>8</v>
      </c>
      <c r="Q116" s="3">
        <f t="shared" si="7"/>
        <v>0</v>
      </c>
      <c r="R116" s="3">
        <f t="shared" si="8"/>
        <v>8</v>
      </c>
      <c r="S116" s="3">
        <f t="shared" si="9"/>
        <v>133.74</v>
      </c>
      <c r="T116" s="24"/>
      <c r="U116" s="24"/>
      <c r="V116" s="3"/>
      <c r="W116" s="25" t="s">
        <v>6541</v>
      </c>
      <c r="X116" s="25"/>
      <c r="Y116" s="25" t="str">
        <f>IFERROR(VLOOKUP(C_Ope_001[[#This Row],[NOTA 2]],Clientes_Proveedores[[Ruc / Dni]:[Razon Social]],2,0),"")</f>
        <v/>
      </c>
      <c r="Z116" s="25"/>
      <c r="AA116" s="130"/>
      <c r="AB116" s="3" t="str">
        <f>IF(C_Ope_001[[#This Row],[FECHA]]&gt;0,TEXT(C_Ope_001[[#This Row],[FECHA]],"mmmm"),0)</f>
        <v>Marzo</v>
      </c>
    </row>
    <row r="117" spans="2:28" ht="24" x14ac:dyDescent="0.3">
      <c r="B117" s="2">
        <f>IF(C_Ope_001[[#This Row],[TIPO DE R.]]="R",COUNTIFS($D$4:$D116,"R")+1,"")</f>
        <v>113</v>
      </c>
      <c r="C117" s="19" t="str">
        <f t="shared" si="6"/>
        <v>C_Ope_001</v>
      </c>
      <c r="D117" s="3" t="s">
        <v>1074</v>
      </c>
      <c r="E117" s="14">
        <v>45726</v>
      </c>
      <c r="F117" s="5" t="s">
        <v>6538</v>
      </c>
      <c r="G117" s="5" t="s">
        <v>1079</v>
      </c>
      <c r="H117" s="6"/>
      <c r="I117" s="6" t="s">
        <v>14</v>
      </c>
      <c r="J117" s="6" t="s">
        <v>1119</v>
      </c>
      <c r="K117" s="6">
        <v>17039</v>
      </c>
      <c r="L117" s="7" t="s">
        <v>6564</v>
      </c>
      <c r="M117" s="8">
        <v>23351</v>
      </c>
      <c r="N117" s="8" t="str">
        <f t="shared" si="10"/>
        <v>PEN</v>
      </c>
      <c r="O117" s="13"/>
      <c r="P117" s="13">
        <v>11</v>
      </c>
      <c r="Q117" s="3">
        <f t="shared" si="7"/>
        <v>0</v>
      </c>
      <c r="R117" s="3">
        <f t="shared" si="8"/>
        <v>11</v>
      </c>
      <c r="S117" s="3">
        <f t="shared" si="9"/>
        <v>122.74000000000001</v>
      </c>
      <c r="T117" s="24"/>
      <c r="U117" s="24"/>
      <c r="V117" s="3"/>
      <c r="W117" s="25" t="s">
        <v>6541</v>
      </c>
      <c r="X117" s="25"/>
      <c r="Y117" s="25" t="str">
        <f>IFERROR(VLOOKUP(C_Ope_001[[#This Row],[NOTA 2]],Clientes_Proveedores[[Ruc / Dni]:[Razon Social]],2,0),"")</f>
        <v/>
      </c>
      <c r="Z117" s="25"/>
      <c r="AA117" s="130"/>
      <c r="AB117" s="3" t="str">
        <f>IF(C_Ope_001[[#This Row],[FECHA]]&gt;0,TEXT(C_Ope_001[[#This Row],[FECHA]],"mmmm"),0)</f>
        <v>Marzo</v>
      </c>
    </row>
    <row r="118" spans="2:28" ht="24" x14ac:dyDescent="0.3">
      <c r="B118" s="2">
        <f>IF(C_Ope_001[[#This Row],[TIPO DE R.]]="R",COUNTIFS($D$4:$D117,"R")+1,"")</f>
        <v>114</v>
      </c>
      <c r="C118" s="19" t="str">
        <f t="shared" si="6"/>
        <v>C_Ope_001</v>
      </c>
      <c r="D118" s="3" t="s">
        <v>1074</v>
      </c>
      <c r="E118" s="14">
        <v>45727</v>
      </c>
      <c r="F118" s="5" t="s">
        <v>6538</v>
      </c>
      <c r="G118" s="5" t="s">
        <v>1079</v>
      </c>
      <c r="H118" s="6"/>
      <c r="I118" s="6" t="s">
        <v>14</v>
      </c>
      <c r="J118" s="6" t="s">
        <v>1119</v>
      </c>
      <c r="K118" s="6">
        <v>17065</v>
      </c>
      <c r="L118" s="7" t="s">
        <v>6547</v>
      </c>
      <c r="M118" s="8">
        <v>23375</v>
      </c>
      <c r="N118" s="8" t="str">
        <f t="shared" si="10"/>
        <v>PEN</v>
      </c>
      <c r="O118" s="13"/>
      <c r="P118" s="13">
        <v>11</v>
      </c>
      <c r="Q118" s="3">
        <f t="shared" si="7"/>
        <v>0</v>
      </c>
      <c r="R118" s="3">
        <f t="shared" si="8"/>
        <v>11</v>
      </c>
      <c r="S118" s="3">
        <f t="shared" si="9"/>
        <v>111.74000000000001</v>
      </c>
      <c r="T118" s="24"/>
      <c r="U118" s="24"/>
      <c r="V118" s="3"/>
      <c r="W118" s="25" t="s">
        <v>6541</v>
      </c>
      <c r="X118" s="25"/>
      <c r="Y118" s="25" t="str">
        <f>IFERROR(VLOOKUP(C_Ope_001[[#This Row],[NOTA 2]],Clientes_Proveedores[[Ruc / Dni]:[Razon Social]],2,0),"")</f>
        <v/>
      </c>
      <c r="Z118" s="25"/>
      <c r="AA118" s="130"/>
      <c r="AB118" s="3" t="str">
        <f>IF(C_Ope_001[[#This Row],[FECHA]]&gt;0,TEXT(C_Ope_001[[#This Row],[FECHA]],"mmmm"),0)</f>
        <v>Marzo</v>
      </c>
    </row>
    <row r="119" spans="2:28" x14ac:dyDescent="0.3">
      <c r="B119" s="2">
        <f>IF(C_Ope_001[[#This Row],[TIPO DE R.]]="R",COUNTIFS($D$4:$D118,"R")+1,"")</f>
        <v>115</v>
      </c>
      <c r="C119" s="19" t="str">
        <f t="shared" si="6"/>
        <v>C_Ope_001</v>
      </c>
      <c r="D119" s="3" t="s">
        <v>1074</v>
      </c>
      <c r="E119" s="14">
        <v>45729</v>
      </c>
      <c r="F119" s="5" t="s">
        <v>6538</v>
      </c>
      <c r="G119" s="5" t="s">
        <v>1079</v>
      </c>
      <c r="H119" s="6"/>
      <c r="I119" s="6" t="s">
        <v>14</v>
      </c>
      <c r="J119" s="6" t="s">
        <v>1119</v>
      </c>
      <c r="K119" s="6">
        <v>16824</v>
      </c>
      <c r="L119" s="7" t="s">
        <v>6565</v>
      </c>
      <c r="M119" s="8">
        <v>23434</v>
      </c>
      <c r="N119" s="8" t="str">
        <f t="shared" si="10"/>
        <v>PEN</v>
      </c>
      <c r="O119" s="13"/>
      <c r="P119" s="13">
        <v>25</v>
      </c>
      <c r="Q119" s="3">
        <f t="shared" si="7"/>
        <v>0</v>
      </c>
      <c r="R119" s="3">
        <f t="shared" si="8"/>
        <v>25</v>
      </c>
      <c r="S119" s="3">
        <f t="shared" si="9"/>
        <v>86.740000000000009</v>
      </c>
      <c r="T119" s="24"/>
      <c r="U119" s="24"/>
      <c r="V119" s="3"/>
      <c r="W119" s="25" t="s">
        <v>6541</v>
      </c>
      <c r="X119" s="25"/>
      <c r="Y119" s="25" t="str">
        <f>IFERROR(VLOOKUP(C_Ope_001[[#This Row],[NOTA 2]],Clientes_Proveedores[[Ruc / Dni]:[Razon Social]],2,0),"")</f>
        <v/>
      </c>
      <c r="Z119" s="25"/>
      <c r="AA119" s="130"/>
      <c r="AB119" s="3" t="str">
        <f>IF(C_Ope_001[[#This Row],[FECHA]]&gt;0,TEXT(C_Ope_001[[#This Row],[FECHA]],"mmmm"),0)</f>
        <v>Marzo</v>
      </c>
    </row>
    <row r="120" spans="2:28" x14ac:dyDescent="0.3">
      <c r="B120" s="2">
        <f>IF(C_Ope_001[[#This Row],[TIPO DE R.]]="R",COUNTIFS($D$4:$D119,"R")+1,"")</f>
        <v>116</v>
      </c>
      <c r="C120" s="19" t="str">
        <f t="shared" si="6"/>
        <v>C_Ope_001</v>
      </c>
      <c r="D120" s="3" t="s">
        <v>1074</v>
      </c>
      <c r="E120" s="14">
        <v>45734</v>
      </c>
      <c r="F120" s="5" t="s">
        <v>6299</v>
      </c>
      <c r="G120" s="5" t="s">
        <v>1087</v>
      </c>
      <c r="H120" s="6"/>
      <c r="I120" s="6"/>
      <c r="J120" s="6"/>
      <c r="K120" s="6"/>
      <c r="L120" s="7" t="s">
        <v>6302</v>
      </c>
      <c r="M120" s="8">
        <v>23476</v>
      </c>
      <c r="N120" s="8" t="str">
        <f t="shared" si="10"/>
        <v>PEN</v>
      </c>
      <c r="O120" s="13"/>
      <c r="P120" s="13">
        <v>110</v>
      </c>
      <c r="Q120" s="3">
        <f t="shared" si="7"/>
        <v>110</v>
      </c>
      <c r="R120" s="3">
        <f t="shared" si="8"/>
        <v>0</v>
      </c>
      <c r="S120" s="3">
        <f t="shared" si="9"/>
        <v>196.74</v>
      </c>
      <c r="T120" s="24"/>
      <c r="U120" s="24"/>
      <c r="V120" s="3"/>
      <c r="W120" s="25"/>
      <c r="X120" s="25"/>
      <c r="Y120" s="25" t="str">
        <f>IFERROR(VLOOKUP(C_Ope_001[[#This Row],[NOTA 2]],Clientes_Proveedores[[Ruc / Dni]:[Razon Social]],2,0),"")</f>
        <v/>
      </c>
      <c r="Z120" s="25"/>
      <c r="AA120" s="130"/>
      <c r="AB120" s="3" t="str">
        <f>IF(C_Ope_001[[#This Row],[FECHA]]&gt;0,TEXT(C_Ope_001[[#This Row],[FECHA]],"mmmm"),0)</f>
        <v>Marzo</v>
      </c>
    </row>
    <row r="121" spans="2:28" ht="24" x14ac:dyDescent="0.3">
      <c r="B121" s="2">
        <f>IF(C_Ope_001[[#This Row],[TIPO DE R.]]="R",COUNTIFS($D$4:$D120,"R")+1,"")</f>
        <v>117</v>
      </c>
      <c r="C121" s="19" t="str">
        <f t="shared" si="6"/>
        <v>C_Ope_001</v>
      </c>
      <c r="D121" s="3" t="s">
        <v>1074</v>
      </c>
      <c r="E121" s="14">
        <v>45733</v>
      </c>
      <c r="F121" s="5" t="s">
        <v>6538</v>
      </c>
      <c r="G121" s="5" t="s">
        <v>1079</v>
      </c>
      <c r="H121" s="6"/>
      <c r="I121" s="6" t="s">
        <v>14</v>
      </c>
      <c r="J121" s="6" t="s">
        <v>5244</v>
      </c>
      <c r="K121" s="6">
        <v>1681620</v>
      </c>
      <c r="L121" s="7" t="s">
        <v>6553</v>
      </c>
      <c r="M121" s="8">
        <v>23460</v>
      </c>
      <c r="N121" s="8" t="str">
        <f t="shared" si="10"/>
        <v>PEN</v>
      </c>
      <c r="O121" s="13"/>
      <c r="P121" s="13">
        <v>8</v>
      </c>
      <c r="Q121" s="3">
        <f t="shared" si="7"/>
        <v>0</v>
      </c>
      <c r="R121" s="3">
        <f t="shared" si="8"/>
        <v>8</v>
      </c>
      <c r="S121" s="3">
        <f t="shared" si="9"/>
        <v>188.74</v>
      </c>
      <c r="T121" s="24"/>
      <c r="U121" s="24"/>
      <c r="V121" s="3"/>
      <c r="W121" s="25" t="s">
        <v>6541</v>
      </c>
      <c r="X121" s="25"/>
      <c r="Y121" s="25" t="str">
        <f>IFERROR(VLOOKUP(C_Ope_001[[#This Row],[NOTA 2]],Clientes_Proveedores[[Ruc / Dni]:[Razon Social]],2,0),"")</f>
        <v/>
      </c>
      <c r="Z121" s="25"/>
      <c r="AA121" s="130"/>
      <c r="AB121" s="3" t="str">
        <f>IF(C_Ope_001[[#This Row],[FECHA]]&gt;0,TEXT(C_Ope_001[[#This Row],[FECHA]],"mmmm"),0)</f>
        <v>Marzo</v>
      </c>
    </row>
    <row r="122" spans="2:28" ht="24" x14ac:dyDescent="0.3">
      <c r="B122" s="2">
        <f>IF(C_Ope_001[[#This Row],[TIPO DE R.]]="R",COUNTIFS($D$4:$D121,"R")+1,"")</f>
        <v>118</v>
      </c>
      <c r="C122" s="19" t="str">
        <f t="shared" si="6"/>
        <v>C_Ope_001</v>
      </c>
      <c r="D122" s="3" t="s">
        <v>1074</v>
      </c>
      <c r="E122" s="14">
        <v>45734</v>
      </c>
      <c r="F122" s="5" t="s">
        <v>6538</v>
      </c>
      <c r="G122" s="5" t="s">
        <v>1079</v>
      </c>
      <c r="H122" s="6"/>
      <c r="I122" s="6" t="s">
        <v>14</v>
      </c>
      <c r="J122" s="6" t="s">
        <v>5243</v>
      </c>
      <c r="K122" s="6">
        <v>2269174</v>
      </c>
      <c r="L122" s="7" t="s">
        <v>6608</v>
      </c>
      <c r="M122" s="8">
        <v>23567</v>
      </c>
      <c r="N122" s="8" t="str">
        <f t="shared" si="10"/>
        <v>PEN</v>
      </c>
      <c r="O122" s="13"/>
      <c r="P122" s="13">
        <v>8</v>
      </c>
      <c r="Q122" s="3">
        <f t="shared" si="7"/>
        <v>0</v>
      </c>
      <c r="R122" s="3">
        <f t="shared" si="8"/>
        <v>8</v>
      </c>
      <c r="S122" s="3">
        <f t="shared" si="9"/>
        <v>180.74</v>
      </c>
      <c r="T122" s="24"/>
      <c r="U122" s="24"/>
      <c r="V122" s="3"/>
      <c r="W122" s="25" t="s">
        <v>6541</v>
      </c>
      <c r="X122" s="25"/>
      <c r="Y122" s="25" t="str">
        <f>IFERROR(VLOOKUP(C_Ope_001[[#This Row],[NOTA 2]],Clientes_Proveedores[[Ruc / Dni]:[Razon Social]],2,0),"")</f>
        <v/>
      </c>
      <c r="Z122" s="25"/>
      <c r="AA122" s="130"/>
      <c r="AB122" s="3" t="str">
        <f>IF(C_Ope_001[[#This Row],[FECHA]]&gt;0,TEXT(C_Ope_001[[#This Row],[FECHA]],"mmmm"),0)</f>
        <v>Marzo</v>
      </c>
    </row>
    <row r="123" spans="2:28" ht="24" x14ac:dyDescent="0.3">
      <c r="B123" s="2">
        <f>IF(C_Ope_001[[#This Row],[TIPO DE R.]]="R",COUNTIFS($D$4:$D122,"R")+1,"")</f>
        <v>119</v>
      </c>
      <c r="C123" s="19" t="str">
        <f t="shared" si="6"/>
        <v>C_Ope_001</v>
      </c>
      <c r="D123" s="3" t="s">
        <v>1074</v>
      </c>
      <c r="E123" s="14">
        <v>45735</v>
      </c>
      <c r="F123" s="5" t="s">
        <v>6538</v>
      </c>
      <c r="G123" s="5" t="s">
        <v>1079</v>
      </c>
      <c r="H123" s="6"/>
      <c r="I123" s="6" t="s">
        <v>14</v>
      </c>
      <c r="J123" s="6" t="s">
        <v>5245</v>
      </c>
      <c r="K123" s="6">
        <v>1702749</v>
      </c>
      <c r="L123" s="7" t="s">
        <v>6609</v>
      </c>
      <c r="M123" s="8">
        <v>23512</v>
      </c>
      <c r="N123" s="8" t="str">
        <f t="shared" si="10"/>
        <v>PEN</v>
      </c>
      <c r="O123" s="13"/>
      <c r="P123" s="13">
        <v>8</v>
      </c>
      <c r="Q123" s="3">
        <f t="shared" si="7"/>
        <v>0</v>
      </c>
      <c r="R123" s="3">
        <f t="shared" si="8"/>
        <v>8</v>
      </c>
      <c r="S123" s="3">
        <f t="shared" si="9"/>
        <v>172.74</v>
      </c>
      <c r="T123" s="24"/>
      <c r="U123" s="24"/>
      <c r="V123" s="3"/>
      <c r="W123" s="25" t="s">
        <v>6541</v>
      </c>
      <c r="X123" s="25"/>
      <c r="Y123" s="25" t="str">
        <f>IFERROR(VLOOKUP(C_Ope_001[[#This Row],[NOTA 2]],Clientes_Proveedores[[Ruc / Dni]:[Razon Social]],2,0),"")</f>
        <v/>
      </c>
      <c r="Z123" s="25"/>
      <c r="AA123" s="130"/>
      <c r="AB123" s="3" t="str">
        <f>IF(C_Ope_001[[#This Row],[FECHA]]&gt;0,TEXT(C_Ope_001[[#This Row],[FECHA]],"mmmm"),0)</f>
        <v>Marzo</v>
      </c>
    </row>
    <row r="124" spans="2:28" ht="24" x14ac:dyDescent="0.3">
      <c r="B124" s="2">
        <f>IF(C_Ope_001[[#This Row],[TIPO DE R.]]="R",COUNTIFS($D$4:$D123,"R")+1,"")</f>
        <v>120</v>
      </c>
      <c r="C124" s="19" t="str">
        <f t="shared" si="6"/>
        <v>C_Ope_001</v>
      </c>
      <c r="D124" s="3" t="s">
        <v>1074</v>
      </c>
      <c r="E124" s="14">
        <v>45736</v>
      </c>
      <c r="F124" s="5" t="s">
        <v>6538</v>
      </c>
      <c r="G124" s="5" t="s">
        <v>1079</v>
      </c>
      <c r="H124" s="6"/>
      <c r="I124" s="6" t="s">
        <v>14</v>
      </c>
      <c r="J124" s="6" t="s">
        <v>5244</v>
      </c>
      <c r="K124" s="6">
        <v>1684509</v>
      </c>
      <c r="L124" s="7" t="s">
        <v>6566</v>
      </c>
      <c r="M124" s="8">
        <v>23530</v>
      </c>
      <c r="N124" s="8" t="str">
        <f t="shared" si="10"/>
        <v>PEN</v>
      </c>
      <c r="O124" s="13"/>
      <c r="P124" s="13">
        <v>8</v>
      </c>
      <c r="Q124" s="3">
        <f t="shared" si="7"/>
        <v>0</v>
      </c>
      <c r="R124" s="3">
        <f t="shared" si="8"/>
        <v>8</v>
      </c>
      <c r="S124" s="3">
        <f t="shared" si="9"/>
        <v>164.74</v>
      </c>
      <c r="T124" s="24"/>
      <c r="U124" s="24"/>
      <c r="V124" s="3"/>
      <c r="W124" s="25" t="s">
        <v>6541</v>
      </c>
      <c r="X124" s="25"/>
      <c r="Y124" s="25" t="str">
        <f>IFERROR(VLOOKUP(C_Ope_001[[#This Row],[NOTA 2]],Clientes_Proveedores[[Ruc / Dni]:[Razon Social]],2,0),"")</f>
        <v/>
      </c>
      <c r="Z124" s="25"/>
      <c r="AA124" s="130"/>
      <c r="AB124" s="3" t="str">
        <f>IF(C_Ope_001[[#This Row],[FECHA]]&gt;0,TEXT(C_Ope_001[[#This Row],[FECHA]],"mmmm"),0)</f>
        <v>Marzo</v>
      </c>
    </row>
    <row r="125" spans="2:28" ht="24" x14ac:dyDescent="0.3">
      <c r="B125" s="2">
        <f>IF(C_Ope_001[[#This Row],[TIPO DE R.]]="R",COUNTIFS($D$4:$D124,"R")+1,"")</f>
        <v>121</v>
      </c>
      <c r="C125" s="19" t="str">
        <f t="shared" si="6"/>
        <v>C_Ope_001</v>
      </c>
      <c r="D125" s="3" t="s">
        <v>1074</v>
      </c>
      <c r="E125" s="14">
        <v>45736</v>
      </c>
      <c r="F125" s="5" t="s">
        <v>6538</v>
      </c>
      <c r="G125" s="5" t="s">
        <v>1079</v>
      </c>
      <c r="H125" s="6"/>
      <c r="I125" s="6" t="s">
        <v>14</v>
      </c>
      <c r="J125" s="6" t="s">
        <v>5242</v>
      </c>
      <c r="K125" s="6">
        <v>1996076</v>
      </c>
      <c r="L125" s="7" t="s">
        <v>6566</v>
      </c>
      <c r="M125" s="8">
        <v>23531</v>
      </c>
      <c r="N125" s="8" t="str">
        <f t="shared" si="10"/>
        <v>PEN</v>
      </c>
      <c r="O125" s="13"/>
      <c r="P125" s="13">
        <v>8</v>
      </c>
      <c r="Q125" s="3">
        <f t="shared" si="7"/>
        <v>0</v>
      </c>
      <c r="R125" s="3">
        <f t="shared" si="8"/>
        <v>8</v>
      </c>
      <c r="S125" s="3">
        <f t="shared" si="9"/>
        <v>156.74</v>
      </c>
      <c r="T125" s="24"/>
      <c r="U125" s="24"/>
      <c r="V125" s="3"/>
      <c r="W125" s="25" t="s">
        <v>6541</v>
      </c>
      <c r="X125" s="25"/>
      <c r="Y125" s="25" t="str">
        <f>IFERROR(VLOOKUP(C_Ope_001[[#This Row],[NOTA 2]],Clientes_Proveedores[[Ruc / Dni]:[Razon Social]],2,0),"")</f>
        <v/>
      </c>
      <c r="Z125" s="25"/>
      <c r="AA125" s="130"/>
      <c r="AB125" s="3" t="str">
        <f>IF(C_Ope_001[[#This Row],[FECHA]]&gt;0,TEXT(C_Ope_001[[#This Row],[FECHA]],"mmmm"),0)</f>
        <v>Marzo</v>
      </c>
    </row>
    <row r="126" spans="2:28" ht="24" x14ac:dyDescent="0.3">
      <c r="B126" s="2">
        <f>IF(C_Ope_001[[#This Row],[TIPO DE R.]]="R",COUNTIFS($D$4:$D125,"R")+1,"")</f>
        <v>122</v>
      </c>
      <c r="C126" s="19" t="str">
        <f t="shared" si="6"/>
        <v>C_Ope_001</v>
      </c>
      <c r="D126" s="3" t="s">
        <v>1074</v>
      </c>
      <c r="E126" s="14">
        <v>45737</v>
      </c>
      <c r="F126" s="5" t="s">
        <v>6538</v>
      </c>
      <c r="G126" s="5" t="s">
        <v>1079</v>
      </c>
      <c r="H126" s="6"/>
      <c r="I126" s="6" t="s">
        <v>14</v>
      </c>
      <c r="J126" s="6" t="s">
        <v>5244</v>
      </c>
      <c r="K126" s="6">
        <v>1685482</v>
      </c>
      <c r="L126" s="7" t="s">
        <v>6610</v>
      </c>
      <c r="M126" s="8">
        <v>23546</v>
      </c>
      <c r="N126" s="8" t="str">
        <f t="shared" si="10"/>
        <v>PEN</v>
      </c>
      <c r="O126" s="13"/>
      <c r="P126" s="13">
        <v>8</v>
      </c>
      <c r="Q126" s="3">
        <f t="shared" si="7"/>
        <v>0</v>
      </c>
      <c r="R126" s="3">
        <f t="shared" si="8"/>
        <v>8</v>
      </c>
      <c r="S126" s="3">
        <f t="shared" si="9"/>
        <v>148.74</v>
      </c>
      <c r="T126" s="24"/>
      <c r="U126" s="24"/>
      <c r="V126" s="3"/>
      <c r="W126" s="25" t="s">
        <v>6546</v>
      </c>
      <c r="X126" s="25"/>
      <c r="Y126" s="25" t="str">
        <f>IFERROR(VLOOKUP(C_Ope_001[[#This Row],[NOTA 2]],Clientes_Proveedores[[Ruc / Dni]:[Razon Social]],2,0),"")</f>
        <v/>
      </c>
      <c r="Z126" s="25"/>
      <c r="AA126" s="130"/>
      <c r="AB126" s="3" t="str">
        <f>IF(C_Ope_001[[#This Row],[FECHA]]&gt;0,TEXT(C_Ope_001[[#This Row],[FECHA]],"mmmm"),0)</f>
        <v>Marzo</v>
      </c>
    </row>
    <row r="127" spans="2:28" ht="24" x14ac:dyDescent="0.3">
      <c r="B127" s="2">
        <f>IF(C_Ope_001[[#This Row],[TIPO DE R.]]="R",COUNTIFS($D$4:$D126,"R")+1,"")</f>
        <v>123</v>
      </c>
      <c r="C127" s="19" t="str">
        <f t="shared" si="6"/>
        <v>C_Ope_001</v>
      </c>
      <c r="D127" s="3" t="s">
        <v>1074</v>
      </c>
      <c r="E127" s="14">
        <v>45737</v>
      </c>
      <c r="F127" s="5" t="s">
        <v>6538</v>
      </c>
      <c r="G127" s="5" t="s">
        <v>1079</v>
      </c>
      <c r="H127" s="6"/>
      <c r="I127" s="6" t="s">
        <v>14</v>
      </c>
      <c r="J127" s="6" t="s">
        <v>5245</v>
      </c>
      <c r="K127" s="6">
        <v>1704863</v>
      </c>
      <c r="L127" s="7" t="s">
        <v>6610</v>
      </c>
      <c r="M127" s="8">
        <v>23555</v>
      </c>
      <c r="N127" s="8" t="str">
        <f t="shared" si="10"/>
        <v>PEN</v>
      </c>
      <c r="O127" s="13"/>
      <c r="P127" s="13">
        <v>8</v>
      </c>
      <c r="Q127" s="3">
        <f t="shared" si="7"/>
        <v>0</v>
      </c>
      <c r="R127" s="3">
        <f t="shared" si="8"/>
        <v>8</v>
      </c>
      <c r="S127" s="3">
        <f t="shared" si="9"/>
        <v>140.74</v>
      </c>
      <c r="T127" s="24"/>
      <c r="U127" s="24"/>
      <c r="V127" s="3"/>
      <c r="W127" s="25" t="s">
        <v>6546</v>
      </c>
      <c r="X127" s="25"/>
      <c r="Y127" s="25" t="str">
        <f>IFERROR(VLOOKUP(C_Ope_001[[#This Row],[NOTA 2]],Clientes_Proveedores[[Ruc / Dni]:[Razon Social]],2,0),"")</f>
        <v/>
      </c>
      <c r="Z127" s="25"/>
      <c r="AA127" s="130"/>
      <c r="AB127" s="3" t="str">
        <f>IF(C_Ope_001[[#This Row],[FECHA]]&gt;0,TEXT(C_Ope_001[[#This Row],[FECHA]],"mmmm"),0)</f>
        <v>Marzo</v>
      </c>
    </row>
    <row r="128" spans="2:28" x14ac:dyDescent="0.3">
      <c r="B128" s="2">
        <f>IF(C_Ope_001[[#This Row],[TIPO DE R.]]="R",COUNTIFS($D$4:$D127,"R")+1,"")</f>
        <v>124</v>
      </c>
      <c r="C128" s="19" t="str">
        <f t="shared" si="6"/>
        <v>C_Ope_001</v>
      </c>
      <c r="D128" s="3" t="s">
        <v>1074</v>
      </c>
      <c r="E128" s="14">
        <v>45734</v>
      </c>
      <c r="F128" s="5" t="s">
        <v>6538</v>
      </c>
      <c r="G128" s="5" t="s">
        <v>1079</v>
      </c>
      <c r="H128" s="6"/>
      <c r="I128" s="6" t="s">
        <v>14</v>
      </c>
      <c r="J128" s="6" t="s">
        <v>1088</v>
      </c>
      <c r="K128" s="6">
        <v>34142</v>
      </c>
      <c r="L128" s="7" t="s">
        <v>6611</v>
      </c>
      <c r="M128" s="8">
        <v>23473</v>
      </c>
      <c r="N128" s="8" t="str">
        <f t="shared" si="10"/>
        <v>PEN</v>
      </c>
      <c r="O128" s="13"/>
      <c r="P128" s="13">
        <v>10</v>
      </c>
      <c r="Q128" s="3">
        <f t="shared" si="7"/>
        <v>0</v>
      </c>
      <c r="R128" s="3">
        <f t="shared" si="8"/>
        <v>10</v>
      </c>
      <c r="S128" s="3">
        <f t="shared" si="9"/>
        <v>130.74</v>
      </c>
      <c r="T128" s="24"/>
      <c r="U128" s="24"/>
      <c r="V128" s="3"/>
      <c r="W128" s="25" t="s">
        <v>6541</v>
      </c>
      <c r="X128" s="25"/>
      <c r="Y128" s="25" t="str">
        <f>IFERROR(VLOOKUP(C_Ope_001[[#This Row],[NOTA 2]],Clientes_Proveedores[[Ruc / Dni]:[Razon Social]],2,0),"")</f>
        <v/>
      </c>
      <c r="Z128" s="25"/>
      <c r="AA128" s="130"/>
      <c r="AB128" s="3" t="str">
        <f>IF(C_Ope_001[[#This Row],[FECHA]]&gt;0,TEXT(C_Ope_001[[#This Row],[FECHA]],"mmmm"),0)</f>
        <v>Marzo</v>
      </c>
    </row>
    <row r="129" spans="2:28" ht="24" x14ac:dyDescent="0.3">
      <c r="B129" s="2">
        <f>IF(C_Ope_001[[#This Row],[TIPO DE R.]]="R",COUNTIFS($D$4:$D128,"R")+1,"")</f>
        <v>125</v>
      </c>
      <c r="C129" s="19" t="str">
        <f t="shared" si="6"/>
        <v>C_Ope_001</v>
      </c>
      <c r="D129" s="3" t="s">
        <v>1074</v>
      </c>
      <c r="E129" s="14">
        <v>45734</v>
      </c>
      <c r="F129" s="5" t="s">
        <v>6538</v>
      </c>
      <c r="G129" s="5" t="s">
        <v>1079</v>
      </c>
      <c r="H129" s="6"/>
      <c r="I129" s="6" t="s">
        <v>14</v>
      </c>
      <c r="J129" s="6" t="s">
        <v>1148</v>
      </c>
      <c r="K129" s="6">
        <v>129470</v>
      </c>
      <c r="L129" s="7" t="s">
        <v>6612</v>
      </c>
      <c r="M129" s="8">
        <v>23474</v>
      </c>
      <c r="N129" s="8" t="str">
        <f t="shared" si="10"/>
        <v>PEN</v>
      </c>
      <c r="O129" s="13"/>
      <c r="P129" s="13">
        <v>10</v>
      </c>
      <c r="Q129" s="3">
        <f t="shared" si="7"/>
        <v>0</v>
      </c>
      <c r="R129" s="3">
        <f t="shared" si="8"/>
        <v>10</v>
      </c>
      <c r="S129" s="3">
        <f t="shared" si="9"/>
        <v>120.74000000000001</v>
      </c>
      <c r="T129" s="24"/>
      <c r="U129" s="24"/>
      <c r="V129" s="3"/>
      <c r="W129" s="25" t="s">
        <v>6541</v>
      </c>
      <c r="X129" s="25"/>
      <c r="Y129" s="25" t="str">
        <f>IFERROR(VLOOKUP(C_Ope_001[[#This Row],[NOTA 2]],Clientes_Proveedores[[Ruc / Dni]:[Razon Social]],2,0),"")</f>
        <v/>
      </c>
      <c r="Z129" s="25"/>
      <c r="AA129" s="130"/>
      <c r="AB129" s="3" t="str">
        <f>IF(C_Ope_001[[#This Row],[FECHA]]&gt;0,TEXT(C_Ope_001[[#This Row],[FECHA]],"mmmm"),0)</f>
        <v>Marzo</v>
      </c>
    </row>
    <row r="130" spans="2:28" x14ac:dyDescent="0.3">
      <c r="B130" s="2">
        <f>IF(C_Ope_001[[#This Row],[TIPO DE R.]]="R",COUNTIFS($D$4:$D129,"R")+1,"")</f>
        <v>126</v>
      </c>
      <c r="C130" s="19" t="str">
        <f t="shared" si="6"/>
        <v>C_Ope_001</v>
      </c>
      <c r="D130" s="3" t="s">
        <v>1074</v>
      </c>
      <c r="E130" s="14">
        <v>45735</v>
      </c>
      <c r="F130" s="5" t="s">
        <v>6538</v>
      </c>
      <c r="G130" s="5" t="s">
        <v>1079</v>
      </c>
      <c r="H130" s="6"/>
      <c r="I130" s="6" t="s">
        <v>14</v>
      </c>
      <c r="J130" s="6" t="s">
        <v>1097</v>
      </c>
      <c r="K130" s="6">
        <v>15905</v>
      </c>
      <c r="L130" s="7" t="s">
        <v>6613</v>
      </c>
      <c r="M130" s="8">
        <v>23513</v>
      </c>
      <c r="N130" s="8" t="str">
        <f t="shared" si="10"/>
        <v>PEN</v>
      </c>
      <c r="O130" s="13"/>
      <c r="P130" s="13">
        <v>20</v>
      </c>
      <c r="Q130" s="3">
        <f t="shared" si="7"/>
        <v>0</v>
      </c>
      <c r="R130" s="3">
        <f t="shared" si="8"/>
        <v>20</v>
      </c>
      <c r="S130" s="3">
        <f t="shared" si="9"/>
        <v>100.74000000000001</v>
      </c>
      <c r="T130" s="24"/>
      <c r="U130" s="24"/>
      <c r="V130" s="3"/>
      <c r="W130" s="25" t="s">
        <v>6541</v>
      </c>
      <c r="X130" s="25"/>
      <c r="Y130" s="25" t="str">
        <f>IFERROR(VLOOKUP(C_Ope_001[[#This Row],[NOTA 2]],Clientes_Proveedores[[Ruc / Dni]:[Razon Social]],2,0),"")</f>
        <v/>
      </c>
      <c r="Z130" s="25"/>
      <c r="AA130" s="130"/>
      <c r="AB130" s="3" t="str">
        <f>IF(C_Ope_001[[#This Row],[FECHA]]&gt;0,TEXT(C_Ope_001[[#This Row],[FECHA]],"mmmm"),0)</f>
        <v>Marzo</v>
      </c>
    </row>
    <row r="131" spans="2:28" x14ac:dyDescent="0.3">
      <c r="B131" s="2">
        <f>IF(C_Ope_001[[#This Row],[TIPO DE R.]]="R",COUNTIFS($D$4:$D130,"R")+1,"")</f>
        <v>127</v>
      </c>
      <c r="C131" s="19" t="str">
        <f t="shared" si="6"/>
        <v>C_Ope_001</v>
      </c>
      <c r="D131" s="3" t="s">
        <v>1074</v>
      </c>
      <c r="E131" s="14">
        <v>45737</v>
      </c>
      <c r="F131" s="5" t="s">
        <v>6538</v>
      </c>
      <c r="G131" s="5" t="s">
        <v>1079</v>
      </c>
      <c r="H131" s="6"/>
      <c r="I131" s="6" t="s">
        <v>14</v>
      </c>
      <c r="J131" s="6" t="s">
        <v>1088</v>
      </c>
      <c r="K131" s="6">
        <v>34166</v>
      </c>
      <c r="L131" s="7" t="s">
        <v>6611</v>
      </c>
      <c r="M131" s="8">
        <v>23545</v>
      </c>
      <c r="N131" s="8" t="str">
        <f t="shared" si="10"/>
        <v>PEN</v>
      </c>
      <c r="O131" s="13"/>
      <c r="P131" s="13">
        <v>10</v>
      </c>
      <c r="Q131" s="3">
        <f t="shared" si="7"/>
        <v>0</v>
      </c>
      <c r="R131" s="3">
        <f t="shared" si="8"/>
        <v>10</v>
      </c>
      <c r="S131" s="3">
        <f t="shared" si="9"/>
        <v>90.740000000000009</v>
      </c>
      <c r="T131" s="24"/>
      <c r="U131" s="24"/>
      <c r="V131" s="3"/>
      <c r="W131" s="25" t="s">
        <v>6546</v>
      </c>
      <c r="X131" s="25"/>
      <c r="Y131" s="25" t="str">
        <f>IFERROR(VLOOKUP(C_Ope_001[[#This Row],[NOTA 2]],Clientes_Proveedores[[Ruc / Dni]:[Razon Social]],2,0),"")</f>
        <v/>
      </c>
      <c r="Z131" s="25"/>
      <c r="AA131" s="130"/>
      <c r="AB131" s="3" t="str">
        <f>IF(C_Ope_001[[#This Row],[FECHA]]&gt;0,TEXT(C_Ope_001[[#This Row],[FECHA]],"mmmm"),0)</f>
        <v>Marzo</v>
      </c>
    </row>
    <row r="132" spans="2:28" x14ac:dyDescent="0.3">
      <c r="B132" s="2">
        <f>IF(C_Ope_001[[#This Row],[TIPO DE R.]]="R",COUNTIFS($D$4:$D131,"R")+1,"")</f>
        <v>128</v>
      </c>
      <c r="C132" s="19" t="str">
        <f t="shared" si="6"/>
        <v>C_Ope_001</v>
      </c>
      <c r="D132" s="3" t="s">
        <v>1074</v>
      </c>
      <c r="E132" s="14">
        <v>45740</v>
      </c>
      <c r="F132" s="5" t="s">
        <v>6299</v>
      </c>
      <c r="G132" s="5" t="s">
        <v>1087</v>
      </c>
      <c r="H132" s="6"/>
      <c r="I132" s="6"/>
      <c r="J132" s="6"/>
      <c r="K132" s="6"/>
      <c r="L132" s="7" t="s">
        <v>6302</v>
      </c>
      <c r="M132" s="8">
        <v>23580</v>
      </c>
      <c r="N132" s="8" t="str">
        <f t="shared" si="10"/>
        <v>PEN</v>
      </c>
      <c r="O132" s="13"/>
      <c r="P132" s="13">
        <v>100</v>
      </c>
      <c r="Q132" s="3">
        <f t="shared" si="7"/>
        <v>100</v>
      </c>
      <c r="R132" s="3">
        <f t="shared" si="8"/>
        <v>0</v>
      </c>
      <c r="S132" s="3">
        <f t="shared" si="9"/>
        <v>190.74</v>
      </c>
      <c r="T132" s="24"/>
      <c r="U132" s="24"/>
      <c r="V132" s="3"/>
      <c r="W132" s="25"/>
      <c r="X132" s="25"/>
      <c r="Y132" s="25" t="str">
        <f>IFERROR(VLOOKUP(C_Ope_001[[#This Row],[NOTA 2]],Clientes_Proveedores[[Ruc / Dni]:[Razon Social]],2,0),"")</f>
        <v/>
      </c>
      <c r="Z132" s="25"/>
      <c r="AA132" s="130"/>
      <c r="AB132" s="3" t="str">
        <f>IF(C_Ope_001[[#This Row],[FECHA]]&gt;0,TEXT(C_Ope_001[[#This Row],[FECHA]],"mmmm"),0)</f>
        <v>Marzo</v>
      </c>
    </row>
    <row r="133" spans="2:28" ht="24" x14ac:dyDescent="0.3">
      <c r="B133" s="2">
        <f>IF(C_Ope_001[[#This Row],[TIPO DE R.]]="R",COUNTIFS($D$4:$D132,"R")+1,"")</f>
        <v>129</v>
      </c>
      <c r="C133" s="19" t="str">
        <f t="shared" ref="C133:C196" si="11">"C_Ope_001"</f>
        <v>C_Ope_001</v>
      </c>
      <c r="D133" s="3" t="s">
        <v>1074</v>
      </c>
      <c r="E133" s="14">
        <v>45741</v>
      </c>
      <c r="F133" s="5" t="s">
        <v>6538</v>
      </c>
      <c r="G133" s="5" t="s">
        <v>1079</v>
      </c>
      <c r="H133" s="6"/>
      <c r="I133" s="6" t="s">
        <v>14</v>
      </c>
      <c r="J133" s="6" t="s">
        <v>5245</v>
      </c>
      <c r="K133" s="6">
        <v>1708345</v>
      </c>
      <c r="L133" s="7" t="s">
        <v>6614</v>
      </c>
      <c r="M133" s="8">
        <v>23584</v>
      </c>
      <c r="N133" s="8" t="str">
        <f t="shared" si="10"/>
        <v>PEN</v>
      </c>
      <c r="O133" s="13"/>
      <c r="P133" s="13">
        <v>8</v>
      </c>
      <c r="Q133" s="3">
        <f t="shared" ref="Q133:Q196" si="12">+IF(OR($G133="SALDO",$G133="INGRESO"),$P133,0)</f>
        <v>0</v>
      </c>
      <c r="R133" s="3">
        <f t="shared" ref="R133:R196" si="13">+IF($G133="EGRESO",$P133,0)</f>
        <v>8</v>
      </c>
      <c r="S133" s="3">
        <f t="shared" ref="S133:S196" si="14">IFERROR(IF(G133="SALDO",Q133,S132+Q133-R133),0)</f>
        <v>182.74</v>
      </c>
      <c r="T133" s="24"/>
      <c r="U133" s="24"/>
      <c r="V133" s="3"/>
      <c r="W133" s="25" t="s">
        <v>6541</v>
      </c>
      <c r="X133" s="25"/>
      <c r="Y133" s="25" t="str">
        <f>IFERROR(VLOOKUP(C_Ope_001[[#This Row],[NOTA 2]],Clientes_Proveedores[[Ruc / Dni]:[Razon Social]],2,0),"")</f>
        <v/>
      </c>
      <c r="Z133" s="25"/>
      <c r="AA133" s="130"/>
      <c r="AB133" s="3" t="str">
        <f>IF(C_Ope_001[[#This Row],[FECHA]]&gt;0,TEXT(C_Ope_001[[#This Row],[FECHA]],"mmmm"),0)</f>
        <v>Marzo</v>
      </c>
    </row>
    <row r="134" spans="2:28" ht="24" x14ac:dyDescent="0.3">
      <c r="B134" s="2">
        <f>IF(C_Ope_001[[#This Row],[TIPO DE R.]]="R",COUNTIFS($D$4:$D133,"R")+1,"")</f>
        <v>130</v>
      </c>
      <c r="C134" s="19" t="str">
        <f t="shared" si="11"/>
        <v>C_Ope_001</v>
      </c>
      <c r="D134" s="3" t="s">
        <v>1074</v>
      </c>
      <c r="E134" s="14">
        <v>45742</v>
      </c>
      <c r="F134" s="5" t="s">
        <v>6538</v>
      </c>
      <c r="G134" s="5" t="s">
        <v>1079</v>
      </c>
      <c r="H134" s="6"/>
      <c r="I134" s="6" t="s">
        <v>14</v>
      </c>
      <c r="J134" s="6" t="s">
        <v>5243</v>
      </c>
      <c r="K134" s="6">
        <v>2278338</v>
      </c>
      <c r="L134" s="7" t="s">
        <v>6558</v>
      </c>
      <c r="M134" s="8">
        <v>23598</v>
      </c>
      <c r="N134" s="8" t="str">
        <f t="shared" ref="N134:N197" si="15">"PEN"</f>
        <v>PEN</v>
      </c>
      <c r="O134" s="13"/>
      <c r="P134" s="13">
        <v>5</v>
      </c>
      <c r="Q134" s="3">
        <f t="shared" si="12"/>
        <v>0</v>
      </c>
      <c r="R134" s="3">
        <f t="shared" si="13"/>
        <v>5</v>
      </c>
      <c r="S134" s="3">
        <f t="shared" si="14"/>
        <v>177.74</v>
      </c>
      <c r="T134" s="24"/>
      <c r="U134" s="24"/>
      <c r="V134" s="3"/>
      <c r="W134" s="25" t="s">
        <v>6541</v>
      </c>
      <c r="X134" s="25"/>
      <c r="Y134" s="25" t="str">
        <f>IFERROR(VLOOKUP(C_Ope_001[[#This Row],[NOTA 2]],Clientes_Proveedores[[Ruc / Dni]:[Razon Social]],2,0),"")</f>
        <v/>
      </c>
      <c r="Z134" s="25"/>
      <c r="AA134" s="130"/>
      <c r="AB134" s="3" t="str">
        <f>IF(C_Ope_001[[#This Row],[FECHA]]&gt;0,TEXT(C_Ope_001[[#This Row],[FECHA]],"mmmm"),0)</f>
        <v>Marzo</v>
      </c>
    </row>
    <row r="135" spans="2:28" ht="24" x14ac:dyDescent="0.3">
      <c r="B135" s="2">
        <f>IF(C_Ope_001[[#This Row],[TIPO DE R.]]="R",COUNTIFS($D$4:$D134,"R")+1,"")</f>
        <v>131</v>
      </c>
      <c r="C135" s="19" t="str">
        <f t="shared" si="11"/>
        <v>C_Ope_001</v>
      </c>
      <c r="D135" s="3" t="s">
        <v>1074</v>
      </c>
      <c r="E135" s="14">
        <v>45742</v>
      </c>
      <c r="F135" s="5" t="s">
        <v>6538</v>
      </c>
      <c r="G135" s="5" t="s">
        <v>1079</v>
      </c>
      <c r="H135" s="6"/>
      <c r="I135" s="6" t="s">
        <v>14</v>
      </c>
      <c r="J135" s="6" t="s">
        <v>6556</v>
      </c>
      <c r="K135" s="6">
        <v>461794</v>
      </c>
      <c r="L135" s="7" t="s">
        <v>6557</v>
      </c>
      <c r="M135" s="8">
        <v>23599</v>
      </c>
      <c r="N135" s="8" t="str">
        <f t="shared" si="15"/>
        <v>PEN</v>
      </c>
      <c r="O135" s="13"/>
      <c r="P135" s="13">
        <v>8</v>
      </c>
      <c r="Q135" s="3">
        <f t="shared" si="12"/>
        <v>0</v>
      </c>
      <c r="R135" s="3">
        <f t="shared" si="13"/>
        <v>8</v>
      </c>
      <c r="S135" s="3">
        <f t="shared" si="14"/>
        <v>169.74</v>
      </c>
      <c r="T135" s="24"/>
      <c r="U135" s="24"/>
      <c r="V135" s="3"/>
      <c r="W135" s="25" t="s">
        <v>6541</v>
      </c>
      <c r="X135" s="25"/>
      <c r="Y135" s="25" t="str">
        <f>IFERROR(VLOOKUP(C_Ope_001[[#This Row],[NOTA 2]],Clientes_Proveedores[[Ruc / Dni]:[Razon Social]],2,0),"")</f>
        <v/>
      </c>
      <c r="Z135" s="25"/>
      <c r="AA135" s="130"/>
      <c r="AB135" s="3" t="str">
        <f>IF(C_Ope_001[[#This Row],[FECHA]]&gt;0,TEXT(C_Ope_001[[#This Row],[FECHA]],"mmmm"),0)</f>
        <v>Marzo</v>
      </c>
    </row>
    <row r="136" spans="2:28" ht="24" x14ac:dyDescent="0.3">
      <c r="B136" s="2">
        <f>IF(C_Ope_001[[#This Row],[TIPO DE R.]]="R",COUNTIFS($D$4:$D135,"R")+1,"")</f>
        <v>132</v>
      </c>
      <c r="C136" s="19" t="str">
        <f t="shared" si="11"/>
        <v>C_Ope_001</v>
      </c>
      <c r="D136" s="3" t="s">
        <v>1074</v>
      </c>
      <c r="E136" s="14">
        <v>45742</v>
      </c>
      <c r="F136" s="5" t="s">
        <v>6538</v>
      </c>
      <c r="G136" s="5" t="s">
        <v>1079</v>
      </c>
      <c r="H136" s="6"/>
      <c r="I136" s="6" t="s">
        <v>14</v>
      </c>
      <c r="J136" s="6" t="s">
        <v>5245</v>
      </c>
      <c r="K136" s="6">
        <v>1709292</v>
      </c>
      <c r="L136" s="7" t="s">
        <v>6558</v>
      </c>
      <c r="M136" s="8">
        <v>23602</v>
      </c>
      <c r="N136" s="8" t="str">
        <f t="shared" si="15"/>
        <v>PEN</v>
      </c>
      <c r="O136" s="13"/>
      <c r="P136" s="13">
        <v>8</v>
      </c>
      <c r="Q136" s="3">
        <f t="shared" si="12"/>
        <v>0</v>
      </c>
      <c r="R136" s="3">
        <f t="shared" si="13"/>
        <v>8</v>
      </c>
      <c r="S136" s="3">
        <f t="shared" si="14"/>
        <v>161.74</v>
      </c>
      <c r="T136" s="24"/>
      <c r="U136" s="24"/>
      <c r="V136" s="3"/>
      <c r="W136" s="25" t="s">
        <v>6541</v>
      </c>
      <c r="X136" s="25"/>
      <c r="Y136" s="25" t="str">
        <f>IFERROR(VLOOKUP(C_Ope_001[[#This Row],[NOTA 2]],Clientes_Proveedores[[Ruc / Dni]:[Razon Social]],2,0),"")</f>
        <v/>
      </c>
      <c r="Z136" s="25"/>
      <c r="AA136" s="130"/>
      <c r="AB136" s="3" t="str">
        <f>IF(C_Ope_001[[#This Row],[FECHA]]&gt;0,TEXT(C_Ope_001[[#This Row],[FECHA]],"mmmm"),0)</f>
        <v>Marzo</v>
      </c>
    </row>
    <row r="137" spans="2:28" ht="24" x14ac:dyDescent="0.3">
      <c r="B137" s="2">
        <f>IF(C_Ope_001[[#This Row],[TIPO DE R.]]="R",COUNTIFS($D$4:$D136,"R")+1,"")</f>
        <v>133</v>
      </c>
      <c r="C137" s="19" t="str">
        <f t="shared" si="11"/>
        <v>C_Ope_001</v>
      </c>
      <c r="D137" s="3" t="s">
        <v>1074</v>
      </c>
      <c r="E137" s="14">
        <v>45742</v>
      </c>
      <c r="F137" s="5" t="s">
        <v>6538</v>
      </c>
      <c r="G137" s="5" t="s">
        <v>1079</v>
      </c>
      <c r="H137" s="6"/>
      <c r="I137" s="6" t="s">
        <v>14</v>
      </c>
      <c r="J137" s="6" t="s">
        <v>5280</v>
      </c>
      <c r="K137" s="6">
        <v>1027968</v>
      </c>
      <c r="L137" s="7" t="s">
        <v>6557</v>
      </c>
      <c r="M137" s="8">
        <v>23603</v>
      </c>
      <c r="N137" s="8" t="str">
        <f t="shared" si="15"/>
        <v>PEN</v>
      </c>
      <c r="O137" s="13"/>
      <c r="P137" s="13">
        <v>8</v>
      </c>
      <c r="Q137" s="3">
        <f t="shared" si="12"/>
        <v>0</v>
      </c>
      <c r="R137" s="3">
        <f t="shared" si="13"/>
        <v>8</v>
      </c>
      <c r="S137" s="3">
        <f t="shared" si="14"/>
        <v>153.74</v>
      </c>
      <c r="T137" s="24"/>
      <c r="U137" s="24"/>
      <c r="V137" s="3"/>
      <c r="W137" s="25" t="s">
        <v>6541</v>
      </c>
      <c r="X137" s="25"/>
      <c r="Y137" s="25" t="str">
        <f>IFERROR(VLOOKUP(C_Ope_001[[#This Row],[NOTA 2]],Clientes_Proveedores[[Ruc / Dni]:[Razon Social]],2,0),"")</f>
        <v/>
      </c>
      <c r="Z137" s="25"/>
      <c r="AA137" s="130"/>
      <c r="AB137" s="3" t="str">
        <f>IF(C_Ope_001[[#This Row],[FECHA]]&gt;0,TEXT(C_Ope_001[[#This Row],[FECHA]],"mmmm"),0)</f>
        <v>Marzo</v>
      </c>
    </row>
    <row r="138" spans="2:28" ht="24" x14ac:dyDescent="0.3">
      <c r="B138" s="2">
        <f>IF(C_Ope_001[[#This Row],[TIPO DE R.]]="R",COUNTIFS($D$4:$D137,"R")+1,"")</f>
        <v>134</v>
      </c>
      <c r="C138" s="19" t="str">
        <f t="shared" si="11"/>
        <v>C_Ope_001</v>
      </c>
      <c r="D138" s="3" t="s">
        <v>1074</v>
      </c>
      <c r="E138" s="14">
        <v>45743</v>
      </c>
      <c r="F138" s="5" t="s">
        <v>6538</v>
      </c>
      <c r="G138" s="5" t="s">
        <v>1079</v>
      </c>
      <c r="H138" s="6"/>
      <c r="I138" s="6" t="s">
        <v>14</v>
      </c>
      <c r="J138" s="6" t="s">
        <v>5244</v>
      </c>
      <c r="K138" s="6">
        <v>1690528</v>
      </c>
      <c r="L138" s="7" t="s">
        <v>6615</v>
      </c>
      <c r="M138" s="8">
        <v>23610</v>
      </c>
      <c r="N138" s="8" t="str">
        <f t="shared" si="15"/>
        <v>PEN</v>
      </c>
      <c r="O138" s="13"/>
      <c r="P138" s="13">
        <v>8</v>
      </c>
      <c r="Q138" s="3">
        <f t="shared" si="12"/>
        <v>0</v>
      </c>
      <c r="R138" s="3">
        <f t="shared" si="13"/>
        <v>8</v>
      </c>
      <c r="S138" s="3">
        <f t="shared" si="14"/>
        <v>145.74</v>
      </c>
      <c r="T138" s="24"/>
      <c r="U138" s="24"/>
      <c r="V138" s="3"/>
      <c r="W138" s="25" t="s">
        <v>6541</v>
      </c>
      <c r="X138" s="25"/>
      <c r="Y138" s="25" t="str">
        <f>IFERROR(VLOOKUP(C_Ope_001[[#This Row],[NOTA 2]],Clientes_Proveedores[[Ruc / Dni]:[Razon Social]],2,0),"")</f>
        <v/>
      </c>
      <c r="Z138" s="25"/>
      <c r="AA138" s="130"/>
      <c r="AB138" s="3" t="str">
        <f>IF(C_Ope_001[[#This Row],[FECHA]]&gt;0,TEXT(C_Ope_001[[#This Row],[FECHA]],"mmmm"),0)</f>
        <v>Marzo</v>
      </c>
    </row>
    <row r="139" spans="2:28" ht="24" x14ac:dyDescent="0.3">
      <c r="B139" s="2">
        <f>IF(C_Ope_001[[#This Row],[TIPO DE R.]]="R",COUNTIFS($D$4:$D138,"R")+1,"")</f>
        <v>135</v>
      </c>
      <c r="C139" s="19" t="str">
        <f t="shared" si="11"/>
        <v>C_Ope_001</v>
      </c>
      <c r="D139" s="3" t="s">
        <v>1074</v>
      </c>
      <c r="E139" s="14">
        <v>45743</v>
      </c>
      <c r="F139" s="5" t="s">
        <v>6538</v>
      </c>
      <c r="G139" s="5" t="s">
        <v>1079</v>
      </c>
      <c r="H139" s="6"/>
      <c r="I139" s="6" t="s">
        <v>14</v>
      </c>
      <c r="J139" s="6" t="s">
        <v>5245</v>
      </c>
      <c r="K139" s="6">
        <v>1710268</v>
      </c>
      <c r="L139" s="7" t="s">
        <v>6615</v>
      </c>
      <c r="M139" s="8">
        <v>23611</v>
      </c>
      <c r="N139" s="8" t="str">
        <f t="shared" si="15"/>
        <v>PEN</v>
      </c>
      <c r="O139" s="13"/>
      <c r="P139" s="13">
        <v>8</v>
      </c>
      <c r="Q139" s="3">
        <f t="shared" si="12"/>
        <v>0</v>
      </c>
      <c r="R139" s="3">
        <f t="shared" si="13"/>
        <v>8</v>
      </c>
      <c r="S139" s="3">
        <f t="shared" si="14"/>
        <v>137.74</v>
      </c>
      <c r="T139" s="24"/>
      <c r="U139" s="24"/>
      <c r="V139" s="3"/>
      <c r="W139" s="25" t="s">
        <v>6541</v>
      </c>
      <c r="X139" s="25"/>
      <c r="Y139" s="25" t="str">
        <f>IFERROR(VLOOKUP(C_Ope_001[[#This Row],[NOTA 2]],Clientes_Proveedores[[Ruc / Dni]:[Razon Social]],2,0),"")</f>
        <v/>
      </c>
      <c r="Z139" s="25"/>
      <c r="AA139" s="130"/>
      <c r="AB139" s="3" t="str">
        <f>IF(C_Ope_001[[#This Row],[FECHA]]&gt;0,TEXT(C_Ope_001[[#This Row],[FECHA]],"mmmm"),0)</f>
        <v>Marzo</v>
      </c>
    </row>
    <row r="140" spans="2:28" ht="24" x14ac:dyDescent="0.3">
      <c r="B140" s="2">
        <f>IF(C_Ope_001[[#This Row],[TIPO DE R.]]="R",COUNTIFS($D$4:$D139,"R")+1,"")</f>
        <v>136</v>
      </c>
      <c r="C140" s="19" t="str">
        <f t="shared" si="11"/>
        <v>C_Ope_001</v>
      </c>
      <c r="D140" s="3" t="s">
        <v>1074</v>
      </c>
      <c r="E140" s="14">
        <v>45744</v>
      </c>
      <c r="F140" s="5" t="s">
        <v>6538</v>
      </c>
      <c r="G140" s="5" t="s">
        <v>1079</v>
      </c>
      <c r="H140" s="6"/>
      <c r="I140" s="6" t="s">
        <v>14</v>
      </c>
      <c r="J140" s="6" t="s">
        <v>5244</v>
      </c>
      <c r="K140" s="6">
        <v>1691576</v>
      </c>
      <c r="L140" s="7" t="s">
        <v>6616</v>
      </c>
      <c r="M140" s="8">
        <v>23623</v>
      </c>
      <c r="N140" s="8" t="str">
        <f t="shared" si="15"/>
        <v>PEN</v>
      </c>
      <c r="O140" s="13"/>
      <c r="P140" s="13">
        <v>8</v>
      </c>
      <c r="Q140" s="3">
        <f t="shared" si="12"/>
        <v>0</v>
      </c>
      <c r="R140" s="3">
        <f t="shared" si="13"/>
        <v>8</v>
      </c>
      <c r="S140" s="3">
        <f t="shared" si="14"/>
        <v>129.74</v>
      </c>
      <c r="T140" s="24"/>
      <c r="U140" s="24"/>
      <c r="V140" s="3"/>
      <c r="W140" s="25" t="s">
        <v>6541</v>
      </c>
      <c r="X140" s="25"/>
      <c r="Y140" s="25" t="str">
        <f>IFERROR(VLOOKUP(C_Ope_001[[#This Row],[NOTA 2]],Clientes_Proveedores[[Ruc / Dni]:[Razon Social]],2,0),"")</f>
        <v/>
      </c>
      <c r="Z140" s="25"/>
      <c r="AA140" s="130"/>
      <c r="AB140" s="3" t="str">
        <f>IF(C_Ope_001[[#This Row],[FECHA]]&gt;0,TEXT(C_Ope_001[[#This Row],[FECHA]],"mmmm"),0)</f>
        <v>Marzo</v>
      </c>
    </row>
    <row r="141" spans="2:28" ht="24" x14ac:dyDescent="0.3">
      <c r="B141" s="2">
        <f>IF(C_Ope_001[[#This Row],[TIPO DE R.]]="R",COUNTIFS($D$4:$D140,"R")+1,"")</f>
        <v>137</v>
      </c>
      <c r="C141" s="19" t="str">
        <f t="shared" si="11"/>
        <v>C_Ope_001</v>
      </c>
      <c r="D141" s="3" t="s">
        <v>1074</v>
      </c>
      <c r="E141" s="14">
        <v>45744</v>
      </c>
      <c r="F141" s="5" t="s">
        <v>6538</v>
      </c>
      <c r="G141" s="5" t="s">
        <v>1079</v>
      </c>
      <c r="H141" s="6"/>
      <c r="I141" s="6" t="s">
        <v>14</v>
      </c>
      <c r="J141" s="6" t="s">
        <v>5242</v>
      </c>
      <c r="K141" s="6">
        <v>2004296</v>
      </c>
      <c r="L141" s="7" t="s">
        <v>6616</v>
      </c>
      <c r="M141" s="8">
        <v>23645</v>
      </c>
      <c r="N141" s="8" t="str">
        <f t="shared" si="15"/>
        <v>PEN</v>
      </c>
      <c r="O141" s="13"/>
      <c r="P141" s="13">
        <v>8</v>
      </c>
      <c r="Q141" s="3">
        <f t="shared" si="12"/>
        <v>0</v>
      </c>
      <c r="R141" s="3">
        <f t="shared" si="13"/>
        <v>8</v>
      </c>
      <c r="S141" s="3">
        <f t="shared" si="14"/>
        <v>121.74000000000001</v>
      </c>
      <c r="T141" s="24"/>
      <c r="U141" s="24"/>
      <c r="V141" s="3"/>
      <c r="W141" s="25" t="s">
        <v>6541</v>
      </c>
      <c r="X141" s="25"/>
      <c r="Y141" s="25" t="str">
        <f>IFERROR(VLOOKUP(C_Ope_001[[#This Row],[NOTA 2]],Clientes_Proveedores[[Ruc / Dni]:[Razon Social]],2,0),"")</f>
        <v/>
      </c>
      <c r="Z141" s="25"/>
      <c r="AA141" s="130"/>
      <c r="AB141" s="3" t="str">
        <f>IF(C_Ope_001[[#This Row],[FECHA]]&gt;0,TEXT(C_Ope_001[[#This Row],[FECHA]],"mmmm"),0)</f>
        <v>Marzo</v>
      </c>
    </row>
    <row r="142" spans="2:28" x14ac:dyDescent="0.3">
      <c r="B142" s="2">
        <f>IF(C_Ope_001[[#This Row],[TIPO DE R.]]="R",COUNTIFS($D$4:$D141,"R")+1,"")</f>
        <v>138</v>
      </c>
      <c r="C142" s="19" t="str">
        <f t="shared" si="11"/>
        <v>C_Ope_001</v>
      </c>
      <c r="D142" s="3" t="s">
        <v>1074</v>
      </c>
      <c r="E142" s="14">
        <v>45740</v>
      </c>
      <c r="F142" s="5" t="s">
        <v>6538</v>
      </c>
      <c r="G142" s="5" t="s">
        <v>1079</v>
      </c>
      <c r="H142" s="6"/>
      <c r="I142" s="6" t="s">
        <v>14</v>
      </c>
      <c r="J142" s="6" t="s">
        <v>1148</v>
      </c>
      <c r="K142" s="6">
        <v>129675</v>
      </c>
      <c r="L142" s="7" t="s">
        <v>6617</v>
      </c>
      <c r="M142" s="8">
        <v>23569</v>
      </c>
      <c r="N142" s="8" t="str">
        <f t="shared" si="15"/>
        <v>PEN</v>
      </c>
      <c r="O142" s="13"/>
      <c r="P142" s="13">
        <v>10</v>
      </c>
      <c r="Q142" s="3">
        <f t="shared" si="12"/>
        <v>0</v>
      </c>
      <c r="R142" s="3">
        <f t="shared" si="13"/>
        <v>10</v>
      </c>
      <c r="S142" s="3">
        <f t="shared" si="14"/>
        <v>111.74000000000001</v>
      </c>
      <c r="T142" s="24"/>
      <c r="U142" s="24"/>
      <c r="V142" s="3"/>
      <c r="W142" s="25" t="s">
        <v>6541</v>
      </c>
      <c r="X142" s="25"/>
      <c r="Y142" s="25" t="str">
        <f>IFERROR(VLOOKUP(C_Ope_001[[#This Row],[NOTA 2]],Clientes_Proveedores[[Ruc / Dni]:[Razon Social]],2,0),"")</f>
        <v/>
      </c>
      <c r="Z142" s="25"/>
      <c r="AA142" s="130"/>
      <c r="AB142" s="3" t="str">
        <f>IF(C_Ope_001[[#This Row],[FECHA]]&gt;0,TEXT(C_Ope_001[[#This Row],[FECHA]],"mmmm"),0)</f>
        <v>Marzo</v>
      </c>
    </row>
    <row r="143" spans="2:28" ht="24" x14ac:dyDescent="0.3">
      <c r="B143" s="2">
        <f>IF(C_Ope_001[[#This Row],[TIPO DE R.]]="R",COUNTIFS($D$4:$D142,"R")+1,"")</f>
        <v>139</v>
      </c>
      <c r="C143" s="19" t="str">
        <f t="shared" si="11"/>
        <v>C_Ope_001</v>
      </c>
      <c r="D143" s="3" t="s">
        <v>1074</v>
      </c>
      <c r="E143" s="14">
        <v>45740</v>
      </c>
      <c r="F143" s="5" t="s">
        <v>6538</v>
      </c>
      <c r="G143" s="5" t="s">
        <v>1079</v>
      </c>
      <c r="H143" s="6"/>
      <c r="I143" s="6" t="s">
        <v>14</v>
      </c>
      <c r="J143" s="6" t="s">
        <v>1088</v>
      </c>
      <c r="K143" s="6">
        <v>34186</v>
      </c>
      <c r="L143" s="7" t="s">
        <v>6618</v>
      </c>
      <c r="M143" s="8">
        <v>23570</v>
      </c>
      <c r="N143" s="8" t="str">
        <f t="shared" si="15"/>
        <v>PEN</v>
      </c>
      <c r="O143" s="13"/>
      <c r="P143" s="13">
        <v>10</v>
      </c>
      <c r="Q143" s="3">
        <f t="shared" si="12"/>
        <v>0</v>
      </c>
      <c r="R143" s="3">
        <f t="shared" si="13"/>
        <v>10</v>
      </c>
      <c r="S143" s="3">
        <f t="shared" si="14"/>
        <v>101.74000000000001</v>
      </c>
      <c r="T143" s="24"/>
      <c r="U143" s="24"/>
      <c r="V143" s="3"/>
      <c r="W143" s="25" t="s">
        <v>6541</v>
      </c>
      <c r="X143" s="25"/>
      <c r="Y143" s="25" t="str">
        <f>IFERROR(VLOOKUP(C_Ope_001[[#This Row],[NOTA 2]],Clientes_Proveedores[[Ruc / Dni]:[Razon Social]],2,0),"")</f>
        <v/>
      </c>
      <c r="Z143" s="25"/>
      <c r="AA143" s="130"/>
      <c r="AB143" s="3" t="str">
        <f>IF(C_Ope_001[[#This Row],[FECHA]]&gt;0,TEXT(C_Ope_001[[#This Row],[FECHA]],"mmmm"),0)</f>
        <v>Marzo</v>
      </c>
    </row>
    <row r="144" spans="2:28" ht="24" x14ac:dyDescent="0.3">
      <c r="B144" s="2">
        <f>IF(C_Ope_001[[#This Row],[TIPO DE R.]]="R",COUNTIFS($D$4:$D143,"R")+1,"")</f>
        <v>140</v>
      </c>
      <c r="C144" s="19" t="str">
        <f t="shared" si="11"/>
        <v>C_Ope_001</v>
      </c>
      <c r="D144" s="3" t="s">
        <v>1074</v>
      </c>
      <c r="E144" s="14">
        <v>45742</v>
      </c>
      <c r="F144" s="5" t="s">
        <v>6538</v>
      </c>
      <c r="G144" s="5" t="s">
        <v>1079</v>
      </c>
      <c r="H144" s="6"/>
      <c r="I144" s="6" t="s">
        <v>14</v>
      </c>
      <c r="J144" s="6" t="s">
        <v>1119</v>
      </c>
      <c r="K144" s="6">
        <v>17162</v>
      </c>
      <c r="L144" s="7" t="s">
        <v>6564</v>
      </c>
      <c r="M144" s="8">
        <v>23600</v>
      </c>
      <c r="N144" s="8" t="str">
        <f t="shared" si="15"/>
        <v>PEN</v>
      </c>
      <c r="O144" s="13"/>
      <c r="P144" s="13">
        <v>11</v>
      </c>
      <c r="Q144" s="3">
        <f t="shared" si="12"/>
        <v>0</v>
      </c>
      <c r="R144" s="3">
        <f t="shared" si="13"/>
        <v>11</v>
      </c>
      <c r="S144" s="3">
        <f t="shared" si="14"/>
        <v>90.740000000000009</v>
      </c>
      <c r="T144" s="24"/>
      <c r="U144" s="24"/>
      <c r="V144" s="3"/>
      <c r="W144" s="25" t="s">
        <v>6541</v>
      </c>
      <c r="X144" s="25"/>
      <c r="Y144" s="25" t="str">
        <f>IFERROR(VLOOKUP(C_Ope_001[[#This Row],[NOTA 2]],Clientes_Proveedores[[Ruc / Dni]:[Razon Social]],2,0),"")</f>
        <v/>
      </c>
      <c r="Z144" s="25"/>
      <c r="AA144" s="130"/>
      <c r="AB144" s="3" t="str">
        <f>IF(C_Ope_001[[#This Row],[FECHA]]&gt;0,TEXT(C_Ope_001[[#This Row],[FECHA]],"mmmm"),0)</f>
        <v>Marzo</v>
      </c>
    </row>
    <row r="145" spans="2:28" ht="24" x14ac:dyDescent="0.3">
      <c r="B145" s="2">
        <f>IF(C_Ope_001[[#This Row],[TIPO DE R.]]="R",COUNTIFS($D$4:$D144,"R")+1,"")</f>
        <v>141</v>
      </c>
      <c r="C145" s="19" t="str">
        <f t="shared" si="11"/>
        <v>C_Ope_001</v>
      </c>
      <c r="D145" s="3" t="s">
        <v>1074</v>
      </c>
      <c r="E145" s="14">
        <v>45747</v>
      </c>
      <c r="F145" s="5" t="s">
        <v>6538</v>
      </c>
      <c r="G145" s="5" t="s">
        <v>1079</v>
      </c>
      <c r="H145" s="6"/>
      <c r="I145" s="6" t="s">
        <v>14</v>
      </c>
      <c r="J145" s="6" t="s">
        <v>1148</v>
      </c>
      <c r="K145" s="6">
        <v>129996</v>
      </c>
      <c r="L145" s="7" t="s">
        <v>6619</v>
      </c>
      <c r="M145" s="8">
        <v>23689</v>
      </c>
      <c r="N145" s="8" t="str">
        <f t="shared" si="15"/>
        <v>PEN</v>
      </c>
      <c r="O145" s="13"/>
      <c r="P145" s="13">
        <v>10</v>
      </c>
      <c r="Q145" s="3">
        <f t="shared" si="12"/>
        <v>0</v>
      </c>
      <c r="R145" s="3">
        <f t="shared" si="13"/>
        <v>10</v>
      </c>
      <c r="S145" s="3">
        <f t="shared" si="14"/>
        <v>80.740000000000009</v>
      </c>
      <c r="T145" s="24"/>
      <c r="U145" s="24"/>
      <c r="V145" s="3"/>
      <c r="W145" s="25" t="s">
        <v>6541</v>
      </c>
      <c r="X145" s="25"/>
      <c r="Y145" s="25" t="str">
        <f>IFERROR(VLOOKUP(C_Ope_001[[#This Row],[NOTA 2]],Clientes_Proveedores[[Ruc / Dni]:[Razon Social]],2,0),"")</f>
        <v/>
      </c>
      <c r="Z145" s="25"/>
      <c r="AA145" s="130"/>
      <c r="AB145" s="3" t="str">
        <f>IF(C_Ope_001[[#This Row],[FECHA]]&gt;0,TEXT(C_Ope_001[[#This Row],[FECHA]],"mmmm"),0)</f>
        <v>Marzo</v>
      </c>
    </row>
    <row r="146" spans="2:28" x14ac:dyDescent="0.3">
      <c r="B146" s="2">
        <f>IF(C_Ope_001[[#This Row],[TIPO DE R.]]="R",COUNTIFS($D$4:$D145,"R")+1,"")</f>
        <v>142</v>
      </c>
      <c r="C146" s="19" t="str">
        <f t="shared" si="11"/>
        <v>C_Ope_001</v>
      </c>
      <c r="D146" s="3" t="s">
        <v>1074</v>
      </c>
      <c r="E146" s="14">
        <v>45747</v>
      </c>
      <c r="F146" s="5" t="s">
        <v>6538</v>
      </c>
      <c r="G146" s="5" t="s">
        <v>1079</v>
      </c>
      <c r="H146" s="6"/>
      <c r="I146" s="6" t="s">
        <v>14</v>
      </c>
      <c r="J146" s="6" t="s">
        <v>1119</v>
      </c>
      <c r="K146" s="6">
        <v>17052</v>
      </c>
      <c r="L146" s="7" t="s">
        <v>6565</v>
      </c>
      <c r="M146" s="8">
        <v>23688</v>
      </c>
      <c r="N146" s="8" t="str">
        <f t="shared" si="15"/>
        <v>PEN</v>
      </c>
      <c r="O146" s="13"/>
      <c r="P146" s="13">
        <v>25</v>
      </c>
      <c r="Q146" s="3">
        <f t="shared" si="12"/>
        <v>0</v>
      </c>
      <c r="R146" s="3">
        <f t="shared" si="13"/>
        <v>25</v>
      </c>
      <c r="S146" s="3">
        <f t="shared" si="14"/>
        <v>55.740000000000009</v>
      </c>
      <c r="T146" s="24"/>
      <c r="U146" s="24"/>
      <c r="V146" s="3"/>
      <c r="W146" s="25" t="s">
        <v>6541</v>
      </c>
      <c r="X146" s="25"/>
      <c r="Y146" s="25" t="str">
        <f>IFERROR(VLOOKUP(C_Ope_001[[#This Row],[NOTA 2]],Clientes_Proveedores[[Ruc / Dni]:[Razon Social]],2,0),"")</f>
        <v/>
      </c>
      <c r="Z146" s="25"/>
      <c r="AA146" s="130"/>
      <c r="AB146" s="3" t="str">
        <f>IF(C_Ope_001[[#This Row],[FECHA]]&gt;0,TEXT(C_Ope_001[[#This Row],[FECHA]],"mmmm"),0)</f>
        <v>Marzo</v>
      </c>
    </row>
    <row r="147" spans="2:28" x14ac:dyDescent="0.3">
      <c r="B147" s="2">
        <f>IF(C_Ope_001[[#This Row],[TIPO DE R.]]="R",COUNTIFS($D$4:$D146,"R")+1,"")</f>
        <v>143</v>
      </c>
      <c r="C147" s="19" t="str">
        <f t="shared" si="11"/>
        <v>C_Ope_001</v>
      </c>
      <c r="D147" s="3" t="s">
        <v>1074</v>
      </c>
      <c r="E147" s="14">
        <v>45748</v>
      </c>
      <c r="F147" s="5" t="s">
        <v>6299</v>
      </c>
      <c r="G147" s="5" t="s">
        <v>1087</v>
      </c>
      <c r="H147" s="6"/>
      <c r="I147" s="6"/>
      <c r="J147" s="6"/>
      <c r="K147" s="6"/>
      <c r="L147" s="7" t="s">
        <v>6302</v>
      </c>
      <c r="M147" s="8">
        <v>23765</v>
      </c>
      <c r="N147" s="8" t="str">
        <f t="shared" si="15"/>
        <v>PEN</v>
      </c>
      <c r="O147" s="13"/>
      <c r="P147" s="13">
        <v>140</v>
      </c>
      <c r="Q147" s="3">
        <f t="shared" si="12"/>
        <v>140</v>
      </c>
      <c r="R147" s="3">
        <f t="shared" si="13"/>
        <v>0</v>
      </c>
      <c r="S147" s="3">
        <f t="shared" si="14"/>
        <v>195.74</v>
      </c>
      <c r="T147" s="24"/>
      <c r="U147" s="24"/>
      <c r="V147" s="3"/>
      <c r="W147" s="25"/>
      <c r="X147" s="25"/>
      <c r="Y147" s="25" t="str">
        <f>IFERROR(VLOOKUP(C_Ope_001[[#This Row],[NOTA 2]],Clientes_Proveedores[[Ruc / Dni]:[Razon Social]],2,0),"")</f>
        <v/>
      </c>
      <c r="Z147" s="25"/>
      <c r="AA147" s="130"/>
      <c r="AB147" s="3" t="str">
        <f>IF(C_Ope_001[[#This Row],[FECHA]]&gt;0,TEXT(C_Ope_001[[#This Row],[FECHA]],"mmmm"),0)</f>
        <v>Abril</v>
      </c>
    </row>
    <row r="148" spans="2:28" ht="24" x14ac:dyDescent="0.3">
      <c r="B148" s="2">
        <f>IF(C_Ope_001[[#This Row],[TIPO DE R.]]="R",COUNTIFS($D$4:$D147,"R")+1,"")</f>
        <v>144</v>
      </c>
      <c r="C148" s="19" t="str">
        <f t="shared" si="11"/>
        <v>C_Ope_001</v>
      </c>
      <c r="D148" s="3" t="s">
        <v>1074</v>
      </c>
      <c r="E148" s="14">
        <v>45748</v>
      </c>
      <c r="F148" s="5" t="s">
        <v>6538</v>
      </c>
      <c r="G148" s="5" t="s">
        <v>1079</v>
      </c>
      <c r="H148" s="6"/>
      <c r="I148" s="6" t="s">
        <v>14</v>
      </c>
      <c r="J148" s="6" t="s">
        <v>5244</v>
      </c>
      <c r="K148" s="6">
        <v>1694765</v>
      </c>
      <c r="L148" s="7" t="s">
        <v>6608</v>
      </c>
      <c r="M148" s="8">
        <v>23711</v>
      </c>
      <c r="N148" s="8" t="str">
        <f t="shared" si="15"/>
        <v>PEN</v>
      </c>
      <c r="O148" s="13"/>
      <c r="P148" s="13">
        <v>8</v>
      </c>
      <c r="Q148" s="3">
        <f t="shared" si="12"/>
        <v>0</v>
      </c>
      <c r="R148" s="3">
        <f t="shared" si="13"/>
        <v>8</v>
      </c>
      <c r="S148" s="3">
        <f t="shared" si="14"/>
        <v>187.74</v>
      </c>
      <c r="T148" s="24"/>
      <c r="U148" s="24"/>
      <c r="V148" s="3"/>
      <c r="W148" s="25" t="s">
        <v>6541</v>
      </c>
      <c r="X148" s="25"/>
      <c r="Y148" s="25" t="str">
        <f>IFERROR(VLOOKUP(C_Ope_001[[#This Row],[NOTA 2]],Clientes_Proveedores[[Ruc / Dni]:[Razon Social]],2,0),"")</f>
        <v/>
      </c>
      <c r="Z148" s="25"/>
      <c r="AA148" s="130"/>
      <c r="AB148" s="3" t="str">
        <f>IF(C_Ope_001[[#This Row],[FECHA]]&gt;0,TEXT(C_Ope_001[[#This Row],[FECHA]],"mmmm"),0)</f>
        <v>Abril</v>
      </c>
    </row>
    <row r="149" spans="2:28" ht="24" x14ac:dyDescent="0.3">
      <c r="B149" s="2">
        <f>IF(C_Ope_001[[#This Row],[TIPO DE R.]]="R",COUNTIFS($D$4:$D148,"R")+1,"")</f>
        <v>145</v>
      </c>
      <c r="C149" s="19" t="str">
        <f t="shared" si="11"/>
        <v>C_Ope_001</v>
      </c>
      <c r="D149" s="3" t="s">
        <v>1074</v>
      </c>
      <c r="E149" s="14">
        <v>45748</v>
      </c>
      <c r="F149" s="5" t="s">
        <v>6538</v>
      </c>
      <c r="G149" s="5" t="s">
        <v>1079</v>
      </c>
      <c r="H149" s="6"/>
      <c r="I149" s="6" t="s">
        <v>14</v>
      </c>
      <c r="J149" s="6" t="s">
        <v>5245</v>
      </c>
      <c r="K149" s="6">
        <v>1714474</v>
      </c>
      <c r="L149" s="7" t="s">
        <v>6608</v>
      </c>
      <c r="M149" s="8">
        <v>23712</v>
      </c>
      <c r="N149" s="8" t="str">
        <f t="shared" si="15"/>
        <v>PEN</v>
      </c>
      <c r="O149" s="13"/>
      <c r="P149" s="13">
        <v>8</v>
      </c>
      <c r="Q149" s="3">
        <f t="shared" si="12"/>
        <v>0</v>
      </c>
      <c r="R149" s="3">
        <f t="shared" si="13"/>
        <v>8</v>
      </c>
      <c r="S149" s="3">
        <f t="shared" si="14"/>
        <v>179.74</v>
      </c>
      <c r="T149" s="24"/>
      <c r="U149" s="24"/>
      <c r="V149" s="3"/>
      <c r="W149" s="25" t="s">
        <v>6541</v>
      </c>
      <c r="X149" s="25"/>
      <c r="Y149" s="25" t="str">
        <f>IFERROR(VLOOKUP(C_Ope_001[[#This Row],[NOTA 2]],Clientes_Proveedores[[Ruc / Dni]:[Razon Social]],2,0),"")</f>
        <v/>
      </c>
      <c r="Z149" s="25"/>
      <c r="AA149" s="130"/>
      <c r="AB149" s="3" t="str">
        <f>IF(C_Ope_001[[#This Row],[FECHA]]&gt;0,TEXT(C_Ope_001[[#This Row],[FECHA]],"mmmm"),0)</f>
        <v>Abril</v>
      </c>
    </row>
    <row r="150" spans="2:28" ht="36" x14ac:dyDescent="0.3">
      <c r="B150" s="2">
        <f>IF(C_Ope_001[[#This Row],[TIPO DE R.]]="R",COUNTIFS($D$4:$D149,"R")+1,"")</f>
        <v>146</v>
      </c>
      <c r="C150" s="19" t="str">
        <f t="shared" si="11"/>
        <v>C_Ope_001</v>
      </c>
      <c r="D150" s="3" t="s">
        <v>1074</v>
      </c>
      <c r="E150" s="14">
        <v>45749</v>
      </c>
      <c r="F150" s="5" t="s">
        <v>6538</v>
      </c>
      <c r="G150" s="5" t="s">
        <v>1079</v>
      </c>
      <c r="H150" s="6"/>
      <c r="I150" s="6" t="s">
        <v>14</v>
      </c>
      <c r="J150" s="6" t="s">
        <v>5243</v>
      </c>
      <c r="K150" s="6">
        <v>2285894</v>
      </c>
      <c r="L150" s="7" t="s">
        <v>6620</v>
      </c>
      <c r="M150" s="8">
        <v>23725</v>
      </c>
      <c r="N150" s="8" t="str">
        <f t="shared" si="15"/>
        <v>PEN</v>
      </c>
      <c r="O150" s="13"/>
      <c r="P150" s="13">
        <v>8</v>
      </c>
      <c r="Q150" s="3">
        <f t="shared" si="12"/>
        <v>0</v>
      </c>
      <c r="R150" s="3">
        <f t="shared" si="13"/>
        <v>8</v>
      </c>
      <c r="S150" s="3">
        <f t="shared" si="14"/>
        <v>171.74</v>
      </c>
      <c r="T150" s="24"/>
      <c r="U150" s="24"/>
      <c r="V150" s="3"/>
      <c r="W150" s="25" t="s">
        <v>6541</v>
      </c>
      <c r="X150" s="25"/>
      <c r="Y150" s="25" t="str">
        <f>IFERROR(VLOOKUP(C_Ope_001[[#This Row],[NOTA 2]],Clientes_Proveedores[[Ruc / Dni]:[Razon Social]],2,0),"")</f>
        <v/>
      </c>
      <c r="Z150" s="25"/>
      <c r="AA150" s="130"/>
      <c r="AB150" s="3" t="str">
        <f>IF(C_Ope_001[[#This Row],[FECHA]]&gt;0,TEXT(C_Ope_001[[#This Row],[FECHA]],"mmmm"),0)</f>
        <v>Abril</v>
      </c>
    </row>
    <row r="151" spans="2:28" ht="36" x14ac:dyDescent="0.3">
      <c r="B151" s="2">
        <f>IF(C_Ope_001[[#This Row],[TIPO DE R.]]="R",COUNTIFS($D$4:$D150,"R")+1,"")</f>
        <v>147</v>
      </c>
      <c r="C151" s="19" t="str">
        <f t="shared" si="11"/>
        <v>C_Ope_001</v>
      </c>
      <c r="D151" s="3" t="s">
        <v>1074</v>
      </c>
      <c r="E151" s="14">
        <v>45749</v>
      </c>
      <c r="F151" s="5" t="s">
        <v>6538</v>
      </c>
      <c r="G151" s="5" t="s">
        <v>1079</v>
      </c>
      <c r="H151" s="6"/>
      <c r="I151" s="6" t="s">
        <v>14</v>
      </c>
      <c r="J151" s="6" t="s">
        <v>5245</v>
      </c>
      <c r="K151" s="6">
        <v>1715386</v>
      </c>
      <c r="L151" s="7" t="s">
        <v>6620</v>
      </c>
      <c r="M151" s="8">
        <v>23726</v>
      </c>
      <c r="N151" s="8" t="str">
        <f t="shared" si="15"/>
        <v>PEN</v>
      </c>
      <c r="O151" s="13"/>
      <c r="P151" s="13">
        <v>8</v>
      </c>
      <c r="Q151" s="3">
        <f t="shared" si="12"/>
        <v>0</v>
      </c>
      <c r="R151" s="3">
        <f t="shared" si="13"/>
        <v>8</v>
      </c>
      <c r="S151" s="3">
        <f t="shared" si="14"/>
        <v>163.74</v>
      </c>
      <c r="T151" s="24"/>
      <c r="U151" s="24"/>
      <c r="V151" s="3"/>
      <c r="W151" s="25" t="s">
        <v>6541</v>
      </c>
      <c r="X151" s="25"/>
      <c r="Y151" s="25" t="str">
        <f>IFERROR(VLOOKUP(C_Ope_001[[#This Row],[NOTA 2]],Clientes_Proveedores[[Ruc / Dni]:[Razon Social]],2,0),"")</f>
        <v/>
      </c>
      <c r="Z151" s="25"/>
      <c r="AA151" s="130"/>
      <c r="AB151" s="3" t="str">
        <f>IF(C_Ope_001[[#This Row],[FECHA]]&gt;0,TEXT(C_Ope_001[[#This Row],[FECHA]],"mmmm"),0)</f>
        <v>Abril</v>
      </c>
    </row>
    <row r="152" spans="2:28" ht="24" x14ac:dyDescent="0.3">
      <c r="B152" s="2">
        <f>IF(C_Ope_001[[#This Row],[TIPO DE R.]]="R",COUNTIFS($D$4:$D151,"R")+1,"")</f>
        <v>148</v>
      </c>
      <c r="C152" s="19" t="str">
        <f t="shared" si="11"/>
        <v>C_Ope_001</v>
      </c>
      <c r="D152" s="3" t="s">
        <v>1074</v>
      </c>
      <c r="E152" s="14">
        <v>45750</v>
      </c>
      <c r="F152" s="5" t="s">
        <v>6538</v>
      </c>
      <c r="G152" s="5" t="s">
        <v>1079</v>
      </c>
      <c r="H152" s="6"/>
      <c r="I152" s="6" t="s">
        <v>14</v>
      </c>
      <c r="J152" s="6" t="s">
        <v>5242</v>
      </c>
      <c r="K152" s="6">
        <v>2010115</v>
      </c>
      <c r="L152" s="7" t="s">
        <v>6621</v>
      </c>
      <c r="M152" s="8">
        <v>23733</v>
      </c>
      <c r="N152" s="8" t="str">
        <f t="shared" si="15"/>
        <v>PEN</v>
      </c>
      <c r="O152" s="13"/>
      <c r="P152" s="13">
        <v>8</v>
      </c>
      <c r="Q152" s="3">
        <f t="shared" si="12"/>
        <v>0</v>
      </c>
      <c r="R152" s="3">
        <f t="shared" si="13"/>
        <v>8</v>
      </c>
      <c r="S152" s="3">
        <f t="shared" si="14"/>
        <v>155.74</v>
      </c>
      <c r="T152" s="24"/>
      <c r="U152" s="24"/>
      <c r="V152" s="3"/>
      <c r="W152" s="25" t="s">
        <v>6541</v>
      </c>
      <c r="X152" s="25"/>
      <c r="Y152" s="25" t="str">
        <f>IFERROR(VLOOKUP(C_Ope_001[[#This Row],[NOTA 2]],Clientes_Proveedores[[Ruc / Dni]:[Razon Social]],2,0),"")</f>
        <v/>
      </c>
      <c r="Z152" s="25"/>
      <c r="AA152" s="130"/>
      <c r="AB152" s="3" t="str">
        <f>IF(C_Ope_001[[#This Row],[FECHA]]&gt;0,TEXT(C_Ope_001[[#This Row],[FECHA]],"mmmm"),0)</f>
        <v>Abril</v>
      </c>
    </row>
    <row r="153" spans="2:28" x14ac:dyDescent="0.3">
      <c r="B153" s="2">
        <f>IF(C_Ope_001[[#This Row],[TIPO DE R.]]="R",COUNTIFS($D$4:$D152,"R")+1,"")</f>
        <v>149</v>
      </c>
      <c r="C153" s="19" t="str">
        <f t="shared" si="11"/>
        <v>C_Ope_001</v>
      </c>
      <c r="D153" s="3" t="s">
        <v>1074</v>
      </c>
      <c r="E153" s="14">
        <v>45751</v>
      </c>
      <c r="F153" s="5" t="s">
        <v>6538</v>
      </c>
      <c r="G153" s="5" t="s">
        <v>1079</v>
      </c>
      <c r="H153" s="6"/>
      <c r="I153" s="6" t="s">
        <v>14</v>
      </c>
      <c r="J153" s="6" t="s">
        <v>6561</v>
      </c>
      <c r="K153" s="6">
        <v>456</v>
      </c>
      <c r="L153" s="7" t="s">
        <v>6622</v>
      </c>
      <c r="M153" s="8">
        <v>23738</v>
      </c>
      <c r="N153" s="8" t="str">
        <f t="shared" si="15"/>
        <v>PEN</v>
      </c>
      <c r="O153" s="13"/>
      <c r="P153" s="13">
        <v>10</v>
      </c>
      <c r="Q153" s="3">
        <f t="shared" si="12"/>
        <v>0</v>
      </c>
      <c r="R153" s="3">
        <f t="shared" si="13"/>
        <v>10</v>
      </c>
      <c r="S153" s="3">
        <f t="shared" si="14"/>
        <v>145.74</v>
      </c>
      <c r="T153" s="24"/>
      <c r="U153" s="24"/>
      <c r="V153" s="3"/>
      <c r="W153" s="25" t="s">
        <v>6541</v>
      </c>
      <c r="X153" s="25"/>
      <c r="Y153" s="25" t="str">
        <f>IFERROR(VLOOKUP(C_Ope_001[[#This Row],[NOTA 2]],Clientes_Proveedores[[Ruc / Dni]:[Razon Social]],2,0),"")</f>
        <v/>
      </c>
      <c r="Z153" s="25"/>
      <c r="AA153" s="130"/>
      <c r="AB153" s="3" t="str">
        <f>IF(C_Ope_001[[#This Row],[FECHA]]&gt;0,TEXT(C_Ope_001[[#This Row],[FECHA]],"mmmm"),0)</f>
        <v>Abril</v>
      </c>
    </row>
    <row r="154" spans="2:28" x14ac:dyDescent="0.3">
      <c r="B154" s="2">
        <f>IF(C_Ope_001[[#This Row],[TIPO DE R.]]="R",COUNTIFS($D$4:$D153,"R")+1,"")</f>
        <v>150</v>
      </c>
      <c r="C154" s="19" t="str">
        <f t="shared" si="11"/>
        <v>C_Ope_001</v>
      </c>
      <c r="D154" s="3" t="s">
        <v>1074</v>
      </c>
      <c r="E154" s="14">
        <v>45751</v>
      </c>
      <c r="F154" s="5" t="s">
        <v>6538</v>
      </c>
      <c r="G154" s="5" t="s">
        <v>1079</v>
      </c>
      <c r="H154" s="6"/>
      <c r="I154" s="6" t="s">
        <v>14</v>
      </c>
      <c r="J154" s="6" t="s">
        <v>1148</v>
      </c>
      <c r="K154" s="6">
        <v>130197</v>
      </c>
      <c r="L154" s="7" t="s">
        <v>6623</v>
      </c>
      <c r="M154" s="8">
        <v>23739</v>
      </c>
      <c r="N154" s="8" t="str">
        <f t="shared" si="15"/>
        <v>PEN</v>
      </c>
      <c r="O154" s="13"/>
      <c r="P154" s="13">
        <v>10</v>
      </c>
      <c r="Q154" s="3">
        <f t="shared" si="12"/>
        <v>0</v>
      </c>
      <c r="R154" s="3">
        <f t="shared" si="13"/>
        <v>10</v>
      </c>
      <c r="S154" s="3">
        <f t="shared" si="14"/>
        <v>135.74</v>
      </c>
      <c r="T154" s="24"/>
      <c r="U154" s="24"/>
      <c r="V154" s="3"/>
      <c r="W154" s="25" t="s">
        <v>6541</v>
      </c>
      <c r="X154" s="25"/>
      <c r="Y154" s="25" t="str">
        <f>IFERROR(VLOOKUP(C_Ope_001[[#This Row],[NOTA 2]],Clientes_Proveedores[[Ruc / Dni]:[Razon Social]],2,0),"")</f>
        <v/>
      </c>
      <c r="Z154" s="25"/>
      <c r="AA154" s="130"/>
      <c r="AB154" s="3" t="str">
        <f>IF(C_Ope_001[[#This Row],[FECHA]]&gt;0,TEXT(C_Ope_001[[#This Row],[FECHA]],"mmmm"),0)</f>
        <v>Abril</v>
      </c>
    </row>
    <row r="155" spans="2:28" x14ac:dyDescent="0.3">
      <c r="B155" s="2">
        <f>IF(C_Ope_001[[#This Row],[TIPO DE R.]]="R",COUNTIFS($D$4:$D154,"R")+1,"")</f>
        <v>151</v>
      </c>
      <c r="C155" s="19" t="str">
        <f t="shared" si="11"/>
        <v>C_Ope_001</v>
      </c>
      <c r="D155" s="3" t="s">
        <v>1074</v>
      </c>
      <c r="E155" s="14">
        <v>45755</v>
      </c>
      <c r="F155" s="5" t="s">
        <v>6299</v>
      </c>
      <c r="G155" s="5" t="s">
        <v>1087</v>
      </c>
      <c r="H155" s="6"/>
      <c r="I155" s="6"/>
      <c r="J155" s="6"/>
      <c r="K155" s="6"/>
      <c r="L155" s="7" t="s">
        <v>6302</v>
      </c>
      <c r="M155" s="8">
        <v>23839</v>
      </c>
      <c r="N155" s="8" t="str">
        <f t="shared" si="15"/>
        <v>PEN</v>
      </c>
      <c r="O155" s="13"/>
      <c r="P155" s="13">
        <v>60</v>
      </c>
      <c r="Q155" s="3">
        <f t="shared" si="12"/>
        <v>60</v>
      </c>
      <c r="R155" s="3">
        <f t="shared" si="13"/>
        <v>0</v>
      </c>
      <c r="S155" s="3">
        <f t="shared" si="14"/>
        <v>195.74</v>
      </c>
      <c r="T155" s="24"/>
      <c r="U155" s="24"/>
      <c r="V155" s="3"/>
      <c r="W155" s="25"/>
      <c r="X155" s="25"/>
      <c r="Y155" s="25" t="str">
        <f>IFERROR(VLOOKUP(C_Ope_001[[#This Row],[NOTA 2]],Clientes_Proveedores[[Ruc / Dni]:[Razon Social]],2,0),"")</f>
        <v/>
      </c>
      <c r="Z155" s="25"/>
      <c r="AA155" s="130"/>
      <c r="AB155" s="3" t="str">
        <f>IF(C_Ope_001[[#This Row],[FECHA]]&gt;0,TEXT(C_Ope_001[[#This Row],[FECHA]],"mmmm"),0)</f>
        <v>Abril</v>
      </c>
    </row>
    <row r="156" spans="2:28" ht="24" x14ac:dyDescent="0.3">
      <c r="B156" s="2">
        <f>IF(C_Ope_001[[#This Row],[TIPO DE R.]]="R",COUNTIFS($D$4:$D155,"R")+1,"")</f>
        <v>152</v>
      </c>
      <c r="C156" s="19" t="str">
        <f t="shared" si="11"/>
        <v>C_Ope_001</v>
      </c>
      <c r="D156" s="3" t="s">
        <v>1074</v>
      </c>
      <c r="E156" s="14">
        <v>45754</v>
      </c>
      <c r="F156" s="5" t="s">
        <v>6538</v>
      </c>
      <c r="G156" s="5" t="s">
        <v>1079</v>
      </c>
      <c r="H156" s="6"/>
      <c r="I156" s="6" t="s">
        <v>14</v>
      </c>
      <c r="J156" s="6" t="s">
        <v>5243</v>
      </c>
      <c r="K156" s="6">
        <v>2291067</v>
      </c>
      <c r="L156" s="7" t="s">
        <v>6570</v>
      </c>
      <c r="M156" s="8">
        <v>23756</v>
      </c>
      <c r="N156" s="8" t="str">
        <f t="shared" si="15"/>
        <v>PEN</v>
      </c>
      <c r="O156" s="13"/>
      <c r="P156" s="13">
        <v>8</v>
      </c>
      <c r="Q156" s="3">
        <f t="shared" si="12"/>
        <v>0</v>
      </c>
      <c r="R156" s="3">
        <f t="shared" si="13"/>
        <v>8</v>
      </c>
      <c r="S156" s="3">
        <f t="shared" si="14"/>
        <v>187.74</v>
      </c>
      <c r="T156" s="24"/>
      <c r="U156" s="24"/>
      <c r="V156" s="3"/>
      <c r="W156" s="25" t="s">
        <v>6546</v>
      </c>
      <c r="X156" s="25"/>
      <c r="Y156" s="25" t="str">
        <f>IFERROR(VLOOKUP(C_Ope_001[[#This Row],[NOTA 2]],Clientes_Proveedores[[Ruc / Dni]:[Razon Social]],2,0),"")</f>
        <v/>
      </c>
      <c r="Z156" s="25"/>
      <c r="AA156" s="130"/>
      <c r="AB156" s="3" t="str">
        <f>IF(C_Ope_001[[#This Row],[FECHA]]&gt;0,TEXT(C_Ope_001[[#This Row],[FECHA]],"mmmm"),0)</f>
        <v>Abril</v>
      </c>
    </row>
    <row r="157" spans="2:28" ht="24" x14ac:dyDescent="0.3">
      <c r="B157" s="2">
        <f>IF(C_Ope_001[[#This Row],[TIPO DE R.]]="R",COUNTIFS($D$4:$D156,"R")+1,"")</f>
        <v>153</v>
      </c>
      <c r="C157" s="19" t="str">
        <f t="shared" si="11"/>
        <v>C_Ope_001</v>
      </c>
      <c r="D157" s="3" t="s">
        <v>1074</v>
      </c>
      <c r="E157" s="14">
        <v>45754</v>
      </c>
      <c r="F157" s="5" t="s">
        <v>6538</v>
      </c>
      <c r="G157" s="5" t="s">
        <v>1079</v>
      </c>
      <c r="H157" s="6"/>
      <c r="I157" s="6" t="s">
        <v>14</v>
      </c>
      <c r="J157" s="6" t="s">
        <v>5245</v>
      </c>
      <c r="K157" s="6">
        <v>1719454</v>
      </c>
      <c r="L157" s="7" t="s">
        <v>6570</v>
      </c>
      <c r="M157" s="8">
        <v>23757</v>
      </c>
      <c r="N157" s="8" t="str">
        <f t="shared" si="15"/>
        <v>PEN</v>
      </c>
      <c r="O157" s="13"/>
      <c r="P157" s="13">
        <v>8</v>
      </c>
      <c r="Q157" s="3">
        <f t="shared" si="12"/>
        <v>0</v>
      </c>
      <c r="R157" s="3">
        <f t="shared" si="13"/>
        <v>8</v>
      </c>
      <c r="S157" s="3">
        <f t="shared" si="14"/>
        <v>179.74</v>
      </c>
      <c r="T157" s="24"/>
      <c r="U157" s="24"/>
      <c r="V157" s="3"/>
      <c r="W157" s="25" t="s">
        <v>6546</v>
      </c>
      <c r="X157" s="25"/>
      <c r="Y157" s="25" t="str">
        <f>IFERROR(VLOOKUP(C_Ope_001[[#This Row],[NOTA 2]],Clientes_Proveedores[[Ruc / Dni]:[Razon Social]],2,0),"")</f>
        <v/>
      </c>
      <c r="Z157" s="25"/>
      <c r="AA157" s="130"/>
      <c r="AB157" s="3" t="str">
        <f>IF(C_Ope_001[[#This Row],[FECHA]]&gt;0,TEXT(C_Ope_001[[#This Row],[FECHA]],"mmmm"),0)</f>
        <v>Abril</v>
      </c>
    </row>
    <row r="158" spans="2:28" ht="24" x14ac:dyDescent="0.3">
      <c r="B158" s="2">
        <f>IF(C_Ope_001[[#This Row],[TIPO DE R.]]="R",COUNTIFS($D$4:$D157,"R")+1,"")</f>
        <v>154</v>
      </c>
      <c r="C158" s="19" t="str">
        <f t="shared" si="11"/>
        <v>C_Ope_001</v>
      </c>
      <c r="D158" s="3" t="s">
        <v>1074</v>
      </c>
      <c r="E158" s="14">
        <v>45755</v>
      </c>
      <c r="F158" s="5" t="s">
        <v>6538</v>
      </c>
      <c r="G158" s="5" t="s">
        <v>1079</v>
      </c>
      <c r="H158" s="6"/>
      <c r="I158" s="6" t="s">
        <v>14</v>
      </c>
      <c r="J158" s="6" t="s">
        <v>5244</v>
      </c>
      <c r="K158" s="6">
        <v>1700342</v>
      </c>
      <c r="L158" s="7" t="s">
        <v>6624</v>
      </c>
      <c r="M158" s="8">
        <v>23772</v>
      </c>
      <c r="N158" s="8" t="str">
        <f t="shared" si="15"/>
        <v>PEN</v>
      </c>
      <c r="O158" s="13"/>
      <c r="P158" s="13">
        <v>0</v>
      </c>
      <c r="Q158" s="3">
        <f t="shared" si="12"/>
        <v>0</v>
      </c>
      <c r="R158" s="3">
        <f t="shared" si="13"/>
        <v>0</v>
      </c>
      <c r="S158" s="3">
        <f t="shared" si="14"/>
        <v>179.74</v>
      </c>
      <c r="T158" s="24"/>
      <c r="U158" s="24"/>
      <c r="V158" s="3"/>
      <c r="W158" s="25" t="s">
        <v>6541</v>
      </c>
      <c r="X158" s="25"/>
      <c r="Y158" s="25" t="str">
        <f>IFERROR(VLOOKUP(C_Ope_001[[#This Row],[NOTA 2]],Clientes_Proveedores[[Ruc / Dni]:[Razon Social]],2,0),"")</f>
        <v/>
      </c>
      <c r="Z158" s="25"/>
      <c r="AA158" s="130"/>
      <c r="AB158" s="3" t="str">
        <f>IF(C_Ope_001[[#This Row],[FECHA]]&gt;0,TEXT(C_Ope_001[[#This Row],[FECHA]],"mmmm"),0)</f>
        <v>Abril</v>
      </c>
    </row>
    <row r="159" spans="2:28" ht="24" x14ac:dyDescent="0.3">
      <c r="B159" s="2">
        <f>IF(C_Ope_001[[#This Row],[TIPO DE R.]]="R",COUNTIFS($D$4:$D158,"R")+1,"")</f>
        <v>155</v>
      </c>
      <c r="C159" s="19" t="str">
        <f t="shared" si="11"/>
        <v>C_Ope_001</v>
      </c>
      <c r="D159" s="3" t="s">
        <v>1074</v>
      </c>
      <c r="E159" s="14">
        <v>45755</v>
      </c>
      <c r="F159" s="5" t="s">
        <v>6538</v>
      </c>
      <c r="G159" s="5" t="s">
        <v>1079</v>
      </c>
      <c r="H159" s="6"/>
      <c r="I159" s="6" t="s">
        <v>14</v>
      </c>
      <c r="J159" s="6" t="s">
        <v>5245</v>
      </c>
      <c r="K159" s="6">
        <v>1720044</v>
      </c>
      <c r="L159" s="7" t="s">
        <v>6624</v>
      </c>
      <c r="M159" s="8">
        <v>23773</v>
      </c>
      <c r="N159" s="8" t="str">
        <f t="shared" si="15"/>
        <v>PEN</v>
      </c>
      <c r="O159" s="13"/>
      <c r="P159" s="13">
        <v>0</v>
      </c>
      <c r="Q159" s="3">
        <f t="shared" si="12"/>
        <v>0</v>
      </c>
      <c r="R159" s="3">
        <f t="shared" si="13"/>
        <v>0</v>
      </c>
      <c r="S159" s="3">
        <f t="shared" si="14"/>
        <v>179.74</v>
      </c>
      <c r="T159" s="24"/>
      <c r="U159" s="24"/>
      <c r="V159" s="3"/>
      <c r="W159" s="25" t="s">
        <v>6541</v>
      </c>
      <c r="X159" s="25"/>
      <c r="Y159" s="25" t="str">
        <f>IFERROR(VLOOKUP(C_Ope_001[[#This Row],[NOTA 2]],Clientes_Proveedores[[Ruc / Dni]:[Razon Social]],2,0),"")</f>
        <v/>
      </c>
      <c r="Z159" s="25"/>
      <c r="AA159" s="130"/>
      <c r="AB159" s="3" t="str">
        <f>IF(C_Ope_001[[#This Row],[FECHA]]&gt;0,TEXT(C_Ope_001[[#This Row],[FECHA]],"mmmm"),0)</f>
        <v>Abril</v>
      </c>
    </row>
    <row r="160" spans="2:28" x14ac:dyDescent="0.3">
      <c r="B160" s="2">
        <f>IF(C_Ope_001[[#This Row],[TIPO DE R.]]="R",COUNTIFS($D$4:$D159,"R")+1,"")</f>
        <v>156</v>
      </c>
      <c r="C160" s="19" t="str">
        <f t="shared" si="11"/>
        <v>C_Ope_001</v>
      </c>
      <c r="D160" s="3" t="s">
        <v>1074</v>
      </c>
      <c r="E160" s="14">
        <v>45756</v>
      </c>
      <c r="F160" s="5" t="s">
        <v>6538</v>
      </c>
      <c r="G160" s="5" t="s">
        <v>1079</v>
      </c>
      <c r="H160" s="6"/>
      <c r="I160" s="6" t="s">
        <v>14</v>
      </c>
      <c r="J160" s="6" t="s">
        <v>5245</v>
      </c>
      <c r="K160" s="6">
        <v>1721101</v>
      </c>
      <c r="L160" s="7" t="s">
        <v>6625</v>
      </c>
      <c r="M160" s="8">
        <v>23789</v>
      </c>
      <c r="N160" s="8" t="str">
        <f t="shared" si="15"/>
        <v>PEN</v>
      </c>
      <c r="O160" s="13"/>
      <c r="P160" s="13">
        <v>8</v>
      </c>
      <c r="Q160" s="3">
        <f t="shared" si="12"/>
        <v>0</v>
      </c>
      <c r="R160" s="3">
        <f t="shared" si="13"/>
        <v>8</v>
      </c>
      <c r="S160" s="3">
        <f t="shared" si="14"/>
        <v>171.74</v>
      </c>
      <c r="T160" s="24"/>
      <c r="U160" s="24"/>
      <c r="V160" s="3"/>
      <c r="W160" s="25" t="s">
        <v>6546</v>
      </c>
      <c r="X160" s="25"/>
      <c r="Y160" s="25" t="str">
        <f>IFERROR(VLOOKUP(C_Ope_001[[#This Row],[NOTA 2]],Clientes_Proveedores[[Ruc / Dni]:[Razon Social]],2,0),"")</f>
        <v/>
      </c>
      <c r="Z160" s="25"/>
      <c r="AA160" s="130"/>
      <c r="AB160" s="3" t="str">
        <f>IF(C_Ope_001[[#This Row],[FECHA]]&gt;0,TEXT(C_Ope_001[[#This Row],[FECHA]],"mmmm"),0)</f>
        <v>Abril</v>
      </c>
    </row>
    <row r="161" spans="2:28" ht="24" x14ac:dyDescent="0.3">
      <c r="B161" s="2">
        <f>IF(C_Ope_001[[#This Row],[TIPO DE R.]]="R",COUNTIFS($D$4:$D160,"R")+1,"")</f>
        <v>157</v>
      </c>
      <c r="C161" s="19" t="str">
        <f t="shared" si="11"/>
        <v>C_Ope_001</v>
      </c>
      <c r="D161" s="3" t="s">
        <v>1074</v>
      </c>
      <c r="E161" s="14">
        <v>45757</v>
      </c>
      <c r="F161" s="5" t="s">
        <v>6538</v>
      </c>
      <c r="G161" s="5" t="s">
        <v>1079</v>
      </c>
      <c r="H161" s="6"/>
      <c r="I161" s="6" t="s">
        <v>14</v>
      </c>
      <c r="J161" s="6" t="s">
        <v>5244</v>
      </c>
      <c r="K161" s="6">
        <v>1702265</v>
      </c>
      <c r="L161" s="7" t="s">
        <v>6626</v>
      </c>
      <c r="M161" s="8">
        <v>23809</v>
      </c>
      <c r="N161" s="8" t="str">
        <f t="shared" si="15"/>
        <v>PEN</v>
      </c>
      <c r="O161" s="13"/>
      <c r="P161" s="13">
        <v>8</v>
      </c>
      <c r="Q161" s="3">
        <f t="shared" si="12"/>
        <v>0</v>
      </c>
      <c r="R161" s="3">
        <f t="shared" si="13"/>
        <v>8</v>
      </c>
      <c r="S161" s="3">
        <f t="shared" si="14"/>
        <v>163.74</v>
      </c>
      <c r="T161" s="24"/>
      <c r="U161" s="24"/>
      <c r="V161" s="3"/>
      <c r="W161" s="25" t="s">
        <v>6541</v>
      </c>
      <c r="X161" s="25"/>
      <c r="Y161" s="25" t="str">
        <f>IFERROR(VLOOKUP(C_Ope_001[[#This Row],[NOTA 2]],Clientes_Proveedores[[Ruc / Dni]:[Razon Social]],2,0),"")</f>
        <v/>
      </c>
      <c r="Z161" s="25"/>
      <c r="AA161" s="130"/>
      <c r="AB161" s="3" t="str">
        <f>IF(C_Ope_001[[#This Row],[FECHA]]&gt;0,TEXT(C_Ope_001[[#This Row],[FECHA]],"mmmm"),0)</f>
        <v>Abril</v>
      </c>
    </row>
    <row r="162" spans="2:28" ht="24" x14ac:dyDescent="0.3">
      <c r="B162" s="2">
        <f>IF(C_Ope_001[[#This Row],[TIPO DE R.]]="R",COUNTIFS($D$4:$D161,"R")+1,"")</f>
        <v>158</v>
      </c>
      <c r="C162" s="19" t="str">
        <f t="shared" si="11"/>
        <v>C_Ope_001</v>
      </c>
      <c r="D162" s="3" t="s">
        <v>1074</v>
      </c>
      <c r="E162" s="14">
        <v>45754</v>
      </c>
      <c r="F162" s="5" t="s">
        <v>6538</v>
      </c>
      <c r="G162" s="5" t="s">
        <v>1079</v>
      </c>
      <c r="H162" s="6"/>
      <c r="I162" s="6" t="s">
        <v>14</v>
      </c>
      <c r="J162" s="6" t="s">
        <v>1088</v>
      </c>
      <c r="K162" s="6">
        <v>34281</v>
      </c>
      <c r="L162" s="7" t="s">
        <v>6627</v>
      </c>
      <c r="M162" s="8">
        <v>23753</v>
      </c>
      <c r="N162" s="8" t="str">
        <f t="shared" si="15"/>
        <v>PEN</v>
      </c>
      <c r="O162" s="13"/>
      <c r="P162" s="13">
        <v>10</v>
      </c>
      <c r="Q162" s="3">
        <f t="shared" si="12"/>
        <v>0</v>
      </c>
      <c r="R162" s="3">
        <f t="shared" si="13"/>
        <v>10</v>
      </c>
      <c r="S162" s="3">
        <f t="shared" si="14"/>
        <v>153.74</v>
      </c>
      <c r="T162" s="24"/>
      <c r="U162" s="24"/>
      <c r="V162" s="3"/>
      <c r="W162" s="25" t="s">
        <v>6546</v>
      </c>
      <c r="X162" s="25"/>
      <c r="Y162" s="25" t="str">
        <f>IFERROR(VLOOKUP(C_Ope_001[[#This Row],[NOTA 2]],Clientes_Proveedores[[Ruc / Dni]:[Razon Social]],2,0),"")</f>
        <v/>
      </c>
      <c r="Z162" s="25"/>
      <c r="AA162" s="130"/>
      <c r="AB162" s="3" t="str">
        <f>IF(C_Ope_001[[#This Row],[FECHA]]&gt;0,TEXT(C_Ope_001[[#This Row],[FECHA]],"mmmm"),0)</f>
        <v>Abril</v>
      </c>
    </row>
    <row r="163" spans="2:28" ht="24" x14ac:dyDescent="0.3">
      <c r="B163" s="2">
        <f>IF(C_Ope_001[[#This Row],[TIPO DE R.]]="R",COUNTIFS($D$4:$D162,"R")+1,"")</f>
        <v>159</v>
      </c>
      <c r="C163" s="19" t="str">
        <f t="shared" si="11"/>
        <v>C_Ope_001</v>
      </c>
      <c r="D163" s="3" t="s">
        <v>1074</v>
      </c>
      <c r="E163" s="14">
        <v>45756</v>
      </c>
      <c r="F163" s="5" t="s">
        <v>6538</v>
      </c>
      <c r="G163" s="5" t="s">
        <v>1079</v>
      </c>
      <c r="H163" s="6"/>
      <c r="I163" s="6" t="s">
        <v>14</v>
      </c>
      <c r="J163" s="6" t="s">
        <v>1088</v>
      </c>
      <c r="K163" s="6">
        <v>34306</v>
      </c>
      <c r="L163" s="7" t="s">
        <v>6628</v>
      </c>
      <c r="M163" s="8">
        <v>23790</v>
      </c>
      <c r="N163" s="8" t="str">
        <f t="shared" si="15"/>
        <v>PEN</v>
      </c>
      <c r="O163" s="13"/>
      <c r="P163" s="13">
        <v>10</v>
      </c>
      <c r="Q163" s="3">
        <f t="shared" si="12"/>
        <v>0</v>
      </c>
      <c r="R163" s="3">
        <f t="shared" si="13"/>
        <v>10</v>
      </c>
      <c r="S163" s="3">
        <f t="shared" si="14"/>
        <v>143.74</v>
      </c>
      <c r="T163" s="24"/>
      <c r="U163" s="24"/>
      <c r="V163" s="3"/>
      <c r="W163" s="25" t="s">
        <v>6546</v>
      </c>
      <c r="X163" s="25"/>
      <c r="Y163" s="25" t="str">
        <f>IFERROR(VLOOKUP(C_Ope_001[[#This Row],[NOTA 2]],Clientes_Proveedores[[Ruc / Dni]:[Razon Social]],2,0),"")</f>
        <v/>
      </c>
      <c r="Z163" s="25"/>
      <c r="AA163" s="130"/>
      <c r="AB163" s="3" t="str">
        <f>IF(C_Ope_001[[#This Row],[FECHA]]&gt;0,TEXT(C_Ope_001[[#This Row],[FECHA]],"mmmm"),0)</f>
        <v>Abril</v>
      </c>
    </row>
    <row r="164" spans="2:28" ht="24" x14ac:dyDescent="0.3">
      <c r="B164" s="2">
        <f>IF(C_Ope_001[[#This Row],[TIPO DE R.]]="R",COUNTIFS($D$4:$D163,"R")+1,"")</f>
        <v>160</v>
      </c>
      <c r="C164" s="19" t="str">
        <f t="shared" si="11"/>
        <v>C_Ope_001</v>
      </c>
      <c r="D164" s="3" t="s">
        <v>1074</v>
      </c>
      <c r="E164" s="14">
        <v>45758</v>
      </c>
      <c r="F164" s="5" t="s">
        <v>6538</v>
      </c>
      <c r="G164" s="5" t="s">
        <v>1079</v>
      </c>
      <c r="H164" s="6"/>
      <c r="I164" s="6" t="s">
        <v>14</v>
      </c>
      <c r="J164" s="6" t="s">
        <v>1088</v>
      </c>
      <c r="K164" s="6">
        <v>34330</v>
      </c>
      <c r="L164" s="7" t="s">
        <v>6628</v>
      </c>
      <c r="M164" s="8">
        <v>23825</v>
      </c>
      <c r="N164" s="8" t="str">
        <f t="shared" si="15"/>
        <v>PEN</v>
      </c>
      <c r="O164" s="13"/>
      <c r="P164" s="13">
        <v>10</v>
      </c>
      <c r="Q164" s="3">
        <f t="shared" si="12"/>
        <v>0</v>
      </c>
      <c r="R164" s="3">
        <f t="shared" si="13"/>
        <v>10</v>
      </c>
      <c r="S164" s="3">
        <f t="shared" si="14"/>
        <v>133.74</v>
      </c>
      <c r="T164" s="24"/>
      <c r="U164" s="24"/>
      <c r="V164" s="3"/>
      <c r="W164" s="25" t="s">
        <v>6539</v>
      </c>
      <c r="X164" s="25"/>
      <c r="Y164" s="25" t="str">
        <f>IFERROR(VLOOKUP(C_Ope_001[[#This Row],[NOTA 2]],Clientes_Proveedores[[Ruc / Dni]:[Razon Social]],2,0),"")</f>
        <v/>
      </c>
      <c r="Z164" s="25"/>
      <c r="AA164" s="130"/>
      <c r="AB164" s="3" t="str">
        <f>IF(C_Ope_001[[#This Row],[FECHA]]&gt;0,TEXT(C_Ope_001[[#This Row],[FECHA]],"mmmm"),0)</f>
        <v>Abril</v>
      </c>
    </row>
    <row r="165" spans="2:28" x14ac:dyDescent="0.3">
      <c r="B165" s="2">
        <f>IF(C_Ope_001[[#This Row],[TIPO DE R.]]="R",COUNTIFS($D$4:$D164,"R")+1,"")</f>
        <v>161</v>
      </c>
      <c r="C165" s="19" t="str">
        <f t="shared" si="11"/>
        <v>C_Ope_001</v>
      </c>
      <c r="D165" s="3" t="s">
        <v>1074</v>
      </c>
      <c r="E165" s="14">
        <v>45761</v>
      </c>
      <c r="F165" s="5" t="s">
        <v>6299</v>
      </c>
      <c r="G165" s="5" t="s">
        <v>1087</v>
      </c>
      <c r="H165" s="6"/>
      <c r="I165" s="6"/>
      <c r="J165" s="6"/>
      <c r="K165" s="6"/>
      <c r="L165" s="7" t="s">
        <v>6302</v>
      </c>
      <c r="M165" s="8">
        <v>23862</v>
      </c>
      <c r="N165" s="8" t="str">
        <f t="shared" si="15"/>
        <v>PEN</v>
      </c>
      <c r="O165" s="13"/>
      <c r="P165" s="13">
        <v>90</v>
      </c>
      <c r="Q165" s="3">
        <f t="shared" si="12"/>
        <v>90</v>
      </c>
      <c r="R165" s="3">
        <f t="shared" si="13"/>
        <v>0</v>
      </c>
      <c r="S165" s="3">
        <f t="shared" si="14"/>
        <v>223.74</v>
      </c>
      <c r="T165" s="24"/>
      <c r="U165" s="24"/>
      <c r="V165" s="3"/>
      <c r="W165" s="25"/>
      <c r="X165" s="25"/>
      <c r="Y165" s="25" t="str">
        <f>IFERROR(VLOOKUP(C_Ope_001[[#This Row],[NOTA 2]],Clientes_Proveedores[[Ruc / Dni]:[Razon Social]],2,0),"")</f>
        <v/>
      </c>
      <c r="Z165" s="25"/>
      <c r="AA165" s="130"/>
      <c r="AB165" s="3" t="str">
        <f>IF(C_Ope_001[[#This Row],[FECHA]]&gt;0,TEXT(C_Ope_001[[#This Row],[FECHA]],"mmmm"),0)</f>
        <v>Abril</v>
      </c>
    </row>
    <row r="166" spans="2:28" ht="24" x14ac:dyDescent="0.3">
      <c r="B166" s="2">
        <f>IF(C_Ope_001[[#This Row],[TIPO DE R.]]="R",COUNTIFS($D$4:$D165,"R")+1,"")</f>
        <v>162</v>
      </c>
      <c r="C166" s="19" t="str">
        <f t="shared" si="11"/>
        <v>C_Ope_001</v>
      </c>
      <c r="D166" s="3" t="s">
        <v>1074</v>
      </c>
      <c r="E166" s="14">
        <v>45761</v>
      </c>
      <c r="F166" s="5" t="s">
        <v>6538</v>
      </c>
      <c r="G166" s="5" t="s">
        <v>1079</v>
      </c>
      <c r="H166" s="6"/>
      <c r="I166" s="6" t="s">
        <v>14</v>
      </c>
      <c r="J166" s="6" t="s">
        <v>5244</v>
      </c>
      <c r="K166" s="6">
        <v>1705597</v>
      </c>
      <c r="L166" s="7" t="s">
        <v>6570</v>
      </c>
      <c r="M166" s="8">
        <v>23845</v>
      </c>
      <c r="N166" s="8" t="str">
        <f t="shared" si="15"/>
        <v>PEN</v>
      </c>
      <c r="O166" s="13"/>
      <c r="P166" s="13">
        <v>8</v>
      </c>
      <c r="Q166" s="3">
        <f t="shared" si="12"/>
        <v>0</v>
      </c>
      <c r="R166" s="3">
        <f t="shared" si="13"/>
        <v>8</v>
      </c>
      <c r="S166" s="3">
        <f t="shared" si="14"/>
        <v>215.74</v>
      </c>
      <c r="T166" s="24"/>
      <c r="U166" s="24"/>
      <c r="V166" s="3"/>
      <c r="W166" s="25" t="s">
        <v>6541</v>
      </c>
      <c r="X166" s="25"/>
      <c r="Y166" s="25" t="str">
        <f>IFERROR(VLOOKUP(C_Ope_001[[#This Row],[NOTA 2]],Clientes_Proveedores[[Ruc / Dni]:[Razon Social]],2,0),"")</f>
        <v/>
      </c>
      <c r="Z166" s="25"/>
      <c r="AA166" s="130"/>
      <c r="AB166" s="3" t="str">
        <f>IF(C_Ope_001[[#This Row],[FECHA]]&gt;0,TEXT(C_Ope_001[[#This Row],[FECHA]],"mmmm"),0)</f>
        <v>Abril</v>
      </c>
    </row>
    <row r="167" spans="2:28" x14ac:dyDescent="0.3">
      <c r="B167" s="2">
        <f>IF(C_Ope_001[[#This Row],[TIPO DE R.]]="R",COUNTIFS($D$4:$D166,"R")+1,"")</f>
        <v>163</v>
      </c>
      <c r="C167" s="19" t="str">
        <f t="shared" si="11"/>
        <v>C_Ope_001</v>
      </c>
      <c r="D167" s="3" t="s">
        <v>1074</v>
      </c>
      <c r="E167" s="14">
        <v>45761</v>
      </c>
      <c r="F167" s="5" t="s">
        <v>6538</v>
      </c>
      <c r="G167" s="5" t="s">
        <v>1079</v>
      </c>
      <c r="H167" s="6"/>
      <c r="I167" s="6" t="s">
        <v>14</v>
      </c>
      <c r="J167" s="6" t="s">
        <v>6556</v>
      </c>
      <c r="K167" s="6">
        <v>466091</v>
      </c>
      <c r="L167" s="7" t="s">
        <v>6629</v>
      </c>
      <c r="M167" s="8">
        <v>23846</v>
      </c>
      <c r="N167" s="8" t="str">
        <f t="shared" si="15"/>
        <v>PEN</v>
      </c>
      <c r="O167" s="13"/>
      <c r="P167" s="13">
        <v>8</v>
      </c>
      <c r="Q167" s="3">
        <f t="shared" si="12"/>
        <v>0</v>
      </c>
      <c r="R167" s="3">
        <f t="shared" si="13"/>
        <v>8</v>
      </c>
      <c r="S167" s="3">
        <f t="shared" si="14"/>
        <v>207.74</v>
      </c>
      <c r="T167" s="24"/>
      <c r="U167" s="24"/>
      <c r="V167" s="3"/>
      <c r="W167" s="25" t="s">
        <v>6630</v>
      </c>
      <c r="X167" s="25"/>
      <c r="Y167" s="25" t="str">
        <f>IFERROR(VLOOKUP(C_Ope_001[[#This Row],[NOTA 2]],Clientes_Proveedores[[Ruc / Dni]:[Razon Social]],2,0),"")</f>
        <v/>
      </c>
      <c r="Z167" s="25"/>
      <c r="AA167" s="130"/>
      <c r="AB167" s="3" t="str">
        <f>IF(C_Ope_001[[#This Row],[FECHA]]&gt;0,TEXT(C_Ope_001[[#This Row],[FECHA]],"mmmm"),0)</f>
        <v>Abril</v>
      </c>
    </row>
    <row r="168" spans="2:28" x14ac:dyDescent="0.3">
      <c r="B168" s="2">
        <f>IF(C_Ope_001[[#This Row],[TIPO DE R.]]="R",COUNTIFS($D$4:$D167,"R")+1,"")</f>
        <v>164</v>
      </c>
      <c r="C168" s="19" t="str">
        <f t="shared" si="11"/>
        <v>C_Ope_001</v>
      </c>
      <c r="D168" s="3" t="s">
        <v>1074</v>
      </c>
      <c r="E168" s="14">
        <v>45761</v>
      </c>
      <c r="F168" s="5" t="s">
        <v>6538</v>
      </c>
      <c r="G168" s="5" t="s">
        <v>1079</v>
      </c>
      <c r="H168" s="6"/>
      <c r="I168" s="6" t="s">
        <v>14</v>
      </c>
      <c r="J168" s="6" t="s">
        <v>5280</v>
      </c>
      <c r="K168" s="6">
        <v>1038051</v>
      </c>
      <c r="L168" s="7" t="s">
        <v>6629</v>
      </c>
      <c r="M168" s="8">
        <v>23863</v>
      </c>
      <c r="N168" s="8" t="str">
        <f t="shared" si="15"/>
        <v>PEN</v>
      </c>
      <c r="O168" s="13"/>
      <c r="P168" s="13">
        <v>8</v>
      </c>
      <c r="Q168" s="3">
        <f t="shared" si="12"/>
        <v>0</v>
      </c>
      <c r="R168" s="3">
        <f t="shared" si="13"/>
        <v>8</v>
      </c>
      <c r="S168" s="3">
        <f t="shared" si="14"/>
        <v>199.74</v>
      </c>
      <c r="T168" s="24"/>
      <c r="U168" s="24"/>
      <c r="V168" s="3"/>
      <c r="W168" s="25" t="s">
        <v>6630</v>
      </c>
      <c r="X168" s="25"/>
      <c r="Y168" s="25" t="str">
        <f>IFERROR(VLOOKUP(C_Ope_001[[#This Row],[NOTA 2]],Clientes_Proveedores[[Ruc / Dni]:[Razon Social]],2,0),"")</f>
        <v/>
      </c>
      <c r="Z168" s="25"/>
      <c r="AA168" s="130"/>
      <c r="AB168" s="3" t="str">
        <f>IF(C_Ope_001[[#This Row],[FECHA]]&gt;0,TEXT(C_Ope_001[[#This Row],[FECHA]],"mmmm"),0)</f>
        <v>Abril</v>
      </c>
    </row>
    <row r="169" spans="2:28" ht="24" x14ac:dyDescent="0.3">
      <c r="B169" s="2">
        <f>IF(C_Ope_001[[#This Row],[TIPO DE R.]]="R",COUNTIFS($D$4:$D168,"R")+1,"")</f>
        <v>165</v>
      </c>
      <c r="C169" s="19" t="str">
        <f t="shared" si="11"/>
        <v>C_Ope_001</v>
      </c>
      <c r="D169" s="3" t="s">
        <v>1074</v>
      </c>
      <c r="E169" s="14">
        <v>45762</v>
      </c>
      <c r="F169" s="5" t="s">
        <v>6538</v>
      </c>
      <c r="G169" s="5" t="s">
        <v>1079</v>
      </c>
      <c r="H169" s="6"/>
      <c r="I169" s="6" t="s">
        <v>14</v>
      </c>
      <c r="J169" s="6" t="s">
        <v>5245</v>
      </c>
      <c r="K169" s="6">
        <v>1726240</v>
      </c>
      <c r="L169" s="7" t="s">
        <v>6631</v>
      </c>
      <c r="M169" s="8">
        <v>23869</v>
      </c>
      <c r="N169" s="8" t="str">
        <f t="shared" si="15"/>
        <v>PEN</v>
      </c>
      <c r="O169" s="13"/>
      <c r="P169" s="13">
        <v>8</v>
      </c>
      <c r="Q169" s="3">
        <f t="shared" si="12"/>
        <v>0</v>
      </c>
      <c r="R169" s="3">
        <f t="shared" si="13"/>
        <v>8</v>
      </c>
      <c r="S169" s="3">
        <f t="shared" si="14"/>
        <v>191.74</v>
      </c>
      <c r="T169" s="24"/>
      <c r="U169" s="24"/>
      <c r="V169" s="3"/>
      <c r="W169" s="25" t="s">
        <v>6541</v>
      </c>
      <c r="X169" s="25"/>
      <c r="Y169" s="25" t="str">
        <f>IFERROR(VLOOKUP(C_Ope_001[[#This Row],[NOTA 2]],Clientes_Proveedores[[Ruc / Dni]:[Razon Social]],2,0),"")</f>
        <v/>
      </c>
      <c r="Z169" s="25"/>
      <c r="AA169" s="130"/>
      <c r="AB169" s="3" t="str">
        <f>IF(C_Ope_001[[#This Row],[FECHA]]&gt;0,TEXT(C_Ope_001[[#This Row],[FECHA]],"mmmm"),0)</f>
        <v>Abril</v>
      </c>
    </row>
    <row r="170" spans="2:28" ht="24" x14ac:dyDescent="0.3">
      <c r="B170" s="2">
        <f>IF(C_Ope_001[[#This Row],[TIPO DE R.]]="R",COUNTIFS($D$4:$D169,"R")+1,"")</f>
        <v>166</v>
      </c>
      <c r="C170" s="19" t="str">
        <f t="shared" si="11"/>
        <v>C_Ope_001</v>
      </c>
      <c r="D170" s="3" t="s">
        <v>1074</v>
      </c>
      <c r="E170" s="14">
        <v>45762</v>
      </c>
      <c r="F170" s="5" t="s">
        <v>6538</v>
      </c>
      <c r="G170" s="5" t="s">
        <v>1079</v>
      </c>
      <c r="H170" s="6"/>
      <c r="I170" s="6" t="s">
        <v>14</v>
      </c>
      <c r="J170" s="6" t="s">
        <v>5243</v>
      </c>
      <c r="K170" s="6">
        <v>2300333</v>
      </c>
      <c r="L170" s="7" t="s">
        <v>6631</v>
      </c>
      <c r="M170" s="8">
        <v>23870</v>
      </c>
      <c r="N170" s="8" t="str">
        <f t="shared" si="15"/>
        <v>PEN</v>
      </c>
      <c r="O170" s="13"/>
      <c r="P170" s="13">
        <v>8</v>
      </c>
      <c r="Q170" s="3">
        <f t="shared" si="12"/>
        <v>0</v>
      </c>
      <c r="R170" s="3">
        <f t="shared" si="13"/>
        <v>8</v>
      </c>
      <c r="S170" s="3">
        <f t="shared" si="14"/>
        <v>183.74</v>
      </c>
      <c r="T170" s="24"/>
      <c r="U170" s="24"/>
      <c r="V170" s="3"/>
      <c r="W170" s="25" t="s">
        <v>6541</v>
      </c>
      <c r="X170" s="25"/>
      <c r="Y170" s="25" t="str">
        <f>IFERROR(VLOOKUP(C_Ope_001[[#This Row],[NOTA 2]],Clientes_Proveedores[[Ruc / Dni]:[Razon Social]],2,0),"")</f>
        <v/>
      </c>
      <c r="Z170" s="25"/>
      <c r="AA170" s="130"/>
      <c r="AB170" s="3" t="str">
        <f>IF(C_Ope_001[[#This Row],[FECHA]]&gt;0,TEXT(C_Ope_001[[#This Row],[FECHA]],"mmmm"),0)</f>
        <v>Abril</v>
      </c>
    </row>
    <row r="171" spans="2:28" ht="24" x14ac:dyDescent="0.3">
      <c r="B171" s="2">
        <f>IF(C_Ope_001[[#This Row],[TIPO DE R.]]="R",COUNTIFS($D$4:$D170,"R")+1,"")</f>
        <v>167</v>
      </c>
      <c r="C171" s="19" t="str">
        <f t="shared" si="11"/>
        <v>C_Ope_001</v>
      </c>
      <c r="D171" s="3" t="s">
        <v>1074</v>
      </c>
      <c r="E171" s="14">
        <v>45763</v>
      </c>
      <c r="F171" s="5" t="s">
        <v>6538</v>
      </c>
      <c r="G171" s="5" t="s">
        <v>1079</v>
      </c>
      <c r="H171" s="6"/>
      <c r="I171" s="6" t="s">
        <v>14</v>
      </c>
      <c r="J171" s="6" t="s">
        <v>5244</v>
      </c>
      <c r="K171" s="6">
        <v>1707349</v>
      </c>
      <c r="L171" s="7" t="s">
        <v>6632</v>
      </c>
      <c r="M171" s="8">
        <v>23891</v>
      </c>
      <c r="N171" s="8" t="str">
        <f t="shared" si="15"/>
        <v>PEN</v>
      </c>
      <c r="O171" s="13"/>
      <c r="P171" s="13">
        <v>8</v>
      </c>
      <c r="Q171" s="3">
        <f t="shared" si="12"/>
        <v>0</v>
      </c>
      <c r="R171" s="3">
        <f t="shared" si="13"/>
        <v>8</v>
      </c>
      <c r="S171" s="3">
        <f t="shared" si="14"/>
        <v>175.74</v>
      </c>
      <c r="T171" s="24"/>
      <c r="U171" s="24"/>
      <c r="V171" s="3"/>
      <c r="W171" s="25" t="s">
        <v>6541</v>
      </c>
      <c r="X171" s="25"/>
      <c r="Y171" s="25" t="str">
        <f>IFERROR(VLOOKUP(C_Ope_001[[#This Row],[NOTA 2]],Clientes_Proveedores[[Ruc / Dni]:[Razon Social]],2,0),"")</f>
        <v/>
      </c>
      <c r="Z171" s="25"/>
      <c r="AA171" s="130"/>
      <c r="AB171" s="3" t="str">
        <f>IF(C_Ope_001[[#This Row],[FECHA]]&gt;0,TEXT(C_Ope_001[[#This Row],[FECHA]],"mmmm"),0)</f>
        <v>Abril</v>
      </c>
    </row>
    <row r="172" spans="2:28" ht="24" x14ac:dyDescent="0.3">
      <c r="B172" s="2">
        <f>IF(C_Ope_001[[#This Row],[TIPO DE R.]]="R",COUNTIFS($D$4:$D171,"R")+1,"")</f>
        <v>168</v>
      </c>
      <c r="C172" s="19" t="str">
        <f t="shared" si="11"/>
        <v>C_Ope_001</v>
      </c>
      <c r="D172" s="3" t="s">
        <v>1074</v>
      </c>
      <c r="E172" s="14">
        <v>45763</v>
      </c>
      <c r="F172" s="5" t="s">
        <v>6538</v>
      </c>
      <c r="G172" s="5" t="s">
        <v>1079</v>
      </c>
      <c r="H172" s="6"/>
      <c r="I172" s="6" t="s">
        <v>14</v>
      </c>
      <c r="J172" s="6" t="s">
        <v>5245</v>
      </c>
      <c r="K172" s="6">
        <v>1727203</v>
      </c>
      <c r="L172" s="7" t="s">
        <v>6632</v>
      </c>
      <c r="M172" s="8">
        <v>23901</v>
      </c>
      <c r="N172" s="8" t="str">
        <f t="shared" si="15"/>
        <v>PEN</v>
      </c>
      <c r="O172" s="13"/>
      <c r="P172" s="13">
        <v>8</v>
      </c>
      <c r="Q172" s="3">
        <f t="shared" si="12"/>
        <v>0</v>
      </c>
      <c r="R172" s="3">
        <f t="shared" si="13"/>
        <v>8</v>
      </c>
      <c r="S172" s="3">
        <f t="shared" si="14"/>
        <v>167.74</v>
      </c>
      <c r="T172" s="24"/>
      <c r="U172" s="24"/>
      <c r="V172" s="3"/>
      <c r="W172" s="25" t="s">
        <v>6541</v>
      </c>
      <c r="X172" s="25"/>
      <c r="Y172" s="25" t="str">
        <f>IFERROR(VLOOKUP(C_Ope_001[[#This Row],[NOTA 2]],Clientes_Proveedores[[Ruc / Dni]:[Razon Social]],2,0),"")</f>
        <v/>
      </c>
      <c r="Z172" s="25"/>
      <c r="AA172" s="130"/>
      <c r="AB172" s="3" t="str">
        <f>IF(C_Ope_001[[#This Row],[FECHA]]&gt;0,TEXT(C_Ope_001[[#This Row],[FECHA]],"mmmm"),0)</f>
        <v>Abril</v>
      </c>
    </row>
    <row r="173" spans="2:28" x14ac:dyDescent="0.3">
      <c r="B173" s="2">
        <f>IF(C_Ope_001[[#This Row],[TIPO DE R.]]="R",COUNTIFS($D$4:$D172,"R")+1,"")</f>
        <v>169</v>
      </c>
      <c r="C173" s="19" t="str">
        <f t="shared" si="11"/>
        <v>C_Ope_001</v>
      </c>
      <c r="D173" s="3" t="s">
        <v>1074</v>
      </c>
      <c r="E173" s="14">
        <v>45761</v>
      </c>
      <c r="F173" s="5" t="s">
        <v>6538</v>
      </c>
      <c r="G173" s="5" t="s">
        <v>1079</v>
      </c>
      <c r="H173" s="6"/>
      <c r="I173" s="6" t="s">
        <v>14</v>
      </c>
      <c r="J173" s="6" t="s">
        <v>1119</v>
      </c>
      <c r="K173" s="6">
        <v>17297</v>
      </c>
      <c r="L173" s="7" t="s">
        <v>6633</v>
      </c>
      <c r="M173" s="8">
        <v>23847</v>
      </c>
      <c r="N173" s="8" t="str">
        <f t="shared" si="15"/>
        <v>PEN</v>
      </c>
      <c r="O173" s="13"/>
      <c r="P173" s="13">
        <v>11</v>
      </c>
      <c r="Q173" s="3">
        <f t="shared" si="12"/>
        <v>0</v>
      </c>
      <c r="R173" s="3">
        <f t="shared" si="13"/>
        <v>11</v>
      </c>
      <c r="S173" s="3">
        <f t="shared" si="14"/>
        <v>156.74</v>
      </c>
      <c r="T173" s="24"/>
      <c r="U173" s="24"/>
      <c r="V173" s="3"/>
      <c r="W173" s="25" t="s">
        <v>6630</v>
      </c>
      <c r="X173" s="25"/>
      <c r="Y173" s="25" t="str">
        <f>IFERROR(VLOOKUP(C_Ope_001[[#This Row],[NOTA 2]],Clientes_Proveedores[[Ruc / Dni]:[Razon Social]],2,0),"")</f>
        <v/>
      </c>
      <c r="Z173" s="25"/>
      <c r="AA173" s="130"/>
      <c r="AB173" s="3" t="str">
        <f>IF(C_Ope_001[[#This Row],[FECHA]]&gt;0,TEXT(C_Ope_001[[#This Row],[FECHA]],"mmmm"),0)</f>
        <v>Abril</v>
      </c>
    </row>
    <row r="174" spans="2:28" x14ac:dyDescent="0.3">
      <c r="B174" s="2">
        <f>IF(C_Ope_001[[#This Row],[TIPO DE R.]]="R",COUNTIFS($D$4:$D173,"R")+1,"")</f>
        <v>170</v>
      </c>
      <c r="C174" s="19" t="str">
        <f t="shared" si="11"/>
        <v>C_Ope_001</v>
      </c>
      <c r="D174" s="3" t="s">
        <v>1074</v>
      </c>
      <c r="E174" s="14">
        <v>45762</v>
      </c>
      <c r="F174" s="5" t="s">
        <v>6538</v>
      </c>
      <c r="G174" s="5" t="s">
        <v>1079</v>
      </c>
      <c r="H174" s="6"/>
      <c r="I174" s="6" t="s">
        <v>14</v>
      </c>
      <c r="J174" s="6" t="s">
        <v>1088</v>
      </c>
      <c r="K174" s="6">
        <v>34364</v>
      </c>
      <c r="L174" s="7" t="s">
        <v>6634</v>
      </c>
      <c r="M174" s="8">
        <v>23864</v>
      </c>
      <c r="N174" s="8" t="str">
        <f t="shared" si="15"/>
        <v>PEN</v>
      </c>
      <c r="O174" s="13"/>
      <c r="P174" s="13">
        <v>5</v>
      </c>
      <c r="Q174" s="3">
        <f t="shared" si="12"/>
        <v>0</v>
      </c>
      <c r="R174" s="3">
        <f t="shared" si="13"/>
        <v>5</v>
      </c>
      <c r="S174" s="3">
        <f t="shared" si="14"/>
        <v>151.74</v>
      </c>
      <c r="T174" s="24"/>
      <c r="U174" s="24"/>
      <c r="V174" s="3"/>
      <c r="W174" s="25" t="s">
        <v>6541</v>
      </c>
      <c r="X174" s="25"/>
      <c r="Y174" s="25" t="str">
        <f>IFERROR(VLOOKUP(C_Ope_001[[#This Row],[NOTA 2]],Clientes_Proveedores[[Ruc / Dni]:[Razon Social]],2,0),"")</f>
        <v/>
      </c>
      <c r="Z174" s="25"/>
      <c r="AA174" s="130"/>
      <c r="AB174" s="3" t="str">
        <f>IF(C_Ope_001[[#This Row],[FECHA]]&gt;0,TEXT(C_Ope_001[[#This Row],[FECHA]],"mmmm"),0)</f>
        <v>Abril</v>
      </c>
    </row>
    <row r="175" spans="2:28" ht="24" x14ac:dyDescent="0.3">
      <c r="B175" s="2">
        <f>IF(C_Ope_001[[#This Row],[TIPO DE R.]]="R",COUNTIFS($D$4:$D174,"R")+1,"")</f>
        <v>171</v>
      </c>
      <c r="C175" s="19" t="str">
        <f t="shared" si="11"/>
        <v>C_Ope_001</v>
      </c>
      <c r="D175" s="3" t="s">
        <v>1074</v>
      </c>
      <c r="E175" s="14">
        <v>45762</v>
      </c>
      <c r="F175" s="5" t="s">
        <v>6538</v>
      </c>
      <c r="G175" s="5" t="s">
        <v>1079</v>
      </c>
      <c r="H175" s="6"/>
      <c r="I175" s="6" t="s">
        <v>14</v>
      </c>
      <c r="J175" s="6" t="s">
        <v>1088</v>
      </c>
      <c r="K175" s="6">
        <v>34360</v>
      </c>
      <c r="L175" s="7" t="s">
        <v>6635</v>
      </c>
      <c r="M175" s="8">
        <v>23865</v>
      </c>
      <c r="N175" s="8" t="str">
        <f t="shared" si="15"/>
        <v>PEN</v>
      </c>
      <c r="O175" s="13"/>
      <c r="P175" s="13">
        <v>10</v>
      </c>
      <c r="Q175" s="3">
        <f t="shared" si="12"/>
        <v>0</v>
      </c>
      <c r="R175" s="3">
        <f t="shared" si="13"/>
        <v>10</v>
      </c>
      <c r="S175" s="3">
        <f t="shared" si="14"/>
        <v>141.74</v>
      </c>
      <c r="T175" s="24"/>
      <c r="U175" s="24"/>
      <c r="V175" s="3"/>
      <c r="W175" s="25" t="s">
        <v>6541</v>
      </c>
      <c r="X175" s="25"/>
      <c r="Y175" s="25" t="str">
        <f>IFERROR(VLOOKUP(C_Ope_001[[#This Row],[NOTA 2]],Clientes_Proveedores[[Ruc / Dni]:[Razon Social]],2,0),"")</f>
        <v/>
      </c>
      <c r="Z175" s="25"/>
      <c r="AA175" s="130"/>
      <c r="AB175" s="3" t="str">
        <f>IF(C_Ope_001[[#This Row],[FECHA]]&gt;0,TEXT(C_Ope_001[[#This Row],[FECHA]],"mmmm"),0)</f>
        <v>Abril</v>
      </c>
    </row>
    <row r="176" spans="2:28" ht="24" x14ac:dyDescent="0.3">
      <c r="B176" s="2">
        <f>IF(C_Ope_001[[#This Row],[TIPO DE R.]]="R",COUNTIFS($D$4:$D175,"R")+1,"")</f>
        <v>172</v>
      </c>
      <c r="C176" s="19" t="str">
        <f t="shared" si="11"/>
        <v>C_Ope_001</v>
      </c>
      <c r="D176" s="3" t="s">
        <v>1074</v>
      </c>
      <c r="E176" s="14">
        <v>45768</v>
      </c>
      <c r="F176" s="5" t="s">
        <v>6538</v>
      </c>
      <c r="G176" s="5" t="s">
        <v>1079</v>
      </c>
      <c r="H176" s="6"/>
      <c r="I176" s="6" t="s">
        <v>14</v>
      </c>
      <c r="J176" s="6" t="s">
        <v>5244</v>
      </c>
      <c r="K176" s="6">
        <v>1710765</v>
      </c>
      <c r="L176" s="7" t="s">
        <v>6558</v>
      </c>
      <c r="M176" s="8">
        <v>23934</v>
      </c>
      <c r="N176" s="8" t="str">
        <f t="shared" si="15"/>
        <v>PEN</v>
      </c>
      <c r="O176" s="13"/>
      <c r="P176" s="13">
        <v>8</v>
      </c>
      <c r="Q176" s="3">
        <f t="shared" si="12"/>
        <v>0</v>
      </c>
      <c r="R176" s="3">
        <f t="shared" si="13"/>
        <v>8</v>
      </c>
      <c r="S176" s="3">
        <f t="shared" si="14"/>
        <v>133.74</v>
      </c>
      <c r="T176" s="24"/>
      <c r="U176" s="24"/>
      <c r="V176" s="3"/>
      <c r="W176" s="25" t="s">
        <v>6546</v>
      </c>
      <c r="X176" s="25"/>
      <c r="Y176" s="25" t="str">
        <f>IFERROR(VLOOKUP(C_Ope_001[[#This Row],[NOTA 2]],Clientes_Proveedores[[Ruc / Dni]:[Razon Social]],2,0),"")</f>
        <v/>
      </c>
      <c r="Z176" s="25"/>
      <c r="AA176" s="130"/>
      <c r="AB176" s="3" t="str">
        <f>IF(C_Ope_001[[#This Row],[FECHA]]&gt;0,TEXT(C_Ope_001[[#This Row],[FECHA]],"mmmm"),0)</f>
        <v>Abril</v>
      </c>
    </row>
    <row r="177" spans="2:28" ht="24" x14ac:dyDescent="0.3">
      <c r="B177" s="2">
        <f>IF(C_Ope_001[[#This Row],[TIPO DE R.]]="R",COUNTIFS($D$4:$D176,"R")+1,"")</f>
        <v>173</v>
      </c>
      <c r="C177" s="19" t="str">
        <f t="shared" si="11"/>
        <v>C_Ope_001</v>
      </c>
      <c r="D177" s="3" t="s">
        <v>1074</v>
      </c>
      <c r="E177" s="14">
        <v>45768</v>
      </c>
      <c r="F177" s="5" t="s">
        <v>6538</v>
      </c>
      <c r="G177" s="5" t="s">
        <v>1079</v>
      </c>
      <c r="H177" s="6"/>
      <c r="I177" s="6" t="s">
        <v>14</v>
      </c>
      <c r="J177" s="6" t="s">
        <v>6556</v>
      </c>
      <c r="K177" s="6">
        <v>467688</v>
      </c>
      <c r="L177" s="7" t="s">
        <v>6557</v>
      </c>
      <c r="M177" s="8">
        <v>23935</v>
      </c>
      <c r="N177" s="8" t="str">
        <f t="shared" si="15"/>
        <v>PEN</v>
      </c>
      <c r="O177" s="13"/>
      <c r="P177" s="13">
        <v>8</v>
      </c>
      <c r="Q177" s="3">
        <f t="shared" si="12"/>
        <v>0</v>
      </c>
      <c r="R177" s="3">
        <f t="shared" si="13"/>
        <v>8</v>
      </c>
      <c r="S177" s="3">
        <f t="shared" si="14"/>
        <v>125.74000000000001</v>
      </c>
      <c r="T177" s="24"/>
      <c r="U177" s="24"/>
      <c r="V177" s="3"/>
      <c r="W177" s="25" t="s">
        <v>6546</v>
      </c>
      <c r="X177" s="25"/>
      <c r="Y177" s="25" t="str">
        <f>IFERROR(VLOOKUP(C_Ope_001[[#This Row],[NOTA 2]],Clientes_Proveedores[[Ruc / Dni]:[Razon Social]],2,0),"")</f>
        <v/>
      </c>
      <c r="Z177" s="25"/>
      <c r="AA177" s="130"/>
      <c r="AB177" s="3" t="str">
        <f>IF(C_Ope_001[[#This Row],[FECHA]]&gt;0,TEXT(C_Ope_001[[#This Row],[FECHA]],"mmmm"),0)</f>
        <v>Abril</v>
      </c>
    </row>
    <row r="178" spans="2:28" ht="24" x14ac:dyDescent="0.3">
      <c r="B178" s="2">
        <f>IF(C_Ope_001[[#This Row],[TIPO DE R.]]="R",COUNTIFS($D$4:$D177,"R")+1,"")</f>
        <v>174</v>
      </c>
      <c r="C178" s="19" t="str">
        <f t="shared" si="11"/>
        <v>C_Ope_001</v>
      </c>
      <c r="D178" s="3" t="s">
        <v>1074</v>
      </c>
      <c r="E178" s="14">
        <v>45768</v>
      </c>
      <c r="F178" s="5" t="s">
        <v>6538</v>
      </c>
      <c r="G178" s="5" t="s">
        <v>1079</v>
      </c>
      <c r="H178" s="6"/>
      <c r="I178" s="6" t="s">
        <v>14</v>
      </c>
      <c r="J178" s="6" t="s">
        <v>5245</v>
      </c>
      <c r="K178" s="6">
        <v>1730838</v>
      </c>
      <c r="L178" s="7" t="s">
        <v>6558</v>
      </c>
      <c r="M178" s="8">
        <v>23938</v>
      </c>
      <c r="N178" s="8" t="str">
        <f t="shared" si="15"/>
        <v>PEN</v>
      </c>
      <c r="O178" s="13"/>
      <c r="P178" s="13">
        <v>8</v>
      </c>
      <c r="Q178" s="3">
        <f t="shared" si="12"/>
        <v>0</v>
      </c>
      <c r="R178" s="3">
        <f t="shared" si="13"/>
        <v>8</v>
      </c>
      <c r="S178" s="3">
        <f t="shared" si="14"/>
        <v>117.74000000000001</v>
      </c>
      <c r="T178" s="24"/>
      <c r="U178" s="24"/>
      <c r="V178" s="3"/>
      <c r="W178" s="25" t="s">
        <v>6546</v>
      </c>
      <c r="X178" s="25"/>
      <c r="Y178" s="25" t="str">
        <f>IFERROR(VLOOKUP(C_Ope_001[[#This Row],[NOTA 2]],Clientes_Proveedores[[Ruc / Dni]:[Razon Social]],2,0),"")</f>
        <v/>
      </c>
      <c r="Z178" s="25"/>
      <c r="AA178" s="130"/>
      <c r="AB178" s="3" t="str">
        <f>IF(C_Ope_001[[#This Row],[FECHA]]&gt;0,TEXT(C_Ope_001[[#This Row],[FECHA]],"mmmm"),0)</f>
        <v>Abril</v>
      </c>
    </row>
    <row r="179" spans="2:28" ht="24" x14ac:dyDescent="0.3">
      <c r="B179" s="2">
        <f>IF(C_Ope_001[[#This Row],[TIPO DE R.]]="R",COUNTIFS($D$4:$D178,"R")+1,"")</f>
        <v>175</v>
      </c>
      <c r="C179" s="19" t="str">
        <f t="shared" si="11"/>
        <v>C_Ope_001</v>
      </c>
      <c r="D179" s="3" t="s">
        <v>1074</v>
      </c>
      <c r="E179" s="14">
        <v>45768</v>
      </c>
      <c r="F179" s="5" t="s">
        <v>6538</v>
      </c>
      <c r="G179" s="5" t="s">
        <v>1079</v>
      </c>
      <c r="H179" s="6"/>
      <c r="I179" s="6" t="s">
        <v>14</v>
      </c>
      <c r="J179" s="6" t="s">
        <v>6559</v>
      </c>
      <c r="K179" s="6">
        <v>379935</v>
      </c>
      <c r="L179" s="7" t="s">
        <v>6557</v>
      </c>
      <c r="M179" s="8">
        <v>23939</v>
      </c>
      <c r="N179" s="8" t="str">
        <f t="shared" si="15"/>
        <v>PEN</v>
      </c>
      <c r="O179" s="13"/>
      <c r="P179" s="13">
        <v>8</v>
      </c>
      <c r="Q179" s="3">
        <f t="shared" si="12"/>
        <v>0</v>
      </c>
      <c r="R179" s="3">
        <f t="shared" si="13"/>
        <v>8</v>
      </c>
      <c r="S179" s="3">
        <f t="shared" si="14"/>
        <v>109.74000000000001</v>
      </c>
      <c r="T179" s="24"/>
      <c r="U179" s="24"/>
      <c r="V179" s="3"/>
      <c r="W179" s="25" t="s">
        <v>6546</v>
      </c>
      <c r="X179" s="25"/>
      <c r="Y179" s="25" t="str">
        <f>IFERROR(VLOOKUP(C_Ope_001[[#This Row],[NOTA 2]],Clientes_Proveedores[[Ruc / Dni]:[Razon Social]],2,0),"")</f>
        <v/>
      </c>
      <c r="Z179" s="25"/>
      <c r="AA179" s="130"/>
      <c r="AB179" s="3" t="str">
        <f>IF(C_Ope_001[[#This Row],[FECHA]]&gt;0,TEXT(C_Ope_001[[#This Row],[FECHA]],"mmmm"),0)</f>
        <v>Abril</v>
      </c>
    </row>
    <row r="180" spans="2:28" ht="36" x14ac:dyDescent="0.3">
      <c r="B180" s="2">
        <f>IF(C_Ope_001[[#This Row],[TIPO DE R.]]="R",COUNTIFS($D$4:$D179,"R")+1,"")</f>
        <v>176</v>
      </c>
      <c r="C180" s="19" t="str">
        <f t="shared" si="11"/>
        <v>C_Ope_001</v>
      </c>
      <c r="D180" s="3" t="s">
        <v>1074</v>
      </c>
      <c r="E180" s="14">
        <v>45771</v>
      </c>
      <c r="F180" s="5" t="s">
        <v>6538</v>
      </c>
      <c r="G180" s="5" t="s">
        <v>1079</v>
      </c>
      <c r="H180" s="6"/>
      <c r="I180" s="6" t="s">
        <v>14</v>
      </c>
      <c r="J180" s="6" t="s">
        <v>5245</v>
      </c>
      <c r="K180" s="6">
        <v>1733484</v>
      </c>
      <c r="L180" s="7" t="s">
        <v>6636</v>
      </c>
      <c r="M180" s="8">
        <v>23979</v>
      </c>
      <c r="N180" s="8" t="str">
        <f t="shared" si="15"/>
        <v>PEN</v>
      </c>
      <c r="O180" s="13"/>
      <c r="P180" s="13">
        <v>8</v>
      </c>
      <c r="Q180" s="3">
        <f t="shared" si="12"/>
        <v>0</v>
      </c>
      <c r="R180" s="3">
        <f t="shared" si="13"/>
        <v>8</v>
      </c>
      <c r="S180" s="3">
        <f t="shared" si="14"/>
        <v>101.74000000000001</v>
      </c>
      <c r="T180" s="24"/>
      <c r="U180" s="24"/>
      <c r="V180" s="3"/>
      <c r="W180" s="25" t="s">
        <v>6541</v>
      </c>
      <c r="X180" s="25"/>
      <c r="Y180" s="25" t="str">
        <f>IFERROR(VLOOKUP(C_Ope_001[[#This Row],[NOTA 2]],Clientes_Proveedores[[Ruc / Dni]:[Razon Social]],2,0),"")</f>
        <v/>
      </c>
      <c r="Z180" s="25"/>
      <c r="AA180" s="130"/>
      <c r="AB180" s="3" t="str">
        <f>IF(C_Ope_001[[#This Row],[FECHA]]&gt;0,TEXT(C_Ope_001[[#This Row],[FECHA]],"mmmm"),0)</f>
        <v>Abril</v>
      </c>
    </row>
    <row r="181" spans="2:28" ht="36" x14ac:dyDescent="0.3">
      <c r="B181" s="2">
        <f>IF(C_Ope_001[[#This Row],[TIPO DE R.]]="R",COUNTIFS($D$4:$D180,"R")+1,"")</f>
        <v>177</v>
      </c>
      <c r="C181" s="19" t="str">
        <f t="shared" si="11"/>
        <v>C_Ope_001</v>
      </c>
      <c r="D181" s="3" t="s">
        <v>1074</v>
      </c>
      <c r="E181" s="14">
        <v>45771</v>
      </c>
      <c r="F181" s="5" t="s">
        <v>6538</v>
      </c>
      <c r="G181" s="5" t="s">
        <v>1079</v>
      </c>
      <c r="H181" s="6"/>
      <c r="I181" s="6" t="s">
        <v>14</v>
      </c>
      <c r="J181" s="6" t="s">
        <v>5244</v>
      </c>
      <c r="K181" s="6">
        <v>1713463</v>
      </c>
      <c r="L181" s="7" t="s">
        <v>6636</v>
      </c>
      <c r="M181" s="8">
        <v>23980</v>
      </c>
      <c r="N181" s="8" t="str">
        <f t="shared" si="15"/>
        <v>PEN</v>
      </c>
      <c r="O181" s="13"/>
      <c r="P181" s="13">
        <v>8</v>
      </c>
      <c r="Q181" s="3">
        <f t="shared" si="12"/>
        <v>0</v>
      </c>
      <c r="R181" s="3">
        <f t="shared" si="13"/>
        <v>8</v>
      </c>
      <c r="S181" s="3">
        <f t="shared" si="14"/>
        <v>93.740000000000009</v>
      </c>
      <c r="T181" s="24"/>
      <c r="U181" s="24"/>
      <c r="V181" s="3"/>
      <c r="W181" s="25" t="s">
        <v>6541</v>
      </c>
      <c r="X181" s="25"/>
      <c r="Y181" s="25" t="str">
        <f>IFERROR(VLOOKUP(C_Ope_001[[#This Row],[NOTA 2]],Clientes_Proveedores[[Ruc / Dni]:[Razon Social]],2,0),"")</f>
        <v/>
      </c>
      <c r="Z181" s="25"/>
      <c r="AA181" s="130"/>
      <c r="AB181" s="3" t="str">
        <f>IF(C_Ope_001[[#This Row],[FECHA]]&gt;0,TEXT(C_Ope_001[[#This Row],[FECHA]],"mmmm"),0)</f>
        <v>Abril</v>
      </c>
    </row>
    <row r="182" spans="2:28" ht="24" x14ac:dyDescent="0.3">
      <c r="B182" s="2">
        <f>IF(C_Ope_001[[#This Row],[TIPO DE R.]]="R",COUNTIFS($D$4:$D181,"R")+1,"")</f>
        <v>178</v>
      </c>
      <c r="C182" s="19" t="str">
        <f t="shared" si="11"/>
        <v>C_Ope_001</v>
      </c>
      <c r="D182" s="3" t="s">
        <v>1074</v>
      </c>
      <c r="E182" s="14">
        <v>45772</v>
      </c>
      <c r="F182" s="5" t="s">
        <v>6538</v>
      </c>
      <c r="G182" s="5" t="s">
        <v>1079</v>
      </c>
      <c r="H182" s="6"/>
      <c r="I182" s="6" t="s">
        <v>14</v>
      </c>
      <c r="J182" s="6" t="s">
        <v>5244</v>
      </c>
      <c r="K182" s="6">
        <v>1714440</v>
      </c>
      <c r="L182" s="7" t="s">
        <v>6637</v>
      </c>
      <c r="M182" s="8">
        <v>23990</v>
      </c>
      <c r="N182" s="8" t="str">
        <f t="shared" si="15"/>
        <v>PEN</v>
      </c>
      <c r="O182" s="13"/>
      <c r="P182" s="13">
        <v>8</v>
      </c>
      <c r="Q182" s="3">
        <f t="shared" si="12"/>
        <v>0</v>
      </c>
      <c r="R182" s="3">
        <f t="shared" si="13"/>
        <v>8</v>
      </c>
      <c r="S182" s="3">
        <f t="shared" si="14"/>
        <v>85.740000000000009</v>
      </c>
      <c r="T182" s="24"/>
      <c r="U182" s="24"/>
      <c r="V182" s="3"/>
      <c r="W182" s="25" t="s">
        <v>6541</v>
      </c>
      <c r="X182" s="25"/>
      <c r="Y182" s="25" t="str">
        <f>IFERROR(VLOOKUP(C_Ope_001[[#This Row],[NOTA 2]],Clientes_Proveedores[[Ruc / Dni]:[Razon Social]],2,0),"")</f>
        <v/>
      </c>
      <c r="Z182" s="25"/>
      <c r="AA182" s="130"/>
      <c r="AB182" s="3" t="str">
        <f>IF(C_Ope_001[[#This Row],[FECHA]]&gt;0,TEXT(C_Ope_001[[#This Row],[FECHA]],"mmmm"),0)</f>
        <v>Abril</v>
      </c>
    </row>
    <row r="183" spans="2:28" ht="24" x14ac:dyDescent="0.3">
      <c r="B183" s="2">
        <f>IF(C_Ope_001[[#This Row],[TIPO DE R.]]="R",COUNTIFS($D$4:$D182,"R")+1,"")</f>
        <v>179</v>
      </c>
      <c r="C183" s="19" t="str">
        <f t="shared" si="11"/>
        <v>C_Ope_001</v>
      </c>
      <c r="D183" s="3" t="s">
        <v>1074</v>
      </c>
      <c r="E183" s="14">
        <v>45772</v>
      </c>
      <c r="F183" s="5" t="s">
        <v>6538</v>
      </c>
      <c r="G183" s="5" t="s">
        <v>1079</v>
      </c>
      <c r="H183" s="6"/>
      <c r="I183" s="6" t="s">
        <v>14</v>
      </c>
      <c r="J183" s="6" t="s">
        <v>5242</v>
      </c>
      <c r="K183" s="6">
        <v>2031795</v>
      </c>
      <c r="L183" s="7" t="s">
        <v>6637</v>
      </c>
      <c r="M183" s="8">
        <v>23991</v>
      </c>
      <c r="N183" s="8" t="str">
        <f t="shared" si="15"/>
        <v>PEN</v>
      </c>
      <c r="O183" s="13"/>
      <c r="P183" s="13">
        <v>5</v>
      </c>
      <c r="Q183" s="3">
        <f t="shared" si="12"/>
        <v>0</v>
      </c>
      <c r="R183" s="3">
        <f t="shared" si="13"/>
        <v>5</v>
      </c>
      <c r="S183" s="3">
        <f t="shared" si="14"/>
        <v>80.740000000000009</v>
      </c>
      <c r="T183" s="24"/>
      <c r="U183" s="24"/>
      <c r="V183" s="3"/>
      <c r="W183" s="25" t="s">
        <v>6541</v>
      </c>
      <c r="X183" s="25"/>
      <c r="Y183" s="25" t="str">
        <f>IFERROR(VLOOKUP(C_Ope_001[[#This Row],[NOTA 2]],Clientes_Proveedores[[Ruc / Dni]:[Razon Social]],2,0),"")</f>
        <v/>
      </c>
      <c r="Z183" s="25"/>
      <c r="AA183" s="130"/>
      <c r="AB183" s="3" t="str">
        <f>IF(C_Ope_001[[#This Row],[FECHA]]&gt;0,TEXT(C_Ope_001[[#This Row],[FECHA]],"mmmm"),0)</f>
        <v>Abril</v>
      </c>
    </row>
    <row r="184" spans="2:28" ht="24" x14ac:dyDescent="0.3">
      <c r="B184" s="2">
        <f>IF(C_Ope_001[[#This Row],[TIPO DE R.]]="R",COUNTIFS($D$4:$D183,"R")+1,"")</f>
        <v>180</v>
      </c>
      <c r="C184" s="19" t="str">
        <f t="shared" si="11"/>
        <v>C_Ope_001</v>
      </c>
      <c r="D184" s="3" t="s">
        <v>1074</v>
      </c>
      <c r="E184" s="14">
        <v>45768</v>
      </c>
      <c r="F184" s="5" t="s">
        <v>6538</v>
      </c>
      <c r="G184" s="5" t="s">
        <v>1079</v>
      </c>
      <c r="H184" s="6"/>
      <c r="I184" s="6" t="s">
        <v>14</v>
      </c>
      <c r="J184" s="6" t="s">
        <v>1119</v>
      </c>
      <c r="K184" s="6">
        <v>17340</v>
      </c>
      <c r="L184" s="7" t="s">
        <v>6564</v>
      </c>
      <c r="M184" s="8">
        <v>23936</v>
      </c>
      <c r="N184" s="8" t="str">
        <f t="shared" si="15"/>
        <v>PEN</v>
      </c>
      <c r="O184" s="13"/>
      <c r="P184" s="13">
        <v>11</v>
      </c>
      <c r="Q184" s="3">
        <f t="shared" si="12"/>
        <v>0</v>
      </c>
      <c r="R184" s="3">
        <f t="shared" si="13"/>
        <v>11</v>
      </c>
      <c r="S184" s="3">
        <f t="shared" si="14"/>
        <v>69.740000000000009</v>
      </c>
      <c r="T184" s="24"/>
      <c r="U184" s="24"/>
      <c r="V184" s="3"/>
      <c r="W184" s="25" t="s">
        <v>6546</v>
      </c>
      <c r="X184" s="25"/>
      <c r="Y184" s="25" t="str">
        <f>IFERROR(VLOOKUP(C_Ope_001[[#This Row],[NOTA 2]],Clientes_Proveedores[[Ruc / Dni]:[Razon Social]],2,0),"")</f>
        <v/>
      </c>
      <c r="Z184" s="25"/>
      <c r="AA184" s="130"/>
      <c r="AB184" s="3" t="str">
        <f>IF(C_Ope_001[[#This Row],[FECHA]]&gt;0,TEXT(C_Ope_001[[#This Row],[FECHA]],"mmmm"),0)</f>
        <v>Abril</v>
      </c>
    </row>
    <row r="185" spans="2:28" ht="24" x14ac:dyDescent="0.3">
      <c r="B185" s="2">
        <f>IF(C_Ope_001[[#This Row],[TIPO DE R.]]="R",COUNTIFS($D$4:$D184,"R")+1,"")</f>
        <v>181</v>
      </c>
      <c r="C185" s="19" t="str">
        <f t="shared" si="11"/>
        <v>C_Ope_001</v>
      </c>
      <c r="D185" s="3" t="s">
        <v>1074</v>
      </c>
      <c r="E185" s="14">
        <v>45771</v>
      </c>
      <c r="F185" s="5" t="s">
        <v>6538</v>
      </c>
      <c r="G185" s="5" t="s">
        <v>1079</v>
      </c>
      <c r="H185" s="6"/>
      <c r="I185" s="6" t="s">
        <v>14</v>
      </c>
      <c r="J185" s="6" t="s">
        <v>1097</v>
      </c>
      <c r="K185" s="6">
        <v>16196</v>
      </c>
      <c r="L185" s="7" t="s">
        <v>6638</v>
      </c>
      <c r="M185" s="8">
        <v>23981</v>
      </c>
      <c r="N185" s="8" t="str">
        <f t="shared" si="15"/>
        <v>PEN</v>
      </c>
      <c r="O185" s="13"/>
      <c r="P185" s="13">
        <v>20</v>
      </c>
      <c r="Q185" s="3">
        <f t="shared" si="12"/>
        <v>0</v>
      </c>
      <c r="R185" s="3">
        <f t="shared" si="13"/>
        <v>20</v>
      </c>
      <c r="S185" s="3">
        <f t="shared" si="14"/>
        <v>49.740000000000009</v>
      </c>
      <c r="T185" s="24"/>
      <c r="U185" s="24"/>
      <c r="V185" s="3"/>
      <c r="W185" s="25" t="s">
        <v>6541</v>
      </c>
      <c r="X185" s="25"/>
      <c r="Y185" s="25" t="str">
        <f>IFERROR(VLOOKUP(C_Ope_001[[#This Row],[NOTA 2]],Clientes_Proveedores[[Ruc / Dni]:[Razon Social]],2,0),"")</f>
        <v/>
      </c>
      <c r="Z185" s="25"/>
      <c r="AA185" s="130"/>
      <c r="AB185" s="3" t="str">
        <f>IF(C_Ope_001[[#This Row],[FECHA]]&gt;0,TEXT(C_Ope_001[[#This Row],[FECHA]],"mmmm"),0)</f>
        <v>Abril</v>
      </c>
    </row>
    <row r="186" spans="2:28" x14ac:dyDescent="0.3">
      <c r="B186" s="2">
        <f>IF(C_Ope_001[[#This Row],[TIPO DE R.]]="R",COUNTIFS($D$4:$D185,"R")+1,"")</f>
        <v>182</v>
      </c>
      <c r="C186" s="19" t="str">
        <f t="shared" si="11"/>
        <v>C_Ope_001</v>
      </c>
      <c r="D186" s="3" t="s">
        <v>1074</v>
      </c>
      <c r="E186" s="14">
        <v>45775</v>
      </c>
      <c r="F186" s="5" t="s">
        <v>6299</v>
      </c>
      <c r="G186" s="5" t="s">
        <v>1087</v>
      </c>
      <c r="H186" s="6"/>
      <c r="I186" s="6"/>
      <c r="J186" s="6"/>
      <c r="K186" s="6"/>
      <c r="L186" s="7" t="s">
        <v>6302</v>
      </c>
      <c r="M186" s="8">
        <v>24054</v>
      </c>
      <c r="N186" s="8" t="str">
        <f t="shared" si="15"/>
        <v>PEN</v>
      </c>
      <c r="O186" s="13"/>
      <c r="P186" s="13">
        <v>150</v>
      </c>
      <c r="Q186" s="3">
        <f t="shared" si="12"/>
        <v>150</v>
      </c>
      <c r="R186" s="3">
        <f t="shared" si="13"/>
        <v>0</v>
      </c>
      <c r="S186" s="3">
        <f t="shared" si="14"/>
        <v>199.74</v>
      </c>
      <c r="T186" s="24"/>
      <c r="U186" s="24"/>
      <c r="V186" s="3"/>
      <c r="W186" s="25"/>
      <c r="X186" s="25"/>
      <c r="Y186" s="25" t="str">
        <f>IFERROR(VLOOKUP(C_Ope_001[[#This Row],[NOTA 2]],Clientes_Proveedores[[Ruc / Dni]:[Razon Social]],2,0),"")</f>
        <v/>
      </c>
      <c r="Z186" s="25"/>
      <c r="AA186" s="130"/>
      <c r="AB186" s="3" t="str">
        <f>IF(C_Ope_001[[#This Row],[FECHA]]&gt;0,TEXT(C_Ope_001[[#This Row],[FECHA]],"mmmm"),0)</f>
        <v>Abril</v>
      </c>
    </row>
    <row r="187" spans="2:28" x14ac:dyDescent="0.3">
      <c r="B187" s="2">
        <f>IF(C_Ope_001[[#This Row],[TIPO DE R.]]="R",COUNTIFS($D$4:$D186,"R")+1,"")</f>
        <v>183</v>
      </c>
      <c r="C187" s="19" t="str">
        <f t="shared" si="11"/>
        <v>C_Ope_001</v>
      </c>
      <c r="D187" s="3" t="s">
        <v>1074</v>
      </c>
      <c r="E187" s="14">
        <v>45777</v>
      </c>
      <c r="F187" s="5" t="s">
        <v>6299</v>
      </c>
      <c r="G187" s="5" t="s">
        <v>1087</v>
      </c>
      <c r="H187" s="6"/>
      <c r="I187" s="6"/>
      <c r="J187" s="6"/>
      <c r="K187" s="6"/>
      <c r="L187" s="7" t="s">
        <v>6302</v>
      </c>
      <c r="M187" s="8">
        <v>24062</v>
      </c>
      <c r="N187" s="8" t="str">
        <f t="shared" si="15"/>
        <v>PEN</v>
      </c>
      <c r="O187" s="13"/>
      <c r="P187" s="13">
        <v>400</v>
      </c>
      <c r="Q187" s="3">
        <f t="shared" si="12"/>
        <v>400</v>
      </c>
      <c r="R187" s="3">
        <f t="shared" si="13"/>
        <v>0</v>
      </c>
      <c r="S187" s="3">
        <f t="shared" si="14"/>
        <v>599.74</v>
      </c>
      <c r="T187" s="24"/>
      <c r="U187" s="24"/>
      <c r="V187" s="3"/>
      <c r="W187" s="25"/>
      <c r="X187" s="25"/>
      <c r="Y187" s="25" t="str">
        <f>IFERROR(VLOOKUP(C_Ope_001[[#This Row],[NOTA 2]],Clientes_Proveedores[[Ruc / Dni]:[Razon Social]],2,0),"")</f>
        <v/>
      </c>
      <c r="Z187" s="25"/>
      <c r="AA187" s="130"/>
      <c r="AB187" s="3" t="str">
        <f>IF(C_Ope_001[[#This Row],[FECHA]]&gt;0,TEXT(C_Ope_001[[#This Row],[FECHA]],"mmmm"),0)</f>
        <v>Abril</v>
      </c>
    </row>
    <row r="188" spans="2:28" ht="24" x14ac:dyDescent="0.3">
      <c r="B188" s="2">
        <f>IF(C_Ope_001[[#This Row],[TIPO DE R.]]="R",COUNTIFS($D$4:$D187,"R")+1,"")</f>
        <v>184</v>
      </c>
      <c r="C188" s="19" t="str">
        <f t="shared" si="11"/>
        <v>C_Ope_001</v>
      </c>
      <c r="D188" s="3" t="s">
        <v>1074</v>
      </c>
      <c r="E188" s="14">
        <v>45775</v>
      </c>
      <c r="F188" s="5" t="s">
        <v>6538</v>
      </c>
      <c r="G188" s="5" t="s">
        <v>1079</v>
      </c>
      <c r="H188" s="6"/>
      <c r="I188" s="6" t="s">
        <v>14</v>
      </c>
      <c r="J188" s="6" t="s">
        <v>1088</v>
      </c>
      <c r="K188" s="6">
        <v>34504</v>
      </c>
      <c r="L188" s="7" t="s">
        <v>6639</v>
      </c>
      <c r="M188" s="8">
        <v>24010</v>
      </c>
      <c r="N188" s="8" t="str">
        <f t="shared" si="15"/>
        <v>PEN</v>
      </c>
      <c r="O188" s="13"/>
      <c r="P188" s="13">
        <v>10</v>
      </c>
      <c r="Q188" s="3">
        <f t="shared" si="12"/>
        <v>0</v>
      </c>
      <c r="R188" s="3">
        <f t="shared" si="13"/>
        <v>10</v>
      </c>
      <c r="S188" s="3">
        <f t="shared" si="14"/>
        <v>589.74</v>
      </c>
      <c r="T188" s="24"/>
      <c r="U188" s="24"/>
      <c r="V188" s="3"/>
      <c r="W188" s="25" t="s">
        <v>6541</v>
      </c>
      <c r="X188" s="25"/>
      <c r="Y188" s="25" t="str">
        <f>IFERROR(VLOOKUP(C_Ope_001[[#This Row],[NOTA 2]],Clientes_Proveedores[[Ruc / Dni]:[Razon Social]],2,0),"")</f>
        <v/>
      </c>
      <c r="Z188" s="25"/>
      <c r="AA188" s="130"/>
      <c r="AB188" s="3" t="str">
        <f>IF(C_Ope_001[[#This Row],[FECHA]]&gt;0,TEXT(C_Ope_001[[#This Row],[FECHA]],"mmmm"),0)</f>
        <v>Abril</v>
      </c>
    </row>
    <row r="189" spans="2:28" x14ac:dyDescent="0.3">
      <c r="B189" s="2">
        <f>IF(C_Ope_001[[#This Row],[TIPO DE R.]]="R",COUNTIFS($D$4:$D188,"R")+1,"")</f>
        <v>185</v>
      </c>
      <c r="C189" s="19" t="str">
        <f t="shared" si="11"/>
        <v>C_Ope_001</v>
      </c>
      <c r="D189" s="3" t="s">
        <v>1074</v>
      </c>
      <c r="E189" s="14">
        <v>45775</v>
      </c>
      <c r="F189" s="5" t="s">
        <v>6538</v>
      </c>
      <c r="G189" s="5" t="s">
        <v>1079</v>
      </c>
      <c r="H189" s="6"/>
      <c r="I189" s="6" t="s">
        <v>14</v>
      </c>
      <c r="J189" s="6" t="s">
        <v>1088</v>
      </c>
      <c r="K189" s="6">
        <v>34492</v>
      </c>
      <c r="L189" s="7" t="s">
        <v>6640</v>
      </c>
      <c r="M189" s="8">
        <v>24011</v>
      </c>
      <c r="N189" s="8" t="str">
        <f t="shared" si="15"/>
        <v>PEN</v>
      </c>
      <c r="O189" s="13"/>
      <c r="P189" s="13">
        <v>10</v>
      </c>
      <c r="Q189" s="3">
        <f t="shared" si="12"/>
        <v>0</v>
      </c>
      <c r="R189" s="3">
        <f t="shared" si="13"/>
        <v>10</v>
      </c>
      <c r="S189" s="3">
        <f t="shared" si="14"/>
        <v>579.74</v>
      </c>
      <c r="T189" s="24"/>
      <c r="U189" s="24"/>
      <c r="V189" s="3"/>
      <c r="W189" s="25" t="s">
        <v>6541</v>
      </c>
      <c r="X189" s="25"/>
      <c r="Y189" s="25" t="str">
        <f>IFERROR(VLOOKUP(C_Ope_001[[#This Row],[NOTA 2]],Clientes_Proveedores[[Ruc / Dni]:[Razon Social]],2,0),"")</f>
        <v/>
      </c>
      <c r="Z189" s="25"/>
      <c r="AA189" s="130"/>
      <c r="AB189" s="3" t="str">
        <f>IF(C_Ope_001[[#This Row],[FECHA]]&gt;0,TEXT(C_Ope_001[[#This Row],[FECHA]],"mmmm"),0)</f>
        <v>Abril</v>
      </c>
    </row>
    <row r="190" spans="2:28" ht="24" x14ac:dyDescent="0.3">
      <c r="B190" s="2">
        <f>IF(C_Ope_001[[#This Row],[TIPO DE R.]]="R",COUNTIFS($D$4:$D189,"R")+1,"")</f>
        <v>186</v>
      </c>
      <c r="C190" s="19" t="str">
        <f t="shared" si="11"/>
        <v>C_Ope_001</v>
      </c>
      <c r="D190" s="3" t="s">
        <v>1074</v>
      </c>
      <c r="E190" s="14">
        <v>45776</v>
      </c>
      <c r="F190" s="5" t="s">
        <v>6538</v>
      </c>
      <c r="G190" s="5" t="s">
        <v>1079</v>
      </c>
      <c r="H190" s="6"/>
      <c r="I190" s="6" t="s">
        <v>14</v>
      </c>
      <c r="J190" s="6" t="s">
        <v>1097</v>
      </c>
      <c r="K190" s="6">
        <v>16272</v>
      </c>
      <c r="L190" s="7" t="s">
        <v>6641</v>
      </c>
      <c r="M190" s="8">
        <v>24061</v>
      </c>
      <c r="N190" s="8" t="str">
        <f t="shared" si="15"/>
        <v>PEN</v>
      </c>
      <c r="O190" s="13"/>
      <c r="P190" s="13">
        <v>20</v>
      </c>
      <c r="Q190" s="3">
        <f t="shared" si="12"/>
        <v>0</v>
      </c>
      <c r="R190" s="3">
        <f t="shared" si="13"/>
        <v>20</v>
      </c>
      <c r="S190" s="3">
        <f t="shared" si="14"/>
        <v>559.74</v>
      </c>
      <c r="T190" s="24"/>
      <c r="U190" s="24"/>
      <c r="V190" s="3"/>
      <c r="W190" s="25" t="s">
        <v>6541</v>
      </c>
      <c r="X190" s="25"/>
      <c r="Y190" s="25" t="str">
        <f>IFERROR(VLOOKUP(C_Ope_001[[#This Row],[NOTA 2]],Clientes_Proveedores[[Ruc / Dni]:[Razon Social]],2,0),"")</f>
        <v/>
      </c>
      <c r="Z190" s="25"/>
      <c r="AA190" s="130"/>
      <c r="AB190" s="3" t="str">
        <f>IF(C_Ope_001[[#This Row],[FECHA]]&gt;0,TEXT(C_Ope_001[[#This Row],[FECHA]],"mmmm"),0)</f>
        <v>Abril</v>
      </c>
    </row>
    <row r="191" spans="2:28" ht="24" x14ac:dyDescent="0.3">
      <c r="B191" s="2">
        <f>IF(C_Ope_001[[#This Row],[TIPO DE R.]]="R",COUNTIFS($D$4:$D190,"R")+1,"")</f>
        <v>187</v>
      </c>
      <c r="C191" s="19" t="str">
        <f t="shared" si="11"/>
        <v>C_Ope_001</v>
      </c>
      <c r="D191" s="3" t="s">
        <v>1074</v>
      </c>
      <c r="E191" s="14">
        <v>45779</v>
      </c>
      <c r="F191" s="5" t="s">
        <v>6538</v>
      </c>
      <c r="G191" s="5" t="s">
        <v>1079</v>
      </c>
      <c r="H191" s="6"/>
      <c r="I191" s="6" t="s">
        <v>14</v>
      </c>
      <c r="J191" s="6" t="s">
        <v>5244</v>
      </c>
      <c r="K191" s="6">
        <v>1720217</v>
      </c>
      <c r="L191" s="7" t="s">
        <v>6637</v>
      </c>
      <c r="M191" s="8">
        <v>24082</v>
      </c>
      <c r="N191" s="8" t="str">
        <f t="shared" si="15"/>
        <v>PEN</v>
      </c>
      <c r="O191" s="13"/>
      <c r="P191" s="13">
        <v>8</v>
      </c>
      <c r="Q191" s="3">
        <f t="shared" si="12"/>
        <v>0</v>
      </c>
      <c r="R191" s="3">
        <f t="shared" si="13"/>
        <v>8</v>
      </c>
      <c r="S191" s="3">
        <f t="shared" si="14"/>
        <v>551.74</v>
      </c>
      <c r="T191" s="24"/>
      <c r="U191" s="24"/>
      <c r="V191" s="3"/>
      <c r="W191" s="25" t="s">
        <v>6546</v>
      </c>
      <c r="X191" s="25"/>
      <c r="Y191" s="25" t="str">
        <f>IFERROR(VLOOKUP(C_Ope_001[[#This Row],[NOTA 2]],Clientes_Proveedores[[Ruc / Dni]:[Razon Social]],2,0),"")</f>
        <v/>
      </c>
      <c r="Z191" s="25"/>
      <c r="AA191" s="130"/>
      <c r="AB191" s="3" t="str">
        <f>IF(C_Ope_001[[#This Row],[FECHA]]&gt;0,TEXT(C_Ope_001[[#This Row],[FECHA]],"mmmm"),0)</f>
        <v>Mayo</v>
      </c>
    </row>
    <row r="192" spans="2:28" ht="24" x14ac:dyDescent="0.3">
      <c r="B192" s="2">
        <f>IF(C_Ope_001[[#This Row],[TIPO DE R.]]="R",COUNTIFS($D$4:$D191,"R")+1,"")</f>
        <v>188</v>
      </c>
      <c r="C192" s="19" t="str">
        <f t="shared" si="11"/>
        <v>C_Ope_001</v>
      </c>
      <c r="D192" s="3" t="s">
        <v>1074</v>
      </c>
      <c r="E192" s="14">
        <v>45779</v>
      </c>
      <c r="F192" s="5" t="s">
        <v>6538</v>
      </c>
      <c r="G192" s="5" t="s">
        <v>1079</v>
      </c>
      <c r="H192" s="6"/>
      <c r="I192" s="6" t="s">
        <v>14</v>
      </c>
      <c r="J192" s="6" t="s">
        <v>5242</v>
      </c>
      <c r="K192" s="6">
        <v>2038901</v>
      </c>
      <c r="L192" s="7" t="s">
        <v>6637</v>
      </c>
      <c r="M192" s="8">
        <v>24083</v>
      </c>
      <c r="N192" s="8" t="str">
        <f t="shared" si="15"/>
        <v>PEN</v>
      </c>
      <c r="O192" s="13"/>
      <c r="P192" s="13">
        <v>8</v>
      </c>
      <c r="Q192" s="3">
        <f t="shared" si="12"/>
        <v>0</v>
      </c>
      <c r="R192" s="3">
        <f t="shared" si="13"/>
        <v>8</v>
      </c>
      <c r="S192" s="3">
        <f t="shared" si="14"/>
        <v>543.74</v>
      </c>
      <c r="T192" s="24"/>
      <c r="U192" s="24"/>
      <c r="V192" s="3"/>
      <c r="W192" s="25" t="s">
        <v>6546</v>
      </c>
      <c r="X192" s="25"/>
      <c r="Y192" s="25" t="str">
        <f>IFERROR(VLOOKUP(C_Ope_001[[#This Row],[NOTA 2]],Clientes_Proveedores[[Ruc / Dni]:[Razon Social]],2,0),"")</f>
        <v/>
      </c>
      <c r="Z192" s="25"/>
      <c r="AA192" s="130"/>
      <c r="AB192" s="3" t="str">
        <f>IF(C_Ope_001[[#This Row],[FECHA]]&gt;0,TEXT(C_Ope_001[[#This Row],[FECHA]],"mmmm"),0)</f>
        <v>Mayo</v>
      </c>
    </row>
    <row r="193" spans="2:28" ht="24" x14ac:dyDescent="0.3">
      <c r="B193" s="2">
        <f>IF(C_Ope_001[[#This Row],[TIPO DE R.]]="R",COUNTIFS($D$4:$D192,"R")+1,"")</f>
        <v>189</v>
      </c>
      <c r="C193" s="19" t="str">
        <f t="shared" si="11"/>
        <v>C_Ope_001</v>
      </c>
      <c r="D193" s="3" t="s">
        <v>1074</v>
      </c>
      <c r="E193" s="14">
        <v>45782</v>
      </c>
      <c r="F193" s="5" t="s">
        <v>6538</v>
      </c>
      <c r="G193" s="5" t="s">
        <v>1079</v>
      </c>
      <c r="H193" s="6"/>
      <c r="I193" s="6" t="s">
        <v>14</v>
      </c>
      <c r="J193" s="6" t="s">
        <v>5245</v>
      </c>
      <c r="K193" s="6">
        <v>1742002</v>
      </c>
      <c r="L193" s="7" t="s">
        <v>6642</v>
      </c>
      <c r="M193" s="8">
        <v>24114</v>
      </c>
      <c r="N193" s="8" t="str">
        <f t="shared" si="15"/>
        <v>PEN</v>
      </c>
      <c r="O193" s="13"/>
      <c r="P193" s="13">
        <v>8</v>
      </c>
      <c r="Q193" s="3">
        <f t="shared" si="12"/>
        <v>0</v>
      </c>
      <c r="R193" s="3">
        <f t="shared" si="13"/>
        <v>8</v>
      </c>
      <c r="S193" s="3">
        <f t="shared" si="14"/>
        <v>535.74</v>
      </c>
      <c r="T193" s="24"/>
      <c r="U193" s="24"/>
      <c r="V193" s="3"/>
      <c r="W193" s="25" t="s">
        <v>6546</v>
      </c>
      <c r="X193" s="25"/>
      <c r="Y193" s="25" t="str">
        <f>IFERROR(VLOOKUP(C_Ope_001[[#This Row],[NOTA 2]],Clientes_Proveedores[[Ruc / Dni]:[Razon Social]],2,0),"")</f>
        <v/>
      </c>
      <c r="Z193" s="25"/>
      <c r="AA193" s="130"/>
      <c r="AB193" s="3" t="str">
        <f>IF(C_Ope_001[[#This Row],[FECHA]]&gt;0,TEXT(C_Ope_001[[#This Row],[FECHA]],"mmmm"),0)</f>
        <v>Mayo</v>
      </c>
    </row>
    <row r="194" spans="2:28" ht="24" x14ac:dyDescent="0.3">
      <c r="B194" s="2">
        <f>IF(C_Ope_001[[#This Row],[TIPO DE R.]]="R",COUNTIFS($D$4:$D193,"R")+1,"")</f>
        <v>190</v>
      </c>
      <c r="C194" s="19" t="str">
        <f t="shared" si="11"/>
        <v>C_Ope_001</v>
      </c>
      <c r="D194" s="3" t="s">
        <v>1074</v>
      </c>
      <c r="E194" s="14">
        <v>45782</v>
      </c>
      <c r="F194" s="5" t="s">
        <v>6538</v>
      </c>
      <c r="G194" s="5" t="s">
        <v>1079</v>
      </c>
      <c r="H194" s="6"/>
      <c r="I194" s="6" t="s">
        <v>14</v>
      </c>
      <c r="J194" s="6" t="s">
        <v>5244</v>
      </c>
      <c r="K194" s="6">
        <v>1722424</v>
      </c>
      <c r="L194" s="7" t="s">
        <v>6642</v>
      </c>
      <c r="M194" s="8">
        <v>24115</v>
      </c>
      <c r="N194" s="8" t="str">
        <f t="shared" si="15"/>
        <v>PEN</v>
      </c>
      <c r="O194" s="13"/>
      <c r="P194" s="13">
        <v>8</v>
      </c>
      <c r="Q194" s="3">
        <f t="shared" si="12"/>
        <v>0</v>
      </c>
      <c r="R194" s="3">
        <f t="shared" si="13"/>
        <v>8</v>
      </c>
      <c r="S194" s="3">
        <f t="shared" si="14"/>
        <v>527.74</v>
      </c>
      <c r="T194" s="24"/>
      <c r="U194" s="24"/>
      <c r="V194" s="3"/>
      <c r="W194" s="25" t="s">
        <v>6546</v>
      </c>
      <c r="X194" s="25"/>
      <c r="Y194" s="25" t="str">
        <f>IFERROR(VLOOKUP(C_Ope_001[[#This Row],[NOTA 2]],Clientes_Proveedores[[Ruc / Dni]:[Razon Social]],2,0),"")</f>
        <v/>
      </c>
      <c r="Z194" s="25"/>
      <c r="AA194" s="130"/>
      <c r="AB194" s="3" t="str">
        <f>IF(C_Ope_001[[#This Row],[FECHA]]&gt;0,TEXT(C_Ope_001[[#This Row],[FECHA]],"mmmm"),0)</f>
        <v>Mayo</v>
      </c>
    </row>
    <row r="195" spans="2:28" ht="36" x14ac:dyDescent="0.3">
      <c r="B195" s="2">
        <f>IF(C_Ope_001[[#This Row],[TIPO DE R.]]="R",COUNTIFS($D$4:$D194,"R")+1,"")</f>
        <v>191</v>
      </c>
      <c r="C195" s="19" t="str">
        <f t="shared" si="11"/>
        <v>C_Ope_001</v>
      </c>
      <c r="D195" s="3" t="s">
        <v>1074</v>
      </c>
      <c r="E195" s="14">
        <v>45783</v>
      </c>
      <c r="F195" s="5" t="s">
        <v>6538</v>
      </c>
      <c r="G195" s="5" t="s">
        <v>1079</v>
      </c>
      <c r="H195" s="6"/>
      <c r="I195" s="6" t="s">
        <v>14</v>
      </c>
      <c r="J195" s="6" t="s">
        <v>5244</v>
      </c>
      <c r="K195" s="6">
        <v>1723434</v>
      </c>
      <c r="L195" s="7" t="s">
        <v>6643</v>
      </c>
      <c r="M195" s="8">
        <v>24126</v>
      </c>
      <c r="N195" s="8" t="str">
        <f t="shared" si="15"/>
        <v>PEN</v>
      </c>
      <c r="O195" s="13"/>
      <c r="P195" s="13">
        <v>8</v>
      </c>
      <c r="Q195" s="3">
        <f t="shared" si="12"/>
        <v>0</v>
      </c>
      <c r="R195" s="3">
        <f t="shared" si="13"/>
        <v>8</v>
      </c>
      <c r="S195" s="3">
        <f t="shared" si="14"/>
        <v>519.74</v>
      </c>
      <c r="T195" s="24"/>
      <c r="U195" s="24"/>
      <c r="V195" s="3"/>
      <c r="W195" s="25" t="s">
        <v>6546</v>
      </c>
      <c r="X195" s="25"/>
      <c r="Y195" s="25" t="str">
        <f>IFERROR(VLOOKUP(C_Ope_001[[#This Row],[NOTA 2]],Clientes_Proveedores[[Ruc / Dni]:[Razon Social]],2,0),"")</f>
        <v/>
      </c>
      <c r="Z195" s="25"/>
      <c r="AA195" s="130"/>
      <c r="AB195" s="3" t="str">
        <f>IF(C_Ope_001[[#This Row],[FECHA]]&gt;0,TEXT(C_Ope_001[[#This Row],[FECHA]],"mmmm"),0)</f>
        <v>Mayo</v>
      </c>
    </row>
    <row r="196" spans="2:28" ht="36" x14ac:dyDescent="0.3">
      <c r="B196" s="2">
        <f>IF(C_Ope_001[[#This Row],[TIPO DE R.]]="R",COUNTIFS($D$4:$D195,"R")+1,"")</f>
        <v>192</v>
      </c>
      <c r="C196" s="19" t="str">
        <f t="shared" si="11"/>
        <v>C_Ope_001</v>
      </c>
      <c r="D196" s="3" t="s">
        <v>1074</v>
      </c>
      <c r="E196" s="14">
        <v>45783</v>
      </c>
      <c r="F196" s="5" t="s">
        <v>6538</v>
      </c>
      <c r="G196" s="5" t="s">
        <v>1079</v>
      </c>
      <c r="H196" s="6"/>
      <c r="I196" s="6" t="s">
        <v>14</v>
      </c>
      <c r="J196" s="6" t="s">
        <v>5245</v>
      </c>
      <c r="K196" s="6">
        <v>1742864</v>
      </c>
      <c r="L196" s="7" t="s">
        <v>6643</v>
      </c>
      <c r="M196" s="8">
        <v>24129</v>
      </c>
      <c r="N196" s="8" t="str">
        <f t="shared" si="15"/>
        <v>PEN</v>
      </c>
      <c r="O196" s="13"/>
      <c r="P196" s="13">
        <v>8</v>
      </c>
      <c r="Q196" s="3">
        <f t="shared" si="12"/>
        <v>0</v>
      </c>
      <c r="R196" s="3">
        <f t="shared" si="13"/>
        <v>8</v>
      </c>
      <c r="S196" s="3">
        <f t="shared" si="14"/>
        <v>511.74</v>
      </c>
      <c r="T196" s="24"/>
      <c r="U196" s="24"/>
      <c r="V196" s="3"/>
      <c r="W196" s="25" t="s">
        <v>6546</v>
      </c>
      <c r="X196" s="25"/>
      <c r="Y196" s="25" t="str">
        <f>IFERROR(VLOOKUP(C_Ope_001[[#This Row],[NOTA 2]],Clientes_Proveedores[[Ruc / Dni]:[Razon Social]],2,0),"")</f>
        <v/>
      </c>
      <c r="Z196" s="25"/>
      <c r="AA196" s="130"/>
      <c r="AB196" s="3" t="str">
        <f>IF(C_Ope_001[[#This Row],[FECHA]]&gt;0,TEXT(C_Ope_001[[#This Row],[FECHA]],"mmmm"),0)</f>
        <v>Mayo</v>
      </c>
    </row>
    <row r="197" spans="2:28" ht="24" x14ac:dyDescent="0.3">
      <c r="B197" s="2">
        <f>IF(C_Ope_001[[#This Row],[TIPO DE R.]]="R",COUNTIFS($D$4:$D196,"R")+1,"")</f>
        <v>193</v>
      </c>
      <c r="C197" s="19" t="str">
        <f t="shared" ref="C197:C260" si="16">"C_Ope_001"</f>
        <v>C_Ope_001</v>
      </c>
      <c r="D197" s="3" t="s">
        <v>1074</v>
      </c>
      <c r="E197" s="14">
        <v>45784</v>
      </c>
      <c r="F197" s="5" t="s">
        <v>6538</v>
      </c>
      <c r="G197" s="5" t="s">
        <v>1079</v>
      </c>
      <c r="H197" s="6"/>
      <c r="I197" s="6" t="s">
        <v>14</v>
      </c>
      <c r="J197" s="6" t="s">
        <v>5244</v>
      </c>
      <c r="K197" s="6">
        <v>1724448</v>
      </c>
      <c r="L197" s="7" t="s">
        <v>6570</v>
      </c>
      <c r="M197" s="8">
        <v>24132</v>
      </c>
      <c r="N197" s="8" t="str">
        <f t="shared" si="15"/>
        <v>PEN</v>
      </c>
      <c r="O197" s="13"/>
      <c r="P197" s="13">
        <v>8</v>
      </c>
      <c r="Q197" s="3">
        <f t="shared" ref="Q197:Q260" si="17">+IF(OR($G197="SALDO",$G197="INGRESO"),$P197,0)</f>
        <v>0</v>
      </c>
      <c r="R197" s="3">
        <f t="shared" ref="R197:R260" si="18">+IF($G197="EGRESO",$P197,0)</f>
        <v>8</v>
      </c>
      <c r="S197" s="3">
        <f t="shared" ref="S197:S260" si="19">IFERROR(IF(G197="SALDO",Q197,S196+Q197-R197),0)</f>
        <v>503.74</v>
      </c>
      <c r="T197" s="24"/>
      <c r="U197" s="24"/>
      <c r="V197" s="3"/>
      <c r="W197" s="25" t="s">
        <v>6546</v>
      </c>
      <c r="X197" s="25"/>
      <c r="Y197" s="25" t="str">
        <f>IFERROR(VLOOKUP(C_Ope_001[[#This Row],[NOTA 2]],Clientes_Proveedores[[Ruc / Dni]:[Razon Social]],2,0),"")</f>
        <v/>
      </c>
      <c r="Z197" s="25"/>
      <c r="AA197" s="130"/>
      <c r="AB197" s="3" t="str">
        <f>IF(C_Ope_001[[#This Row],[FECHA]]&gt;0,TEXT(C_Ope_001[[#This Row],[FECHA]],"mmmm"),0)</f>
        <v>Mayo</v>
      </c>
    </row>
    <row r="198" spans="2:28" ht="24" x14ac:dyDescent="0.3">
      <c r="B198" s="2">
        <f>IF(C_Ope_001[[#This Row],[TIPO DE R.]]="R",COUNTIFS($D$4:$D197,"R")+1,"")</f>
        <v>194</v>
      </c>
      <c r="C198" s="19" t="str">
        <f t="shared" si="16"/>
        <v>C_Ope_001</v>
      </c>
      <c r="D198" s="3" t="s">
        <v>1074</v>
      </c>
      <c r="E198" s="14">
        <v>45784</v>
      </c>
      <c r="F198" s="5" t="s">
        <v>6538</v>
      </c>
      <c r="G198" s="5" t="s">
        <v>1079</v>
      </c>
      <c r="H198" s="6"/>
      <c r="I198" s="6" t="s">
        <v>14</v>
      </c>
      <c r="J198" s="6" t="s">
        <v>5245</v>
      </c>
      <c r="K198" s="6">
        <v>1743763</v>
      </c>
      <c r="L198" s="7" t="s">
        <v>6570</v>
      </c>
      <c r="M198" s="8">
        <v>24133</v>
      </c>
      <c r="N198" s="8" t="str">
        <f t="shared" ref="N198:N261" si="20">"PEN"</f>
        <v>PEN</v>
      </c>
      <c r="O198" s="13"/>
      <c r="P198" s="13">
        <v>8</v>
      </c>
      <c r="Q198" s="3">
        <f t="shared" si="17"/>
        <v>0</v>
      </c>
      <c r="R198" s="3">
        <f t="shared" si="18"/>
        <v>8</v>
      </c>
      <c r="S198" s="3">
        <f t="shared" si="19"/>
        <v>495.74</v>
      </c>
      <c r="T198" s="24"/>
      <c r="U198" s="24"/>
      <c r="V198" s="3"/>
      <c r="W198" s="25" t="s">
        <v>6546</v>
      </c>
      <c r="X198" s="25"/>
      <c r="Y198" s="25" t="str">
        <f>IFERROR(VLOOKUP(C_Ope_001[[#This Row],[NOTA 2]],Clientes_Proveedores[[Ruc / Dni]:[Razon Social]],2,0),"")</f>
        <v/>
      </c>
      <c r="Z198" s="25"/>
      <c r="AA198" s="130"/>
      <c r="AB198" s="3" t="str">
        <f>IF(C_Ope_001[[#This Row],[FECHA]]&gt;0,TEXT(C_Ope_001[[#This Row],[FECHA]],"mmmm"),0)</f>
        <v>Mayo</v>
      </c>
    </row>
    <row r="199" spans="2:28" ht="24" x14ac:dyDescent="0.3">
      <c r="B199" s="2">
        <f>IF(C_Ope_001[[#This Row],[TIPO DE R.]]="R",COUNTIFS($D$4:$D198,"R")+1,"")</f>
        <v>195</v>
      </c>
      <c r="C199" s="19" t="str">
        <f t="shared" si="16"/>
        <v>C_Ope_001</v>
      </c>
      <c r="D199" s="3" t="s">
        <v>1074</v>
      </c>
      <c r="E199" s="14">
        <v>45779</v>
      </c>
      <c r="F199" s="5" t="s">
        <v>6538</v>
      </c>
      <c r="G199" s="5" t="s">
        <v>1079</v>
      </c>
      <c r="H199" s="6"/>
      <c r="I199" s="6" t="s">
        <v>14</v>
      </c>
      <c r="J199" s="6" t="s">
        <v>1148</v>
      </c>
      <c r="K199" s="6">
        <v>131387</v>
      </c>
      <c r="L199" s="7" t="s">
        <v>6644</v>
      </c>
      <c r="M199" s="8">
        <v>24084</v>
      </c>
      <c r="N199" s="8" t="str">
        <f t="shared" si="20"/>
        <v>PEN</v>
      </c>
      <c r="O199" s="13"/>
      <c r="P199" s="13">
        <v>10</v>
      </c>
      <c r="Q199" s="3">
        <f t="shared" si="17"/>
        <v>0</v>
      </c>
      <c r="R199" s="3">
        <f t="shared" si="18"/>
        <v>10</v>
      </c>
      <c r="S199" s="3">
        <f t="shared" si="19"/>
        <v>485.74</v>
      </c>
      <c r="T199" s="24"/>
      <c r="U199" s="24"/>
      <c r="V199" s="3"/>
      <c r="W199" s="25" t="s">
        <v>6546</v>
      </c>
      <c r="X199" s="25"/>
      <c r="Y199" s="25" t="str">
        <f>IFERROR(VLOOKUP(C_Ope_001[[#This Row],[NOTA 2]],Clientes_Proveedores[[Ruc / Dni]:[Razon Social]],2,0),"")</f>
        <v/>
      </c>
      <c r="Z199" s="25"/>
      <c r="AA199" s="130"/>
      <c r="AB199" s="3" t="str">
        <f>IF(C_Ope_001[[#This Row],[FECHA]]&gt;0,TEXT(C_Ope_001[[#This Row],[FECHA]],"mmmm"),0)</f>
        <v>Mayo</v>
      </c>
    </row>
    <row r="200" spans="2:28" ht="24" x14ac:dyDescent="0.3">
      <c r="B200" s="2">
        <f>IF(C_Ope_001[[#This Row],[TIPO DE R.]]="R",COUNTIFS($D$4:$D199,"R")+1,"")</f>
        <v>196</v>
      </c>
      <c r="C200" s="19" t="str">
        <f t="shared" si="16"/>
        <v>C_Ope_001</v>
      </c>
      <c r="D200" s="3" t="s">
        <v>1074</v>
      </c>
      <c r="E200" s="14">
        <v>45779</v>
      </c>
      <c r="F200" s="5" t="s">
        <v>6538</v>
      </c>
      <c r="G200" s="5" t="s">
        <v>1079</v>
      </c>
      <c r="H200" s="6"/>
      <c r="I200" s="6" t="s">
        <v>14</v>
      </c>
      <c r="J200" s="6" t="s">
        <v>1088</v>
      </c>
      <c r="K200" s="6">
        <v>34544</v>
      </c>
      <c r="L200" s="7" t="s">
        <v>6628</v>
      </c>
      <c r="M200" s="8">
        <v>24085</v>
      </c>
      <c r="N200" s="8" t="str">
        <f t="shared" si="20"/>
        <v>PEN</v>
      </c>
      <c r="O200" s="13"/>
      <c r="P200" s="13">
        <v>10</v>
      </c>
      <c r="Q200" s="3">
        <f t="shared" si="17"/>
        <v>0</v>
      </c>
      <c r="R200" s="3">
        <f t="shared" si="18"/>
        <v>10</v>
      </c>
      <c r="S200" s="3">
        <f t="shared" si="19"/>
        <v>475.74</v>
      </c>
      <c r="T200" s="24"/>
      <c r="U200" s="24"/>
      <c r="V200" s="3"/>
      <c r="W200" s="25" t="s">
        <v>6546</v>
      </c>
      <c r="X200" s="25"/>
      <c r="Y200" s="25" t="str">
        <f>IFERROR(VLOOKUP(C_Ope_001[[#This Row],[NOTA 2]],Clientes_Proveedores[[Ruc / Dni]:[Razon Social]],2,0),"")</f>
        <v/>
      </c>
      <c r="Z200" s="25"/>
      <c r="AA200" s="130"/>
      <c r="AB200" s="3" t="str">
        <f>IF(C_Ope_001[[#This Row],[FECHA]]&gt;0,TEXT(C_Ope_001[[#This Row],[FECHA]],"mmmm"),0)</f>
        <v>Mayo</v>
      </c>
    </row>
    <row r="201" spans="2:28" ht="24" x14ac:dyDescent="0.3">
      <c r="B201" s="2">
        <f>IF(C_Ope_001[[#This Row],[TIPO DE R.]]="R",COUNTIFS($D$4:$D200,"R")+1,"")</f>
        <v>197</v>
      </c>
      <c r="C201" s="19" t="str">
        <f t="shared" si="16"/>
        <v>C_Ope_001</v>
      </c>
      <c r="D201" s="3" t="s">
        <v>1074</v>
      </c>
      <c r="E201" s="14">
        <v>45782</v>
      </c>
      <c r="F201" s="5" t="s">
        <v>6538</v>
      </c>
      <c r="G201" s="5" t="s">
        <v>1079</v>
      </c>
      <c r="H201" s="6"/>
      <c r="I201" s="6" t="s">
        <v>14</v>
      </c>
      <c r="J201" s="6" t="s">
        <v>1088</v>
      </c>
      <c r="K201" s="6">
        <v>34564</v>
      </c>
      <c r="L201" s="7" t="s">
        <v>6628</v>
      </c>
      <c r="M201" s="8">
        <v>24116</v>
      </c>
      <c r="N201" s="8" t="str">
        <f t="shared" si="20"/>
        <v>PEN</v>
      </c>
      <c r="O201" s="13"/>
      <c r="P201" s="13">
        <v>10</v>
      </c>
      <c r="Q201" s="3">
        <f t="shared" si="17"/>
        <v>0</v>
      </c>
      <c r="R201" s="3">
        <f t="shared" si="18"/>
        <v>10</v>
      </c>
      <c r="S201" s="3">
        <f t="shared" si="19"/>
        <v>465.74</v>
      </c>
      <c r="T201" s="24"/>
      <c r="U201" s="24"/>
      <c r="V201" s="3"/>
      <c r="W201" s="25" t="s">
        <v>6546</v>
      </c>
      <c r="X201" s="25"/>
      <c r="Y201" s="25" t="str">
        <f>IFERROR(VLOOKUP(C_Ope_001[[#This Row],[NOTA 2]],Clientes_Proveedores[[Ruc / Dni]:[Razon Social]],2,0),"")</f>
        <v/>
      </c>
      <c r="Z201" s="25"/>
      <c r="AA201" s="130"/>
      <c r="AB201" s="3" t="str">
        <f>IF(C_Ope_001[[#This Row],[FECHA]]&gt;0,TEXT(C_Ope_001[[#This Row],[FECHA]],"mmmm"),0)</f>
        <v>Mayo</v>
      </c>
    </row>
    <row r="202" spans="2:28" ht="24" x14ac:dyDescent="0.3">
      <c r="B202" s="2">
        <f>IF(C_Ope_001[[#This Row],[TIPO DE R.]]="R",COUNTIFS($D$4:$D201,"R")+1,"")</f>
        <v>198</v>
      </c>
      <c r="C202" s="19" t="str">
        <f t="shared" si="16"/>
        <v>C_Ope_001</v>
      </c>
      <c r="D202" s="3" t="s">
        <v>1074</v>
      </c>
      <c r="E202" s="14">
        <v>45783</v>
      </c>
      <c r="F202" s="5" t="s">
        <v>6538</v>
      </c>
      <c r="G202" s="5" t="s">
        <v>1079</v>
      </c>
      <c r="H202" s="6"/>
      <c r="I202" s="6" t="s">
        <v>14</v>
      </c>
      <c r="J202" s="6" t="s">
        <v>1097</v>
      </c>
      <c r="K202" s="6">
        <v>16321</v>
      </c>
      <c r="L202" s="7" t="s">
        <v>6645</v>
      </c>
      <c r="M202" s="8">
        <v>24127</v>
      </c>
      <c r="N202" s="8" t="str">
        <f t="shared" si="20"/>
        <v>PEN</v>
      </c>
      <c r="O202" s="13"/>
      <c r="P202" s="13">
        <v>20</v>
      </c>
      <c r="Q202" s="3">
        <f t="shared" si="17"/>
        <v>0</v>
      </c>
      <c r="R202" s="3">
        <f t="shared" si="18"/>
        <v>20</v>
      </c>
      <c r="S202" s="3">
        <f t="shared" si="19"/>
        <v>445.74</v>
      </c>
      <c r="T202" s="24"/>
      <c r="U202" s="24"/>
      <c r="V202" s="3"/>
      <c r="W202" s="25" t="s">
        <v>6546</v>
      </c>
      <c r="X202" s="25"/>
      <c r="Y202" s="25" t="str">
        <f>IFERROR(VLOOKUP(C_Ope_001[[#This Row],[NOTA 2]],Clientes_Proveedores[[Ruc / Dni]:[Razon Social]],2,0),"")</f>
        <v/>
      </c>
      <c r="Z202" s="25"/>
      <c r="AA202" s="130"/>
      <c r="AB202" s="3" t="str">
        <f>IF(C_Ope_001[[#This Row],[FECHA]]&gt;0,TEXT(C_Ope_001[[#This Row],[FECHA]],"mmmm"),0)</f>
        <v>Mayo</v>
      </c>
    </row>
    <row r="203" spans="2:28" x14ac:dyDescent="0.3">
      <c r="B203" s="2">
        <f>IF(C_Ope_001[[#This Row],[TIPO DE R.]]="R",COUNTIFS($D$4:$D202,"R")+1,"")</f>
        <v>199</v>
      </c>
      <c r="C203" s="19" t="str">
        <f t="shared" si="16"/>
        <v>C_Ope_001</v>
      </c>
      <c r="D203" s="3" t="s">
        <v>1074</v>
      </c>
      <c r="E203" s="14">
        <v>45783</v>
      </c>
      <c r="F203" s="5" t="s">
        <v>6538</v>
      </c>
      <c r="G203" s="5" t="s">
        <v>1079</v>
      </c>
      <c r="H203" s="6"/>
      <c r="I203" s="6" t="s">
        <v>14</v>
      </c>
      <c r="J203" s="6" t="s">
        <v>1097</v>
      </c>
      <c r="K203" s="6">
        <v>16319</v>
      </c>
      <c r="L203" s="7" t="s">
        <v>6646</v>
      </c>
      <c r="M203" s="8">
        <v>24128</v>
      </c>
      <c r="N203" s="8" t="str">
        <f t="shared" si="20"/>
        <v>PEN</v>
      </c>
      <c r="O203" s="13"/>
      <c r="P203" s="13">
        <v>20</v>
      </c>
      <c r="Q203" s="3">
        <f t="shared" si="17"/>
        <v>0</v>
      </c>
      <c r="R203" s="3">
        <f t="shared" si="18"/>
        <v>20</v>
      </c>
      <c r="S203" s="3">
        <f t="shared" si="19"/>
        <v>425.74</v>
      </c>
      <c r="T203" s="24"/>
      <c r="U203" s="24"/>
      <c r="V203" s="3"/>
      <c r="W203" s="25" t="s">
        <v>6546</v>
      </c>
      <c r="X203" s="25"/>
      <c r="Y203" s="25" t="str">
        <f>IFERROR(VLOOKUP(C_Ope_001[[#This Row],[NOTA 2]],Clientes_Proveedores[[Ruc / Dni]:[Razon Social]],2,0),"")</f>
        <v/>
      </c>
      <c r="Z203" s="25"/>
      <c r="AA203" s="130"/>
      <c r="AB203" s="3" t="str">
        <f>IF(C_Ope_001[[#This Row],[FECHA]]&gt;0,TEXT(C_Ope_001[[#This Row],[FECHA]],"mmmm"),0)</f>
        <v>Mayo</v>
      </c>
    </row>
    <row r="204" spans="2:28" ht="24" x14ac:dyDescent="0.3">
      <c r="B204" s="2">
        <f>IF(C_Ope_001[[#This Row],[TIPO DE R.]]="R",COUNTIFS($D$4:$D203,"R")+1,"")</f>
        <v>200</v>
      </c>
      <c r="C204" s="19" t="str">
        <f t="shared" si="16"/>
        <v>C_Ope_001</v>
      </c>
      <c r="D204" s="3" t="s">
        <v>1074</v>
      </c>
      <c r="E204" s="14">
        <v>45784</v>
      </c>
      <c r="F204" s="5" t="s">
        <v>6538</v>
      </c>
      <c r="G204" s="5" t="s">
        <v>1079</v>
      </c>
      <c r="H204" s="6"/>
      <c r="I204" s="6" t="s">
        <v>14</v>
      </c>
      <c r="J204" s="6" t="s">
        <v>1088</v>
      </c>
      <c r="K204" s="6">
        <v>34590</v>
      </c>
      <c r="L204" s="7" t="s">
        <v>6628</v>
      </c>
      <c r="M204" s="8">
        <v>24173</v>
      </c>
      <c r="N204" s="8" t="str">
        <f t="shared" si="20"/>
        <v>PEN</v>
      </c>
      <c r="O204" s="13"/>
      <c r="P204" s="13">
        <v>10</v>
      </c>
      <c r="Q204" s="3">
        <f t="shared" si="17"/>
        <v>0</v>
      </c>
      <c r="R204" s="3">
        <f t="shared" si="18"/>
        <v>10</v>
      </c>
      <c r="S204" s="3">
        <f t="shared" si="19"/>
        <v>415.74</v>
      </c>
      <c r="T204" s="24"/>
      <c r="U204" s="24"/>
      <c r="V204" s="3"/>
      <c r="W204" s="25" t="s">
        <v>6546</v>
      </c>
      <c r="X204" s="25"/>
      <c r="Y204" s="25" t="str">
        <f>IFERROR(VLOOKUP(C_Ope_001[[#This Row],[NOTA 2]],Clientes_Proveedores[[Ruc / Dni]:[Razon Social]],2,0),"")</f>
        <v/>
      </c>
      <c r="Z204" s="25"/>
      <c r="AA204" s="130"/>
      <c r="AB204" s="3" t="str">
        <f>IF(C_Ope_001[[#This Row],[FECHA]]&gt;0,TEXT(C_Ope_001[[#This Row],[FECHA]],"mmmm"),0)</f>
        <v>Mayo</v>
      </c>
    </row>
    <row r="205" spans="2:28" x14ac:dyDescent="0.3">
      <c r="B205" s="2">
        <f>IF(C_Ope_001[[#This Row],[TIPO DE R.]]="R",COUNTIFS($D$4:$D204,"R")+1,"")</f>
        <v>201</v>
      </c>
      <c r="C205" s="19" t="str">
        <f t="shared" si="16"/>
        <v>C_Ope_001</v>
      </c>
      <c r="D205" s="3" t="s">
        <v>1074</v>
      </c>
      <c r="E205" s="14">
        <v>45785</v>
      </c>
      <c r="F205" s="5" t="s">
        <v>6538</v>
      </c>
      <c r="G205" s="5" t="s">
        <v>1079</v>
      </c>
      <c r="H205" s="6"/>
      <c r="I205" s="6" t="s">
        <v>14</v>
      </c>
      <c r="J205" s="6" t="s">
        <v>6561</v>
      </c>
      <c r="K205" s="6">
        <v>792</v>
      </c>
      <c r="L205" s="7" t="s">
        <v>6622</v>
      </c>
      <c r="M205" s="8">
        <v>24134</v>
      </c>
      <c r="N205" s="8" t="str">
        <f t="shared" si="20"/>
        <v>PEN</v>
      </c>
      <c r="O205" s="13"/>
      <c r="P205" s="13">
        <v>10</v>
      </c>
      <c r="Q205" s="3">
        <f t="shared" si="17"/>
        <v>0</v>
      </c>
      <c r="R205" s="3">
        <f t="shared" si="18"/>
        <v>10</v>
      </c>
      <c r="S205" s="3">
        <f t="shared" si="19"/>
        <v>405.74</v>
      </c>
      <c r="T205" s="24"/>
      <c r="U205" s="24"/>
      <c r="V205" s="3"/>
      <c r="W205" s="25" t="s">
        <v>6546</v>
      </c>
      <c r="X205" s="25"/>
      <c r="Y205" s="25" t="str">
        <f>IFERROR(VLOOKUP(C_Ope_001[[#This Row],[NOTA 2]],Clientes_Proveedores[[Ruc / Dni]:[Razon Social]],2,0),"")</f>
        <v/>
      </c>
      <c r="Z205" s="25"/>
      <c r="AA205" s="130"/>
      <c r="AB205" s="3" t="str">
        <f>IF(C_Ope_001[[#This Row],[FECHA]]&gt;0,TEXT(C_Ope_001[[#This Row],[FECHA]],"mmmm"),0)</f>
        <v>Mayo</v>
      </c>
    </row>
    <row r="206" spans="2:28" x14ac:dyDescent="0.3">
      <c r="B206" s="2">
        <f>IF(C_Ope_001[[#This Row],[TIPO DE R.]]="R",COUNTIFS($D$4:$D205,"R")+1,"")</f>
        <v>202</v>
      </c>
      <c r="C206" s="19" t="str">
        <f t="shared" si="16"/>
        <v>C_Ope_001</v>
      </c>
      <c r="D206" s="3" t="s">
        <v>1074</v>
      </c>
      <c r="E206" s="14">
        <v>45785</v>
      </c>
      <c r="F206" s="5" t="s">
        <v>6538</v>
      </c>
      <c r="G206" s="5" t="s">
        <v>1079</v>
      </c>
      <c r="H206" s="6"/>
      <c r="I206" s="6" t="s">
        <v>14</v>
      </c>
      <c r="J206" s="6" t="s">
        <v>1088</v>
      </c>
      <c r="K206" s="6">
        <v>34604</v>
      </c>
      <c r="L206" s="7" t="s">
        <v>6592</v>
      </c>
      <c r="M206" s="8">
        <v>24135</v>
      </c>
      <c r="N206" s="8" t="str">
        <f t="shared" si="20"/>
        <v>PEN</v>
      </c>
      <c r="O206" s="13"/>
      <c r="P206" s="13">
        <v>10</v>
      </c>
      <c r="Q206" s="3">
        <f t="shared" si="17"/>
        <v>0</v>
      </c>
      <c r="R206" s="3">
        <f t="shared" si="18"/>
        <v>10</v>
      </c>
      <c r="S206" s="3">
        <f t="shared" si="19"/>
        <v>395.74</v>
      </c>
      <c r="T206" s="24"/>
      <c r="U206" s="24"/>
      <c r="V206" s="3"/>
      <c r="W206" s="25" t="s">
        <v>6546</v>
      </c>
      <c r="X206" s="25"/>
      <c r="Y206" s="25" t="str">
        <f>IFERROR(VLOOKUP(C_Ope_001[[#This Row],[NOTA 2]],Clientes_Proveedores[[Ruc / Dni]:[Razon Social]],2,0),"")</f>
        <v/>
      </c>
      <c r="Z206" s="25"/>
      <c r="AA206" s="130"/>
      <c r="AB206" s="3" t="str">
        <f>IF(C_Ope_001[[#This Row],[FECHA]]&gt;0,TEXT(C_Ope_001[[#This Row],[FECHA]],"mmmm"),0)</f>
        <v>Mayo</v>
      </c>
    </row>
    <row r="207" spans="2:28" ht="24" x14ac:dyDescent="0.3">
      <c r="B207" s="2">
        <f>IF(C_Ope_001[[#This Row],[TIPO DE R.]]="R",COUNTIFS($D$4:$D206,"R")+1,"")</f>
        <v>203</v>
      </c>
      <c r="C207" s="19" t="str">
        <f t="shared" si="16"/>
        <v>C_Ope_001</v>
      </c>
      <c r="D207" s="3" t="s">
        <v>1074</v>
      </c>
      <c r="E207" s="14">
        <v>45786</v>
      </c>
      <c r="F207" s="5" t="s">
        <v>6538</v>
      </c>
      <c r="G207" s="5" t="s">
        <v>1079</v>
      </c>
      <c r="H207" s="6"/>
      <c r="I207" s="6" t="s">
        <v>14</v>
      </c>
      <c r="J207" s="6" t="s">
        <v>1088</v>
      </c>
      <c r="K207" s="6">
        <v>34618</v>
      </c>
      <c r="L207" s="7" t="s">
        <v>6628</v>
      </c>
      <c r="M207" s="8">
        <v>24153</v>
      </c>
      <c r="N207" s="8" t="str">
        <f t="shared" si="20"/>
        <v>PEN</v>
      </c>
      <c r="O207" s="13"/>
      <c r="P207" s="13">
        <v>10</v>
      </c>
      <c r="Q207" s="3">
        <f t="shared" si="17"/>
        <v>0</v>
      </c>
      <c r="R207" s="3">
        <f t="shared" si="18"/>
        <v>10</v>
      </c>
      <c r="S207" s="3">
        <f t="shared" si="19"/>
        <v>385.74</v>
      </c>
      <c r="T207" s="24"/>
      <c r="U207" s="24"/>
      <c r="V207" s="3"/>
      <c r="W207" s="25" t="s">
        <v>6546</v>
      </c>
      <c r="X207" s="25"/>
      <c r="Y207" s="25" t="str">
        <f>IFERROR(VLOOKUP(C_Ope_001[[#This Row],[NOTA 2]],Clientes_Proveedores[[Ruc / Dni]:[Razon Social]],2,0),"")</f>
        <v/>
      </c>
      <c r="Z207" s="25"/>
      <c r="AA207" s="130"/>
      <c r="AB207" s="3" t="str">
        <f>IF(C_Ope_001[[#This Row],[FECHA]]&gt;0,TEXT(C_Ope_001[[#This Row],[FECHA]],"mmmm"),0)</f>
        <v>Mayo</v>
      </c>
    </row>
    <row r="208" spans="2:28" x14ac:dyDescent="0.3">
      <c r="B208" s="2">
        <f>IF(C_Ope_001[[#This Row],[TIPO DE R.]]="R",COUNTIFS($D$4:$D207,"R")+1,"")</f>
        <v>204</v>
      </c>
      <c r="C208" s="19" t="str">
        <f t="shared" si="16"/>
        <v>C_Ope_001</v>
      </c>
      <c r="D208" s="3" t="s">
        <v>1074</v>
      </c>
      <c r="E208" s="14">
        <v>45791</v>
      </c>
      <c r="F208" s="5" t="s">
        <v>6299</v>
      </c>
      <c r="G208" s="5" t="s">
        <v>1087</v>
      </c>
      <c r="H208" s="6"/>
      <c r="I208" s="6"/>
      <c r="J208" s="6"/>
      <c r="K208" s="6"/>
      <c r="L208" s="7" t="s">
        <v>6302</v>
      </c>
      <c r="M208" s="8">
        <v>24345</v>
      </c>
      <c r="N208" s="8" t="str">
        <f t="shared" si="20"/>
        <v>PEN</v>
      </c>
      <c r="O208" s="13"/>
      <c r="P208" s="13">
        <v>300</v>
      </c>
      <c r="Q208" s="3">
        <f t="shared" si="17"/>
        <v>300</v>
      </c>
      <c r="R208" s="3">
        <f t="shared" si="18"/>
        <v>0</v>
      </c>
      <c r="S208" s="3">
        <f t="shared" si="19"/>
        <v>685.74</v>
      </c>
      <c r="T208" s="24"/>
      <c r="U208" s="24"/>
      <c r="V208" s="3"/>
      <c r="W208" s="25"/>
      <c r="X208" s="25"/>
      <c r="Y208" s="25" t="str">
        <f>IFERROR(VLOOKUP(C_Ope_001[[#This Row],[NOTA 2]],Clientes_Proveedores[[Ruc / Dni]:[Razon Social]],2,0),"")</f>
        <v/>
      </c>
      <c r="Z208" s="25"/>
      <c r="AA208" s="130"/>
      <c r="AB208" s="3" t="str">
        <f>IF(C_Ope_001[[#This Row],[FECHA]]&gt;0,TEXT(C_Ope_001[[#This Row],[FECHA]],"mmmm"),0)</f>
        <v>Mayo</v>
      </c>
    </row>
    <row r="209" spans="2:28" ht="24" x14ac:dyDescent="0.3">
      <c r="B209" s="2">
        <f>IF(C_Ope_001[[#This Row],[TIPO DE R.]]="R",COUNTIFS($D$4:$D208,"R")+1,"")</f>
        <v>205</v>
      </c>
      <c r="C209" s="19" t="str">
        <f t="shared" si="16"/>
        <v>C_Ope_001</v>
      </c>
      <c r="D209" s="3" t="s">
        <v>1074</v>
      </c>
      <c r="E209" s="14">
        <v>45789</v>
      </c>
      <c r="F209" s="5" t="s">
        <v>6538</v>
      </c>
      <c r="G209" s="5" t="s">
        <v>1079</v>
      </c>
      <c r="H209" s="6"/>
      <c r="I209" s="6" t="s">
        <v>14</v>
      </c>
      <c r="J209" s="6" t="s">
        <v>5243</v>
      </c>
      <c r="K209" s="6">
        <v>2328856</v>
      </c>
      <c r="L209" s="7" t="s">
        <v>6647</v>
      </c>
      <c r="M209" s="8">
        <v>24180</v>
      </c>
      <c r="N209" s="8" t="str">
        <f t="shared" si="20"/>
        <v>PEN</v>
      </c>
      <c r="O209" s="13"/>
      <c r="P209" s="13">
        <v>8</v>
      </c>
      <c r="Q209" s="3">
        <f t="shared" si="17"/>
        <v>0</v>
      </c>
      <c r="R209" s="3">
        <f t="shared" si="18"/>
        <v>8</v>
      </c>
      <c r="S209" s="3">
        <f t="shared" si="19"/>
        <v>677.74</v>
      </c>
      <c r="T209" s="24"/>
      <c r="U209" s="24"/>
      <c r="V209" s="3"/>
      <c r="W209" s="25" t="s">
        <v>6546</v>
      </c>
      <c r="X209" s="25"/>
      <c r="Y209" s="25" t="str">
        <f>IFERROR(VLOOKUP(C_Ope_001[[#This Row],[NOTA 2]],Clientes_Proveedores[[Ruc / Dni]:[Razon Social]],2,0),"")</f>
        <v/>
      </c>
      <c r="Z209" s="25"/>
      <c r="AA209" s="130"/>
      <c r="AB209" s="3" t="str">
        <f>IF(C_Ope_001[[#This Row],[FECHA]]&gt;0,TEXT(C_Ope_001[[#This Row],[FECHA]],"mmmm"),0)</f>
        <v>Mayo</v>
      </c>
    </row>
    <row r="210" spans="2:28" ht="24" x14ac:dyDescent="0.3">
      <c r="B210" s="2">
        <f>IF(C_Ope_001[[#This Row],[TIPO DE R.]]="R",COUNTIFS($D$4:$D209,"R")+1,"")</f>
        <v>206</v>
      </c>
      <c r="C210" s="19" t="str">
        <f t="shared" si="16"/>
        <v>C_Ope_001</v>
      </c>
      <c r="D210" s="3" t="s">
        <v>1074</v>
      </c>
      <c r="E210" s="14">
        <v>45789</v>
      </c>
      <c r="F210" s="5" t="s">
        <v>6538</v>
      </c>
      <c r="G210" s="5" t="s">
        <v>1079</v>
      </c>
      <c r="H210" s="6"/>
      <c r="I210" s="6" t="s">
        <v>14</v>
      </c>
      <c r="J210" s="6" t="s">
        <v>6556</v>
      </c>
      <c r="K210" s="6">
        <v>472636</v>
      </c>
      <c r="L210" s="7" t="s">
        <v>6648</v>
      </c>
      <c r="M210" s="8">
        <v>24181</v>
      </c>
      <c r="N210" s="8" t="str">
        <f t="shared" si="20"/>
        <v>PEN</v>
      </c>
      <c r="O210" s="13"/>
      <c r="P210" s="13">
        <v>8</v>
      </c>
      <c r="Q210" s="3">
        <f t="shared" si="17"/>
        <v>0</v>
      </c>
      <c r="R210" s="3">
        <f t="shared" si="18"/>
        <v>8</v>
      </c>
      <c r="S210" s="3">
        <f t="shared" si="19"/>
        <v>669.74</v>
      </c>
      <c r="T210" s="24"/>
      <c r="U210" s="24"/>
      <c r="V210" s="3"/>
      <c r="W210" s="25" t="s">
        <v>6546</v>
      </c>
      <c r="X210" s="25"/>
      <c r="Y210" s="25" t="str">
        <f>IFERROR(VLOOKUP(C_Ope_001[[#This Row],[NOTA 2]],Clientes_Proveedores[[Ruc / Dni]:[Razon Social]],2,0),"")</f>
        <v/>
      </c>
      <c r="Z210" s="25"/>
      <c r="AA210" s="130"/>
      <c r="AB210" s="3" t="str">
        <f>IF(C_Ope_001[[#This Row],[FECHA]]&gt;0,TEXT(C_Ope_001[[#This Row],[FECHA]],"mmmm"),0)</f>
        <v>Mayo</v>
      </c>
    </row>
    <row r="211" spans="2:28" ht="24" x14ac:dyDescent="0.3">
      <c r="B211" s="2">
        <f>IF(C_Ope_001[[#This Row],[TIPO DE R.]]="R",COUNTIFS($D$4:$D210,"R")+1,"")</f>
        <v>207</v>
      </c>
      <c r="C211" s="19" t="str">
        <f t="shared" si="16"/>
        <v>C_Ope_001</v>
      </c>
      <c r="D211" s="3" t="s">
        <v>1074</v>
      </c>
      <c r="E211" s="14">
        <v>45789</v>
      </c>
      <c r="F211" s="5" t="s">
        <v>6538</v>
      </c>
      <c r="G211" s="5" t="s">
        <v>1079</v>
      </c>
      <c r="H211" s="6"/>
      <c r="I211" s="6" t="s">
        <v>14</v>
      </c>
      <c r="J211" s="6" t="s">
        <v>5242</v>
      </c>
      <c r="K211" s="6">
        <v>2048147</v>
      </c>
      <c r="L211" s="7" t="s">
        <v>6647</v>
      </c>
      <c r="M211" s="8">
        <v>24186</v>
      </c>
      <c r="N211" s="8" t="str">
        <f t="shared" si="20"/>
        <v>PEN</v>
      </c>
      <c r="O211" s="13"/>
      <c r="P211" s="13">
        <v>8</v>
      </c>
      <c r="Q211" s="3">
        <f t="shared" si="17"/>
        <v>0</v>
      </c>
      <c r="R211" s="3">
        <f t="shared" si="18"/>
        <v>8</v>
      </c>
      <c r="S211" s="3">
        <f t="shared" si="19"/>
        <v>661.74</v>
      </c>
      <c r="T211" s="24"/>
      <c r="U211" s="24"/>
      <c r="V211" s="3"/>
      <c r="W211" s="25" t="s">
        <v>6546</v>
      </c>
      <c r="X211" s="25"/>
      <c r="Y211" s="25" t="str">
        <f>IFERROR(VLOOKUP(C_Ope_001[[#This Row],[NOTA 2]],Clientes_Proveedores[[Ruc / Dni]:[Razon Social]],2,0),"")</f>
        <v/>
      </c>
      <c r="Z211" s="25"/>
      <c r="AA211" s="130"/>
      <c r="AB211" s="3" t="str">
        <f>IF(C_Ope_001[[#This Row],[FECHA]]&gt;0,TEXT(C_Ope_001[[#This Row],[FECHA]],"mmmm"),0)</f>
        <v>Mayo</v>
      </c>
    </row>
    <row r="212" spans="2:28" ht="24" x14ac:dyDescent="0.3">
      <c r="B212" s="2">
        <f>IF(C_Ope_001[[#This Row],[TIPO DE R.]]="R",COUNTIFS($D$4:$D211,"R")+1,"")</f>
        <v>208</v>
      </c>
      <c r="C212" s="19" t="str">
        <f t="shared" si="16"/>
        <v>C_Ope_001</v>
      </c>
      <c r="D212" s="3" t="s">
        <v>1074</v>
      </c>
      <c r="E212" s="14">
        <v>45789</v>
      </c>
      <c r="F212" s="5" t="s">
        <v>6538</v>
      </c>
      <c r="G212" s="5" t="s">
        <v>1079</v>
      </c>
      <c r="H212" s="6"/>
      <c r="I212" s="6" t="s">
        <v>14</v>
      </c>
      <c r="J212" s="6" t="s">
        <v>5280</v>
      </c>
      <c r="K212" s="6">
        <v>1053623</v>
      </c>
      <c r="L212" s="7" t="s">
        <v>6648</v>
      </c>
      <c r="M212" s="8">
        <v>24187</v>
      </c>
      <c r="N212" s="8" t="str">
        <f t="shared" si="20"/>
        <v>PEN</v>
      </c>
      <c r="O212" s="13"/>
      <c r="P212" s="13">
        <v>8</v>
      </c>
      <c r="Q212" s="3">
        <f t="shared" si="17"/>
        <v>0</v>
      </c>
      <c r="R212" s="3">
        <f t="shared" si="18"/>
        <v>8</v>
      </c>
      <c r="S212" s="3">
        <f t="shared" si="19"/>
        <v>653.74</v>
      </c>
      <c r="T212" s="24"/>
      <c r="U212" s="24"/>
      <c r="V212" s="3"/>
      <c r="W212" s="25" t="s">
        <v>6546</v>
      </c>
      <c r="X212" s="25"/>
      <c r="Y212" s="25" t="str">
        <f>IFERROR(VLOOKUP(C_Ope_001[[#This Row],[NOTA 2]],Clientes_Proveedores[[Ruc / Dni]:[Razon Social]],2,0),"")</f>
        <v/>
      </c>
      <c r="Z212" s="25"/>
      <c r="AA212" s="130"/>
      <c r="AB212" s="3" t="str">
        <f>IF(C_Ope_001[[#This Row],[FECHA]]&gt;0,TEXT(C_Ope_001[[#This Row],[FECHA]],"mmmm"),0)</f>
        <v>Mayo</v>
      </c>
    </row>
    <row r="213" spans="2:28" ht="36" x14ac:dyDescent="0.3">
      <c r="B213" s="2">
        <f>IF(C_Ope_001[[#This Row],[TIPO DE R.]]="R",COUNTIFS($D$4:$D212,"R")+1,"")</f>
        <v>209</v>
      </c>
      <c r="C213" s="19" t="str">
        <f t="shared" si="16"/>
        <v>C_Ope_001</v>
      </c>
      <c r="D213" s="3" t="s">
        <v>1074</v>
      </c>
      <c r="E213" s="14">
        <v>45791</v>
      </c>
      <c r="F213" s="5" t="s">
        <v>6538</v>
      </c>
      <c r="G213" s="5" t="s">
        <v>1079</v>
      </c>
      <c r="H213" s="6"/>
      <c r="I213" s="6" t="s">
        <v>14</v>
      </c>
      <c r="J213" s="6" t="s">
        <v>5245</v>
      </c>
      <c r="K213" s="6">
        <v>1750184</v>
      </c>
      <c r="L213" s="7" t="s">
        <v>6649</v>
      </c>
      <c r="M213" s="8">
        <v>24204</v>
      </c>
      <c r="N213" s="8" t="str">
        <f t="shared" si="20"/>
        <v>PEN</v>
      </c>
      <c r="O213" s="13"/>
      <c r="P213" s="13">
        <v>8</v>
      </c>
      <c r="Q213" s="3">
        <f t="shared" si="17"/>
        <v>0</v>
      </c>
      <c r="R213" s="3">
        <f t="shared" si="18"/>
        <v>8</v>
      </c>
      <c r="S213" s="3">
        <f t="shared" si="19"/>
        <v>645.74</v>
      </c>
      <c r="T213" s="24"/>
      <c r="U213" s="24"/>
      <c r="V213" s="3"/>
      <c r="W213" s="25" t="s">
        <v>6546</v>
      </c>
      <c r="X213" s="25"/>
      <c r="Y213" s="25" t="str">
        <f>IFERROR(VLOOKUP(C_Ope_001[[#This Row],[NOTA 2]],Clientes_Proveedores[[Ruc / Dni]:[Razon Social]],2,0),"")</f>
        <v/>
      </c>
      <c r="Z213" s="25"/>
      <c r="AA213" s="130"/>
      <c r="AB213" s="3" t="str">
        <f>IF(C_Ope_001[[#This Row],[FECHA]]&gt;0,TEXT(C_Ope_001[[#This Row],[FECHA]],"mmmm"),0)</f>
        <v>Mayo</v>
      </c>
    </row>
    <row r="214" spans="2:28" ht="36" x14ac:dyDescent="0.3">
      <c r="B214" s="2">
        <f>IF(C_Ope_001[[#This Row],[TIPO DE R.]]="R",COUNTIFS($D$4:$D213,"R")+1,"")</f>
        <v>210</v>
      </c>
      <c r="C214" s="19" t="str">
        <f t="shared" si="16"/>
        <v>C_Ope_001</v>
      </c>
      <c r="D214" s="3" t="s">
        <v>1074</v>
      </c>
      <c r="E214" s="14">
        <v>45791</v>
      </c>
      <c r="F214" s="5" t="s">
        <v>6538</v>
      </c>
      <c r="G214" s="5" t="s">
        <v>1079</v>
      </c>
      <c r="H214" s="6"/>
      <c r="I214" s="6" t="s">
        <v>14</v>
      </c>
      <c r="J214" s="6" t="s">
        <v>5244</v>
      </c>
      <c r="K214" s="6">
        <v>1730461</v>
      </c>
      <c r="L214" s="7" t="s">
        <v>6649</v>
      </c>
      <c r="M214" s="8">
        <v>24205</v>
      </c>
      <c r="N214" s="8" t="str">
        <f t="shared" si="20"/>
        <v>PEN</v>
      </c>
      <c r="O214" s="13"/>
      <c r="P214" s="13">
        <v>8</v>
      </c>
      <c r="Q214" s="3">
        <f t="shared" si="17"/>
        <v>0</v>
      </c>
      <c r="R214" s="3">
        <f t="shared" si="18"/>
        <v>8</v>
      </c>
      <c r="S214" s="3">
        <f t="shared" si="19"/>
        <v>637.74</v>
      </c>
      <c r="T214" s="24"/>
      <c r="U214" s="24"/>
      <c r="V214" s="3"/>
      <c r="W214" s="25" t="s">
        <v>6546</v>
      </c>
      <c r="X214" s="25"/>
      <c r="Y214" s="25" t="str">
        <f>IFERROR(VLOOKUP(C_Ope_001[[#This Row],[NOTA 2]],Clientes_Proveedores[[Ruc / Dni]:[Razon Social]],2,0),"")</f>
        <v/>
      </c>
      <c r="Z214" s="25"/>
      <c r="AA214" s="130"/>
      <c r="AB214" s="3" t="str">
        <f>IF(C_Ope_001[[#This Row],[FECHA]]&gt;0,TEXT(C_Ope_001[[#This Row],[FECHA]],"mmmm"),0)</f>
        <v>Mayo</v>
      </c>
    </row>
    <row r="215" spans="2:28" ht="24" x14ac:dyDescent="0.3">
      <c r="B215" s="2">
        <f>IF(C_Ope_001[[#This Row],[TIPO DE R.]]="R",COUNTIFS($D$4:$D214,"R")+1,"")</f>
        <v>211</v>
      </c>
      <c r="C215" s="19" t="str">
        <f t="shared" si="16"/>
        <v>C_Ope_001</v>
      </c>
      <c r="D215" s="3" t="s">
        <v>1074</v>
      </c>
      <c r="E215" s="14">
        <v>45793</v>
      </c>
      <c r="F215" s="5" t="s">
        <v>6538</v>
      </c>
      <c r="G215" s="5" t="s">
        <v>1079</v>
      </c>
      <c r="H215" s="6"/>
      <c r="I215" s="6" t="s">
        <v>14</v>
      </c>
      <c r="J215" s="6" t="s">
        <v>5243</v>
      </c>
      <c r="K215" s="6">
        <v>2333645</v>
      </c>
      <c r="L215" s="7" t="s">
        <v>6602</v>
      </c>
      <c r="M215" s="8">
        <v>24212</v>
      </c>
      <c r="N215" s="8" t="str">
        <f t="shared" si="20"/>
        <v>PEN</v>
      </c>
      <c r="O215" s="13"/>
      <c r="P215" s="13">
        <v>8</v>
      </c>
      <c r="Q215" s="3">
        <f t="shared" si="17"/>
        <v>0</v>
      </c>
      <c r="R215" s="3">
        <f t="shared" si="18"/>
        <v>8</v>
      </c>
      <c r="S215" s="3">
        <f t="shared" si="19"/>
        <v>629.74</v>
      </c>
      <c r="T215" s="24"/>
      <c r="U215" s="24"/>
      <c r="V215" s="3"/>
      <c r="W215" s="25" t="s">
        <v>6546</v>
      </c>
      <c r="X215" s="25"/>
      <c r="Y215" s="25" t="str">
        <f>IFERROR(VLOOKUP(C_Ope_001[[#This Row],[NOTA 2]],Clientes_Proveedores[[Ruc / Dni]:[Razon Social]],2,0),"")</f>
        <v/>
      </c>
      <c r="Z215" s="25"/>
      <c r="AA215" s="130"/>
      <c r="AB215" s="3" t="str">
        <f>IF(C_Ope_001[[#This Row],[FECHA]]&gt;0,TEXT(C_Ope_001[[#This Row],[FECHA]],"mmmm"),0)</f>
        <v>Mayo</v>
      </c>
    </row>
    <row r="216" spans="2:28" ht="24" x14ac:dyDescent="0.3">
      <c r="B216" s="2">
        <f>IF(C_Ope_001[[#This Row],[TIPO DE R.]]="R",COUNTIFS($D$4:$D215,"R")+1,"")</f>
        <v>212</v>
      </c>
      <c r="C216" s="19" t="str">
        <f t="shared" si="16"/>
        <v>C_Ope_001</v>
      </c>
      <c r="D216" s="3" t="s">
        <v>1074</v>
      </c>
      <c r="E216" s="14">
        <v>45789</v>
      </c>
      <c r="F216" s="5" t="s">
        <v>6538</v>
      </c>
      <c r="G216" s="5" t="s">
        <v>1079</v>
      </c>
      <c r="H216" s="6"/>
      <c r="I216" s="6" t="s">
        <v>14</v>
      </c>
      <c r="J216" s="6" t="s">
        <v>1088</v>
      </c>
      <c r="K216" s="6">
        <v>34636</v>
      </c>
      <c r="L216" s="7" t="s">
        <v>6628</v>
      </c>
      <c r="M216" s="8">
        <v>24182</v>
      </c>
      <c r="N216" s="8" t="str">
        <f t="shared" si="20"/>
        <v>PEN</v>
      </c>
      <c r="O216" s="13"/>
      <c r="P216" s="13">
        <v>10</v>
      </c>
      <c r="Q216" s="3">
        <f t="shared" si="17"/>
        <v>0</v>
      </c>
      <c r="R216" s="3">
        <f t="shared" si="18"/>
        <v>10</v>
      </c>
      <c r="S216" s="3">
        <f t="shared" si="19"/>
        <v>619.74</v>
      </c>
      <c r="T216" s="24"/>
      <c r="U216" s="24"/>
      <c r="V216" s="3"/>
      <c r="W216" s="25" t="s">
        <v>6546</v>
      </c>
      <c r="X216" s="25"/>
      <c r="Y216" s="25" t="str">
        <f>IFERROR(VLOOKUP(C_Ope_001[[#This Row],[NOTA 2]],Clientes_Proveedores[[Ruc / Dni]:[Razon Social]],2,0),"")</f>
        <v/>
      </c>
      <c r="Z216" s="25"/>
      <c r="AA216" s="130"/>
      <c r="AB216" s="3" t="str">
        <f>IF(C_Ope_001[[#This Row],[FECHA]]&gt;0,TEXT(C_Ope_001[[#This Row],[FECHA]],"mmmm"),0)</f>
        <v>Mayo</v>
      </c>
    </row>
    <row r="217" spans="2:28" ht="24" x14ac:dyDescent="0.3">
      <c r="B217" s="2">
        <f>IF(C_Ope_001[[#This Row],[TIPO DE R.]]="R",COUNTIFS($D$4:$D216,"R")+1,"")</f>
        <v>213</v>
      </c>
      <c r="C217" s="19" t="str">
        <f t="shared" si="16"/>
        <v>C_Ope_001</v>
      </c>
      <c r="D217" s="3" t="s">
        <v>1074</v>
      </c>
      <c r="E217" s="14">
        <v>45789</v>
      </c>
      <c r="F217" s="5" t="s">
        <v>6538</v>
      </c>
      <c r="G217" s="5" t="s">
        <v>1079</v>
      </c>
      <c r="H217" s="6"/>
      <c r="I217" s="6" t="s">
        <v>14</v>
      </c>
      <c r="J217" s="6" t="s">
        <v>1088</v>
      </c>
      <c r="K217" s="6">
        <v>34590</v>
      </c>
      <c r="L217" s="7" t="s">
        <v>6628</v>
      </c>
      <c r="M217" s="8">
        <v>24183</v>
      </c>
      <c r="N217" s="8" t="str">
        <f t="shared" si="20"/>
        <v>PEN</v>
      </c>
      <c r="O217" s="13"/>
      <c r="P217" s="13">
        <v>10</v>
      </c>
      <c r="Q217" s="3">
        <f t="shared" si="17"/>
        <v>0</v>
      </c>
      <c r="R217" s="3">
        <f t="shared" si="18"/>
        <v>10</v>
      </c>
      <c r="S217" s="3">
        <f t="shared" si="19"/>
        <v>609.74</v>
      </c>
      <c r="T217" s="24"/>
      <c r="U217" s="24"/>
      <c r="V217" s="3"/>
      <c r="W217" s="25" t="s">
        <v>6546</v>
      </c>
      <c r="X217" s="25"/>
      <c r="Y217" s="25" t="str">
        <f>IFERROR(VLOOKUP(C_Ope_001[[#This Row],[NOTA 2]],Clientes_Proveedores[[Ruc / Dni]:[Razon Social]],2,0),"")</f>
        <v/>
      </c>
      <c r="Z217" s="25"/>
      <c r="AA217" s="130"/>
      <c r="AB217" s="3" t="str">
        <f>IF(C_Ope_001[[#This Row],[FECHA]]&gt;0,TEXT(C_Ope_001[[#This Row],[FECHA]],"mmmm"),0)</f>
        <v>Mayo</v>
      </c>
    </row>
    <row r="218" spans="2:28" ht="24" x14ac:dyDescent="0.3">
      <c r="B218" s="2">
        <f>IF(C_Ope_001[[#This Row],[TIPO DE R.]]="R",COUNTIFS($D$4:$D217,"R")+1,"")</f>
        <v>214</v>
      </c>
      <c r="C218" s="19" t="str">
        <f t="shared" si="16"/>
        <v>C_Ope_001</v>
      </c>
      <c r="D218" s="3" t="s">
        <v>1074</v>
      </c>
      <c r="E218" s="14">
        <v>45793</v>
      </c>
      <c r="F218" s="5" t="s">
        <v>6538</v>
      </c>
      <c r="G218" s="5" t="s">
        <v>1079</v>
      </c>
      <c r="H218" s="6"/>
      <c r="I218" s="6" t="s">
        <v>14</v>
      </c>
      <c r="J218" s="6" t="s">
        <v>1088</v>
      </c>
      <c r="K218" s="6">
        <v>34678</v>
      </c>
      <c r="L218" s="7" t="s">
        <v>6628</v>
      </c>
      <c r="M218" s="8">
        <v>24213</v>
      </c>
      <c r="N218" s="8" t="str">
        <f t="shared" si="20"/>
        <v>PEN</v>
      </c>
      <c r="O218" s="13"/>
      <c r="P218" s="13">
        <v>10</v>
      </c>
      <c r="Q218" s="3">
        <f t="shared" si="17"/>
        <v>0</v>
      </c>
      <c r="R218" s="3">
        <f t="shared" si="18"/>
        <v>10</v>
      </c>
      <c r="S218" s="3">
        <f t="shared" si="19"/>
        <v>599.74</v>
      </c>
      <c r="T218" s="24"/>
      <c r="U218" s="24"/>
      <c r="V218" s="3"/>
      <c r="W218" s="25" t="s">
        <v>6546</v>
      </c>
      <c r="X218" s="25"/>
      <c r="Y218" s="25" t="str">
        <f>IFERROR(VLOOKUP(C_Ope_001[[#This Row],[NOTA 2]],Clientes_Proveedores[[Ruc / Dni]:[Razon Social]],2,0),"")</f>
        <v/>
      </c>
      <c r="Z218" s="25"/>
      <c r="AA218" s="130"/>
      <c r="AB218" s="3" t="str">
        <f>IF(C_Ope_001[[#This Row],[FECHA]]&gt;0,TEXT(C_Ope_001[[#This Row],[FECHA]],"mmmm"),0)</f>
        <v>Mayo</v>
      </c>
    </row>
    <row r="219" spans="2:28" x14ac:dyDescent="0.3">
      <c r="B219" s="2">
        <f>IF(C_Ope_001[[#This Row],[TIPO DE R.]]="R",COUNTIFS($D$4:$D218,"R")+1,"")</f>
        <v>215</v>
      </c>
      <c r="C219" s="19" t="str">
        <f t="shared" si="16"/>
        <v>C_Ope_001</v>
      </c>
      <c r="D219" s="3" t="s">
        <v>1074</v>
      </c>
      <c r="E219" s="14">
        <v>45790</v>
      </c>
      <c r="F219" s="5" t="s">
        <v>6538</v>
      </c>
      <c r="G219" s="5" t="s">
        <v>1079</v>
      </c>
      <c r="H219" s="6"/>
      <c r="I219" s="6" t="s">
        <v>14</v>
      </c>
      <c r="J219" s="6" t="s">
        <v>1119</v>
      </c>
      <c r="K219" s="6">
        <v>17697</v>
      </c>
      <c r="L219" s="7" t="s">
        <v>6565</v>
      </c>
      <c r="M219" s="8">
        <v>24196</v>
      </c>
      <c r="N219" s="8" t="str">
        <f t="shared" si="20"/>
        <v>PEN</v>
      </c>
      <c r="O219" s="13"/>
      <c r="P219" s="13">
        <v>25</v>
      </c>
      <c r="Q219" s="3">
        <f t="shared" si="17"/>
        <v>0</v>
      </c>
      <c r="R219" s="3">
        <f t="shared" si="18"/>
        <v>25</v>
      </c>
      <c r="S219" s="3">
        <f t="shared" si="19"/>
        <v>574.74</v>
      </c>
      <c r="T219" s="24"/>
      <c r="U219" s="24"/>
      <c r="V219" s="3"/>
      <c r="W219" s="25" t="s">
        <v>6546</v>
      </c>
      <c r="X219" s="25"/>
      <c r="Y219" s="25" t="str">
        <f>IFERROR(VLOOKUP(C_Ope_001[[#This Row],[NOTA 2]],Clientes_Proveedores[[Ruc / Dni]:[Razon Social]],2,0),"")</f>
        <v/>
      </c>
      <c r="Z219" s="25"/>
      <c r="AA219" s="130"/>
      <c r="AB219" s="3" t="str">
        <f>IF(C_Ope_001[[#This Row],[FECHA]]&gt;0,TEXT(C_Ope_001[[#This Row],[FECHA]],"mmmm"),0)</f>
        <v>Mayo</v>
      </c>
    </row>
    <row r="220" spans="2:28" ht="24" x14ac:dyDescent="0.3">
      <c r="B220" s="2">
        <f>IF(C_Ope_001[[#This Row],[TIPO DE R.]]="R",COUNTIFS($D$4:$D219,"R")+1,"")</f>
        <v>216</v>
      </c>
      <c r="C220" s="19" t="str">
        <f t="shared" si="16"/>
        <v>C_Ope_001</v>
      </c>
      <c r="D220" s="3" t="s">
        <v>1074</v>
      </c>
      <c r="E220" s="14">
        <v>45796</v>
      </c>
      <c r="F220" s="5" t="s">
        <v>6538</v>
      </c>
      <c r="G220" s="5" t="s">
        <v>1079</v>
      </c>
      <c r="H220" s="6"/>
      <c r="I220" s="6" t="s">
        <v>14</v>
      </c>
      <c r="J220" s="6" t="s">
        <v>5245</v>
      </c>
      <c r="K220" s="6">
        <v>1754571</v>
      </c>
      <c r="L220" s="7" t="s">
        <v>6650</v>
      </c>
      <c r="M220" s="8">
        <v>24219</v>
      </c>
      <c r="N220" s="8" t="str">
        <f t="shared" si="20"/>
        <v>PEN</v>
      </c>
      <c r="O220" s="13"/>
      <c r="P220" s="13">
        <v>8</v>
      </c>
      <c r="Q220" s="3">
        <f t="shared" si="17"/>
        <v>0</v>
      </c>
      <c r="R220" s="3">
        <f t="shared" si="18"/>
        <v>8</v>
      </c>
      <c r="S220" s="3">
        <f t="shared" si="19"/>
        <v>566.74</v>
      </c>
      <c r="T220" s="24"/>
      <c r="U220" s="24"/>
      <c r="V220" s="3"/>
      <c r="W220" s="25" t="s">
        <v>6546</v>
      </c>
      <c r="X220" s="25"/>
      <c r="Y220" s="25" t="str">
        <f>IFERROR(VLOOKUP(C_Ope_001[[#This Row],[NOTA 2]],Clientes_Proveedores[[Ruc / Dni]:[Razon Social]],2,0),"")</f>
        <v/>
      </c>
      <c r="Z220" s="25"/>
      <c r="AA220" s="130"/>
      <c r="AB220" s="3" t="str">
        <f>IF(C_Ope_001[[#This Row],[FECHA]]&gt;0,TEXT(C_Ope_001[[#This Row],[FECHA]],"mmmm"),0)</f>
        <v>Mayo</v>
      </c>
    </row>
    <row r="221" spans="2:28" ht="24" x14ac:dyDescent="0.3">
      <c r="B221" s="2">
        <f>IF(C_Ope_001[[#This Row],[TIPO DE R.]]="R",COUNTIFS($D$4:$D220,"R")+1,"")</f>
        <v>217</v>
      </c>
      <c r="C221" s="19" t="str">
        <f t="shared" si="16"/>
        <v>C_Ope_001</v>
      </c>
      <c r="D221" s="3" t="s">
        <v>1074</v>
      </c>
      <c r="E221" s="14">
        <v>45797</v>
      </c>
      <c r="F221" s="5" t="s">
        <v>6538</v>
      </c>
      <c r="G221" s="5" t="s">
        <v>1079</v>
      </c>
      <c r="H221" s="6"/>
      <c r="I221" s="6" t="s">
        <v>14</v>
      </c>
      <c r="J221" s="6" t="s">
        <v>5244</v>
      </c>
      <c r="K221" s="6">
        <v>1735654</v>
      </c>
      <c r="L221" s="7" t="s">
        <v>6651</v>
      </c>
      <c r="M221" s="8">
        <v>24226</v>
      </c>
      <c r="N221" s="8" t="str">
        <f t="shared" si="20"/>
        <v>PEN</v>
      </c>
      <c r="O221" s="13"/>
      <c r="P221" s="13">
        <v>8</v>
      </c>
      <c r="Q221" s="3">
        <f t="shared" si="17"/>
        <v>0</v>
      </c>
      <c r="R221" s="3">
        <f t="shared" si="18"/>
        <v>8</v>
      </c>
      <c r="S221" s="3">
        <f t="shared" si="19"/>
        <v>558.74</v>
      </c>
      <c r="T221" s="24"/>
      <c r="U221" s="24"/>
      <c r="V221" s="3"/>
      <c r="W221" s="25" t="s">
        <v>6546</v>
      </c>
      <c r="X221" s="25"/>
      <c r="Y221" s="25" t="str">
        <f>IFERROR(VLOOKUP(C_Ope_001[[#This Row],[NOTA 2]],Clientes_Proveedores[[Ruc / Dni]:[Razon Social]],2,0),"")</f>
        <v/>
      </c>
      <c r="Z221" s="25"/>
      <c r="AA221" s="130"/>
      <c r="AB221" s="3" t="str">
        <f>IF(C_Ope_001[[#This Row],[FECHA]]&gt;0,TEXT(C_Ope_001[[#This Row],[FECHA]],"mmmm"),0)</f>
        <v>Mayo</v>
      </c>
    </row>
    <row r="222" spans="2:28" ht="24" x14ac:dyDescent="0.3">
      <c r="B222" s="2">
        <f>IF(C_Ope_001[[#This Row],[TIPO DE R.]]="R",COUNTIFS($D$4:$D221,"R")+1,"")</f>
        <v>218</v>
      </c>
      <c r="C222" s="19" t="str">
        <f t="shared" si="16"/>
        <v>C_Ope_001</v>
      </c>
      <c r="D222" s="3" t="s">
        <v>1074</v>
      </c>
      <c r="E222" s="14">
        <v>45797</v>
      </c>
      <c r="F222" s="5" t="s">
        <v>6538</v>
      </c>
      <c r="G222" s="5" t="s">
        <v>1079</v>
      </c>
      <c r="H222" s="6"/>
      <c r="I222" s="6" t="s">
        <v>14</v>
      </c>
      <c r="J222" s="6" t="s">
        <v>5245</v>
      </c>
      <c r="K222" s="6">
        <v>1755335</v>
      </c>
      <c r="L222" s="7" t="s">
        <v>6651</v>
      </c>
      <c r="M222" s="8">
        <v>24227</v>
      </c>
      <c r="N222" s="8" t="str">
        <f t="shared" si="20"/>
        <v>PEN</v>
      </c>
      <c r="O222" s="13"/>
      <c r="P222" s="13">
        <v>8</v>
      </c>
      <c r="Q222" s="3">
        <f t="shared" si="17"/>
        <v>0</v>
      </c>
      <c r="R222" s="3">
        <f t="shared" si="18"/>
        <v>8</v>
      </c>
      <c r="S222" s="3">
        <f t="shared" si="19"/>
        <v>550.74</v>
      </c>
      <c r="T222" s="24"/>
      <c r="U222" s="24"/>
      <c r="V222" s="3"/>
      <c r="W222" s="25" t="s">
        <v>6546</v>
      </c>
      <c r="X222" s="25"/>
      <c r="Y222" s="25" t="str">
        <f>IFERROR(VLOOKUP(C_Ope_001[[#This Row],[NOTA 2]],Clientes_Proveedores[[Ruc / Dni]:[Razon Social]],2,0),"")</f>
        <v/>
      </c>
      <c r="Z222" s="25"/>
      <c r="AA222" s="130"/>
      <c r="AB222" s="3" t="str">
        <f>IF(C_Ope_001[[#This Row],[FECHA]]&gt;0,TEXT(C_Ope_001[[#This Row],[FECHA]],"mmmm"),0)</f>
        <v>Mayo</v>
      </c>
    </row>
    <row r="223" spans="2:28" ht="24" x14ac:dyDescent="0.3">
      <c r="B223" s="2">
        <f>IF(C_Ope_001[[#This Row],[TIPO DE R.]]="R",COUNTIFS($D$4:$D222,"R")+1,"")</f>
        <v>219</v>
      </c>
      <c r="C223" s="19" t="str">
        <f t="shared" si="16"/>
        <v>C_Ope_001</v>
      </c>
      <c r="D223" s="3" t="s">
        <v>1074</v>
      </c>
      <c r="E223" s="14">
        <v>45798</v>
      </c>
      <c r="F223" s="5" t="s">
        <v>6538</v>
      </c>
      <c r="G223" s="5" t="s">
        <v>1079</v>
      </c>
      <c r="H223" s="6"/>
      <c r="I223" s="6" t="s">
        <v>14</v>
      </c>
      <c r="J223" s="6" t="s">
        <v>5245</v>
      </c>
      <c r="K223" s="6">
        <v>1756284</v>
      </c>
      <c r="L223" s="7" t="s">
        <v>6566</v>
      </c>
      <c r="M223" s="8">
        <v>24244</v>
      </c>
      <c r="N223" s="8" t="str">
        <f t="shared" si="20"/>
        <v>PEN</v>
      </c>
      <c r="O223" s="13"/>
      <c r="P223" s="13">
        <v>8</v>
      </c>
      <c r="Q223" s="3">
        <f t="shared" si="17"/>
        <v>0</v>
      </c>
      <c r="R223" s="3">
        <f t="shared" si="18"/>
        <v>8</v>
      </c>
      <c r="S223" s="3">
        <f t="shared" si="19"/>
        <v>542.74</v>
      </c>
      <c r="T223" s="24"/>
      <c r="U223" s="24"/>
      <c r="V223" s="3"/>
      <c r="W223" s="25" t="s">
        <v>6541</v>
      </c>
      <c r="X223" s="25"/>
      <c r="Y223" s="25" t="str">
        <f>IFERROR(VLOOKUP(C_Ope_001[[#This Row],[NOTA 2]],Clientes_Proveedores[[Ruc / Dni]:[Razon Social]],2,0),"")</f>
        <v/>
      </c>
      <c r="Z223" s="25"/>
      <c r="AA223" s="130"/>
      <c r="AB223" s="3" t="str">
        <f>IF(C_Ope_001[[#This Row],[FECHA]]&gt;0,TEXT(C_Ope_001[[#This Row],[FECHA]],"mmmm"),0)</f>
        <v>Mayo</v>
      </c>
    </row>
    <row r="224" spans="2:28" ht="24" x14ac:dyDescent="0.3">
      <c r="B224" s="2">
        <f>IF(C_Ope_001[[#This Row],[TIPO DE R.]]="R",COUNTIFS($D$4:$D223,"R")+1,"")</f>
        <v>220</v>
      </c>
      <c r="C224" s="19" t="str">
        <f t="shared" si="16"/>
        <v>C_Ope_001</v>
      </c>
      <c r="D224" s="3" t="s">
        <v>1074</v>
      </c>
      <c r="E224" s="14">
        <v>45798</v>
      </c>
      <c r="F224" s="5" t="s">
        <v>6538</v>
      </c>
      <c r="G224" s="5" t="s">
        <v>1079</v>
      </c>
      <c r="H224" s="6"/>
      <c r="I224" s="6" t="s">
        <v>14</v>
      </c>
      <c r="J224" s="6" t="s">
        <v>5244</v>
      </c>
      <c r="K224" s="6">
        <v>1736562</v>
      </c>
      <c r="L224" s="7" t="s">
        <v>6566</v>
      </c>
      <c r="M224" s="8">
        <v>24245</v>
      </c>
      <c r="N224" s="8" t="str">
        <f t="shared" si="20"/>
        <v>PEN</v>
      </c>
      <c r="O224" s="13"/>
      <c r="P224" s="13">
        <v>8</v>
      </c>
      <c r="Q224" s="3">
        <f t="shared" si="17"/>
        <v>0</v>
      </c>
      <c r="R224" s="3">
        <f t="shared" si="18"/>
        <v>8</v>
      </c>
      <c r="S224" s="3">
        <f t="shared" si="19"/>
        <v>534.74</v>
      </c>
      <c r="T224" s="24"/>
      <c r="U224" s="24"/>
      <c r="V224" s="3"/>
      <c r="W224" s="25" t="s">
        <v>6541</v>
      </c>
      <c r="X224" s="25"/>
      <c r="Y224" s="25" t="str">
        <f>IFERROR(VLOOKUP(C_Ope_001[[#This Row],[NOTA 2]],Clientes_Proveedores[[Ruc / Dni]:[Razon Social]],2,0),"")</f>
        <v/>
      </c>
      <c r="Z224" s="25"/>
      <c r="AA224" s="130"/>
      <c r="AB224" s="3" t="str">
        <f>IF(C_Ope_001[[#This Row],[FECHA]]&gt;0,TEXT(C_Ope_001[[#This Row],[FECHA]],"mmmm"),0)</f>
        <v>Mayo</v>
      </c>
    </row>
    <row r="225" spans="2:28" ht="24" x14ac:dyDescent="0.3">
      <c r="B225" s="2">
        <f>IF(C_Ope_001[[#This Row],[TIPO DE R.]]="R",COUNTIFS($D$4:$D224,"R")+1,"")</f>
        <v>221</v>
      </c>
      <c r="C225" s="19" t="str">
        <f t="shared" si="16"/>
        <v>C_Ope_001</v>
      </c>
      <c r="D225" s="3" t="s">
        <v>1074</v>
      </c>
      <c r="E225" s="14">
        <v>45800</v>
      </c>
      <c r="F225" s="5" t="s">
        <v>6538</v>
      </c>
      <c r="G225" s="5" t="s">
        <v>1079</v>
      </c>
      <c r="H225" s="6"/>
      <c r="I225" s="6" t="s">
        <v>14</v>
      </c>
      <c r="J225" s="6" t="s">
        <v>5244</v>
      </c>
      <c r="K225" s="6">
        <v>1738528</v>
      </c>
      <c r="L225" s="7" t="s">
        <v>6614</v>
      </c>
      <c r="M225" s="8">
        <v>24295</v>
      </c>
      <c r="N225" s="8" t="str">
        <f t="shared" si="20"/>
        <v>PEN</v>
      </c>
      <c r="O225" s="13"/>
      <c r="P225" s="13">
        <v>8</v>
      </c>
      <c r="Q225" s="3">
        <f t="shared" si="17"/>
        <v>0</v>
      </c>
      <c r="R225" s="3">
        <f t="shared" si="18"/>
        <v>8</v>
      </c>
      <c r="S225" s="3">
        <f t="shared" si="19"/>
        <v>526.74</v>
      </c>
      <c r="T225" s="24"/>
      <c r="U225" s="24"/>
      <c r="V225" s="3"/>
      <c r="W225" s="25" t="s">
        <v>6541</v>
      </c>
      <c r="X225" s="25"/>
      <c r="Y225" s="25" t="str">
        <f>IFERROR(VLOOKUP(C_Ope_001[[#This Row],[NOTA 2]],Clientes_Proveedores[[Ruc / Dni]:[Razon Social]],2,0),"")</f>
        <v/>
      </c>
      <c r="Z225" s="25"/>
      <c r="AA225" s="130"/>
      <c r="AB225" s="3" t="str">
        <f>IF(C_Ope_001[[#This Row],[FECHA]]&gt;0,TEXT(C_Ope_001[[#This Row],[FECHA]],"mmmm"),0)</f>
        <v>Mayo</v>
      </c>
    </row>
    <row r="226" spans="2:28" ht="24" x14ac:dyDescent="0.3">
      <c r="B226" s="2">
        <f>IF(C_Ope_001[[#This Row],[TIPO DE R.]]="R",COUNTIFS($D$4:$D225,"R")+1,"")</f>
        <v>222</v>
      </c>
      <c r="C226" s="19" t="str">
        <f t="shared" si="16"/>
        <v>C_Ope_001</v>
      </c>
      <c r="D226" s="3" t="s">
        <v>1074</v>
      </c>
      <c r="E226" s="14">
        <v>45800</v>
      </c>
      <c r="F226" s="5" t="s">
        <v>6538</v>
      </c>
      <c r="G226" s="5" t="s">
        <v>1079</v>
      </c>
      <c r="H226" s="6"/>
      <c r="I226" s="6" t="s">
        <v>14</v>
      </c>
      <c r="J226" s="6" t="s">
        <v>5245</v>
      </c>
      <c r="K226" s="6">
        <v>1758389</v>
      </c>
      <c r="L226" s="7" t="s">
        <v>6614</v>
      </c>
      <c r="M226" s="8">
        <v>24296</v>
      </c>
      <c r="N226" s="8" t="str">
        <f t="shared" si="20"/>
        <v>PEN</v>
      </c>
      <c r="O226" s="13"/>
      <c r="P226" s="13">
        <v>8</v>
      </c>
      <c r="Q226" s="3">
        <f t="shared" si="17"/>
        <v>0</v>
      </c>
      <c r="R226" s="3">
        <f t="shared" si="18"/>
        <v>8</v>
      </c>
      <c r="S226" s="3">
        <f t="shared" si="19"/>
        <v>518.74</v>
      </c>
      <c r="T226" s="24"/>
      <c r="U226" s="24"/>
      <c r="V226" s="3"/>
      <c r="W226" s="25" t="s">
        <v>6541</v>
      </c>
      <c r="X226" s="25"/>
      <c r="Y226" s="25" t="str">
        <f>IFERROR(VLOOKUP(C_Ope_001[[#This Row],[NOTA 2]],Clientes_Proveedores[[Ruc / Dni]:[Razon Social]],2,0),"")</f>
        <v/>
      </c>
      <c r="Z226" s="25"/>
      <c r="AA226" s="130"/>
      <c r="AB226" s="3" t="str">
        <f>IF(C_Ope_001[[#This Row],[FECHA]]&gt;0,TEXT(C_Ope_001[[#This Row],[FECHA]],"mmmm"),0)</f>
        <v>Mayo</v>
      </c>
    </row>
    <row r="227" spans="2:28" x14ac:dyDescent="0.3">
      <c r="B227" s="2">
        <f>IF(C_Ope_001[[#This Row],[TIPO DE R.]]="R",COUNTIFS($D$4:$D226,"R")+1,"")</f>
        <v>223</v>
      </c>
      <c r="C227" s="19" t="str">
        <f t="shared" si="16"/>
        <v>C_Ope_001</v>
      </c>
      <c r="D227" s="3" t="s">
        <v>1074</v>
      </c>
      <c r="E227" s="14">
        <v>45796</v>
      </c>
      <c r="F227" s="5" t="s">
        <v>6538</v>
      </c>
      <c r="G227" s="5" t="s">
        <v>1079</v>
      </c>
      <c r="H227" s="6"/>
      <c r="I227" s="6" t="s">
        <v>14</v>
      </c>
      <c r="J227" s="6" t="s">
        <v>1097</v>
      </c>
      <c r="K227" s="6">
        <v>16415</v>
      </c>
      <c r="L227" s="7" t="s">
        <v>6652</v>
      </c>
      <c r="M227" s="8">
        <v>24220</v>
      </c>
      <c r="N227" s="8" t="str">
        <f t="shared" si="20"/>
        <v>PEN</v>
      </c>
      <c r="O227" s="13"/>
      <c r="P227" s="13">
        <v>20</v>
      </c>
      <c r="Q227" s="3">
        <f t="shared" si="17"/>
        <v>0</v>
      </c>
      <c r="R227" s="3">
        <f t="shared" si="18"/>
        <v>20</v>
      </c>
      <c r="S227" s="3">
        <f t="shared" si="19"/>
        <v>498.74</v>
      </c>
      <c r="T227" s="24"/>
      <c r="U227" s="24"/>
      <c r="V227" s="3"/>
      <c r="W227" s="25" t="s">
        <v>6546</v>
      </c>
      <c r="X227" s="25"/>
      <c r="Y227" s="25" t="str">
        <f>IFERROR(VLOOKUP(C_Ope_001[[#This Row],[NOTA 2]],Clientes_Proveedores[[Ruc / Dni]:[Razon Social]],2,0),"")</f>
        <v/>
      </c>
      <c r="Z227" s="25"/>
      <c r="AA227" s="130"/>
      <c r="AB227" s="3" t="str">
        <f>IF(C_Ope_001[[#This Row],[FECHA]]&gt;0,TEXT(C_Ope_001[[#This Row],[FECHA]],"mmmm"),0)</f>
        <v>Mayo</v>
      </c>
    </row>
    <row r="228" spans="2:28" ht="24" x14ac:dyDescent="0.3">
      <c r="B228" s="2">
        <f>IF(C_Ope_001[[#This Row],[TIPO DE R.]]="R",COUNTIFS($D$4:$D227,"R")+1,"")</f>
        <v>224</v>
      </c>
      <c r="C228" s="19" t="str">
        <f t="shared" si="16"/>
        <v>C_Ope_001</v>
      </c>
      <c r="D228" s="3" t="s">
        <v>1074</v>
      </c>
      <c r="E228" s="14">
        <v>45797</v>
      </c>
      <c r="F228" s="5" t="s">
        <v>6538</v>
      </c>
      <c r="G228" s="5" t="s">
        <v>1079</v>
      </c>
      <c r="H228" s="6"/>
      <c r="I228" s="6" t="s">
        <v>14</v>
      </c>
      <c r="J228" s="6" t="s">
        <v>1088</v>
      </c>
      <c r="K228" s="6">
        <v>34711</v>
      </c>
      <c r="L228" s="7" t="s">
        <v>6628</v>
      </c>
      <c r="M228" s="8">
        <v>24224</v>
      </c>
      <c r="N228" s="8" t="str">
        <f t="shared" si="20"/>
        <v>PEN</v>
      </c>
      <c r="O228" s="13"/>
      <c r="P228" s="13">
        <v>10</v>
      </c>
      <c r="Q228" s="3">
        <f t="shared" si="17"/>
        <v>0</v>
      </c>
      <c r="R228" s="3">
        <f t="shared" si="18"/>
        <v>10</v>
      </c>
      <c r="S228" s="3">
        <f t="shared" si="19"/>
        <v>488.74</v>
      </c>
      <c r="T228" s="24"/>
      <c r="U228" s="24"/>
      <c r="V228" s="3"/>
      <c r="W228" s="25" t="s">
        <v>6546</v>
      </c>
      <c r="X228" s="25"/>
      <c r="Y228" s="25" t="str">
        <f>IFERROR(VLOOKUP(C_Ope_001[[#This Row],[NOTA 2]],Clientes_Proveedores[[Ruc / Dni]:[Razon Social]],2,0),"")</f>
        <v/>
      </c>
      <c r="Z228" s="25"/>
      <c r="AA228" s="130"/>
      <c r="AB228" s="3" t="str">
        <f>IF(C_Ope_001[[#This Row],[FECHA]]&gt;0,TEXT(C_Ope_001[[#This Row],[FECHA]],"mmmm"),0)</f>
        <v>Mayo</v>
      </c>
    </row>
    <row r="229" spans="2:28" x14ac:dyDescent="0.3">
      <c r="B229" s="2">
        <f>IF(C_Ope_001[[#This Row],[TIPO DE R.]]="R",COUNTIFS($D$4:$D228,"R")+1,"")</f>
        <v>225</v>
      </c>
      <c r="C229" s="19" t="str">
        <f t="shared" si="16"/>
        <v>C_Ope_001</v>
      </c>
      <c r="D229" s="3" t="s">
        <v>1074</v>
      </c>
      <c r="E229" s="14">
        <v>45797</v>
      </c>
      <c r="F229" s="5" t="s">
        <v>6538</v>
      </c>
      <c r="G229" s="5" t="s">
        <v>1079</v>
      </c>
      <c r="H229" s="6"/>
      <c r="I229" s="6" t="s">
        <v>14</v>
      </c>
      <c r="J229" s="6" t="s">
        <v>1148</v>
      </c>
      <c r="K229" s="6">
        <v>132107</v>
      </c>
      <c r="L229" s="7" t="s">
        <v>6653</v>
      </c>
      <c r="M229" s="8">
        <v>24225</v>
      </c>
      <c r="N229" s="8" t="str">
        <f t="shared" si="20"/>
        <v>PEN</v>
      </c>
      <c r="O229" s="13"/>
      <c r="P229" s="13">
        <v>10</v>
      </c>
      <c r="Q229" s="3">
        <f t="shared" si="17"/>
        <v>0</v>
      </c>
      <c r="R229" s="3">
        <f t="shared" si="18"/>
        <v>10</v>
      </c>
      <c r="S229" s="3">
        <f t="shared" si="19"/>
        <v>478.74</v>
      </c>
      <c r="T229" s="24"/>
      <c r="U229" s="24"/>
      <c r="V229" s="3"/>
      <c r="W229" s="25" t="s">
        <v>6546</v>
      </c>
      <c r="X229" s="25"/>
      <c r="Y229" s="25" t="str">
        <f>IFERROR(VLOOKUP(C_Ope_001[[#This Row],[NOTA 2]],Clientes_Proveedores[[Ruc / Dni]:[Razon Social]],2,0),"")</f>
        <v/>
      </c>
      <c r="Z229" s="25"/>
      <c r="AA229" s="130"/>
      <c r="AB229" s="3" t="str">
        <f>IF(C_Ope_001[[#This Row],[FECHA]]&gt;0,TEXT(C_Ope_001[[#This Row],[FECHA]],"mmmm"),0)</f>
        <v>Mayo</v>
      </c>
    </row>
    <row r="230" spans="2:28" ht="24" x14ac:dyDescent="0.3">
      <c r="B230" s="2">
        <f>IF(C_Ope_001[[#This Row],[TIPO DE R.]]="R",COUNTIFS($D$4:$D229,"R")+1,"")</f>
        <v>226</v>
      </c>
      <c r="C230" s="19" t="str">
        <f t="shared" si="16"/>
        <v>C_Ope_001</v>
      </c>
      <c r="D230" s="3" t="s">
        <v>1074</v>
      </c>
      <c r="E230" s="14">
        <v>45799</v>
      </c>
      <c r="F230" s="5" t="s">
        <v>6538</v>
      </c>
      <c r="G230" s="5" t="s">
        <v>1079</v>
      </c>
      <c r="H230" s="6"/>
      <c r="I230" s="6" t="s">
        <v>14</v>
      </c>
      <c r="J230" s="6" t="s">
        <v>1088</v>
      </c>
      <c r="K230" s="6">
        <v>34729</v>
      </c>
      <c r="L230" s="7" t="s">
        <v>6628</v>
      </c>
      <c r="M230" s="8">
        <v>24280</v>
      </c>
      <c r="N230" s="8" t="str">
        <f t="shared" si="20"/>
        <v>PEN</v>
      </c>
      <c r="O230" s="13"/>
      <c r="P230" s="13">
        <v>10</v>
      </c>
      <c r="Q230" s="3">
        <f t="shared" si="17"/>
        <v>0</v>
      </c>
      <c r="R230" s="3">
        <f t="shared" si="18"/>
        <v>10</v>
      </c>
      <c r="S230" s="3">
        <f t="shared" si="19"/>
        <v>468.74</v>
      </c>
      <c r="T230" s="24"/>
      <c r="U230" s="24"/>
      <c r="V230" s="3"/>
      <c r="W230" s="25" t="s">
        <v>6541</v>
      </c>
      <c r="X230" s="25"/>
      <c r="Y230" s="25" t="str">
        <f>IFERROR(VLOOKUP(C_Ope_001[[#This Row],[NOTA 2]],Clientes_Proveedores[[Ruc / Dni]:[Razon Social]],2,0),"")</f>
        <v/>
      </c>
      <c r="Z230" s="25"/>
      <c r="AA230" s="130"/>
      <c r="AB230" s="3" t="str">
        <f>IF(C_Ope_001[[#This Row],[FECHA]]&gt;0,TEXT(C_Ope_001[[#This Row],[FECHA]],"mmmm"),0)</f>
        <v>Mayo</v>
      </c>
    </row>
    <row r="231" spans="2:28" ht="24" x14ac:dyDescent="0.3">
      <c r="B231" s="2">
        <f>IF(C_Ope_001[[#This Row],[TIPO DE R.]]="R",COUNTIFS($D$4:$D230,"R")+1,"")</f>
        <v>227</v>
      </c>
      <c r="C231" s="19" t="str">
        <f t="shared" si="16"/>
        <v>C_Ope_001</v>
      </c>
      <c r="D231" s="3" t="s">
        <v>1074</v>
      </c>
      <c r="E231" s="14">
        <v>45803</v>
      </c>
      <c r="F231" s="5" t="s">
        <v>6538</v>
      </c>
      <c r="G231" s="5" t="s">
        <v>1079</v>
      </c>
      <c r="H231" s="6"/>
      <c r="I231" s="6" t="s">
        <v>14</v>
      </c>
      <c r="J231" s="6" t="s">
        <v>5245</v>
      </c>
      <c r="K231" s="6">
        <v>1760982</v>
      </c>
      <c r="L231" s="7" t="s">
        <v>6654</v>
      </c>
      <c r="M231" s="8">
        <v>24305</v>
      </c>
      <c r="N231" s="8" t="str">
        <f t="shared" si="20"/>
        <v>PEN</v>
      </c>
      <c r="O231" s="13"/>
      <c r="P231" s="13">
        <v>8</v>
      </c>
      <c r="Q231" s="3">
        <f t="shared" si="17"/>
        <v>0</v>
      </c>
      <c r="R231" s="3">
        <f t="shared" si="18"/>
        <v>8</v>
      </c>
      <c r="S231" s="3">
        <f t="shared" si="19"/>
        <v>460.74</v>
      </c>
      <c r="T231" s="24"/>
      <c r="U231" s="24"/>
      <c r="V231" s="3"/>
      <c r="W231" s="25" t="s">
        <v>6546</v>
      </c>
      <c r="X231" s="25"/>
      <c r="Y231" s="25" t="str">
        <f>IFERROR(VLOOKUP(C_Ope_001[[#This Row],[NOTA 2]],Clientes_Proveedores[[Ruc / Dni]:[Razon Social]],2,0),"")</f>
        <v/>
      </c>
      <c r="Z231" s="25"/>
      <c r="AA231" s="130"/>
      <c r="AB231" s="3" t="str">
        <f>IF(C_Ope_001[[#This Row],[FECHA]]&gt;0,TEXT(C_Ope_001[[#This Row],[FECHA]],"mmmm"),0)</f>
        <v>Mayo</v>
      </c>
    </row>
    <row r="232" spans="2:28" ht="24" x14ac:dyDescent="0.3">
      <c r="B232" s="2">
        <f>IF(C_Ope_001[[#This Row],[TIPO DE R.]]="R",COUNTIFS($D$4:$D231,"R")+1,"")</f>
        <v>228</v>
      </c>
      <c r="C232" s="19" t="str">
        <f t="shared" si="16"/>
        <v>C_Ope_001</v>
      </c>
      <c r="D232" s="3" t="s">
        <v>1074</v>
      </c>
      <c r="E232" s="14">
        <v>45803</v>
      </c>
      <c r="F232" s="5" t="s">
        <v>6538</v>
      </c>
      <c r="G232" s="5" t="s">
        <v>1079</v>
      </c>
      <c r="H232" s="6"/>
      <c r="I232" s="6" t="s">
        <v>14</v>
      </c>
      <c r="J232" s="6" t="s">
        <v>5243</v>
      </c>
      <c r="K232" s="6">
        <v>2344265</v>
      </c>
      <c r="L232" s="7" t="s">
        <v>6654</v>
      </c>
      <c r="M232" s="8">
        <v>24306</v>
      </c>
      <c r="N232" s="8" t="str">
        <f t="shared" si="20"/>
        <v>PEN</v>
      </c>
      <c r="O232" s="13"/>
      <c r="P232" s="13">
        <v>8</v>
      </c>
      <c r="Q232" s="3">
        <f t="shared" si="17"/>
        <v>0</v>
      </c>
      <c r="R232" s="3">
        <f t="shared" si="18"/>
        <v>8</v>
      </c>
      <c r="S232" s="3">
        <f t="shared" si="19"/>
        <v>452.74</v>
      </c>
      <c r="T232" s="24"/>
      <c r="U232" s="24"/>
      <c r="V232" s="3"/>
      <c r="W232" s="25" t="s">
        <v>6546</v>
      </c>
      <c r="X232" s="25"/>
      <c r="Y232" s="25" t="str">
        <f>IFERROR(VLOOKUP(C_Ope_001[[#This Row],[NOTA 2]],Clientes_Proveedores[[Ruc / Dni]:[Razon Social]],2,0),"")</f>
        <v/>
      </c>
      <c r="Z232" s="25"/>
      <c r="AA232" s="130"/>
      <c r="AB232" s="3" t="str">
        <f>IF(C_Ope_001[[#This Row],[FECHA]]&gt;0,TEXT(C_Ope_001[[#This Row],[FECHA]],"mmmm"),0)</f>
        <v>Mayo</v>
      </c>
    </row>
    <row r="233" spans="2:28" ht="24" x14ac:dyDescent="0.3">
      <c r="B233" s="2">
        <f>IF(C_Ope_001[[#This Row],[TIPO DE R.]]="R",COUNTIFS($D$4:$D232,"R")+1,"")</f>
        <v>229</v>
      </c>
      <c r="C233" s="19" t="str">
        <f t="shared" si="16"/>
        <v>C_Ope_001</v>
      </c>
      <c r="D233" s="3" t="s">
        <v>1074</v>
      </c>
      <c r="E233" s="14">
        <v>45804</v>
      </c>
      <c r="F233" s="5" t="s">
        <v>6538</v>
      </c>
      <c r="G233" s="5" t="s">
        <v>1079</v>
      </c>
      <c r="H233" s="6"/>
      <c r="I233" s="6" t="s">
        <v>14</v>
      </c>
      <c r="J233" s="6" t="s">
        <v>5245</v>
      </c>
      <c r="K233" s="6">
        <v>1761762</v>
      </c>
      <c r="L233" s="7" t="s">
        <v>6655</v>
      </c>
      <c r="M233" s="8">
        <v>24317</v>
      </c>
      <c r="N233" s="8" t="str">
        <f t="shared" si="20"/>
        <v>PEN</v>
      </c>
      <c r="O233" s="13"/>
      <c r="P233" s="13">
        <v>8</v>
      </c>
      <c r="Q233" s="3">
        <f t="shared" si="17"/>
        <v>0</v>
      </c>
      <c r="R233" s="3">
        <f t="shared" si="18"/>
        <v>8</v>
      </c>
      <c r="S233" s="3">
        <f t="shared" si="19"/>
        <v>444.74</v>
      </c>
      <c r="T233" s="24"/>
      <c r="U233" s="24"/>
      <c r="V233" s="3"/>
      <c r="W233" s="25" t="s">
        <v>6546</v>
      </c>
      <c r="X233" s="25"/>
      <c r="Y233" s="25" t="str">
        <f>IFERROR(VLOOKUP(C_Ope_001[[#This Row],[NOTA 2]],Clientes_Proveedores[[Ruc / Dni]:[Razon Social]],2,0),"")</f>
        <v/>
      </c>
      <c r="Z233" s="25"/>
      <c r="AA233" s="130"/>
      <c r="AB233" s="3" t="str">
        <f>IF(C_Ope_001[[#This Row],[FECHA]]&gt;0,TEXT(C_Ope_001[[#This Row],[FECHA]],"mmmm"),0)</f>
        <v>Mayo</v>
      </c>
    </row>
    <row r="234" spans="2:28" ht="24" x14ac:dyDescent="0.3">
      <c r="B234" s="2">
        <f>IF(C_Ope_001[[#This Row],[TIPO DE R.]]="R",COUNTIFS($D$4:$D233,"R")+1,"")</f>
        <v>230</v>
      </c>
      <c r="C234" s="19" t="str">
        <f t="shared" si="16"/>
        <v>C_Ope_001</v>
      </c>
      <c r="D234" s="3" t="s">
        <v>1074</v>
      </c>
      <c r="E234" s="14">
        <v>45804</v>
      </c>
      <c r="F234" s="5" t="s">
        <v>6538</v>
      </c>
      <c r="G234" s="5" t="s">
        <v>1079</v>
      </c>
      <c r="H234" s="6"/>
      <c r="I234" s="6" t="s">
        <v>14</v>
      </c>
      <c r="J234" s="6" t="s">
        <v>5244</v>
      </c>
      <c r="K234" s="6">
        <v>1742027</v>
      </c>
      <c r="L234" s="7" t="s">
        <v>6655</v>
      </c>
      <c r="M234" s="8">
        <v>24318</v>
      </c>
      <c r="N234" s="8" t="str">
        <f t="shared" si="20"/>
        <v>PEN</v>
      </c>
      <c r="O234" s="13"/>
      <c r="P234" s="13">
        <v>8</v>
      </c>
      <c r="Q234" s="3">
        <f t="shared" si="17"/>
        <v>0</v>
      </c>
      <c r="R234" s="3">
        <f t="shared" si="18"/>
        <v>8</v>
      </c>
      <c r="S234" s="3">
        <f t="shared" si="19"/>
        <v>436.74</v>
      </c>
      <c r="T234" s="24"/>
      <c r="U234" s="24"/>
      <c r="V234" s="3"/>
      <c r="W234" s="25" t="s">
        <v>6546</v>
      </c>
      <c r="X234" s="25"/>
      <c r="Y234" s="25" t="str">
        <f>IFERROR(VLOOKUP(C_Ope_001[[#This Row],[NOTA 2]],Clientes_Proveedores[[Ruc / Dni]:[Razon Social]],2,0),"")</f>
        <v/>
      </c>
      <c r="Z234" s="25"/>
      <c r="AA234" s="130"/>
      <c r="AB234" s="3" t="str">
        <f>IF(C_Ope_001[[#This Row],[FECHA]]&gt;0,TEXT(C_Ope_001[[#This Row],[FECHA]],"mmmm"),0)</f>
        <v>Mayo</v>
      </c>
    </row>
    <row r="235" spans="2:28" ht="24" x14ac:dyDescent="0.3">
      <c r="B235" s="2">
        <f>IF(C_Ope_001[[#This Row],[TIPO DE R.]]="R",COUNTIFS($D$4:$D234,"R")+1,"")</f>
        <v>231</v>
      </c>
      <c r="C235" s="19" t="str">
        <f t="shared" si="16"/>
        <v>C_Ope_001</v>
      </c>
      <c r="D235" s="3" t="s">
        <v>1074</v>
      </c>
      <c r="E235" s="14">
        <v>45805</v>
      </c>
      <c r="F235" s="5" t="s">
        <v>6538</v>
      </c>
      <c r="G235" s="5" t="s">
        <v>1079</v>
      </c>
      <c r="H235" s="6"/>
      <c r="I235" s="6" t="s">
        <v>14</v>
      </c>
      <c r="J235" s="6" t="s">
        <v>5244</v>
      </c>
      <c r="K235" s="6">
        <v>1743087</v>
      </c>
      <c r="L235" s="7" t="s">
        <v>6656</v>
      </c>
      <c r="M235" s="8">
        <v>24337</v>
      </c>
      <c r="N235" s="8" t="str">
        <f t="shared" si="20"/>
        <v>PEN</v>
      </c>
      <c r="O235" s="13"/>
      <c r="P235" s="13">
        <v>8</v>
      </c>
      <c r="Q235" s="3">
        <f t="shared" si="17"/>
        <v>0</v>
      </c>
      <c r="R235" s="3">
        <f t="shared" si="18"/>
        <v>8</v>
      </c>
      <c r="S235" s="3">
        <f t="shared" si="19"/>
        <v>428.74</v>
      </c>
      <c r="T235" s="24"/>
      <c r="U235" s="24"/>
      <c r="V235" s="3"/>
      <c r="W235" s="25" t="s">
        <v>6546</v>
      </c>
      <c r="X235" s="25"/>
      <c r="Y235" s="25" t="str">
        <f>IFERROR(VLOOKUP(C_Ope_001[[#This Row],[NOTA 2]],Clientes_Proveedores[[Ruc / Dni]:[Razon Social]],2,0),"")</f>
        <v/>
      </c>
      <c r="Z235" s="25"/>
      <c r="AA235" s="130"/>
      <c r="AB235" s="3" t="str">
        <f>IF(C_Ope_001[[#This Row],[FECHA]]&gt;0,TEXT(C_Ope_001[[#This Row],[FECHA]],"mmmm"),0)</f>
        <v>Mayo</v>
      </c>
    </row>
    <row r="236" spans="2:28" ht="24" x14ac:dyDescent="0.3">
      <c r="B236" s="2">
        <f>IF(C_Ope_001[[#This Row],[TIPO DE R.]]="R",COUNTIFS($D$4:$D235,"R")+1,"")</f>
        <v>232</v>
      </c>
      <c r="C236" s="19" t="str">
        <f t="shared" si="16"/>
        <v>C_Ope_001</v>
      </c>
      <c r="D236" s="3" t="s">
        <v>1074</v>
      </c>
      <c r="E236" s="14">
        <v>45805</v>
      </c>
      <c r="F236" s="5" t="s">
        <v>6538</v>
      </c>
      <c r="G236" s="5" t="s">
        <v>1079</v>
      </c>
      <c r="H236" s="6"/>
      <c r="I236" s="6" t="s">
        <v>14</v>
      </c>
      <c r="J236" s="6" t="s">
        <v>5245</v>
      </c>
      <c r="K236" s="6">
        <v>1762782</v>
      </c>
      <c r="L236" s="7" t="s">
        <v>6656</v>
      </c>
      <c r="M236" s="8">
        <v>24342</v>
      </c>
      <c r="N236" s="8" t="str">
        <f t="shared" si="20"/>
        <v>PEN</v>
      </c>
      <c r="O236" s="13"/>
      <c r="P236" s="13">
        <v>8</v>
      </c>
      <c r="Q236" s="3">
        <f t="shared" si="17"/>
        <v>0</v>
      </c>
      <c r="R236" s="3">
        <f t="shared" si="18"/>
        <v>8</v>
      </c>
      <c r="S236" s="3">
        <f t="shared" si="19"/>
        <v>420.74</v>
      </c>
      <c r="T236" s="24"/>
      <c r="U236" s="24"/>
      <c r="V236" s="3"/>
      <c r="W236" s="25" t="s">
        <v>6546</v>
      </c>
      <c r="X236" s="25"/>
      <c r="Y236" s="25" t="str">
        <f>IFERROR(VLOOKUP(C_Ope_001[[#This Row],[NOTA 2]],Clientes_Proveedores[[Ruc / Dni]:[Razon Social]],2,0),"")</f>
        <v/>
      </c>
      <c r="Z236" s="25"/>
      <c r="AA236" s="130"/>
      <c r="AB236" s="3" t="str">
        <f>IF(C_Ope_001[[#This Row],[FECHA]]&gt;0,TEXT(C_Ope_001[[#This Row],[FECHA]],"mmmm"),0)</f>
        <v>Mayo</v>
      </c>
    </row>
    <row r="237" spans="2:28" ht="24" x14ac:dyDescent="0.3">
      <c r="B237" s="2">
        <f>IF(C_Ope_001[[#This Row],[TIPO DE R.]]="R",COUNTIFS($D$4:$D236,"R")+1,"")</f>
        <v>233</v>
      </c>
      <c r="C237" s="19" t="str">
        <f t="shared" si="16"/>
        <v>C_Ope_001</v>
      </c>
      <c r="D237" s="3" t="s">
        <v>1074</v>
      </c>
      <c r="E237" s="14">
        <v>45807</v>
      </c>
      <c r="F237" s="5" t="s">
        <v>6538</v>
      </c>
      <c r="G237" s="5" t="s">
        <v>1079</v>
      </c>
      <c r="H237" s="6"/>
      <c r="I237" s="6" t="s">
        <v>14</v>
      </c>
      <c r="J237" s="6" t="s">
        <v>5243</v>
      </c>
      <c r="K237" s="6">
        <v>2349196</v>
      </c>
      <c r="L237" s="7" t="s">
        <v>6570</v>
      </c>
      <c r="M237" s="8">
        <v>24367</v>
      </c>
      <c r="N237" s="8" t="str">
        <f t="shared" si="20"/>
        <v>PEN</v>
      </c>
      <c r="O237" s="13"/>
      <c r="P237" s="13">
        <v>8</v>
      </c>
      <c r="Q237" s="3">
        <f t="shared" si="17"/>
        <v>0</v>
      </c>
      <c r="R237" s="3">
        <f t="shared" si="18"/>
        <v>8</v>
      </c>
      <c r="S237" s="3">
        <f t="shared" si="19"/>
        <v>412.74</v>
      </c>
      <c r="T237" s="24"/>
      <c r="U237" s="24"/>
      <c r="V237" s="3"/>
      <c r="W237" s="25" t="s">
        <v>6546</v>
      </c>
      <c r="X237" s="25"/>
      <c r="Y237" s="25" t="str">
        <f>IFERROR(VLOOKUP(C_Ope_001[[#This Row],[NOTA 2]],Clientes_Proveedores[[Ruc / Dni]:[Razon Social]],2,0),"")</f>
        <v/>
      </c>
      <c r="Z237" s="25"/>
      <c r="AA237" s="130"/>
      <c r="AB237" s="3" t="str">
        <f>IF(C_Ope_001[[#This Row],[FECHA]]&gt;0,TEXT(C_Ope_001[[#This Row],[FECHA]],"mmmm"),0)</f>
        <v>Mayo</v>
      </c>
    </row>
    <row r="238" spans="2:28" ht="24" x14ac:dyDescent="0.3">
      <c r="B238" s="2">
        <f>IF(C_Ope_001[[#This Row],[TIPO DE R.]]="R",COUNTIFS($D$4:$D237,"R")+1,"")</f>
        <v>234</v>
      </c>
      <c r="C238" s="19" t="str">
        <f t="shared" si="16"/>
        <v>C_Ope_001</v>
      </c>
      <c r="D238" s="3" t="s">
        <v>1074</v>
      </c>
      <c r="E238" s="14">
        <v>45807</v>
      </c>
      <c r="F238" s="5" t="s">
        <v>6538</v>
      </c>
      <c r="G238" s="5" t="s">
        <v>1079</v>
      </c>
      <c r="H238" s="6"/>
      <c r="I238" s="6" t="s">
        <v>14</v>
      </c>
      <c r="J238" s="6" t="s">
        <v>5245</v>
      </c>
      <c r="K238" s="6">
        <v>1764690</v>
      </c>
      <c r="L238" s="7" t="s">
        <v>6570</v>
      </c>
      <c r="M238" s="8">
        <v>24397</v>
      </c>
      <c r="N238" s="8" t="str">
        <f t="shared" si="20"/>
        <v>PEN</v>
      </c>
      <c r="O238" s="13"/>
      <c r="P238" s="13">
        <v>8</v>
      </c>
      <c r="Q238" s="3">
        <f t="shared" si="17"/>
        <v>0</v>
      </c>
      <c r="R238" s="3">
        <f t="shared" si="18"/>
        <v>8</v>
      </c>
      <c r="S238" s="3">
        <f t="shared" si="19"/>
        <v>404.74</v>
      </c>
      <c r="T238" s="24"/>
      <c r="U238" s="24"/>
      <c r="V238" s="3"/>
      <c r="W238" s="25" t="s">
        <v>6546</v>
      </c>
      <c r="X238" s="25"/>
      <c r="Y238" s="25" t="str">
        <f>IFERROR(VLOOKUP(C_Ope_001[[#This Row],[NOTA 2]],Clientes_Proveedores[[Ruc / Dni]:[Razon Social]],2,0),"")</f>
        <v/>
      </c>
      <c r="Z238" s="25"/>
      <c r="AA238" s="130"/>
      <c r="AB238" s="3" t="str">
        <f>IF(C_Ope_001[[#This Row],[FECHA]]&gt;0,TEXT(C_Ope_001[[#This Row],[FECHA]],"mmmm"),0)</f>
        <v>Mayo</v>
      </c>
    </row>
    <row r="239" spans="2:28" ht="24" x14ac:dyDescent="0.3">
      <c r="B239" s="2">
        <f>IF(C_Ope_001[[#This Row],[TIPO DE R.]]="R",COUNTIFS($D$4:$D238,"R")+1,"")</f>
        <v>235</v>
      </c>
      <c r="C239" s="19" t="str">
        <f t="shared" si="16"/>
        <v>C_Ope_001</v>
      </c>
      <c r="D239" s="3" t="s">
        <v>1074</v>
      </c>
      <c r="E239" s="14">
        <v>45804</v>
      </c>
      <c r="F239" s="5" t="s">
        <v>6538</v>
      </c>
      <c r="G239" s="5" t="s">
        <v>1079</v>
      </c>
      <c r="H239" s="6"/>
      <c r="I239" s="6" t="s">
        <v>14</v>
      </c>
      <c r="J239" s="6" t="s">
        <v>1088</v>
      </c>
      <c r="K239" s="6">
        <v>34759</v>
      </c>
      <c r="L239" s="7" t="s">
        <v>6628</v>
      </c>
      <c r="M239" s="8">
        <v>24312</v>
      </c>
      <c r="N239" s="8" t="str">
        <f t="shared" si="20"/>
        <v>PEN</v>
      </c>
      <c r="O239" s="13"/>
      <c r="P239" s="13">
        <v>10</v>
      </c>
      <c r="Q239" s="3">
        <f t="shared" si="17"/>
        <v>0</v>
      </c>
      <c r="R239" s="3">
        <f t="shared" si="18"/>
        <v>10</v>
      </c>
      <c r="S239" s="3">
        <f t="shared" si="19"/>
        <v>394.74</v>
      </c>
      <c r="T239" s="24"/>
      <c r="U239" s="24"/>
      <c r="V239" s="3"/>
      <c r="W239" s="25" t="s">
        <v>6546</v>
      </c>
      <c r="X239" s="25"/>
      <c r="Y239" s="25" t="str">
        <f>IFERROR(VLOOKUP(C_Ope_001[[#This Row],[NOTA 2]],Clientes_Proveedores[[Ruc / Dni]:[Razon Social]],2,0),"")</f>
        <v/>
      </c>
      <c r="Z239" s="25"/>
      <c r="AA239" s="130"/>
      <c r="AB239" s="3" t="str">
        <f>IF(C_Ope_001[[#This Row],[FECHA]]&gt;0,TEXT(C_Ope_001[[#This Row],[FECHA]],"mmmm"),0)</f>
        <v>Mayo</v>
      </c>
    </row>
    <row r="240" spans="2:28" ht="24" x14ac:dyDescent="0.3">
      <c r="B240" s="2">
        <f>IF(C_Ope_001[[#This Row],[TIPO DE R.]]="R",COUNTIFS($D$4:$D239,"R")+1,"")</f>
        <v>236</v>
      </c>
      <c r="C240" s="19" t="str">
        <f t="shared" si="16"/>
        <v>C_Ope_001</v>
      </c>
      <c r="D240" s="3" t="s">
        <v>1074</v>
      </c>
      <c r="E240" s="14">
        <v>45807</v>
      </c>
      <c r="F240" s="5" t="s">
        <v>6538</v>
      </c>
      <c r="G240" s="5" t="s">
        <v>1079</v>
      </c>
      <c r="H240" s="6"/>
      <c r="I240" s="6" t="s">
        <v>14</v>
      </c>
      <c r="J240" s="6" t="s">
        <v>1088</v>
      </c>
      <c r="K240" s="6">
        <v>34791</v>
      </c>
      <c r="L240" s="7" t="s">
        <v>6628</v>
      </c>
      <c r="M240" s="8">
        <v>24368</v>
      </c>
      <c r="N240" s="8" t="str">
        <f t="shared" si="20"/>
        <v>PEN</v>
      </c>
      <c r="O240" s="13"/>
      <c r="P240" s="13">
        <v>10</v>
      </c>
      <c r="Q240" s="3">
        <f t="shared" si="17"/>
        <v>0</v>
      </c>
      <c r="R240" s="3">
        <f t="shared" si="18"/>
        <v>10</v>
      </c>
      <c r="S240" s="3">
        <f t="shared" si="19"/>
        <v>384.74</v>
      </c>
      <c r="T240" s="24"/>
      <c r="U240" s="24"/>
      <c r="V240" s="3"/>
      <c r="W240" s="25" t="s">
        <v>6546</v>
      </c>
      <c r="X240" s="25"/>
      <c r="Y240" s="25" t="str">
        <f>IFERROR(VLOOKUP(C_Ope_001[[#This Row],[NOTA 2]],Clientes_Proveedores[[Ruc / Dni]:[Razon Social]],2,0),"")</f>
        <v/>
      </c>
      <c r="Z240" s="25"/>
      <c r="AA240" s="130"/>
      <c r="AB240" s="3" t="str">
        <f>IF(C_Ope_001[[#This Row],[FECHA]]&gt;0,TEXT(C_Ope_001[[#This Row],[FECHA]],"mmmm"),0)</f>
        <v>Mayo</v>
      </c>
    </row>
    <row r="241" spans="2:28" x14ac:dyDescent="0.3">
      <c r="B241" s="2">
        <f>IF(C_Ope_001[[#This Row],[TIPO DE R.]]="R",COUNTIFS($D$4:$D240,"R")+1,"")</f>
        <v>237</v>
      </c>
      <c r="C241" s="19" t="str">
        <f t="shared" si="16"/>
        <v>C_Ope_001</v>
      </c>
      <c r="D241" s="3" t="s">
        <v>1074</v>
      </c>
      <c r="E241" s="14">
        <v>45807</v>
      </c>
      <c r="F241" s="5" t="s">
        <v>6538</v>
      </c>
      <c r="G241" s="5" t="s">
        <v>1079</v>
      </c>
      <c r="H241" s="6"/>
      <c r="I241" s="6" t="s">
        <v>14</v>
      </c>
      <c r="J241" s="6" t="s">
        <v>1119</v>
      </c>
      <c r="K241" s="6">
        <v>17953</v>
      </c>
      <c r="L241" s="7" t="s">
        <v>6565</v>
      </c>
      <c r="M241" s="8">
        <v>24398</v>
      </c>
      <c r="N241" s="8" t="str">
        <f t="shared" si="20"/>
        <v>PEN</v>
      </c>
      <c r="O241" s="13"/>
      <c r="P241" s="13">
        <v>25</v>
      </c>
      <c r="Q241" s="3">
        <f t="shared" si="17"/>
        <v>0</v>
      </c>
      <c r="R241" s="3">
        <f t="shared" si="18"/>
        <v>25</v>
      </c>
      <c r="S241" s="3">
        <f t="shared" si="19"/>
        <v>359.74</v>
      </c>
      <c r="T241" s="24"/>
      <c r="U241" s="24"/>
      <c r="V241" s="3"/>
      <c r="W241" s="25" t="s">
        <v>6546</v>
      </c>
      <c r="X241" s="25"/>
      <c r="Y241" s="25" t="str">
        <f>IFERROR(VLOOKUP(C_Ope_001[[#This Row],[NOTA 2]],Clientes_Proveedores[[Ruc / Dni]:[Razon Social]],2,0),"")</f>
        <v/>
      </c>
      <c r="Z241" s="25"/>
      <c r="AA241" s="130"/>
      <c r="AB241" s="3" t="str">
        <f>IF(C_Ope_001[[#This Row],[FECHA]]&gt;0,TEXT(C_Ope_001[[#This Row],[FECHA]],"mmmm"),0)</f>
        <v>Mayo</v>
      </c>
    </row>
    <row r="242" spans="2:28" ht="24" x14ac:dyDescent="0.3">
      <c r="B242" s="2">
        <f>IF(C_Ope_001[[#This Row],[TIPO DE R.]]="R",COUNTIFS($D$4:$D241,"R")+1,"")</f>
        <v>238</v>
      </c>
      <c r="C242" s="19" t="str">
        <f t="shared" si="16"/>
        <v>C_Ope_001</v>
      </c>
      <c r="D242" s="3" t="s">
        <v>1074</v>
      </c>
      <c r="E242" s="14">
        <v>45810</v>
      </c>
      <c r="F242" s="5" t="s">
        <v>6538</v>
      </c>
      <c r="G242" s="5" t="s">
        <v>1079</v>
      </c>
      <c r="H242" s="6"/>
      <c r="I242" s="6" t="s">
        <v>14</v>
      </c>
      <c r="J242" s="6" t="s">
        <v>5245</v>
      </c>
      <c r="K242" s="6">
        <v>1767428</v>
      </c>
      <c r="L242" s="7" t="s">
        <v>6657</v>
      </c>
      <c r="M242" s="8">
        <v>24405</v>
      </c>
      <c r="N242" s="8" t="str">
        <f t="shared" si="20"/>
        <v>PEN</v>
      </c>
      <c r="O242" s="13"/>
      <c r="P242" s="13">
        <v>8</v>
      </c>
      <c r="Q242" s="3">
        <f t="shared" si="17"/>
        <v>0</v>
      </c>
      <c r="R242" s="3">
        <f t="shared" si="18"/>
        <v>8</v>
      </c>
      <c r="S242" s="3">
        <f t="shared" si="19"/>
        <v>351.74</v>
      </c>
      <c r="T242" s="24"/>
      <c r="U242" s="24"/>
      <c r="V242" s="3"/>
      <c r="W242" s="25" t="s">
        <v>6546</v>
      </c>
      <c r="X242" s="25"/>
      <c r="Y242" s="25" t="str">
        <f>IFERROR(VLOOKUP(C_Ope_001[[#This Row],[NOTA 2]],Clientes_Proveedores[[Ruc / Dni]:[Razon Social]],2,0),"")</f>
        <v/>
      </c>
      <c r="Z242" s="25"/>
      <c r="AA242" s="130"/>
      <c r="AB242" s="3" t="str">
        <f>IF(C_Ope_001[[#This Row],[FECHA]]&gt;0,TEXT(C_Ope_001[[#This Row],[FECHA]],"mmmm"),0)</f>
        <v>Junio</v>
      </c>
    </row>
    <row r="243" spans="2:28" ht="24" x14ac:dyDescent="0.3">
      <c r="B243" s="2">
        <f>IF(C_Ope_001[[#This Row],[TIPO DE R.]]="R",COUNTIFS($D$4:$D242,"R")+1,"")</f>
        <v>239</v>
      </c>
      <c r="C243" s="19" t="str">
        <f t="shared" si="16"/>
        <v>C_Ope_001</v>
      </c>
      <c r="D243" s="3" t="s">
        <v>1074</v>
      </c>
      <c r="E243" s="14">
        <v>45810</v>
      </c>
      <c r="F243" s="5" t="s">
        <v>6538</v>
      </c>
      <c r="G243" s="5" t="s">
        <v>1079</v>
      </c>
      <c r="H243" s="6"/>
      <c r="I243" s="6" t="s">
        <v>14</v>
      </c>
      <c r="J243" s="6" t="s">
        <v>5244</v>
      </c>
      <c r="K243" s="6">
        <v>1747456</v>
      </c>
      <c r="L243" s="7" t="s">
        <v>6657</v>
      </c>
      <c r="M243" s="8">
        <v>24406</v>
      </c>
      <c r="N243" s="8" t="str">
        <f t="shared" si="20"/>
        <v>PEN</v>
      </c>
      <c r="O243" s="13"/>
      <c r="P243" s="13">
        <v>8</v>
      </c>
      <c r="Q243" s="3">
        <f t="shared" si="17"/>
        <v>0</v>
      </c>
      <c r="R243" s="3">
        <f t="shared" si="18"/>
        <v>8</v>
      </c>
      <c r="S243" s="3">
        <f t="shared" si="19"/>
        <v>343.74</v>
      </c>
      <c r="T243" s="24"/>
      <c r="U243" s="24"/>
      <c r="V243" s="3"/>
      <c r="W243" s="25" t="s">
        <v>6546</v>
      </c>
      <c r="X243" s="25"/>
      <c r="Y243" s="25" t="str">
        <f>IFERROR(VLOOKUP(C_Ope_001[[#This Row],[NOTA 2]],Clientes_Proveedores[[Ruc / Dni]:[Razon Social]],2,0),"")</f>
        <v/>
      </c>
      <c r="Z243" s="25"/>
      <c r="AA243" s="130"/>
      <c r="AB243" s="3" t="str">
        <f>IF(C_Ope_001[[#This Row],[FECHA]]&gt;0,TEXT(C_Ope_001[[#This Row],[FECHA]],"mmmm"),0)</f>
        <v>Junio</v>
      </c>
    </row>
    <row r="244" spans="2:28" ht="24" x14ac:dyDescent="0.3">
      <c r="B244" s="2">
        <f>IF(C_Ope_001[[#This Row],[TIPO DE R.]]="R",COUNTIFS($D$4:$D243,"R")+1,"")</f>
        <v>240</v>
      </c>
      <c r="C244" s="19" t="str">
        <f t="shared" si="16"/>
        <v>C_Ope_001</v>
      </c>
      <c r="D244" s="3" t="s">
        <v>1074</v>
      </c>
      <c r="E244" s="14">
        <v>45811</v>
      </c>
      <c r="F244" s="5" t="s">
        <v>6538</v>
      </c>
      <c r="G244" s="5" t="s">
        <v>1079</v>
      </c>
      <c r="H244" s="6"/>
      <c r="I244" s="6" t="s">
        <v>14</v>
      </c>
      <c r="J244" s="6" t="s">
        <v>5243</v>
      </c>
      <c r="K244" s="6">
        <v>2353590</v>
      </c>
      <c r="L244" s="7" t="s">
        <v>6658</v>
      </c>
      <c r="M244" s="8">
        <v>24423</v>
      </c>
      <c r="N244" s="8" t="str">
        <f t="shared" si="20"/>
        <v>PEN</v>
      </c>
      <c r="O244" s="13"/>
      <c r="P244" s="13">
        <v>8</v>
      </c>
      <c r="Q244" s="3">
        <f t="shared" si="17"/>
        <v>0</v>
      </c>
      <c r="R244" s="3">
        <f t="shared" si="18"/>
        <v>8</v>
      </c>
      <c r="S244" s="3">
        <f t="shared" si="19"/>
        <v>335.74</v>
      </c>
      <c r="T244" s="24"/>
      <c r="U244" s="24"/>
      <c r="V244" s="3"/>
      <c r="W244" s="25" t="s">
        <v>6541</v>
      </c>
      <c r="X244" s="25"/>
      <c r="Y244" s="25" t="str">
        <f>IFERROR(VLOOKUP(C_Ope_001[[#This Row],[NOTA 2]],Clientes_Proveedores[[Ruc / Dni]:[Razon Social]],2,0),"")</f>
        <v/>
      </c>
      <c r="Z244" s="25"/>
      <c r="AA244" s="130"/>
      <c r="AB244" s="3" t="str">
        <f>IF(C_Ope_001[[#This Row],[FECHA]]&gt;0,TEXT(C_Ope_001[[#This Row],[FECHA]],"mmmm"),0)</f>
        <v>Junio</v>
      </c>
    </row>
    <row r="245" spans="2:28" ht="24" x14ac:dyDescent="0.3">
      <c r="B245" s="2">
        <f>IF(C_Ope_001[[#This Row],[TIPO DE R.]]="R",COUNTIFS($D$4:$D244,"R")+1,"")</f>
        <v>241</v>
      </c>
      <c r="C245" s="19" t="str">
        <f t="shared" si="16"/>
        <v>C_Ope_001</v>
      </c>
      <c r="D245" s="3" t="s">
        <v>1074</v>
      </c>
      <c r="E245" s="14">
        <v>45811</v>
      </c>
      <c r="F245" s="5" t="s">
        <v>6538</v>
      </c>
      <c r="G245" s="5" t="s">
        <v>1079</v>
      </c>
      <c r="H245" s="6"/>
      <c r="I245" s="6" t="s">
        <v>14</v>
      </c>
      <c r="J245" s="6" t="s">
        <v>5242</v>
      </c>
      <c r="K245" s="6">
        <v>2070460</v>
      </c>
      <c r="L245" s="7" t="s">
        <v>6658</v>
      </c>
      <c r="M245" s="8">
        <v>24426</v>
      </c>
      <c r="N245" s="8" t="str">
        <f t="shared" si="20"/>
        <v>PEN</v>
      </c>
      <c r="O245" s="13"/>
      <c r="P245" s="13">
        <v>8</v>
      </c>
      <c r="Q245" s="3">
        <f t="shared" si="17"/>
        <v>0</v>
      </c>
      <c r="R245" s="3">
        <f t="shared" si="18"/>
        <v>8</v>
      </c>
      <c r="S245" s="3">
        <f t="shared" si="19"/>
        <v>327.74</v>
      </c>
      <c r="T245" s="24"/>
      <c r="U245" s="24"/>
      <c r="V245" s="3"/>
      <c r="W245" s="25" t="s">
        <v>6541</v>
      </c>
      <c r="X245" s="25"/>
      <c r="Y245" s="25" t="str">
        <f>IFERROR(VLOOKUP(C_Ope_001[[#This Row],[NOTA 2]],Clientes_Proveedores[[Ruc / Dni]:[Razon Social]],2,0),"")</f>
        <v/>
      </c>
      <c r="Z245" s="25"/>
      <c r="AA245" s="130"/>
      <c r="AB245" s="3" t="str">
        <f>IF(C_Ope_001[[#This Row],[FECHA]]&gt;0,TEXT(C_Ope_001[[#This Row],[FECHA]],"mmmm"),0)</f>
        <v>Junio</v>
      </c>
    </row>
    <row r="246" spans="2:28" x14ac:dyDescent="0.3">
      <c r="B246" s="2">
        <f>IF(C_Ope_001[[#This Row],[TIPO DE R.]]="R",COUNTIFS($D$4:$D245,"R")+1,"")</f>
        <v>242</v>
      </c>
      <c r="C246" s="19" t="str">
        <f t="shared" si="16"/>
        <v>C_Ope_001</v>
      </c>
      <c r="D246" s="3" t="s">
        <v>1074</v>
      </c>
      <c r="E246" s="14">
        <v>45812</v>
      </c>
      <c r="F246" s="5" t="s">
        <v>6538</v>
      </c>
      <c r="G246" s="5" t="s">
        <v>1079</v>
      </c>
      <c r="H246" s="6"/>
      <c r="I246" s="6" t="s">
        <v>14</v>
      </c>
      <c r="J246" s="6" t="s">
        <v>5245</v>
      </c>
      <c r="K246" s="6">
        <v>1769284</v>
      </c>
      <c r="L246" s="7" t="s">
        <v>6659</v>
      </c>
      <c r="M246" s="8">
        <v>24445</v>
      </c>
      <c r="N246" s="8" t="str">
        <f t="shared" si="20"/>
        <v>PEN</v>
      </c>
      <c r="O246" s="13"/>
      <c r="P246" s="13">
        <v>8</v>
      </c>
      <c r="Q246" s="3">
        <f t="shared" si="17"/>
        <v>0</v>
      </c>
      <c r="R246" s="3">
        <f t="shared" si="18"/>
        <v>8</v>
      </c>
      <c r="S246" s="3">
        <f t="shared" si="19"/>
        <v>319.74</v>
      </c>
      <c r="T246" s="24"/>
      <c r="U246" s="24"/>
      <c r="V246" s="3"/>
      <c r="W246" s="25" t="s">
        <v>6546</v>
      </c>
      <c r="X246" s="25"/>
      <c r="Y246" s="25" t="str">
        <f>IFERROR(VLOOKUP(C_Ope_001[[#This Row],[NOTA 2]],Clientes_Proveedores[[Ruc / Dni]:[Razon Social]],2,0),"")</f>
        <v/>
      </c>
      <c r="Z246" s="25"/>
      <c r="AA246" s="130"/>
      <c r="AB246" s="3" t="str">
        <f>IF(C_Ope_001[[#This Row],[FECHA]]&gt;0,TEXT(C_Ope_001[[#This Row],[FECHA]],"mmmm"),0)</f>
        <v>Junio</v>
      </c>
    </row>
    <row r="247" spans="2:28" x14ac:dyDescent="0.3">
      <c r="B247" s="2">
        <f>IF(C_Ope_001[[#This Row],[TIPO DE R.]]="R",COUNTIFS($D$4:$D246,"R")+1,"")</f>
        <v>243</v>
      </c>
      <c r="C247" s="19" t="str">
        <f t="shared" si="16"/>
        <v>C_Ope_001</v>
      </c>
      <c r="D247" s="3" t="s">
        <v>1074</v>
      </c>
      <c r="E247" s="14">
        <v>45812</v>
      </c>
      <c r="F247" s="5" t="s">
        <v>6538</v>
      </c>
      <c r="G247" s="5" t="s">
        <v>1079</v>
      </c>
      <c r="H247" s="6"/>
      <c r="I247" s="6" t="s">
        <v>14</v>
      </c>
      <c r="J247" s="6" t="s">
        <v>5244</v>
      </c>
      <c r="K247" s="6">
        <v>1749412</v>
      </c>
      <c r="L247" s="7" t="s">
        <v>6659</v>
      </c>
      <c r="M247" s="8">
        <v>24446</v>
      </c>
      <c r="N247" s="8" t="str">
        <f t="shared" si="20"/>
        <v>PEN</v>
      </c>
      <c r="O247" s="13"/>
      <c r="P247" s="13">
        <v>8</v>
      </c>
      <c r="Q247" s="3">
        <f t="shared" si="17"/>
        <v>0</v>
      </c>
      <c r="R247" s="3">
        <f t="shared" si="18"/>
        <v>8</v>
      </c>
      <c r="S247" s="3">
        <f t="shared" si="19"/>
        <v>311.74</v>
      </c>
      <c r="T247" s="24"/>
      <c r="U247" s="24"/>
      <c r="V247" s="3"/>
      <c r="W247" s="25" t="s">
        <v>6546</v>
      </c>
      <c r="X247" s="25"/>
      <c r="Y247" s="25" t="str">
        <f>IFERROR(VLOOKUP(C_Ope_001[[#This Row],[NOTA 2]],Clientes_Proveedores[[Ruc / Dni]:[Razon Social]],2,0),"")</f>
        <v/>
      </c>
      <c r="Z247" s="25"/>
      <c r="AA247" s="130"/>
      <c r="AB247" s="3" t="str">
        <f>IF(C_Ope_001[[#This Row],[FECHA]]&gt;0,TEXT(C_Ope_001[[#This Row],[FECHA]],"mmmm"),0)</f>
        <v>Junio</v>
      </c>
    </row>
    <row r="248" spans="2:28" ht="24" x14ac:dyDescent="0.3">
      <c r="B248" s="2">
        <f>IF(C_Ope_001[[#This Row],[TIPO DE R.]]="R",COUNTIFS($D$4:$D247,"R")+1,"")</f>
        <v>244</v>
      </c>
      <c r="C248" s="19" t="str">
        <f t="shared" si="16"/>
        <v>C_Ope_001</v>
      </c>
      <c r="D248" s="3" t="s">
        <v>1074</v>
      </c>
      <c r="E248" s="14">
        <v>45814</v>
      </c>
      <c r="F248" s="5" t="s">
        <v>6538</v>
      </c>
      <c r="G248" s="5" t="s">
        <v>1079</v>
      </c>
      <c r="H248" s="6"/>
      <c r="I248" s="6" t="s">
        <v>14</v>
      </c>
      <c r="J248" s="6" t="s">
        <v>5245</v>
      </c>
      <c r="K248" s="6">
        <v>1771273</v>
      </c>
      <c r="L248" s="7" t="s">
        <v>6601</v>
      </c>
      <c r="M248" s="8">
        <v>24471</v>
      </c>
      <c r="N248" s="8" t="str">
        <f t="shared" si="20"/>
        <v>PEN</v>
      </c>
      <c r="O248" s="13"/>
      <c r="P248" s="13">
        <v>8</v>
      </c>
      <c r="Q248" s="3">
        <f t="shared" si="17"/>
        <v>0</v>
      </c>
      <c r="R248" s="3">
        <f t="shared" si="18"/>
        <v>8</v>
      </c>
      <c r="S248" s="3">
        <f t="shared" si="19"/>
        <v>303.74</v>
      </c>
      <c r="T248" s="24"/>
      <c r="U248" s="24"/>
      <c r="V248" s="3"/>
      <c r="W248" s="25" t="s">
        <v>6541</v>
      </c>
      <c r="X248" s="25"/>
      <c r="Y248" s="25" t="str">
        <f>IFERROR(VLOOKUP(C_Ope_001[[#This Row],[NOTA 2]],Clientes_Proveedores[[Ruc / Dni]:[Razon Social]],2,0),"")</f>
        <v/>
      </c>
      <c r="Z248" s="25"/>
      <c r="AA248" s="130"/>
      <c r="AB248" s="3" t="str">
        <f>IF(C_Ope_001[[#This Row],[FECHA]]&gt;0,TEXT(C_Ope_001[[#This Row],[FECHA]],"mmmm"),0)</f>
        <v>Junio</v>
      </c>
    </row>
    <row r="249" spans="2:28" ht="24" x14ac:dyDescent="0.3">
      <c r="B249" s="2">
        <f>IF(C_Ope_001[[#This Row],[TIPO DE R.]]="R",COUNTIFS($D$4:$D248,"R")+1,"")</f>
        <v>245</v>
      </c>
      <c r="C249" s="19" t="str">
        <f t="shared" si="16"/>
        <v>C_Ope_001</v>
      </c>
      <c r="D249" s="3" t="s">
        <v>1074</v>
      </c>
      <c r="E249" s="14">
        <v>45814</v>
      </c>
      <c r="F249" s="5" t="s">
        <v>6538</v>
      </c>
      <c r="G249" s="5" t="s">
        <v>1079</v>
      </c>
      <c r="H249" s="6"/>
      <c r="I249" s="6" t="s">
        <v>14</v>
      </c>
      <c r="J249" s="6" t="s">
        <v>5244</v>
      </c>
      <c r="K249" s="6">
        <v>1751406</v>
      </c>
      <c r="L249" s="7" t="s">
        <v>6601</v>
      </c>
      <c r="M249" s="8">
        <v>24472</v>
      </c>
      <c r="N249" s="8" t="str">
        <f t="shared" si="20"/>
        <v>PEN</v>
      </c>
      <c r="O249" s="13"/>
      <c r="P249" s="13">
        <v>8</v>
      </c>
      <c r="Q249" s="3">
        <f t="shared" si="17"/>
        <v>0</v>
      </c>
      <c r="R249" s="3">
        <f t="shared" si="18"/>
        <v>8</v>
      </c>
      <c r="S249" s="3">
        <f t="shared" si="19"/>
        <v>295.74</v>
      </c>
      <c r="T249" s="24"/>
      <c r="U249" s="24"/>
      <c r="V249" s="3"/>
      <c r="W249" s="25" t="s">
        <v>6541</v>
      </c>
      <c r="X249" s="25"/>
      <c r="Y249" s="25" t="str">
        <f>IFERROR(VLOOKUP(C_Ope_001[[#This Row],[NOTA 2]],Clientes_Proveedores[[Ruc / Dni]:[Razon Social]],2,0),"")</f>
        <v/>
      </c>
      <c r="Z249" s="25"/>
      <c r="AA249" s="130"/>
      <c r="AB249" s="3" t="str">
        <f>IF(C_Ope_001[[#This Row],[FECHA]]&gt;0,TEXT(C_Ope_001[[#This Row],[FECHA]],"mmmm"),0)</f>
        <v>Junio</v>
      </c>
    </row>
    <row r="250" spans="2:28" x14ac:dyDescent="0.3">
      <c r="B250" s="2">
        <f>IF(C_Ope_001[[#This Row],[TIPO DE R.]]="R",COUNTIFS($D$4:$D249,"R")+1,"")</f>
        <v>246</v>
      </c>
      <c r="C250" s="19" t="str">
        <f t="shared" si="16"/>
        <v>C_Ope_001</v>
      </c>
      <c r="D250" s="3" t="s">
        <v>1074</v>
      </c>
      <c r="E250" s="14">
        <v>45810</v>
      </c>
      <c r="F250" s="5" t="s">
        <v>6538</v>
      </c>
      <c r="G250" s="5" t="s">
        <v>1079</v>
      </c>
      <c r="H250" s="6"/>
      <c r="I250" s="6" t="s">
        <v>14</v>
      </c>
      <c r="J250" s="6" t="s">
        <v>1097</v>
      </c>
      <c r="K250" s="6">
        <v>16551</v>
      </c>
      <c r="L250" s="7" t="s">
        <v>6652</v>
      </c>
      <c r="M250" s="8">
        <v>24407</v>
      </c>
      <c r="N250" s="8" t="str">
        <f t="shared" si="20"/>
        <v>PEN</v>
      </c>
      <c r="O250" s="13"/>
      <c r="P250" s="13">
        <v>20</v>
      </c>
      <c r="Q250" s="3">
        <f t="shared" si="17"/>
        <v>0</v>
      </c>
      <c r="R250" s="3">
        <f t="shared" si="18"/>
        <v>20</v>
      </c>
      <c r="S250" s="3">
        <f t="shared" si="19"/>
        <v>275.74</v>
      </c>
      <c r="T250" s="24"/>
      <c r="U250" s="24"/>
      <c r="V250" s="3"/>
      <c r="W250" s="25" t="s">
        <v>6546</v>
      </c>
      <c r="X250" s="25"/>
      <c r="Y250" s="25" t="str">
        <f>IFERROR(VLOOKUP(C_Ope_001[[#This Row],[NOTA 2]],Clientes_Proveedores[[Ruc / Dni]:[Razon Social]],2,0),"")</f>
        <v/>
      </c>
      <c r="Z250" s="25"/>
      <c r="AA250" s="130"/>
      <c r="AB250" s="3" t="str">
        <f>IF(C_Ope_001[[#This Row],[FECHA]]&gt;0,TEXT(C_Ope_001[[#This Row],[FECHA]],"mmmm"),0)</f>
        <v>Junio</v>
      </c>
    </row>
    <row r="251" spans="2:28" x14ac:dyDescent="0.3">
      <c r="B251" s="2">
        <f>IF(C_Ope_001[[#This Row],[TIPO DE R.]]="R",COUNTIFS($D$4:$D250,"R")+1,"")</f>
        <v>247</v>
      </c>
      <c r="C251" s="19" t="str">
        <f t="shared" si="16"/>
        <v>C_Ope_001</v>
      </c>
      <c r="D251" s="3" t="s">
        <v>1074</v>
      </c>
      <c r="E251" s="14">
        <v>45811</v>
      </c>
      <c r="F251" s="5" t="s">
        <v>6538</v>
      </c>
      <c r="G251" s="5" t="s">
        <v>1079</v>
      </c>
      <c r="H251" s="6"/>
      <c r="I251" s="6" t="s">
        <v>14</v>
      </c>
      <c r="J251" s="6" t="s">
        <v>1097</v>
      </c>
      <c r="K251" s="6">
        <v>16559</v>
      </c>
      <c r="L251" s="7" t="s">
        <v>6660</v>
      </c>
      <c r="M251" s="8">
        <v>24424</v>
      </c>
      <c r="N251" s="8" t="str">
        <f t="shared" si="20"/>
        <v>PEN</v>
      </c>
      <c r="O251" s="13"/>
      <c r="P251" s="13">
        <v>20</v>
      </c>
      <c r="Q251" s="3">
        <f t="shared" si="17"/>
        <v>0</v>
      </c>
      <c r="R251" s="3">
        <f t="shared" si="18"/>
        <v>20</v>
      </c>
      <c r="S251" s="3">
        <f t="shared" si="19"/>
        <v>255.74</v>
      </c>
      <c r="T251" s="24"/>
      <c r="U251" s="24"/>
      <c r="V251" s="3"/>
      <c r="W251" s="25" t="s">
        <v>6541</v>
      </c>
      <c r="X251" s="25"/>
      <c r="Y251" s="25" t="str">
        <f>IFERROR(VLOOKUP(C_Ope_001[[#This Row],[NOTA 2]],Clientes_Proveedores[[Ruc / Dni]:[Razon Social]],2,0),"")</f>
        <v/>
      </c>
      <c r="Z251" s="25"/>
      <c r="AA251" s="130"/>
      <c r="AB251" s="3" t="str">
        <f>IF(C_Ope_001[[#This Row],[FECHA]]&gt;0,TEXT(C_Ope_001[[#This Row],[FECHA]],"mmmm"),0)</f>
        <v>Junio</v>
      </c>
    </row>
    <row r="252" spans="2:28" ht="24" x14ac:dyDescent="0.3">
      <c r="B252" s="2">
        <f>IF(C_Ope_001[[#This Row],[TIPO DE R.]]="R",COUNTIFS($D$4:$D251,"R")+1,"")</f>
        <v>248</v>
      </c>
      <c r="C252" s="19" t="str">
        <f t="shared" si="16"/>
        <v>C_Ope_001</v>
      </c>
      <c r="D252" s="3" t="s">
        <v>1074</v>
      </c>
      <c r="E252" s="14">
        <v>45811</v>
      </c>
      <c r="F252" s="5" t="s">
        <v>6538</v>
      </c>
      <c r="G252" s="5" t="s">
        <v>1079</v>
      </c>
      <c r="H252" s="6"/>
      <c r="I252" s="6" t="s">
        <v>14</v>
      </c>
      <c r="J252" s="6" t="s">
        <v>1097</v>
      </c>
      <c r="K252" s="6">
        <v>16558</v>
      </c>
      <c r="L252" s="7" t="s">
        <v>6661</v>
      </c>
      <c r="M252" s="8">
        <v>24425</v>
      </c>
      <c r="N252" s="8" t="str">
        <f t="shared" si="20"/>
        <v>PEN</v>
      </c>
      <c r="O252" s="13"/>
      <c r="P252" s="13">
        <v>20</v>
      </c>
      <c r="Q252" s="3">
        <f t="shared" si="17"/>
        <v>0</v>
      </c>
      <c r="R252" s="3">
        <f t="shared" si="18"/>
        <v>20</v>
      </c>
      <c r="S252" s="3">
        <f t="shared" si="19"/>
        <v>235.74</v>
      </c>
      <c r="T252" s="24"/>
      <c r="U252" s="24"/>
      <c r="V252" s="3"/>
      <c r="W252" s="25" t="s">
        <v>6541</v>
      </c>
      <c r="X252" s="25"/>
      <c r="Y252" s="25" t="str">
        <f>IFERROR(VLOOKUP(C_Ope_001[[#This Row],[NOTA 2]],Clientes_Proveedores[[Ruc / Dni]:[Razon Social]],2,0),"")</f>
        <v/>
      </c>
      <c r="Z252" s="25"/>
      <c r="AA252" s="130"/>
      <c r="AB252" s="3" t="str">
        <f>IF(C_Ope_001[[#This Row],[FECHA]]&gt;0,TEXT(C_Ope_001[[#This Row],[FECHA]],"mmmm"),0)</f>
        <v>Junio</v>
      </c>
    </row>
    <row r="253" spans="2:28" ht="24" x14ac:dyDescent="0.3">
      <c r="B253" s="2">
        <f>IF(C_Ope_001[[#This Row],[TIPO DE R.]]="R",COUNTIFS($D$4:$D252,"R")+1,"")</f>
        <v>249</v>
      </c>
      <c r="C253" s="19" t="str">
        <f t="shared" si="16"/>
        <v>C_Ope_001</v>
      </c>
      <c r="D253" s="3" t="s">
        <v>1074</v>
      </c>
      <c r="E253" s="14">
        <v>45818</v>
      </c>
      <c r="F253" s="5" t="s">
        <v>6538</v>
      </c>
      <c r="G253" s="5" t="s">
        <v>1079</v>
      </c>
      <c r="H253" s="6"/>
      <c r="I253" s="6" t="s">
        <v>14</v>
      </c>
      <c r="J253" s="6" t="s">
        <v>5245</v>
      </c>
      <c r="K253" s="6">
        <v>1774486</v>
      </c>
      <c r="L253" s="7" t="s">
        <v>6662</v>
      </c>
      <c r="M253" s="8">
        <v>24520</v>
      </c>
      <c r="N253" s="8" t="str">
        <f t="shared" si="20"/>
        <v>PEN</v>
      </c>
      <c r="O253" s="13"/>
      <c r="P253" s="13">
        <v>8</v>
      </c>
      <c r="Q253" s="3">
        <f t="shared" si="17"/>
        <v>0</v>
      </c>
      <c r="R253" s="3">
        <f t="shared" si="18"/>
        <v>8</v>
      </c>
      <c r="S253" s="3">
        <f t="shared" si="19"/>
        <v>227.74</v>
      </c>
      <c r="T253" s="24"/>
      <c r="U253" s="24"/>
      <c r="V253" s="3"/>
      <c r="W253" s="25" t="s">
        <v>6546</v>
      </c>
      <c r="X253" s="25"/>
      <c r="Y253" s="25" t="str">
        <f>IFERROR(VLOOKUP(C_Ope_001[[#This Row],[NOTA 2]],Clientes_Proveedores[[Ruc / Dni]:[Razon Social]],2,0),"")</f>
        <v/>
      </c>
      <c r="Z253" s="25"/>
      <c r="AA253" s="130"/>
      <c r="AB253" s="3" t="str">
        <f>IF(C_Ope_001[[#This Row],[FECHA]]&gt;0,TEXT(C_Ope_001[[#This Row],[FECHA]],"mmmm"),0)</f>
        <v>Junio</v>
      </c>
    </row>
    <row r="254" spans="2:28" ht="24" x14ac:dyDescent="0.3">
      <c r="B254" s="2">
        <f>IF(C_Ope_001[[#This Row],[TIPO DE R.]]="R",COUNTIFS($D$4:$D253,"R")+1,"")</f>
        <v>250</v>
      </c>
      <c r="C254" s="19" t="str">
        <f t="shared" si="16"/>
        <v>C_Ope_001</v>
      </c>
      <c r="D254" s="3" t="s">
        <v>1074</v>
      </c>
      <c r="E254" s="14">
        <v>45818</v>
      </c>
      <c r="F254" s="5" t="s">
        <v>6538</v>
      </c>
      <c r="G254" s="5" t="s">
        <v>1079</v>
      </c>
      <c r="H254" s="6"/>
      <c r="I254" s="6" t="s">
        <v>14</v>
      </c>
      <c r="J254" s="6" t="s">
        <v>5244</v>
      </c>
      <c r="K254" s="6">
        <v>1754625</v>
      </c>
      <c r="L254" s="7" t="s">
        <v>6662</v>
      </c>
      <c r="M254" s="8">
        <v>24521</v>
      </c>
      <c r="N254" s="8" t="str">
        <f t="shared" si="20"/>
        <v>PEN</v>
      </c>
      <c r="O254" s="13"/>
      <c r="P254" s="13">
        <v>8</v>
      </c>
      <c r="Q254" s="3">
        <f t="shared" si="17"/>
        <v>0</v>
      </c>
      <c r="R254" s="3">
        <f t="shared" si="18"/>
        <v>8</v>
      </c>
      <c r="S254" s="3">
        <f t="shared" si="19"/>
        <v>219.74</v>
      </c>
      <c r="T254" s="24"/>
      <c r="U254" s="24"/>
      <c r="V254" s="3"/>
      <c r="W254" s="25" t="s">
        <v>6546</v>
      </c>
      <c r="X254" s="25"/>
      <c r="Y254" s="25" t="str">
        <f>IFERROR(VLOOKUP(C_Ope_001[[#This Row],[NOTA 2]],Clientes_Proveedores[[Ruc / Dni]:[Razon Social]],2,0),"")</f>
        <v/>
      </c>
      <c r="Z254" s="25"/>
      <c r="AA254" s="130"/>
      <c r="AB254" s="3" t="str">
        <f>IF(C_Ope_001[[#This Row],[FECHA]]&gt;0,TEXT(C_Ope_001[[#This Row],[FECHA]],"mmmm"),0)</f>
        <v>Junio</v>
      </c>
    </row>
    <row r="255" spans="2:28" ht="36" x14ac:dyDescent="0.3">
      <c r="B255" s="2">
        <f>IF(C_Ope_001[[#This Row],[TIPO DE R.]]="R",COUNTIFS($D$4:$D254,"R")+1,"")</f>
        <v>251</v>
      </c>
      <c r="C255" s="19" t="str">
        <f t="shared" si="16"/>
        <v>C_Ope_001</v>
      </c>
      <c r="D255" s="3" t="s">
        <v>1074</v>
      </c>
      <c r="E255" s="14">
        <v>45819</v>
      </c>
      <c r="F255" s="5" t="s">
        <v>6538</v>
      </c>
      <c r="G255" s="5" t="s">
        <v>1079</v>
      </c>
      <c r="H255" s="6"/>
      <c r="I255" s="6" t="s">
        <v>14</v>
      </c>
      <c r="J255" s="6" t="s">
        <v>5244</v>
      </c>
      <c r="K255" s="6">
        <v>1755645</v>
      </c>
      <c r="L255" s="7" t="s">
        <v>6663</v>
      </c>
      <c r="M255" s="8">
        <v>24527</v>
      </c>
      <c r="N255" s="8" t="str">
        <f t="shared" si="20"/>
        <v>PEN</v>
      </c>
      <c r="O255" s="13"/>
      <c r="P255" s="13">
        <v>8</v>
      </c>
      <c r="Q255" s="3">
        <f t="shared" si="17"/>
        <v>0</v>
      </c>
      <c r="R255" s="3">
        <f t="shared" si="18"/>
        <v>8</v>
      </c>
      <c r="S255" s="3">
        <f t="shared" si="19"/>
        <v>211.74</v>
      </c>
      <c r="T255" s="24"/>
      <c r="U255" s="24"/>
      <c r="V255" s="3"/>
      <c r="W255" s="25" t="s">
        <v>6546</v>
      </c>
      <c r="X255" s="25"/>
      <c r="Y255" s="25" t="str">
        <f>IFERROR(VLOOKUP(C_Ope_001[[#This Row],[NOTA 2]],Clientes_Proveedores[[Ruc / Dni]:[Razon Social]],2,0),"")</f>
        <v/>
      </c>
      <c r="Z255" s="25"/>
      <c r="AA255" s="130"/>
      <c r="AB255" s="3" t="str">
        <f>IF(C_Ope_001[[#This Row],[FECHA]]&gt;0,TEXT(C_Ope_001[[#This Row],[FECHA]],"mmmm"),0)</f>
        <v>Junio</v>
      </c>
    </row>
    <row r="256" spans="2:28" ht="36" x14ac:dyDescent="0.3">
      <c r="B256" s="2">
        <f>IF(C_Ope_001[[#This Row],[TIPO DE R.]]="R",COUNTIFS($D$4:$D255,"R")+1,"")</f>
        <v>252</v>
      </c>
      <c r="C256" s="19" t="str">
        <f t="shared" si="16"/>
        <v>C_Ope_001</v>
      </c>
      <c r="D256" s="3" t="s">
        <v>1074</v>
      </c>
      <c r="E256" s="14">
        <v>45819</v>
      </c>
      <c r="F256" s="5" t="s">
        <v>6538</v>
      </c>
      <c r="G256" s="5" t="s">
        <v>1079</v>
      </c>
      <c r="H256" s="6"/>
      <c r="I256" s="6" t="s">
        <v>14</v>
      </c>
      <c r="J256" s="6" t="s">
        <v>5244</v>
      </c>
      <c r="K256" s="6">
        <v>1755645</v>
      </c>
      <c r="L256" s="7" t="s">
        <v>6663</v>
      </c>
      <c r="M256" s="8">
        <v>24528</v>
      </c>
      <c r="N256" s="8" t="str">
        <f t="shared" si="20"/>
        <v>PEN</v>
      </c>
      <c r="O256" s="13"/>
      <c r="P256" s="13">
        <v>0</v>
      </c>
      <c r="Q256" s="3">
        <f t="shared" si="17"/>
        <v>0</v>
      </c>
      <c r="R256" s="3">
        <f t="shared" si="18"/>
        <v>0</v>
      </c>
      <c r="S256" s="3">
        <f t="shared" si="19"/>
        <v>211.74</v>
      </c>
      <c r="T256" s="24"/>
      <c r="U256" s="24"/>
      <c r="V256" s="3"/>
      <c r="W256" s="25" t="s">
        <v>6546</v>
      </c>
      <c r="X256" s="25"/>
      <c r="Y256" s="25" t="str">
        <f>IFERROR(VLOOKUP(C_Ope_001[[#This Row],[NOTA 2]],Clientes_Proveedores[[Ruc / Dni]:[Razon Social]],2,0),"")</f>
        <v/>
      </c>
      <c r="Z256" s="25"/>
      <c r="AA256" s="130"/>
      <c r="AB256" s="3" t="str">
        <f>IF(C_Ope_001[[#This Row],[FECHA]]&gt;0,TEXT(C_Ope_001[[#This Row],[FECHA]],"mmmm"),0)</f>
        <v>Junio</v>
      </c>
    </row>
    <row r="257" spans="2:28" ht="36" x14ac:dyDescent="0.3">
      <c r="B257" s="2">
        <f>IF(C_Ope_001[[#This Row],[TIPO DE R.]]="R",COUNTIFS($D$4:$D256,"R")+1,"")</f>
        <v>253</v>
      </c>
      <c r="C257" s="19" t="str">
        <f t="shared" si="16"/>
        <v>C_Ope_001</v>
      </c>
      <c r="D257" s="3" t="s">
        <v>1074</v>
      </c>
      <c r="E257" s="14">
        <v>45819</v>
      </c>
      <c r="F257" s="5" t="s">
        <v>6538</v>
      </c>
      <c r="G257" s="5" t="s">
        <v>1079</v>
      </c>
      <c r="H257" s="6"/>
      <c r="I257" s="6" t="s">
        <v>14</v>
      </c>
      <c r="J257" s="6" t="s">
        <v>5245</v>
      </c>
      <c r="K257" s="6">
        <v>1775395</v>
      </c>
      <c r="L257" s="7" t="s">
        <v>6663</v>
      </c>
      <c r="M257" s="8">
        <v>24529</v>
      </c>
      <c r="N257" s="8" t="str">
        <f t="shared" si="20"/>
        <v>PEN</v>
      </c>
      <c r="O257" s="13"/>
      <c r="P257" s="13">
        <v>8</v>
      </c>
      <c r="Q257" s="3">
        <f t="shared" si="17"/>
        <v>0</v>
      </c>
      <c r="R257" s="3">
        <f t="shared" si="18"/>
        <v>8</v>
      </c>
      <c r="S257" s="3">
        <f t="shared" si="19"/>
        <v>203.74</v>
      </c>
      <c r="T257" s="24"/>
      <c r="U257" s="24"/>
      <c r="V257" s="3"/>
      <c r="W257" s="25" t="s">
        <v>6546</v>
      </c>
      <c r="X257" s="25"/>
      <c r="Y257" s="25" t="str">
        <f>IFERROR(VLOOKUP(C_Ope_001[[#This Row],[NOTA 2]],Clientes_Proveedores[[Ruc / Dni]:[Razon Social]],2,0),"")</f>
        <v/>
      </c>
      <c r="Z257" s="25"/>
      <c r="AA257" s="130"/>
      <c r="AB257" s="3" t="str">
        <f>IF(C_Ope_001[[#This Row],[FECHA]]&gt;0,TEXT(C_Ope_001[[#This Row],[FECHA]],"mmmm"),0)</f>
        <v>Junio</v>
      </c>
    </row>
    <row r="258" spans="2:28" ht="36" x14ac:dyDescent="0.3">
      <c r="B258" s="2">
        <f>IF(C_Ope_001[[#This Row],[TIPO DE R.]]="R",COUNTIFS($D$4:$D257,"R")+1,"")</f>
        <v>254</v>
      </c>
      <c r="C258" s="19" t="str">
        <f t="shared" si="16"/>
        <v>C_Ope_001</v>
      </c>
      <c r="D258" s="3" t="s">
        <v>1074</v>
      </c>
      <c r="E258" s="14">
        <v>45819</v>
      </c>
      <c r="F258" s="5" t="s">
        <v>6538</v>
      </c>
      <c r="G258" s="5" t="s">
        <v>1079</v>
      </c>
      <c r="H258" s="6"/>
      <c r="I258" s="6" t="s">
        <v>14</v>
      </c>
      <c r="J258" s="6" t="s">
        <v>5245</v>
      </c>
      <c r="K258" s="6">
        <v>1775395</v>
      </c>
      <c r="L258" s="7" t="s">
        <v>6663</v>
      </c>
      <c r="M258" s="8">
        <v>24530</v>
      </c>
      <c r="N258" s="8" t="str">
        <f t="shared" si="20"/>
        <v>PEN</v>
      </c>
      <c r="O258" s="13"/>
      <c r="P258" s="13">
        <v>0</v>
      </c>
      <c r="Q258" s="3">
        <f t="shared" si="17"/>
        <v>0</v>
      </c>
      <c r="R258" s="3">
        <f t="shared" si="18"/>
        <v>0</v>
      </c>
      <c r="S258" s="3">
        <f t="shared" si="19"/>
        <v>203.74</v>
      </c>
      <c r="T258" s="24"/>
      <c r="U258" s="24"/>
      <c r="V258" s="3"/>
      <c r="W258" s="25" t="s">
        <v>6546</v>
      </c>
      <c r="X258" s="25"/>
      <c r="Y258" s="25" t="str">
        <f>IFERROR(VLOOKUP(C_Ope_001[[#This Row],[NOTA 2]],Clientes_Proveedores[[Ruc / Dni]:[Razon Social]],2,0),"")</f>
        <v/>
      </c>
      <c r="Z258" s="25"/>
      <c r="AA258" s="130"/>
      <c r="AB258" s="3" t="str">
        <f>IF(C_Ope_001[[#This Row],[FECHA]]&gt;0,TEXT(C_Ope_001[[#This Row],[FECHA]],"mmmm"),0)</f>
        <v>Junio</v>
      </c>
    </row>
    <row r="259" spans="2:28" ht="36" x14ac:dyDescent="0.3">
      <c r="B259" s="2">
        <f>IF(C_Ope_001[[#This Row],[TIPO DE R.]]="R",COUNTIFS($D$4:$D258,"R")+1,"")</f>
        <v>255</v>
      </c>
      <c r="C259" s="19" t="str">
        <f t="shared" si="16"/>
        <v>C_Ope_001</v>
      </c>
      <c r="D259" s="3" t="s">
        <v>1074</v>
      </c>
      <c r="E259" s="14">
        <v>45819</v>
      </c>
      <c r="F259" s="5" t="s">
        <v>6538</v>
      </c>
      <c r="G259" s="5" t="s">
        <v>1079</v>
      </c>
      <c r="H259" s="6"/>
      <c r="I259" s="6" t="s">
        <v>14</v>
      </c>
      <c r="J259" s="6" t="s">
        <v>5245</v>
      </c>
      <c r="K259" s="6">
        <v>1775395</v>
      </c>
      <c r="L259" s="7" t="s">
        <v>6663</v>
      </c>
      <c r="M259" s="8">
        <v>24531</v>
      </c>
      <c r="N259" s="8" t="str">
        <f t="shared" si="20"/>
        <v>PEN</v>
      </c>
      <c r="O259" s="13"/>
      <c r="P259" s="13">
        <v>0</v>
      </c>
      <c r="Q259" s="3">
        <f t="shared" si="17"/>
        <v>0</v>
      </c>
      <c r="R259" s="3">
        <f t="shared" si="18"/>
        <v>0</v>
      </c>
      <c r="S259" s="3">
        <f t="shared" si="19"/>
        <v>203.74</v>
      </c>
      <c r="T259" s="24"/>
      <c r="U259" s="24"/>
      <c r="V259" s="3"/>
      <c r="W259" s="25" t="s">
        <v>6546</v>
      </c>
      <c r="X259" s="25"/>
      <c r="Y259" s="25" t="str">
        <f>IFERROR(VLOOKUP(C_Ope_001[[#This Row],[NOTA 2]],Clientes_Proveedores[[Ruc / Dni]:[Razon Social]],2,0),"")</f>
        <v/>
      </c>
      <c r="Z259" s="25"/>
      <c r="AA259" s="130"/>
      <c r="AB259" s="3" t="str">
        <f>IF(C_Ope_001[[#This Row],[FECHA]]&gt;0,TEXT(C_Ope_001[[#This Row],[FECHA]],"mmmm"),0)</f>
        <v>Junio</v>
      </c>
    </row>
    <row r="260" spans="2:28" ht="36" x14ac:dyDescent="0.3">
      <c r="B260" s="2">
        <f>IF(C_Ope_001[[#This Row],[TIPO DE R.]]="R",COUNTIFS($D$4:$D259,"R")+1,"")</f>
        <v>256</v>
      </c>
      <c r="C260" s="19" t="str">
        <f t="shared" si="16"/>
        <v>C_Ope_001</v>
      </c>
      <c r="D260" s="3" t="s">
        <v>1074</v>
      </c>
      <c r="E260" s="14">
        <v>45819</v>
      </c>
      <c r="F260" s="5" t="s">
        <v>6538</v>
      </c>
      <c r="G260" s="5" t="s">
        <v>1079</v>
      </c>
      <c r="H260" s="6"/>
      <c r="I260" s="6" t="s">
        <v>14</v>
      </c>
      <c r="J260" s="6" t="s">
        <v>5245</v>
      </c>
      <c r="K260" s="6">
        <v>1775395</v>
      </c>
      <c r="L260" s="7" t="s">
        <v>6663</v>
      </c>
      <c r="M260" s="8">
        <v>24532</v>
      </c>
      <c r="N260" s="8" t="str">
        <f t="shared" si="20"/>
        <v>PEN</v>
      </c>
      <c r="O260" s="13"/>
      <c r="P260" s="13">
        <v>0</v>
      </c>
      <c r="Q260" s="3">
        <f t="shared" si="17"/>
        <v>0</v>
      </c>
      <c r="R260" s="3">
        <f t="shared" si="18"/>
        <v>0</v>
      </c>
      <c r="S260" s="3">
        <f t="shared" si="19"/>
        <v>203.74</v>
      </c>
      <c r="T260" s="24"/>
      <c r="U260" s="24"/>
      <c r="V260" s="3"/>
      <c r="W260" s="25" t="s">
        <v>6546</v>
      </c>
      <c r="X260" s="25"/>
      <c r="Y260" s="25" t="str">
        <f>IFERROR(VLOOKUP(C_Ope_001[[#This Row],[NOTA 2]],Clientes_Proveedores[[Ruc / Dni]:[Razon Social]],2,0),"")</f>
        <v/>
      </c>
      <c r="Z260" s="25"/>
      <c r="AA260" s="130"/>
      <c r="AB260" s="3" t="str">
        <f>IF(C_Ope_001[[#This Row],[FECHA]]&gt;0,TEXT(C_Ope_001[[#This Row],[FECHA]],"mmmm"),0)</f>
        <v>Junio</v>
      </c>
    </row>
    <row r="261" spans="2:28" ht="36" x14ac:dyDescent="0.3">
      <c r="B261" s="2">
        <f>IF(C_Ope_001[[#This Row],[TIPO DE R.]]="R",COUNTIFS($D$4:$D260,"R")+1,"")</f>
        <v>257</v>
      </c>
      <c r="C261" s="19" t="str">
        <f t="shared" ref="C261:C290" si="21">"C_Ope_001"</f>
        <v>C_Ope_001</v>
      </c>
      <c r="D261" s="3" t="s">
        <v>1074</v>
      </c>
      <c r="E261" s="14">
        <v>45819</v>
      </c>
      <c r="F261" s="5" t="s">
        <v>6538</v>
      </c>
      <c r="G261" s="5" t="s">
        <v>1079</v>
      </c>
      <c r="H261" s="6"/>
      <c r="I261" s="6" t="s">
        <v>14</v>
      </c>
      <c r="J261" s="6" t="s">
        <v>5245</v>
      </c>
      <c r="K261" s="6">
        <v>1775395</v>
      </c>
      <c r="L261" s="7" t="s">
        <v>6663</v>
      </c>
      <c r="M261" s="8">
        <v>24533</v>
      </c>
      <c r="N261" s="8" t="str">
        <f t="shared" si="20"/>
        <v>PEN</v>
      </c>
      <c r="O261" s="13"/>
      <c r="P261" s="13">
        <v>0</v>
      </c>
      <c r="Q261" s="3">
        <f t="shared" ref="Q261:Q323" si="22">+IF(OR($G261="SALDO",$G261="INGRESO"),$P261,0)</f>
        <v>0</v>
      </c>
      <c r="R261" s="3">
        <f t="shared" ref="R261:R323" si="23">+IF($G261="EGRESO",$P261,0)</f>
        <v>0</v>
      </c>
      <c r="S261" s="3">
        <f t="shared" ref="S261:S324" si="24">IFERROR(IF(G261="SALDO",Q261,S260+Q261-R261),0)</f>
        <v>203.74</v>
      </c>
      <c r="T261" s="24"/>
      <c r="U261" s="24"/>
      <c r="V261" s="3"/>
      <c r="W261" s="25" t="s">
        <v>6546</v>
      </c>
      <c r="X261" s="25"/>
      <c r="Y261" s="25" t="str">
        <f>IFERROR(VLOOKUP(C_Ope_001[[#This Row],[NOTA 2]],Clientes_Proveedores[[Ruc / Dni]:[Razon Social]],2,0),"")</f>
        <v/>
      </c>
      <c r="Z261" s="25"/>
      <c r="AA261" s="130"/>
      <c r="AB261" s="3" t="str">
        <f>IF(C_Ope_001[[#This Row],[FECHA]]&gt;0,TEXT(C_Ope_001[[#This Row],[FECHA]],"mmmm"),0)</f>
        <v>Junio</v>
      </c>
    </row>
    <row r="262" spans="2:28" ht="24" x14ac:dyDescent="0.3">
      <c r="B262" s="2">
        <f>IF(C_Ope_001[[#This Row],[TIPO DE R.]]="R",COUNTIFS($D$4:$D261,"R")+1,"")</f>
        <v>258</v>
      </c>
      <c r="C262" s="19" t="str">
        <f t="shared" si="21"/>
        <v>C_Ope_001</v>
      </c>
      <c r="D262" s="3" t="s">
        <v>1074</v>
      </c>
      <c r="E262" s="14">
        <v>45821</v>
      </c>
      <c r="F262" s="5" t="s">
        <v>6538</v>
      </c>
      <c r="G262" s="5" t="s">
        <v>1079</v>
      </c>
      <c r="H262" s="6"/>
      <c r="I262" s="6" t="s">
        <v>14</v>
      </c>
      <c r="J262" s="6" t="s">
        <v>5244</v>
      </c>
      <c r="K262" s="6">
        <v>1757907</v>
      </c>
      <c r="L262" s="7" t="s">
        <v>6664</v>
      </c>
      <c r="M262" s="8">
        <v>24567</v>
      </c>
      <c r="N262" s="8" t="str">
        <f t="shared" ref="N262:N290" si="25">"PEN"</f>
        <v>PEN</v>
      </c>
      <c r="O262" s="13"/>
      <c r="P262" s="13">
        <v>8</v>
      </c>
      <c r="Q262" s="3">
        <f t="shared" si="22"/>
        <v>0</v>
      </c>
      <c r="R262" s="3">
        <f t="shared" si="23"/>
        <v>8</v>
      </c>
      <c r="S262" s="3">
        <f t="shared" si="24"/>
        <v>195.74</v>
      </c>
      <c r="T262" s="24"/>
      <c r="U262" s="24"/>
      <c r="V262" s="3"/>
      <c r="W262" s="25" t="s">
        <v>6546</v>
      </c>
      <c r="X262" s="25"/>
      <c r="Y262" s="25" t="str">
        <f>IFERROR(VLOOKUP(C_Ope_001[[#This Row],[NOTA 2]],Clientes_Proveedores[[Ruc / Dni]:[Razon Social]],2,0),"")</f>
        <v/>
      </c>
      <c r="Z262" s="25"/>
      <c r="AA262" s="130"/>
      <c r="AB262" s="3" t="str">
        <f>IF(C_Ope_001[[#This Row],[FECHA]]&gt;0,TEXT(C_Ope_001[[#This Row],[FECHA]],"mmmm"),0)</f>
        <v>Junio</v>
      </c>
    </row>
    <row r="263" spans="2:28" ht="24" x14ac:dyDescent="0.3">
      <c r="B263" s="2">
        <f>IF(C_Ope_001[[#This Row],[TIPO DE R.]]="R",COUNTIFS($D$4:$D262,"R")+1,"")</f>
        <v>259</v>
      </c>
      <c r="C263" s="19" t="str">
        <f t="shared" si="21"/>
        <v>C_Ope_001</v>
      </c>
      <c r="D263" s="3" t="s">
        <v>1074</v>
      </c>
      <c r="E263" s="14">
        <v>45821</v>
      </c>
      <c r="F263" s="5" t="s">
        <v>6538</v>
      </c>
      <c r="G263" s="5" t="s">
        <v>1079</v>
      </c>
      <c r="H263" s="6"/>
      <c r="I263" s="6" t="s">
        <v>14</v>
      </c>
      <c r="J263" s="6" t="s">
        <v>5242</v>
      </c>
      <c r="K263" s="6">
        <v>2081029</v>
      </c>
      <c r="L263" s="7" t="s">
        <v>6664</v>
      </c>
      <c r="M263" s="8">
        <v>24569</v>
      </c>
      <c r="N263" s="8" t="str">
        <f t="shared" si="25"/>
        <v>PEN</v>
      </c>
      <c r="O263" s="13"/>
      <c r="P263" s="13">
        <v>8</v>
      </c>
      <c r="Q263" s="3">
        <f t="shared" si="22"/>
        <v>0</v>
      </c>
      <c r="R263" s="3">
        <f t="shared" si="23"/>
        <v>8</v>
      </c>
      <c r="S263" s="3">
        <f t="shared" si="24"/>
        <v>187.74</v>
      </c>
      <c r="T263" s="24"/>
      <c r="U263" s="24"/>
      <c r="V263" s="3"/>
      <c r="W263" s="25" t="s">
        <v>6546</v>
      </c>
      <c r="X263" s="25"/>
      <c r="Y263" s="25" t="str">
        <f>IFERROR(VLOOKUP(C_Ope_001[[#This Row],[NOTA 2]],Clientes_Proveedores[[Ruc / Dni]:[Razon Social]],2,0),"")</f>
        <v/>
      </c>
      <c r="Z263" s="25"/>
      <c r="AA263" s="130"/>
      <c r="AB263" s="3" t="str">
        <f>IF(C_Ope_001[[#This Row],[FECHA]]&gt;0,TEXT(C_Ope_001[[#This Row],[FECHA]],"mmmm"),0)</f>
        <v>Junio</v>
      </c>
    </row>
    <row r="264" spans="2:28" ht="24" x14ac:dyDescent="0.3">
      <c r="B264" s="2">
        <f>IF(C_Ope_001[[#This Row],[TIPO DE R.]]="R",COUNTIFS($D$4:$D263,"R")+1,"")</f>
        <v>260</v>
      </c>
      <c r="C264" s="19" t="str">
        <f t="shared" si="21"/>
        <v>C_Ope_001</v>
      </c>
      <c r="D264" s="3" t="s">
        <v>1074</v>
      </c>
      <c r="E264" s="14">
        <v>45821</v>
      </c>
      <c r="F264" s="5" t="s">
        <v>6538</v>
      </c>
      <c r="G264" s="5" t="s">
        <v>1079</v>
      </c>
      <c r="H264" s="6"/>
      <c r="I264" s="6" t="s">
        <v>14</v>
      </c>
      <c r="J264" s="6" t="s">
        <v>1097</v>
      </c>
      <c r="K264" s="6">
        <v>16640</v>
      </c>
      <c r="L264" s="7" t="s">
        <v>6665</v>
      </c>
      <c r="M264" s="8">
        <v>24568</v>
      </c>
      <c r="N264" s="8" t="str">
        <f t="shared" si="25"/>
        <v>PEN</v>
      </c>
      <c r="O264" s="13"/>
      <c r="P264" s="13">
        <v>20</v>
      </c>
      <c r="Q264" s="3">
        <f t="shared" si="22"/>
        <v>0</v>
      </c>
      <c r="R264" s="3">
        <f t="shared" si="23"/>
        <v>20</v>
      </c>
      <c r="S264" s="3">
        <f t="shared" si="24"/>
        <v>167.74</v>
      </c>
      <c r="T264" s="24"/>
      <c r="U264" s="24"/>
      <c r="V264" s="3"/>
      <c r="W264" s="25" t="s">
        <v>6546</v>
      </c>
      <c r="X264" s="25"/>
      <c r="Y264" s="25" t="str">
        <f>IFERROR(VLOOKUP(C_Ope_001[[#This Row],[NOTA 2]],Clientes_Proveedores[[Ruc / Dni]:[Razon Social]],2,0),"")</f>
        <v/>
      </c>
      <c r="Z264" s="25"/>
      <c r="AA264" s="130"/>
      <c r="AB264" s="3" t="str">
        <f>IF(C_Ope_001[[#This Row],[FECHA]]&gt;0,TEXT(C_Ope_001[[#This Row],[FECHA]],"mmmm"),0)</f>
        <v>Junio</v>
      </c>
    </row>
    <row r="265" spans="2:28" x14ac:dyDescent="0.3">
      <c r="B265" s="2">
        <f>IF(C_Ope_001[[#This Row],[TIPO DE R.]]="R",COUNTIFS($D$4:$D264,"R")+1,"")</f>
        <v>261</v>
      </c>
      <c r="C265" s="19" t="str">
        <f t="shared" si="21"/>
        <v>C_Ope_001</v>
      </c>
      <c r="D265" s="3" t="s">
        <v>1074</v>
      </c>
      <c r="E265" s="14">
        <v>45826</v>
      </c>
      <c r="F265" s="5" t="s">
        <v>6299</v>
      </c>
      <c r="G265" s="5" t="s">
        <v>1087</v>
      </c>
      <c r="H265" s="6"/>
      <c r="I265" s="6"/>
      <c r="J265" s="6"/>
      <c r="K265" s="6"/>
      <c r="L265" s="7" t="s">
        <v>6302</v>
      </c>
      <c r="M265" s="8">
        <v>24649</v>
      </c>
      <c r="N265" s="8" t="str">
        <f t="shared" si="25"/>
        <v>PEN</v>
      </c>
      <c r="O265" s="13"/>
      <c r="P265" s="13">
        <v>30</v>
      </c>
      <c r="Q265" s="3">
        <f t="shared" si="22"/>
        <v>30</v>
      </c>
      <c r="R265" s="3">
        <f t="shared" si="23"/>
        <v>0</v>
      </c>
      <c r="S265" s="3">
        <f t="shared" si="24"/>
        <v>197.74</v>
      </c>
      <c r="T265" s="24"/>
      <c r="U265" s="24"/>
      <c r="V265" s="3"/>
      <c r="W265" s="25"/>
      <c r="X265" s="25"/>
      <c r="Y265" s="25" t="str">
        <f>IFERROR(VLOOKUP(C_Ope_001[[#This Row],[NOTA 2]],Clientes_Proveedores[[Ruc / Dni]:[Razon Social]],2,0),"")</f>
        <v/>
      </c>
      <c r="Z265" s="25"/>
      <c r="AA265" s="130"/>
      <c r="AB265" s="3" t="str">
        <f>IF(C_Ope_001[[#This Row],[FECHA]]&gt;0,TEXT(C_Ope_001[[#This Row],[FECHA]],"mmmm"),0)</f>
        <v>Junio</v>
      </c>
    </row>
    <row r="266" spans="2:28" ht="24" x14ac:dyDescent="0.3">
      <c r="B266" s="2">
        <f>IF(C_Ope_001[[#This Row],[TIPO DE R.]]="R",COUNTIFS($D$4:$D265,"R")+1,"")</f>
        <v>262</v>
      </c>
      <c r="C266" s="19" t="str">
        <f t="shared" si="21"/>
        <v>C_Ope_001</v>
      </c>
      <c r="D266" s="3" t="s">
        <v>1074</v>
      </c>
      <c r="E266" s="14">
        <v>45824</v>
      </c>
      <c r="F266" s="5" t="s">
        <v>6538</v>
      </c>
      <c r="G266" s="5" t="s">
        <v>1079</v>
      </c>
      <c r="H266" s="6"/>
      <c r="I266" s="6" t="s">
        <v>14</v>
      </c>
      <c r="J266" s="6" t="s">
        <v>5245</v>
      </c>
      <c r="K266" s="6">
        <v>1780270</v>
      </c>
      <c r="L266" s="7" t="s">
        <v>6666</v>
      </c>
      <c r="M266" s="8">
        <v>24587</v>
      </c>
      <c r="N266" s="8" t="str">
        <f t="shared" si="25"/>
        <v>PEN</v>
      </c>
      <c r="O266" s="13"/>
      <c r="P266" s="13">
        <v>8</v>
      </c>
      <c r="Q266" s="3">
        <f t="shared" si="22"/>
        <v>0</v>
      </c>
      <c r="R266" s="3">
        <f t="shared" si="23"/>
        <v>8</v>
      </c>
      <c r="S266" s="3">
        <f t="shared" si="24"/>
        <v>189.74</v>
      </c>
      <c r="T266" s="24"/>
      <c r="U266" s="24"/>
      <c r="V266" s="3"/>
      <c r="W266" s="25" t="s">
        <v>6546</v>
      </c>
      <c r="X266" s="25"/>
      <c r="Y266" s="25" t="str">
        <f>IFERROR(VLOOKUP(C_Ope_001[[#This Row],[NOTA 2]],Clientes_Proveedores[[Ruc / Dni]:[Razon Social]],2,0),"")</f>
        <v/>
      </c>
      <c r="Z266" s="25"/>
      <c r="AA266" s="130"/>
      <c r="AB266" s="3" t="str">
        <f>IF(C_Ope_001[[#This Row],[FECHA]]&gt;0,TEXT(C_Ope_001[[#This Row],[FECHA]],"mmmm"),0)</f>
        <v>Junio</v>
      </c>
    </row>
    <row r="267" spans="2:28" ht="24" x14ac:dyDescent="0.3">
      <c r="B267" s="2">
        <f>IF(C_Ope_001[[#This Row],[TIPO DE R.]]="R",COUNTIFS($D$4:$D266,"R")+1,"")</f>
        <v>263</v>
      </c>
      <c r="C267" s="19" t="str">
        <f t="shared" si="21"/>
        <v>C_Ope_001</v>
      </c>
      <c r="D267" s="3" t="s">
        <v>1074</v>
      </c>
      <c r="E267" s="14">
        <v>45826</v>
      </c>
      <c r="F267" s="5" t="s">
        <v>6538</v>
      </c>
      <c r="G267" s="5" t="s">
        <v>1079</v>
      </c>
      <c r="H267" s="6"/>
      <c r="I267" s="6" t="s">
        <v>14</v>
      </c>
      <c r="J267" s="6" t="s">
        <v>5244</v>
      </c>
      <c r="K267" s="6">
        <v>1762070</v>
      </c>
      <c r="L267" s="7" t="s">
        <v>6667</v>
      </c>
      <c r="M267" s="8">
        <v>24610</v>
      </c>
      <c r="N267" s="8" t="str">
        <f t="shared" si="25"/>
        <v>PEN</v>
      </c>
      <c r="O267" s="13"/>
      <c r="P267" s="13">
        <v>8</v>
      </c>
      <c r="Q267" s="3">
        <f t="shared" si="22"/>
        <v>0</v>
      </c>
      <c r="R267" s="3">
        <f t="shared" si="23"/>
        <v>8</v>
      </c>
      <c r="S267" s="3">
        <f t="shared" si="24"/>
        <v>181.74</v>
      </c>
      <c r="T267" s="24"/>
      <c r="U267" s="24"/>
      <c r="V267" s="3"/>
      <c r="W267" s="25" t="s">
        <v>6546</v>
      </c>
      <c r="X267" s="25"/>
      <c r="Y267" s="25" t="str">
        <f>IFERROR(VLOOKUP(C_Ope_001[[#This Row],[NOTA 2]],Clientes_Proveedores[[Ruc / Dni]:[Razon Social]],2,0),"")</f>
        <v/>
      </c>
      <c r="Z267" s="25"/>
      <c r="AA267" s="130"/>
      <c r="AB267" s="3" t="str">
        <f>IF(C_Ope_001[[#This Row],[FECHA]]&gt;0,TEXT(C_Ope_001[[#This Row],[FECHA]],"mmmm"),0)</f>
        <v>Junio</v>
      </c>
    </row>
    <row r="268" spans="2:28" ht="24" x14ac:dyDescent="0.3">
      <c r="B268" s="2">
        <f>IF(C_Ope_001[[#This Row],[TIPO DE R.]]="R",COUNTIFS($D$4:$D267,"R")+1,"")</f>
        <v>264</v>
      </c>
      <c r="C268" s="19" t="str">
        <f t="shared" si="21"/>
        <v>C_Ope_001</v>
      </c>
      <c r="D268" s="3" t="s">
        <v>1074</v>
      </c>
      <c r="E268" s="14">
        <v>45826</v>
      </c>
      <c r="F268" s="5" t="s">
        <v>6538</v>
      </c>
      <c r="G268" s="5" t="s">
        <v>1079</v>
      </c>
      <c r="H268" s="6"/>
      <c r="I268" s="6" t="s">
        <v>14</v>
      </c>
      <c r="J268" s="6" t="s">
        <v>5245</v>
      </c>
      <c r="K268" s="6">
        <v>1782151</v>
      </c>
      <c r="L268" s="7" t="s">
        <v>6667</v>
      </c>
      <c r="M268" s="8">
        <v>24611</v>
      </c>
      <c r="N268" s="8" t="str">
        <f t="shared" si="25"/>
        <v>PEN</v>
      </c>
      <c r="O268" s="13"/>
      <c r="P268" s="13">
        <v>8</v>
      </c>
      <c r="Q268" s="3">
        <f t="shared" si="22"/>
        <v>0</v>
      </c>
      <c r="R268" s="3">
        <f t="shared" si="23"/>
        <v>8</v>
      </c>
      <c r="S268" s="3">
        <f t="shared" si="24"/>
        <v>173.74</v>
      </c>
      <c r="T268" s="24"/>
      <c r="U268" s="24"/>
      <c r="V268" s="3"/>
      <c r="W268" s="25" t="s">
        <v>6546</v>
      </c>
      <c r="X268" s="25"/>
      <c r="Y268" s="25" t="str">
        <f>IFERROR(VLOOKUP(C_Ope_001[[#This Row],[NOTA 2]],Clientes_Proveedores[[Ruc / Dni]:[Razon Social]],2,0),"")</f>
        <v/>
      </c>
      <c r="Z268" s="25"/>
      <c r="AA268" s="130"/>
      <c r="AB268" s="3" t="str">
        <f>IF(C_Ope_001[[#This Row],[FECHA]]&gt;0,TEXT(C_Ope_001[[#This Row],[FECHA]],"mmmm"),0)</f>
        <v>Junio</v>
      </c>
    </row>
    <row r="269" spans="2:28" x14ac:dyDescent="0.3">
      <c r="B269" s="2">
        <f>IF(C_Ope_001[[#This Row],[TIPO DE R.]]="R",COUNTIFS($D$4:$D268,"R")+1,"")</f>
        <v>265</v>
      </c>
      <c r="C269" s="19" t="str">
        <f t="shared" si="21"/>
        <v>C_Ope_001</v>
      </c>
      <c r="D269" s="3" t="s">
        <v>1074</v>
      </c>
      <c r="E269" s="14">
        <v>45824</v>
      </c>
      <c r="F269" s="5" t="s">
        <v>6538</v>
      </c>
      <c r="G269" s="5" t="s">
        <v>1079</v>
      </c>
      <c r="H269" s="6"/>
      <c r="I269" s="6" t="s">
        <v>14</v>
      </c>
      <c r="J269" s="6" t="s">
        <v>1097</v>
      </c>
      <c r="K269" s="6">
        <v>16661</v>
      </c>
      <c r="L269" s="7" t="s">
        <v>6652</v>
      </c>
      <c r="M269" s="8">
        <v>24588</v>
      </c>
      <c r="N269" s="8" t="str">
        <f t="shared" si="25"/>
        <v>PEN</v>
      </c>
      <c r="O269" s="13"/>
      <c r="P269" s="13">
        <v>20</v>
      </c>
      <c r="Q269" s="3">
        <f t="shared" si="22"/>
        <v>0</v>
      </c>
      <c r="R269" s="3">
        <f t="shared" si="23"/>
        <v>20</v>
      </c>
      <c r="S269" s="3">
        <f t="shared" si="24"/>
        <v>153.74</v>
      </c>
      <c r="T269" s="24"/>
      <c r="U269" s="24"/>
      <c r="V269" s="3"/>
      <c r="W269" s="25" t="s">
        <v>6546</v>
      </c>
      <c r="X269" s="25"/>
      <c r="Y269" s="25" t="str">
        <f>IFERROR(VLOOKUP(C_Ope_001[[#This Row],[NOTA 2]],Clientes_Proveedores[[Ruc / Dni]:[Razon Social]],2,0),"")</f>
        <v/>
      </c>
      <c r="Z269" s="25"/>
      <c r="AA269" s="130"/>
      <c r="AB269" s="3" t="str">
        <f>IF(C_Ope_001[[#This Row],[FECHA]]&gt;0,TEXT(C_Ope_001[[#This Row],[FECHA]],"mmmm"),0)</f>
        <v>Junio</v>
      </c>
    </row>
    <row r="270" spans="2:28" x14ac:dyDescent="0.3">
      <c r="B270" s="2">
        <f>IF(C_Ope_001[[#This Row],[TIPO DE R.]]="R",COUNTIFS($D$4:$D269,"R")+1,"")</f>
        <v>266</v>
      </c>
      <c r="C270" s="19" t="str">
        <f t="shared" si="21"/>
        <v>C_Ope_001</v>
      </c>
      <c r="D270" s="3" t="s">
        <v>1074</v>
      </c>
      <c r="E270" s="14">
        <v>45828</v>
      </c>
      <c r="F270" s="5" t="s">
        <v>6538</v>
      </c>
      <c r="G270" s="5" t="s">
        <v>1079</v>
      </c>
      <c r="H270" s="6"/>
      <c r="I270" s="6" t="s">
        <v>14</v>
      </c>
      <c r="J270" s="6" t="s">
        <v>1148</v>
      </c>
      <c r="K270" s="6">
        <v>133248</v>
      </c>
      <c r="L270" s="7" t="s">
        <v>6668</v>
      </c>
      <c r="M270" s="8">
        <v>24633</v>
      </c>
      <c r="N270" s="8" t="str">
        <f t="shared" si="25"/>
        <v>PEN</v>
      </c>
      <c r="O270" s="13"/>
      <c r="P270" s="13">
        <v>10</v>
      </c>
      <c r="Q270" s="3">
        <f t="shared" si="22"/>
        <v>0</v>
      </c>
      <c r="R270" s="3">
        <f t="shared" si="23"/>
        <v>10</v>
      </c>
      <c r="S270" s="3">
        <f t="shared" si="24"/>
        <v>143.74</v>
      </c>
      <c r="T270" s="24"/>
      <c r="U270" s="24"/>
      <c r="V270" s="3"/>
      <c r="W270" s="25" t="s">
        <v>6546</v>
      </c>
      <c r="X270" s="25"/>
      <c r="Y270" s="25" t="str">
        <f>IFERROR(VLOOKUP(C_Ope_001[[#This Row],[NOTA 2]],Clientes_Proveedores[[Ruc / Dni]:[Razon Social]],2,0),"")</f>
        <v/>
      </c>
      <c r="Z270" s="25"/>
      <c r="AA270" s="130"/>
      <c r="AB270" s="3" t="str">
        <f>IF(C_Ope_001[[#This Row],[FECHA]]&gt;0,TEXT(C_Ope_001[[#This Row],[FECHA]],"mmmm"),0)</f>
        <v>Junio</v>
      </c>
    </row>
    <row r="271" spans="2:28" x14ac:dyDescent="0.3">
      <c r="B271" s="2">
        <f>IF(C_Ope_001[[#This Row],[TIPO DE R.]]="R",COUNTIFS($D$4:$D270,"R")+1,"")</f>
        <v>267</v>
      </c>
      <c r="C271" s="19" t="str">
        <f t="shared" si="21"/>
        <v>C_Ope_001</v>
      </c>
      <c r="D271" s="3" t="s">
        <v>1074</v>
      </c>
      <c r="E271" s="14">
        <v>45828</v>
      </c>
      <c r="F271" s="5" t="s">
        <v>6538</v>
      </c>
      <c r="G271" s="5" t="s">
        <v>1079</v>
      </c>
      <c r="H271" s="6"/>
      <c r="I271" s="6" t="s">
        <v>14</v>
      </c>
      <c r="J271" s="6" t="s">
        <v>1148</v>
      </c>
      <c r="K271" s="6">
        <v>133240</v>
      </c>
      <c r="L271" s="7" t="s">
        <v>6668</v>
      </c>
      <c r="M271" s="8">
        <v>24634</v>
      </c>
      <c r="N271" s="8" t="str">
        <f t="shared" si="25"/>
        <v>PEN</v>
      </c>
      <c r="O271" s="13"/>
      <c r="P271" s="13">
        <v>10</v>
      </c>
      <c r="Q271" s="3">
        <f t="shared" si="22"/>
        <v>0</v>
      </c>
      <c r="R271" s="3">
        <f t="shared" si="23"/>
        <v>10</v>
      </c>
      <c r="S271" s="3">
        <f t="shared" si="24"/>
        <v>133.74</v>
      </c>
      <c r="T271" s="24"/>
      <c r="U271" s="24"/>
      <c r="V271" s="3"/>
      <c r="W271" s="25" t="s">
        <v>6546</v>
      </c>
      <c r="X271" s="25"/>
      <c r="Y271" s="25" t="str">
        <f>IFERROR(VLOOKUP(C_Ope_001[[#This Row],[NOTA 2]],Clientes_Proveedores[[Ruc / Dni]:[Razon Social]],2,0),"")</f>
        <v/>
      </c>
      <c r="Z271" s="25"/>
      <c r="AA271" s="130"/>
      <c r="AB271" s="3" t="str">
        <f>IF(C_Ope_001[[#This Row],[FECHA]]&gt;0,TEXT(C_Ope_001[[#This Row],[FECHA]],"mmmm"),0)</f>
        <v>Junio</v>
      </c>
    </row>
    <row r="272" spans="2:28" x14ac:dyDescent="0.3">
      <c r="B272" s="2">
        <f>IF(C_Ope_001[[#This Row],[TIPO DE R.]]="R",COUNTIFS($D$4:$D271,"R")+1,"")</f>
        <v>268</v>
      </c>
      <c r="C272" s="19" t="str">
        <f t="shared" si="21"/>
        <v>C_Ope_001</v>
      </c>
      <c r="D272" s="3" t="s">
        <v>1074</v>
      </c>
      <c r="E272" s="14">
        <v>45828</v>
      </c>
      <c r="F272" s="5" t="s">
        <v>6538</v>
      </c>
      <c r="G272" s="5" t="s">
        <v>1079</v>
      </c>
      <c r="H272" s="6"/>
      <c r="I272" s="6" t="s">
        <v>14</v>
      </c>
      <c r="J272" s="6" t="s">
        <v>1148</v>
      </c>
      <c r="K272" s="6">
        <v>133254</v>
      </c>
      <c r="L272" s="7" t="s">
        <v>6668</v>
      </c>
      <c r="M272" s="8">
        <v>24636</v>
      </c>
      <c r="N272" s="8" t="str">
        <f t="shared" si="25"/>
        <v>PEN</v>
      </c>
      <c r="O272" s="13"/>
      <c r="P272" s="13">
        <v>10</v>
      </c>
      <c r="Q272" s="3">
        <f t="shared" si="22"/>
        <v>0</v>
      </c>
      <c r="R272" s="3">
        <f t="shared" si="23"/>
        <v>10</v>
      </c>
      <c r="S272" s="3">
        <f t="shared" si="24"/>
        <v>123.74000000000001</v>
      </c>
      <c r="T272" s="24"/>
      <c r="U272" s="24"/>
      <c r="V272" s="3"/>
      <c r="W272" s="25" t="s">
        <v>6546</v>
      </c>
      <c r="X272" s="25"/>
      <c r="Y272" s="25" t="str">
        <f>IFERROR(VLOOKUP(C_Ope_001[[#This Row],[NOTA 2]],Clientes_Proveedores[[Ruc / Dni]:[Razon Social]],2,0),"")</f>
        <v/>
      </c>
      <c r="Z272" s="25"/>
      <c r="AA272" s="130"/>
      <c r="AB272" s="3" t="str">
        <f>IF(C_Ope_001[[#This Row],[FECHA]]&gt;0,TEXT(C_Ope_001[[#This Row],[FECHA]],"mmmm"),0)</f>
        <v>Junio</v>
      </c>
    </row>
    <row r="273" spans="2:28" x14ac:dyDescent="0.3">
      <c r="B273" s="2">
        <f>IF(C_Ope_001[[#This Row],[TIPO DE R.]]="R",COUNTIFS($D$4:$D272,"R")+1,"")</f>
        <v>269</v>
      </c>
      <c r="C273" s="19" t="str">
        <f t="shared" si="21"/>
        <v>C_Ope_001</v>
      </c>
      <c r="D273" s="3" t="s">
        <v>1074</v>
      </c>
      <c r="E273" s="14">
        <v>45825</v>
      </c>
      <c r="F273" s="5" t="s">
        <v>6538</v>
      </c>
      <c r="G273" s="5" t="s">
        <v>1079</v>
      </c>
      <c r="H273" s="6"/>
      <c r="I273" s="6" t="s">
        <v>14</v>
      </c>
      <c r="J273" s="6" t="s">
        <v>1119</v>
      </c>
      <c r="K273" s="6">
        <v>18247</v>
      </c>
      <c r="L273" s="7" t="s">
        <v>6565</v>
      </c>
      <c r="M273" s="8">
        <v>24595</v>
      </c>
      <c r="N273" s="8" t="str">
        <f t="shared" si="25"/>
        <v>PEN</v>
      </c>
      <c r="O273" s="13"/>
      <c r="P273" s="13">
        <v>25</v>
      </c>
      <c r="Q273" s="3">
        <f t="shared" si="22"/>
        <v>0</v>
      </c>
      <c r="R273" s="3">
        <f t="shared" si="23"/>
        <v>25</v>
      </c>
      <c r="S273" s="3">
        <f t="shared" si="24"/>
        <v>98.740000000000009</v>
      </c>
      <c r="T273" s="24"/>
      <c r="U273" s="24"/>
      <c r="V273" s="3"/>
      <c r="W273" s="25" t="s">
        <v>6546</v>
      </c>
      <c r="X273" s="25"/>
      <c r="Y273" s="25" t="str">
        <f>IFERROR(VLOOKUP(C_Ope_001[[#This Row],[NOTA 2]],Clientes_Proveedores[[Ruc / Dni]:[Razon Social]],2,0),"")</f>
        <v/>
      </c>
      <c r="Z273" s="25"/>
      <c r="AA273" s="130"/>
      <c r="AB273" s="3" t="str">
        <f>IF(C_Ope_001[[#This Row],[FECHA]]&gt;0,TEXT(C_Ope_001[[#This Row],[FECHA]],"mmmm"),0)</f>
        <v>Junio</v>
      </c>
    </row>
    <row r="274" spans="2:28" x14ac:dyDescent="0.3">
      <c r="B274" s="2">
        <f>IF(C_Ope_001[[#This Row],[TIPO DE R.]]="R",COUNTIFS($D$4:$D273,"R")+1,"")</f>
        <v>270</v>
      </c>
      <c r="C274" s="19" t="str">
        <f t="shared" si="21"/>
        <v>C_Ope_001</v>
      </c>
      <c r="D274" s="3" t="s">
        <v>1074</v>
      </c>
      <c r="E274" s="14">
        <v>45831</v>
      </c>
      <c r="F274" s="5" t="s">
        <v>6299</v>
      </c>
      <c r="G274" s="5" t="s">
        <v>1087</v>
      </c>
      <c r="H274" s="6"/>
      <c r="I274" s="6"/>
      <c r="J274" s="6"/>
      <c r="K274" s="6"/>
      <c r="L274" s="7" t="s">
        <v>6302</v>
      </c>
      <c r="M274" s="8">
        <v>24659</v>
      </c>
      <c r="N274" s="8" t="str">
        <f t="shared" si="25"/>
        <v>PEN</v>
      </c>
      <c r="O274" s="13"/>
      <c r="P274" s="13">
        <v>100</v>
      </c>
      <c r="Q274" s="3">
        <f t="shared" si="22"/>
        <v>100</v>
      </c>
      <c r="R274" s="3">
        <f t="shared" si="23"/>
        <v>0</v>
      </c>
      <c r="S274" s="3">
        <f t="shared" si="24"/>
        <v>198.74</v>
      </c>
      <c r="T274" s="24"/>
      <c r="U274" s="24"/>
      <c r="V274" s="3"/>
      <c r="W274" s="25"/>
      <c r="X274" s="25"/>
      <c r="Y274" s="25" t="str">
        <f>IFERROR(VLOOKUP(C_Ope_001[[#This Row],[NOTA 2]],Clientes_Proveedores[[Ruc / Dni]:[Razon Social]],2,0),"")</f>
        <v/>
      </c>
      <c r="Z274" s="25"/>
      <c r="AA274" s="130"/>
      <c r="AB274" s="3" t="str">
        <f>IF(C_Ope_001[[#This Row],[FECHA]]&gt;0,TEXT(C_Ope_001[[#This Row],[FECHA]],"mmmm"),0)</f>
        <v>Junio</v>
      </c>
    </row>
    <row r="275" spans="2:28" ht="24" x14ac:dyDescent="0.3">
      <c r="B275" s="2">
        <f>IF(C_Ope_001[[#This Row],[TIPO DE R.]]="R",COUNTIFS($D$4:$D274,"R")+1,"")</f>
        <v>271</v>
      </c>
      <c r="C275" s="19" t="str">
        <f t="shared" si="21"/>
        <v>C_Ope_001</v>
      </c>
      <c r="D275" s="3" t="s">
        <v>1074</v>
      </c>
      <c r="E275" s="14">
        <v>45831</v>
      </c>
      <c r="F275" s="5" t="s">
        <v>6538</v>
      </c>
      <c r="G275" s="5" t="s">
        <v>1079</v>
      </c>
      <c r="H275" s="6"/>
      <c r="I275" s="6" t="s">
        <v>14</v>
      </c>
      <c r="J275" s="6" t="s">
        <v>5244</v>
      </c>
      <c r="K275" s="6">
        <v>1766579</v>
      </c>
      <c r="L275" s="7" t="s">
        <v>6558</v>
      </c>
      <c r="M275" s="8">
        <v>24645</v>
      </c>
      <c r="N275" s="8" t="str">
        <f t="shared" si="25"/>
        <v>PEN</v>
      </c>
      <c r="O275" s="13"/>
      <c r="P275" s="13">
        <v>8</v>
      </c>
      <c r="Q275" s="3">
        <f t="shared" si="22"/>
        <v>0</v>
      </c>
      <c r="R275" s="3">
        <f t="shared" si="23"/>
        <v>8</v>
      </c>
      <c r="S275" s="3">
        <f t="shared" si="24"/>
        <v>190.74</v>
      </c>
      <c r="T275" s="24"/>
      <c r="U275" s="24"/>
      <c r="V275" s="3"/>
      <c r="W275" s="25" t="s">
        <v>6541</v>
      </c>
      <c r="X275" s="25"/>
      <c r="Y275" s="25" t="str">
        <f>IFERROR(VLOOKUP(C_Ope_001[[#This Row],[NOTA 2]],Clientes_Proveedores[[Ruc / Dni]:[Razon Social]],2,0),"")</f>
        <v/>
      </c>
      <c r="Z275" s="25"/>
      <c r="AA275" s="130"/>
      <c r="AB275" s="3" t="str">
        <f>IF(C_Ope_001[[#This Row],[FECHA]]&gt;0,TEXT(C_Ope_001[[#This Row],[FECHA]],"mmmm"),0)</f>
        <v>Junio</v>
      </c>
    </row>
    <row r="276" spans="2:28" ht="24" x14ac:dyDescent="0.3">
      <c r="B276" s="2">
        <f>IF(C_Ope_001[[#This Row],[TIPO DE R.]]="R",COUNTIFS($D$4:$D275,"R")+1,"")</f>
        <v>272</v>
      </c>
      <c r="C276" s="19" t="str">
        <f t="shared" si="21"/>
        <v>C_Ope_001</v>
      </c>
      <c r="D276" s="3" t="s">
        <v>1074</v>
      </c>
      <c r="E276" s="14">
        <v>45831</v>
      </c>
      <c r="F276" s="5" t="s">
        <v>6538</v>
      </c>
      <c r="G276" s="5" t="s">
        <v>1079</v>
      </c>
      <c r="H276" s="6"/>
      <c r="I276" s="6" t="s">
        <v>14</v>
      </c>
      <c r="J276" s="6" t="s">
        <v>6556</v>
      </c>
      <c r="K276" s="6">
        <v>483731</v>
      </c>
      <c r="L276" s="7" t="s">
        <v>6557</v>
      </c>
      <c r="M276" s="8">
        <v>24646</v>
      </c>
      <c r="N276" s="8" t="str">
        <f t="shared" si="25"/>
        <v>PEN</v>
      </c>
      <c r="O276" s="13"/>
      <c r="P276" s="13">
        <v>8</v>
      </c>
      <c r="Q276" s="3">
        <f t="shared" si="22"/>
        <v>0</v>
      </c>
      <c r="R276" s="3">
        <f t="shared" si="23"/>
        <v>8</v>
      </c>
      <c r="S276" s="3">
        <f t="shared" si="24"/>
        <v>182.74</v>
      </c>
      <c r="T276" s="24"/>
      <c r="U276" s="24"/>
      <c r="V276" s="3"/>
      <c r="W276" s="25" t="s">
        <v>6541</v>
      </c>
      <c r="X276" s="25"/>
      <c r="Y276" s="25" t="str">
        <f>IFERROR(VLOOKUP(C_Ope_001[[#This Row],[NOTA 2]],Clientes_Proveedores[[Ruc / Dni]:[Razon Social]],2,0),"")</f>
        <v/>
      </c>
      <c r="Z276" s="25"/>
      <c r="AA276" s="130"/>
      <c r="AB276" s="3" t="str">
        <f>IF(C_Ope_001[[#This Row],[FECHA]]&gt;0,TEXT(C_Ope_001[[#This Row],[FECHA]],"mmmm"),0)</f>
        <v>Junio</v>
      </c>
    </row>
    <row r="277" spans="2:28" ht="24" x14ac:dyDescent="0.3">
      <c r="B277" s="2">
        <f>IF(C_Ope_001[[#This Row],[TIPO DE R.]]="R",COUNTIFS($D$4:$D276,"R")+1,"")</f>
        <v>273</v>
      </c>
      <c r="C277" s="19" t="str">
        <f t="shared" si="21"/>
        <v>C_Ope_001</v>
      </c>
      <c r="D277" s="3" t="s">
        <v>1074</v>
      </c>
      <c r="E277" s="14">
        <v>45831</v>
      </c>
      <c r="F277" s="5" t="s">
        <v>6538</v>
      </c>
      <c r="G277" s="5" t="s">
        <v>1079</v>
      </c>
      <c r="H277" s="6"/>
      <c r="I277" s="6" t="s">
        <v>14</v>
      </c>
      <c r="J277" s="6" t="s">
        <v>5280</v>
      </c>
      <c r="K277" s="6">
        <v>1078975</v>
      </c>
      <c r="L277" s="7" t="s">
        <v>6557</v>
      </c>
      <c r="M277" s="8">
        <v>24651</v>
      </c>
      <c r="N277" s="8" t="str">
        <f t="shared" si="25"/>
        <v>PEN</v>
      </c>
      <c r="O277" s="13"/>
      <c r="P277" s="13">
        <v>8</v>
      </c>
      <c r="Q277" s="3">
        <f t="shared" si="22"/>
        <v>0</v>
      </c>
      <c r="R277" s="3">
        <f t="shared" si="23"/>
        <v>8</v>
      </c>
      <c r="S277" s="3">
        <f t="shared" si="24"/>
        <v>174.74</v>
      </c>
      <c r="T277" s="24"/>
      <c r="U277" s="24"/>
      <c r="V277" s="3"/>
      <c r="W277" s="25" t="s">
        <v>6541</v>
      </c>
      <c r="X277" s="25"/>
      <c r="Y277" s="25" t="str">
        <f>IFERROR(VLOOKUP(C_Ope_001[[#This Row],[NOTA 2]],Clientes_Proveedores[[Ruc / Dni]:[Razon Social]],2,0),"")</f>
        <v/>
      </c>
      <c r="Z277" s="25"/>
      <c r="AA277" s="130"/>
      <c r="AB277" s="3" t="str">
        <f>IF(C_Ope_001[[#This Row],[FECHA]]&gt;0,TEXT(C_Ope_001[[#This Row],[FECHA]],"mmmm"),0)</f>
        <v>Junio</v>
      </c>
    </row>
    <row r="278" spans="2:28" ht="24" x14ac:dyDescent="0.3">
      <c r="B278" s="2">
        <f>IF(C_Ope_001[[#This Row],[TIPO DE R.]]="R",COUNTIFS($D$4:$D277,"R")+1,"")</f>
        <v>274</v>
      </c>
      <c r="C278" s="19" t="str">
        <f t="shared" si="21"/>
        <v>C_Ope_001</v>
      </c>
      <c r="D278" s="3" t="s">
        <v>1074</v>
      </c>
      <c r="E278" s="14">
        <v>45833</v>
      </c>
      <c r="F278" s="5" t="s">
        <v>6538</v>
      </c>
      <c r="G278" s="5" t="s">
        <v>1079</v>
      </c>
      <c r="H278" s="6"/>
      <c r="I278" s="6" t="s">
        <v>14</v>
      </c>
      <c r="J278" s="6" t="s">
        <v>5244</v>
      </c>
      <c r="K278" s="6">
        <v>1768506</v>
      </c>
      <c r="L278" s="7" t="s">
        <v>6669</v>
      </c>
      <c r="M278" s="8">
        <v>24688</v>
      </c>
      <c r="N278" s="8" t="str">
        <f t="shared" si="25"/>
        <v>PEN</v>
      </c>
      <c r="O278" s="13"/>
      <c r="P278" s="13">
        <v>8</v>
      </c>
      <c r="Q278" s="3">
        <f t="shared" si="22"/>
        <v>0</v>
      </c>
      <c r="R278" s="3">
        <f t="shared" si="23"/>
        <v>8</v>
      </c>
      <c r="S278" s="3">
        <f t="shared" si="24"/>
        <v>166.74</v>
      </c>
      <c r="T278" s="24"/>
      <c r="U278" s="24"/>
      <c r="V278" s="3"/>
      <c r="W278" s="25" t="s">
        <v>6541</v>
      </c>
      <c r="X278" s="25"/>
      <c r="Y278" s="25" t="str">
        <f>IFERROR(VLOOKUP(C_Ope_001[[#This Row],[NOTA 2]],Clientes_Proveedores[[Ruc / Dni]:[Razon Social]],2,0),"")</f>
        <v/>
      </c>
      <c r="Z278" s="25"/>
      <c r="AA278" s="130"/>
      <c r="AB278" s="3" t="str">
        <f>IF(C_Ope_001[[#This Row],[FECHA]]&gt;0,TEXT(C_Ope_001[[#This Row],[FECHA]],"mmmm"),0)</f>
        <v>Junio</v>
      </c>
    </row>
    <row r="279" spans="2:28" ht="24" x14ac:dyDescent="0.3">
      <c r="B279" s="2">
        <f>IF(C_Ope_001[[#This Row],[TIPO DE R.]]="R",COUNTIFS($D$4:$D278,"R")+1,"")</f>
        <v>275</v>
      </c>
      <c r="C279" s="19" t="str">
        <f t="shared" si="21"/>
        <v>C_Ope_001</v>
      </c>
      <c r="D279" s="3" t="s">
        <v>1074</v>
      </c>
      <c r="E279" s="14">
        <v>45833</v>
      </c>
      <c r="F279" s="5" t="s">
        <v>6538</v>
      </c>
      <c r="G279" s="5" t="s">
        <v>1079</v>
      </c>
      <c r="H279" s="6"/>
      <c r="I279" s="6"/>
      <c r="J279" s="6" t="s">
        <v>6670</v>
      </c>
      <c r="K279" s="6">
        <v>3050436</v>
      </c>
      <c r="L279" s="7" t="s">
        <v>6669</v>
      </c>
      <c r="M279" s="8">
        <v>24693</v>
      </c>
      <c r="N279" s="8" t="str">
        <f t="shared" si="25"/>
        <v>PEN</v>
      </c>
      <c r="O279" s="13"/>
      <c r="P279" s="13">
        <v>8</v>
      </c>
      <c r="Q279" s="3">
        <f t="shared" si="22"/>
        <v>0</v>
      </c>
      <c r="R279" s="3">
        <f t="shared" si="23"/>
        <v>8</v>
      </c>
      <c r="S279" s="3">
        <f t="shared" si="24"/>
        <v>158.74</v>
      </c>
      <c r="T279" s="24"/>
      <c r="U279" s="24"/>
      <c r="V279" s="3"/>
      <c r="W279" s="25" t="s">
        <v>6541</v>
      </c>
      <c r="X279" s="25"/>
      <c r="Y279" s="25" t="str">
        <f>IFERROR(VLOOKUP(C_Ope_001[[#This Row],[NOTA 2]],Clientes_Proveedores[[Ruc / Dni]:[Razon Social]],2,0),"")</f>
        <v/>
      </c>
      <c r="Z279" s="25"/>
      <c r="AA279" s="130"/>
      <c r="AB279" s="3" t="str">
        <f>IF(C_Ope_001[[#This Row],[FECHA]]&gt;0,TEXT(C_Ope_001[[#This Row],[FECHA]],"mmmm"),0)</f>
        <v>Junio</v>
      </c>
    </row>
    <row r="280" spans="2:28" ht="36" x14ac:dyDescent="0.3">
      <c r="B280" s="2">
        <f>IF(C_Ope_001[[#This Row],[TIPO DE R.]]="R",COUNTIFS($D$4:$D279,"R")+1,"")</f>
        <v>276</v>
      </c>
      <c r="C280" s="19" t="str">
        <f t="shared" si="21"/>
        <v>C_Ope_001</v>
      </c>
      <c r="D280" s="3" t="s">
        <v>1074</v>
      </c>
      <c r="E280" s="14">
        <v>45838</v>
      </c>
      <c r="F280" s="5" t="s">
        <v>6538</v>
      </c>
      <c r="G280" s="5" t="s">
        <v>1079</v>
      </c>
      <c r="H280" s="6"/>
      <c r="I280" s="6" t="s">
        <v>14</v>
      </c>
      <c r="J280" s="6" t="s">
        <v>5245</v>
      </c>
      <c r="K280" s="6">
        <v>1793223</v>
      </c>
      <c r="L280" s="7" t="s">
        <v>6671</v>
      </c>
      <c r="M280" s="8">
        <v>24745</v>
      </c>
      <c r="N280" s="8" t="str">
        <f t="shared" si="25"/>
        <v>PEN</v>
      </c>
      <c r="O280" s="13"/>
      <c r="P280" s="13">
        <v>8</v>
      </c>
      <c r="Q280" s="3">
        <f t="shared" si="22"/>
        <v>0</v>
      </c>
      <c r="R280" s="3">
        <f t="shared" si="23"/>
        <v>8</v>
      </c>
      <c r="S280" s="3">
        <f t="shared" si="24"/>
        <v>150.74</v>
      </c>
      <c r="T280" s="24"/>
      <c r="U280" s="24"/>
      <c r="V280" s="3"/>
      <c r="W280" s="25" t="s">
        <v>6541</v>
      </c>
      <c r="X280" s="25"/>
      <c r="Y280" s="25" t="str">
        <f>IFERROR(VLOOKUP(C_Ope_001[[#This Row],[NOTA 2]],Clientes_Proveedores[[Ruc / Dni]:[Razon Social]],2,0),"")</f>
        <v/>
      </c>
      <c r="Z280" s="25"/>
      <c r="AA280" s="130"/>
      <c r="AB280" s="3" t="str">
        <f>IF(C_Ope_001[[#This Row],[FECHA]]&gt;0,TEXT(C_Ope_001[[#This Row],[FECHA]],"mmmm"),0)</f>
        <v>Junio</v>
      </c>
    </row>
    <row r="281" spans="2:28" ht="36" x14ac:dyDescent="0.3">
      <c r="B281" s="2">
        <f>IF(C_Ope_001[[#This Row],[TIPO DE R.]]="R",COUNTIFS($D$4:$D280,"R")+1,"")</f>
        <v>277</v>
      </c>
      <c r="C281" s="19" t="str">
        <f t="shared" si="21"/>
        <v>C_Ope_001</v>
      </c>
      <c r="D281" s="3" t="s">
        <v>1074</v>
      </c>
      <c r="E281" s="14">
        <v>45838</v>
      </c>
      <c r="F281" s="5" t="s">
        <v>6538</v>
      </c>
      <c r="G281" s="5" t="s">
        <v>1079</v>
      </c>
      <c r="H281" s="6"/>
      <c r="I281" s="6" t="s">
        <v>14</v>
      </c>
      <c r="J281" s="6" t="s">
        <v>5244</v>
      </c>
      <c r="K281" s="6">
        <v>1773171</v>
      </c>
      <c r="L281" s="7" t="s">
        <v>6671</v>
      </c>
      <c r="M281" s="8">
        <v>24746</v>
      </c>
      <c r="N281" s="8" t="str">
        <f t="shared" si="25"/>
        <v>PEN</v>
      </c>
      <c r="O281" s="13"/>
      <c r="P281" s="13">
        <v>8</v>
      </c>
      <c r="Q281" s="3">
        <f t="shared" si="22"/>
        <v>0</v>
      </c>
      <c r="R281" s="3">
        <f t="shared" si="23"/>
        <v>8</v>
      </c>
      <c r="S281" s="3">
        <f t="shared" si="24"/>
        <v>142.74</v>
      </c>
      <c r="T281" s="24"/>
      <c r="U281" s="24"/>
      <c r="V281" s="3"/>
      <c r="W281" s="25" t="s">
        <v>6541</v>
      </c>
      <c r="X281" s="25"/>
      <c r="Y281" s="25" t="str">
        <f>IFERROR(VLOOKUP(C_Ope_001[[#This Row],[NOTA 2]],Clientes_Proveedores[[Ruc / Dni]:[Razon Social]],2,0),"")</f>
        <v/>
      </c>
      <c r="Z281" s="25"/>
      <c r="AA281" s="130"/>
      <c r="AB281" s="3" t="str">
        <f>IF(C_Ope_001[[#This Row],[FECHA]]&gt;0,TEXT(C_Ope_001[[#This Row],[FECHA]],"mmmm"),0)</f>
        <v>Junio</v>
      </c>
    </row>
    <row r="282" spans="2:28" ht="24" x14ac:dyDescent="0.3">
      <c r="B282" s="2">
        <f>IF(C_Ope_001[[#This Row],[TIPO DE R.]]="R",COUNTIFS($D$4:$D281,"R")+1,"")</f>
        <v>278</v>
      </c>
      <c r="C282" s="19" t="str">
        <f t="shared" si="21"/>
        <v>C_Ope_001</v>
      </c>
      <c r="D282" s="3" t="s">
        <v>1074</v>
      </c>
      <c r="E282" s="14">
        <v>45831</v>
      </c>
      <c r="F282" s="5" t="s">
        <v>6538</v>
      </c>
      <c r="G282" s="5" t="s">
        <v>1079</v>
      </c>
      <c r="H282" s="6"/>
      <c r="I282" s="6" t="s">
        <v>14</v>
      </c>
      <c r="J282" s="6" t="s">
        <v>1119</v>
      </c>
      <c r="K282" s="6">
        <v>17806</v>
      </c>
      <c r="L282" s="7" t="s">
        <v>6564</v>
      </c>
      <c r="M282" s="8">
        <v>24647</v>
      </c>
      <c r="N282" s="8" t="str">
        <f t="shared" si="25"/>
        <v>PEN</v>
      </c>
      <c r="O282" s="13"/>
      <c r="P282" s="13">
        <v>11</v>
      </c>
      <c r="Q282" s="3">
        <f t="shared" si="22"/>
        <v>0</v>
      </c>
      <c r="R282" s="3">
        <f t="shared" si="23"/>
        <v>11</v>
      </c>
      <c r="S282" s="3">
        <f t="shared" si="24"/>
        <v>131.74</v>
      </c>
      <c r="T282" s="24"/>
      <c r="U282" s="24"/>
      <c r="V282" s="3"/>
      <c r="W282" s="25" t="s">
        <v>6541</v>
      </c>
      <c r="X282" s="25"/>
      <c r="Y282" s="25" t="str">
        <f>IFERROR(VLOOKUP(C_Ope_001[[#This Row],[NOTA 2]],Clientes_Proveedores[[Ruc / Dni]:[Razon Social]],2,0),"")</f>
        <v/>
      </c>
      <c r="Z282" s="25"/>
      <c r="AA282" s="130"/>
      <c r="AB282" s="3" t="str">
        <f>IF(C_Ope_001[[#This Row],[FECHA]]&gt;0,TEXT(C_Ope_001[[#This Row],[FECHA]],"mmmm"),0)</f>
        <v>Junio</v>
      </c>
    </row>
    <row r="283" spans="2:28" ht="24" x14ac:dyDescent="0.3">
      <c r="B283" s="2">
        <f>IF(C_Ope_001[[#This Row],[TIPO DE R.]]="R",COUNTIFS($D$4:$D282,"R")+1,"")</f>
        <v>279</v>
      </c>
      <c r="C283" s="19" t="str">
        <f t="shared" si="21"/>
        <v>C_Ope_001</v>
      </c>
      <c r="D283" s="3" t="s">
        <v>1074</v>
      </c>
      <c r="E283" s="14">
        <v>45833</v>
      </c>
      <c r="F283" s="5" t="s">
        <v>6538</v>
      </c>
      <c r="G283" s="5" t="s">
        <v>1079</v>
      </c>
      <c r="H283" s="6"/>
      <c r="I283" s="6" t="s">
        <v>14</v>
      </c>
      <c r="J283" s="6" t="s">
        <v>1097</v>
      </c>
      <c r="K283" s="6">
        <v>16744</v>
      </c>
      <c r="L283" s="7" t="s">
        <v>6672</v>
      </c>
      <c r="M283" s="8">
        <v>24689</v>
      </c>
      <c r="N283" s="8" t="str">
        <f t="shared" si="25"/>
        <v>PEN</v>
      </c>
      <c r="O283" s="13"/>
      <c r="P283" s="13">
        <v>20</v>
      </c>
      <c r="Q283" s="3">
        <f t="shared" si="22"/>
        <v>0</v>
      </c>
      <c r="R283" s="3">
        <f t="shared" si="23"/>
        <v>20</v>
      </c>
      <c r="S283" s="3">
        <f t="shared" si="24"/>
        <v>111.74000000000001</v>
      </c>
      <c r="T283" s="24"/>
      <c r="U283" s="24"/>
      <c r="V283" s="3"/>
      <c r="W283" s="25" t="s">
        <v>6541</v>
      </c>
      <c r="X283" s="25"/>
      <c r="Y283" s="25" t="str">
        <f>IFERROR(VLOOKUP(C_Ope_001[[#This Row],[NOTA 2]],Clientes_Proveedores[[Ruc / Dni]:[Razon Social]],2,0),"")</f>
        <v/>
      </c>
      <c r="Z283" s="25"/>
      <c r="AA283" s="130"/>
      <c r="AB283" s="3" t="str">
        <f>IF(C_Ope_001[[#This Row],[FECHA]]&gt;0,TEXT(C_Ope_001[[#This Row],[FECHA]],"mmmm"),0)</f>
        <v>Junio</v>
      </c>
    </row>
    <row r="284" spans="2:28" ht="24" x14ac:dyDescent="0.3">
      <c r="B284" s="2">
        <f>IF(C_Ope_001[[#This Row],[TIPO DE R.]]="R",COUNTIFS($D$4:$D283,"R")+1,"")</f>
        <v>280</v>
      </c>
      <c r="C284" s="19" t="str">
        <f t="shared" si="21"/>
        <v>C_Ope_001</v>
      </c>
      <c r="D284" s="3" t="s">
        <v>1074</v>
      </c>
      <c r="E284" s="14">
        <v>45833</v>
      </c>
      <c r="F284" s="5" t="s">
        <v>6538</v>
      </c>
      <c r="G284" s="5" t="s">
        <v>1079</v>
      </c>
      <c r="H284" s="6"/>
      <c r="I284" s="6" t="s">
        <v>14</v>
      </c>
      <c r="J284" s="6" t="s">
        <v>1097</v>
      </c>
      <c r="K284" s="6">
        <v>16742</v>
      </c>
      <c r="L284" s="7" t="s">
        <v>6673</v>
      </c>
      <c r="M284" s="8">
        <v>24690</v>
      </c>
      <c r="N284" s="8" t="str">
        <f t="shared" si="25"/>
        <v>PEN</v>
      </c>
      <c r="O284" s="13"/>
      <c r="P284" s="13">
        <v>20</v>
      </c>
      <c r="Q284" s="3">
        <f t="shared" si="22"/>
        <v>0</v>
      </c>
      <c r="R284" s="3">
        <f t="shared" si="23"/>
        <v>20</v>
      </c>
      <c r="S284" s="3">
        <f t="shared" si="24"/>
        <v>91.740000000000009</v>
      </c>
      <c r="T284" s="24"/>
      <c r="U284" s="24"/>
      <c r="V284" s="3"/>
      <c r="W284" s="25" t="s">
        <v>6541</v>
      </c>
      <c r="X284" s="25"/>
      <c r="Y284" s="25" t="str">
        <f>IFERROR(VLOOKUP(C_Ope_001[[#This Row],[NOTA 2]],Clientes_Proveedores[[Ruc / Dni]:[Razon Social]],2,0),"")</f>
        <v/>
      </c>
      <c r="Z284" s="25"/>
      <c r="AA284" s="130"/>
      <c r="AB284" s="3" t="str">
        <f>IF(C_Ope_001[[#This Row],[FECHA]]&gt;0,TEXT(C_Ope_001[[#This Row],[FECHA]],"mmmm"),0)</f>
        <v>Junio</v>
      </c>
    </row>
    <row r="285" spans="2:28" x14ac:dyDescent="0.3">
      <c r="B285" s="2">
        <f>IF(C_Ope_001[[#This Row],[TIPO DE R.]]="R",COUNTIFS($D$4:$D284,"R")+1,"")</f>
        <v>281</v>
      </c>
      <c r="C285" s="19" t="str">
        <f t="shared" si="21"/>
        <v>C_Ope_001</v>
      </c>
      <c r="D285" s="3" t="s">
        <v>1074</v>
      </c>
      <c r="E285" s="14">
        <v>45834</v>
      </c>
      <c r="F285" s="5" t="s">
        <v>6538</v>
      </c>
      <c r="G285" s="5" t="s">
        <v>1079</v>
      </c>
      <c r="H285" s="6"/>
      <c r="I285" s="6" t="s">
        <v>14</v>
      </c>
      <c r="J285" s="6" t="s">
        <v>1088</v>
      </c>
      <c r="K285" s="6">
        <v>35010</v>
      </c>
      <c r="L285" s="7" t="s">
        <v>6674</v>
      </c>
      <c r="M285" s="8">
        <v>24717</v>
      </c>
      <c r="N285" s="8" t="str">
        <f t="shared" si="25"/>
        <v>PEN</v>
      </c>
      <c r="O285" s="13"/>
      <c r="P285" s="13">
        <v>10</v>
      </c>
      <c r="Q285" s="3">
        <f t="shared" si="22"/>
        <v>0</v>
      </c>
      <c r="R285" s="3">
        <f t="shared" si="23"/>
        <v>10</v>
      </c>
      <c r="S285" s="3">
        <f t="shared" si="24"/>
        <v>81.740000000000009</v>
      </c>
      <c r="T285" s="24"/>
      <c r="U285" s="24"/>
      <c r="V285" s="3"/>
      <c r="W285" s="25" t="s">
        <v>6541</v>
      </c>
      <c r="X285" s="25"/>
      <c r="Y285" s="25" t="str">
        <f>IFERROR(VLOOKUP(C_Ope_001[[#This Row],[NOTA 2]],Clientes_Proveedores[[Ruc / Dni]:[Razon Social]],2,0),"")</f>
        <v/>
      </c>
      <c r="Z285" s="25"/>
      <c r="AA285" s="130"/>
      <c r="AB285" s="3" t="str">
        <f>IF(C_Ope_001[[#This Row],[FECHA]]&gt;0,TEXT(C_Ope_001[[#This Row],[FECHA]],"mmmm"),0)</f>
        <v>Junio</v>
      </c>
    </row>
    <row r="286" spans="2:28" x14ac:dyDescent="0.3">
      <c r="B286" s="2">
        <f>IF(C_Ope_001[[#This Row],[TIPO DE R.]]="R",COUNTIFS($D$4:$D285,"R")+1,"")</f>
        <v>282</v>
      </c>
      <c r="C286" s="19" t="str">
        <f t="shared" si="21"/>
        <v>C_Ope_001</v>
      </c>
      <c r="D286" s="3" t="s">
        <v>1074</v>
      </c>
      <c r="E286" s="14">
        <v>45835</v>
      </c>
      <c r="F286" s="5" t="s">
        <v>6538</v>
      </c>
      <c r="G286" s="5" t="s">
        <v>1079</v>
      </c>
      <c r="H286" s="6"/>
      <c r="I286" s="6" t="s">
        <v>14</v>
      </c>
      <c r="J286" s="6" t="s">
        <v>6561</v>
      </c>
      <c r="K286" s="6">
        <v>1509</v>
      </c>
      <c r="L286" s="7" t="s">
        <v>6622</v>
      </c>
      <c r="M286" s="8">
        <v>24723</v>
      </c>
      <c r="N286" s="8" t="str">
        <f t="shared" si="25"/>
        <v>PEN</v>
      </c>
      <c r="O286" s="13"/>
      <c r="P286" s="13">
        <v>10</v>
      </c>
      <c r="Q286" s="3">
        <f t="shared" si="22"/>
        <v>0</v>
      </c>
      <c r="R286" s="3">
        <f t="shared" si="23"/>
        <v>10</v>
      </c>
      <c r="S286" s="3">
        <f t="shared" si="24"/>
        <v>71.740000000000009</v>
      </c>
      <c r="T286" s="24"/>
      <c r="U286" s="24"/>
      <c r="V286" s="3"/>
      <c r="W286" s="25" t="s">
        <v>6546</v>
      </c>
      <c r="X286" s="25"/>
      <c r="Y286" s="25" t="str">
        <f>IFERROR(VLOOKUP(C_Ope_001[[#This Row],[NOTA 2]],Clientes_Proveedores[[Ruc / Dni]:[Razon Social]],2,0),"")</f>
        <v/>
      </c>
      <c r="Z286" s="25"/>
      <c r="AA286" s="130"/>
      <c r="AB286" s="3" t="str">
        <f>IF(C_Ope_001[[#This Row],[FECHA]]&gt;0,TEXT(C_Ope_001[[#This Row],[FECHA]],"mmmm"),0)</f>
        <v>Junio</v>
      </c>
    </row>
    <row r="287" spans="2:28" x14ac:dyDescent="0.3">
      <c r="B287" s="2">
        <f>IF(C_Ope_001[[#This Row],[TIPO DE R.]]="R",COUNTIFS($D$4:$D286,"R")+1,"")</f>
        <v>283</v>
      </c>
      <c r="C287" s="19" t="str">
        <f t="shared" si="21"/>
        <v>C_Ope_001</v>
      </c>
      <c r="D287" s="3" t="s">
        <v>1074</v>
      </c>
      <c r="E287" s="14">
        <v>45835</v>
      </c>
      <c r="F287" s="5" t="s">
        <v>6538</v>
      </c>
      <c r="G287" s="5" t="s">
        <v>1079</v>
      </c>
      <c r="H287" s="6"/>
      <c r="I287" s="6" t="s">
        <v>14</v>
      </c>
      <c r="J287" s="6" t="s">
        <v>6561</v>
      </c>
      <c r="K287" s="6">
        <v>1514</v>
      </c>
      <c r="L287" s="7" t="s">
        <v>6603</v>
      </c>
      <c r="M287" s="8">
        <v>24724</v>
      </c>
      <c r="N287" s="8" t="str">
        <f t="shared" si="25"/>
        <v>PEN</v>
      </c>
      <c r="O287" s="13"/>
      <c r="P287" s="13">
        <v>10</v>
      </c>
      <c r="Q287" s="3">
        <f t="shared" si="22"/>
        <v>0</v>
      </c>
      <c r="R287" s="3">
        <f t="shared" si="23"/>
        <v>10</v>
      </c>
      <c r="S287" s="3">
        <f t="shared" si="24"/>
        <v>61.740000000000009</v>
      </c>
      <c r="T287" s="24"/>
      <c r="U287" s="24"/>
      <c r="V287" s="3"/>
      <c r="W287" s="25" t="s">
        <v>6546</v>
      </c>
      <c r="X287" s="25"/>
      <c r="Y287" s="25" t="str">
        <f>IFERROR(VLOOKUP(C_Ope_001[[#This Row],[NOTA 2]],Clientes_Proveedores[[Ruc / Dni]:[Razon Social]],2,0),"")</f>
        <v/>
      </c>
      <c r="Z287" s="25"/>
      <c r="AA287" s="130"/>
      <c r="AB287" s="3" t="str">
        <f>IF(C_Ope_001[[#This Row],[FECHA]]&gt;0,TEXT(C_Ope_001[[#This Row],[FECHA]],"mmmm"),0)</f>
        <v>Junio</v>
      </c>
    </row>
    <row r="288" spans="2:28" ht="24" x14ac:dyDescent="0.3">
      <c r="B288" s="2">
        <f>IF(C_Ope_001[[#This Row],[TIPO DE R.]]="R",COUNTIFS($D$4:$D287,"R")+1,"")</f>
        <v>284</v>
      </c>
      <c r="C288" s="19" t="str">
        <f t="shared" si="21"/>
        <v>C_Ope_001</v>
      </c>
      <c r="D288" s="3" t="s">
        <v>1074</v>
      </c>
      <c r="E288" s="14">
        <v>45838</v>
      </c>
      <c r="F288" s="5" t="s">
        <v>6538</v>
      </c>
      <c r="G288" s="5" t="s">
        <v>1079</v>
      </c>
      <c r="H288" s="6"/>
      <c r="I288" s="6" t="s">
        <v>14</v>
      </c>
      <c r="J288" s="6" t="s">
        <v>1148</v>
      </c>
      <c r="K288" s="6">
        <v>133640</v>
      </c>
      <c r="L288" s="7" t="s">
        <v>6675</v>
      </c>
      <c r="M288" s="8">
        <v>24747</v>
      </c>
      <c r="N288" s="8" t="str">
        <f t="shared" si="25"/>
        <v>PEN</v>
      </c>
      <c r="O288" s="13"/>
      <c r="P288" s="13">
        <v>10</v>
      </c>
      <c r="Q288" s="3">
        <f t="shared" si="22"/>
        <v>0</v>
      </c>
      <c r="R288" s="3">
        <f t="shared" si="23"/>
        <v>10</v>
      </c>
      <c r="S288" s="3">
        <f t="shared" si="24"/>
        <v>51.740000000000009</v>
      </c>
      <c r="T288" s="24"/>
      <c r="U288" s="24"/>
      <c r="V288" s="3"/>
      <c r="W288" s="25" t="s">
        <v>6541</v>
      </c>
      <c r="X288" s="25"/>
      <c r="Y288" s="25" t="str">
        <f>IFERROR(VLOOKUP(C_Ope_001[[#This Row],[NOTA 2]],Clientes_Proveedores[[Ruc / Dni]:[Razon Social]],2,0),"")</f>
        <v/>
      </c>
      <c r="Z288" s="25"/>
      <c r="AA288" s="130"/>
      <c r="AB288" s="3" t="str">
        <f>IF(C_Ope_001[[#This Row],[FECHA]]&gt;0,TEXT(C_Ope_001[[#This Row],[FECHA]],"mmmm"),0)</f>
        <v>Junio</v>
      </c>
    </row>
    <row r="289" spans="2:28" x14ac:dyDescent="0.3">
      <c r="B289" s="2">
        <f>IF(C_Ope_001[[#This Row],[TIPO DE R.]]="R",COUNTIFS($D$4:$D288,"R")+1,"")</f>
        <v>285</v>
      </c>
      <c r="C289" s="19" t="str">
        <f t="shared" si="21"/>
        <v>C_Ope_001</v>
      </c>
      <c r="D289" s="3" t="s">
        <v>1074</v>
      </c>
      <c r="E289" s="14">
        <v>45835</v>
      </c>
      <c r="F289" s="5" t="s">
        <v>6538</v>
      </c>
      <c r="G289" s="5" t="s">
        <v>1079</v>
      </c>
      <c r="H289" s="6"/>
      <c r="I289" s="6" t="s">
        <v>14</v>
      </c>
      <c r="J289" s="6" t="s">
        <v>1119</v>
      </c>
      <c r="K289" s="6">
        <v>18459</v>
      </c>
      <c r="L289" s="7" t="s">
        <v>6565</v>
      </c>
      <c r="M289" s="8">
        <v>24727</v>
      </c>
      <c r="N289" s="8" t="str">
        <f t="shared" si="25"/>
        <v>PEN</v>
      </c>
      <c r="O289" s="13"/>
      <c r="P289" s="13">
        <v>25</v>
      </c>
      <c r="Q289" s="3">
        <f t="shared" si="22"/>
        <v>0</v>
      </c>
      <c r="R289" s="3">
        <f t="shared" si="23"/>
        <v>25</v>
      </c>
      <c r="S289" s="3">
        <f t="shared" si="24"/>
        <v>26.740000000000009</v>
      </c>
      <c r="T289" s="24"/>
      <c r="U289" s="24"/>
      <c r="V289" s="3"/>
      <c r="W289" s="25" t="s">
        <v>6546</v>
      </c>
      <c r="X289" s="25"/>
      <c r="Y289" s="25" t="str">
        <f>IFERROR(VLOOKUP(C_Ope_001[[#This Row],[NOTA 2]],Clientes_Proveedores[[Ruc / Dni]:[Razon Social]],2,0),"")</f>
        <v/>
      </c>
      <c r="Z289" s="25"/>
      <c r="AA289" s="130"/>
      <c r="AB289" s="3" t="str">
        <f>IF(C_Ope_001[[#This Row],[FECHA]]&gt;0,TEXT(C_Ope_001[[#This Row],[FECHA]],"mmmm"),0)</f>
        <v>Junio</v>
      </c>
    </row>
    <row r="290" spans="2:28" x14ac:dyDescent="0.3">
      <c r="B290" s="2">
        <f>IF(C_Ope_001[[#This Row],[TIPO DE R.]]="R",COUNTIFS($D$4:$D289,"R")+1,"")</f>
        <v>286</v>
      </c>
      <c r="C290" s="19" t="str">
        <f t="shared" si="21"/>
        <v>C_Ope_001</v>
      </c>
      <c r="D290" s="3" t="s">
        <v>1074</v>
      </c>
      <c r="E290" s="14">
        <v>45839</v>
      </c>
      <c r="F290" s="5" t="s">
        <v>6299</v>
      </c>
      <c r="G290" s="5" t="s">
        <v>1087</v>
      </c>
      <c r="H290" s="6"/>
      <c r="I290" s="6"/>
      <c r="J290" s="6"/>
      <c r="K290" s="6"/>
      <c r="L290" s="7" t="s">
        <v>6302</v>
      </c>
      <c r="M290" s="8">
        <v>24765</v>
      </c>
      <c r="N290" s="8" t="str">
        <f t="shared" si="25"/>
        <v>PEN</v>
      </c>
      <c r="O290" s="13"/>
      <c r="P290" s="13">
        <v>180</v>
      </c>
      <c r="Q290" s="3">
        <f t="shared" si="22"/>
        <v>180</v>
      </c>
      <c r="R290" s="3">
        <f t="shared" si="23"/>
        <v>0</v>
      </c>
      <c r="S290" s="3">
        <f t="shared" si="24"/>
        <v>206.74</v>
      </c>
      <c r="T290" s="24"/>
      <c r="U290" s="24"/>
      <c r="V290" s="3"/>
      <c r="W290" s="25"/>
      <c r="X290" s="25"/>
      <c r="Y290" s="25" t="str">
        <f>IFERROR(VLOOKUP(C_Ope_001[[#This Row],[NOTA 2]],Clientes_Proveedores[[Ruc / Dni]:[Razon Social]],2,0),"")</f>
        <v/>
      </c>
      <c r="Z290" s="25"/>
      <c r="AA290" s="130"/>
      <c r="AB290" s="3" t="str">
        <f>IF(C_Ope_001[[#This Row],[FECHA]]&gt;0,TEXT(C_Ope_001[[#This Row],[FECHA]],"mmmm"),0)</f>
        <v>Julio</v>
      </c>
    </row>
    <row r="291" spans="2:28" x14ac:dyDescent="0.3">
      <c r="B291" s="2">
        <f>IF(C_Ope_001[[#This Row],[TIPO DE R.]]="R",COUNTIFS($D$4:$D290,"R")+1,"")</f>
        <v>287</v>
      </c>
      <c r="C291" s="19" t="str">
        <f t="shared" ref="C291:C297" si="26">"C_Ope_001"</f>
        <v>C_Ope_001</v>
      </c>
      <c r="D291" s="3" t="s">
        <v>1074</v>
      </c>
      <c r="E291" s="14">
        <v>45839</v>
      </c>
      <c r="F291" s="5" t="s">
        <v>6538</v>
      </c>
      <c r="G291" s="5" t="s">
        <v>1079</v>
      </c>
      <c r="H291" s="6" t="s">
        <v>919</v>
      </c>
      <c r="I291" s="6" t="s">
        <v>14</v>
      </c>
      <c r="J291" s="6" t="s">
        <v>5245</v>
      </c>
      <c r="K291" s="6">
        <v>1794131</v>
      </c>
      <c r="L291" s="7" t="s">
        <v>6676</v>
      </c>
      <c r="M291" s="8">
        <v>24768</v>
      </c>
      <c r="N291" s="8" t="str">
        <f t="shared" ref="N291:N328" si="27">"PEN"</f>
        <v>PEN</v>
      </c>
      <c r="O291" s="13"/>
      <c r="P291" s="13">
        <v>8</v>
      </c>
      <c r="Q291" s="3">
        <f t="shared" si="22"/>
        <v>0</v>
      </c>
      <c r="R291" s="3">
        <f t="shared" si="23"/>
        <v>8</v>
      </c>
      <c r="S291" s="3">
        <f t="shared" si="24"/>
        <v>198.74</v>
      </c>
      <c r="T291" s="24" t="s">
        <v>1081</v>
      </c>
      <c r="U291" s="24"/>
      <c r="V291" s="3"/>
      <c r="W291" s="25" t="s">
        <v>6546</v>
      </c>
      <c r="X291" s="25">
        <v>20517252558</v>
      </c>
      <c r="Y291" s="25" t="str">
        <f>IFERROR(VLOOKUP(C_Ope_001[[#This Row],[NOTA 2]],Clientes_Proveedores[[Ruc / Dni]:[Razon Social]],2,0),"")</f>
        <v>COVISUR S.A.</v>
      </c>
      <c r="Z291" s="25" t="s">
        <v>6677</v>
      </c>
      <c r="AA291" s="130"/>
      <c r="AB291" s="3" t="str">
        <f>IF(C_Ope_001[[#This Row],[FECHA]]&gt;0,TEXT(C_Ope_001[[#This Row],[FECHA]],"mmmm"),0)</f>
        <v>Julio</v>
      </c>
    </row>
    <row r="292" spans="2:28" x14ac:dyDescent="0.3">
      <c r="B292" s="2">
        <f>IF(C_Ope_001[[#This Row],[TIPO DE R.]]="R",COUNTIFS($D$4:$D291,"R")+1,"")</f>
        <v>288</v>
      </c>
      <c r="C292" s="19" t="str">
        <f t="shared" si="26"/>
        <v>C_Ope_001</v>
      </c>
      <c r="D292" s="3" t="s">
        <v>1074</v>
      </c>
      <c r="E292" s="14">
        <v>45839</v>
      </c>
      <c r="F292" s="5" t="s">
        <v>6538</v>
      </c>
      <c r="G292" s="5" t="s">
        <v>1079</v>
      </c>
      <c r="H292" s="6" t="s">
        <v>919</v>
      </c>
      <c r="I292" s="6" t="s">
        <v>14</v>
      </c>
      <c r="J292" s="6" t="s">
        <v>5243</v>
      </c>
      <c r="K292" s="6">
        <v>2385579</v>
      </c>
      <c r="L292" s="7" t="s">
        <v>6676</v>
      </c>
      <c r="M292" s="8">
        <v>24769</v>
      </c>
      <c r="N292" s="8" t="str">
        <f t="shared" si="27"/>
        <v>PEN</v>
      </c>
      <c r="O292" s="13"/>
      <c r="P292" s="13">
        <v>8</v>
      </c>
      <c r="Q292" s="3">
        <f t="shared" si="22"/>
        <v>0</v>
      </c>
      <c r="R292" s="3">
        <f t="shared" si="23"/>
        <v>8</v>
      </c>
      <c r="S292" s="3">
        <f t="shared" si="24"/>
        <v>190.74</v>
      </c>
      <c r="T292" s="24" t="s">
        <v>1081</v>
      </c>
      <c r="U292" s="24"/>
      <c r="V292" s="3"/>
      <c r="W292" s="25" t="s">
        <v>6546</v>
      </c>
      <c r="X292" s="25">
        <v>20517252558</v>
      </c>
      <c r="Y292" s="25" t="str">
        <f>IFERROR(VLOOKUP(C_Ope_001[[#This Row],[NOTA 2]],Clientes_Proveedores[[Ruc / Dni]:[Razon Social]],2,0),"")</f>
        <v>COVISUR S.A.</v>
      </c>
      <c r="Z292" s="25" t="s">
        <v>6677</v>
      </c>
      <c r="AA292" s="130"/>
      <c r="AB292" s="3" t="str">
        <f>IF(C_Ope_001[[#This Row],[FECHA]]&gt;0,TEXT(C_Ope_001[[#This Row],[FECHA]],"mmmm"),0)</f>
        <v>Julio</v>
      </c>
    </row>
    <row r="293" spans="2:28" ht="24" x14ac:dyDescent="0.3">
      <c r="B293" s="2">
        <f>IF(C_Ope_001[[#This Row],[TIPO DE R.]]="R",COUNTIFS($D$4:$D292,"R")+1,"")</f>
        <v>289</v>
      </c>
      <c r="C293" s="19" t="str">
        <f t="shared" si="26"/>
        <v>C_Ope_001</v>
      </c>
      <c r="D293" s="3" t="s">
        <v>1074</v>
      </c>
      <c r="E293" s="14">
        <v>45840</v>
      </c>
      <c r="F293" s="5" t="s">
        <v>6538</v>
      </c>
      <c r="G293" s="5" t="s">
        <v>1079</v>
      </c>
      <c r="H293" s="6" t="s">
        <v>919</v>
      </c>
      <c r="I293" s="6" t="s">
        <v>14</v>
      </c>
      <c r="J293" s="6" t="s">
        <v>5244</v>
      </c>
      <c r="K293" s="6">
        <v>1774814</v>
      </c>
      <c r="L293" s="7" t="s">
        <v>6678</v>
      </c>
      <c r="M293" s="8">
        <v>24778</v>
      </c>
      <c r="N293" s="8" t="str">
        <f t="shared" si="27"/>
        <v>PEN</v>
      </c>
      <c r="O293" s="13"/>
      <c r="P293" s="13">
        <v>8</v>
      </c>
      <c r="Q293" s="3">
        <f t="shared" si="22"/>
        <v>0</v>
      </c>
      <c r="R293" s="3">
        <f t="shared" si="23"/>
        <v>8</v>
      </c>
      <c r="S293" s="3">
        <f t="shared" si="24"/>
        <v>182.74</v>
      </c>
      <c r="T293" s="24" t="s">
        <v>1081</v>
      </c>
      <c r="U293" s="24"/>
      <c r="V293" s="3"/>
      <c r="W293" s="25" t="s">
        <v>6541</v>
      </c>
      <c r="X293" s="25">
        <v>20517252558</v>
      </c>
      <c r="Y293" s="25" t="str">
        <f>IFERROR(VLOOKUP(C_Ope_001[[#This Row],[NOTA 2]],Clientes_Proveedores[[Ruc / Dni]:[Razon Social]],2,0),"")</f>
        <v>COVISUR S.A.</v>
      </c>
      <c r="Z293" s="25" t="s">
        <v>6677</v>
      </c>
      <c r="AA293" s="130"/>
      <c r="AB293" s="3" t="str">
        <f>IF(C_Ope_001[[#This Row],[FECHA]]&gt;0,TEXT(C_Ope_001[[#This Row],[FECHA]],"mmmm"),0)</f>
        <v>Julio</v>
      </c>
    </row>
    <row r="294" spans="2:28" ht="36" x14ac:dyDescent="0.3">
      <c r="B294" s="2">
        <f>IF(C_Ope_001[[#This Row],[TIPO DE R.]]="R",COUNTIFS($D$4:$D293,"R")+1,"")</f>
        <v>290</v>
      </c>
      <c r="C294" s="19" t="str">
        <f t="shared" si="26"/>
        <v>C_Ope_001</v>
      </c>
      <c r="D294" s="3" t="s">
        <v>1074</v>
      </c>
      <c r="E294" s="14">
        <v>45840</v>
      </c>
      <c r="F294" s="5" t="s">
        <v>6538</v>
      </c>
      <c r="G294" s="5" t="s">
        <v>1079</v>
      </c>
      <c r="H294" s="6" t="s">
        <v>624</v>
      </c>
      <c r="I294" s="6" t="s">
        <v>14</v>
      </c>
      <c r="J294" s="6" t="s">
        <v>1097</v>
      </c>
      <c r="K294" s="6">
        <v>16864</v>
      </c>
      <c r="L294" s="7" t="s">
        <v>6679</v>
      </c>
      <c r="M294" s="8">
        <v>24775</v>
      </c>
      <c r="N294" s="8" t="str">
        <f>"PEN"</f>
        <v>PEN</v>
      </c>
      <c r="O294" s="13"/>
      <c r="P294" s="13">
        <v>20</v>
      </c>
      <c r="Q294" s="3">
        <f t="shared" si="22"/>
        <v>0</v>
      </c>
      <c r="R294" s="3">
        <f t="shared" si="23"/>
        <v>20</v>
      </c>
      <c r="S294" s="3">
        <f t="shared" si="24"/>
        <v>162.74</v>
      </c>
      <c r="T294" s="24" t="s">
        <v>1081</v>
      </c>
      <c r="U294" s="24"/>
      <c r="V294" s="3"/>
      <c r="W294" s="25" t="s">
        <v>6541</v>
      </c>
      <c r="X294" s="25">
        <v>20259858934</v>
      </c>
      <c r="Y294" s="25" t="str">
        <f>IFERROR(VLOOKUP(C_Ope_001[[#This Row],[NOTA 2]],Clientes_Proveedores[[Ruc / Dni]:[Razon Social]],2,0),"")</f>
        <v>COMERCIALIZACION Y SERVICIOS EL EDEN S.A.C.</v>
      </c>
      <c r="Z294" s="25" t="s">
        <v>4972</v>
      </c>
      <c r="AA294" s="130"/>
      <c r="AB294" s="3" t="str">
        <f>IF(C_Ope_001[[#This Row],[FECHA]]&gt;0,TEXT(C_Ope_001[[#This Row],[FECHA]],"mmmm"),0)</f>
        <v>Julio</v>
      </c>
    </row>
    <row r="295" spans="2:28" ht="36" x14ac:dyDescent="0.3">
      <c r="B295" s="2">
        <f>IF(C_Ope_001[[#This Row],[TIPO DE R.]]="R",COUNTIFS($D$4:$D294,"R")+1,"")</f>
        <v>291</v>
      </c>
      <c r="C295" s="19" t="str">
        <f t="shared" si="26"/>
        <v>C_Ope_001</v>
      </c>
      <c r="D295" s="3" t="s">
        <v>1074</v>
      </c>
      <c r="E295" s="14">
        <v>45840</v>
      </c>
      <c r="F295" s="5" t="s">
        <v>6538</v>
      </c>
      <c r="G295" s="5" t="s">
        <v>1079</v>
      </c>
      <c r="H295" s="6" t="s">
        <v>624</v>
      </c>
      <c r="I295" s="6" t="s">
        <v>14</v>
      </c>
      <c r="J295" s="6" t="s">
        <v>1097</v>
      </c>
      <c r="K295" s="6">
        <v>16862</v>
      </c>
      <c r="L295" s="7" t="s">
        <v>6679</v>
      </c>
      <c r="M295" s="8">
        <v>24776</v>
      </c>
      <c r="N295" s="8" t="str">
        <f>"PEN"</f>
        <v>PEN</v>
      </c>
      <c r="O295" s="13"/>
      <c r="P295" s="13">
        <v>20</v>
      </c>
      <c r="Q295" s="3">
        <f t="shared" si="22"/>
        <v>0</v>
      </c>
      <c r="R295" s="3">
        <f t="shared" si="23"/>
        <v>20</v>
      </c>
      <c r="S295" s="3">
        <f t="shared" si="24"/>
        <v>142.74</v>
      </c>
      <c r="T295" s="24" t="s">
        <v>1081</v>
      </c>
      <c r="U295" s="24"/>
      <c r="V295" s="3"/>
      <c r="W295" s="25" t="s">
        <v>6541</v>
      </c>
      <c r="X295" s="25">
        <v>20259858934</v>
      </c>
      <c r="Y295" s="25" t="str">
        <f>IFERROR(VLOOKUP(C_Ope_001[[#This Row],[NOTA 2]],Clientes_Proveedores[[Ruc / Dni]:[Razon Social]],2,0),"")</f>
        <v>COMERCIALIZACION Y SERVICIOS EL EDEN S.A.C.</v>
      </c>
      <c r="Z295" s="25" t="s">
        <v>4972</v>
      </c>
      <c r="AA295" s="130"/>
      <c r="AB295" s="3" t="str">
        <f>IF(C_Ope_001[[#This Row],[FECHA]]&gt;0,TEXT(C_Ope_001[[#This Row],[FECHA]],"mmmm"),0)</f>
        <v>Julio</v>
      </c>
    </row>
    <row r="296" spans="2:28" x14ac:dyDescent="0.3">
      <c r="B296" s="2">
        <f>IF(C_Ope_001[[#This Row],[TIPO DE R.]]="R",COUNTIFS($D$4:$D295,"R")+1,"")</f>
        <v>292</v>
      </c>
      <c r="C296" s="19" t="str">
        <f t="shared" si="26"/>
        <v>C_Ope_001</v>
      </c>
      <c r="D296" s="3" t="s">
        <v>1074</v>
      </c>
      <c r="E296" s="14">
        <v>45840</v>
      </c>
      <c r="F296" s="5" t="s">
        <v>6538</v>
      </c>
      <c r="G296" s="5" t="s">
        <v>1079</v>
      </c>
      <c r="H296" s="6" t="s">
        <v>950</v>
      </c>
      <c r="I296" s="6" t="s">
        <v>70</v>
      </c>
      <c r="J296" s="6"/>
      <c r="K296" s="6">
        <v>24777</v>
      </c>
      <c r="L296" s="7" t="s">
        <v>6680</v>
      </c>
      <c r="M296" s="8">
        <v>24777</v>
      </c>
      <c r="N296" s="8" t="str">
        <f>"PEN"</f>
        <v>PEN</v>
      </c>
      <c r="O296" s="13"/>
      <c r="P296" s="13">
        <v>10</v>
      </c>
      <c r="Q296" s="3">
        <f t="shared" si="22"/>
        <v>0</v>
      </c>
      <c r="R296" s="3">
        <f t="shared" si="23"/>
        <v>10</v>
      </c>
      <c r="S296" s="3">
        <f t="shared" si="24"/>
        <v>132.74</v>
      </c>
      <c r="T296" s="24" t="s">
        <v>1081</v>
      </c>
      <c r="U296" s="24"/>
      <c r="V296" s="3"/>
      <c r="W296" s="25" t="s">
        <v>6541</v>
      </c>
      <c r="X296" s="25"/>
      <c r="Y296" s="25" t="str">
        <f>IFERROR(VLOOKUP(C_Ope_001[[#This Row],[NOTA 2]],Clientes_Proveedores[[Ruc / Dni]:[Razon Social]],2,0),"")</f>
        <v/>
      </c>
      <c r="Z296" s="25" t="s">
        <v>4972</v>
      </c>
      <c r="AA296" s="130"/>
      <c r="AB296" s="3" t="str">
        <f>IF(C_Ope_001[[#This Row],[FECHA]]&gt;0,TEXT(C_Ope_001[[#This Row],[FECHA]],"mmmm"),0)</f>
        <v>Julio</v>
      </c>
    </row>
    <row r="297" spans="2:28" x14ac:dyDescent="0.3">
      <c r="B297" s="2">
        <f>IF(C_Ope_001[[#This Row],[TIPO DE R.]]="R",COUNTIFS($D$4:$D296,"R")+1,"")</f>
        <v>293</v>
      </c>
      <c r="C297" s="19" t="str">
        <f t="shared" si="26"/>
        <v>C_Ope_001</v>
      </c>
      <c r="D297" s="3" t="s">
        <v>1074</v>
      </c>
      <c r="E297" s="14">
        <v>45842</v>
      </c>
      <c r="F297" s="5" t="s">
        <v>3353</v>
      </c>
      <c r="G297" s="5" t="s">
        <v>1087</v>
      </c>
      <c r="H297" s="6"/>
      <c r="I297" s="6"/>
      <c r="J297" s="6"/>
      <c r="K297" s="6"/>
      <c r="L297" s="7" t="s">
        <v>6302</v>
      </c>
      <c r="M297" s="8">
        <v>24827</v>
      </c>
      <c r="N297" s="8" t="str">
        <f>"PEN"</f>
        <v>PEN</v>
      </c>
      <c r="O297" s="13"/>
      <c r="P297" s="13">
        <v>500</v>
      </c>
      <c r="Q297" s="3">
        <f t="shared" si="22"/>
        <v>500</v>
      </c>
      <c r="R297" s="3">
        <f t="shared" si="23"/>
        <v>0</v>
      </c>
      <c r="S297" s="3">
        <f t="shared" si="24"/>
        <v>632.74</v>
      </c>
      <c r="T297" s="24"/>
      <c r="U297" s="24"/>
      <c r="V297" s="3"/>
      <c r="W297" s="25"/>
      <c r="X297" s="25"/>
      <c r="Y297" s="25" t="str">
        <f>IFERROR(VLOOKUP(C_Ope_001[[#This Row],[NOTA 2]],Clientes_Proveedores[[Ruc / Dni]:[Razon Social]],2,0),"")</f>
        <v/>
      </c>
      <c r="Z297" s="25"/>
      <c r="AA297" s="130"/>
      <c r="AB297" s="3" t="str">
        <f>IF(C_Ope_001[[#This Row],[FECHA]]&gt;0,TEXT(C_Ope_001[[#This Row],[FECHA]],"mmmm"),0)</f>
        <v>Julio</v>
      </c>
    </row>
    <row r="298" spans="2:28" x14ac:dyDescent="0.3">
      <c r="B298" s="2">
        <f>IF(C_Ope_001[[#This Row],[TIPO DE R.]]="R",COUNTIFS($D$4:$D297,"R")+1,"")</f>
        <v>294</v>
      </c>
      <c r="C298" s="19" t="str">
        <f t="shared" ref="C298:C328" si="28">"C_Ope_001"</f>
        <v>C_Ope_001</v>
      </c>
      <c r="D298" s="3" t="s">
        <v>1074</v>
      </c>
      <c r="E298" s="14">
        <v>45842</v>
      </c>
      <c r="F298" s="5" t="s">
        <v>6538</v>
      </c>
      <c r="G298" s="5" t="s">
        <v>1079</v>
      </c>
      <c r="H298" s="6" t="s">
        <v>919</v>
      </c>
      <c r="I298" s="6" t="s">
        <v>14</v>
      </c>
      <c r="J298" s="6" t="s">
        <v>5242</v>
      </c>
      <c r="K298" s="6">
        <v>2102684</v>
      </c>
      <c r="L298" s="7" t="s">
        <v>6681</v>
      </c>
      <c r="M298" s="8">
        <v>24792</v>
      </c>
      <c r="N298" s="8" t="str">
        <f t="shared" si="27"/>
        <v>PEN</v>
      </c>
      <c r="O298" s="13"/>
      <c r="P298" s="13">
        <v>8</v>
      </c>
      <c r="Q298" s="3">
        <f t="shared" si="22"/>
        <v>0</v>
      </c>
      <c r="R298" s="3">
        <f t="shared" si="23"/>
        <v>8</v>
      </c>
      <c r="S298" s="3">
        <f t="shared" si="24"/>
        <v>624.74</v>
      </c>
      <c r="T298" s="24" t="s">
        <v>1081</v>
      </c>
      <c r="U298" s="24"/>
      <c r="V298" s="3"/>
      <c r="W298" s="25" t="s">
        <v>6541</v>
      </c>
      <c r="X298" s="25">
        <v>20517252558</v>
      </c>
      <c r="Y298" s="25" t="str">
        <f>IFERROR(VLOOKUP(C_Ope_001[[#This Row],[NOTA 2]],Clientes_Proveedores[[Ruc / Dni]:[Razon Social]],2,0),"")</f>
        <v>COVISUR S.A.</v>
      </c>
      <c r="Z298" s="25" t="s">
        <v>6677</v>
      </c>
      <c r="AA298" s="130"/>
      <c r="AB298" s="3" t="str">
        <f>IF(C_Ope_001[[#This Row],[FECHA]]&gt;0,TEXT(C_Ope_001[[#This Row],[FECHA]],"mmmm"),0)</f>
        <v>Julio</v>
      </c>
    </row>
    <row r="299" spans="2:28" x14ac:dyDescent="0.3">
      <c r="B299" s="2">
        <f>IF(C_Ope_001[[#This Row],[TIPO DE R.]]="R",COUNTIFS($D$4:$D298,"R")+1,"")</f>
        <v>295</v>
      </c>
      <c r="C299" s="19" t="str">
        <f t="shared" si="28"/>
        <v>C_Ope_001</v>
      </c>
      <c r="D299" s="3" t="s">
        <v>1074</v>
      </c>
      <c r="E299" s="14">
        <v>45842</v>
      </c>
      <c r="F299" s="5" t="s">
        <v>6538</v>
      </c>
      <c r="G299" s="5" t="s">
        <v>1079</v>
      </c>
      <c r="H299" s="6" t="s">
        <v>919</v>
      </c>
      <c r="I299" s="6" t="s">
        <v>14</v>
      </c>
      <c r="J299" s="6" t="s">
        <v>5244</v>
      </c>
      <c r="K299" s="6">
        <v>1776469</v>
      </c>
      <c r="L299" s="7" t="s">
        <v>6681</v>
      </c>
      <c r="M299" s="8">
        <v>24793</v>
      </c>
      <c r="N299" s="8" t="str">
        <f t="shared" si="27"/>
        <v>PEN</v>
      </c>
      <c r="O299" s="13"/>
      <c r="P299" s="13">
        <v>8</v>
      </c>
      <c r="Q299" s="3">
        <f t="shared" si="22"/>
        <v>0</v>
      </c>
      <c r="R299" s="3">
        <f t="shared" si="23"/>
        <v>8</v>
      </c>
      <c r="S299" s="3">
        <f t="shared" si="24"/>
        <v>616.74</v>
      </c>
      <c r="T299" s="24" t="s">
        <v>1081</v>
      </c>
      <c r="U299" s="24"/>
      <c r="V299" s="3"/>
      <c r="W299" s="25" t="s">
        <v>6541</v>
      </c>
      <c r="X299" s="25">
        <v>20517252558</v>
      </c>
      <c r="Y299" s="25" t="str">
        <f>IFERROR(VLOOKUP(C_Ope_001[[#This Row],[NOTA 2]],Clientes_Proveedores[[Ruc / Dni]:[Razon Social]],2,0),"")</f>
        <v>COVISUR S.A.</v>
      </c>
      <c r="Z299" s="25" t="s">
        <v>6677</v>
      </c>
      <c r="AA299" s="130"/>
      <c r="AB299" s="3" t="str">
        <f>IF(C_Ope_001[[#This Row],[FECHA]]&gt;0,TEXT(C_Ope_001[[#This Row],[FECHA]],"mmmm"),0)</f>
        <v>Julio</v>
      </c>
    </row>
    <row r="300" spans="2:28" ht="36" x14ac:dyDescent="0.3">
      <c r="B300" s="2">
        <f>IF(C_Ope_001[[#This Row],[TIPO DE R.]]="R",COUNTIFS($D$4:$D299,"R")+1,"")</f>
        <v>296</v>
      </c>
      <c r="C300" s="19" t="str">
        <f t="shared" ref="C300:C305" si="29">"C_Ope_001"</f>
        <v>C_Ope_001</v>
      </c>
      <c r="D300" s="3" t="s">
        <v>1074</v>
      </c>
      <c r="E300" s="14">
        <v>45842</v>
      </c>
      <c r="F300" s="5" t="s">
        <v>6538</v>
      </c>
      <c r="G300" s="5" t="s">
        <v>1079</v>
      </c>
      <c r="H300" s="6" t="s">
        <v>170</v>
      </c>
      <c r="I300" s="6" t="s">
        <v>14</v>
      </c>
      <c r="J300" s="6" t="s">
        <v>1148</v>
      </c>
      <c r="K300" s="6">
        <v>133767</v>
      </c>
      <c r="L300" s="7" t="s">
        <v>6680</v>
      </c>
      <c r="M300" s="8">
        <v>24794</v>
      </c>
      <c r="N300" s="8" t="str">
        <f t="shared" ref="N300:N305" si="30">"PEN"</f>
        <v>PEN</v>
      </c>
      <c r="O300" s="13"/>
      <c r="P300" s="13">
        <v>10</v>
      </c>
      <c r="Q300" s="3">
        <f t="shared" si="22"/>
        <v>0</v>
      </c>
      <c r="R300" s="3">
        <f t="shared" si="23"/>
        <v>10</v>
      </c>
      <c r="S300" s="3">
        <f t="shared" si="24"/>
        <v>606.74</v>
      </c>
      <c r="T300" s="24" t="s">
        <v>1081</v>
      </c>
      <c r="U300" s="24"/>
      <c r="V300" s="3"/>
      <c r="W300" s="25" t="s">
        <v>6541</v>
      </c>
      <c r="X300" s="25">
        <v>20124952850</v>
      </c>
      <c r="Y300" s="25" t="str">
        <f>IFERROR(VLOOKUP(C_Ope_001[[#This Row],[NOTA 2]],Clientes_Proveedores[[Ruc / Dni]:[Razon Social]],2,0),"")</f>
        <v>ALIMENTOS Y SERVICIOS AGROPECUARIOS SRL.</v>
      </c>
      <c r="Z300" s="25" t="s">
        <v>4972</v>
      </c>
      <c r="AA300" s="130"/>
      <c r="AB300" s="3" t="str">
        <f>IF(C_Ope_001[[#This Row],[FECHA]]&gt;0,TEXT(C_Ope_001[[#This Row],[FECHA]],"mmmm"),0)</f>
        <v>Julio</v>
      </c>
    </row>
    <row r="301" spans="2:28" ht="24" x14ac:dyDescent="0.3">
      <c r="B301" s="2">
        <f>IF(C_Ope_001[[#This Row],[TIPO DE R.]]="R",COUNTIFS($D$4:$D300,"R")+1,"")</f>
        <v>297</v>
      </c>
      <c r="C301" s="19" t="str">
        <f t="shared" si="29"/>
        <v>C_Ope_001</v>
      </c>
      <c r="D301" s="3" t="s">
        <v>1074</v>
      </c>
      <c r="E301" s="14">
        <v>45842</v>
      </c>
      <c r="F301" s="5" t="s">
        <v>6538</v>
      </c>
      <c r="G301" s="5" t="s">
        <v>1079</v>
      </c>
      <c r="H301" s="6" t="s">
        <v>948</v>
      </c>
      <c r="I301" s="6" t="s">
        <v>14</v>
      </c>
      <c r="J301" s="6" t="s">
        <v>1119</v>
      </c>
      <c r="K301" s="6">
        <v>16006</v>
      </c>
      <c r="L301" s="7" t="s">
        <v>6682</v>
      </c>
      <c r="M301" s="8">
        <v>24795</v>
      </c>
      <c r="N301" s="8" t="str">
        <f t="shared" si="30"/>
        <v>PEN</v>
      </c>
      <c r="O301" s="13"/>
      <c r="P301" s="13">
        <v>35</v>
      </c>
      <c r="Q301" s="3">
        <f t="shared" si="22"/>
        <v>0</v>
      </c>
      <c r="R301" s="3">
        <f t="shared" si="23"/>
        <v>35</v>
      </c>
      <c r="S301" s="3">
        <f t="shared" si="24"/>
        <v>571.74</v>
      </c>
      <c r="T301" s="24" t="s">
        <v>1081</v>
      </c>
      <c r="U301" s="24"/>
      <c r="V301" s="3"/>
      <c r="W301" s="25" t="s">
        <v>6541</v>
      </c>
      <c r="X301" s="25">
        <v>10251876211</v>
      </c>
      <c r="Y301" s="25" t="str">
        <f>IFERROR(VLOOKUP(C_Ope_001[[#This Row],[NOTA 2]],Clientes_Proveedores[[Ruc / Dni]:[Razon Social]],2,0),"")</f>
        <v>MELENDEZ CHALLCO ALBERTO</v>
      </c>
      <c r="Z301" s="25" t="s">
        <v>6683</v>
      </c>
      <c r="AA301" s="130"/>
      <c r="AB301" s="3" t="str">
        <f>IF(C_Ope_001[[#This Row],[FECHA]]&gt;0,TEXT(C_Ope_001[[#This Row],[FECHA]],"mmmm"),0)</f>
        <v>Julio</v>
      </c>
    </row>
    <row r="302" spans="2:28" ht="24" x14ac:dyDescent="0.3">
      <c r="B302" s="2">
        <f>IF(C_Ope_001[[#This Row],[TIPO DE R.]]="R",COUNTIFS($D$4:$D301,"R")+1,"")</f>
        <v>298</v>
      </c>
      <c r="C302" s="19" t="str">
        <f t="shared" si="29"/>
        <v>C_Ope_001</v>
      </c>
      <c r="D302" s="3" t="s">
        <v>1074</v>
      </c>
      <c r="E302" s="14">
        <v>45845</v>
      </c>
      <c r="F302" s="5" t="s">
        <v>6538</v>
      </c>
      <c r="G302" s="5" t="s">
        <v>1079</v>
      </c>
      <c r="H302" s="6" t="s">
        <v>950</v>
      </c>
      <c r="I302" s="6" t="s">
        <v>70</v>
      </c>
      <c r="J302" s="6"/>
      <c r="K302" s="6">
        <v>24808</v>
      </c>
      <c r="L302" s="7" t="s">
        <v>6684</v>
      </c>
      <c r="M302" s="8">
        <v>24808</v>
      </c>
      <c r="N302" s="8" t="str">
        <f t="shared" si="30"/>
        <v>PEN</v>
      </c>
      <c r="O302" s="13"/>
      <c r="P302" s="13">
        <v>24</v>
      </c>
      <c r="Q302" s="3">
        <f t="shared" si="22"/>
        <v>0</v>
      </c>
      <c r="R302" s="3">
        <f t="shared" si="23"/>
        <v>24</v>
      </c>
      <c r="S302" s="3">
        <f t="shared" si="24"/>
        <v>547.74</v>
      </c>
      <c r="T302" s="24" t="s">
        <v>1081</v>
      </c>
      <c r="U302" s="24"/>
      <c r="V302" s="3"/>
      <c r="W302" s="25"/>
      <c r="X302" s="25"/>
      <c r="Y302" s="25" t="str">
        <f>IFERROR(VLOOKUP(C_Ope_001[[#This Row],[NOTA 2]],Clientes_Proveedores[[Ruc / Dni]:[Razon Social]],2,0),"")</f>
        <v/>
      </c>
      <c r="Z302" s="25" t="s">
        <v>6685</v>
      </c>
      <c r="AA302" s="130"/>
      <c r="AB302" s="3" t="str">
        <f>IF(C_Ope_001[[#This Row],[FECHA]]&gt;0,TEXT(C_Ope_001[[#This Row],[FECHA]],"mmmm"),0)</f>
        <v>Julio</v>
      </c>
    </row>
    <row r="303" spans="2:28" x14ac:dyDescent="0.3">
      <c r="B303" s="2">
        <f>IF(C_Ope_001[[#This Row],[TIPO DE R.]]="R",COUNTIFS($D$4:$D302,"R")+1,"")</f>
        <v>299</v>
      </c>
      <c r="C303" s="19" t="str">
        <f t="shared" si="29"/>
        <v>C_Ope_001</v>
      </c>
      <c r="D303" s="3" t="s">
        <v>1074</v>
      </c>
      <c r="E303" s="14">
        <v>45845</v>
      </c>
      <c r="F303" s="5" t="s">
        <v>6538</v>
      </c>
      <c r="G303" s="5" t="s">
        <v>1079</v>
      </c>
      <c r="H303" s="6" t="s">
        <v>950</v>
      </c>
      <c r="I303" s="6" t="s">
        <v>70</v>
      </c>
      <c r="J303" s="6"/>
      <c r="K303" s="6">
        <v>24809</v>
      </c>
      <c r="L303" s="7" t="s">
        <v>6686</v>
      </c>
      <c r="M303" s="8">
        <v>24809</v>
      </c>
      <c r="N303" s="8" t="str">
        <f t="shared" si="30"/>
        <v>PEN</v>
      </c>
      <c r="O303" s="13"/>
      <c r="P303" s="13">
        <v>10</v>
      </c>
      <c r="Q303" s="3">
        <f t="shared" si="22"/>
        <v>0</v>
      </c>
      <c r="R303" s="3">
        <f t="shared" si="23"/>
        <v>10</v>
      </c>
      <c r="S303" s="3">
        <f t="shared" si="24"/>
        <v>537.74</v>
      </c>
      <c r="T303" s="24" t="s">
        <v>1081</v>
      </c>
      <c r="U303" s="24"/>
      <c r="V303" s="3"/>
      <c r="W303" s="25"/>
      <c r="X303" s="25"/>
      <c r="Y303" s="25" t="str">
        <f>IFERROR(VLOOKUP(C_Ope_001[[#This Row],[NOTA 2]],Clientes_Proveedores[[Ruc / Dni]:[Razon Social]],2,0),"")</f>
        <v/>
      </c>
      <c r="Z303" s="25" t="s">
        <v>6687</v>
      </c>
      <c r="AA303" s="130"/>
      <c r="AB303" s="3" t="str">
        <f>IF(C_Ope_001[[#This Row],[FECHA]]&gt;0,TEXT(C_Ope_001[[#This Row],[FECHA]],"mmmm"),0)</f>
        <v>Julio</v>
      </c>
    </row>
    <row r="304" spans="2:28" ht="36" x14ac:dyDescent="0.3">
      <c r="B304" s="2">
        <f>IF(C_Ope_001[[#This Row],[TIPO DE R.]]="R",COUNTIFS($D$4:$D303,"R")+1,"")</f>
        <v>300</v>
      </c>
      <c r="C304" s="19" t="str">
        <f t="shared" si="29"/>
        <v>C_Ope_001</v>
      </c>
      <c r="D304" s="3" t="s">
        <v>1074</v>
      </c>
      <c r="E304" s="14">
        <v>45845</v>
      </c>
      <c r="F304" s="5" t="s">
        <v>6538</v>
      </c>
      <c r="G304" s="5" t="s">
        <v>1079</v>
      </c>
      <c r="H304" s="6" t="s">
        <v>170</v>
      </c>
      <c r="I304" s="6" t="s">
        <v>14</v>
      </c>
      <c r="J304" s="6" t="s">
        <v>1148</v>
      </c>
      <c r="K304" s="6">
        <v>133882</v>
      </c>
      <c r="L304" s="7" t="s">
        <v>6680</v>
      </c>
      <c r="M304" s="8">
        <v>24800</v>
      </c>
      <c r="N304" s="8" t="str">
        <f t="shared" si="30"/>
        <v>PEN</v>
      </c>
      <c r="O304" s="13"/>
      <c r="P304" s="13">
        <v>10</v>
      </c>
      <c r="Q304" s="3">
        <f t="shared" si="22"/>
        <v>0</v>
      </c>
      <c r="R304" s="3">
        <f t="shared" si="23"/>
        <v>10</v>
      </c>
      <c r="S304" s="3">
        <f t="shared" si="24"/>
        <v>527.74</v>
      </c>
      <c r="T304" s="24" t="s">
        <v>1081</v>
      </c>
      <c r="U304" s="24"/>
      <c r="V304" s="3"/>
      <c r="W304" s="25" t="s">
        <v>6541</v>
      </c>
      <c r="X304" s="25">
        <v>20124952850</v>
      </c>
      <c r="Y304" s="25" t="str">
        <f>IFERROR(VLOOKUP(C_Ope_001[[#This Row],[NOTA 2]],Clientes_Proveedores[[Ruc / Dni]:[Razon Social]],2,0),"")</f>
        <v>ALIMENTOS Y SERVICIOS AGROPECUARIOS SRL.</v>
      </c>
      <c r="Z304" s="25" t="s">
        <v>4972</v>
      </c>
      <c r="AA304" s="130"/>
      <c r="AB304" s="3" t="str">
        <f>IF(C_Ope_001[[#This Row],[FECHA]]&gt;0,TEXT(C_Ope_001[[#This Row],[FECHA]],"mmmm"),0)</f>
        <v>Julio</v>
      </c>
    </row>
    <row r="305" spans="2:28" ht="36" x14ac:dyDescent="0.3">
      <c r="B305" s="2">
        <f>IF(C_Ope_001[[#This Row],[TIPO DE R.]]="R",COUNTIFS($D$4:$D304,"R")+1,"")</f>
        <v>301</v>
      </c>
      <c r="C305" s="19" t="str">
        <f t="shared" si="29"/>
        <v>C_Ope_001</v>
      </c>
      <c r="D305" s="3" t="s">
        <v>1074</v>
      </c>
      <c r="E305" s="14">
        <v>45845</v>
      </c>
      <c r="F305" s="5" t="s">
        <v>6538</v>
      </c>
      <c r="G305" s="5" t="s">
        <v>1079</v>
      </c>
      <c r="H305" s="6" t="s">
        <v>624</v>
      </c>
      <c r="I305" s="6" t="s">
        <v>14</v>
      </c>
      <c r="J305" s="6" t="s">
        <v>1097</v>
      </c>
      <c r="K305" s="6">
        <v>16910</v>
      </c>
      <c r="L305" s="7" t="s">
        <v>6688</v>
      </c>
      <c r="M305" s="8">
        <v>24813</v>
      </c>
      <c r="N305" s="8" t="str">
        <f t="shared" si="30"/>
        <v>PEN</v>
      </c>
      <c r="O305" s="13"/>
      <c r="P305" s="13">
        <v>20</v>
      </c>
      <c r="Q305" s="3">
        <f t="shared" si="22"/>
        <v>0</v>
      </c>
      <c r="R305" s="3">
        <f t="shared" si="23"/>
        <v>20</v>
      </c>
      <c r="S305" s="3">
        <f t="shared" si="24"/>
        <v>507.74</v>
      </c>
      <c r="T305" s="24" t="s">
        <v>1081</v>
      </c>
      <c r="U305" s="24"/>
      <c r="V305" s="3"/>
      <c r="W305" s="25" t="s">
        <v>6541</v>
      </c>
      <c r="X305" s="25">
        <v>20259858934</v>
      </c>
      <c r="Y305" s="25" t="str">
        <f>IFERROR(VLOOKUP(C_Ope_001[[#This Row],[NOTA 2]],Clientes_Proveedores[[Ruc / Dni]:[Razon Social]],2,0),"")</f>
        <v>COMERCIALIZACION Y SERVICIOS EL EDEN S.A.C.</v>
      </c>
      <c r="Z305" s="25" t="s">
        <v>4972</v>
      </c>
      <c r="AA305" s="130"/>
      <c r="AB305" s="3" t="str">
        <f>IF(C_Ope_001[[#This Row],[FECHA]]&gt;0,TEXT(C_Ope_001[[#This Row],[FECHA]],"mmmm"),0)</f>
        <v>Julio</v>
      </c>
    </row>
    <row r="306" spans="2:28" ht="36" x14ac:dyDescent="0.3">
      <c r="B306" s="2">
        <f>IF(C_Ope_001[[#This Row],[TIPO DE R.]]="R",COUNTIFS($D$4:$D305,"R")+1,"")</f>
        <v>302</v>
      </c>
      <c r="C306" s="19" t="str">
        <f t="shared" si="28"/>
        <v>C_Ope_001</v>
      </c>
      <c r="D306" s="3" t="s">
        <v>1074</v>
      </c>
      <c r="E306" s="14">
        <v>45845</v>
      </c>
      <c r="F306" s="5" t="s">
        <v>6538</v>
      </c>
      <c r="G306" s="5" t="s">
        <v>1079</v>
      </c>
      <c r="H306" s="6" t="s">
        <v>947</v>
      </c>
      <c r="I306" s="6" t="s">
        <v>14</v>
      </c>
      <c r="J306" s="6" t="s">
        <v>3128</v>
      </c>
      <c r="K306" s="6">
        <v>921711</v>
      </c>
      <c r="L306" s="7" t="s">
        <v>6689</v>
      </c>
      <c r="M306" s="8">
        <v>24810</v>
      </c>
      <c r="N306" s="8" t="str">
        <f t="shared" si="27"/>
        <v>PEN</v>
      </c>
      <c r="O306" s="13"/>
      <c r="P306" s="13">
        <v>15.7</v>
      </c>
      <c r="Q306" s="3">
        <f t="shared" si="22"/>
        <v>0</v>
      </c>
      <c r="R306" s="3">
        <f t="shared" si="23"/>
        <v>15.7</v>
      </c>
      <c r="S306" s="3">
        <f t="shared" si="24"/>
        <v>492.04</v>
      </c>
      <c r="T306" s="24" t="s">
        <v>1081</v>
      </c>
      <c r="U306" s="24"/>
      <c r="V306" s="3"/>
      <c r="W306" s="25" t="s">
        <v>6541</v>
      </c>
      <c r="X306" s="25">
        <v>20550033519</v>
      </c>
      <c r="Y306" s="25" t="str">
        <f>IFERROR(VLOOKUP(C_Ope_001[[#This Row],[NOTA 2]],Clientes_Proveedores[[Ruc / Dni]:[Razon Social]],2,0),"")</f>
        <v>CONCESIONARIA PERUANA DE VIAS-COVINCA S.A.</v>
      </c>
      <c r="Z306" s="25" t="s">
        <v>6677</v>
      </c>
      <c r="AA306" s="130"/>
      <c r="AB306" s="3" t="str">
        <f>IF(C_Ope_001[[#This Row],[FECHA]]&gt;0,TEXT(C_Ope_001[[#This Row],[FECHA]],"mmmm"),0)</f>
        <v>Julio</v>
      </c>
    </row>
    <row r="307" spans="2:28" ht="36" x14ac:dyDescent="0.3">
      <c r="B307" s="2">
        <f>IF(C_Ope_001[[#This Row],[TIPO DE R.]]="R",COUNTIFS($D$4:$D306,"R")+1,"")</f>
        <v>303</v>
      </c>
      <c r="C307" s="19" t="str">
        <f t="shared" si="28"/>
        <v>C_Ope_001</v>
      </c>
      <c r="D307" s="3" t="s">
        <v>1074</v>
      </c>
      <c r="E307" s="14">
        <v>45845</v>
      </c>
      <c r="F307" s="5" t="s">
        <v>6538</v>
      </c>
      <c r="G307" s="5" t="s">
        <v>1079</v>
      </c>
      <c r="H307" s="6" t="s">
        <v>947</v>
      </c>
      <c r="I307" s="6" t="s">
        <v>14</v>
      </c>
      <c r="J307" s="6" t="s">
        <v>6690</v>
      </c>
      <c r="K307" s="6">
        <v>772485</v>
      </c>
      <c r="L307" s="7" t="s">
        <v>6691</v>
      </c>
      <c r="M307" s="8">
        <v>24811</v>
      </c>
      <c r="N307" s="8" t="str">
        <f t="shared" si="27"/>
        <v>PEN</v>
      </c>
      <c r="O307" s="13"/>
      <c r="P307" s="13">
        <v>15.7</v>
      </c>
      <c r="Q307" s="3">
        <f t="shared" si="22"/>
        <v>0</v>
      </c>
      <c r="R307" s="3">
        <f t="shared" si="23"/>
        <v>15.7</v>
      </c>
      <c r="S307" s="3">
        <f t="shared" si="24"/>
        <v>476.34000000000003</v>
      </c>
      <c r="T307" s="24" t="s">
        <v>1081</v>
      </c>
      <c r="U307" s="24"/>
      <c r="V307" s="3"/>
      <c r="W307" s="25" t="s">
        <v>6541</v>
      </c>
      <c r="X307" s="25">
        <v>20550033519</v>
      </c>
      <c r="Y307" s="25" t="str">
        <f>IFERROR(VLOOKUP(C_Ope_001[[#This Row],[NOTA 2]],Clientes_Proveedores[[Ruc / Dni]:[Razon Social]],2,0),"")</f>
        <v>CONCESIONARIA PERUANA DE VIAS-COVINCA S.A.</v>
      </c>
      <c r="Z307" s="25" t="s">
        <v>6677</v>
      </c>
      <c r="AA307" s="130"/>
      <c r="AB307" s="3" t="str">
        <f>IF(C_Ope_001[[#This Row],[FECHA]]&gt;0,TEXT(C_Ope_001[[#This Row],[FECHA]],"mmmm"),0)</f>
        <v>Julio</v>
      </c>
    </row>
    <row r="308" spans="2:28" ht="36" x14ac:dyDescent="0.3">
      <c r="B308" s="2">
        <f>IF(C_Ope_001[[#This Row],[TIPO DE R.]]="R",COUNTIFS($D$4:$D307,"R")+1,"")</f>
        <v>304</v>
      </c>
      <c r="C308" s="19" t="str">
        <f t="shared" si="28"/>
        <v>C_Ope_001</v>
      </c>
      <c r="D308" s="3" t="s">
        <v>1074</v>
      </c>
      <c r="E308" s="14">
        <v>45845</v>
      </c>
      <c r="F308" s="5" t="s">
        <v>6538</v>
      </c>
      <c r="G308" s="5" t="s">
        <v>1079</v>
      </c>
      <c r="H308" s="6" t="s">
        <v>947</v>
      </c>
      <c r="I308" s="6" t="s">
        <v>14</v>
      </c>
      <c r="J308" s="6" t="s">
        <v>6561</v>
      </c>
      <c r="K308" s="6">
        <v>725336</v>
      </c>
      <c r="L308" s="7" t="s">
        <v>6692</v>
      </c>
      <c r="M308" s="8">
        <v>24812</v>
      </c>
      <c r="N308" s="8" t="str">
        <f t="shared" si="27"/>
        <v>PEN</v>
      </c>
      <c r="O308" s="13"/>
      <c r="P308" s="13">
        <v>15.7</v>
      </c>
      <c r="Q308" s="3">
        <f t="shared" si="22"/>
        <v>0</v>
      </c>
      <c r="R308" s="3">
        <f t="shared" si="23"/>
        <v>15.7</v>
      </c>
      <c r="S308" s="3">
        <f t="shared" si="24"/>
        <v>460.64000000000004</v>
      </c>
      <c r="T308" s="24" t="s">
        <v>1081</v>
      </c>
      <c r="U308" s="24"/>
      <c r="V308" s="3"/>
      <c r="W308" s="25" t="s">
        <v>6541</v>
      </c>
      <c r="X308" s="25">
        <v>20550033519</v>
      </c>
      <c r="Y308" s="25" t="str">
        <f>IFERROR(VLOOKUP(C_Ope_001[[#This Row],[NOTA 2]],Clientes_Proveedores[[Ruc / Dni]:[Razon Social]],2,0),"")</f>
        <v>CONCESIONARIA PERUANA DE VIAS-COVINCA S.A.</v>
      </c>
      <c r="Z308" s="25" t="s">
        <v>6677</v>
      </c>
      <c r="AA308" s="130"/>
      <c r="AB308" s="3" t="str">
        <f>IF(C_Ope_001[[#This Row],[FECHA]]&gt;0,TEXT(C_Ope_001[[#This Row],[FECHA]],"mmmm"),0)</f>
        <v>Julio</v>
      </c>
    </row>
    <row r="309" spans="2:28" x14ac:dyDescent="0.3">
      <c r="B309" s="2">
        <f>IF(C_Ope_001[[#This Row],[TIPO DE R.]]="R",COUNTIFS($D$4:$D308,"R")+1,"")</f>
        <v>305</v>
      </c>
      <c r="C309" s="19" t="str">
        <f t="shared" si="28"/>
        <v>C_Ope_001</v>
      </c>
      <c r="D309" s="3" t="s">
        <v>1074</v>
      </c>
      <c r="E309" s="14">
        <v>45846</v>
      </c>
      <c r="F309" s="5" t="s">
        <v>6538</v>
      </c>
      <c r="G309" s="5" t="s">
        <v>1079</v>
      </c>
      <c r="H309" s="6" t="s">
        <v>919</v>
      </c>
      <c r="I309" s="6" t="s">
        <v>14</v>
      </c>
      <c r="J309" s="6" t="s">
        <v>5242</v>
      </c>
      <c r="K309" s="6">
        <v>2105740</v>
      </c>
      <c r="L309" s="7" t="s">
        <v>6693</v>
      </c>
      <c r="M309" s="8">
        <v>24821</v>
      </c>
      <c r="N309" s="8" t="str">
        <f t="shared" si="27"/>
        <v>PEN</v>
      </c>
      <c r="O309" s="13"/>
      <c r="P309" s="13">
        <v>8</v>
      </c>
      <c r="Q309" s="3">
        <f t="shared" si="22"/>
        <v>0</v>
      </c>
      <c r="R309" s="3">
        <f t="shared" si="23"/>
        <v>8</v>
      </c>
      <c r="S309" s="3">
        <f t="shared" si="24"/>
        <v>452.64000000000004</v>
      </c>
      <c r="T309" s="24" t="s">
        <v>1081</v>
      </c>
      <c r="U309" s="24"/>
      <c r="V309" s="3"/>
      <c r="W309" s="25" t="s">
        <v>6541</v>
      </c>
      <c r="X309" s="25">
        <v>20517252558</v>
      </c>
      <c r="Y309" s="25" t="str">
        <f>IFERROR(VLOOKUP(C_Ope_001[[#This Row],[NOTA 2]],Clientes_Proveedores[[Ruc / Dni]:[Razon Social]],2,0),"")</f>
        <v>COVISUR S.A.</v>
      </c>
      <c r="Z309" s="25" t="s">
        <v>6677</v>
      </c>
      <c r="AA309" s="130"/>
      <c r="AB309" s="3" t="str">
        <f>IF(C_Ope_001[[#This Row],[FECHA]]&gt;0,TEXT(C_Ope_001[[#This Row],[FECHA]],"mmmm"),0)</f>
        <v>Julio</v>
      </c>
    </row>
    <row r="310" spans="2:28" ht="36" x14ac:dyDescent="0.3">
      <c r="B310" s="2">
        <f>IF(C_Ope_001[[#This Row],[TIPO DE R.]]="R",COUNTIFS($D$4:$D309,"R")+1,"")</f>
        <v>306</v>
      </c>
      <c r="C310" s="19" t="str">
        <f t="shared" ref="C310:C317" si="31">"C_Ope_001"</f>
        <v>C_Ope_001</v>
      </c>
      <c r="D310" s="3" t="s">
        <v>1074</v>
      </c>
      <c r="E310" s="14">
        <v>45846</v>
      </c>
      <c r="F310" s="5" t="s">
        <v>6538</v>
      </c>
      <c r="G310" s="5" t="s">
        <v>1079</v>
      </c>
      <c r="H310" s="6" t="s">
        <v>170</v>
      </c>
      <c r="I310" s="6" t="s">
        <v>14</v>
      </c>
      <c r="J310" s="6" t="s">
        <v>1088</v>
      </c>
      <c r="K310" s="6">
        <v>35091</v>
      </c>
      <c r="L310" s="7" t="s">
        <v>6694</v>
      </c>
      <c r="M310" s="8">
        <v>24819</v>
      </c>
      <c r="N310" s="8" t="str">
        <f t="shared" ref="N310:N317" si="32">"PEN"</f>
        <v>PEN</v>
      </c>
      <c r="O310" s="13"/>
      <c r="P310" s="13">
        <v>10</v>
      </c>
      <c r="Q310" s="3">
        <f t="shared" si="22"/>
        <v>0</v>
      </c>
      <c r="R310" s="3">
        <f t="shared" si="23"/>
        <v>10</v>
      </c>
      <c r="S310" s="3">
        <f t="shared" si="24"/>
        <v>442.64000000000004</v>
      </c>
      <c r="T310" s="24" t="s">
        <v>1081</v>
      </c>
      <c r="U310" s="24"/>
      <c r="V310" s="3"/>
      <c r="W310" s="25" t="s">
        <v>6541</v>
      </c>
      <c r="X310" s="25">
        <v>20124952850</v>
      </c>
      <c r="Y310" s="25" t="str">
        <f>IFERROR(VLOOKUP(C_Ope_001[[#This Row],[NOTA 2]],Clientes_Proveedores[[Ruc / Dni]:[Razon Social]],2,0),"")</f>
        <v>ALIMENTOS Y SERVICIOS AGROPECUARIOS SRL.</v>
      </c>
      <c r="Z310" s="25" t="s">
        <v>4972</v>
      </c>
      <c r="AA310" s="130"/>
      <c r="AB310" s="3" t="str">
        <f>IF(C_Ope_001[[#This Row],[FECHA]]&gt;0,TEXT(C_Ope_001[[#This Row],[FECHA]],"mmmm"),0)</f>
        <v>Julio</v>
      </c>
    </row>
    <row r="311" spans="2:28" ht="36" x14ac:dyDescent="0.3">
      <c r="B311" s="2">
        <f>IF(C_Ope_001[[#This Row],[TIPO DE R.]]="R",COUNTIFS($D$4:$D310,"R")+1,"")</f>
        <v>307</v>
      </c>
      <c r="C311" s="19" t="str">
        <f t="shared" si="31"/>
        <v>C_Ope_001</v>
      </c>
      <c r="D311" s="3" t="s">
        <v>1074</v>
      </c>
      <c r="E311" s="14">
        <v>45846</v>
      </c>
      <c r="F311" s="5" t="s">
        <v>6538</v>
      </c>
      <c r="G311" s="5" t="s">
        <v>1079</v>
      </c>
      <c r="H311" s="6" t="s">
        <v>170</v>
      </c>
      <c r="I311" s="6" t="s">
        <v>14</v>
      </c>
      <c r="J311" s="6" t="s">
        <v>1148</v>
      </c>
      <c r="K311" s="6">
        <v>133965</v>
      </c>
      <c r="L311" s="7" t="s">
        <v>6695</v>
      </c>
      <c r="M311" s="8">
        <v>24823</v>
      </c>
      <c r="N311" s="8" t="str">
        <f t="shared" si="32"/>
        <v>PEN</v>
      </c>
      <c r="O311" s="13"/>
      <c r="P311" s="13">
        <v>10</v>
      </c>
      <c r="Q311" s="3">
        <f t="shared" si="22"/>
        <v>0</v>
      </c>
      <c r="R311" s="3">
        <f t="shared" si="23"/>
        <v>10</v>
      </c>
      <c r="S311" s="3">
        <f t="shared" si="24"/>
        <v>432.64000000000004</v>
      </c>
      <c r="T311" s="24" t="s">
        <v>1081</v>
      </c>
      <c r="U311" s="24"/>
      <c r="V311" s="3"/>
      <c r="W311" s="25" t="s">
        <v>6541</v>
      </c>
      <c r="X311" s="25">
        <v>20124952850</v>
      </c>
      <c r="Y311" s="25" t="str">
        <f>IFERROR(VLOOKUP(C_Ope_001[[#This Row],[NOTA 2]],Clientes_Proveedores[[Ruc / Dni]:[Razon Social]],2,0),"")</f>
        <v>ALIMENTOS Y SERVICIOS AGROPECUARIOS SRL.</v>
      </c>
      <c r="Z311" s="25" t="s">
        <v>4972</v>
      </c>
      <c r="AA311" s="130"/>
      <c r="AB311" s="3" t="str">
        <f>IF(C_Ope_001[[#This Row],[FECHA]]&gt;0,TEXT(C_Ope_001[[#This Row],[FECHA]],"mmmm"),0)</f>
        <v>Julio</v>
      </c>
    </row>
    <row r="312" spans="2:28" ht="36" x14ac:dyDescent="0.3">
      <c r="B312" s="2">
        <f>IF(C_Ope_001[[#This Row],[TIPO DE R.]]="R",COUNTIFS($D$4:$D311,"R")+1,"")</f>
        <v>308</v>
      </c>
      <c r="C312" s="19" t="str">
        <f t="shared" si="31"/>
        <v>C_Ope_001</v>
      </c>
      <c r="D312" s="3" t="s">
        <v>1074</v>
      </c>
      <c r="E312" s="14">
        <v>45846</v>
      </c>
      <c r="F312" s="5" t="s">
        <v>6538</v>
      </c>
      <c r="G312" s="5" t="s">
        <v>1079</v>
      </c>
      <c r="H312" s="6" t="s">
        <v>170</v>
      </c>
      <c r="I312" s="6" t="s">
        <v>14</v>
      </c>
      <c r="J312" s="6" t="s">
        <v>1148</v>
      </c>
      <c r="K312" s="6">
        <v>133964</v>
      </c>
      <c r="L312" s="7" t="s">
        <v>6696</v>
      </c>
      <c r="M312" s="8">
        <v>24824</v>
      </c>
      <c r="N312" s="8" t="str">
        <f t="shared" si="32"/>
        <v>PEN</v>
      </c>
      <c r="O312" s="13"/>
      <c r="P312" s="13">
        <v>10</v>
      </c>
      <c r="Q312" s="3">
        <f t="shared" si="22"/>
        <v>0</v>
      </c>
      <c r="R312" s="3">
        <f t="shared" si="23"/>
        <v>10</v>
      </c>
      <c r="S312" s="3">
        <f t="shared" si="24"/>
        <v>422.64000000000004</v>
      </c>
      <c r="T312" s="24" t="s">
        <v>1081</v>
      </c>
      <c r="U312" s="24"/>
      <c r="V312" s="3"/>
      <c r="W312" s="25" t="s">
        <v>6541</v>
      </c>
      <c r="X312" s="25">
        <v>20124952850</v>
      </c>
      <c r="Y312" s="25" t="str">
        <f>IFERROR(VLOOKUP(C_Ope_001[[#This Row],[NOTA 2]],Clientes_Proveedores[[Ruc / Dni]:[Razon Social]],2,0),"")</f>
        <v>ALIMENTOS Y SERVICIOS AGROPECUARIOS SRL.</v>
      </c>
      <c r="Z312" s="25" t="s">
        <v>4972</v>
      </c>
      <c r="AA312" s="130"/>
      <c r="AB312" s="3" t="str">
        <f>IF(C_Ope_001[[#This Row],[FECHA]]&gt;0,TEXT(C_Ope_001[[#This Row],[FECHA]],"mmmm"),0)</f>
        <v>Julio</v>
      </c>
    </row>
    <row r="313" spans="2:28" ht="36" x14ac:dyDescent="0.3">
      <c r="B313" s="2">
        <f>IF(C_Ope_001[[#This Row],[TIPO DE R.]]="R",COUNTIFS($D$4:$D312,"R")+1,"")</f>
        <v>309</v>
      </c>
      <c r="C313" s="19" t="str">
        <f t="shared" si="31"/>
        <v>C_Ope_001</v>
      </c>
      <c r="D313" s="3" t="s">
        <v>1074</v>
      </c>
      <c r="E313" s="14">
        <v>45846</v>
      </c>
      <c r="F313" s="5" t="s">
        <v>6538</v>
      </c>
      <c r="G313" s="5" t="s">
        <v>1079</v>
      </c>
      <c r="H313" s="6" t="s">
        <v>170</v>
      </c>
      <c r="I313" s="6" t="s">
        <v>14</v>
      </c>
      <c r="J313" s="6" t="s">
        <v>1148</v>
      </c>
      <c r="K313" s="6">
        <v>133963</v>
      </c>
      <c r="L313" s="7" t="s">
        <v>6697</v>
      </c>
      <c r="M313" s="8">
        <v>24825</v>
      </c>
      <c r="N313" s="8" t="str">
        <f t="shared" si="32"/>
        <v>PEN</v>
      </c>
      <c r="O313" s="13"/>
      <c r="P313" s="13">
        <v>10</v>
      </c>
      <c r="Q313" s="3">
        <f t="shared" si="22"/>
        <v>0</v>
      </c>
      <c r="R313" s="3">
        <f t="shared" si="23"/>
        <v>10</v>
      </c>
      <c r="S313" s="3">
        <f t="shared" si="24"/>
        <v>412.64000000000004</v>
      </c>
      <c r="T313" s="24" t="s">
        <v>1081</v>
      </c>
      <c r="U313" s="24"/>
      <c r="V313" s="3"/>
      <c r="W313" s="25" t="s">
        <v>6541</v>
      </c>
      <c r="X313" s="25">
        <v>20124952850</v>
      </c>
      <c r="Y313" s="25" t="str">
        <f>IFERROR(VLOOKUP(C_Ope_001[[#This Row],[NOTA 2]],Clientes_Proveedores[[Ruc / Dni]:[Razon Social]],2,0),"")</f>
        <v>ALIMENTOS Y SERVICIOS AGROPECUARIOS SRL.</v>
      </c>
      <c r="Z313" s="25" t="s">
        <v>4972</v>
      </c>
      <c r="AA313" s="130"/>
      <c r="AB313" s="3" t="str">
        <f>IF(C_Ope_001[[#This Row],[FECHA]]&gt;0,TEXT(C_Ope_001[[#This Row],[FECHA]],"mmmm"),0)</f>
        <v>Julio</v>
      </c>
    </row>
    <row r="314" spans="2:28" ht="24" x14ac:dyDescent="0.3">
      <c r="B314" s="2">
        <f>IF(C_Ope_001[[#This Row],[TIPO DE R.]]="R",COUNTIFS($D$4:$D313,"R")+1,"")</f>
        <v>310</v>
      </c>
      <c r="C314" s="19" t="str">
        <f t="shared" si="31"/>
        <v>C_Ope_001</v>
      </c>
      <c r="D314" s="3" t="s">
        <v>1074</v>
      </c>
      <c r="E314" s="14">
        <v>45846</v>
      </c>
      <c r="F314" s="5" t="s">
        <v>6538</v>
      </c>
      <c r="G314" s="5" t="s">
        <v>1079</v>
      </c>
      <c r="H314" s="6" t="s">
        <v>969</v>
      </c>
      <c r="I314" s="6" t="s">
        <v>21</v>
      </c>
      <c r="J314" s="6">
        <v>1</v>
      </c>
      <c r="K314" s="6">
        <v>26713</v>
      </c>
      <c r="L314" s="7" t="s">
        <v>6698</v>
      </c>
      <c r="M314" s="8">
        <v>24817</v>
      </c>
      <c r="N314" s="8" t="str">
        <f t="shared" si="32"/>
        <v>PEN</v>
      </c>
      <c r="O314" s="13"/>
      <c r="P314" s="13">
        <v>80</v>
      </c>
      <c r="Q314" s="3">
        <f t="shared" si="22"/>
        <v>0</v>
      </c>
      <c r="R314" s="3">
        <f t="shared" si="23"/>
        <v>80</v>
      </c>
      <c r="S314" s="3">
        <f t="shared" si="24"/>
        <v>332.64000000000004</v>
      </c>
      <c r="T314" s="24" t="s">
        <v>1081</v>
      </c>
      <c r="U314" s="24"/>
      <c r="V314" s="3"/>
      <c r="W314" s="25"/>
      <c r="X314" s="25">
        <v>10426317511</v>
      </c>
      <c r="Y314" s="25" t="str">
        <f>IFERROR(VLOOKUP(C_Ope_001[[#This Row],[NOTA 2]],Clientes_Proveedores[[Ruc / Dni]:[Razon Social]],2,0),"")</f>
        <v>JAHUIRA CALDERON HELGA DANITZA</v>
      </c>
      <c r="Z314" s="25" t="s">
        <v>6699</v>
      </c>
      <c r="AA314" s="130"/>
      <c r="AB314" s="3" t="str">
        <f>IF(C_Ope_001[[#This Row],[FECHA]]&gt;0,TEXT(C_Ope_001[[#This Row],[FECHA]],"mmmm"),0)</f>
        <v>Julio</v>
      </c>
    </row>
    <row r="315" spans="2:28" ht="24" x14ac:dyDescent="0.3">
      <c r="B315" s="2">
        <f>IF(C_Ope_001[[#This Row],[TIPO DE R.]]="R",COUNTIFS($D$4:$D314,"R")+1,"")</f>
        <v>311</v>
      </c>
      <c r="C315" s="19" t="str">
        <f t="shared" si="31"/>
        <v>C_Ope_001</v>
      </c>
      <c r="D315" s="3" t="s">
        <v>1074</v>
      </c>
      <c r="E315" s="14">
        <v>45846</v>
      </c>
      <c r="F315" s="5" t="s">
        <v>6538</v>
      </c>
      <c r="G315" s="5" t="s">
        <v>1079</v>
      </c>
      <c r="H315" s="6" t="s">
        <v>950</v>
      </c>
      <c r="I315" s="6" t="s">
        <v>70</v>
      </c>
      <c r="J315" s="6"/>
      <c r="K315" s="6">
        <v>24818</v>
      </c>
      <c r="L315" s="7" t="s">
        <v>6700</v>
      </c>
      <c r="M315" s="8">
        <v>24818</v>
      </c>
      <c r="N315" s="8" t="str">
        <f t="shared" si="32"/>
        <v>PEN</v>
      </c>
      <c r="O315" s="13"/>
      <c r="P315" s="13">
        <v>16</v>
      </c>
      <c r="Q315" s="3">
        <f t="shared" si="22"/>
        <v>0</v>
      </c>
      <c r="R315" s="3">
        <f t="shared" si="23"/>
        <v>16</v>
      </c>
      <c r="S315" s="3">
        <f t="shared" si="24"/>
        <v>316.64000000000004</v>
      </c>
      <c r="T315" s="24" t="s">
        <v>1081</v>
      </c>
      <c r="U315" s="24"/>
      <c r="V315" s="3"/>
      <c r="W315" s="25"/>
      <c r="X315" s="25"/>
      <c r="Y315" s="25" t="str">
        <f>IFERROR(VLOOKUP(C_Ope_001[[#This Row],[NOTA 2]],Clientes_Proveedores[[Ruc / Dni]:[Razon Social]],2,0),"")</f>
        <v/>
      </c>
      <c r="Z315" s="25" t="s">
        <v>6685</v>
      </c>
      <c r="AA315" s="130"/>
      <c r="AB315" s="3" t="str">
        <f>IF(C_Ope_001[[#This Row],[FECHA]]&gt;0,TEXT(C_Ope_001[[#This Row],[FECHA]],"mmmm"),0)</f>
        <v>Julio</v>
      </c>
    </row>
    <row r="316" spans="2:28" ht="24" x14ac:dyDescent="0.3">
      <c r="B316" s="2">
        <f>IF(C_Ope_001[[#This Row],[TIPO DE R.]]="R",COUNTIFS($D$4:$D315,"R")+1,"")</f>
        <v>312</v>
      </c>
      <c r="C316" s="19" t="str">
        <f t="shared" si="31"/>
        <v>C_Ope_001</v>
      </c>
      <c r="D316" s="3" t="s">
        <v>1074</v>
      </c>
      <c r="E316" s="14">
        <v>45846</v>
      </c>
      <c r="F316" s="5" t="s">
        <v>6538</v>
      </c>
      <c r="G316" s="5" t="s">
        <v>1079</v>
      </c>
      <c r="H316" s="6" t="s">
        <v>950</v>
      </c>
      <c r="I316" s="6" t="s">
        <v>70</v>
      </c>
      <c r="J316" s="6"/>
      <c r="K316" s="6">
        <v>24820</v>
      </c>
      <c r="L316" s="7" t="s">
        <v>6701</v>
      </c>
      <c r="M316" s="8">
        <v>24820</v>
      </c>
      <c r="N316" s="8" t="str">
        <f t="shared" si="32"/>
        <v>PEN</v>
      </c>
      <c r="O316" s="13"/>
      <c r="P316" s="13">
        <v>30</v>
      </c>
      <c r="Q316" s="3">
        <f t="shared" si="22"/>
        <v>0</v>
      </c>
      <c r="R316" s="3">
        <f t="shared" si="23"/>
        <v>30</v>
      </c>
      <c r="S316" s="3">
        <f t="shared" si="24"/>
        <v>286.64000000000004</v>
      </c>
      <c r="T316" s="24" t="s">
        <v>1081</v>
      </c>
      <c r="U316" s="24"/>
      <c r="V316" s="3"/>
      <c r="W316" s="25"/>
      <c r="X316" s="25"/>
      <c r="Y316" s="25" t="str">
        <f>IFERROR(VLOOKUP(C_Ope_001[[#This Row],[NOTA 2]],Clientes_Proveedores[[Ruc / Dni]:[Razon Social]],2,0),"")</f>
        <v/>
      </c>
      <c r="Z316" s="25" t="s">
        <v>6685</v>
      </c>
      <c r="AA316" s="130"/>
      <c r="AB316" s="3" t="str">
        <f>IF(C_Ope_001[[#This Row],[FECHA]]&gt;0,TEXT(C_Ope_001[[#This Row],[FECHA]],"mmmm"),0)</f>
        <v>Julio</v>
      </c>
    </row>
    <row r="317" spans="2:28" ht="24" x14ac:dyDescent="0.3">
      <c r="B317" s="2">
        <f>IF(C_Ope_001[[#This Row],[TIPO DE R.]]="R",COUNTIFS($D$4:$D316,"R")+1,"")</f>
        <v>313</v>
      </c>
      <c r="C317" s="19" t="str">
        <f t="shared" si="31"/>
        <v>C_Ope_001</v>
      </c>
      <c r="D317" s="3" t="s">
        <v>1074</v>
      </c>
      <c r="E317" s="14">
        <v>45846</v>
      </c>
      <c r="F317" s="5" t="s">
        <v>6538</v>
      </c>
      <c r="G317" s="5" t="s">
        <v>1079</v>
      </c>
      <c r="H317" s="6" t="s">
        <v>949</v>
      </c>
      <c r="I317" s="6" t="s">
        <v>14</v>
      </c>
      <c r="J317" s="6" t="s">
        <v>1626</v>
      </c>
      <c r="K317" s="6">
        <v>53367</v>
      </c>
      <c r="L317" s="7" t="s">
        <v>6702</v>
      </c>
      <c r="M317" s="8">
        <v>24822</v>
      </c>
      <c r="N317" s="8" t="str">
        <f t="shared" si="32"/>
        <v>PEN</v>
      </c>
      <c r="O317" s="13"/>
      <c r="P317" s="13">
        <v>150.05000000000001</v>
      </c>
      <c r="Q317" s="3">
        <f t="shared" si="22"/>
        <v>0</v>
      </c>
      <c r="R317" s="3">
        <f t="shared" si="23"/>
        <v>150.05000000000001</v>
      </c>
      <c r="S317" s="3">
        <f t="shared" si="24"/>
        <v>136.59000000000003</v>
      </c>
      <c r="T317" s="24" t="s">
        <v>1081</v>
      </c>
      <c r="U317" s="24"/>
      <c r="V317" s="3"/>
      <c r="W317" s="25" t="s">
        <v>6541</v>
      </c>
      <c r="X317" s="25">
        <v>20601584001</v>
      </c>
      <c r="Y317" s="25" t="str">
        <f>IFERROR(VLOOKUP(C_Ope_001[[#This Row],[NOTA 2]],Clientes_Proveedores[[Ruc / Dni]:[Razon Social]],2,0),"")</f>
        <v>GRUPO EMPRESARIAL MDM E.I.R.L.</v>
      </c>
      <c r="Z317" s="25" t="s">
        <v>3268</v>
      </c>
      <c r="AA317" s="130"/>
      <c r="AB317" s="3" t="str">
        <f>IF(C_Ope_001[[#This Row],[FECHA]]&gt;0,TEXT(C_Ope_001[[#This Row],[FECHA]],"mmmm"),0)</f>
        <v>Julio</v>
      </c>
    </row>
    <row r="318" spans="2:28" ht="24" x14ac:dyDescent="0.3">
      <c r="B318" s="2">
        <f>IF(C_Ope_001[[#This Row],[TIPO DE R.]]="R",COUNTIFS($D$4:$D317,"R")+1,"")</f>
        <v>314</v>
      </c>
      <c r="C318" s="19" t="str">
        <f t="shared" si="28"/>
        <v>C_Ope_001</v>
      </c>
      <c r="D318" s="3" t="s">
        <v>1074</v>
      </c>
      <c r="E318" s="14">
        <v>45847</v>
      </c>
      <c r="F318" s="5" t="s">
        <v>6538</v>
      </c>
      <c r="G318" s="5" t="s">
        <v>1079</v>
      </c>
      <c r="H318" s="6" t="s">
        <v>919</v>
      </c>
      <c r="I318" s="6" t="s">
        <v>14</v>
      </c>
      <c r="J318" s="6" t="s">
        <v>5244</v>
      </c>
      <c r="K318" s="6">
        <v>1779885</v>
      </c>
      <c r="L318" s="7" t="s">
        <v>6703</v>
      </c>
      <c r="M318" s="8">
        <v>24829</v>
      </c>
      <c r="N318" s="8" t="str">
        <f t="shared" si="27"/>
        <v>PEN</v>
      </c>
      <c r="O318" s="13"/>
      <c r="P318" s="13">
        <v>8</v>
      </c>
      <c r="Q318" s="3">
        <f t="shared" si="22"/>
        <v>0</v>
      </c>
      <c r="R318" s="3">
        <f t="shared" si="23"/>
        <v>8</v>
      </c>
      <c r="S318" s="3">
        <f t="shared" si="24"/>
        <v>128.59000000000003</v>
      </c>
      <c r="T318" s="24" t="s">
        <v>1081</v>
      </c>
      <c r="U318" s="24"/>
      <c r="V318" s="3"/>
      <c r="W318" s="25" t="s">
        <v>6541</v>
      </c>
      <c r="X318" s="25">
        <v>20517252558</v>
      </c>
      <c r="Y318" s="25" t="str">
        <f>IFERROR(VLOOKUP(C_Ope_001[[#This Row],[NOTA 2]],Clientes_Proveedores[[Ruc / Dni]:[Razon Social]],2,0),"")</f>
        <v>COVISUR S.A.</v>
      </c>
      <c r="Z318" s="25" t="s">
        <v>6677</v>
      </c>
      <c r="AA318" s="130"/>
      <c r="AB318" s="3" t="str">
        <f>IF(C_Ope_001[[#This Row],[FECHA]]&gt;0,TEXT(C_Ope_001[[#This Row],[FECHA]],"mmmm"),0)</f>
        <v>Julio</v>
      </c>
    </row>
    <row r="319" spans="2:28" ht="24" x14ac:dyDescent="0.3">
      <c r="B319" s="2">
        <f>IF(C_Ope_001[[#This Row],[TIPO DE R.]]="R",COUNTIFS($D$4:$D318,"R")+1,"")</f>
        <v>315</v>
      </c>
      <c r="C319" s="19" t="str">
        <f t="shared" si="28"/>
        <v>C_Ope_001</v>
      </c>
      <c r="D319" s="3" t="s">
        <v>1074</v>
      </c>
      <c r="E319" s="14">
        <v>45847</v>
      </c>
      <c r="F319" s="5" t="s">
        <v>6538</v>
      </c>
      <c r="G319" s="5" t="s">
        <v>1079</v>
      </c>
      <c r="H319" s="6" t="s">
        <v>919</v>
      </c>
      <c r="I319" s="6" t="s">
        <v>14</v>
      </c>
      <c r="J319" s="6" t="s">
        <v>5242</v>
      </c>
      <c r="K319" s="6">
        <v>2106479</v>
      </c>
      <c r="L319" s="7" t="s">
        <v>6703</v>
      </c>
      <c r="M319" s="8">
        <v>24830</v>
      </c>
      <c r="N319" s="8" t="str">
        <f t="shared" si="27"/>
        <v>PEN</v>
      </c>
      <c r="O319" s="13"/>
      <c r="P319" s="13">
        <v>8</v>
      </c>
      <c r="Q319" s="3">
        <f t="shared" si="22"/>
        <v>0</v>
      </c>
      <c r="R319" s="3">
        <f t="shared" si="23"/>
        <v>8</v>
      </c>
      <c r="S319" s="3">
        <f t="shared" si="24"/>
        <v>120.59000000000003</v>
      </c>
      <c r="T319" s="24" t="s">
        <v>1081</v>
      </c>
      <c r="U319" s="24"/>
      <c r="V319" s="3"/>
      <c r="W319" s="25" t="s">
        <v>6541</v>
      </c>
      <c r="X319" s="25">
        <v>20517252558</v>
      </c>
      <c r="Y319" s="25" t="str">
        <f>IFERROR(VLOOKUP(C_Ope_001[[#This Row],[NOTA 2]],Clientes_Proveedores[[Ruc / Dni]:[Razon Social]],2,0),"")</f>
        <v>COVISUR S.A.</v>
      </c>
      <c r="Z319" s="25" t="s">
        <v>6677</v>
      </c>
      <c r="AA319" s="130"/>
      <c r="AB319" s="3" t="str">
        <f>IF(C_Ope_001[[#This Row],[FECHA]]&gt;0,TEXT(C_Ope_001[[#This Row],[FECHA]],"mmmm"),0)</f>
        <v>Julio</v>
      </c>
    </row>
    <row r="320" spans="2:28" ht="36" x14ac:dyDescent="0.3">
      <c r="B320" s="2">
        <f>IF(C_Ope_001[[#This Row],[TIPO DE R.]]="R",COUNTIFS($D$4:$D319,"R")+1,"")</f>
        <v>316</v>
      </c>
      <c r="C320" s="19" t="str">
        <f>"C_Ope_001"</f>
        <v>C_Ope_001</v>
      </c>
      <c r="D320" s="3" t="s">
        <v>1074</v>
      </c>
      <c r="E320" s="14">
        <v>45847</v>
      </c>
      <c r="F320" s="5" t="s">
        <v>6538</v>
      </c>
      <c r="G320" s="5" t="s">
        <v>1079</v>
      </c>
      <c r="H320" s="6" t="s">
        <v>170</v>
      </c>
      <c r="I320" s="6" t="s">
        <v>14</v>
      </c>
      <c r="J320" s="6" t="s">
        <v>1148</v>
      </c>
      <c r="K320" s="6">
        <v>133971</v>
      </c>
      <c r="L320" s="7" t="s">
        <v>6704</v>
      </c>
      <c r="M320" s="8">
        <v>24831</v>
      </c>
      <c r="N320" s="8" t="str">
        <f>"PEN"</f>
        <v>PEN</v>
      </c>
      <c r="O320" s="13"/>
      <c r="P320" s="13">
        <v>10</v>
      </c>
      <c r="Q320" s="3">
        <f t="shared" si="22"/>
        <v>0</v>
      </c>
      <c r="R320" s="3">
        <f t="shared" si="23"/>
        <v>10</v>
      </c>
      <c r="S320" s="3">
        <f t="shared" si="24"/>
        <v>110.59000000000003</v>
      </c>
      <c r="T320" s="24" t="s">
        <v>1081</v>
      </c>
      <c r="U320" s="24"/>
      <c r="V320" s="3"/>
      <c r="W320" s="25" t="s">
        <v>6541</v>
      </c>
      <c r="X320" s="25">
        <v>20124952850</v>
      </c>
      <c r="Y320" s="25" t="str">
        <f>IFERROR(VLOOKUP(C_Ope_001[[#This Row],[NOTA 2]],Clientes_Proveedores[[Ruc / Dni]:[Razon Social]],2,0),"")</f>
        <v>ALIMENTOS Y SERVICIOS AGROPECUARIOS SRL.</v>
      </c>
      <c r="Z320" s="25" t="s">
        <v>4972</v>
      </c>
      <c r="AA320" s="130"/>
      <c r="AB320" s="3" t="str">
        <f>IF(C_Ope_001[[#This Row],[FECHA]]&gt;0,TEXT(C_Ope_001[[#This Row],[FECHA]],"mmmm"),0)</f>
        <v>Julio</v>
      </c>
    </row>
    <row r="321" spans="2:28" ht="36" x14ac:dyDescent="0.3">
      <c r="B321" s="2">
        <f>IF(C_Ope_001[[#This Row],[TIPO DE R.]]="R",COUNTIFS($D$4:$D320,"R")+1,"")</f>
        <v>317</v>
      </c>
      <c r="C321" s="19" t="str">
        <f>"C_Ope_001"</f>
        <v>C_Ope_001</v>
      </c>
      <c r="D321" s="3" t="s">
        <v>1074</v>
      </c>
      <c r="E321" s="14">
        <v>45848</v>
      </c>
      <c r="F321" s="5" t="s">
        <v>6538</v>
      </c>
      <c r="G321" s="5" t="s">
        <v>1079</v>
      </c>
      <c r="H321" s="6" t="s">
        <v>624</v>
      </c>
      <c r="I321" s="6" t="s">
        <v>14</v>
      </c>
      <c r="J321" s="6" t="s">
        <v>1097</v>
      </c>
      <c r="K321" s="6">
        <v>16933</v>
      </c>
      <c r="L321" s="7" t="s">
        <v>6705</v>
      </c>
      <c r="M321" s="8">
        <v>24848</v>
      </c>
      <c r="N321" s="8" t="str">
        <f>"PEN"</f>
        <v>PEN</v>
      </c>
      <c r="O321" s="13"/>
      <c r="P321" s="13">
        <v>20</v>
      </c>
      <c r="Q321" s="3">
        <f t="shared" si="22"/>
        <v>0</v>
      </c>
      <c r="R321" s="3">
        <f t="shared" si="23"/>
        <v>20</v>
      </c>
      <c r="S321" s="3">
        <f t="shared" si="24"/>
        <v>90.590000000000032</v>
      </c>
      <c r="T321" s="24" t="s">
        <v>1081</v>
      </c>
      <c r="U321" s="24"/>
      <c r="V321" s="3"/>
      <c r="W321" s="25" t="s">
        <v>6539</v>
      </c>
      <c r="X321" s="25">
        <v>20259858934</v>
      </c>
      <c r="Y321" s="25" t="str">
        <f>IFERROR(VLOOKUP(C_Ope_001[[#This Row],[NOTA 2]],Clientes_Proveedores[[Ruc / Dni]:[Razon Social]],2,0),"")</f>
        <v>COMERCIALIZACION Y SERVICIOS EL EDEN S.A.C.</v>
      </c>
      <c r="Z321" s="25" t="s">
        <v>4972</v>
      </c>
      <c r="AA321" s="130"/>
      <c r="AB321" s="3" t="str">
        <f>IF(C_Ope_001[[#This Row],[FECHA]]&gt;0,TEXT(C_Ope_001[[#This Row],[FECHA]],"mmmm"),0)</f>
        <v>Julio</v>
      </c>
    </row>
    <row r="322" spans="2:28" ht="24" x14ac:dyDescent="0.3">
      <c r="B322" s="2">
        <f>IF(C_Ope_001[[#This Row],[TIPO DE R.]]="R",COUNTIFS($D$4:$D321,"R")+1,"")</f>
        <v>318</v>
      </c>
      <c r="C322" s="19" t="str">
        <f t="shared" si="28"/>
        <v>C_Ope_001</v>
      </c>
      <c r="D322" s="3" t="s">
        <v>1074</v>
      </c>
      <c r="E322" s="14">
        <v>45848</v>
      </c>
      <c r="F322" s="5" t="s">
        <v>6538</v>
      </c>
      <c r="G322" s="5" t="s">
        <v>1079</v>
      </c>
      <c r="H322" s="6" t="s">
        <v>919</v>
      </c>
      <c r="I322" s="6" t="s">
        <v>14</v>
      </c>
      <c r="J322" s="6" t="s">
        <v>5244</v>
      </c>
      <c r="K322" s="6">
        <v>1780700</v>
      </c>
      <c r="L322" s="7" t="s">
        <v>6706</v>
      </c>
      <c r="M322" s="8">
        <v>24843</v>
      </c>
      <c r="N322" s="8" t="str">
        <f t="shared" si="27"/>
        <v>PEN</v>
      </c>
      <c r="O322" s="13"/>
      <c r="P322" s="13">
        <v>5</v>
      </c>
      <c r="Q322" s="3">
        <f t="shared" si="22"/>
        <v>0</v>
      </c>
      <c r="R322" s="3">
        <f t="shared" si="23"/>
        <v>5</v>
      </c>
      <c r="S322" s="3">
        <f t="shared" si="24"/>
        <v>85.590000000000032</v>
      </c>
      <c r="T322" s="24" t="s">
        <v>1081</v>
      </c>
      <c r="U322" s="24"/>
      <c r="V322" s="3"/>
      <c r="W322" s="25" t="s">
        <v>6539</v>
      </c>
      <c r="X322" s="25">
        <v>20517252558</v>
      </c>
      <c r="Y322" s="25" t="str">
        <f>IFERROR(VLOOKUP(C_Ope_001[[#This Row],[NOTA 2]],Clientes_Proveedores[[Ruc / Dni]:[Razon Social]],2,0),"")</f>
        <v>COVISUR S.A.</v>
      </c>
      <c r="Z322" s="25" t="s">
        <v>6677</v>
      </c>
      <c r="AA322" s="130"/>
      <c r="AB322" s="3" t="str">
        <f>IF(C_Ope_001[[#This Row],[FECHA]]&gt;0,TEXT(C_Ope_001[[#This Row],[FECHA]],"mmmm"),0)</f>
        <v>Julio</v>
      </c>
    </row>
    <row r="323" spans="2:28" ht="24" x14ac:dyDescent="0.3">
      <c r="B323" s="2">
        <f>IF(C_Ope_001[[#This Row],[TIPO DE R.]]="R",COUNTIFS($D$4:$D322,"R")+1,"")</f>
        <v>319</v>
      </c>
      <c r="C323" s="19" t="str">
        <f t="shared" si="28"/>
        <v>C_Ope_001</v>
      </c>
      <c r="D323" s="3" t="s">
        <v>1074</v>
      </c>
      <c r="E323" s="14">
        <v>45848</v>
      </c>
      <c r="F323" s="5" t="s">
        <v>6538</v>
      </c>
      <c r="G323" s="5" t="s">
        <v>1079</v>
      </c>
      <c r="H323" s="6" t="s">
        <v>919</v>
      </c>
      <c r="I323" s="6" t="s">
        <v>14</v>
      </c>
      <c r="J323" s="6" t="s">
        <v>5245</v>
      </c>
      <c r="K323" s="6">
        <v>1800454</v>
      </c>
      <c r="L323" s="7" t="s">
        <v>6706</v>
      </c>
      <c r="M323" s="8">
        <v>24845</v>
      </c>
      <c r="N323" s="8" t="str">
        <f t="shared" si="27"/>
        <v>PEN</v>
      </c>
      <c r="O323" s="13"/>
      <c r="P323" s="13">
        <v>5</v>
      </c>
      <c r="Q323" s="3">
        <f t="shared" si="22"/>
        <v>0</v>
      </c>
      <c r="R323" s="3">
        <f t="shared" si="23"/>
        <v>5</v>
      </c>
      <c r="S323" s="3">
        <f t="shared" si="24"/>
        <v>80.590000000000032</v>
      </c>
      <c r="T323" s="24" t="s">
        <v>1081</v>
      </c>
      <c r="U323" s="24"/>
      <c r="V323" s="3"/>
      <c r="W323" s="25" t="s">
        <v>6539</v>
      </c>
      <c r="X323" s="25">
        <v>20517252558</v>
      </c>
      <c r="Y323" s="25" t="str">
        <f>IFERROR(VLOOKUP(C_Ope_001[[#This Row],[NOTA 2]],Clientes_Proveedores[[Ruc / Dni]:[Razon Social]],2,0),"")</f>
        <v>COVISUR S.A.</v>
      </c>
      <c r="Z323" s="25" t="s">
        <v>6677</v>
      </c>
      <c r="AA323" s="130"/>
      <c r="AB323" s="3" t="str">
        <f>IF(C_Ope_001[[#This Row],[FECHA]]&gt;0,TEXT(C_Ope_001[[#This Row],[FECHA]],"mmmm"),0)</f>
        <v>Julio</v>
      </c>
    </row>
    <row r="324" spans="2:28" ht="24" x14ac:dyDescent="0.3">
      <c r="B324" s="2">
        <f>IF(C_Ope_001[[#This Row],[TIPO DE R.]]="R",COUNTIFS($D$4:$D323,"R")+1,"")</f>
        <v>320</v>
      </c>
      <c r="C324" s="19" t="str">
        <f t="shared" si="28"/>
        <v>C_Ope_001</v>
      </c>
      <c r="D324" s="3" t="s">
        <v>1074</v>
      </c>
      <c r="E324" s="14">
        <v>45849</v>
      </c>
      <c r="F324" s="5" t="s">
        <v>6538</v>
      </c>
      <c r="G324" s="5" t="s">
        <v>1079</v>
      </c>
      <c r="H324" s="6" t="s">
        <v>919</v>
      </c>
      <c r="I324" s="6" t="s">
        <v>14</v>
      </c>
      <c r="J324" s="6" t="s">
        <v>5243</v>
      </c>
      <c r="K324" s="6">
        <v>2394567</v>
      </c>
      <c r="L324" s="7" t="s">
        <v>6707</v>
      </c>
      <c r="M324" s="8">
        <v>24872</v>
      </c>
      <c r="N324" s="8" t="str">
        <f t="shared" si="27"/>
        <v>PEN</v>
      </c>
      <c r="O324" s="13"/>
      <c r="P324" s="13">
        <v>8</v>
      </c>
      <c r="Q324" s="3">
        <f t="shared" ref="Q324:Q329" si="33">+IF(OR($G324="SALDO",$G324="INGRESO"),$P324,0)</f>
        <v>0</v>
      </c>
      <c r="R324" s="3">
        <f t="shared" ref="R324:R329" si="34">+IF($G324="EGRESO",$P324,0)</f>
        <v>8</v>
      </c>
      <c r="S324" s="3">
        <f t="shared" si="24"/>
        <v>72.590000000000032</v>
      </c>
      <c r="T324" s="24" t="s">
        <v>1081</v>
      </c>
      <c r="U324" s="24"/>
      <c r="V324" s="3"/>
      <c r="W324" s="25" t="s">
        <v>6541</v>
      </c>
      <c r="X324" s="25">
        <v>20517252558</v>
      </c>
      <c r="Y324" s="25" t="str">
        <f>IFERROR(VLOOKUP(C_Ope_001[[#This Row],[NOTA 2]],Clientes_Proveedores[[Ruc / Dni]:[Razon Social]],2,0),"")</f>
        <v>COVISUR S.A.</v>
      </c>
      <c r="Z324" s="25" t="s">
        <v>6677</v>
      </c>
      <c r="AA324" s="130"/>
      <c r="AB324" s="3" t="str">
        <f>IF(C_Ope_001[[#This Row],[FECHA]]&gt;0,TEXT(C_Ope_001[[#This Row],[FECHA]],"mmmm"),0)</f>
        <v>Julio</v>
      </c>
    </row>
    <row r="325" spans="2:28" ht="24" x14ac:dyDescent="0.3">
      <c r="B325" s="2">
        <f>IF(C_Ope_001[[#This Row],[TIPO DE R.]]="R",COUNTIFS($D$4:$D324,"R")+1,"")</f>
        <v>321</v>
      </c>
      <c r="C325" s="19" t="str">
        <f t="shared" si="28"/>
        <v>C_Ope_001</v>
      </c>
      <c r="D325" s="3" t="s">
        <v>1074</v>
      </c>
      <c r="E325" s="14">
        <v>45849</v>
      </c>
      <c r="F325" s="5" t="s">
        <v>6538</v>
      </c>
      <c r="G325" s="5" t="s">
        <v>1079</v>
      </c>
      <c r="H325" s="6" t="s">
        <v>919</v>
      </c>
      <c r="I325" s="6" t="s">
        <v>14</v>
      </c>
      <c r="J325" s="6" t="s">
        <v>5245</v>
      </c>
      <c r="K325" s="6">
        <v>1801056</v>
      </c>
      <c r="L325" s="7" t="s">
        <v>6707</v>
      </c>
      <c r="M325" s="8">
        <v>24873</v>
      </c>
      <c r="N325" s="8" t="str">
        <f t="shared" si="27"/>
        <v>PEN</v>
      </c>
      <c r="O325" s="13"/>
      <c r="P325" s="13">
        <v>8</v>
      </c>
      <c r="Q325" s="3">
        <f t="shared" si="33"/>
        <v>0</v>
      </c>
      <c r="R325" s="3">
        <f t="shared" si="34"/>
        <v>8</v>
      </c>
      <c r="S325" s="3">
        <f t="shared" ref="S325:S388" si="35">IFERROR(IF(G325="SALDO",Q325,S324+Q325-R325),0)</f>
        <v>64.590000000000032</v>
      </c>
      <c r="T325" s="24" t="s">
        <v>1081</v>
      </c>
      <c r="U325" s="24"/>
      <c r="V325" s="3"/>
      <c r="W325" s="25" t="s">
        <v>6541</v>
      </c>
      <c r="X325" s="25">
        <v>20517252558</v>
      </c>
      <c r="Y325" s="25" t="str">
        <f>IFERROR(VLOOKUP(C_Ope_001[[#This Row],[NOTA 2]],Clientes_Proveedores[[Ruc / Dni]:[Razon Social]],2,0),"")</f>
        <v>COVISUR S.A.</v>
      </c>
      <c r="Z325" s="25" t="s">
        <v>6677</v>
      </c>
      <c r="AA325" s="130"/>
      <c r="AB325" s="3" t="str">
        <f>IF(C_Ope_001[[#This Row],[FECHA]]&gt;0,TEXT(C_Ope_001[[#This Row],[FECHA]],"mmmm"),0)</f>
        <v>Julio</v>
      </c>
    </row>
    <row r="326" spans="2:28" ht="36" x14ac:dyDescent="0.3">
      <c r="B326" s="2">
        <f>IF(C_Ope_001[[#This Row],[TIPO DE R.]]="R",COUNTIFS($D$4:$D325,"R")+1,"")</f>
        <v>322</v>
      </c>
      <c r="C326" s="19" t="str">
        <f>"C_Ope_001"</f>
        <v>C_Ope_001</v>
      </c>
      <c r="D326" s="3" t="s">
        <v>1074</v>
      </c>
      <c r="E326" s="14">
        <v>45849</v>
      </c>
      <c r="F326" s="5" t="s">
        <v>6538</v>
      </c>
      <c r="G326" s="5" t="s">
        <v>1079</v>
      </c>
      <c r="H326" s="6" t="s">
        <v>170</v>
      </c>
      <c r="I326" s="6" t="s">
        <v>14</v>
      </c>
      <c r="J326" s="6" t="s">
        <v>1148</v>
      </c>
      <c r="K326" s="6">
        <v>134039</v>
      </c>
      <c r="L326" s="7" t="s">
        <v>6704</v>
      </c>
      <c r="M326" s="8">
        <v>24874</v>
      </c>
      <c r="N326" s="8" t="str">
        <f>"PEN"</f>
        <v>PEN</v>
      </c>
      <c r="O326" s="13"/>
      <c r="P326" s="13">
        <v>10</v>
      </c>
      <c r="Q326" s="3">
        <f t="shared" si="33"/>
        <v>0</v>
      </c>
      <c r="R326" s="3">
        <f t="shared" si="34"/>
        <v>10</v>
      </c>
      <c r="S326" s="3">
        <f t="shared" si="35"/>
        <v>54.590000000000032</v>
      </c>
      <c r="T326" s="24" t="s">
        <v>1081</v>
      </c>
      <c r="U326" s="24"/>
      <c r="V326" s="3"/>
      <c r="W326" s="25" t="s">
        <v>6541</v>
      </c>
      <c r="X326" s="25">
        <v>20124952850</v>
      </c>
      <c r="Y326" s="25" t="str">
        <f>IFERROR(VLOOKUP(C_Ope_001[[#This Row],[NOTA 2]],Clientes_Proveedores[[Ruc / Dni]:[Razon Social]],2,0),"")</f>
        <v>ALIMENTOS Y SERVICIOS AGROPECUARIOS SRL.</v>
      </c>
      <c r="Z326" s="25" t="s">
        <v>4972</v>
      </c>
      <c r="AA326" s="130"/>
      <c r="AB326" s="3" t="str">
        <f>IF(C_Ope_001[[#This Row],[FECHA]]&gt;0,TEXT(C_Ope_001[[#This Row],[FECHA]],"mmmm"),0)</f>
        <v>Julio</v>
      </c>
    </row>
    <row r="327" spans="2:28" ht="24" x14ac:dyDescent="0.3">
      <c r="B327" s="2">
        <f>IF(C_Ope_001[[#This Row],[TIPO DE R.]]="R",COUNTIFS($D$4:$D326,"R")+1,"")</f>
        <v>323</v>
      </c>
      <c r="C327" s="19" t="str">
        <f t="shared" si="28"/>
        <v>C_Ope_001</v>
      </c>
      <c r="D327" s="3" t="s">
        <v>1074</v>
      </c>
      <c r="E327" s="14">
        <v>45852</v>
      </c>
      <c r="F327" s="5" t="s">
        <v>6538</v>
      </c>
      <c r="G327" s="5" t="s">
        <v>1079</v>
      </c>
      <c r="H327" s="6" t="s">
        <v>919</v>
      </c>
      <c r="I327" s="6" t="s">
        <v>14</v>
      </c>
      <c r="J327" s="6" t="s">
        <v>5242</v>
      </c>
      <c r="K327" s="6">
        <v>2110914</v>
      </c>
      <c r="L327" s="7" t="s">
        <v>6708</v>
      </c>
      <c r="M327" s="8">
        <v>24887</v>
      </c>
      <c r="N327" s="8" t="str">
        <f t="shared" si="27"/>
        <v>PEN</v>
      </c>
      <c r="O327" s="13"/>
      <c r="P327" s="13">
        <v>8</v>
      </c>
      <c r="Q327" s="3">
        <f t="shared" si="33"/>
        <v>0</v>
      </c>
      <c r="R327" s="3">
        <f t="shared" si="34"/>
        <v>8</v>
      </c>
      <c r="S327" s="3">
        <f t="shared" si="35"/>
        <v>46.590000000000032</v>
      </c>
      <c r="T327" s="24" t="s">
        <v>1081</v>
      </c>
      <c r="U327" s="24"/>
      <c r="V327" s="3"/>
      <c r="W327" s="25" t="s">
        <v>6541</v>
      </c>
      <c r="X327" s="25">
        <v>20517252558</v>
      </c>
      <c r="Y327" s="25" t="str">
        <f>IFERROR(VLOOKUP(C_Ope_001[[#This Row],[NOTA 2]],Clientes_Proveedores[[Ruc / Dni]:[Razon Social]],2,0),"")</f>
        <v>COVISUR S.A.</v>
      </c>
      <c r="Z327" s="25" t="s">
        <v>6677</v>
      </c>
      <c r="AA327" s="130"/>
      <c r="AB327" s="3" t="str">
        <f>IF(C_Ope_001[[#This Row],[FECHA]]&gt;0,TEXT(C_Ope_001[[#This Row],[FECHA]],"mmmm"),0)</f>
        <v>Julio</v>
      </c>
    </row>
    <row r="328" spans="2:28" ht="24" x14ac:dyDescent="0.3">
      <c r="B328" s="2">
        <f>IF(C_Ope_001[[#This Row],[TIPO DE R.]]="R",COUNTIFS($D$4:$D327,"R")+1,"")</f>
        <v>324</v>
      </c>
      <c r="C328" s="19" t="str">
        <f t="shared" si="28"/>
        <v>C_Ope_001</v>
      </c>
      <c r="D328" s="3" t="s">
        <v>1074</v>
      </c>
      <c r="E328" s="14">
        <v>45852</v>
      </c>
      <c r="F328" s="5" t="s">
        <v>6538</v>
      </c>
      <c r="G328" s="5" t="s">
        <v>1079</v>
      </c>
      <c r="H328" s="6" t="s">
        <v>919</v>
      </c>
      <c r="I328" s="6" t="s">
        <v>14</v>
      </c>
      <c r="J328" s="6" t="s">
        <v>5244</v>
      </c>
      <c r="K328" s="6">
        <v>1783194</v>
      </c>
      <c r="L328" s="7" t="s">
        <v>6708</v>
      </c>
      <c r="M328" s="8">
        <v>24888</v>
      </c>
      <c r="N328" s="8" t="str">
        <f t="shared" si="27"/>
        <v>PEN</v>
      </c>
      <c r="O328" s="13"/>
      <c r="P328" s="13">
        <v>8</v>
      </c>
      <c r="Q328" s="3">
        <f t="shared" si="33"/>
        <v>0</v>
      </c>
      <c r="R328" s="3">
        <f t="shared" si="34"/>
        <v>8</v>
      </c>
      <c r="S328" s="3">
        <f t="shared" si="35"/>
        <v>38.590000000000032</v>
      </c>
      <c r="T328" s="24" t="s">
        <v>1081</v>
      </c>
      <c r="U328" s="24"/>
      <c r="V328" s="3"/>
      <c r="W328" s="25" t="s">
        <v>6541</v>
      </c>
      <c r="X328" s="25">
        <v>20517252558</v>
      </c>
      <c r="Y328" s="25" t="str">
        <f>IFERROR(VLOOKUP(C_Ope_001[[#This Row],[NOTA 2]],Clientes_Proveedores[[Ruc / Dni]:[Razon Social]],2,0),"")</f>
        <v>COVISUR S.A.</v>
      </c>
      <c r="Z328" s="25" t="s">
        <v>6677</v>
      </c>
      <c r="AA328" s="130"/>
      <c r="AB328" s="3" t="str">
        <f>IF(C_Ope_001[[#This Row],[FECHA]]&gt;0,TEXT(C_Ope_001[[#This Row],[FECHA]],"mmmm"),0)</f>
        <v>Julio</v>
      </c>
    </row>
    <row r="329" spans="2:28" ht="36" x14ac:dyDescent="0.3">
      <c r="B329" s="2">
        <f>IF(C_Ope_001[[#This Row],[TIPO DE R.]]="R",COUNTIFS($D$4:$D328,"R")+1,"")</f>
        <v>325</v>
      </c>
      <c r="C329" s="19" t="str">
        <f>"C_Ope_001"</f>
        <v>C_Ope_001</v>
      </c>
      <c r="D329" s="3" t="s">
        <v>1074</v>
      </c>
      <c r="E329" s="14">
        <v>45852</v>
      </c>
      <c r="F329" s="5" t="s">
        <v>6538</v>
      </c>
      <c r="G329" s="5" t="s">
        <v>1079</v>
      </c>
      <c r="H329" s="6" t="s">
        <v>170</v>
      </c>
      <c r="I329" s="6" t="s">
        <v>14</v>
      </c>
      <c r="J329" s="6" t="s">
        <v>1148</v>
      </c>
      <c r="K329" s="6">
        <v>134128</v>
      </c>
      <c r="L329" s="7" t="s">
        <v>6680</v>
      </c>
      <c r="M329" s="8">
        <v>24889</v>
      </c>
      <c r="N329" s="8" t="str">
        <f>"PEN"</f>
        <v>PEN</v>
      </c>
      <c r="O329" s="13"/>
      <c r="P329" s="13">
        <v>10</v>
      </c>
      <c r="Q329" s="3">
        <f t="shared" si="33"/>
        <v>0</v>
      </c>
      <c r="R329" s="3">
        <f t="shared" si="34"/>
        <v>10</v>
      </c>
      <c r="S329" s="3">
        <f t="shared" si="35"/>
        <v>28.590000000000032</v>
      </c>
      <c r="T329" s="24" t="s">
        <v>1081</v>
      </c>
      <c r="U329" s="24"/>
      <c r="V329" s="3"/>
      <c r="W329" s="25" t="s">
        <v>6541</v>
      </c>
      <c r="X329" s="25">
        <v>20124952850</v>
      </c>
      <c r="Y329" s="25" t="str">
        <f>IFERROR(VLOOKUP(C_Ope_001[[#This Row],[NOTA 2]],Clientes_Proveedores[[Ruc / Dni]:[Razon Social]],2,0),"")</f>
        <v>ALIMENTOS Y SERVICIOS AGROPECUARIOS SRL.</v>
      </c>
      <c r="Z329" s="25" t="s">
        <v>4972</v>
      </c>
      <c r="AA329" s="130"/>
      <c r="AB329" s="3" t="str">
        <f>IF(C_Ope_001[[#This Row],[FECHA]]&gt;0,TEXT(C_Ope_001[[#This Row],[FECHA]],"mmmm"),0)</f>
        <v>Julio</v>
      </c>
    </row>
    <row r="330" spans="2:28" x14ac:dyDescent="0.3">
      <c r="B330" s="2">
        <f>IF(C_Ope_001[[#This Row],[TIPO DE R.]]="R",COUNTIFS($D$4:$D329,"R")+1,"")</f>
        <v>326</v>
      </c>
      <c r="C330" s="19" t="str">
        <f>"C_Ope_001"</f>
        <v>C_Ope_001</v>
      </c>
      <c r="D330" s="3" t="s">
        <v>1074</v>
      </c>
      <c r="E330" s="14">
        <v>45853</v>
      </c>
      <c r="F330" s="5" t="s">
        <v>6538</v>
      </c>
      <c r="G330" s="5" t="s">
        <v>1079</v>
      </c>
      <c r="H330" s="6" t="s">
        <v>919</v>
      </c>
      <c r="I330" s="6" t="s">
        <v>14</v>
      </c>
      <c r="J330" s="6" t="s">
        <v>5245</v>
      </c>
      <c r="K330" s="6">
        <v>1804256</v>
      </c>
      <c r="L330" s="7" t="s">
        <v>6709</v>
      </c>
      <c r="M330" s="8">
        <v>24893</v>
      </c>
      <c r="N330" s="8" t="str">
        <f>"PEN"</f>
        <v>PEN</v>
      </c>
      <c r="O330" s="13"/>
      <c r="P330" s="13">
        <v>8</v>
      </c>
      <c r="Q330" s="3">
        <f>+IF(OR($G330="SALDO",$G330="INGRESO"),$P330,0)</f>
        <v>0</v>
      </c>
      <c r="R330" s="3">
        <f>+IF($G330="EGRESO",$P330,0)</f>
        <v>8</v>
      </c>
      <c r="S330" s="3">
        <f t="shared" si="35"/>
        <v>20.590000000000032</v>
      </c>
      <c r="T330" s="24" t="s">
        <v>1081</v>
      </c>
      <c r="U330" s="24"/>
      <c r="V330" s="3"/>
      <c r="W330" s="25" t="s">
        <v>6541</v>
      </c>
      <c r="X330" s="25">
        <v>20517252558</v>
      </c>
      <c r="Y330" s="25" t="str">
        <f>IFERROR(VLOOKUP(C_Ope_001[[#This Row],[NOTA 2]],Clientes_Proveedores[[Ruc / Dni]:[Razon Social]],2,0),"")</f>
        <v>COVISUR S.A.</v>
      </c>
      <c r="Z330" s="25" t="s">
        <v>6677</v>
      </c>
      <c r="AA330" s="130"/>
      <c r="AB330" s="3" t="str">
        <f>IF(C_Ope_001[[#This Row],[FECHA]]&gt;0,TEXT(C_Ope_001[[#This Row],[FECHA]],"mmmm"),0)</f>
        <v>Julio</v>
      </c>
    </row>
    <row r="331" spans="2:28" x14ac:dyDescent="0.3">
      <c r="B331" s="2">
        <f>IF(C_Ope_001[[#This Row],[TIPO DE R.]]="R",COUNTIFS($D$4:$D330,"R")+1,"")</f>
        <v>327</v>
      </c>
      <c r="C331" s="19" t="str">
        <f>"C_Ope_001"</f>
        <v>C_Ope_001</v>
      </c>
      <c r="D331" s="3" t="s">
        <v>1074</v>
      </c>
      <c r="E331" s="14">
        <v>45853</v>
      </c>
      <c r="F331" s="5" t="s">
        <v>6538</v>
      </c>
      <c r="G331" s="5" t="s">
        <v>1079</v>
      </c>
      <c r="H331" s="6" t="s">
        <v>919</v>
      </c>
      <c r="I331" s="6" t="s">
        <v>14</v>
      </c>
      <c r="J331" s="6" t="s">
        <v>5244</v>
      </c>
      <c r="K331" s="6">
        <v>1784393</v>
      </c>
      <c r="L331" s="7" t="s">
        <v>6709</v>
      </c>
      <c r="M331" s="8">
        <v>24894</v>
      </c>
      <c r="N331" s="8" t="str">
        <f>"PEN"</f>
        <v>PEN</v>
      </c>
      <c r="O331" s="13"/>
      <c r="P331" s="13">
        <v>8</v>
      </c>
      <c r="Q331" s="3">
        <f>+IF(OR($G331="SALDO",$G331="INGRESO"),$P331,0)</f>
        <v>0</v>
      </c>
      <c r="R331" s="3">
        <f>+IF($G331="EGRESO",$P331,0)</f>
        <v>8</v>
      </c>
      <c r="S331" s="3">
        <f t="shared" si="35"/>
        <v>12.590000000000032</v>
      </c>
      <c r="T331" s="24" t="s">
        <v>1081</v>
      </c>
      <c r="U331" s="24"/>
      <c r="V331" s="3"/>
      <c r="W331" s="25" t="s">
        <v>6541</v>
      </c>
      <c r="X331" s="25">
        <v>20517252558</v>
      </c>
      <c r="Y331" s="25" t="str">
        <f>IFERROR(VLOOKUP(C_Ope_001[[#This Row],[NOTA 2]],Clientes_Proveedores[[Ruc / Dni]:[Razon Social]],2,0),"")</f>
        <v>COVISUR S.A.</v>
      </c>
      <c r="Z331" s="25" t="s">
        <v>6677</v>
      </c>
      <c r="AA331" s="130"/>
      <c r="AB331" s="3" t="str">
        <f>IF(C_Ope_001[[#This Row],[FECHA]]&gt;0,TEXT(C_Ope_001[[#This Row],[FECHA]],"mmmm"),0)</f>
        <v>Julio</v>
      </c>
    </row>
    <row r="332" spans="2:28" ht="24" x14ac:dyDescent="0.3">
      <c r="B332" s="2">
        <f>IF(C_Ope_001[[#This Row],[TIPO DE R.]]="R",COUNTIFS($D$4:$D331,"R")+1,"")</f>
        <v>328</v>
      </c>
      <c r="C332" s="19" t="str">
        <f>"C_Ope_001"</f>
        <v>C_Ope_001</v>
      </c>
      <c r="D332" s="3" t="s">
        <v>1074</v>
      </c>
      <c r="E332" s="14">
        <v>45853</v>
      </c>
      <c r="F332" s="5" t="s">
        <v>6538</v>
      </c>
      <c r="G332" s="5" t="s">
        <v>1079</v>
      </c>
      <c r="H332" s="6" t="s">
        <v>940</v>
      </c>
      <c r="I332" s="6" t="s">
        <v>14</v>
      </c>
      <c r="J332" s="6" t="s">
        <v>1119</v>
      </c>
      <c r="K332" s="6">
        <v>18731</v>
      </c>
      <c r="L332" s="7" t="s">
        <v>6682</v>
      </c>
      <c r="M332" s="8">
        <v>24895</v>
      </c>
      <c r="N332" s="8" t="str">
        <f>"PEN"</f>
        <v>PEN</v>
      </c>
      <c r="O332" s="13"/>
      <c r="P332" s="13">
        <v>25</v>
      </c>
      <c r="Q332" s="3">
        <f>+IF(OR($G332="SALDO",$G332="INGRESO"),$P332,0)</f>
        <v>0</v>
      </c>
      <c r="R332" s="3">
        <f>+IF($G332="EGRESO",$P332,0)</f>
        <v>25</v>
      </c>
      <c r="S332" s="3">
        <f t="shared" si="35"/>
        <v>-12.409999999999968</v>
      </c>
      <c r="T332" s="24" t="s">
        <v>1081</v>
      </c>
      <c r="U332" s="24"/>
      <c r="V332" s="3"/>
      <c r="W332" s="25" t="s">
        <v>6541</v>
      </c>
      <c r="X332" s="25">
        <v>10705628331</v>
      </c>
      <c r="Y332" s="25" t="str">
        <f>IFERROR(VLOOKUP(C_Ope_001[[#This Row],[NOTA 2]],Clientes_Proveedores[[Ruc / Dni]:[Razon Social]],2,0),"")</f>
        <v>LARICO APAZA NANCY ROSSMARY</v>
      </c>
      <c r="Z332" s="25" t="s">
        <v>6683</v>
      </c>
      <c r="AA332" s="130"/>
      <c r="AB332" s="3" t="str">
        <f>IF(C_Ope_001[[#This Row],[FECHA]]&gt;0,TEXT(C_Ope_001[[#This Row],[FECHA]],"mmmm"),0)</f>
        <v>Julio</v>
      </c>
    </row>
    <row r="333" spans="2:28" x14ac:dyDescent="0.3">
      <c r="B333" s="2">
        <f>IF(C_Ope_001[[#This Row],[TIPO DE R.]]="R",COUNTIFS($D$4:$D332,"R")+1,"")</f>
        <v>329</v>
      </c>
      <c r="C333" s="19" t="str">
        <f t="shared" ref="C333:C341" si="36">"C_Ope_001"</f>
        <v>C_Ope_001</v>
      </c>
      <c r="D333" s="3" t="s">
        <v>1074</v>
      </c>
      <c r="E333" s="14">
        <v>45854</v>
      </c>
      <c r="F333" s="5" t="s">
        <v>6538</v>
      </c>
      <c r="G333" s="5" t="s">
        <v>1079</v>
      </c>
      <c r="H333" s="6" t="s">
        <v>919</v>
      </c>
      <c r="I333" s="6" t="s">
        <v>14</v>
      </c>
      <c r="J333" s="6" t="s">
        <v>5245</v>
      </c>
      <c r="K333" s="6">
        <v>1805464</v>
      </c>
      <c r="L333" s="7" t="s">
        <v>6710</v>
      </c>
      <c r="M333" s="8">
        <v>24916</v>
      </c>
      <c r="N333" s="8" t="str">
        <f t="shared" ref="N333:N341" si="37">"PEN"</f>
        <v>PEN</v>
      </c>
      <c r="O333" s="13"/>
      <c r="P333" s="13">
        <v>5</v>
      </c>
      <c r="Q333" s="3">
        <f t="shared" ref="Q333:Q341" si="38">+IF(OR($G333="SALDO",$G333="INGRESO"),$P333,0)</f>
        <v>0</v>
      </c>
      <c r="R333" s="3">
        <f t="shared" ref="R333:R341" si="39">+IF($G333="EGRESO",$P333,0)</f>
        <v>5</v>
      </c>
      <c r="S333" s="3">
        <f t="shared" si="35"/>
        <v>-17.409999999999968</v>
      </c>
      <c r="T333" s="24" t="s">
        <v>1081</v>
      </c>
      <c r="U333" s="24"/>
      <c r="V333" s="3"/>
      <c r="W333" s="25" t="s">
        <v>6539</v>
      </c>
      <c r="X333" s="25">
        <v>20517252558</v>
      </c>
      <c r="Y333" s="25" t="str">
        <f>IFERROR(VLOOKUP(C_Ope_001[[#This Row],[NOTA 2]],Clientes_Proveedores[[Ruc / Dni]:[Razon Social]],2,0),"")</f>
        <v>COVISUR S.A.</v>
      </c>
      <c r="Z333" s="25" t="s">
        <v>6677</v>
      </c>
      <c r="AA333" s="130"/>
      <c r="AB333" s="3" t="str">
        <f>IF(C_Ope_001[[#This Row],[FECHA]]&gt;0,TEXT(C_Ope_001[[#This Row],[FECHA]],"mmmm"),0)</f>
        <v>Julio</v>
      </c>
    </row>
    <row r="334" spans="2:28" x14ac:dyDescent="0.3">
      <c r="B334" s="2">
        <f>IF(C_Ope_001[[#This Row],[TIPO DE R.]]="R",COUNTIFS($D$4:$D333,"R")+1,"")</f>
        <v>330</v>
      </c>
      <c r="C334" s="19" t="str">
        <f t="shared" si="36"/>
        <v>C_Ope_001</v>
      </c>
      <c r="D334" s="3" t="s">
        <v>1074</v>
      </c>
      <c r="E334" s="14">
        <v>45854</v>
      </c>
      <c r="F334" s="5" t="s">
        <v>6538</v>
      </c>
      <c r="G334" s="5" t="s">
        <v>1079</v>
      </c>
      <c r="H334" s="6" t="s">
        <v>919</v>
      </c>
      <c r="I334" s="6" t="s">
        <v>14</v>
      </c>
      <c r="J334" s="6" t="s">
        <v>5243</v>
      </c>
      <c r="K334" s="6">
        <v>2399584</v>
      </c>
      <c r="L334" s="7" t="s">
        <v>6710</v>
      </c>
      <c r="M334" s="8">
        <v>24917</v>
      </c>
      <c r="N334" s="8" t="str">
        <f t="shared" si="37"/>
        <v>PEN</v>
      </c>
      <c r="O334" s="13"/>
      <c r="P334" s="13">
        <v>5</v>
      </c>
      <c r="Q334" s="3">
        <f t="shared" si="38"/>
        <v>0</v>
      </c>
      <c r="R334" s="3">
        <f t="shared" si="39"/>
        <v>5</v>
      </c>
      <c r="S334" s="3">
        <f t="shared" si="35"/>
        <v>-22.409999999999968</v>
      </c>
      <c r="T334" s="24" t="s">
        <v>1081</v>
      </c>
      <c r="U334" s="24"/>
      <c r="V334" s="3"/>
      <c r="W334" s="25" t="s">
        <v>6539</v>
      </c>
      <c r="X334" s="25">
        <v>20517252558</v>
      </c>
      <c r="Y334" s="25" t="str">
        <f>IFERROR(VLOOKUP(C_Ope_001[[#This Row],[NOTA 2]],Clientes_Proveedores[[Ruc / Dni]:[Razon Social]],2,0),"")</f>
        <v>COVISUR S.A.</v>
      </c>
      <c r="Z334" s="25" t="s">
        <v>6677</v>
      </c>
      <c r="AA334" s="130"/>
      <c r="AB334" s="3" t="str">
        <f>IF(C_Ope_001[[#This Row],[FECHA]]&gt;0,TEXT(C_Ope_001[[#This Row],[FECHA]],"mmmm"),0)</f>
        <v>Julio</v>
      </c>
    </row>
    <row r="335" spans="2:28" x14ac:dyDescent="0.3">
      <c r="B335" s="2">
        <f>IF(C_Ope_001[[#This Row],[TIPO DE R.]]="R",COUNTIFS($D$4:$D334,"R")+1,"")</f>
        <v>331</v>
      </c>
      <c r="C335" s="19" t="str">
        <f t="shared" si="36"/>
        <v>C_Ope_001</v>
      </c>
      <c r="D335" s="3" t="s">
        <v>1074</v>
      </c>
      <c r="E335" s="14">
        <v>45855</v>
      </c>
      <c r="F335" s="5" t="s">
        <v>6538</v>
      </c>
      <c r="G335" s="5" t="s">
        <v>1079</v>
      </c>
      <c r="H335" s="6" t="s">
        <v>919</v>
      </c>
      <c r="I335" s="6" t="s">
        <v>14</v>
      </c>
      <c r="J335" s="6" t="s">
        <v>5245</v>
      </c>
      <c r="K335" s="6">
        <v>1806426</v>
      </c>
      <c r="L335" s="7" t="s">
        <v>6711</v>
      </c>
      <c r="M335" s="8">
        <v>24914</v>
      </c>
      <c r="N335" s="8" t="str">
        <f t="shared" si="37"/>
        <v>PEN</v>
      </c>
      <c r="O335" s="13"/>
      <c r="P335" s="13">
        <v>8</v>
      </c>
      <c r="Q335" s="3">
        <f t="shared" si="38"/>
        <v>0</v>
      </c>
      <c r="R335" s="3">
        <f t="shared" si="39"/>
        <v>8</v>
      </c>
      <c r="S335" s="3">
        <f t="shared" si="35"/>
        <v>-30.409999999999968</v>
      </c>
      <c r="T335" s="24" t="s">
        <v>1081</v>
      </c>
      <c r="U335" s="24"/>
      <c r="V335" s="3"/>
      <c r="W335" s="25" t="s">
        <v>6541</v>
      </c>
      <c r="X335" s="25">
        <v>20517252558</v>
      </c>
      <c r="Y335" s="25" t="str">
        <f>IFERROR(VLOOKUP(C_Ope_001[[#This Row],[NOTA 2]],Clientes_Proveedores[[Ruc / Dni]:[Razon Social]],2,0),"")</f>
        <v>COVISUR S.A.</v>
      </c>
      <c r="Z335" s="25" t="s">
        <v>6677</v>
      </c>
      <c r="AA335" s="130"/>
      <c r="AB335" s="3" t="str">
        <f>IF(C_Ope_001[[#This Row],[FECHA]]&gt;0,TEXT(C_Ope_001[[#This Row],[FECHA]],"mmmm"),0)</f>
        <v>Julio</v>
      </c>
    </row>
    <row r="336" spans="2:28" x14ac:dyDescent="0.3">
      <c r="B336" s="2">
        <f>IF(C_Ope_001[[#This Row],[TIPO DE R.]]="R",COUNTIFS($D$4:$D335,"R")+1,"")</f>
        <v>332</v>
      </c>
      <c r="C336" s="19" t="str">
        <f t="shared" si="36"/>
        <v>C_Ope_001</v>
      </c>
      <c r="D336" s="3" t="s">
        <v>1074</v>
      </c>
      <c r="E336" s="14">
        <v>45855</v>
      </c>
      <c r="F336" s="5" t="s">
        <v>6538</v>
      </c>
      <c r="G336" s="5" t="s">
        <v>1079</v>
      </c>
      <c r="H336" s="6" t="s">
        <v>919</v>
      </c>
      <c r="I336" s="6" t="s">
        <v>14</v>
      </c>
      <c r="J336" s="6" t="s">
        <v>5244</v>
      </c>
      <c r="K336" s="6">
        <v>1786516</v>
      </c>
      <c r="L336" s="7" t="s">
        <v>6711</v>
      </c>
      <c r="M336" s="8">
        <v>24915</v>
      </c>
      <c r="N336" s="8" t="str">
        <f t="shared" si="37"/>
        <v>PEN</v>
      </c>
      <c r="O336" s="13"/>
      <c r="P336" s="13">
        <v>8</v>
      </c>
      <c r="Q336" s="3">
        <f t="shared" si="38"/>
        <v>0</v>
      </c>
      <c r="R336" s="3">
        <f t="shared" si="39"/>
        <v>8</v>
      </c>
      <c r="S336" s="3">
        <f t="shared" si="35"/>
        <v>-38.409999999999968</v>
      </c>
      <c r="T336" s="24" t="s">
        <v>1081</v>
      </c>
      <c r="U336" s="24"/>
      <c r="V336" s="3"/>
      <c r="W336" s="25" t="s">
        <v>6541</v>
      </c>
      <c r="X336" s="25">
        <v>20517252558</v>
      </c>
      <c r="Y336" s="25" t="str">
        <f>IFERROR(VLOOKUP(C_Ope_001[[#This Row],[NOTA 2]],Clientes_Proveedores[[Ruc / Dni]:[Razon Social]],2,0),"")</f>
        <v>COVISUR S.A.</v>
      </c>
      <c r="Z336" s="25" t="s">
        <v>6677</v>
      </c>
      <c r="AA336" s="130"/>
      <c r="AB336" s="3" t="str">
        <f>IF(C_Ope_001[[#This Row],[FECHA]]&gt;0,TEXT(C_Ope_001[[#This Row],[FECHA]],"mmmm"),0)</f>
        <v>Julio</v>
      </c>
    </row>
    <row r="337" spans="2:28" ht="36" x14ac:dyDescent="0.3">
      <c r="B337" s="2">
        <f>IF(C_Ope_001[[#This Row],[TIPO DE R.]]="R",COUNTIFS($D$4:$D336,"R")+1,"")</f>
        <v>333</v>
      </c>
      <c r="C337" s="19" t="str">
        <f t="shared" si="36"/>
        <v>C_Ope_001</v>
      </c>
      <c r="D337" s="3" t="s">
        <v>1074</v>
      </c>
      <c r="E337" s="14">
        <v>45855</v>
      </c>
      <c r="F337" s="5" t="s">
        <v>6538</v>
      </c>
      <c r="G337" s="5" t="s">
        <v>1079</v>
      </c>
      <c r="H337" s="6" t="s">
        <v>624</v>
      </c>
      <c r="I337" s="6" t="s">
        <v>14</v>
      </c>
      <c r="J337" s="6" t="s">
        <v>1097</v>
      </c>
      <c r="K337" s="6">
        <v>17012</v>
      </c>
      <c r="L337" s="7" t="s">
        <v>6712</v>
      </c>
      <c r="M337" s="8">
        <v>24918</v>
      </c>
      <c r="N337" s="8" t="str">
        <f t="shared" si="37"/>
        <v>PEN</v>
      </c>
      <c r="O337" s="13"/>
      <c r="P337" s="13">
        <v>20</v>
      </c>
      <c r="Q337" s="3">
        <f t="shared" si="38"/>
        <v>0</v>
      </c>
      <c r="R337" s="3">
        <f t="shared" si="39"/>
        <v>20</v>
      </c>
      <c r="S337" s="3">
        <f t="shared" si="35"/>
        <v>-58.409999999999968</v>
      </c>
      <c r="T337" s="24" t="s">
        <v>1081</v>
      </c>
      <c r="U337" s="24"/>
      <c r="V337" s="3"/>
      <c r="W337" s="25" t="s">
        <v>6541</v>
      </c>
      <c r="X337" s="25">
        <v>20259858934</v>
      </c>
      <c r="Y337" s="25" t="str">
        <f>IFERROR(VLOOKUP(C_Ope_001[[#This Row],[NOTA 2]],Clientes_Proveedores[[Ruc / Dni]:[Razon Social]],2,0),"")</f>
        <v>COMERCIALIZACION Y SERVICIOS EL EDEN S.A.C.</v>
      </c>
      <c r="Z337" s="25" t="s">
        <v>4972</v>
      </c>
      <c r="AA337" s="130"/>
      <c r="AB337" s="3" t="str">
        <f>IF(C_Ope_001[[#This Row],[FECHA]]&gt;0,TEXT(C_Ope_001[[#This Row],[FECHA]],"mmmm"),0)</f>
        <v>Julio</v>
      </c>
    </row>
    <row r="338" spans="2:28" ht="36" x14ac:dyDescent="0.3">
      <c r="B338" s="2">
        <f>IF(C_Ope_001[[#This Row],[TIPO DE R.]]="R",COUNTIFS($D$4:$D337,"R")+1,"")</f>
        <v>334</v>
      </c>
      <c r="C338" s="19" t="str">
        <f t="shared" si="36"/>
        <v>C_Ope_001</v>
      </c>
      <c r="D338" s="3" t="s">
        <v>1074</v>
      </c>
      <c r="E338" s="14">
        <v>45856</v>
      </c>
      <c r="F338" s="5" t="s">
        <v>6538</v>
      </c>
      <c r="G338" s="5" t="s">
        <v>1079</v>
      </c>
      <c r="H338" s="6" t="s">
        <v>170</v>
      </c>
      <c r="I338" s="6" t="s">
        <v>14</v>
      </c>
      <c r="J338" s="6" t="s">
        <v>1148</v>
      </c>
      <c r="K338" s="6">
        <v>134324</v>
      </c>
      <c r="L338" s="7" t="s">
        <v>6680</v>
      </c>
      <c r="M338" s="8">
        <v>24945</v>
      </c>
      <c r="N338" s="8" t="str">
        <f t="shared" si="37"/>
        <v>PEN</v>
      </c>
      <c r="O338" s="13"/>
      <c r="P338" s="13">
        <v>10</v>
      </c>
      <c r="Q338" s="3">
        <f t="shared" si="38"/>
        <v>0</v>
      </c>
      <c r="R338" s="3">
        <f t="shared" si="39"/>
        <v>10</v>
      </c>
      <c r="S338" s="3">
        <f t="shared" si="35"/>
        <v>-68.409999999999968</v>
      </c>
      <c r="T338" s="24" t="s">
        <v>1081</v>
      </c>
      <c r="U338" s="24"/>
      <c r="V338" s="3"/>
      <c r="W338" s="25" t="s">
        <v>6541</v>
      </c>
      <c r="X338" s="25">
        <v>20124952850</v>
      </c>
      <c r="Y338" s="25" t="str">
        <f>IFERROR(VLOOKUP(C_Ope_001[[#This Row],[NOTA 2]],Clientes_Proveedores[[Ruc / Dni]:[Razon Social]],2,0),"")</f>
        <v>ALIMENTOS Y SERVICIOS AGROPECUARIOS SRL.</v>
      </c>
      <c r="Z338" s="25" t="s">
        <v>4972</v>
      </c>
      <c r="AA338" s="130"/>
      <c r="AB338" s="3" t="str">
        <f>IF(C_Ope_001[[#This Row],[FECHA]]&gt;0,TEXT(C_Ope_001[[#This Row],[FECHA]],"mmmm"),0)</f>
        <v>Julio</v>
      </c>
    </row>
    <row r="339" spans="2:28" ht="36" x14ac:dyDescent="0.3">
      <c r="B339" s="2">
        <f>IF(C_Ope_001[[#This Row],[TIPO DE R.]]="R",COUNTIFS($D$4:$D338,"R")+1,"")</f>
        <v>335</v>
      </c>
      <c r="C339" s="19" t="str">
        <f t="shared" si="36"/>
        <v>C_Ope_001</v>
      </c>
      <c r="D339" s="3" t="s">
        <v>1074</v>
      </c>
      <c r="E339" s="14">
        <v>45856</v>
      </c>
      <c r="F339" s="5" t="s">
        <v>6538</v>
      </c>
      <c r="G339" s="5" t="s">
        <v>1079</v>
      </c>
      <c r="H339" s="6" t="s">
        <v>624</v>
      </c>
      <c r="I339" s="6" t="s">
        <v>14</v>
      </c>
      <c r="J339" s="6" t="s">
        <v>1097</v>
      </c>
      <c r="K339" s="6">
        <v>17025</v>
      </c>
      <c r="L339" s="7" t="s">
        <v>6713</v>
      </c>
      <c r="M339" s="8">
        <v>24946</v>
      </c>
      <c r="N339" s="8" t="str">
        <f t="shared" si="37"/>
        <v>PEN</v>
      </c>
      <c r="O339" s="13"/>
      <c r="P339" s="13">
        <v>20</v>
      </c>
      <c r="Q339" s="3">
        <f t="shared" si="38"/>
        <v>0</v>
      </c>
      <c r="R339" s="3">
        <f t="shared" si="39"/>
        <v>20</v>
      </c>
      <c r="S339" s="3">
        <f t="shared" si="35"/>
        <v>-88.409999999999968</v>
      </c>
      <c r="T339" s="24" t="s">
        <v>1081</v>
      </c>
      <c r="U339" s="24"/>
      <c r="V339" s="3"/>
      <c r="W339" s="25" t="s">
        <v>6541</v>
      </c>
      <c r="X339" s="25">
        <v>20259858934</v>
      </c>
      <c r="Y339" s="25" t="str">
        <f>IFERROR(VLOOKUP(C_Ope_001[[#This Row],[NOTA 2]],Clientes_Proveedores[[Ruc / Dni]:[Razon Social]],2,0),"")</f>
        <v>COMERCIALIZACION Y SERVICIOS EL EDEN S.A.C.</v>
      </c>
      <c r="Z339" s="25" t="s">
        <v>4972</v>
      </c>
      <c r="AA339" s="130"/>
      <c r="AB339" s="3" t="str">
        <f>IF(C_Ope_001[[#This Row],[FECHA]]&gt;0,TEXT(C_Ope_001[[#This Row],[FECHA]],"mmmm"),0)</f>
        <v>Julio</v>
      </c>
    </row>
    <row r="340" spans="2:28" x14ac:dyDescent="0.3">
      <c r="B340" s="2">
        <f>IF(C_Ope_001[[#This Row],[TIPO DE R.]]="R",COUNTIFS($D$4:$D339,"R")+1,"")</f>
        <v>336</v>
      </c>
      <c r="C340" s="19" t="str">
        <f t="shared" si="36"/>
        <v>C_Ope_001</v>
      </c>
      <c r="D340" s="3" t="s">
        <v>1074</v>
      </c>
      <c r="E340" s="14">
        <v>45856</v>
      </c>
      <c r="F340" s="5" t="s">
        <v>6538</v>
      </c>
      <c r="G340" s="5" t="s">
        <v>1079</v>
      </c>
      <c r="H340" s="6" t="s">
        <v>919</v>
      </c>
      <c r="I340" s="6" t="s">
        <v>14</v>
      </c>
      <c r="J340" s="6" t="s">
        <v>5242</v>
      </c>
      <c r="K340" s="6">
        <v>2115343</v>
      </c>
      <c r="L340" s="7" t="s">
        <v>6714</v>
      </c>
      <c r="M340" s="8">
        <v>24943</v>
      </c>
      <c r="N340" s="8" t="str">
        <f t="shared" si="37"/>
        <v>PEN</v>
      </c>
      <c r="O340" s="13"/>
      <c r="P340" s="13">
        <v>8</v>
      </c>
      <c r="Q340" s="3">
        <f t="shared" si="38"/>
        <v>0</v>
      </c>
      <c r="R340" s="3">
        <f t="shared" si="39"/>
        <v>8</v>
      </c>
      <c r="S340" s="3">
        <f t="shared" si="35"/>
        <v>-96.409999999999968</v>
      </c>
      <c r="T340" s="24" t="s">
        <v>1081</v>
      </c>
      <c r="U340" s="24"/>
      <c r="V340" s="3"/>
      <c r="W340" s="25" t="s">
        <v>6541</v>
      </c>
      <c r="X340" s="25">
        <v>20517252558</v>
      </c>
      <c r="Y340" s="25" t="str">
        <f>IFERROR(VLOOKUP(C_Ope_001[[#This Row],[NOTA 2]],Clientes_Proveedores[[Ruc / Dni]:[Razon Social]],2,0),"")</f>
        <v>COVISUR S.A.</v>
      </c>
      <c r="Z340" s="25" t="s">
        <v>6677</v>
      </c>
      <c r="AA340" s="130"/>
      <c r="AB340" s="3" t="str">
        <f>IF(C_Ope_001[[#This Row],[FECHA]]&gt;0,TEXT(C_Ope_001[[#This Row],[FECHA]],"mmmm"),0)</f>
        <v>Julio</v>
      </c>
    </row>
    <row r="341" spans="2:28" x14ac:dyDescent="0.3">
      <c r="B341" s="2">
        <f>IF(C_Ope_001[[#This Row],[TIPO DE R.]]="R",COUNTIFS($D$4:$D340,"R")+1,"")</f>
        <v>337</v>
      </c>
      <c r="C341" s="19" t="str">
        <f t="shared" si="36"/>
        <v>C_Ope_001</v>
      </c>
      <c r="D341" s="3" t="s">
        <v>1074</v>
      </c>
      <c r="E341" s="14">
        <v>45856</v>
      </c>
      <c r="F341" s="5" t="s">
        <v>6538</v>
      </c>
      <c r="G341" s="5" t="s">
        <v>1079</v>
      </c>
      <c r="H341" s="6" t="s">
        <v>919</v>
      </c>
      <c r="I341" s="6" t="s">
        <v>14</v>
      </c>
      <c r="J341" s="6" t="s">
        <v>5244</v>
      </c>
      <c r="K341" s="6">
        <v>1787357</v>
      </c>
      <c r="L341" s="7" t="s">
        <v>6714</v>
      </c>
      <c r="M341" s="8">
        <v>24944</v>
      </c>
      <c r="N341" s="8" t="str">
        <f t="shared" si="37"/>
        <v>PEN</v>
      </c>
      <c r="O341" s="13"/>
      <c r="P341" s="13">
        <v>8</v>
      </c>
      <c r="Q341" s="3">
        <f t="shared" si="38"/>
        <v>0</v>
      </c>
      <c r="R341" s="3">
        <f t="shared" si="39"/>
        <v>8</v>
      </c>
      <c r="S341" s="3">
        <f t="shared" si="35"/>
        <v>-104.40999999999997</v>
      </c>
      <c r="T341" s="24" t="s">
        <v>1081</v>
      </c>
      <c r="U341" s="24"/>
      <c r="V341" s="3"/>
      <c r="W341" s="25" t="s">
        <v>6541</v>
      </c>
      <c r="X341" s="25">
        <v>20517252558</v>
      </c>
      <c r="Y341" s="25" t="str">
        <f>IFERROR(VLOOKUP(C_Ope_001[[#This Row],[NOTA 2]],Clientes_Proveedores[[Ruc / Dni]:[Razon Social]],2,0),"")</f>
        <v>COVISUR S.A.</v>
      </c>
      <c r="Z341" s="25" t="s">
        <v>6677</v>
      </c>
      <c r="AA341" s="130"/>
      <c r="AB341" s="3" t="str">
        <f>IF(C_Ope_001[[#This Row],[FECHA]]&gt;0,TEXT(C_Ope_001[[#This Row],[FECHA]],"mmmm"),0)</f>
        <v>Julio</v>
      </c>
    </row>
    <row r="342" spans="2:28" x14ac:dyDescent="0.3">
      <c r="B342" s="2">
        <f>IF(C_Ope_001[[#This Row],[TIPO DE R.]]="R",COUNTIFS($D$4:$D341,"R")+1,"")</f>
        <v>338</v>
      </c>
      <c r="C342" s="19" t="str">
        <f>"C_Ope_001"</f>
        <v>C_Ope_001</v>
      </c>
      <c r="D342" s="3" t="s">
        <v>1074</v>
      </c>
      <c r="E342" s="14">
        <v>45859</v>
      </c>
      <c r="F342" s="5" t="s">
        <v>3353</v>
      </c>
      <c r="G342" s="5" t="s">
        <v>1087</v>
      </c>
      <c r="H342" s="6"/>
      <c r="I342" s="6"/>
      <c r="J342" s="6"/>
      <c r="K342" s="6"/>
      <c r="L342" s="7" t="s">
        <v>6302</v>
      </c>
      <c r="M342" s="8">
        <v>25041</v>
      </c>
      <c r="N342" s="8" t="str">
        <f>"PEN"</f>
        <v>PEN</v>
      </c>
      <c r="O342" s="13"/>
      <c r="P342" s="13">
        <v>300</v>
      </c>
      <c r="Q342" s="3">
        <f>+IF(OR($G342="SALDO",$G342="INGRESO"),$P342,0)</f>
        <v>300</v>
      </c>
      <c r="R342" s="3">
        <f>+IF($G342="EGRESO",$P342,0)</f>
        <v>0</v>
      </c>
      <c r="S342" s="3">
        <f t="shared" si="35"/>
        <v>195.59000000000003</v>
      </c>
      <c r="T342" s="24"/>
      <c r="U342" s="24"/>
      <c r="V342" s="3"/>
      <c r="W342" s="25"/>
      <c r="X342" s="25"/>
      <c r="Y342" s="25" t="str">
        <f>IFERROR(VLOOKUP(C_Ope_001[[#This Row],[NOTA 2]],Clientes_Proveedores[[Ruc / Dni]:[Razon Social]],2,0),"")</f>
        <v/>
      </c>
      <c r="Z342" s="25"/>
      <c r="AA342" s="130"/>
      <c r="AB342" s="3" t="str">
        <f>IF(C_Ope_001[[#This Row],[FECHA]]&gt;0,TEXT(C_Ope_001[[#This Row],[FECHA]],"mmmm"),0)</f>
        <v>Julio</v>
      </c>
    </row>
    <row r="343" spans="2:28" ht="36" x14ac:dyDescent="0.3">
      <c r="B343" s="2">
        <f>IF(C_Ope_001[[#This Row],[TIPO DE R.]]="R",COUNTIFS($D$4:$D342,"R")+1,"")</f>
        <v>339</v>
      </c>
      <c r="C343" s="19" t="str">
        <f t="shared" ref="C343:C363" si="40">"C_Ope_001"</f>
        <v>C_Ope_001</v>
      </c>
      <c r="D343" s="3" t="s">
        <v>1074</v>
      </c>
      <c r="E343" s="14">
        <v>45859</v>
      </c>
      <c r="F343" s="5" t="s">
        <v>6538</v>
      </c>
      <c r="G343" s="5" t="s">
        <v>1079</v>
      </c>
      <c r="H343" s="6" t="s">
        <v>170</v>
      </c>
      <c r="I343" s="6" t="s">
        <v>14</v>
      </c>
      <c r="J343" s="6" t="s">
        <v>1148</v>
      </c>
      <c r="K343" s="6">
        <v>134450</v>
      </c>
      <c r="L343" s="7" t="s">
        <v>6680</v>
      </c>
      <c r="M343" s="8">
        <v>24959</v>
      </c>
      <c r="N343" s="8" t="str">
        <f t="shared" ref="N343:N363" si="41">"PEN"</f>
        <v>PEN</v>
      </c>
      <c r="O343" s="13"/>
      <c r="P343" s="13">
        <v>10</v>
      </c>
      <c r="Q343" s="3">
        <f t="shared" ref="Q343:Q363" si="42">+IF(OR($G343="SALDO",$G343="INGRESO"),$P343,0)</f>
        <v>0</v>
      </c>
      <c r="R343" s="3">
        <f t="shared" ref="R343:R363" si="43">+IF($G343="EGRESO",$P343,0)</f>
        <v>10</v>
      </c>
      <c r="S343" s="3">
        <f t="shared" si="35"/>
        <v>185.59000000000003</v>
      </c>
      <c r="T343" s="24" t="s">
        <v>1081</v>
      </c>
      <c r="U343" s="24"/>
      <c r="V343" s="3"/>
      <c r="W343" s="25" t="s">
        <v>6541</v>
      </c>
      <c r="X343" s="25">
        <v>20124952850</v>
      </c>
      <c r="Y343" s="25" t="str">
        <f>IFERROR(VLOOKUP(C_Ope_001[[#This Row],[NOTA 2]],Clientes_Proveedores[[Ruc / Dni]:[Razon Social]],2,0),"")</f>
        <v>ALIMENTOS Y SERVICIOS AGROPECUARIOS SRL.</v>
      </c>
      <c r="Z343" s="25" t="s">
        <v>4972</v>
      </c>
      <c r="AA343" s="130"/>
      <c r="AB343" s="3" t="str">
        <f>IF(C_Ope_001[[#This Row],[FECHA]]&gt;0,TEXT(C_Ope_001[[#This Row],[FECHA]],"mmmm"),0)</f>
        <v>Julio</v>
      </c>
    </row>
    <row r="344" spans="2:28" x14ac:dyDescent="0.3">
      <c r="B344" s="2">
        <f>IF(C_Ope_001[[#This Row],[TIPO DE R.]]="R",COUNTIFS($D$4:$D343,"R")+1,"")</f>
        <v>340</v>
      </c>
      <c r="C344" s="19" t="str">
        <f t="shared" si="40"/>
        <v>C_Ope_001</v>
      </c>
      <c r="D344" s="3" t="s">
        <v>1074</v>
      </c>
      <c r="E344" s="14">
        <v>45860</v>
      </c>
      <c r="F344" s="5" t="s">
        <v>6538</v>
      </c>
      <c r="G344" s="5" t="s">
        <v>1079</v>
      </c>
      <c r="H344" s="6" t="s">
        <v>919</v>
      </c>
      <c r="I344" s="6" t="s">
        <v>14</v>
      </c>
      <c r="J344" s="6" t="s">
        <v>5244</v>
      </c>
      <c r="K344" s="6">
        <v>1791216</v>
      </c>
      <c r="L344" s="7" t="s">
        <v>6715</v>
      </c>
      <c r="M344" s="8">
        <v>24997</v>
      </c>
      <c r="N344" s="8" t="str">
        <f t="shared" si="41"/>
        <v>PEN</v>
      </c>
      <c r="O344" s="13"/>
      <c r="P344" s="13">
        <v>8</v>
      </c>
      <c r="Q344" s="3">
        <f t="shared" si="42"/>
        <v>0</v>
      </c>
      <c r="R344" s="3">
        <f t="shared" si="43"/>
        <v>8</v>
      </c>
      <c r="S344" s="3">
        <f t="shared" si="35"/>
        <v>177.59000000000003</v>
      </c>
      <c r="T344" s="24" t="s">
        <v>1081</v>
      </c>
      <c r="U344" s="24"/>
      <c r="V344" s="3"/>
      <c r="W344" s="25" t="s">
        <v>6630</v>
      </c>
      <c r="X344" s="25">
        <v>20517252558</v>
      </c>
      <c r="Y344" s="25" t="str">
        <f>IFERROR(VLOOKUP(C_Ope_001[[#This Row],[NOTA 2]],Clientes_Proveedores[[Ruc / Dni]:[Razon Social]],2,0),"")</f>
        <v>COVISUR S.A.</v>
      </c>
      <c r="Z344" s="25" t="s">
        <v>6677</v>
      </c>
      <c r="AA344" s="130"/>
      <c r="AB344" s="3" t="str">
        <f>IF(C_Ope_001[[#This Row],[FECHA]]&gt;0,TEXT(C_Ope_001[[#This Row],[FECHA]],"mmmm"),0)</f>
        <v>Julio</v>
      </c>
    </row>
    <row r="345" spans="2:28" x14ac:dyDescent="0.3">
      <c r="B345" s="2">
        <f>IF(C_Ope_001[[#This Row],[TIPO DE R.]]="R",COUNTIFS($D$4:$D344,"R")+1,"")</f>
        <v>341</v>
      </c>
      <c r="C345" s="19" t="str">
        <f t="shared" si="40"/>
        <v>C_Ope_001</v>
      </c>
      <c r="D345" s="3" t="s">
        <v>1074</v>
      </c>
      <c r="E345" s="14">
        <v>45860</v>
      </c>
      <c r="F345" s="5" t="s">
        <v>6538</v>
      </c>
      <c r="G345" s="5" t="s">
        <v>1079</v>
      </c>
      <c r="H345" s="6" t="s">
        <v>919</v>
      </c>
      <c r="I345" s="6" t="s">
        <v>14</v>
      </c>
      <c r="J345" s="6" t="s">
        <v>5245</v>
      </c>
      <c r="K345" s="6">
        <v>1811270</v>
      </c>
      <c r="L345" s="7" t="s">
        <v>6716</v>
      </c>
      <c r="M345" s="8">
        <v>24998</v>
      </c>
      <c r="N345" s="8" t="str">
        <f t="shared" si="41"/>
        <v>PEN</v>
      </c>
      <c r="O345" s="13"/>
      <c r="P345" s="13">
        <v>8</v>
      </c>
      <c r="Q345" s="3">
        <f t="shared" si="42"/>
        <v>0</v>
      </c>
      <c r="R345" s="3">
        <f t="shared" si="43"/>
        <v>8</v>
      </c>
      <c r="S345" s="3">
        <f t="shared" si="35"/>
        <v>169.59000000000003</v>
      </c>
      <c r="T345" s="24" t="s">
        <v>1081</v>
      </c>
      <c r="U345" s="24"/>
      <c r="V345" s="3"/>
      <c r="W345" s="25" t="s">
        <v>6541</v>
      </c>
      <c r="X345" s="25">
        <v>20517252558</v>
      </c>
      <c r="Y345" s="25" t="str">
        <f>IFERROR(VLOOKUP(C_Ope_001[[#This Row],[NOTA 2]],Clientes_Proveedores[[Ruc / Dni]:[Razon Social]],2,0),"")</f>
        <v>COVISUR S.A.</v>
      </c>
      <c r="Z345" s="25" t="s">
        <v>6677</v>
      </c>
      <c r="AA345" s="130"/>
      <c r="AB345" s="3" t="str">
        <f>IF(C_Ope_001[[#This Row],[FECHA]]&gt;0,TEXT(C_Ope_001[[#This Row],[FECHA]],"mmmm"),0)</f>
        <v>Julio</v>
      </c>
    </row>
    <row r="346" spans="2:28" ht="36" x14ac:dyDescent="0.3">
      <c r="B346" s="2">
        <f>IF(C_Ope_001[[#This Row],[TIPO DE R.]]="R",COUNTIFS($D$4:$D345,"R")+1,"")</f>
        <v>342</v>
      </c>
      <c r="C346" s="19" t="str">
        <f t="shared" si="40"/>
        <v>C_Ope_001</v>
      </c>
      <c r="D346" s="3" t="s">
        <v>1074</v>
      </c>
      <c r="E346" s="14">
        <v>45860</v>
      </c>
      <c r="F346" s="5" t="s">
        <v>6538</v>
      </c>
      <c r="G346" s="5" t="s">
        <v>1079</v>
      </c>
      <c r="H346" s="6" t="s">
        <v>624</v>
      </c>
      <c r="I346" s="6" t="s">
        <v>14</v>
      </c>
      <c r="J346" s="6" t="s">
        <v>1097</v>
      </c>
      <c r="K346" s="6">
        <v>17072</v>
      </c>
      <c r="L346" s="7" t="s">
        <v>6717</v>
      </c>
      <c r="M346" s="8">
        <v>24999</v>
      </c>
      <c r="N346" s="8" t="str">
        <f t="shared" si="41"/>
        <v>PEN</v>
      </c>
      <c r="O346" s="13"/>
      <c r="P346" s="13">
        <v>20</v>
      </c>
      <c r="Q346" s="3">
        <f t="shared" si="42"/>
        <v>0</v>
      </c>
      <c r="R346" s="3">
        <f t="shared" si="43"/>
        <v>20</v>
      </c>
      <c r="S346" s="3">
        <f t="shared" si="35"/>
        <v>149.59000000000003</v>
      </c>
      <c r="T346" s="24" t="s">
        <v>1081</v>
      </c>
      <c r="U346" s="24"/>
      <c r="V346" s="3"/>
      <c r="W346" s="25" t="s">
        <v>6541</v>
      </c>
      <c r="X346" s="25">
        <v>20259858934</v>
      </c>
      <c r="Y346" s="25" t="str">
        <f>IFERROR(VLOOKUP(C_Ope_001[[#This Row],[NOTA 2]],Clientes_Proveedores[[Ruc / Dni]:[Razon Social]],2,0),"")</f>
        <v>COMERCIALIZACION Y SERVICIOS EL EDEN S.A.C.</v>
      </c>
      <c r="Z346" s="25" t="s">
        <v>4972</v>
      </c>
      <c r="AA346" s="130"/>
      <c r="AB346" s="3" t="str">
        <f>IF(C_Ope_001[[#This Row],[FECHA]]&gt;0,TEXT(C_Ope_001[[#This Row],[FECHA]],"mmmm"),0)</f>
        <v>Julio</v>
      </c>
    </row>
    <row r="347" spans="2:28" x14ac:dyDescent="0.3">
      <c r="B347" s="2">
        <f>IF(C_Ope_001[[#This Row],[TIPO DE R.]]="R",COUNTIFS($D$4:$D346,"R")+1,"")</f>
        <v>343</v>
      </c>
      <c r="C347" s="19" t="str">
        <f t="shared" si="40"/>
        <v>C_Ope_001</v>
      </c>
      <c r="D347" s="3" t="s">
        <v>1074</v>
      </c>
      <c r="E347" s="14">
        <v>45862</v>
      </c>
      <c r="F347" s="5" t="s">
        <v>6538</v>
      </c>
      <c r="G347" s="5" t="s">
        <v>1079</v>
      </c>
      <c r="H347" s="6" t="s">
        <v>919</v>
      </c>
      <c r="I347" s="6" t="s">
        <v>14</v>
      </c>
      <c r="J347" s="6" t="s">
        <v>5244</v>
      </c>
      <c r="K347" s="6">
        <v>1793243</v>
      </c>
      <c r="L347" s="7" t="s">
        <v>6718</v>
      </c>
      <c r="M347" s="8">
        <v>25015</v>
      </c>
      <c r="N347" s="8" t="str">
        <f t="shared" si="41"/>
        <v>PEN</v>
      </c>
      <c r="O347" s="13"/>
      <c r="P347" s="13">
        <v>8</v>
      </c>
      <c r="Q347" s="3">
        <f t="shared" si="42"/>
        <v>0</v>
      </c>
      <c r="R347" s="3">
        <f t="shared" si="43"/>
        <v>8</v>
      </c>
      <c r="S347" s="3">
        <f t="shared" si="35"/>
        <v>141.59000000000003</v>
      </c>
      <c r="T347" s="24" t="s">
        <v>1081</v>
      </c>
      <c r="U347" s="24"/>
      <c r="V347" s="3"/>
      <c r="W347" s="25" t="s">
        <v>6541</v>
      </c>
      <c r="X347" s="25">
        <v>20517252558</v>
      </c>
      <c r="Y347" s="25" t="str">
        <f>IFERROR(VLOOKUP(C_Ope_001[[#This Row],[NOTA 2]],Clientes_Proveedores[[Ruc / Dni]:[Razon Social]],2,0),"")</f>
        <v>COVISUR S.A.</v>
      </c>
      <c r="Z347" s="25" t="s">
        <v>6677</v>
      </c>
      <c r="AA347" s="130"/>
      <c r="AB347" s="3" t="str">
        <f>IF(C_Ope_001[[#This Row],[FECHA]]&gt;0,TEXT(C_Ope_001[[#This Row],[FECHA]],"mmmm"),0)</f>
        <v>Julio</v>
      </c>
    </row>
    <row r="348" spans="2:28" x14ac:dyDescent="0.3">
      <c r="B348" s="2">
        <f>IF(C_Ope_001[[#This Row],[TIPO DE R.]]="R",COUNTIFS($D$4:$D347,"R")+1,"")</f>
        <v>344</v>
      </c>
      <c r="C348" s="19" t="str">
        <f t="shared" si="40"/>
        <v>C_Ope_001</v>
      </c>
      <c r="D348" s="3" t="s">
        <v>1074</v>
      </c>
      <c r="E348" s="14">
        <v>45863</v>
      </c>
      <c r="F348" s="5" t="s">
        <v>6538</v>
      </c>
      <c r="G348" s="5" t="s">
        <v>1079</v>
      </c>
      <c r="H348" s="6" t="s">
        <v>919</v>
      </c>
      <c r="I348" s="6" t="s">
        <v>14</v>
      </c>
      <c r="J348" s="6" t="s">
        <v>5245</v>
      </c>
      <c r="K348" s="6">
        <v>1814274</v>
      </c>
      <c r="L348" s="7" t="s">
        <v>6718</v>
      </c>
      <c r="M348" s="8">
        <v>25016</v>
      </c>
      <c r="N348" s="8" t="str">
        <f t="shared" si="41"/>
        <v>PEN</v>
      </c>
      <c r="O348" s="13"/>
      <c r="P348" s="13">
        <v>8</v>
      </c>
      <c r="Q348" s="3">
        <f t="shared" si="42"/>
        <v>0</v>
      </c>
      <c r="R348" s="3">
        <f t="shared" si="43"/>
        <v>8</v>
      </c>
      <c r="S348" s="3">
        <f t="shared" si="35"/>
        <v>133.59000000000003</v>
      </c>
      <c r="T348" s="24" t="s">
        <v>1081</v>
      </c>
      <c r="U348" s="24"/>
      <c r="V348" s="3"/>
      <c r="W348" s="25" t="s">
        <v>6541</v>
      </c>
      <c r="X348" s="25">
        <v>20517252558</v>
      </c>
      <c r="Y348" s="25" t="str">
        <f>IFERROR(VLOOKUP(C_Ope_001[[#This Row],[NOTA 2]],Clientes_Proveedores[[Ruc / Dni]:[Razon Social]],2,0),"")</f>
        <v>COVISUR S.A.</v>
      </c>
      <c r="Z348" s="25" t="s">
        <v>6677</v>
      </c>
      <c r="AA348" s="130"/>
      <c r="AB348" s="3" t="str">
        <f>IF(C_Ope_001[[#This Row],[FECHA]]&gt;0,TEXT(C_Ope_001[[#This Row],[FECHA]],"mmmm"),0)</f>
        <v>Julio</v>
      </c>
    </row>
    <row r="349" spans="2:28" x14ac:dyDescent="0.3">
      <c r="B349" s="2">
        <f>IF(C_Ope_001[[#This Row],[TIPO DE R.]]="R",COUNTIFS($D$4:$D348,"R")+1,"")</f>
        <v>345</v>
      </c>
      <c r="C349" s="19" t="str">
        <f t="shared" si="40"/>
        <v>C_Ope_001</v>
      </c>
      <c r="D349" s="3" t="s">
        <v>1074</v>
      </c>
      <c r="E349" s="14">
        <v>45863</v>
      </c>
      <c r="F349" s="5" t="s">
        <v>6538</v>
      </c>
      <c r="G349" s="5" t="s">
        <v>1079</v>
      </c>
      <c r="H349" s="6" t="s">
        <v>919</v>
      </c>
      <c r="I349" s="6" t="s">
        <v>14</v>
      </c>
      <c r="J349" s="6" t="s">
        <v>5244</v>
      </c>
      <c r="K349" s="6">
        <v>1794238</v>
      </c>
      <c r="L349" s="7" t="s">
        <v>6718</v>
      </c>
      <c r="M349" s="8">
        <v>25017</v>
      </c>
      <c r="N349" s="8" t="str">
        <f t="shared" si="41"/>
        <v>PEN</v>
      </c>
      <c r="O349" s="13"/>
      <c r="P349" s="13">
        <v>8</v>
      </c>
      <c r="Q349" s="3">
        <f t="shared" si="42"/>
        <v>0</v>
      </c>
      <c r="R349" s="3">
        <f t="shared" si="43"/>
        <v>8</v>
      </c>
      <c r="S349" s="3">
        <f t="shared" si="35"/>
        <v>125.59000000000003</v>
      </c>
      <c r="T349" s="24" t="s">
        <v>1081</v>
      </c>
      <c r="U349" s="24"/>
      <c r="V349" s="3"/>
      <c r="W349" s="25" t="s">
        <v>6541</v>
      </c>
      <c r="X349" s="25">
        <v>20517252558</v>
      </c>
      <c r="Y349" s="25" t="str">
        <f>IFERROR(VLOOKUP(C_Ope_001[[#This Row],[NOTA 2]],Clientes_Proveedores[[Ruc / Dni]:[Razon Social]],2,0),"")</f>
        <v>COVISUR S.A.</v>
      </c>
      <c r="Z349" s="25" t="s">
        <v>6677</v>
      </c>
      <c r="AA349" s="130"/>
      <c r="AB349" s="3" t="str">
        <f>IF(C_Ope_001[[#This Row],[FECHA]]&gt;0,TEXT(C_Ope_001[[#This Row],[FECHA]],"mmmm"),0)</f>
        <v>Julio</v>
      </c>
    </row>
    <row r="350" spans="2:28" ht="36" x14ac:dyDescent="0.3">
      <c r="B350" s="2">
        <f>IF(C_Ope_001[[#This Row],[TIPO DE R.]]="R",COUNTIFS($D$4:$D349,"R")+1,"")</f>
        <v>346</v>
      </c>
      <c r="C350" s="19" t="str">
        <f t="shared" si="40"/>
        <v>C_Ope_001</v>
      </c>
      <c r="D350" s="3" t="s">
        <v>1074</v>
      </c>
      <c r="E350" s="14">
        <v>45868</v>
      </c>
      <c r="F350" s="5" t="s">
        <v>6538</v>
      </c>
      <c r="G350" s="5" t="s">
        <v>1079</v>
      </c>
      <c r="H350" s="6" t="s">
        <v>170</v>
      </c>
      <c r="I350" s="6" t="s">
        <v>14</v>
      </c>
      <c r="J350" s="6" t="s">
        <v>1148</v>
      </c>
      <c r="K350" s="6">
        <v>134852</v>
      </c>
      <c r="L350" s="7" t="s">
        <v>6719</v>
      </c>
      <c r="M350" s="8">
        <v>25070</v>
      </c>
      <c r="N350" s="8" t="str">
        <f t="shared" si="41"/>
        <v>PEN</v>
      </c>
      <c r="O350" s="13"/>
      <c r="P350" s="13">
        <v>10</v>
      </c>
      <c r="Q350" s="3">
        <f t="shared" si="42"/>
        <v>0</v>
      </c>
      <c r="R350" s="3">
        <f t="shared" si="43"/>
        <v>10</v>
      </c>
      <c r="S350" s="3">
        <f t="shared" si="35"/>
        <v>115.59000000000003</v>
      </c>
      <c r="T350" s="24" t="s">
        <v>1081</v>
      </c>
      <c r="U350" s="24"/>
      <c r="V350" s="3"/>
      <c r="W350" s="25" t="s">
        <v>6539</v>
      </c>
      <c r="X350" s="25">
        <v>20124952850</v>
      </c>
      <c r="Y350" s="25" t="str">
        <f>IFERROR(VLOOKUP(C_Ope_001[[#This Row],[NOTA 2]],Clientes_Proveedores[[Ruc / Dni]:[Razon Social]],2,0),"")</f>
        <v>ALIMENTOS Y SERVICIOS AGROPECUARIOS SRL.</v>
      </c>
      <c r="Z350" s="25" t="s">
        <v>4972</v>
      </c>
      <c r="AA350" s="130"/>
      <c r="AB350" s="3" t="str">
        <f>IF(C_Ope_001[[#This Row],[FECHA]]&gt;0,TEXT(C_Ope_001[[#This Row],[FECHA]],"mmmm"),0)</f>
        <v>Julio</v>
      </c>
    </row>
    <row r="351" spans="2:28" ht="36" x14ac:dyDescent="0.3">
      <c r="B351" s="2">
        <f>IF(C_Ope_001[[#This Row],[TIPO DE R.]]="R",COUNTIFS($D$4:$D350,"R")+1,"")</f>
        <v>347</v>
      </c>
      <c r="C351" s="19" t="str">
        <f t="shared" si="40"/>
        <v>C_Ope_001</v>
      </c>
      <c r="D351" s="3" t="s">
        <v>1074</v>
      </c>
      <c r="E351" s="14">
        <v>45868</v>
      </c>
      <c r="F351" s="5" t="s">
        <v>6538</v>
      </c>
      <c r="G351" s="5" t="s">
        <v>1079</v>
      </c>
      <c r="H351" s="6" t="s">
        <v>170</v>
      </c>
      <c r="I351" s="6" t="s">
        <v>14</v>
      </c>
      <c r="J351" s="6" t="s">
        <v>1148</v>
      </c>
      <c r="K351" s="6">
        <v>134814</v>
      </c>
      <c r="L351" s="7" t="s">
        <v>6680</v>
      </c>
      <c r="M351" s="8">
        <v>25071</v>
      </c>
      <c r="N351" s="8" t="str">
        <f t="shared" si="41"/>
        <v>PEN</v>
      </c>
      <c r="O351" s="13"/>
      <c r="P351" s="13">
        <v>10</v>
      </c>
      <c r="Q351" s="3">
        <f t="shared" si="42"/>
        <v>0</v>
      </c>
      <c r="R351" s="3">
        <f t="shared" si="43"/>
        <v>10</v>
      </c>
      <c r="S351" s="3">
        <f t="shared" si="35"/>
        <v>105.59000000000003</v>
      </c>
      <c r="T351" s="24" t="s">
        <v>1081</v>
      </c>
      <c r="U351" s="24"/>
      <c r="V351" s="3"/>
      <c r="W351" s="25" t="s">
        <v>6541</v>
      </c>
      <c r="X351" s="25">
        <v>20124952850</v>
      </c>
      <c r="Y351" s="25" t="str">
        <f>IFERROR(VLOOKUP(C_Ope_001[[#This Row],[NOTA 2]],Clientes_Proveedores[[Ruc / Dni]:[Razon Social]],2,0),"")</f>
        <v>ALIMENTOS Y SERVICIOS AGROPECUARIOS SRL.</v>
      </c>
      <c r="Z351" s="25" t="s">
        <v>4972</v>
      </c>
      <c r="AA351" s="130"/>
      <c r="AB351" s="3" t="str">
        <f>IF(C_Ope_001[[#This Row],[FECHA]]&gt;0,TEXT(C_Ope_001[[#This Row],[FECHA]],"mmmm"),0)</f>
        <v>Julio</v>
      </c>
    </row>
    <row r="352" spans="2:28" x14ac:dyDescent="0.3">
      <c r="B352" s="2">
        <f>IF(C_Ope_001[[#This Row],[TIPO DE R.]]="R",COUNTIFS($D$4:$D351,"R")+1,"")</f>
        <v>348</v>
      </c>
      <c r="C352" s="19" t="str">
        <f t="shared" si="40"/>
        <v>C_Ope_001</v>
      </c>
      <c r="D352" s="3" t="s">
        <v>1074</v>
      </c>
      <c r="E352" s="14">
        <v>45869</v>
      </c>
      <c r="F352" s="5" t="s">
        <v>6538</v>
      </c>
      <c r="G352" s="5" t="s">
        <v>1079</v>
      </c>
      <c r="H352" s="6" t="s">
        <v>919</v>
      </c>
      <c r="I352" s="6" t="s">
        <v>14</v>
      </c>
      <c r="J352" s="6" t="s">
        <v>5280</v>
      </c>
      <c r="K352" s="6">
        <v>1100705</v>
      </c>
      <c r="L352" s="7" t="s">
        <v>6560</v>
      </c>
      <c r="M352" s="8">
        <v>25066</v>
      </c>
      <c r="N352" s="8" t="str">
        <f t="shared" si="41"/>
        <v>PEN</v>
      </c>
      <c r="O352" s="13"/>
      <c r="P352" s="13">
        <v>8</v>
      </c>
      <c r="Q352" s="3">
        <f t="shared" si="42"/>
        <v>0</v>
      </c>
      <c r="R352" s="3">
        <f t="shared" si="43"/>
        <v>8</v>
      </c>
      <c r="S352" s="3">
        <f t="shared" si="35"/>
        <v>97.590000000000032</v>
      </c>
      <c r="T352" s="24" t="s">
        <v>1081</v>
      </c>
      <c r="U352" s="24"/>
      <c r="V352" s="3"/>
      <c r="W352" s="25" t="s">
        <v>6541</v>
      </c>
      <c r="X352" s="25">
        <v>20517252558</v>
      </c>
      <c r="Y352" s="25" t="str">
        <f>IFERROR(VLOOKUP(C_Ope_001[[#This Row],[NOTA 2]],Clientes_Proveedores[[Ruc / Dni]:[Razon Social]],2,0),"")</f>
        <v>COVISUR S.A.</v>
      </c>
      <c r="Z352" s="25" t="s">
        <v>6677</v>
      </c>
      <c r="AA352" s="130"/>
      <c r="AB352" s="3" t="str">
        <f>IF(C_Ope_001[[#This Row],[FECHA]]&gt;0,TEXT(C_Ope_001[[#This Row],[FECHA]],"mmmm"),0)</f>
        <v>Julio</v>
      </c>
    </row>
    <row r="353" spans="2:28" x14ac:dyDescent="0.3">
      <c r="B353" s="2">
        <f>IF(C_Ope_001[[#This Row],[TIPO DE R.]]="R",COUNTIFS($D$4:$D352,"R")+1,"")</f>
        <v>349</v>
      </c>
      <c r="C353" s="19" t="str">
        <f t="shared" si="40"/>
        <v>C_Ope_001</v>
      </c>
      <c r="D353" s="3" t="s">
        <v>1074</v>
      </c>
      <c r="E353" s="14">
        <v>45869</v>
      </c>
      <c r="F353" s="5" t="s">
        <v>6538</v>
      </c>
      <c r="G353" s="5" t="s">
        <v>1079</v>
      </c>
      <c r="H353" s="6" t="s">
        <v>919</v>
      </c>
      <c r="I353" s="6" t="s">
        <v>14</v>
      </c>
      <c r="J353" s="6" t="s">
        <v>5242</v>
      </c>
      <c r="K353" s="6">
        <v>2129272</v>
      </c>
      <c r="L353" s="7" t="s">
        <v>6720</v>
      </c>
      <c r="M353" s="8">
        <v>25067</v>
      </c>
      <c r="N353" s="8" t="str">
        <f t="shared" si="41"/>
        <v>PEN</v>
      </c>
      <c r="O353" s="13"/>
      <c r="P353" s="13">
        <v>8</v>
      </c>
      <c r="Q353" s="3">
        <f t="shared" si="42"/>
        <v>0</v>
      </c>
      <c r="R353" s="3">
        <f t="shared" si="43"/>
        <v>8</v>
      </c>
      <c r="S353" s="3">
        <f t="shared" si="35"/>
        <v>89.590000000000032</v>
      </c>
      <c r="T353" s="24" t="s">
        <v>1081</v>
      </c>
      <c r="U353" s="24"/>
      <c r="V353" s="3"/>
      <c r="W353" s="25" t="s">
        <v>6541</v>
      </c>
      <c r="X353" s="25">
        <v>20517252558</v>
      </c>
      <c r="Y353" s="25" t="str">
        <f>IFERROR(VLOOKUP(C_Ope_001[[#This Row],[NOTA 2]],Clientes_Proveedores[[Ruc / Dni]:[Razon Social]],2,0),"")</f>
        <v>COVISUR S.A.</v>
      </c>
      <c r="Z353" s="25" t="s">
        <v>6677</v>
      </c>
      <c r="AA353" s="130"/>
      <c r="AB353" s="3" t="str">
        <f>IF(C_Ope_001[[#This Row],[FECHA]]&gt;0,TEXT(C_Ope_001[[#This Row],[FECHA]],"mmmm"),0)</f>
        <v>Julio</v>
      </c>
    </row>
    <row r="354" spans="2:28" x14ac:dyDescent="0.3">
      <c r="B354" s="2">
        <f>IF(C_Ope_001[[#This Row],[TIPO DE R.]]="R",COUNTIFS($D$4:$D353,"R")+1,"")</f>
        <v>350</v>
      </c>
      <c r="C354" s="19" t="str">
        <f t="shared" si="40"/>
        <v>C_Ope_001</v>
      </c>
      <c r="D354" s="3" t="s">
        <v>1074</v>
      </c>
      <c r="E354" s="14">
        <v>45869</v>
      </c>
      <c r="F354" s="5" t="s">
        <v>6538</v>
      </c>
      <c r="G354" s="5" t="s">
        <v>1079</v>
      </c>
      <c r="H354" s="6" t="s">
        <v>919</v>
      </c>
      <c r="I354" s="6" t="s">
        <v>14</v>
      </c>
      <c r="J354" s="6" t="s">
        <v>5244</v>
      </c>
      <c r="K354" s="6">
        <v>1798855</v>
      </c>
      <c r="L354" s="7" t="s">
        <v>6720</v>
      </c>
      <c r="M354" s="8">
        <v>25068</v>
      </c>
      <c r="N354" s="8" t="str">
        <f t="shared" si="41"/>
        <v>PEN</v>
      </c>
      <c r="O354" s="13"/>
      <c r="P354" s="13">
        <v>8</v>
      </c>
      <c r="Q354" s="3">
        <f t="shared" si="42"/>
        <v>0</v>
      </c>
      <c r="R354" s="3">
        <f t="shared" si="43"/>
        <v>8</v>
      </c>
      <c r="S354" s="3">
        <f t="shared" si="35"/>
        <v>81.590000000000032</v>
      </c>
      <c r="T354" s="24" t="s">
        <v>1081</v>
      </c>
      <c r="U354" s="24"/>
      <c r="V354" s="3"/>
      <c r="W354" s="25" t="s">
        <v>6541</v>
      </c>
      <c r="X354" s="25">
        <v>20517252558</v>
      </c>
      <c r="Y354" s="25" t="str">
        <f>IFERROR(VLOOKUP(C_Ope_001[[#This Row],[NOTA 2]],Clientes_Proveedores[[Ruc / Dni]:[Razon Social]],2,0),"")</f>
        <v>COVISUR S.A.</v>
      </c>
      <c r="Z354" s="25" t="s">
        <v>6677</v>
      </c>
      <c r="AA354" s="130"/>
      <c r="AB354" s="3" t="str">
        <f>IF(C_Ope_001[[#This Row],[FECHA]]&gt;0,TEXT(C_Ope_001[[#This Row],[FECHA]],"mmmm"),0)</f>
        <v>Julio</v>
      </c>
    </row>
    <row r="355" spans="2:28" x14ac:dyDescent="0.3">
      <c r="B355" s="2">
        <f>IF(C_Ope_001[[#This Row],[TIPO DE R.]]="R",COUNTIFS($D$4:$D354,"R")+1,"")</f>
        <v>351</v>
      </c>
      <c r="C355" s="19" t="str">
        <f t="shared" si="40"/>
        <v>C_Ope_001</v>
      </c>
      <c r="D355" s="3" t="s">
        <v>1074</v>
      </c>
      <c r="E355" s="14">
        <v>45869</v>
      </c>
      <c r="F355" s="5" t="s">
        <v>6538</v>
      </c>
      <c r="G355" s="5" t="s">
        <v>1079</v>
      </c>
      <c r="H355" s="6" t="s">
        <v>919</v>
      </c>
      <c r="I355" s="6" t="s">
        <v>14</v>
      </c>
      <c r="J355" s="6" t="s">
        <v>6556</v>
      </c>
      <c r="K355" s="6">
        <v>492871</v>
      </c>
      <c r="L355" s="7" t="s">
        <v>6560</v>
      </c>
      <c r="M355" s="8">
        <v>25069</v>
      </c>
      <c r="N355" s="8" t="str">
        <f t="shared" si="41"/>
        <v>PEN</v>
      </c>
      <c r="O355" s="13"/>
      <c r="P355" s="13">
        <v>8</v>
      </c>
      <c r="Q355" s="3">
        <f t="shared" si="42"/>
        <v>0</v>
      </c>
      <c r="R355" s="3">
        <f t="shared" si="43"/>
        <v>8</v>
      </c>
      <c r="S355" s="3">
        <f t="shared" si="35"/>
        <v>73.590000000000032</v>
      </c>
      <c r="T355" s="24" t="s">
        <v>1081</v>
      </c>
      <c r="U355" s="24"/>
      <c r="V355" s="3"/>
      <c r="W355" s="25" t="s">
        <v>6541</v>
      </c>
      <c r="X355" s="25">
        <v>20517252558</v>
      </c>
      <c r="Y355" s="25" t="str">
        <f>IFERROR(VLOOKUP(C_Ope_001[[#This Row],[NOTA 2]],Clientes_Proveedores[[Ruc / Dni]:[Razon Social]],2,0),"")</f>
        <v>COVISUR S.A.</v>
      </c>
      <c r="Z355" s="25" t="s">
        <v>6677</v>
      </c>
      <c r="AA355" s="130"/>
      <c r="AB355" s="3" t="str">
        <f>IF(C_Ope_001[[#This Row],[FECHA]]&gt;0,TEXT(C_Ope_001[[#This Row],[FECHA]],"mmmm"),0)</f>
        <v>Julio</v>
      </c>
    </row>
    <row r="356" spans="2:28" x14ac:dyDescent="0.3">
      <c r="B356" s="2">
        <f>IF(C_Ope_001[[#This Row],[TIPO DE R.]]="R",COUNTIFS($D$4:$D355,"R")+1,"")</f>
        <v>352</v>
      </c>
      <c r="C356" s="19" t="str">
        <f t="shared" si="40"/>
        <v>C_Ope_001</v>
      </c>
      <c r="D356" s="3" t="s">
        <v>1074</v>
      </c>
      <c r="E356" s="14">
        <v>45870</v>
      </c>
      <c r="F356" s="5" t="s">
        <v>6538</v>
      </c>
      <c r="G356" s="5" t="s">
        <v>1079</v>
      </c>
      <c r="H356" s="6" t="s">
        <v>919</v>
      </c>
      <c r="I356" s="6" t="s">
        <v>14</v>
      </c>
      <c r="J356" s="6" t="s">
        <v>5245</v>
      </c>
      <c r="K356" s="6">
        <v>1820179</v>
      </c>
      <c r="L356" s="7" t="s">
        <v>6721</v>
      </c>
      <c r="M356" s="8">
        <v>25048</v>
      </c>
      <c r="N356" s="8" t="str">
        <f t="shared" si="41"/>
        <v>PEN</v>
      </c>
      <c r="O356" s="13"/>
      <c r="P356" s="13">
        <v>5</v>
      </c>
      <c r="Q356" s="3">
        <f t="shared" si="42"/>
        <v>0</v>
      </c>
      <c r="R356" s="3">
        <f t="shared" si="43"/>
        <v>5</v>
      </c>
      <c r="S356" s="3">
        <f t="shared" si="35"/>
        <v>68.590000000000032</v>
      </c>
      <c r="T356" s="24" t="s">
        <v>1081</v>
      </c>
      <c r="U356" s="24"/>
      <c r="V356" s="3"/>
      <c r="W356" s="25" t="s">
        <v>6539</v>
      </c>
      <c r="X356" s="25">
        <v>20517252558</v>
      </c>
      <c r="Y356" s="25" t="str">
        <f>IFERROR(VLOOKUP(C_Ope_001[[#This Row],[NOTA 2]],Clientes_Proveedores[[Ruc / Dni]:[Razon Social]],2,0),"")</f>
        <v>COVISUR S.A.</v>
      </c>
      <c r="Z356" s="25" t="s">
        <v>6677</v>
      </c>
      <c r="AA356" s="130"/>
      <c r="AB356" s="3" t="str">
        <f>IF(C_Ope_001[[#This Row],[FECHA]]&gt;0,TEXT(C_Ope_001[[#This Row],[FECHA]],"mmmm"),0)</f>
        <v>Agosto</v>
      </c>
    </row>
    <row r="357" spans="2:28" x14ac:dyDescent="0.3">
      <c r="B357" s="2">
        <f>IF(C_Ope_001[[#This Row],[TIPO DE R.]]="R",COUNTIFS($D$4:$D356,"R")+1,"")</f>
        <v>353</v>
      </c>
      <c r="C357" s="19" t="str">
        <f t="shared" si="40"/>
        <v>C_Ope_001</v>
      </c>
      <c r="D357" s="3" t="s">
        <v>1074</v>
      </c>
      <c r="E357" s="14">
        <v>45870</v>
      </c>
      <c r="F357" s="5" t="s">
        <v>6538</v>
      </c>
      <c r="G357" s="5" t="s">
        <v>1079</v>
      </c>
      <c r="H357" s="6" t="s">
        <v>919</v>
      </c>
      <c r="I357" s="6" t="s">
        <v>14</v>
      </c>
      <c r="J357" s="6" t="s">
        <v>5244</v>
      </c>
      <c r="K357" s="6">
        <v>1799849</v>
      </c>
      <c r="L357" s="7" t="s">
        <v>6721</v>
      </c>
      <c r="M357" s="8">
        <v>25049</v>
      </c>
      <c r="N357" s="8" t="str">
        <f t="shared" si="41"/>
        <v>PEN</v>
      </c>
      <c r="O357" s="13"/>
      <c r="P357" s="13">
        <v>5</v>
      </c>
      <c r="Q357" s="3">
        <f t="shared" si="42"/>
        <v>0</v>
      </c>
      <c r="R357" s="3">
        <f t="shared" si="43"/>
        <v>5</v>
      </c>
      <c r="S357" s="3">
        <f t="shared" si="35"/>
        <v>63.590000000000032</v>
      </c>
      <c r="T357" s="24" t="s">
        <v>1081</v>
      </c>
      <c r="U357" s="24"/>
      <c r="V357" s="3"/>
      <c r="W357" s="25" t="s">
        <v>6539</v>
      </c>
      <c r="X357" s="25">
        <v>20517252558</v>
      </c>
      <c r="Y357" s="25" t="str">
        <f>IFERROR(VLOOKUP(C_Ope_001[[#This Row],[NOTA 2]],Clientes_Proveedores[[Ruc / Dni]:[Razon Social]],2,0),"")</f>
        <v>COVISUR S.A.</v>
      </c>
      <c r="Z357" s="25" t="s">
        <v>6677</v>
      </c>
      <c r="AA357" s="130"/>
      <c r="AB357" s="3" t="str">
        <f>IF(C_Ope_001[[#This Row],[FECHA]]&gt;0,TEXT(C_Ope_001[[#This Row],[FECHA]],"mmmm"),0)</f>
        <v>Agosto</v>
      </c>
    </row>
    <row r="358" spans="2:28" ht="36" x14ac:dyDescent="0.3">
      <c r="B358" s="2">
        <f>IF(C_Ope_001[[#This Row],[TIPO DE R.]]="R",COUNTIFS($D$4:$D357,"R")+1,"")</f>
        <v>354</v>
      </c>
      <c r="C358" s="19" t="str">
        <f t="shared" si="40"/>
        <v>C_Ope_001</v>
      </c>
      <c r="D358" s="3" t="s">
        <v>1074</v>
      </c>
      <c r="E358" s="14">
        <v>45870</v>
      </c>
      <c r="F358" s="5" t="s">
        <v>6538</v>
      </c>
      <c r="G358" s="5" t="s">
        <v>1079</v>
      </c>
      <c r="H358" s="6" t="s">
        <v>624</v>
      </c>
      <c r="I358" s="6" t="s">
        <v>14</v>
      </c>
      <c r="J358" s="6" t="s">
        <v>1097</v>
      </c>
      <c r="K358" s="6">
        <v>17171</v>
      </c>
      <c r="L358" s="7" t="s">
        <v>6722</v>
      </c>
      <c r="M358" s="8">
        <v>25042</v>
      </c>
      <c r="N358" s="8" t="str">
        <f t="shared" si="41"/>
        <v>PEN</v>
      </c>
      <c r="O358" s="13"/>
      <c r="P358" s="13">
        <v>20</v>
      </c>
      <c r="Q358" s="3">
        <f t="shared" si="42"/>
        <v>0</v>
      </c>
      <c r="R358" s="3">
        <f t="shared" si="43"/>
        <v>20</v>
      </c>
      <c r="S358" s="3">
        <f t="shared" si="35"/>
        <v>43.590000000000032</v>
      </c>
      <c r="T358" s="24" t="s">
        <v>1081</v>
      </c>
      <c r="U358" s="24"/>
      <c r="V358" s="3"/>
      <c r="W358" s="25" t="s">
        <v>6630</v>
      </c>
      <c r="X358" s="25">
        <v>20259858934</v>
      </c>
      <c r="Y358" s="25" t="str">
        <f>IFERROR(VLOOKUP(C_Ope_001[[#This Row],[NOTA 2]],Clientes_Proveedores[[Ruc / Dni]:[Razon Social]],2,0),"")</f>
        <v>COMERCIALIZACION Y SERVICIOS EL EDEN S.A.C.</v>
      </c>
      <c r="Z358" s="25" t="s">
        <v>4972</v>
      </c>
      <c r="AA358" s="130"/>
      <c r="AB358" s="3" t="str">
        <f>IF(C_Ope_001[[#This Row],[FECHA]]&gt;0,TEXT(C_Ope_001[[#This Row],[FECHA]],"mmmm"),0)</f>
        <v>Agosto</v>
      </c>
    </row>
    <row r="359" spans="2:28" x14ac:dyDescent="0.3">
      <c r="B359" s="2">
        <f>IF(C_Ope_001[[#This Row],[TIPO DE R.]]="R",COUNTIFS($D$4:$D358,"R")+1,"")</f>
        <v>355</v>
      </c>
      <c r="C359" s="19" t="str">
        <f t="shared" si="40"/>
        <v>C_Ope_001</v>
      </c>
      <c r="D359" s="3" t="s">
        <v>1074</v>
      </c>
      <c r="E359" s="14">
        <v>45873</v>
      </c>
      <c r="F359" s="5" t="s">
        <v>6538</v>
      </c>
      <c r="G359" s="5" t="s">
        <v>1079</v>
      </c>
      <c r="H359" s="6" t="s">
        <v>919</v>
      </c>
      <c r="I359" s="6" t="s">
        <v>14</v>
      </c>
      <c r="J359" s="6" t="s">
        <v>5245</v>
      </c>
      <c r="K359" s="6">
        <v>1822787</v>
      </c>
      <c r="L359" s="7" t="s">
        <v>6577</v>
      </c>
      <c r="M359" s="8">
        <v>25075</v>
      </c>
      <c r="N359" s="8" t="str">
        <f t="shared" si="41"/>
        <v>PEN</v>
      </c>
      <c r="O359" s="13"/>
      <c r="P359" s="13">
        <v>8</v>
      </c>
      <c r="Q359" s="3">
        <f t="shared" si="42"/>
        <v>0</v>
      </c>
      <c r="R359" s="3">
        <f t="shared" si="43"/>
        <v>8</v>
      </c>
      <c r="S359" s="3">
        <f t="shared" si="35"/>
        <v>35.590000000000032</v>
      </c>
      <c r="T359" s="24" t="s">
        <v>1081</v>
      </c>
      <c r="U359" s="24"/>
      <c r="V359" s="3"/>
      <c r="W359" s="25" t="s">
        <v>6630</v>
      </c>
      <c r="X359" s="25">
        <v>20517252558</v>
      </c>
      <c r="Y359" s="25" t="str">
        <f>IFERROR(VLOOKUP(C_Ope_001[[#This Row],[NOTA 2]],Clientes_Proveedores[[Ruc / Dni]:[Razon Social]],2,0),"")</f>
        <v>COVISUR S.A.</v>
      </c>
      <c r="Z359" s="25" t="s">
        <v>6677</v>
      </c>
      <c r="AA359" s="130"/>
      <c r="AB359" s="3" t="str">
        <f>IF(C_Ope_001[[#This Row],[FECHA]]&gt;0,TEXT(C_Ope_001[[#This Row],[FECHA]],"mmmm"),0)</f>
        <v>Agosto</v>
      </c>
    </row>
    <row r="360" spans="2:28" x14ac:dyDescent="0.3">
      <c r="B360" s="2">
        <f>IF(C_Ope_001[[#This Row],[TIPO DE R.]]="R",COUNTIFS($D$4:$D359,"R")+1,"")</f>
        <v>356</v>
      </c>
      <c r="C360" s="19" t="str">
        <f t="shared" si="40"/>
        <v>C_Ope_001</v>
      </c>
      <c r="D360" s="3" t="s">
        <v>1074</v>
      </c>
      <c r="E360" s="14">
        <v>45875</v>
      </c>
      <c r="F360" s="5" t="s">
        <v>6538</v>
      </c>
      <c r="G360" s="5" t="s">
        <v>1079</v>
      </c>
      <c r="H360" s="6" t="s">
        <v>919</v>
      </c>
      <c r="I360" s="6" t="s">
        <v>14</v>
      </c>
      <c r="J360" s="6" t="s">
        <v>5243</v>
      </c>
      <c r="K360" s="6">
        <v>2424542</v>
      </c>
      <c r="L360" s="7" t="s">
        <v>6723</v>
      </c>
      <c r="M360" s="8">
        <v>25100</v>
      </c>
      <c r="N360" s="8" t="str">
        <f t="shared" si="41"/>
        <v>PEN</v>
      </c>
      <c r="O360" s="13"/>
      <c r="P360" s="13">
        <v>5</v>
      </c>
      <c r="Q360" s="3">
        <f t="shared" si="42"/>
        <v>0</v>
      </c>
      <c r="R360" s="3">
        <f t="shared" si="43"/>
        <v>5</v>
      </c>
      <c r="S360" s="3">
        <f t="shared" si="35"/>
        <v>30.590000000000032</v>
      </c>
      <c r="T360" s="24" t="s">
        <v>1081</v>
      </c>
      <c r="U360" s="24"/>
      <c r="V360" s="3"/>
      <c r="W360" s="25" t="s">
        <v>6539</v>
      </c>
      <c r="X360" s="25">
        <v>20517252558</v>
      </c>
      <c r="Y360" s="25" t="str">
        <f>IFERROR(VLOOKUP(C_Ope_001[[#This Row],[NOTA 2]],Clientes_Proveedores[[Ruc / Dni]:[Razon Social]],2,0),"")</f>
        <v>COVISUR S.A.</v>
      </c>
      <c r="Z360" s="25" t="s">
        <v>6677</v>
      </c>
      <c r="AA360" s="130"/>
      <c r="AB360" s="3" t="str">
        <f>IF(C_Ope_001[[#This Row],[FECHA]]&gt;0,TEXT(C_Ope_001[[#This Row],[FECHA]],"mmmm"),0)</f>
        <v>Agosto</v>
      </c>
    </row>
    <row r="361" spans="2:28" x14ac:dyDescent="0.3">
      <c r="B361" s="2">
        <f>IF(C_Ope_001[[#This Row],[TIPO DE R.]]="R",COUNTIFS($D$4:$D360,"R")+1,"")</f>
        <v>357</v>
      </c>
      <c r="C361" s="19" t="str">
        <f t="shared" si="40"/>
        <v>C_Ope_001</v>
      </c>
      <c r="D361" s="3" t="s">
        <v>1074</v>
      </c>
      <c r="E361" s="14">
        <v>45875</v>
      </c>
      <c r="F361" s="5" t="s">
        <v>6538</v>
      </c>
      <c r="G361" s="5" t="s">
        <v>1079</v>
      </c>
      <c r="H361" s="6" t="s">
        <v>919</v>
      </c>
      <c r="I361" s="6" t="s">
        <v>14</v>
      </c>
      <c r="J361" s="6" t="s">
        <v>5245</v>
      </c>
      <c r="K361" s="6">
        <v>1824636</v>
      </c>
      <c r="L361" s="7" t="s">
        <v>6723</v>
      </c>
      <c r="M361" s="8">
        <v>25101</v>
      </c>
      <c r="N361" s="8" t="str">
        <f t="shared" si="41"/>
        <v>PEN</v>
      </c>
      <c r="O361" s="13"/>
      <c r="P361" s="13">
        <v>5</v>
      </c>
      <c r="Q361" s="3">
        <f t="shared" si="42"/>
        <v>0</v>
      </c>
      <c r="R361" s="3">
        <f t="shared" si="43"/>
        <v>5</v>
      </c>
      <c r="S361" s="3">
        <f t="shared" si="35"/>
        <v>25.590000000000032</v>
      </c>
      <c r="T361" s="24" t="s">
        <v>1081</v>
      </c>
      <c r="U361" s="24"/>
      <c r="V361" s="3"/>
      <c r="W361" s="25" t="s">
        <v>6539</v>
      </c>
      <c r="X361" s="25">
        <v>20517252558</v>
      </c>
      <c r="Y361" s="25" t="str">
        <f>IFERROR(VLOOKUP(C_Ope_001[[#This Row],[NOTA 2]],Clientes_Proveedores[[Ruc / Dni]:[Razon Social]],2,0),"")</f>
        <v>COVISUR S.A.</v>
      </c>
      <c r="Z361" s="25" t="s">
        <v>6677</v>
      </c>
      <c r="AA361" s="130"/>
      <c r="AB361" s="3" t="str">
        <f>IF(C_Ope_001[[#This Row],[FECHA]]&gt;0,TEXT(C_Ope_001[[#This Row],[FECHA]],"mmmm"),0)</f>
        <v>Agosto</v>
      </c>
    </row>
    <row r="362" spans="2:28" x14ac:dyDescent="0.3">
      <c r="B362" s="2">
        <f>IF(C_Ope_001[[#This Row],[TIPO DE R.]]="R",COUNTIFS($D$4:$D361,"R")+1,"")</f>
        <v>358</v>
      </c>
      <c r="C362" s="19" t="str">
        <f t="shared" si="40"/>
        <v>C_Ope_001</v>
      </c>
      <c r="D362" s="3" t="s">
        <v>1074</v>
      </c>
      <c r="E362" s="14">
        <v>45876</v>
      </c>
      <c r="F362" s="5" t="s">
        <v>6538</v>
      </c>
      <c r="G362" s="5" t="s">
        <v>1079</v>
      </c>
      <c r="H362" s="6" t="s">
        <v>919</v>
      </c>
      <c r="I362" s="6" t="s">
        <v>14</v>
      </c>
      <c r="J362" s="6" t="s">
        <v>5244</v>
      </c>
      <c r="K362" s="6">
        <v>1804920</v>
      </c>
      <c r="L362" s="7" t="s">
        <v>6723</v>
      </c>
      <c r="M362" s="8">
        <v>25102</v>
      </c>
      <c r="N362" s="8" t="str">
        <f t="shared" si="41"/>
        <v>PEN</v>
      </c>
      <c r="O362" s="13"/>
      <c r="P362" s="13">
        <v>5</v>
      </c>
      <c r="Q362" s="3">
        <f t="shared" si="42"/>
        <v>0</v>
      </c>
      <c r="R362" s="3">
        <f t="shared" si="43"/>
        <v>5</v>
      </c>
      <c r="S362" s="3">
        <f t="shared" si="35"/>
        <v>20.590000000000032</v>
      </c>
      <c r="T362" s="24" t="s">
        <v>1081</v>
      </c>
      <c r="U362" s="24"/>
      <c r="V362" s="3"/>
      <c r="W362" s="25" t="s">
        <v>6539</v>
      </c>
      <c r="X362" s="25">
        <v>20517252558</v>
      </c>
      <c r="Y362" s="25" t="str">
        <f>IFERROR(VLOOKUP(C_Ope_001[[#This Row],[NOTA 2]],Clientes_Proveedores[[Ruc / Dni]:[Razon Social]],2,0),"")</f>
        <v>COVISUR S.A.</v>
      </c>
      <c r="Z362" s="25" t="s">
        <v>6677</v>
      </c>
      <c r="AA362" s="130"/>
      <c r="AB362" s="3" t="str">
        <f>IF(C_Ope_001[[#This Row],[FECHA]]&gt;0,TEXT(C_Ope_001[[#This Row],[FECHA]],"mmmm"),0)</f>
        <v>Agosto</v>
      </c>
    </row>
    <row r="363" spans="2:28" x14ac:dyDescent="0.3">
      <c r="B363" s="2">
        <f>IF(C_Ope_001[[#This Row],[TIPO DE R.]]="R",COUNTIFS($D$4:$D362,"R")+1,"")</f>
        <v>359</v>
      </c>
      <c r="C363" s="19" t="str">
        <f t="shared" si="40"/>
        <v>C_Ope_001</v>
      </c>
      <c r="D363" s="3" t="s">
        <v>1074</v>
      </c>
      <c r="E363" s="14">
        <v>45876</v>
      </c>
      <c r="F363" s="5" t="s">
        <v>6538</v>
      </c>
      <c r="G363" s="5" t="s">
        <v>1079</v>
      </c>
      <c r="H363" s="6" t="s">
        <v>919</v>
      </c>
      <c r="I363" s="6" t="s">
        <v>14</v>
      </c>
      <c r="J363" s="6" t="s">
        <v>5242</v>
      </c>
      <c r="K363" s="6">
        <v>2136843</v>
      </c>
      <c r="L363" s="7" t="s">
        <v>6723</v>
      </c>
      <c r="M363" s="8">
        <v>25111</v>
      </c>
      <c r="N363" s="8" t="str">
        <f t="shared" si="41"/>
        <v>PEN</v>
      </c>
      <c r="O363" s="13"/>
      <c r="P363" s="13">
        <v>5</v>
      </c>
      <c r="Q363" s="3">
        <f t="shared" si="42"/>
        <v>0</v>
      </c>
      <c r="R363" s="3">
        <f t="shared" si="43"/>
        <v>5</v>
      </c>
      <c r="S363" s="3">
        <f t="shared" si="35"/>
        <v>15.590000000000032</v>
      </c>
      <c r="T363" s="24" t="s">
        <v>1081</v>
      </c>
      <c r="U363" s="24"/>
      <c r="V363" s="3"/>
      <c r="W363" s="25" t="s">
        <v>6539</v>
      </c>
      <c r="X363" s="25">
        <v>20517252558</v>
      </c>
      <c r="Y363" s="25" t="str">
        <f>IFERROR(VLOOKUP(C_Ope_001[[#This Row],[NOTA 2]],Clientes_Proveedores[[Ruc / Dni]:[Razon Social]],2,0),"")</f>
        <v>COVISUR S.A.</v>
      </c>
      <c r="Z363" s="25" t="s">
        <v>6677</v>
      </c>
      <c r="AA363" s="130"/>
      <c r="AB363" s="3" t="str">
        <f>IF(C_Ope_001[[#This Row],[FECHA]]&gt;0,TEXT(C_Ope_001[[#This Row],[FECHA]],"mmmm"),0)</f>
        <v>Agosto</v>
      </c>
    </row>
    <row r="364" spans="2:28" x14ac:dyDescent="0.3">
      <c r="B364" s="2">
        <f>IF(C_Ope_001[[#This Row],[TIPO DE R.]]="R",COUNTIFS($D$4:$D363,"R")+1,"")</f>
        <v>360</v>
      </c>
      <c r="C364" s="19" t="str">
        <f>"C_Ope_001"</f>
        <v>C_Ope_001</v>
      </c>
      <c r="D364" s="3" t="s">
        <v>1074</v>
      </c>
      <c r="E364" s="14">
        <v>45880</v>
      </c>
      <c r="F364" s="5" t="s">
        <v>3353</v>
      </c>
      <c r="G364" s="5" t="s">
        <v>1087</v>
      </c>
      <c r="H364" s="6"/>
      <c r="I364" s="6"/>
      <c r="J364" s="6"/>
      <c r="K364" s="6"/>
      <c r="L364" s="7" t="s">
        <v>6302</v>
      </c>
      <c r="M364" s="8">
        <v>25149</v>
      </c>
      <c r="N364" s="8" t="str">
        <f>"PEN"</f>
        <v>PEN</v>
      </c>
      <c r="O364" s="13"/>
      <c r="P364" s="13">
        <v>150</v>
      </c>
      <c r="Q364" s="3">
        <f>+IF(OR($G364="SALDO",$G364="INGRESO"),$P364,0)</f>
        <v>150</v>
      </c>
      <c r="R364" s="3">
        <f>+IF($G364="EGRESO",$P364,0)</f>
        <v>0</v>
      </c>
      <c r="S364" s="3">
        <f t="shared" si="35"/>
        <v>165.59000000000003</v>
      </c>
      <c r="T364" s="24"/>
      <c r="U364" s="24"/>
      <c r="V364" s="3"/>
      <c r="W364" s="25"/>
      <c r="X364" s="25"/>
      <c r="Y364" s="25" t="str">
        <f>IFERROR(VLOOKUP(C_Ope_001[[#This Row],[NOTA 2]],Clientes_Proveedores[[Ruc / Dni]:[Razon Social]],2,0),"")</f>
        <v/>
      </c>
      <c r="Z364" s="25"/>
      <c r="AA364" s="130"/>
      <c r="AB364" s="3" t="str">
        <f>IF(C_Ope_001[[#This Row],[FECHA]]&gt;0,TEXT(C_Ope_001[[#This Row],[FECHA]],"mmmm"),0)</f>
        <v>Agosto</v>
      </c>
    </row>
    <row r="365" spans="2:28" ht="24" x14ac:dyDescent="0.3">
      <c r="B365" s="2">
        <f>IF(C_Ope_001[[#This Row],[TIPO DE R.]]="R",COUNTIFS($D$4:$D364,"R")+1,"")</f>
        <v>361</v>
      </c>
      <c r="C365" s="19" t="str">
        <f t="shared" ref="C365:C391" si="44">"C_Ope_001"</f>
        <v>C_Ope_001</v>
      </c>
      <c r="D365" s="3" t="s">
        <v>1074</v>
      </c>
      <c r="E365" s="14">
        <v>45880</v>
      </c>
      <c r="F365" s="5" t="s">
        <v>6538</v>
      </c>
      <c r="G365" s="5" t="s">
        <v>1079</v>
      </c>
      <c r="H365" s="6" t="s">
        <v>939</v>
      </c>
      <c r="I365" s="6" t="s">
        <v>14</v>
      </c>
      <c r="J365" s="6" t="s">
        <v>6561</v>
      </c>
      <c r="K365" s="6">
        <v>2108</v>
      </c>
      <c r="L365" s="7" t="s">
        <v>6724</v>
      </c>
      <c r="M365" s="8">
        <v>25119</v>
      </c>
      <c r="N365" s="8" t="str">
        <f t="shared" ref="N365:N391" si="45">"PEN"</f>
        <v>PEN</v>
      </c>
      <c r="O365" s="13"/>
      <c r="P365" s="13">
        <v>10</v>
      </c>
      <c r="Q365" s="3">
        <f t="shared" ref="Q365:Q391" si="46">+IF(OR($G365="SALDO",$G365="INGRESO"),$P365,0)</f>
        <v>0</v>
      </c>
      <c r="R365" s="3">
        <f t="shared" ref="R365:R391" si="47">+IF($G365="EGRESO",$P365,0)</f>
        <v>10</v>
      </c>
      <c r="S365" s="3">
        <f t="shared" si="35"/>
        <v>155.59000000000003</v>
      </c>
      <c r="T365" s="24" t="s">
        <v>1081</v>
      </c>
      <c r="U365" s="24"/>
      <c r="V365" s="3"/>
      <c r="W365" s="25" t="s">
        <v>6546</v>
      </c>
      <c r="X365" s="25">
        <v>20612112500</v>
      </c>
      <c r="Y365" s="25" t="str">
        <f>IFERROR(VLOOKUP(C_Ope_001[[#This Row],[NOTA 2]],Clientes_Proveedores[[Ruc / Dni]:[Razon Social]],2,0),"")</f>
        <v>RECICLADORA LAS LOMAS E.I.R.L.</v>
      </c>
      <c r="Z365" s="25" t="s">
        <v>4972</v>
      </c>
      <c r="AA365" s="130"/>
      <c r="AB365" s="3" t="str">
        <f>IF(C_Ope_001[[#This Row],[FECHA]]&gt;0,TEXT(C_Ope_001[[#This Row],[FECHA]],"mmmm"),0)</f>
        <v>Agosto</v>
      </c>
    </row>
    <row r="366" spans="2:28" ht="36" x14ac:dyDescent="0.3">
      <c r="B366" s="2">
        <f>IF(C_Ope_001[[#This Row],[TIPO DE R.]]="R",COUNTIFS($D$4:$D365,"R")+1,"")</f>
        <v>362</v>
      </c>
      <c r="C366" s="19" t="str">
        <f t="shared" si="44"/>
        <v>C_Ope_001</v>
      </c>
      <c r="D366" s="3" t="s">
        <v>1074</v>
      </c>
      <c r="E366" s="14">
        <v>45880</v>
      </c>
      <c r="F366" s="5" t="s">
        <v>6538</v>
      </c>
      <c r="G366" s="5" t="s">
        <v>1079</v>
      </c>
      <c r="H366" s="6" t="s">
        <v>170</v>
      </c>
      <c r="I366" s="6" t="s">
        <v>14</v>
      </c>
      <c r="J366" s="6" t="s">
        <v>1148</v>
      </c>
      <c r="K366" s="6">
        <v>135367</v>
      </c>
      <c r="L366" s="7" t="s">
        <v>6725</v>
      </c>
      <c r="M366" s="8">
        <v>25120</v>
      </c>
      <c r="N366" s="8" t="str">
        <f t="shared" si="45"/>
        <v>PEN</v>
      </c>
      <c r="O366" s="13"/>
      <c r="P366" s="13">
        <v>10</v>
      </c>
      <c r="Q366" s="3">
        <f t="shared" si="46"/>
        <v>0</v>
      </c>
      <c r="R366" s="3">
        <f t="shared" si="47"/>
        <v>10</v>
      </c>
      <c r="S366" s="3">
        <f t="shared" si="35"/>
        <v>145.59000000000003</v>
      </c>
      <c r="T366" s="24" t="s">
        <v>1081</v>
      </c>
      <c r="U366" s="24"/>
      <c r="V366" s="3"/>
      <c r="W366" s="25" t="s">
        <v>6546</v>
      </c>
      <c r="X366" s="25">
        <v>20124952850</v>
      </c>
      <c r="Y366" s="25" t="str">
        <f>IFERROR(VLOOKUP(C_Ope_001[[#This Row],[NOTA 2]],Clientes_Proveedores[[Ruc / Dni]:[Razon Social]],2,0),"")</f>
        <v>ALIMENTOS Y SERVICIOS AGROPECUARIOS SRL.</v>
      </c>
      <c r="Z366" s="25" t="s">
        <v>4972</v>
      </c>
      <c r="AA366" s="130"/>
      <c r="AB366" s="3" t="str">
        <f>IF(C_Ope_001[[#This Row],[FECHA]]&gt;0,TEXT(C_Ope_001[[#This Row],[FECHA]],"mmmm"),0)</f>
        <v>Agosto</v>
      </c>
    </row>
    <row r="367" spans="2:28" ht="24" x14ac:dyDescent="0.3">
      <c r="B367" s="2">
        <f>IF(C_Ope_001[[#This Row],[TIPO DE R.]]="R",COUNTIFS($D$4:$D366,"R")+1,"")</f>
        <v>363</v>
      </c>
      <c r="C367" s="19" t="str">
        <f t="shared" si="44"/>
        <v>C_Ope_001</v>
      </c>
      <c r="D367" s="3" t="s">
        <v>1074</v>
      </c>
      <c r="E367" s="14">
        <v>45880</v>
      </c>
      <c r="F367" s="5" t="s">
        <v>6538</v>
      </c>
      <c r="G367" s="5" t="s">
        <v>1079</v>
      </c>
      <c r="H367" s="6" t="s">
        <v>1022</v>
      </c>
      <c r="I367" s="6" t="s">
        <v>14</v>
      </c>
      <c r="J367" s="6" t="s">
        <v>1121</v>
      </c>
      <c r="K367" s="6">
        <v>74</v>
      </c>
      <c r="L367" s="7" t="s">
        <v>6726</v>
      </c>
      <c r="M367" s="8">
        <v>25117</v>
      </c>
      <c r="N367" s="8" t="str">
        <f t="shared" si="45"/>
        <v>PEN</v>
      </c>
      <c r="O367" s="13"/>
      <c r="P367" s="13">
        <v>36.11</v>
      </c>
      <c r="Q367" s="3">
        <f t="shared" si="46"/>
        <v>0</v>
      </c>
      <c r="R367" s="3">
        <f t="shared" si="47"/>
        <v>36.11</v>
      </c>
      <c r="S367" s="3">
        <f t="shared" si="35"/>
        <v>109.48000000000003</v>
      </c>
      <c r="T367" s="24" t="s">
        <v>1081</v>
      </c>
      <c r="U367" s="24"/>
      <c r="V367" s="3"/>
      <c r="W367" s="25" t="s">
        <v>6539</v>
      </c>
      <c r="X367" s="25">
        <v>10738983659</v>
      </c>
      <c r="Y367" s="25" t="str">
        <f>IFERROR(VLOOKUP(C_Ope_001[[#This Row],[NOTA 2]],Clientes_Proveedores[[Ruc / Dni]:[Razon Social]],2,0),"")</f>
        <v>MAMANI PACCO ERICK ROMULO</v>
      </c>
      <c r="Z367" s="25" t="s">
        <v>6727</v>
      </c>
      <c r="AA367" s="130"/>
      <c r="AB367" s="3" t="str">
        <f>IF(C_Ope_001[[#This Row],[FECHA]]&gt;0,TEXT(C_Ope_001[[#This Row],[FECHA]],"mmmm"),0)</f>
        <v>Agosto</v>
      </c>
    </row>
    <row r="368" spans="2:28" x14ac:dyDescent="0.3">
      <c r="B368" s="2">
        <f>IF(C_Ope_001[[#This Row],[TIPO DE R.]]="R",COUNTIFS($D$4:$D367,"R")+1,"")</f>
        <v>364</v>
      </c>
      <c r="C368" s="19" t="str">
        <f t="shared" si="44"/>
        <v>C_Ope_001</v>
      </c>
      <c r="D368" s="3" t="s">
        <v>1074</v>
      </c>
      <c r="E368" s="14">
        <v>45881</v>
      </c>
      <c r="F368" s="5" t="s">
        <v>6538</v>
      </c>
      <c r="G368" s="5" t="s">
        <v>1079</v>
      </c>
      <c r="H368" s="6" t="s">
        <v>919</v>
      </c>
      <c r="I368" s="6" t="s">
        <v>14</v>
      </c>
      <c r="J368" s="6" t="s">
        <v>5244</v>
      </c>
      <c r="K368" s="6">
        <v>1809640</v>
      </c>
      <c r="L368" s="7" t="s">
        <v>6728</v>
      </c>
      <c r="M368" s="8">
        <v>25145</v>
      </c>
      <c r="N368" s="8" t="str">
        <f t="shared" si="45"/>
        <v>PEN</v>
      </c>
      <c r="O368" s="13"/>
      <c r="P368" s="13">
        <v>8</v>
      </c>
      <c r="Q368" s="3">
        <f t="shared" si="46"/>
        <v>0</v>
      </c>
      <c r="R368" s="3">
        <f t="shared" si="47"/>
        <v>8</v>
      </c>
      <c r="S368" s="3">
        <f t="shared" si="35"/>
        <v>101.48000000000003</v>
      </c>
      <c r="T368" s="24" t="s">
        <v>1081</v>
      </c>
      <c r="U368" s="24"/>
      <c r="V368" s="3"/>
      <c r="W368" s="25" t="s">
        <v>6630</v>
      </c>
      <c r="X368" s="25">
        <v>20517252558</v>
      </c>
      <c r="Y368" s="25" t="str">
        <f>IFERROR(VLOOKUP(C_Ope_001[[#This Row],[NOTA 2]],Clientes_Proveedores[[Ruc / Dni]:[Razon Social]],2,0),"")</f>
        <v>COVISUR S.A.</v>
      </c>
      <c r="Z368" s="25" t="s">
        <v>6677</v>
      </c>
      <c r="AA368" s="130"/>
      <c r="AB368" s="3" t="str">
        <f>IF(C_Ope_001[[#This Row],[FECHA]]&gt;0,TEXT(C_Ope_001[[#This Row],[FECHA]],"mmmm"),0)</f>
        <v>Agosto</v>
      </c>
    </row>
    <row r="369" spans="2:28" x14ac:dyDescent="0.3">
      <c r="B369" s="2">
        <f>IF(C_Ope_001[[#This Row],[TIPO DE R.]]="R",COUNTIFS($D$4:$D368,"R")+1,"")</f>
        <v>365</v>
      </c>
      <c r="C369" s="19" t="str">
        <f t="shared" si="44"/>
        <v>C_Ope_001</v>
      </c>
      <c r="D369" s="3" t="s">
        <v>1074</v>
      </c>
      <c r="E369" s="14">
        <v>45881</v>
      </c>
      <c r="F369" s="5" t="s">
        <v>6538</v>
      </c>
      <c r="G369" s="5" t="s">
        <v>1079</v>
      </c>
      <c r="H369" s="6" t="s">
        <v>919</v>
      </c>
      <c r="I369" s="6" t="s">
        <v>14</v>
      </c>
      <c r="J369" s="6" t="s">
        <v>5245</v>
      </c>
      <c r="K369" s="6">
        <v>1830318</v>
      </c>
      <c r="L369" s="7" t="s">
        <v>6716</v>
      </c>
      <c r="M369" s="8">
        <v>25146</v>
      </c>
      <c r="N369" s="8" t="str">
        <f t="shared" si="45"/>
        <v>PEN</v>
      </c>
      <c r="O369" s="13"/>
      <c r="P369" s="13">
        <v>8</v>
      </c>
      <c r="Q369" s="3">
        <f t="shared" si="46"/>
        <v>0</v>
      </c>
      <c r="R369" s="3">
        <f t="shared" si="47"/>
        <v>8</v>
      </c>
      <c r="S369" s="3">
        <f t="shared" si="35"/>
        <v>93.480000000000032</v>
      </c>
      <c r="T369" s="24" t="s">
        <v>1081</v>
      </c>
      <c r="U369" s="24"/>
      <c r="V369" s="3"/>
      <c r="W369" s="25" t="s">
        <v>6630</v>
      </c>
      <c r="X369" s="25">
        <v>20517252558</v>
      </c>
      <c r="Y369" s="25" t="str">
        <f>IFERROR(VLOOKUP(C_Ope_001[[#This Row],[NOTA 2]],Clientes_Proveedores[[Ruc / Dni]:[Razon Social]],2,0),"")</f>
        <v>COVISUR S.A.</v>
      </c>
      <c r="Z369" s="25" t="s">
        <v>6677</v>
      </c>
      <c r="AA369" s="130"/>
      <c r="AB369" s="3" t="str">
        <f>IF(C_Ope_001[[#This Row],[FECHA]]&gt;0,TEXT(C_Ope_001[[#This Row],[FECHA]],"mmmm"),0)</f>
        <v>Agosto</v>
      </c>
    </row>
    <row r="370" spans="2:28" ht="36" x14ac:dyDescent="0.3">
      <c r="B370" s="2">
        <f>IF(C_Ope_001[[#This Row],[TIPO DE R.]]="R",COUNTIFS($D$4:$D369,"R")+1,"")</f>
        <v>366</v>
      </c>
      <c r="C370" s="19" t="str">
        <f t="shared" si="44"/>
        <v>C_Ope_001</v>
      </c>
      <c r="D370" s="3" t="s">
        <v>1074</v>
      </c>
      <c r="E370" s="14">
        <v>45881</v>
      </c>
      <c r="F370" s="5" t="s">
        <v>6538</v>
      </c>
      <c r="G370" s="5" t="s">
        <v>1079</v>
      </c>
      <c r="H370" s="6" t="s">
        <v>624</v>
      </c>
      <c r="I370" s="6" t="s">
        <v>14</v>
      </c>
      <c r="J370" s="6" t="s">
        <v>1097</v>
      </c>
      <c r="K370" s="6">
        <v>17313</v>
      </c>
      <c r="L370" s="7" t="s">
        <v>6729</v>
      </c>
      <c r="M370" s="8">
        <v>25147</v>
      </c>
      <c r="N370" s="8" t="str">
        <f t="shared" si="45"/>
        <v>PEN</v>
      </c>
      <c r="O370" s="13"/>
      <c r="P370" s="13">
        <v>20</v>
      </c>
      <c r="Q370" s="3">
        <f t="shared" si="46"/>
        <v>0</v>
      </c>
      <c r="R370" s="3">
        <f t="shared" si="47"/>
        <v>20</v>
      </c>
      <c r="S370" s="3">
        <f t="shared" si="35"/>
        <v>73.480000000000032</v>
      </c>
      <c r="T370" s="24" t="s">
        <v>1081</v>
      </c>
      <c r="U370" s="24"/>
      <c r="V370" s="3"/>
      <c r="W370" s="25" t="s">
        <v>6630</v>
      </c>
      <c r="X370" s="25">
        <v>20259858934</v>
      </c>
      <c r="Y370" s="25" t="str">
        <f>IFERROR(VLOOKUP(C_Ope_001[[#This Row],[NOTA 2]],Clientes_Proveedores[[Ruc / Dni]:[Razon Social]],2,0),"")</f>
        <v>COMERCIALIZACION Y SERVICIOS EL EDEN S.A.C.</v>
      </c>
      <c r="Z370" s="25" t="s">
        <v>4972</v>
      </c>
      <c r="AA370" s="130"/>
      <c r="AB370" s="3" t="str">
        <f>IF(C_Ope_001[[#This Row],[FECHA]]&gt;0,TEXT(C_Ope_001[[#This Row],[FECHA]],"mmmm"),0)</f>
        <v>Agosto</v>
      </c>
    </row>
    <row r="371" spans="2:28" ht="36" x14ac:dyDescent="0.3">
      <c r="B371" s="2">
        <f>IF(C_Ope_001[[#This Row],[TIPO DE R.]]="R",COUNTIFS($D$4:$D370,"R")+1,"")</f>
        <v>367</v>
      </c>
      <c r="C371" s="19" t="str">
        <f t="shared" si="44"/>
        <v>C_Ope_001</v>
      </c>
      <c r="D371" s="3" t="s">
        <v>1074</v>
      </c>
      <c r="E371" s="14">
        <v>45881</v>
      </c>
      <c r="F371" s="5" t="s">
        <v>6538</v>
      </c>
      <c r="G371" s="5" t="s">
        <v>1079</v>
      </c>
      <c r="H371" s="6" t="s">
        <v>624</v>
      </c>
      <c r="I371" s="6" t="s">
        <v>14</v>
      </c>
      <c r="J371" s="6" t="s">
        <v>1097</v>
      </c>
      <c r="K371" s="6">
        <v>17308</v>
      </c>
      <c r="L371" s="7" t="s">
        <v>6730</v>
      </c>
      <c r="M371" s="8">
        <v>25148</v>
      </c>
      <c r="N371" s="8" t="str">
        <f t="shared" si="45"/>
        <v>PEN</v>
      </c>
      <c r="O371" s="13"/>
      <c r="P371" s="13">
        <v>20</v>
      </c>
      <c r="Q371" s="3">
        <f t="shared" si="46"/>
        <v>0</v>
      </c>
      <c r="R371" s="3">
        <f t="shared" si="47"/>
        <v>20</v>
      </c>
      <c r="S371" s="3">
        <f t="shared" si="35"/>
        <v>53.480000000000032</v>
      </c>
      <c r="T371" s="24" t="s">
        <v>1081</v>
      </c>
      <c r="U371" s="24"/>
      <c r="V371" s="3"/>
      <c r="W371" s="25" t="s">
        <v>6630</v>
      </c>
      <c r="X371" s="25">
        <v>20259858934</v>
      </c>
      <c r="Y371" s="25" t="str">
        <f>IFERROR(VLOOKUP(C_Ope_001[[#This Row],[NOTA 2]],Clientes_Proveedores[[Ruc / Dni]:[Razon Social]],2,0),"")</f>
        <v>COMERCIALIZACION Y SERVICIOS EL EDEN S.A.C.</v>
      </c>
      <c r="Z371" s="25" t="s">
        <v>4972</v>
      </c>
      <c r="AA371" s="130"/>
      <c r="AB371" s="3" t="str">
        <f>IF(C_Ope_001[[#This Row],[FECHA]]&gt;0,TEXT(C_Ope_001[[#This Row],[FECHA]],"mmmm"),0)</f>
        <v>Agosto</v>
      </c>
    </row>
    <row r="372" spans="2:28" x14ac:dyDescent="0.3">
      <c r="B372" s="2">
        <f>IF(C_Ope_001[[#This Row],[TIPO DE R.]]="R",COUNTIFS($D$4:$D371,"R")+1,"")</f>
        <v>368</v>
      </c>
      <c r="C372" s="19" t="str">
        <f t="shared" si="44"/>
        <v>C_Ope_001</v>
      </c>
      <c r="D372" s="3" t="s">
        <v>1074</v>
      </c>
      <c r="E372" s="14">
        <v>45882</v>
      </c>
      <c r="F372" s="5" t="s">
        <v>6538</v>
      </c>
      <c r="G372" s="5" t="s">
        <v>1079</v>
      </c>
      <c r="H372" s="6" t="s">
        <v>919</v>
      </c>
      <c r="I372" s="6" t="s">
        <v>14</v>
      </c>
      <c r="J372" s="6" t="s">
        <v>5244</v>
      </c>
      <c r="K372" s="6">
        <v>1810630</v>
      </c>
      <c r="L372" s="7" t="s">
        <v>6731</v>
      </c>
      <c r="M372" s="8">
        <v>25154</v>
      </c>
      <c r="N372" s="8" t="str">
        <f t="shared" si="45"/>
        <v>PEN</v>
      </c>
      <c r="O372" s="13"/>
      <c r="P372" s="13">
        <v>8</v>
      </c>
      <c r="Q372" s="3">
        <f t="shared" si="46"/>
        <v>0</v>
      </c>
      <c r="R372" s="3">
        <f t="shared" si="47"/>
        <v>8</v>
      </c>
      <c r="S372" s="3">
        <f t="shared" si="35"/>
        <v>45.480000000000032</v>
      </c>
      <c r="T372" s="24" t="s">
        <v>1081</v>
      </c>
      <c r="U372" s="24"/>
      <c r="V372" s="3"/>
      <c r="W372" s="25" t="s">
        <v>6630</v>
      </c>
      <c r="X372" s="25">
        <v>20517252558</v>
      </c>
      <c r="Y372" s="25" t="str">
        <f>IFERROR(VLOOKUP(C_Ope_001[[#This Row],[NOTA 2]],Clientes_Proveedores[[Ruc / Dni]:[Razon Social]],2,0),"")</f>
        <v>COVISUR S.A.</v>
      </c>
      <c r="Z372" s="25" t="s">
        <v>6677</v>
      </c>
      <c r="AA372" s="130"/>
      <c r="AB372" s="3" t="str">
        <f>IF(C_Ope_001[[#This Row],[FECHA]]&gt;0,TEXT(C_Ope_001[[#This Row],[FECHA]],"mmmm"),0)</f>
        <v>Agosto</v>
      </c>
    </row>
    <row r="373" spans="2:28" x14ac:dyDescent="0.3">
      <c r="B373" s="2">
        <f>IF(C_Ope_001[[#This Row],[TIPO DE R.]]="R",COUNTIFS($D$4:$D372,"R")+1,"")</f>
        <v>369</v>
      </c>
      <c r="C373" s="19" t="str">
        <f t="shared" si="44"/>
        <v>C_Ope_001</v>
      </c>
      <c r="D373" s="3" t="s">
        <v>1074</v>
      </c>
      <c r="E373" s="14">
        <v>45882</v>
      </c>
      <c r="F373" s="5" t="s">
        <v>6538</v>
      </c>
      <c r="G373" s="5" t="s">
        <v>1079</v>
      </c>
      <c r="H373" s="6" t="s">
        <v>919</v>
      </c>
      <c r="I373" s="6" t="s">
        <v>14</v>
      </c>
      <c r="J373" s="6" t="s">
        <v>5245</v>
      </c>
      <c r="K373" s="6">
        <v>1831368</v>
      </c>
      <c r="L373" s="7" t="s">
        <v>6731</v>
      </c>
      <c r="M373" s="8">
        <v>25155</v>
      </c>
      <c r="N373" s="8" t="str">
        <f t="shared" si="45"/>
        <v>PEN</v>
      </c>
      <c r="O373" s="13"/>
      <c r="P373" s="13">
        <v>8</v>
      </c>
      <c r="Q373" s="3">
        <f t="shared" si="46"/>
        <v>0</v>
      </c>
      <c r="R373" s="3">
        <f t="shared" si="47"/>
        <v>8</v>
      </c>
      <c r="S373" s="3">
        <f t="shared" si="35"/>
        <v>37.480000000000032</v>
      </c>
      <c r="T373" s="24" t="s">
        <v>1081</v>
      </c>
      <c r="U373" s="24"/>
      <c r="V373" s="3"/>
      <c r="W373" s="25" t="s">
        <v>6630</v>
      </c>
      <c r="X373" s="25">
        <v>20517252558</v>
      </c>
      <c r="Y373" s="25" t="str">
        <f>IFERROR(VLOOKUP(C_Ope_001[[#This Row],[NOTA 2]],Clientes_Proveedores[[Ruc / Dni]:[Razon Social]],2,0),"")</f>
        <v>COVISUR S.A.</v>
      </c>
      <c r="Z373" s="25" t="s">
        <v>6677</v>
      </c>
      <c r="AA373" s="130"/>
      <c r="AB373" s="3" t="str">
        <f>IF(C_Ope_001[[#This Row],[FECHA]]&gt;0,TEXT(C_Ope_001[[#This Row],[FECHA]],"mmmm"),0)</f>
        <v>Agosto</v>
      </c>
    </row>
    <row r="374" spans="2:28" x14ac:dyDescent="0.3">
      <c r="B374" s="2">
        <f>IF(C_Ope_001[[#This Row],[TIPO DE R.]]="R",COUNTIFS($D$4:$D373,"R")+1,"")</f>
        <v>370</v>
      </c>
      <c r="C374" s="19" t="str">
        <f t="shared" si="44"/>
        <v>C_Ope_001</v>
      </c>
      <c r="D374" s="3" t="s">
        <v>1074</v>
      </c>
      <c r="E374" s="14">
        <v>45883</v>
      </c>
      <c r="F374" s="5" t="s">
        <v>6538</v>
      </c>
      <c r="G374" s="5" t="s">
        <v>1079</v>
      </c>
      <c r="H374" s="6" t="s">
        <v>919</v>
      </c>
      <c r="I374" s="6" t="s">
        <v>14</v>
      </c>
      <c r="J374" s="6" t="s">
        <v>5244</v>
      </c>
      <c r="K374" s="6">
        <v>1811673</v>
      </c>
      <c r="L374" s="7" t="s">
        <v>6732</v>
      </c>
      <c r="M374" s="8">
        <v>25158</v>
      </c>
      <c r="N374" s="8" t="str">
        <f t="shared" si="45"/>
        <v>PEN</v>
      </c>
      <c r="O374" s="13"/>
      <c r="P374" s="13">
        <v>8</v>
      </c>
      <c r="Q374" s="3">
        <f t="shared" si="46"/>
        <v>0</v>
      </c>
      <c r="R374" s="3">
        <f t="shared" si="47"/>
        <v>8</v>
      </c>
      <c r="S374" s="3">
        <f t="shared" si="35"/>
        <v>29.480000000000032</v>
      </c>
      <c r="T374" s="24" t="s">
        <v>1081</v>
      </c>
      <c r="U374" s="24"/>
      <c r="V374" s="3"/>
      <c r="W374" s="25" t="s">
        <v>6541</v>
      </c>
      <c r="X374" s="25">
        <v>20517252558</v>
      </c>
      <c r="Y374" s="25" t="str">
        <f>IFERROR(VLOOKUP(C_Ope_001[[#This Row],[NOTA 2]],Clientes_Proveedores[[Ruc / Dni]:[Razon Social]],2,0),"")</f>
        <v>COVISUR S.A.</v>
      </c>
      <c r="Z374" s="25" t="s">
        <v>6677</v>
      </c>
      <c r="AA374" s="130"/>
      <c r="AB374" s="3" t="str">
        <f>IF(C_Ope_001[[#This Row],[FECHA]]&gt;0,TEXT(C_Ope_001[[#This Row],[FECHA]],"mmmm"),0)</f>
        <v>Agosto</v>
      </c>
    </row>
    <row r="375" spans="2:28" x14ac:dyDescent="0.3">
      <c r="B375" s="2">
        <f>IF(C_Ope_001[[#This Row],[TIPO DE R.]]="R",COUNTIFS($D$4:$D374,"R")+1,"")</f>
        <v>371</v>
      </c>
      <c r="C375" s="19" t="str">
        <f t="shared" si="44"/>
        <v>C_Ope_001</v>
      </c>
      <c r="D375" s="3" t="s">
        <v>1074</v>
      </c>
      <c r="E375" s="14">
        <v>45883</v>
      </c>
      <c r="F375" s="5" t="s">
        <v>6538</v>
      </c>
      <c r="G375" s="5" t="s">
        <v>1079</v>
      </c>
      <c r="H375" s="6" t="s">
        <v>919</v>
      </c>
      <c r="I375" s="6" t="s">
        <v>14</v>
      </c>
      <c r="J375" s="6" t="s">
        <v>6556</v>
      </c>
      <c r="K375" s="6">
        <v>496564</v>
      </c>
      <c r="L375" s="7" t="s">
        <v>6733</v>
      </c>
      <c r="M375" s="8">
        <v>25159</v>
      </c>
      <c r="N375" s="8" t="str">
        <f t="shared" si="45"/>
        <v>PEN</v>
      </c>
      <c r="O375" s="13"/>
      <c r="P375" s="13">
        <v>8</v>
      </c>
      <c r="Q375" s="3">
        <f t="shared" si="46"/>
        <v>0</v>
      </c>
      <c r="R375" s="3">
        <f t="shared" si="47"/>
        <v>8</v>
      </c>
      <c r="S375" s="3">
        <f t="shared" si="35"/>
        <v>21.480000000000032</v>
      </c>
      <c r="T375" s="24" t="s">
        <v>1081</v>
      </c>
      <c r="U375" s="24"/>
      <c r="V375" s="3"/>
      <c r="W375" s="25" t="s">
        <v>6541</v>
      </c>
      <c r="X375" s="25">
        <v>20517252558</v>
      </c>
      <c r="Y375" s="25" t="str">
        <f>IFERROR(VLOOKUP(C_Ope_001[[#This Row],[NOTA 2]],Clientes_Proveedores[[Ruc / Dni]:[Razon Social]],2,0),"")</f>
        <v>COVISUR S.A.</v>
      </c>
      <c r="Z375" s="25" t="s">
        <v>6677</v>
      </c>
      <c r="AA375" s="130"/>
      <c r="AB375" s="3" t="str">
        <f>IF(C_Ope_001[[#This Row],[FECHA]]&gt;0,TEXT(C_Ope_001[[#This Row],[FECHA]],"mmmm"),0)</f>
        <v>Agosto</v>
      </c>
    </row>
    <row r="376" spans="2:28" x14ac:dyDescent="0.3">
      <c r="B376" s="2">
        <f>IF(C_Ope_001[[#This Row],[TIPO DE R.]]="R",COUNTIFS($D$4:$D375,"R")+1,"")</f>
        <v>372</v>
      </c>
      <c r="C376" s="19" t="str">
        <f t="shared" si="44"/>
        <v>C_Ope_001</v>
      </c>
      <c r="D376" s="3" t="s">
        <v>1074</v>
      </c>
      <c r="E376" s="14">
        <v>45883</v>
      </c>
      <c r="F376" s="5" t="s">
        <v>6538</v>
      </c>
      <c r="G376" s="5" t="s">
        <v>1079</v>
      </c>
      <c r="H376" s="6" t="s">
        <v>919</v>
      </c>
      <c r="I376" s="6" t="s">
        <v>14</v>
      </c>
      <c r="J376" s="6" t="s">
        <v>6559</v>
      </c>
      <c r="K376" s="6">
        <v>399071</v>
      </c>
      <c r="L376" s="7" t="s">
        <v>6733</v>
      </c>
      <c r="M376" s="8">
        <v>25219</v>
      </c>
      <c r="N376" s="8" t="str">
        <f t="shared" si="45"/>
        <v>PEN</v>
      </c>
      <c r="O376" s="13"/>
      <c r="P376" s="13">
        <v>8</v>
      </c>
      <c r="Q376" s="3">
        <f t="shared" si="46"/>
        <v>0</v>
      </c>
      <c r="R376" s="3">
        <f t="shared" si="47"/>
        <v>8</v>
      </c>
      <c r="S376" s="3">
        <f t="shared" si="35"/>
        <v>13.480000000000032</v>
      </c>
      <c r="T376" s="24" t="s">
        <v>1081</v>
      </c>
      <c r="U376" s="24"/>
      <c r="V376" s="3"/>
      <c r="W376" s="25" t="s">
        <v>6541</v>
      </c>
      <c r="X376" s="25">
        <v>20517252558</v>
      </c>
      <c r="Y376" s="25" t="str">
        <f>IFERROR(VLOOKUP(C_Ope_001[[#This Row],[NOTA 2]],Clientes_Proveedores[[Ruc / Dni]:[Razon Social]],2,0),"")</f>
        <v>COVISUR S.A.</v>
      </c>
      <c r="Z376" s="25" t="s">
        <v>6677</v>
      </c>
      <c r="AA376" s="130"/>
      <c r="AB376" s="3" t="str">
        <f>IF(C_Ope_001[[#This Row],[FECHA]]&gt;0,TEXT(C_Ope_001[[#This Row],[FECHA]],"mmmm"),0)</f>
        <v>Agosto</v>
      </c>
    </row>
    <row r="377" spans="2:28" x14ac:dyDescent="0.3">
      <c r="B377" s="2">
        <f>IF(C_Ope_001[[#This Row],[TIPO DE R.]]="R",COUNTIFS($D$4:$D376,"R")+1,"")</f>
        <v>373</v>
      </c>
      <c r="C377" s="19" t="str">
        <f t="shared" si="44"/>
        <v>C_Ope_001</v>
      </c>
      <c r="D377" s="3" t="s">
        <v>1074</v>
      </c>
      <c r="E377" s="14">
        <v>45883</v>
      </c>
      <c r="F377" s="5" t="s">
        <v>6538</v>
      </c>
      <c r="G377" s="5" t="s">
        <v>1079</v>
      </c>
      <c r="H377" s="6" t="s">
        <v>919</v>
      </c>
      <c r="I377" s="6" t="s">
        <v>14</v>
      </c>
      <c r="J377" s="6" t="s">
        <v>5245</v>
      </c>
      <c r="K377" s="6">
        <v>1832586</v>
      </c>
      <c r="L377" s="7" t="s">
        <v>6732</v>
      </c>
      <c r="M377" s="8">
        <v>25220</v>
      </c>
      <c r="N377" s="8" t="str">
        <f t="shared" si="45"/>
        <v>PEN</v>
      </c>
      <c r="O377" s="13"/>
      <c r="P377" s="13">
        <v>8</v>
      </c>
      <c r="Q377" s="3">
        <f t="shared" si="46"/>
        <v>0</v>
      </c>
      <c r="R377" s="3">
        <f t="shared" si="47"/>
        <v>8</v>
      </c>
      <c r="S377" s="3">
        <f t="shared" si="35"/>
        <v>5.4800000000000324</v>
      </c>
      <c r="T377" s="24" t="s">
        <v>1081</v>
      </c>
      <c r="U377" s="24"/>
      <c r="V377" s="3"/>
      <c r="W377" s="25" t="s">
        <v>6541</v>
      </c>
      <c r="X377" s="25">
        <v>20517252558</v>
      </c>
      <c r="Y377" s="25" t="str">
        <f>IFERROR(VLOOKUP(C_Ope_001[[#This Row],[NOTA 2]],Clientes_Proveedores[[Ruc / Dni]:[Razon Social]],2,0),"")</f>
        <v>COVISUR S.A.</v>
      </c>
      <c r="Z377" s="25" t="s">
        <v>6677</v>
      </c>
      <c r="AA377" s="130"/>
      <c r="AB377" s="3" t="str">
        <f>IF(C_Ope_001[[#This Row],[FECHA]]&gt;0,TEXT(C_Ope_001[[#This Row],[FECHA]],"mmmm"),0)</f>
        <v>Agosto</v>
      </c>
    </row>
    <row r="378" spans="2:28" x14ac:dyDescent="0.3">
      <c r="B378" s="2">
        <f>IF(C_Ope_001[[#This Row],[TIPO DE R.]]="R",COUNTIFS($D$4:$D377,"R")+1,"")</f>
        <v>374</v>
      </c>
      <c r="C378" s="19" t="str">
        <f t="shared" si="44"/>
        <v>C_Ope_001</v>
      </c>
      <c r="D378" s="3" t="s">
        <v>1074</v>
      </c>
      <c r="E378" s="14">
        <v>45887</v>
      </c>
      <c r="F378" s="5" t="s">
        <v>6538</v>
      </c>
      <c r="G378" s="5" t="s">
        <v>1079</v>
      </c>
      <c r="H378" s="6" t="s">
        <v>919</v>
      </c>
      <c r="I378" s="6" t="s">
        <v>14</v>
      </c>
      <c r="J378" s="6" t="s">
        <v>5243</v>
      </c>
      <c r="K378" s="6">
        <v>2439270</v>
      </c>
      <c r="L378" s="7" t="s">
        <v>6734</v>
      </c>
      <c r="M378" s="8">
        <v>25174</v>
      </c>
      <c r="N378" s="8" t="str">
        <f t="shared" si="45"/>
        <v>PEN</v>
      </c>
      <c r="O378" s="13"/>
      <c r="P378" s="13">
        <v>8</v>
      </c>
      <c r="Q378" s="3">
        <f t="shared" si="46"/>
        <v>0</v>
      </c>
      <c r="R378" s="3">
        <f t="shared" si="47"/>
        <v>8</v>
      </c>
      <c r="S378" s="3">
        <f t="shared" si="35"/>
        <v>-2.5199999999999676</v>
      </c>
      <c r="T378" s="24" t="s">
        <v>1081</v>
      </c>
      <c r="U378" s="24"/>
      <c r="V378" s="3"/>
      <c r="W378" s="25" t="s">
        <v>6541</v>
      </c>
      <c r="X378" s="25">
        <v>20517252558</v>
      </c>
      <c r="Y378" s="25" t="str">
        <f>IFERROR(VLOOKUP(C_Ope_001[[#This Row],[NOTA 2]],Clientes_Proveedores[[Ruc / Dni]:[Razon Social]],2,0),"")</f>
        <v>COVISUR S.A.</v>
      </c>
      <c r="Z378" s="25" t="s">
        <v>6677</v>
      </c>
      <c r="AA378" s="130"/>
      <c r="AB378" s="3" t="str">
        <f>IF(C_Ope_001[[#This Row],[FECHA]]&gt;0,TEXT(C_Ope_001[[#This Row],[FECHA]],"mmmm"),0)</f>
        <v>Agosto</v>
      </c>
    </row>
    <row r="379" spans="2:28" x14ac:dyDescent="0.3">
      <c r="B379" s="2">
        <f>IF(C_Ope_001[[#This Row],[TIPO DE R.]]="R",COUNTIFS($D$4:$D378,"R")+1,"")</f>
        <v>375</v>
      </c>
      <c r="C379" s="19" t="str">
        <f t="shared" si="44"/>
        <v>C_Ope_001</v>
      </c>
      <c r="D379" s="3" t="s">
        <v>1074</v>
      </c>
      <c r="E379" s="14">
        <v>45887</v>
      </c>
      <c r="F379" s="5" t="s">
        <v>6538</v>
      </c>
      <c r="G379" s="5" t="s">
        <v>1079</v>
      </c>
      <c r="H379" s="6" t="s">
        <v>919</v>
      </c>
      <c r="I379" s="6" t="s">
        <v>14</v>
      </c>
      <c r="J379" s="6" t="s">
        <v>5242</v>
      </c>
      <c r="K379" s="6">
        <v>2149036</v>
      </c>
      <c r="L379" s="7" t="s">
        <v>6734</v>
      </c>
      <c r="M379" s="8">
        <v>25175</v>
      </c>
      <c r="N379" s="8" t="str">
        <f t="shared" si="45"/>
        <v>PEN</v>
      </c>
      <c r="O379" s="13"/>
      <c r="P379" s="13">
        <v>8</v>
      </c>
      <c r="Q379" s="3">
        <f t="shared" si="46"/>
        <v>0</v>
      </c>
      <c r="R379" s="3">
        <f t="shared" si="47"/>
        <v>8</v>
      </c>
      <c r="S379" s="3">
        <f t="shared" si="35"/>
        <v>-10.519999999999968</v>
      </c>
      <c r="T379" s="24" t="s">
        <v>1081</v>
      </c>
      <c r="U379" s="24"/>
      <c r="V379" s="3"/>
      <c r="W379" s="25" t="s">
        <v>6541</v>
      </c>
      <c r="X379" s="25">
        <v>20517252558</v>
      </c>
      <c r="Y379" s="25" t="str">
        <f>IFERROR(VLOOKUP(C_Ope_001[[#This Row],[NOTA 2]],Clientes_Proveedores[[Ruc / Dni]:[Razon Social]],2,0),"")</f>
        <v>COVISUR S.A.</v>
      </c>
      <c r="Z379" s="25" t="s">
        <v>6677</v>
      </c>
      <c r="AA379" s="130"/>
      <c r="AB379" s="3" t="str">
        <f>IF(C_Ope_001[[#This Row],[FECHA]]&gt;0,TEXT(C_Ope_001[[#This Row],[FECHA]],"mmmm"),0)</f>
        <v>Agosto</v>
      </c>
    </row>
    <row r="380" spans="2:28" ht="36" x14ac:dyDescent="0.3">
      <c r="B380" s="2">
        <f>IF(C_Ope_001[[#This Row],[TIPO DE R.]]="R",COUNTIFS($D$4:$D379,"R")+1,"")</f>
        <v>376</v>
      </c>
      <c r="C380" s="19" t="str">
        <f t="shared" si="44"/>
        <v>C_Ope_001</v>
      </c>
      <c r="D380" s="3" t="s">
        <v>1074</v>
      </c>
      <c r="E380" s="14">
        <v>45887</v>
      </c>
      <c r="F380" s="5" t="s">
        <v>6538</v>
      </c>
      <c r="G380" s="5" t="s">
        <v>1079</v>
      </c>
      <c r="H380" s="6" t="s">
        <v>624</v>
      </c>
      <c r="I380" s="6" t="s">
        <v>14</v>
      </c>
      <c r="J380" s="6" t="s">
        <v>1097</v>
      </c>
      <c r="K380" s="6">
        <v>17382</v>
      </c>
      <c r="L380" s="7" t="s">
        <v>6735</v>
      </c>
      <c r="M380" s="8">
        <v>25168</v>
      </c>
      <c r="N380" s="8" t="str">
        <f t="shared" si="45"/>
        <v>PEN</v>
      </c>
      <c r="O380" s="13"/>
      <c r="P380" s="13">
        <v>20</v>
      </c>
      <c r="Q380" s="3">
        <f t="shared" si="46"/>
        <v>0</v>
      </c>
      <c r="R380" s="3">
        <f t="shared" si="47"/>
        <v>20</v>
      </c>
      <c r="S380" s="3">
        <f t="shared" si="35"/>
        <v>-30.519999999999968</v>
      </c>
      <c r="T380" s="24" t="s">
        <v>1081</v>
      </c>
      <c r="U380" s="24"/>
      <c r="V380" s="3"/>
      <c r="W380" s="25" t="s">
        <v>6541</v>
      </c>
      <c r="X380" s="25">
        <v>20259858934</v>
      </c>
      <c r="Y380" s="25" t="str">
        <f>IFERROR(VLOOKUP(C_Ope_001[[#This Row],[NOTA 2]],Clientes_Proveedores[[Ruc / Dni]:[Razon Social]],2,0),"")</f>
        <v>COMERCIALIZACION Y SERVICIOS EL EDEN S.A.C.</v>
      </c>
      <c r="Z380" s="25" t="s">
        <v>4972</v>
      </c>
      <c r="AA380" s="130"/>
      <c r="AB380" s="3" t="str">
        <f>IF(C_Ope_001[[#This Row],[FECHA]]&gt;0,TEXT(C_Ope_001[[#This Row],[FECHA]],"mmmm"),0)</f>
        <v>Agosto</v>
      </c>
    </row>
    <row r="381" spans="2:28" ht="36" x14ac:dyDescent="0.3">
      <c r="B381" s="2">
        <f>IF(C_Ope_001[[#This Row],[TIPO DE R.]]="R",COUNTIFS($D$4:$D380,"R")+1,"")</f>
        <v>377</v>
      </c>
      <c r="C381" s="19" t="str">
        <f t="shared" si="44"/>
        <v>C_Ope_001</v>
      </c>
      <c r="D381" s="3" t="s">
        <v>1074</v>
      </c>
      <c r="E381" s="14">
        <v>45887</v>
      </c>
      <c r="F381" s="5" t="s">
        <v>6538</v>
      </c>
      <c r="G381" s="5" t="s">
        <v>1079</v>
      </c>
      <c r="H381" s="6" t="s">
        <v>624</v>
      </c>
      <c r="I381" s="6" t="s">
        <v>14</v>
      </c>
      <c r="J381" s="6" t="s">
        <v>1097</v>
      </c>
      <c r="K381" s="6">
        <v>17380</v>
      </c>
      <c r="L381" s="7" t="s">
        <v>6736</v>
      </c>
      <c r="M381" s="8">
        <v>25169</v>
      </c>
      <c r="N381" s="8" t="str">
        <f t="shared" si="45"/>
        <v>PEN</v>
      </c>
      <c r="O381" s="13"/>
      <c r="P381" s="13">
        <v>20</v>
      </c>
      <c r="Q381" s="3">
        <f t="shared" si="46"/>
        <v>0</v>
      </c>
      <c r="R381" s="3">
        <f t="shared" si="47"/>
        <v>20</v>
      </c>
      <c r="S381" s="3">
        <f t="shared" si="35"/>
        <v>-50.519999999999968</v>
      </c>
      <c r="T381" s="24" t="s">
        <v>1081</v>
      </c>
      <c r="U381" s="24"/>
      <c r="V381" s="3"/>
      <c r="W381" s="25" t="s">
        <v>6541</v>
      </c>
      <c r="X381" s="25">
        <v>20259858934</v>
      </c>
      <c r="Y381" s="25" t="str">
        <f>IFERROR(VLOOKUP(C_Ope_001[[#This Row],[NOTA 2]],Clientes_Proveedores[[Ruc / Dni]:[Razon Social]],2,0),"")</f>
        <v>COMERCIALIZACION Y SERVICIOS EL EDEN S.A.C.</v>
      </c>
      <c r="Z381" s="25" t="s">
        <v>4972</v>
      </c>
      <c r="AA381" s="130"/>
      <c r="AB381" s="3" t="str">
        <f>IF(C_Ope_001[[#This Row],[FECHA]]&gt;0,TEXT(C_Ope_001[[#This Row],[FECHA]],"mmmm"),0)</f>
        <v>Agosto</v>
      </c>
    </row>
    <row r="382" spans="2:28" ht="36" x14ac:dyDescent="0.3">
      <c r="B382" s="2">
        <f>IF(C_Ope_001[[#This Row],[TIPO DE R.]]="R",COUNTIFS($D$4:$D381,"R")+1,"")</f>
        <v>378</v>
      </c>
      <c r="C382" s="19" t="str">
        <f t="shared" si="44"/>
        <v>C_Ope_001</v>
      </c>
      <c r="D382" s="3" t="s">
        <v>1074</v>
      </c>
      <c r="E382" s="14">
        <v>45887</v>
      </c>
      <c r="F382" s="5" t="s">
        <v>6538</v>
      </c>
      <c r="G382" s="5" t="s">
        <v>1079</v>
      </c>
      <c r="H382" s="6" t="s">
        <v>624</v>
      </c>
      <c r="I382" s="6" t="s">
        <v>14</v>
      </c>
      <c r="J382" s="6" t="s">
        <v>1097</v>
      </c>
      <c r="K382" s="6">
        <v>17384</v>
      </c>
      <c r="L382" s="7" t="s">
        <v>6737</v>
      </c>
      <c r="M382" s="8">
        <v>25171</v>
      </c>
      <c r="N382" s="8" t="str">
        <f t="shared" si="45"/>
        <v>PEN</v>
      </c>
      <c r="O382" s="13"/>
      <c r="P382" s="13">
        <v>20</v>
      </c>
      <c r="Q382" s="3">
        <f t="shared" si="46"/>
        <v>0</v>
      </c>
      <c r="R382" s="3">
        <f t="shared" si="47"/>
        <v>20</v>
      </c>
      <c r="S382" s="3">
        <f t="shared" si="35"/>
        <v>-70.519999999999968</v>
      </c>
      <c r="T382" s="24" t="s">
        <v>1081</v>
      </c>
      <c r="U382" s="24"/>
      <c r="V382" s="3"/>
      <c r="W382" s="25" t="s">
        <v>6541</v>
      </c>
      <c r="X382" s="25">
        <v>20259858934</v>
      </c>
      <c r="Y382" s="25" t="str">
        <f>IFERROR(VLOOKUP(C_Ope_001[[#This Row],[NOTA 2]],Clientes_Proveedores[[Ruc / Dni]:[Razon Social]],2,0),"")</f>
        <v>COMERCIALIZACION Y SERVICIOS EL EDEN S.A.C.</v>
      </c>
      <c r="Z382" s="25" t="s">
        <v>4972</v>
      </c>
      <c r="AA382" s="130"/>
      <c r="AB382" s="3" t="str">
        <f>IF(C_Ope_001[[#This Row],[FECHA]]&gt;0,TEXT(C_Ope_001[[#This Row],[FECHA]],"mmmm"),0)</f>
        <v>Agosto</v>
      </c>
    </row>
    <row r="383" spans="2:28" x14ac:dyDescent="0.3">
      <c r="B383" s="2">
        <f>IF(C_Ope_001[[#This Row],[TIPO DE R.]]="R",COUNTIFS($D$4:$D382,"R")+1,"")</f>
        <v>379</v>
      </c>
      <c r="C383" s="19" t="str">
        <f t="shared" si="44"/>
        <v>C_Ope_001</v>
      </c>
      <c r="D383" s="3" t="s">
        <v>1074</v>
      </c>
      <c r="E383" s="14">
        <v>45888</v>
      </c>
      <c r="F383" s="5" t="s">
        <v>6538</v>
      </c>
      <c r="G383" s="5" t="s">
        <v>1079</v>
      </c>
      <c r="H383" s="6" t="s">
        <v>919</v>
      </c>
      <c r="I383" s="6" t="s">
        <v>14</v>
      </c>
      <c r="J383" s="6" t="s">
        <v>5244</v>
      </c>
      <c r="K383" s="6">
        <v>1815922</v>
      </c>
      <c r="L383" s="7" t="s">
        <v>6720</v>
      </c>
      <c r="M383" s="8">
        <v>25183</v>
      </c>
      <c r="N383" s="8" t="str">
        <f t="shared" si="45"/>
        <v>PEN</v>
      </c>
      <c r="O383" s="13"/>
      <c r="P383" s="13">
        <v>8</v>
      </c>
      <c r="Q383" s="3">
        <f t="shared" si="46"/>
        <v>0</v>
      </c>
      <c r="R383" s="3">
        <f t="shared" si="47"/>
        <v>8</v>
      </c>
      <c r="S383" s="3">
        <f t="shared" si="35"/>
        <v>-78.519999999999968</v>
      </c>
      <c r="T383" s="24" t="s">
        <v>1081</v>
      </c>
      <c r="U383" s="24"/>
      <c r="V383" s="3"/>
      <c r="W383" s="25" t="s">
        <v>6541</v>
      </c>
      <c r="X383" s="25">
        <v>20517252558</v>
      </c>
      <c r="Y383" s="25" t="str">
        <f>IFERROR(VLOOKUP(C_Ope_001[[#This Row],[NOTA 2]],Clientes_Proveedores[[Ruc / Dni]:[Razon Social]],2,0),"")</f>
        <v>COVISUR S.A.</v>
      </c>
      <c r="Z383" s="25" t="s">
        <v>6677</v>
      </c>
      <c r="AA383" s="130"/>
      <c r="AB383" s="3" t="str">
        <f>IF(C_Ope_001[[#This Row],[FECHA]]&gt;0,TEXT(C_Ope_001[[#This Row],[FECHA]],"mmmm"),0)</f>
        <v>Agosto</v>
      </c>
    </row>
    <row r="384" spans="2:28" x14ac:dyDescent="0.3">
      <c r="B384" s="2">
        <f>IF(C_Ope_001[[#This Row],[TIPO DE R.]]="R",COUNTIFS($D$4:$D383,"R")+1,"")</f>
        <v>380</v>
      </c>
      <c r="C384" s="19" t="str">
        <f t="shared" si="44"/>
        <v>C_Ope_001</v>
      </c>
      <c r="D384" s="3" t="s">
        <v>1074</v>
      </c>
      <c r="E384" s="14">
        <v>45888</v>
      </c>
      <c r="F384" s="5" t="s">
        <v>6538</v>
      </c>
      <c r="G384" s="5" t="s">
        <v>1079</v>
      </c>
      <c r="H384" s="6" t="s">
        <v>919</v>
      </c>
      <c r="I384" s="6" t="s">
        <v>14</v>
      </c>
      <c r="J384" s="6" t="s">
        <v>5281</v>
      </c>
      <c r="K384" s="6">
        <v>1016250</v>
      </c>
      <c r="L384" s="7" t="s">
        <v>6560</v>
      </c>
      <c r="M384" s="8">
        <v>25184</v>
      </c>
      <c r="N384" s="8" t="str">
        <f t="shared" si="45"/>
        <v>PEN</v>
      </c>
      <c r="O384" s="13"/>
      <c r="P384" s="13">
        <v>8</v>
      </c>
      <c r="Q384" s="3">
        <f t="shared" si="46"/>
        <v>0</v>
      </c>
      <c r="R384" s="3">
        <f t="shared" si="47"/>
        <v>8</v>
      </c>
      <c r="S384" s="3">
        <f t="shared" si="35"/>
        <v>-86.519999999999968</v>
      </c>
      <c r="T384" s="24" t="s">
        <v>1081</v>
      </c>
      <c r="U384" s="24"/>
      <c r="V384" s="3"/>
      <c r="W384" s="25" t="s">
        <v>6541</v>
      </c>
      <c r="X384" s="25">
        <v>20517252558</v>
      </c>
      <c r="Y384" s="25" t="str">
        <f>IFERROR(VLOOKUP(C_Ope_001[[#This Row],[NOTA 2]],Clientes_Proveedores[[Ruc / Dni]:[Razon Social]],2,0),"")</f>
        <v>COVISUR S.A.</v>
      </c>
      <c r="Z384" s="25" t="s">
        <v>6677</v>
      </c>
      <c r="AA384" s="130"/>
      <c r="AB384" s="3" t="str">
        <f>IF(C_Ope_001[[#This Row],[FECHA]]&gt;0,TEXT(C_Ope_001[[#This Row],[FECHA]],"mmmm"),0)</f>
        <v>Agosto</v>
      </c>
    </row>
    <row r="385" spans="2:28" x14ac:dyDescent="0.3">
      <c r="B385" s="2">
        <f>IF(C_Ope_001[[#This Row],[TIPO DE R.]]="R",COUNTIFS($D$4:$D384,"R")+1,"")</f>
        <v>381</v>
      </c>
      <c r="C385" s="19" t="str">
        <f t="shared" si="44"/>
        <v>C_Ope_001</v>
      </c>
      <c r="D385" s="3" t="s">
        <v>1074</v>
      </c>
      <c r="E385" s="14">
        <v>45888</v>
      </c>
      <c r="F385" s="5" t="s">
        <v>6538</v>
      </c>
      <c r="G385" s="5" t="s">
        <v>1079</v>
      </c>
      <c r="H385" s="6" t="s">
        <v>919</v>
      </c>
      <c r="I385" s="6" t="s">
        <v>14</v>
      </c>
      <c r="J385" s="6" t="s">
        <v>6559</v>
      </c>
      <c r="K385" s="6">
        <v>399997</v>
      </c>
      <c r="L385" s="7" t="s">
        <v>6560</v>
      </c>
      <c r="M385" s="8">
        <v>25190</v>
      </c>
      <c r="N385" s="8" t="str">
        <f t="shared" si="45"/>
        <v>PEN</v>
      </c>
      <c r="O385" s="13"/>
      <c r="P385" s="13">
        <v>8</v>
      </c>
      <c r="Q385" s="3">
        <f t="shared" si="46"/>
        <v>0</v>
      </c>
      <c r="R385" s="3">
        <f t="shared" si="47"/>
        <v>8</v>
      </c>
      <c r="S385" s="3">
        <f t="shared" si="35"/>
        <v>-94.519999999999968</v>
      </c>
      <c r="T385" s="24" t="s">
        <v>1081</v>
      </c>
      <c r="U385" s="24"/>
      <c r="V385" s="3"/>
      <c r="W385" s="25" t="s">
        <v>6541</v>
      </c>
      <c r="X385" s="25">
        <v>20517252558</v>
      </c>
      <c r="Y385" s="25" t="str">
        <f>IFERROR(VLOOKUP(C_Ope_001[[#This Row],[NOTA 2]],Clientes_Proveedores[[Ruc / Dni]:[Razon Social]],2,0),"")</f>
        <v>COVISUR S.A.</v>
      </c>
      <c r="Z385" s="25" t="s">
        <v>6677</v>
      </c>
      <c r="AA385" s="130"/>
      <c r="AB385" s="3" t="str">
        <f>IF(C_Ope_001[[#This Row],[FECHA]]&gt;0,TEXT(C_Ope_001[[#This Row],[FECHA]],"mmmm"),0)</f>
        <v>Agosto</v>
      </c>
    </row>
    <row r="386" spans="2:28" x14ac:dyDescent="0.3">
      <c r="B386" s="2">
        <f>IF(C_Ope_001[[#This Row],[TIPO DE R.]]="R",COUNTIFS($D$4:$D385,"R")+1,"")</f>
        <v>382</v>
      </c>
      <c r="C386" s="19" t="str">
        <f t="shared" si="44"/>
        <v>C_Ope_001</v>
      </c>
      <c r="D386" s="3" t="s">
        <v>1074</v>
      </c>
      <c r="E386" s="14">
        <v>45888</v>
      </c>
      <c r="F386" s="5" t="s">
        <v>6538</v>
      </c>
      <c r="G386" s="5" t="s">
        <v>1079</v>
      </c>
      <c r="H386" s="6" t="s">
        <v>919</v>
      </c>
      <c r="I386" s="6" t="s">
        <v>14</v>
      </c>
      <c r="J386" s="6" t="s">
        <v>5242</v>
      </c>
      <c r="K386" s="6">
        <v>2150067</v>
      </c>
      <c r="L386" s="7" t="s">
        <v>6720</v>
      </c>
      <c r="M386" s="8">
        <v>25191</v>
      </c>
      <c r="N386" s="8" t="str">
        <f t="shared" si="45"/>
        <v>PEN</v>
      </c>
      <c r="O386" s="13"/>
      <c r="P386" s="13">
        <v>8</v>
      </c>
      <c r="Q386" s="3">
        <f t="shared" si="46"/>
        <v>0</v>
      </c>
      <c r="R386" s="3">
        <f t="shared" si="47"/>
        <v>8</v>
      </c>
      <c r="S386" s="3">
        <f t="shared" si="35"/>
        <v>-102.51999999999997</v>
      </c>
      <c r="T386" s="24" t="s">
        <v>1081</v>
      </c>
      <c r="U386" s="24"/>
      <c r="V386" s="3"/>
      <c r="W386" s="25" t="s">
        <v>6541</v>
      </c>
      <c r="X386" s="25">
        <v>20517252558</v>
      </c>
      <c r="Y386" s="25" t="str">
        <f>IFERROR(VLOOKUP(C_Ope_001[[#This Row],[NOTA 2]],Clientes_Proveedores[[Ruc / Dni]:[Razon Social]],2,0),"")</f>
        <v>COVISUR S.A.</v>
      </c>
      <c r="Z386" s="25" t="s">
        <v>6677</v>
      </c>
      <c r="AA386" s="130"/>
      <c r="AB386" s="3" t="str">
        <f>IF(C_Ope_001[[#This Row],[FECHA]]&gt;0,TEXT(C_Ope_001[[#This Row],[FECHA]],"mmmm"),0)</f>
        <v>Agosto</v>
      </c>
    </row>
    <row r="387" spans="2:28" ht="36" x14ac:dyDescent="0.3">
      <c r="B387" s="2">
        <f>IF(C_Ope_001[[#This Row],[TIPO DE R.]]="R",COUNTIFS($D$4:$D386,"R")+1,"")</f>
        <v>383</v>
      </c>
      <c r="C387" s="19" t="str">
        <f t="shared" si="44"/>
        <v>C_Ope_001</v>
      </c>
      <c r="D387" s="3" t="s">
        <v>1074</v>
      </c>
      <c r="E387" s="14">
        <v>45888</v>
      </c>
      <c r="F387" s="5" t="s">
        <v>6538</v>
      </c>
      <c r="G387" s="5" t="s">
        <v>1079</v>
      </c>
      <c r="H387" s="6" t="s">
        <v>970</v>
      </c>
      <c r="I387" s="6" t="s">
        <v>14</v>
      </c>
      <c r="J387" s="6" t="s">
        <v>1119</v>
      </c>
      <c r="K387" s="6">
        <v>18193</v>
      </c>
      <c r="L387" s="7" t="s">
        <v>6738</v>
      </c>
      <c r="M387" s="8">
        <v>25192</v>
      </c>
      <c r="N387" s="8" t="str">
        <f t="shared" si="45"/>
        <v>PEN</v>
      </c>
      <c r="O387" s="13"/>
      <c r="P387" s="13">
        <v>11</v>
      </c>
      <c r="Q387" s="3">
        <f t="shared" si="46"/>
        <v>0</v>
      </c>
      <c r="R387" s="3">
        <f t="shared" si="47"/>
        <v>11</v>
      </c>
      <c r="S387" s="3">
        <f t="shared" si="35"/>
        <v>-113.51999999999997</v>
      </c>
      <c r="T387" s="24" t="s">
        <v>1081</v>
      </c>
      <c r="U387" s="24"/>
      <c r="V387" s="3"/>
      <c r="W387" s="25" t="s">
        <v>6541</v>
      </c>
      <c r="X387" s="25">
        <v>20454058187</v>
      </c>
      <c r="Y387" s="25" t="str">
        <f>IFERROR(VLOOKUP(C_Ope_001[[#This Row],[NOTA 2]],Clientes_Proveedores[[Ruc / Dni]:[Razon Social]],2,0),"")</f>
        <v>ZONA ESPECIAL DE DESARROLLO ZED MATARANI</v>
      </c>
      <c r="Z387" s="25" t="s">
        <v>4972</v>
      </c>
      <c r="AA387" s="130"/>
      <c r="AB387" s="3" t="str">
        <f>IF(C_Ope_001[[#This Row],[FECHA]]&gt;0,TEXT(C_Ope_001[[#This Row],[FECHA]],"mmmm"),0)</f>
        <v>Agosto</v>
      </c>
    </row>
    <row r="388" spans="2:28" x14ac:dyDescent="0.3">
      <c r="B388" s="2">
        <f>IF(C_Ope_001[[#This Row],[TIPO DE R.]]="R",COUNTIFS($D$4:$D387,"R")+1,"")</f>
        <v>384</v>
      </c>
      <c r="C388" s="19" t="str">
        <f t="shared" si="44"/>
        <v>C_Ope_001</v>
      </c>
      <c r="D388" s="3" t="s">
        <v>1074</v>
      </c>
      <c r="E388" s="14">
        <v>45889</v>
      </c>
      <c r="F388" s="5" t="s">
        <v>6538</v>
      </c>
      <c r="G388" s="5" t="s">
        <v>1079</v>
      </c>
      <c r="H388" s="6" t="s">
        <v>919</v>
      </c>
      <c r="I388" s="6" t="s">
        <v>14</v>
      </c>
      <c r="J388" s="6" t="s">
        <v>5244</v>
      </c>
      <c r="K388" s="6">
        <v>1816997</v>
      </c>
      <c r="L388" s="7" t="s">
        <v>6739</v>
      </c>
      <c r="M388" s="8">
        <v>25209</v>
      </c>
      <c r="N388" s="8" t="str">
        <f t="shared" si="45"/>
        <v>PEN</v>
      </c>
      <c r="O388" s="13"/>
      <c r="P388" s="13">
        <v>8</v>
      </c>
      <c r="Q388" s="3">
        <f t="shared" si="46"/>
        <v>0</v>
      </c>
      <c r="R388" s="3">
        <f t="shared" si="47"/>
        <v>8</v>
      </c>
      <c r="S388" s="3">
        <f t="shared" si="35"/>
        <v>-121.51999999999997</v>
      </c>
      <c r="T388" s="24" t="s">
        <v>1081</v>
      </c>
      <c r="U388" s="24"/>
      <c r="V388" s="3"/>
      <c r="W388" s="25" t="s">
        <v>6541</v>
      </c>
      <c r="X388" s="25">
        <v>20517252558</v>
      </c>
      <c r="Y388" s="25" t="str">
        <f>IFERROR(VLOOKUP(C_Ope_001[[#This Row],[NOTA 2]],Clientes_Proveedores[[Ruc / Dni]:[Razon Social]],2,0),"")</f>
        <v>COVISUR S.A.</v>
      </c>
      <c r="Z388" s="25" t="s">
        <v>6677</v>
      </c>
      <c r="AA388" s="130"/>
      <c r="AB388" s="3" t="str">
        <f>IF(C_Ope_001[[#This Row],[FECHA]]&gt;0,TEXT(C_Ope_001[[#This Row],[FECHA]],"mmmm"),0)</f>
        <v>Agosto</v>
      </c>
    </row>
    <row r="389" spans="2:28" ht="36" x14ac:dyDescent="0.3">
      <c r="B389" s="2">
        <f>IF(C_Ope_001[[#This Row],[TIPO DE R.]]="R",COUNTIFS($D$4:$D388,"R")+1,"")</f>
        <v>385</v>
      </c>
      <c r="C389" s="19" t="str">
        <f t="shared" si="44"/>
        <v>C_Ope_001</v>
      </c>
      <c r="D389" s="3" t="s">
        <v>1074</v>
      </c>
      <c r="E389" s="14">
        <v>45889</v>
      </c>
      <c r="F389" s="5" t="s">
        <v>6538</v>
      </c>
      <c r="G389" s="5" t="s">
        <v>1079</v>
      </c>
      <c r="H389" s="6" t="s">
        <v>624</v>
      </c>
      <c r="I389" s="6" t="s">
        <v>14</v>
      </c>
      <c r="J389" s="6" t="s">
        <v>1097</v>
      </c>
      <c r="K389" s="6">
        <v>17417</v>
      </c>
      <c r="L389" s="7" t="s">
        <v>6713</v>
      </c>
      <c r="M389" s="8">
        <v>25206</v>
      </c>
      <c r="N389" s="8" t="str">
        <f t="shared" si="45"/>
        <v>PEN</v>
      </c>
      <c r="O389" s="13"/>
      <c r="P389" s="13">
        <v>20</v>
      </c>
      <c r="Q389" s="3">
        <f t="shared" si="46"/>
        <v>0</v>
      </c>
      <c r="R389" s="3">
        <f t="shared" si="47"/>
        <v>20</v>
      </c>
      <c r="S389" s="3">
        <f t="shared" ref="S389:S409" si="48">IFERROR(IF(G389="SALDO",Q389,S388+Q389-R389),0)</f>
        <v>-141.51999999999998</v>
      </c>
      <c r="T389" s="24" t="s">
        <v>1081</v>
      </c>
      <c r="U389" s="24"/>
      <c r="V389" s="3"/>
      <c r="W389" s="25" t="s">
        <v>6541</v>
      </c>
      <c r="X389" s="25">
        <v>20259858934</v>
      </c>
      <c r="Y389" s="25" t="str">
        <f>IFERROR(VLOOKUP(C_Ope_001[[#This Row],[NOTA 2]],Clientes_Proveedores[[Ruc / Dni]:[Razon Social]],2,0),"")</f>
        <v>COMERCIALIZACION Y SERVICIOS EL EDEN S.A.C.</v>
      </c>
      <c r="Z389" s="25" t="s">
        <v>4972</v>
      </c>
      <c r="AA389" s="130"/>
      <c r="AB389" s="3" t="str">
        <f>IF(C_Ope_001[[#This Row],[FECHA]]&gt;0,TEXT(C_Ope_001[[#This Row],[FECHA]],"mmmm"),0)</f>
        <v>Agosto</v>
      </c>
    </row>
    <row r="390" spans="2:28" ht="36" x14ac:dyDescent="0.3">
      <c r="B390" s="2">
        <f>IF(C_Ope_001[[#This Row],[TIPO DE R.]]="R",COUNTIFS($D$4:$D389,"R")+1,"")</f>
        <v>386</v>
      </c>
      <c r="C390" s="19" t="str">
        <f t="shared" si="44"/>
        <v>C_Ope_001</v>
      </c>
      <c r="D390" s="3" t="s">
        <v>1074</v>
      </c>
      <c r="E390" s="14">
        <v>45889</v>
      </c>
      <c r="F390" s="5" t="s">
        <v>6538</v>
      </c>
      <c r="G390" s="5" t="s">
        <v>1079</v>
      </c>
      <c r="H390" s="6" t="s">
        <v>624</v>
      </c>
      <c r="I390" s="6" t="s">
        <v>14</v>
      </c>
      <c r="J390" s="6" t="s">
        <v>1097</v>
      </c>
      <c r="K390" s="6">
        <v>17416</v>
      </c>
      <c r="L390" s="7" t="s">
        <v>6740</v>
      </c>
      <c r="M390" s="8">
        <v>25207</v>
      </c>
      <c r="N390" s="8" t="str">
        <f t="shared" si="45"/>
        <v>PEN</v>
      </c>
      <c r="O390" s="13"/>
      <c r="P390" s="13">
        <v>20</v>
      </c>
      <c r="Q390" s="3">
        <f t="shared" si="46"/>
        <v>0</v>
      </c>
      <c r="R390" s="3">
        <f t="shared" si="47"/>
        <v>20</v>
      </c>
      <c r="S390" s="3">
        <f t="shared" si="48"/>
        <v>-161.51999999999998</v>
      </c>
      <c r="T390" s="24" t="s">
        <v>1081</v>
      </c>
      <c r="U390" s="24"/>
      <c r="V390" s="3"/>
      <c r="W390" s="25" t="s">
        <v>6541</v>
      </c>
      <c r="X390" s="25">
        <v>20259858934</v>
      </c>
      <c r="Y390" s="25" t="str">
        <f>IFERROR(VLOOKUP(C_Ope_001[[#This Row],[NOTA 2]],Clientes_Proveedores[[Ruc / Dni]:[Razon Social]],2,0),"")</f>
        <v>COMERCIALIZACION Y SERVICIOS EL EDEN S.A.C.</v>
      </c>
      <c r="Z390" s="25" t="s">
        <v>4972</v>
      </c>
      <c r="AA390" s="130"/>
      <c r="AB390" s="3" t="str">
        <f>IF(C_Ope_001[[#This Row],[FECHA]]&gt;0,TEXT(C_Ope_001[[#This Row],[FECHA]],"mmmm"),0)</f>
        <v>Agosto</v>
      </c>
    </row>
    <row r="391" spans="2:28" ht="36" x14ac:dyDescent="0.3">
      <c r="B391" s="2">
        <f>IF(C_Ope_001[[#This Row],[TIPO DE R.]]="R",COUNTIFS($D$4:$D390,"R")+1,"")</f>
        <v>387</v>
      </c>
      <c r="C391" s="19" t="str">
        <f t="shared" si="44"/>
        <v>C_Ope_001</v>
      </c>
      <c r="D391" s="3" t="s">
        <v>1074</v>
      </c>
      <c r="E391" s="14">
        <v>45889</v>
      </c>
      <c r="F391" s="5" t="s">
        <v>6538</v>
      </c>
      <c r="G391" s="5" t="s">
        <v>1079</v>
      </c>
      <c r="H391" s="6" t="s">
        <v>170</v>
      </c>
      <c r="I391" s="6" t="s">
        <v>14</v>
      </c>
      <c r="J391" s="6" t="s">
        <v>1148</v>
      </c>
      <c r="K391" s="6">
        <v>135737</v>
      </c>
      <c r="L391" s="7" t="s">
        <v>6680</v>
      </c>
      <c r="M391" s="8">
        <v>25208</v>
      </c>
      <c r="N391" s="8" t="str">
        <f t="shared" si="45"/>
        <v>PEN</v>
      </c>
      <c r="O391" s="13"/>
      <c r="P391" s="13">
        <v>10</v>
      </c>
      <c r="Q391" s="3">
        <f t="shared" si="46"/>
        <v>0</v>
      </c>
      <c r="R391" s="3">
        <f t="shared" si="47"/>
        <v>10</v>
      </c>
      <c r="S391" s="3">
        <f t="shared" si="48"/>
        <v>-171.51999999999998</v>
      </c>
      <c r="T391" s="24" t="s">
        <v>1081</v>
      </c>
      <c r="U391" s="24"/>
      <c r="V391" s="3"/>
      <c r="W391" s="25" t="s">
        <v>6541</v>
      </c>
      <c r="X391" s="25">
        <v>20124952850</v>
      </c>
      <c r="Y391" s="25" t="str">
        <f>IFERROR(VLOOKUP(C_Ope_001[[#This Row],[NOTA 2]],Clientes_Proveedores[[Ruc / Dni]:[Razon Social]],2,0),"")</f>
        <v>ALIMENTOS Y SERVICIOS AGROPECUARIOS SRL.</v>
      </c>
      <c r="Z391" s="25" t="s">
        <v>4972</v>
      </c>
      <c r="AA391" s="130"/>
      <c r="AB391" s="3" t="str">
        <f>IF(C_Ope_001[[#This Row],[FECHA]]&gt;0,TEXT(C_Ope_001[[#This Row],[FECHA]],"mmmm"),0)</f>
        <v>Agosto</v>
      </c>
    </row>
    <row r="392" spans="2:28" x14ac:dyDescent="0.3">
      <c r="B392" s="2">
        <f>IF(C_Ope_001[[#This Row],[TIPO DE R.]]="R",COUNTIFS($D$4:$D391,"R")+1,"")</f>
        <v>388</v>
      </c>
      <c r="C392" s="19" t="str">
        <f t="shared" ref="C392:C398" si="49">"C_Ope_001"</f>
        <v>C_Ope_001</v>
      </c>
      <c r="D392" s="3" t="s">
        <v>1074</v>
      </c>
      <c r="E392" s="14">
        <v>45890</v>
      </c>
      <c r="F392" s="5" t="s">
        <v>6538</v>
      </c>
      <c r="G392" s="5" t="s">
        <v>1079</v>
      </c>
      <c r="H392" s="6" t="s">
        <v>919</v>
      </c>
      <c r="I392" s="6" t="s">
        <v>14</v>
      </c>
      <c r="J392" s="6" t="s">
        <v>5242</v>
      </c>
      <c r="K392" s="6">
        <v>2152263</v>
      </c>
      <c r="L392" s="7" t="s">
        <v>6741</v>
      </c>
      <c r="M392" s="8">
        <v>25227</v>
      </c>
      <c r="N392" s="8" t="str">
        <f t="shared" ref="N392:N398" si="50">"PEN"</f>
        <v>PEN</v>
      </c>
      <c r="O392" s="13"/>
      <c r="P392" s="13">
        <v>8</v>
      </c>
      <c r="Q392" s="3">
        <f t="shared" ref="Q392:Q398" si="51">+IF(OR($G392="SALDO",$G392="INGRESO"),$P392,0)</f>
        <v>0</v>
      </c>
      <c r="R392" s="3">
        <f t="shared" ref="R392:R398" si="52">+IF($G392="EGRESO",$P392,0)</f>
        <v>8</v>
      </c>
      <c r="S392" s="3">
        <f t="shared" si="48"/>
        <v>-179.51999999999998</v>
      </c>
      <c r="T392" s="24" t="s">
        <v>1081</v>
      </c>
      <c r="U392" s="24"/>
      <c r="V392" s="3"/>
      <c r="W392" s="25" t="s">
        <v>6541</v>
      </c>
      <c r="X392" s="25">
        <v>20517252558</v>
      </c>
      <c r="Y392" s="25" t="str">
        <f>IFERROR(VLOOKUP(C_Ope_001[[#This Row],[NOTA 2]],Clientes_Proveedores[[Ruc / Dni]:[Razon Social]],2,0),"")</f>
        <v>COVISUR S.A.</v>
      </c>
      <c r="Z392" s="25" t="s">
        <v>6677</v>
      </c>
      <c r="AA392" s="130"/>
      <c r="AB392" s="3" t="str">
        <f>IF(C_Ope_001[[#This Row],[FECHA]]&gt;0,TEXT(C_Ope_001[[#This Row],[FECHA]],"mmmm"),0)</f>
        <v>Agosto</v>
      </c>
    </row>
    <row r="393" spans="2:28" x14ac:dyDescent="0.3">
      <c r="B393" s="2">
        <f>IF(C_Ope_001[[#This Row],[TIPO DE R.]]="R",COUNTIFS($D$4:$D392,"R")+1,"")</f>
        <v>389</v>
      </c>
      <c r="C393" s="19" t="str">
        <f t="shared" si="49"/>
        <v>C_Ope_001</v>
      </c>
      <c r="D393" s="3" t="s">
        <v>1074</v>
      </c>
      <c r="E393" s="14">
        <v>45890</v>
      </c>
      <c r="F393" s="5" t="s">
        <v>6538</v>
      </c>
      <c r="G393" s="5" t="s">
        <v>1079</v>
      </c>
      <c r="H393" s="6" t="s">
        <v>919</v>
      </c>
      <c r="I393" s="6" t="s">
        <v>14</v>
      </c>
      <c r="J393" s="6" t="s">
        <v>5244</v>
      </c>
      <c r="K393" s="6">
        <v>1818310</v>
      </c>
      <c r="L393" s="7" t="s">
        <v>6741</v>
      </c>
      <c r="M393" s="8">
        <v>25228</v>
      </c>
      <c r="N393" s="8" t="str">
        <f t="shared" si="50"/>
        <v>PEN</v>
      </c>
      <c r="O393" s="13"/>
      <c r="P393" s="13">
        <v>8</v>
      </c>
      <c r="Q393" s="3">
        <f t="shared" si="51"/>
        <v>0</v>
      </c>
      <c r="R393" s="3">
        <f t="shared" si="52"/>
        <v>8</v>
      </c>
      <c r="S393" s="3">
        <f t="shared" si="48"/>
        <v>-187.51999999999998</v>
      </c>
      <c r="T393" s="24" t="s">
        <v>1081</v>
      </c>
      <c r="U393" s="24"/>
      <c r="V393" s="3"/>
      <c r="W393" s="25" t="s">
        <v>6541</v>
      </c>
      <c r="X393" s="25">
        <v>20517252558</v>
      </c>
      <c r="Y393" s="25" t="str">
        <f>IFERROR(VLOOKUP(C_Ope_001[[#This Row],[NOTA 2]],Clientes_Proveedores[[Ruc / Dni]:[Razon Social]],2,0),"")</f>
        <v>COVISUR S.A.</v>
      </c>
      <c r="Z393" s="25" t="s">
        <v>6677</v>
      </c>
      <c r="AA393" s="130"/>
      <c r="AB393" s="3" t="str">
        <f>IF(C_Ope_001[[#This Row],[FECHA]]&gt;0,TEXT(C_Ope_001[[#This Row],[FECHA]],"mmmm"),0)</f>
        <v>Agosto</v>
      </c>
    </row>
    <row r="394" spans="2:28" x14ac:dyDescent="0.3">
      <c r="B394" s="2">
        <f>IF(C_Ope_001[[#This Row],[TIPO DE R.]]="R",COUNTIFS($D$4:$D393,"R")+1,"")</f>
        <v>390</v>
      </c>
      <c r="C394" s="19" t="str">
        <f>"C_Ope_001"</f>
        <v>C_Ope_001</v>
      </c>
      <c r="D394" s="3" t="s">
        <v>1074</v>
      </c>
      <c r="E394" s="14">
        <v>45890</v>
      </c>
      <c r="F394" s="5" t="s">
        <v>3353</v>
      </c>
      <c r="G394" s="5" t="s">
        <v>1087</v>
      </c>
      <c r="H394" s="6"/>
      <c r="I394" s="6"/>
      <c r="J394" s="6"/>
      <c r="K394" s="6"/>
      <c r="L394" s="7" t="s">
        <v>6302</v>
      </c>
      <c r="M394" s="8">
        <v>25306</v>
      </c>
      <c r="N394" s="8" t="str">
        <f>"PEN"</f>
        <v>PEN</v>
      </c>
      <c r="O394" s="13"/>
      <c r="P394" s="13">
        <v>150</v>
      </c>
      <c r="Q394" s="3">
        <f>+IF(OR($G394="SALDO",$G394="INGRESO"),$P394,0)</f>
        <v>150</v>
      </c>
      <c r="R394" s="3">
        <f>+IF($G394="EGRESO",$P394,0)</f>
        <v>0</v>
      </c>
      <c r="S394" s="3">
        <f t="shared" si="48"/>
        <v>-37.519999999999982</v>
      </c>
      <c r="T394" s="24"/>
      <c r="U394" s="24"/>
      <c r="V394" s="3"/>
      <c r="W394" s="25"/>
      <c r="X394" s="25"/>
      <c r="Y394" s="25" t="str">
        <f>IFERROR(VLOOKUP(C_Ope_001[[#This Row],[NOTA 2]],Clientes_Proveedores[[Ruc / Dni]:[Razon Social]],2,0),"")</f>
        <v/>
      </c>
      <c r="Z394" s="25"/>
      <c r="AA394" s="130"/>
      <c r="AB394" s="3" t="str">
        <f>IF(C_Ope_001[[#This Row],[FECHA]]&gt;0,TEXT(C_Ope_001[[#This Row],[FECHA]],"mmmm"),0)</f>
        <v>Agosto</v>
      </c>
    </row>
    <row r="395" spans="2:28" ht="36" x14ac:dyDescent="0.3">
      <c r="B395" s="2">
        <f>IF(C_Ope_001[[#This Row],[TIPO DE R.]]="R",COUNTIFS($D$4:$D394,"R")+1,"")</f>
        <v>391</v>
      </c>
      <c r="C395" s="19" t="str">
        <f t="shared" si="49"/>
        <v>C_Ope_001</v>
      </c>
      <c r="D395" s="3" t="s">
        <v>1074</v>
      </c>
      <c r="E395" s="14">
        <v>45890</v>
      </c>
      <c r="F395" s="5" t="s">
        <v>6538</v>
      </c>
      <c r="G395" s="5" t="s">
        <v>1079</v>
      </c>
      <c r="H395" s="6" t="s">
        <v>170</v>
      </c>
      <c r="I395" s="6" t="s">
        <v>14</v>
      </c>
      <c r="J395" s="6" t="s">
        <v>1148</v>
      </c>
      <c r="K395" s="6">
        <v>135806</v>
      </c>
      <c r="L395" s="7" t="s">
        <v>6742</v>
      </c>
      <c r="M395" s="8">
        <v>25222</v>
      </c>
      <c r="N395" s="8" t="str">
        <f t="shared" si="50"/>
        <v>PEN</v>
      </c>
      <c r="O395" s="13"/>
      <c r="P395" s="13">
        <v>10</v>
      </c>
      <c r="Q395" s="3">
        <f t="shared" si="51"/>
        <v>0</v>
      </c>
      <c r="R395" s="3">
        <f t="shared" si="52"/>
        <v>10</v>
      </c>
      <c r="S395" s="3">
        <f t="shared" si="48"/>
        <v>-47.519999999999982</v>
      </c>
      <c r="T395" s="24" t="s">
        <v>1081</v>
      </c>
      <c r="U395" s="24"/>
      <c r="V395" s="3"/>
      <c r="W395" s="25" t="s">
        <v>6541</v>
      </c>
      <c r="X395" s="25">
        <v>20124952850</v>
      </c>
      <c r="Y395" s="25" t="str">
        <f>IFERROR(VLOOKUP(C_Ope_001[[#This Row],[NOTA 2]],Clientes_Proveedores[[Ruc / Dni]:[Razon Social]],2,0),"")</f>
        <v>ALIMENTOS Y SERVICIOS AGROPECUARIOS SRL.</v>
      </c>
      <c r="Z395" s="25" t="s">
        <v>4972</v>
      </c>
      <c r="AA395" s="130"/>
      <c r="AB395" s="3" t="str">
        <f>IF(C_Ope_001[[#This Row],[FECHA]]&gt;0,TEXT(C_Ope_001[[#This Row],[FECHA]],"mmmm"),0)</f>
        <v>Agosto</v>
      </c>
    </row>
    <row r="396" spans="2:28" ht="36" x14ac:dyDescent="0.3">
      <c r="B396" s="2">
        <f>IF(C_Ope_001[[#This Row],[TIPO DE R.]]="R",COUNTIFS($D$4:$D395,"R")+1,"")</f>
        <v>392</v>
      </c>
      <c r="C396" s="19" t="str">
        <f t="shared" si="49"/>
        <v>C_Ope_001</v>
      </c>
      <c r="D396" s="3" t="s">
        <v>1074</v>
      </c>
      <c r="E396" s="14">
        <v>45891</v>
      </c>
      <c r="F396" s="5" t="s">
        <v>6538</v>
      </c>
      <c r="G396" s="5" t="s">
        <v>1079</v>
      </c>
      <c r="H396" s="6" t="s">
        <v>170</v>
      </c>
      <c r="I396" s="6" t="s">
        <v>14</v>
      </c>
      <c r="J396" s="6" t="s">
        <v>1148</v>
      </c>
      <c r="K396" s="6">
        <v>135848</v>
      </c>
      <c r="L396" s="7" t="s">
        <v>6680</v>
      </c>
      <c r="M396" s="8">
        <v>25232</v>
      </c>
      <c r="N396" s="8" t="str">
        <f t="shared" si="50"/>
        <v>PEN</v>
      </c>
      <c r="O396" s="13"/>
      <c r="P396" s="13">
        <v>10</v>
      </c>
      <c r="Q396" s="3">
        <f t="shared" si="51"/>
        <v>0</v>
      </c>
      <c r="R396" s="3">
        <f t="shared" si="52"/>
        <v>10</v>
      </c>
      <c r="S396" s="3">
        <f t="shared" si="48"/>
        <v>-57.519999999999982</v>
      </c>
      <c r="T396" s="24" t="s">
        <v>1081</v>
      </c>
      <c r="U396" s="24"/>
      <c r="V396" s="3"/>
      <c r="W396" s="25" t="s">
        <v>6541</v>
      </c>
      <c r="X396" s="25">
        <v>20124952850</v>
      </c>
      <c r="Y396" s="25" t="str">
        <f>IFERROR(VLOOKUP(C_Ope_001[[#This Row],[NOTA 2]],Clientes_Proveedores[[Ruc / Dni]:[Razon Social]],2,0),"")</f>
        <v>ALIMENTOS Y SERVICIOS AGROPECUARIOS SRL.</v>
      </c>
      <c r="Z396" s="25" t="s">
        <v>4972</v>
      </c>
      <c r="AA396" s="130"/>
      <c r="AB396" s="3" t="str">
        <f>IF(C_Ope_001[[#This Row],[FECHA]]&gt;0,TEXT(C_Ope_001[[#This Row],[FECHA]],"mmmm"),0)</f>
        <v>Agosto</v>
      </c>
    </row>
    <row r="397" spans="2:28" ht="24" x14ac:dyDescent="0.3">
      <c r="B397" s="2">
        <f>IF(C_Ope_001[[#This Row],[TIPO DE R.]]="R",COUNTIFS($D$4:$D396,"R")+1,"")</f>
        <v>393</v>
      </c>
      <c r="C397" s="19" t="str">
        <f t="shared" si="49"/>
        <v>C_Ope_001</v>
      </c>
      <c r="D397" s="3" t="s">
        <v>1074</v>
      </c>
      <c r="E397" s="14">
        <v>45891</v>
      </c>
      <c r="F397" s="5" t="s">
        <v>6538</v>
      </c>
      <c r="G397" s="5" t="s">
        <v>1079</v>
      </c>
      <c r="H397" s="6" t="s">
        <v>939</v>
      </c>
      <c r="I397" s="6" t="s">
        <v>14</v>
      </c>
      <c r="J397" s="6" t="s">
        <v>6561</v>
      </c>
      <c r="K397" s="6">
        <v>2257</v>
      </c>
      <c r="L397" s="7" t="s">
        <v>6724</v>
      </c>
      <c r="M397" s="8">
        <v>25237</v>
      </c>
      <c r="N397" s="8" t="str">
        <f t="shared" si="50"/>
        <v>PEN</v>
      </c>
      <c r="O397" s="13"/>
      <c r="P397" s="13">
        <v>10</v>
      </c>
      <c r="Q397" s="3">
        <f t="shared" si="51"/>
        <v>0</v>
      </c>
      <c r="R397" s="3">
        <f t="shared" si="52"/>
        <v>10</v>
      </c>
      <c r="S397" s="3">
        <f t="shared" si="48"/>
        <v>-67.519999999999982</v>
      </c>
      <c r="T397" s="24" t="s">
        <v>1081</v>
      </c>
      <c r="U397" s="24"/>
      <c r="V397" s="3"/>
      <c r="W397" s="25" t="s">
        <v>6541</v>
      </c>
      <c r="X397" s="25">
        <v>20612112500</v>
      </c>
      <c r="Y397" s="25" t="str">
        <f>IFERROR(VLOOKUP(C_Ope_001[[#This Row],[NOTA 2]],Clientes_Proveedores[[Ruc / Dni]:[Razon Social]],2,0),"")</f>
        <v>RECICLADORA LAS LOMAS E.I.R.L.</v>
      </c>
      <c r="Z397" s="25" t="s">
        <v>4972</v>
      </c>
      <c r="AA397" s="130"/>
      <c r="AB397" s="3" t="str">
        <f>IF(C_Ope_001[[#This Row],[FECHA]]&gt;0,TEXT(C_Ope_001[[#This Row],[FECHA]],"mmmm"),0)</f>
        <v>Agosto</v>
      </c>
    </row>
    <row r="398" spans="2:28" ht="24" x14ac:dyDescent="0.3">
      <c r="B398" s="2">
        <f>IF(C_Ope_001[[#This Row],[TIPO DE R.]]="R",COUNTIFS($D$4:$D397,"R")+1,"")</f>
        <v>394</v>
      </c>
      <c r="C398" s="19" t="str">
        <f t="shared" si="49"/>
        <v>C_Ope_001</v>
      </c>
      <c r="D398" s="3" t="s">
        <v>1074</v>
      </c>
      <c r="E398" s="14">
        <v>45891</v>
      </c>
      <c r="F398" s="5" t="s">
        <v>6538</v>
      </c>
      <c r="G398" s="5" t="s">
        <v>1079</v>
      </c>
      <c r="H398" s="6" t="s">
        <v>939</v>
      </c>
      <c r="I398" s="6" t="s">
        <v>14</v>
      </c>
      <c r="J398" s="6" t="s">
        <v>6561</v>
      </c>
      <c r="K398" s="6">
        <v>2267</v>
      </c>
      <c r="L398" s="7" t="s">
        <v>6743</v>
      </c>
      <c r="M398" s="8">
        <v>25238</v>
      </c>
      <c r="N398" s="8" t="str">
        <f t="shared" si="50"/>
        <v>PEN</v>
      </c>
      <c r="O398" s="13"/>
      <c r="P398" s="13">
        <v>10</v>
      </c>
      <c r="Q398" s="3">
        <f t="shared" si="51"/>
        <v>0</v>
      </c>
      <c r="R398" s="3">
        <f t="shared" si="52"/>
        <v>10</v>
      </c>
      <c r="S398" s="3">
        <f t="shared" si="48"/>
        <v>-77.519999999999982</v>
      </c>
      <c r="T398" s="24" t="s">
        <v>1081</v>
      </c>
      <c r="U398" s="24"/>
      <c r="V398" s="3"/>
      <c r="W398" s="25" t="s">
        <v>6541</v>
      </c>
      <c r="X398" s="25">
        <v>20612112500</v>
      </c>
      <c r="Y398" s="25" t="str">
        <f>IFERROR(VLOOKUP(C_Ope_001[[#This Row],[NOTA 2]],Clientes_Proveedores[[Ruc / Dni]:[Razon Social]],2,0),"")</f>
        <v>RECICLADORA LAS LOMAS E.I.R.L.</v>
      </c>
      <c r="Z398" s="25" t="s">
        <v>4972</v>
      </c>
      <c r="AA398" s="130"/>
      <c r="AB398" s="3" t="str">
        <f>IF(C_Ope_001[[#This Row],[FECHA]]&gt;0,TEXT(C_Ope_001[[#This Row],[FECHA]],"mmmm"),0)</f>
        <v>Agosto</v>
      </c>
    </row>
    <row r="399" spans="2:28" x14ac:dyDescent="0.3">
      <c r="B399" s="2">
        <f>IF(C_Ope_001[[#This Row],[TIPO DE R.]]="R",COUNTIFS($D$4:$D398,"R")+1,"")</f>
        <v>395</v>
      </c>
      <c r="C399" s="19" t="str">
        <f>"C_Ope_001"</f>
        <v>C_Ope_001</v>
      </c>
      <c r="D399" s="3" t="s">
        <v>1074</v>
      </c>
      <c r="E399" s="14">
        <v>45894</v>
      </c>
      <c r="F399" s="5" t="s">
        <v>3353</v>
      </c>
      <c r="G399" s="5" t="s">
        <v>1087</v>
      </c>
      <c r="H399" s="6"/>
      <c r="I399" s="6"/>
      <c r="J399" s="6"/>
      <c r="K399" s="6"/>
      <c r="L399" s="7" t="s">
        <v>6302</v>
      </c>
      <c r="M399" s="8">
        <v>25260</v>
      </c>
      <c r="N399" s="8" t="str">
        <f>"PEN"</f>
        <v>PEN</v>
      </c>
      <c r="O399" s="13"/>
      <c r="P399" s="13">
        <v>220</v>
      </c>
      <c r="Q399" s="3">
        <f>+IF(OR($G399="SALDO",$G399="INGRESO"),$P399,0)</f>
        <v>220</v>
      </c>
      <c r="R399" s="3">
        <f>+IF($G399="EGRESO",$P399,0)</f>
        <v>0</v>
      </c>
      <c r="S399" s="3">
        <f t="shared" si="48"/>
        <v>142.48000000000002</v>
      </c>
      <c r="T399" s="24"/>
      <c r="U399" s="24"/>
      <c r="V399" s="3"/>
      <c r="W399" s="25"/>
      <c r="X399" s="25"/>
      <c r="Y399" s="25" t="str">
        <f>IFERROR(VLOOKUP(C_Ope_001[[#This Row],[NOTA 2]],Clientes_Proveedores[[Ruc / Dni]:[Razon Social]],2,0),"")</f>
        <v/>
      </c>
      <c r="Z399" s="25"/>
      <c r="AA399" s="130"/>
      <c r="AB399" s="3" t="str">
        <f>IF(C_Ope_001[[#This Row],[FECHA]]&gt;0,TEXT(C_Ope_001[[#This Row],[FECHA]],"mmmm"),0)</f>
        <v>Agosto</v>
      </c>
    </row>
    <row r="400" spans="2:28" x14ac:dyDescent="0.3">
      <c r="B400" s="2">
        <f>IF(C_Ope_001[[#This Row],[TIPO DE R.]]="R",COUNTIFS($D$4:$D399,"R")+1,"")</f>
        <v>396</v>
      </c>
      <c r="C400" s="19" t="str">
        <f t="shared" ref="C400:C409" si="53">"C_Ope_001"</f>
        <v>C_Ope_001</v>
      </c>
      <c r="D400" s="3" t="s">
        <v>1074</v>
      </c>
      <c r="E400" s="14">
        <v>45894</v>
      </c>
      <c r="F400" s="5" t="s">
        <v>6538</v>
      </c>
      <c r="G400" s="5" t="s">
        <v>1079</v>
      </c>
      <c r="H400" s="6" t="s">
        <v>919</v>
      </c>
      <c r="I400" s="6" t="s">
        <v>14</v>
      </c>
      <c r="J400" s="6" t="s">
        <v>5244</v>
      </c>
      <c r="K400" s="6">
        <v>1821449</v>
      </c>
      <c r="L400" s="7" t="s">
        <v>7982</v>
      </c>
      <c r="M400" s="8">
        <v>25259</v>
      </c>
      <c r="N400" s="8" t="str">
        <f t="shared" ref="N400:N409" si="54">"PEN"</f>
        <v>PEN</v>
      </c>
      <c r="O400" s="13"/>
      <c r="P400" s="13">
        <v>8</v>
      </c>
      <c r="Q400" s="3">
        <f t="shared" ref="Q400:Q409" si="55">+IF(OR($G400="SALDO",$G400="INGRESO"),$P400,0)</f>
        <v>0</v>
      </c>
      <c r="R400" s="3">
        <f t="shared" ref="R400:R409" si="56">+IF($G400="EGRESO",$P400,0)</f>
        <v>8</v>
      </c>
      <c r="S400" s="3">
        <f t="shared" si="48"/>
        <v>134.48000000000002</v>
      </c>
      <c r="T400" s="24" t="s">
        <v>1081</v>
      </c>
      <c r="U400" s="24"/>
      <c r="V400" s="3"/>
      <c r="W400" s="25" t="s">
        <v>6541</v>
      </c>
      <c r="X400" s="25">
        <v>20517252558</v>
      </c>
      <c r="Y400" s="25" t="str">
        <f>IFERROR(VLOOKUP(C_Ope_001[[#This Row],[NOTA 2]],Clientes_Proveedores[[Ruc / Dni]:[Razon Social]],2,0),"")</f>
        <v>COVISUR S.A.</v>
      </c>
      <c r="Z400" s="25" t="s">
        <v>6677</v>
      </c>
      <c r="AA400" s="130"/>
      <c r="AB400" s="3" t="str">
        <f>IF(C_Ope_001[[#This Row],[FECHA]]&gt;0,TEXT(C_Ope_001[[#This Row],[FECHA]],"mmmm"),0)</f>
        <v>Agosto</v>
      </c>
    </row>
    <row r="401" spans="2:28" x14ac:dyDescent="0.3">
      <c r="B401" s="2">
        <f>IF(C_Ope_001[[#This Row],[TIPO DE R.]]="R",COUNTIFS($D$4:$D400,"R")+1,"")</f>
        <v>397</v>
      </c>
      <c r="C401" s="19" t="str">
        <f t="shared" si="53"/>
        <v>C_Ope_001</v>
      </c>
      <c r="D401" s="3" t="s">
        <v>1074</v>
      </c>
      <c r="E401" s="14">
        <v>45894</v>
      </c>
      <c r="F401" s="5" t="s">
        <v>6538</v>
      </c>
      <c r="G401" s="5" t="s">
        <v>1079</v>
      </c>
      <c r="H401" s="6" t="s">
        <v>919</v>
      </c>
      <c r="I401" s="6" t="s">
        <v>14</v>
      </c>
      <c r="J401" s="6" t="s">
        <v>5245</v>
      </c>
      <c r="K401" s="6">
        <v>1842802</v>
      </c>
      <c r="L401" s="7" t="s">
        <v>7982</v>
      </c>
      <c r="M401" s="8">
        <v>25279</v>
      </c>
      <c r="N401" s="8" t="str">
        <f t="shared" si="54"/>
        <v>PEN</v>
      </c>
      <c r="O401" s="13"/>
      <c r="P401" s="13">
        <v>8</v>
      </c>
      <c r="Q401" s="3">
        <f t="shared" si="55"/>
        <v>0</v>
      </c>
      <c r="R401" s="3">
        <f t="shared" si="56"/>
        <v>8</v>
      </c>
      <c r="S401" s="3">
        <f t="shared" si="48"/>
        <v>126.48000000000002</v>
      </c>
      <c r="T401" s="24" t="s">
        <v>1081</v>
      </c>
      <c r="U401" s="24"/>
      <c r="V401" s="3"/>
      <c r="W401" s="25" t="s">
        <v>6541</v>
      </c>
      <c r="X401" s="25">
        <v>20517252558</v>
      </c>
      <c r="Y401" s="25" t="str">
        <f>IFERROR(VLOOKUP(C_Ope_001[[#This Row],[NOTA 2]],Clientes_Proveedores[[Ruc / Dni]:[Razon Social]],2,0),"")</f>
        <v>COVISUR S.A.</v>
      </c>
      <c r="Z401" s="25" t="s">
        <v>6677</v>
      </c>
      <c r="AA401" s="130"/>
      <c r="AB401" s="3" t="str">
        <f>IF(C_Ope_001[[#This Row],[FECHA]]&gt;0,TEXT(C_Ope_001[[#This Row],[FECHA]],"mmmm"),0)</f>
        <v>Agosto</v>
      </c>
    </row>
    <row r="402" spans="2:28" ht="36" x14ac:dyDescent="0.3">
      <c r="B402" s="2">
        <f>IF(C_Ope_001[[#This Row],[TIPO DE R.]]="R",COUNTIFS($D$4:$D401,"R")+1,"")</f>
        <v>398</v>
      </c>
      <c r="C402" s="19" t="str">
        <f t="shared" si="53"/>
        <v>C_Ope_001</v>
      </c>
      <c r="D402" s="3" t="s">
        <v>1074</v>
      </c>
      <c r="E402" s="14">
        <v>45894</v>
      </c>
      <c r="F402" s="5" t="s">
        <v>6538</v>
      </c>
      <c r="G402" s="5" t="s">
        <v>1079</v>
      </c>
      <c r="H402" s="6" t="s">
        <v>624</v>
      </c>
      <c r="I402" s="6" t="s">
        <v>14</v>
      </c>
      <c r="J402" s="6" t="s">
        <v>1097</v>
      </c>
      <c r="K402" s="6">
        <v>17472</v>
      </c>
      <c r="L402" s="7" t="s">
        <v>7983</v>
      </c>
      <c r="M402" s="8">
        <v>25258</v>
      </c>
      <c r="N402" s="8" t="str">
        <f t="shared" si="54"/>
        <v>PEN</v>
      </c>
      <c r="O402" s="13"/>
      <c r="P402" s="13">
        <v>20</v>
      </c>
      <c r="Q402" s="3">
        <f t="shared" si="55"/>
        <v>0</v>
      </c>
      <c r="R402" s="3">
        <f t="shared" si="56"/>
        <v>20</v>
      </c>
      <c r="S402" s="3">
        <f t="shared" si="48"/>
        <v>106.48000000000002</v>
      </c>
      <c r="T402" s="24" t="s">
        <v>1081</v>
      </c>
      <c r="U402" s="24"/>
      <c r="V402" s="3"/>
      <c r="W402" s="25" t="s">
        <v>6541</v>
      </c>
      <c r="X402" s="25">
        <v>20259858934</v>
      </c>
      <c r="Y402" s="25" t="str">
        <f>IFERROR(VLOOKUP(C_Ope_001[[#This Row],[NOTA 2]],Clientes_Proveedores[[Ruc / Dni]:[Razon Social]],2,0),"")</f>
        <v>COMERCIALIZACION Y SERVICIOS EL EDEN S.A.C.</v>
      </c>
      <c r="Z402" s="25" t="s">
        <v>4972</v>
      </c>
      <c r="AA402" s="130"/>
      <c r="AB402" s="3" t="str">
        <f>IF(C_Ope_001[[#This Row],[FECHA]]&gt;0,TEXT(C_Ope_001[[#This Row],[FECHA]],"mmmm"),0)</f>
        <v>Agosto</v>
      </c>
    </row>
    <row r="403" spans="2:28" ht="24" x14ac:dyDescent="0.3">
      <c r="B403" s="2">
        <f>IF(C_Ope_001[[#This Row],[TIPO DE R.]]="R",COUNTIFS($D$4:$D402,"R")+1,"")</f>
        <v>399</v>
      </c>
      <c r="C403" s="19" t="str">
        <f t="shared" si="53"/>
        <v>C_Ope_001</v>
      </c>
      <c r="D403" s="3" t="s">
        <v>1074</v>
      </c>
      <c r="E403" s="14">
        <v>45895</v>
      </c>
      <c r="F403" s="5" t="s">
        <v>6538</v>
      </c>
      <c r="G403" s="5" t="s">
        <v>1079</v>
      </c>
      <c r="H403" s="6" t="s">
        <v>940</v>
      </c>
      <c r="I403" s="6" t="s">
        <v>14</v>
      </c>
      <c r="J403" s="6" t="s">
        <v>1119</v>
      </c>
      <c r="K403" s="6">
        <v>19392</v>
      </c>
      <c r="L403" s="7" t="s">
        <v>6682</v>
      </c>
      <c r="M403" s="8">
        <v>25274</v>
      </c>
      <c r="N403" s="8" t="str">
        <f t="shared" si="54"/>
        <v>PEN</v>
      </c>
      <c r="O403" s="13"/>
      <c r="P403" s="13">
        <v>25</v>
      </c>
      <c r="Q403" s="3">
        <f t="shared" si="55"/>
        <v>0</v>
      </c>
      <c r="R403" s="3">
        <f t="shared" si="56"/>
        <v>25</v>
      </c>
      <c r="S403" s="3">
        <f t="shared" si="48"/>
        <v>81.480000000000018</v>
      </c>
      <c r="T403" s="24" t="s">
        <v>1081</v>
      </c>
      <c r="U403" s="24"/>
      <c r="V403" s="3"/>
      <c r="W403" s="25" t="s">
        <v>6541</v>
      </c>
      <c r="X403" s="25">
        <v>10705628331</v>
      </c>
      <c r="Y403" s="25" t="str">
        <f>IFERROR(VLOOKUP(C_Ope_001[[#This Row],[NOTA 2]],Clientes_Proveedores[[Ruc / Dni]:[Razon Social]],2,0),"")</f>
        <v>LARICO APAZA NANCY ROSSMARY</v>
      </c>
      <c r="Z403" s="25" t="s">
        <v>6727</v>
      </c>
      <c r="AA403" s="130"/>
      <c r="AB403" s="3" t="str">
        <f>IF(C_Ope_001[[#This Row],[FECHA]]&gt;0,TEXT(C_Ope_001[[#This Row],[FECHA]],"mmmm"),0)</f>
        <v>Agosto</v>
      </c>
    </row>
    <row r="404" spans="2:28" x14ac:dyDescent="0.3">
      <c r="B404" s="2">
        <f>IF(C_Ope_001[[#This Row],[TIPO DE R.]]="R",COUNTIFS($D$4:$D403,"R")+1,"")</f>
        <v>400</v>
      </c>
      <c r="C404" s="19" t="str">
        <f t="shared" si="53"/>
        <v>C_Ope_001</v>
      </c>
      <c r="D404" s="3" t="s">
        <v>1074</v>
      </c>
      <c r="E404" s="14">
        <v>45896</v>
      </c>
      <c r="F404" s="5" t="s">
        <v>6538</v>
      </c>
      <c r="G404" s="5" t="s">
        <v>1079</v>
      </c>
      <c r="H404" s="6" t="s">
        <v>919</v>
      </c>
      <c r="I404" s="6" t="s">
        <v>14</v>
      </c>
      <c r="J404" s="6" t="s">
        <v>5244</v>
      </c>
      <c r="K404" s="6">
        <v>1823642</v>
      </c>
      <c r="L404" s="7" t="s">
        <v>7982</v>
      </c>
      <c r="M404" s="8">
        <v>25275</v>
      </c>
      <c r="N404" s="8" t="str">
        <f t="shared" si="54"/>
        <v>PEN</v>
      </c>
      <c r="O404" s="13"/>
      <c r="P404" s="13">
        <v>8</v>
      </c>
      <c r="Q404" s="3">
        <f t="shared" si="55"/>
        <v>0</v>
      </c>
      <c r="R404" s="3">
        <f t="shared" si="56"/>
        <v>8</v>
      </c>
      <c r="S404" s="3">
        <f t="shared" si="48"/>
        <v>73.480000000000018</v>
      </c>
      <c r="T404" s="24" t="s">
        <v>1081</v>
      </c>
      <c r="U404" s="24"/>
      <c r="V404" s="3"/>
      <c r="W404" s="25" t="s">
        <v>6541</v>
      </c>
      <c r="X404" s="25">
        <v>20517252558</v>
      </c>
      <c r="Y404" s="25" t="str">
        <f>IFERROR(VLOOKUP(C_Ope_001[[#This Row],[NOTA 2]],Clientes_Proveedores[[Ruc / Dni]:[Razon Social]],2,0),"")</f>
        <v>COVISUR S.A.</v>
      </c>
      <c r="Z404" s="25" t="s">
        <v>6677</v>
      </c>
      <c r="AA404" s="130"/>
      <c r="AB404" s="3" t="str">
        <f>IF(C_Ope_001[[#This Row],[FECHA]]&gt;0,TEXT(C_Ope_001[[#This Row],[FECHA]],"mmmm"),0)</f>
        <v>Agosto</v>
      </c>
    </row>
    <row r="405" spans="2:28" x14ac:dyDescent="0.3">
      <c r="B405" s="2">
        <f>IF(C_Ope_001[[#This Row],[TIPO DE R.]]="R",COUNTIFS($D$4:$D404,"R")+1,"")</f>
        <v>401</v>
      </c>
      <c r="C405" s="19" t="str">
        <f t="shared" si="53"/>
        <v>C_Ope_001</v>
      </c>
      <c r="D405" s="3" t="s">
        <v>1074</v>
      </c>
      <c r="E405" s="14">
        <v>45896</v>
      </c>
      <c r="F405" s="5" t="s">
        <v>6538</v>
      </c>
      <c r="G405" s="5" t="s">
        <v>1079</v>
      </c>
      <c r="H405" s="6" t="s">
        <v>919</v>
      </c>
      <c r="I405" s="6" t="s">
        <v>14</v>
      </c>
      <c r="J405" s="6" t="s">
        <v>5245</v>
      </c>
      <c r="K405" s="6">
        <v>1844638</v>
      </c>
      <c r="L405" s="7" t="s">
        <v>7982</v>
      </c>
      <c r="M405" s="8">
        <v>25276</v>
      </c>
      <c r="N405" s="8" t="str">
        <f t="shared" si="54"/>
        <v>PEN</v>
      </c>
      <c r="O405" s="13"/>
      <c r="P405" s="13">
        <v>8</v>
      </c>
      <c r="Q405" s="3">
        <f t="shared" si="55"/>
        <v>0</v>
      </c>
      <c r="R405" s="3">
        <f t="shared" si="56"/>
        <v>8</v>
      </c>
      <c r="S405" s="3">
        <f t="shared" si="48"/>
        <v>65.480000000000018</v>
      </c>
      <c r="T405" s="24" t="s">
        <v>1081</v>
      </c>
      <c r="U405" s="24"/>
      <c r="V405" s="3"/>
      <c r="W405" s="25" t="s">
        <v>6541</v>
      </c>
      <c r="X405" s="25">
        <v>20517252558</v>
      </c>
      <c r="Y405" s="25" t="str">
        <f>IFERROR(VLOOKUP(C_Ope_001[[#This Row],[NOTA 2]],Clientes_Proveedores[[Ruc / Dni]:[Razon Social]],2,0),"")</f>
        <v>COVISUR S.A.</v>
      </c>
      <c r="Z405" s="25" t="s">
        <v>6677</v>
      </c>
      <c r="AA405" s="130"/>
      <c r="AB405" s="3" t="str">
        <f>IF(C_Ope_001[[#This Row],[FECHA]]&gt;0,TEXT(C_Ope_001[[#This Row],[FECHA]],"mmmm"),0)</f>
        <v>Agosto</v>
      </c>
    </row>
    <row r="406" spans="2:28" ht="36" x14ac:dyDescent="0.3">
      <c r="B406" s="2">
        <f>IF(C_Ope_001[[#This Row],[TIPO DE R.]]="R",COUNTIFS($D$4:$D405,"R")+1,"")</f>
        <v>402</v>
      </c>
      <c r="C406" s="19" t="str">
        <f t="shared" si="53"/>
        <v>C_Ope_001</v>
      </c>
      <c r="D406" s="3" t="s">
        <v>1074</v>
      </c>
      <c r="E406" s="14">
        <v>45896</v>
      </c>
      <c r="F406" s="5" t="s">
        <v>6538</v>
      </c>
      <c r="G406" s="5" t="s">
        <v>1079</v>
      </c>
      <c r="H406" s="6" t="s">
        <v>624</v>
      </c>
      <c r="I406" s="6" t="s">
        <v>14</v>
      </c>
      <c r="J406" s="6" t="s">
        <v>1097</v>
      </c>
      <c r="K406" s="6">
        <v>17497</v>
      </c>
      <c r="L406" s="7" t="s">
        <v>7983</v>
      </c>
      <c r="M406" s="8">
        <v>25278</v>
      </c>
      <c r="N406" s="8" t="str">
        <f t="shared" si="54"/>
        <v>PEN</v>
      </c>
      <c r="O406" s="13"/>
      <c r="P406" s="13">
        <v>20</v>
      </c>
      <c r="Q406" s="3">
        <f t="shared" si="55"/>
        <v>0</v>
      </c>
      <c r="R406" s="3">
        <f t="shared" si="56"/>
        <v>20</v>
      </c>
      <c r="S406" s="3">
        <f t="shared" si="48"/>
        <v>45.480000000000018</v>
      </c>
      <c r="T406" s="24" t="s">
        <v>1081</v>
      </c>
      <c r="U406" s="24"/>
      <c r="V406" s="3"/>
      <c r="W406" s="25" t="s">
        <v>6541</v>
      </c>
      <c r="X406" s="25">
        <v>20259858934</v>
      </c>
      <c r="Y406" s="25" t="str">
        <f>IFERROR(VLOOKUP(C_Ope_001[[#This Row],[NOTA 2]],Clientes_Proveedores[[Ruc / Dni]:[Razon Social]],2,0),"")</f>
        <v>COMERCIALIZACION Y SERVICIOS EL EDEN S.A.C.</v>
      </c>
      <c r="Z406" s="25" t="s">
        <v>4972</v>
      </c>
      <c r="AA406" s="130"/>
      <c r="AB406" s="3" t="str">
        <f>IF(C_Ope_001[[#This Row],[FECHA]]&gt;0,TEXT(C_Ope_001[[#This Row],[FECHA]],"mmmm"),0)</f>
        <v>Agosto</v>
      </c>
    </row>
    <row r="407" spans="2:28" x14ac:dyDescent="0.3">
      <c r="B407" s="2">
        <f>IF(C_Ope_001[[#This Row],[TIPO DE R.]]="R",COUNTIFS($D$4:$D406,"R")+1,"")</f>
        <v>403</v>
      </c>
      <c r="C407" s="19" t="str">
        <f t="shared" si="53"/>
        <v>C_Ope_001</v>
      </c>
      <c r="D407" s="3" t="s">
        <v>1074</v>
      </c>
      <c r="E407" s="14">
        <v>45897</v>
      </c>
      <c r="F407" s="5" t="s">
        <v>6538</v>
      </c>
      <c r="G407" s="5" t="s">
        <v>1079</v>
      </c>
      <c r="H407" s="6" t="s">
        <v>919</v>
      </c>
      <c r="I407" s="6" t="s">
        <v>14</v>
      </c>
      <c r="J407" s="6" t="s">
        <v>5243</v>
      </c>
      <c r="K407" s="6">
        <v>2451589</v>
      </c>
      <c r="L407" s="7" t="s">
        <v>6741</v>
      </c>
      <c r="M407" s="8">
        <v>25296</v>
      </c>
      <c r="N407" s="8" t="str">
        <f t="shared" si="54"/>
        <v>PEN</v>
      </c>
      <c r="O407" s="13"/>
      <c r="P407" s="13">
        <v>8</v>
      </c>
      <c r="Q407" s="3">
        <f t="shared" si="55"/>
        <v>0</v>
      </c>
      <c r="R407" s="3">
        <f t="shared" si="56"/>
        <v>8</v>
      </c>
      <c r="S407" s="3">
        <f t="shared" si="48"/>
        <v>37.480000000000018</v>
      </c>
      <c r="T407" s="24" t="s">
        <v>1081</v>
      </c>
      <c r="U407" s="24"/>
      <c r="V407" s="3"/>
      <c r="W407" s="25" t="s">
        <v>6541</v>
      </c>
      <c r="X407" s="25">
        <v>20517252558</v>
      </c>
      <c r="Y407" s="25" t="str">
        <f>IFERROR(VLOOKUP(C_Ope_001[[#This Row],[NOTA 2]],Clientes_Proveedores[[Ruc / Dni]:[Razon Social]],2,0),"")</f>
        <v>COVISUR S.A.</v>
      </c>
      <c r="Z407" s="25" t="s">
        <v>6677</v>
      </c>
      <c r="AA407" s="130"/>
      <c r="AB407" s="3" t="str">
        <f>IF(C_Ope_001[[#This Row],[FECHA]]&gt;0,TEXT(C_Ope_001[[#This Row],[FECHA]],"mmmm"),0)</f>
        <v>Agosto</v>
      </c>
    </row>
    <row r="408" spans="2:28" x14ac:dyDescent="0.3">
      <c r="B408" s="2">
        <f>IF(C_Ope_001[[#This Row],[TIPO DE R.]]="R",COUNTIFS($D$4:$D407,"R")+1,"")</f>
        <v>404</v>
      </c>
      <c r="C408" s="19" t="str">
        <f t="shared" si="53"/>
        <v>C_Ope_001</v>
      </c>
      <c r="D408" s="3" t="s">
        <v>1074</v>
      </c>
      <c r="E408" s="14">
        <v>45897</v>
      </c>
      <c r="F408" s="5" t="s">
        <v>6538</v>
      </c>
      <c r="G408" s="5" t="s">
        <v>1079</v>
      </c>
      <c r="H408" s="6" t="s">
        <v>919</v>
      </c>
      <c r="I408" s="6" t="s">
        <v>14</v>
      </c>
      <c r="J408" s="6" t="s">
        <v>5242</v>
      </c>
      <c r="K408" s="6">
        <v>2160048</v>
      </c>
      <c r="L408" s="7" t="s">
        <v>6741</v>
      </c>
      <c r="M408" s="8">
        <v>25297</v>
      </c>
      <c r="N408" s="8" t="str">
        <f t="shared" si="54"/>
        <v>PEN</v>
      </c>
      <c r="O408" s="13"/>
      <c r="P408" s="13">
        <v>8</v>
      </c>
      <c r="Q408" s="3">
        <f t="shared" si="55"/>
        <v>0</v>
      </c>
      <c r="R408" s="3">
        <f t="shared" si="56"/>
        <v>8</v>
      </c>
      <c r="S408" s="3">
        <f t="shared" si="48"/>
        <v>29.480000000000018</v>
      </c>
      <c r="T408" s="24" t="s">
        <v>1081</v>
      </c>
      <c r="U408" s="24"/>
      <c r="V408" s="3"/>
      <c r="W408" s="25" t="s">
        <v>6541</v>
      </c>
      <c r="X408" s="25">
        <v>20517252558</v>
      </c>
      <c r="Y408" s="25" t="str">
        <f>IFERROR(VLOOKUP(C_Ope_001[[#This Row],[NOTA 2]],Clientes_Proveedores[[Ruc / Dni]:[Razon Social]],2,0),"")</f>
        <v>COVISUR S.A.</v>
      </c>
      <c r="Z408" s="25" t="s">
        <v>6677</v>
      </c>
      <c r="AA408" s="130"/>
      <c r="AB408" s="3" t="str">
        <f>IF(C_Ope_001[[#This Row],[FECHA]]&gt;0,TEXT(C_Ope_001[[#This Row],[FECHA]],"mmmm"),0)</f>
        <v>Agosto</v>
      </c>
    </row>
    <row r="409" spans="2:28" ht="36" x14ac:dyDescent="0.3">
      <c r="B409" s="2">
        <f>IF(C_Ope_001[[#This Row],[TIPO DE R.]]="R",COUNTIFS($D$4:$D408,"R")+1,"")</f>
        <v>405</v>
      </c>
      <c r="C409" s="19" t="str">
        <f t="shared" si="53"/>
        <v>C_Ope_001</v>
      </c>
      <c r="D409" s="3" t="s">
        <v>1074</v>
      </c>
      <c r="E409" s="14">
        <v>45897</v>
      </c>
      <c r="F409" s="5" t="s">
        <v>6538</v>
      </c>
      <c r="G409" s="5" t="s">
        <v>1079</v>
      </c>
      <c r="H409" s="6" t="s">
        <v>170</v>
      </c>
      <c r="I409" s="6" t="s">
        <v>14</v>
      </c>
      <c r="J409" s="6" t="s">
        <v>1148</v>
      </c>
      <c r="K409" s="6">
        <v>136133</v>
      </c>
      <c r="L409" s="7" t="s">
        <v>6680</v>
      </c>
      <c r="M409" s="8">
        <v>25295</v>
      </c>
      <c r="N409" s="8" t="str">
        <f t="shared" si="54"/>
        <v>PEN</v>
      </c>
      <c r="O409" s="13"/>
      <c r="P409" s="13">
        <v>8</v>
      </c>
      <c r="Q409" s="3">
        <f t="shared" si="55"/>
        <v>0</v>
      </c>
      <c r="R409" s="3">
        <f t="shared" si="56"/>
        <v>8</v>
      </c>
      <c r="S409" s="3">
        <f t="shared" si="48"/>
        <v>21.480000000000018</v>
      </c>
      <c r="T409" s="24" t="s">
        <v>1081</v>
      </c>
      <c r="U409" s="24"/>
      <c r="V409" s="3"/>
      <c r="W409" s="25" t="s">
        <v>6541</v>
      </c>
      <c r="X409" s="25">
        <v>20124952850</v>
      </c>
      <c r="Y409" s="25" t="str">
        <f>IFERROR(VLOOKUP(C_Ope_001[[#This Row],[NOTA 2]],Clientes_Proveedores[[Ruc / Dni]:[Razon Social]],2,0),"")</f>
        <v>ALIMENTOS Y SERVICIOS AGROPECUARIOS SRL.</v>
      </c>
      <c r="Z409" s="25" t="s">
        <v>4972</v>
      </c>
      <c r="AA409" s="130"/>
      <c r="AB409" s="3" t="str">
        <f>IF(C_Ope_001[[#This Row],[FECHA]]&gt;0,TEXT(C_Ope_001[[#This Row],[FECHA]],"mmmm"),0)</f>
        <v>Agosto</v>
      </c>
    </row>
    <row r="414" spans="2:28" x14ac:dyDescent="0.3">
      <c r="B414" s="97" t="s">
        <v>8013</v>
      </c>
      <c r="C414" s="11">
        <v>1992</v>
      </c>
    </row>
    <row r="415" spans="2:28" x14ac:dyDescent="0.3">
      <c r="B415" s="97" t="s">
        <v>6744</v>
      </c>
      <c r="C415" s="98"/>
      <c r="D415" s="96" t="s">
        <v>754</v>
      </c>
    </row>
  </sheetData>
  <mergeCells count="1">
    <mergeCell ref="B2:AB2"/>
  </mergeCells>
  <conditionalFormatting sqref="B5:AB10048">
    <cfRule type="expression" dxfId="43" priority="239">
      <formula>$T5="OK"</formula>
    </cfRule>
  </conditionalFormatting>
  <conditionalFormatting sqref="D295:D296">
    <cfRule type="expression" dxfId="42" priority="241">
      <formula>$U295="OK"</formula>
    </cfRule>
    <cfRule type="expression" dxfId="41" priority="242">
      <formula>$D287="D"</formula>
    </cfRule>
  </conditionalFormatting>
  <dataValidations count="4">
    <dataValidation type="list" allowBlank="1" showInputMessage="1" showErrorMessage="1" sqref="H5:H409" xr:uid="{8D810397-9473-A04C-A638-3946234EF7DB}">
      <formula1>Proveedores_Clientes</formula1>
    </dataValidation>
    <dataValidation type="list" allowBlank="1" showInputMessage="1" showErrorMessage="1" sqref="I5:I409" xr:uid="{9DEE6280-7B5A-A543-BF94-1C0330EB2F66}">
      <formula1>Documentos</formula1>
    </dataValidation>
    <dataValidation type="list" allowBlank="1" showInputMessage="1" showErrorMessage="1" sqref="G5:G409" xr:uid="{3E4364F6-9FA5-9140-B762-00886060D343}">
      <formula1>"SALDO,INGRESO,EGRESO"</formula1>
    </dataValidation>
    <dataValidation type="list" allowBlank="1" showInputMessage="1" showErrorMessage="1" sqref="D5:D409" xr:uid="{4D43A60A-DB53-E74E-93FD-86EE9BCB4039}">
      <formula1>"R,D"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3" fitToHeight="0" orientation="landscape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9DDE-39AC-8748-B7B4-A573B32F63FC}">
  <sheetPr codeName="Hoja10">
    <tabColor rgb="FFFFC000"/>
    <pageSetUpPr fitToPage="1"/>
  </sheetPr>
  <dimension ref="B2:AB278"/>
  <sheetViews>
    <sheetView showGridLines="0" topLeftCell="B1" zoomScaleNormal="100" zoomScaleSheetLayoutView="100" workbookViewId="0">
      <selection activeCell="L267" sqref="L267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5.44140625" bestFit="1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bestFit="1" customWidth="1"/>
    <col min="23" max="27" width="15.88671875" customWidth="1" outlineLevel="1"/>
    <col min="28" max="28" width="12.88671875" customWidth="1" outlineLevel="1"/>
  </cols>
  <sheetData>
    <row r="2" spans="2:28" ht="23.4" x14ac:dyDescent="0.3">
      <c r="B2" s="263" t="s">
        <v>6745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2">
        <f>IF(C_Ope_002[[#This Row],[TIPO DE R.]]="R",COUNTIFS($D$4:$D4,"R")+1,"")</f>
        <v>1</v>
      </c>
      <c r="C5" s="19" t="str">
        <f t="shared" ref="C5:C68" si="0">"C_Ope_002"</f>
        <v>C_Ope_002</v>
      </c>
      <c r="D5" s="3" t="s">
        <v>1074</v>
      </c>
      <c r="E5" s="14">
        <v>45658</v>
      </c>
      <c r="F5" s="5" t="s">
        <v>6746</v>
      </c>
      <c r="G5" s="6" t="s">
        <v>1064</v>
      </c>
      <c r="H5" s="6"/>
      <c r="I5" s="6"/>
      <c r="J5" s="6"/>
      <c r="K5" s="6"/>
      <c r="L5" s="7" t="s">
        <v>1076</v>
      </c>
      <c r="M5" s="8">
        <v>22563</v>
      </c>
      <c r="N5" s="8" t="str">
        <f t="shared" ref="N5" si="1">"PEN"</f>
        <v>PEN</v>
      </c>
      <c r="O5" s="13"/>
      <c r="P5" s="9">
        <v>110.7</v>
      </c>
      <c r="Q5" s="9">
        <f t="shared" ref="Q5:Q68" si="2">+IF(OR($G5="SALDO",$G5="INGRESO"),$P5,0)</f>
        <v>110.7</v>
      </c>
      <c r="R5" s="9">
        <f t="shared" ref="R5:R68" si="3">+IF($G5="EGRESO",$P5,0)</f>
        <v>0</v>
      </c>
      <c r="S5" s="9">
        <f t="shared" ref="S5:S68" si="4">IFERROR(IF(G5="SALDO",Q5,S4+Q5-R5),0)</f>
        <v>110.7</v>
      </c>
      <c r="T5" s="24"/>
      <c r="U5" s="24"/>
      <c r="V5" s="15"/>
      <c r="W5" s="25" t="s">
        <v>6747</v>
      </c>
      <c r="X5" s="25"/>
      <c r="Y5" s="25" t="str">
        <f>IFERROR(VLOOKUP(C_Ope_002[[#This Row],[NOTA 2]],Clientes_Proveedores[[Ruc / Dni]:[Razon Social]],2,0),"")</f>
        <v/>
      </c>
      <c r="Z5" s="25"/>
      <c r="AA5" s="25"/>
      <c r="AB5" s="3" t="str">
        <f>IF(C_Ope_002[[#This Row],[FECHA]]&gt;0,TEXT(C_Ope_002[[#This Row],[FECHA]],"mmmm"),0)</f>
        <v>Enero</v>
      </c>
    </row>
    <row r="6" spans="2:28" x14ac:dyDescent="0.3">
      <c r="B6" s="2">
        <f>IF(C_Ope_002[[#This Row],[TIPO DE R.]]="R",COUNTIFS($D$4:$D5,"R")+1,"")</f>
        <v>2</v>
      </c>
      <c r="C6" s="19" t="str">
        <f t="shared" si="0"/>
        <v>C_Ope_002</v>
      </c>
      <c r="D6" s="3" t="s">
        <v>1074</v>
      </c>
      <c r="E6" s="14">
        <v>45665</v>
      </c>
      <c r="F6" s="5" t="s">
        <v>6299</v>
      </c>
      <c r="G6" s="5" t="s">
        <v>1087</v>
      </c>
      <c r="H6" s="6"/>
      <c r="I6" s="6"/>
      <c r="J6" s="6"/>
      <c r="K6" s="6"/>
      <c r="L6" s="7" t="s">
        <v>6302</v>
      </c>
      <c r="M6" s="8">
        <v>22614</v>
      </c>
      <c r="N6" s="8" t="str">
        <f t="shared" ref="N6:N69" si="5">"PEN"</f>
        <v>PEN</v>
      </c>
      <c r="O6" s="13"/>
      <c r="P6" s="13">
        <v>200</v>
      </c>
      <c r="Q6" s="3">
        <f t="shared" si="2"/>
        <v>200</v>
      </c>
      <c r="R6" s="3">
        <f t="shared" si="3"/>
        <v>0</v>
      </c>
      <c r="S6" s="3">
        <f t="shared" si="4"/>
        <v>310.7</v>
      </c>
      <c r="T6" s="24"/>
      <c r="U6" s="24"/>
      <c r="V6" s="3"/>
      <c r="W6" s="25"/>
      <c r="X6" s="25"/>
      <c r="Y6" s="25" t="str">
        <f>IFERROR(VLOOKUP(C_Ope_002[[#This Row],[NOTA 2]],Clientes_Proveedores[[Ruc / Dni]:[Razon Social]],2,0),"")</f>
        <v/>
      </c>
      <c r="Z6" s="25"/>
      <c r="AA6" s="25"/>
      <c r="AB6" s="3" t="str">
        <f>IF(C_Ope_002[[#This Row],[FECHA]]&gt;0,TEXT(C_Ope_002[[#This Row],[FECHA]],"mmmm"),0)</f>
        <v>Enero</v>
      </c>
    </row>
    <row r="7" spans="2:28" ht="24" x14ac:dyDescent="0.3">
      <c r="B7" s="2">
        <f>IF(C_Ope_002[[#This Row],[TIPO DE R.]]="R",COUNTIFS($D$4:$D6,"R")+1,"")</f>
        <v>3</v>
      </c>
      <c r="C7" s="19" t="str">
        <f t="shared" si="0"/>
        <v>C_Ope_002</v>
      </c>
      <c r="D7" s="3" t="s">
        <v>1074</v>
      </c>
      <c r="E7" s="14">
        <v>45659</v>
      </c>
      <c r="F7" s="5" t="s">
        <v>6746</v>
      </c>
      <c r="G7" s="5" t="s">
        <v>1079</v>
      </c>
      <c r="H7" s="6"/>
      <c r="I7" s="6" t="s">
        <v>14</v>
      </c>
      <c r="J7" s="6" t="s">
        <v>5242</v>
      </c>
      <c r="K7" s="6">
        <v>1915347</v>
      </c>
      <c r="L7" s="7" t="s">
        <v>6748</v>
      </c>
      <c r="M7" s="8">
        <v>22541</v>
      </c>
      <c r="N7" s="8" t="str">
        <f t="shared" si="5"/>
        <v>PEN</v>
      </c>
      <c r="O7" s="13"/>
      <c r="P7" s="13">
        <v>12</v>
      </c>
      <c r="Q7" s="3">
        <f t="shared" si="2"/>
        <v>0</v>
      </c>
      <c r="R7" s="3">
        <f t="shared" si="3"/>
        <v>12</v>
      </c>
      <c r="S7" s="3">
        <f t="shared" si="4"/>
        <v>298.7</v>
      </c>
      <c r="T7" s="24"/>
      <c r="U7" s="24"/>
      <c r="V7" s="3"/>
      <c r="W7" s="25" t="s">
        <v>6747</v>
      </c>
      <c r="X7" s="25"/>
      <c r="Y7" s="25" t="str">
        <f>IFERROR(VLOOKUP(C_Ope_002[[#This Row],[NOTA 2]],Clientes_Proveedores[[Ruc / Dni]:[Razon Social]],2,0),"")</f>
        <v/>
      </c>
      <c r="Z7" s="25"/>
      <c r="AA7" s="25"/>
      <c r="AB7" s="3" t="str">
        <f>IF(C_Ope_002[[#This Row],[FECHA]]&gt;0,TEXT(C_Ope_002[[#This Row],[FECHA]],"mmmm"),0)</f>
        <v>Enero</v>
      </c>
    </row>
    <row r="8" spans="2:28" ht="24" x14ac:dyDescent="0.3">
      <c r="B8" s="2">
        <f>IF(C_Ope_002[[#This Row],[TIPO DE R.]]="R",COUNTIFS($D$4:$D7,"R")+1,"")</f>
        <v>4</v>
      </c>
      <c r="C8" s="19" t="str">
        <f t="shared" si="0"/>
        <v>C_Ope_002</v>
      </c>
      <c r="D8" s="3" t="s">
        <v>1074</v>
      </c>
      <c r="E8" s="14">
        <v>45660</v>
      </c>
      <c r="F8" s="5" t="s">
        <v>6746</v>
      </c>
      <c r="G8" s="5" t="s">
        <v>1079</v>
      </c>
      <c r="H8" s="6"/>
      <c r="I8" s="6" t="s">
        <v>14</v>
      </c>
      <c r="J8" s="6" t="s">
        <v>5243</v>
      </c>
      <c r="K8" s="6">
        <v>2183849</v>
      </c>
      <c r="L8" s="7" t="s">
        <v>6749</v>
      </c>
      <c r="M8" s="8">
        <v>22542</v>
      </c>
      <c r="N8" s="8" t="str">
        <f t="shared" si="5"/>
        <v>PEN</v>
      </c>
      <c r="O8" s="13"/>
      <c r="P8" s="13">
        <v>8</v>
      </c>
      <c r="Q8" s="3">
        <f t="shared" si="2"/>
        <v>0</v>
      </c>
      <c r="R8" s="3">
        <f t="shared" si="3"/>
        <v>8</v>
      </c>
      <c r="S8" s="3">
        <f t="shared" si="4"/>
        <v>290.7</v>
      </c>
      <c r="T8" s="24"/>
      <c r="U8" s="24"/>
      <c r="V8" s="3"/>
      <c r="W8" s="25" t="s">
        <v>6630</v>
      </c>
      <c r="X8" s="25"/>
      <c r="Y8" s="25" t="str">
        <f>IFERROR(VLOOKUP(C_Ope_002[[#This Row],[NOTA 2]],Clientes_Proveedores[[Ruc / Dni]:[Razon Social]],2,0),"")</f>
        <v/>
      </c>
      <c r="Z8" s="25"/>
      <c r="AA8" s="25"/>
      <c r="AB8" s="3" t="str">
        <f>IF(C_Ope_002[[#This Row],[FECHA]]&gt;0,TEXT(C_Ope_002[[#This Row],[FECHA]],"mmmm"),0)</f>
        <v>Enero</v>
      </c>
    </row>
    <row r="9" spans="2:28" ht="24" x14ac:dyDescent="0.3">
      <c r="B9" s="2">
        <f>IF(C_Ope_002[[#This Row],[TIPO DE R.]]="R",COUNTIFS($D$4:$D8,"R")+1,"")</f>
        <v>5</v>
      </c>
      <c r="C9" s="19" t="str">
        <f t="shared" si="0"/>
        <v>C_Ope_002</v>
      </c>
      <c r="D9" s="3" t="s">
        <v>1074</v>
      </c>
      <c r="E9" s="14">
        <v>45660</v>
      </c>
      <c r="F9" s="5" t="s">
        <v>6746</v>
      </c>
      <c r="G9" s="5" t="s">
        <v>1079</v>
      </c>
      <c r="H9" s="6"/>
      <c r="I9" s="6" t="s">
        <v>14</v>
      </c>
      <c r="J9" s="6" t="s">
        <v>5242</v>
      </c>
      <c r="K9" s="6">
        <v>1916268</v>
      </c>
      <c r="L9" s="7" t="s">
        <v>6749</v>
      </c>
      <c r="M9" s="8">
        <v>22543</v>
      </c>
      <c r="N9" s="8" t="str">
        <f t="shared" si="5"/>
        <v>PEN</v>
      </c>
      <c r="O9" s="13"/>
      <c r="P9" s="13">
        <v>8</v>
      </c>
      <c r="Q9" s="3">
        <f t="shared" si="2"/>
        <v>0</v>
      </c>
      <c r="R9" s="3">
        <f t="shared" si="3"/>
        <v>8</v>
      </c>
      <c r="S9" s="3">
        <f t="shared" si="4"/>
        <v>282.7</v>
      </c>
      <c r="T9" s="24"/>
      <c r="U9" s="24"/>
      <c r="V9" s="3"/>
      <c r="W9" s="25" t="s">
        <v>6630</v>
      </c>
      <c r="X9" s="25"/>
      <c r="Y9" s="25" t="str">
        <f>IFERROR(VLOOKUP(C_Ope_002[[#This Row],[NOTA 2]],Clientes_Proveedores[[Ruc / Dni]:[Razon Social]],2,0),"")</f>
        <v/>
      </c>
      <c r="Z9" s="25"/>
      <c r="AA9" s="25"/>
      <c r="AB9" s="3" t="str">
        <f>IF(C_Ope_002[[#This Row],[FECHA]]&gt;0,TEXT(C_Ope_002[[#This Row],[FECHA]],"mmmm"),0)</f>
        <v>Enero</v>
      </c>
    </row>
    <row r="10" spans="2:28" ht="24" x14ac:dyDescent="0.3">
      <c r="B10" s="2">
        <f>IF(C_Ope_002[[#This Row],[TIPO DE R.]]="R",COUNTIFS($D$4:$D9,"R")+1,"")</f>
        <v>6</v>
      </c>
      <c r="C10" s="19" t="str">
        <f t="shared" si="0"/>
        <v>C_Ope_002</v>
      </c>
      <c r="D10" s="3" t="s">
        <v>1074</v>
      </c>
      <c r="E10" s="14">
        <v>45663</v>
      </c>
      <c r="F10" s="5" t="s">
        <v>6746</v>
      </c>
      <c r="G10" s="5" t="s">
        <v>1079</v>
      </c>
      <c r="H10" s="6"/>
      <c r="I10" s="6" t="s">
        <v>14</v>
      </c>
      <c r="J10" s="6" t="s">
        <v>5245</v>
      </c>
      <c r="K10" s="6">
        <v>1642584</v>
      </c>
      <c r="L10" s="7" t="s">
        <v>6750</v>
      </c>
      <c r="M10" s="8">
        <v>22550</v>
      </c>
      <c r="N10" s="8" t="str">
        <f t="shared" si="5"/>
        <v>PEN</v>
      </c>
      <c r="O10" s="13"/>
      <c r="P10" s="13">
        <v>8</v>
      </c>
      <c r="Q10" s="3">
        <f t="shared" si="2"/>
        <v>0</v>
      </c>
      <c r="R10" s="3">
        <f t="shared" si="3"/>
        <v>8</v>
      </c>
      <c r="S10" s="3">
        <f t="shared" si="4"/>
        <v>274.7</v>
      </c>
      <c r="T10" s="24"/>
      <c r="U10" s="24"/>
      <c r="V10" s="3"/>
      <c r="W10" s="25" t="s">
        <v>6630</v>
      </c>
      <c r="X10" s="25"/>
      <c r="Y10" s="25" t="str">
        <f>IFERROR(VLOOKUP(C_Ope_002[[#This Row],[NOTA 2]],Clientes_Proveedores[[Ruc / Dni]:[Razon Social]],2,0),"")</f>
        <v/>
      </c>
      <c r="Z10" s="25"/>
      <c r="AA10" s="25"/>
      <c r="AB10" s="3" t="str">
        <f>IF(C_Ope_002[[#This Row],[FECHA]]&gt;0,TEXT(C_Ope_002[[#This Row],[FECHA]],"mmmm"),0)</f>
        <v>Enero</v>
      </c>
    </row>
    <row r="11" spans="2:28" ht="24" x14ac:dyDescent="0.3">
      <c r="B11" s="2">
        <f>IF(C_Ope_002[[#This Row],[TIPO DE R.]]="R",COUNTIFS($D$4:$D10,"R")+1,"")</f>
        <v>7</v>
      </c>
      <c r="C11" s="19" t="str">
        <f t="shared" si="0"/>
        <v>C_Ope_002</v>
      </c>
      <c r="D11" s="3" t="s">
        <v>1074</v>
      </c>
      <c r="E11" s="14">
        <v>45663</v>
      </c>
      <c r="F11" s="5" t="s">
        <v>6746</v>
      </c>
      <c r="G11" s="5" t="s">
        <v>1079</v>
      </c>
      <c r="H11" s="6"/>
      <c r="I11" s="6" t="s">
        <v>14</v>
      </c>
      <c r="J11" s="6" t="s">
        <v>5243</v>
      </c>
      <c r="K11" s="6">
        <v>2187030</v>
      </c>
      <c r="L11" s="7" t="s">
        <v>6750</v>
      </c>
      <c r="M11" s="8">
        <v>22552</v>
      </c>
      <c r="N11" s="8" t="str">
        <f t="shared" si="5"/>
        <v>PEN</v>
      </c>
      <c r="O11" s="13"/>
      <c r="P11" s="13">
        <v>8</v>
      </c>
      <c r="Q11" s="3">
        <f t="shared" si="2"/>
        <v>0</v>
      </c>
      <c r="R11" s="3">
        <f t="shared" si="3"/>
        <v>8</v>
      </c>
      <c r="S11" s="3">
        <f t="shared" si="4"/>
        <v>266.7</v>
      </c>
      <c r="T11" s="24"/>
      <c r="U11" s="24"/>
      <c r="V11" s="3"/>
      <c r="W11" s="25" t="s">
        <v>6630</v>
      </c>
      <c r="X11" s="25"/>
      <c r="Y11" s="25" t="str">
        <f>IFERROR(VLOOKUP(C_Ope_002[[#This Row],[NOTA 2]],Clientes_Proveedores[[Ruc / Dni]:[Razon Social]],2,0),"")</f>
        <v/>
      </c>
      <c r="Z11" s="25"/>
      <c r="AA11" s="25"/>
      <c r="AB11" s="3" t="str">
        <f>IF(C_Ope_002[[#This Row],[FECHA]]&gt;0,TEXT(C_Ope_002[[#This Row],[FECHA]],"mmmm"),0)</f>
        <v>Enero</v>
      </c>
    </row>
    <row r="12" spans="2:28" ht="24" x14ac:dyDescent="0.3">
      <c r="B12" s="2">
        <f>IF(C_Ope_002[[#This Row],[TIPO DE R.]]="R",COUNTIFS($D$4:$D11,"R")+1,"")</f>
        <v>8</v>
      </c>
      <c r="C12" s="19" t="str">
        <f t="shared" si="0"/>
        <v>C_Ope_002</v>
      </c>
      <c r="D12" s="3" t="s">
        <v>1074</v>
      </c>
      <c r="E12" s="14">
        <v>45665</v>
      </c>
      <c r="F12" s="5" t="s">
        <v>6746</v>
      </c>
      <c r="G12" s="5" t="s">
        <v>1079</v>
      </c>
      <c r="H12" s="6"/>
      <c r="I12" s="6" t="s">
        <v>14</v>
      </c>
      <c r="J12" s="6" t="s">
        <v>5243</v>
      </c>
      <c r="K12" s="6">
        <v>2189559</v>
      </c>
      <c r="L12" s="7" t="s">
        <v>6751</v>
      </c>
      <c r="M12" s="8">
        <v>22595</v>
      </c>
      <c r="N12" s="8" t="str">
        <f t="shared" si="5"/>
        <v>PEN</v>
      </c>
      <c r="O12" s="13"/>
      <c r="P12" s="13">
        <v>8</v>
      </c>
      <c r="Q12" s="3">
        <f t="shared" si="2"/>
        <v>0</v>
      </c>
      <c r="R12" s="3">
        <f t="shared" si="3"/>
        <v>8</v>
      </c>
      <c r="S12" s="3">
        <f t="shared" si="4"/>
        <v>258.7</v>
      </c>
      <c r="T12" s="24"/>
      <c r="U12" s="24"/>
      <c r="V12" s="3"/>
      <c r="W12" s="25" t="s">
        <v>6630</v>
      </c>
      <c r="X12" s="25"/>
      <c r="Y12" s="25" t="str">
        <f>IFERROR(VLOOKUP(C_Ope_002[[#This Row],[NOTA 2]],Clientes_Proveedores[[Ruc / Dni]:[Razon Social]],2,0),"")</f>
        <v/>
      </c>
      <c r="Z12" s="25"/>
      <c r="AA12" s="25"/>
      <c r="AB12" s="3" t="str">
        <f>IF(C_Ope_002[[#This Row],[FECHA]]&gt;0,TEXT(C_Ope_002[[#This Row],[FECHA]],"mmmm"),0)</f>
        <v>Enero</v>
      </c>
    </row>
    <row r="13" spans="2:28" ht="24" x14ac:dyDescent="0.3">
      <c r="B13" s="2">
        <f>IF(C_Ope_002[[#This Row],[TIPO DE R.]]="R",COUNTIFS($D$4:$D12,"R")+1,"")</f>
        <v>9</v>
      </c>
      <c r="C13" s="19" t="str">
        <f t="shared" si="0"/>
        <v>C_Ope_002</v>
      </c>
      <c r="D13" s="3" t="s">
        <v>1074</v>
      </c>
      <c r="E13" s="14">
        <v>45666</v>
      </c>
      <c r="F13" s="5" t="s">
        <v>6746</v>
      </c>
      <c r="G13" s="5" t="s">
        <v>1079</v>
      </c>
      <c r="H13" s="6"/>
      <c r="I13" s="6" t="s">
        <v>14</v>
      </c>
      <c r="J13" s="6" t="s">
        <v>5242</v>
      </c>
      <c r="K13" s="6">
        <v>1921967</v>
      </c>
      <c r="L13" s="7" t="s">
        <v>6752</v>
      </c>
      <c r="M13" s="8">
        <v>22597</v>
      </c>
      <c r="N13" s="8" t="str">
        <f t="shared" si="5"/>
        <v>PEN</v>
      </c>
      <c r="O13" s="13"/>
      <c r="P13" s="13">
        <v>12</v>
      </c>
      <c r="Q13" s="3">
        <f t="shared" si="2"/>
        <v>0</v>
      </c>
      <c r="R13" s="3">
        <f t="shared" si="3"/>
        <v>12</v>
      </c>
      <c r="S13" s="3">
        <f t="shared" si="4"/>
        <v>246.7</v>
      </c>
      <c r="T13" s="24"/>
      <c r="U13" s="24"/>
      <c r="V13" s="3"/>
      <c r="W13" s="25" t="s">
        <v>6747</v>
      </c>
      <c r="X13" s="25"/>
      <c r="Y13" s="25" t="str">
        <f>IFERROR(VLOOKUP(C_Ope_002[[#This Row],[NOTA 2]],Clientes_Proveedores[[Ruc / Dni]:[Razon Social]],2,0),"")</f>
        <v/>
      </c>
      <c r="Z13" s="25"/>
      <c r="AA13" s="25"/>
      <c r="AB13" s="3" t="str">
        <f>IF(C_Ope_002[[#This Row],[FECHA]]&gt;0,TEXT(C_Ope_002[[#This Row],[FECHA]],"mmmm"),0)</f>
        <v>Enero</v>
      </c>
    </row>
    <row r="14" spans="2:28" x14ac:dyDescent="0.3">
      <c r="B14" s="2">
        <f>IF(C_Ope_002[[#This Row],[TIPO DE R.]]="R",COUNTIFS($D$4:$D13,"R")+1,"")</f>
        <v>10</v>
      </c>
      <c r="C14" s="19" t="str">
        <f t="shared" si="0"/>
        <v>C_Ope_002</v>
      </c>
      <c r="D14" s="3" t="s">
        <v>1074</v>
      </c>
      <c r="E14" s="14">
        <v>45663</v>
      </c>
      <c r="F14" s="5" t="s">
        <v>6746</v>
      </c>
      <c r="G14" s="5" t="s">
        <v>1079</v>
      </c>
      <c r="H14" s="6"/>
      <c r="I14" s="6" t="s">
        <v>14</v>
      </c>
      <c r="J14" s="6" t="s">
        <v>1097</v>
      </c>
      <c r="K14" s="6">
        <v>15258</v>
      </c>
      <c r="L14" s="7" t="s">
        <v>6753</v>
      </c>
      <c r="M14" s="8">
        <v>22554</v>
      </c>
      <c r="N14" s="8" t="str">
        <f t="shared" si="5"/>
        <v>PEN</v>
      </c>
      <c r="O14" s="13"/>
      <c r="P14" s="13">
        <v>20</v>
      </c>
      <c r="Q14" s="3">
        <f t="shared" si="2"/>
        <v>0</v>
      </c>
      <c r="R14" s="3">
        <f t="shared" si="3"/>
        <v>20</v>
      </c>
      <c r="S14" s="3">
        <f t="shared" si="4"/>
        <v>226.7</v>
      </c>
      <c r="T14" s="24"/>
      <c r="U14" s="24"/>
      <c r="V14" s="3"/>
      <c r="W14" s="25" t="s">
        <v>6630</v>
      </c>
      <c r="X14" s="25"/>
      <c r="Y14" s="25" t="str">
        <f>IFERROR(VLOOKUP(C_Ope_002[[#This Row],[NOTA 2]],Clientes_Proveedores[[Ruc / Dni]:[Razon Social]],2,0),"")</f>
        <v/>
      </c>
      <c r="Z14" s="25"/>
      <c r="AA14" s="25"/>
      <c r="AB14" s="3" t="str">
        <f>IF(C_Ope_002[[#This Row],[FECHA]]&gt;0,TEXT(C_Ope_002[[#This Row],[FECHA]],"mmmm"),0)</f>
        <v>Enero</v>
      </c>
    </row>
    <row r="15" spans="2:28" ht="24" x14ac:dyDescent="0.3">
      <c r="B15" s="2">
        <f>IF(C_Ope_002[[#This Row],[TIPO DE R.]]="R",COUNTIFS($D$4:$D14,"R")+1,"")</f>
        <v>11</v>
      </c>
      <c r="C15" s="19" t="str">
        <f t="shared" si="0"/>
        <v>C_Ope_002</v>
      </c>
      <c r="D15" s="3" t="s">
        <v>1074</v>
      </c>
      <c r="E15" s="14">
        <v>45664</v>
      </c>
      <c r="F15" s="5" t="s">
        <v>6746</v>
      </c>
      <c r="G15" s="5" t="s">
        <v>1079</v>
      </c>
      <c r="H15" s="6"/>
      <c r="I15" s="6" t="s">
        <v>14</v>
      </c>
      <c r="J15" s="6" t="s">
        <v>1088</v>
      </c>
      <c r="K15" s="6">
        <v>33422</v>
      </c>
      <c r="L15" s="7" t="s">
        <v>6754</v>
      </c>
      <c r="M15" s="8">
        <v>22577</v>
      </c>
      <c r="N15" s="8" t="str">
        <f t="shared" si="5"/>
        <v>PEN</v>
      </c>
      <c r="O15" s="13"/>
      <c r="P15" s="13">
        <v>10</v>
      </c>
      <c r="Q15" s="3">
        <f t="shared" si="2"/>
        <v>0</v>
      </c>
      <c r="R15" s="3">
        <f t="shared" si="3"/>
        <v>10</v>
      </c>
      <c r="S15" s="3">
        <f t="shared" si="4"/>
        <v>216.7</v>
      </c>
      <c r="T15" s="24"/>
      <c r="U15" s="24"/>
      <c r="V15" s="3"/>
      <c r="W15" s="25" t="s">
        <v>6747</v>
      </c>
      <c r="X15" s="25"/>
      <c r="Y15" s="25" t="str">
        <f>IFERROR(VLOOKUP(C_Ope_002[[#This Row],[NOTA 2]],Clientes_Proveedores[[Ruc / Dni]:[Razon Social]],2,0),"")</f>
        <v/>
      </c>
      <c r="Z15" s="25"/>
      <c r="AA15" s="25"/>
      <c r="AB15" s="3" t="str">
        <f>IF(C_Ope_002[[#This Row],[FECHA]]&gt;0,TEXT(C_Ope_002[[#This Row],[FECHA]],"mmmm"),0)</f>
        <v>Enero</v>
      </c>
    </row>
    <row r="16" spans="2:28" ht="24" x14ac:dyDescent="0.3">
      <c r="B16" s="2">
        <f>IF(C_Ope_002[[#This Row],[TIPO DE R.]]="R",COUNTIFS($D$4:$D15,"R")+1,"")</f>
        <v>12</v>
      </c>
      <c r="C16" s="19" t="str">
        <f t="shared" si="0"/>
        <v>C_Ope_002</v>
      </c>
      <c r="D16" s="3" t="s">
        <v>1074</v>
      </c>
      <c r="E16" s="14">
        <v>45666</v>
      </c>
      <c r="F16" s="5" t="s">
        <v>6746</v>
      </c>
      <c r="G16" s="5" t="s">
        <v>1079</v>
      </c>
      <c r="H16" s="6"/>
      <c r="I16" s="6" t="s">
        <v>14</v>
      </c>
      <c r="J16" s="6" t="s">
        <v>1088</v>
      </c>
      <c r="K16" s="6">
        <v>33446</v>
      </c>
      <c r="L16" s="7" t="s">
        <v>6755</v>
      </c>
      <c r="M16" s="8">
        <v>22599</v>
      </c>
      <c r="N16" s="8" t="str">
        <f t="shared" si="5"/>
        <v>PEN</v>
      </c>
      <c r="O16" s="13"/>
      <c r="P16" s="13">
        <v>10</v>
      </c>
      <c r="Q16" s="3">
        <f t="shared" si="2"/>
        <v>0</v>
      </c>
      <c r="R16" s="3">
        <f t="shared" si="3"/>
        <v>10</v>
      </c>
      <c r="S16" s="3">
        <f t="shared" si="4"/>
        <v>206.7</v>
      </c>
      <c r="T16" s="24"/>
      <c r="U16" s="24"/>
      <c r="V16" s="3"/>
      <c r="W16" s="25" t="s">
        <v>6747</v>
      </c>
      <c r="X16" s="25"/>
      <c r="Y16" s="25" t="str">
        <f>IFERROR(VLOOKUP(C_Ope_002[[#This Row],[NOTA 2]],Clientes_Proveedores[[Ruc / Dni]:[Razon Social]],2,0),"")</f>
        <v/>
      </c>
      <c r="Z16" s="25"/>
      <c r="AA16" s="25"/>
      <c r="AB16" s="3" t="str">
        <f>IF(C_Ope_002[[#This Row],[FECHA]]&gt;0,TEXT(C_Ope_002[[#This Row],[FECHA]],"mmmm"),0)</f>
        <v>Enero</v>
      </c>
    </row>
    <row r="17" spans="2:28" x14ac:dyDescent="0.3">
      <c r="B17" s="2">
        <f>IF(C_Ope_002[[#This Row],[TIPO DE R.]]="R",COUNTIFS($D$4:$D16,"R")+1,"")</f>
        <v>13</v>
      </c>
      <c r="C17" s="19" t="str">
        <f t="shared" si="0"/>
        <v>C_Ope_002</v>
      </c>
      <c r="D17" s="3" t="s">
        <v>1074</v>
      </c>
      <c r="E17" s="14">
        <v>45659</v>
      </c>
      <c r="F17" s="5" t="s">
        <v>6746</v>
      </c>
      <c r="G17" s="5" t="s">
        <v>1079</v>
      </c>
      <c r="H17" s="6"/>
      <c r="I17" s="6" t="s">
        <v>14</v>
      </c>
      <c r="J17" s="6" t="s">
        <v>1121</v>
      </c>
      <c r="K17" s="6">
        <v>1525</v>
      </c>
      <c r="L17" s="7" t="s">
        <v>6565</v>
      </c>
      <c r="M17" s="8">
        <v>22544</v>
      </c>
      <c r="N17" s="8" t="str">
        <f t="shared" si="5"/>
        <v>PEN</v>
      </c>
      <c r="O17" s="13"/>
      <c r="P17" s="13">
        <v>60</v>
      </c>
      <c r="Q17" s="3">
        <f t="shared" si="2"/>
        <v>0</v>
      </c>
      <c r="R17" s="3">
        <f t="shared" si="3"/>
        <v>60</v>
      </c>
      <c r="S17" s="3">
        <f t="shared" si="4"/>
        <v>146.69999999999999</v>
      </c>
      <c r="T17" s="24"/>
      <c r="U17" s="24"/>
      <c r="V17" s="3"/>
      <c r="W17" s="25" t="s">
        <v>6747</v>
      </c>
      <c r="X17" s="25"/>
      <c r="Y17" s="25" t="str">
        <f>IFERROR(VLOOKUP(C_Ope_002[[#This Row],[NOTA 2]],Clientes_Proveedores[[Ruc / Dni]:[Razon Social]],2,0),"")</f>
        <v/>
      </c>
      <c r="Z17" s="25"/>
      <c r="AA17" s="25"/>
      <c r="AB17" s="3" t="str">
        <f>IF(C_Ope_002[[#This Row],[FECHA]]&gt;0,TEXT(C_Ope_002[[#This Row],[FECHA]],"mmmm"),0)</f>
        <v>Enero</v>
      </c>
    </row>
    <row r="18" spans="2:28" x14ac:dyDescent="0.3">
      <c r="B18" s="2">
        <f>IF(C_Ope_002[[#This Row],[TIPO DE R.]]="R",COUNTIFS($D$4:$D17,"R")+1,"")</f>
        <v>14</v>
      </c>
      <c r="C18" s="19" t="str">
        <f t="shared" si="0"/>
        <v>C_Ope_002</v>
      </c>
      <c r="D18" s="3" t="s">
        <v>1074</v>
      </c>
      <c r="E18" s="14">
        <v>45664</v>
      </c>
      <c r="F18" s="5" t="s">
        <v>6746</v>
      </c>
      <c r="G18" s="5" t="s">
        <v>1079</v>
      </c>
      <c r="H18" s="6"/>
      <c r="I18" s="6" t="s">
        <v>14</v>
      </c>
      <c r="J18" s="6" t="s">
        <v>1119</v>
      </c>
      <c r="K18" s="6">
        <v>15813</v>
      </c>
      <c r="L18" s="7" t="s">
        <v>6565</v>
      </c>
      <c r="M18" s="8">
        <v>22576</v>
      </c>
      <c r="N18" s="8" t="str">
        <f t="shared" si="5"/>
        <v>PEN</v>
      </c>
      <c r="O18" s="13"/>
      <c r="P18" s="13">
        <v>35</v>
      </c>
      <c r="Q18" s="3">
        <f t="shared" si="2"/>
        <v>0</v>
      </c>
      <c r="R18" s="3">
        <f t="shared" si="3"/>
        <v>35</v>
      </c>
      <c r="S18" s="3">
        <f t="shared" si="4"/>
        <v>111.69999999999999</v>
      </c>
      <c r="T18" s="24"/>
      <c r="U18" s="24"/>
      <c r="V18" s="3"/>
      <c r="W18" s="25" t="s">
        <v>6747</v>
      </c>
      <c r="X18" s="25"/>
      <c r="Y18" s="25" t="str">
        <f>IFERROR(VLOOKUP(C_Ope_002[[#This Row],[NOTA 2]],Clientes_Proveedores[[Ruc / Dni]:[Razon Social]],2,0),"")</f>
        <v/>
      </c>
      <c r="Z18" s="25"/>
      <c r="AA18" s="25"/>
      <c r="AB18" s="3" t="str">
        <f>IF(C_Ope_002[[#This Row],[FECHA]]&gt;0,TEXT(C_Ope_002[[#This Row],[FECHA]],"mmmm"),0)</f>
        <v>Enero</v>
      </c>
    </row>
    <row r="19" spans="2:28" x14ac:dyDescent="0.3">
      <c r="B19" s="2">
        <f>IF(C_Ope_002[[#This Row],[TIPO DE R.]]="R",COUNTIFS($D$4:$D18,"R")+1,"")</f>
        <v>15</v>
      </c>
      <c r="C19" s="19" t="str">
        <f t="shared" si="0"/>
        <v>C_Ope_002</v>
      </c>
      <c r="D19" s="3" t="s">
        <v>1074</v>
      </c>
      <c r="E19" s="14">
        <v>45667</v>
      </c>
      <c r="F19" s="5" t="s">
        <v>6746</v>
      </c>
      <c r="G19" s="5" t="s">
        <v>1079</v>
      </c>
      <c r="H19" s="6"/>
      <c r="I19" s="6" t="s">
        <v>14</v>
      </c>
      <c r="J19" s="6" t="s">
        <v>1119</v>
      </c>
      <c r="K19" s="6">
        <v>15881</v>
      </c>
      <c r="L19" s="7" t="s">
        <v>6565</v>
      </c>
      <c r="M19" s="8">
        <v>22610</v>
      </c>
      <c r="N19" s="8" t="str">
        <f t="shared" si="5"/>
        <v>PEN</v>
      </c>
      <c r="O19" s="13"/>
      <c r="P19" s="13">
        <v>35</v>
      </c>
      <c r="Q19" s="3">
        <f t="shared" si="2"/>
        <v>0</v>
      </c>
      <c r="R19" s="3">
        <f t="shared" si="3"/>
        <v>35</v>
      </c>
      <c r="S19" s="3">
        <f t="shared" si="4"/>
        <v>76.699999999999989</v>
      </c>
      <c r="T19" s="24"/>
      <c r="U19" s="24"/>
      <c r="V19" s="3"/>
      <c r="W19" s="25" t="s">
        <v>6747</v>
      </c>
      <c r="X19" s="25"/>
      <c r="Y19" s="25" t="str">
        <f>IFERROR(VLOOKUP(C_Ope_002[[#This Row],[NOTA 2]],Clientes_Proveedores[[Ruc / Dni]:[Razon Social]],2,0),"")</f>
        <v/>
      </c>
      <c r="Z19" s="25"/>
      <c r="AA19" s="25"/>
      <c r="AB19" s="3" t="str">
        <f>IF(C_Ope_002[[#This Row],[FECHA]]&gt;0,TEXT(C_Ope_002[[#This Row],[FECHA]],"mmmm"),0)</f>
        <v>Enero</v>
      </c>
    </row>
    <row r="20" spans="2:28" x14ac:dyDescent="0.3">
      <c r="B20" s="2">
        <f>IF(C_Ope_002[[#This Row],[TIPO DE R.]]="R",COUNTIFS($D$4:$D19,"R")+1,"")</f>
        <v>16</v>
      </c>
      <c r="C20" s="19" t="str">
        <f t="shared" si="0"/>
        <v>C_Ope_002</v>
      </c>
      <c r="D20" s="3" t="s">
        <v>1074</v>
      </c>
      <c r="E20" s="14">
        <v>45670</v>
      </c>
      <c r="F20" s="5" t="s">
        <v>6299</v>
      </c>
      <c r="G20" s="5" t="s">
        <v>1087</v>
      </c>
      <c r="H20" s="6"/>
      <c r="I20" s="6"/>
      <c r="J20" s="6"/>
      <c r="K20" s="6"/>
      <c r="L20" s="7" t="s">
        <v>6302</v>
      </c>
      <c r="M20" s="8">
        <v>22723</v>
      </c>
      <c r="N20" s="8" t="str">
        <f t="shared" si="5"/>
        <v>PEN</v>
      </c>
      <c r="O20" s="13"/>
      <c r="P20" s="13">
        <v>120</v>
      </c>
      <c r="Q20" s="3">
        <f t="shared" si="2"/>
        <v>120</v>
      </c>
      <c r="R20" s="3">
        <f t="shared" si="3"/>
        <v>0</v>
      </c>
      <c r="S20" s="3">
        <f t="shared" si="4"/>
        <v>196.7</v>
      </c>
      <c r="T20" s="24"/>
      <c r="U20" s="24"/>
      <c r="V20" s="3"/>
      <c r="W20" s="25"/>
      <c r="X20" s="25"/>
      <c r="Y20" s="25" t="str">
        <f>IFERROR(VLOOKUP(C_Ope_002[[#This Row],[NOTA 2]],Clientes_Proveedores[[Ruc / Dni]:[Razon Social]],2,0),"")</f>
        <v/>
      </c>
      <c r="Z20" s="25"/>
      <c r="AA20" s="25"/>
      <c r="AB20" s="3" t="str">
        <f>IF(C_Ope_002[[#This Row],[FECHA]]&gt;0,TEXT(C_Ope_002[[#This Row],[FECHA]],"mmmm"),0)</f>
        <v>Enero</v>
      </c>
    </row>
    <row r="21" spans="2:28" ht="24" x14ac:dyDescent="0.3">
      <c r="B21" s="2">
        <f>IF(C_Ope_002[[#This Row],[TIPO DE R.]]="R",COUNTIFS($D$4:$D20,"R")+1,"")</f>
        <v>17</v>
      </c>
      <c r="C21" s="19" t="str">
        <f t="shared" si="0"/>
        <v>C_Ope_002</v>
      </c>
      <c r="D21" s="3" t="s">
        <v>1074</v>
      </c>
      <c r="E21" s="14">
        <v>45670</v>
      </c>
      <c r="F21" s="5" t="s">
        <v>6746</v>
      </c>
      <c r="G21" s="5" t="s">
        <v>1079</v>
      </c>
      <c r="H21" s="6"/>
      <c r="I21" s="6" t="s">
        <v>14</v>
      </c>
      <c r="J21" s="6" t="s">
        <v>5243</v>
      </c>
      <c r="K21" s="6">
        <v>2194841</v>
      </c>
      <c r="L21" s="7" t="s">
        <v>6756</v>
      </c>
      <c r="M21" s="8">
        <v>22628</v>
      </c>
      <c r="N21" s="8" t="str">
        <f t="shared" si="5"/>
        <v>PEN</v>
      </c>
      <c r="O21" s="13"/>
      <c r="P21" s="13">
        <v>12</v>
      </c>
      <c r="Q21" s="3">
        <f t="shared" si="2"/>
        <v>0</v>
      </c>
      <c r="R21" s="3">
        <f t="shared" si="3"/>
        <v>12</v>
      </c>
      <c r="S21" s="3">
        <f t="shared" si="4"/>
        <v>184.7</v>
      </c>
      <c r="T21" s="24"/>
      <c r="U21" s="24"/>
      <c r="V21" s="3"/>
      <c r="W21" s="25" t="s">
        <v>6747</v>
      </c>
      <c r="X21" s="25"/>
      <c r="Y21" s="25" t="str">
        <f>IFERROR(VLOOKUP(C_Ope_002[[#This Row],[NOTA 2]],Clientes_Proveedores[[Ruc / Dni]:[Razon Social]],2,0),"")</f>
        <v/>
      </c>
      <c r="Z21" s="25"/>
      <c r="AA21" s="25"/>
      <c r="AB21" s="3" t="str">
        <f>IF(C_Ope_002[[#This Row],[FECHA]]&gt;0,TEXT(C_Ope_002[[#This Row],[FECHA]],"mmmm"),0)</f>
        <v>Enero</v>
      </c>
    </row>
    <row r="22" spans="2:28" ht="24" x14ac:dyDescent="0.3">
      <c r="B22" s="2">
        <f>IF(C_Ope_002[[#This Row],[TIPO DE R.]]="R",COUNTIFS($D$4:$D21,"R")+1,"")</f>
        <v>18</v>
      </c>
      <c r="C22" s="19" t="str">
        <f t="shared" si="0"/>
        <v>C_Ope_002</v>
      </c>
      <c r="D22" s="3" t="s">
        <v>1074</v>
      </c>
      <c r="E22" s="14">
        <v>45670</v>
      </c>
      <c r="F22" s="5" t="s">
        <v>6746</v>
      </c>
      <c r="G22" s="5" t="s">
        <v>1079</v>
      </c>
      <c r="H22" s="6"/>
      <c r="I22" s="6" t="s">
        <v>14</v>
      </c>
      <c r="J22" s="6" t="s">
        <v>5242</v>
      </c>
      <c r="K22" s="6">
        <v>1926567</v>
      </c>
      <c r="L22" s="7" t="s">
        <v>6756</v>
      </c>
      <c r="M22" s="8">
        <v>22676</v>
      </c>
      <c r="N22" s="8" t="str">
        <f t="shared" si="5"/>
        <v>PEN</v>
      </c>
      <c r="O22" s="13"/>
      <c r="P22" s="13">
        <v>12</v>
      </c>
      <c r="Q22" s="3">
        <f t="shared" si="2"/>
        <v>0</v>
      </c>
      <c r="R22" s="3">
        <f t="shared" si="3"/>
        <v>12</v>
      </c>
      <c r="S22" s="3">
        <f t="shared" si="4"/>
        <v>172.7</v>
      </c>
      <c r="T22" s="24"/>
      <c r="U22" s="24"/>
      <c r="V22" s="3"/>
      <c r="W22" s="25" t="s">
        <v>6747</v>
      </c>
      <c r="X22" s="25"/>
      <c r="Y22" s="25" t="str">
        <f>IFERROR(VLOOKUP(C_Ope_002[[#This Row],[NOTA 2]],Clientes_Proveedores[[Ruc / Dni]:[Razon Social]],2,0),"")</f>
        <v/>
      </c>
      <c r="Z22" s="25"/>
      <c r="AA22" s="25"/>
      <c r="AB22" s="3" t="str">
        <f>IF(C_Ope_002[[#This Row],[FECHA]]&gt;0,TEXT(C_Ope_002[[#This Row],[FECHA]],"mmmm"),0)</f>
        <v>Enero</v>
      </c>
    </row>
    <row r="23" spans="2:28" ht="24" x14ac:dyDescent="0.3">
      <c r="B23" s="2">
        <f>IF(C_Ope_002[[#This Row],[TIPO DE R.]]="R",COUNTIFS($D$4:$D22,"R")+1,"")</f>
        <v>19</v>
      </c>
      <c r="C23" s="19" t="str">
        <f t="shared" si="0"/>
        <v>C_Ope_002</v>
      </c>
      <c r="D23" s="3" t="s">
        <v>1074</v>
      </c>
      <c r="E23" s="14">
        <v>45672</v>
      </c>
      <c r="F23" s="5" t="s">
        <v>6746</v>
      </c>
      <c r="G23" s="5" t="s">
        <v>1079</v>
      </c>
      <c r="H23" s="6"/>
      <c r="I23" s="6" t="s">
        <v>14</v>
      </c>
      <c r="J23" s="6" t="s">
        <v>5242</v>
      </c>
      <c r="K23" s="6">
        <v>1928583</v>
      </c>
      <c r="L23" s="7" t="s">
        <v>6757</v>
      </c>
      <c r="M23" s="8">
        <v>22677</v>
      </c>
      <c r="N23" s="8" t="str">
        <f t="shared" si="5"/>
        <v>PEN</v>
      </c>
      <c r="O23" s="13"/>
      <c r="P23" s="13">
        <v>12</v>
      </c>
      <c r="Q23" s="3">
        <f t="shared" si="2"/>
        <v>0</v>
      </c>
      <c r="R23" s="3">
        <f t="shared" si="3"/>
        <v>12</v>
      </c>
      <c r="S23" s="3">
        <f t="shared" si="4"/>
        <v>160.69999999999999</v>
      </c>
      <c r="T23" s="24"/>
      <c r="U23" s="24"/>
      <c r="V23" s="3"/>
      <c r="W23" s="25" t="s">
        <v>6747</v>
      </c>
      <c r="X23" s="25"/>
      <c r="Y23" s="25" t="str">
        <f>IFERROR(VLOOKUP(C_Ope_002[[#This Row],[NOTA 2]],Clientes_Proveedores[[Ruc / Dni]:[Razon Social]],2,0),"")</f>
        <v/>
      </c>
      <c r="Z23" s="25"/>
      <c r="AA23" s="25"/>
      <c r="AB23" s="3" t="str">
        <f>IF(C_Ope_002[[#This Row],[FECHA]]&gt;0,TEXT(C_Ope_002[[#This Row],[FECHA]],"mmmm"),0)</f>
        <v>Enero</v>
      </c>
    </row>
    <row r="24" spans="2:28" ht="24" x14ac:dyDescent="0.3">
      <c r="B24" s="2">
        <f>IF(C_Ope_002[[#This Row],[TIPO DE R.]]="R",COUNTIFS($D$4:$D23,"R")+1,"")</f>
        <v>20</v>
      </c>
      <c r="C24" s="19" t="str">
        <f t="shared" si="0"/>
        <v>C_Ope_002</v>
      </c>
      <c r="D24" s="3" t="s">
        <v>1074</v>
      </c>
      <c r="E24" s="14">
        <v>45673</v>
      </c>
      <c r="F24" s="5" t="s">
        <v>6746</v>
      </c>
      <c r="G24" s="5" t="s">
        <v>1079</v>
      </c>
      <c r="H24" s="6"/>
      <c r="I24" s="6" t="s">
        <v>14</v>
      </c>
      <c r="J24" s="6" t="s">
        <v>5243</v>
      </c>
      <c r="K24" s="6">
        <v>2198812</v>
      </c>
      <c r="L24" s="7" t="s">
        <v>6758</v>
      </c>
      <c r="M24" s="8">
        <v>22678</v>
      </c>
      <c r="N24" s="8" t="str">
        <f t="shared" si="5"/>
        <v>PEN</v>
      </c>
      <c r="O24" s="13"/>
      <c r="P24" s="13">
        <v>12</v>
      </c>
      <c r="Q24" s="3">
        <f t="shared" si="2"/>
        <v>0</v>
      </c>
      <c r="R24" s="3">
        <f t="shared" si="3"/>
        <v>12</v>
      </c>
      <c r="S24" s="3">
        <f t="shared" si="4"/>
        <v>148.69999999999999</v>
      </c>
      <c r="T24" s="24"/>
      <c r="U24" s="24"/>
      <c r="V24" s="3"/>
      <c r="W24" s="25" t="s">
        <v>6747</v>
      </c>
      <c r="X24" s="25"/>
      <c r="Y24" s="25" t="str">
        <f>IFERROR(VLOOKUP(C_Ope_002[[#This Row],[NOTA 2]],Clientes_Proveedores[[Ruc / Dni]:[Razon Social]],2,0),"")</f>
        <v/>
      </c>
      <c r="Z24" s="25"/>
      <c r="AA24" s="25"/>
      <c r="AB24" s="3" t="str">
        <f>IF(C_Ope_002[[#This Row],[FECHA]]&gt;0,TEXT(C_Ope_002[[#This Row],[FECHA]],"mmmm"),0)</f>
        <v>Enero</v>
      </c>
    </row>
    <row r="25" spans="2:28" ht="24" x14ac:dyDescent="0.3">
      <c r="B25" s="2">
        <f>IF(C_Ope_002[[#This Row],[TIPO DE R.]]="R",COUNTIFS($D$4:$D24,"R")+1,"")</f>
        <v>21</v>
      </c>
      <c r="C25" s="19" t="str">
        <f t="shared" si="0"/>
        <v>C_Ope_002</v>
      </c>
      <c r="D25" s="3" t="s">
        <v>1074</v>
      </c>
      <c r="E25" s="14">
        <v>45673</v>
      </c>
      <c r="F25" s="5" t="s">
        <v>6746</v>
      </c>
      <c r="G25" s="5" t="s">
        <v>1079</v>
      </c>
      <c r="H25" s="6"/>
      <c r="I25" s="6" t="s">
        <v>14</v>
      </c>
      <c r="J25" s="6" t="s">
        <v>5242</v>
      </c>
      <c r="K25" s="6">
        <v>1929512</v>
      </c>
      <c r="L25" s="7" t="s">
        <v>6758</v>
      </c>
      <c r="M25" s="8">
        <v>22679</v>
      </c>
      <c r="N25" s="8" t="str">
        <f t="shared" si="5"/>
        <v>PEN</v>
      </c>
      <c r="O25" s="13"/>
      <c r="P25" s="13">
        <v>12</v>
      </c>
      <c r="Q25" s="3">
        <f t="shared" si="2"/>
        <v>0</v>
      </c>
      <c r="R25" s="3">
        <f t="shared" si="3"/>
        <v>12</v>
      </c>
      <c r="S25" s="3">
        <f t="shared" si="4"/>
        <v>136.69999999999999</v>
      </c>
      <c r="T25" s="24"/>
      <c r="U25" s="24"/>
      <c r="V25" s="3"/>
      <c r="W25" s="25" t="s">
        <v>6747</v>
      </c>
      <c r="X25" s="25"/>
      <c r="Y25" s="25" t="str">
        <f>IFERROR(VLOOKUP(C_Ope_002[[#This Row],[NOTA 2]],Clientes_Proveedores[[Ruc / Dni]:[Razon Social]],2,0),"")</f>
        <v/>
      </c>
      <c r="Z25" s="25"/>
      <c r="AA25" s="25"/>
      <c r="AB25" s="3" t="str">
        <f>IF(C_Ope_002[[#This Row],[FECHA]]&gt;0,TEXT(C_Ope_002[[#This Row],[FECHA]],"mmmm"),0)</f>
        <v>Enero</v>
      </c>
    </row>
    <row r="26" spans="2:28" x14ac:dyDescent="0.3">
      <c r="B26" s="2">
        <f>IF(C_Ope_002[[#This Row],[TIPO DE R.]]="R",COUNTIFS($D$4:$D25,"R")+1,"")</f>
        <v>22</v>
      </c>
      <c r="C26" s="19" t="str">
        <f t="shared" si="0"/>
        <v>C_Ope_002</v>
      </c>
      <c r="D26" s="3" t="s">
        <v>1074</v>
      </c>
      <c r="E26" s="14">
        <v>45674</v>
      </c>
      <c r="F26" s="5" t="s">
        <v>6746</v>
      </c>
      <c r="G26" s="5" t="s">
        <v>1079</v>
      </c>
      <c r="H26" s="6"/>
      <c r="I26" s="6" t="s">
        <v>14</v>
      </c>
      <c r="J26" s="6" t="s">
        <v>5243</v>
      </c>
      <c r="K26" s="6">
        <v>2199891</v>
      </c>
      <c r="L26" s="7" t="s">
        <v>6759</v>
      </c>
      <c r="M26" s="8">
        <v>22726</v>
      </c>
      <c r="N26" s="8" t="str">
        <f t="shared" si="5"/>
        <v>PEN</v>
      </c>
      <c r="O26" s="13"/>
      <c r="P26" s="13">
        <v>12</v>
      </c>
      <c r="Q26" s="3">
        <f t="shared" si="2"/>
        <v>0</v>
      </c>
      <c r="R26" s="3">
        <f t="shared" si="3"/>
        <v>12</v>
      </c>
      <c r="S26" s="3">
        <f t="shared" si="4"/>
        <v>124.69999999999999</v>
      </c>
      <c r="T26" s="24"/>
      <c r="U26" s="24"/>
      <c r="V26" s="3"/>
      <c r="W26" s="25" t="s">
        <v>6747</v>
      </c>
      <c r="X26" s="25"/>
      <c r="Y26" s="25" t="str">
        <f>IFERROR(VLOOKUP(C_Ope_002[[#This Row],[NOTA 2]],Clientes_Proveedores[[Ruc / Dni]:[Razon Social]],2,0),"")</f>
        <v/>
      </c>
      <c r="Z26" s="25"/>
      <c r="AA26" s="25"/>
      <c r="AB26" s="3" t="str">
        <f>IF(C_Ope_002[[#This Row],[FECHA]]&gt;0,TEXT(C_Ope_002[[#This Row],[FECHA]],"mmmm"),0)</f>
        <v>Enero</v>
      </c>
    </row>
    <row r="27" spans="2:28" x14ac:dyDescent="0.3">
      <c r="B27" s="2">
        <f>IF(C_Ope_002[[#This Row],[TIPO DE R.]]="R",COUNTIFS($D$4:$D26,"R")+1,"")</f>
        <v>23</v>
      </c>
      <c r="C27" s="19" t="str">
        <f t="shared" si="0"/>
        <v>C_Ope_002</v>
      </c>
      <c r="D27" s="3" t="s">
        <v>1074</v>
      </c>
      <c r="E27" s="14">
        <v>45674</v>
      </c>
      <c r="F27" s="5" t="s">
        <v>6746</v>
      </c>
      <c r="G27" s="5" t="s">
        <v>1079</v>
      </c>
      <c r="H27" s="6"/>
      <c r="I27" s="6" t="s">
        <v>14</v>
      </c>
      <c r="J27" s="6" t="s">
        <v>5245</v>
      </c>
      <c r="K27" s="6">
        <v>1652084</v>
      </c>
      <c r="L27" s="7" t="s">
        <v>6759</v>
      </c>
      <c r="M27" s="8">
        <v>22727</v>
      </c>
      <c r="N27" s="8" t="str">
        <f t="shared" si="5"/>
        <v>PEN</v>
      </c>
      <c r="O27" s="13"/>
      <c r="P27" s="13">
        <v>12</v>
      </c>
      <c r="Q27" s="3">
        <f t="shared" si="2"/>
        <v>0</v>
      </c>
      <c r="R27" s="3">
        <f t="shared" si="3"/>
        <v>12</v>
      </c>
      <c r="S27" s="3">
        <f t="shared" si="4"/>
        <v>112.69999999999999</v>
      </c>
      <c r="T27" s="24"/>
      <c r="U27" s="24"/>
      <c r="V27" s="3"/>
      <c r="W27" s="25" t="s">
        <v>6747</v>
      </c>
      <c r="X27" s="25"/>
      <c r="Y27" s="25" t="str">
        <f>IFERROR(VLOOKUP(C_Ope_002[[#This Row],[NOTA 2]],Clientes_Proveedores[[Ruc / Dni]:[Razon Social]],2,0),"")</f>
        <v/>
      </c>
      <c r="Z27" s="25"/>
      <c r="AA27" s="25"/>
      <c r="AB27" s="3" t="str">
        <f>IF(C_Ope_002[[#This Row],[FECHA]]&gt;0,TEXT(C_Ope_002[[#This Row],[FECHA]],"mmmm"),0)</f>
        <v>Enero</v>
      </c>
    </row>
    <row r="28" spans="2:28" ht="24" x14ac:dyDescent="0.3">
      <c r="B28" s="2">
        <f>IF(C_Ope_002[[#This Row],[TIPO DE R.]]="R",COUNTIFS($D$4:$D27,"R")+1,"")</f>
        <v>24</v>
      </c>
      <c r="C28" s="19" t="str">
        <f t="shared" si="0"/>
        <v>C_Ope_002</v>
      </c>
      <c r="D28" s="3" t="s">
        <v>1074</v>
      </c>
      <c r="E28" s="14">
        <v>45670</v>
      </c>
      <c r="F28" s="5" t="s">
        <v>6746</v>
      </c>
      <c r="G28" s="5" t="s">
        <v>1079</v>
      </c>
      <c r="H28" s="6"/>
      <c r="I28" s="6" t="s">
        <v>14</v>
      </c>
      <c r="J28" s="6" t="s">
        <v>1429</v>
      </c>
      <c r="K28" s="6">
        <v>15841</v>
      </c>
      <c r="L28" s="7" t="s">
        <v>6760</v>
      </c>
      <c r="M28" s="8">
        <v>22627</v>
      </c>
      <c r="N28" s="8" t="str">
        <f t="shared" si="5"/>
        <v>PEN</v>
      </c>
      <c r="O28" s="13"/>
      <c r="P28" s="13">
        <v>24</v>
      </c>
      <c r="Q28" s="3">
        <f t="shared" si="2"/>
        <v>0</v>
      </c>
      <c r="R28" s="3">
        <f t="shared" si="3"/>
        <v>24</v>
      </c>
      <c r="S28" s="3">
        <f t="shared" si="4"/>
        <v>88.699999999999989</v>
      </c>
      <c r="T28" s="24"/>
      <c r="U28" s="24"/>
      <c r="V28" s="3"/>
      <c r="W28" s="25" t="s">
        <v>6747</v>
      </c>
      <c r="X28" s="25"/>
      <c r="Y28" s="25" t="str">
        <f>IFERROR(VLOOKUP(C_Ope_002[[#This Row],[NOTA 2]],Clientes_Proveedores[[Ruc / Dni]:[Razon Social]],2,0),"")</f>
        <v/>
      </c>
      <c r="Z28" s="25"/>
      <c r="AA28" s="25"/>
      <c r="AB28" s="3" t="str">
        <f>IF(C_Ope_002[[#This Row],[FECHA]]&gt;0,TEXT(C_Ope_002[[#This Row],[FECHA]],"mmmm"),0)</f>
        <v>Enero</v>
      </c>
    </row>
    <row r="29" spans="2:28" ht="24" x14ac:dyDescent="0.3">
      <c r="B29" s="2">
        <f>IF(C_Ope_002[[#This Row],[TIPO DE R.]]="R",COUNTIFS($D$4:$D28,"R")+1,"")</f>
        <v>25</v>
      </c>
      <c r="C29" s="19" t="str">
        <f t="shared" si="0"/>
        <v>C_Ope_002</v>
      </c>
      <c r="D29" s="3" t="s">
        <v>1074</v>
      </c>
      <c r="E29" s="14">
        <v>45672</v>
      </c>
      <c r="F29" s="5" t="s">
        <v>6746</v>
      </c>
      <c r="G29" s="5" t="s">
        <v>1079</v>
      </c>
      <c r="H29" s="6"/>
      <c r="I29" s="6" t="s">
        <v>14</v>
      </c>
      <c r="J29" s="6" t="s">
        <v>1429</v>
      </c>
      <c r="K29" s="6">
        <v>15866</v>
      </c>
      <c r="L29" s="7" t="s">
        <v>6761</v>
      </c>
      <c r="M29" s="8">
        <v>22724</v>
      </c>
      <c r="N29" s="8" t="str">
        <f t="shared" si="5"/>
        <v>PEN</v>
      </c>
      <c r="O29" s="13"/>
      <c r="P29" s="13">
        <v>24</v>
      </c>
      <c r="Q29" s="3">
        <f t="shared" si="2"/>
        <v>0</v>
      </c>
      <c r="R29" s="3">
        <f t="shared" si="3"/>
        <v>24</v>
      </c>
      <c r="S29" s="3">
        <f t="shared" si="4"/>
        <v>64.699999999999989</v>
      </c>
      <c r="T29" s="24"/>
      <c r="U29" s="24"/>
      <c r="V29" s="3"/>
      <c r="W29" s="25" t="s">
        <v>6747</v>
      </c>
      <c r="X29" s="25"/>
      <c r="Y29" s="25" t="str">
        <f>IFERROR(VLOOKUP(C_Ope_002[[#This Row],[NOTA 2]],Clientes_Proveedores[[Ruc / Dni]:[Razon Social]],2,0),"")</f>
        <v/>
      </c>
      <c r="Z29" s="25"/>
      <c r="AA29" s="25"/>
      <c r="AB29" s="3" t="str">
        <f>IF(C_Ope_002[[#This Row],[FECHA]]&gt;0,TEXT(C_Ope_002[[#This Row],[FECHA]],"mmmm"),0)</f>
        <v>Enero</v>
      </c>
    </row>
    <row r="30" spans="2:28" x14ac:dyDescent="0.3">
      <c r="B30" s="2">
        <f>IF(C_Ope_002[[#This Row],[TIPO DE R.]]="R",COUNTIFS($D$4:$D29,"R")+1,"")</f>
        <v>26</v>
      </c>
      <c r="C30" s="19" t="str">
        <f t="shared" si="0"/>
        <v>C_Ope_002</v>
      </c>
      <c r="D30" s="3" t="s">
        <v>1074</v>
      </c>
      <c r="E30" s="14">
        <v>45674</v>
      </c>
      <c r="F30" s="5" t="s">
        <v>6746</v>
      </c>
      <c r="G30" s="5" t="s">
        <v>1079</v>
      </c>
      <c r="H30" s="6"/>
      <c r="I30" s="6" t="s">
        <v>14</v>
      </c>
      <c r="J30" s="6" t="s">
        <v>1148</v>
      </c>
      <c r="K30" s="6">
        <v>127131</v>
      </c>
      <c r="L30" s="7" t="s">
        <v>6762</v>
      </c>
      <c r="M30" s="8">
        <v>22725</v>
      </c>
      <c r="N30" s="8" t="str">
        <f t="shared" si="5"/>
        <v>PEN</v>
      </c>
      <c r="O30" s="13"/>
      <c r="P30" s="13">
        <v>10</v>
      </c>
      <c r="Q30" s="3">
        <f t="shared" si="2"/>
        <v>0</v>
      </c>
      <c r="R30" s="3">
        <f t="shared" si="3"/>
        <v>10</v>
      </c>
      <c r="S30" s="3">
        <f t="shared" si="4"/>
        <v>54.699999999999989</v>
      </c>
      <c r="T30" s="24"/>
      <c r="U30" s="24"/>
      <c r="V30" s="3"/>
      <c r="W30" s="25" t="s">
        <v>6747</v>
      </c>
      <c r="X30" s="25"/>
      <c r="Y30" s="25" t="str">
        <f>IFERROR(VLOOKUP(C_Ope_002[[#This Row],[NOTA 2]],Clientes_Proveedores[[Ruc / Dni]:[Razon Social]],2,0),"")</f>
        <v/>
      </c>
      <c r="Z30" s="25"/>
      <c r="AA30" s="25"/>
      <c r="AB30" s="3" t="str">
        <f>IF(C_Ope_002[[#This Row],[FECHA]]&gt;0,TEXT(C_Ope_002[[#This Row],[FECHA]],"mmmm"),0)</f>
        <v>Enero</v>
      </c>
    </row>
    <row r="31" spans="2:28" x14ac:dyDescent="0.3">
      <c r="B31" s="2">
        <f>IF(C_Ope_002[[#This Row],[TIPO DE R.]]="R",COUNTIFS($D$4:$D30,"R")+1,"")</f>
        <v>27</v>
      </c>
      <c r="C31" s="19" t="str">
        <f t="shared" si="0"/>
        <v>C_Ope_002</v>
      </c>
      <c r="D31" s="3" t="s">
        <v>1074</v>
      </c>
      <c r="E31" s="14">
        <v>45678</v>
      </c>
      <c r="F31" s="5" t="s">
        <v>6299</v>
      </c>
      <c r="G31" s="5" t="s">
        <v>1087</v>
      </c>
      <c r="H31" s="6"/>
      <c r="I31" s="6"/>
      <c r="J31" s="6"/>
      <c r="K31" s="6"/>
      <c r="L31" s="7" t="s">
        <v>6302</v>
      </c>
      <c r="M31" s="8">
        <v>22804</v>
      </c>
      <c r="N31" s="8" t="str">
        <f t="shared" si="5"/>
        <v>PEN</v>
      </c>
      <c r="O31" s="13"/>
      <c r="P31" s="13">
        <v>150</v>
      </c>
      <c r="Q31" s="3">
        <f t="shared" si="2"/>
        <v>150</v>
      </c>
      <c r="R31" s="3">
        <f t="shared" si="3"/>
        <v>0</v>
      </c>
      <c r="S31" s="3">
        <f t="shared" si="4"/>
        <v>204.7</v>
      </c>
      <c r="T31" s="24"/>
      <c r="U31" s="24"/>
      <c r="V31" s="3"/>
      <c r="W31" s="25"/>
      <c r="X31" s="25"/>
      <c r="Y31" s="25" t="str">
        <f>IFERROR(VLOOKUP(C_Ope_002[[#This Row],[NOTA 2]],Clientes_Proveedores[[Ruc / Dni]:[Razon Social]],2,0),"")</f>
        <v/>
      </c>
      <c r="Z31" s="25"/>
      <c r="AA31" s="25"/>
      <c r="AB31" s="3" t="str">
        <f>IF(C_Ope_002[[#This Row],[FECHA]]&gt;0,TEXT(C_Ope_002[[#This Row],[FECHA]],"mmmm"),0)</f>
        <v>Enero</v>
      </c>
    </row>
    <row r="32" spans="2:28" ht="24" x14ac:dyDescent="0.3">
      <c r="B32" s="2">
        <f>IF(C_Ope_002[[#This Row],[TIPO DE R.]]="R",COUNTIFS($D$4:$D31,"R")+1,"")</f>
        <v>28</v>
      </c>
      <c r="C32" s="19" t="str">
        <f t="shared" si="0"/>
        <v>C_Ope_002</v>
      </c>
      <c r="D32" s="3" t="s">
        <v>1074</v>
      </c>
      <c r="E32" s="14">
        <v>45677</v>
      </c>
      <c r="F32" s="5" t="s">
        <v>6746</v>
      </c>
      <c r="G32" s="5" t="s">
        <v>1079</v>
      </c>
      <c r="H32" s="6"/>
      <c r="I32" s="6" t="s">
        <v>14</v>
      </c>
      <c r="J32" s="6" t="s">
        <v>5242</v>
      </c>
      <c r="K32" s="6">
        <v>1934026</v>
      </c>
      <c r="L32" s="7" t="s">
        <v>6763</v>
      </c>
      <c r="M32" s="8">
        <v>22757</v>
      </c>
      <c r="N32" s="8" t="str">
        <f t="shared" si="5"/>
        <v>PEN</v>
      </c>
      <c r="O32" s="13"/>
      <c r="P32" s="13">
        <v>12</v>
      </c>
      <c r="Q32" s="3">
        <f t="shared" si="2"/>
        <v>0</v>
      </c>
      <c r="R32" s="3">
        <f t="shared" si="3"/>
        <v>12</v>
      </c>
      <c r="S32" s="3">
        <f t="shared" si="4"/>
        <v>192.7</v>
      </c>
      <c r="T32" s="24"/>
      <c r="U32" s="24"/>
      <c r="V32" s="3"/>
      <c r="W32" s="25" t="s">
        <v>6747</v>
      </c>
      <c r="X32" s="25"/>
      <c r="Y32" s="25" t="str">
        <f>IFERROR(VLOOKUP(C_Ope_002[[#This Row],[NOTA 2]],Clientes_Proveedores[[Ruc / Dni]:[Razon Social]],2,0),"")</f>
        <v/>
      </c>
      <c r="Z32" s="25"/>
      <c r="AA32" s="25"/>
      <c r="AB32" s="3" t="str">
        <f>IF(C_Ope_002[[#This Row],[FECHA]]&gt;0,TEXT(C_Ope_002[[#This Row],[FECHA]],"mmmm"),0)</f>
        <v>Enero</v>
      </c>
    </row>
    <row r="33" spans="2:28" ht="24" x14ac:dyDescent="0.3">
      <c r="B33" s="2">
        <f>IF(C_Ope_002[[#This Row],[TIPO DE R.]]="R",COUNTIFS($D$4:$D32,"R")+1,"")</f>
        <v>29</v>
      </c>
      <c r="C33" s="19" t="str">
        <f t="shared" si="0"/>
        <v>C_Ope_002</v>
      </c>
      <c r="D33" s="3" t="s">
        <v>1074</v>
      </c>
      <c r="E33" s="14">
        <v>45677</v>
      </c>
      <c r="F33" s="5" t="s">
        <v>6746</v>
      </c>
      <c r="G33" s="5" t="s">
        <v>1079</v>
      </c>
      <c r="H33" s="6"/>
      <c r="I33" s="6" t="s">
        <v>14</v>
      </c>
      <c r="J33" s="6" t="s">
        <v>5244</v>
      </c>
      <c r="K33" s="6">
        <v>1635502</v>
      </c>
      <c r="L33" s="7" t="s">
        <v>6763</v>
      </c>
      <c r="M33" s="8">
        <v>22758</v>
      </c>
      <c r="N33" s="8" t="str">
        <f t="shared" si="5"/>
        <v>PEN</v>
      </c>
      <c r="O33" s="13"/>
      <c r="P33" s="13">
        <v>12</v>
      </c>
      <c r="Q33" s="3">
        <f t="shared" si="2"/>
        <v>0</v>
      </c>
      <c r="R33" s="3">
        <f t="shared" si="3"/>
        <v>12</v>
      </c>
      <c r="S33" s="3">
        <f t="shared" si="4"/>
        <v>180.7</v>
      </c>
      <c r="T33" s="24"/>
      <c r="U33" s="24"/>
      <c r="V33" s="3"/>
      <c r="W33" s="25" t="s">
        <v>6747</v>
      </c>
      <c r="X33" s="25"/>
      <c r="Y33" s="25" t="str">
        <f>IFERROR(VLOOKUP(C_Ope_002[[#This Row],[NOTA 2]],Clientes_Proveedores[[Ruc / Dni]:[Razon Social]],2,0),"")</f>
        <v/>
      </c>
      <c r="Z33" s="25"/>
      <c r="AA33" s="25"/>
      <c r="AB33" s="3" t="str">
        <f>IF(C_Ope_002[[#This Row],[FECHA]]&gt;0,TEXT(C_Ope_002[[#This Row],[FECHA]],"mmmm"),0)</f>
        <v>Enero</v>
      </c>
    </row>
    <row r="34" spans="2:28" ht="24" x14ac:dyDescent="0.3">
      <c r="B34" s="2">
        <f>IF(C_Ope_002[[#This Row],[TIPO DE R.]]="R",COUNTIFS($D$4:$D33,"R")+1,"")</f>
        <v>30</v>
      </c>
      <c r="C34" s="19" t="str">
        <f t="shared" si="0"/>
        <v>C_Ope_002</v>
      </c>
      <c r="D34" s="3" t="s">
        <v>1074</v>
      </c>
      <c r="E34" s="14">
        <v>45678</v>
      </c>
      <c r="F34" s="5" t="s">
        <v>6746</v>
      </c>
      <c r="G34" s="5" t="s">
        <v>1079</v>
      </c>
      <c r="H34" s="6"/>
      <c r="I34" s="6" t="s">
        <v>14</v>
      </c>
      <c r="J34" s="6" t="s">
        <v>5243</v>
      </c>
      <c r="K34" s="6">
        <v>2204764</v>
      </c>
      <c r="L34" s="7" t="s">
        <v>6764</v>
      </c>
      <c r="M34" s="8">
        <v>22755</v>
      </c>
      <c r="N34" s="8" t="str">
        <f t="shared" si="5"/>
        <v>PEN</v>
      </c>
      <c r="O34" s="13"/>
      <c r="P34" s="13">
        <v>12</v>
      </c>
      <c r="Q34" s="3">
        <f t="shared" si="2"/>
        <v>0</v>
      </c>
      <c r="R34" s="3">
        <f t="shared" si="3"/>
        <v>12</v>
      </c>
      <c r="S34" s="3">
        <f t="shared" si="4"/>
        <v>168.7</v>
      </c>
      <c r="T34" s="24"/>
      <c r="U34" s="24"/>
      <c r="V34" s="3"/>
      <c r="W34" s="25" t="s">
        <v>6747</v>
      </c>
      <c r="X34" s="25"/>
      <c r="Y34" s="25" t="str">
        <f>IFERROR(VLOOKUP(C_Ope_002[[#This Row],[NOTA 2]],Clientes_Proveedores[[Ruc / Dni]:[Razon Social]],2,0),"")</f>
        <v/>
      </c>
      <c r="Z34" s="25"/>
      <c r="AA34" s="25"/>
      <c r="AB34" s="3" t="str">
        <f>IF(C_Ope_002[[#This Row],[FECHA]]&gt;0,TEXT(C_Ope_002[[#This Row],[FECHA]],"mmmm"),0)</f>
        <v>Enero</v>
      </c>
    </row>
    <row r="35" spans="2:28" ht="24" x14ac:dyDescent="0.3">
      <c r="B35" s="2">
        <f>IF(C_Ope_002[[#This Row],[TIPO DE R.]]="R",COUNTIFS($D$4:$D34,"R")+1,"")</f>
        <v>31</v>
      </c>
      <c r="C35" s="19" t="str">
        <f t="shared" si="0"/>
        <v>C_Ope_002</v>
      </c>
      <c r="D35" s="3" t="s">
        <v>1074</v>
      </c>
      <c r="E35" s="14">
        <v>45678</v>
      </c>
      <c r="F35" s="5" t="s">
        <v>6746</v>
      </c>
      <c r="G35" s="5" t="s">
        <v>1079</v>
      </c>
      <c r="H35" s="6"/>
      <c r="I35" s="6" t="s">
        <v>14</v>
      </c>
      <c r="J35" s="6" t="s">
        <v>5245</v>
      </c>
      <c r="K35" s="6">
        <v>1655450</v>
      </c>
      <c r="L35" s="7" t="s">
        <v>6764</v>
      </c>
      <c r="M35" s="8">
        <v>22756</v>
      </c>
      <c r="N35" s="8" t="str">
        <f t="shared" si="5"/>
        <v>PEN</v>
      </c>
      <c r="O35" s="13"/>
      <c r="P35" s="13">
        <v>12</v>
      </c>
      <c r="Q35" s="3">
        <f t="shared" si="2"/>
        <v>0</v>
      </c>
      <c r="R35" s="3">
        <f t="shared" si="3"/>
        <v>12</v>
      </c>
      <c r="S35" s="3">
        <f t="shared" si="4"/>
        <v>156.69999999999999</v>
      </c>
      <c r="T35" s="24"/>
      <c r="U35" s="24"/>
      <c r="V35" s="3"/>
      <c r="W35" s="25" t="s">
        <v>6747</v>
      </c>
      <c r="X35" s="25"/>
      <c r="Y35" s="25" t="str">
        <f>IFERROR(VLOOKUP(C_Ope_002[[#This Row],[NOTA 2]],Clientes_Proveedores[[Ruc / Dni]:[Razon Social]],2,0),"")</f>
        <v/>
      </c>
      <c r="Z35" s="25"/>
      <c r="AA35" s="25"/>
      <c r="AB35" s="3" t="str">
        <f>IF(C_Ope_002[[#This Row],[FECHA]]&gt;0,TEXT(C_Ope_002[[#This Row],[FECHA]],"mmmm"),0)</f>
        <v>Enero</v>
      </c>
    </row>
    <row r="36" spans="2:28" x14ac:dyDescent="0.3">
      <c r="B36" s="2">
        <f>IF(C_Ope_002[[#This Row],[TIPO DE R.]]="R",COUNTIFS($D$4:$D35,"R")+1,"")</f>
        <v>32</v>
      </c>
      <c r="C36" s="19" t="str">
        <f t="shared" si="0"/>
        <v>C_Ope_002</v>
      </c>
      <c r="D36" s="3" t="s">
        <v>1074</v>
      </c>
      <c r="E36" s="14">
        <v>45677</v>
      </c>
      <c r="F36" s="5" t="s">
        <v>6746</v>
      </c>
      <c r="G36" s="5" t="s">
        <v>1079</v>
      </c>
      <c r="H36" s="6"/>
      <c r="I36" s="6" t="s">
        <v>14</v>
      </c>
      <c r="J36" s="6" t="s">
        <v>1429</v>
      </c>
      <c r="K36" s="6">
        <v>15875</v>
      </c>
      <c r="L36" s="7" t="s">
        <v>6765</v>
      </c>
      <c r="M36" s="8">
        <v>22759</v>
      </c>
      <c r="N36" s="8" t="str">
        <f t="shared" si="5"/>
        <v>PEN</v>
      </c>
      <c r="O36" s="13"/>
      <c r="P36" s="13">
        <v>18</v>
      </c>
      <c r="Q36" s="3">
        <f t="shared" si="2"/>
        <v>0</v>
      </c>
      <c r="R36" s="3">
        <f t="shared" si="3"/>
        <v>18</v>
      </c>
      <c r="S36" s="3">
        <f t="shared" si="4"/>
        <v>138.69999999999999</v>
      </c>
      <c r="T36" s="24"/>
      <c r="U36" s="24"/>
      <c r="V36" s="3"/>
      <c r="W36" s="25" t="s">
        <v>6747</v>
      </c>
      <c r="X36" s="25"/>
      <c r="Y36" s="25" t="str">
        <f>IFERROR(VLOOKUP(C_Ope_002[[#This Row],[NOTA 2]],Clientes_Proveedores[[Ruc / Dni]:[Razon Social]],2,0),"")</f>
        <v/>
      </c>
      <c r="Z36" s="25"/>
      <c r="AA36" s="25"/>
      <c r="AB36" s="3" t="str">
        <f>IF(C_Ope_002[[#This Row],[FECHA]]&gt;0,TEXT(C_Ope_002[[#This Row],[FECHA]],"mmmm"),0)</f>
        <v>Enero</v>
      </c>
    </row>
    <row r="37" spans="2:28" x14ac:dyDescent="0.3">
      <c r="B37" s="2">
        <f>IF(C_Ope_002[[#This Row],[TIPO DE R.]]="R",COUNTIFS($D$4:$D36,"R")+1,"")</f>
        <v>33</v>
      </c>
      <c r="C37" s="19" t="str">
        <f t="shared" si="0"/>
        <v>C_Ope_002</v>
      </c>
      <c r="D37" s="3" t="s">
        <v>1074</v>
      </c>
      <c r="E37" s="14">
        <v>45679</v>
      </c>
      <c r="F37" s="5" t="s">
        <v>6746</v>
      </c>
      <c r="G37" s="5" t="s">
        <v>1079</v>
      </c>
      <c r="H37" s="6"/>
      <c r="I37" s="6" t="s">
        <v>14</v>
      </c>
      <c r="J37" s="6" t="s">
        <v>1148</v>
      </c>
      <c r="K37" s="6">
        <v>127296</v>
      </c>
      <c r="L37" s="7" t="s">
        <v>6766</v>
      </c>
      <c r="M37" s="8">
        <v>22764</v>
      </c>
      <c r="N37" s="8" t="str">
        <f t="shared" si="5"/>
        <v>PEN</v>
      </c>
      <c r="O37" s="13"/>
      <c r="P37" s="13">
        <v>10</v>
      </c>
      <c r="Q37" s="3">
        <f t="shared" si="2"/>
        <v>0</v>
      </c>
      <c r="R37" s="3">
        <f t="shared" si="3"/>
        <v>10</v>
      </c>
      <c r="S37" s="3">
        <f t="shared" si="4"/>
        <v>128.69999999999999</v>
      </c>
      <c r="T37" s="24"/>
      <c r="U37" s="24"/>
      <c r="V37" s="3"/>
      <c r="W37" s="25" t="s">
        <v>6747</v>
      </c>
      <c r="X37" s="25"/>
      <c r="Y37" s="25" t="str">
        <f>IFERROR(VLOOKUP(C_Ope_002[[#This Row],[NOTA 2]],Clientes_Proveedores[[Ruc / Dni]:[Razon Social]],2,0),"")</f>
        <v/>
      </c>
      <c r="Z37" s="25"/>
      <c r="AA37" s="25"/>
      <c r="AB37" s="3" t="str">
        <f>IF(C_Ope_002[[#This Row],[FECHA]]&gt;0,TEXT(C_Ope_002[[#This Row],[FECHA]],"mmmm"),0)</f>
        <v>Enero</v>
      </c>
    </row>
    <row r="38" spans="2:28" x14ac:dyDescent="0.3">
      <c r="B38" s="2">
        <f>IF(C_Ope_002[[#This Row],[TIPO DE R.]]="R",COUNTIFS($D$4:$D37,"R")+1,"")</f>
        <v>34</v>
      </c>
      <c r="C38" s="19" t="str">
        <f t="shared" si="0"/>
        <v>C_Ope_002</v>
      </c>
      <c r="D38" s="3" t="s">
        <v>1074</v>
      </c>
      <c r="E38" s="14">
        <v>45680</v>
      </c>
      <c r="F38" s="5" t="s">
        <v>6746</v>
      </c>
      <c r="G38" s="5" t="s">
        <v>1079</v>
      </c>
      <c r="H38" s="6"/>
      <c r="I38" s="6" t="s">
        <v>14</v>
      </c>
      <c r="J38" s="6" t="s">
        <v>1148</v>
      </c>
      <c r="K38" s="6">
        <v>127342</v>
      </c>
      <c r="L38" s="7" t="s">
        <v>6767</v>
      </c>
      <c r="M38" s="8">
        <v>22784</v>
      </c>
      <c r="N38" s="8" t="str">
        <f t="shared" si="5"/>
        <v>PEN</v>
      </c>
      <c r="O38" s="13"/>
      <c r="P38" s="13">
        <v>10</v>
      </c>
      <c r="Q38" s="3">
        <f t="shared" si="2"/>
        <v>0</v>
      </c>
      <c r="R38" s="3">
        <f t="shared" si="3"/>
        <v>10</v>
      </c>
      <c r="S38" s="3">
        <f t="shared" si="4"/>
        <v>118.69999999999999</v>
      </c>
      <c r="T38" s="24"/>
      <c r="U38" s="24"/>
      <c r="V38" s="3"/>
      <c r="W38" s="25" t="s">
        <v>6747</v>
      </c>
      <c r="X38" s="25"/>
      <c r="Y38" s="25" t="str">
        <f>IFERROR(VLOOKUP(C_Ope_002[[#This Row],[NOTA 2]],Clientes_Proveedores[[Ruc / Dni]:[Razon Social]],2,0),"")</f>
        <v/>
      </c>
      <c r="Z38" s="25"/>
      <c r="AA38" s="25"/>
      <c r="AB38" s="3" t="str">
        <f>IF(C_Ope_002[[#This Row],[FECHA]]&gt;0,TEXT(C_Ope_002[[#This Row],[FECHA]],"mmmm"),0)</f>
        <v>Enero</v>
      </c>
    </row>
    <row r="39" spans="2:28" x14ac:dyDescent="0.3">
      <c r="B39" s="2">
        <f>IF(C_Ope_002[[#This Row],[TIPO DE R.]]="R",COUNTIFS($D$4:$D38,"R")+1,"")</f>
        <v>35</v>
      </c>
      <c r="C39" s="19" t="str">
        <f t="shared" si="0"/>
        <v>C_Ope_002</v>
      </c>
      <c r="D39" s="3" t="s">
        <v>1074</v>
      </c>
      <c r="E39" s="14">
        <v>45680</v>
      </c>
      <c r="F39" s="5" t="s">
        <v>6746</v>
      </c>
      <c r="G39" s="5" t="s">
        <v>1079</v>
      </c>
      <c r="H39" s="6"/>
      <c r="I39" s="6" t="s">
        <v>14</v>
      </c>
      <c r="J39" s="6" t="s">
        <v>1148</v>
      </c>
      <c r="K39" s="6">
        <v>127344</v>
      </c>
      <c r="L39" s="7" t="s">
        <v>6768</v>
      </c>
      <c r="M39" s="8">
        <v>22785</v>
      </c>
      <c r="N39" s="8" t="str">
        <f t="shared" si="5"/>
        <v>PEN</v>
      </c>
      <c r="O39" s="13"/>
      <c r="P39" s="13">
        <v>10</v>
      </c>
      <c r="Q39" s="3">
        <f t="shared" si="2"/>
        <v>0</v>
      </c>
      <c r="R39" s="3">
        <f t="shared" si="3"/>
        <v>10</v>
      </c>
      <c r="S39" s="3">
        <f t="shared" si="4"/>
        <v>108.69999999999999</v>
      </c>
      <c r="T39" s="24"/>
      <c r="U39" s="24"/>
      <c r="V39" s="3"/>
      <c r="W39" s="25" t="s">
        <v>6747</v>
      </c>
      <c r="X39" s="25"/>
      <c r="Y39" s="25" t="str">
        <f>IFERROR(VLOOKUP(C_Ope_002[[#This Row],[NOTA 2]],Clientes_Proveedores[[Ruc / Dni]:[Razon Social]],2,0),"")</f>
        <v/>
      </c>
      <c r="Z39" s="25"/>
      <c r="AA39" s="25"/>
      <c r="AB39" s="3" t="str">
        <f>IF(C_Ope_002[[#This Row],[FECHA]]&gt;0,TEXT(C_Ope_002[[#This Row],[FECHA]],"mmmm"),0)</f>
        <v>Enero</v>
      </c>
    </row>
    <row r="40" spans="2:28" ht="24" x14ac:dyDescent="0.3">
      <c r="B40" s="2">
        <f>IF(C_Ope_002[[#This Row],[TIPO DE R.]]="R",COUNTIFS($D$4:$D39,"R")+1,"")</f>
        <v>36</v>
      </c>
      <c r="C40" s="19" t="str">
        <f t="shared" si="0"/>
        <v>C_Ope_002</v>
      </c>
      <c r="D40" s="3" t="s">
        <v>1074</v>
      </c>
      <c r="E40" s="14">
        <v>45681</v>
      </c>
      <c r="F40" s="5" t="s">
        <v>6746</v>
      </c>
      <c r="G40" s="5" t="s">
        <v>1079</v>
      </c>
      <c r="H40" s="6"/>
      <c r="I40" s="6" t="s">
        <v>14</v>
      </c>
      <c r="J40" s="6" t="s">
        <v>6561</v>
      </c>
      <c r="K40" s="6">
        <v>5032</v>
      </c>
      <c r="L40" s="7" t="s">
        <v>6769</v>
      </c>
      <c r="M40" s="8">
        <v>22786</v>
      </c>
      <c r="N40" s="8" t="str">
        <f t="shared" si="5"/>
        <v>PEN</v>
      </c>
      <c r="O40" s="13"/>
      <c r="P40" s="13">
        <v>10</v>
      </c>
      <c r="Q40" s="3">
        <f t="shared" si="2"/>
        <v>0</v>
      </c>
      <c r="R40" s="3">
        <f t="shared" si="3"/>
        <v>10</v>
      </c>
      <c r="S40" s="3">
        <f t="shared" si="4"/>
        <v>98.699999999999989</v>
      </c>
      <c r="T40" s="24"/>
      <c r="U40" s="24"/>
      <c r="V40" s="3"/>
      <c r="W40" s="25" t="s">
        <v>6747</v>
      </c>
      <c r="X40" s="25"/>
      <c r="Y40" s="25" t="str">
        <f>IFERROR(VLOOKUP(C_Ope_002[[#This Row],[NOTA 2]],Clientes_Proveedores[[Ruc / Dni]:[Razon Social]],2,0),"")</f>
        <v/>
      </c>
      <c r="Z40" s="25"/>
      <c r="AA40" s="25"/>
      <c r="AB40" s="3" t="str">
        <f>IF(C_Ope_002[[#This Row],[FECHA]]&gt;0,TEXT(C_Ope_002[[#This Row],[FECHA]],"mmmm"),0)</f>
        <v>Enero</v>
      </c>
    </row>
    <row r="41" spans="2:28" x14ac:dyDescent="0.3">
      <c r="B41" s="2">
        <f>IF(C_Ope_002[[#This Row],[TIPO DE R.]]="R",COUNTIFS($D$4:$D40,"R")+1,"")</f>
        <v>37</v>
      </c>
      <c r="C41" s="19" t="str">
        <f t="shared" si="0"/>
        <v>C_Ope_002</v>
      </c>
      <c r="D41" s="3" t="s">
        <v>1074</v>
      </c>
      <c r="E41" s="14">
        <v>45684</v>
      </c>
      <c r="F41" s="5" t="s">
        <v>6299</v>
      </c>
      <c r="G41" s="5" t="s">
        <v>1087</v>
      </c>
      <c r="H41" s="6"/>
      <c r="I41" s="6"/>
      <c r="J41" s="6"/>
      <c r="K41" s="6"/>
      <c r="L41" s="7" t="s">
        <v>6302</v>
      </c>
      <c r="M41" s="8">
        <v>22855</v>
      </c>
      <c r="N41" s="8" t="str">
        <f t="shared" si="5"/>
        <v>PEN</v>
      </c>
      <c r="O41" s="13"/>
      <c r="P41" s="13">
        <v>100</v>
      </c>
      <c r="Q41" s="3">
        <f t="shared" si="2"/>
        <v>100</v>
      </c>
      <c r="R41" s="3">
        <f t="shared" si="3"/>
        <v>0</v>
      </c>
      <c r="S41" s="3">
        <f t="shared" si="4"/>
        <v>198.7</v>
      </c>
      <c r="T41" s="24"/>
      <c r="U41" s="24"/>
      <c r="V41" s="3"/>
      <c r="W41" s="25"/>
      <c r="X41" s="25"/>
      <c r="Y41" s="25" t="str">
        <f>IFERROR(VLOOKUP(C_Ope_002[[#This Row],[NOTA 2]],Clientes_Proveedores[[Ruc / Dni]:[Razon Social]],2,0),"")</f>
        <v/>
      </c>
      <c r="Z41" s="25"/>
      <c r="AA41" s="25"/>
      <c r="AB41" s="3" t="str">
        <f>IF(C_Ope_002[[#This Row],[FECHA]]&gt;0,TEXT(C_Ope_002[[#This Row],[FECHA]],"mmmm"),0)</f>
        <v>Enero</v>
      </c>
    </row>
    <row r="42" spans="2:28" ht="24" x14ac:dyDescent="0.3">
      <c r="B42" s="2">
        <f>IF(C_Ope_002[[#This Row],[TIPO DE R.]]="R",COUNTIFS($D$4:$D41,"R")+1,"")</f>
        <v>38</v>
      </c>
      <c r="C42" s="19" t="str">
        <f t="shared" si="0"/>
        <v>C_Ope_002</v>
      </c>
      <c r="D42" s="3" t="s">
        <v>1074</v>
      </c>
      <c r="E42" s="14">
        <v>45684</v>
      </c>
      <c r="F42" s="5" t="s">
        <v>6746</v>
      </c>
      <c r="G42" s="5" t="s">
        <v>1079</v>
      </c>
      <c r="H42" s="6"/>
      <c r="I42" s="6" t="s">
        <v>14</v>
      </c>
      <c r="J42" s="6" t="s">
        <v>5242</v>
      </c>
      <c r="K42" s="6">
        <v>1941653</v>
      </c>
      <c r="L42" s="7" t="s">
        <v>6770</v>
      </c>
      <c r="M42" s="8">
        <v>22823</v>
      </c>
      <c r="N42" s="8" t="str">
        <f t="shared" si="5"/>
        <v>PEN</v>
      </c>
      <c r="O42" s="13"/>
      <c r="P42" s="13">
        <v>12</v>
      </c>
      <c r="Q42" s="3">
        <f t="shared" si="2"/>
        <v>0</v>
      </c>
      <c r="R42" s="3">
        <f t="shared" si="3"/>
        <v>12</v>
      </c>
      <c r="S42" s="3">
        <f t="shared" si="4"/>
        <v>186.7</v>
      </c>
      <c r="T42" s="24"/>
      <c r="U42" s="24"/>
      <c r="V42" s="3"/>
      <c r="W42" s="25" t="s">
        <v>6747</v>
      </c>
      <c r="X42" s="25"/>
      <c r="Y42" s="25" t="str">
        <f>IFERROR(VLOOKUP(C_Ope_002[[#This Row],[NOTA 2]],Clientes_Proveedores[[Ruc / Dni]:[Razon Social]],2,0),"")</f>
        <v/>
      </c>
      <c r="Z42" s="25"/>
      <c r="AA42" s="25"/>
      <c r="AB42" s="3" t="str">
        <f>IF(C_Ope_002[[#This Row],[FECHA]]&gt;0,TEXT(C_Ope_002[[#This Row],[FECHA]],"mmmm"),0)</f>
        <v>Enero</v>
      </c>
    </row>
    <row r="43" spans="2:28" ht="24" x14ac:dyDescent="0.3">
      <c r="B43" s="2">
        <f>IF(C_Ope_002[[#This Row],[TIPO DE R.]]="R",COUNTIFS($D$4:$D42,"R")+1,"")</f>
        <v>39</v>
      </c>
      <c r="C43" s="19" t="str">
        <f t="shared" si="0"/>
        <v>C_Ope_002</v>
      </c>
      <c r="D43" s="3" t="s">
        <v>1074</v>
      </c>
      <c r="E43" s="14">
        <v>45684</v>
      </c>
      <c r="F43" s="5" t="s">
        <v>6746</v>
      </c>
      <c r="G43" s="5" t="s">
        <v>1079</v>
      </c>
      <c r="H43" s="6"/>
      <c r="I43" s="6" t="s">
        <v>14</v>
      </c>
      <c r="J43" s="6" t="s">
        <v>5244</v>
      </c>
      <c r="K43" s="6">
        <v>1641612</v>
      </c>
      <c r="L43" s="7" t="s">
        <v>6770</v>
      </c>
      <c r="M43" s="8">
        <v>22824</v>
      </c>
      <c r="N43" s="8" t="str">
        <f t="shared" si="5"/>
        <v>PEN</v>
      </c>
      <c r="O43" s="13"/>
      <c r="P43" s="13">
        <v>12</v>
      </c>
      <c r="Q43" s="3">
        <f t="shared" si="2"/>
        <v>0</v>
      </c>
      <c r="R43" s="3">
        <f t="shared" si="3"/>
        <v>12</v>
      </c>
      <c r="S43" s="3">
        <f t="shared" si="4"/>
        <v>174.7</v>
      </c>
      <c r="T43" s="24"/>
      <c r="U43" s="24"/>
      <c r="V43" s="3"/>
      <c r="W43" s="25" t="s">
        <v>6747</v>
      </c>
      <c r="X43" s="25"/>
      <c r="Y43" s="25" t="str">
        <f>IFERROR(VLOOKUP(C_Ope_002[[#This Row],[NOTA 2]],Clientes_Proveedores[[Ruc / Dni]:[Razon Social]],2,0),"")</f>
        <v/>
      </c>
      <c r="Z43" s="25"/>
      <c r="AA43" s="25"/>
      <c r="AB43" s="3" t="str">
        <f>IF(C_Ope_002[[#This Row],[FECHA]]&gt;0,TEXT(C_Ope_002[[#This Row],[FECHA]],"mmmm"),0)</f>
        <v>Enero</v>
      </c>
    </row>
    <row r="44" spans="2:28" x14ac:dyDescent="0.3">
      <c r="B44" s="2">
        <f>IF(C_Ope_002[[#This Row],[TIPO DE R.]]="R",COUNTIFS($D$4:$D43,"R")+1,"")</f>
        <v>40</v>
      </c>
      <c r="C44" s="19" t="str">
        <f t="shared" si="0"/>
        <v>C_Ope_002</v>
      </c>
      <c r="D44" s="3" t="s">
        <v>1074</v>
      </c>
      <c r="E44" s="14">
        <v>45687</v>
      </c>
      <c r="F44" s="5" t="s">
        <v>6746</v>
      </c>
      <c r="G44" s="5" t="s">
        <v>1079</v>
      </c>
      <c r="H44" s="6"/>
      <c r="I44" s="6" t="s">
        <v>14</v>
      </c>
      <c r="J44" s="6" t="s">
        <v>5245</v>
      </c>
      <c r="K44" s="6">
        <v>1663490</v>
      </c>
      <c r="L44" s="7" t="s">
        <v>6771</v>
      </c>
      <c r="M44" s="8">
        <v>22844</v>
      </c>
      <c r="N44" s="8" t="str">
        <f t="shared" si="5"/>
        <v>PEN</v>
      </c>
      <c r="O44" s="13"/>
      <c r="P44" s="13">
        <v>12</v>
      </c>
      <c r="Q44" s="3">
        <f t="shared" si="2"/>
        <v>0</v>
      </c>
      <c r="R44" s="3">
        <f t="shared" si="3"/>
        <v>12</v>
      </c>
      <c r="S44" s="3">
        <f t="shared" si="4"/>
        <v>162.69999999999999</v>
      </c>
      <c r="T44" s="24"/>
      <c r="U44" s="24"/>
      <c r="V44" s="3"/>
      <c r="W44" s="25" t="s">
        <v>6747</v>
      </c>
      <c r="X44" s="25"/>
      <c r="Y44" s="25" t="str">
        <f>IFERROR(VLOOKUP(C_Ope_002[[#This Row],[NOTA 2]],Clientes_Proveedores[[Ruc / Dni]:[Razon Social]],2,0),"")</f>
        <v/>
      </c>
      <c r="Z44" s="25"/>
      <c r="AA44" s="25"/>
      <c r="AB44" s="3" t="str">
        <f>IF(C_Ope_002[[#This Row],[FECHA]]&gt;0,TEXT(C_Ope_002[[#This Row],[FECHA]],"mmmm"),0)</f>
        <v>Enero</v>
      </c>
    </row>
    <row r="45" spans="2:28" x14ac:dyDescent="0.3">
      <c r="B45" s="2">
        <f>IF(C_Ope_002[[#This Row],[TIPO DE R.]]="R",COUNTIFS($D$4:$D44,"R")+1,"")</f>
        <v>41</v>
      </c>
      <c r="C45" s="19" t="str">
        <f t="shared" si="0"/>
        <v>C_Ope_002</v>
      </c>
      <c r="D45" s="3" t="s">
        <v>1074</v>
      </c>
      <c r="E45" s="14">
        <v>45687</v>
      </c>
      <c r="F45" s="5" t="s">
        <v>6746</v>
      </c>
      <c r="G45" s="5" t="s">
        <v>1079</v>
      </c>
      <c r="H45" s="6"/>
      <c r="I45" s="6" t="s">
        <v>14</v>
      </c>
      <c r="J45" s="6" t="s">
        <v>5243</v>
      </c>
      <c r="K45" s="6">
        <v>2215328</v>
      </c>
      <c r="L45" s="7" t="s">
        <v>6771</v>
      </c>
      <c r="M45" s="8">
        <v>22845</v>
      </c>
      <c r="N45" s="8" t="str">
        <f t="shared" si="5"/>
        <v>PEN</v>
      </c>
      <c r="O45" s="13"/>
      <c r="P45" s="13">
        <v>12</v>
      </c>
      <c r="Q45" s="3">
        <f t="shared" si="2"/>
        <v>0</v>
      </c>
      <c r="R45" s="3">
        <f t="shared" si="3"/>
        <v>12</v>
      </c>
      <c r="S45" s="3">
        <f t="shared" si="4"/>
        <v>150.69999999999999</v>
      </c>
      <c r="T45" s="24"/>
      <c r="U45" s="24"/>
      <c r="V45" s="3"/>
      <c r="W45" s="25" t="s">
        <v>6747</v>
      </c>
      <c r="X45" s="25"/>
      <c r="Y45" s="25" t="str">
        <f>IFERROR(VLOOKUP(C_Ope_002[[#This Row],[NOTA 2]],Clientes_Proveedores[[Ruc / Dni]:[Razon Social]],2,0),"")</f>
        <v/>
      </c>
      <c r="Z45" s="25"/>
      <c r="AA45" s="25"/>
      <c r="AB45" s="3" t="str">
        <f>IF(C_Ope_002[[#This Row],[FECHA]]&gt;0,TEXT(C_Ope_002[[#This Row],[FECHA]],"mmmm"),0)</f>
        <v>Enero</v>
      </c>
    </row>
    <row r="46" spans="2:28" ht="24" x14ac:dyDescent="0.3">
      <c r="B46" s="2">
        <f>IF(C_Ope_002[[#This Row],[TIPO DE R.]]="R",COUNTIFS($D$4:$D45,"R")+1,"")</f>
        <v>42</v>
      </c>
      <c r="C46" s="19" t="str">
        <f t="shared" si="0"/>
        <v>C_Ope_002</v>
      </c>
      <c r="D46" s="3" t="s">
        <v>1074</v>
      </c>
      <c r="E46" s="14">
        <v>45688</v>
      </c>
      <c r="F46" s="5" t="s">
        <v>6746</v>
      </c>
      <c r="G46" s="5" t="s">
        <v>1079</v>
      </c>
      <c r="H46" s="6"/>
      <c r="I46" s="6" t="s">
        <v>14</v>
      </c>
      <c r="J46" s="6" t="s">
        <v>5243</v>
      </c>
      <c r="K46" s="6">
        <v>2216553</v>
      </c>
      <c r="L46" s="7" t="s">
        <v>6772</v>
      </c>
      <c r="M46" s="8">
        <v>22853</v>
      </c>
      <c r="N46" s="8" t="str">
        <f t="shared" si="5"/>
        <v>PEN</v>
      </c>
      <c r="O46" s="13"/>
      <c r="P46" s="13">
        <v>8</v>
      </c>
      <c r="Q46" s="3">
        <f t="shared" si="2"/>
        <v>0</v>
      </c>
      <c r="R46" s="3">
        <f t="shared" si="3"/>
        <v>8</v>
      </c>
      <c r="S46" s="3">
        <f t="shared" si="4"/>
        <v>142.69999999999999</v>
      </c>
      <c r="T46" s="24"/>
      <c r="U46" s="24"/>
      <c r="V46" s="3"/>
      <c r="W46" s="25" t="s">
        <v>6630</v>
      </c>
      <c r="X46" s="25"/>
      <c r="Y46" s="25" t="str">
        <f>IFERROR(VLOOKUP(C_Ope_002[[#This Row],[NOTA 2]],Clientes_Proveedores[[Ruc / Dni]:[Razon Social]],2,0),"")</f>
        <v/>
      </c>
      <c r="Z46" s="25"/>
      <c r="AA46" s="25"/>
      <c r="AB46" s="3" t="str">
        <f>IF(C_Ope_002[[#This Row],[FECHA]]&gt;0,TEXT(C_Ope_002[[#This Row],[FECHA]],"mmmm"),0)</f>
        <v>Enero</v>
      </c>
    </row>
    <row r="47" spans="2:28" ht="24" x14ac:dyDescent="0.3">
      <c r="B47" s="2">
        <f>IF(C_Ope_002[[#This Row],[TIPO DE R.]]="R",COUNTIFS($D$4:$D46,"R")+1,"")</f>
        <v>43</v>
      </c>
      <c r="C47" s="19" t="str">
        <f t="shared" si="0"/>
        <v>C_Ope_002</v>
      </c>
      <c r="D47" s="3" t="s">
        <v>1074</v>
      </c>
      <c r="E47" s="14">
        <v>45688</v>
      </c>
      <c r="F47" s="5" t="s">
        <v>6746</v>
      </c>
      <c r="G47" s="5" t="s">
        <v>1079</v>
      </c>
      <c r="H47" s="6"/>
      <c r="I47" s="6" t="s">
        <v>14</v>
      </c>
      <c r="J47" s="6" t="s">
        <v>5242</v>
      </c>
      <c r="K47" s="6">
        <v>1945903</v>
      </c>
      <c r="L47" s="7" t="s">
        <v>6772</v>
      </c>
      <c r="M47" s="8">
        <v>22854</v>
      </c>
      <c r="N47" s="8" t="str">
        <f t="shared" si="5"/>
        <v>PEN</v>
      </c>
      <c r="O47" s="13"/>
      <c r="P47" s="13">
        <v>8</v>
      </c>
      <c r="Q47" s="3">
        <f t="shared" si="2"/>
        <v>0</v>
      </c>
      <c r="R47" s="3">
        <f t="shared" si="3"/>
        <v>8</v>
      </c>
      <c r="S47" s="3">
        <f t="shared" si="4"/>
        <v>134.69999999999999</v>
      </c>
      <c r="T47" s="24"/>
      <c r="U47" s="24"/>
      <c r="V47" s="3"/>
      <c r="W47" s="25" t="s">
        <v>6630</v>
      </c>
      <c r="X47" s="25"/>
      <c r="Y47" s="25" t="str">
        <f>IFERROR(VLOOKUP(C_Ope_002[[#This Row],[NOTA 2]],Clientes_Proveedores[[Ruc / Dni]:[Razon Social]],2,0),"")</f>
        <v/>
      </c>
      <c r="Z47" s="25"/>
      <c r="AA47" s="25"/>
      <c r="AB47" s="3" t="str">
        <f>IF(C_Ope_002[[#This Row],[FECHA]]&gt;0,TEXT(C_Ope_002[[#This Row],[FECHA]],"mmmm"),0)</f>
        <v>Enero</v>
      </c>
    </row>
    <row r="48" spans="2:28" ht="24" x14ac:dyDescent="0.3">
      <c r="B48" s="2">
        <f>IF(C_Ope_002[[#This Row],[TIPO DE R.]]="R",COUNTIFS($D$4:$D47,"R")+1,"")</f>
        <v>44</v>
      </c>
      <c r="C48" s="19" t="str">
        <f t="shared" si="0"/>
        <v>C_Ope_002</v>
      </c>
      <c r="D48" s="3" t="s">
        <v>1074</v>
      </c>
      <c r="E48" s="14">
        <v>45684</v>
      </c>
      <c r="F48" s="5" t="s">
        <v>6746</v>
      </c>
      <c r="G48" s="5" t="s">
        <v>1079</v>
      </c>
      <c r="H48" s="6"/>
      <c r="I48" s="6" t="s">
        <v>14</v>
      </c>
      <c r="J48" s="6" t="s">
        <v>1429</v>
      </c>
      <c r="K48" s="6">
        <v>15900</v>
      </c>
      <c r="L48" s="7" t="s">
        <v>6773</v>
      </c>
      <c r="M48" s="8">
        <v>22822</v>
      </c>
      <c r="N48" s="8" t="str">
        <f t="shared" si="5"/>
        <v>PEN</v>
      </c>
      <c r="O48" s="13"/>
      <c r="P48" s="13">
        <v>24</v>
      </c>
      <c r="Q48" s="3">
        <f t="shared" si="2"/>
        <v>0</v>
      </c>
      <c r="R48" s="3">
        <f t="shared" si="3"/>
        <v>24</v>
      </c>
      <c r="S48" s="3">
        <f t="shared" si="4"/>
        <v>110.69999999999999</v>
      </c>
      <c r="T48" s="24"/>
      <c r="U48" s="24"/>
      <c r="V48" s="3"/>
      <c r="W48" s="25" t="s">
        <v>6747</v>
      </c>
      <c r="X48" s="25"/>
      <c r="Y48" s="25" t="str">
        <f>IFERROR(VLOOKUP(C_Ope_002[[#This Row],[NOTA 2]],Clientes_Proveedores[[Ruc / Dni]:[Razon Social]],2,0),"")</f>
        <v/>
      </c>
      <c r="Z48" s="25"/>
      <c r="AA48" s="25"/>
      <c r="AB48" s="3" t="str">
        <f>IF(C_Ope_002[[#This Row],[FECHA]]&gt;0,TEXT(C_Ope_002[[#This Row],[FECHA]],"mmmm"),0)</f>
        <v>Enero</v>
      </c>
    </row>
    <row r="49" spans="2:28" ht="24" x14ac:dyDescent="0.3">
      <c r="B49" s="2">
        <f>IF(C_Ope_002[[#This Row],[TIPO DE R.]]="R",COUNTIFS($D$4:$D48,"R")+1,"")</f>
        <v>45</v>
      </c>
      <c r="C49" s="19" t="str">
        <f t="shared" si="0"/>
        <v>C_Ope_002</v>
      </c>
      <c r="D49" s="3" t="s">
        <v>1074</v>
      </c>
      <c r="E49" s="14">
        <v>45685</v>
      </c>
      <c r="F49" s="5" t="s">
        <v>6746</v>
      </c>
      <c r="G49" s="5" t="s">
        <v>1079</v>
      </c>
      <c r="H49" s="6"/>
      <c r="I49" s="6" t="s">
        <v>14</v>
      </c>
      <c r="J49" s="6" t="s">
        <v>1148</v>
      </c>
      <c r="K49" s="6">
        <v>127541</v>
      </c>
      <c r="L49" s="7" t="s">
        <v>6774</v>
      </c>
      <c r="M49" s="8">
        <v>22825</v>
      </c>
      <c r="N49" s="8" t="str">
        <f t="shared" si="5"/>
        <v>PEN</v>
      </c>
      <c r="O49" s="13"/>
      <c r="P49" s="13">
        <v>10</v>
      </c>
      <c r="Q49" s="3">
        <f t="shared" si="2"/>
        <v>0</v>
      </c>
      <c r="R49" s="3">
        <f t="shared" si="3"/>
        <v>10</v>
      </c>
      <c r="S49" s="3">
        <f t="shared" si="4"/>
        <v>100.69999999999999</v>
      </c>
      <c r="T49" s="24"/>
      <c r="U49" s="24"/>
      <c r="V49" s="3"/>
      <c r="W49" s="25" t="s">
        <v>6747</v>
      </c>
      <c r="X49" s="25"/>
      <c r="Y49" s="25" t="str">
        <f>IFERROR(VLOOKUP(C_Ope_002[[#This Row],[NOTA 2]],Clientes_Proveedores[[Ruc / Dni]:[Razon Social]],2,0),"")</f>
        <v/>
      </c>
      <c r="Z49" s="25"/>
      <c r="AA49" s="25"/>
      <c r="AB49" s="3" t="str">
        <f>IF(C_Ope_002[[#This Row],[FECHA]]&gt;0,TEXT(C_Ope_002[[#This Row],[FECHA]],"mmmm"),0)</f>
        <v>Enero</v>
      </c>
    </row>
    <row r="50" spans="2:28" ht="24" x14ac:dyDescent="0.3">
      <c r="B50" s="2">
        <f>IF(C_Ope_002[[#This Row],[TIPO DE R.]]="R",COUNTIFS($D$4:$D49,"R")+1,"")</f>
        <v>46</v>
      </c>
      <c r="C50" s="19" t="str">
        <f t="shared" si="0"/>
        <v>C_Ope_002</v>
      </c>
      <c r="D50" s="3" t="s">
        <v>1074</v>
      </c>
      <c r="E50" s="14">
        <v>45685</v>
      </c>
      <c r="F50" s="5" t="s">
        <v>6746</v>
      </c>
      <c r="G50" s="5" t="s">
        <v>1079</v>
      </c>
      <c r="H50" s="6"/>
      <c r="I50" s="6" t="s">
        <v>14</v>
      </c>
      <c r="J50" s="6" t="s">
        <v>1148</v>
      </c>
      <c r="K50" s="6">
        <v>127537</v>
      </c>
      <c r="L50" s="7" t="s">
        <v>6774</v>
      </c>
      <c r="M50" s="8">
        <v>22826</v>
      </c>
      <c r="N50" s="8" t="str">
        <f t="shared" si="5"/>
        <v>PEN</v>
      </c>
      <c r="O50" s="13"/>
      <c r="P50" s="13">
        <v>10</v>
      </c>
      <c r="Q50" s="3">
        <f t="shared" si="2"/>
        <v>0</v>
      </c>
      <c r="R50" s="3">
        <f t="shared" si="3"/>
        <v>10</v>
      </c>
      <c r="S50" s="3">
        <f t="shared" si="4"/>
        <v>90.699999999999989</v>
      </c>
      <c r="T50" s="24"/>
      <c r="U50" s="24"/>
      <c r="V50" s="3"/>
      <c r="W50" s="25" t="s">
        <v>6747</v>
      </c>
      <c r="X50" s="25"/>
      <c r="Y50" s="25" t="str">
        <f>IFERROR(VLOOKUP(C_Ope_002[[#This Row],[NOTA 2]],Clientes_Proveedores[[Ruc / Dni]:[Razon Social]],2,0),"")</f>
        <v/>
      </c>
      <c r="Z50" s="25"/>
      <c r="AA50" s="25"/>
      <c r="AB50" s="3" t="str">
        <f>IF(C_Ope_002[[#This Row],[FECHA]]&gt;0,TEXT(C_Ope_002[[#This Row],[FECHA]],"mmmm"),0)</f>
        <v>Enero</v>
      </c>
    </row>
    <row r="51" spans="2:28" x14ac:dyDescent="0.3">
      <c r="B51" s="2">
        <f>IF(C_Ope_002[[#This Row],[TIPO DE R.]]="R",COUNTIFS($D$4:$D50,"R")+1,"")</f>
        <v>47</v>
      </c>
      <c r="C51" s="19" t="str">
        <f t="shared" si="0"/>
        <v>C_Ope_002</v>
      </c>
      <c r="D51" s="3" t="s">
        <v>1074</v>
      </c>
      <c r="E51" s="14">
        <v>45687</v>
      </c>
      <c r="F51" s="5" t="s">
        <v>6746</v>
      </c>
      <c r="G51" s="5" t="s">
        <v>1079</v>
      </c>
      <c r="H51" s="6"/>
      <c r="I51" s="6" t="s">
        <v>14</v>
      </c>
      <c r="J51" s="6" t="s">
        <v>1429</v>
      </c>
      <c r="K51" s="6">
        <v>15914</v>
      </c>
      <c r="L51" s="7" t="s">
        <v>6775</v>
      </c>
      <c r="M51" s="8">
        <v>22843</v>
      </c>
      <c r="N51" s="8" t="str">
        <f t="shared" si="5"/>
        <v>PEN</v>
      </c>
      <c r="O51" s="13"/>
      <c r="P51" s="13">
        <v>12</v>
      </c>
      <c r="Q51" s="3">
        <f t="shared" si="2"/>
        <v>0</v>
      </c>
      <c r="R51" s="3">
        <f t="shared" si="3"/>
        <v>12</v>
      </c>
      <c r="S51" s="3">
        <f t="shared" si="4"/>
        <v>78.699999999999989</v>
      </c>
      <c r="T51" s="24"/>
      <c r="U51" s="24"/>
      <c r="V51" s="3"/>
      <c r="W51" s="25" t="s">
        <v>6747</v>
      </c>
      <c r="X51" s="25"/>
      <c r="Y51" s="25" t="str">
        <f>IFERROR(VLOOKUP(C_Ope_002[[#This Row],[NOTA 2]],Clientes_Proveedores[[Ruc / Dni]:[Razon Social]],2,0),"")</f>
        <v/>
      </c>
      <c r="Z51" s="25"/>
      <c r="AA51" s="25"/>
      <c r="AB51" s="3" t="str">
        <f>IF(C_Ope_002[[#This Row],[FECHA]]&gt;0,TEXT(C_Ope_002[[#This Row],[FECHA]],"mmmm"),0)</f>
        <v>Enero</v>
      </c>
    </row>
    <row r="52" spans="2:28" x14ac:dyDescent="0.3">
      <c r="B52" s="2">
        <f>IF(C_Ope_002[[#This Row],[TIPO DE R.]]="R",COUNTIFS($D$4:$D51,"R")+1,"")</f>
        <v>48</v>
      </c>
      <c r="C52" s="19" t="str">
        <f t="shared" si="0"/>
        <v>C_Ope_002</v>
      </c>
      <c r="D52" s="3" t="s">
        <v>1074</v>
      </c>
      <c r="E52" s="14">
        <v>45686</v>
      </c>
      <c r="F52" s="5" t="s">
        <v>6746</v>
      </c>
      <c r="G52" s="5" t="s">
        <v>1079</v>
      </c>
      <c r="H52" s="6"/>
      <c r="I52" s="6" t="s">
        <v>14</v>
      </c>
      <c r="J52" s="6" t="s">
        <v>1119</v>
      </c>
      <c r="K52" s="6">
        <v>16176</v>
      </c>
      <c r="L52" s="7" t="s">
        <v>6565</v>
      </c>
      <c r="M52" s="8">
        <v>22846</v>
      </c>
      <c r="N52" s="8" t="str">
        <f t="shared" si="5"/>
        <v>PEN</v>
      </c>
      <c r="O52" s="13"/>
      <c r="P52" s="13">
        <v>35</v>
      </c>
      <c r="Q52" s="3">
        <f t="shared" si="2"/>
        <v>0</v>
      </c>
      <c r="R52" s="3">
        <f t="shared" si="3"/>
        <v>35</v>
      </c>
      <c r="S52" s="3">
        <f t="shared" si="4"/>
        <v>43.699999999999989</v>
      </c>
      <c r="T52" s="24"/>
      <c r="U52" s="24"/>
      <c r="V52" s="3"/>
      <c r="W52" s="25" t="s">
        <v>6747</v>
      </c>
      <c r="X52" s="25"/>
      <c r="Y52" s="25" t="str">
        <f>IFERROR(VLOOKUP(C_Ope_002[[#This Row],[NOTA 2]],Clientes_Proveedores[[Ruc / Dni]:[Razon Social]],2,0),"")</f>
        <v/>
      </c>
      <c r="Z52" s="25"/>
      <c r="AA52" s="25"/>
      <c r="AB52" s="3" t="str">
        <f>IF(C_Ope_002[[#This Row],[FECHA]]&gt;0,TEXT(C_Ope_002[[#This Row],[FECHA]],"mmmm"),0)</f>
        <v>Enero</v>
      </c>
    </row>
    <row r="53" spans="2:28" x14ac:dyDescent="0.3">
      <c r="B53" s="2">
        <f>IF(C_Ope_002[[#This Row],[TIPO DE R.]]="R",COUNTIFS($D$4:$D52,"R")+1,"")</f>
        <v>49</v>
      </c>
      <c r="C53" s="19" t="str">
        <f t="shared" si="0"/>
        <v>C_Ope_002</v>
      </c>
      <c r="D53" s="3" t="s">
        <v>1074</v>
      </c>
      <c r="E53" s="14">
        <v>45691</v>
      </c>
      <c r="F53" s="5" t="s">
        <v>6299</v>
      </c>
      <c r="G53" s="5" t="s">
        <v>1087</v>
      </c>
      <c r="H53" s="6"/>
      <c r="I53" s="6"/>
      <c r="J53" s="6"/>
      <c r="K53" s="6"/>
      <c r="L53" s="7" t="s">
        <v>6302</v>
      </c>
      <c r="M53" s="8">
        <v>23007</v>
      </c>
      <c r="N53" s="8" t="str">
        <f t="shared" si="5"/>
        <v>PEN</v>
      </c>
      <c r="O53" s="13"/>
      <c r="P53" s="13">
        <v>160</v>
      </c>
      <c r="Q53" s="3">
        <f t="shared" si="2"/>
        <v>160</v>
      </c>
      <c r="R53" s="3">
        <f t="shared" si="3"/>
        <v>0</v>
      </c>
      <c r="S53" s="3">
        <f t="shared" si="4"/>
        <v>203.7</v>
      </c>
      <c r="T53" s="24"/>
      <c r="U53" s="24"/>
      <c r="V53" s="3"/>
      <c r="W53" s="25"/>
      <c r="X53" s="25"/>
      <c r="Y53" s="25" t="str">
        <f>IFERROR(VLOOKUP(C_Ope_002[[#This Row],[NOTA 2]],Clientes_Proveedores[[Ruc / Dni]:[Razon Social]],2,0),"")</f>
        <v/>
      </c>
      <c r="Z53" s="25"/>
      <c r="AA53" s="25"/>
      <c r="AB53" s="3" t="str">
        <f>IF(C_Ope_002[[#This Row],[FECHA]]&gt;0,TEXT(C_Ope_002[[#This Row],[FECHA]],"mmmm"),0)</f>
        <v>Febrero</v>
      </c>
    </row>
    <row r="54" spans="2:28" x14ac:dyDescent="0.3">
      <c r="B54" s="2">
        <f>IF(C_Ope_002[[#This Row],[TIPO DE R.]]="R",COUNTIFS($D$4:$D53,"R")+1,"")</f>
        <v>50</v>
      </c>
      <c r="C54" s="19" t="str">
        <f t="shared" si="0"/>
        <v>C_Ope_002</v>
      </c>
      <c r="D54" s="3" t="s">
        <v>1074</v>
      </c>
      <c r="E54" s="14">
        <v>45695</v>
      </c>
      <c r="F54" s="5"/>
      <c r="G54" s="5" t="s">
        <v>1087</v>
      </c>
      <c r="H54" s="6"/>
      <c r="I54" s="6"/>
      <c r="J54" s="6"/>
      <c r="K54" s="6"/>
      <c r="L54" s="7" t="s">
        <v>6302</v>
      </c>
      <c r="M54" s="8">
        <v>23092</v>
      </c>
      <c r="N54" s="8" t="str">
        <f t="shared" si="5"/>
        <v>PEN</v>
      </c>
      <c r="O54" s="13"/>
      <c r="P54" s="13">
        <v>400</v>
      </c>
      <c r="Q54" s="3">
        <f t="shared" si="2"/>
        <v>400</v>
      </c>
      <c r="R54" s="3">
        <f t="shared" si="3"/>
        <v>0</v>
      </c>
      <c r="S54" s="3">
        <f t="shared" si="4"/>
        <v>603.70000000000005</v>
      </c>
      <c r="T54" s="24"/>
      <c r="U54" s="24"/>
      <c r="V54" s="3"/>
      <c r="W54" s="25"/>
      <c r="X54" s="25"/>
      <c r="Y54" s="25" t="str">
        <f>IFERROR(VLOOKUP(C_Ope_002[[#This Row],[NOTA 2]],Clientes_Proveedores[[Ruc / Dni]:[Razon Social]],2,0),"")</f>
        <v/>
      </c>
      <c r="Z54" s="25"/>
      <c r="AA54" s="25"/>
      <c r="AB54" s="3" t="str">
        <f>IF(C_Ope_002[[#This Row],[FECHA]]&gt;0,TEXT(C_Ope_002[[#This Row],[FECHA]],"mmmm"),0)</f>
        <v>Febrero</v>
      </c>
    </row>
    <row r="55" spans="2:28" ht="24" x14ac:dyDescent="0.3">
      <c r="B55" s="2">
        <f>IF(C_Ope_002[[#This Row],[TIPO DE R.]]="R",COUNTIFS($D$4:$D54,"R")+1,"")</f>
        <v>51</v>
      </c>
      <c r="C55" s="19" t="str">
        <f t="shared" si="0"/>
        <v>C_Ope_002</v>
      </c>
      <c r="D55" s="3" t="s">
        <v>1074</v>
      </c>
      <c r="E55" s="14">
        <v>45691</v>
      </c>
      <c r="F55" s="5" t="s">
        <v>6746</v>
      </c>
      <c r="G55" s="5" t="s">
        <v>1079</v>
      </c>
      <c r="H55" s="6"/>
      <c r="I55" s="6" t="s">
        <v>14</v>
      </c>
      <c r="J55" s="6" t="s">
        <v>5245</v>
      </c>
      <c r="K55" s="6">
        <v>1666687</v>
      </c>
      <c r="L55" s="7" t="s">
        <v>6776</v>
      </c>
      <c r="M55" s="8">
        <v>22924</v>
      </c>
      <c r="N55" s="8" t="str">
        <f t="shared" si="5"/>
        <v>PEN</v>
      </c>
      <c r="O55" s="13"/>
      <c r="P55" s="13">
        <v>8</v>
      </c>
      <c r="Q55" s="3">
        <f t="shared" si="2"/>
        <v>0</v>
      </c>
      <c r="R55" s="3">
        <f t="shared" si="3"/>
        <v>8</v>
      </c>
      <c r="S55" s="3">
        <f t="shared" si="4"/>
        <v>595.70000000000005</v>
      </c>
      <c r="T55" s="24"/>
      <c r="U55" s="24"/>
      <c r="V55" s="3"/>
      <c r="W55" s="25" t="s">
        <v>6630</v>
      </c>
      <c r="X55" s="25"/>
      <c r="Y55" s="25" t="str">
        <f>IFERROR(VLOOKUP(C_Ope_002[[#This Row],[NOTA 2]],Clientes_Proveedores[[Ruc / Dni]:[Razon Social]],2,0),"")</f>
        <v/>
      </c>
      <c r="Z55" s="25"/>
      <c r="AA55" s="25"/>
      <c r="AB55" s="3" t="str">
        <f>IF(C_Ope_002[[#This Row],[FECHA]]&gt;0,TEXT(C_Ope_002[[#This Row],[FECHA]],"mmmm"),0)</f>
        <v>Febrero</v>
      </c>
    </row>
    <row r="56" spans="2:28" x14ac:dyDescent="0.3">
      <c r="B56" s="2">
        <f>IF(C_Ope_002[[#This Row],[TIPO DE R.]]="R",COUNTIFS($D$4:$D55,"R")+1,"")</f>
        <v>52</v>
      </c>
      <c r="C56" s="19" t="str">
        <f t="shared" si="0"/>
        <v>C_Ope_002</v>
      </c>
      <c r="D56" s="3" t="s">
        <v>1074</v>
      </c>
      <c r="E56" s="14">
        <v>45691</v>
      </c>
      <c r="F56" s="5" t="s">
        <v>6746</v>
      </c>
      <c r="G56" s="5" t="s">
        <v>1079</v>
      </c>
      <c r="H56" s="6"/>
      <c r="I56" s="6" t="s">
        <v>14</v>
      </c>
      <c r="J56" s="6" t="s">
        <v>6559</v>
      </c>
      <c r="K56" s="6">
        <v>366112</v>
      </c>
      <c r="L56" s="7" t="s">
        <v>6777</v>
      </c>
      <c r="M56" s="8">
        <v>22925</v>
      </c>
      <c r="N56" s="8" t="str">
        <f t="shared" si="5"/>
        <v>PEN</v>
      </c>
      <c r="O56" s="13"/>
      <c r="P56" s="13">
        <v>8</v>
      </c>
      <c r="Q56" s="3">
        <f t="shared" si="2"/>
        <v>0</v>
      </c>
      <c r="R56" s="3">
        <f t="shared" si="3"/>
        <v>8</v>
      </c>
      <c r="S56" s="3">
        <f t="shared" si="4"/>
        <v>587.70000000000005</v>
      </c>
      <c r="T56" s="24"/>
      <c r="U56" s="24"/>
      <c r="V56" s="3"/>
      <c r="W56" s="25" t="s">
        <v>6630</v>
      </c>
      <c r="X56" s="25"/>
      <c r="Y56" s="25" t="str">
        <f>IFERROR(VLOOKUP(C_Ope_002[[#This Row],[NOTA 2]],Clientes_Proveedores[[Ruc / Dni]:[Razon Social]],2,0),"")</f>
        <v/>
      </c>
      <c r="Z56" s="25"/>
      <c r="AA56" s="25"/>
      <c r="AB56" s="3" t="str">
        <f>IF(C_Ope_002[[#This Row],[FECHA]]&gt;0,TEXT(C_Ope_002[[#This Row],[FECHA]],"mmmm"),0)</f>
        <v>Febrero</v>
      </c>
    </row>
    <row r="57" spans="2:28" x14ac:dyDescent="0.3">
      <c r="B57" s="2">
        <f>IF(C_Ope_002[[#This Row],[TIPO DE R.]]="R",COUNTIFS($D$4:$D56,"R")+1,"")</f>
        <v>53</v>
      </c>
      <c r="C57" s="19" t="str">
        <f t="shared" si="0"/>
        <v>C_Ope_002</v>
      </c>
      <c r="D57" s="3" t="s">
        <v>1074</v>
      </c>
      <c r="E57" s="14">
        <v>45691</v>
      </c>
      <c r="F57" s="5" t="s">
        <v>6746</v>
      </c>
      <c r="G57" s="5" t="s">
        <v>1079</v>
      </c>
      <c r="H57" s="6"/>
      <c r="I57" s="6" t="s">
        <v>14</v>
      </c>
      <c r="J57" s="6" t="s">
        <v>6556</v>
      </c>
      <c r="K57" s="6">
        <v>449734</v>
      </c>
      <c r="L57" s="7" t="s">
        <v>6777</v>
      </c>
      <c r="M57" s="8">
        <v>22926</v>
      </c>
      <c r="N57" s="8" t="str">
        <f t="shared" si="5"/>
        <v>PEN</v>
      </c>
      <c r="O57" s="13"/>
      <c r="P57" s="13">
        <v>8</v>
      </c>
      <c r="Q57" s="3">
        <f t="shared" si="2"/>
        <v>0</v>
      </c>
      <c r="R57" s="3">
        <f t="shared" si="3"/>
        <v>8</v>
      </c>
      <c r="S57" s="3">
        <f t="shared" si="4"/>
        <v>579.70000000000005</v>
      </c>
      <c r="T57" s="24"/>
      <c r="U57" s="24"/>
      <c r="V57" s="3"/>
      <c r="W57" s="25" t="s">
        <v>6630</v>
      </c>
      <c r="X57" s="25"/>
      <c r="Y57" s="25" t="str">
        <f>IFERROR(VLOOKUP(C_Ope_002[[#This Row],[NOTA 2]],Clientes_Proveedores[[Ruc / Dni]:[Razon Social]],2,0),"")</f>
        <v/>
      </c>
      <c r="Z57" s="25"/>
      <c r="AA57" s="25"/>
      <c r="AB57" s="3" t="str">
        <f>IF(C_Ope_002[[#This Row],[FECHA]]&gt;0,TEXT(C_Ope_002[[#This Row],[FECHA]],"mmmm"),0)</f>
        <v>Febrero</v>
      </c>
    </row>
    <row r="58" spans="2:28" ht="24" x14ac:dyDescent="0.3">
      <c r="B58" s="2">
        <f>IF(C_Ope_002[[#This Row],[TIPO DE R.]]="R",COUNTIFS($D$4:$D57,"R")+1,"")</f>
        <v>54</v>
      </c>
      <c r="C58" s="19" t="str">
        <f t="shared" si="0"/>
        <v>C_Ope_002</v>
      </c>
      <c r="D58" s="3" t="s">
        <v>1074</v>
      </c>
      <c r="E58" s="14">
        <v>45691</v>
      </c>
      <c r="F58" s="5" t="s">
        <v>6746</v>
      </c>
      <c r="G58" s="5" t="s">
        <v>1079</v>
      </c>
      <c r="H58" s="6"/>
      <c r="I58" s="6" t="s">
        <v>14</v>
      </c>
      <c r="J58" s="6" t="s">
        <v>5243</v>
      </c>
      <c r="K58" s="6">
        <v>2219665</v>
      </c>
      <c r="L58" s="7" t="s">
        <v>6776</v>
      </c>
      <c r="M58" s="8">
        <v>22927</v>
      </c>
      <c r="N58" s="8" t="str">
        <f t="shared" si="5"/>
        <v>PEN</v>
      </c>
      <c r="O58" s="13"/>
      <c r="P58" s="13">
        <v>8</v>
      </c>
      <c r="Q58" s="3">
        <f t="shared" si="2"/>
        <v>0</v>
      </c>
      <c r="R58" s="3">
        <f t="shared" si="3"/>
        <v>8</v>
      </c>
      <c r="S58" s="3">
        <f t="shared" si="4"/>
        <v>571.70000000000005</v>
      </c>
      <c r="T58" s="24"/>
      <c r="U58" s="24"/>
      <c r="V58" s="3"/>
      <c r="W58" s="25" t="s">
        <v>6630</v>
      </c>
      <c r="X58" s="25"/>
      <c r="Y58" s="25" t="str">
        <f>IFERROR(VLOOKUP(C_Ope_002[[#This Row],[NOTA 2]],Clientes_Proveedores[[Ruc / Dni]:[Razon Social]],2,0),"")</f>
        <v/>
      </c>
      <c r="Z58" s="25"/>
      <c r="AA58" s="25"/>
      <c r="AB58" s="3" t="str">
        <f>IF(C_Ope_002[[#This Row],[FECHA]]&gt;0,TEXT(C_Ope_002[[#This Row],[FECHA]],"mmmm"),0)</f>
        <v>Febrero</v>
      </c>
    </row>
    <row r="59" spans="2:28" ht="24" x14ac:dyDescent="0.3">
      <c r="B59" s="2">
        <f>IF(C_Ope_002[[#This Row],[TIPO DE R.]]="R",COUNTIFS($D$4:$D58,"R")+1,"")</f>
        <v>55</v>
      </c>
      <c r="C59" s="19" t="str">
        <f t="shared" si="0"/>
        <v>C_Ope_002</v>
      </c>
      <c r="D59" s="3" t="s">
        <v>1074</v>
      </c>
      <c r="E59" s="14">
        <v>45692</v>
      </c>
      <c r="F59" s="5" t="s">
        <v>6746</v>
      </c>
      <c r="G59" s="5" t="s">
        <v>1079</v>
      </c>
      <c r="H59" s="6"/>
      <c r="I59" s="6" t="s">
        <v>14</v>
      </c>
      <c r="J59" s="6" t="s">
        <v>5281</v>
      </c>
      <c r="K59" s="6">
        <v>916198</v>
      </c>
      <c r="L59" s="7" t="s">
        <v>6557</v>
      </c>
      <c r="M59" s="8">
        <v>22920</v>
      </c>
      <c r="N59" s="8" t="str">
        <f t="shared" si="5"/>
        <v>PEN</v>
      </c>
      <c r="O59" s="13"/>
      <c r="P59" s="13">
        <v>8</v>
      </c>
      <c r="Q59" s="3">
        <f t="shared" si="2"/>
        <v>0</v>
      </c>
      <c r="R59" s="3">
        <f t="shared" si="3"/>
        <v>8</v>
      </c>
      <c r="S59" s="3">
        <f t="shared" si="4"/>
        <v>563.70000000000005</v>
      </c>
      <c r="T59" s="24"/>
      <c r="U59" s="24"/>
      <c r="V59" s="3"/>
      <c r="W59" s="25" t="s">
        <v>6630</v>
      </c>
      <c r="X59" s="25"/>
      <c r="Y59" s="25" t="str">
        <f>IFERROR(VLOOKUP(C_Ope_002[[#This Row],[NOTA 2]],Clientes_Proveedores[[Ruc / Dni]:[Razon Social]],2,0),"")</f>
        <v/>
      </c>
      <c r="Z59" s="25"/>
      <c r="AA59" s="25"/>
      <c r="AB59" s="3" t="str">
        <f>IF(C_Ope_002[[#This Row],[FECHA]]&gt;0,TEXT(C_Ope_002[[#This Row],[FECHA]],"mmmm"),0)</f>
        <v>Febrero</v>
      </c>
    </row>
    <row r="60" spans="2:28" ht="36" x14ac:dyDescent="0.3">
      <c r="B60" s="2">
        <f>IF(C_Ope_002[[#This Row],[TIPO DE R.]]="R",COUNTIFS($D$4:$D59,"R")+1,"")</f>
        <v>56</v>
      </c>
      <c r="C60" s="19" t="str">
        <f t="shared" si="0"/>
        <v>C_Ope_002</v>
      </c>
      <c r="D60" s="3" t="s">
        <v>1074</v>
      </c>
      <c r="E60" s="14">
        <v>45692</v>
      </c>
      <c r="F60" s="5" t="s">
        <v>6746</v>
      </c>
      <c r="G60" s="5" t="s">
        <v>1079</v>
      </c>
      <c r="H60" s="6"/>
      <c r="I60" s="6" t="s">
        <v>14</v>
      </c>
      <c r="J60" s="6" t="s">
        <v>5244</v>
      </c>
      <c r="K60" s="6">
        <v>1648351</v>
      </c>
      <c r="L60" s="7" t="s">
        <v>6778</v>
      </c>
      <c r="M60" s="8">
        <v>22921</v>
      </c>
      <c r="N60" s="8" t="str">
        <f t="shared" si="5"/>
        <v>PEN</v>
      </c>
      <c r="O60" s="13"/>
      <c r="P60" s="13">
        <v>8</v>
      </c>
      <c r="Q60" s="3">
        <f t="shared" si="2"/>
        <v>0</v>
      </c>
      <c r="R60" s="3">
        <f t="shared" si="3"/>
        <v>8</v>
      </c>
      <c r="S60" s="3">
        <f t="shared" si="4"/>
        <v>555.70000000000005</v>
      </c>
      <c r="T60" s="24"/>
      <c r="U60" s="24"/>
      <c r="V60" s="3"/>
      <c r="W60" s="25" t="s">
        <v>6630</v>
      </c>
      <c r="X60" s="25"/>
      <c r="Y60" s="25" t="str">
        <f>IFERROR(VLOOKUP(C_Ope_002[[#This Row],[NOTA 2]],Clientes_Proveedores[[Ruc / Dni]:[Razon Social]],2,0),"")</f>
        <v/>
      </c>
      <c r="Z60" s="25"/>
      <c r="AA60" s="25"/>
      <c r="AB60" s="3" t="str">
        <f>IF(C_Ope_002[[#This Row],[FECHA]]&gt;0,TEXT(C_Ope_002[[#This Row],[FECHA]],"mmmm"),0)</f>
        <v>Febrero</v>
      </c>
    </row>
    <row r="61" spans="2:28" ht="36" x14ac:dyDescent="0.3">
      <c r="B61" s="2">
        <f>IF(C_Ope_002[[#This Row],[TIPO DE R.]]="R",COUNTIFS($D$4:$D60,"R")+1,"")</f>
        <v>57</v>
      </c>
      <c r="C61" s="19" t="str">
        <f t="shared" si="0"/>
        <v>C_Ope_002</v>
      </c>
      <c r="D61" s="3" t="s">
        <v>1074</v>
      </c>
      <c r="E61" s="14">
        <v>45692</v>
      </c>
      <c r="F61" s="5" t="s">
        <v>6746</v>
      </c>
      <c r="G61" s="5" t="s">
        <v>1079</v>
      </c>
      <c r="H61" s="6"/>
      <c r="I61" s="6" t="s">
        <v>14</v>
      </c>
      <c r="J61" s="6" t="s">
        <v>5242</v>
      </c>
      <c r="K61" s="6">
        <v>1949960</v>
      </c>
      <c r="L61" s="7" t="s">
        <v>6778</v>
      </c>
      <c r="M61" s="8">
        <v>22922</v>
      </c>
      <c r="N61" s="8" t="str">
        <f t="shared" si="5"/>
        <v>PEN</v>
      </c>
      <c r="O61" s="13"/>
      <c r="P61" s="13">
        <v>8</v>
      </c>
      <c r="Q61" s="3">
        <f t="shared" si="2"/>
        <v>0</v>
      </c>
      <c r="R61" s="3">
        <f t="shared" si="3"/>
        <v>8</v>
      </c>
      <c r="S61" s="3">
        <f t="shared" si="4"/>
        <v>547.70000000000005</v>
      </c>
      <c r="T61" s="24"/>
      <c r="U61" s="24"/>
      <c r="V61" s="3"/>
      <c r="W61" s="25" t="s">
        <v>6630</v>
      </c>
      <c r="X61" s="25"/>
      <c r="Y61" s="25" t="str">
        <f>IFERROR(VLOOKUP(C_Ope_002[[#This Row],[NOTA 2]],Clientes_Proveedores[[Ruc / Dni]:[Razon Social]],2,0),"")</f>
        <v/>
      </c>
      <c r="Z61" s="25"/>
      <c r="AA61" s="25"/>
      <c r="AB61" s="3" t="str">
        <f>IF(C_Ope_002[[#This Row],[FECHA]]&gt;0,TEXT(C_Ope_002[[#This Row],[FECHA]],"mmmm"),0)</f>
        <v>Febrero</v>
      </c>
    </row>
    <row r="62" spans="2:28" ht="24" x14ac:dyDescent="0.3">
      <c r="B62" s="2">
        <f>IF(C_Ope_002[[#This Row],[TIPO DE R.]]="R",COUNTIFS($D$4:$D61,"R")+1,"")</f>
        <v>58</v>
      </c>
      <c r="C62" s="19" t="str">
        <f t="shared" si="0"/>
        <v>C_Ope_002</v>
      </c>
      <c r="D62" s="3" t="s">
        <v>1074</v>
      </c>
      <c r="E62" s="14">
        <v>45692</v>
      </c>
      <c r="F62" s="5" t="s">
        <v>6746</v>
      </c>
      <c r="G62" s="5" t="s">
        <v>1079</v>
      </c>
      <c r="H62" s="6"/>
      <c r="I62" s="6" t="s">
        <v>14</v>
      </c>
      <c r="J62" s="6" t="s">
        <v>6559</v>
      </c>
      <c r="K62" s="6">
        <v>366302</v>
      </c>
      <c r="L62" s="7" t="s">
        <v>6557</v>
      </c>
      <c r="M62" s="8">
        <v>22923</v>
      </c>
      <c r="N62" s="8" t="str">
        <f t="shared" si="5"/>
        <v>PEN</v>
      </c>
      <c r="O62" s="13"/>
      <c r="P62" s="13">
        <v>8</v>
      </c>
      <c r="Q62" s="3">
        <f t="shared" si="2"/>
        <v>0</v>
      </c>
      <c r="R62" s="3">
        <f t="shared" si="3"/>
        <v>8</v>
      </c>
      <c r="S62" s="3">
        <f t="shared" si="4"/>
        <v>539.70000000000005</v>
      </c>
      <c r="T62" s="24"/>
      <c r="U62" s="24"/>
      <c r="V62" s="3"/>
      <c r="W62" s="25" t="s">
        <v>6630</v>
      </c>
      <c r="X62" s="25"/>
      <c r="Y62" s="25" t="str">
        <f>IFERROR(VLOOKUP(C_Ope_002[[#This Row],[NOTA 2]],Clientes_Proveedores[[Ruc / Dni]:[Razon Social]],2,0),"")</f>
        <v/>
      </c>
      <c r="Z62" s="25"/>
      <c r="AA62" s="25"/>
      <c r="AB62" s="3" t="str">
        <f>IF(C_Ope_002[[#This Row],[FECHA]]&gt;0,TEXT(C_Ope_002[[#This Row],[FECHA]],"mmmm"),0)</f>
        <v>Febrero</v>
      </c>
    </row>
    <row r="63" spans="2:28" x14ac:dyDescent="0.3">
      <c r="B63" s="2">
        <f>IF(C_Ope_002[[#This Row],[TIPO DE R.]]="R",COUNTIFS($D$4:$D62,"R")+1,"")</f>
        <v>59</v>
      </c>
      <c r="C63" s="19" t="str">
        <f t="shared" si="0"/>
        <v>C_Ope_002</v>
      </c>
      <c r="D63" s="3" t="s">
        <v>1074</v>
      </c>
      <c r="E63" s="14">
        <v>45693</v>
      </c>
      <c r="F63" s="5" t="s">
        <v>6746</v>
      </c>
      <c r="G63" s="5" t="s">
        <v>1079</v>
      </c>
      <c r="H63" s="6"/>
      <c r="I63" s="6" t="s">
        <v>14</v>
      </c>
      <c r="J63" s="6" t="s">
        <v>5281</v>
      </c>
      <c r="K63" s="6">
        <v>916731</v>
      </c>
      <c r="L63" s="7" t="s">
        <v>6779</v>
      </c>
      <c r="M63" s="8">
        <v>22914</v>
      </c>
      <c r="N63" s="8" t="str">
        <f t="shared" si="5"/>
        <v>PEN</v>
      </c>
      <c r="O63" s="13"/>
      <c r="P63" s="13">
        <v>8</v>
      </c>
      <c r="Q63" s="3">
        <f t="shared" si="2"/>
        <v>0</v>
      </c>
      <c r="R63" s="3">
        <f t="shared" si="3"/>
        <v>8</v>
      </c>
      <c r="S63" s="3">
        <f t="shared" si="4"/>
        <v>531.70000000000005</v>
      </c>
      <c r="T63" s="24"/>
      <c r="U63" s="24"/>
      <c r="V63" s="3"/>
      <c r="W63" s="25" t="s">
        <v>6630</v>
      </c>
      <c r="X63" s="25"/>
      <c r="Y63" s="25" t="str">
        <f>IFERROR(VLOOKUP(C_Ope_002[[#This Row],[NOTA 2]],Clientes_Proveedores[[Ruc / Dni]:[Razon Social]],2,0),"")</f>
        <v/>
      </c>
      <c r="Z63" s="25"/>
      <c r="AA63" s="25"/>
      <c r="AB63" s="3" t="str">
        <f>IF(C_Ope_002[[#This Row],[FECHA]]&gt;0,TEXT(C_Ope_002[[#This Row],[FECHA]],"mmmm"),0)</f>
        <v>Febrero</v>
      </c>
    </row>
    <row r="64" spans="2:28" ht="24" x14ac:dyDescent="0.3">
      <c r="B64" s="2">
        <f>IF(C_Ope_002[[#This Row],[TIPO DE R.]]="R",COUNTIFS($D$4:$D63,"R")+1,"")</f>
        <v>60</v>
      </c>
      <c r="C64" s="19" t="str">
        <f t="shared" si="0"/>
        <v>C_Ope_002</v>
      </c>
      <c r="D64" s="3" t="s">
        <v>1074</v>
      </c>
      <c r="E64" s="14">
        <v>45693</v>
      </c>
      <c r="F64" s="5" t="s">
        <v>6746</v>
      </c>
      <c r="G64" s="5" t="s">
        <v>1079</v>
      </c>
      <c r="H64" s="6"/>
      <c r="I64" s="6" t="s">
        <v>14</v>
      </c>
      <c r="J64" s="6" t="s">
        <v>5243</v>
      </c>
      <c r="K64" s="6">
        <v>2222140</v>
      </c>
      <c r="L64" s="7" t="s">
        <v>6780</v>
      </c>
      <c r="M64" s="8">
        <v>22915</v>
      </c>
      <c r="N64" s="8" t="str">
        <f t="shared" si="5"/>
        <v>PEN</v>
      </c>
      <c r="O64" s="13"/>
      <c r="P64" s="13">
        <v>8</v>
      </c>
      <c r="Q64" s="3">
        <f t="shared" si="2"/>
        <v>0</v>
      </c>
      <c r="R64" s="3">
        <f t="shared" si="3"/>
        <v>8</v>
      </c>
      <c r="S64" s="3">
        <f t="shared" si="4"/>
        <v>523.70000000000005</v>
      </c>
      <c r="T64" s="24"/>
      <c r="U64" s="24"/>
      <c r="V64" s="3"/>
      <c r="W64" s="25" t="s">
        <v>6630</v>
      </c>
      <c r="X64" s="25"/>
      <c r="Y64" s="25" t="str">
        <f>IFERROR(VLOOKUP(C_Ope_002[[#This Row],[NOTA 2]],Clientes_Proveedores[[Ruc / Dni]:[Razon Social]],2,0),"")</f>
        <v/>
      </c>
      <c r="Z64" s="25"/>
      <c r="AA64" s="25"/>
      <c r="AB64" s="3" t="str">
        <f>IF(C_Ope_002[[#This Row],[FECHA]]&gt;0,TEXT(C_Ope_002[[#This Row],[FECHA]],"mmmm"),0)</f>
        <v>Febrero</v>
      </c>
    </row>
    <row r="65" spans="2:28" ht="24" x14ac:dyDescent="0.3">
      <c r="B65" s="2">
        <f>IF(C_Ope_002[[#This Row],[TIPO DE R.]]="R",COUNTIFS($D$4:$D64,"R")+1,"")</f>
        <v>61</v>
      </c>
      <c r="C65" s="19" t="str">
        <f t="shared" si="0"/>
        <v>C_Ope_002</v>
      </c>
      <c r="D65" s="3" t="s">
        <v>1074</v>
      </c>
      <c r="E65" s="14">
        <v>45693</v>
      </c>
      <c r="F65" s="5" t="s">
        <v>6746</v>
      </c>
      <c r="G65" s="5" t="s">
        <v>1079</v>
      </c>
      <c r="H65" s="6"/>
      <c r="I65" s="6" t="s">
        <v>14</v>
      </c>
      <c r="J65" s="6" t="s">
        <v>5245</v>
      </c>
      <c r="K65" s="6">
        <v>1668330</v>
      </c>
      <c r="L65" s="7" t="s">
        <v>6780</v>
      </c>
      <c r="M65" s="8">
        <v>22916</v>
      </c>
      <c r="N65" s="8" t="str">
        <f t="shared" si="5"/>
        <v>PEN</v>
      </c>
      <c r="O65" s="13"/>
      <c r="P65" s="13">
        <v>8</v>
      </c>
      <c r="Q65" s="3">
        <f t="shared" si="2"/>
        <v>0</v>
      </c>
      <c r="R65" s="3">
        <f t="shared" si="3"/>
        <v>8</v>
      </c>
      <c r="S65" s="3">
        <f t="shared" si="4"/>
        <v>515.70000000000005</v>
      </c>
      <c r="T65" s="24"/>
      <c r="U65" s="24"/>
      <c r="V65" s="3"/>
      <c r="W65" s="25" t="s">
        <v>6630</v>
      </c>
      <c r="X65" s="25"/>
      <c r="Y65" s="25" t="str">
        <f>IFERROR(VLOOKUP(C_Ope_002[[#This Row],[NOTA 2]],Clientes_Proveedores[[Ruc / Dni]:[Razon Social]],2,0),"")</f>
        <v/>
      </c>
      <c r="Z65" s="25"/>
      <c r="AA65" s="25"/>
      <c r="AB65" s="3" t="str">
        <f>IF(C_Ope_002[[#This Row],[FECHA]]&gt;0,TEXT(C_Ope_002[[#This Row],[FECHA]],"mmmm"),0)</f>
        <v>Febrero</v>
      </c>
    </row>
    <row r="66" spans="2:28" x14ac:dyDescent="0.3">
      <c r="B66" s="2">
        <f>IF(C_Ope_002[[#This Row],[TIPO DE R.]]="R",COUNTIFS($D$4:$D65,"R")+1,"")</f>
        <v>62</v>
      </c>
      <c r="C66" s="19" t="str">
        <f t="shared" si="0"/>
        <v>C_Ope_002</v>
      </c>
      <c r="D66" s="3" t="s">
        <v>1074</v>
      </c>
      <c r="E66" s="14">
        <v>45693</v>
      </c>
      <c r="F66" s="5" t="s">
        <v>6746</v>
      </c>
      <c r="G66" s="5" t="s">
        <v>1079</v>
      </c>
      <c r="H66" s="6"/>
      <c r="I66" s="6" t="s">
        <v>14</v>
      </c>
      <c r="J66" s="6" t="s">
        <v>5280</v>
      </c>
      <c r="K66" s="6">
        <v>997809</v>
      </c>
      <c r="L66" s="7" t="s">
        <v>6779</v>
      </c>
      <c r="M66" s="8">
        <v>22917</v>
      </c>
      <c r="N66" s="8" t="str">
        <f t="shared" si="5"/>
        <v>PEN</v>
      </c>
      <c r="O66" s="13"/>
      <c r="P66" s="13">
        <v>8</v>
      </c>
      <c r="Q66" s="3">
        <f t="shared" si="2"/>
        <v>0</v>
      </c>
      <c r="R66" s="3">
        <f t="shared" si="3"/>
        <v>8</v>
      </c>
      <c r="S66" s="3">
        <f t="shared" si="4"/>
        <v>507.70000000000005</v>
      </c>
      <c r="T66" s="24"/>
      <c r="U66" s="24"/>
      <c r="V66" s="3"/>
      <c r="W66" s="25" t="s">
        <v>6630</v>
      </c>
      <c r="X66" s="25"/>
      <c r="Y66" s="25" t="str">
        <f>IFERROR(VLOOKUP(C_Ope_002[[#This Row],[NOTA 2]],Clientes_Proveedores[[Ruc / Dni]:[Razon Social]],2,0),"")</f>
        <v/>
      </c>
      <c r="Z66" s="25"/>
      <c r="AA66" s="25"/>
      <c r="AB66" s="3" t="str">
        <f>IF(C_Ope_002[[#This Row],[FECHA]]&gt;0,TEXT(C_Ope_002[[#This Row],[FECHA]],"mmmm"),0)</f>
        <v>Febrero</v>
      </c>
    </row>
    <row r="67" spans="2:28" ht="24" x14ac:dyDescent="0.3">
      <c r="B67" s="2">
        <f>IF(C_Ope_002[[#This Row],[TIPO DE R.]]="R",COUNTIFS($D$4:$D66,"R")+1,"")</f>
        <v>63</v>
      </c>
      <c r="C67" s="19" t="str">
        <f t="shared" si="0"/>
        <v>C_Ope_002</v>
      </c>
      <c r="D67" s="3" t="s">
        <v>1074</v>
      </c>
      <c r="E67" s="14">
        <v>45694</v>
      </c>
      <c r="F67" s="5" t="s">
        <v>6746</v>
      </c>
      <c r="G67" s="5" t="s">
        <v>1079</v>
      </c>
      <c r="H67" s="6"/>
      <c r="I67" s="6" t="s">
        <v>14</v>
      </c>
      <c r="J67" s="6" t="s">
        <v>5242</v>
      </c>
      <c r="K67" s="6">
        <v>1952125</v>
      </c>
      <c r="L67" s="7" t="s">
        <v>6781</v>
      </c>
      <c r="M67" s="8">
        <v>22910</v>
      </c>
      <c r="N67" s="8" t="str">
        <f t="shared" si="5"/>
        <v>PEN</v>
      </c>
      <c r="O67" s="13"/>
      <c r="P67" s="13">
        <v>8</v>
      </c>
      <c r="Q67" s="3">
        <f t="shared" si="2"/>
        <v>0</v>
      </c>
      <c r="R67" s="3">
        <f t="shared" si="3"/>
        <v>8</v>
      </c>
      <c r="S67" s="3">
        <f t="shared" si="4"/>
        <v>499.70000000000005</v>
      </c>
      <c r="T67" s="24"/>
      <c r="U67" s="24"/>
      <c r="V67" s="3"/>
      <c r="W67" s="25" t="s">
        <v>6630</v>
      </c>
      <c r="X67" s="25"/>
      <c r="Y67" s="25" t="str">
        <f>IFERROR(VLOOKUP(C_Ope_002[[#This Row],[NOTA 2]],Clientes_Proveedores[[Ruc / Dni]:[Razon Social]],2,0),"")</f>
        <v/>
      </c>
      <c r="Z67" s="25"/>
      <c r="AA67" s="25"/>
      <c r="AB67" s="3" t="str">
        <f>IF(C_Ope_002[[#This Row],[FECHA]]&gt;0,TEXT(C_Ope_002[[#This Row],[FECHA]],"mmmm"),0)</f>
        <v>Febrero</v>
      </c>
    </row>
    <row r="68" spans="2:28" ht="24" x14ac:dyDescent="0.3">
      <c r="B68" s="2">
        <f>IF(C_Ope_002[[#This Row],[TIPO DE R.]]="R",COUNTIFS($D$4:$D67,"R")+1,"")</f>
        <v>64</v>
      </c>
      <c r="C68" s="19" t="str">
        <f t="shared" si="0"/>
        <v>C_Ope_002</v>
      </c>
      <c r="D68" s="3" t="s">
        <v>1074</v>
      </c>
      <c r="E68" s="14">
        <v>45694</v>
      </c>
      <c r="F68" s="5" t="s">
        <v>6746</v>
      </c>
      <c r="G68" s="5" t="s">
        <v>1079</v>
      </c>
      <c r="H68" s="6"/>
      <c r="I68" s="6" t="s">
        <v>14</v>
      </c>
      <c r="J68" s="6" t="s">
        <v>5244</v>
      </c>
      <c r="K68" s="6">
        <v>1650575</v>
      </c>
      <c r="L68" s="7" t="s">
        <v>6781</v>
      </c>
      <c r="M68" s="8">
        <v>22911</v>
      </c>
      <c r="N68" s="8" t="str">
        <f t="shared" si="5"/>
        <v>PEN</v>
      </c>
      <c r="O68" s="13"/>
      <c r="P68" s="13">
        <v>8</v>
      </c>
      <c r="Q68" s="3">
        <f t="shared" si="2"/>
        <v>0</v>
      </c>
      <c r="R68" s="3">
        <f t="shared" si="3"/>
        <v>8</v>
      </c>
      <c r="S68" s="3">
        <f t="shared" si="4"/>
        <v>491.70000000000005</v>
      </c>
      <c r="T68" s="24"/>
      <c r="U68" s="24"/>
      <c r="V68" s="3"/>
      <c r="W68" s="25" t="s">
        <v>6630</v>
      </c>
      <c r="X68" s="25"/>
      <c r="Y68" s="25" t="str">
        <f>IFERROR(VLOOKUP(C_Ope_002[[#This Row],[NOTA 2]],Clientes_Proveedores[[Ruc / Dni]:[Razon Social]],2,0),"")</f>
        <v/>
      </c>
      <c r="Z68" s="25"/>
      <c r="AA68" s="25"/>
      <c r="AB68" s="3" t="str">
        <f>IF(C_Ope_002[[#This Row],[FECHA]]&gt;0,TEXT(C_Ope_002[[#This Row],[FECHA]],"mmmm"),0)</f>
        <v>Febrero</v>
      </c>
    </row>
    <row r="69" spans="2:28" ht="24" x14ac:dyDescent="0.3">
      <c r="B69" s="2">
        <f>IF(C_Ope_002[[#This Row],[TIPO DE R.]]="R",COUNTIFS($D$4:$D68,"R")+1,"")</f>
        <v>65</v>
      </c>
      <c r="C69" s="19" t="str">
        <f t="shared" ref="C69:C132" si="6">"C_Ope_002"</f>
        <v>C_Ope_002</v>
      </c>
      <c r="D69" s="3" t="s">
        <v>1074</v>
      </c>
      <c r="E69" s="14">
        <v>45694</v>
      </c>
      <c r="F69" s="5" t="s">
        <v>6746</v>
      </c>
      <c r="G69" s="5" t="s">
        <v>1079</v>
      </c>
      <c r="H69" s="6"/>
      <c r="I69" s="6" t="s">
        <v>14</v>
      </c>
      <c r="J69" s="6" t="s">
        <v>5245</v>
      </c>
      <c r="K69" s="6">
        <v>1668978</v>
      </c>
      <c r="L69" s="7" t="s">
        <v>6781</v>
      </c>
      <c r="M69" s="8">
        <v>22912</v>
      </c>
      <c r="N69" s="8" t="str">
        <f t="shared" si="5"/>
        <v>PEN</v>
      </c>
      <c r="O69" s="13"/>
      <c r="P69" s="13">
        <v>8</v>
      </c>
      <c r="Q69" s="3">
        <f t="shared" ref="Q69:Q132" si="7">+IF(OR($G69="SALDO",$G69="INGRESO"),$P69,0)</f>
        <v>0</v>
      </c>
      <c r="R69" s="3">
        <f t="shared" ref="R69:R132" si="8">+IF($G69="EGRESO",$P69,0)</f>
        <v>8</v>
      </c>
      <c r="S69" s="3">
        <f t="shared" ref="S69:S132" si="9">IFERROR(IF(G69="SALDO",Q69,S68+Q69-R69),0)</f>
        <v>483.70000000000005</v>
      </c>
      <c r="T69" s="24"/>
      <c r="U69" s="24"/>
      <c r="V69" s="3"/>
      <c r="W69" s="25" t="s">
        <v>6630</v>
      </c>
      <c r="X69" s="25"/>
      <c r="Y69" s="25" t="str">
        <f>IFERROR(VLOOKUP(C_Ope_002[[#This Row],[NOTA 2]],Clientes_Proveedores[[Ruc / Dni]:[Razon Social]],2,0),"")</f>
        <v/>
      </c>
      <c r="Z69" s="25"/>
      <c r="AA69" s="25"/>
      <c r="AB69" s="3" t="str">
        <f>IF(C_Ope_002[[#This Row],[FECHA]]&gt;0,TEXT(C_Ope_002[[#This Row],[FECHA]],"mmmm"),0)</f>
        <v>Febrero</v>
      </c>
    </row>
    <row r="70" spans="2:28" ht="24" x14ac:dyDescent="0.3">
      <c r="B70" s="2">
        <f>IF(C_Ope_002[[#This Row],[TIPO DE R.]]="R",COUNTIFS($D$4:$D69,"R")+1,"")</f>
        <v>66</v>
      </c>
      <c r="C70" s="19" t="str">
        <f t="shared" si="6"/>
        <v>C_Ope_002</v>
      </c>
      <c r="D70" s="3" t="s">
        <v>1074</v>
      </c>
      <c r="E70" s="14">
        <v>45694</v>
      </c>
      <c r="F70" s="5" t="s">
        <v>6746</v>
      </c>
      <c r="G70" s="5" t="s">
        <v>1079</v>
      </c>
      <c r="H70" s="6"/>
      <c r="I70" s="6" t="s">
        <v>14</v>
      </c>
      <c r="J70" s="6" t="s">
        <v>5243</v>
      </c>
      <c r="K70" s="6">
        <v>2223560</v>
      </c>
      <c r="L70" s="7" t="s">
        <v>6781</v>
      </c>
      <c r="M70" s="8">
        <v>22913</v>
      </c>
      <c r="N70" s="8" t="str">
        <f t="shared" ref="N70:N133" si="10">"PEN"</f>
        <v>PEN</v>
      </c>
      <c r="O70" s="13"/>
      <c r="P70" s="13">
        <v>8</v>
      </c>
      <c r="Q70" s="3">
        <f t="shared" si="7"/>
        <v>0</v>
      </c>
      <c r="R70" s="3">
        <f t="shared" si="8"/>
        <v>8</v>
      </c>
      <c r="S70" s="3">
        <f t="shared" si="9"/>
        <v>475.70000000000005</v>
      </c>
      <c r="T70" s="24"/>
      <c r="U70" s="24"/>
      <c r="V70" s="3"/>
      <c r="W70" s="25" t="s">
        <v>6630</v>
      </c>
      <c r="X70" s="25"/>
      <c r="Y70" s="25" t="str">
        <f>IFERROR(VLOOKUP(C_Ope_002[[#This Row],[NOTA 2]],Clientes_Proveedores[[Ruc / Dni]:[Razon Social]],2,0),"")</f>
        <v/>
      </c>
      <c r="Z70" s="25"/>
      <c r="AA70" s="25"/>
      <c r="AB70" s="3" t="str">
        <f>IF(C_Ope_002[[#This Row],[FECHA]]&gt;0,TEXT(C_Ope_002[[#This Row],[FECHA]],"mmmm"),0)</f>
        <v>Febrero</v>
      </c>
    </row>
    <row r="71" spans="2:28" ht="36" x14ac:dyDescent="0.3">
      <c r="B71" s="2">
        <f>IF(C_Ope_002[[#This Row],[TIPO DE R.]]="R",COUNTIFS($D$4:$D70,"R")+1,"")</f>
        <v>67</v>
      </c>
      <c r="C71" s="19" t="str">
        <f t="shared" si="6"/>
        <v>C_Ope_002</v>
      </c>
      <c r="D71" s="3" t="s">
        <v>1074</v>
      </c>
      <c r="E71" s="14">
        <v>45695</v>
      </c>
      <c r="F71" s="5" t="s">
        <v>6746</v>
      </c>
      <c r="G71" s="5" t="s">
        <v>1079</v>
      </c>
      <c r="H71" s="6"/>
      <c r="I71" s="6" t="s">
        <v>14</v>
      </c>
      <c r="J71" s="6" t="s">
        <v>5242</v>
      </c>
      <c r="K71" s="6">
        <v>1953428</v>
      </c>
      <c r="L71" s="7" t="s">
        <v>6782</v>
      </c>
      <c r="M71" s="8">
        <v>22982</v>
      </c>
      <c r="N71" s="8" t="str">
        <f t="shared" si="10"/>
        <v>PEN</v>
      </c>
      <c r="O71" s="13"/>
      <c r="P71" s="13">
        <v>8</v>
      </c>
      <c r="Q71" s="3">
        <f t="shared" si="7"/>
        <v>0</v>
      </c>
      <c r="R71" s="3">
        <f t="shared" si="8"/>
        <v>8</v>
      </c>
      <c r="S71" s="3">
        <f t="shared" si="9"/>
        <v>467.70000000000005</v>
      </c>
      <c r="T71" s="24"/>
      <c r="U71" s="24"/>
      <c r="V71" s="3"/>
      <c r="W71" s="25" t="s">
        <v>6630</v>
      </c>
      <c r="X71" s="25"/>
      <c r="Y71" s="25" t="str">
        <f>IFERROR(VLOOKUP(C_Ope_002[[#This Row],[NOTA 2]],Clientes_Proveedores[[Ruc / Dni]:[Razon Social]],2,0),"")</f>
        <v/>
      </c>
      <c r="Z71" s="25"/>
      <c r="AA71" s="25"/>
      <c r="AB71" s="3" t="str">
        <f>IF(C_Ope_002[[#This Row],[FECHA]]&gt;0,TEXT(C_Ope_002[[#This Row],[FECHA]],"mmmm"),0)</f>
        <v>Febrero</v>
      </c>
    </row>
    <row r="72" spans="2:28" ht="36" x14ac:dyDescent="0.3">
      <c r="B72" s="2">
        <f>IF(C_Ope_002[[#This Row],[TIPO DE R.]]="R",COUNTIFS($D$4:$D71,"R")+1,"")</f>
        <v>68</v>
      </c>
      <c r="C72" s="19" t="str">
        <f t="shared" si="6"/>
        <v>C_Ope_002</v>
      </c>
      <c r="D72" s="3" t="s">
        <v>1074</v>
      </c>
      <c r="E72" s="14">
        <v>45695</v>
      </c>
      <c r="F72" s="5" t="s">
        <v>6746</v>
      </c>
      <c r="G72" s="5" t="s">
        <v>1079</v>
      </c>
      <c r="H72" s="6"/>
      <c r="I72" s="6" t="s">
        <v>14</v>
      </c>
      <c r="J72" s="6" t="s">
        <v>5244</v>
      </c>
      <c r="K72" s="6">
        <v>1651318</v>
      </c>
      <c r="L72" s="7" t="s">
        <v>6782</v>
      </c>
      <c r="M72" s="8">
        <v>22983</v>
      </c>
      <c r="N72" s="8" t="str">
        <f t="shared" si="10"/>
        <v>PEN</v>
      </c>
      <c r="O72" s="13"/>
      <c r="P72" s="13">
        <v>8</v>
      </c>
      <c r="Q72" s="3">
        <f t="shared" si="7"/>
        <v>0</v>
      </c>
      <c r="R72" s="3">
        <f t="shared" si="8"/>
        <v>8</v>
      </c>
      <c r="S72" s="3">
        <f t="shared" si="9"/>
        <v>459.70000000000005</v>
      </c>
      <c r="T72" s="24"/>
      <c r="U72" s="24"/>
      <c r="V72" s="3"/>
      <c r="W72" s="25" t="s">
        <v>6630</v>
      </c>
      <c r="X72" s="25"/>
      <c r="Y72" s="25" t="str">
        <f>IFERROR(VLOOKUP(C_Ope_002[[#This Row],[NOTA 2]],Clientes_Proveedores[[Ruc / Dni]:[Razon Social]],2,0),"")</f>
        <v/>
      </c>
      <c r="Z72" s="25"/>
      <c r="AA72" s="25"/>
      <c r="AB72" s="3" t="str">
        <f>IF(C_Ope_002[[#This Row],[FECHA]]&gt;0,TEXT(C_Ope_002[[#This Row],[FECHA]],"mmmm"),0)</f>
        <v>Febrero</v>
      </c>
    </row>
    <row r="73" spans="2:28" x14ac:dyDescent="0.3">
      <c r="B73" s="2">
        <f>IF(C_Ope_002[[#This Row],[TIPO DE R.]]="R",COUNTIFS($D$4:$D72,"R")+1,"")</f>
        <v>69</v>
      </c>
      <c r="C73" s="19" t="str">
        <f t="shared" si="6"/>
        <v>C_Ope_002</v>
      </c>
      <c r="D73" s="3" t="s">
        <v>1074</v>
      </c>
      <c r="E73" s="14">
        <v>45691</v>
      </c>
      <c r="F73" s="5" t="s">
        <v>6746</v>
      </c>
      <c r="G73" s="5" t="s">
        <v>1079</v>
      </c>
      <c r="H73" s="6"/>
      <c r="I73" s="6" t="s">
        <v>14</v>
      </c>
      <c r="J73" s="6" t="s">
        <v>1119</v>
      </c>
      <c r="K73" s="6">
        <v>16757</v>
      </c>
      <c r="L73" s="7" t="s">
        <v>6783</v>
      </c>
      <c r="M73" s="8">
        <v>22928</v>
      </c>
      <c r="N73" s="8" t="str">
        <f t="shared" si="10"/>
        <v>PEN</v>
      </c>
      <c r="O73" s="13"/>
      <c r="P73" s="13">
        <v>11</v>
      </c>
      <c r="Q73" s="3">
        <f t="shared" si="7"/>
        <v>0</v>
      </c>
      <c r="R73" s="3">
        <f t="shared" si="8"/>
        <v>11</v>
      </c>
      <c r="S73" s="3">
        <f t="shared" si="9"/>
        <v>448.70000000000005</v>
      </c>
      <c r="T73" s="24"/>
      <c r="U73" s="24"/>
      <c r="V73" s="3"/>
      <c r="W73" s="25" t="s">
        <v>6630</v>
      </c>
      <c r="X73" s="25"/>
      <c r="Y73" s="25" t="str">
        <f>IFERROR(VLOOKUP(C_Ope_002[[#This Row],[NOTA 2]],Clientes_Proveedores[[Ruc / Dni]:[Razon Social]],2,0),"")</f>
        <v/>
      </c>
      <c r="Z73" s="25"/>
      <c r="AA73" s="25"/>
      <c r="AB73" s="3" t="str">
        <f>IF(C_Ope_002[[#This Row],[FECHA]]&gt;0,TEXT(C_Ope_002[[#This Row],[FECHA]],"mmmm"),0)</f>
        <v>Febrero</v>
      </c>
    </row>
    <row r="74" spans="2:28" ht="24" x14ac:dyDescent="0.3">
      <c r="B74" s="2">
        <f>IF(C_Ope_002[[#This Row],[TIPO DE R.]]="R",COUNTIFS($D$4:$D73,"R")+1,"")</f>
        <v>70</v>
      </c>
      <c r="C74" s="19" t="str">
        <f t="shared" si="6"/>
        <v>C_Ope_002</v>
      </c>
      <c r="D74" s="3" t="s">
        <v>1074</v>
      </c>
      <c r="E74" s="14">
        <v>45692</v>
      </c>
      <c r="F74" s="5" t="s">
        <v>6746</v>
      </c>
      <c r="G74" s="5" t="s">
        <v>1079</v>
      </c>
      <c r="H74" s="6"/>
      <c r="I74" s="6" t="s">
        <v>14</v>
      </c>
      <c r="J74" s="6" t="s">
        <v>1119</v>
      </c>
      <c r="K74" s="6">
        <v>16795</v>
      </c>
      <c r="L74" s="7" t="s">
        <v>6564</v>
      </c>
      <c r="M74" s="8">
        <v>22919</v>
      </c>
      <c r="N74" s="8" t="str">
        <f t="shared" si="10"/>
        <v>PEN</v>
      </c>
      <c r="O74" s="13"/>
      <c r="P74" s="13">
        <v>11</v>
      </c>
      <c r="Q74" s="3">
        <f t="shared" si="7"/>
        <v>0</v>
      </c>
      <c r="R74" s="3">
        <f t="shared" si="8"/>
        <v>11</v>
      </c>
      <c r="S74" s="3">
        <f t="shared" si="9"/>
        <v>437.70000000000005</v>
      </c>
      <c r="T74" s="24"/>
      <c r="U74" s="24"/>
      <c r="V74" s="3"/>
      <c r="W74" s="25" t="s">
        <v>6630</v>
      </c>
      <c r="X74" s="25"/>
      <c r="Y74" s="25" t="str">
        <f>IFERROR(VLOOKUP(C_Ope_002[[#This Row],[NOTA 2]],Clientes_Proveedores[[Ruc / Dni]:[Razon Social]],2,0),"")</f>
        <v/>
      </c>
      <c r="Z74" s="25"/>
      <c r="AA74" s="25"/>
      <c r="AB74" s="3" t="str">
        <f>IF(C_Ope_002[[#This Row],[FECHA]]&gt;0,TEXT(C_Ope_002[[#This Row],[FECHA]],"mmmm"),0)</f>
        <v>Febrero</v>
      </c>
    </row>
    <row r="75" spans="2:28" x14ac:dyDescent="0.3">
      <c r="B75" s="2">
        <f>IF(C_Ope_002[[#This Row],[TIPO DE R.]]="R",COUNTIFS($D$4:$D74,"R")+1,"")</f>
        <v>71</v>
      </c>
      <c r="C75" s="19" t="str">
        <f t="shared" si="6"/>
        <v>C_Ope_002</v>
      </c>
      <c r="D75" s="3" t="s">
        <v>1074</v>
      </c>
      <c r="E75" s="14">
        <v>45693</v>
      </c>
      <c r="F75" s="5" t="s">
        <v>6746</v>
      </c>
      <c r="G75" s="5" t="s">
        <v>1079</v>
      </c>
      <c r="H75" s="6"/>
      <c r="I75" s="6" t="s">
        <v>14</v>
      </c>
      <c r="J75" s="6" t="s">
        <v>1119</v>
      </c>
      <c r="K75" s="6">
        <v>16803</v>
      </c>
      <c r="L75" s="7" t="s">
        <v>6784</v>
      </c>
      <c r="M75" s="8">
        <v>22918</v>
      </c>
      <c r="N75" s="8" t="str">
        <f t="shared" si="10"/>
        <v>PEN</v>
      </c>
      <c r="O75" s="13"/>
      <c r="P75" s="13">
        <v>11</v>
      </c>
      <c r="Q75" s="3">
        <f t="shared" si="7"/>
        <v>0</v>
      </c>
      <c r="R75" s="3">
        <f t="shared" si="8"/>
        <v>11</v>
      </c>
      <c r="S75" s="3">
        <f t="shared" si="9"/>
        <v>426.70000000000005</v>
      </c>
      <c r="T75" s="24"/>
      <c r="U75" s="24"/>
      <c r="V75" s="3"/>
      <c r="W75" s="25" t="s">
        <v>6630</v>
      </c>
      <c r="X75" s="25"/>
      <c r="Y75" s="25" t="str">
        <f>IFERROR(VLOOKUP(C_Ope_002[[#This Row],[NOTA 2]],Clientes_Proveedores[[Ruc / Dni]:[Razon Social]],2,0),"")</f>
        <v/>
      </c>
      <c r="Z75" s="25"/>
      <c r="AA75" s="25"/>
      <c r="AB75" s="3" t="str">
        <f>IF(C_Ope_002[[#This Row],[FECHA]]&gt;0,TEXT(C_Ope_002[[#This Row],[FECHA]],"mmmm"),0)</f>
        <v>Febrero</v>
      </c>
    </row>
    <row r="76" spans="2:28" ht="24" x14ac:dyDescent="0.3">
      <c r="B76" s="2">
        <f>IF(C_Ope_002[[#This Row],[TIPO DE R.]]="R",COUNTIFS($D$4:$D75,"R")+1,"")</f>
        <v>72</v>
      </c>
      <c r="C76" s="19" t="str">
        <f t="shared" si="6"/>
        <v>C_Ope_002</v>
      </c>
      <c r="D76" s="3" t="s">
        <v>1074</v>
      </c>
      <c r="E76" s="14">
        <v>45695</v>
      </c>
      <c r="F76" s="5" t="s">
        <v>6746</v>
      </c>
      <c r="G76" s="5" t="s">
        <v>1079</v>
      </c>
      <c r="H76" s="6"/>
      <c r="I76" s="6" t="s">
        <v>14</v>
      </c>
      <c r="J76" s="6" t="s">
        <v>1097</v>
      </c>
      <c r="K76" s="6">
        <v>15598</v>
      </c>
      <c r="L76" s="7" t="s">
        <v>6785</v>
      </c>
      <c r="M76" s="8">
        <v>22984</v>
      </c>
      <c r="N76" s="8" t="str">
        <f t="shared" si="10"/>
        <v>PEN</v>
      </c>
      <c r="O76" s="13"/>
      <c r="P76" s="13">
        <v>20</v>
      </c>
      <c r="Q76" s="3">
        <f t="shared" si="7"/>
        <v>0</v>
      </c>
      <c r="R76" s="3">
        <f t="shared" si="8"/>
        <v>20</v>
      </c>
      <c r="S76" s="3">
        <f t="shared" si="9"/>
        <v>406.70000000000005</v>
      </c>
      <c r="T76" s="24"/>
      <c r="U76" s="24"/>
      <c r="V76" s="3"/>
      <c r="W76" s="25" t="s">
        <v>6630</v>
      </c>
      <c r="X76" s="25"/>
      <c r="Y76" s="25" t="str">
        <f>IFERROR(VLOOKUP(C_Ope_002[[#This Row],[NOTA 2]],Clientes_Proveedores[[Ruc / Dni]:[Razon Social]],2,0),"")</f>
        <v/>
      </c>
      <c r="Z76" s="25"/>
      <c r="AA76" s="25"/>
      <c r="AB76" s="3" t="str">
        <f>IF(C_Ope_002[[#This Row],[FECHA]]&gt;0,TEXT(C_Ope_002[[#This Row],[FECHA]],"mmmm"),0)</f>
        <v>Febrero</v>
      </c>
    </row>
    <row r="77" spans="2:28" ht="24" x14ac:dyDescent="0.3">
      <c r="B77" s="2">
        <f>IF(C_Ope_002[[#This Row],[TIPO DE R.]]="R",COUNTIFS($D$4:$D76,"R")+1,"")</f>
        <v>73</v>
      </c>
      <c r="C77" s="19" t="str">
        <f t="shared" si="6"/>
        <v>C_Ope_002</v>
      </c>
      <c r="D77" s="3" t="s">
        <v>1074</v>
      </c>
      <c r="E77" s="14">
        <v>45695</v>
      </c>
      <c r="F77" s="5" t="s">
        <v>6746</v>
      </c>
      <c r="G77" s="5" t="s">
        <v>1079</v>
      </c>
      <c r="H77" s="6"/>
      <c r="I77" s="6" t="s">
        <v>14</v>
      </c>
      <c r="J77" s="6" t="s">
        <v>1097</v>
      </c>
      <c r="K77" s="6">
        <v>15599</v>
      </c>
      <c r="L77" s="7" t="s">
        <v>6785</v>
      </c>
      <c r="M77" s="8">
        <v>22985</v>
      </c>
      <c r="N77" s="8" t="str">
        <f t="shared" si="10"/>
        <v>PEN</v>
      </c>
      <c r="O77" s="13"/>
      <c r="P77" s="13">
        <v>20</v>
      </c>
      <c r="Q77" s="3">
        <f t="shared" si="7"/>
        <v>0</v>
      </c>
      <c r="R77" s="3">
        <f t="shared" si="8"/>
        <v>20</v>
      </c>
      <c r="S77" s="3">
        <f t="shared" si="9"/>
        <v>386.70000000000005</v>
      </c>
      <c r="T77" s="24"/>
      <c r="U77" s="24"/>
      <c r="V77" s="3"/>
      <c r="W77" s="25" t="s">
        <v>6630</v>
      </c>
      <c r="X77" s="25"/>
      <c r="Y77" s="25" t="str">
        <f>IFERROR(VLOOKUP(C_Ope_002[[#This Row],[NOTA 2]],Clientes_Proveedores[[Ruc / Dni]:[Razon Social]],2,0),"")</f>
        <v/>
      </c>
      <c r="Z77" s="25"/>
      <c r="AA77" s="25"/>
      <c r="AB77" s="3" t="str">
        <f>IF(C_Ope_002[[#This Row],[FECHA]]&gt;0,TEXT(C_Ope_002[[#This Row],[FECHA]],"mmmm"),0)</f>
        <v>Febrero</v>
      </c>
    </row>
    <row r="78" spans="2:28" ht="36" x14ac:dyDescent="0.3">
      <c r="B78" s="2">
        <f>IF(C_Ope_002[[#This Row],[TIPO DE R.]]="R",COUNTIFS($D$4:$D77,"R")+1,"")</f>
        <v>74</v>
      </c>
      <c r="C78" s="19" t="str">
        <f t="shared" si="6"/>
        <v>C_Ope_002</v>
      </c>
      <c r="D78" s="3" t="s">
        <v>1074</v>
      </c>
      <c r="E78" s="14">
        <v>45698</v>
      </c>
      <c r="F78" s="5" t="s">
        <v>6746</v>
      </c>
      <c r="G78" s="5" t="s">
        <v>1079</v>
      </c>
      <c r="H78" s="6"/>
      <c r="I78" s="6" t="s">
        <v>14</v>
      </c>
      <c r="J78" s="6" t="s">
        <v>5245</v>
      </c>
      <c r="K78" s="6">
        <v>1672518</v>
      </c>
      <c r="L78" s="7" t="s">
        <v>6786</v>
      </c>
      <c r="M78" s="8">
        <v>23022</v>
      </c>
      <c r="N78" s="8" t="str">
        <f t="shared" si="10"/>
        <v>PEN</v>
      </c>
      <c r="O78" s="13"/>
      <c r="P78" s="13">
        <v>8</v>
      </c>
      <c r="Q78" s="3">
        <f t="shared" si="7"/>
        <v>0</v>
      </c>
      <c r="R78" s="3">
        <f t="shared" si="8"/>
        <v>8</v>
      </c>
      <c r="S78" s="3">
        <f t="shared" si="9"/>
        <v>378.70000000000005</v>
      </c>
      <c r="T78" s="24"/>
      <c r="U78" s="24"/>
      <c r="V78" s="3"/>
      <c r="W78" s="25" t="s">
        <v>6630</v>
      </c>
      <c r="X78" s="25"/>
      <c r="Y78" s="25" t="str">
        <f>IFERROR(VLOOKUP(C_Ope_002[[#This Row],[NOTA 2]],Clientes_Proveedores[[Ruc / Dni]:[Razon Social]],2,0),"")</f>
        <v/>
      </c>
      <c r="Z78" s="25"/>
      <c r="AA78" s="25"/>
      <c r="AB78" s="3" t="str">
        <f>IF(C_Ope_002[[#This Row],[FECHA]]&gt;0,TEXT(C_Ope_002[[#This Row],[FECHA]],"mmmm"),0)</f>
        <v>Febrero</v>
      </c>
    </row>
    <row r="79" spans="2:28" ht="36" x14ac:dyDescent="0.3">
      <c r="B79" s="2">
        <f>IF(C_Ope_002[[#This Row],[TIPO DE R.]]="R",COUNTIFS($D$4:$D78,"R")+1,"")</f>
        <v>75</v>
      </c>
      <c r="C79" s="19" t="str">
        <f t="shared" si="6"/>
        <v>C_Ope_002</v>
      </c>
      <c r="D79" s="3" t="s">
        <v>1074</v>
      </c>
      <c r="E79" s="14">
        <v>45698</v>
      </c>
      <c r="F79" s="5" t="s">
        <v>6746</v>
      </c>
      <c r="G79" s="5" t="s">
        <v>1079</v>
      </c>
      <c r="H79" s="6"/>
      <c r="I79" s="6" t="s">
        <v>14</v>
      </c>
      <c r="J79" s="6" t="s">
        <v>5244</v>
      </c>
      <c r="K79" s="6">
        <v>1653353</v>
      </c>
      <c r="L79" s="7" t="s">
        <v>6786</v>
      </c>
      <c r="M79" s="8">
        <v>23023</v>
      </c>
      <c r="N79" s="8" t="str">
        <f t="shared" si="10"/>
        <v>PEN</v>
      </c>
      <c r="O79" s="13"/>
      <c r="P79" s="13">
        <v>8</v>
      </c>
      <c r="Q79" s="3">
        <f t="shared" si="7"/>
        <v>0</v>
      </c>
      <c r="R79" s="3">
        <f t="shared" si="8"/>
        <v>8</v>
      </c>
      <c r="S79" s="3">
        <f t="shared" si="9"/>
        <v>370.70000000000005</v>
      </c>
      <c r="T79" s="24"/>
      <c r="U79" s="24"/>
      <c r="V79" s="3"/>
      <c r="W79" s="25" t="s">
        <v>6630</v>
      </c>
      <c r="X79" s="25"/>
      <c r="Y79" s="25" t="str">
        <f>IFERROR(VLOOKUP(C_Ope_002[[#This Row],[NOTA 2]],Clientes_Proveedores[[Ruc / Dni]:[Razon Social]],2,0),"")</f>
        <v/>
      </c>
      <c r="Z79" s="25"/>
      <c r="AA79" s="25"/>
      <c r="AB79" s="3" t="str">
        <f>IF(C_Ope_002[[#This Row],[FECHA]]&gt;0,TEXT(C_Ope_002[[#This Row],[FECHA]],"mmmm"),0)</f>
        <v>Febrero</v>
      </c>
    </row>
    <row r="80" spans="2:28" ht="24" x14ac:dyDescent="0.3">
      <c r="B80" s="2">
        <f>IF(C_Ope_002[[#This Row],[TIPO DE R.]]="R",COUNTIFS($D$4:$D79,"R")+1,"")</f>
        <v>76</v>
      </c>
      <c r="C80" s="19" t="str">
        <f t="shared" si="6"/>
        <v>C_Ope_002</v>
      </c>
      <c r="D80" s="3" t="s">
        <v>1074</v>
      </c>
      <c r="E80" s="14">
        <v>45699</v>
      </c>
      <c r="F80" s="5" t="s">
        <v>6746</v>
      </c>
      <c r="G80" s="5" t="s">
        <v>1079</v>
      </c>
      <c r="H80" s="6"/>
      <c r="I80" s="6" t="s">
        <v>14</v>
      </c>
      <c r="J80" s="6" t="s">
        <v>5242</v>
      </c>
      <c r="K80" s="6">
        <v>1957373</v>
      </c>
      <c r="L80" s="7" t="s">
        <v>6787</v>
      </c>
      <c r="M80" s="8">
        <v>23019</v>
      </c>
      <c r="N80" s="8" t="str">
        <f t="shared" si="10"/>
        <v>PEN</v>
      </c>
      <c r="O80" s="13"/>
      <c r="P80" s="13">
        <v>8</v>
      </c>
      <c r="Q80" s="3">
        <f t="shared" si="7"/>
        <v>0</v>
      </c>
      <c r="R80" s="3">
        <f t="shared" si="8"/>
        <v>8</v>
      </c>
      <c r="S80" s="3">
        <f t="shared" si="9"/>
        <v>362.70000000000005</v>
      </c>
      <c r="T80" s="24"/>
      <c r="U80" s="24"/>
      <c r="V80" s="3"/>
      <c r="W80" s="25" t="s">
        <v>6630</v>
      </c>
      <c r="X80" s="25"/>
      <c r="Y80" s="25" t="str">
        <f>IFERROR(VLOOKUP(C_Ope_002[[#This Row],[NOTA 2]],Clientes_Proveedores[[Ruc / Dni]:[Razon Social]],2,0),"")</f>
        <v/>
      </c>
      <c r="Z80" s="25"/>
      <c r="AA80" s="25"/>
      <c r="AB80" s="3" t="str">
        <f>IF(C_Ope_002[[#This Row],[FECHA]]&gt;0,TEXT(C_Ope_002[[#This Row],[FECHA]],"mmmm"),0)</f>
        <v>Febrero</v>
      </c>
    </row>
    <row r="81" spans="2:28" ht="24" x14ac:dyDescent="0.3">
      <c r="B81" s="2">
        <f>IF(C_Ope_002[[#This Row],[TIPO DE R.]]="R",COUNTIFS($D$4:$D80,"R")+1,"")</f>
        <v>77</v>
      </c>
      <c r="C81" s="19" t="str">
        <f t="shared" si="6"/>
        <v>C_Ope_002</v>
      </c>
      <c r="D81" s="3" t="s">
        <v>1074</v>
      </c>
      <c r="E81" s="14">
        <v>45699</v>
      </c>
      <c r="F81" s="5" t="s">
        <v>6746</v>
      </c>
      <c r="G81" s="5" t="s">
        <v>1079</v>
      </c>
      <c r="H81" s="6"/>
      <c r="I81" s="6" t="s">
        <v>14</v>
      </c>
      <c r="J81" s="6" t="s">
        <v>5244</v>
      </c>
      <c r="K81" s="6">
        <v>1654161</v>
      </c>
      <c r="L81" s="7" t="s">
        <v>6787</v>
      </c>
      <c r="M81" s="8">
        <v>23020</v>
      </c>
      <c r="N81" s="8" t="str">
        <f t="shared" si="10"/>
        <v>PEN</v>
      </c>
      <c r="O81" s="13"/>
      <c r="P81" s="13">
        <v>8</v>
      </c>
      <c r="Q81" s="3">
        <f t="shared" si="7"/>
        <v>0</v>
      </c>
      <c r="R81" s="3">
        <f t="shared" si="8"/>
        <v>8</v>
      </c>
      <c r="S81" s="3">
        <f t="shared" si="9"/>
        <v>354.70000000000005</v>
      </c>
      <c r="T81" s="24"/>
      <c r="U81" s="24"/>
      <c r="V81" s="3"/>
      <c r="W81" s="25" t="s">
        <v>6630</v>
      </c>
      <c r="X81" s="25"/>
      <c r="Y81" s="25" t="str">
        <f>IFERROR(VLOOKUP(C_Ope_002[[#This Row],[NOTA 2]],Clientes_Proveedores[[Ruc / Dni]:[Razon Social]],2,0),"")</f>
        <v/>
      </c>
      <c r="Z81" s="25"/>
      <c r="AA81" s="25"/>
      <c r="AB81" s="3" t="str">
        <f>IF(C_Ope_002[[#This Row],[FECHA]]&gt;0,TEXT(C_Ope_002[[#This Row],[FECHA]],"mmmm"),0)</f>
        <v>Febrero</v>
      </c>
    </row>
    <row r="82" spans="2:28" ht="24" x14ac:dyDescent="0.3">
      <c r="B82" s="2">
        <f>IF(C_Ope_002[[#This Row],[TIPO DE R.]]="R",COUNTIFS($D$4:$D81,"R")+1,"")</f>
        <v>78</v>
      </c>
      <c r="C82" s="19" t="str">
        <f t="shared" si="6"/>
        <v>C_Ope_002</v>
      </c>
      <c r="D82" s="3" t="s">
        <v>1074</v>
      </c>
      <c r="E82" s="14">
        <v>45700</v>
      </c>
      <c r="F82" s="5" t="s">
        <v>6746</v>
      </c>
      <c r="G82" s="5" t="s">
        <v>1079</v>
      </c>
      <c r="H82" s="6"/>
      <c r="I82" s="6" t="s">
        <v>14</v>
      </c>
      <c r="J82" s="6" t="s">
        <v>5242</v>
      </c>
      <c r="K82" s="6">
        <v>1958261</v>
      </c>
      <c r="L82" s="7" t="s">
        <v>6788</v>
      </c>
      <c r="M82" s="8">
        <v>23014</v>
      </c>
      <c r="N82" s="8" t="str">
        <f t="shared" si="10"/>
        <v>PEN</v>
      </c>
      <c r="O82" s="13"/>
      <c r="P82" s="13">
        <v>8</v>
      </c>
      <c r="Q82" s="3">
        <f t="shared" si="7"/>
        <v>0</v>
      </c>
      <c r="R82" s="3">
        <f t="shared" si="8"/>
        <v>8</v>
      </c>
      <c r="S82" s="3">
        <f t="shared" si="9"/>
        <v>346.70000000000005</v>
      </c>
      <c r="T82" s="24"/>
      <c r="U82" s="24"/>
      <c r="V82" s="3"/>
      <c r="W82" s="25" t="s">
        <v>6630</v>
      </c>
      <c r="X82" s="25"/>
      <c r="Y82" s="25" t="str">
        <f>IFERROR(VLOOKUP(C_Ope_002[[#This Row],[NOTA 2]],Clientes_Proveedores[[Ruc / Dni]:[Razon Social]],2,0),"")</f>
        <v/>
      </c>
      <c r="Z82" s="25"/>
      <c r="AA82" s="25"/>
      <c r="AB82" s="3" t="str">
        <f>IF(C_Ope_002[[#This Row],[FECHA]]&gt;0,TEXT(C_Ope_002[[#This Row],[FECHA]],"mmmm"),0)</f>
        <v>Febrero</v>
      </c>
    </row>
    <row r="83" spans="2:28" ht="24" x14ac:dyDescent="0.3">
      <c r="B83" s="2">
        <f>IF(C_Ope_002[[#This Row],[TIPO DE R.]]="R",COUNTIFS($D$4:$D82,"R")+1,"")</f>
        <v>79</v>
      </c>
      <c r="C83" s="19" t="str">
        <f t="shared" si="6"/>
        <v>C_Ope_002</v>
      </c>
      <c r="D83" s="3" t="s">
        <v>1074</v>
      </c>
      <c r="E83" s="14">
        <v>45700</v>
      </c>
      <c r="F83" s="5" t="s">
        <v>6746</v>
      </c>
      <c r="G83" s="5" t="s">
        <v>1079</v>
      </c>
      <c r="H83" s="6"/>
      <c r="I83" s="6" t="s">
        <v>14</v>
      </c>
      <c r="J83" s="6" t="s">
        <v>5243</v>
      </c>
      <c r="K83" s="6">
        <v>2230246</v>
      </c>
      <c r="L83" s="7" t="s">
        <v>6788</v>
      </c>
      <c r="M83" s="8">
        <v>23015</v>
      </c>
      <c r="N83" s="8" t="str">
        <f t="shared" si="10"/>
        <v>PEN</v>
      </c>
      <c r="O83" s="13"/>
      <c r="P83" s="13">
        <v>8</v>
      </c>
      <c r="Q83" s="3">
        <f t="shared" si="7"/>
        <v>0</v>
      </c>
      <c r="R83" s="3">
        <f t="shared" si="8"/>
        <v>8</v>
      </c>
      <c r="S83" s="3">
        <f t="shared" si="9"/>
        <v>338.70000000000005</v>
      </c>
      <c r="T83" s="24"/>
      <c r="U83" s="24"/>
      <c r="V83" s="3"/>
      <c r="W83" s="25" t="s">
        <v>6630</v>
      </c>
      <c r="X83" s="25"/>
      <c r="Y83" s="25" t="str">
        <f>IFERROR(VLOOKUP(C_Ope_002[[#This Row],[NOTA 2]],Clientes_Proveedores[[Ruc / Dni]:[Razon Social]],2,0),"")</f>
        <v/>
      </c>
      <c r="Z83" s="25"/>
      <c r="AA83" s="25"/>
      <c r="AB83" s="3" t="str">
        <f>IF(C_Ope_002[[#This Row],[FECHA]]&gt;0,TEXT(C_Ope_002[[#This Row],[FECHA]],"mmmm"),0)</f>
        <v>Febrero</v>
      </c>
    </row>
    <row r="84" spans="2:28" ht="24" x14ac:dyDescent="0.3">
      <c r="B84" s="2">
        <f>IF(C_Ope_002[[#This Row],[TIPO DE R.]]="R",COUNTIFS($D$4:$D83,"R")+1,"")</f>
        <v>80</v>
      </c>
      <c r="C84" s="19" t="str">
        <f t="shared" si="6"/>
        <v>C_Ope_002</v>
      </c>
      <c r="D84" s="3" t="s">
        <v>1074</v>
      </c>
      <c r="E84" s="14">
        <v>45701</v>
      </c>
      <c r="F84" s="5" t="s">
        <v>6746</v>
      </c>
      <c r="G84" s="5" t="s">
        <v>1079</v>
      </c>
      <c r="H84" s="6"/>
      <c r="I84" s="6" t="s">
        <v>14</v>
      </c>
      <c r="J84" s="6" t="s">
        <v>5244</v>
      </c>
      <c r="K84" s="6">
        <v>1656041</v>
      </c>
      <c r="L84" s="7" t="s">
        <v>6789</v>
      </c>
      <c r="M84" s="8">
        <v>23024</v>
      </c>
      <c r="N84" s="8" t="str">
        <f t="shared" si="10"/>
        <v>PEN</v>
      </c>
      <c r="O84" s="13"/>
      <c r="P84" s="13">
        <v>8</v>
      </c>
      <c r="Q84" s="3">
        <f t="shared" si="7"/>
        <v>0</v>
      </c>
      <c r="R84" s="3">
        <f t="shared" si="8"/>
        <v>8</v>
      </c>
      <c r="S84" s="3">
        <f t="shared" si="9"/>
        <v>330.70000000000005</v>
      </c>
      <c r="T84" s="24"/>
      <c r="U84" s="24"/>
      <c r="V84" s="3"/>
      <c r="W84" s="25" t="s">
        <v>6630</v>
      </c>
      <c r="X84" s="25"/>
      <c r="Y84" s="25" t="str">
        <f>IFERROR(VLOOKUP(C_Ope_002[[#This Row],[NOTA 2]],Clientes_Proveedores[[Ruc / Dni]:[Razon Social]],2,0),"")</f>
        <v/>
      </c>
      <c r="Z84" s="25"/>
      <c r="AA84" s="25"/>
      <c r="AB84" s="3" t="str">
        <f>IF(C_Ope_002[[#This Row],[FECHA]]&gt;0,TEXT(C_Ope_002[[#This Row],[FECHA]],"mmmm"),0)</f>
        <v>Febrero</v>
      </c>
    </row>
    <row r="85" spans="2:28" ht="24" x14ac:dyDescent="0.3">
      <c r="B85" s="2">
        <f>IF(C_Ope_002[[#This Row],[TIPO DE R.]]="R",COUNTIFS($D$4:$D84,"R")+1,"")</f>
        <v>81</v>
      </c>
      <c r="C85" s="19" t="str">
        <f t="shared" si="6"/>
        <v>C_Ope_002</v>
      </c>
      <c r="D85" s="3" t="s">
        <v>1074</v>
      </c>
      <c r="E85" s="14">
        <v>45701</v>
      </c>
      <c r="F85" s="5" t="s">
        <v>6746</v>
      </c>
      <c r="G85" s="5" t="s">
        <v>1079</v>
      </c>
      <c r="H85" s="6"/>
      <c r="I85" s="6" t="s">
        <v>14</v>
      </c>
      <c r="J85" s="6" t="s">
        <v>5242</v>
      </c>
      <c r="K85" s="6">
        <v>1958954</v>
      </c>
      <c r="L85" s="7" t="s">
        <v>6789</v>
      </c>
      <c r="M85" s="8">
        <v>23025</v>
      </c>
      <c r="N85" s="8" t="str">
        <f t="shared" si="10"/>
        <v>PEN</v>
      </c>
      <c r="O85" s="13"/>
      <c r="P85" s="13">
        <v>8</v>
      </c>
      <c r="Q85" s="3">
        <f t="shared" si="7"/>
        <v>0</v>
      </c>
      <c r="R85" s="3">
        <f t="shared" si="8"/>
        <v>8</v>
      </c>
      <c r="S85" s="3">
        <f t="shared" si="9"/>
        <v>322.70000000000005</v>
      </c>
      <c r="T85" s="24"/>
      <c r="U85" s="24"/>
      <c r="V85" s="3"/>
      <c r="W85" s="25" t="s">
        <v>6630</v>
      </c>
      <c r="X85" s="25"/>
      <c r="Y85" s="25" t="str">
        <f>IFERROR(VLOOKUP(C_Ope_002[[#This Row],[NOTA 2]],Clientes_Proveedores[[Ruc / Dni]:[Razon Social]],2,0),"")</f>
        <v/>
      </c>
      <c r="Z85" s="25"/>
      <c r="AA85" s="25"/>
      <c r="AB85" s="3" t="str">
        <f>IF(C_Ope_002[[#This Row],[FECHA]]&gt;0,TEXT(C_Ope_002[[#This Row],[FECHA]],"mmmm"),0)</f>
        <v>Febrero</v>
      </c>
    </row>
    <row r="86" spans="2:28" ht="24" x14ac:dyDescent="0.3">
      <c r="B86" s="2">
        <f>IF(C_Ope_002[[#This Row],[TIPO DE R.]]="R",COUNTIFS($D$4:$D85,"R")+1,"")</f>
        <v>82</v>
      </c>
      <c r="C86" s="19" t="str">
        <f t="shared" si="6"/>
        <v>C_Ope_002</v>
      </c>
      <c r="D86" s="3" t="s">
        <v>1074</v>
      </c>
      <c r="E86" s="14">
        <v>45701</v>
      </c>
      <c r="F86" s="5" t="s">
        <v>6746</v>
      </c>
      <c r="G86" s="5" t="s">
        <v>1079</v>
      </c>
      <c r="H86" s="6"/>
      <c r="I86" s="6" t="s">
        <v>14</v>
      </c>
      <c r="J86" s="6" t="s">
        <v>5244</v>
      </c>
      <c r="K86" s="6">
        <v>1655887</v>
      </c>
      <c r="L86" s="7" t="s">
        <v>6789</v>
      </c>
      <c r="M86" s="8">
        <v>23026</v>
      </c>
      <c r="N86" s="8" t="str">
        <f t="shared" si="10"/>
        <v>PEN</v>
      </c>
      <c r="O86" s="13"/>
      <c r="P86" s="13">
        <v>8</v>
      </c>
      <c r="Q86" s="3">
        <f t="shared" si="7"/>
        <v>0</v>
      </c>
      <c r="R86" s="3">
        <f t="shared" si="8"/>
        <v>8</v>
      </c>
      <c r="S86" s="3">
        <f t="shared" si="9"/>
        <v>314.70000000000005</v>
      </c>
      <c r="T86" s="24"/>
      <c r="U86" s="24"/>
      <c r="V86" s="3"/>
      <c r="W86" s="25" t="s">
        <v>6630</v>
      </c>
      <c r="X86" s="25"/>
      <c r="Y86" s="25" t="str">
        <f>IFERROR(VLOOKUP(C_Ope_002[[#This Row],[NOTA 2]],Clientes_Proveedores[[Ruc / Dni]:[Razon Social]],2,0),"")</f>
        <v/>
      </c>
      <c r="Z86" s="25"/>
      <c r="AA86" s="25"/>
      <c r="AB86" s="3" t="str">
        <f>IF(C_Ope_002[[#This Row],[FECHA]]&gt;0,TEXT(C_Ope_002[[#This Row],[FECHA]],"mmmm"),0)</f>
        <v>Febrero</v>
      </c>
    </row>
    <row r="87" spans="2:28" ht="24" x14ac:dyDescent="0.3">
      <c r="B87" s="2">
        <f>IF(C_Ope_002[[#This Row],[TIPO DE R.]]="R",COUNTIFS($D$4:$D86,"R")+1,"")</f>
        <v>83</v>
      </c>
      <c r="C87" s="19" t="str">
        <f t="shared" si="6"/>
        <v>C_Ope_002</v>
      </c>
      <c r="D87" s="3" t="s">
        <v>1074</v>
      </c>
      <c r="E87" s="14">
        <v>45701</v>
      </c>
      <c r="F87" s="5" t="s">
        <v>6746</v>
      </c>
      <c r="G87" s="5" t="s">
        <v>1079</v>
      </c>
      <c r="H87" s="6"/>
      <c r="I87" s="6" t="s">
        <v>14</v>
      </c>
      <c r="J87" s="6" t="s">
        <v>5245</v>
      </c>
      <c r="K87" s="6">
        <v>1674849</v>
      </c>
      <c r="L87" s="7" t="s">
        <v>6789</v>
      </c>
      <c r="M87" s="8">
        <v>23066</v>
      </c>
      <c r="N87" s="8" t="str">
        <f t="shared" si="10"/>
        <v>PEN</v>
      </c>
      <c r="O87" s="13"/>
      <c r="P87" s="13">
        <v>8</v>
      </c>
      <c r="Q87" s="3">
        <f t="shared" si="7"/>
        <v>0</v>
      </c>
      <c r="R87" s="3">
        <f t="shared" si="8"/>
        <v>8</v>
      </c>
      <c r="S87" s="3">
        <f t="shared" si="9"/>
        <v>306.70000000000005</v>
      </c>
      <c r="T87" s="24"/>
      <c r="U87" s="24"/>
      <c r="V87" s="3"/>
      <c r="W87" s="25" t="s">
        <v>6630</v>
      </c>
      <c r="X87" s="25"/>
      <c r="Y87" s="25" t="str">
        <f>IFERROR(VLOOKUP(C_Ope_002[[#This Row],[NOTA 2]],Clientes_Proveedores[[Ruc / Dni]:[Razon Social]],2,0),"")</f>
        <v/>
      </c>
      <c r="Z87" s="25"/>
      <c r="AA87" s="25"/>
      <c r="AB87" s="3" t="str">
        <f>IF(C_Ope_002[[#This Row],[FECHA]]&gt;0,TEXT(C_Ope_002[[#This Row],[FECHA]],"mmmm"),0)</f>
        <v>Febrero</v>
      </c>
    </row>
    <row r="88" spans="2:28" ht="36" x14ac:dyDescent="0.3">
      <c r="B88" s="2">
        <f>IF(C_Ope_002[[#This Row],[TIPO DE R.]]="R",COUNTIFS($D$4:$D87,"R")+1,"")</f>
        <v>84</v>
      </c>
      <c r="C88" s="19" t="str">
        <f t="shared" si="6"/>
        <v>C_Ope_002</v>
      </c>
      <c r="D88" s="3" t="s">
        <v>1074</v>
      </c>
      <c r="E88" s="14">
        <v>45702</v>
      </c>
      <c r="F88" s="5" t="s">
        <v>6746</v>
      </c>
      <c r="G88" s="5" t="s">
        <v>1079</v>
      </c>
      <c r="H88" s="6"/>
      <c r="I88" s="6" t="s">
        <v>14</v>
      </c>
      <c r="J88" s="6" t="s">
        <v>5242</v>
      </c>
      <c r="K88" s="6">
        <v>1960384</v>
      </c>
      <c r="L88" s="7" t="s">
        <v>6790</v>
      </c>
      <c r="M88" s="8">
        <v>23067</v>
      </c>
      <c r="N88" s="8" t="str">
        <f t="shared" si="10"/>
        <v>PEN</v>
      </c>
      <c r="O88" s="13"/>
      <c r="P88" s="13">
        <v>8</v>
      </c>
      <c r="Q88" s="3">
        <f t="shared" si="7"/>
        <v>0</v>
      </c>
      <c r="R88" s="3">
        <f t="shared" si="8"/>
        <v>8</v>
      </c>
      <c r="S88" s="3">
        <f t="shared" si="9"/>
        <v>298.70000000000005</v>
      </c>
      <c r="T88" s="24"/>
      <c r="U88" s="24"/>
      <c r="V88" s="3"/>
      <c r="W88" s="25" t="s">
        <v>6630</v>
      </c>
      <c r="X88" s="25"/>
      <c r="Y88" s="25" t="str">
        <f>IFERROR(VLOOKUP(C_Ope_002[[#This Row],[NOTA 2]],Clientes_Proveedores[[Ruc / Dni]:[Razon Social]],2,0),"")</f>
        <v/>
      </c>
      <c r="Z88" s="25"/>
      <c r="AA88" s="25"/>
      <c r="AB88" s="3" t="str">
        <f>IF(C_Ope_002[[#This Row],[FECHA]]&gt;0,TEXT(C_Ope_002[[#This Row],[FECHA]],"mmmm"),0)</f>
        <v>Febrero</v>
      </c>
    </row>
    <row r="89" spans="2:28" ht="36" x14ac:dyDescent="0.3">
      <c r="B89" s="2">
        <f>IF(C_Ope_002[[#This Row],[TIPO DE R.]]="R",COUNTIFS($D$4:$D88,"R")+1,"")</f>
        <v>85</v>
      </c>
      <c r="C89" s="19" t="str">
        <f t="shared" si="6"/>
        <v>C_Ope_002</v>
      </c>
      <c r="D89" s="3" t="s">
        <v>1074</v>
      </c>
      <c r="E89" s="14">
        <v>45702</v>
      </c>
      <c r="F89" s="5" t="s">
        <v>6746</v>
      </c>
      <c r="G89" s="5" t="s">
        <v>1079</v>
      </c>
      <c r="H89" s="6"/>
      <c r="I89" s="6" t="s">
        <v>14</v>
      </c>
      <c r="J89" s="6" t="s">
        <v>5243</v>
      </c>
      <c r="K89" s="6">
        <v>2232571</v>
      </c>
      <c r="L89" s="7" t="s">
        <v>6790</v>
      </c>
      <c r="M89" s="8">
        <v>23068</v>
      </c>
      <c r="N89" s="8" t="str">
        <f t="shared" si="10"/>
        <v>PEN</v>
      </c>
      <c r="O89" s="13"/>
      <c r="P89" s="13">
        <v>8</v>
      </c>
      <c r="Q89" s="3">
        <f t="shared" si="7"/>
        <v>0</v>
      </c>
      <c r="R89" s="3">
        <f t="shared" si="8"/>
        <v>8</v>
      </c>
      <c r="S89" s="3">
        <f t="shared" si="9"/>
        <v>290.70000000000005</v>
      </c>
      <c r="T89" s="24"/>
      <c r="U89" s="24"/>
      <c r="V89" s="3"/>
      <c r="W89" s="25" t="s">
        <v>6630</v>
      </c>
      <c r="X89" s="25"/>
      <c r="Y89" s="25" t="str">
        <f>IFERROR(VLOOKUP(C_Ope_002[[#This Row],[NOTA 2]],Clientes_Proveedores[[Ruc / Dni]:[Razon Social]],2,0),"")</f>
        <v/>
      </c>
      <c r="Z89" s="25"/>
      <c r="AA89" s="25"/>
      <c r="AB89" s="3" t="str">
        <f>IF(C_Ope_002[[#This Row],[FECHA]]&gt;0,TEXT(C_Ope_002[[#This Row],[FECHA]],"mmmm"),0)</f>
        <v>Febrero</v>
      </c>
    </row>
    <row r="90" spans="2:28" ht="24" x14ac:dyDescent="0.3">
      <c r="B90" s="2">
        <f>IF(C_Ope_002[[#This Row],[TIPO DE R.]]="R",COUNTIFS($D$4:$D89,"R")+1,"")</f>
        <v>86</v>
      </c>
      <c r="C90" s="19" t="str">
        <f t="shared" si="6"/>
        <v>C_Ope_002</v>
      </c>
      <c r="D90" s="3" t="s">
        <v>1074</v>
      </c>
      <c r="E90" s="14">
        <v>45699</v>
      </c>
      <c r="F90" s="5" t="s">
        <v>6746</v>
      </c>
      <c r="G90" s="5" t="s">
        <v>1079</v>
      </c>
      <c r="H90" s="6"/>
      <c r="I90" s="6" t="s">
        <v>14</v>
      </c>
      <c r="J90" s="6" t="s">
        <v>1097</v>
      </c>
      <c r="K90" s="6">
        <v>15622</v>
      </c>
      <c r="L90" s="7" t="s">
        <v>6791</v>
      </c>
      <c r="M90" s="8">
        <v>23021</v>
      </c>
      <c r="N90" s="8" t="str">
        <f t="shared" si="10"/>
        <v>PEN</v>
      </c>
      <c r="O90" s="13"/>
      <c r="P90" s="13">
        <v>20</v>
      </c>
      <c r="Q90" s="3">
        <f t="shared" si="7"/>
        <v>0</v>
      </c>
      <c r="R90" s="3">
        <f t="shared" si="8"/>
        <v>20</v>
      </c>
      <c r="S90" s="3">
        <f t="shared" si="9"/>
        <v>270.70000000000005</v>
      </c>
      <c r="T90" s="24"/>
      <c r="U90" s="24"/>
      <c r="V90" s="3"/>
      <c r="W90" s="25" t="s">
        <v>6630</v>
      </c>
      <c r="X90" s="25"/>
      <c r="Y90" s="25" t="str">
        <f>IFERROR(VLOOKUP(C_Ope_002[[#This Row],[NOTA 2]],Clientes_Proveedores[[Ruc / Dni]:[Razon Social]],2,0),"")</f>
        <v/>
      </c>
      <c r="Z90" s="25"/>
      <c r="AA90" s="25"/>
      <c r="AB90" s="3" t="str">
        <f>IF(C_Ope_002[[#This Row],[FECHA]]&gt;0,TEXT(C_Ope_002[[#This Row],[FECHA]],"mmmm"),0)</f>
        <v>Febrero</v>
      </c>
    </row>
    <row r="91" spans="2:28" x14ac:dyDescent="0.3">
      <c r="B91" s="2">
        <f>IF(C_Ope_002[[#This Row],[TIPO DE R.]]="R",COUNTIFS($D$4:$D90,"R")+1,"")</f>
        <v>87</v>
      </c>
      <c r="C91" s="19" t="str">
        <f t="shared" si="6"/>
        <v>C_Ope_002</v>
      </c>
      <c r="D91" s="3" t="s">
        <v>1074</v>
      </c>
      <c r="E91" s="14">
        <v>45700</v>
      </c>
      <c r="F91" s="5" t="s">
        <v>6746</v>
      </c>
      <c r="G91" s="5" t="s">
        <v>1079</v>
      </c>
      <c r="H91" s="6"/>
      <c r="I91" s="6" t="s">
        <v>14</v>
      </c>
      <c r="J91" s="6" t="s">
        <v>1097</v>
      </c>
      <c r="K91" s="6">
        <v>15627</v>
      </c>
      <c r="L91" s="7" t="s">
        <v>6792</v>
      </c>
      <c r="M91" s="8">
        <v>23016</v>
      </c>
      <c r="N91" s="8" t="str">
        <f t="shared" si="10"/>
        <v>PEN</v>
      </c>
      <c r="O91" s="13"/>
      <c r="P91" s="13">
        <v>20</v>
      </c>
      <c r="Q91" s="3">
        <f t="shared" si="7"/>
        <v>0</v>
      </c>
      <c r="R91" s="3">
        <f t="shared" si="8"/>
        <v>20</v>
      </c>
      <c r="S91" s="3">
        <f t="shared" si="9"/>
        <v>250.70000000000005</v>
      </c>
      <c r="T91" s="24"/>
      <c r="U91" s="24"/>
      <c r="V91" s="3"/>
      <c r="W91" s="25" t="s">
        <v>6630</v>
      </c>
      <c r="X91" s="25"/>
      <c r="Y91" s="25" t="str">
        <f>IFERROR(VLOOKUP(C_Ope_002[[#This Row],[NOTA 2]],Clientes_Proveedores[[Ruc / Dni]:[Razon Social]],2,0),"")</f>
        <v/>
      </c>
      <c r="Z91" s="25"/>
      <c r="AA91" s="25"/>
      <c r="AB91" s="3" t="str">
        <f>IF(C_Ope_002[[#This Row],[FECHA]]&gt;0,TEXT(C_Ope_002[[#This Row],[FECHA]],"mmmm"),0)</f>
        <v>Febrero</v>
      </c>
    </row>
    <row r="92" spans="2:28" x14ac:dyDescent="0.3">
      <c r="B92" s="2">
        <f>IF(C_Ope_002[[#This Row],[TIPO DE R.]]="R",COUNTIFS($D$4:$D91,"R")+1,"")</f>
        <v>88</v>
      </c>
      <c r="C92" s="19" t="str">
        <f t="shared" si="6"/>
        <v>C_Ope_002</v>
      </c>
      <c r="D92" s="3" t="s">
        <v>1074</v>
      </c>
      <c r="E92" s="14">
        <v>45700</v>
      </c>
      <c r="F92" s="5" t="s">
        <v>6746</v>
      </c>
      <c r="G92" s="5" t="s">
        <v>1079</v>
      </c>
      <c r="H92" s="6"/>
      <c r="I92" s="6" t="s">
        <v>14</v>
      </c>
      <c r="J92" s="6" t="s">
        <v>1097</v>
      </c>
      <c r="K92" s="6">
        <v>15628</v>
      </c>
      <c r="L92" s="7" t="s">
        <v>6793</v>
      </c>
      <c r="M92" s="8">
        <v>23017</v>
      </c>
      <c r="N92" s="8" t="str">
        <f t="shared" si="10"/>
        <v>PEN</v>
      </c>
      <c r="O92" s="13"/>
      <c r="P92" s="13">
        <v>20</v>
      </c>
      <c r="Q92" s="3">
        <f t="shared" si="7"/>
        <v>0</v>
      </c>
      <c r="R92" s="3">
        <f t="shared" si="8"/>
        <v>20</v>
      </c>
      <c r="S92" s="3">
        <f t="shared" si="9"/>
        <v>230.70000000000005</v>
      </c>
      <c r="T92" s="24"/>
      <c r="U92" s="24"/>
      <c r="V92" s="3"/>
      <c r="W92" s="25" t="s">
        <v>6630</v>
      </c>
      <c r="X92" s="25"/>
      <c r="Y92" s="25" t="str">
        <f>IFERROR(VLOOKUP(C_Ope_002[[#This Row],[NOTA 2]],Clientes_Proveedores[[Ruc / Dni]:[Razon Social]],2,0),"")</f>
        <v/>
      </c>
      <c r="Z92" s="25"/>
      <c r="AA92" s="25"/>
      <c r="AB92" s="3" t="str">
        <f>IF(C_Ope_002[[#This Row],[FECHA]]&gt;0,TEXT(C_Ope_002[[#This Row],[FECHA]],"mmmm"),0)</f>
        <v>Febrero</v>
      </c>
    </row>
    <row r="93" spans="2:28" x14ac:dyDescent="0.3">
      <c r="B93" s="2">
        <f>IF(C_Ope_002[[#This Row],[TIPO DE R.]]="R",COUNTIFS($D$4:$D92,"R")+1,"")</f>
        <v>89</v>
      </c>
      <c r="C93" s="19" t="str">
        <f t="shared" si="6"/>
        <v>C_Ope_002</v>
      </c>
      <c r="D93" s="3" t="s">
        <v>1074</v>
      </c>
      <c r="E93" s="14">
        <v>45700</v>
      </c>
      <c r="F93" s="5" t="s">
        <v>6746</v>
      </c>
      <c r="G93" s="5" t="s">
        <v>1079</v>
      </c>
      <c r="H93" s="6"/>
      <c r="I93" s="6" t="s">
        <v>14</v>
      </c>
      <c r="J93" s="6" t="s">
        <v>1119</v>
      </c>
      <c r="K93" s="6">
        <v>16402</v>
      </c>
      <c r="L93" s="7" t="s">
        <v>6565</v>
      </c>
      <c r="M93" s="8">
        <v>23065</v>
      </c>
      <c r="N93" s="8" t="str">
        <f t="shared" si="10"/>
        <v>PEN</v>
      </c>
      <c r="O93" s="13"/>
      <c r="P93" s="13">
        <v>25</v>
      </c>
      <c r="Q93" s="3">
        <f t="shared" si="7"/>
        <v>0</v>
      </c>
      <c r="R93" s="3">
        <f t="shared" si="8"/>
        <v>25</v>
      </c>
      <c r="S93" s="3">
        <f t="shared" si="9"/>
        <v>205.70000000000005</v>
      </c>
      <c r="T93" s="24"/>
      <c r="U93" s="24"/>
      <c r="V93" s="3"/>
      <c r="W93" s="25" t="s">
        <v>6630</v>
      </c>
      <c r="X93" s="25"/>
      <c r="Y93" s="25" t="str">
        <f>IFERROR(VLOOKUP(C_Ope_002[[#This Row],[NOTA 2]],Clientes_Proveedores[[Ruc / Dni]:[Razon Social]],2,0),"")</f>
        <v/>
      </c>
      <c r="Z93" s="25"/>
      <c r="AA93" s="25"/>
      <c r="AB93" s="3" t="str">
        <f>IF(C_Ope_002[[#This Row],[FECHA]]&gt;0,TEXT(C_Ope_002[[#This Row],[FECHA]],"mmmm"),0)</f>
        <v>Febrero</v>
      </c>
    </row>
    <row r="94" spans="2:28" ht="24" x14ac:dyDescent="0.3">
      <c r="B94" s="2">
        <f>IF(C_Ope_002[[#This Row],[TIPO DE R.]]="R",COUNTIFS($D$4:$D93,"R")+1,"")</f>
        <v>90</v>
      </c>
      <c r="C94" s="19" t="str">
        <f t="shared" si="6"/>
        <v>C_Ope_002</v>
      </c>
      <c r="D94" s="3" t="s">
        <v>1074</v>
      </c>
      <c r="E94" s="14">
        <v>45705</v>
      </c>
      <c r="F94" s="5" t="s">
        <v>6746</v>
      </c>
      <c r="G94" s="5" t="s">
        <v>1079</v>
      </c>
      <c r="H94" s="6"/>
      <c r="I94" s="6" t="s">
        <v>14</v>
      </c>
      <c r="J94" s="6" t="s">
        <v>5242</v>
      </c>
      <c r="K94" s="6">
        <v>1963435</v>
      </c>
      <c r="L94" s="7" t="s">
        <v>6794</v>
      </c>
      <c r="M94" s="8">
        <v>23140</v>
      </c>
      <c r="N94" s="8" t="str">
        <f t="shared" si="10"/>
        <v>PEN</v>
      </c>
      <c r="O94" s="13"/>
      <c r="P94" s="13">
        <v>8</v>
      </c>
      <c r="Q94" s="3">
        <f t="shared" si="7"/>
        <v>0</v>
      </c>
      <c r="R94" s="3">
        <f t="shared" si="8"/>
        <v>8</v>
      </c>
      <c r="S94" s="3">
        <f t="shared" si="9"/>
        <v>197.70000000000005</v>
      </c>
      <c r="T94" s="24"/>
      <c r="U94" s="24"/>
      <c r="V94" s="3"/>
      <c r="W94" s="25" t="s">
        <v>6630</v>
      </c>
      <c r="X94" s="25"/>
      <c r="Y94" s="25" t="str">
        <f>IFERROR(VLOOKUP(C_Ope_002[[#This Row],[NOTA 2]],Clientes_Proveedores[[Ruc / Dni]:[Razon Social]],2,0),"")</f>
        <v/>
      </c>
      <c r="Z94" s="25"/>
      <c r="AA94" s="25"/>
      <c r="AB94" s="3" t="str">
        <f>IF(C_Ope_002[[#This Row],[FECHA]]&gt;0,TEXT(C_Ope_002[[#This Row],[FECHA]],"mmmm"),0)</f>
        <v>Febrero</v>
      </c>
    </row>
    <row r="95" spans="2:28" ht="24" x14ac:dyDescent="0.3">
      <c r="B95" s="2">
        <f>IF(C_Ope_002[[#This Row],[TIPO DE R.]]="R",COUNTIFS($D$4:$D94,"R")+1,"")</f>
        <v>91</v>
      </c>
      <c r="C95" s="19" t="str">
        <f t="shared" si="6"/>
        <v>C_Ope_002</v>
      </c>
      <c r="D95" s="3" t="s">
        <v>1074</v>
      </c>
      <c r="E95" s="14">
        <v>45705</v>
      </c>
      <c r="F95" s="5" t="s">
        <v>6746</v>
      </c>
      <c r="G95" s="5" t="s">
        <v>1079</v>
      </c>
      <c r="H95" s="6"/>
      <c r="I95" s="6" t="s">
        <v>14</v>
      </c>
      <c r="J95" s="6" t="s">
        <v>5243</v>
      </c>
      <c r="K95" s="6">
        <v>2235606</v>
      </c>
      <c r="L95" s="7" t="s">
        <v>6794</v>
      </c>
      <c r="M95" s="8">
        <v>23141</v>
      </c>
      <c r="N95" s="8" t="str">
        <f t="shared" si="10"/>
        <v>PEN</v>
      </c>
      <c r="O95" s="13"/>
      <c r="P95" s="13">
        <v>8</v>
      </c>
      <c r="Q95" s="3">
        <f t="shared" si="7"/>
        <v>0</v>
      </c>
      <c r="R95" s="3">
        <f t="shared" si="8"/>
        <v>8</v>
      </c>
      <c r="S95" s="3">
        <f t="shared" si="9"/>
        <v>189.70000000000005</v>
      </c>
      <c r="T95" s="24"/>
      <c r="U95" s="24"/>
      <c r="V95" s="3"/>
      <c r="W95" s="25" t="s">
        <v>6630</v>
      </c>
      <c r="X95" s="25"/>
      <c r="Y95" s="25" t="str">
        <f>IFERROR(VLOOKUP(C_Ope_002[[#This Row],[NOTA 2]],Clientes_Proveedores[[Ruc / Dni]:[Razon Social]],2,0),"")</f>
        <v/>
      </c>
      <c r="Z95" s="25"/>
      <c r="AA95" s="25"/>
      <c r="AB95" s="3" t="str">
        <f>IF(C_Ope_002[[#This Row],[FECHA]]&gt;0,TEXT(C_Ope_002[[#This Row],[FECHA]],"mmmm"),0)</f>
        <v>Febrero</v>
      </c>
    </row>
    <row r="96" spans="2:28" ht="24" x14ac:dyDescent="0.3">
      <c r="B96" s="2">
        <f>IF(C_Ope_002[[#This Row],[TIPO DE R.]]="R",COUNTIFS($D$4:$D95,"R")+1,"")</f>
        <v>92</v>
      </c>
      <c r="C96" s="19" t="str">
        <f t="shared" si="6"/>
        <v>C_Ope_002</v>
      </c>
      <c r="D96" s="3" t="s">
        <v>1074</v>
      </c>
      <c r="E96" s="14">
        <v>45706</v>
      </c>
      <c r="F96" s="5" t="s">
        <v>6746</v>
      </c>
      <c r="G96" s="5" t="s">
        <v>1079</v>
      </c>
      <c r="H96" s="6"/>
      <c r="I96" s="6" t="s">
        <v>14</v>
      </c>
      <c r="J96" s="6" t="s">
        <v>5245</v>
      </c>
      <c r="K96" s="6">
        <v>1678644</v>
      </c>
      <c r="L96" s="7" t="s">
        <v>6795</v>
      </c>
      <c r="M96" s="8">
        <v>23138</v>
      </c>
      <c r="N96" s="8" t="str">
        <f t="shared" si="10"/>
        <v>PEN</v>
      </c>
      <c r="O96" s="13"/>
      <c r="P96" s="13">
        <v>8</v>
      </c>
      <c r="Q96" s="3">
        <f t="shared" si="7"/>
        <v>0</v>
      </c>
      <c r="R96" s="3">
        <f t="shared" si="8"/>
        <v>8</v>
      </c>
      <c r="S96" s="3">
        <f t="shared" si="9"/>
        <v>181.70000000000005</v>
      </c>
      <c r="T96" s="24"/>
      <c r="U96" s="24"/>
      <c r="V96" s="3"/>
      <c r="W96" s="25" t="s">
        <v>6630</v>
      </c>
      <c r="X96" s="25"/>
      <c r="Y96" s="25" t="str">
        <f>IFERROR(VLOOKUP(C_Ope_002[[#This Row],[NOTA 2]],Clientes_Proveedores[[Ruc / Dni]:[Razon Social]],2,0),"")</f>
        <v/>
      </c>
      <c r="Z96" s="25"/>
      <c r="AA96" s="25"/>
      <c r="AB96" s="3" t="str">
        <f>IF(C_Ope_002[[#This Row],[FECHA]]&gt;0,TEXT(C_Ope_002[[#This Row],[FECHA]],"mmmm"),0)</f>
        <v>Febrero</v>
      </c>
    </row>
    <row r="97" spans="2:28" ht="24" x14ac:dyDescent="0.3">
      <c r="B97" s="2">
        <f>IF(C_Ope_002[[#This Row],[TIPO DE R.]]="R",COUNTIFS($D$4:$D96,"R")+1,"")</f>
        <v>93</v>
      </c>
      <c r="C97" s="19" t="str">
        <f t="shared" si="6"/>
        <v>C_Ope_002</v>
      </c>
      <c r="D97" s="3" t="s">
        <v>1074</v>
      </c>
      <c r="E97" s="14">
        <v>45706</v>
      </c>
      <c r="F97" s="5" t="s">
        <v>6746</v>
      </c>
      <c r="G97" s="5" t="s">
        <v>1079</v>
      </c>
      <c r="H97" s="6"/>
      <c r="I97" s="6" t="s">
        <v>14</v>
      </c>
      <c r="J97" s="6" t="s">
        <v>5243</v>
      </c>
      <c r="K97" s="6">
        <v>2236823</v>
      </c>
      <c r="L97" s="7" t="s">
        <v>6795</v>
      </c>
      <c r="M97" s="8">
        <v>23139</v>
      </c>
      <c r="N97" s="8" t="str">
        <f t="shared" si="10"/>
        <v>PEN</v>
      </c>
      <c r="O97" s="13"/>
      <c r="P97" s="13">
        <v>8</v>
      </c>
      <c r="Q97" s="3">
        <f t="shared" si="7"/>
        <v>0</v>
      </c>
      <c r="R97" s="3">
        <f t="shared" si="8"/>
        <v>8</v>
      </c>
      <c r="S97" s="3">
        <f t="shared" si="9"/>
        <v>173.70000000000005</v>
      </c>
      <c r="T97" s="24"/>
      <c r="U97" s="24"/>
      <c r="V97" s="3"/>
      <c r="W97" s="25" t="s">
        <v>6630</v>
      </c>
      <c r="X97" s="25"/>
      <c r="Y97" s="25" t="str">
        <f>IFERROR(VLOOKUP(C_Ope_002[[#This Row],[NOTA 2]],Clientes_Proveedores[[Ruc / Dni]:[Razon Social]],2,0),"")</f>
        <v/>
      </c>
      <c r="Z97" s="25"/>
      <c r="AA97" s="25"/>
      <c r="AB97" s="3" t="str">
        <f>IF(C_Ope_002[[#This Row],[FECHA]]&gt;0,TEXT(C_Ope_002[[#This Row],[FECHA]],"mmmm"),0)</f>
        <v>Febrero</v>
      </c>
    </row>
    <row r="98" spans="2:28" ht="36" x14ac:dyDescent="0.3">
      <c r="B98" s="2">
        <f>IF(C_Ope_002[[#This Row],[TIPO DE R.]]="R",COUNTIFS($D$4:$D97,"R")+1,"")</f>
        <v>94</v>
      </c>
      <c r="C98" s="19" t="str">
        <f t="shared" si="6"/>
        <v>C_Ope_002</v>
      </c>
      <c r="D98" s="3" t="s">
        <v>1074</v>
      </c>
      <c r="E98" s="14">
        <v>45707</v>
      </c>
      <c r="F98" s="5" t="s">
        <v>6746</v>
      </c>
      <c r="G98" s="5" t="s">
        <v>1079</v>
      </c>
      <c r="H98" s="6"/>
      <c r="I98" s="6" t="s">
        <v>14</v>
      </c>
      <c r="J98" s="6" t="s">
        <v>5242</v>
      </c>
      <c r="K98" s="6">
        <v>1965355</v>
      </c>
      <c r="L98" s="7" t="s">
        <v>6796</v>
      </c>
      <c r="M98" s="8">
        <v>23135</v>
      </c>
      <c r="N98" s="8" t="str">
        <f t="shared" si="10"/>
        <v>PEN</v>
      </c>
      <c r="O98" s="13"/>
      <c r="P98" s="13">
        <v>8</v>
      </c>
      <c r="Q98" s="3">
        <f t="shared" si="7"/>
        <v>0</v>
      </c>
      <c r="R98" s="3">
        <f t="shared" si="8"/>
        <v>8</v>
      </c>
      <c r="S98" s="3">
        <f t="shared" si="9"/>
        <v>165.70000000000005</v>
      </c>
      <c r="T98" s="24"/>
      <c r="U98" s="24"/>
      <c r="V98" s="3"/>
      <c r="W98" s="25" t="s">
        <v>6630</v>
      </c>
      <c r="X98" s="25"/>
      <c r="Y98" s="25" t="str">
        <f>IFERROR(VLOOKUP(C_Ope_002[[#This Row],[NOTA 2]],Clientes_Proveedores[[Ruc / Dni]:[Razon Social]],2,0),"")</f>
        <v/>
      </c>
      <c r="Z98" s="25"/>
      <c r="AA98" s="25"/>
      <c r="AB98" s="3" t="str">
        <f>IF(C_Ope_002[[#This Row],[FECHA]]&gt;0,TEXT(C_Ope_002[[#This Row],[FECHA]],"mmmm"),0)</f>
        <v>Febrero</v>
      </c>
    </row>
    <row r="99" spans="2:28" ht="36" x14ac:dyDescent="0.3">
      <c r="B99" s="2">
        <f>IF(C_Ope_002[[#This Row],[TIPO DE R.]]="R",COUNTIFS($D$4:$D98,"R")+1,"")</f>
        <v>95</v>
      </c>
      <c r="C99" s="19" t="str">
        <f t="shared" si="6"/>
        <v>C_Ope_002</v>
      </c>
      <c r="D99" s="3" t="s">
        <v>1074</v>
      </c>
      <c r="E99" s="14">
        <v>45707</v>
      </c>
      <c r="F99" s="5" t="s">
        <v>6746</v>
      </c>
      <c r="G99" s="5" t="s">
        <v>1079</v>
      </c>
      <c r="H99" s="6"/>
      <c r="I99" s="6" t="s">
        <v>14</v>
      </c>
      <c r="J99" s="6" t="s">
        <v>5243</v>
      </c>
      <c r="K99" s="6">
        <v>2237991</v>
      </c>
      <c r="L99" s="7" t="s">
        <v>6796</v>
      </c>
      <c r="M99" s="8">
        <v>23136</v>
      </c>
      <c r="N99" s="8" t="str">
        <f t="shared" si="10"/>
        <v>PEN</v>
      </c>
      <c r="O99" s="13"/>
      <c r="P99" s="13">
        <v>8</v>
      </c>
      <c r="Q99" s="3">
        <f t="shared" si="7"/>
        <v>0</v>
      </c>
      <c r="R99" s="3">
        <f t="shared" si="8"/>
        <v>8</v>
      </c>
      <c r="S99" s="3">
        <f t="shared" si="9"/>
        <v>157.70000000000005</v>
      </c>
      <c r="T99" s="24"/>
      <c r="U99" s="24"/>
      <c r="V99" s="3"/>
      <c r="W99" s="25" t="s">
        <v>6630</v>
      </c>
      <c r="X99" s="25"/>
      <c r="Y99" s="25" t="str">
        <f>IFERROR(VLOOKUP(C_Ope_002[[#This Row],[NOTA 2]],Clientes_Proveedores[[Ruc / Dni]:[Razon Social]],2,0),"")</f>
        <v/>
      </c>
      <c r="Z99" s="25"/>
      <c r="AA99" s="25"/>
      <c r="AB99" s="3" t="str">
        <f>IF(C_Ope_002[[#This Row],[FECHA]]&gt;0,TEXT(C_Ope_002[[#This Row],[FECHA]],"mmmm"),0)</f>
        <v>Febrero</v>
      </c>
    </row>
    <row r="100" spans="2:28" ht="24" x14ac:dyDescent="0.3">
      <c r="B100" s="2">
        <f>IF(C_Ope_002[[#This Row],[TIPO DE R.]]="R",COUNTIFS($D$4:$D99,"R")+1,"")</f>
        <v>96</v>
      </c>
      <c r="C100" s="19" t="str">
        <f t="shared" si="6"/>
        <v>C_Ope_002</v>
      </c>
      <c r="D100" s="3" t="s">
        <v>1074</v>
      </c>
      <c r="E100" s="14">
        <v>45708</v>
      </c>
      <c r="F100" s="5" t="s">
        <v>6746</v>
      </c>
      <c r="G100" s="5" t="s">
        <v>1079</v>
      </c>
      <c r="H100" s="6"/>
      <c r="I100" s="6" t="s">
        <v>14</v>
      </c>
      <c r="J100" s="6" t="s">
        <v>5242</v>
      </c>
      <c r="K100" s="6">
        <v>1966497</v>
      </c>
      <c r="L100" s="7" t="s">
        <v>6797</v>
      </c>
      <c r="M100" s="8">
        <v>23128</v>
      </c>
      <c r="N100" s="8" t="str">
        <f t="shared" si="10"/>
        <v>PEN</v>
      </c>
      <c r="O100" s="13"/>
      <c r="P100" s="13">
        <v>8</v>
      </c>
      <c r="Q100" s="3">
        <f t="shared" si="7"/>
        <v>0</v>
      </c>
      <c r="R100" s="3">
        <f t="shared" si="8"/>
        <v>8</v>
      </c>
      <c r="S100" s="3">
        <f t="shared" si="9"/>
        <v>149.70000000000005</v>
      </c>
      <c r="T100" s="24"/>
      <c r="U100" s="24"/>
      <c r="V100" s="3"/>
      <c r="W100" s="25" t="s">
        <v>6630</v>
      </c>
      <c r="X100" s="25"/>
      <c r="Y100" s="25" t="str">
        <f>IFERROR(VLOOKUP(C_Ope_002[[#This Row],[NOTA 2]],Clientes_Proveedores[[Ruc / Dni]:[Razon Social]],2,0),"")</f>
        <v/>
      </c>
      <c r="Z100" s="25"/>
      <c r="AA100" s="25"/>
      <c r="AB100" s="3" t="str">
        <f>IF(C_Ope_002[[#This Row],[FECHA]]&gt;0,TEXT(C_Ope_002[[#This Row],[FECHA]],"mmmm"),0)</f>
        <v>Febrero</v>
      </c>
    </row>
    <row r="101" spans="2:28" x14ac:dyDescent="0.3">
      <c r="B101" s="2">
        <f>IF(C_Ope_002[[#This Row],[TIPO DE R.]]="R",COUNTIFS($D$4:$D100,"R")+1,"")</f>
        <v>97</v>
      </c>
      <c r="C101" s="19" t="str">
        <f t="shared" si="6"/>
        <v>C_Ope_002</v>
      </c>
      <c r="D101" s="3" t="s">
        <v>1074</v>
      </c>
      <c r="E101" s="14">
        <v>45708</v>
      </c>
      <c r="F101" s="5" t="s">
        <v>6746</v>
      </c>
      <c r="G101" s="5" t="s">
        <v>1079</v>
      </c>
      <c r="H101" s="6"/>
      <c r="I101" s="6" t="s">
        <v>14</v>
      </c>
      <c r="J101" s="6" t="s">
        <v>6559</v>
      </c>
      <c r="K101" s="6">
        <v>369463</v>
      </c>
      <c r="L101" s="7" t="s">
        <v>6629</v>
      </c>
      <c r="M101" s="8">
        <v>23129</v>
      </c>
      <c r="N101" s="8" t="str">
        <f t="shared" si="10"/>
        <v>PEN</v>
      </c>
      <c r="O101" s="13"/>
      <c r="P101" s="13">
        <v>8</v>
      </c>
      <c r="Q101" s="3">
        <f t="shared" si="7"/>
        <v>0</v>
      </c>
      <c r="R101" s="3">
        <f t="shared" si="8"/>
        <v>8</v>
      </c>
      <c r="S101" s="3">
        <f t="shared" si="9"/>
        <v>141.70000000000005</v>
      </c>
      <c r="T101" s="24"/>
      <c r="U101" s="24"/>
      <c r="V101" s="3"/>
      <c r="W101" s="25" t="s">
        <v>6630</v>
      </c>
      <c r="X101" s="25"/>
      <c r="Y101" s="25" t="str">
        <f>IFERROR(VLOOKUP(C_Ope_002[[#This Row],[NOTA 2]],Clientes_Proveedores[[Ruc / Dni]:[Razon Social]],2,0),"")</f>
        <v/>
      </c>
      <c r="Z101" s="25"/>
      <c r="AA101" s="25"/>
      <c r="AB101" s="3" t="str">
        <f>IF(C_Ope_002[[#This Row],[FECHA]]&gt;0,TEXT(C_Ope_002[[#This Row],[FECHA]],"mmmm"),0)</f>
        <v>Febrero</v>
      </c>
    </row>
    <row r="102" spans="2:28" x14ac:dyDescent="0.3">
      <c r="B102" s="2">
        <f>IF(C_Ope_002[[#This Row],[TIPO DE R.]]="R",COUNTIFS($D$4:$D101,"R")+1,"")</f>
        <v>98</v>
      </c>
      <c r="C102" s="19" t="str">
        <f t="shared" si="6"/>
        <v>C_Ope_002</v>
      </c>
      <c r="D102" s="3" t="s">
        <v>1074</v>
      </c>
      <c r="E102" s="14">
        <v>45708</v>
      </c>
      <c r="F102" s="5" t="s">
        <v>6746</v>
      </c>
      <c r="G102" s="5" t="s">
        <v>1079</v>
      </c>
      <c r="H102" s="6"/>
      <c r="I102" s="6" t="s">
        <v>14</v>
      </c>
      <c r="J102" s="6" t="s">
        <v>6556</v>
      </c>
      <c r="K102" s="6">
        <v>453663</v>
      </c>
      <c r="L102" s="7" t="s">
        <v>6629</v>
      </c>
      <c r="M102" s="8">
        <v>23130</v>
      </c>
      <c r="N102" s="8" t="str">
        <f t="shared" si="10"/>
        <v>PEN</v>
      </c>
      <c r="O102" s="13"/>
      <c r="P102" s="13">
        <v>8</v>
      </c>
      <c r="Q102" s="3">
        <f t="shared" si="7"/>
        <v>0</v>
      </c>
      <c r="R102" s="3">
        <f t="shared" si="8"/>
        <v>8</v>
      </c>
      <c r="S102" s="3">
        <f t="shared" si="9"/>
        <v>133.70000000000005</v>
      </c>
      <c r="T102" s="24"/>
      <c r="U102" s="24"/>
      <c r="V102" s="3"/>
      <c r="W102" s="25" t="s">
        <v>6630</v>
      </c>
      <c r="X102" s="25"/>
      <c r="Y102" s="25" t="str">
        <f>IFERROR(VLOOKUP(C_Ope_002[[#This Row],[NOTA 2]],Clientes_Proveedores[[Ruc / Dni]:[Razon Social]],2,0),"")</f>
        <v/>
      </c>
      <c r="Z102" s="25"/>
      <c r="AA102" s="25"/>
      <c r="AB102" s="3" t="str">
        <f>IF(C_Ope_002[[#This Row],[FECHA]]&gt;0,TEXT(C_Ope_002[[#This Row],[FECHA]],"mmmm"),0)</f>
        <v>Febrero</v>
      </c>
    </row>
    <row r="103" spans="2:28" ht="24" x14ac:dyDescent="0.3">
      <c r="B103" s="2">
        <f>IF(C_Ope_002[[#This Row],[TIPO DE R.]]="R",COUNTIFS($D$4:$D102,"R")+1,"")</f>
        <v>99</v>
      </c>
      <c r="C103" s="19" t="str">
        <f t="shared" si="6"/>
        <v>C_Ope_002</v>
      </c>
      <c r="D103" s="3" t="s">
        <v>1074</v>
      </c>
      <c r="E103" s="14">
        <v>45708</v>
      </c>
      <c r="F103" s="5" t="s">
        <v>6746</v>
      </c>
      <c r="G103" s="5" t="s">
        <v>1079</v>
      </c>
      <c r="H103" s="6"/>
      <c r="I103" s="6" t="s">
        <v>14</v>
      </c>
      <c r="J103" s="6" t="s">
        <v>5244</v>
      </c>
      <c r="K103" s="6">
        <v>1661192</v>
      </c>
      <c r="L103" s="7" t="s">
        <v>6797</v>
      </c>
      <c r="M103" s="8">
        <v>23131</v>
      </c>
      <c r="N103" s="8" t="str">
        <f t="shared" si="10"/>
        <v>PEN</v>
      </c>
      <c r="O103" s="13"/>
      <c r="P103" s="13">
        <v>8</v>
      </c>
      <c r="Q103" s="3">
        <f t="shared" si="7"/>
        <v>0</v>
      </c>
      <c r="R103" s="3">
        <f t="shared" si="8"/>
        <v>8</v>
      </c>
      <c r="S103" s="3">
        <f t="shared" si="9"/>
        <v>125.70000000000005</v>
      </c>
      <c r="T103" s="24"/>
      <c r="U103" s="24"/>
      <c r="V103" s="3"/>
      <c r="W103" s="25" t="s">
        <v>6630</v>
      </c>
      <c r="X103" s="25"/>
      <c r="Y103" s="25" t="str">
        <f>IFERROR(VLOOKUP(C_Ope_002[[#This Row],[NOTA 2]],Clientes_Proveedores[[Ruc / Dni]:[Razon Social]],2,0),"")</f>
        <v/>
      </c>
      <c r="Z103" s="25"/>
      <c r="AA103" s="25"/>
      <c r="AB103" s="3" t="str">
        <f>IF(C_Ope_002[[#This Row],[FECHA]]&gt;0,TEXT(C_Ope_002[[#This Row],[FECHA]],"mmmm"),0)</f>
        <v>Febrero</v>
      </c>
    </row>
    <row r="104" spans="2:28" ht="36" x14ac:dyDescent="0.3">
      <c r="B104" s="2">
        <f>IF(C_Ope_002[[#This Row],[TIPO DE R.]]="R",COUNTIFS($D$4:$D103,"R")+1,"")</f>
        <v>100</v>
      </c>
      <c r="C104" s="19" t="str">
        <f t="shared" si="6"/>
        <v>C_Ope_002</v>
      </c>
      <c r="D104" s="3" t="s">
        <v>1074</v>
      </c>
      <c r="E104" s="14">
        <v>45709</v>
      </c>
      <c r="F104" s="5" t="s">
        <v>6746</v>
      </c>
      <c r="G104" s="5" t="s">
        <v>1079</v>
      </c>
      <c r="H104" s="6"/>
      <c r="I104" s="6" t="s">
        <v>14</v>
      </c>
      <c r="J104" s="6" t="s">
        <v>5242</v>
      </c>
      <c r="K104" s="6">
        <v>1967592</v>
      </c>
      <c r="L104" s="7" t="s">
        <v>6798</v>
      </c>
      <c r="M104" s="8">
        <v>23126</v>
      </c>
      <c r="N104" s="8" t="str">
        <f t="shared" si="10"/>
        <v>PEN</v>
      </c>
      <c r="O104" s="13"/>
      <c r="P104" s="13">
        <v>8</v>
      </c>
      <c r="Q104" s="3">
        <f t="shared" si="7"/>
        <v>0</v>
      </c>
      <c r="R104" s="3">
        <f t="shared" si="8"/>
        <v>8</v>
      </c>
      <c r="S104" s="3">
        <f t="shared" si="9"/>
        <v>117.70000000000005</v>
      </c>
      <c r="T104" s="24"/>
      <c r="U104" s="24"/>
      <c r="V104" s="3"/>
      <c r="W104" s="25" t="s">
        <v>6630</v>
      </c>
      <c r="X104" s="25"/>
      <c r="Y104" s="25" t="str">
        <f>IFERROR(VLOOKUP(C_Ope_002[[#This Row],[NOTA 2]],Clientes_Proveedores[[Ruc / Dni]:[Razon Social]],2,0),"")</f>
        <v/>
      </c>
      <c r="Z104" s="25"/>
      <c r="AA104" s="25"/>
      <c r="AB104" s="3" t="str">
        <f>IF(C_Ope_002[[#This Row],[FECHA]]&gt;0,TEXT(C_Ope_002[[#This Row],[FECHA]],"mmmm"),0)</f>
        <v>Febrero</v>
      </c>
    </row>
    <row r="105" spans="2:28" ht="36" x14ac:dyDescent="0.3">
      <c r="B105" s="2">
        <f>IF(C_Ope_002[[#This Row],[TIPO DE R.]]="R",COUNTIFS($D$4:$D104,"R")+1,"")</f>
        <v>101</v>
      </c>
      <c r="C105" s="19" t="str">
        <f t="shared" si="6"/>
        <v>C_Ope_002</v>
      </c>
      <c r="D105" s="3" t="s">
        <v>1074</v>
      </c>
      <c r="E105" s="14">
        <v>45709</v>
      </c>
      <c r="F105" s="5" t="s">
        <v>6746</v>
      </c>
      <c r="G105" s="5" t="s">
        <v>1079</v>
      </c>
      <c r="H105" s="6"/>
      <c r="I105" s="6" t="s">
        <v>14</v>
      </c>
      <c r="J105" s="6" t="s">
        <v>5243</v>
      </c>
      <c r="K105" s="6">
        <v>2240429</v>
      </c>
      <c r="L105" s="7" t="s">
        <v>6798</v>
      </c>
      <c r="M105" s="8">
        <v>23127</v>
      </c>
      <c r="N105" s="8" t="str">
        <f t="shared" si="10"/>
        <v>PEN</v>
      </c>
      <c r="O105" s="13"/>
      <c r="P105" s="13">
        <v>8</v>
      </c>
      <c r="Q105" s="3">
        <f t="shared" si="7"/>
        <v>0</v>
      </c>
      <c r="R105" s="3">
        <f t="shared" si="8"/>
        <v>8</v>
      </c>
      <c r="S105" s="3">
        <f t="shared" si="9"/>
        <v>109.70000000000005</v>
      </c>
      <c r="T105" s="24"/>
      <c r="U105" s="24"/>
      <c r="V105" s="3"/>
      <c r="W105" s="25" t="s">
        <v>6630</v>
      </c>
      <c r="X105" s="25"/>
      <c r="Y105" s="25" t="str">
        <f>IFERROR(VLOOKUP(C_Ope_002[[#This Row],[NOTA 2]],Clientes_Proveedores[[Ruc / Dni]:[Razon Social]],2,0),"")</f>
        <v/>
      </c>
      <c r="Z105" s="25"/>
      <c r="AA105" s="25"/>
      <c r="AB105" s="3" t="str">
        <f>IF(C_Ope_002[[#This Row],[FECHA]]&gt;0,TEXT(C_Ope_002[[#This Row],[FECHA]],"mmmm"),0)</f>
        <v>Febrero</v>
      </c>
    </row>
    <row r="106" spans="2:28" x14ac:dyDescent="0.3">
      <c r="B106" s="2">
        <f>IF(C_Ope_002[[#This Row],[TIPO DE R.]]="R",COUNTIFS($D$4:$D105,"R")+1,"")</f>
        <v>102</v>
      </c>
      <c r="C106" s="19" t="str">
        <f t="shared" si="6"/>
        <v>C_Ope_002</v>
      </c>
      <c r="D106" s="3" t="s">
        <v>1074</v>
      </c>
      <c r="E106" s="14">
        <v>45708</v>
      </c>
      <c r="F106" s="5" t="s">
        <v>6746</v>
      </c>
      <c r="G106" s="5" t="s">
        <v>1079</v>
      </c>
      <c r="H106" s="6"/>
      <c r="I106" s="6" t="s">
        <v>14</v>
      </c>
      <c r="J106" s="6" t="s">
        <v>1119</v>
      </c>
      <c r="K106" s="6">
        <v>16920</v>
      </c>
      <c r="L106" s="7" t="s">
        <v>6633</v>
      </c>
      <c r="M106" s="8">
        <v>23132</v>
      </c>
      <c r="N106" s="8" t="str">
        <f t="shared" si="10"/>
        <v>PEN</v>
      </c>
      <c r="O106" s="13"/>
      <c r="P106" s="13">
        <v>11</v>
      </c>
      <c r="Q106" s="3">
        <f t="shared" si="7"/>
        <v>0</v>
      </c>
      <c r="R106" s="3">
        <f t="shared" si="8"/>
        <v>11</v>
      </c>
      <c r="S106" s="3">
        <f t="shared" si="9"/>
        <v>98.700000000000045</v>
      </c>
      <c r="T106" s="24"/>
      <c r="U106" s="24"/>
      <c r="V106" s="3"/>
      <c r="W106" s="25" t="s">
        <v>6630</v>
      </c>
      <c r="X106" s="25"/>
      <c r="Y106" s="25" t="str">
        <f>IFERROR(VLOOKUP(C_Ope_002[[#This Row],[NOTA 2]],Clientes_Proveedores[[Ruc / Dni]:[Razon Social]],2,0),"")</f>
        <v/>
      </c>
      <c r="Z106" s="25"/>
      <c r="AA106" s="25"/>
      <c r="AB106" s="3" t="str">
        <f>IF(C_Ope_002[[#This Row],[FECHA]]&gt;0,TEXT(C_Ope_002[[#This Row],[FECHA]],"mmmm"),0)</f>
        <v>Febrero</v>
      </c>
    </row>
    <row r="107" spans="2:28" x14ac:dyDescent="0.3">
      <c r="B107" s="2">
        <f>IF(C_Ope_002[[#This Row],[TIPO DE R.]]="R",COUNTIFS($D$4:$D106,"R")+1,"")</f>
        <v>103</v>
      </c>
      <c r="C107" s="19" t="str">
        <f t="shared" si="6"/>
        <v>C_Ope_002</v>
      </c>
      <c r="D107" s="3" t="s">
        <v>1074</v>
      </c>
      <c r="E107" s="14">
        <v>45713</v>
      </c>
      <c r="F107" s="5"/>
      <c r="G107" s="5" t="s">
        <v>1087</v>
      </c>
      <c r="H107" s="6"/>
      <c r="I107" s="6"/>
      <c r="J107" s="6"/>
      <c r="K107" s="6"/>
      <c r="L107" s="7" t="s">
        <v>6302</v>
      </c>
      <c r="M107" s="8">
        <v>23269</v>
      </c>
      <c r="N107" s="8" t="str">
        <f t="shared" si="10"/>
        <v>PEN</v>
      </c>
      <c r="O107" s="13"/>
      <c r="P107" s="13">
        <v>100</v>
      </c>
      <c r="Q107" s="3">
        <f t="shared" si="7"/>
        <v>100</v>
      </c>
      <c r="R107" s="3">
        <f t="shared" si="8"/>
        <v>0</v>
      </c>
      <c r="S107" s="3">
        <f t="shared" si="9"/>
        <v>198.70000000000005</v>
      </c>
      <c r="T107" s="24"/>
      <c r="U107" s="24"/>
      <c r="V107" s="3"/>
      <c r="W107" s="25"/>
      <c r="X107" s="25"/>
      <c r="Y107" s="25" t="str">
        <f>IFERROR(VLOOKUP(C_Ope_002[[#This Row],[NOTA 2]],Clientes_Proveedores[[Ruc / Dni]:[Razon Social]],2,0),"")</f>
        <v/>
      </c>
      <c r="Z107" s="25"/>
      <c r="AA107" s="25"/>
      <c r="AB107" s="3" t="str">
        <f>IF(C_Ope_002[[#This Row],[FECHA]]&gt;0,TEXT(C_Ope_002[[#This Row],[FECHA]],"mmmm"),0)</f>
        <v>Febrero</v>
      </c>
    </row>
    <row r="108" spans="2:28" x14ac:dyDescent="0.3">
      <c r="B108" s="2">
        <f>IF(C_Ope_002[[#This Row],[TIPO DE R.]]="R",COUNTIFS($D$4:$D107,"R")+1,"")</f>
        <v>104</v>
      </c>
      <c r="C108" s="19" t="str">
        <f t="shared" si="6"/>
        <v>C_Ope_002</v>
      </c>
      <c r="D108" s="3" t="s">
        <v>1074</v>
      </c>
      <c r="E108" s="14">
        <v>45712</v>
      </c>
      <c r="F108" s="5" t="s">
        <v>6746</v>
      </c>
      <c r="G108" s="5" t="s">
        <v>1079</v>
      </c>
      <c r="H108" s="6"/>
      <c r="I108" s="6" t="s">
        <v>14</v>
      </c>
      <c r="J108" s="6" t="s">
        <v>5242</v>
      </c>
      <c r="K108" s="6">
        <v>1970713</v>
      </c>
      <c r="L108" s="7" t="s">
        <v>6799</v>
      </c>
      <c r="M108" s="8">
        <v>23246</v>
      </c>
      <c r="N108" s="8" t="str">
        <f t="shared" si="10"/>
        <v>PEN</v>
      </c>
      <c r="O108" s="13"/>
      <c r="P108" s="13">
        <v>8</v>
      </c>
      <c r="Q108" s="3">
        <f t="shared" si="7"/>
        <v>0</v>
      </c>
      <c r="R108" s="3">
        <f t="shared" si="8"/>
        <v>8</v>
      </c>
      <c r="S108" s="3">
        <f t="shared" si="9"/>
        <v>190.70000000000005</v>
      </c>
      <c r="T108" s="24"/>
      <c r="U108" s="24"/>
      <c r="V108" s="3"/>
      <c r="W108" s="25" t="s">
        <v>6630</v>
      </c>
      <c r="X108" s="25"/>
      <c r="Y108" s="25" t="str">
        <f>IFERROR(VLOOKUP(C_Ope_002[[#This Row],[NOTA 2]],Clientes_Proveedores[[Ruc / Dni]:[Razon Social]],2,0),"")</f>
        <v/>
      </c>
      <c r="Z108" s="25"/>
      <c r="AA108" s="25"/>
      <c r="AB108" s="3" t="str">
        <f>IF(C_Ope_002[[#This Row],[FECHA]]&gt;0,TEXT(C_Ope_002[[#This Row],[FECHA]],"mmmm"),0)</f>
        <v>Febrero</v>
      </c>
    </row>
    <row r="109" spans="2:28" x14ac:dyDescent="0.3">
      <c r="B109" s="2">
        <f>IF(C_Ope_002[[#This Row],[TIPO DE R.]]="R",COUNTIFS($D$4:$D108,"R")+1,"")</f>
        <v>105</v>
      </c>
      <c r="C109" s="19" t="str">
        <f t="shared" si="6"/>
        <v>C_Ope_002</v>
      </c>
      <c r="D109" s="3" t="s">
        <v>1074</v>
      </c>
      <c r="E109" s="14">
        <v>45712</v>
      </c>
      <c r="F109" s="5" t="s">
        <v>6746</v>
      </c>
      <c r="G109" s="5" t="s">
        <v>1079</v>
      </c>
      <c r="H109" s="6"/>
      <c r="I109" s="6" t="s">
        <v>14</v>
      </c>
      <c r="J109" s="6" t="s">
        <v>5244</v>
      </c>
      <c r="K109" s="6">
        <v>1664281</v>
      </c>
      <c r="L109" s="7" t="s">
        <v>6799</v>
      </c>
      <c r="M109" s="8">
        <v>23247</v>
      </c>
      <c r="N109" s="8" t="str">
        <f t="shared" si="10"/>
        <v>PEN</v>
      </c>
      <c r="O109" s="13"/>
      <c r="P109" s="13">
        <v>8</v>
      </c>
      <c r="Q109" s="3">
        <f t="shared" si="7"/>
        <v>0</v>
      </c>
      <c r="R109" s="3">
        <f t="shared" si="8"/>
        <v>8</v>
      </c>
      <c r="S109" s="3">
        <f t="shared" si="9"/>
        <v>182.70000000000005</v>
      </c>
      <c r="T109" s="24"/>
      <c r="U109" s="24"/>
      <c r="V109" s="3"/>
      <c r="W109" s="25" t="s">
        <v>6630</v>
      </c>
      <c r="X109" s="25"/>
      <c r="Y109" s="25" t="str">
        <f>IFERROR(VLOOKUP(C_Ope_002[[#This Row],[NOTA 2]],Clientes_Proveedores[[Ruc / Dni]:[Razon Social]],2,0),"")</f>
        <v/>
      </c>
      <c r="Z109" s="25"/>
      <c r="AA109" s="25"/>
      <c r="AB109" s="3" t="str">
        <f>IF(C_Ope_002[[#This Row],[FECHA]]&gt;0,TEXT(C_Ope_002[[#This Row],[FECHA]],"mmmm"),0)</f>
        <v>Febrero</v>
      </c>
    </row>
    <row r="110" spans="2:28" x14ac:dyDescent="0.3">
      <c r="B110" s="2">
        <f>IF(C_Ope_002[[#This Row],[TIPO DE R.]]="R",COUNTIFS($D$4:$D109,"R")+1,"")</f>
        <v>106</v>
      </c>
      <c r="C110" s="19" t="str">
        <f t="shared" si="6"/>
        <v>C_Ope_002</v>
      </c>
      <c r="D110" s="3" t="s">
        <v>1074</v>
      </c>
      <c r="E110" s="14">
        <v>45713</v>
      </c>
      <c r="F110" s="5" t="s">
        <v>6746</v>
      </c>
      <c r="G110" s="5" t="s">
        <v>1079</v>
      </c>
      <c r="H110" s="6"/>
      <c r="I110" s="6" t="s">
        <v>14</v>
      </c>
      <c r="J110" s="6" t="s">
        <v>5245</v>
      </c>
      <c r="K110" s="6">
        <v>1684367</v>
      </c>
      <c r="L110" s="7" t="s">
        <v>6800</v>
      </c>
      <c r="M110" s="8">
        <v>23244</v>
      </c>
      <c r="N110" s="8" t="str">
        <f t="shared" si="10"/>
        <v>PEN</v>
      </c>
      <c r="O110" s="13"/>
      <c r="P110" s="13">
        <v>8</v>
      </c>
      <c r="Q110" s="3">
        <f t="shared" si="7"/>
        <v>0</v>
      </c>
      <c r="R110" s="3">
        <f t="shared" si="8"/>
        <v>8</v>
      </c>
      <c r="S110" s="3">
        <f t="shared" si="9"/>
        <v>174.70000000000005</v>
      </c>
      <c r="T110" s="24"/>
      <c r="U110" s="24"/>
      <c r="V110" s="3"/>
      <c r="W110" s="25" t="s">
        <v>6630</v>
      </c>
      <c r="X110" s="25"/>
      <c r="Y110" s="25" t="str">
        <f>IFERROR(VLOOKUP(C_Ope_002[[#This Row],[NOTA 2]],Clientes_Proveedores[[Ruc / Dni]:[Razon Social]],2,0),"")</f>
        <v/>
      </c>
      <c r="Z110" s="25"/>
      <c r="AA110" s="25"/>
      <c r="AB110" s="3" t="str">
        <f>IF(C_Ope_002[[#This Row],[FECHA]]&gt;0,TEXT(C_Ope_002[[#This Row],[FECHA]],"mmmm"),0)</f>
        <v>Febrero</v>
      </c>
    </row>
    <row r="111" spans="2:28" x14ac:dyDescent="0.3">
      <c r="B111" s="2">
        <f>IF(C_Ope_002[[#This Row],[TIPO DE R.]]="R",COUNTIFS($D$4:$D110,"R")+1,"")</f>
        <v>107</v>
      </c>
      <c r="C111" s="19" t="str">
        <f t="shared" si="6"/>
        <v>C_Ope_002</v>
      </c>
      <c r="D111" s="3" t="s">
        <v>1074</v>
      </c>
      <c r="E111" s="14">
        <v>45713</v>
      </c>
      <c r="F111" s="5" t="s">
        <v>6746</v>
      </c>
      <c r="G111" s="5" t="s">
        <v>1079</v>
      </c>
      <c r="H111" s="6"/>
      <c r="I111" s="6" t="s">
        <v>14</v>
      </c>
      <c r="J111" s="6" t="s">
        <v>5243</v>
      </c>
      <c r="K111" s="6">
        <v>2244860</v>
      </c>
      <c r="L111" s="7" t="s">
        <v>6800</v>
      </c>
      <c r="M111" s="8">
        <v>23245</v>
      </c>
      <c r="N111" s="8" t="str">
        <f t="shared" si="10"/>
        <v>PEN</v>
      </c>
      <c r="O111" s="13"/>
      <c r="P111" s="13">
        <v>8</v>
      </c>
      <c r="Q111" s="3">
        <f t="shared" si="7"/>
        <v>0</v>
      </c>
      <c r="R111" s="3">
        <f t="shared" si="8"/>
        <v>8</v>
      </c>
      <c r="S111" s="3">
        <f t="shared" si="9"/>
        <v>166.70000000000005</v>
      </c>
      <c r="T111" s="24"/>
      <c r="U111" s="24"/>
      <c r="V111" s="3"/>
      <c r="W111" s="25" t="s">
        <v>6630</v>
      </c>
      <c r="X111" s="25"/>
      <c r="Y111" s="25" t="str">
        <f>IFERROR(VLOOKUP(C_Ope_002[[#This Row],[NOTA 2]],Clientes_Proveedores[[Ruc / Dni]:[Razon Social]],2,0),"")</f>
        <v/>
      </c>
      <c r="Z111" s="25"/>
      <c r="AA111" s="25"/>
      <c r="AB111" s="3" t="str">
        <f>IF(C_Ope_002[[#This Row],[FECHA]]&gt;0,TEXT(C_Ope_002[[#This Row],[FECHA]],"mmmm"),0)</f>
        <v>Febrero</v>
      </c>
    </row>
    <row r="112" spans="2:28" x14ac:dyDescent="0.3">
      <c r="B112" s="2">
        <f>IF(C_Ope_002[[#This Row],[TIPO DE R.]]="R",COUNTIFS($D$4:$D111,"R")+1,"")</f>
        <v>108</v>
      </c>
      <c r="C112" s="19" t="str">
        <f t="shared" si="6"/>
        <v>C_Ope_002</v>
      </c>
      <c r="D112" s="3" t="s">
        <v>1074</v>
      </c>
      <c r="E112" s="14">
        <v>45714</v>
      </c>
      <c r="F112" s="5" t="s">
        <v>6746</v>
      </c>
      <c r="G112" s="5" t="s">
        <v>1079</v>
      </c>
      <c r="H112" s="6"/>
      <c r="I112" s="6" t="s">
        <v>14</v>
      </c>
      <c r="J112" s="6" t="s">
        <v>5245</v>
      </c>
      <c r="K112" s="6">
        <v>1685294</v>
      </c>
      <c r="L112" s="7" t="s">
        <v>6799</v>
      </c>
      <c r="M112" s="8">
        <v>23241</v>
      </c>
      <c r="N112" s="8" t="str">
        <f t="shared" si="10"/>
        <v>PEN</v>
      </c>
      <c r="O112" s="13"/>
      <c r="P112" s="13">
        <v>8</v>
      </c>
      <c r="Q112" s="3">
        <f t="shared" si="7"/>
        <v>0</v>
      </c>
      <c r="R112" s="3">
        <f t="shared" si="8"/>
        <v>8</v>
      </c>
      <c r="S112" s="3">
        <f t="shared" si="9"/>
        <v>158.70000000000005</v>
      </c>
      <c r="T112" s="24"/>
      <c r="U112" s="24"/>
      <c r="V112" s="3"/>
      <c r="W112" s="25" t="s">
        <v>6630</v>
      </c>
      <c r="X112" s="25"/>
      <c r="Y112" s="25" t="str">
        <f>IFERROR(VLOOKUP(C_Ope_002[[#This Row],[NOTA 2]],Clientes_Proveedores[[Ruc / Dni]:[Razon Social]],2,0),"")</f>
        <v/>
      </c>
      <c r="Z112" s="25"/>
      <c r="AA112" s="25"/>
      <c r="AB112" s="3" t="str">
        <f>IF(C_Ope_002[[#This Row],[FECHA]]&gt;0,TEXT(C_Ope_002[[#This Row],[FECHA]],"mmmm"),0)</f>
        <v>Febrero</v>
      </c>
    </row>
    <row r="113" spans="2:28" x14ac:dyDescent="0.3">
      <c r="B113" s="2">
        <f>IF(C_Ope_002[[#This Row],[TIPO DE R.]]="R",COUNTIFS($D$4:$D112,"R")+1,"")</f>
        <v>109</v>
      </c>
      <c r="C113" s="19" t="str">
        <f t="shared" si="6"/>
        <v>C_Ope_002</v>
      </c>
      <c r="D113" s="3" t="s">
        <v>1074</v>
      </c>
      <c r="E113" s="14">
        <v>45714</v>
      </c>
      <c r="F113" s="5" t="s">
        <v>6746</v>
      </c>
      <c r="G113" s="5" t="s">
        <v>1079</v>
      </c>
      <c r="H113" s="6"/>
      <c r="I113" s="6" t="s">
        <v>14</v>
      </c>
      <c r="J113" s="6" t="s">
        <v>5244</v>
      </c>
      <c r="K113" s="6">
        <v>1666250</v>
      </c>
      <c r="L113" s="7" t="s">
        <v>6799</v>
      </c>
      <c r="M113" s="8">
        <v>23242</v>
      </c>
      <c r="N113" s="8" t="str">
        <f t="shared" si="10"/>
        <v>PEN</v>
      </c>
      <c r="O113" s="13"/>
      <c r="P113" s="13">
        <v>8</v>
      </c>
      <c r="Q113" s="3">
        <f t="shared" si="7"/>
        <v>0</v>
      </c>
      <c r="R113" s="3">
        <f t="shared" si="8"/>
        <v>8</v>
      </c>
      <c r="S113" s="3">
        <f t="shared" si="9"/>
        <v>150.70000000000005</v>
      </c>
      <c r="T113" s="24"/>
      <c r="U113" s="24"/>
      <c r="V113" s="3"/>
      <c r="W113" s="25" t="s">
        <v>6630</v>
      </c>
      <c r="X113" s="25"/>
      <c r="Y113" s="25" t="str">
        <f>IFERROR(VLOOKUP(C_Ope_002[[#This Row],[NOTA 2]],Clientes_Proveedores[[Ruc / Dni]:[Razon Social]],2,0),"")</f>
        <v/>
      </c>
      <c r="Z113" s="25"/>
      <c r="AA113" s="25"/>
      <c r="AB113" s="3" t="str">
        <f>IF(C_Ope_002[[#This Row],[FECHA]]&gt;0,TEXT(C_Ope_002[[#This Row],[FECHA]],"mmmm"),0)</f>
        <v>Febrero</v>
      </c>
    </row>
    <row r="114" spans="2:28" x14ac:dyDescent="0.3">
      <c r="B114" s="2">
        <f>IF(C_Ope_002[[#This Row],[TIPO DE R.]]="R",COUNTIFS($D$4:$D113,"R")+1,"")</f>
        <v>110</v>
      </c>
      <c r="C114" s="19" t="str">
        <f t="shared" si="6"/>
        <v>C_Ope_002</v>
      </c>
      <c r="D114" s="3" t="s">
        <v>1074</v>
      </c>
      <c r="E114" s="14">
        <v>45714</v>
      </c>
      <c r="F114" s="5" t="s">
        <v>6746</v>
      </c>
      <c r="G114" s="5" t="s">
        <v>1079</v>
      </c>
      <c r="H114" s="6"/>
      <c r="I114" s="6" t="s">
        <v>14</v>
      </c>
      <c r="J114" s="6" t="s">
        <v>5242</v>
      </c>
      <c r="K114" s="6">
        <v>1972589</v>
      </c>
      <c r="L114" s="7" t="s">
        <v>6799</v>
      </c>
      <c r="M114" s="8">
        <v>23243</v>
      </c>
      <c r="N114" s="8" t="str">
        <f t="shared" si="10"/>
        <v>PEN</v>
      </c>
      <c r="O114" s="13"/>
      <c r="P114" s="13">
        <v>8</v>
      </c>
      <c r="Q114" s="3">
        <f t="shared" si="7"/>
        <v>0</v>
      </c>
      <c r="R114" s="3">
        <f t="shared" si="8"/>
        <v>8</v>
      </c>
      <c r="S114" s="3">
        <f t="shared" si="9"/>
        <v>142.70000000000005</v>
      </c>
      <c r="T114" s="24"/>
      <c r="U114" s="24"/>
      <c r="V114" s="3"/>
      <c r="W114" s="25" t="s">
        <v>6630</v>
      </c>
      <c r="X114" s="25"/>
      <c r="Y114" s="25" t="str">
        <f>IFERROR(VLOOKUP(C_Ope_002[[#This Row],[NOTA 2]],Clientes_Proveedores[[Ruc / Dni]:[Razon Social]],2,0),"")</f>
        <v/>
      </c>
      <c r="Z114" s="25"/>
      <c r="AA114" s="25"/>
      <c r="AB114" s="3" t="str">
        <f>IF(C_Ope_002[[#This Row],[FECHA]]&gt;0,TEXT(C_Ope_002[[#This Row],[FECHA]],"mmmm"),0)</f>
        <v>Febrero</v>
      </c>
    </row>
    <row r="115" spans="2:28" ht="24" x14ac:dyDescent="0.3">
      <c r="B115" s="2">
        <f>IF(C_Ope_002[[#This Row],[TIPO DE R.]]="R",COUNTIFS($D$4:$D114,"R")+1,"")</f>
        <v>111</v>
      </c>
      <c r="C115" s="19" t="str">
        <f t="shared" si="6"/>
        <v>C_Ope_002</v>
      </c>
      <c r="D115" s="3" t="s">
        <v>1074</v>
      </c>
      <c r="E115" s="14">
        <v>45715</v>
      </c>
      <c r="F115" s="5" t="s">
        <v>6746</v>
      </c>
      <c r="G115" s="5" t="s">
        <v>1079</v>
      </c>
      <c r="H115" s="6"/>
      <c r="I115" s="6" t="s">
        <v>14</v>
      </c>
      <c r="J115" s="6" t="s">
        <v>5245</v>
      </c>
      <c r="K115" s="6">
        <v>1686172</v>
      </c>
      <c r="L115" s="7" t="s">
        <v>6801</v>
      </c>
      <c r="M115" s="8">
        <v>23248</v>
      </c>
      <c r="N115" s="8" t="str">
        <f t="shared" si="10"/>
        <v>PEN</v>
      </c>
      <c r="O115" s="13"/>
      <c r="P115" s="13">
        <v>8</v>
      </c>
      <c r="Q115" s="3">
        <f t="shared" si="7"/>
        <v>0</v>
      </c>
      <c r="R115" s="3">
        <f t="shared" si="8"/>
        <v>8</v>
      </c>
      <c r="S115" s="3">
        <f t="shared" si="9"/>
        <v>134.70000000000005</v>
      </c>
      <c r="T115" s="24"/>
      <c r="U115" s="24"/>
      <c r="V115" s="3"/>
      <c r="W115" s="25" t="s">
        <v>6630</v>
      </c>
      <c r="X115" s="25"/>
      <c r="Y115" s="25" t="str">
        <f>IFERROR(VLOOKUP(C_Ope_002[[#This Row],[NOTA 2]],Clientes_Proveedores[[Ruc / Dni]:[Razon Social]],2,0),"")</f>
        <v/>
      </c>
      <c r="Z115" s="25"/>
      <c r="AA115" s="25"/>
      <c r="AB115" s="3" t="str">
        <f>IF(C_Ope_002[[#This Row],[FECHA]]&gt;0,TEXT(C_Ope_002[[#This Row],[FECHA]],"mmmm"),0)</f>
        <v>Febrero</v>
      </c>
    </row>
    <row r="116" spans="2:28" ht="24" x14ac:dyDescent="0.3">
      <c r="B116" s="2">
        <f>IF(C_Ope_002[[#This Row],[TIPO DE R.]]="R",COUNTIFS($D$4:$D115,"R")+1,"")</f>
        <v>112</v>
      </c>
      <c r="C116" s="19" t="str">
        <f t="shared" si="6"/>
        <v>C_Ope_002</v>
      </c>
      <c r="D116" s="3" t="s">
        <v>1074</v>
      </c>
      <c r="E116" s="14">
        <v>45715</v>
      </c>
      <c r="F116" s="5" t="s">
        <v>6746</v>
      </c>
      <c r="G116" s="5" t="s">
        <v>1079</v>
      </c>
      <c r="H116" s="6"/>
      <c r="I116" s="6" t="s">
        <v>14</v>
      </c>
      <c r="J116" s="6" t="s">
        <v>5243</v>
      </c>
      <c r="K116" s="6">
        <v>2247462</v>
      </c>
      <c r="L116" s="7" t="s">
        <v>6801</v>
      </c>
      <c r="M116" s="8">
        <v>23249</v>
      </c>
      <c r="N116" s="8" t="str">
        <f t="shared" si="10"/>
        <v>PEN</v>
      </c>
      <c r="O116" s="13"/>
      <c r="P116" s="13">
        <v>8</v>
      </c>
      <c r="Q116" s="3">
        <f t="shared" si="7"/>
        <v>0</v>
      </c>
      <c r="R116" s="3">
        <f t="shared" si="8"/>
        <v>8</v>
      </c>
      <c r="S116" s="3">
        <f t="shared" si="9"/>
        <v>126.70000000000005</v>
      </c>
      <c r="T116" s="24"/>
      <c r="U116" s="24"/>
      <c r="V116" s="3"/>
      <c r="W116" s="25" t="s">
        <v>6630</v>
      </c>
      <c r="X116" s="25"/>
      <c r="Y116" s="25" t="str">
        <f>IFERROR(VLOOKUP(C_Ope_002[[#This Row],[NOTA 2]],Clientes_Proveedores[[Ruc / Dni]:[Razon Social]],2,0),"")</f>
        <v/>
      </c>
      <c r="Z116" s="25"/>
      <c r="AA116" s="25"/>
      <c r="AB116" s="3" t="str">
        <f>IF(C_Ope_002[[#This Row],[FECHA]]&gt;0,TEXT(C_Ope_002[[#This Row],[FECHA]],"mmmm"),0)</f>
        <v>Febrero</v>
      </c>
    </row>
    <row r="117" spans="2:28" x14ac:dyDescent="0.3">
      <c r="B117" s="2">
        <f>IF(C_Ope_002[[#This Row],[TIPO DE R.]]="R",COUNTIFS($D$4:$D116,"R")+1,"")</f>
        <v>113</v>
      </c>
      <c r="C117" s="19" t="str">
        <f t="shared" si="6"/>
        <v>C_Ope_002</v>
      </c>
      <c r="D117" s="3" t="s">
        <v>1074</v>
      </c>
      <c r="E117" s="14">
        <v>45715</v>
      </c>
      <c r="F117" s="5" t="s">
        <v>6746</v>
      </c>
      <c r="G117" s="5" t="s">
        <v>1079</v>
      </c>
      <c r="H117" s="6"/>
      <c r="I117" s="6" t="s">
        <v>14</v>
      </c>
      <c r="J117" s="6" t="s">
        <v>1429</v>
      </c>
      <c r="K117" s="6">
        <v>16024</v>
      </c>
      <c r="L117" s="7" t="s">
        <v>6802</v>
      </c>
      <c r="M117" s="8">
        <v>23250</v>
      </c>
      <c r="N117" s="8" t="str">
        <f t="shared" si="10"/>
        <v>PEN</v>
      </c>
      <c r="O117" s="13"/>
      <c r="P117" s="13">
        <v>18</v>
      </c>
      <c r="Q117" s="3">
        <f t="shared" si="7"/>
        <v>0</v>
      </c>
      <c r="R117" s="3">
        <f t="shared" si="8"/>
        <v>18</v>
      </c>
      <c r="S117" s="3">
        <f t="shared" si="9"/>
        <v>108.70000000000005</v>
      </c>
      <c r="T117" s="24"/>
      <c r="U117" s="24"/>
      <c r="V117" s="3"/>
      <c r="W117" s="25" t="s">
        <v>6630</v>
      </c>
      <c r="X117" s="25"/>
      <c r="Y117" s="25" t="str">
        <f>IFERROR(VLOOKUP(C_Ope_002[[#This Row],[NOTA 2]],Clientes_Proveedores[[Ruc / Dni]:[Razon Social]],2,0),"")</f>
        <v/>
      </c>
      <c r="Z117" s="25"/>
      <c r="AA117" s="25"/>
      <c r="AB117" s="3" t="str">
        <f>IF(C_Ope_002[[#This Row],[FECHA]]&gt;0,TEXT(C_Ope_002[[#This Row],[FECHA]],"mmmm"),0)</f>
        <v>Febrero</v>
      </c>
    </row>
    <row r="118" spans="2:28" x14ac:dyDescent="0.3">
      <c r="B118" s="2">
        <f>IF(C_Ope_002[[#This Row],[TIPO DE R.]]="R",COUNTIFS($D$4:$D117,"R")+1,"")</f>
        <v>114</v>
      </c>
      <c r="C118" s="19" t="str">
        <f t="shared" si="6"/>
        <v>C_Ope_002</v>
      </c>
      <c r="D118" s="3" t="s">
        <v>1074</v>
      </c>
      <c r="E118" s="14">
        <v>45720</v>
      </c>
      <c r="F118" s="5"/>
      <c r="G118" s="5" t="s">
        <v>1087</v>
      </c>
      <c r="H118" s="6"/>
      <c r="I118" s="6"/>
      <c r="J118" s="6"/>
      <c r="K118" s="6"/>
      <c r="L118" s="7" t="s">
        <v>6302</v>
      </c>
      <c r="M118" s="8">
        <v>23358</v>
      </c>
      <c r="N118" s="8" t="str">
        <f t="shared" si="10"/>
        <v>PEN</v>
      </c>
      <c r="O118" s="13"/>
      <c r="P118" s="13">
        <v>100</v>
      </c>
      <c r="Q118" s="3">
        <f t="shared" si="7"/>
        <v>100</v>
      </c>
      <c r="R118" s="3">
        <f t="shared" si="8"/>
        <v>0</v>
      </c>
      <c r="S118" s="3">
        <f t="shared" si="9"/>
        <v>208.70000000000005</v>
      </c>
      <c r="T118" s="24"/>
      <c r="U118" s="24"/>
      <c r="V118" s="3"/>
      <c r="W118" s="25"/>
      <c r="X118" s="25"/>
      <c r="Y118" s="25" t="str">
        <f>IFERROR(VLOOKUP(C_Ope_002[[#This Row],[NOTA 2]],Clientes_Proveedores[[Ruc / Dni]:[Razon Social]],2,0),"")</f>
        <v/>
      </c>
      <c r="Z118" s="25"/>
      <c r="AA118" s="25"/>
      <c r="AB118" s="3" t="str">
        <f>IF(C_Ope_002[[#This Row],[FECHA]]&gt;0,TEXT(C_Ope_002[[#This Row],[FECHA]],"mmmm"),0)</f>
        <v>Marzo</v>
      </c>
    </row>
    <row r="119" spans="2:28" x14ac:dyDescent="0.3">
      <c r="B119" s="2">
        <f>IF(C_Ope_002[[#This Row],[TIPO DE R.]]="R",COUNTIFS($D$4:$D118,"R")+1,"")</f>
        <v>115</v>
      </c>
      <c r="C119" s="19" t="str">
        <f t="shared" si="6"/>
        <v>C_Ope_002</v>
      </c>
      <c r="D119" s="3" t="s">
        <v>1074</v>
      </c>
      <c r="E119" s="14">
        <v>45719</v>
      </c>
      <c r="F119" s="5" t="s">
        <v>6746</v>
      </c>
      <c r="G119" s="5" t="s">
        <v>1079</v>
      </c>
      <c r="H119" s="6"/>
      <c r="I119" s="6" t="s">
        <v>14</v>
      </c>
      <c r="J119" s="6" t="s">
        <v>5242</v>
      </c>
      <c r="K119" s="6">
        <v>1978474</v>
      </c>
      <c r="L119" s="7" t="s">
        <v>6803</v>
      </c>
      <c r="M119" s="8">
        <v>23336</v>
      </c>
      <c r="N119" s="8" t="str">
        <f t="shared" si="10"/>
        <v>PEN</v>
      </c>
      <c r="O119" s="13"/>
      <c r="P119" s="13">
        <v>8</v>
      </c>
      <c r="Q119" s="3">
        <f t="shared" si="7"/>
        <v>0</v>
      </c>
      <c r="R119" s="3">
        <f t="shared" si="8"/>
        <v>8</v>
      </c>
      <c r="S119" s="3">
        <f t="shared" si="9"/>
        <v>200.70000000000005</v>
      </c>
      <c r="T119" s="24"/>
      <c r="U119" s="24"/>
      <c r="V119" s="3"/>
      <c r="W119" s="25" t="s">
        <v>6630</v>
      </c>
      <c r="X119" s="25"/>
      <c r="Y119" s="25" t="str">
        <f>IFERROR(VLOOKUP(C_Ope_002[[#This Row],[NOTA 2]],Clientes_Proveedores[[Ruc / Dni]:[Razon Social]],2,0),"")</f>
        <v/>
      </c>
      <c r="Z119" s="25"/>
      <c r="AA119" s="25"/>
      <c r="AB119" s="3" t="str">
        <f>IF(C_Ope_002[[#This Row],[FECHA]]&gt;0,TEXT(C_Ope_002[[#This Row],[FECHA]],"mmmm"),0)</f>
        <v>Marzo</v>
      </c>
    </row>
    <row r="120" spans="2:28" x14ac:dyDescent="0.3">
      <c r="B120" s="2">
        <f>IF(C_Ope_002[[#This Row],[TIPO DE R.]]="R",COUNTIFS($D$4:$D119,"R")+1,"")</f>
        <v>116</v>
      </c>
      <c r="C120" s="19" t="str">
        <f t="shared" si="6"/>
        <v>C_Ope_002</v>
      </c>
      <c r="D120" s="3" t="s">
        <v>1074</v>
      </c>
      <c r="E120" s="14">
        <v>45719</v>
      </c>
      <c r="F120" s="5" t="s">
        <v>6746</v>
      </c>
      <c r="G120" s="5" t="s">
        <v>1079</v>
      </c>
      <c r="H120" s="6"/>
      <c r="I120" s="6" t="s">
        <v>14</v>
      </c>
      <c r="J120" s="6" t="s">
        <v>5243</v>
      </c>
      <c r="K120" s="6">
        <v>2252091</v>
      </c>
      <c r="L120" s="7" t="s">
        <v>6803</v>
      </c>
      <c r="M120" s="8">
        <v>23337</v>
      </c>
      <c r="N120" s="8" t="str">
        <f t="shared" si="10"/>
        <v>PEN</v>
      </c>
      <c r="O120" s="13"/>
      <c r="P120" s="13">
        <v>8</v>
      </c>
      <c r="Q120" s="3">
        <f t="shared" si="7"/>
        <v>0</v>
      </c>
      <c r="R120" s="3">
        <f t="shared" si="8"/>
        <v>8</v>
      </c>
      <c r="S120" s="3">
        <f t="shared" si="9"/>
        <v>192.70000000000005</v>
      </c>
      <c r="T120" s="24"/>
      <c r="U120" s="24"/>
      <c r="V120" s="3"/>
      <c r="W120" s="25" t="s">
        <v>6630</v>
      </c>
      <c r="X120" s="25"/>
      <c r="Y120" s="25" t="str">
        <f>IFERROR(VLOOKUP(C_Ope_002[[#This Row],[NOTA 2]],Clientes_Proveedores[[Ruc / Dni]:[Razon Social]],2,0),"")</f>
        <v/>
      </c>
      <c r="Z120" s="25"/>
      <c r="AA120" s="25"/>
      <c r="AB120" s="3" t="str">
        <f>IF(C_Ope_002[[#This Row],[FECHA]]&gt;0,TEXT(C_Ope_002[[#This Row],[FECHA]],"mmmm"),0)</f>
        <v>Marzo</v>
      </c>
    </row>
    <row r="121" spans="2:28" ht="36" x14ac:dyDescent="0.3">
      <c r="B121" s="2">
        <f>IF(C_Ope_002[[#This Row],[TIPO DE R.]]="R",COUNTIFS($D$4:$D120,"R")+1,"")</f>
        <v>117</v>
      </c>
      <c r="C121" s="19" t="str">
        <f t="shared" si="6"/>
        <v>C_Ope_002</v>
      </c>
      <c r="D121" s="3" t="s">
        <v>1074</v>
      </c>
      <c r="E121" s="14">
        <v>45721</v>
      </c>
      <c r="F121" s="5" t="s">
        <v>6746</v>
      </c>
      <c r="G121" s="5" t="s">
        <v>1079</v>
      </c>
      <c r="H121" s="6"/>
      <c r="I121" s="6" t="s">
        <v>14</v>
      </c>
      <c r="J121" s="6" t="s">
        <v>5242</v>
      </c>
      <c r="K121" s="6">
        <v>1980698</v>
      </c>
      <c r="L121" s="7" t="s">
        <v>6804</v>
      </c>
      <c r="M121" s="8">
        <v>23334</v>
      </c>
      <c r="N121" s="8" t="str">
        <f t="shared" si="10"/>
        <v>PEN</v>
      </c>
      <c r="O121" s="13"/>
      <c r="P121" s="13">
        <v>8</v>
      </c>
      <c r="Q121" s="3">
        <f t="shared" si="7"/>
        <v>0</v>
      </c>
      <c r="R121" s="3">
        <f t="shared" si="8"/>
        <v>8</v>
      </c>
      <c r="S121" s="3">
        <f t="shared" si="9"/>
        <v>184.70000000000005</v>
      </c>
      <c r="T121" s="24"/>
      <c r="U121" s="24"/>
      <c r="V121" s="3"/>
      <c r="W121" s="25" t="s">
        <v>6630</v>
      </c>
      <c r="X121" s="25"/>
      <c r="Y121" s="25" t="str">
        <f>IFERROR(VLOOKUP(C_Ope_002[[#This Row],[NOTA 2]],Clientes_Proveedores[[Ruc / Dni]:[Razon Social]],2,0),"")</f>
        <v/>
      </c>
      <c r="Z121" s="25"/>
      <c r="AA121" s="25"/>
      <c r="AB121" s="3" t="str">
        <f>IF(C_Ope_002[[#This Row],[FECHA]]&gt;0,TEXT(C_Ope_002[[#This Row],[FECHA]],"mmmm"),0)</f>
        <v>Marzo</v>
      </c>
    </row>
    <row r="122" spans="2:28" ht="48" x14ac:dyDescent="0.3">
      <c r="B122" s="2">
        <f>IF(C_Ope_002[[#This Row],[TIPO DE R.]]="R",COUNTIFS($D$4:$D121,"R")+1,"")</f>
        <v>118</v>
      </c>
      <c r="C122" s="19" t="str">
        <f t="shared" si="6"/>
        <v>C_Ope_002</v>
      </c>
      <c r="D122" s="3" t="s">
        <v>1074</v>
      </c>
      <c r="E122" s="14">
        <v>45721</v>
      </c>
      <c r="F122" s="5" t="s">
        <v>6746</v>
      </c>
      <c r="G122" s="5" t="s">
        <v>1079</v>
      </c>
      <c r="H122" s="6"/>
      <c r="I122" s="6" t="s">
        <v>14</v>
      </c>
      <c r="J122" s="6" t="s">
        <v>5243</v>
      </c>
      <c r="K122" s="6">
        <v>2254456</v>
      </c>
      <c r="L122" s="7" t="s">
        <v>6805</v>
      </c>
      <c r="M122" s="8">
        <v>23335</v>
      </c>
      <c r="N122" s="8" t="str">
        <f t="shared" si="10"/>
        <v>PEN</v>
      </c>
      <c r="O122" s="13"/>
      <c r="P122" s="13">
        <v>8</v>
      </c>
      <c r="Q122" s="3">
        <f t="shared" si="7"/>
        <v>0</v>
      </c>
      <c r="R122" s="3">
        <f t="shared" si="8"/>
        <v>8</v>
      </c>
      <c r="S122" s="3">
        <f t="shared" si="9"/>
        <v>176.70000000000005</v>
      </c>
      <c r="T122" s="24"/>
      <c r="U122" s="24"/>
      <c r="V122" s="3"/>
      <c r="W122" s="25" t="s">
        <v>6630</v>
      </c>
      <c r="X122" s="25"/>
      <c r="Y122" s="25" t="str">
        <f>IFERROR(VLOOKUP(C_Ope_002[[#This Row],[NOTA 2]],Clientes_Proveedores[[Ruc / Dni]:[Razon Social]],2,0),"")</f>
        <v/>
      </c>
      <c r="Z122" s="25"/>
      <c r="AA122" s="25"/>
      <c r="AB122" s="3" t="str">
        <f>IF(C_Ope_002[[#This Row],[FECHA]]&gt;0,TEXT(C_Ope_002[[#This Row],[FECHA]],"mmmm"),0)</f>
        <v>Marzo</v>
      </c>
    </row>
    <row r="123" spans="2:28" ht="24" x14ac:dyDescent="0.3">
      <c r="B123" s="2">
        <f>IF(C_Ope_002[[#This Row],[TIPO DE R.]]="R",COUNTIFS($D$4:$D122,"R")+1,"")</f>
        <v>119</v>
      </c>
      <c r="C123" s="19" t="str">
        <f t="shared" si="6"/>
        <v>C_Ope_002</v>
      </c>
      <c r="D123" s="3" t="s">
        <v>1074</v>
      </c>
      <c r="E123" s="14">
        <v>45722</v>
      </c>
      <c r="F123" s="5" t="s">
        <v>6746</v>
      </c>
      <c r="G123" s="5" t="s">
        <v>1079</v>
      </c>
      <c r="H123" s="6"/>
      <c r="I123" s="6" t="s">
        <v>14</v>
      </c>
      <c r="J123" s="6" t="s">
        <v>5243</v>
      </c>
      <c r="K123" s="6">
        <v>2255535</v>
      </c>
      <c r="L123" s="7" t="s">
        <v>6806</v>
      </c>
      <c r="M123" s="8">
        <v>23332</v>
      </c>
      <c r="N123" s="8" t="str">
        <f t="shared" si="10"/>
        <v>PEN</v>
      </c>
      <c r="O123" s="13"/>
      <c r="P123" s="13">
        <v>8</v>
      </c>
      <c r="Q123" s="3">
        <f t="shared" si="7"/>
        <v>0</v>
      </c>
      <c r="R123" s="3">
        <f t="shared" si="8"/>
        <v>8</v>
      </c>
      <c r="S123" s="3">
        <f t="shared" si="9"/>
        <v>168.70000000000005</v>
      </c>
      <c r="T123" s="24"/>
      <c r="U123" s="24"/>
      <c r="V123" s="3"/>
      <c r="W123" s="25" t="s">
        <v>6630</v>
      </c>
      <c r="X123" s="25"/>
      <c r="Y123" s="25" t="str">
        <f>IFERROR(VLOOKUP(C_Ope_002[[#This Row],[NOTA 2]],Clientes_Proveedores[[Ruc / Dni]:[Razon Social]],2,0),"")</f>
        <v/>
      </c>
      <c r="Z123" s="25"/>
      <c r="AA123" s="25"/>
      <c r="AB123" s="3" t="str">
        <f>IF(C_Ope_002[[#This Row],[FECHA]]&gt;0,TEXT(C_Ope_002[[#This Row],[FECHA]],"mmmm"),0)</f>
        <v>Marzo</v>
      </c>
    </row>
    <row r="124" spans="2:28" ht="24" x14ac:dyDescent="0.3">
      <c r="B124" s="2">
        <f>IF(C_Ope_002[[#This Row],[TIPO DE R.]]="R",COUNTIFS($D$4:$D123,"R")+1,"")</f>
        <v>120</v>
      </c>
      <c r="C124" s="19" t="str">
        <f t="shared" si="6"/>
        <v>C_Ope_002</v>
      </c>
      <c r="D124" s="3" t="s">
        <v>1074</v>
      </c>
      <c r="E124" s="14">
        <v>45722</v>
      </c>
      <c r="F124" s="5" t="s">
        <v>6746</v>
      </c>
      <c r="G124" s="5" t="s">
        <v>1079</v>
      </c>
      <c r="H124" s="6"/>
      <c r="I124" s="6" t="s">
        <v>14</v>
      </c>
      <c r="J124" s="6" t="s">
        <v>5242</v>
      </c>
      <c r="K124" s="6">
        <v>1981677</v>
      </c>
      <c r="L124" s="7" t="s">
        <v>6806</v>
      </c>
      <c r="M124" s="8">
        <v>23333</v>
      </c>
      <c r="N124" s="8" t="str">
        <f t="shared" si="10"/>
        <v>PEN</v>
      </c>
      <c r="O124" s="13"/>
      <c r="P124" s="13">
        <v>8</v>
      </c>
      <c r="Q124" s="3">
        <f t="shared" si="7"/>
        <v>0</v>
      </c>
      <c r="R124" s="3">
        <f t="shared" si="8"/>
        <v>8</v>
      </c>
      <c r="S124" s="3">
        <f t="shared" si="9"/>
        <v>160.70000000000005</v>
      </c>
      <c r="T124" s="24"/>
      <c r="U124" s="24"/>
      <c r="V124" s="3"/>
      <c r="W124" s="25" t="s">
        <v>6630</v>
      </c>
      <c r="X124" s="25"/>
      <c r="Y124" s="25" t="str">
        <f>IFERROR(VLOOKUP(C_Ope_002[[#This Row],[NOTA 2]],Clientes_Proveedores[[Ruc / Dni]:[Razon Social]],2,0),"")</f>
        <v/>
      </c>
      <c r="Z124" s="25"/>
      <c r="AA124" s="25"/>
      <c r="AB124" s="3" t="str">
        <f>IF(C_Ope_002[[#This Row],[FECHA]]&gt;0,TEXT(C_Ope_002[[#This Row],[FECHA]],"mmmm"),0)</f>
        <v>Marzo</v>
      </c>
    </row>
    <row r="125" spans="2:28" x14ac:dyDescent="0.3">
      <c r="B125" s="2">
        <f>IF(C_Ope_002[[#This Row],[TIPO DE R.]]="R",COUNTIFS($D$4:$D124,"R")+1,"")</f>
        <v>121</v>
      </c>
      <c r="C125" s="19" t="str">
        <f t="shared" si="6"/>
        <v>C_Ope_002</v>
      </c>
      <c r="D125" s="3" t="s">
        <v>1074</v>
      </c>
      <c r="E125" s="14">
        <v>45723</v>
      </c>
      <c r="F125" s="5" t="s">
        <v>6746</v>
      </c>
      <c r="G125" s="5" t="s">
        <v>1079</v>
      </c>
      <c r="H125" s="6"/>
      <c r="I125" s="6" t="s">
        <v>14</v>
      </c>
      <c r="J125" s="6" t="s">
        <v>5243</v>
      </c>
      <c r="K125" s="6">
        <v>2256863</v>
      </c>
      <c r="L125" s="7" t="s">
        <v>6803</v>
      </c>
      <c r="M125" s="8">
        <v>23328</v>
      </c>
      <c r="N125" s="8" t="str">
        <f t="shared" si="10"/>
        <v>PEN</v>
      </c>
      <c r="O125" s="13"/>
      <c r="P125" s="13">
        <v>8</v>
      </c>
      <c r="Q125" s="3">
        <f t="shared" si="7"/>
        <v>0</v>
      </c>
      <c r="R125" s="3">
        <f t="shared" si="8"/>
        <v>8</v>
      </c>
      <c r="S125" s="3">
        <f t="shared" si="9"/>
        <v>152.70000000000005</v>
      </c>
      <c r="T125" s="24"/>
      <c r="U125" s="24"/>
      <c r="V125" s="3"/>
      <c r="W125" s="25" t="s">
        <v>6630</v>
      </c>
      <c r="X125" s="25"/>
      <c r="Y125" s="25" t="str">
        <f>IFERROR(VLOOKUP(C_Ope_002[[#This Row],[NOTA 2]],Clientes_Proveedores[[Ruc / Dni]:[Razon Social]],2,0),"")</f>
        <v/>
      </c>
      <c r="Z125" s="25"/>
      <c r="AA125" s="25"/>
      <c r="AB125" s="3" t="str">
        <f>IF(C_Ope_002[[#This Row],[FECHA]]&gt;0,TEXT(C_Ope_002[[#This Row],[FECHA]],"mmmm"),0)</f>
        <v>Marzo</v>
      </c>
    </row>
    <row r="126" spans="2:28" x14ac:dyDescent="0.3">
      <c r="B126" s="2">
        <f>IF(C_Ope_002[[#This Row],[TIPO DE R.]]="R",COUNTIFS($D$4:$D125,"R")+1,"")</f>
        <v>122</v>
      </c>
      <c r="C126" s="19" t="str">
        <f t="shared" si="6"/>
        <v>C_Ope_002</v>
      </c>
      <c r="D126" s="3" t="s">
        <v>1074</v>
      </c>
      <c r="E126" s="14">
        <v>45723</v>
      </c>
      <c r="F126" s="5" t="s">
        <v>6746</v>
      </c>
      <c r="G126" s="5" t="s">
        <v>1079</v>
      </c>
      <c r="H126" s="6"/>
      <c r="I126" s="6" t="s">
        <v>14</v>
      </c>
      <c r="J126" s="6" t="s">
        <v>5242</v>
      </c>
      <c r="K126" s="6">
        <v>1982642</v>
      </c>
      <c r="L126" s="7" t="s">
        <v>6803</v>
      </c>
      <c r="M126" s="8">
        <v>23329</v>
      </c>
      <c r="N126" s="8" t="str">
        <f t="shared" si="10"/>
        <v>PEN</v>
      </c>
      <c r="O126" s="13"/>
      <c r="P126" s="13">
        <v>8</v>
      </c>
      <c r="Q126" s="3">
        <f t="shared" si="7"/>
        <v>0</v>
      </c>
      <c r="R126" s="3">
        <f t="shared" si="8"/>
        <v>8</v>
      </c>
      <c r="S126" s="3">
        <f t="shared" si="9"/>
        <v>144.70000000000005</v>
      </c>
      <c r="T126" s="24"/>
      <c r="U126" s="24"/>
      <c r="V126" s="3"/>
      <c r="W126" s="25" t="s">
        <v>6630</v>
      </c>
      <c r="X126" s="25"/>
      <c r="Y126" s="25" t="str">
        <f>IFERROR(VLOOKUP(C_Ope_002[[#This Row],[NOTA 2]],Clientes_Proveedores[[Ruc / Dni]:[Razon Social]],2,0),"")</f>
        <v/>
      </c>
      <c r="Z126" s="25"/>
      <c r="AA126" s="25"/>
      <c r="AB126" s="3" t="str">
        <f>IF(C_Ope_002[[#This Row],[FECHA]]&gt;0,TEXT(C_Ope_002[[#This Row],[FECHA]],"mmmm"),0)</f>
        <v>Marzo</v>
      </c>
    </row>
    <row r="127" spans="2:28" ht="24" x14ac:dyDescent="0.3">
      <c r="B127" s="2">
        <f>IF(C_Ope_002[[#This Row],[TIPO DE R.]]="R",COUNTIFS($D$4:$D126,"R")+1,"")</f>
        <v>123</v>
      </c>
      <c r="C127" s="19" t="str">
        <f t="shared" si="6"/>
        <v>C_Ope_002</v>
      </c>
      <c r="D127" s="3" t="s">
        <v>1074</v>
      </c>
      <c r="E127" s="14">
        <v>45722</v>
      </c>
      <c r="F127" s="5" t="s">
        <v>6746</v>
      </c>
      <c r="G127" s="5" t="s">
        <v>1079</v>
      </c>
      <c r="H127" s="6"/>
      <c r="I127" s="6" t="s">
        <v>14</v>
      </c>
      <c r="J127" s="6" t="s">
        <v>1429</v>
      </c>
      <c r="K127" s="6">
        <v>16051</v>
      </c>
      <c r="L127" s="7" t="s">
        <v>6807</v>
      </c>
      <c r="M127" s="8">
        <v>23331</v>
      </c>
      <c r="N127" s="8" t="str">
        <f t="shared" si="10"/>
        <v>PEN</v>
      </c>
      <c r="O127" s="13"/>
      <c r="P127" s="13">
        <v>30</v>
      </c>
      <c r="Q127" s="3">
        <f t="shared" si="7"/>
        <v>0</v>
      </c>
      <c r="R127" s="3">
        <f t="shared" si="8"/>
        <v>30</v>
      </c>
      <c r="S127" s="3">
        <f t="shared" si="9"/>
        <v>114.70000000000005</v>
      </c>
      <c r="T127" s="24"/>
      <c r="U127" s="24"/>
      <c r="V127" s="3"/>
      <c r="W127" s="25" t="s">
        <v>6630</v>
      </c>
      <c r="X127" s="25"/>
      <c r="Y127" s="25" t="str">
        <f>IFERROR(VLOOKUP(C_Ope_002[[#This Row],[NOTA 2]],Clientes_Proveedores[[Ruc / Dni]:[Razon Social]],2,0),"")</f>
        <v/>
      </c>
      <c r="Z127" s="25"/>
      <c r="AA127" s="25"/>
      <c r="AB127" s="3" t="str">
        <f>IF(C_Ope_002[[#This Row],[FECHA]]&gt;0,TEXT(C_Ope_002[[#This Row],[FECHA]],"mmmm"),0)</f>
        <v>Marzo</v>
      </c>
    </row>
    <row r="128" spans="2:28" x14ac:dyDescent="0.3">
      <c r="B128" s="2">
        <f>IF(C_Ope_002[[#This Row],[TIPO DE R.]]="R",COUNTIFS($D$4:$D127,"R")+1,"")</f>
        <v>124</v>
      </c>
      <c r="C128" s="19" t="str">
        <f t="shared" si="6"/>
        <v>C_Ope_002</v>
      </c>
      <c r="D128" s="3" t="s">
        <v>1074</v>
      </c>
      <c r="E128" s="14">
        <v>45723</v>
      </c>
      <c r="F128" s="5" t="s">
        <v>6746</v>
      </c>
      <c r="G128" s="5" t="s">
        <v>1079</v>
      </c>
      <c r="H128" s="6"/>
      <c r="I128" s="6" t="s">
        <v>14</v>
      </c>
      <c r="J128" s="6" t="s">
        <v>1119</v>
      </c>
      <c r="K128" s="6">
        <v>16733</v>
      </c>
      <c r="L128" s="7" t="s">
        <v>6808</v>
      </c>
      <c r="M128" s="8">
        <v>23330</v>
      </c>
      <c r="N128" s="8" t="str">
        <f t="shared" si="10"/>
        <v>PEN</v>
      </c>
      <c r="O128" s="13"/>
      <c r="P128" s="13">
        <v>30</v>
      </c>
      <c r="Q128" s="3">
        <f t="shared" si="7"/>
        <v>0</v>
      </c>
      <c r="R128" s="3">
        <f t="shared" si="8"/>
        <v>30</v>
      </c>
      <c r="S128" s="3">
        <f t="shared" si="9"/>
        <v>84.700000000000045</v>
      </c>
      <c r="T128" s="24"/>
      <c r="U128" s="24"/>
      <c r="V128" s="3"/>
      <c r="W128" s="25" t="s">
        <v>6630</v>
      </c>
      <c r="X128" s="25"/>
      <c r="Y128" s="25" t="str">
        <f>IFERROR(VLOOKUP(C_Ope_002[[#This Row],[NOTA 2]],Clientes_Proveedores[[Ruc / Dni]:[Razon Social]],2,0),"")</f>
        <v/>
      </c>
      <c r="Z128" s="25"/>
      <c r="AA128" s="25"/>
      <c r="AB128" s="3" t="str">
        <f>IF(C_Ope_002[[#This Row],[FECHA]]&gt;0,TEXT(C_Ope_002[[#This Row],[FECHA]],"mmmm"),0)</f>
        <v>Marzo</v>
      </c>
    </row>
    <row r="129" spans="2:28" x14ac:dyDescent="0.3">
      <c r="B129" s="2">
        <f>IF(C_Ope_002[[#This Row],[TIPO DE R.]]="R",COUNTIFS($D$4:$D128,"R")+1,"")</f>
        <v>125</v>
      </c>
      <c r="C129" s="19" t="str">
        <f t="shared" si="6"/>
        <v>C_Ope_002</v>
      </c>
      <c r="D129" s="3" t="s">
        <v>1074</v>
      </c>
      <c r="E129" s="14">
        <v>45727</v>
      </c>
      <c r="F129" s="5"/>
      <c r="G129" s="5" t="s">
        <v>1087</v>
      </c>
      <c r="H129" s="6"/>
      <c r="I129" s="6"/>
      <c r="J129" s="6"/>
      <c r="K129" s="6"/>
      <c r="L129" s="7" t="s">
        <v>6302</v>
      </c>
      <c r="M129" s="8">
        <v>23472</v>
      </c>
      <c r="N129" s="8" t="str">
        <f t="shared" si="10"/>
        <v>PEN</v>
      </c>
      <c r="O129" s="13"/>
      <c r="P129" s="13">
        <v>120</v>
      </c>
      <c r="Q129" s="3">
        <f t="shared" si="7"/>
        <v>120</v>
      </c>
      <c r="R129" s="3">
        <f t="shared" si="8"/>
        <v>0</v>
      </c>
      <c r="S129" s="3">
        <f t="shared" si="9"/>
        <v>204.70000000000005</v>
      </c>
      <c r="T129" s="24"/>
      <c r="U129" s="24"/>
      <c r="V129" s="3"/>
      <c r="W129" s="25"/>
      <c r="X129" s="25"/>
      <c r="Y129" s="25" t="str">
        <f>IFERROR(VLOOKUP(C_Ope_002[[#This Row],[NOTA 2]],Clientes_Proveedores[[Ruc / Dni]:[Razon Social]],2,0),"")</f>
        <v/>
      </c>
      <c r="Z129" s="25"/>
      <c r="AA129" s="25"/>
      <c r="AB129" s="3" t="str">
        <f>IF(C_Ope_002[[#This Row],[FECHA]]&gt;0,TEXT(C_Ope_002[[#This Row],[FECHA]],"mmmm"),0)</f>
        <v>Marzo</v>
      </c>
    </row>
    <row r="130" spans="2:28" ht="24" x14ac:dyDescent="0.3">
      <c r="B130" s="2">
        <f>IF(C_Ope_002[[#This Row],[TIPO DE R.]]="R",COUNTIFS($D$4:$D129,"R")+1,"")</f>
        <v>126</v>
      </c>
      <c r="C130" s="19" t="str">
        <f t="shared" si="6"/>
        <v>C_Ope_002</v>
      </c>
      <c r="D130" s="3" t="s">
        <v>1074</v>
      </c>
      <c r="E130" s="14">
        <v>45726</v>
      </c>
      <c r="F130" s="5" t="s">
        <v>6746</v>
      </c>
      <c r="G130" s="5" t="s">
        <v>1079</v>
      </c>
      <c r="H130" s="6"/>
      <c r="I130" s="6" t="s">
        <v>14</v>
      </c>
      <c r="J130" s="6" t="s">
        <v>5245</v>
      </c>
      <c r="K130" s="6">
        <v>1695490</v>
      </c>
      <c r="L130" s="7" t="s">
        <v>6809</v>
      </c>
      <c r="M130" s="8">
        <v>23408</v>
      </c>
      <c r="N130" s="8" t="str">
        <f t="shared" si="10"/>
        <v>PEN</v>
      </c>
      <c r="O130" s="13"/>
      <c r="P130" s="13">
        <v>8</v>
      </c>
      <c r="Q130" s="3">
        <f t="shared" si="7"/>
        <v>0</v>
      </c>
      <c r="R130" s="3">
        <f t="shared" si="8"/>
        <v>8</v>
      </c>
      <c r="S130" s="3">
        <f t="shared" si="9"/>
        <v>196.70000000000005</v>
      </c>
      <c r="T130" s="24"/>
      <c r="U130" s="24"/>
      <c r="V130" s="3"/>
      <c r="W130" s="25" t="s">
        <v>6630</v>
      </c>
      <c r="X130" s="25"/>
      <c r="Y130" s="25" t="str">
        <f>IFERROR(VLOOKUP(C_Ope_002[[#This Row],[NOTA 2]],Clientes_Proveedores[[Ruc / Dni]:[Razon Social]],2,0),"")</f>
        <v/>
      </c>
      <c r="Z130" s="25"/>
      <c r="AA130" s="25"/>
      <c r="AB130" s="3" t="str">
        <f>IF(C_Ope_002[[#This Row],[FECHA]]&gt;0,TEXT(C_Ope_002[[#This Row],[FECHA]],"mmmm"),0)</f>
        <v>Marzo</v>
      </c>
    </row>
    <row r="131" spans="2:28" ht="24" x14ac:dyDescent="0.3">
      <c r="B131" s="2">
        <f>IF(C_Ope_002[[#This Row],[TIPO DE R.]]="R",COUNTIFS($D$4:$D130,"R")+1,"")</f>
        <v>127</v>
      </c>
      <c r="C131" s="19" t="str">
        <f t="shared" si="6"/>
        <v>C_Ope_002</v>
      </c>
      <c r="D131" s="3" t="s">
        <v>1074</v>
      </c>
      <c r="E131" s="14">
        <v>45726</v>
      </c>
      <c r="F131" s="5" t="s">
        <v>6746</v>
      </c>
      <c r="G131" s="5" t="s">
        <v>1079</v>
      </c>
      <c r="H131" s="6"/>
      <c r="I131" s="6" t="s">
        <v>14</v>
      </c>
      <c r="J131" s="6" t="s">
        <v>5280</v>
      </c>
      <c r="K131" s="6">
        <v>1017801</v>
      </c>
      <c r="L131" s="7" t="s">
        <v>6809</v>
      </c>
      <c r="M131" s="8">
        <v>23409</v>
      </c>
      <c r="N131" s="8" t="str">
        <f t="shared" si="10"/>
        <v>PEN</v>
      </c>
      <c r="O131" s="13"/>
      <c r="P131" s="13">
        <v>8</v>
      </c>
      <c r="Q131" s="3">
        <f t="shared" si="7"/>
        <v>0</v>
      </c>
      <c r="R131" s="3">
        <f t="shared" si="8"/>
        <v>8</v>
      </c>
      <c r="S131" s="3">
        <f t="shared" si="9"/>
        <v>188.70000000000005</v>
      </c>
      <c r="T131" s="24"/>
      <c r="U131" s="24"/>
      <c r="V131" s="3"/>
      <c r="W131" s="25" t="s">
        <v>6630</v>
      </c>
      <c r="X131" s="25"/>
      <c r="Y131" s="25" t="str">
        <f>IFERROR(VLOOKUP(C_Ope_002[[#This Row],[NOTA 2]],Clientes_Proveedores[[Ruc / Dni]:[Razon Social]],2,0),"")</f>
        <v/>
      </c>
      <c r="Z131" s="25"/>
      <c r="AA131" s="25"/>
      <c r="AB131" s="3" t="str">
        <f>IF(C_Ope_002[[#This Row],[FECHA]]&gt;0,TEXT(C_Ope_002[[#This Row],[FECHA]],"mmmm"),0)</f>
        <v>Marzo</v>
      </c>
    </row>
    <row r="132" spans="2:28" ht="24" x14ac:dyDescent="0.3">
      <c r="B132" s="2">
        <f>IF(C_Ope_002[[#This Row],[TIPO DE R.]]="R",COUNTIFS($D$4:$D131,"R")+1,"")</f>
        <v>128</v>
      </c>
      <c r="C132" s="19" t="str">
        <f t="shared" si="6"/>
        <v>C_Ope_002</v>
      </c>
      <c r="D132" s="3" t="s">
        <v>1074</v>
      </c>
      <c r="E132" s="14">
        <v>45726</v>
      </c>
      <c r="F132" s="5" t="s">
        <v>6746</v>
      </c>
      <c r="G132" s="5" t="s">
        <v>1079</v>
      </c>
      <c r="H132" s="6"/>
      <c r="I132" s="6" t="s">
        <v>14</v>
      </c>
      <c r="J132" s="6" t="s">
        <v>6556</v>
      </c>
      <c r="K132" s="6">
        <v>457521</v>
      </c>
      <c r="L132" s="7" t="s">
        <v>6809</v>
      </c>
      <c r="M132" s="8">
        <v>23410</v>
      </c>
      <c r="N132" s="8" t="str">
        <f t="shared" si="10"/>
        <v>PEN</v>
      </c>
      <c r="O132" s="13"/>
      <c r="P132" s="13">
        <v>8</v>
      </c>
      <c r="Q132" s="3">
        <f t="shared" si="7"/>
        <v>0</v>
      </c>
      <c r="R132" s="3">
        <f t="shared" si="8"/>
        <v>8</v>
      </c>
      <c r="S132" s="3">
        <f t="shared" si="9"/>
        <v>180.70000000000005</v>
      </c>
      <c r="T132" s="24"/>
      <c r="U132" s="24"/>
      <c r="V132" s="3"/>
      <c r="W132" s="25" t="s">
        <v>6630</v>
      </c>
      <c r="X132" s="25"/>
      <c r="Y132" s="25" t="str">
        <f>IFERROR(VLOOKUP(C_Ope_002[[#This Row],[NOTA 2]],Clientes_Proveedores[[Ruc / Dni]:[Razon Social]],2,0),"")</f>
        <v/>
      </c>
      <c r="Z132" s="25"/>
      <c r="AA132" s="25"/>
      <c r="AB132" s="3" t="str">
        <f>IF(C_Ope_002[[#This Row],[FECHA]]&gt;0,TEXT(C_Ope_002[[#This Row],[FECHA]],"mmmm"),0)</f>
        <v>Marzo</v>
      </c>
    </row>
    <row r="133" spans="2:28" ht="24" x14ac:dyDescent="0.3">
      <c r="B133" s="2">
        <f>IF(C_Ope_002[[#This Row],[TIPO DE R.]]="R",COUNTIFS($D$4:$D132,"R")+1,"")</f>
        <v>129</v>
      </c>
      <c r="C133" s="19" t="str">
        <f t="shared" ref="C133:C196" si="11">"C_Ope_002"</f>
        <v>C_Ope_002</v>
      </c>
      <c r="D133" s="3" t="s">
        <v>1074</v>
      </c>
      <c r="E133" s="14">
        <v>45726</v>
      </c>
      <c r="F133" s="5" t="s">
        <v>6746</v>
      </c>
      <c r="G133" s="5" t="s">
        <v>1079</v>
      </c>
      <c r="H133" s="6"/>
      <c r="I133" s="6" t="s">
        <v>14</v>
      </c>
      <c r="J133" s="6" t="s">
        <v>5243</v>
      </c>
      <c r="K133" s="6">
        <v>2259726</v>
      </c>
      <c r="L133" s="7" t="s">
        <v>6809</v>
      </c>
      <c r="M133" s="8">
        <v>23411</v>
      </c>
      <c r="N133" s="8" t="str">
        <f t="shared" si="10"/>
        <v>PEN</v>
      </c>
      <c r="O133" s="13"/>
      <c r="P133" s="13">
        <v>8</v>
      </c>
      <c r="Q133" s="3">
        <f t="shared" ref="Q133:Q196" si="12">+IF(OR($G133="SALDO",$G133="INGRESO"),$P133,0)</f>
        <v>0</v>
      </c>
      <c r="R133" s="3">
        <f t="shared" ref="R133:R196" si="13">+IF($G133="EGRESO",$P133,0)</f>
        <v>8</v>
      </c>
      <c r="S133" s="3">
        <f t="shared" ref="S133:S196" si="14">IFERROR(IF(G133="SALDO",Q133,S132+Q133-R133),0)</f>
        <v>172.70000000000005</v>
      </c>
      <c r="T133" s="24"/>
      <c r="U133" s="24"/>
      <c r="V133" s="3"/>
      <c r="W133" s="25" t="s">
        <v>6630</v>
      </c>
      <c r="X133" s="25"/>
      <c r="Y133" s="25" t="str">
        <f>IFERROR(VLOOKUP(C_Ope_002[[#This Row],[NOTA 2]],Clientes_Proveedores[[Ruc / Dni]:[Razon Social]],2,0),"")</f>
        <v/>
      </c>
      <c r="Z133" s="25"/>
      <c r="AA133" s="25"/>
      <c r="AB133" s="3" t="str">
        <f>IF(C_Ope_002[[#This Row],[FECHA]]&gt;0,TEXT(C_Ope_002[[#This Row],[FECHA]],"mmmm"),0)</f>
        <v>Marzo</v>
      </c>
    </row>
    <row r="134" spans="2:28" x14ac:dyDescent="0.3">
      <c r="B134" s="2">
        <f>IF(C_Ope_002[[#This Row],[TIPO DE R.]]="R",COUNTIFS($D$4:$D133,"R")+1,"")</f>
        <v>130</v>
      </c>
      <c r="C134" s="19" t="str">
        <f t="shared" si="11"/>
        <v>C_Ope_002</v>
      </c>
      <c r="D134" s="3" t="s">
        <v>1074</v>
      </c>
      <c r="E134" s="14">
        <v>45727</v>
      </c>
      <c r="F134" s="5" t="s">
        <v>6746</v>
      </c>
      <c r="G134" s="5" t="s">
        <v>1079</v>
      </c>
      <c r="H134" s="6"/>
      <c r="I134" s="6" t="s">
        <v>14</v>
      </c>
      <c r="J134" s="6" t="s">
        <v>5242</v>
      </c>
      <c r="K134" s="6">
        <v>1986703</v>
      </c>
      <c r="L134" s="7" t="s">
        <v>6810</v>
      </c>
      <c r="M134" s="8">
        <v>23412</v>
      </c>
      <c r="N134" s="8" t="str">
        <f t="shared" ref="N134:N197" si="15">"PEN"</f>
        <v>PEN</v>
      </c>
      <c r="O134" s="13"/>
      <c r="P134" s="13">
        <v>8</v>
      </c>
      <c r="Q134" s="3">
        <f t="shared" si="12"/>
        <v>0</v>
      </c>
      <c r="R134" s="3">
        <f t="shared" si="13"/>
        <v>8</v>
      </c>
      <c r="S134" s="3">
        <f t="shared" si="14"/>
        <v>164.70000000000005</v>
      </c>
      <c r="T134" s="24"/>
      <c r="U134" s="24"/>
      <c r="V134" s="3"/>
      <c r="W134" s="25" t="s">
        <v>6630</v>
      </c>
      <c r="X134" s="25"/>
      <c r="Y134" s="25" t="str">
        <f>IFERROR(VLOOKUP(C_Ope_002[[#This Row],[NOTA 2]],Clientes_Proveedores[[Ruc / Dni]:[Razon Social]],2,0),"")</f>
        <v/>
      </c>
      <c r="Z134" s="25"/>
      <c r="AA134" s="25"/>
      <c r="AB134" s="3" t="str">
        <f>IF(C_Ope_002[[#This Row],[FECHA]]&gt;0,TEXT(C_Ope_002[[#This Row],[FECHA]],"mmmm"),0)</f>
        <v>Marzo</v>
      </c>
    </row>
    <row r="135" spans="2:28" x14ac:dyDescent="0.3">
      <c r="B135" s="2">
        <f>IF(C_Ope_002[[#This Row],[TIPO DE R.]]="R",COUNTIFS($D$4:$D134,"R")+1,"")</f>
        <v>131</v>
      </c>
      <c r="C135" s="19" t="str">
        <f t="shared" si="11"/>
        <v>C_Ope_002</v>
      </c>
      <c r="D135" s="3" t="s">
        <v>1074</v>
      </c>
      <c r="E135" s="14">
        <v>45727</v>
      </c>
      <c r="F135" s="5" t="s">
        <v>6746</v>
      </c>
      <c r="G135" s="5" t="s">
        <v>1079</v>
      </c>
      <c r="H135" s="6"/>
      <c r="I135" s="6" t="s">
        <v>14</v>
      </c>
      <c r="J135" s="6" t="s">
        <v>5244</v>
      </c>
      <c r="K135" s="6">
        <v>1676615</v>
      </c>
      <c r="L135" s="7" t="s">
        <v>6810</v>
      </c>
      <c r="M135" s="8">
        <v>23413</v>
      </c>
      <c r="N135" s="8" t="str">
        <f t="shared" si="15"/>
        <v>PEN</v>
      </c>
      <c r="O135" s="13"/>
      <c r="P135" s="13">
        <v>8</v>
      </c>
      <c r="Q135" s="3">
        <f t="shared" si="12"/>
        <v>0</v>
      </c>
      <c r="R135" s="3">
        <f t="shared" si="13"/>
        <v>8</v>
      </c>
      <c r="S135" s="3">
        <f t="shared" si="14"/>
        <v>156.70000000000005</v>
      </c>
      <c r="T135" s="24"/>
      <c r="U135" s="24"/>
      <c r="V135" s="3"/>
      <c r="W135" s="25" t="s">
        <v>6630</v>
      </c>
      <c r="X135" s="25"/>
      <c r="Y135" s="25" t="str">
        <f>IFERROR(VLOOKUP(C_Ope_002[[#This Row],[NOTA 2]],Clientes_Proveedores[[Ruc / Dni]:[Razon Social]],2,0),"")</f>
        <v/>
      </c>
      <c r="Z135" s="25"/>
      <c r="AA135" s="25"/>
      <c r="AB135" s="3" t="str">
        <f>IF(C_Ope_002[[#This Row],[FECHA]]&gt;0,TEXT(C_Ope_002[[#This Row],[FECHA]],"mmmm"),0)</f>
        <v>Marzo</v>
      </c>
    </row>
    <row r="136" spans="2:28" ht="24" x14ac:dyDescent="0.3">
      <c r="B136" s="2">
        <f>IF(C_Ope_002[[#This Row],[TIPO DE R.]]="R",COUNTIFS($D$4:$D135,"R")+1,"")</f>
        <v>132</v>
      </c>
      <c r="C136" s="19" t="str">
        <f t="shared" si="11"/>
        <v>C_Ope_002</v>
      </c>
      <c r="D136" s="3" t="s">
        <v>1074</v>
      </c>
      <c r="E136" s="14">
        <v>45728</v>
      </c>
      <c r="F136" s="5" t="s">
        <v>6746</v>
      </c>
      <c r="G136" s="5" t="s">
        <v>1079</v>
      </c>
      <c r="H136" s="6"/>
      <c r="I136" s="6" t="s">
        <v>14</v>
      </c>
      <c r="J136" s="6" t="s">
        <v>5245</v>
      </c>
      <c r="K136" s="6">
        <v>1696894</v>
      </c>
      <c r="L136" s="7" t="s">
        <v>6811</v>
      </c>
      <c r="M136" s="8">
        <v>23416</v>
      </c>
      <c r="N136" s="8" t="str">
        <f t="shared" si="15"/>
        <v>PEN</v>
      </c>
      <c r="O136" s="13"/>
      <c r="P136" s="13">
        <v>8</v>
      </c>
      <c r="Q136" s="3">
        <f t="shared" si="12"/>
        <v>0</v>
      </c>
      <c r="R136" s="3">
        <f t="shared" si="13"/>
        <v>8</v>
      </c>
      <c r="S136" s="3">
        <f t="shared" si="14"/>
        <v>148.70000000000005</v>
      </c>
      <c r="T136" s="24"/>
      <c r="U136" s="24"/>
      <c r="V136" s="3"/>
      <c r="W136" s="25" t="s">
        <v>6630</v>
      </c>
      <c r="X136" s="25"/>
      <c r="Y136" s="25" t="str">
        <f>IFERROR(VLOOKUP(C_Ope_002[[#This Row],[NOTA 2]],Clientes_Proveedores[[Ruc / Dni]:[Razon Social]],2,0),"")</f>
        <v/>
      </c>
      <c r="Z136" s="25"/>
      <c r="AA136" s="25"/>
      <c r="AB136" s="3" t="str">
        <f>IF(C_Ope_002[[#This Row],[FECHA]]&gt;0,TEXT(C_Ope_002[[#This Row],[FECHA]],"mmmm"),0)</f>
        <v>Marzo</v>
      </c>
    </row>
    <row r="137" spans="2:28" ht="24" x14ac:dyDescent="0.3">
      <c r="B137" s="2">
        <f>IF(C_Ope_002[[#This Row],[TIPO DE R.]]="R",COUNTIFS($D$4:$D136,"R")+1,"")</f>
        <v>133</v>
      </c>
      <c r="C137" s="19" t="str">
        <f t="shared" si="11"/>
        <v>C_Ope_002</v>
      </c>
      <c r="D137" s="3" t="s">
        <v>1074</v>
      </c>
      <c r="E137" s="14">
        <v>45728</v>
      </c>
      <c r="F137" s="5" t="s">
        <v>6746</v>
      </c>
      <c r="G137" s="5" t="s">
        <v>1079</v>
      </c>
      <c r="H137" s="6"/>
      <c r="I137" s="6" t="s">
        <v>14</v>
      </c>
      <c r="J137" s="6" t="s">
        <v>5243</v>
      </c>
      <c r="K137" s="6">
        <v>2262394</v>
      </c>
      <c r="L137" s="7" t="s">
        <v>6811</v>
      </c>
      <c r="M137" s="8">
        <v>23417</v>
      </c>
      <c r="N137" s="8" t="str">
        <f t="shared" si="15"/>
        <v>PEN</v>
      </c>
      <c r="O137" s="13"/>
      <c r="P137" s="13">
        <v>8</v>
      </c>
      <c r="Q137" s="3">
        <f t="shared" si="12"/>
        <v>0</v>
      </c>
      <c r="R137" s="3">
        <f t="shared" si="13"/>
        <v>8</v>
      </c>
      <c r="S137" s="3">
        <f t="shared" si="14"/>
        <v>140.70000000000005</v>
      </c>
      <c r="T137" s="24"/>
      <c r="U137" s="24"/>
      <c r="V137" s="3"/>
      <c r="W137" s="25" t="s">
        <v>6630</v>
      </c>
      <c r="X137" s="25"/>
      <c r="Y137" s="25" t="str">
        <f>IFERROR(VLOOKUP(C_Ope_002[[#This Row],[NOTA 2]],Clientes_Proveedores[[Ruc / Dni]:[Razon Social]],2,0),"")</f>
        <v/>
      </c>
      <c r="Z137" s="25"/>
      <c r="AA137" s="25"/>
      <c r="AB137" s="3" t="str">
        <f>IF(C_Ope_002[[#This Row],[FECHA]]&gt;0,TEXT(C_Ope_002[[#This Row],[FECHA]],"mmmm"),0)</f>
        <v>Marzo</v>
      </c>
    </row>
    <row r="138" spans="2:28" ht="24" x14ac:dyDescent="0.3">
      <c r="B138" s="2">
        <f>IF(C_Ope_002[[#This Row],[TIPO DE R.]]="R",COUNTIFS($D$4:$D137,"R")+1,"")</f>
        <v>134</v>
      </c>
      <c r="C138" s="19" t="str">
        <f t="shared" si="11"/>
        <v>C_Ope_002</v>
      </c>
      <c r="D138" s="3" t="s">
        <v>1074</v>
      </c>
      <c r="E138" s="14">
        <v>45730</v>
      </c>
      <c r="F138" s="5" t="s">
        <v>6746</v>
      </c>
      <c r="G138" s="5" t="s">
        <v>1079</v>
      </c>
      <c r="H138" s="6"/>
      <c r="I138" s="6" t="s">
        <v>14</v>
      </c>
      <c r="J138" s="6" t="s">
        <v>5242</v>
      </c>
      <c r="K138" s="6">
        <v>1989953</v>
      </c>
      <c r="L138" s="7" t="s">
        <v>6812</v>
      </c>
      <c r="M138" s="8">
        <v>23496</v>
      </c>
      <c r="N138" s="8" t="str">
        <f t="shared" si="15"/>
        <v>PEN</v>
      </c>
      <c r="O138" s="13"/>
      <c r="P138" s="13">
        <v>8</v>
      </c>
      <c r="Q138" s="3">
        <f t="shared" si="12"/>
        <v>0</v>
      </c>
      <c r="R138" s="3">
        <f t="shared" si="13"/>
        <v>8</v>
      </c>
      <c r="S138" s="3">
        <f t="shared" si="14"/>
        <v>132.70000000000005</v>
      </c>
      <c r="T138" s="24"/>
      <c r="U138" s="24"/>
      <c r="V138" s="3"/>
      <c r="W138" s="25" t="s">
        <v>6813</v>
      </c>
      <c r="X138" s="25"/>
      <c r="Y138" s="25" t="str">
        <f>IFERROR(VLOOKUP(C_Ope_002[[#This Row],[NOTA 2]],Clientes_Proveedores[[Ruc / Dni]:[Razon Social]],2,0),"")</f>
        <v/>
      </c>
      <c r="Z138" s="25"/>
      <c r="AA138" s="25"/>
      <c r="AB138" s="3" t="str">
        <f>IF(C_Ope_002[[#This Row],[FECHA]]&gt;0,TEXT(C_Ope_002[[#This Row],[FECHA]],"mmmm"),0)</f>
        <v>Marzo</v>
      </c>
    </row>
    <row r="139" spans="2:28" ht="24" x14ac:dyDescent="0.3">
      <c r="B139" s="2">
        <f>IF(C_Ope_002[[#This Row],[TIPO DE R.]]="R",COUNTIFS($D$4:$D138,"R")+1,"")</f>
        <v>135</v>
      </c>
      <c r="C139" s="19" t="str">
        <f t="shared" si="11"/>
        <v>C_Ope_002</v>
      </c>
      <c r="D139" s="3" t="s">
        <v>1074</v>
      </c>
      <c r="E139" s="14">
        <v>45730</v>
      </c>
      <c r="F139" s="5" t="s">
        <v>6746</v>
      </c>
      <c r="G139" s="5" t="s">
        <v>1079</v>
      </c>
      <c r="H139" s="6"/>
      <c r="I139" s="6" t="s">
        <v>14</v>
      </c>
      <c r="J139" s="6" t="s">
        <v>5280</v>
      </c>
      <c r="K139" s="6">
        <v>1020201</v>
      </c>
      <c r="L139" s="7" t="s">
        <v>6814</v>
      </c>
      <c r="M139" s="8">
        <v>23497</v>
      </c>
      <c r="N139" s="8" t="str">
        <f t="shared" si="15"/>
        <v>PEN</v>
      </c>
      <c r="O139" s="13"/>
      <c r="P139" s="13">
        <v>8</v>
      </c>
      <c r="Q139" s="3">
        <f t="shared" si="12"/>
        <v>0</v>
      </c>
      <c r="R139" s="3">
        <f t="shared" si="13"/>
        <v>8</v>
      </c>
      <c r="S139" s="3">
        <f t="shared" si="14"/>
        <v>124.70000000000005</v>
      </c>
      <c r="T139" s="24"/>
      <c r="U139" s="24"/>
      <c r="V139" s="3"/>
      <c r="W139" s="25" t="s">
        <v>6813</v>
      </c>
      <c r="X139" s="25"/>
      <c r="Y139" s="25" t="str">
        <f>IFERROR(VLOOKUP(C_Ope_002[[#This Row],[NOTA 2]],Clientes_Proveedores[[Ruc / Dni]:[Razon Social]],2,0),"")</f>
        <v/>
      </c>
      <c r="Z139" s="25"/>
      <c r="AA139" s="25"/>
      <c r="AB139" s="3" t="str">
        <f>IF(C_Ope_002[[#This Row],[FECHA]]&gt;0,TEXT(C_Ope_002[[#This Row],[FECHA]],"mmmm"),0)</f>
        <v>Marzo</v>
      </c>
    </row>
    <row r="140" spans="2:28" ht="24" x14ac:dyDescent="0.3">
      <c r="B140" s="2">
        <f>IF(C_Ope_002[[#This Row],[TIPO DE R.]]="R",COUNTIFS($D$4:$D139,"R")+1,"")</f>
        <v>136</v>
      </c>
      <c r="C140" s="19" t="str">
        <f t="shared" si="11"/>
        <v>C_Ope_002</v>
      </c>
      <c r="D140" s="3" t="s">
        <v>1074</v>
      </c>
      <c r="E140" s="14">
        <v>45730</v>
      </c>
      <c r="F140" s="5" t="s">
        <v>6746</v>
      </c>
      <c r="G140" s="5" t="s">
        <v>1079</v>
      </c>
      <c r="H140" s="6"/>
      <c r="I140" s="6" t="s">
        <v>14</v>
      </c>
      <c r="J140" s="6" t="s">
        <v>5281</v>
      </c>
      <c r="K140" s="6">
        <v>937608</v>
      </c>
      <c r="L140" s="7" t="s">
        <v>6814</v>
      </c>
      <c r="M140" s="8">
        <v>23498</v>
      </c>
      <c r="N140" s="8" t="str">
        <f t="shared" si="15"/>
        <v>PEN</v>
      </c>
      <c r="O140" s="13"/>
      <c r="P140" s="13">
        <v>8</v>
      </c>
      <c r="Q140" s="3">
        <f t="shared" si="12"/>
        <v>0</v>
      </c>
      <c r="R140" s="3">
        <f t="shared" si="13"/>
        <v>8</v>
      </c>
      <c r="S140" s="3">
        <f t="shared" si="14"/>
        <v>116.70000000000005</v>
      </c>
      <c r="T140" s="24"/>
      <c r="U140" s="24"/>
      <c r="V140" s="3"/>
      <c r="W140" s="25" t="s">
        <v>6813</v>
      </c>
      <c r="X140" s="25"/>
      <c r="Y140" s="25" t="str">
        <f>IFERROR(VLOOKUP(C_Ope_002[[#This Row],[NOTA 2]],Clientes_Proveedores[[Ruc / Dni]:[Razon Social]],2,0),"")</f>
        <v/>
      </c>
      <c r="Z140" s="25"/>
      <c r="AA140" s="25"/>
      <c r="AB140" s="3" t="str">
        <f>IF(C_Ope_002[[#This Row],[FECHA]]&gt;0,TEXT(C_Ope_002[[#This Row],[FECHA]],"mmmm"),0)</f>
        <v>Marzo</v>
      </c>
    </row>
    <row r="141" spans="2:28" ht="24" x14ac:dyDescent="0.3">
      <c r="B141" s="2">
        <f>IF(C_Ope_002[[#This Row],[TIPO DE R.]]="R",COUNTIFS($D$4:$D140,"R")+1,"")</f>
        <v>137</v>
      </c>
      <c r="C141" s="19" t="str">
        <f t="shared" si="11"/>
        <v>C_Ope_002</v>
      </c>
      <c r="D141" s="3" t="s">
        <v>1074</v>
      </c>
      <c r="E141" s="14">
        <v>45730</v>
      </c>
      <c r="F141" s="5" t="s">
        <v>6746</v>
      </c>
      <c r="G141" s="5" t="s">
        <v>1079</v>
      </c>
      <c r="H141" s="6"/>
      <c r="I141" s="6" t="s">
        <v>14</v>
      </c>
      <c r="J141" s="6" t="s">
        <v>5243</v>
      </c>
      <c r="K141" s="6">
        <v>2264532</v>
      </c>
      <c r="L141" s="7" t="s">
        <v>6812</v>
      </c>
      <c r="M141" s="8">
        <v>23499</v>
      </c>
      <c r="N141" s="8" t="str">
        <f t="shared" si="15"/>
        <v>PEN</v>
      </c>
      <c r="O141" s="13"/>
      <c r="P141" s="13">
        <v>8</v>
      </c>
      <c r="Q141" s="3">
        <f t="shared" si="12"/>
        <v>0</v>
      </c>
      <c r="R141" s="3">
        <f t="shared" si="13"/>
        <v>8</v>
      </c>
      <c r="S141" s="3">
        <f t="shared" si="14"/>
        <v>108.70000000000005</v>
      </c>
      <c r="T141" s="24"/>
      <c r="U141" s="24"/>
      <c r="V141" s="3"/>
      <c r="W141" s="25" t="s">
        <v>6813</v>
      </c>
      <c r="X141" s="25"/>
      <c r="Y141" s="25" t="str">
        <f>IFERROR(VLOOKUP(C_Ope_002[[#This Row],[NOTA 2]],Clientes_Proveedores[[Ruc / Dni]:[Razon Social]],2,0),"")</f>
        <v/>
      </c>
      <c r="Z141" s="25"/>
      <c r="AA141" s="25"/>
      <c r="AB141" s="3" t="str">
        <f>IF(C_Ope_002[[#This Row],[FECHA]]&gt;0,TEXT(C_Ope_002[[#This Row],[FECHA]],"mmmm"),0)</f>
        <v>Marzo</v>
      </c>
    </row>
    <row r="142" spans="2:28" x14ac:dyDescent="0.3">
      <c r="B142" s="2">
        <f>IF(C_Ope_002[[#This Row],[TIPO DE R.]]="R",COUNTIFS($D$4:$D141,"R")+1,"")</f>
        <v>138</v>
      </c>
      <c r="C142" s="19" t="str">
        <f t="shared" si="11"/>
        <v>C_Ope_002</v>
      </c>
      <c r="D142" s="3" t="s">
        <v>1074</v>
      </c>
      <c r="E142" s="14">
        <v>45727</v>
      </c>
      <c r="F142" s="5" t="s">
        <v>6746</v>
      </c>
      <c r="G142" s="5" t="s">
        <v>1079</v>
      </c>
      <c r="H142" s="6"/>
      <c r="I142" s="6" t="s">
        <v>14</v>
      </c>
      <c r="J142" s="6" t="s">
        <v>1097</v>
      </c>
      <c r="K142" s="6">
        <v>15849</v>
      </c>
      <c r="L142" s="7" t="s">
        <v>6792</v>
      </c>
      <c r="M142" s="8">
        <v>23414</v>
      </c>
      <c r="N142" s="8" t="str">
        <f t="shared" si="15"/>
        <v>PEN</v>
      </c>
      <c r="O142" s="13"/>
      <c r="P142" s="13">
        <v>20</v>
      </c>
      <c r="Q142" s="3">
        <f t="shared" si="12"/>
        <v>0</v>
      </c>
      <c r="R142" s="3">
        <f t="shared" si="13"/>
        <v>20</v>
      </c>
      <c r="S142" s="3">
        <f t="shared" si="14"/>
        <v>88.700000000000045</v>
      </c>
      <c r="T142" s="24"/>
      <c r="U142" s="24"/>
      <c r="V142" s="3"/>
      <c r="W142" s="25" t="s">
        <v>6630</v>
      </c>
      <c r="X142" s="25"/>
      <c r="Y142" s="25" t="str">
        <f>IFERROR(VLOOKUP(C_Ope_002[[#This Row],[NOTA 2]],Clientes_Proveedores[[Ruc / Dni]:[Razon Social]],2,0),"")</f>
        <v/>
      </c>
      <c r="Z142" s="25"/>
      <c r="AA142" s="25"/>
      <c r="AB142" s="3" t="str">
        <f>IF(C_Ope_002[[#This Row],[FECHA]]&gt;0,TEXT(C_Ope_002[[#This Row],[FECHA]],"mmmm"),0)</f>
        <v>Marzo</v>
      </c>
    </row>
    <row r="143" spans="2:28" x14ac:dyDescent="0.3">
      <c r="B143" s="2">
        <f>IF(C_Ope_002[[#This Row],[TIPO DE R.]]="R",COUNTIFS($D$4:$D142,"R")+1,"")</f>
        <v>139</v>
      </c>
      <c r="C143" s="19" t="str">
        <f t="shared" si="11"/>
        <v>C_Ope_002</v>
      </c>
      <c r="D143" s="3" t="s">
        <v>1074</v>
      </c>
      <c r="E143" s="14">
        <v>45727</v>
      </c>
      <c r="F143" s="5" t="s">
        <v>6746</v>
      </c>
      <c r="G143" s="5" t="s">
        <v>1079</v>
      </c>
      <c r="H143" s="6"/>
      <c r="I143" s="6" t="s">
        <v>14</v>
      </c>
      <c r="J143" s="6" t="s">
        <v>1148</v>
      </c>
      <c r="K143" s="6">
        <v>129204</v>
      </c>
      <c r="L143" s="7" t="s">
        <v>6550</v>
      </c>
      <c r="M143" s="8">
        <v>23415</v>
      </c>
      <c r="N143" s="8" t="str">
        <f t="shared" si="15"/>
        <v>PEN</v>
      </c>
      <c r="O143" s="13"/>
      <c r="P143" s="13">
        <v>10</v>
      </c>
      <c r="Q143" s="3">
        <f t="shared" si="12"/>
        <v>0</v>
      </c>
      <c r="R143" s="3">
        <f t="shared" si="13"/>
        <v>10</v>
      </c>
      <c r="S143" s="3">
        <f t="shared" si="14"/>
        <v>78.700000000000045</v>
      </c>
      <c r="T143" s="24"/>
      <c r="U143" s="24"/>
      <c r="V143" s="3"/>
      <c r="W143" s="25" t="s">
        <v>6813</v>
      </c>
      <c r="X143" s="25"/>
      <c r="Y143" s="25" t="str">
        <f>IFERROR(VLOOKUP(C_Ope_002[[#This Row],[NOTA 2]],Clientes_Proveedores[[Ruc / Dni]:[Razon Social]],2,0),"")</f>
        <v/>
      </c>
      <c r="Z143" s="25"/>
      <c r="AA143" s="25"/>
      <c r="AB143" s="3" t="str">
        <f>IF(C_Ope_002[[#This Row],[FECHA]]&gt;0,TEXT(C_Ope_002[[#This Row],[FECHA]],"mmmm"),0)</f>
        <v>Marzo</v>
      </c>
    </row>
    <row r="144" spans="2:28" x14ac:dyDescent="0.3">
      <c r="B144" s="2">
        <f>IF(C_Ope_002[[#This Row],[TIPO DE R.]]="R",COUNTIFS($D$4:$D143,"R")+1,"")</f>
        <v>140</v>
      </c>
      <c r="C144" s="19" t="str">
        <f t="shared" si="11"/>
        <v>C_Ope_002</v>
      </c>
      <c r="D144" s="3" t="s">
        <v>1074</v>
      </c>
      <c r="E144" s="14">
        <v>45729</v>
      </c>
      <c r="F144" s="5" t="s">
        <v>6746</v>
      </c>
      <c r="G144" s="5" t="s">
        <v>1079</v>
      </c>
      <c r="H144" s="6"/>
      <c r="I144" s="6" t="s">
        <v>14</v>
      </c>
      <c r="J144" s="6" t="s">
        <v>1148</v>
      </c>
      <c r="K144" s="6">
        <v>129290</v>
      </c>
      <c r="L144" s="7" t="s">
        <v>6815</v>
      </c>
      <c r="M144" s="8">
        <v>23418</v>
      </c>
      <c r="N144" s="8" t="str">
        <f t="shared" si="15"/>
        <v>PEN</v>
      </c>
      <c r="O144" s="13"/>
      <c r="P144" s="13">
        <v>10</v>
      </c>
      <c r="Q144" s="3">
        <f t="shared" si="12"/>
        <v>0</v>
      </c>
      <c r="R144" s="3">
        <f t="shared" si="13"/>
        <v>10</v>
      </c>
      <c r="S144" s="3">
        <f t="shared" si="14"/>
        <v>68.700000000000045</v>
      </c>
      <c r="T144" s="24"/>
      <c r="U144" s="24"/>
      <c r="V144" s="3"/>
      <c r="W144" s="25" t="s">
        <v>6630</v>
      </c>
      <c r="X144" s="25"/>
      <c r="Y144" s="25" t="str">
        <f>IFERROR(VLOOKUP(C_Ope_002[[#This Row],[NOTA 2]],Clientes_Proveedores[[Ruc / Dni]:[Razon Social]],2,0),"")</f>
        <v/>
      </c>
      <c r="Z144" s="25"/>
      <c r="AA144" s="25"/>
      <c r="AB144" s="3" t="str">
        <f>IF(C_Ope_002[[#This Row],[FECHA]]&gt;0,TEXT(C_Ope_002[[#This Row],[FECHA]],"mmmm"),0)</f>
        <v>Marzo</v>
      </c>
    </row>
    <row r="145" spans="2:28" x14ac:dyDescent="0.3">
      <c r="B145" s="2">
        <f>IF(C_Ope_002[[#This Row],[TIPO DE R.]]="R",COUNTIFS($D$4:$D144,"R")+1,"")</f>
        <v>141</v>
      </c>
      <c r="C145" s="19" t="str">
        <f t="shared" si="11"/>
        <v>C_Ope_002</v>
      </c>
      <c r="D145" s="3" t="s">
        <v>1074</v>
      </c>
      <c r="E145" s="14">
        <v>45749</v>
      </c>
      <c r="F145" s="5"/>
      <c r="G145" s="5" t="s">
        <v>1087</v>
      </c>
      <c r="H145" s="6"/>
      <c r="I145" s="6"/>
      <c r="J145" s="6"/>
      <c r="K145" s="6"/>
      <c r="L145" s="7" t="s">
        <v>6302</v>
      </c>
      <c r="M145" s="8">
        <v>23840</v>
      </c>
      <c r="N145" s="8" t="str">
        <f t="shared" si="15"/>
        <v>PEN</v>
      </c>
      <c r="O145" s="13"/>
      <c r="P145" s="13">
        <v>130</v>
      </c>
      <c r="Q145" s="3">
        <f t="shared" si="12"/>
        <v>130</v>
      </c>
      <c r="R145" s="3">
        <f t="shared" si="13"/>
        <v>0</v>
      </c>
      <c r="S145" s="3">
        <f t="shared" si="14"/>
        <v>198.70000000000005</v>
      </c>
      <c r="T145" s="24"/>
      <c r="U145" s="24"/>
      <c r="V145" s="3"/>
      <c r="W145" s="25"/>
      <c r="X145" s="25"/>
      <c r="Y145" s="25" t="str">
        <f>IFERROR(VLOOKUP(C_Ope_002[[#This Row],[NOTA 2]],Clientes_Proveedores[[Ruc / Dni]:[Razon Social]],2,0),"")</f>
        <v/>
      </c>
      <c r="Z145" s="25"/>
      <c r="AA145" s="25"/>
      <c r="AB145" s="3" t="str">
        <f>IF(C_Ope_002[[#This Row],[FECHA]]&gt;0,TEXT(C_Ope_002[[#This Row],[FECHA]],"mmmm"),0)</f>
        <v>Abril</v>
      </c>
    </row>
    <row r="146" spans="2:28" ht="24" x14ac:dyDescent="0.3">
      <c r="B146" s="2">
        <f>IF(C_Ope_002[[#This Row],[TIPO DE R.]]="R",COUNTIFS($D$4:$D145,"R")+1,"")</f>
        <v>142</v>
      </c>
      <c r="C146" s="19" t="str">
        <f t="shared" si="11"/>
        <v>C_Ope_002</v>
      </c>
      <c r="D146" s="3" t="s">
        <v>1074</v>
      </c>
      <c r="E146" s="14">
        <v>45749</v>
      </c>
      <c r="F146" s="5" t="s">
        <v>6746</v>
      </c>
      <c r="G146" s="5" t="s">
        <v>1079</v>
      </c>
      <c r="H146" s="6"/>
      <c r="I146" s="6" t="s">
        <v>14</v>
      </c>
      <c r="J146" s="6" t="s">
        <v>5242</v>
      </c>
      <c r="K146" s="6">
        <v>2009188</v>
      </c>
      <c r="L146" s="7" t="s">
        <v>6816</v>
      </c>
      <c r="M146" s="8">
        <v>23759</v>
      </c>
      <c r="N146" s="8" t="str">
        <f t="shared" si="15"/>
        <v>PEN</v>
      </c>
      <c r="O146" s="13"/>
      <c r="P146" s="13">
        <v>8</v>
      </c>
      <c r="Q146" s="3">
        <f t="shared" si="12"/>
        <v>0</v>
      </c>
      <c r="R146" s="3">
        <f t="shared" si="13"/>
        <v>8</v>
      </c>
      <c r="S146" s="3">
        <f t="shared" si="14"/>
        <v>190.70000000000005</v>
      </c>
      <c r="T146" s="24"/>
      <c r="U146" s="24"/>
      <c r="V146" s="3"/>
      <c r="W146" s="25" t="s">
        <v>6630</v>
      </c>
      <c r="X146" s="25"/>
      <c r="Y146" s="25" t="str">
        <f>IFERROR(VLOOKUP(C_Ope_002[[#This Row],[NOTA 2]],Clientes_Proveedores[[Ruc / Dni]:[Razon Social]],2,0),"")</f>
        <v/>
      </c>
      <c r="Z146" s="25"/>
      <c r="AA146" s="25"/>
      <c r="AB146" s="3" t="str">
        <f>IF(C_Ope_002[[#This Row],[FECHA]]&gt;0,TEXT(C_Ope_002[[#This Row],[FECHA]],"mmmm"),0)</f>
        <v>Abril</v>
      </c>
    </row>
    <row r="147" spans="2:28" ht="24" x14ac:dyDescent="0.3">
      <c r="B147" s="2">
        <f>IF(C_Ope_002[[#This Row],[TIPO DE R.]]="R",COUNTIFS($D$4:$D146,"R")+1,"")</f>
        <v>143</v>
      </c>
      <c r="C147" s="19" t="str">
        <f t="shared" si="11"/>
        <v>C_Ope_002</v>
      </c>
      <c r="D147" s="3" t="s">
        <v>1074</v>
      </c>
      <c r="E147" s="14">
        <v>45757</v>
      </c>
      <c r="F147" s="5" t="s">
        <v>6746</v>
      </c>
      <c r="G147" s="5" t="s">
        <v>1079</v>
      </c>
      <c r="H147" s="6"/>
      <c r="I147" s="6" t="s">
        <v>14</v>
      </c>
      <c r="J147" s="6" t="s">
        <v>5243</v>
      </c>
      <c r="K147" s="6">
        <v>2294526</v>
      </c>
      <c r="L147" s="7" t="s">
        <v>6748</v>
      </c>
      <c r="M147" s="8">
        <v>23894</v>
      </c>
      <c r="N147" s="8" t="str">
        <f t="shared" si="15"/>
        <v>PEN</v>
      </c>
      <c r="O147" s="13"/>
      <c r="P147" s="13">
        <v>8</v>
      </c>
      <c r="Q147" s="3">
        <f t="shared" si="12"/>
        <v>0</v>
      </c>
      <c r="R147" s="3">
        <f t="shared" si="13"/>
        <v>8</v>
      </c>
      <c r="S147" s="3">
        <f t="shared" si="14"/>
        <v>182.70000000000005</v>
      </c>
      <c r="T147" s="24"/>
      <c r="U147" s="24"/>
      <c r="V147" s="3"/>
      <c r="W147" s="25" t="s">
        <v>6630</v>
      </c>
      <c r="X147" s="25"/>
      <c r="Y147" s="25" t="str">
        <f>IFERROR(VLOOKUP(C_Ope_002[[#This Row],[NOTA 2]],Clientes_Proveedores[[Ruc / Dni]:[Razon Social]],2,0),"")</f>
        <v/>
      </c>
      <c r="Z147" s="25"/>
      <c r="AA147" s="25"/>
      <c r="AB147" s="3" t="str">
        <f>IF(C_Ope_002[[#This Row],[FECHA]]&gt;0,TEXT(C_Ope_002[[#This Row],[FECHA]],"mmmm"),0)</f>
        <v>Abril</v>
      </c>
    </row>
    <row r="148" spans="2:28" ht="24" x14ac:dyDescent="0.3">
      <c r="B148" s="2">
        <f>IF(C_Ope_002[[#This Row],[TIPO DE R.]]="R",COUNTIFS($D$4:$D147,"R")+1,"")</f>
        <v>144</v>
      </c>
      <c r="C148" s="19" t="str">
        <f t="shared" si="11"/>
        <v>C_Ope_002</v>
      </c>
      <c r="D148" s="3" t="s">
        <v>1074</v>
      </c>
      <c r="E148" s="14">
        <v>45757</v>
      </c>
      <c r="F148" s="5" t="s">
        <v>6746</v>
      </c>
      <c r="G148" s="5" t="s">
        <v>1079</v>
      </c>
      <c r="H148" s="6"/>
      <c r="I148" s="6" t="s">
        <v>14</v>
      </c>
      <c r="J148" s="6" t="s">
        <v>5242</v>
      </c>
      <c r="K148" s="6">
        <v>2016901</v>
      </c>
      <c r="L148" s="7" t="s">
        <v>6748</v>
      </c>
      <c r="M148" s="8">
        <v>23895</v>
      </c>
      <c r="N148" s="8" t="str">
        <f t="shared" si="15"/>
        <v>PEN</v>
      </c>
      <c r="O148" s="13"/>
      <c r="P148" s="13">
        <v>8</v>
      </c>
      <c r="Q148" s="3">
        <f t="shared" si="12"/>
        <v>0</v>
      </c>
      <c r="R148" s="3">
        <f t="shared" si="13"/>
        <v>8</v>
      </c>
      <c r="S148" s="3">
        <f t="shared" si="14"/>
        <v>174.70000000000005</v>
      </c>
      <c r="T148" s="24"/>
      <c r="U148" s="24"/>
      <c r="V148" s="3"/>
      <c r="W148" s="25" t="s">
        <v>6630</v>
      </c>
      <c r="X148" s="25"/>
      <c r="Y148" s="25" t="str">
        <f>IFERROR(VLOOKUP(C_Ope_002[[#This Row],[NOTA 2]],Clientes_Proveedores[[Ruc / Dni]:[Razon Social]],2,0),"")</f>
        <v/>
      </c>
      <c r="Z148" s="25"/>
      <c r="AA148" s="25"/>
      <c r="AB148" s="3" t="str">
        <f>IF(C_Ope_002[[#This Row],[FECHA]]&gt;0,TEXT(C_Ope_002[[#This Row],[FECHA]],"mmmm"),0)</f>
        <v>Abril</v>
      </c>
    </row>
    <row r="149" spans="2:28" ht="24" x14ac:dyDescent="0.3">
      <c r="B149" s="2">
        <f>IF(C_Ope_002[[#This Row],[TIPO DE R.]]="R",COUNTIFS($D$4:$D148,"R")+1,"")</f>
        <v>145</v>
      </c>
      <c r="C149" s="19" t="str">
        <f t="shared" si="11"/>
        <v>C_Ope_002</v>
      </c>
      <c r="D149" s="3" t="s">
        <v>1074</v>
      </c>
      <c r="E149" s="14">
        <v>45758</v>
      </c>
      <c r="F149" s="5" t="s">
        <v>6746</v>
      </c>
      <c r="G149" s="5" t="s">
        <v>1079</v>
      </c>
      <c r="H149" s="6"/>
      <c r="I149" s="6" t="s">
        <v>14</v>
      </c>
      <c r="J149" s="6" t="s">
        <v>5243</v>
      </c>
      <c r="K149" s="6">
        <v>2295620</v>
      </c>
      <c r="L149" s="7" t="s">
        <v>6817</v>
      </c>
      <c r="M149" s="8">
        <v>23896</v>
      </c>
      <c r="N149" s="8" t="str">
        <f t="shared" si="15"/>
        <v>PEN</v>
      </c>
      <c r="O149" s="13"/>
      <c r="P149" s="13">
        <v>8</v>
      </c>
      <c r="Q149" s="3">
        <f t="shared" si="12"/>
        <v>0</v>
      </c>
      <c r="R149" s="3">
        <f t="shared" si="13"/>
        <v>8</v>
      </c>
      <c r="S149" s="3">
        <f t="shared" si="14"/>
        <v>166.70000000000005</v>
      </c>
      <c r="T149" s="24"/>
      <c r="U149" s="24"/>
      <c r="V149" s="3"/>
      <c r="W149" s="25" t="s">
        <v>6630</v>
      </c>
      <c r="X149" s="25"/>
      <c r="Y149" s="25" t="str">
        <f>IFERROR(VLOOKUP(C_Ope_002[[#This Row],[NOTA 2]],Clientes_Proveedores[[Ruc / Dni]:[Razon Social]],2,0),"")</f>
        <v/>
      </c>
      <c r="Z149" s="25"/>
      <c r="AA149" s="25"/>
      <c r="AB149" s="3" t="str">
        <f>IF(C_Ope_002[[#This Row],[FECHA]]&gt;0,TEXT(C_Ope_002[[#This Row],[FECHA]],"mmmm"),0)</f>
        <v>Abril</v>
      </c>
    </row>
    <row r="150" spans="2:28" ht="24" x14ac:dyDescent="0.3">
      <c r="B150" s="2">
        <f>IF(C_Ope_002[[#This Row],[TIPO DE R.]]="R",COUNTIFS($D$4:$D149,"R")+1,"")</f>
        <v>146</v>
      </c>
      <c r="C150" s="19" t="str">
        <f t="shared" si="11"/>
        <v>C_Ope_002</v>
      </c>
      <c r="D150" s="3" t="s">
        <v>1074</v>
      </c>
      <c r="E150" s="14">
        <v>45758</v>
      </c>
      <c r="F150" s="5" t="s">
        <v>6746</v>
      </c>
      <c r="G150" s="5" t="s">
        <v>1079</v>
      </c>
      <c r="H150" s="6"/>
      <c r="I150" s="6" t="s">
        <v>14</v>
      </c>
      <c r="J150" s="6" t="s">
        <v>5245</v>
      </c>
      <c r="K150" s="6">
        <v>1722985</v>
      </c>
      <c r="L150" s="7" t="s">
        <v>6817</v>
      </c>
      <c r="M150" s="8">
        <v>23897</v>
      </c>
      <c r="N150" s="8" t="str">
        <f t="shared" si="15"/>
        <v>PEN</v>
      </c>
      <c r="O150" s="13"/>
      <c r="P150" s="13">
        <v>8</v>
      </c>
      <c r="Q150" s="3">
        <f t="shared" si="12"/>
        <v>0</v>
      </c>
      <c r="R150" s="3">
        <f t="shared" si="13"/>
        <v>8</v>
      </c>
      <c r="S150" s="3">
        <f t="shared" si="14"/>
        <v>158.70000000000005</v>
      </c>
      <c r="T150" s="24"/>
      <c r="U150" s="24"/>
      <c r="V150" s="3"/>
      <c r="W150" s="25" t="s">
        <v>6630</v>
      </c>
      <c r="X150" s="25"/>
      <c r="Y150" s="25" t="str">
        <f>IFERROR(VLOOKUP(C_Ope_002[[#This Row],[NOTA 2]],Clientes_Proveedores[[Ruc / Dni]:[Razon Social]],2,0),"")</f>
        <v/>
      </c>
      <c r="Z150" s="25"/>
      <c r="AA150" s="25"/>
      <c r="AB150" s="3" t="str">
        <f>IF(C_Ope_002[[#This Row],[FECHA]]&gt;0,TEXT(C_Ope_002[[#This Row],[FECHA]],"mmmm"),0)</f>
        <v>Abril</v>
      </c>
    </row>
    <row r="151" spans="2:28" ht="36" x14ac:dyDescent="0.3">
      <c r="B151" s="2">
        <f>IF(C_Ope_002[[#This Row],[TIPO DE R.]]="R",COUNTIFS($D$4:$D150,"R")+1,"")</f>
        <v>147</v>
      </c>
      <c r="C151" s="19" t="str">
        <f t="shared" si="11"/>
        <v>C_Ope_002</v>
      </c>
      <c r="D151" s="3" t="s">
        <v>1074</v>
      </c>
      <c r="E151" s="14">
        <v>45768</v>
      </c>
      <c r="F151" s="5" t="s">
        <v>6746</v>
      </c>
      <c r="G151" s="5" t="s">
        <v>1079</v>
      </c>
      <c r="H151" s="6"/>
      <c r="I151" s="6" t="s">
        <v>14</v>
      </c>
      <c r="J151" s="6" t="s">
        <v>5242</v>
      </c>
      <c r="K151" s="6">
        <v>2027804</v>
      </c>
      <c r="L151" s="7" t="s">
        <v>6818</v>
      </c>
      <c r="M151" s="8">
        <v>24017</v>
      </c>
      <c r="N151" s="8" t="str">
        <f t="shared" si="15"/>
        <v>PEN</v>
      </c>
      <c r="O151" s="13"/>
      <c r="P151" s="13">
        <v>8</v>
      </c>
      <c r="Q151" s="3">
        <f t="shared" si="12"/>
        <v>0</v>
      </c>
      <c r="R151" s="3">
        <f t="shared" si="13"/>
        <v>8</v>
      </c>
      <c r="S151" s="3">
        <f t="shared" si="14"/>
        <v>150.70000000000005</v>
      </c>
      <c r="T151" s="24"/>
      <c r="U151" s="24"/>
      <c r="V151" s="3"/>
      <c r="W151" s="25" t="s">
        <v>6630</v>
      </c>
      <c r="X151" s="25"/>
      <c r="Y151" s="25" t="str">
        <f>IFERROR(VLOOKUP(C_Ope_002[[#This Row],[NOTA 2]],Clientes_Proveedores[[Ruc / Dni]:[Razon Social]],2,0),"")</f>
        <v/>
      </c>
      <c r="Z151" s="25"/>
      <c r="AA151" s="25"/>
      <c r="AB151" s="3" t="str">
        <f>IF(C_Ope_002[[#This Row],[FECHA]]&gt;0,TEXT(C_Ope_002[[#This Row],[FECHA]],"mmmm"),0)</f>
        <v>Abril</v>
      </c>
    </row>
    <row r="152" spans="2:28" ht="36" x14ac:dyDescent="0.3">
      <c r="B152" s="2">
        <f>IF(C_Ope_002[[#This Row],[TIPO DE R.]]="R",COUNTIFS($D$4:$D151,"R")+1,"")</f>
        <v>148</v>
      </c>
      <c r="C152" s="19" t="str">
        <f t="shared" si="11"/>
        <v>C_Ope_002</v>
      </c>
      <c r="D152" s="3" t="s">
        <v>1074</v>
      </c>
      <c r="E152" s="14">
        <v>45768</v>
      </c>
      <c r="F152" s="5" t="s">
        <v>6746</v>
      </c>
      <c r="G152" s="5" t="s">
        <v>1079</v>
      </c>
      <c r="H152" s="6"/>
      <c r="I152" s="6" t="s">
        <v>14</v>
      </c>
      <c r="J152" s="6" t="s">
        <v>5243</v>
      </c>
      <c r="K152" s="6">
        <v>2306049</v>
      </c>
      <c r="L152" s="7" t="s">
        <v>6818</v>
      </c>
      <c r="M152" s="8">
        <v>24018</v>
      </c>
      <c r="N152" s="8" t="str">
        <f t="shared" si="15"/>
        <v>PEN</v>
      </c>
      <c r="O152" s="13"/>
      <c r="P152" s="13">
        <v>8</v>
      </c>
      <c r="Q152" s="3">
        <f t="shared" si="12"/>
        <v>0</v>
      </c>
      <c r="R152" s="3">
        <f t="shared" si="13"/>
        <v>8</v>
      </c>
      <c r="S152" s="3">
        <f t="shared" si="14"/>
        <v>142.70000000000005</v>
      </c>
      <c r="T152" s="24"/>
      <c r="U152" s="24"/>
      <c r="V152" s="3"/>
      <c r="W152" s="25" t="s">
        <v>6630</v>
      </c>
      <c r="X152" s="25"/>
      <c r="Y152" s="25" t="str">
        <f>IFERROR(VLOOKUP(C_Ope_002[[#This Row],[NOTA 2]],Clientes_Proveedores[[Ruc / Dni]:[Razon Social]],2,0),"")</f>
        <v/>
      </c>
      <c r="Z152" s="25"/>
      <c r="AA152" s="25"/>
      <c r="AB152" s="3" t="str">
        <f>IF(C_Ope_002[[#This Row],[FECHA]]&gt;0,TEXT(C_Ope_002[[#This Row],[FECHA]],"mmmm"),0)</f>
        <v>Abril</v>
      </c>
    </row>
    <row r="153" spans="2:28" x14ac:dyDescent="0.3">
      <c r="B153" s="2">
        <f>IF(C_Ope_002[[#This Row],[TIPO DE R.]]="R",COUNTIFS($D$4:$D152,"R")+1,"")</f>
        <v>149</v>
      </c>
      <c r="C153" s="19" t="str">
        <f t="shared" si="11"/>
        <v>C_Ope_002</v>
      </c>
      <c r="D153" s="3" t="s">
        <v>1074</v>
      </c>
      <c r="E153" s="14">
        <v>45775</v>
      </c>
      <c r="F153" s="5"/>
      <c r="G153" s="5" t="s">
        <v>1087</v>
      </c>
      <c r="H153" s="6"/>
      <c r="I153" s="6"/>
      <c r="J153" s="6"/>
      <c r="K153" s="6"/>
      <c r="L153" s="7" t="s">
        <v>6302</v>
      </c>
      <c r="M153" s="8">
        <v>24048</v>
      </c>
      <c r="N153" s="8" t="str">
        <f t="shared" si="15"/>
        <v>PEN</v>
      </c>
      <c r="O153" s="13"/>
      <c r="P153" s="13">
        <v>40</v>
      </c>
      <c r="Q153" s="3">
        <f t="shared" si="12"/>
        <v>40</v>
      </c>
      <c r="R153" s="3">
        <f t="shared" si="13"/>
        <v>0</v>
      </c>
      <c r="S153" s="3">
        <f t="shared" si="14"/>
        <v>182.70000000000005</v>
      </c>
      <c r="T153" s="24"/>
      <c r="U153" s="24"/>
      <c r="V153" s="3"/>
      <c r="W153" s="25"/>
      <c r="X153" s="25"/>
      <c r="Y153" s="25" t="str">
        <f>IFERROR(VLOOKUP(C_Ope_002[[#This Row],[NOTA 2]],Clientes_Proveedores[[Ruc / Dni]:[Razon Social]],2,0),"")</f>
        <v/>
      </c>
      <c r="Z153" s="25"/>
      <c r="AA153" s="25"/>
      <c r="AB153" s="3" t="str">
        <f>IF(C_Ope_002[[#This Row],[FECHA]]&gt;0,TEXT(C_Ope_002[[#This Row],[FECHA]],"mmmm"),0)</f>
        <v>Abril</v>
      </c>
    </row>
    <row r="154" spans="2:28" x14ac:dyDescent="0.3">
      <c r="B154" s="2">
        <f>IF(C_Ope_002[[#This Row],[TIPO DE R.]]="R",COUNTIFS($D$4:$D153,"R")+1,"")</f>
        <v>150</v>
      </c>
      <c r="C154" s="19" t="str">
        <f t="shared" si="11"/>
        <v>C_Ope_002</v>
      </c>
      <c r="D154" s="3" t="s">
        <v>1074</v>
      </c>
      <c r="E154" s="14">
        <v>45777</v>
      </c>
      <c r="F154" s="5"/>
      <c r="G154" s="5" t="s">
        <v>1087</v>
      </c>
      <c r="H154" s="6"/>
      <c r="I154" s="6"/>
      <c r="J154" s="6"/>
      <c r="K154" s="6"/>
      <c r="L154" s="7" t="s">
        <v>6302</v>
      </c>
      <c r="M154" s="8">
        <v>24124</v>
      </c>
      <c r="N154" s="8" t="str">
        <f t="shared" si="15"/>
        <v>PEN</v>
      </c>
      <c r="O154" s="13"/>
      <c r="P154" s="13">
        <v>400</v>
      </c>
      <c r="Q154" s="3">
        <f t="shared" si="12"/>
        <v>400</v>
      </c>
      <c r="R154" s="3">
        <f t="shared" si="13"/>
        <v>0</v>
      </c>
      <c r="S154" s="3">
        <f t="shared" si="14"/>
        <v>582.70000000000005</v>
      </c>
      <c r="T154" s="24"/>
      <c r="U154" s="24"/>
      <c r="V154" s="3"/>
      <c r="W154" s="25"/>
      <c r="X154" s="25"/>
      <c r="Y154" s="25" t="str">
        <f>IFERROR(VLOOKUP(C_Ope_002[[#This Row],[NOTA 2]],Clientes_Proveedores[[Ruc / Dni]:[Razon Social]],2,0),"")</f>
        <v/>
      </c>
      <c r="Z154" s="25"/>
      <c r="AA154" s="25"/>
      <c r="AB154" s="3" t="str">
        <f>IF(C_Ope_002[[#This Row],[FECHA]]&gt;0,TEXT(C_Ope_002[[#This Row],[FECHA]],"mmmm"),0)</f>
        <v>Abril</v>
      </c>
    </row>
    <row r="155" spans="2:28" x14ac:dyDescent="0.3">
      <c r="B155" s="2">
        <f>IF(C_Ope_002[[#This Row],[TIPO DE R.]]="R",COUNTIFS($D$4:$D154,"R")+1,"")</f>
        <v>151</v>
      </c>
      <c r="C155" s="19" t="str">
        <f t="shared" si="11"/>
        <v>C_Ope_002</v>
      </c>
      <c r="D155" s="3" t="s">
        <v>1074</v>
      </c>
      <c r="E155" s="14">
        <v>45775</v>
      </c>
      <c r="F155" s="5" t="s">
        <v>6746</v>
      </c>
      <c r="G155" s="5" t="s">
        <v>1079</v>
      </c>
      <c r="H155" s="6"/>
      <c r="I155" s="6" t="s">
        <v>14</v>
      </c>
      <c r="J155" s="6" t="s">
        <v>5242</v>
      </c>
      <c r="K155" s="6">
        <v>2034471</v>
      </c>
      <c r="L155" s="7" t="s">
        <v>6803</v>
      </c>
      <c r="M155" s="8">
        <v>24019</v>
      </c>
      <c r="N155" s="8" t="str">
        <f t="shared" si="15"/>
        <v>PEN</v>
      </c>
      <c r="O155" s="13"/>
      <c r="P155" s="13">
        <v>8</v>
      </c>
      <c r="Q155" s="3">
        <f t="shared" si="12"/>
        <v>0</v>
      </c>
      <c r="R155" s="3">
        <f t="shared" si="13"/>
        <v>8</v>
      </c>
      <c r="S155" s="3">
        <f t="shared" si="14"/>
        <v>574.70000000000005</v>
      </c>
      <c r="T155" s="24"/>
      <c r="U155" s="24"/>
      <c r="V155" s="3"/>
      <c r="W155" s="25" t="s">
        <v>6630</v>
      </c>
      <c r="X155" s="25"/>
      <c r="Y155" s="25" t="str">
        <f>IFERROR(VLOOKUP(C_Ope_002[[#This Row],[NOTA 2]],Clientes_Proveedores[[Ruc / Dni]:[Razon Social]],2,0),"")</f>
        <v/>
      </c>
      <c r="Z155" s="25"/>
      <c r="AA155" s="25"/>
      <c r="AB155" s="3" t="str">
        <f>IF(C_Ope_002[[#This Row],[FECHA]]&gt;0,TEXT(C_Ope_002[[#This Row],[FECHA]],"mmmm"),0)</f>
        <v>Abril</v>
      </c>
    </row>
    <row r="156" spans="2:28" x14ac:dyDescent="0.3">
      <c r="B156" s="2">
        <f>IF(C_Ope_002[[#This Row],[TIPO DE R.]]="R",COUNTIFS($D$4:$D155,"R")+1,"")</f>
        <v>152</v>
      </c>
      <c r="C156" s="19" t="str">
        <f t="shared" si="11"/>
        <v>C_Ope_002</v>
      </c>
      <c r="D156" s="3" t="s">
        <v>1074</v>
      </c>
      <c r="E156" s="14">
        <v>45775</v>
      </c>
      <c r="F156" s="5" t="s">
        <v>6746</v>
      </c>
      <c r="G156" s="5" t="s">
        <v>1079</v>
      </c>
      <c r="H156" s="6"/>
      <c r="I156" s="6" t="s">
        <v>14</v>
      </c>
      <c r="J156" s="6" t="s">
        <v>5244</v>
      </c>
      <c r="K156" s="6">
        <v>1716778</v>
      </c>
      <c r="L156" s="7" t="s">
        <v>6803</v>
      </c>
      <c r="M156" s="8">
        <v>24020</v>
      </c>
      <c r="N156" s="8" t="str">
        <f t="shared" si="15"/>
        <v>PEN</v>
      </c>
      <c r="O156" s="13"/>
      <c r="P156" s="13">
        <v>8</v>
      </c>
      <c r="Q156" s="3">
        <f t="shared" si="12"/>
        <v>0</v>
      </c>
      <c r="R156" s="3">
        <f t="shared" si="13"/>
        <v>8</v>
      </c>
      <c r="S156" s="3">
        <f t="shared" si="14"/>
        <v>566.70000000000005</v>
      </c>
      <c r="T156" s="24"/>
      <c r="U156" s="24"/>
      <c r="V156" s="3"/>
      <c r="W156" s="25" t="s">
        <v>6630</v>
      </c>
      <c r="X156" s="25"/>
      <c r="Y156" s="25" t="str">
        <f>IFERROR(VLOOKUP(C_Ope_002[[#This Row],[NOTA 2]],Clientes_Proveedores[[Ruc / Dni]:[Razon Social]],2,0),"")</f>
        <v/>
      </c>
      <c r="Z156" s="25"/>
      <c r="AA156" s="25"/>
      <c r="AB156" s="3" t="str">
        <f>IF(C_Ope_002[[#This Row],[FECHA]]&gt;0,TEXT(C_Ope_002[[#This Row],[FECHA]],"mmmm"),0)</f>
        <v>Abril</v>
      </c>
    </row>
    <row r="157" spans="2:28" ht="24" x14ac:dyDescent="0.3">
      <c r="B157" s="2">
        <f>IF(C_Ope_002[[#This Row],[TIPO DE R.]]="R",COUNTIFS($D$4:$D156,"R")+1,"")</f>
        <v>153</v>
      </c>
      <c r="C157" s="19" t="str">
        <f t="shared" si="11"/>
        <v>C_Ope_002</v>
      </c>
      <c r="D157" s="3" t="s">
        <v>1074</v>
      </c>
      <c r="E157" s="14">
        <v>45776</v>
      </c>
      <c r="F157" s="5" t="s">
        <v>6746</v>
      </c>
      <c r="G157" s="5" t="s">
        <v>1079</v>
      </c>
      <c r="H157" s="6"/>
      <c r="I157" s="6" t="s">
        <v>14</v>
      </c>
      <c r="J157" s="6" t="s">
        <v>5243</v>
      </c>
      <c r="K157" s="6">
        <v>2315234</v>
      </c>
      <c r="L157" s="7" t="s">
        <v>6819</v>
      </c>
      <c r="M157" s="8">
        <v>24106</v>
      </c>
      <c r="N157" s="8" t="str">
        <f t="shared" si="15"/>
        <v>PEN</v>
      </c>
      <c r="O157" s="13"/>
      <c r="P157" s="13">
        <v>8</v>
      </c>
      <c r="Q157" s="3">
        <f t="shared" si="12"/>
        <v>0</v>
      </c>
      <c r="R157" s="3">
        <f t="shared" si="13"/>
        <v>8</v>
      </c>
      <c r="S157" s="3">
        <f t="shared" si="14"/>
        <v>558.70000000000005</v>
      </c>
      <c r="T157" s="24"/>
      <c r="U157" s="24"/>
      <c r="V157" s="3"/>
      <c r="W157" s="25" t="s">
        <v>6630</v>
      </c>
      <c r="X157" s="25"/>
      <c r="Y157" s="25" t="str">
        <f>IFERROR(VLOOKUP(C_Ope_002[[#This Row],[NOTA 2]],Clientes_Proveedores[[Ruc / Dni]:[Razon Social]],2,0),"")</f>
        <v/>
      </c>
      <c r="Z157" s="25"/>
      <c r="AA157" s="25"/>
      <c r="AB157" s="3" t="str">
        <f>IF(C_Ope_002[[#This Row],[FECHA]]&gt;0,TEXT(C_Ope_002[[#This Row],[FECHA]],"mmmm"),0)</f>
        <v>Abril</v>
      </c>
    </row>
    <row r="158" spans="2:28" ht="36" x14ac:dyDescent="0.3">
      <c r="B158" s="2">
        <f>IF(C_Ope_002[[#This Row],[TIPO DE R.]]="R",COUNTIFS($D$4:$D157,"R")+1,"")</f>
        <v>154</v>
      </c>
      <c r="C158" s="19" t="str">
        <f t="shared" si="11"/>
        <v>C_Ope_002</v>
      </c>
      <c r="D158" s="3" t="s">
        <v>1074</v>
      </c>
      <c r="E158" s="14">
        <v>45777</v>
      </c>
      <c r="F158" s="5" t="s">
        <v>6746</v>
      </c>
      <c r="G158" s="5" t="s">
        <v>1079</v>
      </c>
      <c r="H158" s="6"/>
      <c r="I158" s="6" t="s">
        <v>14</v>
      </c>
      <c r="J158" s="6" t="s">
        <v>5243</v>
      </c>
      <c r="K158" s="6">
        <v>2316097</v>
      </c>
      <c r="L158" s="7" t="s">
        <v>6820</v>
      </c>
      <c r="M158" s="8">
        <v>24107</v>
      </c>
      <c r="N158" s="8" t="str">
        <f t="shared" si="15"/>
        <v>PEN</v>
      </c>
      <c r="O158" s="13"/>
      <c r="P158" s="13">
        <v>8</v>
      </c>
      <c r="Q158" s="3">
        <f t="shared" si="12"/>
        <v>0</v>
      </c>
      <c r="R158" s="3">
        <f t="shared" si="13"/>
        <v>8</v>
      </c>
      <c r="S158" s="3">
        <f t="shared" si="14"/>
        <v>550.70000000000005</v>
      </c>
      <c r="T158" s="24"/>
      <c r="U158" s="24"/>
      <c r="V158" s="3"/>
      <c r="W158" s="25" t="s">
        <v>6630</v>
      </c>
      <c r="X158" s="25"/>
      <c r="Y158" s="25" t="str">
        <f>IFERROR(VLOOKUP(C_Ope_002[[#This Row],[NOTA 2]],Clientes_Proveedores[[Ruc / Dni]:[Razon Social]],2,0),"")</f>
        <v/>
      </c>
      <c r="Z158" s="25"/>
      <c r="AA158" s="25"/>
      <c r="AB158" s="3" t="str">
        <f>IF(C_Ope_002[[#This Row],[FECHA]]&gt;0,TEXT(C_Ope_002[[#This Row],[FECHA]],"mmmm"),0)</f>
        <v>Abril</v>
      </c>
    </row>
    <row r="159" spans="2:28" ht="36" x14ac:dyDescent="0.3">
      <c r="B159" s="2">
        <f>IF(C_Ope_002[[#This Row],[TIPO DE R.]]="R",COUNTIFS($D$4:$D158,"R")+1,"")</f>
        <v>155</v>
      </c>
      <c r="C159" s="19" t="str">
        <f t="shared" si="11"/>
        <v>C_Ope_002</v>
      </c>
      <c r="D159" s="3" t="s">
        <v>1074</v>
      </c>
      <c r="E159" s="14">
        <v>45777</v>
      </c>
      <c r="F159" s="5" t="s">
        <v>6746</v>
      </c>
      <c r="G159" s="5" t="s">
        <v>1079</v>
      </c>
      <c r="H159" s="6"/>
      <c r="I159" s="6" t="s">
        <v>14</v>
      </c>
      <c r="J159" s="6" t="s">
        <v>5242</v>
      </c>
      <c r="K159" s="6">
        <v>2036798</v>
      </c>
      <c r="L159" s="7" t="s">
        <v>6820</v>
      </c>
      <c r="M159" s="8">
        <v>24108</v>
      </c>
      <c r="N159" s="8" t="str">
        <f t="shared" si="15"/>
        <v>PEN</v>
      </c>
      <c r="O159" s="13"/>
      <c r="P159" s="13">
        <v>8</v>
      </c>
      <c r="Q159" s="3">
        <f t="shared" si="12"/>
        <v>0</v>
      </c>
      <c r="R159" s="3">
        <f t="shared" si="13"/>
        <v>8</v>
      </c>
      <c r="S159" s="3">
        <f t="shared" si="14"/>
        <v>542.70000000000005</v>
      </c>
      <c r="T159" s="24"/>
      <c r="U159" s="24"/>
      <c r="V159" s="3"/>
      <c r="W159" s="25" t="s">
        <v>6630</v>
      </c>
      <c r="X159" s="25"/>
      <c r="Y159" s="25" t="str">
        <f>IFERROR(VLOOKUP(C_Ope_002[[#This Row],[NOTA 2]],Clientes_Proveedores[[Ruc / Dni]:[Razon Social]],2,0),"")</f>
        <v/>
      </c>
      <c r="Z159" s="25"/>
      <c r="AA159" s="25"/>
      <c r="AB159" s="3" t="str">
        <f>IF(C_Ope_002[[#This Row],[FECHA]]&gt;0,TEXT(C_Ope_002[[#This Row],[FECHA]],"mmmm"),0)</f>
        <v>Abril</v>
      </c>
    </row>
    <row r="160" spans="2:28" ht="24" x14ac:dyDescent="0.3">
      <c r="B160" s="2">
        <f>IF(C_Ope_002[[#This Row],[TIPO DE R.]]="R",COUNTIFS($D$4:$D159,"R")+1,"")</f>
        <v>156</v>
      </c>
      <c r="C160" s="19" t="str">
        <f t="shared" si="11"/>
        <v>C_Ope_002</v>
      </c>
      <c r="D160" s="3" t="s">
        <v>1074</v>
      </c>
      <c r="E160" s="14">
        <v>45779</v>
      </c>
      <c r="F160" s="5" t="s">
        <v>6746</v>
      </c>
      <c r="G160" s="5" t="s">
        <v>1079</v>
      </c>
      <c r="H160" s="6"/>
      <c r="I160" s="6" t="s">
        <v>14</v>
      </c>
      <c r="J160" s="6" t="s">
        <v>5243</v>
      </c>
      <c r="K160" s="6">
        <v>2317915</v>
      </c>
      <c r="L160" s="7" t="s">
        <v>6821</v>
      </c>
      <c r="M160" s="8">
        <v>24109</v>
      </c>
      <c r="N160" s="8" t="str">
        <f t="shared" si="15"/>
        <v>PEN</v>
      </c>
      <c r="O160" s="13"/>
      <c r="P160" s="13">
        <v>8</v>
      </c>
      <c r="Q160" s="3">
        <f t="shared" si="12"/>
        <v>0</v>
      </c>
      <c r="R160" s="3">
        <f t="shared" si="13"/>
        <v>8</v>
      </c>
      <c r="S160" s="3">
        <f t="shared" si="14"/>
        <v>534.70000000000005</v>
      </c>
      <c r="T160" s="24"/>
      <c r="U160" s="24"/>
      <c r="V160" s="3"/>
      <c r="W160" s="25" t="s">
        <v>6630</v>
      </c>
      <c r="X160" s="25"/>
      <c r="Y160" s="25" t="str">
        <f>IFERROR(VLOOKUP(C_Ope_002[[#This Row],[NOTA 2]],Clientes_Proveedores[[Ruc / Dni]:[Razon Social]],2,0),"")</f>
        <v/>
      </c>
      <c r="Z160" s="25"/>
      <c r="AA160" s="25"/>
      <c r="AB160" s="3" t="str">
        <f>IF(C_Ope_002[[#This Row],[FECHA]]&gt;0,TEXT(C_Ope_002[[#This Row],[FECHA]],"mmmm"),0)</f>
        <v>Mayo</v>
      </c>
    </row>
    <row r="161" spans="2:28" ht="24" x14ac:dyDescent="0.3">
      <c r="B161" s="2">
        <f>IF(C_Ope_002[[#This Row],[TIPO DE R.]]="R",COUNTIFS($D$4:$D160,"R")+1,"")</f>
        <v>157</v>
      </c>
      <c r="C161" s="19" t="str">
        <f t="shared" si="11"/>
        <v>C_Ope_002</v>
      </c>
      <c r="D161" s="3" t="s">
        <v>1074</v>
      </c>
      <c r="E161" s="14">
        <v>45782</v>
      </c>
      <c r="F161" s="5" t="s">
        <v>6746</v>
      </c>
      <c r="G161" s="5" t="s">
        <v>1079</v>
      </c>
      <c r="H161" s="6"/>
      <c r="I161" s="6" t="s">
        <v>14</v>
      </c>
      <c r="J161" s="6" t="s">
        <v>5244</v>
      </c>
      <c r="K161" s="6">
        <v>1722326</v>
      </c>
      <c r="L161" s="7" t="s">
        <v>6822</v>
      </c>
      <c r="M161" s="8">
        <v>24143</v>
      </c>
      <c r="N161" s="8" t="str">
        <f t="shared" si="15"/>
        <v>PEN</v>
      </c>
      <c r="O161" s="13"/>
      <c r="P161" s="13">
        <v>8</v>
      </c>
      <c r="Q161" s="3">
        <f t="shared" si="12"/>
        <v>0</v>
      </c>
      <c r="R161" s="3">
        <f t="shared" si="13"/>
        <v>8</v>
      </c>
      <c r="S161" s="3">
        <f t="shared" si="14"/>
        <v>526.70000000000005</v>
      </c>
      <c r="T161" s="24"/>
      <c r="U161" s="24"/>
      <c r="V161" s="3"/>
      <c r="W161" s="25" t="s">
        <v>6630</v>
      </c>
      <c r="X161" s="25"/>
      <c r="Y161" s="25" t="str">
        <f>IFERROR(VLOOKUP(C_Ope_002[[#This Row],[NOTA 2]],Clientes_Proveedores[[Ruc / Dni]:[Razon Social]],2,0),"")</f>
        <v/>
      </c>
      <c r="Z161" s="25"/>
      <c r="AA161" s="25"/>
      <c r="AB161" s="3" t="str">
        <f>IF(C_Ope_002[[#This Row],[FECHA]]&gt;0,TEXT(C_Ope_002[[#This Row],[FECHA]],"mmmm"),0)</f>
        <v>Mayo</v>
      </c>
    </row>
    <row r="162" spans="2:28" ht="24" x14ac:dyDescent="0.3">
      <c r="B162" s="2">
        <f>IF(C_Ope_002[[#This Row],[TIPO DE R.]]="R",COUNTIFS($D$4:$D161,"R")+1,"")</f>
        <v>158</v>
      </c>
      <c r="C162" s="19" t="str">
        <f t="shared" si="11"/>
        <v>C_Ope_002</v>
      </c>
      <c r="D162" s="3" t="s">
        <v>1074</v>
      </c>
      <c r="E162" s="14">
        <v>45782</v>
      </c>
      <c r="F162" s="5" t="s">
        <v>6746</v>
      </c>
      <c r="G162" s="5" t="s">
        <v>1079</v>
      </c>
      <c r="H162" s="6"/>
      <c r="I162" s="6" t="s">
        <v>14</v>
      </c>
      <c r="J162" s="6" t="s">
        <v>5242</v>
      </c>
      <c r="K162" s="6">
        <v>2041425</v>
      </c>
      <c r="L162" s="7" t="s">
        <v>6822</v>
      </c>
      <c r="M162" s="8">
        <v>24144</v>
      </c>
      <c r="N162" s="8" t="str">
        <f t="shared" si="15"/>
        <v>PEN</v>
      </c>
      <c r="O162" s="13"/>
      <c r="P162" s="13">
        <v>8</v>
      </c>
      <c r="Q162" s="3">
        <f t="shared" si="12"/>
        <v>0</v>
      </c>
      <c r="R162" s="3">
        <f t="shared" si="13"/>
        <v>8</v>
      </c>
      <c r="S162" s="3">
        <f t="shared" si="14"/>
        <v>518.70000000000005</v>
      </c>
      <c r="T162" s="24"/>
      <c r="U162" s="24"/>
      <c r="V162" s="3"/>
      <c r="W162" s="25" t="s">
        <v>6630</v>
      </c>
      <c r="X162" s="25"/>
      <c r="Y162" s="25" t="str">
        <f>IFERROR(VLOOKUP(C_Ope_002[[#This Row],[NOTA 2]],Clientes_Proveedores[[Ruc / Dni]:[Razon Social]],2,0),"")</f>
        <v/>
      </c>
      <c r="Z162" s="25"/>
      <c r="AA162" s="25"/>
      <c r="AB162" s="3" t="str">
        <f>IF(C_Ope_002[[#This Row],[FECHA]]&gt;0,TEXT(C_Ope_002[[#This Row],[FECHA]],"mmmm"),0)</f>
        <v>Mayo</v>
      </c>
    </row>
    <row r="163" spans="2:28" ht="24" x14ac:dyDescent="0.3">
      <c r="B163" s="2">
        <f>IF(C_Ope_002[[#This Row],[TIPO DE R.]]="R",COUNTIFS($D$4:$D162,"R")+1,"")</f>
        <v>159</v>
      </c>
      <c r="C163" s="19" t="str">
        <f t="shared" si="11"/>
        <v>C_Ope_002</v>
      </c>
      <c r="D163" s="3" t="s">
        <v>1074</v>
      </c>
      <c r="E163" s="14">
        <v>45783</v>
      </c>
      <c r="F163" s="5" t="s">
        <v>6746</v>
      </c>
      <c r="G163" s="5" t="s">
        <v>1079</v>
      </c>
      <c r="H163" s="6"/>
      <c r="I163" s="6" t="s">
        <v>14</v>
      </c>
      <c r="J163" s="6" t="s">
        <v>5245</v>
      </c>
      <c r="K163" s="6">
        <v>1742862</v>
      </c>
      <c r="L163" s="7" t="s">
        <v>6823</v>
      </c>
      <c r="M163" s="8">
        <v>24145</v>
      </c>
      <c r="N163" s="8" t="str">
        <f t="shared" si="15"/>
        <v>PEN</v>
      </c>
      <c r="O163" s="13"/>
      <c r="P163" s="13">
        <v>8</v>
      </c>
      <c r="Q163" s="3">
        <f t="shared" si="12"/>
        <v>0</v>
      </c>
      <c r="R163" s="3">
        <f t="shared" si="13"/>
        <v>8</v>
      </c>
      <c r="S163" s="3">
        <f t="shared" si="14"/>
        <v>510.70000000000005</v>
      </c>
      <c r="T163" s="24"/>
      <c r="U163" s="24"/>
      <c r="V163" s="3"/>
      <c r="W163" s="25" t="s">
        <v>6630</v>
      </c>
      <c r="X163" s="25"/>
      <c r="Y163" s="25" t="str">
        <f>IFERROR(VLOOKUP(C_Ope_002[[#This Row],[NOTA 2]],Clientes_Proveedores[[Ruc / Dni]:[Razon Social]],2,0),"")</f>
        <v/>
      </c>
      <c r="Z163" s="25"/>
      <c r="AA163" s="25"/>
      <c r="AB163" s="3" t="str">
        <f>IF(C_Ope_002[[#This Row],[FECHA]]&gt;0,TEXT(C_Ope_002[[#This Row],[FECHA]],"mmmm"),0)</f>
        <v>Mayo</v>
      </c>
    </row>
    <row r="164" spans="2:28" ht="24" x14ac:dyDescent="0.3">
      <c r="B164" s="2">
        <f>IF(C_Ope_002[[#This Row],[TIPO DE R.]]="R",COUNTIFS($D$4:$D163,"R")+1,"")</f>
        <v>160</v>
      </c>
      <c r="C164" s="19" t="str">
        <f t="shared" si="11"/>
        <v>C_Ope_002</v>
      </c>
      <c r="D164" s="3" t="s">
        <v>1074</v>
      </c>
      <c r="E164" s="14">
        <v>45783</v>
      </c>
      <c r="F164" s="5" t="s">
        <v>6746</v>
      </c>
      <c r="G164" s="5" t="s">
        <v>1079</v>
      </c>
      <c r="H164" s="6"/>
      <c r="I164" s="6" t="s">
        <v>14</v>
      </c>
      <c r="J164" s="6" t="s">
        <v>5243</v>
      </c>
      <c r="K164" s="6">
        <v>2322250</v>
      </c>
      <c r="L164" s="7" t="s">
        <v>6823</v>
      </c>
      <c r="M164" s="8">
        <v>24146</v>
      </c>
      <c r="N164" s="8" t="str">
        <f t="shared" si="15"/>
        <v>PEN</v>
      </c>
      <c r="O164" s="13"/>
      <c r="P164" s="13">
        <v>8</v>
      </c>
      <c r="Q164" s="3">
        <f t="shared" si="12"/>
        <v>0</v>
      </c>
      <c r="R164" s="3">
        <f t="shared" si="13"/>
        <v>8</v>
      </c>
      <c r="S164" s="3">
        <f t="shared" si="14"/>
        <v>502.70000000000005</v>
      </c>
      <c r="T164" s="24"/>
      <c r="U164" s="24"/>
      <c r="V164" s="3"/>
      <c r="W164" s="25" t="s">
        <v>6630</v>
      </c>
      <c r="X164" s="25"/>
      <c r="Y164" s="25" t="str">
        <f>IFERROR(VLOOKUP(C_Ope_002[[#This Row],[NOTA 2]],Clientes_Proveedores[[Ruc / Dni]:[Razon Social]],2,0),"")</f>
        <v/>
      </c>
      <c r="Z164" s="25"/>
      <c r="AA164" s="25"/>
      <c r="AB164" s="3" t="str">
        <f>IF(C_Ope_002[[#This Row],[FECHA]]&gt;0,TEXT(C_Ope_002[[#This Row],[FECHA]],"mmmm"),0)</f>
        <v>Mayo</v>
      </c>
    </row>
    <row r="165" spans="2:28" ht="36" x14ac:dyDescent="0.3">
      <c r="B165" s="2">
        <f>IF(C_Ope_002[[#This Row],[TIPO DE R.]]="R",COUNTIFS($D$4:$D164,"R")+1,"")</f>
        <v>161</v>
      </c>
      <c r="C165" s="19" t="str">
        <f t="shared" si="11"/>
        <v>C_Ope_002</v>
      </c>
      <c r="D165" s="3" t="s">
        <v>1074</v>
      </c>
      <c r="E165" s="14">
        <v>45784</v>
      </c>
      <c r="F165" s="5" t="s">
        <v>6746</v>
      </c>
      <c r="G165" s="5" t="s">
        <v>1079</v>
      </c>
      <c r="H165" s="6"/>
      <c r="I165" s="6" t="s">
        <v>14</v>
      </c>
      <c r="J165" s="6" t="s">
        <v>5242</v>
      </c>
      <c r="K165" s="6">
        <v>2043407</v>
      </c>
      <c r="L165" s="7" t="s">
        <v>6824</v>
      </c>
      <c r="M165" s="8">
        <v>24147</v>
      </c>
      <c r="N165" s="8" t="str">
        <f t="shared" si="15"/>
        <v>PEN</v>
      </c>
      <c r="O165" s="13"/>
      <c r="P165" s="13">
        <v>8</v>
      </c>
      <c r="Q165" s="3">
        <f t="shared" si="12"/>
        <v>0</v>
      </c>
      <c r="R165" s="3">
        <f t="shared" si="13"/>
        <v>8</v>
      </c>
      <c r="S165" s="3">
        <f t="shared" si="14"/>
        <v>494.70000000000005</v>
      </c>
      <c r="T165" s="24"/>
      <c r="U165" s="24"/>
      <c r="V165" s="3"/>
      <c r="W165" s="25" t="s">
        <v>6630</v>
      </c>
      <c r="X165" s="25"/>
      <c r="Y165" s="25" t="str">
        <f>IFERROR(VLOOKUP(C_Ope_002[[#This Row],[NOTA 2]],Clientes_Proveedores[[Ruc / Dni]:[Razon Social]],2,0),"")</f>
        <v/>
      </c>
      <c r="Z165" s="25"/>
      <c r="AA165" s="25"/>
      <c r="AB165" s="3" t="str">
        <f>IF(C_Ope_002[[#This Row],[FECHA]]&gt;0,TEXT(C_Ope_002[[#This Row],[FECHA]],"mmmm"),0)</f>
        <v>Mayo</v>
      </c>
    </row>
    <row r="166" spans="2:28" ht="36" x14ac:dyDescent="0.3">
      <c r="B166" s="2">
        <f>IF(C_Ope_002[[#This Row],[TIPO DE R.]]="R",COUNTIFS($D$4:$D165,"R")+1,"")</f>
        <v>162</v>
      </c>
      <c r="C166" s="19" t="str">
        <f t="shared" si="11"/>
        <v>C_Ope_002</v>
      </c>
      <c r="D166" s="3" t="s">
        <v>1074</v>
      </c>
      <c r="E166" s="14">
        <v>45784</v>
      </c>
      <c r="F166" s="5" t="s">
        <v>6746</v>
      </c>
      <c r="G166" s="5" t="s">
        <v>1079</v>
      </c>
      <c r="H166" s="6"/>
      <c r="I166" s="6" t="s">
        <v>14</v>
      </c>
      <c r="J166" s="6" t="s">
        <v>5243</v>
      </c>
      <c r="K166" s="6">
        <v>2323339</v>
      </c>
      <c r="L166" s="7" t="s">
        <v>6824</v>
      </c>
      <c r="M166" s="8">
        <v>24148</v>
      </c>
      <c r="N166" s="8" t="str">
        <f t="shared" si="15"/>
        <v>PEN</v>
      </c>
      <c r="O166" s="13"/>
      <c r="P166" s="13">
        <v>8</v>
      </c>
      <c r="Q166" s="3">
        <f t="shared" si="12"/>
        <v>0</v>
      </c>
      <c r="R166" s="3">
        <f t="shared" si="13"/>
        <v>8</v>
      </c>
      <c r="S166" s="3">
        <f t="shared" si="14"/>
        <v>486.70000000000005</v>
      </c>
      <c r="T166" s="24"/>
      <c r="U166" s="24"/>
      <c r="V166" s="3"/>
      <c r="W166" s="25" t="s">
        <v>6630</v>
      </c>
      <c r="X166" s="25"/>
      <c r="Y166" s="25" t="str">
        <f>IFERROR(VLOOKUP(C_Ope_002[[#This Row],[NOTA 2]],Clientes_Proveedores[[Ruc / Dni]:[Razon Social]],2,0),"")</f>
        <v/>
      </c>
      <c r="Z166" s="25"/>
      <c r="AA166" s="25"/>
      <c r="AB166" s="3" t="str">
        <f>IF(C_Ope_002[[#This Row],[FECHA]]&gt;0,TEXT(C_Ope_002[[#This Row],[FECHA]],"mmmm"),0)</f>
        <v>Mayo</v>
      </c>
    </row>
    <row r="167" spans="2:28" ht="24" x14ac:dyDescent="0.3">
      <c r="B167" s="2">
        <f>IF(C_Ope_002[[#This Row],[TIPO DE R.]]="R",COUNTIFS($D$4:$D166,"R")+1,"")</f>
        <v>163</v>
      </c>
      <c r="C167" s="19" t="str">
        <f t="shared" si="11"/>
        <v>C_Ope_002</v>
      </c>
      <c r="D167" s="3" t="s">
        <v>1074</v>
      </c>
      <c r="E167" s="14">
        <v>45785</v>
      </c>
      <c r="F167" s="5" t="s">
        <v>6746</v>
      </c>
      <c r="G167" s="5" t="s">
        <v>1079</v>
      </c>
      <c r="H167" s="6"/>
      <c r="I167" s="6" t="s">
        <v>14</v>
      </c>
      <c r="J167" s="6" t="s">
        <v>5242</v>
      </c>
      <c r="K167" s="6">
        <v>2044578</v>
      </c>
      <c r="L167" s="7" t="s">
        <v>6825</v>
      </c>
      <c r="M167" s="8">
        <v>24159</v>
      </c>
      <c r="N167" s="8" t="str">
        <f t="shared" si="15"/>
        <v>PEN</v>
      </c>
      <c r="O167" s="13"/>
      <c r="P167" s="13">
        <v>8</v>
      </c>
      <c r="Q167" s="3">
        <f t="shared" si="12"/>
        <v>0</v>
      </c>
      <c r="R167" s="3">
        <f t="shared" si="13"/>
        <v>8</v>
      </c>
      <c r="S167" s="3">
        <f t="shared" si="14"/>
        <v>478.70000000000005</v>
      </c>
      <c r="T167" s="24"/>
      <c r="U167" s="24"/>
      <c r="V167" s="3"/>
      <c r="W167" s="25" t="s">
        <v>6630</v>
      </c>
      <c r="X167" s="25"/>
      <c r="Y167" s="25" t="str">
        <f>IFERROR(VLOOKUP(C_Ope_002[[#This Row],[NOTA 2]],Clientes_Proveedores[[Ruc / Dni]:[Razon Social]],2,0),"")</f>
        <v/>
      </c>
      <c r="Z167" s="25"/>
      <c r="AA167" s="25"/>
      <c r="AB167" s="3" t="str">
        <f>IF(C_Ope_002[[#This Row],[FECHA]]&gt;0,TEXT(C_Ope_002[[#This Row],[FECHA]],"mmmm"),0)</f>
        <v>Mayo</v>
      </c>
    </row>
    <row r="168" spans="2:28" ht="24" x14ac:dyDescent="0.3">
      <c r="B168" s="2">
        <f>IF(C_Ope_002[[#This Row],[TIPO DE R.]]="R",COUNTIFS($D$4:$D167,"R")+1,"")</f>
        <v>164</v>
      </c>
      <c r="C168" s="19" t="str">
        <f t="shared" si="11"/>
        <v>C_Ope_002</v>
      </c>
      <c r="D168" s="3" t="s">
        <v>1074</v>
      </c>
      <c r="E168" s="14">
        <v>45785</v>
      </c>
      <c r="F168" s="5" t="s">
        <v>6746</v>
      </c>
      <c r="G168" s="5" t="s">
        <v>1079</v>
      </c>
      <c r="H168" s="6"/>
      <c r="I168" s="6" t="s">
        <v>14</v>
      </c>
      <c r="J168" s="6" t="s">
        <v>5243</v>
      </c>
      <c r="K168" s="6">
        <v>2324705</v>
      </c>
      <c r="L168" s="7" t="s">
        <v>6825</v>
      </c>
      <c r="M168" s="8">
        <v>24160</v>
      </c>
      <c r="N168" s="8" t="str">
        <f t="shared" si="15"/>
        <v>PEN</v>
      </c>
      <c r="O168" s="13"/>
      <c r="P168" s="13">
        <v>8</v>
      </c>
      <c r="Q168" s="3">
        <f t="shared" si="12"/>
        <v>0</v>
      </c>
      <c r="R168" s="3">
        <f t="shared" si="13"/>
        <v>8</v>
      </c>
      <c r="S168" s="3">
        <f t="shared" si="14"/>
        <v>470.70000000000005</v>
      </c>
      <c r="T168" s="24"/>
      <c r="U168" s="24"/>
      <c r="V168" s="3"/>
      <c r="W168" s="25" t="s">
        <v>6630</v>
      </c>
      <c r="X168" s="25"/>
      <c r="Y168" s="25" t="str">
        <f>IFERROR(VLOOKUP(C_Ope_002[[#This Row],[NOTA 2]],Clientes_Proveedores[[Ruc / Dni]:[Razon Social]],2,0),"")</f>
        <v/>
      </c>
      <c r="Z168" s="25"/>
      <c r="AA168" s="25"/>
      <c r="AB168" s="3" t="str">
        <f>IF(C_Ope_002[[#This Row],[FECHA]]&gt;0,TEXT(C_Ope_002[[#This Row],[FECHA]],"mmmm"),0)</f>
        <v>Mayo</v>
      </c>
    </row>
    <row r="169" spans="2:28" ht="24" x14ac:dyDescent="0.3">
      <c r="B169" s="2">
        <f>IF(C_Ope_002[[#This Row],[TIPO DE R.]]="R",COUNTIFS($D$4:$D168,"R")+1,"")</f>
        <v>165</v>
      </c>
      <c r="C169" s="19" t="str">
        <f t="shared" si="11"/>
        <v>C_Ope_002</v>
      </c>
      <c r="D169" s="3" t="s">
        <v>1074</v>
      </c>
      <c r="E169" s="14">
        <v>45786</v>
      </c>
      <c r="F169" s="5" t="s">
        <v>6746</v>
      </c>
      <c r="G169" s="5" t="s">
        <v>1079</v>
      </c>
      <c r="H169" s="6"/>
      <c r="I169" s="6" t="s">
        <v>14</v>
      </c>
      <c r="J169" s="6" t="s">
        <v>5243</v>
      </c>
      <c r="K169" s="6">
        <v>2325675</v>
      </c>
      <c r="L169" s="7" t="s">
        <v>6826</v>
      </c>
      <c r="M169" s="8">
        <v>24162</v>
      </c>
      <c r="N169" s="8" t="str">
        <f t="shared" si="15"/>
        <v>PEN</v>
      </c>
      <c r="O169" s="13"/>
      <c r="P169" s="13">
        <v>8</v>
      </c>
      <c r="Q169" s="3">
        <f t="shared" si="12"/>
        <v>0</v>
      </c>
      <c r="R169" s="3">
        <f t="shared" si="13"/>
        <v>8</v>
      </c>
      <c r="S169" s="3">
        <f t="shared" si="14"/>
        <v>462.70000000000005</v>
      </c>
      <c r="T169" s="24"/>
      <c r="U169" s="24"/>
      <c r="V169" s="3"/>
      <c r="W169" s="25" t="s">
        <v>6630</v>
      </c>
      <c r="X169" s="25"/>
      <c r="Y169" s="25" t="str">
        <f>IFERROR(VLOOKUP(C_Ope_002[[#This Row],[NOTA 2]],Clientes_Proveedores[[Ruc / Dni]:[Razon Social]],2,0),"")</f>
        <v/>
      </c>
      <c r="Z169" s="25"/>
      <c r="AA169" s="25"/>
      <c r="AB169" s="3" t="str">
        <f>IF(C_Ope_002[[#This Row],[FECHA]]&gt;0,TEXT(C_Ope_002[[#This Row],[FECHA]],"mmmm"),0)</f>
        <v>Mayo</v>
      </c>
    </row>
    <row r="170" spans="2:28" x14ac:dyDescent="0.3">
      <c r="B170" s="2">
        <f>IF(C_Ope_002[[#This Row],[TIPO DE R.]]="R",COUNTIFS($D$4:$D169,"R")+1,"")</f>
        <v>166</v>
      </c>
      <c r="C170" s="19" t="str">
        <f t="shared" si="11"/>
        <v>C_Ope_002</v>
      </c>
      <c r="D170" s="3" t="s">
        <v>1074</v>
      </c>
      <c r="E170" s="14">
        <v>45786</v>
      </c>
      <c r="F170" s="5" t="s">
        <v>6746</v>
      </c>
      <c r="G170" s="5" t="s">
        <v>1079</v>
      </c>
      <c r="H170" s="6"/>
      <c r="I170" s="6" t="s">
        <v>14</v>
      </c>
      <c r="J170" s="6" t="s">
        <v>6556</v>
      </c>
      <c r="K170" s="6">
        <v>471990</v>
      </c>
      <c r="L170" s="7" t="s">
        <v>6629</v>
      </c>
      <c r="M170" s="8">
        <v>24163</v>
      </c>
      <c r="N170" s="8" t="str">
        <f t="shared" si="15"/>
        <v>PEN</v>
      </c>
      <c r="O170" s="13"/>
      <c r="P170" s="13">
        <v>8</v>
      </c>
      <c r="Q170" s="3">
        <f t="shared" si="12"/>
        <v>0</v>
      </c>
      <c r="R170" s="3">
        <f t="shared" si="13"/>
        <v>8</v>
      </c>
      <c r="S170" s="3">
        <f t="shared" si="14"/>
        <v>454.70000000000005</v>
      </c>
      <c r="T170" s="24"/>
      <c r="U170" s="24"/>
      <c r="V170" s="3"/>
      <c r="W170" s="25" t="s">
        <v>6630</v>
      </c>
      <c r="X170" s="25"/>
      <c r="Y170" s="25" t="str">
        <f>IFERROR(VLOOKUP(C_Ope_002[[#This Row],[NOTA 2]],Clientes_Proveedores[[Ruc / Dni]:[Razon Social]],2,0),"")</f>
        <v/>
      </c>
      <c r="Z170" s="25"/>
      <c r="AA170" s="25"/>
      <c r="AB170" s="3" t="str">
        <f>IF(C_Ope_002[[#This Row],[FECHA]]&gt;0,TEXT(C_Ope_002[[#This Row],[FECHA]],"mmmm"),0)</f>
        <v>Mayo</v>
      </c>
    </row>
    <row r="171" spans="2:28" x14ac:dyDescent="0.3">
      <c r="B171" s="2">
        <f>IF(C_Ope_002[[#This Row],[TIPO DE R.]]="R",COUNTIFS($D$4:$D170,"R")+1,"")</f>
        <v>167</v>
      </c>
      <c r="C171" s="19" t="str">
        <f t="shared" si="11"/>
        <v>C_Ope_002</v>
      </c>
      <c r="D171" s="3" t="s">
        <v>1074</v>
      </c>
      <c r="E171" s="14">
        <v>45786</v>
      </c>
      <c r="F171" s="5" t="s">
        <v>6746</v>
      </c>
      <c r="G171" s="5" t="s">
        <v>1079</v>
      </c>
      <c r="H171" s="6"/>
      <c r="I171" s="6" t="s">
        <v>14</v>
      </c>
      <c r="J171" s="6" t="s">
        <v>5280</v>
      </c>
      <c r="K171" s="6">
        <v>1052260</v>
      </c>
      <c r="L171" s="7" t="s">
        <v>6629</v>
      </c>
      <c r="M171" s="8">
        <v>24164</v>
      </c>
      <c r="N171" s="8" t="str">
        <f t="shared" si="15"/>
        <v>PEN</v>
      </c>
      <c r="O171" s="13"/>
      <c r="P171" s="13">
        <v>8</v>
      </c>
      <c r="Q171" s="3">
        <f t="shared" si="12"/>
        <v>0</v>
      </c>
      <c r="R171" s="3">
        <f t="shared" si="13"/>
        <v>8</v>
      </c>
      <c r="S171" s="3">
        <f t="shared" si="14"/>
        <v>446.70000000000005</v>
      </c>
      <c r="T171" s="24"/>
      <c r="U171" s="24"/>
      <c r="V171" s="3"/>
      <c r="W171" s="25" t="s">
        <v>6630</v>
      </c>
      <c r="X171" s="25"/>
      <c r="Y171" s="25" t="str">
        <f>IFERROR(VLOOKUP(C_Ope_002[[#This Row],[NOTA 2]],Clientes_Proveedores[[Ruc / Dni]:[Razon Social]],2,0),"")</f>
        <v/>
      </c>
      <c r="Z171" s="25"/>
      <c r="AA171" s="25"/>
      <c r="AB171" s="3" t="str">
        <f>IF(C_Ope_002[[#This Row],[FECHA]]&gt;0,TEXT(C_Ope_002[[#This Row],[FECHA]],"mmmm"),0)</f>
        <v>Mayo</v>
      </c>
    </row>
    <row r="172" spans="2:28" ht="24" x14ac:dyDescent="0.3">
      <c r="B172" s="2">
        <f>IF(C_Ope_002[[#This Row],[TIPO DE R.]]="R",COUNTIFS($D$4:$D171,"R")+1,"")</f>
        <v>168</v>
      </c>
      <c r="C172" s="19" t="str">
        <f t="shared" si="11"/>
        <v>C_Ope_002</v>
      </c>
      <c r="D172" s="3" t="s">
        <v>1074</v>
      </c>
      <c r="E172" s="14">
        <v>45786</v>
      </c>
      <c r="F172" s="5" t="s">
        <v>6746</v>
      </c>
      <c r="G172" s="5" t="s">
        <v>1079</v>
      </c>
      <c r="H172" s="6"/>
      <c r="I172" s="6" t="s">
        <v>14</v>
      </c>
      <c r="J172" s="6" t="s">
        <v>5242</v>
      </c>
      <c r="K172" s="6">
        <v>2045586</v>
      </c>
      <c r="L172" s="7" t="s">
        <v>6826</v>
      </c>
      <c r="M172" s="8">
        <v>24165</v>
      </c>
      <c r="N172" s="8" t="str">
        <f t="shared" si="15"/>
        <v>PEN</v>
      </c>
      <c r="O172" s="13"/>
      <c r="P172" s="13">
        <v>8</v>
      </c>
      <c r="Q172" s="3">
        <f t="shared" si="12"/>
        <v>0</v>
      </c>
      <c r="R172" s="3">
        <f t="shared" si="13"/>
        <v>8</v>
      </c>
      <c r="S172" s="3">
        <f t="shared" si="14"/>
        <v>438.70000000000005</v>
      </c>
      <c r="T172" s="24"/>
      <c r="U172" s="24"/>
      <c r="V172" s="3"/>
      <c r="W172" s="25" t="s">
        <v>6630</v>
      </c>
      <c r="X172" s="25"/>
      <c r="Y172" s="25" t="str">
        <f>IFERROR(VLOOKUP(C_Ope_002[[#This Row],[NOTA 2]],Clientes_Proveedores[[Ruc / Dni]:[Razon Social]],2,0),"")</f>
        <v/>
      </c>
      <c r="Z172" s="25"/>
      <c r="AA172" s="25"/>
      <c r="AB172" s="3" t="str">
        <f>IF(C_Ope_002[[#This Row],[FECHA]]&gt;0,TEXT(C_Ope_002[[#This Row],[FECHA]],"mmmm"),0)</f>
        <v>Mayo</v>
      </c>
    </row>
    <row r="173" spans="2:28" x14ac:dyDescent="0.3">
      <c r="B173" s="2">
        <f>IF(C_Ope_002[[#This Row],[TIPO DE R.]]="R",COUNTIFS($D$4:$D172,"R")+1,"")</f>
        <v>169</v>
      </c>
      <c r="C173" s="19" t="str">
        <f t="shared" si="11"/>
        <v>C_Ope_002</v>
      </c>
      <c r="D173" s="3" t="s">
        <v>1074</v>
      </c>
      <c r="E173" s="14">
        <v>45784</v>
      </c>
      <c r="F173" s="5" t="s">
        <v>6746</v>
      </c>
      <c r="G173" s="5" t="s">
        <v>1079</v>
      </c>
      <c r="H173" s="6"/>
      <c r="I173" s="6" t="s">
        <v>14</v>
      </c>
      <c r="J173" s="6" t="s">
        <v>1097</v>
      </c>
      <c r="K173" s="6">
        <v>16325</v>
      </c>
      <c r="L173" s="7" t="s">
        <v>6792</v>
      </c>
      <c r="M173" s="8">
        <v>24150</v>
      </c>
      <c r="N173" s="8" t="str">
        <f t="shared" si="15"/>
        <v>PEN</v>
      </c>
      <c r="O173" s="13"/>
      <c r="P173" s="13">
        <v>20</v>
      </c>
      <c r="Q173" s="3">
        <f t="shared" si="12"/>
        <v>0</v>
      </c>
      <c r="R173" s="3">
        <f t="shared" si="13"/>
        <v>20</v>
      </c>
      <c r="S173" s="3">
        <f t="shared" si="14"/>
        <v>418.70000000000005</v>
      </c>
      <c r="T173" s="24"/>
      <c r="U173" s="24"/>
      <c r="V173" s="3"/>
      <c r="W173" s="25" t="s">
        <v>6630</v>
      </c>
      <c r="X173" s="25"/>
      <c r="Y173" s="25" t="str">
        <f>IFERROR(VLOOKUP(C_Ope_002[[#This Row],[NOTA 2]],Clientes_Proveedores[[Ruc / Dni]:[Razon Social]],2,0),"")</f>
        <v/>
      </c>
      <c r="Z173" s="25"/>
      <c r="AA173" s="25"/>
      <c r="AB173" s="3" t="str">
        <f>IF(C_Ope_002[[#This Row],[FECHA]]&gt;0,TEXT(C_Ope_002[[#This Row],[FECHA]],"mmmm"),0)</f>
        <v>Mayo</v>
      </c>
    </row>
    <row r="174" spans="2:28" ht="24" x14ac:dyDescent="0.3">
      <c r="B174" s="2">
        <f>IF(C_Ope_002[[#This Row],[TIPO DE R.]]="R",COUNTIFS($D$4:$D173,"R")+1,"")</f>
        <v>170</v>
      </c>
      <c r="C174" s="19" t="str">
        <f t="shared" si="11"/>
        <v>C_Ope_002</v>
      </c>
      <c r="D174" s="3" t="s">
        <v>1074</v>
      </c>
      <c r="E174" s="14">
        <v>45785</v>
      </c>
      <c r="F174" s="5" t="s">
        <v>6746</v>
      </c>
      <c r="G174" s="5" t="s">
        <v>1079</v>
      </c>
      <c r="H174" s="6"/>
      <c r="I174" s="6" t="s">
        <v>14</v>
      </c>
      <c r="J174" s="6" t="s">
        <v>1097</v>
      </c>
      <c r="K174" s="6">
        <v>16335</v>
      </c>
      <c r="L174" s="7" t="s">
        <v>6827</v>
      </c>
      <c r="M174" s="8">
        <v>24161</v>
      </c>
      <c r="N174" s="8" t="str">
        <f t="shared" si="15"/>
        <v>PEN</v>
      </c>
      <c r="O174" s="13"/>
      <c r="P174" s="13">
        <v>20</v>
      </c>
      <c r="Q174" s="3">
        <f t="shared" si="12"/>
        <v>0</v>
      </c>
      <c r="R174" s="3">
        <f t="shared" si="13"/>
        <v>20</v>
      </c>
      <c r="S174" s="3">
        <f t="shared" si="14"/>
        <v>398.70000000000005</v>
      </c>
      <c r="T174" s="24"/>
      <c r="U174" s="24"/>
      <c r="V174" s="3"/>
      <c r="W174" s="25" t="s">
        <v>6630</v>
      </c>
      <c r="X174" s="25"/>
      <c r="Y174" s="25" t="str">
        <f>IFERROR(VLOOKUP(C_Ope_002[[#This Row],[NOTA 2]],Clientes_Proveedores[[Ruc / Dni]:[Razon Social]],2,0),"")</f>
        <v/>
      </c>
      <c r="Z174" s="25"/>
      <c r="AA174" s="25"/>
      <c r="AB174" s="3" t="str">
        <f>IF(C_Ope_002[[#This Row],[FECHA]]&gt;0,TEXT(C_Ope_002[[#This Row],[FECHA]],"mmmm"),0)</f>
        <v>Mayo</v>
      </c>
    </row>
    <row r="175" spans="2:28" x14ac:dyDescent="0.3">
      <c r="B175" s="2">
        <f>IF(C_Ope_002[[#This Row],[TIPO DE R.]]="R",COUNTIFS($D$4:$D174,"R")+1,"")</f>
        <v>171</v>
      </c>
      <c r="C175" s="19" t="str">
        <f t="shared" si="11"/>
        <v>C_Ope_002</v>
      </c>
      <c r="D175" s="3" t="s">
        <v>1074</v>
      </c>
      <c r="E175" s="14">
        <v>45786</v>
      </c>
      <c r="F175" s="5" t="s">
        <v>6746</v>
      </c>
      <c r="G175" s="5" t="s">
        <v>1079</v>
      </c>
      <c r="H175" s="6"/>
      <c r="I175" s="6" t="s">
        <v>14</v>
      </c>
      <c r="J175" s="6" t="s">
        <v>1119</v>
      </c>
      <c r="K175" s="6">
        <v>17494</v>
      </c>
      <c r="L175" s="7" t="s">
        <v>6633</v>
      </c>
      <c r="M175" s="8">
        <v>24166</v>
      </c>
      <c r="N175" s="8" t="str">
        <f t="shared" si="15"/>
        <v>PEN</v>
      </c>
      <c r="O175" s="13"/>
      <c r="P175" s="13">
        <v>11</v>
      </c>
      <c r="Q175" s="3">
        <f t="shared" si="12"/>
        <v>0</v>
      </c>
      <c r="R175" s="3">
        <f t="shared" si="13"/>
        <v>11</v>
      </c>
      <c r="S175" s="3">
        <f t="shared" si="14"/>
        <v>387.70000000000005</v>
      </c>
      <c r="T175" s="24"/>
      <c r="U175" s="24"/>
      <c r="V175" s="3"/>
      <c r="W175" s="25" t="s">
        <v>6630</v>
      </c>
      <c r="X175" s="25"/>
      <c r="Y175" s="25" t="str">
        <f>IFERROR(VLOOKUP(C_Ope_002[[#This Row],[NOTA 2]],Clientes_Proveedores[[Ruc / Dni]:[Razon Social]],2,0),"")</f>
        <v/>
      </c>
      <c r="Z175" s="25"/>
      <c r="AA175" s="25"/>
      <c r="AB175" s="3" t="str">
        <f>IF(C_Ope_002[[#This Row],[FECHA]]&gt;0,TEXT(C_Ope_002[[#This Row],[FECHA]],"mmmm"),0)</f>
        <v>Mayo</v>
      </c>
    </row>
    <row r="176" spans="2:28" x14ac:dyDescent="0.3">
      <c r="B176" s="2">
        <f>IF(C_Ope_002[[#This Row],[TIPO DE R.]]="R",COUNTIFS($D$4:$D175,"R")+1,"")</f>
        <v>172</v>
      </c>
      <c r="C176" s="19" t="str">
        <f t="shared" si="11"/>
        <v>C_Ope_002</v>
      </c>
      <c r="D176" s="3" t="s">
        <v>1074</v>
      </c>
      <c r="E176" s="14">
        <v>45791</v>
      </c>
      <c r="F176" s="5"/>
      <c r="G176" s="5" t="s">
        <v>1087</v>
      </c>
      <c r="H176" s="6"/>
      <c r="I176" s="6"/>
      <c r="J176" s="6"/>
      <c r="K176" s="6"/>
      <c r="L176" s="7" t="s">
        <v>6302</v>
      </c>
      <c r="M176" s="8">
        <v>24274</v>
      </c>
      <c r="N176" s="8" t="str">
        <f t="shared" si="15"/>
        <v>PEN</v>
      </c>
      <c r="O176" s="13"/>
      <c r="P176" s="13">
        <v>300</v>
      </c>
      <c r="Q176" s="3">
        <f t="shared" si="12"/>
        <v>300</v>
      </c>
      <c r="R176" s="3">
        <f t="shared" si="13"/>
        <v>0</v>
      </c>
      <c r="S176" s="3">
        <f t="shared" si="14"/>
        <v>687.7</v>
      </c>
      <c r="T176" s="24"/>
      <c r="U176" s="24"/>
      <c r="V176" s="3"/>
      <c r="W176" s="25"/>
      <c r="X176" s="25"/>
      <c r="Y176" s="25" t="str">
        <f>IFERROR(VLOOKUP(C_Ope_002[[#This Row],[NOTA 2]],Clientes_Proveedores[[Ruc / Dni]:[Razon Social]],2,0),"")</f>
        <v/>
      </c>
      <c r="Z176" s="25"/>
      <c r="AA176" s="25"/>
      <c r="AB176" s="3" t="str">
        <f>IF(C_Ope_002[[#This Row],[FECHA]]&gt;0,TEXT(C_Ope_002[[#This Row],[FECHA]],"mmmm"),0)</f>
        <v>Mayo</v>
      </c>
    </row>
    <row r="177" spans="2:28" x14ac:dyDescent="0.3">
      <c r="B177" s="2">
        <f>IF(C_Ope_002[[#This Row],[TIPO DE R.]]="R",COUNTIFS($D$4:$D176,"R")+1,"")</f>
        <v>173</v>
      </c>
      <c r="C177" s="19" t="str">
        <f t="shared" si="11"/>
        <v>C_Ope_002</v>
      </c>
      <c r="D177" s="3" t="s">
        <v>1074</v>
      </c>
      <c r="E177" s="14">
        <v>45789</v>
      </c>
      <c r="F177" s="5" t="s">
        <v>6746</v>
      </c>
      <c r="G177" s="5" t="s">
        <v>1079</v>
      </c>
      <c r="H177" s="6"/>
      <c r="I177" s="6" t="s">
        <v>14</v>
      </c>
      <c r="J177" s="6" t="s">
        <v>5245</v>
      </c>
      <c r="K177" s="6">
        <v>1748476</v>
      </c>
      <c r="L177" s="7" t="s">
        <v>6803</v>
      </c>
      <c r="M177" s="8">
        <v>24200</v>
      </c>
      <c r="N177" s="8" t="str">
        <f t="shared" si="15"/>
        <v>PEN</v>
      </c>
      <c r="O177" s="13"/>
      <c r="P177" s="13">
        <v>8</v>
      </c>
      <c r="Q177" s="3">
        <f t="shared" si="12"/>
        <v>0</v>
      </c>
      <c r="R177" s="3">
        <f t="shared" si="13"/>
        <v>8</v>
      </c>
      <c r="S177" s="3">
        <f t="shared" si="14"/>
        <v>679.7</v>
      </c>
      <c r="T177" s="24"/>
      <c r="U177" s="24"/>
      <c r="V177" s="3"/>
      <c r="W177" s="25" t="s">
        <v>6630</v>
      </c>
      <c r="X177" s="25"/>
      <c r="Y177" s="25" t="str">
        <f>IFERROR(VLOOKUP(C_Ope_002[[#This Row],[NOTA 2]],Clientes_Proveedores[[Ruc / Dni]:[Razon Social]],2,0),"")</f>
        <v/>
      </c>
      <c r="Z177" s="25"/>
      <c r="AA177" s="25"/>
      <c r="AB177" s="3" t="str">
        <f>IF(C_Ope_002[[#This Row],[FECHA]]&gt;0,TEXT(C_Ope_002[[#This Row],[FECHA]],"mmmm"),0)</f>
        <v>Mayo</v>
      </c>
    </row>
    <row r="178" spans="2:28" ht="36" x14ac:dyDescent="0.3">
      <c r="B178" s="2">
        <f>IF(C_Ope_002[[#This Row],[TIPO DE R.]]="R",COUNTIFS($D$4:$D177,"R")+1,"")</f>
        <v>174</v>
      </c>
      <c r="C178" s="19" t="str">
        <f t="shared" si="11"/>
        <v>C_Ope_002</v>
      </c>
      <c r="D178" s="3" t="s">
        <v>1074</v>
      </c>
      <c r="E178" s="14">
        <v>45790</v>
      </c>
      <c r="F178" s="5" t="s">
        <v>6746</v>
      </c>
      <c r="G178" s="5" t="s">
        <v>1079</v>
      </c>
      <c r="H178" s="6"/>
      <c r="I178" s="6" t="s">
        <v>14</v>
      </c>
      <c r="J178" s="6" t="s">
        <v>5242</v>
      </c>
      <c r="K178" s="6">
        <v>2049153</v>
      </c>
      <c r="L178" s="7" t="s">
        <v>6828</v>
      </c>
      <c r="M178" s="8">
        <v>24201</v>
      </c>
      <c r="N178" s="8" t="str">
        <f t="shared" si="15"/>
        <v>PEN</v>
      </c>
      <c r="O178" s="13"/>
      <c r="P178" s="13">
        <v>8</v>
      </c>
      <c r="Q178" s="3">
        <f t="shared" si="12"/>
        <v>0</v>
      </c>
      <c r="R178" s="3">
        <f t="shared" si="13"/>
        <v>8</v>
      </c>
      <c r="S178" s="3">
        <f t="shared" si="14"/>
        <v>671.7</v>
      </c>
      <c r="T178" s="24"/>
      <c r="U178" s="24"/>
      <c r="V178" s="3"/>
      <c r="W178" s="25" t="s">
        <v>6630</v>
      </c>
      <c r="X178" s="25"/>
      <c r="Y178" s="25" t="str">
        <f>IFERROR(VLOOKUP(C_Ope_002[[#This Row],[NOTA 2]],Clientes_Proveedores[[Ruc / Dni]:[Razon Social]],2,0),"")</f>
        <v/>
      </c>
      <c r="Z178" s="25"/>
      <c r="AA178" s="25"/>
      <c r="AB178" s="3" t="str">
        <f>IF(C_Ope_002[[#This Row],[FECHA]]&gt;0,TEXT(C_Ope_002[[#This Row],[FECHA]],"mmmm"),0)</f>
        <v>Mayo</v>
      </c>
    </row>
    <row r="179" spans="2:28" ht="36" x14ac:dyDescent="0.3">
      <c r="B179" s="2">
        <f>IF(C_Ope_002[[#This Row],[TIPO DE R.]]="R",COUNTIFS($D$4:$D178,"R")+1,"")</f>
        <v>175</v>
      </c>
      <c r="C179" s="19" t="str">
        <f t="shared" si="11"/>
        <v>C_Ope_002</v>
      </c>
      <c r="D179" s="3" t="s">
        <v>1074</v>
      </c>
      <c r="E179" s="14">
        <v>45790</v>
      </c>
      <c r="F179" s="5" t="s">
        <v>6746</v>
      </c>
      <c r="G179" s="5" t="s">
        <v>1079</v>
      </c>
      <c r="H179" s="6"/>
      <c r="I179" s="6" t="s">
        <v>14</v>
      </c>
      <c r="J179" s="6" t="s">
        <v>5244</v>
      </c>
      <c r="K179" s="6">
        <v>1729479</v>
      </c>
      <c r="L179" s="7" t="s">
        <v>6828</v>
      </c>
      <c r="M179" s="8">
        <v>24202</v>
      </c>
      <c r="N179" s="8" t="str">
        <f t="shared" si="15"/>
        <v>PEN</v>
      </c>
      <c r="O179" s="13"/>
      <c r="P179" s="13">
        <v>8</v>
      </c>
      <c r="Q179" s="3">
        <f t="shared" si="12"/>
        <v>0</v>
      </c>
      <c r="R179" s="3">
        <f t="shared" si="13"/>
        <v>8</v>
      </c>
      <c r="S179" s="3">
        <f t="shared" si="14"/>
        <v>663.7</v>
      </c>
      <c r="T179" s="24"/>
      <c r="U179" s="24"/>
      <c r="V179" s="3"/>
      <c r="W179" s="25" t="s">
        <v>6630</v>
      </c>
      <c r="X179" s="25"/>
      <c r="Y179" s="25" t="str">
        <f>IFERROR(VLOOKUP(C_Ope_002[[#This Row],[NOTA 2]],Clientes_Proveedores[[Ruc / Dni]:[Razon Social]],2,0),"")</f>
        <v/>
      </c>
      <c r="Z179" s="25"/>
      <c r="AA179" s="25"/>
      <c r="AB179" s="3" t="str">
        <f>IF(C_Ope_002[[#This Row],[FECHA]]&gt;0,TEXT(C_Ope_002[[#This Row],[FECHA]],"mmmm"),0)</f>
        <v>Mayo</v>
      </c>
    </row>
    <row r="180" spans="2:28" ht="24" x14ac:dyDescent="0.3">
      <c r="B180" s="2">
        <f>IF(C_Ope_002[[#This Row],[TIPO DE R.]]="R",COUNTIFS($D$4:$D179,"R")+1,"")</f>
        <v>176</v>
      </c>
      <c r="C180" s="19" t="str">
        <f t="shared" si="11"/>
        <v>C_Ope_002</v>
      </c>
      <c r="D180" s="3" t="s">
        <v>1074</v>
      </c>
      <c r="E180" s="14">
        <v>45791</v>
      </c>
      <c r="F180" s="5" t="s">
        <v>6746</v>
      </c>
      <c r="G180" s="5" t="s">
        <v>1079</v>
      </c>
      <c r="H180" s="6"/>
      <c r="I180" s="6" t="s">
        <v>14</v>
      </c>
      <c r="J180" s="6" t="s">
        <v>5242</v>
      </c>
      <c r="K180" s="6">
        <v>2050056</v>
      </c>
      <c r="L180" s="7" t="s">
        <v>6829</v>
      </c>
      <c r="M180" s="8">
        <v>24229</v>
      </c>
      <c r="N180" s="8" t="str">
        <f t="shared" si="15"/>
        <v>PEN</v>
      </c>
      <c r="O180" s="13"/>
      <c r="P180" s="13">
        <v>8</v>
      </c>
      <c r="Q180" s="3">
        <f t="shared" si="12"/>
        <v>0</v>
      </c>
      <c r="R180" s="3">
        <f t="shared" si="13"/>
        <v>8</v>
      </c>
      <c r="S180" s="3">
        <f t="shared" si="14"/>
        <v>655.7</v>
      </c>
      <c r="T180" s="24"/>
      <c r="U180" s="24"/>
      <c r="V180" s="3"/>
      <c r="W180" s="25" t="s">
        <v>6630</v>
      </c>
      <c r="X180" s="25"/>
      <c r="Y180" s="25" t="str">
        <f>IFERROR(VLOOKUP(C_Ope_002[[#This Row],[NOTA 2]],Clientes_Proveedores[[Ruc / Dni]:[Razon Social]],2,0),"")</f>
        <v/>
      </c>
      <c r="Z180" s="25"/>
      <c r="AA180" s="25"/>
      <c r="AB180" s="3" t="str">
        <f>IF(C_Ope_002[[#This Row],[FECHA]]&gt;0,TEXT(C_Ope_002[[#This Row],[FECHA]],"mmmm"),0)</f>
        <v>Mayo</v>
      </c>
    </row>
    <row r="181" spans="2:28" ht="24" x14ac:dyDescent="0.3">
      <c r="B181" s="2">
        <f>IF(C_Ope_002[[#This Row],[TIPO DE R.]]="R",COUNTIFS($D$4:$D180,"R")+1,"")</f>
        <v>177</v>
      </c>
      <c r="C181" s="19" t="str">
        <f t="shared" si="11"/>
        <v>C_Ope_002</v>
      </c>
      <c r="D181" s="3" t="s">
        <v>1074</v>
      </c>
      <c r="E181" s="14">
        <v>45791</v>
      </c>
      <c r="F181" s="5" t="s">
        <v>6746</v>
      </c>
      <c r="G181" s="5" t="s">
        <v>1079</v>
      </c>
      <c r="H181" s="6"/>
      <c r="I181" s="6" t="s">
        <v>14</v>
      </c>
      <c r="J181" s="6" t="s">
        <v>5244</v>
      </c>
      <c r="K181" s="6">
        <v>1730452</v>
      </c>
      <c r="L181" s="7" t="s">
        <v>6829</v>
      </c>
      <c r="M181" s="8">
        <v>24230</v>
      </c>
      <c r="N181" s="8" t="str">
        <f t="shared" si="15"/>
        <v>PEN</v>
      </c>
      <c r="O181" s="13"/>
      <c r="P181" s="13">
        <v>8</v>
      </c>
      <c r="Q181" s="3">
        <f t="shared" si="12"/>
        <v>0</v>
      </c>
      <c r="R181" s="3">
        <f t="shared" si="13"/>
        <v>8</v>
      </c>
      <c r="S181" s="3">
        <f t="shared" si="14"/>
        <v>647.70000000000005</v>
      </c>
      <c r="T181" s="24"/>
      <c r="U181" s="24"/>
      <c r="V181" s="3"/>
      <c r="W181" s="25" t="s">
        <v>6630</v>
      </c>
      <c r="X181" s="25"/>
      <c r="Y181" s="25" t="str">
        <f>IFERROR(VLOOKUP(C_Ope_002[[#This Row],[NOTA 2]],Clientes_Proveedores[[Ruc / Dni]:[Razon Social]],2,0),"")</f>
        <v/>
      </c>
      <c r="Z181" s="25"/>
      <c r="AA181" s="25"/>
      <c r="AB181" s="3" t="str">
        <f>IF(C_Ope_002[[#This Row],[FECHA]]&gt;0,TEXT(C_Ope_002[[#This Row],[FECHA]],"mmmm"),0)</f>
        <v>Mayo</v>
      </c>
    </row>
    <row r="182" spans="2:28" x14ac:dyDescent="0.3">
      <c r="B182" s="2">
        <f>IF(C_Ope_002[[#This Row],[TIPO DE R.]]="R",COUNTIFS($D$4:$D181,"R")+1,"")</f>
        <v>178</v>
      </c>
      <c r="C182" s="19" t="str">
        <f t="shared" si="11"/>
        <v>C_Ope_002</v>
      </c>
      <c r="D182" s="3" t="s">
        <v>1074</v>
      </c>
      <c r="E182" s="14">
        <v>45789</v>
      </c>
      <c r="F182" s="5" t="s">
        <v>6746</v>
      </c>
      <c r="G182" s="5" t="s">
        <v>1079</v>
      </c>
      <c r="H182" s="6"/>
      <c r="I182" s="6" t="s">
        <v>14</v>
      </c>
      <c r="J182" s="6" t="s">
        <v>1119</v>
      </c>
      <c r="K182" s="6">
        <v>17656</v>
      </c>
      <c r="L182" s="7" t="s">
        <v>6565</v>
      </c>
      <c r="M182" s="8">
        <v>24199</v>
      </c>
      <c r="N182" s="8" t="str">
        <f t="shared" si="15"/>
        <v>PEN</v>
      </c>
      <c r="O182" s="13"/>
      <c r="P182" s="13">
        <v>30</v>
      </c>
      <c r="Q182" s="3">
        <f t="shared" si="12"/>
        <v>0</v>
      </c>
      <c r="R182" s="3">
        <f t="shared" si="13"/>
        <v>30</v>
      </c>
      <c r="S182" s="3">
        <f t="shared" si="14"/>
        <v>617.70000000000005</v>
      </c>
      <c r="T182" s="24"/>
      <c r="U182" s="24"/>
      <c r="V182" s="3"/>
      <c r="W182" s="25" t="s">
        <v>6630</v>
      </c>
      <c r="X182" s="25"/>
      <c r="Y182" s="25" t="str">
        <f>IFERROR(VLOOKUP(C_Ope_002[[#This Row],[NOTA 2]],Clientes_Proveedores[[Ruc / Dni]:[Razon Social]],2,0),"")</f>
        <v/>
      </c>
      <c r="Z182" s="25"/>
      <c r="AA182" s="25"/>
      <c r="AB182" s="3" t="str">
        <f>IF(C_Ope_002[[#This Row],[FECHA]]&gt;0,TEXT(C_Ope_002[[#This Row],[FECHA]],"mmmm"),0)</f>
        <v>Mayo</v>
      </c>
    </row>
    <row r="183" spans="2:28" x14ac:dyDescent="0.3">
      <c r="B183" s="2">
        <f>IF(C_Ope_002[[#This Row],[TIPO DE R.]]="R",COUNTIFS($D$4:$D182,"R")+1,"")</f>
        <v>179</v>
      </c>
      <c r="C183" s="19" t="str">
        <f t="shared" si="11"/>
        <v>C_Ope_002</v>
      </c>
      <c r="D183" s="3" t="s">
        <v>1074</v>
      </c>
      <c r="E183" s="14">
        <v>45797</v>
      </c>
      <c r="F183" s="5" t="s">
        <v>6746</v>
      </c>
      <c r="G183" s="5" t="s">
        <v>1079</v>
      </c>
      <c r="H183" s="6"/>
      <c r="I183" s="6" t="s">
        <v>14</v>
      </c>
      <c r="J183" s="6" t="s">
        <v>1148</v>
      </c>
      <c r="K183" s="6">
        <v>132085</v>
      </c>
      <c r="L183" s="7" t="s">
        <v>6830</v>
      </c>
      <c r="M183" s="8">
        <v>24231</v>
      </c>
      <c r="N183" s="8" t="str">
        <f t="shared" si="15"/>
        <v>PEN</v>
      </c>
      <c r="O183" s="13"/>
      <c r="P183" s="13">
        <v>10</v>
      </c>
      <c r="Q183" s="3">
        <f t="shared" si="12"/>
        <v>0</v>
      </c>
      <c r="R183" s="3">
        <f t="shared" si="13"/>
        <v>10</v>
      </c>
      <c r="S183" s="3">
        <f t="shared" si="14"/>
        <v>607.70000000000005</v>
      </c>
      <c r="T183" s="24"/>
      <c r="U183" s="24"/>
      <c r="V183" s="3"/>
      <c r="W183" s="25" t="s">
        <v>6630</v>
      </c>
      <c r="X183" s="25"/>
      <c r="Y183" s="25" t="str">
        <f>IFERROR(VLOOKUP(C_Ope_002[[#This Row],[NOTA 2]],Clientes_Proveedores[[Ruc / Dni]:[Razon Social]],2,0),"")</f>
        <v/>
      </c>
      <c r="Z183" s="25"/>
      <c r="AA183" s="25"/>
      <c r="AB183" s="3" t="str">
        <f>IF(C_Ope_002[[#This Row],[FECHA]]&gt;0,TEXT(C_Ope_002[[#This Row],[FECHA]],"mmmm"),0)</f>
        <v>Mayo</v>
      </c>
    </row>
    <row r="184" spans="2:28" ht="36" x14ac:dyDescent="0.3">
      <c r="B184" s="2">
        <f>IF(C_Ope_002[[#This Row],[TIPO DE R.]]="R",COUNTIFS($D$4:$D183,"R")+1,"")</f>
        <v>180</v>
      </c>
      <c r="C184" s="19" t="str">
        <f t="shared" si="11"/>
        <v>C_Ope_002</v>
      </c>
      <c r="D184" s="3" t="s">
        <v>1074</v>
      </c>
      <c r="E184" s="14">
        <v>45814</v>
      </c>
      <c r="F184" s="5" t="s">
        <v>6746</v>
      </c>
      <c r="G184" s="5" t="s">
        <v>1079</v>
      </c>
      <c r="H184" s="6"/>
      <c r="I184" s="6" t="s">
        <v>14</v>
      </c>
      <c r="J184" s="6" t="s">
        <v>5245</v>
      </c>
      <c r="K184" s="6">
        <v>1771106</v>
      </c>
      <c r="L184" s="7" t="s">
        <v>6831</v>
      </c>
      <c r="M184" s="8">
        <v>24506</v>
      </c>
      <c r="N184" s="8" t="str">
        <f t="shared" si="15"/>
        <v>PEN</v>
      </c>
      <c r="O184" s="13"/>
      <c r="P184" s="13">
        <v>8</v>
      </c>
      <c r="Q184" s="3">
        <f t="shared" si="12"/>
        <v>0</v>
      </c>
      <c r="R184" s="3">
        <f t="shared" si="13"/>
        <v>8</v>
      </c>
      <c r="S184" s="3">
        <f t="shared" si="14"/>
        <v>599.70000000000005</v>
      </c>
      <c r="T184" s="24"/>
      <c r="U184" s="24"/>
      <c r="V184" s="3"/>
      <c r="W184" s="25" t="s">
        <v>6630</v>
      </c>
      <c r="X184" s="25"/>
      <c r="Y184" s="25" t="str">
        <f>IFERROR(VLOOKUP(C_Ope_002[[#This Row],[NOTA 2]],Clientes_Proveedores[[Ruc / Dni]:[Razon Social]],2,0),"")</f>
        <v/>
      </c>
      <c r="Z184" s="25"/>
      <c r="AA184" s="25"/>
      <c r="AB184" s="3" t="str">
        <f>IF(C_Ope_002[[#This Row],[FECHA]]&gt;0,TEXT(C_Ope_002[[#This Row],[FECHA]],"mmmm"),0)</f>
        <v>Junio</v>
      </c>
    </row>
    <row r="185" spans="2:28" ht="36" x14ac:dyDescent="0.3">
      <c r="B185" s="2">
        <f>IF(C_Ope_002[[#This Row],[TIPO DE R.]]="R",COUNTIFS($D$4:$D184,"R")+1,"")</f>
        <v>181</v>
      </c>
      <c r="C185" s="19" t="str">
        <f t="shared" si="11"/>
        <v>C_Ope_002</v>
      </c>
      <c r="D185" s="3" t="s">
        <v>1074</v>
      </c>
      <c r="E185" s="14">
        <v>45814</v>
      </c>
      <c r="F185" s="5" t="s">
        <v>6746</v>
      </c>
      <c r="G185" s="5" t="s">
        <v>1079</v>
      </c>
      <c r="H185" s="6"/>
      <c r="I185" s="6" t="s">
        <v>14</v>
      </c>
      <c r="J185" s="6" t="s">
        <v>5243</v>
      </c>
      <c r="K185" s="6">
        <v>2356987</v>
      </c>
      <c r="L185" s="7" t="s">
        <v>6831</v>
      </c>
      <c r="M185" s="8">
        <v>24507</v>
      </c>
      <c r="N185" s="8" t="str">
        <f t="shared" si="15"/>
        <v>PEN</v>
      </c>
      <c r="O185" s="13"/>
      <c r="P185" s="13">
        <v>8</v>
      </c>
      <c r="Q185" s="3">
        <f t="shared" si="12"/>
        <v>0</v>
      </c>
      <c r="R185" s="3">
        <f t="shared" si="13"/>
        <v>8</v>
      </c>
      <c r="S185" s="3">
        <f t="shared" si="14"/>
        <v>591.70000000000005</v>
      </c>
      <c r="T185" s="24"/>
      <c r="U185" s="24"/>
      <c r="V185" s="3"/>
      <c r="W185" s="25" t="s">
        <v>6630</v>
      </c>
      <c r="X185" s="25"/>
      <c r="Y185" s="25" t="str">
        <f>IFERROR(VLOOKUP(C_Ope_002[[#This Row],[NOTA 2]],Clientes_Proveedores[[Ruc / Dni]:[Razon Social]],2,0),"")</f>
        <v/>
      </c>
      <c r="Z185" s="25"/>
      <c r="AA185" s="25"/>
      <c r="AB185" s="3" t="str">
        <f>IF(C_Ope_002[[#This Row],[FECHA]]&gt;0,TEXT(C_Ope_002[[#This Row],[FECHA]],"mmmm"),0)</f>
        <v>Junio</v>
      </c>
    </row>
    <row r="186" spans="2:28" x14ac:dyDescent="0.3">
      <c r="B186" s="2">
        <f>IF(C_Ope_002[[#This Row],[TIPO DE R.]]="R",COUNTIFS($D$4:$D185,"R")+1,"")</f>
        <v>182</v>
      </c>
      <c r="C186" s="19" t="str">
        <f t="shared" si="11"/>
        <v>C_Ope_002</v>
      </c>
      <c r="D186" s="3" t="s">
        <v>1074</v>
      </c>
      <c r="E186" s="14">
        <v>45811</v>
      </c>
      <c r="F186" s="5" t="s">
        <v>6746</v>
      </c>
      <c r="G186" s="5" t="s">
        <v>1079</v>
      </c>
      <c r="H186" s="6"/>
      <c r="I186" s="6" t="s">
        <v>14</v>
      </c>
      <c r="J186" s="6" t="s">
        <v>6561</v>
      </c>
      <c r="K186" s="6">
        <v>1157</v>
      </c>
      <c r="L186" s="7" t="s">
        <v>6603</v>
      </c>
      <c r="M186" s="8">
        <v>24505</v>
      </c>
      <c r="N186" s="8" t="str">
        <f t="shared" si="15"/>
        <v>PEN</v>
      </c>
      <c r="O186" s="13"/>
      <c r="P186" s="13">
        <v>10</v>
      </c>
      <c r="Q186" s="3">
        <f t="shared" si="12"/>
        <v>0</v>
      </c>
      <c r="R186" s="3">
        <f t="shared" si="13"/>
        <v>10</v>
      </c>
      <c r="S186" s="3">
        <f t="shared" si="14"/>
        <v>581.70000000000005</v>
      </c>
      <c r="T186" s="24"/>
      <c r="U186" s="24"/>
      <c r="V186" s="3"/>
      <c r="W186" s="25" t="s">
        <v>6546</v>
      </c>
      <c r="X186" s="25"/>
      <c r="Y186" s="25" t="str">
        <f>IFERROR(VLOOKUP(C_Ope_002[[#This Row],[NOTA 2]],Clientes_Proveedores[[Ruc / Dni]:[Razon Social]],2,0),"")</f>
        <v/>
      </c>
      <c r="Z186" s="25"/>
      <c r="AA186" s="25"/>
      <c r="AB186" s="3" t="str">
        <f>IF(C_Ope_002[[#This Row],[FECHA]]&gt;0,TEXT(C_Ope_002[[#This Row],[FECHA]],"mmmm"),0)</f>
        <v>Junio</v>
      </c>
    </row>
    <row r="187" spans="2:28" ht="24" x14ac:dyDescent="0.3">
      <c r="B187" s="2">
        <f>IF(C_Ope_002[[#This Row],[TIPO DE R.]]="R",COUNTIFS($D$4:$D186,"R")+1,"")</f>
        <v>183</v>
      </c>
      <c r="C187" s="19" t="str">
        <f t="shared" si="11"/>
        <v>C_Ope_002</v>
      </c>
      <c r="D187" s="3" t="s">
        <v>1074</v>
      </c>
      <c r="E187" s="14">
        <v>45817</v>
      </c>
      <c r="F187" s="5" t="s">
        <v>6746</v>
      </c>
      <c r="G187" s="5" t="s">
        <v>1079</v>
      </c>
      <c r="H187" s="6"/>
      <c r="I187" s="6" t="s">
        <v>14</v>
      </c>
      <c r="J187" s="6" t="s">
        <v>5245</v>
      </c>
      <c r="K187" s="6">
        <v>1773643</v>
      </c>
      <c r="L187" s="7" t="s">
        <v>6832</v>
      </c>
      <c r="M187" s="8">
        <v>24534</v>
      </c>
      <c r="N187" s="8" t="str">
        <f t="shared" si="15"/>
        <v>PEN</v>
      </c>
      <c r="O187" s="13"/>
      <c r="P187" s="13">
        <v>8</v>
      </c>
      <c r="Q187" s="3">
        <f t="shared" si="12"/>
        <v>0</v>
      </c>
      <c r="R187" s="3">
        <f t="shared" si="13"/>
        <v>8</v>
      </c>
      <c r="S187" s="3">
        <f t="shared" si="14"/>
        <v>573.70000000000005</v>
      </c>
      <c r="T187" s="24"/>
      <c r="U187" s="24"/>
      <c r="V187" s="3"/>
      <c r="W187" s="25" t="s">
        <v>6630</v>
      </c>
      <c r="X187" s="25"/>
      <c r="Y187" s="25" t="str">
        <f>IFERROR(VLOOKUP(C_Ope_002[[#This Row],[NOTA 2]],Clientes_Proveedores[[Ruc / Dni]:[Razon Social]],2,0),"")</f>
        <v/>
      </c>
      <c r="Z187" s="25"/>
      <c r="AA187" s="25"/>
      <c r="AB187" s="3" t="str">
        <f>IF(C_Ope_002[[#This Row],[FECHA]]&gt;0,TEXT(C_Ope_002[[#This Row],[FECHA]],"mmmm"),0)</f>
        <v>Junio</v>
      </c>
    </row>
    <row r="188" spans="2:28" ht="24" x14ac:dyDescent="0.3">
      <c r="B188" s="2">
        <f>IF(C_Ope_002[[#This Row],[TIPO DE R.]]="R",COUNTIFS($D$4:$D187,"R")+1,"")</f>
        <v>184</v>
      </c>
      <c r="C188" s="19" t="str">
        <f t="shared" si="11"/>
        <v>C_Ope_002</v>
      </c>
      <c r="D188" s="3" t="s">
        <v>1074</v>
      </c>
      <c r="E188" s="14">
        <v>45817</v>
      </c>
      <c r="F188" s="5" t="s">
        <v>6746</v>
      </c>
      <c r="G188" s="5" t="s">
        <v>1079</v>
      </c>
      <c r="H188" s="6"/>
      <c r="I188" s="6" t="s">
        <v>14</v>
      </c>
      <c r="J188" s="6" t="s">
        <v>5243</v>
      </c>
      <c r="K188" s="6">
        <v>2360157</v>
      </c>
      <c r="L188" s="7" t="s">
        <v>6832</v>
      </c>
      <c r="M188" s="8">
        <v>24535</v>
      </c>
      <c r="N188" s="8" t="str">
        <f t="shared" si="15"/>
        <v>PEN</v>
      </c>
      <c r="O188" s="13"/>
      <c r="P188" s="13">
        <v>8</v>
      </c>
      <c r="Q188" s="3">
        <f t="shared" si="12"/>
        <v>0</v>
      </c>
      <c r="R188" s="3">
        <f t="shared" si="13"/>
        <v>8</v>
      </c>
      <c r="S188" s="3">
        <f t="shared" si="14"/>
        <v>565.70000000000005</v>
      </c>
      <c r="T188" s="24"/>
      <c r="U188" s="24"/>
      <c r="V188" s="3"/>
      <c r="W188" s="25" t="s">
        <v>6630</v>
      </c>
      <c r="X188" s="25"/>
      <c r="Y188" s="25" t="str">
        <f>IFERROR(VLOOKUP(C_Ope_002[[#This Row],[NOTA 2]],Clientes_Proveedores[[Ruc / Dni]:[Razon Social]],2,0),"")</f>
        <v/>
      </c>
      <c r="Z188" s="25"/>
      <c r="AA188" s="25"/>
      <c r="AB188" s="3" t="str">
        <f>IF(C_Ope_002[[#This Row],[FECHA]]&gt;0,TEXT(C_Ope_002[[#This Row],[FECHA]],"mmmm"),0)</f>
        <v>Junio</v>
      </c>
    </row>
    <row r="189" spans="2:28" x14ac:dyDescent="0.3">
      <c r="B189" s="2">
        <f>IF(C_Ope_002[[#This Row],[TIPO DE R.]]="R",COUNTIFS($D$4:$D188,"R")+1,"")</f>
        <v>185</v>
      </c>
      <c r="C189" s="19" t="str">
        <f t="shared" si="11"/>
        <v>C_Ope_002</v>
      </c>
      <c r="D189" s="3" t="s">
        <v>1074</v>
      </c>
      <c r="E189" s="14">
        <v>45818</v>
      </c>
      <c r="F189" s="5" t="s">
        <v>6746</v>
      </c>
      <c r="G189" s="5" t="s">
        <v>1079</v>
      </c>
      <c r="H189" s="6"/>
      <c r="I189" s="6" t="s">
        <v>14</v>
      </c>
      <c r="J189" s="6" t="s">
        <v>5242</v>
      </c>
      <c r="K189" s="6">
        <v>2077542</v>
      </c>
      <c r="L189" s="7" t="s">
        <v>6833</v>
      </c>
      <c r="M189" s="8">
        <v>24536</v>
      </c>
      <c r="N189" s="8" t="str">
        <f t="shared" si="15"/>
        <v>PEN</v>
      </c>
      <c r="O189" s="13"/>
      <c r="P189" s="13">
        <v>8</v>
      </c>
      <c r="Q189" s="3">
        <f t="shared" si="12"/>
        <v>0</v>
      </c>
      <c r="R189" s="3">
        <f t="shared" si="13"/>
        <v>8</v>
      </c>
      <c r="S189" s="3">
        <f t="shared" si="14"/>
        <v>557.70000000000005</v>
      </c>
      <c r="T189" s="24"/>
      <c r="U189" s="24"/>
      <c r="V189" s="3"/>
      <c r="W189" s="25" t="s">
        <v>6630</v>
      </c>
      <c r="X189" s="25"/>
      <c r="Y189" s="25" t="str">
        <f>IFERROR(VLOOKUP(C_Ope_002[[#This Row],[NOTA 2]],Clientes_Proveedores[[Ruc / Dni]:[Razon Social]],2,0),"")</f>
        <v/>
      </c>
      <c r="Z189" s="25"/>
      <c r="AA189" s="25"/>
      <c r="AB189" s="3" t="str">
        <f>IF(C_Ope_002[[#This Row],[FECHA]]&gt;0,TEXT(C_Ope_002[[#This Row],[FECHA]],"mmmm"),0)</f>
        <v>Junio</v>
      </c>
    </row>
    <row r="190" spans="2:28" x14ac:dyDescent="0.3">
      <c r="B190" s="2">
        <f>IF(C_Ope_002[[#This Row],[TIPO DE R.]]="R",COUNTIFS($D$4:$D189,"R")+1,"")</f>
        <v>186</v>
      </c>
      <c r="C190" s="19" t="str">
        <f t="shared" si="11"/>
        <v>C_Ope_002</v>
      </c>
      <c r="D190" s="3" t="s">
        <v>1074</v>
      </c>
      <c r="E190" s="14">
        <v>45818</v>
      </c>
      <c r="F190" s="5" t="s">
        <v>6746</v>
      </c>
      <c r="G190" s="5" t="s">
        <v>1079</v>
      </c>
      <c r="H190" s="6"/>
      <c r="I190" s="6" t="s">
        <v>14</v>
      </c>
      <c r="J190" s="6" t="s">
        <v>5243</v>
      </c>
      <c r="K190" s="6">
        <v>2361629</v>
      </c>
      <c r="L190" s="7" t="s">
        <v>6833</v>
      </c>
      <c r="M190" s="8">
        <v>24537</v>
      </c>
      <c r="N190" s="8" t="str">
        <f t="shared" si="15"/>
        <v>PEN</v>
      </c>
      <c r="O190" s="13"/>
      <c r="P190" s="13">
        <v>8</v>
      </c>
      <c r="Q190" s="3">
        <f t="shared" si="12"/>
        <v>0</v>
      </c>
      <c r="R190" s="3">
        <f t="shared" si="13"/>
        <v>8</v>
      </c>
      <c r="S190" s="3">
        <f t="shared" si="14"/>
        <v>549.70000000000005</v>
      </c>
      <c r="T190" s="24"/>
      <c r="U190" s="24"/>
      <c r="V190" s="3"/>
      <c r="W190" s="25" t="s">
        <v>6630</v>
      </c>
      <c r="X190" s="25"/>
      <c r="Y190" s="25" t="str">
        <f>IFERROR(VLOOKUP(C_Ope_002[[#This Row],[NOTA 2]],Clientes_Proveedores[[Ruc / Dni]:[Razon Social]],2,0),"")</f>
        <v/>
      </c>
      <c r="Z190" s="25"/>
      <c r="AA190" s="25"/>
      <c r="AB190" s="3" t="str">
        <f>IF(C_Ope_002[[#This Row],[FECHA]]&gt;0,TEXT(C_Ope_002[[#This Row],[FECHA]],"mmmm"),0)</f>
        <v>Junio</v>
      </c>
    </row>
    <row r="191" spans="2:28" x14ac:dyDescent="0.3">
      <c r="B191" s="2">
        <f>IF(C_Ope_002[[#This Row],[TIPO DE R.]]="R",COUNTIFS($D$4:$D190,"R")+1,"")</f>
        <v>187</v>
      </c>
      <c r="C191" s="19" t="str">
        <f t="shared" si="11"/>
        <v>C_Ope_002</v>
      </c>
      <c r="D191" s="3" t="s">
        <v>1074</v>
      </c>
      <c r="E191" s="14">
        <v>45818</v>
      </c>
      <c r="F191" s="5" t="s">
        <v>6746</v>
      </c>
      <c r="G191" s="5" t="s">
        <v>1079</v>
      </c>
      <c r="H191" s="6"/>
      <c r="I191" s="6" t="s">
        <v>14</v>
      </c>
      <c r="J191" s="6" t="s">
        <v>5245</v>
      </c>
      <c r="K191" s="6">
        <v>1774271</v>
      </c>
      <c r="L191" s="7" t="s">
        <v>6833</v>
      </c>
      <c r="M191" s="8">
        <v>24538</v>
      </c>
      <c r="N191" s="8" t="str">
        <f t="shared" si="15"/>
        <v>PEN</v>
      </c>
      <c r="O191" s="13"/>
      <c r="P191" s="13">
        <v>8</v>
      </c>
      <c r="Q191" s="3">
        <f t="shared" si="12"/>
        <v>0</v>
      </c>
      <c r="R191" s="3">
        <f t="shared" si="13"/>
        <v>8</v>
      </c>
      <c r="S191" s="3">
        <f t="shared" si="14"/>
        <v>541.70000000000005</v>
      </c>
      <c r="T191" s="24"/>
      <c r="U191" s="24"/>
      <c r="V191" s="3"/>
      <c r="W191" s="25" t="s">
        <v>6630</v>
      </c>
      <c r="X191" s="25"/>
      <c r="Y191" s="25" t="str">
        <f>IFERROR(VLOOKUP(C_Ope_002[[#This Row],[NOTA 2]],Clientes_Proveedores[[Ruc / Dni]:[Razon Social]],2,0),"")</f>
        <v/>
      </c>
      <c r="Z191" s="25"/>
      <c r="AA191" s="25"/>
      <c r="AB191" s="3" t="str">
        <f>IF(C_Ope_002[[#This Row],[FECHA]]&gt;0,TEXT(C_Ope_002[[#This Row],[FECHA]],"mmmm"),0)</f>
        <v>Junio</v>
      </c>
    </row>
    <row r="192" spans="2:28" x14ac:dyDescent="0.3">
      <c r="B192" s="2">
        <f>IF(C_Ope_002[[#This Row],[TIPO DE R.]]="R",COUNTIFS($D$4:$D191,"R")+1,"")</f>
        <v>188</v>
      </c>
      <c r="C192" s="19" t="str">
        <f t="shared" si="11"/>
        <v>C_Ope_002</v>
      </c>
      <c r="D192" s="3" t="s">
        <v>1074</v>
      </c>
      <c r="E192" s="14">
        <v>45818</v>
      </c>
      <c r="F192" s="5" t="s">
        <v>6746</v>
      </c>
      <c r="G192" s="5" t="s">
        <v>1079</v>
      </c>
      <c r="H192" s="6"/>
      <c r="I192" s="6" t="s">
        <v>14</v>
      </c>
      <c r="J192" s="6" t="s">
        <v>5243</v>
      </c>
      <c r="K192" s="6">
        <v>2361341</v>
      </c>
      <c r="L192" s="7" t="s">
        <v>6833</v>
      </c>
      <c r="M192" s="8">
        <v>24539</v>
      </c>
      <c r="N192" s="8" t="str">
        <f t="shared" si="15"/>
        <v>PEN</v>
      </c>
      <c r="O192" s="13"/>
      <c r="P192" s="13">
        <v>8</v>
      </c>
      <c r="Q192" s="3">
        <f t="shared" si="12"/>
        <v>0</v>
      </c>
      <c r="R192" s="3">
        <f t="shared" si="13"/>
        <v>8</v>
      </c>
      <c r="S192" s="3">
        <f t="shared" si="14"/>
        <v>533.70000000000005</v>
      </c>
      <c r="T192" s="24"/>
      <c r="U192" s="24"/>
      <c r="V192" s="3"/>
      <c r="W192" s="25" t="s">
        <v>6630</v>
      </c>
      <c r="X192" s="25"/>
      <c r="Y192" s="25" t="str">
        <f>IFERROR(VLOOKUP(C_Ope_002[[#This Row],[NOTA 2]],Clientes_Proveedores[[Ruc / Dni]:[Razon Social]],2,0),"")</f>
        <v/>
      </c>
      <c r="Z192" s="25"/>
      <c r="AA192" s="25"/>
      <c r="AB192" s="3" t="str">
        <f>IF(C_Ope_002[[#This Row],[FECHA]]&gt;0,TEXT(C_Ope_002[[#This Row],[FECHA]],"mmmm"),0)</f>
        <v>Junio</v>
      </c>
    </row>
    <row r="193" spans="2:28" ht="24" x14ac:dyDescent="0.3">
      <c r="B193" s="2">
        <f>IF(C_Ope_002[[#This Row],[TIPO DE R.]]="R",COUNTIFS($D$4:$D192,"R")+1,"")</f>
        <v>189</v>
      </c>
      <c r="C193" s="19" t="str">
        <f t="shared" si="11"/>
        <v>C_Ope_002</v>
      </c>
      <c r="D193" s="3" t="s">
        <v>1074</v>
      </c>
      <c r="E193" s="14">
        <v>45819</v>
      </c>
      <c r="F193" s="5" t="s">
        <v>6746</v>
      </c>
      <c r="G193" s="5" t="s">
        <v>1079</v>
      </c>
      <c r="H193" s="6"/>
      <c r="I193" s="6" t="s">
        <v>14</v>
      </c>
      <c r="J193" s="6" t="s">
        <v>5242</v>
      </c>
      <c r="K193" s="6">
        <v>2078583</v>
      </c>
      <c r="L193" s="7" t="s">
        <v>6834</v>
      </c>
      <c r="M193" s="8">
        <v>24540</v>
      </c>
      <c r="N193" s="8" t="str">
        <f t="shared" si="15"/>
        <v>PEN</v>
      </c>
      <c r="O193" s="13"/>
      <c r="P193" s="13">
        <v>8</v>
      </c>
      <c r="Q193" s="3">
        <f t="shared" si="12"/>
        <v>0</v>
      </c>
      <c r="R193" s="3">
        <f t="shared" si="13"/>
        <v>8</v>
      </c>
      <c r="S193" s="3">
        <f t="shared" si="14"/>
        <v>525.70000000000005</v>
      </c>
      <c r="T193" s="24"/>
      <c r="U193" s="24"/>
      <c r="V193" s="3"/>
      <c r="W193" s="25" t="s">
        <v>6630</v>
      </c>
      <c r="X193" s="25"/>
      <c r="Y193" s="25" t="str">
        <f>IFERROR(VLOOKUP(C_Ope_002[[#This Row],[NOTA 2]],Clientes_Proveedores[[Ruc / Dni]:[Razon Social]],2,0),"")</f>
        <v/>
      </c>
      <c r="Z193" s="25"/>
      <c r="AA193" s="25"/>
      <c r="AB193" s="3" t="str">
        <f>IF(C_Ope_002[[#This Row],[FECHA]]&gt;0,TEXT(C_Ope_002[[#This Row],[FECHA]],"mmmm"),0)</f>
        <v>Junio</v>
      </c>
    </row>
    <row r="194" spans="2:28" ht="24" x14ac:dyDescent="0.3">
      <c r="B194" s="2">
        <f>IF(C_Ope_002[[#This Row],[TIPO DE R.]]="R",COUNTIFS($D$4:$D193,"R")+1,"")</f>
        <v>190</v>
      </c>
      <c r="C194" s="19" t="str">
        <f t="shared" si="11"/>
        <v>C_Ope_002</v>
      </c>
      <c r="D194" s="3" t="s">
        <v>1074</v>
      </c>
      <c r="E194" s="14">
        <v>45819</v>
      </c>
      <c r="F194" s="5" t="s">
        <v>6746</v>
      </c>
      <c r="G194" s="5" t="s">
        <v>1079</v>
      </c>
      <c r="H194" s="6"/>
      <c r="I194" s="6" t="s">
        <v>14</v>
      </c>
      <c r="J194" s="6" t="s">
        <v>5243</v>
      </c>
      <c r="K194" s="6">
        <v>2362609</v>
      </c>
      <c r="L194" s="7" t="s">
        <v>6834</v>
      </c>
      <c r="M194" s="8">
        <v>24541</v>
      </c>
      <c r="N194" s="8" t="str">
        <f t="shared" si="15"/>
        <v>PEN</v>
      </c>
      <c r="O194" s="13"/>
      <c r="P194" s="13">
        <v>8</v>
      </c>
      <c r="Q194" s="3">
        <f t="shared" si="12"/>
        <v>0</v>
      </c>
      <c r="R194" s="3">
        <f t="shared" si="13"/>
        <v>8</v>
      </c>
      <c r="S194" s="3">
        <f t="shared" si="14"/>
        <v>517.70000000000005</v>
      </c>
      <c r="T194" s="24"/>
      <c r="U194" s="24"/>
      <c r="V194" s="3"/>
      <c r="W194" s="25" t="s">
        <v>6630</v>
      </c>
      <c r="X194" s="25"/>
      <c r="Y194" s="25" t="str">
        <f>IFERROR(VLOOKUP(C_Ope_002[[#This Row],[NOTA 2]],Clientes_Proveedores[[Ruc / Dni]:[Razon Social]],2,0),"")</f>
        <v/>
      </c>
      <c r="Z194" s="25"/>
      <c r="AA194" s="25"/>
      <c r="AB194" s="3" t="str">
        <f>IF(C_Ope_002[[#This Row],[FECHA]]&gt;0,TEXT(C_Ope_002[[#This Row],[FECHA]],"mmmm"),0)</f>
        <v>Junio</v>
      </c>
    </row>
    <row r="195" spans="2:28" ht="24" x14ac:dyDescent="0.3">
      <c r="B195" s="2">
        <f>IF(C_Ope_002[[#This Row],[TIPO DE R.]]="R",COUNTIFS($D$4:$D194,"R")+1,"")</f>
        <v>191</v>
      </c>
      <c r="C195" s="19" t="str">
        <f t="shared" si="11"/>
        <v>C_Ope_002</v>
      </c>
      <c r="D195" s="3" t="s">
        <v>1074</v>
      </c>
      <c r="E195" s="14">
        <v>45820</v>
      </c>
      <c r="F195" s="5" t="s">
        <v>6746</v>
      </c>
      <c r="G195" s="5" t="s">
        <v>1079</v>
      </c>
      <c r="H195" s="6"/>
      <c r="I195" s="6" t="s">
        <v>14</v>
      </c>
      <c r="J195" s="6" t="s">
        <v>5242</v>
      </c>
      <c r="K195" s="6">
        <v>2079878</v>
      </c>
      <c r="L195" s="7" t="s">
        <v>6602</v>
      </c>
      <c r="M195" s="8">
        <v>24576</v>
      </c>
      <c r="N195" s="8" t="str">
        <f t="shared" si="15"/>
        <v>PEN</v>
      </c>
      <c r="O195" s="13"/>
      <c r="P195" s="13">
        <v>8</v>
      </c>
      <c r="Q195" s="3">
        <f t="shared" si="12"/>
        <v>0</v>
      </c>
      <c r="R195" s="3">
        <f t="shared" si="13"/>
        <v>8</v>
      </c>
      <c r="S195" s="3">
        <f t="shared" si="14"/>
        <v>509.70000000000005</v>
      </c>
      <c r="T195" s="24"/>
      <c r="U195" s="24"/>
      <c r="V195" s="3"/>
      <c r="W195" s="25" t="s">
        <v>6630</v>
      </c>
      <c r="X195" s="25"/>
      <c r="Y195" s="25" t="str">
        <f>IFERROR(VLOOKUP(C_Ope_002[[#This Row],[NOTA 2]],Clientes_Proveedores[[Ruc / Dni]:[Razon Social]],2,0),"")</f>
        <v/>
      </c>
      <c r="Z195" s="25"/>
      <c r="AA195" s="25"/>
      <c r="AB195" s="3" t="str">
        <f>IF(C_Ope_002[[#This Row],[FECHA]]&gt;0,TEXT(C_Ope_002[[#This Row],[FECHA]],"mmmm"),0)</f>
        <v>Junio</v>
      </c>
    </row>
    <row r="196" spans="2:28" ht="24" x14ac:dyDescent="0.3">
      <c r="B196" s="2">
        <f>IF(C_Ope_002[[#This Row],[TIPO DE R.]]="R",COUNTIFS($D$4:$D195,"R")+1,"")</f>
        <v>192</v>
      </c>
      <c r="C196" s="19" t="str">
        <f t="shared" si="11"/>
        <v>C_Ope_002</v>
      </c>
      <c r="D196" s="3" t="s">
        <v>1074</v>
      </c>
      <c r="E196" s="14">
        <v>45820</v>
      </c>
      <c r="F196" s="5" t="s">
        <v>6746</v>
      </c>
      <c r="G196" s="5" t="s">
        <v>1079</v>
      </c>
      <c r="H196" s="6"/>
      <c r="I196" s="6" t="s">
        <v>14</v>
      </c>
      <c r="J196" s="6" t="s">
        <v>5243</v>
      </c>
      <c r="K196" s="6">
        <v>2363758</v>
      </c>
      <c r="L196" s="7" t="s">
        <v>6602</v>
      </c>
      <c r="M196" s="8">
        <v>24577</v>
      </c>
      <c r="N196" s="8" t="str">
        <f t="shared" si="15"/>
        <v>PEN</v>
      </c>
      <c r="O196" s="13"/>
      <c r="P196" s="13">
        <v>8</v>
      </c>
      <c r="Q196" s="3">
        <f t="shared" si="12"/>
        <v>0</v>
      </c>
      <c r="R196" s="3">
        <f t="shared" si="13"/>
        <v>8</v>
      </c>
      <c r="S196" s="3">
        <f t="shared" si="14"/>
        <v>501.70000000000005</v>
      </c>
      <c r="T196" s="24"/>
      <c r="U196" s="24"/>
      <c r="V196" s="3"/>
      <c r="W196" s="25" t="s">
        <v>6630</v>
      </c>
      <c r="X196" s="25"/>
      <c r="Y196" s="25" t="str">
        <f>IFERROR(VLOOKUP(C_Ope_002[[#This Row],[NOTA 2]],Clientes_Proveedores[[Ruc / Dni]:[Razon Social]],2,0),"")</f>
        <v/>
      </c>
      <c r="Z196" s="25"/>
      <c r="AA196" s="25"/>
      <c r="AB196" s="3" t="str">
        <f>IF(C_Ope_002[[#This Row],[FECHA]]&gt;0,TEXT(C_Ope_002[[#This Row],[FECHA]],"mmmm"),0)</f>
        <v>Junio</v>
      </c>
    </row>
    <row r="197" spans="2:28" ht="24" x14ac:dyDescent="0.3">
      <c r="B197" s="2">
        <f>IF(C_Ope_002[[#This Row],[TIPO DE R.]]="R",COUNTIFS($D$4:$D196,"R")+1,"")</f>
        <v>193</v>
      </c>
      <c r="C197" s="19" t="str">
        <f t="shared" ref="C197:C222" si="16">"C_Ope_002"</f>
        <v>C_Ope_002</v>
      </c>
      <c r="D197" s="3" t="s">
        <v>1074</v>
      </c>
      <c r="E197" s="14">
        <v>45821</v>
      </c>
      <c r="F197" s="5" t="s">
        <v>6746</v>
      </c>
      <c r="G197" s="5" t="s">
        <v>1079</v>
      </c>
      <c r="H197" s="6"/>
      <c r="I197" s="6" t="s">
        <v>14</v>
      </c>
      <c r="J197" s="6" t="s">
        <v>5245</v>
      </c>
      <c r="K197" s="6">
        <v>1777760</v>
      </c>
      <c r="L197" s="7" t="s">
        <v>6835</v>
      </c>
      <c r="M197" s="8">
        <v>24578</v>
      </c>
      <c r="N197" s="8" t="str">
        <f t="shared" si="15"/>
        <v>PEN</v>
      </c>
      <c r="O197" s="13"/>
      <c r="P197" s="13">
        <v>8</v>
      </c>
      <c r="Q197" s="3">
        <f t="shared" ref="Q197:Q239" si="17">+IF(OR($G197="SALDO",$G197="INGRESO"),$P197,0)</f>
        <v>0</v>
      </c>
      <c r="R197" s="3">
        <f t="shared" ref="R197:R239" si="18">+IF($G197="EGRESO",$P197,0)</f>
        <v>8</v>
      </c>
      <c r="S197" s="3">
        <f t="shared" ref="S197:S260" si="19">IFERROR(IF(G197="SALDO",Q197,S196+Q197-R197),0)</f>
        <v>493.70000000000005</v>
      </c>
      <c r="T197" s="24"/>
      <c r="U197" s="24"/>
      <c r="V197" s="3"/>
      <c r="W197" s="25" t="s">
        <v>6630</v>
      </c>
      <c r="X197" s="25"/>
      <c r="Y197" s="25" t="str">
        <f>IFERROR(VLOOKUP(C_Ope_002[[#This Row],[NOTA 2]],Clientes_Proveedores[[Ruc / Dni]:[Razon Social]],2,0),"")</f>
        <v/>
      </c>
      <c r="Z197" s="25"/>
      <c r="AA197" s="25"/>
      <c r="AB197" s="3" t="str">
        <f>IF(C_Ope_002[[#This Row],[FECHA]]&gt;0,TEXT(C_Ope_002[[#This Row],[FECHA]],"mmmm"),0)</f>
        <v>Junio</v>
      </c>
    </row>
    <row r="198" spans="2:28" ht="24" x14ac:dyDescent="0.3">
      <c r="B198" s="2">
        <f>IF(C_Ope_002[[#This Row],[TIPO DE R.]]="R",COUNTIFS($D$4:$D197,"R")+1,"")</f>
        <v>194</v>
      </c>
      <c r="C198" s="19" t="str">
        <f t="shared" si="16"/>
        <v>C_Ope_002</v>
      </c>
      <c r="D198" s="3" t="s">
        <v>1074</v>
      </c>
      <c r="E198" s="14">
        <v>45821</v>
      </c>
      <c r="F198" s="5" t="s">
        <v>6746</v>
      </c>
      <c r="G198" s="5" t="s">
        <v>1079</v>
      </c>
      <c r="H198" s="6"/>
      <c r="I198" s="6" t="s">
        <v>14</v>
      </c>
      <c r="J198" s="6" t="s">
        <v>5243</v>
      </c>
      <c r="K198" s="6">
        <v>2365082</v>
      </c>
      <c r="L198" s="7" t="s">
        <v>6835</v>
      </c>
      <c r="M198" s="8">
        <v>24579</v>
      </c>
      <c r="N198" s="8" t="str">
        <f t="shared" ref="N198:N222" si="20">"PEN"</f>
        <v>PEN</v>
      </c>
      <c r="O198" s="13"/>
      <c r="P198" s="13">
        <v>8</v>
      </c>
      <c r="Q198" s="3">
        <f t="shared" si="17"/>
        <v>0</v>
      </c>
      <c r="R198" s="3">
        <f t="shared" si="18"/>
        <v>8</v>
      </c>
      <c r="S198" s="3">
        <f t="shared" si="19"/>
        <v>485.70000000000005</v>
      </c>
      <c r="T198" s="24"/>
      <c r="U198" s="24"/>
      <c r="V198" s="3"/>
      <c r="W198" s="25" t="s">
        <v>6630</v>
      </c>
      <c r="X198" s="25"/>
      <c r="Y198" s="25" t="str">
        <f>IFERROR(VLOOKUP(C_Ope_002[[#This Row],[NOTA 2]],Clientes_Proveedores[[Ruc / Dni]:[Razon Social]],2,0),"")</f>
        <v/>
      </c>
      <c r="Z198" s="25"/>
      <c r="AA198" s="25"/>
      <c r="AB198" s="3" t="str">
        <f>IF(C_Ope_002[[#This Row],[FECHA]]&gt;0,TEXT(C_Ope_002[[#This Row],[FECHA]],"mmmm"),0)</f>
        <v>Junio</v>
      </c>
    </row>
    <row r="199" spans="2:28" x14ac:dyDescent="0.3">
      <c r="B199" s="2">
        <f>IF(C_Ope_002[[#This Row],[TIPO DE R.]]="R",COUNTIFS($D$4:$D198,"R")+1,"")</f>
        <v>195</v>
      </c>
      <c r="C199" s="19" t="str">
        <f t="shared" si="16"/>
        <v>C_Ope_002</v>
      </c>
      <c r="D199" s="3" t="s">
        <v>1074</v>
      </c>
      <c r="E199" s="14">
        <v>45820</v>
      </c>
      <c r="F199" s="5" t="s">
        <v>6746</v>
      </c>
      <c r="G199" s="5" t="s">
        <v>1079</v>
      </c>
      <c r="H199" s="6"/>
      <c r="I199" s="6" t="s">
        <v>14</v>
      </c>
      <c r="J199" s="6" t="s">
        <v>1097</v>
      </c>
      <c r="K199" s="6">
        <v>16633</v>
      </c>
      <c r="L199" s="7" t="s">
        <v>6792</v>
      </c>
      <c r="M199" s="8">
        <v>24581</v>
      </c>
      <c r="N199" s="8" t="str">
        <f t="shared" si="20"/>
        <v>PEN</v>
      </c>
      <c r="O199" s="13"/>
      <c r="P199" s="13">
        <v>20</v>
      </c>
      <c r="Q199" s="3">
        <f t="shared" si="17"/>
        <v>0</v>
      </c>
      <c r="R199" s="3">
        <f t="shared" si="18"/>
        <v>20</v>
      </c>
      <c r="S199" s="3">
        <f t="shared" si="19"/>
        <v>465.70000000000005</v>
      </c>
      <c r="T199" s="24"/>
      <c r="U199" s="24"/>
      <c r="V199" s="3"/>
      <c r="W199" s="25" t="s">
        <v>6630</v>
      </c>
      <c r="X199" s="25"/>
      <c r="Y199" s="25" t="str">
        <f>IFERROR(VLOOKUP(C_Ope_002[[#This Row],[NOTA 2]],Clientes_Proveedores[[Ruc / Dni]:[Razon Social]],2,0),"")</f>
        <v/>
      </c>
      <c r="Z199" s="25"/>
      <c r="AA199" s="25"/>
      <c r="AB199" s="3" t="str">
        <f>IF(C_Ope_002[[#This Row],[FECHA]]&gt;0,TEXT(C_Ope_002[[#This Row],[FECHA]],"mmmm"),0)</f>
        <v>Junio</v>
      </c>
    </row>
    <row r="200" spans="2:28" x14ac:dyDescent="0.3">
      <c r="B200" s="2">
        <f>IF(C_Ope_002[[#This Row],[TIPO DE R.]]="R",COUNTIFS($D$4:$D199,"R")+1,"")</f>
        <v>196</v>
      </c>
      <c r="C200" s="19" t="str">
        <f t="shared" si="16"/>
        <v>C_Ope_002</v>
      </c>
      <c r="D200" s="3" t="s">
        <v>1074</v>
      </c>
      <c r="E200" s="14">
        <v>45821</v>
      </c>
      <c r="F200" s="5" t="s">
        <v>6746</v>
      </c>
      <c r="G200" s="5" t="s">
        <v>1079</v>
      </c>
      <c r="H200" s="6"/>
      <c r="I200" s="6" t="s">
        <v>14</v>
      </c>
      <c r="J200" s="6" t="s">
        <v>1097</v>
      </c>
      <c r="K200" s="6">
        <v>16639</v>
      </c>
      <c r="L200" s="7" t="s">
        <v>6792</v>
      </c>
      <c r="M200" s="8">
        <v>24580</v>
      </c>
      <c r="N200" s="8" t="str">
        <f t="shared" si="20"/>
        <v>PEN</v>
      </c>
      <c r="O200" s="13"/>
      <c r="P200" s="13">
        <v>20</v>
      </c>
      <c r="Q200" s="3">
        <f t="shared" si="17"/>
        <v>0</v>
      </c>
      <c r="R200" s="3">
        <f t="shared" si="18"/>
        <v>20</v>
      </c>
      <c r="S200" s="3">
        <f t="shared" si="19"/>
        <v>445.70000000000005</v>
      </c>
      <c r="T200" s="24"/>
      <c r="U200" s="24"/>
      <c r="V200" s="3"/>
      <c r="W200" s="25" t="s">
        <v>6630</v>
      </c>
      <c r="X200" s="25"/>
      <c r="Y200" s="25" t="str">
        <f>IFERROR(VLOOKUP(C_Ope_002[[#This Row],[NOTA 2]],Clientes_Proveedores[[Ruc / Dni]:[Razon Social]],2,0),"")</f>
        <v/>
      </c>
      <c r="Z200" s="25"/>
      <c r="AA200" s="25"/>
      <c r="AB200" s="3" t="str">
        <f>IF(C_Ope_002[[#This Row],[FECHA]]&gt;0,TEXT(C_Ope_002[[#This Row],[FECHA]],"mmmm"),0)</f>
        <v>Junio</v>
      </c>
    </row>
    <row r="201" spans="2:28" ht="24" x14ac:dyDescent="0.3">
      <c r="B201" s="2">
        <f>IF(C_Ope_002[[#This Row],[TIPO DE R.]]="R",COUNTIFS($D$4:$D200,"R")+1,"")</f>
        <v>197</v>
      </c>
      <c r="C201" s="19" t="str">
        <f t="shared" si="16"/>
        <v>C_Ope_002</v>
      </c>
      <c r="D201" s="3" t="s">
        <v>1074</v>
      </c>
      <c r="E201" s="14">
        <v>45824</v>
      </c>
      <c r="F201" s="5" t="s">
        <v>6746</v>
      </c>
      <c r="G201" s="5" t="s">
        <v>1079</v>
      </c>
      <c r="H201" s="6"/>
      <c r="I201" s="6" t="s">
        <v>14</v>
      </c>
      <c r="J201" s="6" t="s">
        <v>5242</v>
      </c>
      <c r="K201" s="6">
        <v>2083991</v>
      </c>
      <c r="L201" s="7" t="s">
        <v>6836</v>
      </c>
      <c r="M201" s="8">
        <v>24601</v>
      </c>
      <c r="N201" s="8" t="str">
        <f t="shared" si="20"/>
        <v>PEN</v>
      </c>
      <c r="O201" s="13"/>
      <c r="P201" s="13">
        <v>8</v>
      </c>
      <c r="Q201" s="3">
        <f t="shared" si="17"/>
        <v>0</v>
      </c>
      <c r="R201" s="3">
        <f t="shared" si="18"/>
        <v>8</v>
      </c>
      <c r="S201" s="3">
        <f t="shared" si="19"/>
        <v>437.70000000000005</v>
      </c>
      <c r="T201" s="24"/>
      <c r="U201" s="24"/>
      <c r="V201" s="3"/>
      <c r="W201" s="25" t="s">
        <v>6630</v>
      </c>
      <c r="X201" s="25"/>
      <c r="Y201" s="25" t="str">
        <f>IFERROR(VLOOKUP(C_Ope_002[[#This Row],[NOTA 2]],Clientes_Proveedores[[Ruc / Dni]:[Razon Social]],2,0),"")</f>
        <v/>
      </c>
      <c r="Z201" s="25"/>
      <c r="AA201" s="25"/>
      <c r="AB201" s="3" t="str">
        <f>IF(C_Ope_002[[#This Row],[FECHA]]&gt;0,TEXT(C_Ope_002[[#This Row],[FECHA]],"mmmm"),0)</f>
        <v>Junio</v>
      </c>
    </row>
    <row r="202" spans="2:28" ht="24" x14ac:dyDescent="0.3">
      <c r="B202" s="2">
        <f>IF(C_Ope_002[[#This Row],[TIPO DE R.]]="R",COUNTIFS($D$4:$D201,"R")+1,"")</f>
        <v>198</v>
      </c>
      <c r="C202" s="19" t="str">
        <f t="shared" si="16"/>
        <v>C_Ope_002</v>
      </c>
      <c r="D202" s="3" t="s">
        <v>1074</v>
      </c>
      <c r="E202" s="14">
        <v>45824</v>
      </c>
      <c r="F202" s="5" t="s">
        <v>6746</v>
      </c>
      <c r="G202" s="5" t="s">
        <v>1079</v>
      </c>
      <c r="H202" s="6"/>
      <c r="I202" s="6" t="s">
        <v>14</v>
      </c>
      <c r="J202" s="6" t="s">
        <v>5243</v>
      </c>
      <c r="K202" s="6">
        <v>2368130</v>
      </c>
      <c r="L202" s="7" t="s">
        <v>6836</v>
      </c>
      <c r="M202" s="8">
        <v>24602</v>
      </c>
      <c r="N202" s="8" t="str">
        <f t="shared" si="20"/>
        <v>PEN</v>
      </c>
      <c r="O202" s="13"/>
      <c r="P202" s="13">
        <v>8</v>
      </c>
      <c r="Q202" s="3">
        <f t="shared" si="17"/>
        <v>0</v>
      </c>
      <c r="R202" s="3">
        <f t="shared" si="18"/>
        <v>8</v>
      </c>
      <c r="S202" s="3">
        <f t="shared" si="19"/>
        <v>429.70000000000005</v>
      </c>
      <c r="T202" s="24"/>
      <c r="U202" s="24"/>
      <c r="V202" s="3"/>
      <c r="W202" s="25" t="s">
        <v>6630</v>
      </c>
      <c r="X202" s="25"/>
      <c r="Y202" s="25" t="str">
        <f>IFERROR(VLOOKUP(C_Ope_002[[#This Row],[NOTA 2]],Clientes_Proveedores[[Ruc / Dni]:[Razon Social]],2,0),"")</f>
        <v/>
      </c>
      <c r="Z202" s="25"/>
      <c r="AA202" s="25"/>
      <c r="AB202" s="3" t="str">
        <f>IF(C_Ope_002[[#This Row],[FECHA]]&gt;0,TEXT(C_Ope_002[[#This Row],[FECHA]],"mmmm"),0)</f>
        <v>Junio</v>
      </c>
    </row>
    <row r="203" spans="2:28" ht="24" x14ac:dyDescent="0.3">
      <c r="B203" s="2">
        <f>IF(C_Ope_002[[#This Row],[TIPO DE R.]]="R",COUNTIFS($D$4:$D202,"R")+1,"")</f>
        <v>199</v>
      </c>
      <c r="C203" s="19" t="str">
        <f t="shared" si="16"/>
        <v>C_Ope_002</v>
      </c>
      <c r="D203" s="3" t="s">
        <v>1074</v>
      </c>
      <c r="E203" s="14">
        <v>45825</v>
      </c>
      <c r="F203" s="5" t="s">
        <v>6746</v>
      </c>
      <c r="G203" s="5" t="s">
        <v>1079</v>
      </c>
      <c r="H203" s="6"/>
      <c r="I203" s="6" t="s">
        <v>14</v>
      </c>
      <c r="J203" s="6" t="s">
        <v>5242</v>
      </c>
      <c r="K203" s="6">
        <v>2085166</v>
      </c>
      <c r="L203" s="7" t="s">
        <v>6608</v>
      </c>
      <c r="M203" s="8">
        <v>24603</v>
      </c>
      <c r="N203" s="8" t="str">
        <f t="shared" si="20"/>
        <v>PEN</v>
      </c>
      <c r="O203" s="13"/>
      <c r="P203" s="13">
        <v>8</v>
      </c>
      <c r="Q203" s="3">
        <f t="shared" si="17"/>
        <v>0</v>
      </c>
      <c r="R203" s="3">
        <f t="shared" si="18"/>
        <v>8</v>
      </c>
      <c r="S203" s="3">
        <f t="shared" si="19"/>
        <v>421.70000000000005</v>
      </c>
      <c r="T203" s="24"/>
      <c r="U203" s="24"/>
      <c r="V203" s="3"/>
      <c r="W203" s="25" t="s">
        <v>6630</v>
      </c>
      <c r="X203" s="25"/>
      <c r="Y203" s="25" t="str">
        <f>IFERROR(VLOOKUP(C_Ope_002[[#This Row],[NOTA 2]],Clientes_Proveedores[[Ruc / Dni]:[Razon Social]],2,0),"")</f>
        <v/>
      </c>
      <c r="Z203" s="25"/>
      <c r="AA203" s="25"/>
      <c r="AB203" s="3" t="str">
        <f>IF(C_Ope_002[[#This Row],[FECHA]]&gt;0,TEXT(C_Ope_002[[#This Row],[FECHA]],"mmmm"),0)</f>
        <v>Junio</v>
      </c>
    </row>
    <row r="204" spans="2:28" ht="24" x14ac:dyDescent="0.3">
      <c r="B204" s="2">
        <f>IF(C_Ope_002[[#This Row],[TIPO DE R.]]="R",COUNTIFS($D$4:$D203,"R")+1,"")</f>
        <v>200</v>
      </c>
      <c r="C204" s="19" t="str">
        <f t="shared" si="16"/>
        <v>C_Ope_002</v>
      </c>
      <c r="D204" s="3" t="s">
        <v>1074</v>
      </c>
      <c r="E204" s="14">
        <v>45825</v>
      </c>
      <c r="F204" s="5" t="s">
        <v>6746</v>
      </c>
      <c r="G204" s="5" t="s">
        <v>1079</v>
      </c>
      <c r="H204" s="6"/>
      <c r="I204" s="6" t="s">
        <v>14</v>
      </c>
      <c r="J204" s="6" t="s">
        <v>5243</v>
      </c>
      <c r="K204" s="6">
        <v>2369393</v>
      </c>
      <c r="L204" s="7" t="s">
        <v>6608</v>
      </c>
      <c r="M204" s="8">
        <v>24604</v>
      </c>
      <c r="N204" s="8" t="str">
        <f t="shared" si="20"/>
        <v>PEN</v>
      </c>
      <c r="O204" s="13"/>
      <c r="P204" s="13">
        <v>8</v>
      </c>
      <c r="Q204" s="3">
        <f t="shared" si="17"/>
        <v>0</v>
      </c>
      <c r="R204" s="3">
        <f t="shared" si="18"/>
        <v>8</v>
      </c>
      <c r="S204" s="3">
        <f t="shared" si="19"/>
        <v>413.70000000000005</v>
      </c>
      <c r="T204" s="24"/>
      <c r="U204" s="24"/>
      <c r="V204" s="3"/>
      <c r="W204" s="25" t="s">
        <v>6630</v>
      </c>
      <c r="X204" s="25"/>
      <c r="Y204" s="25" t="str">
        <f>IFERROR(VLOOKUP(C_Ope_002[[#This Row],[NOTA 2]],Clientes_Proveedores[[Ruc / Dni]:[Razon Social]],2,0),"")</f>
        <v/>
      </c>
      <c r="Z204" s="25"/>
      <c r="AA204" s="25"/>
      <c r="AB204" s="3" t="str">
        <f>IF(C_Ope_002[[#This Row],[FECHA]]&gt;0,TEXT(C_Ope_002[[#This Row],[FECHA]],"mmmm"),0)</f>
        <v>Junio</v>
      </c>
    </row>
    <row r="205" spans="2:28" ht="36" x14ac:dyDescent="0.3">
      <c r="B205" s="2">
        <f>IF(C_Ope_002[[#This Row],[TIPO DE R.]]="R",COUNTIFS($D$4:$D204,"R")+1,"")</f>
        <v>201</v>
      </c>
      <c r="C205" s="19" t="str">
        <f t="shared" si="16"/>
        <v>C_Ope_002</v>
      </c>
      <c r="D205" s="3" t="s">
        <v>1074</v>
      </c>
      <c r="E205" s="14">
        <v>45826</v>
      </c>
      <c r="F205" s="5" t="s">
        <v>6746</v>
      </c>
      <c r="G205" s="5" t="s">
        <v>1079</v>
      </c>
      <c r="H205" s="6"/>
      <c r="I205" s="6" t="s">
        <v>14</v>
      </c>
      <c r="J205" s="6" t="s">
        <v>5245</v>
      </c>
      <c r="K205" s="6">
        <v>1782190</v>
      </c>
      <c r="L205" s="7" t="s">
        <v>6837</v>
      </c>
      <c r="M205" s="8">
        <v>24605</v>
      </c>
      <c r="N205" s="8" t="str">
        <f t="shared" si="20"/>
        <v>PEN</v>
      </c>
      <c r="O205" s="13"/>
      <c r="P205" s="13">
        <v>8</v>
      </c>
      <c r="Q205" s="3">
        <f t="shared" si="17"/>
        <v>0</v>
      </c>
      <c r="R205" s="3">
        <f t="shared" si="18"/>
        <v>8</v>
      </c>
      <c r="S205" s="3">
        <f t="shared" si="19"/>
        <v>405.70000000000005</v>
      </c>
      <c r="T205" s="24"/>
      <c r="U205" s="24"/>
      <c r="V205" s="3"/>
      <c r="W205" s="25" t="s">
        <v>6630</v>
      </c>
      <c r="X205" s="25"/>
      <c r="Y205" s="25" t="str">
        <f>IFERROR(VLOOKUP(C_Ope_002[[#This Row],[NOTA 2]],Clientes_Proveedores[[Ruc / Dni]:[Razon Social]],2,0),"")</f>
        <v/>
      </c>
      <c r="Z205" s="25"/>
      <c r="AA205" s="25"/>
      <c r="AB205" s="3" t="str">
        <f>IF(C_Ope_002[[#This Row],[FECHA]]&gt;0,TEXT(C_Ope_002[[#This Row],[FECHA]],"mmmm"),0)</f>
        <v>Junio</v>
      </c>
    </row>
    <row r="206" spans="2:28" ht="36" x14ac:dyDescent="0.3">
      <c r="B206" s="2">
        <f>IF(C_Ope_002[[#This Row],[TIPO DE R.]]="R",COUNTIFS($D$4:$D205,"R")+1,"")</f>
        <v>202</v>
      </c>
      <c r="C206" s="19" t="str">
        <f t="shared" si="16"/>
        <v>C_Ope_002</v>
      </c>
      <c r="D206" s="3" t="s">
        <v>1074</v>
      </c>
      <c r="E206" s="14">
        <v>45826</v>
      </c>
      <c r="F206" s="5" t="s">
        <v>6746</v>
      </c>
      <c r="G206" s="5" t="s">
        <v>1079</v>
      </c>
      <c r="H206" s="6"/>
      <c r="I206" s="6" t="s">
        <v>14</v>
      </c>
      <c r="J206" s="6" t="s">
        <v>5244</v>
      </c>
      <c r="K206" s="6">
        <v>1761998</v>
      </c>
      <c r="L206" s="7" t="s">
        <v>6837</v>
      </c>
      <c r="M206" s="8">
        <v>24606</v>
      </c>
      <c r="N206" s="8" t="str">
        <f t="shared" si="20"/>
        <v>PEN</v>
      </c>
      <c r="O206" s="13"/>
      <c r="P206" s="13">
        <v>8</v>
      </c>
      <c r="Q206" s="3">
        <f t="shared" si="17"/>
        <v>0</v>
      </c>
      <c r="R206" s="3">
        <f t="shared" si="18"/>
        <v>8</v>
      </c>
      <c r="S206" s="3">
        <f t="shared" si="19"/>
        <v>397.70000000000005</v>
      </c>
      <c r="T206" s="24"/>
      <c r="U206" s="24"/>
      <c r="V206" s="3"/>
      <c r="W206" s="25" t="s">
        <v>6630</v>
      </c>
      <c r="X206" s="25"/>
      <c r="Y206" s="25" t="str">
        <f>IFERROR(VLOOKUP(C_Ope_002[[#This Row],[NOTA 2]],Clientes_Proveedores[[Ruc / Dni]:[Razon Social]],2,0),"")</f>
        <v/>
      </c>
      <c r="Z206" s="25"/>
      <c r="AA206" s="25"/>
      <c r="AB206" s="3" t="str">
        <f>IF(C_Ope_002[[#This Row],[FECHA]]&gt;0,TEXT(C_Ope_002[[#This Row],[FECHA]],"mmmm"),0)</f>
        <v>Junio</v>
      </c>
    </row>
    <row r="207" spans="2:28" ht="24" x14ac:dyDescent="0.3">
      <c r="B207" s="2">
        <f>IF(C_Ope_002[[#This Row],[TIPO DE R.]]="R",COUNTIFS($D$4:$D206,"R")+1,"")</f>
        <v>203</v>
      </c>
      <c r="C207" s="19" t="str">
        <f t="shared" si="16"/>
        <v>C_Ope_002</v>
      </c>
      <c r="D207" s="3" t="s">
        <v>1074</v>
      </c>
      <c r="E207" s="14">
        <v>45827</v>
      </c>
      <c r="F207" s="5" t="s">
        <v>6746</v>
      </c>
      <c r="G207" s="5" t="s">
        <v>1079</v>
      </c>
      <c r="H207" s="6"/>
      <c r="I207" s="6" t="s">
        <v>14</v>
      </c>
      <c r="J207" s="6" t="s">
        <v>5245</v>
      </c>
      <c r="K207" s="6">
        <v>1783270</v>
      </c>
      <c r="L207" s="7" t="s">
        <v>6608</v>
      </c>
      <c r="M207" s="8">
        <v>24628</v>
      </c>
      <c r="N207" s="8" t="str">
        <f t="shared" si="20"/>
        <v>PEN</v>
      </c>
      <c r="O207" s="13"/>
      <c r="P207" s="13">
        <v>8</v>
      </c>
      <c r="Q207" s="3">
        <f t="shared" si="17"/>
        <v>0</v>
      </c>
      <c r="R207" s="3">
        <f t="shared" si="18"/>
        <v>8</v>
      </c>
      <c r="S207" s="3">
        <f t="shared" si="19"/>
        <v>389.70000000000005</v>
      </c>
      <c r="T207" s="24"/>
      <c r="U207" s="24"/>
      <c r="V207" s="3"/>
      <c r="W207" s="25" t="s">
        <v>6630</v>
      </c>
      <c r="X207" s="25"/>
      <c r="Y207" s="25" t="str">
        <f>IFERROR(VLOOKUP(C_Ope_002[[#This Row],[NOTA 2]],Clientes_Proveedores[[Ruc / Dni]:[Razon Social]],2,0),"")</f>
        <v/>
      </c>
      <c r="Z207" s="25"/>
      <c r="AA207" s="25"/>
      <c r="AB207" s="3" t="str">
        <f>IF(C_Ope_002[[#This Row],[FECHA]]&gt;0,TEXT(C_Ope_002[[#This Row],[FECHA]],"mmmm"),0)</f>
        <v>Junio</v>
      </c>
    </row>
    <row r="208" spans="2:28" ht="24" x14ac:dyDescent="0.3">
      <c r="B208" s="2">
        <f>IF(C_Ope_002[[#This Row],[TIPO DE R.]]="R",COUNTIFS($D$4:$D207,"R")+1,"")</f>
        <v>204</v>
      </c>
      <c r="C208" s="19" t="str">
        <f t="shared" si="16"/>
        <v>C_Ope_002</v>
      </c>
      <c r="D208" s="3" t="s">
        <v>1074</v>
      </c>
      <c r="E208" s="14">
        <v>45827</v>
      </c>
      <c r="F208" s="5" t="s">
        <v>6746</v>
      </c>
      <c r="G208" s="5" t="s">
        <v>1079</v>
      </c>
      <c r="H208" s="6"/>
      <c r="I208" s="6" t="s">
        <v>14</v>
      </c>
      <c r="J208" s="6" t="s">
        <v>5243</v>
      </c>
      <c r="K208" s="6">
        <v>2371883</v>
      </c>
      <c r="L208" s="7" t="s">
        <v>6608</v>
      </c>
      <c r="M208" s="8">
        <v>24629</v>
      </c>
      <c r="N208" s="8" t="str">
        <f t="shared" si="20"/>
        <v>PEN</v>
      </c>
      <c r="O208" s="13"/>
      <c r="P208" s="13">
        <v>8</v>
      </c>
      <c r="Q208" s="3">
        <f t="shared" si="17"/>
        <v>0</v>
      </c>
      <c r="R208" s="3">
        <f t="shared" si="18"/>
        <v>8</v>
      </c>
      <c r="S208" s="3">
        <f t="shared" si="19"/>
        <v>381.70000000000005</v>
      </c>
      <c r="T208" s="24"/>
      <c r="U208" s="24"/>
      <c r="V208" s="3"/>
      <c r="W208" s="25" t="s">
        <v>6630</v>
      </c>
      <c r="X208" s="25"/>
      <c r="Y208" s="25" t="str">
        <f>IFERROR(VLOOKUP(C_Ope_002[[#This Row],[NOTA 2]],Clientes_Proveedores[[Ruc / Dni]:[Razon Social]],2,0),"")</f>
        <v/>
      </c>
      <c r="Z208" s="25"/>
      <c r="AA208" s="25"/>
      <c r="AB208" s="3" t="str">
        <f>IF(C_Ope_002[[#This Row],[FECHA]]&gt;0,TEXT(C_Ope_002[[#This Row],[FECHA]],"mmmm"),0)</f>
        <v>Junio</v>
      </c>
    </row>
    <row r="209" spans="2:28" ht="24" x14ac:dyDescent="0.3">
      <c r="B209" s="2">
        <f>IF(C_Ope_002[[#This Row],[TIPO DE R.]]="R",COUNTIFS($D$4:$D208,"R")+1,"")</f>
        <v>205</v>
      </c>
      <c r="C209" s="19" t="str">
        <f t="shared" si="16"/>
        <v>C_Ope_002</v>
      </c>
      <c r="D209" s="3" t="s">
        <v>1074</v>
      </c>
      <c r="E209" s="14">
        <v>45828</v>
      </c>
      <c r="F209" s="5" t="s">
        <v>6746</v>
      </c>
      <c r="G209" s="5" t="s">
        <v>1079</v>
      </c>
      <c r="H209" s="6"/>
      <c r="I209" s="6" t="s">
        <v>14</v>
      </c>
      <c r="J209" s="6" t="s">
        <v>5244</v>
      </c>
      <c r="K209" s="6">
        <v>1764012</v>
      </c>
      <c r="L209" s="7" t="s">
        <v>6838</v>
      </c>
      <c r="M209" s="8">
        <v>24632</v>
      </c>
      <c r="N209" s="8" t="str">
        <f t="shared" si="20"/>
        <v>PEN</v>
      </c>
      <c r="O209" s="13"/>
      <c r="P209" s="13">
        <v>8</v>
      </c>
      <c r="Q209" s="3">
        <f t="shared" si="17"/>
        <v>0</v>
      </c>
      <c r="R209" s="3">
        <f t="shared" si="18"/>
        <v>8</v>
      </c>
      <c r="S209" s="3">
        <f t="shared" si="19"/>
        <v>373.70000000000005</v>
      </c>
      <c r="T209" s="24"/>
      <c r="U209" s="24"/>
      <c r="V209" s="3"/>
      <c r="W209" s="25" t="s">
        <v>6630</v>
      </c>
      <c r="X209" s="25"/>
      <c r="Y209" s="25" t="str">
        <f>IFERROR(VLOOKUP(C_Ope_002[[#This Row],[NOTA 2]],Clientes_Proveedores[[Ruc / Dni]:[Razon Social]],2,0),"")</f>
        <v/>
      </c>
      <c r="Z209" s="25"/>
      <c r="AA209" s="25"/>
      <c r="AB209" s="3" t="str">
        <f>IF(C_Ope_002[[#This Row],[FECHA]]&gt;0,TEXT(C_Ope_002[[#This Row],[FECHA]],"mmmm"),0)</f>
        <v>Junio</v>
      </c>
    </row>
    <row r="210" spans="2:28" ht="24" x14ac:dyDescent="0.3">
      <c r="B210" s="2">
        <f>IF(C_Ope_002[[#This Row],[TIPO DE R.]]="R",COUNTIFS($D$4:$D209,"R")+1,"")</f>
        <v>206</v>
      </c>
      <c r="C210" s="19" t="str">
        <f t="shared" si="16"/>
        <v>C_Ope_002</v>
      </c>
      <c r="D210" s="3" t="s">
        <v>1074</v>
      </c>
      <c r="E210" s="14">
        <v>45828</v>
      </c>
      <c r="F210" s="5" t="s">
        <v>6746</v>
      </c>
      <c r="G210" s="5" t="s">
        <v>1079</v>
      </c>
      <c r="H210" s="6"/>
      <c r="I210" s="6" t="s">
        <v>14</v>
      </c>
      <c r="J210" s="6" t="s">
        <v>5242</v>
      </c>
      <c r="K210" s="6">
        <v>2088457</v>
      </c>
      <c r="L210" s="7" t="s">
        <v>6838</v>
      </c>
      <c r="M210" s="8">
        <v>24635</v>
      </c>
      <c r="N210" s="8" t="str">
        <f t="shared" si="20"/>
        <v>PEN</v>
      </c>
      <c r="O210" s="13"/>
      <c r="P210" s="13">
        <v>8</v>
      </c>
      <c r="Q210" s="3">
        <f t="shared" si="17"/>
        <v>0</v>
      </c>
      <c r="R210" s="3">
        <f t="shared" si="18"/>
        <v>8</v>
      </c>
      <c r="S210" s="3">
        <f t="shared" si="19"/>
        <v>365.70000000000005</v>
      </c>
      <c r="T210" s="24"/>
      <c r="U210" s="24"/>
      <c r="V210" s="3"/>
      <c r="W210" s="25" t="s">
        <v>6630</v>
      </c>
      <c r="X210" s="25"/>
      <c r="Y210" s="25" t="str">
        <f>IFERROR(VLOOKUP(C_Ope_002[[#This Row],[NOTA 2]],Clientes_Proveedores[[Ruc / Dni]:[Razon Social]],2,0),"")</f>
        <v/>
      </c>
      <c r="Z210" s="25"/>
      <c r="AA210" s="25"/>
      <c r="AB210" s="3" t="str">
        <f>IF(C_Ope_002[[#This Row],[FECHA]]&gt;0,TEXT(C_Ope_002[[#This Row],[FECHA]],"mmmm"),0)</f>
        <v>Junio</v>
      </c>
    </row>
    <row r="211" spans="2:28" ht="24" x14ac:dyDescent="0.3">
      <c r="B211" s="2">
        <f>IF(C_Ope_002[[#This Row],[TIPO DE R.]]="R",COUNTIFS($D$4:$D210,"R")+1,"")</f>
        <v>207</v>
      </c>
      <c r="C211" s="19" t="str">
        <f t="shared" si="16"/>
        <v>C_Ope_002</v>
      </c>
      <c r="D211" s="3" t="s">
        <v>1074</v>
      </c>
      <c r="E211" s="14">
        <v>45825</v>
      </c>
      <c r="F211" s="5" t="s">
        <v>6746</v>
      </c>
      <c r="G211" s="5" t="s">
        <v>1079</v>
      </c>
      <c r="H211" s="6"/>
      <c r="I211" s="6" t="s">
        <v>14</v>
      </c>
      <c r="J211" s="6" t="s">
        <v>1097</v>
      </c>
      <c r="K211" s="6">
        <v>16673</v>
      </c>
      <c r="L211" s="7" t="s">
        <v>6839</v>
      </c>
      <c r="M211" s="8">
        <v>24608</v>
      </c>
      <c r="N211" s="8" t="str">
        <f t="shared" si="20"/>
        <v>PEN</v>
      </c>
      <c r="O211" s="13"/>
      <c r="P211" s="13">
        <v>20</v>
      </c>
      <c r="Q211" s="3">
        <f t="shared" si="17"/>
        <v>0</v>
      </c>
      <c r="R211" s="3">
        <f t="shared" si="18"/>
        <v>20</v>
      </c>
      <c r="S211" s="3">
        <f t="shared" si="19"/>
        <v>345.70000000000005</v>
      </c>
      <c r="T211" s="24"/>
      <c r="U211" s="24"/>
      <c r="V211" s="3"/>
      <c r="W211" s="25" t="s">
        <v>6630</v>
      </c>
      <c r="X211" s="25"/>
      <c r="Y211" s="25" t="str">
        <f>IFERROR(VLOOKUP(C_Ope_002[[#This Row],[NOTA 2]],Clientes_Proveedores[[Ruc / Dni]:[Razon Social]],2,0),"")</f>
        <v/>
      </c>
      <c r="Z211" s="25"/>
      <c r="AA211" s="25"/>
      <c r="AB211" s="3" t="str">
        <f>IF(C_Ope_002[[#This Row],[FECHA]]&gt;0,TEXT(C_Ope_002[[#This Row],[FECHA]],"mmmm"),0)</f>
        <v>Junio</v>
      </c>
    </row>
    <row r="212" spans="2:28" ht="24" x14ac:dyDescent="0.3">
      <c r="B212" s="2">
        <f>IF(C_Ope_002[[#This Row],[TIPO DE R.]]="R",COUNTIFS($D$4:$D211,"R")+1,"")</f>
        <v>208</v>
      </c>
      <c r="C212" s="19" t="str">
        <f t="shared" si="16"/>
        <v>C_Ope_002</v>
      </c>
      <c r="D212" s="3" t="s">
        <v>1074</v>
      </c>
      <c r="E212" s="14">
        <v>45826</v>
      </c>
      <c r="F212" s="5" t="s">
        <v>6746</v>
      </c>
      <c r="G212" s="5" t="s">
        <v>1079</v>
      </c>
      <c r="H212" s="6"/>
      <c r="I212" s="6" t="s">
        <v>14</v>
      </c>
      <c r="J212" s="6" t="s">
        <v>1097</v>
      </c>
      <c r="K212" s="6">
        <v>16693</v>
      </c>
      <c r="L212" s="7" t="s">
        <v>6839</v>
      </c>
      <c r="M212" s="8">
        <v>24607</v>
      </c>
      <c r="N212" s="8" t="str">
        <f t="shared" si="20"/>
        <v>PEN</v>
      </c>
      <c r="O212" s="13"/>
      <c r="P212" s="13">
        <v>20</v>
      </c>
      <c r="Q212" s="3">
        <f t="shared" si="17"/>
        <v>0</v>
      </c>
      <c r="R212" s="3">
        <f t="shared" si="18"/>
        <v>20</v>
      </c>
      <c r="S212" s="3">
        <f t="shared" si="19"/>
        <v>325.70000000000005</v>
      </c>
      <c r="T212" s="24"/>
      <c r="U212" s="24"/>
      <c r="V212" s="3"/>
      <c r="W212" s="25" t="s">
        <v>6630</v>
      </c>
      <c r="X212" s="25"/>
      <c r="Y212" s="25" t="str">
        <f>IFERROR(VLOOKUP(C_Ope_002[[#This Row],[NOTA 2]],Clientes_Proveedores[[Ruc / Dni]:[Razon Social]],2,0),"")</f>
        <v/>
      </c>
      <c r="Z212" s="25"/>
      <c r="AA212" s="25"/>
      <c r="AB212" s="3" t="str">
        <f>IF(C_Ope_002[[#This Row],[FECHA]]&gt;0,TEXT(C_Ope_002[[#This Row],[FECHA]],"mmmm"),0)</f>
        <v>Junio</v>
      </c>
    </row>
    <row r="213" spans="2:28" x14ac:dyDescent="0.3">
      <c r="B213" s="2">
        <f>IF(C_Ope_002[[#This Row],[TIPO DE R.]]="R",COUNTIFS($D$4:$D212,"R")+1,"")</f>
        <v>209</v>
      </c>
      <c r="C213" s="19" t="str">
        <f t="shared" si="16"/>
        <v>C_Ope_002</v>
      </c>
      <c r="D213" s="3" t="s">
        <v>1074</v>
      </c>
      <c r="E213" s="14">
        <v>45827</v>
      </c>
      <c r="F213" s="5" t="s">
        <v>6746</v>
      </c>
      <c r="G213" s="5" t="s">
        <v>1079</v>
      </c>
      <c r="H213" s="6"/>
      <c r="I213" s="6" t="s">
        <v>14</v>
      </c>
      <c r="J213" s="6" t="s">
        <v>1148</v>
      </c>
      <c r="K213" s="6">
        <v>133173</v>
      </c>
      <c r="L213" s="7" t="s">
        <v>6840</v>
      </c>
      <c r="M213" s="8">
        <v>24630</v>
      </c>
      <c r="N213" s="8" t="str">
        <f t="shared" si="20"/>
        <v>PEN</v>
      </c>
      <c r="O213" s="13"/>
      <c r="P213" s="13">
        <v>10</v>
      </c>
      <c r="Q213" s="3">
        <f t="shared" si="17"/>
        <v>0</v>
      </c>
      <c r="R213" s="3">
        <f t="shared" si="18"/>
        <v>10</v>
      </c>
      <c r="S213" s="3">
        <f t="shared" si="19"/>
        <v>315.70000000000005</v>
      </c>
      <c r="T213" s="24"/>
      <c r="U213" s="24"/>
      <c r="V213" s="3"/>
      <c r="W213" s="25" t="s">
        <v>6630</v>
      </c>
      <c r="X213" s="25"/>
      <c r="Y213" s="25" t="str">
        <f>IFERROR(VLOOKUP(C_Ope_002[[#This Row],[NOTA 2]],Clientes_Proveedores[[Ruc / Dni]:[Razon Social]],2,0),"")</f>
        <v/>
      </c>
      <c r="Z213" s="25"/>
      <c r="AA213" s="25"/>
      <c r="AB213" s="3" t="str">
        <f>IF(C_Ope_002[[#This Row],[FECHA]]&gt;0,TEXT(C_Ope_002[[#This Row],[FECHA]],"mmmm"),0)</f>
        <v>Junio</v>
      </c>
    </row>
    <row r="214" spans="2:28" x14ac:dyDescent="0.3">
      <c r="B214" s="2">
        <f>IF(C_Ope_002[[#This Row],[TIPO DE R.]]="R",COUNTIFS($D$4:$D213,"R")+1,"")</f>
        <v>210</v>
      </c>
      <c r="C214" s="19" t="str">
        <f t="shared" si="16"/>
        <v>C_Ope_002</v>
      </c>
      <c r="D214" s="3" t="s">
        <v>1074</v>
      </c>
      <c r="E214" s="14">
        <v>45828</v>
      </c>
      <c r="F214" s="5" t="s">
        <v>6746</v>
      </c>
      <c r="G214" s="5" t="s">
        <v>1079</v>
      </c>
      <c r="H214" s="6"/>
      <c r="I214" s="6" t="s">
        <v>14</v>
      </c>
      <c r="J214" s="6" t="s">
        <v>1148</v>
      </c>
      <c r="K214" s="6">
        <v>133222</v>
      </c>
      <c r="L214" s="7" t="s">
        <v>6840</v>
      </c>
      <c r="M214" s="8">
        <v>24631</v>
      </c>
      <c r="N214" s="8" t="str">
        <f t="shared" si="20"/>
        <v>PEN</v>
      </c>
      <c r="O214" s="13"/>
      <c r="P214" s="13">
        <v>10</v>
      </c>
      <c r="Q214" s="3">
        <f t="shared" si="17"/>
        <v>0</v>
      </c>
      <c r="R214" s="3">
        <f t="shared" si="18"/>
        <v>10</v>
      </c>
      <c r="S214" s="3">
        <f t="shared" si="19"/>
        <v>305.70000000000005</v>
      </c>
      <c r="T214" s="24"/>
      <c r="U214" s="24"/>
      <c r="V214" s="3"/>
      <c r="W214" s="25" t="s">
        <v>6630</v>
      </c>
      <c r="X214" s="25"/>
      <c r="Y214" s="25" t="str">
        <f>IFERROR(VLOOKUP(C_Ope_002[[#This Row],[NOTA 2]],Clientes_Proveedores[[Ruc / Dni]:[Razon Social]],2,0),"")</f>
        <v/>
      </c>
      <c r="Z214" s="25"/>
      <c r="AA214" s="25"/>
      <c r="AB214" s="3" t="str">
        <f>IF(C_Ope_002[[#This Row],[FECHA]]&gt;0,TEXT(C_Ope_002[[#This Row],[FECHA]],"mmmm"),0)</f>
        <v>Junio</v>
      </c>
    </row>
    <row r="215" spans="2:28" x14ac:dyDescent="0.3">
      <c r="B215" s="2">
        <f>IF(C_Ope_002[[#This Row],[TIPO DE R.]]="R",COUNTIFS($D$4:$D214,"R")+1,"")</f>
        <v>211</v>
      </c>
      <c r="C215" s="19" t="str">
        <f t="shared" si="16"/>
        <v>C_Ope_002</v>
      </c>
      <c r="D215" s="3" t="s">
        <v>1074</v>
      </c>
      <c r="E215" s="14">
        <v>45831</v>
      </c>
      <c r="F215" s="5" t="s">
        <v>6746</v>
      </c>
      <c r="G215" s="5" t="s">
        <v>1079</v>
      </c>
      <c r="H215" s="6"/>
      <c r="I215" s="6" t="s">
        <v>14</v>
      </c>
      <c r="J215" s="6" t="s">
        <v>5243</v>
      </c>
      <c r="K215" s="6">
        <v>2376263</v>
      </c>
      <c r="L215" s="7" t="s">
        <v>6803</v>
      </c>
      <c r="M215" s="8">
        <v>24735</v>
      </c>
      <c r="N215" s="8" t="str">
        <f t="shared" si="20"/>
        <v>PEN</v>
      </c>
      <c r="O215" s="13"/>
      <c r="P215" s="13">
        <v>8</v>
      </c>
      <c r="Q215" s="3">
        <f t="shared" si="17"/>
        <v>0</v>
      </c>
      <c r="R215" s="3">
        <f t="shared" si="18"/>
        <v>8</v>
      </c>
      <c r="S215" s="3">
        <f t="shared" si="19"/>
        <v>297.70000000000005</v>
      </c>
      <c r="T215" s="24"/>
      <c r="U215" s="24"/>
      <c r="V215" s="3"/>
      <c r="W215" s="25" t="s">
        <v>6630</v>
      </c>
      <c r="X215" s="25"/>
      <c r="Y215" s="25" t="str">
        <f>IFERROR(VLOOKUP(C_Ope_002[[#This Row],[NOTA 2]],Clientes_Proveedores[[Ruc / Dni]:[Razon Social]],2,0),"")</f>
        <v/>
      </c>
      <c r="Z215" s="25"/>
      <c r="AA215" s="25"/>
      <c r="AB215" s="3" t="str">
        <f>IF(C_Ope_002[[#This Row],[FECHA]]&gt;0,TEXT(C_Ope_002[[#This Row],[FECHA]],"mmmm"),0)</f>
        <v>Junio</v>
      </c>
    </row>
    <row r="216" spans="2:28" ht="36" x14ac:dyDescent="0.3">
      <c r="B216" s="2">
        <f>IF(C_Ope_002[[#This Row],[TIPO DE R.]]="R",COUNTIFS($D$4:$D215,"R")+1,"")</f>
        <v>212</v>
      </c>
      <c r="C216" s="19" t="str">
        <f t="shared" si="16"/>
        <v>C_Ope_002</v>
      </c>
      <c r="D216" s="3" t="s">
        <v>1074</v>
      </c>
      <c r="E216" s="14">
        <v>45834</v>
      </c>
      <c r="F216" s="5" t="s">
        <v>6746</v>
      </c>
      <c r="G216" s="5" t="s">
        <v>1079</v>
      </c>
      <c r="H216" s="6"/>
      <c r="I216" s="6" t="s">
        <v>14</v>
      </c>
      <c r="J216" s="6" t="s">
        <v>5242</v>
      </c>
      <c r="K216" s="6">
        <v>2094717</v>
      </c>
      <c r="L216" s="7" t="s">
        <v>6841</v>
      </c>
      <c r="M216" s="8">
        <v>24737</v>
      </c>
      <c r="N216" s="8" t="str">
        <f t="shared" si="20"/>
        <v>PEN</v>
      </c>
      <c r="O216" s="13"/>
      <c r="P216" s="13">
        <v>8</v>
      </c>
      <c r="Q216" s="3">
        <f t="shared" si="17"/>
        <v>0</v>
      </c>
      <c r="R216" s="3">
        <f t="shared" si="18"/>
        <v>8</v>
      </c>
      <c r="S216" s="3">
        <f t="shared" si="19"/>
        <v>289.70000000000005</v>
      </c>
      <c r="T216" s="24"/>
      <c r="U216" s="24"/>
      <c r="V216" s="3"/>
      <c r="W216" s="25" t="s">
        <v>6630</v>
      </c>
      <c r="X216" s="25"/>
      <c r="Y216" s="25" t="str">
        <f>IFERROR(VLOOKUP(C_Ope_002[[#This Row],[NOTA 2]],Clientes_Proveedores[[Ruc / Dni]:[Razon Social]],2,0),"")</f>
        <v/>
      </c>
      <c r="Z216" s="25"/>
      <c r="AA216" s="25"/>
      <c r="AB216" s="3" t="str">
        <f>IF(C_Ope_002[[#This Row],[FECHA]]&gt;0,TEXT(C_Ope_002[[#This Row],[FECHA]],"mmmm"),0)</f>
        <v>Junio</v>
      </c>
    </row>
    <row r="217" spans="2:28" ht="36" x14ac:dyDescent="0.3">
      <c r="B217" s="2">
        <f>IF(C_Ope_002[[#This Row],[TIPO DE R.]]="R",COUNTIFS($D$4:$D216,"R")+1,"")</f>
        <v>213</v>
      </c>
      <c r="C217" s="19" t="str">
        <f t="shared" si="16"/>
        <v>C_Ope_002</v>
      </c>
      <c r="D217" s="3" t="s">
        <v>1074</v>
      </c>
      <c r="E217" s="14">
        <v>45835</v>
      </c>
      <c r="F217" s="5" t="s">
        <v>6746</v>
      </c>
      <c r="G217" s="5" t="s">
        <v>1079</v>
      </c>
      <c r="H217" s="6"/>
      <c r="I217" s="6" t="s">
        <v>14</v>
      </c>
      <c r="J217" s="6" t="s">
        <v>5243</v>
      </c>
      <c r="K217" s="6">
        <v>2381263</v>
      </c>
      <c r="L217" s="7" t="s">
        <v>6842</v>
      </c>
      <c r="M217" s="8">
        <v>24738</v>
      </c>
      <c r="N217" s="8" t="str">
        <f t="shared" si="20"/>
        <v>PEN</v>
      </c>
      <c r="O217" s="13"/>
      <c r="P217" s="13">
        <v>8</v>
      </c>
      <c r="Q217" s="3">
        <f t="shared" si="17"/>
        <v>0</v>
      </c>
      <c r="R217" s="3">
        <f t="shared" si="18"/>
        <v>8</v>
      </c>
      <c r="S217" s="3">
        <f t="shared" si="19"/>
        <v>281.70000000000005</v>
      </c>
      <c r="T217" s="24"/>
      <c r="U217" s="24"/>
      <c r="V217" s="3"/>
      <c r="W217" s="25" t="s">
        <v>6630</v>
      </c>
      <c r="X217" s="25"/>
      <c r="Y217" s="25" t="str">
        <f>IFERROR(VLOOKUP(C_Ope_002[[#This Row],[NOTA 2]],Clientes_Proveedores[[Ruc / Dni]:[Razon Social]],2,0),"")</f>
        <v/>
      </c>
      <c r="Z217" s="25"/>
      <c r="AA217" s="25"/>
      <c r="AB217" s="3" t="str">
        <f>IF(C_Ope_002[[#This Row],[FECHA]]&gt;0,TEXT(C_Ope_002[[#This Row],[FECHA]],"mmmm"),0)</f>
        <v>Junio</v>
      </c>
    </row>
    <row r="218" spans="2:28" ht="36" x14ac:dyDescent="0.3">
      <c r="B218" s="2">
        <f>IF(C_Ope_002[[#This Row],[TIPO DE R.]]="R",COUNTIFS($D$4:$D217,"R")+1,"")</f>
        <v>214</v>
      </c>
      <c r="C218" s="19" t="str">
        <f t="shared" si="16"/>
        <v>C_Ope_002</v>
      </c>
      <c r="D218" s="3" t="s">
        <v>1074</v>
      </c>
      <c r="E218" s="14">
        <v>45835</v>
      </c>
      <c r="F218" s="5" t="s">
        <v>6746</v>
      </c>
      <c r="G218" s="5" t="s">
        <v>1079</v>
      </c>
      <c r="H218" s="6"/>
      <c r="I218" s="6" t="s">
        <v>14</v>
      </c>
      <c r="J218" s="6" t="s">
        <v>5242</v>
      </c>
      <c r="K218" s="6">
        <v>2095899</v>
      </c>
      <c r="L218" s="7" t="s">
        <v>6842</v>
      </c>
      <c r="M218" s="8">
        <v>24739</v>
      </c>
      <c r="N218" s="8" t="str">
        <f t="shared" si="20"/>
        <v>PEN</v>
      </c>
      <c r="O218" s="13"/>
      <c r="P218" s="13">
        <v>8</v>
      </c>
      <c r="Q218" s="3">
        <f t="shared" si="17"/>
        <v>0</v>
      </c>
      <c r="R218" s="3">
        <f t="shared" si="18"/>
        <v>8</v>
      </c>
      <c r="S218" s="3">
        <f t="shared" si="19"/>
        <v>273.70000000000005</v>
      </c>
      <c r="T218" s="24"/>
      <c r="U218" s="24"/>
      <c r="V218" s="3"/>
      <c r="W218" s="25" t="s">
        <v>6630</v>
      </c>
      <c r="X218" s="25"/>
      <c r="Y218" s="25" t="str">
        <f>IFERROR(VLOOKUP(C_Ope_002[[#This Row],[NOTA 2]],Clientes_Proveedores[[Ruc / Dni]:[Razon Social]],2,0),"")</f>
        <v/>
      </c>
      <c r="Z218" s="25"/>
      <c r="AA218" s="25"/>
      <c r="AB218" s="3" t="str">
        <f>IF(C_Ope_002[[#This Row],[FECHA]]&gt;0,TEXT(C_Ope_002[[#This Row],[FECHA]],"mmmm"),0)</f>
        <v>Junio</v>
      </c>
    </row>
    <row r="219" spans="2:28" ht="36" x14ac:dyDescent="0.3">
      <c r="B219" s="2">
        <f>IF(C_Ope_002[[#This Row],[TIPO DE R.]]="R",COUNTIFS($D$4:$D218,"R")+1,"")</f>
        <v>215</v>
      </c>
      <c r="C219" s="19" t="str">
        <f t="shared" si="16"/>
        <v>C_Ope_002</v>
      </c>
      <c r="D219" s="3" t="s">
        <v>1074</v>
      </c>
      <c r="E219" s="14">
        <v>45838</v>
      </c>
      <c r="F219" s="5" t="s">
        <v>6746</v>
      </c>
      <c r="G219" s="5" t="s">
        <v>1079</v>
      </c>
      <c r="H219" s="6"/>
      <c r="I219" s="6" t="s">
        <v>14</v>
      </c>
      <c r="J219" s="6" t="s">
        <v>5243</v>
      </c>
      <c r="K219" s="6">
        <v>2384256</v>
      </c>
      <c r="L219" s="7" t="s">
        <v>6843</v>
      </c>
      <c r="M219" s="8">
        <v>24743</v>
      </c>
      <c r="N219" s="8" t="str">
        <f t="shared" si="20"/>
        <v>PEN</v>
      </c>
      <c r="O219" s="13"/>
      <c r="P219" s="13">
        <v>8</v>
      </c>
      <c r="Q219" s="3">
        <f t="shared" si="17"/>
        <v>0</v>
      </c>
      <c r="R219" s="3">
        <f t="shared" si="18"/>
        <v>8</v>
      </c>
      <c r="S219" s="3">
        <f t="shared" si="19"/>
        <v>265.70000000000005</v>
      </c>
      <c r="T219" s="24"/>
      <c r="U219" s="24"/>
      <c r="V219" s="3"/>
      <c r="W219" s="25" t="s">
        <v>6630</v>
      </c>
      <c r="X219" s="25"/>
      <c r="Y219" s="25" t="str">
        <f>IFERROR(VLOOKUP(C_Ope_002[[#This Row],[NOTA 2]],Clientes_Proveedores[[Ruc / Dni]:[Razon Social]],2,0),"")</f>
        <v/>
      </c>
      <c r="Z219" s="25"/>
      <c r="AA219" s="25"/>
      <c r="AB219" s="3" t="str">
        <f>IF(C_Ope_002[[#This Row],[FECHA]]&gt;0,TEXT(C_Ope_002[[#This Row],[FECHA]],"mmmm"),0)</f>
        <v>Junio</v>
      </c>
    </row>
    <row r="220" spans="2:28" ht="36" x14ac:dyDescent="0.3">
      <c r="B220" s="2">
        <f>IF(C_Ope_002[[#This Row],[TIPO DE R.]]="R",COUNTIFS($D$4:$D219,"R")+1,"")</f>
        <v>216</v>
      </c>
      <c r="C220" s="19" t="str">
        <f t="shared" si="16"/>
        <v>C_Ope_002</v>
      </c>
      <c r="D220" s="3" t="s">
        <v>1074</v>
      </c>
      <c r="E220" s="14">
        <v>45838</v>
      </c>
      <c r="F220" s="5" t="s">
        <v>6746</v>
      </c>
      <c r="G220" s="5" t="s">
        <v>1079</v>
      </c>
      <c r="H220" s="6"/>
      <c r="I220" s="6" t="s">
        <v>14</v>
      </c>
      <c r="J220" s="6" t="s">
        <v>5242</v>
      </c>
      <c r="K220" s="6">
        <v>2098923</v>
      </c>
      <c r="L220" s="7" t="s">
        <v>6843</v>
      </c>
      <c r="M220" s="8">
        <v>24749</v>
      </c>
      <c r="N220" s="8" t="str">
        <f t="shared" si="20"/>
        <v>PEN</v>
      </c>
      <c r="O220" s="13"/>
      <c r="P220" s="13">
        <v>8</v>
      </c>
      <c r="Q220" s="3">
        <f t="shared" si="17"/>
        <v>0</v>
      </c>
      <c r="R220" s="3">
        <f t="shared" si="18"/>
        <v>8</v>
      </c>
      <c r="S220" s="3">
        <f t="shared" si="19"/>
        <v>257.70000000000005</v>
      </c>
      <c r="T220" s="24"/>
      <c r="U220" s="24"/>
      <c r="V220" s="3"/>
      <c r="W220" s="25" t="s">
        <v>6630</v>
      </c>
      <c r="X220" s="25"/>
      <c r="Y220" s="25" t="str">
        <f>IFERROR(VLOOKUP(C_Ope_002[[#This Row],[NOTA 2]],Clientes_Proveedores[[Ruc / Dni]:[Razon Social]],2,0),"")</f>
        <v/>
      </c>
      <c r="Z220" s="25"/>
      <c r="AA220" s="25"/>
      <c r="AB220" s="3" t="str">
        <f>IF(C_Ope_002[[#This Row],[FECHA]]&gt;0,TEXT(C_Ope_002[[#This Row],[FECHA]],"mmmm"),0)</f>
        <v>Junio</v>
      </c>
    </row>
    <row r="221" spans="2:28" x14ac:dyDescent="0.3">
      <c r="B221" s="2">
        <f>IF(C_Ope_002[[#This Row],[TIPO DE R.]]="R",COUNTIFS($D$4:$D220,"R")+1,"")</f>
        <v>217</v>
      </c>
      <c r="C221" s="19" t="str">
        <f t="shared" si="16"/>
        <v>C_Ope_002</v>
      </c>
      <c r="D221" s="3" t="s">
        <v>1074</v>
      </c>
      <c r="E221" s="14">
        <v>45831</v>
      </c>
      <c r="F221" s="5" t="s">
        <v>6746</v>
      </c>
      <c r="G221" s="5" t="s">
        <v>1079</v>
      </c>
      <c r="H221" s="6"/>
      <c r="I221" s="6" t="s">
        <v>14</v>
      </c>
      <c r="J221" s="6" t="s">
        <v>1148</v>
      </c>
      <c r="K221" s="6">
        <v>133347</v>
      </c>
      <c r="L221" s="7" t="s">
        <v>6550</v>
      </c>
      <c r="M221" s="8">
        <v>24736</v>
      </c>
      <c r="N221" s="8" t="str">
        <f t="shared" si="20"/>
        <v>PEN</v>
      </c>
      <c r="O221" s="13"/>
      <c r="P221" s="13">
        <v>10</v>
      </c>
      <c r="Q221" s="3">
        <f t="shared" si="17"/>
        <v>0</v>
      </c>
      <c r="R221" s="3">
        <f t="shared" si="18"/>
        <v>10</v>
      </c>
      <c r="S221" s="3">
        <f t="shared" si="19"/>
        <v>247.70000000000005</v>
      </c>
      <c r="T221" s="24"/>
      <c r="U221" s="24"/>
      <c r="V221" s="3"/>
      <c r="W221" s="25" t="s">
        <v>6630</v>
      </c>
      <c r="X221" s="25"/>
      <c r="Y221" s="25" t="str">
        <f>IFERROR(VLOOKUP(C_Ope_002[[#This Row],[NOTA 2]],Clientes_Proveedores[[Ruc / Dni]:[Razon Social]],2,0),"")</f>
        <v/>
      </c>
      <c r="Z221" s="25"/>
      <c r="AA221" s="25"/>
      <c r="AB221" s="3" t="str">
        <f>IF(C_Ope_002[[#This Row],[FECHA]]&gt;0,TEXT(C_Ope_002[[#This Row],[FECHA]],"mmmm"),0)</f>
        <v>Junio</v>
      </c>
    </row>
    <row r="222" spans="2:28" x14ac:dyDescent="0.3">
      <c r="B222" s="2">
        <f>IF(C_Ope_002[[#This Row],[TIPO DE R.]]="R",COUNTIFS($D$4:$D221,"R")+1,"")</f>
        <v>218</v>
      </c>
      <c r="C222" s="19" t="str">
        <f t="shared" si="16"/>
        <v>C_Ope_002</v>
      </c>
      <c r="D222" s="3" t="s">
        <v>1074</v>
      </c>
      <c r="E222" s="14">
        <v>45838</v>
      </c>
      <c r="F222" s="5" t="s">
        <v>6746</v>
      </c>
      <c r="G222" s="5" t="s">
        <v>1079</v>
      </c>
      <c r="H222" s="6"/>
      <c r="I222" s="6" t="s">
        <v>14</v>
      </c>
      <c r="J222" s="6" t="s">
        <v>1148</v>
      </c>
      <c r="K222" s="6">
        <v>133625</v>
      </c>
      <c r="L222" s="7" t="s">
        <v>6550</v>
      </c>
      <c r="M222" s="8">
        <v>24742</v>
      </c>
      <c r="N222" s="8" t="str">
        <f t="shared" si="20"/>
        <v>PEN</v>
      </c>
      <c r="O222" s="13"/>
      <c r="P222" s="13">
        <v>10</v>
      </c>
      <c r="Q222" s="3">
        <f t="shared" si="17"/>
        <v>0</v>
      </c>
      <c r="R222" s="3">
        <f t="shared" si="18"/>
        <v>10</v>
      </c>
      <c r="S222" s="3">
        <f t="shared" si="19"/>
        <v>237.70000000000005</v>
      </c>
      <c r="T222" s="24"/>
      <c r="U222" s="24"/>
      <c r="V222" s="3"/>
      <c r="W222" s="25" t="s">
        <v>6630</v>
      </c>
      <c r="X222" s="25"/>
      <c r="Y222" s="25" t="str">
        <f>IFERROR(VLOOKUP(C_Ope_002[[#This Row],[NOTA 2]],Clientes_Proveedores[[Ruc / Dni]:[Razon Social]],2,0),"")</f>
        <v/>
      </c>
      <c r="Z222" s="25"/>
      <c r="AA222" s="25"/>
      <c r="AB222" s="3" t="str">
        <f>IF(C_Ope_002[[#This Row],[FECHA]]&gt;0,TEXT(C_Ope_002[[#This Row],[FECHA]],"mmmm"),0)</f>
        <v>Junio</v>
      </c>
    </row>
    <row r="223" spans="2:28" x14ac:dyDescent="0.3">
      <c r="B223" s="2">
        <f>IF(C_Ope_002[[#This Row],[TIPO DE R.]]="R",COUNTIFS($D$4:$D222,"R")+1,"")</f>
        <v>219</v>
      </c>
      <c r="C223" s="19" t="str">
        <f t="shared" ref="C223:C227" si="21">"C_Ope_002"</f>
        <v>C_Ope_002</v>
      </c>
      <c r="D223" s="3" t="s">
        <v>1074</v>
      </c>
      <c r="E223" s="14">
        <v>45840</v>
      </c>
      <c r="F223" s="5" t="s">
        <v>6746</v>
      </c>
      <c r="G223" s="5" t="s">
        <v>1079</v>
      </c>
      <c r="H223" s="6" t="s">
        <v>919</v>
      </c>
      <c r="I223" s="6" t="s">
        <v>14</v>
      </c>
      <c r="J223" s="6" t="s">
        <v>5244</v>
      </c>
      <c r="K223" s="6">
        <v>1774898</v>
      </c>
      <c r="L223" s="7" t="s">
        <v>6844</v>
      </c>
      <c r="M223" s="8">
        <v>24802</v>
      </c>
      <c r="N223" s="8" t="str">
        <f t="shared" ref="N223:N227" si="22">"PEN"</f>
        <v>PEN</v>
      </c>
      <c r="O223" s="13"/>
      <c r="P223" s="13">
        <v>8</v>
      </c>
      <c r="Q223" s="3">
        <f t="shared" si="17"/>
        <v>0</v>
      </c>
      <c r="R223" s="3">
        <f t="shared" si="18"/>
        <v>8</v>
      </c>
      <c r="S223" s="3">
        <f t="shared" si="19"/>
        <v>229.70000000000005</v>
      </c>
      <c r="T223" s="24" t="s">
        <v>1081</v>
      </c>
      <c r="U223" s="24"/>
      <c r="V223" s="3"/>
      <c r="W223" s="25" t="s">
        <v>6630</v>
      </c>
      <c r="X223" s="25">
        <v>20517252558</v>
      </c>
      <c r="Y223" s="25" t="str">
        <f>IFERROR(VLOOKUP(C_Ope_002[[#This Row],[NOTA 2]],Clientes_Proveedores[[Ruc / Dni]:[Razon Social]],2,0),"")</f>
        <v>COVISUR S.A.</v>
      </c>
      <c r="Z223" s="25"/>
      <c r="AA223" s="25"/>
      <c r="AB223" s="3" t="str">
        <f>IF(C_Ope_002[[#This Row],[FECHA]]&gt;0,TEXT(C_Ope_002[[#This Row],[FECHA]],"mmmm"),0)</f>
        <v>Julio</v>
      </c>
    </row>
    <row r="224" spans="2:28" x14ac:dyDescent="0.3">
      <c r="B224" s="2">
        <f>IF(C_Ope_002[[#This Row],[TIPO DE R.]]="R",COUNTIFS($D$4:$D223,"R")+1,"")</f>
        <v>220</v>
      </c>
      <c r="C224" s="19" t="str">
        <f t="shared" si="21"/>
        <v>C_Ope_002</v>
      </c>
      <c r="D224" s="3" t="s">
        <v>1074</v>
      </c>
      <c r="E224" s="14">
        <v>45840</v>
      </c>
      <c r="F224" s="5" t="s">
        <v>6746</v>
      </c>
      <c r="G224" s="5" t="s">
        <v>1079</v>
      </c>
      <c r="H224" s="6" t="s">
        <v>919</v>
      </c>
      <c r="I224" s="6" t="s">
        <v>14</v>
      </c>
      <c r="J224" s="6" t="s">
        <v>5242</v>
      </c>
      <c r="K224" s="6">
        <v>2100874</v>
      </c>
      <c r="L224" s="7" t="s">
        <v>6844</v>
      </c>
      <c r="M224" s="8">
        <v>24803</v>
      </c>
      <c r="N224" s="8" t="str">
        <f t="shared" si="22"/>
        <v>PEN</v>
      </c>
      <c r="O224" s="13"/>
      <c r="P224" s="13">
        <v>8</v>
      </c>
      <c r="Q224" s="3">
        <f t="shared" si="17"/>
        <v>0</v>
      </c>
      <c r="R224" s="3">
        <f t="shared" si="18"/>
        <v>8</v>
      </c>
      <c r="S224" s="3">
        <f t="shared" si="19"/>
        <v>221.70000000000005</v>
      </c>
      <c r="T224" s="24" t="s">
        <v>1081</v>
      </c>
      <c r="U224" s="24"/>
      <c r="V224" s="3"/>
      <c r="W224" s="25" t="s">
        <v>6630</v>
      </c>
      <c r="X224" s="25">
        <v>20517252558</v>
      </c>
      <c r="Y224" s="25" t="str">
        <f>IFERROR(VLOOKUP(C_Ope_002[[#This Row],[NOTA 2]],Clientes_Proveedores[[Ruc / Dni]:[Razon Social]],2,0),"")</f>
        <v>COVISUR S.A.</v>
      </c>
      <c r="Z224" s="25"/>
      <c r="AA224" s="25"/>
      <c r="AB224" s="3" t="str">
        <f>IF(C_Ope_002[[#This Row],[FECHA]]&gt;0,TEXT(C_Ope_002[[#This Row],[FECHA]],"mmmm"),0)</f>
        <v>Julio</v>
      </c>
    </row>
    <row r="225" spans="2:28" ht="24" x14ac:dyDescent="0.3">
      <c r="B225" s="2">
        <f>IF(C_Ope_002[[#This Row],[TIPO DE R.]]="R",COUNTIFS($D$4:$D224,"R")+1,"")</f>
        <v>221</v>
      </c>
      <c r="C225" s="19" t="str">
        <f t="shared" si="21"/>
        <v>C_Ope_002</v>
      </c>
      <c r="D225" s="3" t="s">
        <v>1074</v>
      </c>
      <c r="E225" s="14">
        <v>45841</v>
      </c>
      <c r="F225" s="5" t="s">
        <v>6746</v>
      </c>
      <c r="G225" s="5" t="s">
        <v>1079</v>
      </c>
      <c r="H225" s="6" t="s">
        <v>919</v>
      </c>
      <c r="I225" s="6" t="s">
        <v>14</v>
      </c>
      <c r="J225" s="6" t="s">
        <v>5244</v>
      </c>
      <c r="K225" s="6">
        <v>1775700</v>
      </c>
      <c r="L225" s="7" t="s">
        <v>6845</v>
      </c>
      <c r="M225" s="8">
        <v>24804</v>
      </c>
      <c r="N225" s="8" t="str">
        <f t="shared" si="22"/>
        <v>PEN</v>
      </c>
      <c r="O225" s="13"/>
      <c r="P225" s="13">
        <v>8</v>
      </c>
      <c r="Q225" s="3">
        <f t="shared" si="17"/>
        <v>0</v>
      </c>
      <c r="R225" s="3">
        <f t="shared" si="18"/>
        <v>8</v>
      </c>
      <c r="S225" s="3">
        <f t="shared" si="19"/>
        <v>213.70000000000005</v>
      </c>
      <c r="T225" s="24" t="s">
        <v>1081</v>
      </c>
      <c r="U225" s="24"/>
      <c r="V225" s="3"/>
      <c r="W225" s="25" t="s">
        <v>6630</v>
      </c>
      <c r="X225" s="25">
        <v>20517252558</v>
      </c>
      <c r="Y225" s="25" t="str">
        <f>IFERROR(VLOOKUP(C_Ope_002[[#This Row],[NOTA 2]],Clientes_Proveedores[[Ruc / Dni]:[Razon Social]],2,0),"")</f>
        <v>COVISUR S.A.</v>
      </c>
      <c r="Z225" s="25"/>
      <c r="AA225" s="25"/>
      <c r="AB225" s="3" t="str">
        <f>IF(C_Ope_002[[#This Row],[FECHA]]&gt;0,TEXT(C_Ope_002[[#This Row],[FECHA]],"mmmm"),0)</f>
        <v>Julio</v>
      </c>
    </row>
    <row r="226" spans="2:28" x14ac:dyDescent="0.3">
      <c r="B226" s="2">
        <f>IF(C_Ope_002[[#This Row],[TIPO DE R.]]="R",COUNTIFS($D$4:$D225,"R")+1,"")</f>
        <v>222</v>
      </c>
      <c r="C226" s="19" t="str">
        <f t="shared" si="21"/>
        <v>C_Ope_002</v>
      </c>
      <c r="D226" s="3" t="s">
        <v>1074</v>
      </c>
      <c r="E226" s="14">
        <v>45841</v>
      </c>
      <c r="F226" s="5" t="s">
        <v>6746</v>
      </c>
      <c r="G226" s="5" t="s">
        <v>1079</v>
      </c>
      <c r="H226" s="6" t="s">
        <v>919</v>
      </c>
      <c r="I226" s="6" t="s">
        <v>14</v>
      </c>
      <c r="J226" s="6" t="s">
        <v>5242</v>
      </c>
      <c r="K226" s="6">
        <v>2101734</v>
      </c>
      <c r="L226" s="7" t="s">
        <v>6846</v>
      </c>
      <c r="M226" s="8">
        <v>24805</v>
      </c>
      <c r="N226" s="8" t="str">
        <f t="shared" si="22"/>
        <v>PEN</v>
      </c>
      <c r="O226" s="13"/>
      <c r="P226" s="13">
        <v>8</v>
      </c>
      <c r="Q226" s="3">
        <f t="shared" si="17"/>
        <v>0</v>
      </c>
      <c r="R226" s="3">
        <f t="shared" si="18"/>
        <v>8</v>
      </c>
      <c r="S226" s="3">
        <f t="shared" si="19"/>
        <v>205.70000000000005</v>
      </c>
      <c r="T226" s="24" t="s">
        <v>1081</v>
      </c>
      <c r="U226" s="24"/>
      <c r="V226" s="3"/>
      <c r="W226" s="25" t="s">
        <v>6541</v>
      </c>
      <c r="X226" s="25">
        <v>20517252558</v>
      </c>
      <c r="Y226" s="25" t="str">
        <f>IFERROR(VLOOKUP(C_Ope_002[[#This Row],[NOTA 2]],Clientes_Proveedores[[Ruc / Dni]:[Razon Social]],2,0),"")</f>
        <v>COVISUR S.A.</v>
      </c>
      <c r="Z226" s="25"/>
      <c r="AA226" s="25"/>
      <c r="AB226" s="3" t="str">
        <f>IF(C_Ope_002[[#This Row],[FECHA]]&gt;0,TEXT(C_Ope_002[[#This Row],[FECHA]],"mmmm"),0)</f>
        <v>Julio</v>
      </c>
    </row>
    <row r="227" spans="2:28" x14ac:dyDescent="0.3">
      <c r="B227" s="2">
        <f>IF(C_Ope_002[[#This Row],[TIPO DE R.]]="R",COUNTIFS($D$4:$D226,"R")+1,"")</f>
        <v>223</v>
      </c>
      <c r="C227" s="19" t="str">
        <f t="shared" si="21"/>
        <v>C_Ope_002</v>
      </c>
      <c r="D227" s="3" t="s">
        <v>1074</v>
      </c>
      <c r="E227" s="14">
        <v>45842</v>
      </c>
      <c r="F227" s="5" t="s">
        <v>6746</v>
      </c>
      <c r="G227" s="5" t="s">
        <v>1079</v>
      </c>
      <c r="H227" s="6" t="s">
        <v>919</v>
      </c>
      <c r="I227" s="6" t="s">
        <v>14</v>
      </c>
      <c r="J227" s="6" t="s">
        <v>5245</v>
      </c>
      <c r="K227" s="6">
        <v>1796430</v>
      </c>
      <c r="L227" s="7" t="s">
        <v>6844</v>
      </c>
      <c r="M227" s="8">
        <v>24806</v>
      </c>
      <c r="N227" s="8" t="str">
        <f t="shared" si="22"/>
        <v>PEN</v>
      </c>
      <c r="O227" s="13"/>
      <c r="P227" s="13">
        <v>8</v>
      </c>
      <c r="Q227" s="3">
        <f t="shared" si="17"/>
        <v>0</v>
      </c>
      <c r="R227" s="3">
        <f t="shared" si="18"/>
        <v>8</v>
      </c>
      <c r="S227" s="3">
        <f t="shared" si="19"/>
        <v>197.70000000000005</v>
      </c>
      <c r="T227" s="24" t="s">
        <v>1081</v>
      </c>
      <c r="U227" s="24"/>
      <c r="V227" s="3"/>
      <c r="W227" s="25" t="s">
        <v>6630</v>
      </c>
      <c r="X227" s="25">
        <v>20517252558</v>
      </c>
      <c r="Y227" s="25" t="str">
        <f>IFERROR(VLOOKUP(C_Ope_002[[#This Row],[NOTA 2]],Clientes_Proveedores[[Ruc / Dni]:[Razon Social]],2,0),"")</f>
        <v>COVISUR S.A.</v>
      </c>
      <c r="Z227" s="25"/>
      <c r="AA227" s="25"/>
      <c r="AB227" s="3" t="str">
        <f>IF(C_Ope_002[[#This Row],[FECHA]]&gt;0,TEXT(C_Ope_002[[#This Row],[FECHA]],"mmmm"),0)</f>
        <v>Julio</v>
      </c>
    </row>
    <row r="228" spans="2:28" ht="36" x14ac:dyDescent="0.3">
      <c r="B228" s="2">
        <f>IF(C_Ope_002[[#This Row],[TIPO DE R.]]="R",COUNTIFS($D$4:$D227,"R")+1,"")</f>
        <v>224</v>
      </c>
      <c r="C228" s="19" t="str">
        <f>"C_Ope_002"</f>
        <v>C_Ope_002</v>
      </c>
      <c r="D228" s="3" t="s">
        <v>1074</v>
      </c>
      <c r="E228" s="14">
        <v>45842</v>
      </c>
      <c r="F228" s="5" t="s">
        <v>6746</v>
      </c>
      <c r="G228" s="5" t="s">
        <v>1079</v>
      </c>
      <c r="H228" s="6" t="s">
        <v>170</v>
      </c>
      <c r="I228" s="6" t="s">
        <v>14</v>
      </c>
      <c r="J228" s="6" t="s">
        <v>1148</v>
      </c>
      <c r="K228" s="6">
        <v>133813</v>
      </c>
      <c r="L228" s="7" t="s">
        <v>6847</v>
      </c>
      <c r="M228" s="8">
        <v>24807</v>
      </c>
      <c r="N228" s="8" t="str">
        <f>"PEN"</f>
        <v>PEN</v>
      </c>
      <c r="O228" s="13"/>
      <c r="P228" s="13">
        <v>10</v>
      </c>
      <c r="Q228" s="3">
        <f t="shared" si="17"/>
        <v>0</v>
      </c>
      <c r="R228" s="3">
        <f t="shared" si="18"/>
        <v>10</v>
      </c>
      <c r="S228" s="3">
        <f t="shared" si="19"/>
        <v>187.70000000000005</v>
      </c>
      <c r="T228" s="24" t="s">
        <v>1081</v>
      </c>
      <c r="U228" s="24"/>
      <c r="V228" s="3"/>
      <c r="W228" s="25" t="s">
        <v>6630</v>
      </c>
      <c r="X228" s="25">
        <v>20124952850</v>
      </c>
      <c r="Y228" s="25" t="str">
        <f>IFERROR(VLOOKUP(C_Ope_002[[#This Row],[NOTA 2]],Clientes_Proveedores[[Ruc / Dni]:[Razon Social]],2,0),"")</f>
        <v>ALIMENTOS Y SERVICIOS AGROPECUARIOS SRL.</v>
      </c>
      <c r="Z228" s="25"/>
      <c r="AA228" s="25"/>
      <c r="AB228" s="3" t="str">
        <f>IF(C_Ope_002[[#This Row],[FECHA]]&gt;0,TEXT(C_Ope_002[[#This Row],[FECHA]],"mmmm"),0)</f>
        <v>Julio</v>
      </c>
    </row>
    <row r="229" spans="2:28" x14ac:dyDescent="0.3">
      <c r="B229" s="2">
        <f>IF(C_Ope_002[[#This Row],[TIPO DE R.]]="R",COUNTIFS($D$4:$D228,"R")+1,"")</f>
        <v>225</v>
      </c>
      <c r="C229" s="19" t="str">
        <f t="shared" ref="C229:C239" si="23">"C_Ope_002"</f>
        <v>C_Ope_002</v>
      </c>
      <c r="D229" s="3" t="s">
        <v>1074</v>
      </c>
      <c r="E229" s="14">
        <v>45845</v>
      </c>
      <c r="F229" s="5" t="s">
        <v>6746</v>
      </c>
      <c r="G229" s="5" t="s">
        <v>1079</v>
      </c>
      <c r="H229" s="6" t="s">
        <v>919</v>
      </c>
      <c r="I229" s="6" t="s">
        <v>14</v>
      </c>
      <c r="J229" s="6" t="s">
        <v>5245</v>
      </c>
      <c r="K229" s="6">
        <v>1798353</v>
      </c>
      <c r="L229" s="7" t="s">
        <v>6848</v>
      </c>
      <c r="M229" s="8">
        <v>24856</v>
      </c>
      <c r="N229" s="8" t="str">
        <f t="shared" ref="N229:N239" si="24">"PEN"</f>
        <v>PEN</v>
      </c>
      <c r="O229" s="13"/>
      <c r="P229" s="13">
        <v>8</v>
      </c>
      <c r="Q229" s="3">
        <f t="shared" si="17"/>
        <v>0</v>
      </c>
      <c r="R229" s="3">
        <f t="shared" si="18"/>
        <v>8</v>
      </c>
      <c r="S229" s="3">
        <f t="shared" si="19"/>
        <v>179.70000000000005</v>
      </c>
      <c r="T229" s="24" t="s">
        <v>1081</v>
      </c>
      <c r="U229" s="24"/>
      <c r="V229" s="3"/>
      <c r="W229" s="25" t="s">
        <v>6630</v>
      </c>
      <c r="X229" s="25">
        <v>20517252558</v>
      </c>
      <c r="Y229" s="25" t="str">
        <f>IFERROR(VLOOKUP(C_Ope_002[[#This Row],[NOTA 2]],Clientes_Proveedores[[Ruc / Dni]:[Razon Social]],2,0),"")</f>
        <v>COVISUR S.A.</v>
      </c>
      <c r="Z229" s="25"/>
      <c r="AA229" s="25"/>
      <c r="AB229" s="3" t="str">
        <f>IF(C_Ope_002[[#This Row],[FECHA]]&gt;0,TEXT(C_Ope_002[[#This Row],[FECHA]],"mmmm"),0)</f>
        <v>Julio</v>
      </c>
    </row>
    <row r="230" spans="2:28" x14ac:dyDescent="0.3">
      <c r="B230" s="2">
        <f>IF(C_Ope_002[[#This Row],[TIPO DE R.]]="R",COUNTIFS($D$4:$D229,"R")+1,"")</f>
        <v>226</v>
      </c>
      <c r="C230" s="19" t="str">
        <f t="shared" si="23"/>
        <v>C_Ope_002</v>
      </c>
      <c r="D230" s="3" t="s">
        <v>1074</v>
      </c>
      <c r="E230" s="14">
        <v>45845</v>
      </c>
      <c r="F230" s="5" t="s">
        <v>6746</v>
      </c>
      <c r="G230" s="5" t="s">
        <v>1079</v>
      </c>
      <c r="H230" s="6" t="s">
        <v>919</v>
      </c>
      <c r="I230" s="6" t="s">
        <v>14</v>
      </c>
      <c r="J230" s="6" t="s">
        <v>5244</v>
      </c>
      <c r="K230" s="6">
        <v>1778329</v>
      </c>
      <c r="L230" s="7" t="s">
        <v>6848</v>
      </c>
      <c r="M230" s="8">
        <v>24857</v>
      </c>
      <c r="N230" s="8" t="str">
        <f t="shared" si="24"/>
        <v>PEN</v>
      </c>
      <c r="O230" s="13"/>
      <c r="P230" s="13">
        <v>8</v>
      </c>
      <c r="Q230" s="3">
        <f t="shared" si="17"/>
        <v>0</v>
      </c>
      <c r="R230" s="3">
        <f t="shared" si="18"/>
        <v>8</v>
      </c>
      <c r="S230" s="3">
        <f t="shared" si="19"/>
        <v>171.70000000000005</v>
      </c>
      <c r="T230" s="24" t="s">
        <v>1081</v>
      </c>
      <c r="U230" s="24"/>
      <c r="V230" s="3"/>
      <c r="W230" s="25" t="s">
        <v>6630</v>
      </c>
      <c r="X230" s="25">
        <v>20517252558</v>
      </c>
      <c r="Y230" s="25" t="str">
        <f>IFERROR(VLOOKUP(C_Ope_002[[#This Row],[NOTA 2]],Clientes_Proveedores[[Ruc / Dni]:[Razon Social]],2,0),"")</f>
        <v>COVISUR S.A.</v>
      </c>
      <c r="Z230" s="25"/>
      <c r="AA230" s="25"/>
      <c r="AB230" s="3" t="str">
        <f>IF(C_Ope_002[[#This Row],[FECHA]]&gt;0,TEXT(C_Ope_002[[#This Row],[FECHA]],"mmmm"),0)</f>
        <v>Julio</v>
      </c>
    </row>
    <row r="231" spans="2:28" ht="24" x14ac:dyDescent="0.3">
      <c r="B231" s="2">
        <f>IF(C_Ope_002[[#This Row],[TIPO DE R.]]="R",COUNTIFS($D$4:$D230,"R")+1,"")</f>
        <v>227</v>
      </c>
      <c r="C231" s="19" t="str">
        <f t="shared" si="23"/>
        <v>C_Ope_002</v>
      </c>
      <c r="D231" s="3" t="s">
        <v>1074</v>
      </c>
      <c r="E231" s="14">
        <v>45846</v>
      </c>
      <c r="F231" s="5" t="s">
        <v>6746</v>
      </c>
      <c r="G231" s="5" t="s">
        <v>1079</v>
      </c>
      <c r="H231" s="6" t="s">
        <v>919</v>
      </c>
      <c r="I231" s="6" t="s">
        <v>14</v>
      </c>
      <c r="J231" s="6" t="s">
        <v>5242</v>
      </c>
      <c r="K231" s="6">
        <v>2105666</v>
      </c>
      <c r="L231" s="7" t="s">
        <v>6849</v>
      </c>
      <c r="M231" s="8">
        <v>24858</v>
      </c>
      <c r="N231" s="8" t="str">
        <f t="shared" si="24"/>
        <v>PEN</v>
      </c>
      <c r="O231" s="13"/>
      <c r="P231" s="13">
        <v>8</v>
      </c>
      <c r="Q231" s="3">
        <f t="shared" si="17"/>
        <v>0</v>
      </c>
      <c r="R231" s="3">
        <f t="shared" si="18"/>
        <v>8</v>
      </c>
      <c r="S231" s="3">
        <f t="shared" si="19"/>
        <v>163.70000000000005</v>
      </c>
      <c r="T231" s="24" t="s">
        <v>1081</v>
      </c>
      <c r="U231" s="24"/>
      <c r="V231" s="3"/>
      <c r="W231" s="25" t="s">
        <v>6630</v>
      </c>
      <c r="X231" s="25">
        <v>20517252558</v>
      </c>
      <c r="Y231" s="25" t="str">
        <f>IFERROR(VLOOKUP(C_Ope_002[[#This Row],[NOTA 2]],Clientes_Proveedores[[Ruc / Dni]:[Razon Social]],2,0),"")</f>
        <v>COVISUR S.A.</v>
      </c>
      <c r="Z231" s="25"/>
      <c r="AA231" s="25"/>
      <c r="AB231" s="3" t="str">
        <f>IF(C_Ope_002[[#This Row],[FECHA]]&gt;0,TEXT(C_Ope_002[[#This Row],[FECHA]],"mmmm"),0)</f>
        <v>Julio</v>
      </c>
    </row>
    <row r="232" spans="2:28" ht="24" x14ac:dyDescent="0.3">
      <c r="B232" s="2">
        <f>IF(C_Ope_002[[#This Row],[TIPO DE R.]]="R",COUNTIFS($D$4:$D231,"R")+1,"")</f>
        <v>228</v>
      </c>
      <c r="C232" s="19" t="str">
        <f t="shared" si="23"/>
        <v>C_Ope_002</v>
      </c>
      <c r="D232" s="3" t="s">
        <v>1074</v>
      </c>
      <c r="E232" s="14">
        <v>45846</v>
      </c>
      <c r="F232" s="5" t="s">
        <v>6746</v>
      </c>
      <c r="G232" s="5" t="s">
        <v>1079</v>
      </c>
      <c r="H232" s="6" t="s">
        <v>919</v>
      </c>
      <c r="I232" s="6" t="s">
        <v>14</v>
      </c>
      <c r="J232" s="6" t="s">
        <v>5244</v>
      </c>
      <c r="K232" s="6">
        <v>1779251</v>
      </c>
      <c r="L232" s="7" t="s">
        <v>6850</v>
      </c>
      <c r="M232" s="8">
        <v>24859</v>
      </c>
      <c r="N232" s="8" t="str">
        <f t="shared" si="24"/>
        <v>PEN</v>
      </c>
      <c r="O232" s="13"/>
      <c r="P232" s="13">
        <v>8</v>
      </c>
      <c r="Q232" s="3">
        <f t="shared" si="17"/>
        <v>0</v>
      </c>
      <c r="R232" s="3">
        <f t="shared" si="18"/>
        <v>8</v>
      </c>
      <c r="S232" s="3">
        <f t="shared" si="19"/>
        <v>155.70000000000005</v>
      </c>
      <c r="T232" s="24" t="s">
        <v>1081</v>
      </c>
      <c r="U232" s="24"/>
      <c r="V232" s="3"/>
      <c r="W232" s="25" t="s">
        <v>6630</v>
      </c>
      <c r="X232" s="25">
        <v>20517252558</v>
      </c>
      <c r="Y232" s="25" t="str">
        <f>IFERROR(VLOOKUP(C_Ope_002[[#This Row],[NOTA 2]],Clientes_Proveedores[[Ruc / Dni]:[Razon Social]],2,0),"")</f>
        <v>COVISUR S.A.</v>
      </c>
      <c r="Z232" s="25"/>
      <c r="AA232" s="25"/>
      <c r="AB232" s="3" t="str">
        <f>IF(C_Ope_002[[#This Row],[FECHA]]&gt;0,TEXT(C_Ope_002[[#This Row],[FECHA]],"mmmm"),0)</f>
        <v>Julio</v>
      </c>
    </row>
    <row r="233" spans="2:28" x14ac:dyDescent="0.3">
      <c r="B233" s="2">
        <f>IF(C_Ope_002[[#This Row],[TIPO DE R.]]="R",COUNTIFS($D$4:$D232,"R")+1,"")</f>
        <v>229</v>
      </c>
      <c r="C233" s="19" t="str">
        <f t="shared" si="23"/>
        <v>C_Ope_002</v>
      </c>
      <c r="D233" s="3" t="s">
        <v>1074</v>
      </c>
      <c r="E233" s="14">
        <v>45847</v>
      </c>
      <c r="F233" s="5" t="s">
        <v>6746</v>
      </c>
      <c r="G233" s="5" t="s">
        <v>1079</v>
      </c>
      <c r="H233" s="6" t="s">
        <v>919</v>
      </c>
      <c r="I233" s="6" t="s">
        <v>14</v>
      </c>
      <c r="J233" s="6" t="s">
        <v>5242</v>
      </c>
      <c r="K233" s="6">
        <v>2106483</v>
      </c>
      <c r="L233" s="7" t="s">
        <v>6848</v>
      </c>
      <c r="M233" s="8">
        <v>24860</v>
      </c>
      <c r="N233" s="8" t="str">
        <f t="shared" si="24"/>
        <v>PEN</v>
      </c>
      <c r="O233" s="13"/>
      <c r="P233" s="13">
        <v>8</v>
      </c>
      <c r="Q233" s="3">
        <f t="shared" si="17"/>
        <v>0</v>
      </c>
      <c r="R233" s="3">
        <f t="shared" si="18"/>
        <v>8</v>
      </c>
      <c r="S233" s="3">
        <f t="shared" si="19"/>
        <v>147.70000000000005</v>
      </c>
      <c r="T233" s="24" t="s">
        <v>1081</v>
      </c>
      <c r="U233" s="24"/>
      <c r="V233" s="3"/>
      <c r="W233" s="25" t="s">
        <v>6630</v>
      </c>
      <c r="X233" s="25">
        <v>20517252558</v>
      </c>
      <c r="Y233" s="25" t="str">
        <f>IFERROR(VLOOKUP(C_Ope_002[[#This Row],[NOTA 2]],Clientes_Proveedores[[Ruc / Dni]:[Razon Social]],2,0),"")</f>
        <v>COVISUR S.A.</v>
      </c>
      <c r="Z233" s="25"/>
      <c r="AA233" s="25"/>
      <c r="AB233" s="3" t="str">
        <f>IF(C_Ope_002[[#This Row],[FECHA]]&gt;0,TEXT(C_Ope_002[[#This Row],[FECHA]],"mmmm"),0)</f>
        <v>Julio</v>
      </c>
    </row>
    <row r="234" spans="2:28" ht="24" x14ac:dyDescent="0.3">
      <c r="B234" s="2">
        <f>IF(C_Ope_002[[#This Row],[TIPO DE R.]]="R",COUNTIFS($D$4:$D233,"R")+1,"")</f>
        <v>230</v>
      </c>
      <c r="C234" s="19" t="str">
        <f t="shared" si="23"/>
        <v>C_Ope_002</v>
      </c>
      <c r="D234" s="3" t="s">
        <v>1074</v>
      </c>
      <c r="E234" s="14">
        <v>45847</v>
      </c>
      <c r="F234" s="5" t="s">
        <v>6746</v>
      </c>
      <c r="G234" s="5" t="s">
        <v>1079</v>
      </c>
      <c r="H234" s="6" t="s">
        <v>919</v>
      </c>
      <c r="I234" s="6" t="s">
        <v>14</v>
      </c>
      <c r="J234" s="6" t="s">
        <v>5243</v>
      </c>
      <c r="K234" s="6">
        <v>2392943</v>
      </c>
      <c r="L234" s="7" t="s">
        <v>6850</v>
      </c>
      <c r="M234" s="8">
        <v>24861</v>
      </c>
      <c r="N234" s="8" t="str">
        <f t="shared" si="24"/>
        <v>PEN</v>
      </c>
      <c r="O234" s="13"/>
      <c r="P234" s="13">
        <v>8</v>
      </c>
      <c r="Q234" s="3">
        <f t="shared" si="17"/>
        <v>0</v>
      </c>
      <c r="R234" s="3">
        <f t="shared" si="18"/>
        <v>8</v>
      </c>
      <c r="S234" s="3">
        <f t="shared" si="19"/>
        <v>139.70000000000005</v>
      </c>
      <c r="T234" s="24" t="s">
        <v>1081</v>
      </c>
      <c r="U234" s="24"/>
      <c r="V234" s="3"/>
      <c r="W234" s="25" t="s">
        <v>6630</v>
      </c>
      <c r="X234" s="25">
        <v>20517252558</v>
      </c>
      <c r="Y234" s="25" t="str">
        <f>IFERROR(VLOOKUP(C_Ope_002[[#This Row],[NOTA 2]],Clientes_Proveedores[[Ruc / Dni]:[Razon Social]],2,0),"")</f>
        <v>COVISUR S.A.</v>
      </c>
      <c r="Z234" s="25"/>
      <c r="AA234" s="25"/>
      <c r="AB234" s="3" t="str">
        <f>IF(C_Ope_002[[#This Row],[FECHA]]&gt;0,TEXT(C_Ope_002[[#This Row],[FECHA]],"mmmm"),0)</f>
        <v>Julio</v>
      </c>
    </row>
    <row r="235" spans="2:28" ht="24" x14ac:dyDescent="0.3">
      <c r="B235" s="2">
        <f>IF(C_Ope_002[[#This Row],[TIPO DE R.]]="R",COUNTIFS($D$4:$D234,"R")+1,"")</f>
        <v>231</v>
      </c>
      <c r="C235" s="19" t="str">
        <f t="shared" si="23"/>
        <v>C_Ope_002</v>
      </c>
      <c r="D235" s="3" t="s">
        <v>1074</v>
      </c>
      <c r="E235" s="14">
        <v>45848</v>
      </c>
      <c r="F235" s="5" t="s">
        <v>6746</v>
      </c>
      <c r="G235" s="5" t="s">
        <v>1079</v>
      </c>
      <c r="H235" s="6" t="s">
        <v>919</v>
      </c>
      <c r="I235" s="6" t="s">
        <v>14</v>
      </c>
      <c r="J235" s="6" t="s">
        <v>5242</v>
      </c>
      <c r="K235" s="6">
        <v>2107338</v>
      </c>
      <c r="L235" s="7" t="s">
        <v>6851</v>
      </c>
      <c r="M235" s="8">
        <v>24862</v>
      </c>
      <c r="N235" s="8" t="str">
        <f t="shared" si="24"/>
        <v>PEN</v>
      </c>
      <c r="O235" s="13"/>
      <c r="P235" s="13">
        <v>8</v>
      </c>
      <c r="Q235" s="3">
        <f t="shared" si="17"/>
        <v>0</v>
      </c>
      <c r="R235" s="3">
        <f t="shared" si="18"/>
        <v>8</v>
      </c>
      <c r="S235" s="3">
        <f t="shared" si="19"/>
        <v>131.70000000000005</v>
      </c>
      <c r="T235" s="24" t="s">
        <v>1081</v>
      </c>
      <c r="U235" s="24"/>
      <c r="V235" s="3"/>
      <c r="W235" s="25" t="s">
        <v>6541</v>
      </c>
      <c r="X235" s="25">
        <v>20517252558</v>
      </c>
      <c r="Y235" s="25" t="str">
        <f>IFERROR(VLOOKUP(C_Ope_002[[#This Row],[NOTA 2]],Clientes_Proveedores[[Ruc / Dni]:[Razon Social]],2,0),"")</f>
        <v>COVISUR S.A.</v>
      </c>
      <c r="Z235" s="25"/>
      <c r="AA235" s="25"/>
      <c r="AB235" s="3" t="str">
        <f>IF(C_Ope_002[[#This Row],[FECHA]]&gt;0,TEXT(C_Ope_002[[#This Row],[FECHA]],"mmmm"),0)</f>
        <v>Julio</v>
      </c>
    </row>
    <row r="236" spans="2:28" ht="24" x14ac:dyDescent="0.3">
      <c r="B236" s="2">
        <f>IF(C_Ope_002[[#This Row],[TIPO DE R.]]="R",COUNTIFS($D$4:$D235,"R")+1,"")</f>
        <v>232</v>
      </c>
      <c r="C236" s="19" t="str">
        <f t="shared" si="23"/>
        <v>C_Ope_002</v>
      </c>
      <c r="D236" s="3" t="s">
        <v>1074</v>
      </c>
      <c r="E236" s="14">
        <v>45848</v>
      </c>
      <c r="F236" s="5" t="s">
        <v>6746</v>
      </c>
      <c r="G236" s="5" t="s">
        <v>1079</v>
      </c>
      <c r="H236" s="6" t="s">
        <v>919</v>
      </c>
      <c r="I236" s="6" t="s">
        <v>14</v>
      </c>
      <c r="J236" s="6" t="s">
        <v>5280</v>
      </c>
      <c r="K236" s="6">
        <v>1087675</v>
      </c>
      <c r="L236" s="7" t="s">
        <v>6852</v>
      </c>
      <c r="M236" s="8">
        <v>24863</v>
      </c>
      <c r="N236" s="8" t="str">
        <f t="shared" si="24"/>
        <v>PEN</v>
      </c>
      <c r="O236" s="13"/>
      <c r="P236" s="13">
        <v>8</v>
      </c>
      <c r="Q236" s="3">
        <f t="shared" si="17"/>
        <v>0</v>
      </c>
      <c r="R236" s="3">
        <f t="shared" si="18"/>
        <v>8</v>
      </c>
      <c r="S236" s="3">
        <f t="shared" si="19"/>
        <v>123.70000000000005</v>
      </c>
      <c r="T236" s="24" t="s">
        <v>1081</v>
      </c>
      <c r="U236" s="24"/>
      <c r="V236" s="3"/>
      <c r="W236" s="25" t="s">
        <v>6541</v>
      </c>
      <c r="X236" s="25">
        <v>20517252558</v>
      </c>
      <c r="Y236" s="25" t="str">
        <f>IFERROR(VLOOKUP(C_Ope_002[[#This Row],[NOTA 2]],Clientes_Proveedores[[Ruc / Dni]:[Razon Social]],2,0),"")</f>
        <v>COVISUR S.A.</v>
      </c>
      <c r="Z236" s="25"/>
      <c r="AA236" s="25"/>
      <c r="AB236" s="3" t="str">
        <f>IF(C_Ope_002[[#This Row],[FECHA]]&gt;0,TEXT(C_Ope_002[[#This Row],[FECHA]],"mmmm"),0)</f>
        <v>Julio</v>
      </c>
    </row>
    <row r="237" spans="2:28" ht="24" x14ac:dyDescent="0.3">
      <c r="B237" s="2">
        <f>IF(C_Ope_002[[#This Row],[TIPO DE R.]]="R",COUNTIFS($D$4:$D236,"R")+1,"")</f>
        <v>233</v>
      </c>
      <c r="C237" s="19" t="str">
        <f t="shared" si="23"/>
        <v>C_Ope_002</v>
      </c>
      <c r="D237" s="3" t="s">
        <v>1074</v>
      </c>
      <c r="E237" s="14">
        <v>45848</v>
      </c>
      <c r="F237" s="5" t="s">
        <v>6746</v>
      </c>
      <c r="G237" s="5" t="s">
        <v>1079</v>
      </c>
      <c r="H237" s="6" t="s">
        <v>919</v>
      </c>
      <c r="I237" s="6" t="s">
        <v>14</v>
      </c>
      <c r="J237" s="6" t="s">
        <v>5244</v>
      </c>
      <c r="K237" s="6">
        <v>1780588</v>
      </c>
      <c r="L237" s="7" t="s">
        <v>6851</v>
      </c>
      <c r="M237" s="8">
        <v>24864</v>
      </c>
      <c r="N237" s="8" t="str">
        <f t="shared" si="24"/>
        <v>PEN</v>
      </c>
      <c r="O237" s="13"/>
      <c r="P237" s="13">
        <v>8</v>
      </c>
      <c r="Q237" s="3">
        <f t="shared" si="17"/>
        <v>0</v>
      </c>
      <c r="R237" s="3">
        <f t="shared" si="18"/>
        <v>8</v>
      </c>
      <c r="S237" s="3">
        <f t="shared" si="19"/>
        <v>115.70000000000005</v>
      </c>
      <c r="T237" s="24" t="s">
        <v>1081</v>
      </c>
      <c r="U237" s="24"/>
      <c r="V237" s="3"/>
      <c r="W237" s="25" t="s">
        <v>6541</v>
      </c>
      <c r="X237" s="25">
        <v>20517252558</v>
      </c>
      <c r="Y237" s="25" t="str">
        <f>IFERROR(VLOOKUP(C_Ope_002[[#This Row],[NOTA 2]],Clientes_Proveedores[[Ruc / Dni]:[Razon Social]],2,0),"")</f>
        <v>COVISUR S.A.</v>
      </c>
      <c r="Z237" s="25"/>
      <c r="AA237" s="25"/>
      <c r="AB237" s="3" t="str">
        <f>IF(C_Ope_002[[#This Row],[FECHA]]&gt;0,TEXT(C_Ope_002[[#This Row],[FECHA]],"mmmm"),0)</f>
        <v>Julio</v>
      </c>
    </row>
    <row r="238" spans="2:28" ht="24" x14ac:dyDescent="0.3">
      <c r="B238" s="2">
        <f>IF(C_Ope_002[[#This Row],[TIPO DE R.]]="R",COUNTIFS($D$4:$D237,"R")+1,"")</f>
        <v>234</v>
      </c>
      <c r="C238" s="19" t="str">
        <f t="shared" si="23"/>
        <v>C_Ope_002</v>
      </c>
      <c r="D238" s="3" t="s">
        <v>1074</v>
      </c>
      <c r="E238" s="14">
        <v>45848</v>
      </c>
      <c r="F238" s="5" t="s">
        <v>6746</v>
      </c>
      <c r="G238" s="5" t="s">
        <v>1079</v>
      </c>
      <c r="H238" s="6" t="s">
        <v>919</v>
      </c>
      <c r="I238" s="6" t="s">
        <v>14</v>
      </c>
      <c r="J238" s="6" t="s">
        <v>5281</v>
      </c>
      <c r="K238" s="6">
        <v>995172</v>
      </c>
      <c r="L238" s="7" t="s">
        <v>6851</v>
      </c>
      <c r="M238" s="8">
        <v>24865</v>
      </c>
      <c r="N238" s="8" t="str">
        <f t="shared" si="24"/>
        <v>PEN</v>
      </c>
      <c r="O238" s="13"/>
      <c r="P238" s="13">
        <v>8</v>
      </c>
      <c r="Q238" s="3">
        <f t="shared" si="17"/>
        <v>0</v>
      </c>
      <c r="R238" s="3">
        <f t="shared" si="18"/>
        <v>8</v>
      </c>
      <c r="S238" s="3">
        <f t="shared" si="19"/>
        <v>107.70000000000005</v>
      </c>
      <c r="T238" s="24" t="s">
        <v>1081</v>
      </c>
      <c r="U238" s="24"/>
      <c r="V238" s="3"/>
      <c r="W238" s="25" t="s">
        <v>6541</v>
      </c>
      <c r="X238" s="25">
        <v>20517252558</v>
      </c>
      <c r="Y238" s="25" t="str">
        <f>IFERROR(VLOOKUP(C_Ope_002[[#This Row],[NOTA 2]],Clientes_Proveedores[[Ruc / Dni]:[Razon Social]],2,0),"")</f>
        <v>COVISUR S.A.</v>
      </c>
      <c r="Z238" s="25"/>
      <c r="AA238" s="25"/>
      <c r="AB238" s="3" t="str">
        <f>IF(C_Ope_002[[#This Row],[FECHA]]&gt;0,TEXT(C_Ope_002[[#This Row],[FECHA]],"mmmm"),0)</f>
        <v>Julio</v>
      </c>
    </row>
    <row r="239" spans="2:28" x14ac:dyDescent="0.3">
      <c r="B239" s="2">
        <f>IF(C_Ope_002[[#This Row],[TIPO DE R.]]="R",COUNTIFS($D$4:$D238,"R")+1,"")</f>
        <v>235</v>
      </c>
      <c r="C239" s="19" t="str">
        <f t="shared" si="23"/>
        <v>C_Ope_002</v>
      </c>
      <c r="D239" s="3" t="s">
        <v>1074</v>
      </c>
      <c r="E239" s="14">
        <v>45849</v>
      </c>
      <c r="F239" s="5" t="s">
        <v>6746</v>
      </c>
      <c r="G239" s="5" t="s">
        <v>1079</v>
      </c>
      <c r="H239" s="6" t="s">
        <v>919</v>
      </c>
      <c r="I239" s="6" t="s">
        <v>14</v>
      </c>
      <c r="J239" s="6" t="s">
        <v>5245</v>
      </c>
      <c r="K239" s="6">
        <v>1801089</v>
      </c>
      <c r="L239" s="7" t="s">
        <v>6848</v>
      </c>
      <c r="M239" s="8">
        <v>24880</v>
      </c>
      <c r="N239" s="8" t="str">
        <f t="shared" si="24"/>
        <v>PEN</v>
      </c>
      <c r="O239" s="13"/>
      <c r="P239" s="13">
        <v>8</v>
      </c>
      <c r="Q239" s="3">
        <f t="shared" si="17"/>
        <v>0</v>
      </c>
      <c r="R239" s="3">
        <f t="shared" si="18"/>
        <v>8</v>
      </c>
      <c r="S239" s="3">
        <f t="shared" si="19"/>
        <v>99.700000000000045</v>
      </c>
      <c r="T239" s="24" t="s">
        <v>1081</v>
      </c>
      <c r="U239" s="24"/>
      <c r="V239" s="3"/>
      <c r="W239" s="25" t="s">
        <v>6630</v>
      </c>
      <c r="X239" s="25">
        <v>20517252558</v>
      </c>
      <c r="Y239" s="25" t="str">
        <f>IFERROR(VLOOKUP(C_Ope_002[[#This Row],[NOTA 2]],Clientes_Proveedores[[Ruc / Dni]:[Razon Social]],2,0),"")</f>
        <v>COVISUR S.A.</v>
      </c>
      <c r="Z239" s="25"/>
      <c r="AA239" s="25"/>
      <c r="AB239" s="3" t="str">
        <f>IF(C_Ope_002[[#This Row],[FECHA]]&gt;0,TEXT(C_Ope_002[[#This Row],[FECHA]],"mmmm"),0)</f>
        <v>Julio</v>
      </c>
    </row>
    <row r="240" spans="2:28" x14ac:dyDescent="0.3">
      <c r="B240" s="2">
        <f>IF(C_Ope_002[[#This Row],[TIPO DE R.]]="R",COUNTIFS($D$4:$D239,"R")+1,"")</f>
        <v>236</v>
      </c>
      <c r="C240" s="19" t="str">
        <f t="shared" ref="C240:C255" si="25">"C_Ope_002"</f>
        <v>C_Ope_002</v>
      </c>
      <c r="D240" s="3" t="s">
        <v>1074</v>
      </c>
      <c r="E240" s="14">
        <v>45852</v>
      </c>
      <c r="F240" s="5" t="s">
        <v>6746</v>
      </c>
      <c r="G240" s="5" t="s">
        <v>1079</v>
      </c>
      <c r="H240" s="6" t="s">
        <v>919</v>
      </c>
      <c r="I240" s="6" t="s">
        <v>14</v>
      </c>
      <c r="J240" s="6" t="s">
        <v>5245</v>
      </c>
      <c r="K240" s="6">
        <v>1803483</v>
      </c>
      <c r="L240" s="7" t="s">
        <v>6848</v>
      </c>
      <c r="M240" s="8">
        <v>24900</v>
      </c>
      <c r="N240" s="8" t="str">
        <f t="shared" ref="N240:N255" si="26">"PEN"</f>
        <v>PEN</v>
      </c>
      <c r="O240" s="13"/>
      <c r="P240" s="13">
        <v>8</v>
      </c>
      <c r="Q240" s="3">
        <f t="shared" ref="Q240:Q255" si="27">+IF(OR($G240="SALDO",$G240="INGRESO"),$P240,0)</f>
        <v>0</v>
      </c>
      <c r="R240" s="3">
        <f t="shared" ref="R240:R255" si="28">+IF($G240="EGRESO",$P240,0)</f>
        <v>8</v>
      </c>
      <c r="S240" s="3">
        <f t="shared" si="19"/>
        <v>91.700000000000045</v>
      </c>
      <c r="T240" s="24" t="s">
        <v>1081</v>
      </c>
      <c r="U240" s="24"/>
      <c r="V240" s="3"/>
      <c r="W240" s="25" t="s">
        <v>6630</v>
      </c>
      <c r="X240" s="25">
        <v>20517252558</v>
      </c>
      <c r="Y240" s="25" t="str">
        <f>IFERROR(VLOOKUP(C_Ope_002[[#This Row],[NOTA 2]],Clientes_Proveedores[[Ruc / Dni]:[Razon Social]],2,0),"")</f>
        <v>COVISUR S.A.</v>
      </c>
      <c r="Z240" s="25" t="s">
        <v>6677</v>
      </c>
      <c r="AA240" s="25"/>
      <c r="AB240" s="3" t="str">
        <f>IF(C_Ope_002[[#This Row],[FECHA]]&gt;0,TEXT(C_Ope_002[[#This Row],[FECHA]],"mmmm"),0)</f>
        <v>Julio</v>
      </c>
    </row>
    <row r="241" spans="2:28" x14ac:dyDescent="0.3">
      <c r="B241" s="2">
        <f>IF(C_Ope_002[[#This Row],[TIPO DE R.]]="R",COUNTIFS($D$4:$D240,"R")+1,"")</f>
        <v>237</v>
      </c>
      <c r="C241" s="19" t="str">
        <f t="shared" si="25"/>
        <v>C_Ope_002</v>
      </c>
      <c r="D241" s="3" t="s">
        <v>1074</v>
      </c>
      <c r="E241" s="14">
        <v>45852</v>
      </c>
      <c r="F241" s="5" t="s">
        <v>6746</v>
      </c>
      <c r="G241" s="5" t="s">
        <v>1079</v>
      </c>
      <c r="H241" s="6" t="s">
        <v>919</v>
      </c>
      <c r="I241" s="6" t="s">
        <v>14</v>
      </c>
      <c r="J241" s="6" t="s">
        <v>5243</v>
      </c>
      <c r="K241" s="6">
        <v>2397280</v>
      </c>
      <c r="L241" s="7" t="s">
        <v>6848</v>
      </c>
      <c r="M241" s="8">
        <v>24901</v>
      </c>
      <c r="N241" s="8" t="str">
        <f t="shared" si="26"/>
        <v>PEN</v>
      </c>
      <c r="O241" s="13"/>
      <c r="P241" s="13">
        <v>8</v>
      </c>
      <c r="Q241" s="3">
        <f t="shared" si="27"/>
        <v>0</v>
      </c>
      <c r="R241" s="3">
        <f t="shared" si="28"/>
        <v>8</v>
      </c>
      <c r="S241" s="3">
        <f t="shared" si="19"/>
        <v>83.700000000000045</v>
      </c>
      <c r="T241" s="24" t="s">
        <v>1081</v>
      </c>
      <c r="U241" s="24"/>
      <c r="V241" s="3"/>
      <c r="W241" s="25" t="s">
        <v>6630</v>
      </c>
      <c r="X241" s="25">
        <v>20517252558</v>
      </c>
      <c r="Y241" s="25" t="str">
        <f>IFERROR(VLOOKUP(C_Ope_002[[#This Row],[NOTA 2]],Clientes_Proveedores[[Ruc / Dni]:[Razon Social]],2,0),"")</f>
        <v>COVISUR S.A.</v>
      </c>
      <c r="Z241" s="25" t="s">
        <v>6677</v>
      </c>
      <c r="AA241" s="25"/>
      <c r="AB241" s="3" t="str">
        <f>IF(C_Ope_002[[#This Row],[FECHA]]&gt;0,TEXT(C_Ope_002[[#This Row],[FECHA]],"mmmm"),0)</f>
        <v>Julio</v>
      </c>
    </row>
    <row r="242" spans="2:28" x14ac:dyDescent="0.3">
      <c r="B242" s="2">
        <f>IF(C_Ope_002[[#This Row],[TIPO DE R.]]="R",COUNTIFS($D$4:$D241,"R")+1,"")</f>
        <v>238</v>
      </c>
      <c r="C242" s="19" t="str">
        <f t="shared" si="25"/>
        <v>C_Ope_002</v>
      </c>
      <c r="D242" s="3" t="s">
        <v>1074</v>
      </c>
      <c r="E242" s="14">
        <v>45853</v>
      </c>
      <c r="F242" s="5" t="s">
        <v>6746</v>
      </c>
      <c r="G242" s="5" t="s">
        <v>1079</v>
      </c>
      <c r="H242" s="6" t="s">
        <v>919</v>
      </c>
      <c r="I242" s="6" t="s">
        <v>14</v>
      </c>
      <c r="J242" s="6" t="s">
        <v>5243</v>
      </c>
      <c r="K242" s="6">
        <v>2398509</v>
      </c>
      <c r="L242" s="7" t="s">
        <v>6853</v>
      </c>
      <c r="M242" s="8">
        <v>24902</v>
      </c>
      <c r="N242" s="8" t="str">
        <f t="shared" si="26"/>
        <v>PEN</v>
      </c>
      <c r="O242" s="13"/>
      <c r="P242" s="13">
        <v>8</v>
      </c>
      <c r="Q242" s="3">
        <f t="shared" si="27"/>
        <v>0</v>
      </c>
      <c r="R242" s="3">
        <f t="shared" si="28"/>
        <v>8</v>
      </c>
      <c r="S242" s="3">
        <f t="shared" si="19"/>
        <v>75.700000000000045</v>
      </c>
      <c r="T242" s="24" t="s">
        <v>1081</v>
      </c>
      <c r="U242" s="24"/>
      <c r="V242" s="3"/>
      <c r="W242" s="25" t="s">
        <v>6630</v>
      </c>
      <c r="X242" s="25">
        <v>20517252558</v>
      </c>
      <c r="Y242" s="25" t="str">
        <f>IFERROR(VLOOKUP(C_Ope_002[[#This Row],[NOTA 2]],Clientes_Proveedores[[Ruc / Dni]:[Razon Social]],2,0),"")</f>
        <v>COVISUR S.A.</v>
      </c>
      <c r="Z242" s="25" t="s">
        <v>6677</v>
      </c>
      <c r="AA242" s="25"/>
      <c r="AB242" s="3" t="str">
        <f>IF(C_Ope_002[[#This Row],[FECHA]]&gt;0,TEXT(C_Ope_002[[#This Row],[FECHA]],"mmmm"),0)</f>
        <v>Julio</v>
      </c>
    </row>
    <row r="243" spans="2:28" x14ac:dyDescent="0.3">
      <c r="B243" s="2">
        <f>IF(C_Ope_002[[#This Row],[TIPO DE R.]]="R",COUNTIFS($D$4:$D242,"R")+1,"")</f>
        <v>239</v>
      </c>
      <c r="C243" s="19" t="str">
        <f t="shared" si="25"/>
        <v>C_Ope_002</v>
      </c>
      <c r="D243" s="3" t="s">
        <v>1074</v>
      </c>
      <c r="E243" s="14">
        <v>45853</v>
      </c>
      <c r="F243" s="5" t="s">
        <v>6746</v>
      </c>
      <c r="G243" s="5" t="s">
        <v>1079</v>
      </c>
      <c r="H243" s="6" t="s">
        <v>919</v>
      </c>
      <c r="I243" s="6" t="s">
        <v>14</v>
      </c>
      <c r="J243" s="6" t="s">
        <v>5242</v>
      </c>
      <c r="K243" s="6">
        <v>2111741</v>
      </c>
      <c r="L243" s="7" t="s">
        <v>6854</v>
      </c>
      <c r="M243" s="8">
        <v>24903</v>
      </c>
      <c r="N243" s="8" t="str">
        <f t="shared" si="26"/>
        <v>PEN</v>
      </c>
      <c r="O243" s="13"/>
      <c r="P243" s="13">
        <v>8</v>
      </c>
      <c r="Q243" s="3">
        <f t="shared" si="27"/>
        <v>0</v>
      </c>
      <c r="R243" s="3">
        <f t="shared" si="28"/>
        <v>8</v>
      </c>
      <c r="S243" s="3">
        <f t="shared" si="19"/>
        <v>67.700000000000045</v>
      </c>
      <c r="T243" s="24" t="s">
        <v>1081</v>
      </c>
      <c r="U243" s="24"/>
      <c r="V243" s="3"/>
      <c r="W243" s="25" t="s">
        <v>6630</v>
      </c>
      <c r="X243" s="25">
        <v>20517252558</v>
      </c>
      <c r="Y243" s="25" t="str">
        <f>IFERROR(VLOOKUP(C_Ope_002[[#This Row],[NOTA 2]],Clientes_Proveedores[[Ruc / Dni]:[Razon Social]],2,0),"")</f>
        <v>COVISUR S.A.</v>
      </c>
      <c r="Z243" s="25" t="s">
        <v>6677</v>
      </c>
      <c r="AA243" s="25"/>
      <c r="AB243" s="3" t="str">
        <f>IF(C_Ope_002[[#This Row],[FECHA]]&gt;0,TEXT(C_Ope_002[[#This Row],[FECHA]],"mmmm"),0)</f>
        <v>Julio</v>
      </c>
    </row>
    <row r="244" spans="2:28" ht="36" x14ac:dyDescent="0.3">
      <c r="B244" s="2">
        <f>IF(C_Ope_002[[#This Row],[TIPO DE R.]]="R",COUNTIFS($D$4:$D243,"R")+1,"")</f>
        <v>240</v>
      </c>
      <c r="C244" s="19" t="str">
        <f t="shared" si="25"/>
        <v>C_Ope_002</v>
      </c>
      <c r="D244" s="3" t="s">
        <v>1074</v>
      </c>
      <c r="E244" s="14">
        <v>45853</v>
      </c>
      <c r="F244" s="5" t="s">
        <v>6746</v>
      </c>
      <c r="G244" s="5" t="s">
        <v>1079</v>
      </c>
      <c r="H244" s="6" t="s">
        <v>170</v>
      </c>
      <c r="I244" s="6" t="s">
        <v>14</v>
      </c>
      <c r="J244" s="6" t="s">
        <v>1148</v>
      </c>
      <c r="K244" s="6">
        <v>134173</v>
      </c>
      <c r="L244" s="7" t="s">
        <v>6855</v>
      </c>
      <c r="M244" s="8">
        <v>24904</v>
      </c>
      <c r="N244" s="8" t="str">
        <f t="shared" si="26"/>
        <v>PEN</v>
      </c>
      <c r="O244" s="13"/>
      <c r="P244" s="13">
        <v>10</v>
      </c>
      <c r="Q244" s="3">
        <f t="shared" si="27"/>
        <v>0</v>
      </c>
      <c r="R244" s="3">
        <f t="shared" si="28"/>
        <v>10</v>
      </c>
      <c r="S244" s="3">
        <f t="shared" si="19"/>
        <v>57.700000000000045</v>
      </c>
      <c r="T244" s="24" t="s">
        <v>1081</v>
      </c>
      <c r="U244" s="24"/>
      <c r="V244" s="3"/>
      <c r="W244" s="25" t="s">
        <v>6630</v>
      </c>
      <c r="X244" s="25">
        <v>20124952850</v>
      </c>
      <c r="Y244" s="25" t="str">
        <f>IFERROR(VLOOKUP(C_Ope_002[[#This Row],[NOTA 2]],Clientes_Proveedores[[Ruc / Dni]:[Razon Social]],2,0),"")</f>
        <v>ALIMENTOS Y SERVICIOS AGROPECUARIOS SRL.</v>
      </c>
      <c r="Z244" s="25" t="s">
        <v>4972</v>
      </c>
      <c r="AA244" s="25"/>
      <c r="AB244" s="3" t="str">
        <f>IF(C_Ope_002[[#This Row],[FECHA]]&gt;0,TEXT(C_Ope_002[[#This Row],[FECHA]],"mmmm"),0)</f>
        <v>Julio</v>
      </c>
    </row>
    <row r="245" spans="2:28" ht="36" x14ac:dyDescent="0.3">
      <c r="B245" s="2">
        <f>IF(C_Ope_002[[#This Row],[TIPO DE R.]]="R",COUNTIFS($D$4:$D244,"R")+1,"")</f>
        <v>241</v>
      </c>
      <c r="C245" s="19" t="str">
        <f t="shared" si="25"/>
        <v>C_Ope_002</v>
      </c>
      <c r="D245" s="3" t="s">
        <v>1074</v>
      </c>
      <c r="E245" s="14">
        <v>45853</v>
      </c>
      <c r="F245" s="5" t="s">
        <v>6746</v>
      </c>
      <c r="G245" s="5" t="s">
        <v>1079</v>
      </c>
      <c r="H245" s="6" t="s">
        <v>170</v>
      </c>
      <c r="I245" s="6" t="s">
        <v>14</v>
      </c>
      <c r="J245" s="6" t="s">
        <v>1148</v>
      </c>
      <c r="K245" s="6">
        <v>134205</v>
      </c>
      <c r="L245" s="7" t="s">
        <v>6855</v>
      </c>
      <c r="M245" s="8">
        <v>24905</v>
      </c>
      <c r="N245" s="8" t="str">
        <f t="shared" si="26"/>
        <v>PEN</v>
      </c>
      <c r="O245" s="13"/>
      <c r="P245" s="13">
        <v>10</v>
      </c>
      <c r="Q245" s="3">
        <f t="shared" si="27"/>
        <v>0</v>
      </c>
      <c r="R245" s="3">
        <f t="shared" si="28"/>
        <v>10</v>
      </c>
      <c r="S245" s="3">
        <f t="shared" si="19"/>
        <v>47.700000000000045</v>
      </c>
      <c r="T245" s="24" t="s">
        <v>1081</v>
      </c>
      <c r="U245" s="24"/>
      <c r="V245" s="3"/>
      <c r="W245" s="25" t="s">
        <v>6630</v>
      </c>
      <c r="X245" s="25">
        <v>20124952850</v>
      </c>
      <c r="Y245" s="25" t="str">
        <f>IFERROR(VLOOKUP(C_Ope_002[[#This Row],[NOTA 2]],Clientes_Proveedores[[Ruc / Dni]:[Razon Social]],2,0),"")</f>
        <v>ALIMENTOS Y SERVICIOS AGROPECUARIOS SRL.</v>
      </c>
      <c r="Z245" s="25" t="s">
        <v>4972</v>
      </c>
      <c r="AA245" s="25"/>
      <c r="AB245" s="3" t="str">
        <f>IF(C_Ope_002[[#This Row],[FECHA]]&gt;0,TEXT(C_Ope_002[[#This Row],[FECHA]],"mmmm"),0)</f>
        <v>Julio</v>
      </c>
    </row>
    <row r="246" spans="2:28" ht="36" x14ac:dyDescent="0.3">
      <c r="B246" s="2">
        <f>IF(C_Ope_002[[#This Row],[TIPO DE R.]]="R",COUNTIFS($D$4:$D245,"R")+1,"")</f>
        <v>242</v>
      </c>
      <c r="C246" s="19" t="str">
        <f t="shared" si="25"/>
        <v>C_Ope_002</v>
      </c>
      <c r="D246" s="3" t="s">
        <v>1074</v>
      </c>
      <c r="E246" s="14">
        <v>45854</v>
      </c>
      <c r="F246" s="5" t="s">
        <v>6746</v>
      </c>
      <c r="G246" s="5" t="s">
        <v>1079</v>
      </c>
      <c r="H246" s="6" t="s">
        <v>170</v>
      </c>
      <c r="I246" s="6" t="s">
        <v>14</v>
      </c>
      <c r="J246" s="6" t="s">
        <v>1148</v>
      </c>
      <c r="K246" s="6">
        <v>134222</v>
      </c>
      <c r="L246" s="7" t="s">
        <v>6856</v>
      </c>
      <c r="M246" s="8">
        <v>24906</v>
      </c>
      <c r="N246" s="8" t="str">
        <f t="shared" si="26"/>
        <v>PEN</v>
      </c>
      <c r="O246" s="13"/>
      <c r="P246" s="13">
        <v>10</v>
      </c>
      <c r="Q246" s="3">
        <f t="shared" si="27"/>
        <v>0</v>
      </c>
      <c r="R246" s="3">
        <f t="shared" si="28"/>
        <v>10</v>
      </c>
      <c r="S246" s="3">
        <f t="shared" si="19"/>
        <v>37.700000000000045</v>
      </c>
      <c r="T246" s="24" t="s">
        <v>1081</v>
      </c>
      <c r="U246" s="24"/>
      <c r="V246" s="3"/>
      <c r="W246" s="25" t="s">
        <v>6630</v>
      </c>
      <c r="X246" s="25">
        <v>20124952850</v>
      </c>
      <c r="Y246" s="25" t="str">
        <f>IFERROR(VLOOKUP(C_Ope_002[[#This Row],[NOTA 2]],Clientes_Proveedores[[Ruc / Dni]:[Razon Social]],2,0),"")</f>
        <v>ALIMENTOS Y SERVICIOS AGROPECUARIOS SRL.</v>
      </c>
      <c r="Z246" s="25" t="s">
        <v>4972</v>
      </c>
      <c r="AA246" s="25"/>
      <c r="AB246" s="3" t="str">
        <f>IF(C_Ope_002[[#This Row],[FECHA]]&gt;0,TEXT(C_Ope_002[[#This Row],[FECHA]],"mmmm"),0)</f>
        <v>Julio</v>
      </c>
    </row>
    <row r="247" spans="2:28" ht="24" x14ac:dyDescent="0.3">
      <c r="B247" s="2">
        <f>IF(C_Ope_002[[#This Row],[TIPO DE R.]]="R",COUNTIFS($D$4:$D246,"R")+1,"")</f>
        <v>243</v>
      </c>
      <c r="C247" s="19" t="str">
        <f t="shared" si="25"/>
        <v>C_Ope_002</v>
      </c>
      <c r="D247" s="3" t="s">
        <v>1074</v>
      </c>
      <c r="E247" s="14">
        <v>45854</v>
      </c>
      <c r="F247" s="5" t="s">
        <v>6746</v>
      </c>
      <c r="G247" s="5" t="s">
        <v>1079</v>
      </c>
      <c r="H247" s="6" t="s">
        <v>919</v>
      </c>
      <c r="I247" s="6" t="s">
        <v>14</v>
      </c>
      <c r="J247" s="6" t="s">
        <v>5280</v>
      </c>
      <c r="K247" s="6">
        <v>1091268</v>
      </c>
      <c r="L247" s="7" t="s">
        <v>6857</v>
      </c>
      <c r="M247" s="8">
        <v>24907</v>
      </c>
      <c r="N247" s="8" t="str">
        <f t="shared" si="26"/>
        <v>PEN</v>
      </c>
      <c r="O247" s="13"/>
      <c r="P247" s="13">
        <v>8</v>
      </c>
      <c r="Q247" s="3">
        <f t="shared" si="27"/>
        <v>0</v>
      </c>
      <c r="R247" s="3">
        <f t="shared" si="28"/>
        <v>8</v>
      </c>
      <c r="S247" s="3">
        <f t="shared" si="19"/>
        <v>29.700000000000045</v>
      </c>
      <c r="T247" s="24" t="s">
        <v>1081</v>
      </c>
      <c r="U247" s="24"/>
      <c r="V247" s="3"/>
      <c r="W247" s="25" t="s">
        <v>6541</v>
      </c>
      <c r="X247" s="25">
        <v>20517252558</v>
      </c>
      <c r="Y247" s="25" t="str">
        <f>IFERROR(VLOOKUP(C_Ope_002[[#This Row],[NOTA 2]],Clientes_Proveedores[[Ruc / Dni]:[Razon Social]],2,0),"")</f>
        <v>COVISUR S.A.</v>
      </c>
      <c r="Z247" s="25" t="s">
        <v>6677</v>
      </c>
      <c r="AA247" s="25"/>
      <c r="AB247" s="3" t="str">
        <f>IF(C_Ope_002[[#This Row],[FECHA]]&gt;0,TEXT(C_Ope_002[[#This Row],[FECHA]],"mmmm"),0)</f>
        <v>Julio</v>
      </c>
    </row>
    <row r="248" spans="2:28" ht="24" x14ac:dyDescent="0.3">
      <c r="B248" s="2">
        <f>IF(C_Ope_002[[#This Row],[TIPO DE R.]]="R",COUNTIFS($D$4:$D247,"R")+1,"")</f>
        <v>244</v>
      </c>
      <c r="C248" s="19" t="str">
        <f t="shared" si="25"/>
        <v>C_Ope_002</v>
      </c>
      <c r="D248" s="3" t="s">
        <v>1074</v>
      </c>
      <c r="E248" s="14">
        <v>45854</v>
      </c>
      <c r="F248" s="5" t="s">
        <v>6746</v>
      </c>
      <c r="G248" s="5" t="s">
        <v>1079</v>
      </c>
      <c r="H248" s="6" t="s">
        <v>919</v>
      </c>
      <c r="I248" s="6" t="s">
        <v>14</v>
      </c>
      <c r="J248" s="6" t="s">
        <v>5242</v>
      </c>
      <c r="K248" s="6">
        <v>2112931</v>
      </c>
      <c r="L248" s="7" t="s">
        <v>6858</v>
      </c>
      <c r="M248" s="8">
        <v>24909</v>
      </c>
      <c r="N248" s="8" t="str">
        <f t="shared" si="26"/>
        <v>PEN</v>
      </c>
      <c r="O248" s="13"/>
      <c r="P248" s="13">
        <v>8</v>
      </c>
      <c r="Q248" s="3">
        <f t="shared" si="27"/>
        <v>0</v>
      </c>
      <c r="R248" s="3">
        <f t="shared" si="28"/>
        <v>8</v>
      </c>
      <c r="S248" s="3">
        <f t="shared" si="19"/>
        <v>21.700000000000045</v>
      </c>
      <c r="T248" s="24" t="s">
        <v>1081</v>
      </c>
      <c r="U248" s="24"/>
      <c r="V248" s="3"/>
      <c r="W248" s="25" t="s">
        <v>6541</v>
      </c>
      <c r="X248" s="25">
        <v>20517252558</v>
      </c>
      <c r="Y248" s="25" t="str">
        <f>IFERROR(VLOOKUP(C_Ope_002[[#This Row],[NOTA 2]],Clientes_Proveedores[[Ruc / Dni]:[Razon Social]],2,0),"")</f>
        <v>COVISUR S.A.</v>
      </c>
      <c r="Z248" s="25" t="s">
        <v>6677</v>
      </c>
      <c r="AA248" s="25"/>
      <c r="AB248" s="3" t="str">
        <f>IF(C_Ope_002[[#This Row],[FECHA]]&gt;0,TEXT(C_Ope_002[[#This Row],[FECHA]],"mmmm"),0)</f>
        <v>Julio</v>
      </c>
    </row>
    <row r="249" spans="2:28" ht="24" x14ac:dyDescent="0.3">
      <c r="B249" s="2">
        <f>IF(C_Ope_002[[#This Row],[TIPO DE R.]]="R",COUNTIFS($D$4:$D248,"R")+1,"")</f>
        <v>245</v>
      </c>
      <c r="C249" s="19" t="str">
        <f t="shared" si="25"/>
        <v>C_Ope_002</v>
      </c>
      <c r="D249" s="3" t="s">
        <v>1074</v>
      </c>
      <c r="E249" s="14">
        <v>45854</v>
      </c>
      <c r="F249" s="5" t="s">
        <v>6746</v>
      </c>
      <c r="G249" s="5" t="s">
        <v>1079</v>
      </c>
      <c r="H249" s="6" t="s">
        <v>919</v>
      </c>
      <c r="I249" s="6" t="s">
        <v>14</v>
      </c>
      <c r="J249" s="6" t="s">
        <v>5281</v>
      </c>
      <c r="K249" s="6">
        <v>998301</v>
      </c>
      <c r="L249" s="7" t="s">
        <v>6857</v>
      </c>
      <c r="M249" s="8">
        <v>24910</v>
      </c>
      <c r="N249" s="8" t="str">
        <f t="shared" si="26"/>
        <v>PEN</v>
      </c>
      <c r="O249" s="13"/>
      <c r="P249" s="13">
        <v>8</v>
      </c>
      <c r="Q249" s="3">
        <f t="shared" si="27"/>
        <v>0</v>
      </c>
      <c r="R249" s="3">
        <f t="shared" si="28"/>
        <v>8</v>
      </c>
      <c r="S249" s="3">
        <f t="shared" si="19"/>
        <v>13.700000000000045</v>
      </c>
      <c r="T249" s="24" t="s">
        <v>1081</v>
      </c>
      <c r="U249" s="24"/>
      <c r="V249" s="3"/>
      <c r="W249" s="25" t="s">
        <v>6541</v>
      </c>
      <c r="X249" s="25">
        <v>20517252558</v>
      </c>
      <c r="Y249" s="25" t="str">
        <f>IFERROR(VLOOKUP(C_Ope_002[[#This Row],[NOTA 2]],Clientes_Proveedores[[Ruc / Dni]:[Razon Social]],2,0),"")</f>
        <v>COVISUR S.A.</v>
      </c>
      <c r="Z249" s="25" t="s">
        <v>6677</v>
      </c>
      <c r="AA249" s="25"/>
      <c r="AB249" s="3" t="str">
        <f>IF(C_Ope_002[[#This Row],[FECHA]]&gt;0,TEXT(C_Ope_002[[#This Row],[FECHA]],"mmmm"),0)</f>
        <v>Julio</v>
      </c>
    </row>
    <row r="250" spans="2:28" ht="24" x14ac:dyDescent="0.3">
      <c r="B250" s="2">
        <f>IF(C_Ope_002[[#This Row],[TIPO DE R.]]="R",COUNTIFS($D$4:$D249,"R")+1,"")</f>
        <v>246</v>
      </c>
      <c r="C250" s="19" t="str">
        <f t="shared" si="25"/>
        <v>C_Ope_002</v>
      </c>
      <c r="D250" s="3" t="s">
        <v>1074</v>
      </c>
      <c r="E250" s="14">
        <v>45854</v>
      </c>
      <c r="F250" s="5" t="s">
        <v>6746</v>
      </c>
      <c r="G250" s="5" t="s">
        <v>1079</v>
      </c>
      <c r="H250" s="6" t="s">
        <v>919</v>
      </c>
      <c r="I250" s="6" t="s">
        <v>14</v>
      </c>
      <c r="J250" s="6" t="s">
        <v>5243</v>
      </c>
      <c r="K250" s="6">
        <v>2399520</v>
      </c>
      <c r="L250" s="7" t="s">
        <v>6858</v>
      </c>
      <c r="M250" s="8">
        <v>24911</v>
      </c>
      <c r="N250" s="8" t="str">
        <f t="shared" si="26"/>
        <v>PEN</v>
      </c>
      <c r="O250" s="13"/>
      <c r="P250" s="13">
        <v>8</v>
      </c>
      <c r="Q250" s="3">
        <f t="shared" si="27"/>
        <v>0</v>
      </c>
      <c r="R250" s="3">
        <f t="shared" si="28"/>
        <v>8</v>
      </c>
      <c r="S250" s="3">
        <f t="shared" si="19"/>
        <v>5.7000000000000455</v>
      </c>
      <c r="T250" s="24" t="s">
        <v>1081</v>
      </c>
      <c r="U250" s="24"/>
      <c r="V250" s="3"/>
      <c r="W250" s="25" t="s">
        <v>6541</v>
      </c>
      <c r="X250" s="25">
        <v>20517252558</v>
      </c>
      <c r="Y250" s="25" t="str">
        <f>IFERROR(VLOOKUP(C_Ope_002[[#This Row],[NOTA 2]],Clientes_Proveedores[[Ruc / Dni]:[Razon Social]],2,0),"")</f>
        <v>COVISUR S.A.</v>
      </c>
      <c r="Z250" s="25" t="s">
        <v>6677</v>
      </c>
      <c r="AA250" s="25"/>
      <c r="AB250" s="3" t="str">
        <f>IF(C_Ope_002[[#This Row],[FECHA]]&gt;0,TEXT(C_Ope_002[[#This Row],[FECHA]],"mmmm"),0)</f>
        <v>Julio</v>
      </c>
    </row>
    <row r="251" spans="2:28" x14ac:dyDescent="0.3">
      <c r="B251" s="2">
        <f>IF(C_Ope_002[[#This Row],[TIPO DE R.]]="R",COUNTIFS($D$4:$D250,"R")+1,"")</f>
        <v>247</v>
      </c>
      <c r="C251" s="19" t="str">
        <f t="shared" si="25"/>
        <v>C_Ope_002</v>
      </c>
      <c r="D251" s="3" t="s">
        <v>1074</v>
      </c>
      <c r="E251" s="14">
        <v>45856</v>
      </c>
      <c r="F251" s="5" t="s">
        <v>6746</v>
      </c>
      <c r="G251" s="5" t="s">
        <v>1079</v>
      </c>
      <c r="H251" s="6" t="s">
        <v>919</v>
      </c>
      <c r="I251" s="6" t="s">
        <v>14</v>
      </c>
      <c r="J251" s="6" t="s">
        <v>5280</v>
      </c>
      <c r="K251" s="6">
        <v>1092546</v>
      </c>
      <c r="L251" s="7" t="s">
        <v>6859</v>
      </c>
      <c r="M251" s="8">
        <v>24938</v>
      </c>
      <c r="N251" s="8" t="str">
        <f t="shared" si="26"/>
        <v>PEN</v>
      </c>
      <c r="O251" s="13"/>
      <c r="P251" s="13">
        <v>8</v>
      </c>
      <c r="Q251" s="3">
        <f t="shared" si="27"/>
        <v>0</v>
      </c>
      <c r="R251" s="3">
        <f t="shared" si="28"/>
        <v>8</v>
      </c>
      <c r="S251" s="3">
        <f t="shared" si="19"/>
        <v>-2.2999999999999545</v>
      </c>
      <c r="T251" s="24" t="s">
        <v>1081</v>
      </c>
      <c r="U251" s="24"/>
      <c r="V251" s="3"/>
      <c r="W251" s="25" t="s">
        <v>6860</v>
      </c>
      <c r="X251" s="25">
        <v>20517252558</v>
      </c>
      <c r="Y251" s="25" t="str">
        <f>IFERROR(VLOOKUP(C_Ope_002[[#This Row],[NOTA 2]],Clientes_Proveedores[[Ruc / Dni]:[Razon Social]],2,0),"")</f>
        <v>COVISUR S.A.</v>
      </c>
      <c r="Z251" s="25" t="s">
        <v>6677</v>
      </c>
      <c r="AA251" s="25"/>
      <c r="AB251" s="3" t="str">
        <f>IF(C_Ope_002[[#This Row],[FECHA]]&gt;0,TEXT(C_Ope_002[[#This Row],[FECHA]],"mmmm"),0)</f>
        <v>Julio</v>
      </c>
    </row>
    <row r="252" spans="2:28" x14ac:dyDescent="0.3">
      <c r="B252" s="2">
        <f>IF(C_Ope_002[[#This Row],[TIPO DE R.]]="R",COUNTIFS($D$4:$D251,"R")+1,"")</f>
        <v>248</v>
      </c>
      <c r="C252" s="19" t="str">
        <f t="shared" si="25"/>
        <v>C_Ope_002</v>
      </c>
      <c r="D252" s="3" t="s">
        <v>1074</v>
      </c>
      <c r="E252" s="14">
        <v>45856</v>
      </c>
      <c r="F252" s="5" t="s">
        <v>6746</v>
      </c>
      <c r="G252" s="5" t="s">
        <v>1079</v>
      </c>
      <c r="H252" s="6" t="s">
        <v>919</v>
      </c>
      <c r="I252" s="6" t="s">
        <v>14</v>
      </c>
      <c r="J252" s="6" t="s">
        <v>5281</v>
      </c>
      <c r="K252" s="6">
        <v>999567</v>
      </c>
      <c r="L252" s="7" t="s">
        <v>6861</v>
      </c>
      <c r="M252" s="8">
        <v>24941</v>
      </c>
      <c r="N252" s="8" t="str">
        <f t="shared" si="26"/>
        <v>PEN</v>
      </c>
      <c r="O252" s="13"/>
      <c r="P252" s="13">
        <v>8</v>
      </c>
      <c r="Q252" s="3">
        <f t="shared" si="27"/>
        <v>0</v>
      </c>
      <c r="R252" s="3">
        <f t="shared" si="28"/>
        <v>8</v>
      </c>
      <c r="S252" s="3">
        <f t="shared" si="19"/>
        <v>-10.299999999999955</v>
      </c>
      <c r="T252" s="24" t="s">
        <v>1081</v>
      </c>
      <c r="U252" s="24"/>
      <c r="V252" s="3"/>
      <c r="W252" s="25" t="s">
        <v>6860</v>
      </c>
      <c r="X252" s="25">
        <v>20517252558</v>
      </c>
      <c r="Y252" s="25" t="str">
        <f>IFERROR(VLOOKUP(C_Ope_002[[#This Row],[NOTA 2]],Clientes_Proveedores[[Ruc / Dni]:[Razon Social]],2,0),"")</f>
        <v>COVISUR S.A.</v>
      </c>
      <c r="Z252" s="25" t="s">
        <v>6677</v>
      </c>
      <c r="AA252" s="25"/>
      <c r="AB252" s="3" t="str">
        <f>IF(C_Ope_002[[#This Row],[FECHA]]&gt;0,TEXT(C_Ope_002[[#This Row],[FECHA]],"mmmm"),0)</f>
        <v>Julio</v>
      </c>
    </row>
    <row r="253" spans="2:28" x14ac:dyDescent="0.3">
      <c r="B253" s="2">
        <f>IF(C_Ope_002[[#This Row],[TIPO DE R.]]="R",COUNTIFS($D$4:$D252,"R")+1,"")</f>
        <v>249</v>
      </c>
      <c r="C253" s="19" t="str">
        <f t="shared" si="25"/>
        <v>C_Ope_002</v>
      </c>
      <c r="D253" s="3" t="s">
        <v>1074</v>
      </c>
      <c r="E253" s="14">
        <v>45856</v>
      </c>
      <c r="F253" s="5" t="s">
        <v>6746</v>
      </c>
      <c r="G253" s="5" t="s">
        <v>1079</v>
      </c>
      <c r="H253" s="6" t="s">
        <v>919</v>
      </c>
      <c r="I253" s="6" t="s">
        <v>14</v>
      </c>
      <c r="J253" s="6" t="s">
        <v>5245</v>
      </c>
      <c r="K253" s="6">
        <v>1807462</v>
      </c>
      <c r="L253" s="7" t="s">
        <v>6848</v>
      </c>
      <c r="M253" s="8">
        <v>24960</v>
      </c>
      <c r="N253" s="8" t="str">
        <f t="shared" si="26"/>
        <v>PEN</v>
      </c>
      <c r="O253" s="13"/>
      <c r="P253" s="13">
        <v>8</v>
      </c>
      <c r="Q253" s="3">
        <f t="shared" si="27"/>
        <v>0</v>
      </c>
      <c r="R253" s="3">
        <f t="shared" si="28"/>
        <v>8</v>
      </c>
      <c r="S253" s="3">
        <f t="shared" si="19"/>
        <v>-18.299999999999955</v>
      </c>
      <c r="T253" s="24" t="s">
        <v>1081</v>
      </c>
      <c r="U253" s="24"/>
      <c r="V253" s="3"/>
      <c r="W253" s="25" t="s">
        <v>6630</v>
      </c>
      <c r="X253" s="25">
        <v>20517252558</v>
      </c>
      <c r="Y253" s="25" t="str">
        <f>IFERROR(VLOOKUP(C_Ope_002[[#This Row],[NOTA 2]],Clientes_Proveedores[[Ruc / Dni]:[Razon Social]],2,0),"")</f>
        <v>COVISUR S.A.</v>
      </c>
      <c r="Z253" s="25" t="s">
        <v>6677</v>
      </c>
      <c r="AA253" s="25"/>
      <c r="AB253" s="3" t="str">
        <f>IF(C_Ope_002[[#This Row],[FECHA]]&gt;0,TEXT(C_Ope_002[[#This Row],[FECHA]],"mmmm"),0)</f>
        <v>Julio</v>
      </c>
    </row>
    <row r="254" spans="2:28" ht="36" x14ac:dyDescent="0.3">
      <c r="B254" s="2">
        <f>IF(C_Ope_002[[#This Row],[TIPO DE R.]]="R",COUNTIFS($D$4:$D253,"R")+1,"")</f>
        <v>250</v>
      </c>
      <c r="C254" s="19" t="str">
        <f t="shared" si="25"/>
        <v>C_Ope_002</v>
      </c>
      <c r="D254" s="3" t="s">
        <v>1074</v>
      </c>
      <c r="E254" s="14">
        <v>45856</v>
      </c>
      <c r="F254" s="5" t="s">
        <v>6746</v>
      </c>
      <c r="G254" s="5" t="s">
        <v>1079</v>
      </c>
      <c r="H254" s="6" t="s">
        <v>970</v>
      </c>
      <c r="I254" s="6" t="s">
        <v>14</v>
      </c>
      <c r="J254" s="6" t="s">
        <v>1119</v>
      </c>
      <c r="K254" s="6">
        <v>17979</v>
      </c>
      <c r="L254" s="7" t="s">
        <v>6862</v>
      </c>
      <c r="M254" s="8">
        <v>24936</v>
      </c>
      <c r="N254" s="8" t="str">
        <f t="shared" si="26"/>
        <v>PEN</v>
      </c>
      <c r="O254" s="13"/>
      <c r="P254" s="13">
        <v>11</v>
      </c>
      <c r="Q254" s="3">
        <f t="shared" si="27"/>
        <v>0</v>
      </c>
      <c r="R254" s="3">
        <f t="shared" si="28"/>
        <v>11</v>
      </c>
      <c r="S254" s="3">
        <f t="shared" si="19"/>
        <v>-29.299999999999955</v>
      </c>
      <c r="T254" s="24" t="s">
        <v>1081</v>
      </c>
      <c r="U254" s="24"/>
      <c r="V254" s="3"/>
      <c r="W254" s="25" t="s">
        <v>6860</v>
      </c>
      <c r="X254" s="25">
        <v>20454058187</v>
      </c>
      <c r="Y254" s="25" t="str">
        <f>IFERROR(VLOOKUP(C_Ope_002[[#This Row],[NOTA 2]],Clientes_Proveedores[[Ruc / Dni]:[Razon Social]],2,0),"")</f>
        <v>ZONA ESPECIAL DE DESARROLLO ZED MATARANI</v>
      </c>
      <c r="Z254" s="25" t="s">
        <v>4972</v>
      </c>
      <c r="AA254" s="25"/>
      <c r="AB254" s="3" t="str">
        <f>IF(C_Ope_002[[#This Row],[FECHA]]&gt;0,TEXT(C_Ope_002[[#This Row],[FECHA]],"mmmm"),0)</f>
        <v>Julio</v>
      </c>
    </row>
    <row r="255" spans="2:28" ht="36" x14ac:dyDescent="0.3">
      <c r="B255" s="2">
        <f>IF(C_Ope_002[[#This Row],[TIPO DE R.]]="R",COUNTIFS($D$4:$D254,"R")+1,"")</f>
        <v>251</v>
      </c>
      <c r="C255" s="19" t="str">
        <f t="shared" si="25"/>
        <v>C_Ope_002</v>
      </c>
      <c r="D255" s="3" t="s">
        <v>1074</v>
      </c>
      <c r="E255" s="14">
        <v>45856</v>
      </c>
      <c r="F255" s="5" t="s">
        <v>6746</v>
      </c>
      <c r="G255" s="5" t="s">
        <v>1079</v>
      </c>
      <c r="H255" s="6" t="s">
        <v>970</v>
      </c>
      <c r="I255" s="6" t="s">
        <v>14</v>
      </c>
      <c r="J255" s="6" t="s">
        <v>1119</v>
      </c>
      <c r="K255" s="6">
        <v>17978</v>
      </c>
      <c r="L255" s="7" t="s">
        <v>6863</v>
      </c>
      <c r="M255" s="8">
        <v>24937</v>
      </c>
      <c r="N255" s="8" t="str">
        <f t="shared" si="26"/>
        <v>PEN</v>
      </c>
      <c r="O255" s="13"/>
      <c r="P255" s="13">
        <v>11</v>
      </c>
      <c r="Q255" s="3">
        <f t="shared" si="27"/>
        <v>0</v>
      </c>
      <c r="R255" s="3">
        <f t="shared" si="28"/>
        <v>11</v>
      </c>
      <c r="S255" s="3">
        <f t="shared" si="19"/>
        <v>-40.299999999999955</v>
      </c>
      <c r="T255" s="24" t="s">
        <v>1081</v>
      </c>
      <c r="U255" s="24"/>
      <c r="V255" s="3"/>
      <c r="W255" s="25" t="s">
        <v>6860</v>
      </c>
      <c r="X255" s="25">
        <v>20454058187</v>
      </c>
      <c r="Y255" s="25" t="str">
        <f>IFERROR(VLOOKUP(C_Ope_002[[#This Row],[NOTA 2]],Clientes_Proveedores[[Ruc / Dni]:[Razon Social]],2,0),"")</f>
        <v>ZONA ESPECIAL DE DESARROLLO ZED MATARANI</v>
      </c>
      <c r="Z255" s="25" t="s">
        <v>4972</v>
      </c>
      <c r="AA255" s="25"/>
      <c r="AB255" s="3" t="str">
        <f>IF(C_Ope_002[[#This Row],[FECHA]]&gt;0,TEXT(C_Ope_002[[#This Row],[FECHA]],"mmmm"),0)</f>
        <v>Julio</v>
      </c>
    </row>
    <row r="256" spans="2:28" x14ac:dyDescent="0.3">
      <c r="B256" s="2">
        <f>IF(C_Ope_002[[#This Row],[TIPO DE R.]]="R",COUNTIFS($D$4:$D255,"R")+1,"")</f>
        <v>252</v>
      </c>
      <c r="C256" s="19" t="str">
        <f>"C_Ope_002"</f>
        <v>C_Ope_002</v>
      </c>
      <c r="D256" s="3" t="s">
        <v>1074</v>
      </c>
      <c r="E256" s="14">
        <v>45859</v>
      </c>
      <c r="F256" s="5" t="s">
        <v>3353</v>
      </c>
      <c r="G256" s="5" t="s">
        <v>1087</v>
      </c>
      <c r="H256" s="6"/>
      <c r="I256" s="6"/>
      <c r="J256" s="6"/>
      <c r="K256" s="6"/>
      <c r="L256" s="7" t="s">
        <v>6302</v>
      </c>
      <c r="M256" s="8">
        <v>25090</v>
      </c>
      <c r="N256" s="8" t="str">
        <f>"PEN"</f>
        <v>PEN</v>
      </c>
      <c r="O256" s="13"/>
      <c r="P256" s="13">
        <v>150</v>
      </c>
      <c r="Q256" s="3">
        <f>+IF(OR($G256="SALDO",$G256="INGRESO"),$P256,0)</f>
        <v>150</v>
      </c>
      <c r="R256" s="3">
        <f>+IF($G256="EGRESO",$P256,0)</f>
        <v>0</v>
      </c>
      <c r="S256" s="3">
        <f t="shared" si="19"/>
        <v>109.70000000000005</v>
      </c>
      <c r="T256" s="24"/>
      <c r="U256" s="24"/>
      <c r="V256" s="3"/>
      <c r="W256" s="25"/>
      <c r="X256" s="25"/>
      <c r="Y256" s="25" t="str">
        <f>IFERROR(VLOOKUP(C_Ope_002[[#This Row],[NOTA 2]],Clientes_Proveedores[[Ruc / Dni]:[Razon Social]],2,0),"")</f>
        <v/>
      </c>
      <c r="Z256" s="25"/>
      <c r="AA256" s="25"/>
      <c r="AB256" s="3" t="str">
        <f>IF(C_Ope_002[[#This Row],[FECHA]]&gt;0,TEXT(C_Ope_002[[#This Row],[FECHA]],"mmmm"),0)</f>
        <v>Julio</v>
      </c>
    </row>
    <row r="257" spans="2:28" x14ac:dyDescent="0.3">
      <c r="B257" s="2">
        <f>IF(C_Ope_002[[#This Row],[TIPO DE R.]]="R",COUNTIFS($D$4:$D256,"R")+1,"")</f>
        <v>253</v>
      </c>
      <c r="C257" s="19" t="str">
        <f t="shared" ref="C257:C259" si="29">"C_Ope_002"</f>
        <v>C_Ope_002</v>
      </c>
      <c r="D257" s="3" t="s">
        <v>1074</v>
      </c>
      <c r="E257" s="14">
        <v>45859</v>
      </c>
      <c r="F257" s="5" t="s">
        <v>6746</v>
      </c>
      <c r="G257" s="5" t="s">
        <v>1079</v>
      </c>
      <c r="H257" s="6" t="s">
        <v>919</v>
      </c>
      <c r="I257" s="6" t="s">
        <v>14</v>
      </c>
      <c r="J257" s="6" t="s">
        <v>5243</v>
      </c>
      <c r="K257" s="6">
        <v>2405741</v>
      </c>
      <c r="L257" s="7" t="s">
        <v>6848</v>
      </c>
      <c r="M257" s="8">
        <v>24961</v>
      </c>
      <c r="N257" s="8" t="str">
        <f t="shared" ref="N257:N259" si="30">"PEN"</f>
        <v>PEN</v>
      </c>
      <c r="O257" s="13"/>
      <c r="P257" s="13">
        <v>8</v>
      </c>
      <c r="Q257" s="3">
        <f t="shared" ref="Q257:Q259" si="31">+IF(OR($G257="SALDO",$G257="INGRESO"),$P257,0)</f>
        <v>0</v>
      </c>
      <c r="R257" s="3">
        <f t="shared" ref="R257:R259" si="32">+IF($G257="EGRESO",$P257,0)</f>
        <v>8</v>
      </c>
      <c r="S257" s="3">
        <f t="shared" si="19"/>
        <v>101.70000000000005</v>
      </c>
      <c r="T257" s="24" t="s">
        <v>1081</v>
      </c>
      <c r="U257" s="24"/>
      <c r="V257" s="3"/>
      <c r="W257" s="25" t="s">
        <v>6630</v>
      </c>
      <c r="X257" s="25">
        <v>20517252558</v>
      </c>
      <c r="Y257" s="25" t="str">
        <f>IFERROR(VLOOKUP(C_Ope_002[[#This Row],[NOTA 2]],Clientes_Proveedores[[Ruc / Dni]:[Razon Social]],2,0),"")</f>
        <v>COVISUR S.A.</v>
      </c>
      <c r="Z257" s="25" t="s">
        <v>6677</v>
      </c>
      <c r="AA257" s="25"/>
      <c r="AB257" s="3" t="str">
        <f>IF(C_Ope_002[[#This Row],[FECHA]]&gt;0,TEXT(C_Ope_002[[#This Row],[FECHA]],"mmmm"),0)</f>
        <v>Julio</v>
      </c>
    </row>
    <row r="258" spans="2:28" x14ac:dyDescent="0.3">
      <c r="B258" s="2">
        <f>IF(C_Ope_002[[#This Row],[TIPO DE R.]]="R",COUNTIFS($D$4:$D257,"R")+1,"")</f>
        <v>254</v>
      </c>
      <c r="C258" s="19" t="str">
        <f t="shared" si="29"/>
        <v>C_Ope_002</v>
      </c>
      <c r="D258" s="3" t="s">
        <v>1074</v>
      </c>
      <c r="E258" s="14">
        <v>45859</v>
      </c>
      <c r="F258" s="5" t="s">
        <v>6746</v>
      </c>
      <c r="G258" s="5" t="s">
        <v>1079</v>
      </c>
      <c r="H258" s="6" t="s">
        <v>919</v>
      </c>
      <c r="I258" s="6" t="s">
        <v>14</v>
      </c>
      <c r="J258" s="6" t="s">
        <v>5245</v>
      </c>
      <c r="K258" s="6">
        <v>1810313</v>
      </c>
      <c r="L258" s="7" t="s">
        <v>6864</v>
      </c>
      <c r="M258" s="8">
        <v>24963</v>
      </c>
      <c r="N258" s="8" t="str">
        <f t="shared" si="30"/>
        <v>PEN</v>
      </c>
      <c r="O258" s="13"/>
      <c r="P258" s="13">
        <v>8</v>
      </c>
      <c r="Q258" s="3">
        <f t="shared" si="31"/>
        <v>0</v>
      </c>
      <c r="R258" s="3">
        <f t="shared" si="32"/>
        <v>8</v>
      </c>
      <c r="S258" s="3">
        <f t="shared" si="19"/>
        <v>93.700000000000045</v>
      </c>
      <c r="T258" s="24" t="s">
        <v>1081</v>
      </c>
      <c r="U258" s="24"/>
      <c r="V258" s="3"/>
      <c r="W258" s="25" t="s">
        <v>6630</v>
      </c>
      <c r="X258" s="25">
        <v>20517252558</v>
      </c>
      <c r="Y258" s="25" t="str">
        <f>IFERROR(VLOOKUP(C_Ope_002[[#This Row],[NOTA 2]],Clientes_Proveedores[[Ruc / Dni]:[Razon Social]],2,0),"")</f>
        <v>COVISUR S.A.</v>
      </c>
      <c r="Z258" s="25" t="s">
        <v>6677</v>
      </c>
      <c r="AA258" s="25"/>
      <c r="AB258" s="3" t="str">
        <f>IF(C_Ope_002[[#This Row],[FECHA]]&gt;0,TEXT(C_Ope_002[[#This Row],[FECHA]],"mmmm"),0)</f>
        <v>Julio</v>
      </c>
    </row>
    <row r="259" spans="2:28" ht="36" x14ac:dyDescent="0.3">
      <c r="B259" s="2">
        <f>IF(C_Ope_002[[#This Row],[TIPO DE R.]]="R",COUNTIFS($D$4:$D258,"R")+1,"")</f>
        <v>255</v>
      </c>
      <c r="C259" s="19" t="str">
        <f t="shared" si="29"/>
        <v>C_Ope_002</v>
      </c>
      <c r="D259" s="3" t="s">
        <v>1074</v>
      </c>
      <c r="E259" s="14">
        <v>45859</v>
      </c>
      <c r="F259" s="5" t="s">
        <v>6746</v>
      </c>
      <c r="G259" s="5" t="s">
        <v>1079</v>
      </c>
      <c r="H259" s="6" t="s">
        <v>624</v>
      </c>
      <c r="I259" s="6" t="s">
        <v>14</v>
      </c>
      <c r="J259" s="6" t="s">
        <v>1097</v>
      </c>
      <c r="K259" s="6">
        <v>17052</v>
      </c>
      <c r="L259" s="7" t="s">
        <v>6865</v>
      </c>
      <c r="M259" s="8">
        <v>24964</v>
      </c>
      <c r="N259" s="8" t="str">
        <f t="shared" si="30"/>
        <v>PEN</v>
      </c>
      <c r="O259" s="13"/>
      <c r="P259" s="13">
        <v>20</v>
      </c>
      <c r="Q259" s="3">
        <f t="shared" si="31"/>
        <v>0</v>
      </c>
      <c r="R259" s="3">
        <f t="shared" si="32"/>
        <v>20</v>
      </c>
      <c r="S259" s="13">
        <f t="shared" si="19"/>
        <v>73.700000000000045</v>
      </c>
      <c r="T259" s="24" t="s">
        <v>1081</v>
      </c>
      <c r="U259" s="24"/>
      <c r="V259" s="3"/>
      <c r="W259" s="25" t="s">
        <v>6630</v>
      </c>
      <c r="X259" s="25">
        <v>20259858934</v>
      </c>
      <c r="Y259" s="25" t="str">
        <f>IFERROR(VLOOKUP(C_Ope_002[[#This Row],[NOTA 2]],Clientes_Proveedores[[Ruc / Dni]:[Razon Social]],2,0),"")</f>
        <v>COMERCIALIZACION Y SERVICIOS EL EDEN S.A.C.</v>
      </c>
      <c r="Z259" s="25" t="s">
        <v>4972</v>
      </c>
      <c r="AA259" s="25"/>
      <c r="AB259" s="3" t="str">
        <f>IF(C_Ope_002[[#This Row],[FECHA]]&gt;0,TEXT(C_Ope_002[[#This Row],[FECHA]],"mmmm"),0)</f>
        <v>Julio</v>
      </c>
    </row>
    <row r="260" spans="2:28" x14ac:dyDescent="0.3">
      <c r="B260" s="2">
        <f>IF(C_Ope_002[[#This Row],[TIPO DE R.]]="R",COUNTIFS($D$4:$D259,"R")+1,"")</f>
        <v>256</v>
      </c>
      <c r="C260" s="19" t="str">
        <f>"C_Ope_002"</f>
        <v>C_Ope_002</v>
      </c>
      <c r="D260" s="3" t="s">
        <v>1074</v>
      </c>
      <c r="E260" s="14">
        <v>45875</v>
      </c>
      <c r="F260" s="5" t="s">
        <v>6746</v>
      </c>
      <c r="G260" s="5" t="s">
        <v>1079</v>
      </c>
      <c r="H260" s="6"/>
      <c r="I260" s="6"/>
      <c r="J260" s="6"/>
      <c r="K260" s="6"/>
      <c r="L260" s="7" t="s">
        <v>6534</v>
      </c>
      <c r="M260" s="8">
        <v>1990639</v>
      </c>
      <c r="N260" s="8" t="str">
        <f>"PEN"</f>
        <v>PEN</v>
      </c>
      <c r="O260" s="13"/>
      <c r="P260" s="13">
        <v>73.7</v>
      </c>
      <c r="Q260" s="3">
        <f>+IF(OR($G260="SALDO",$G260="INGRESO"),$P260,0)</f>
        <v>0</v>
      </c>
      <c r="R260" s="3">
        <f>+IF($G260="EGRESO",$P260,0)</f>
        <v>73.7</v>
      </c>
      <c r="S260" s="3">
        <f t="shared" si="19"/>
        <v>4.2632564145606011E-14</v>
      </c>
      <c r="T260" s="24" t="s">
        <v>1081</v>
      </c>
      <c r="U260" s="24"/>
      <c r="V260" s="3"/>
      <c r="W260" s="25"/>
      <c r="X260" s="25"/>
      <c r="Y260" s="25" t="str">
        <f>IFERROR(VLOOKUP(C_Ope_002[[#This Row],[NOTA 2]],Clientes_Proveedores[[Ruc / Dni]:[Razon Social]],2,0),"")</f>
        <v/>
      </c>
      <c r="Z260" s="25"/>
      <c r="AA260" s="25"/>
      <c r="AB260" s="3" t="str">
        <f>IF(C_Ope_002[[#This Row],[FECHA]]&gt;0,TEXT(C_Ope_002[[#This Row],[FECHA]],"mmmm"),0)</f>
        <v>Agosto</v>
      </c>
    </row>
    <row r="261" spans="2:28" ht="24" x14ac:dyDescent="0.3">
      <c r="B261" s="2">
        <f>IF(C_Ope_002[[#This Row],[TIPO DE R.]]="R",COUNTIFS($D$4:$D260,"R")+1,"")</f>
        <v>257</v>
      </c>
      <c r="C261" s="19" t="str">
        <f>"C_Ope_002"</f>
        <v>C_Ope_002</v>
      </c>
      <c r="D261" s="3" t="s">
        <v>1074</v>
      </c>
      <c r="E261" s="14">
        <v>45876</v>
      </c>
      <c r="F261" s="5" t="s">
        <v>6866</v>
      </c>
      <c r="G261" s="5" t="s">
        <v>1079</v>
      </c>
      <c r="H261" s="6" t="s">
        <v>919</v>
      </c>
      <c r="I261" s="6" t="s">
        <v>14</v>
      </c>
      <c r="J261" s="6" t="s">
        <v>5243</v>
      </c>
      <c r="K261" s="6">
        <v>2425952</v>
      </c>
      <c r="L261" s="7" t="s">
        <v>6867</v>
      </c>
      <c r="M261" s="8">
        <v>25126</v>
      </c>
      <c r="N261" s="8" t="str">
        <f>"PEN"</f>
        <v>PEN</v>
      </c>
      <c r="O261" s="13"/>
      <c r="P261" s="13">
        <v>8</v>
      </c>
      <c r="Q261" s="3">
        <f>+IF(OR($G261="SALDO",$G261="INGRESO"),$P261,0)</f>
        <v>0</v>
      </c>
      <c r="R261" s="3">
        <f>+IF($G261="EGRESO",$P261,0)</f>
        <v>8</v>
      </c>
      <c r="S261" s="3">
        <f t="shared" ref="S261:S264" si="33">IFERROR(IF(G261="SALDO",Q261,S260+Q261-R261),0)</f>
        <v>-7.9999999999999574</v>
      </c>
      <c r="T261" s="24" t="s">
        <v>1081</v>
      </c>
      <c r="U261" s="24"/>
      <c r="V261" s="3"/>
      <c r="W261" s="25" t="s">
        <v>6541</v>
      </c>
      <c r="X261" s="25">
        <v>20517252558</v>
      </c>
      <c r="Y261" s="25" t="str">
        <f>IFERROR(VLOOKUP(C_Ope_002[[#This Row],[NOTA 2]],Clientes_Proveedores[[Ruc / Dni]:[Razon Social]],2,0),"")</f>
        <v>COVISUR S.A.</v>
      </c>
      <c r="Z261" s="25" t="s">
        <v>6677</v>
      </c>
      <c r="AA261" s="25"/>
      <c r="AB261" s="3" t="str">
        <f>IF(C_Ope_002[[#This Row],[FECHA]]&gt;0,TEXT(C_Ope_002[[#This Row],[FECHA]],"mmmm"),0)</f>
        <v>Agosto</v>
      </c>
    </row>
    <row r="262" spans="2:28" ht="24" x14ac:dyDescent="0.3">
      <c r="B262" s="2">
        <f>IF(C_Ope_002[[#This Row],[TIPO DE R.]]="R",COUNTIFS($D$4:$D261,"R")+1,"")</f>
        <v>258</v>
      </c>
      <c r="C262" s="19" t="str">
        <f>"C_Ope_002"</f>
        <v>C_Ope_002</v>
      </c>
      <c r="D262" s="3" t="s">
        <v>1074</v>
      </c>
      <c r="E262" s="14">
        <v>45876</v>
      </c>
      <c r="F262" s="5" t="s">
        <v>6866</v>
      </c>
      <c r="G262" s="5" t="s">
        <v>1079</v>
      </c>
      <c r="H262" s="6" t="s">
        <v>919</v>
      </c>
      <c r="I262" s="6" t="s">
        <v>14</v>
      </c>
      <c r="J262" s="6" t="s">
        <v>5242</v>
      </c>
      <c r="K262" s="6">
        <v>2136668</v>
      </c>
      <c r="L262" s="7" t="s">
        <v>6868</v>
      </c>
      <c r="M262" s="8">
        <v>25127</v>
      </c>
      <c r="N262" s="8" t="str">
        <f>"PEN"</f>
        <v>PEN</v>
      </c>
      <c r="O262" s="13"/>
      <c r="P262" s="13">
        <v>8</v>
      </c>
      <c r="Q262" s="3">
        <f>+IF(OR($G262="SALDO",$G262="INGRESO"),$P262,0)</f>
        <v>0</v>
      </c>
      <c r="R262" s="3">
        <f>+IF($G262="EGRESO",$P262,0)</f>
        <v>8</v>
      </c>
      <c r="S262" s="3">
        <f t="shared" si="33"/>
        <v>-15.999999999999957</v>
      </c>
      <c r="T262" s="24" t="s">
        <v>1081</v>
      </c>
      <c r="U262" s="24"/>
      <c r="V262" s="3"/>
      <c r="W262" s="25" t="s">
        <v>6541</v>
      </c>
      <c r="X262" s="25">
        <v>20517252558</v>
      </c>
      <c r="Y262" s="25" t="str">
        <f>IFERROR(VLOOKUP(C_Ope_002[[#This Row],[NOTA 2]],Clientes_Proveedores[[Ruc / Dni]:[Razon Social]],2,0),"")</f>
        <v>COVISUR S.A.</v>
      </c>
      <c r="Z262" s="25" t="s">
        <v>6677</v>
      </c>
      <c r="AA262" s="25"/>
      <c r="AB262" s="3" t="str">
        <f>IF(C_Ope_002[[#This Row],[FECHA]]&gt;0,TEXT(C_Ope_002[[#This Row],[FECHA]],"mmmm"),0)</f>
        <v>Agosto</v>
      </c>
    </row>
    <row r="263" spans="2:28" ht="36" x14ac:dyDescent="0.3">
      <c r="B263" s="2">
        <f>IF(C_Ope_002[[#This Row],[TIPO DE R.]]="R",COUNTIFS($D$4:$D262,"R")+1,"")</f>
        <v>259</v>
      </c>
      <c r="C263" s="19" t="str">
        <f>"C_Ope_002"</f>
        <v>C_Ope_002</v>
      </c>
      <c r="D263" s="3" t="s">
        <v>1074</v>
      </c>
      <c r="E263" s="14">
        <v>45876</v>
      </c>
      <c r="F263" s="5" t="s">
        <v>6866</v>
      </c>
      <c r="G263" s="5" t="s">
        <v>1079</v>
      </c>
      <c r="H263" s="6" t="s">
        <v>170</v>
      </c>
      <c r="I263" s="6" t="s">
        <v>14</v>
      </c>
      <c r="J263" s="6" t="s">
        <v>1148</v>
      </c>
      <c r="K263" s="6">
        <v>135219</v>
      </c>
      <c r="L263" s="7" t="s">
        <v>6869</v>
      </c>
      <c r="M263" s="8">
        <v>25128</v>
      </c>
      <c r="N263" s="8" t="str">
        <f>"PEN"</f>
        <v>PEN</v>
      </c>
      <c r="O263" s="13"/>
      <c r="P263" s="13">
        <v>10</v>
      </c>
      <c r="Q263" s="3">
        <f>+IF(OR($G263="SALDO",$G263="INGRESO"),$P263,0)</f>
        <v>0</v>
      </c>
      <c r="R263" s="3">
        <f>+IF($G263="EGRESO",$P263,0)</f>
        <v>10</v>
      </c>
      <c r="S263" s="3">
        <f t="shared" si="33"/>
        <v>-25.999999999999957</v>
      </c>
      <c r="T263" s="24" t="s">
        <v>1081</v>
      </c>
      <c r="U263" s="24"/>
      <c r="V263" s="3"/>
      <c r="W263" s="25" t="s">
        <v>6541</v>
      </c>
      <c r="X263" s="25">
        <v>20124952850</v>
      </c>
      <c r="Y263" s="25" t="str">
        <f>IFERROR(VLOOKUP(C_Ope_002[[#This Row],[NOTA 2]],Clientes_Proveedores[[Ruc / Dni]:[Razon Social]],2,0),"")</f>
        <v>ALIMENTOS Y SERVICIOS AGROPECUARIOS SRL.</v>
      </c>
      <c r="Z263" s="25" t="s">
        <v>4972</v>
      </c>
      <c r="AA263" s="25"/>
      <c r="AB263" s="3" t="str">
        <f>IF(C_Ope_002[[#This Row],[FECHA]]&gt;0,TEXT(C_Ope_002[[#This Row],[FECHA]],"mmmm"),0)</f>
        <v>Agosto</v>
      </c>
    </row>
    <row r="264" spans="2:28" x14ac:dyDescent="0.3">
      <c r="B264" s="2">
        <f>IF(C_Ope_002[[#This Row],[TIPO DE R.]]="R",COUNTIFS($D$4:$D263,"R")+1,"")</f>
        <v>260</v>
      </c>
      <c r="C264" s="19" t="str">
        <f>"C_Ope_002"</f>
        <v>C_Ope_002</v>
      </c>
      <c r="D264" s="3" t="s">
        <v>1074</v>
      </c>
      <c r="E264" s="14">
        <v>45877</v>
      </c>
      <c r="F264" s="5" t="s">
        <v>3353</v>
      </c>
      <c r="G264" s="5" t="s">
        <v>1087</v>
      </c>
      <c r="H264" s="6"/>
      <c r="I264" s="6"/>
      <c r="J264" s="6"/>
      <c r="K264" s="6"/>
      <c r="L264" s="7" t="s">
        <v>6302</v>
      </c>
      <c r="M264" s="8">
        <v>25122</v>
      </c>
      <c r="N264" s="8" t="str">
        <f>"PEN"</f>
        <v>PEN</v>
      </c>
      <c r="O264" s="13"/>
      <c r="P264" s="13">
        <v>150</v>
      </c>
      <c r="Q264" s="3">
        <f>+IF(OR($G264="SALDO",$G264="INGRESO"),$P264,0)</f>
        <v>150</v>
      </c>
      <c r="R264" s="3">
        <f>+IF($G264="EGRESO",$P264,0)</f>
        <v>0</v>
      </c>
      <c r="S264" s="3">
        <f t="shared" si="33"/>
        <v>124.00000000000004</v>
      </c>
      <c r="T264" s="24"/>
      <c r="U264" s="24"/>
      <c r="V264" s="3"/>
      <c r="W264" s="25"/>
      <c r="X264" s="25"/>
      <c r="Y264" s="25" t="str">
        <f>IFERROR(VLOOKUP(C_Ope_002[[#This Row],[NOTA 2]],Clientes_Proveedores[[Ruc / Dni]:[Razon Social]],2,0),"")</f>
        <v/>
      </c>
      <c r="Z264" s="25"/>
      <c r="AA264" s="25"/>
      <c r="AB264" s="3" t="str">
        <f>IF(C_Ope_002[[#This Row],[FECHA]]&gt;0,TEXT(C_Ope_002[[#This Row],[FECHA]],"mmmm"),0)</f>
        <v>Agosto</v>
      </c>
    </row>
    <row r="265" spans="2:28" x14ac:dyDescent="0.3">
      <c r="B265" s="2">
        <f>IF(C_Ope_002[[#This Row],[TIPO DE R.]]="R",COUNTIFS($D$4:$D264,"R")+1,"")</f>
        <v>261</v>
      </c>
      <c r="C265" s="19" t="str">
        <f t="shared" ref="C265:C271" si="34">"C_Ope_002"</f>
        <v>C_Ope_002</v>
      </c>
      <c r="D265" s="3" t="s">
        <v>1074</v>
      </c>
      <c r="E265" s="14">
        <v>45877</v>
      </c>
      <c r="F265" s="5" t="s">
        <v>6866</v>
      </c>
      <c r="G265" s="5" t="s">
        <v>1079</v>
      </c>
      <c r="H265" s="6" t="s">
        <v>919</v>
      </c>
      <c r="I265" s="6" t="s">
        <v>14</v>
      </c>
      <c r="J265" s="6" t="s">
        <v>5243</v>
      </c>
      <c r="K265" s="6">
        <v>2427203</v>
      </c>
      <c r="L265" s="7" t="s">
        <v>6870</v>
      </c>
      <c r="M265" s="8">
        <v>25129</v>
      </c>
      <c r="N265" s="8" t="str">
        <f t="shared" ref="N265:N271" si="35">"PEN"</f>
        <v>PEN</v>
      </c>
      <c r="O265" s="13"/>
      <c r="P265" s="13">
        <v>8</v>
      </c>
      <c r="Q265" s="3">
        <f t="shared" ref="Q265:Q271" si="36">+IF(OR($G265="SALDO",$G265="INGRESO"),$P265,0)</f>
        <v>0</v>
      </c>
      <c r="R265" s="3">
        <f t="shared" ref="R265:R271" si="37">+IF($G265="EGRESO",$P265,0)</f>
        <v>8</v>
      </c>
      <c r="S265" s="3">
        <f t="shared" ref="S265:S271" si="38">IFERROR(IF(G265="SALDO",Q265,S264+Q265-R265),0)</f>
        <v>116.00000000000004</v>
      </c>
      <c r="T265" s="24" t="s">
        <v>1081</v>
      </c>
      <c r="U265" s="24"/>
      <c r="V265" s="3"/>
      <c r="W265" s="25" t="s">
        <v>6541</v>
      </c>
      <c r="X265" s="25">
        <v>20517252558</v>
      </c>
      <c r="Y265" s="25" t="str">
        <f>IFERROR(VLOOKUP(C_Ope_002[[#This Row],[NOTA 2]],Clientes_Proveedores[[Ruc / Dni]:[Razon Social]],2,0),"")</f>
        <v>COVISUR S.A.</v>
      </c>
      <c r="Z265" s="25" t="s">
        <v>6677</v>
      </c>
      <c r="AA265" s="25"/>
      <c r="AB265" s="3" t="str">
        <f>IF(C_Ope_002[[#This Row],[FECHA]]&gt;0,TEXT(C_Ope_002[[#This Row],[FECHA]],"mmmm"),0)</f>
        <v>Agosto</v>
      </c>
    </row>
    <row r="266" spans="2:28" ht="24" x14ac:dyDescent="0.3">
      <c r="B266" s="2">
        <f>IF(C_Ope_002[[#This Row],[TIPO DE R.]]="R",COUNTIFS($D$4:$D265,"R")+1,"")</f>
        <v>262</v>
      </c>
      <c r="C266" s="19" t="str">
        <f t="shared" si="34"/>
        <v>C_Ope_002</v>
      </c>
      <c r="D266" s="3" t="s">
        <v>1074</v>
      </c>
      <c r="E266" s="14">
        <v>45877</v>
      </c>
      <c r="F266" s="5" t="s">
        <v>6866</v>
      </c>
      <c r="G266" s="5" t="s">
        <v>1079</v>
      </c>
      <c r="H266" s="6" t="s">
        <v>919</v>
      </c>
      <c r="I266" s="6" t="s">
        <v>14</v>
      </c>
      <c r="J266" s="6" t="s">
        <v>5242</v>
      </c>
      <c r="K266" s="6">
        <v>2138002</v>
      </c>
      <c r="L266" s="7" t="s">
        <v>6871</v>
      </c>
      <c r="M266" s="8">
        <v>25131</v>
      </c>
      <c r="N266" s="8" t="str">
        <f t="shared" si="35"/>
        <v>PEN</v>
      </c>
      <c r="O266" s="13"/>
      <c r="P266" s="13">
        <v>8</v>
      </c>
      <c r="Q266" s="3">
        <f t="shared" si="36"/>
        <v>0</v>
      </c>
      <c r="R266" s="3">
        <f t="shared" si="37"/>
        <v>8</v>
      </c>
      <c r="S266" s="3">
        <f t="shared" si="38"/>
        <v>108.00000000000004</v>
      </c>
      <c r="T266" s="24" t="s">
        <v>1081</v>
      </c>
      <c r="U266" s="24"/>
      <c r="V266" s="3"/>
      <c r="W266" s="25" t="s">
        <v>6541</v>
      </c>
      <c r="X266" s="25">
        <v>20517252558</v>
      </c>
      <c r="Y266" s="25" t="str">
        <f>IFERROR(VLOOKUP(C_Ope_002[[#This Row],[NOTA 2]],Clientes_Proveedores[[Ruc / Dni]:[Razon Social]],2,0),"")</f>
        <v>COVISUR S.A.</v>
      </c>
      <c r="Z266" s="25" t="s">
        <v>6677</v>
      </c>
      <c r="AA266" s="25"/>
      <c r="AB266" s="3" t="str">
        <f>IF(C_Ope_002[[#This Row],[FECHA]]&gt;0,TEXT(C_Ope_002[[#This Row],[FECHA]],"mmmm"),0)</f>
        <v>Agosto</v>
      </c>
    </row>
    <row r="267" spans="2:28" ht="36" x14ac:dyDescent="0.3">
      <c r="B267" s="2">
        <f>IF(C_Ope_002[[#This Row],[TIPO DE R.]]="R",COUNTIFS($D$4:$D266,"R")+1,"")</f>
        <v>263</v>
      </c>
      <c r="C267" s="19" t="str">
        <f t="shared" si="34"/>
        <v>C_Ope_002</v>
      </c>
      <c r="D267" s="3" t="s">
        <v>1074</v>
      </c>
      <c r="E267" s="14">
        <v>45877</v>
      </c>
      <c r="F267" s="5" t="s">
        <v>6866</v>
      </c>
      <c r="G267" s="5" t="s">
        <v>1079</v>
      </c>
      <c r="H267" s="6" t="s">
        <v>170</v>
      </c>
      <c r="I267" s="6" t="s">
        <v>14</v>
      </c>
      <c r="J267" s="6" t="s">
        <v>1148</v>
      </c>
      <c r="K267" s="6">
        <v>135225</v>
      </c>
      <c r="L267" s="7" t="s">
        <v>6872</v>
      </c>
      <c r="M267" s="8">
        <v>25130</v>
      </c>
      <c r="N267" s="8" t="str">
        <f t="shared" si="35"/>
        <v>PEN</v>
      </c>
      <c r="O267" s="13"/>
      <c r="P267" s="13">
        <v>10</v>
      </c>
      <c r="Q267" s="3">
        <f t="shared" si="36"/>
        <v>0</v>
      </c>
      <c r="R267" s="3">
        <f t="shared" si="37"/>
        <v>10</v>
      </c>
      <c r="S267" s="3">
        <f t="shared" si="38"/>
        <v>98.000000000000043</v>
      </c>
      <c r="T267" s="24" t="s">
        <v>1081</v>
      </c>
      <c r="U267" s="24"/>
      <c r="V267" s="3"/>
      <c r="W267" s="25" t="s">
        <v>6541</v>
      </c>
      <c r="X267" s="25">
        <v>20124952850</v>
      </c>
      <c r="Y267" s="25" t="str">
        <f>IFERROR(VLOOKUP(C_Ope_002[[#This Row],[NOTA 2]],Clientes_Proveedores[[Ruc / Dni]:[Razon Social]],2,0),"")</f>
        <v>ALIMENTOS Y SERVICIOS AGROPECUARIOS SRL.</v>
      </c>
      <c r="Z267" s="25" t="s">
        <v>4972</v>
      </c>
      <c r="AA267" s="25"/>
      <c r="AB267" s="3" t="str">
        <f>IF(C_Ope_002[[#This Row],[FECHA]]&gt;0,TEXT(C_Ope_002[[#This Row],[FECHA]],"mmmm"),0)</f>
        <v>Agosto</v>
      </c>
    </row>
    <row r="268" spans="2:28" x14ac:dyDescent="0.3">
      <c r="B268" s="2">
        <f>IF(C_Ope_002[[#This Row],[TIPO DE R.]]="R",COUNTIFS($D$4:$D267,"R")+1,"")</f>
        <v>264</v>
      </c>
      <c r="C268" s="19" t="str">
        <f t="shared" si="34"/>
        <v>C_Ope_002</v>
      </c>
      <c r="D268" s="3" t="s">
        <v>1074</v>
      </c>
      <c r="E268" s="14">
        <v>45880</v>
      </c>
      <c r="F268" s="5" t="s">
        <v>6866</v>
      </c>
      <c r="G268" s="5" t="s">
        <v>1079</v>
      </c>
      <c r="H268" s="6" t="s">
        <v>919</v>
      </c>
      <c r="I268" s="6" t="s">
        <v>14</v>
      </c>
      <c r="J268" s="6" t="s">
        <v>5243</v>
      </c>
      <c r="K268" s="6">
        <v>2430689</v>
      </c>
      <c r="L268" s="7" t="s">
        <v>6873</v>
      </c>
      <c r="M268" s="8">
        <v>25132</v>
      </c>
      <c r="N268" s="8" t="str">
        <f t="shared" si="35"/>
        <v>PEN</v>
      </c>
      <c r="O268" s="13"/>
      <c r="P268" s="13">
        <v>8</v>
      </c>
      <c r="Q268" s="3">
        <f t="shared" si="36"/>
        <v>0</v>
      </c>
      <c r="R268" s="3">
        <f t="shared" si="37"/>
        <v>8</v>
      </c>
      <c r="S268" s="3">
        <f t="shared" si="38"/>
        <v>90.000000000000043</v>
      </c>
      <c r="T268" s="24" t="s">
        <v>1081</v>
      </c>
      <c r="U268" s="24"/>
      <c r="V268" s="3"/>
      <c r="W268" s="25" t="s">
        <v>6541</v>
      </c>
      <c r="X268" s="25">
        <v>20517252558</v>
      </c>
      <c r="Y268" s="25" t="str">
        <f>IFERROR(VLOOKUP(C_Ope_002[[#This Row],[NOTA 2]],Clientes_Proveedores[[Ruc / Dni]:[Razon Social]],2,0),"")</f>
        <v>COVISUR S.A.</v>
      </c>
      <c r="Z268" s="25" t="s">
        <v>6677</v>
      </c>
      <c r="AA268" s="25"/>
      <c r="AB268" s="3" t="str">
        <f>IF(C_Ope_002[[#This Row],[FECHA]]&gt;0,TEXT(C_Ope_002[[#This Row],[FECHA]],"mmmm"),0)</f>
        <v>Agosto</v>
      </c>
    </row>
    <row r="269" spans="2:28" x14ac:dyDescent="0.3">
      <c r="B269" s="2">
        <f>IF(C_Ope_002[[#This Row],[TIPO DE R.]]="R",COUNTIFS($D$4:$D268,"R")+1,"")</f>
        <v>265</v>
      </c>
      <c r="C269" s="19" t="str">
        <f t="shared" si="34"/>
        <v>C_Ope_002</v>
      </c>
      <c r="D269" s="3" t="s">
        <v>1074</v>
      </c>
      <c r="E269" s="14">
        <v>45880</v>
      </c>
      <c r="F269" s="5" t="s">
        <v>6866</v>
      </c>
      <c r="G269" s="5" t="s">
        <v>1079</v>
      </c>
      <c r="H269" s="6" t="s">
        <v>919</v>
      </c>
      <c r="I269" s="6" t="s">
        <v>14</v>
      </c>
      <c r="J269" s="6" t="s">
        <v>5242</v>
      </c>
      <c r="K269" s="6">
        <v>2141150</v>
      </c>
      <c r="L269" s="7" t="s">
        <v>6874</v>
      </c>
      <c r="M269" s="8">
        <v>25134</v>
      </c>
      <c r="N269" s="8" t="str">
        <f t="shared" si="35"/>
        <v>PEN</v>
      </c>
      <c r="O269" s="13"/>
      <c r="P269" s="13">
        <v>8</v>
      </c>
      <c r="Q269" s="3">
        <f t="shared" si="36"/>
        <v>0</v>
      </c>
      <c r="R269" s="3">
        <f t="shared" si="37"/>
        <v>8</v>
      </c>
      <c r="S269" s="3">
        <f t="shared" si="38"/>
        <v>82.000000000000043</v>
      </c>
      <c r="T269" s="24" t="s">
        <v>1081</v>
      </c>
      <c r="U269" s="24"/>
      <c r="V269" s="3"/>
      <c r="W269" s="25" t="s">
        <v>6541</v>
      </c>
      <c r="X269" s="25">
        <v>20517252558</v>
      </c>
      <c r="Y269" s="25" t="str">
        <f>IFERROR(VLOOKUP(C_Ope_002[[#This Row],[NOTA 2]],Clientes_Proveedores[[Ruc / Dni]:[Razon Social]],2,0),"")</f>
        <v>COVISUR S.A.</v>
      </c>
      <c r="Z269" s="25" t="s">
        <v>6677</v>
      </c>
      <c r="AA269" s="25"/>
      <c r="AB269" s="3" t="str">
        <f>IF(C_Ope_002[[#This Row],[FECHA]]&gt;0,TEXT(C_Ope_002[[#This Row],[FECHA]],"mmmm"),0)</f>
        <v>Agosto</v>
      </c>
    </row>
    <row r="270" spans="2:28" ht="36" x14ac:dyDescent="0.3">
      <c r="B270" s="2">
        <f>IF(C_Ope_002[[#This Row],[TIPO DE R.]]="R",COUNTIFS($D$4:$D269,"R")+1,"")</f>
        <v>266</v>
      </c>
      <c r="C270" s="19" t="str">
        <f t="shared" si="34"/>
        <v>C_Ope_002</v>
      </c>
      <c r="D270" s="3" t="s">
        <v>1074</v>
      </c>
      <c r="E270" s="14">
        <v>45880</v>
      </c>
      <c r="F270" s="5" t="s">
        <v>6866</v>
      </c>
      <c r="G270" s="5" t="s">
        <v>1079</v>
      </c>
      <c r="H270" s="6" t="s">
        <v>624</v>
      </c>
      <c r="I270" s="6" t="s">
        <v>14</v>
      </c>
      <c r="J270" s="6" t="s">
        <v>1097</v>
      </c>
      <c r="K270" s="6">
        <v>17299</v>
      </c>
      <c r="L270" s="7" t="s">
        <v>6875</v>
      </c>
      <c r="M270" s="8">
        <v>25133</v>
      </c>
      <c r="N270" s="8" t="str">
        <f t="shared" si="35"/>
        <v>PEN</v>
      </c>
      <c r="O270" s="13"/>
      <c r="P270" s="13">
        <v>20</v>
      </c>
      <c r="Q270" s="3">
        <f t="shared" si="36"/>
        <v>0</v>
      </c>
      <c r="R270" s="3">
        <f t="shared" si="37"/>
        <v>20</v>
      </c>
      <c r="S270" s="3">
        <f t="shared" si="38"/>
        <v>62.000000000000043</v>
      </c>
      <c r="T270" s="24" t="s">
        <v>1081</v>
      </c>
      <c r="U270" s="24"/>
      <c r="V270" s="3"/>
      <c r="W270" s="25" t="s">
        <v>6541</v>
      </c>
      <c r="X270" s="25">
        <v>20259858934</v>
      </c>
      <c r="Y270" s="25" t="str">
        <f>IFERROR(VLOOKUP(C_Ope_002[[#This Row],[NOTA 2]],Clientes_Proveedores[[Ruc / Dni]:[Razon Social]],2,0),"")</f>
        <v>COMERCIALIZACION Y SERVICIOS EL EDEN S.A.C.</v>
      </c>
      <c r="Z270" s="25" t="s">
        <v>4972</v>
      </c>
      <c r="AA270" s="25"/>
      <c r="AB270" s="3" t="str">
        <f>IF(C_Ope_002[[#This Row],[FECHA]]&gt;0,TEXT(C_Ope_002[[#This Row],[FECHA]],"mmmm"),0)</f>
        <v>Agosto</v>
      </c>
    </row>
    <row r="271" spans="2:28" ht="24" x14ac:dyDescent="0.3">
      <c r="B271" s="2">
        <f>IF(C_Ope_002[[#This Row],[TIPO DE R.]]="R",COUNTIFS($D$4:$D270,"R")+1,"")</f>
        <v>267</v>
      </c>
      <c r="C271" s="19" t="str">
        <f t="shared" si="34"/>
        <v>C_Ope_002</v>
      </c>
      <c r="D271" s="3" t="s">
        <v>1074</v>
      </c>
      <c r="E271" s="14">
        <v>45880</v>
      </c>
      <c r="F271" s="5" t="s">
        <v>6866</v>
      </c>
      <c r="G271" s="5" t="s">
        <v>1079</v>
      </c>
      <c r="H271" s="6" t="s">
        <v>939</v>
      </c>
      <c r="I271" s="6" t="s">
        <v>14</v>
      </c>
      <c r="J271" s="6" t="s">
        <v>6561</v>
      </c>
      <c r="K271" s="6">
        <v>2109</v>
      </c>
      <c r="L271" s="7" t="s">
        <v>6876</v>
      </c>
      <c r="M271" s="8">
        <v>25135</v>
      </c>
      <c r="N271" s="8" t="str">
        <f t="shared" si="35"/>
        <v>PEN</v>
      </c>
      <c r="O271" s="13"/>
      <c r="P271" s="13">
        <v>10</v>
      </c>
      <c r="Q271" s="3">
        <f t="shared" si="36"/>
        <v>0</v>
      </c>
      <c r="R271" s="3">
        <f t="shared" si="37"/>
        <v>10</v>
      </c>
      <c r="S271" s="3">
        <f t="shared" si="38"/>
        <v>52.000000000000043</v>
      </c>
      <c r="T271" s="24" t="s">
        <v>1081</v>
      </c>
      <c r="U271" s="24"/>
      <c r="V271" s="3"/>
      <c r="W271" s="25" t="s">
        <v>6541</v>
      </c>
      <c r="X271" s="25">
        <v>20612112500</v>
      </c>
      <c r="Y271" s="25" t="str">
        <f>IFERROR(VLOOKUP(C_Ope_002[[#This Row],[NOTA 2]],Clientes_Proveedores[[Ruc / Dni]:[Razon Social]],2,0),"")</f>
        <v>RECICLADORA LAS LOMAS E.I.R.L.</v>
      </c>
      <c r="Z271" s="25" t="s">
        <v>4972</v>
      </c>
      <c r="AA271" s="25"/>
      <c r="AB271" s="3" t="str">
        <f>IF(C_Ope_002[[#This Row],[FECHA]]&gt;0,TEXT(C_Ope_002[[#This Row],[FECHA]],"mmmm"),0)</f>
        <v>Agosto</v>
      </c>
    </row>
    <row r="278" spans="2:3" x14ac:dyDescent="0.3">
      <c r="B278" s="97" t="s">
        <v>7942</v>
      </c>
      <c r="C278" s="96" t="s">
        <v>740</v>
      </c>
    </row>
  </sheetData>
  <mergeCells count="1">
    <mergeCell ref="B2:AB2"/>
  </mergeCells>
  <conditionalFormatting sqref="B278:C278">
    <cfRule type="expression" dxfId="40" priority="1">
      <formula>$T278="OK"</formula>
    </cfRule>
  </conditionalFormatting>
  <conditionalFormatting sqref="B5:AB271">
    <cfRule type="expression" dxfId="39" priority="251">
      <formula>$U5="OK"</formula>
    </cfRule>
    <cfRule type="expression" dxfId="38" priority="252">
      <formula>$T5="OK"</formula>
    </cfRule>
    <cfRule type="expression" dxfId="37" priority="253">
      <formula>$D5="D"</formula>
    </cfRule>
  </conditionalFormatting>
  <conditionalFormatting sqref="G256:L256">
    <cfRule type="expression" dxfId="36" priority="6">
      <formula>$U256="OK"</formula>
    </cfRule>
    <cfRule type="expression" dxfId="35" priority="7">
      <formula>$T256="OK"</formula>
    </cfRule>
    <cfRule type="expression" dxfId="34" priority="8">
      <formula>$D256="D"</formula>
    </cfRule>
  </conditionalFormatting>
  <conditionalFormatting sqref="L264">
    <cfRule type="expression" dxfId="33" priority="3">
      <formula>$U264="OK"</formula>
    </cfRule>
    <cfRule type="expression" dxfId="32" priority="4">
      <formula>$T264="OK"</formula>
    </cfRule>
    <cfRule type="expression" dxfId="31" priority="5">
      <formula>$D264="D"</formula>
    </cfRule>
  </conditionalFormatting>
  <dataValidations count="4">
    <dataValidation type="list" allowBlank="1" showInputMessage="1" showErrorMessage="1" sqref="H5:H271" xr:uid="{031AB2C7-D0F9-2F42-A13E-A0516AC8F8C9}">
      <formula1>Proveedores_Clientes</formula1>
    </dataValidation>
    <dataValidation type="list" allowBlank="1" showInputMessage="1" showErrorMessage="1" sqref="I5:I271" xr:uid="{68BFA48E-A8EE-9445-81B1-40DFE11A90B6}">
      <formula1>Documentos</formula1>
    </dataValidation>
    <dataValidation type="list" allowBlank="1" showInputMessage="1" showErrorMessage="1" sqref="G5:G271" xr:uid="{08DF87BD-7B64-AF4B-93D1-41E6CEE4BDCB}">
      <formula1>"SALDO,INGRESO,EGRESO"</formula1>
    </dataValidation>
    <dataValidation type="list" allowBlank="1" showInputMessage="1" showErrorMessage="1" sqref="D5:D271" xr:uid="{4A23511C-B388-D849-8B9F-74DD4096B63B}">
      <formula1>"R,D"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3" fitToHeight="0" orientation="landscape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F26E-50F1-824C-A454-DFFCEB0DCFB7}">
  <sheetPr codeName="Hoja11">
    <tabColor rgb="FFFFC000"/>
    <pageSetUpPr fitToPage="1"/>
  </sheetPr>
  <dimension ref="B2:AB274"/>
  <sheetViews>
    <sheetView showGridLines="0" topLeftCell="A249" zoomScaleNormal="100" zoomScaleSheetLayoutView="100" workbookViewId="0">
      <selection activeCell="H263" sqref="H263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5.44140625" bestFit="1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bestFit="1" customWidth="1"/>
    <col min="23" max="27" width="15.88671875" customWidth="1" outlineLevel="1"/>
    <col min="28" max="28" width="12.88671875" customWidth="1" outlineLevel="1"/>
  </cols>
  <sheetData>
    <row r="2" spans="2:28" ht="23.4" x14ac:dyDescent="0.3">
      <c r="B2" s="263" t="s">
        <v>6877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2">
        <f>IF(C_Ope_003[[#This Row],[TIPO DE R.]]="R",COUNTIFS($D$4:$D4,"R")+1,"")</f>
        <v>1</v>
      </c>
      <c r="C5" s="19" t="str">
        <f>"C_Ope_003"</f>
        <v>C_Ope_003</v>
      </c>
      <c r="D5" s="3" t="s">
        <v>1074</v>
      </c>
      <c r="E5" s="14">
        <v>45658</v>
      </c>
      <c r="F5" s="5" t="s">
        <v>4644</v>
      </c>
      <c r="G5" s="6" t="s">
        <v>1064</v>
      </c>
      <c r="H5" s="6"/>
      <c r="I5" s="6"/>
      <c r="J5" s="6"/>
      <c r="K5" s="6"/>
      <c r="L5" s="7" t="s">
        <v>1076</v>
      </c>
      <c r="M5" s="8">
        <v>22816</v>
      </c>
      <c r="N5" s="8" t="str">
        <f t="shared" ref="N5" si="0">"PEN"</f>
        <v>PEN</v>
      </c>
      <c r="O5" s="13"/>
      <c r="P5" s="9">
        <v>187.65</v>
      </c>
      <c r="Q5" s="9">
        <f t="shared" ref="Q5:Q68" si="1">+IF(OR($G5="SALDO",$G5="INGRESO"),$P5,0)</f>
        <v>187.65</v>
      </c>
      <c r="R5" s="9">
        <f t="shared" ref="R5:R68" si="2">+IF($G5="EGRESO",$P5,0)</f>
        <v>0</v>
      </c>
      <c r="S5" s="9">
        <f t="shared" ref="S5:S68" si="3">IFERROR(IF(G5="SALDO",Q5,S4+Q5-R5),0)</f>
        <v>187.65</v>
      </c>
      <c r="T5" s="24"/>
      <c r="U5" s="24"/>
      <c r="V5" s="15"/>
      <c r="W5" s="25" t="s">
        <v>6747</v>
      </c>
      <c r="X5" s="25"/>
      <c r="Y5" s="25" t="str">
        <f>IFERROR(VLOOKUP(C_Ope_003[[#This Row],[NOTA 2]],Clientes_Proveedores[[Ruc / Dni]:[Razon Social]],2,0),"")</f>
        <v/>
      </c>
      <c r="Z5" s="25"/>
      <c r="AA5" s="25"/>
      <c r="AB5" s="3" t="str">
        <f>IF(C_Ope_003[[#This Row],[FECHA]]&gt;0,TEXT(C_Ope_003[[#This Row],[FECHA]],"mmmm"),0)</f>
        <v>Enero</v>
      </c>
    </row>
    <row r="6" spans="2:28" x14ac:dyDescent="0.3">
      <c r="B6" s="2">
        <f>IF(C_Ope_003[[#This Row],[TIPO DE R.]]="R",COUNTIFS($D$4:$D5,"R")+1,"")</f>
        <v>2</v>
      </c>
      <c r="C6" s="19" t="str">
        <f t="shared" ref="C6:C69" si="4">"C_Ope_003"</f>
        <v>C_Ope_003</v>
      </c>
      <c r="D6" s="3" t="s">
        <v>1074</v>
      </c>
      <c r="E6" s="14">
        <v>45691</v>
      </c>
      <c r="F6" s="5" t="s">
        <v>6299</v>
      </c>
      <c r="G6" s="5" t="s">
        <v>1087</v>
      </c>
      <c r="H6" s="6"/>
      <c r="I6" s="6"/>
      <c r="J6" s="6"/>
      <c r="K6" s="6"/>
      <c r="L6" s="7" t="s">
        <v>6878</v>
      </c>
      <c r="M6" s="8">
        <v>22870</v>
      </c>
      <c r="N6" s="8" t="str">
        <f t="shared" ref="N6:N69" si="5">"PEN"</f>
        <v>PEN</v>
      </c>
      <c r="O6" s="13"/>
      <c r="P6" s="13">
        <v>800</v>
      </c>
      <c r="Q6" s="3">
        <f t="shared" si="1"/>
        <v>800</v>
      </c>
      <c r="R6" s="3">
        <f t="shared" si="2"/>
        <v>0</v>
      </c>
      <c r="S6" s="3">
        <f t="shared" si="3"/>
        <v>987.65</v>
      </c>
      <c r="T6" s="24"/>
      <c r="U6" s="24"/>
      <c r="V6" s="3"/>
      <c r="W6" s="25"/>
      <c r="X6" s="25"/>
      <c r="Y6" s="25" t="str">
        <f>IFERROR(VLOOKUP(C_Ope_003[[#This Row],[NOTA 2]],Clientes_Proveedores[[Ruc / Dni]:[Razon Social]],2,0),"")</f>
        <v/>
      </c>
      <c r="Z6" s="25"/>
      <c r="AA6" s="25"/>
      <c r="AB6" s="3" t="str">
        <f>IF(C_Ope_003[[#This Row],[FECHA]]&gt;0,TEXT(C_Ope_003[[#This Row],[FECHA]],"mmmm"),0)</f>
        <v>Febrero</v>
      </c>
    </row>
    <row r="7" spans="2:28" x14ac:dyDescent="0.3">
      <c r="B7" s="2">
        <f>IF(C_Ope_003[[#This Row],[TIPO DE R.]]="R",COUNTIFS($D$4:$D6,"R")+1,"")</f>
        <v>3</v>
      </c>
      <c r="C7" s="19" t="str">
        <f t="shared" si="4"/>
        <v>C_Ope_003</v>
      </c>
      <c r="D7" s="3" t="s">
        <v>1074</v>
      </c>
      <c r="E7" s="14">
        <v>45695</v>
      </c>
      <c r="F7" s="5" t="s">
        <v>6299</v>
      </c>
      <c r="G7" s="5" t="s">
        <v>1087</v>
      </c>
      <c r="H7" s="6"/>
      <c r="I7" s="6"/>
      <c r="J7" s="6"/>
      <c r="K7" s="6"/>
      <c r="L7" s="7" t="s">
        <v>6878</v>
      </c>
      <c r="M7" s="8">
        <v>22969</v>
      </c>
      <c r="N7" s="8" t="str">
        <f t="shared" si="5"/>
        <v>PEN</v>
      </c>
      <c r="O7" s="13"/>
      <c r="P7" s="13">
        <v>300</v>
      </c>
      <c r="Q7" s="3">
        <f t="shared" si="1"/>
        <v>300</v>
      </c>
      <c r="R7" s="3">
        <f t="shared" si="2"/>
        <v>0</v>
      </c>
      <c r="S7" s="3">
        <f t="shared" si="3"/>
        <v>1287.6500000000001</v>
      </c>
      <c r="T7" s="24"/>
      <c r="U7" s="24"/>
      <c r="V7" s="3"/>
      <c r="W7" s="25"/>
      <c r="X7" s="25"/>
      <c r="Y7" s="25" t="str">
        <f>IFERROR(VLOOKUP(C_Ope_003[[#This Row],[NOTA 2]],Clientes_Proveedores[[Ruc / Dni]:[Razon Social]],2,0),"")</f>
        <v/>
      </c>
      <c r="Z7" s="25"/>
      <c r="AA7" s="25"/>
      <c r="AB7" s="3" t="str">
        <f>IF(C_Ope_003[[#This Row],[FECHA]]&gt;0,TEXT(C_Ope_003[[#This Row],[FECHA]],"mmmm"),0)</f>
        <v>Febrero</v>
      </c>
    </row>
    <row r="8" spans="2:28" x14ac:dyDescent="0.3">
      <c r="B8" s="2">
        <f>IF(C_Ope_003[[#This Row],[TIPO DE R.]]="R",COUNTIFS($D$4:$D7,"R")+1,"")</f>
        <v>4</v>
      </c>
      <c r="C8" s="19" t="str">
        <f t="shared" si="4"/>
        <v>C_Ope_003</v>
      </c>
      <c r="D8" s="3" t="s">
        <v>1074</v>
      </c>
      <c r="E8" s="14">
        <v>45695</v>
      </c>
      <c r="F8" s="5" t="s">
        <v>6299</v>
      </c>
      <c r="G8" s="5" t="s">
        <v>1087</v>
      </c>
      <c r="H8" s="6"/>
      <c r="I8" s="6"/>
      <c r="J8" s="6"/>
      <c r="K8" s="6"/>
      <c r="L8" s="7" t="s">
        <v>6302</v>
      </c>
      <c r="M8" s="8">
        <v>22970</v>
      </c>
      <c r="N8" s="8" t="str">
        <f t="shared" si="5"/>
        <v>PEN</v>
      </c>
      <c r="O8" s="13"/>
      <c r="P8" s="13">
        <v>400</v>
      </c>
      <c r="Q8" s="3">
        <f t="shared" si="1"/>
        <v>400</v>
      </c>
      <c r="R8" s="3">
        <f t="shared" si="2"/>
        <v>0</v>
      </c>
      <c r="S8" s="3">
        <f t="shared" si="3"/>
        <v>1687.65</v>
      </c>
      <c r="T8" s="24"/>
      <c r="U8" s="24"/>
      <c r="V8" s="3"/>
      <c r="W8" s="25"/>
      <c r="X8" s="25"/>
      <c r="Y8" s="25" t="str">
        <f>IFERROR(VLOOKUP(C_Ope_003[[#This Row],[NOTA 2]],Clientes_Proveedores[[Ruc / Dni]:[Razon Social]],2,0),"")</f>
        <v/>
      </c>
      <c r="Z8" s="25"/>
      <c r="AA8" s="25"/>
      <c r="AB8" s="3" t="str">
        <f>IF(C_Ope_003[[#This Row],[FECHA]]&gt;0,TEXT(C_Ope_003[[#This Row],[FECHA]],"mmmm"),0)</f>
        <v>Febrero</v>
      </c>
    </row>
    <row r="9" spans="2:28" ht="24" x14ac:dyDescent="0.3">
      <c r="B9" s="2">
        <f>IF(C_Ope_003[[#This Row],[TIPO DE R.]]="R",COUNTIFS($D$4:$D8,"R")+1,"")</f>
        <v>5</v>
      </c>
      <c r="C9" s="19" t="str">
        <f t="shared" si="4"/>
        <v>C_Ope_003</v>
      </c>
      <c r="D9" s="3" t="s">
        <v>1074</v>
      </c>
      <c r="E9" s="14">
        <v>45692</v>
      </c>
      <c r="F9" s="5" t="s">
        <v>4644</v>
      </c>
      <c r="G9" s="5" t="s">
        <v>1079</v>
      </c>
      <c r="H9" s="6"/>
      <c r="I9" s="6" t="s">
        <v>14</v>
      </c>
      <c r="J9" s="6" t="s">
        <v>6879</v>
      </c>
      <c r="K9" s="6">
        <v>512900</v>
      </c>
      <c r="L9" s="7" t="s">
        <v>6880</v>
      </c>
      <c r="M9" s="8">
        <v>22897</v>
      </c>
      <c r="N9" s="8" t="str">
        <f t="shared" si="5"/>
        <v>PEN</v>
      </c>
      <c r="O9" s="13"/>
      <c r="P9" s="13">
        <v>23.6</v>
      </c>
      <c r="Q9" s="3">
        <f t="shared" si="1"/>
        <v>0</v>
      </c>
      <c r="R9" s="3">
        <f t="shared" si="2"/>
        <v>23.6</v>
      </c>
      <c r="S9" s="3">
        <f t="shared" si="3"/>
        <v>1664.0500000000002</v>
      </c>
      <c r="T9" s="24"/>
      <c r="U9" s="24"/>
      <c r="V9" s="3"/>
      <c r="W9" s="25" t="s">
        <v>6747</v>
      </c>
      <c r="X9" s="25"/>
      <c r="Y9" s="25" t="str">
        <f>IFERROR(VLOOKUP(C_Ope_003[[#This Row],[NOTA 2]],Clientes_Proveedores[[Ruc / Dni]:[Razon Social]],2,0),"")</f>
        <v/>
      </c>
      <c r="Z9" s="25"/>
      <c r="AA9" s="25"/>
      <c r="AB9" s="3" t="str">
        <f>IF(C_Ope_003[[#This Row],[FECHA]]&gt;0,TEXT(C_Ope_003[[#This Row],[FECHA]],"mmmm"),0)</f>
        <v>Febrero</v>
      </c>
    </row>
    <row r="10" spans="2:28" ht="24" x14ac:dyDescent="0.3">
      <c r="B10" s="2">
        <f>IF(C_Ope_003[[#This Row],[TIPO DE R.]]="R",COUNTIFS($D$4:$D9,"R")+1,"")</f>
        <v>6</v>
      </c>
      <c r="C10" s="19" t="str">
        <f t="shared" si="4"/>
        <v>C_Ope_003</v>
      </c>
      <c r="D10" s="3" t="s">
        <v>1074</v>
      </c>
      <c r="E10" s="14">
        <v>45693</v>
      </c>
      <c r="F10" s="5" t="s">
        <v>4644</v>
      </c>
      <c r="G10" s="5" t="s">
        <v>1079</v>
      </c>
      <c r="H10" s="6"/>
      <c r="I10" s="6" t="s">
        <v>14</v>
      </c>
      <c r="J10" s="6" t="s">
        <v>6881</v>
      </c>
      <c r="K10" s="6">
        <v>2666207</v>
      </c>
      <c r="L10" s="7" t="s">
        <v>6882</v>
      </c>
      <c r="M10" s="8">
        <v>22903</v>
      </c>
      <c r="N10" s="8" t="str">
        <f t="shared" si="5"/>
        <v>PEN</v>
      </c>
      <c r="O10" s="13"/>
      <c r="P10" s="13">
        <v>56.4</v>
      </c>
      <c r="Q10" s="3">
        <f t="shared" si="1"/>
        <v>0</v>
      </c>
      <c r="R10" s="3">
        <f t="shared" si="2"/>
        <v>56.4</v>
      </c>
      <c r="S10" s="3">
        <f t="shared" si="3"/>
        <v>1607.65</v>
      </c>
      <c r="T10" s="24"/>
      <c r="U10" s="24"/>
      <c r="V10" s="3"/>
      <c r="W10" s="25" t="s">
        <v>6747</v>
      </c>
      <c r="X10" s="25"/>
      <c r="Y10" s="25" t="str">
        <f>IFERROR(VLOOKUP(C_Ope_003[[#This Row],[NOTA 2]],Clientes_Proveedores[[Ruc / Dni]:[Razon Social]],2,0),"")</f>
        <v/>
      </c>
      <c r="Z10" s="25"/>
      <c r="AA10" s="25"/>
      <c r="AB10" s="3" t="str">
        <f>IF(C_Ope_003[[#This Row],[FECHA]]&gt;0,TEXT(C_Ope_003[[#This Row],[FECHA]],"mmmm"),0)</f>
        <v>Febrero</v>
      </c>
    </row>
    <row r="11" spans="2:28" ht="24" x14ac:dyDescent="0.3">
      <c r="B11" s="2">
        <f>IF(C_Ope_003[[#This Row],[TIPO DE R.]]="R",COUNTIFS($D$4:$D10,"R")+1,"")</f>
        <v>7</v>
      </c>
      <c r="C11" s="19" t="str">
        <f t="shared" si="4"/>
        <v>C_Ope_003</v>
      </c>
      <c r="D11" s="3" t="s">
        <v>1074</v>
      </c>
      <c r="E11" s="14">
        <v>45694</v>
      </c>
      <c r="F11" s="5" t="s">
        <v>4644</v>
      </c>
      <c r="G11" s="5" t="s">
        <v>1079</v>
      </c>
      <c r="H11" s="6"/>
      <c r="I11" s="6" t="s">
        <v>14</v>
      </c>
      <c r="J11" s="6" t="s">
        <v>6883</v>
      </c>
      <c r="K11" s="6">
        <v>2910924</v>
      </c>
      <c r="L11" s="7" t="s">
        <v>6884</v>
      </c>
      <c r="M11" s="8">
        <v>22937</v>
      </c>
      <c r="N11" s="8" t="str">
        <f t="shared" si="5"/>
        <v>PEN</v>
      </c>
      <c r="O11" s="13"/>
      <c r="P11" s="13">
        <v>22.5</v>
      </c>
      <c r="Q11" s="3">
        <f t="shared" si="1"/>
        <v>0</v>
      </c>
      <c r="R11" s="3">
        <f t="shared" si="2"/>
        <v>22.5</v>
      </c>
      <c r="S11" s="3">
        <f t="shared" si="3"/>
        <v>1585.15</v>
      </c>
      <c r="T11" s="24"/>
      <c r="U11" s="24"/>
      <c r="V11" s="3"/>
      <c r="W11" s="25" t="s">
        <v>6747</v>
      </c>
      <c r="X11" s="25"/>
      <c r="Y11" s="25" t="str">
        <f>IFERROR(VLOOKUP(C_Ope_003[[#This Row],[NOTA 2]],Clientes_Proveedores[[Ruc / Dni]:[Razon Social]],2,0),"")</f>
        <v/>
      </c>
      <c r="Z11" s="25"/>
      <c r="AA11" s="25"/>
      <c r="AB11" s="3" t="str">
        <f>IF(C_Ope_003[[#This Row],[FECHA]]&gt;0,TEXT(C_Ope_003[[#This Row],[FECHA]],"mmmm"),0)</f>
        <v>Febrero</v>
      </c>
    </row>
    <row r="12" spans="2:28" ht="24" x14ac:dyDescent="0.3">
      <c r="B12" s="2">
        <f>IF(C_Ope_003[[#This Row],[TIPO DE R.]]="R",COUNTIFS($D$4:$D11,"R")+1,"")</f>
        <v>8</v>
      </c>
      <c r="C12" s="19" t="str">
        <f t="shared" si="4"/>
        <v>C_Ope_003</v>
      </c>
      <c r="D12" s="3" t="s">
        <v>1074</v>
      </c>
      <c r="E12" s="14">
        <v>45692</v>
      </c>
      <c r="F12" s="5" t="s">
        <v>4644</v>
      </c>
      <c r="G12" s="5" t="s">
        <v>1079</v>
      </c>
      <c r="H12" s="6"/>
      <c r="I12" s="6" t="s">
        <v>14</v>
      </c>
      <c r="J12" s="6" t="s">
        <v>1097</v>
      </c>
      <c r="K12" s="6">
        <v>15588</v>
      </c>
      <c r="L12" s="7" t="s">
        <v>6885</v>
      </c>
      <c r="M12" s="8">
        <v>22871</v>
      </c>
      <c r="N12" s="8" t="str">
        <f t="shared" si="5"/>
        <v>PEN</v>
      </c>
      <c r="O12" s="13"/>
      <c r="P12" s="13">
        <v>20</v>
      </c>
      <c r="Q12" s="3">
        <f t="shared" si="1"/>
        <v>0</v>
      </c>
      <c r="R12" s="3">
        <f t="shared" si="2"/>
        <v>20</v>
      </c>
      <c r="S12" s="3">
        <f t="shared" si="3"/>
        <v>1565.15</v>
      </c>
      <c r="T12" s="24"/>
      <c r="U12" s="24"/>
      <c r="V12" s="3"/>
      <c r="W12" s="25" t="s">
        <v>6747</v>
      </c>
      <c r="X12" s="25"/>
      <c r="Y12" s="25" t="str">
        <f>IFERROR(VLOOKUP(C_Ope_003[[#This Row],[NOTA 2]],Clientes_Proveedores[[Ruc / Dni]:[Razon Social]],2,0),"")</f>
        <v/>
      </c>
      <c r="Z12" s="25"/>
      <c r="AA12" s="25"/>
      <c r="AB12" s="3" t="str">
        <f>IF(C_Ope_003[[#This Row],[FECHA]]&gt;0,TEXT(C_Ope_003[[#This Row],[FECHA]],"mmmm"),0)</f>
        <v>Febrero</v>
      </c>
    </row>
    <row r="13" spans="2:28" x14ac:dyDescent="0.3">
      <c r="B13" s="2">
        <f>IF(C_Ope_003[[#This Row],[TIPO DE R.]]="R",COUNTIFS($D$4:$D12,"R")+1,"")</f>
        <v>9</v>
      </c>
      <c r="C13" s="19" t="str">
        <f t="shared" si="4"/>
        <v>C_Ope_003</v>
      </c>
      <c r="D13" s="3" t="s">
        <v>1074</v>
      </c>
      <c r="E13" s="14">
        <v>45692</v>
      </c>
      <c r="F13" s="5" t="s">
        <v>4644</v>
      </c>
      <c r="G13" s="5" t="s">
        <v>1079</v>
      </c>
      <c r="H13" s="6"/>
      <c r="I13" s="6" t="s">
        <v>21</v>
      </c>
      <c r="J13" s="6">
        <v>2</v>
      </c>
      <c r="K13" s="6">
        <v>367</v>
      </c>
      <c r="L13" s="7" t="s">
        <v>6886</v>
      </c>
      <c r="M13" s="8">
        <v>22876</v>
      </c>
      <c r="N13" s="8" t="str">
        <f t="shared" si="5"/>
        <v>PEN</v>
      </c>
      <c r="O13" s="13"/>
      <c r="P13" s="13">
        <v>110</v>
      </c>
      <c r="Q13" s="3">
        <f t="shared" si="1"/>
        <v>0</v>
      </c>
      <c r="R13" s="3">
        <f t="shared" si="2"/>
        <v>110</v>
      </c>
      <c r="S13" s="3">
        <f t="shared" si="3"/>
        <v>1455.15</v>
      </c>
      <c r="T13" s="24"/>
      <c r="U13" s="24"/>
      <c r="V13" s="3"/>
      <c r="W13" s="25" t="s">
        <v>6747</v>
      </c>
      <c r="X13" s="25"/>
      <c r="Y13" s="25" t="str">
        <f>IFERROR(VLOOKUP(C_Ope_003[[#This Row],[NOTA 2]],Clientes_Proveedores[[Ruc / Dni]:[Razon Social]],2,0),"")</f>
        <v/>
      </c>
      <c r="Z13" s="25"/>
      <c r="AA13" s="25"/>
      <c r="AB13" s="3" t="str">
        <f>IF(C_Ope_003[[#This Row],[FECHA]]&gt;0,TEXT(C_Ope_003[[#This Row],[FECHA]],"mmmm"),0)</f>
        <v>Febrero</v>
      </c>
    </row>
    <row r="14" spans="2:28" x14ac:dyDescent="0.3">
      <c r="B14" s="2">
        <f>IF(C_Ope_003[[#This Row],[TIPO DE R.]]="R",COUNTIFS($D$4:$D13,"R")+1,"")</f>
        <v>10</v>
      </c>
      <c r="C14" s="19" t="str">
        <f t="shared" si="4"/>
        <v>C_Ope_003</v>
      </c>
      <c r="D14" s="3" t="s">
        <v>1074</v>
      </c>
      <c r="E14" s="14">
        <v>45692</v>
      </c>
      <c r="F14" s="5" t="s">
        <v>4644</v>
      </c>
      <c r="G14" s="5" t="s">
        <v>1079</v>
      </c>
      <c r="H14" s="6"/>
      <c r="I14" s="6" t="s">
        <v>21</v>
      </c>
      <c r="J14" s="6">
        <v>1</v>
      </c>
      <c r="K14" s="6">
        <v>144</v>
      </c>
      <c r="L14" s="7" t="s">
        <v>6887</v>
      </c>
      <c r="M14" s="8">
        <v>22896</v>
      </c>
      <c r="N14" s="8" t="str">
        <f t="shared" si="5"/>
        <v>PEN</v>
      </c>
      <c r="O14" s="13"/>
      <c r="P14" s="13">
        <v>24</v>
      </c>
      <c r="Q14" s="3">
        <f t="shared" si="1"/>
        <v>0</v>
      </c>
      <c r="R14" s="3">
        <f t="shared" si="2"/>
        <v>24</v>
      </c>
      <c r="S14" s="3">
        <f t="shared" si="3"/>
        <v>1431.15</v>
      </c>
      <c r="T14" s="24"/>
      <c r="U14" s="24"/>
      <c r="V14" s="3"/>
      <c r="W14" s="25" t="s">
        <v>6747</v>
      </c>
      <c r="X14" s="25"/>
      <c r="Y14" s="25" t="str">
        <f>IFERROR(VLOOKUP(C_Ope_003[[#This Row],[NOTA 2]],Clientes_Proveedores[[Ruc / Dni]:[Razon Social]],2,0),"")</f>
        <v/>
      </c>
      <c r="Z14" s="25"/>
      <c r="AA14" s="25"/>
      <c r="AB14" s="3" t="str">
        <f>IF(C_Ope_003[[#This Row],[FECHA]]&gt;0,TEXT(C_Ope_003[[#This Row],[FECHA]],"mmmm"),0)</f>
        <v>Febrero</v>
      </c>
    </row>
    <row r="15" spans="2:28" x14ac:dyDescent="0.3">
      <c r="B15" s="2">
        <f>IF(C_Ope_003[[#This Row],[TIPO DE R.]]="R",COUNTIFS($D$4:$D14,"R")+1,"")</f>
        <v>11</v>
      </c>
      <c r="C15" s="19" t="str">
        <f t="shared" si="4"/>
        <v>C_Ope_003</v>
      </c>
      <c r="D15" s="3" t="s">
        <v>1074</v>
      </c>
      <c r="E15" s="14">
        <v>45693</v>
      </c>
      <c r="F15" s="5" t="s">
        <v>4644</v>
      </c>
      <c r="G15" s="5" t="s">
        <v>1079</v>
      </c>
      <c r="H15" s="6"/>
      <c r="I15" s="6" t="s">
        <v>21</v>
      </c>
      <c r="J15" s="6">
        <v>1</v>
      </c>
      <c r="K15" s="6">
        <v>40379</v>
      </c>
      <c r="L15" s="7" t="s">
        <v>6888</v>
      </c>
      <c r="M15" s="8">
        <v>22898</v>
      </c>
      <c r="N15" s="8" t="str">
        <f t="shared" si="5"/>
        <v>PEN</v>
      </c>
      <c r="O15" s="13"/>
      <c r="P15" s="13">
        <v>24</v>
      </c>
      <c r="Q15" s="3">
        <f t="shared" si="1"/>
        <v>0</v>
      </c>
      <c r="R15" s="3">
        <f t="shared" si="2"/>
        <v>24</v>
      </c>
      <c r="S15" s="3">
        <f t="shared" si="3"/>
        <v>1407.15</v>
      </c>
      <c r="T15" s="24"/>
      <c r="U15" s="24"/>
      <c r="V15" s="3"/>
      <c r="W15" s="25" t="s">
        <v>6747</v>
      </c>
      <c r="X15" s="25"/>
      <c r="Y15" s="25" t="str">
        <f>IFERROR(VLOOKUP(C_Ope_003[[#This Row],[NOTA 2]],Clientes_Proveedores[[Ruc / Dni]:[Razon Social]],2,0),"")</f>
        <v/>
      </c>
      <c r="Z15" s="25"/>
      <c r="AA15" s="25"/>
      <c r="AB15" s="3" t="str">
        <f>IF(C_Ope_003[[#This Row],[FECHA]]&gt;0,TEXT(C_Ope_003[[#This Row],[FECHA]],"mmmm"),0)</f>
        <v>Febrero</v>
      </c>
    </row>
    <row r="16" spans="2:28" x14ac:dyDescent="0.3">
      <c r="B16" s="2">
        <f>IF(C_Ope_003[[#This Row],[TIPO DE R.]]="R",COUNTIFS($D$4:$D15,"R")+1,"")</f>
        <v>12</v>
      </c>
      <c r="C16" s="19" t="str">
        <f t="shared" si="4"/>
        <v>C_Ope_003</v>
      </c>
      <c r="D16" s="3" t="s">
        <v>1074</v>
      </c>
      <c r="E16" s="14">
        <v>45693</v>
      </c>
      <c r="F16" s="5" t="s">
        <v>4644</v>
      </c>
      <c r="G16" s="5" t="s">
        <v>1079</v>
      </c>
      <c r="H16" s="6"/>
      <c r="I16" s="6" t="s">
        <v>14</v>
      </c>
      <c r="J16" s="6" t="s">
        <v>1119</v>
      </c>
      <c r="K16" s="6">
        <v>22858</v>
      </c>
      <c r="L16" s="7" t="s">
        <v>6889</v>
      </c>
      <c r="M16" s="8">
        <v>22899</v>
      </c>
      <c r="N16" s="8" t="str">
        <f t="shared" si="5"/>
        <v>PEN</v>
      </c>
      <c r="O16" s="13"/>
      <c r="P16" s="13">
        <v>30</v>
      </c>
      <c r="Q16" s="3">
        <f t="shared" si="1"/>
        <v>0</v>
      </c>
      <c r="R16" s="3">
        <f t="shared" si="2"/>
        <v>30</v>
      </c>
      <c r="S16" s="3">
        <f t="shared" si="3"/>
        <v>1377.15</v>
      </c>
      <c r="T16" s="24"/>
      <c r="U16" s="24"/>
      <c r="V16" s="3"/>
      <c r="W16" s="25" t="s">
        <v>6747</v>
      </c>
      <c r="X16" s="25"/>
      <c r="Y16" s="25" t="str">
        <f>IFERROR(VLOOKUP(C_Ope_003[[#This Row],[NOTA 2]],Clientes_Proveedores[[Ruc / Dni]:[Razon Social]],2,0),"")</f>
        <v/>
      </c>
      <c r="Z16" s="25"/>
      <c r="AA16" s="25"/>
      <c r="AB16" s="3" t="str">
        <f>IF(C_Ope_003[[#This Row],[FECHA]]&gt;0,TEXT(C_Ope_003[[#This Row],[FECHA]],"mmmm"),0)</f>
        <v>Febrero</v>
      </c>
    </row>
    <row r="17" spans="2:28" x14ac:dyDescent="0.3">
      <c r="B17" s="2">
        <f>IF(C_Ope_003[[#This Row],[TIPO DE R.]]="R",COUNTIFS($D$4:$D16,"R")+1,"")</f>
        <v>13</v>
      </c>
      <c r="C17" s="19" t="str">
        <f t="shared" si="4"/>
        <v>C_Ope_003</v>
      </c>
      <c r="D17" s="3" t="s">
        <v>1074</v>
      </c>
      <c r="E17" s="14">
        <v>45693</v>
      </c>
      <c r="F17" s="5" t="s">
        <v>4644</v>
      </c>
      <c r="G17" s="5" t="s">
        <v>1079</v>
      </c>
      <c r="H17" s="6"/>
      <c r="I17" s="6" t="s">
        <v>21</v>
      </c>
      <c r="J17" s="6">
        <v>2</v>
      </c>
      <c r="K17" s="6">
        <v>527</v>
      </c>
      <c r="L17" s="7" t="s">
        <v>6890</v>
      </c>
      <c r="M17" s="8">
        <v>22900</v>
      </c>
      <c r="N17" s="8" t="str">
        <f t="shared" si="5"/>
        <v>PEN</v>
      </c>
      <c r="O17" s="13"/>
      <c r="P17" s="13">
        <v>24</v>
      </c>
      <c r="Q17" s="3">
        <f t="shared" si="1"/>
        <v>0</v>
      </c>
      <c r="R17" s="3">
        <f t="shared" si="2"/>
        <v>24</v>
      </c>
      <c r="S17" s="3">
        <f t="shared" si="3"/>
        <v>1353.15</v>
      </c>
      <c r="T17" s="24"/>
      <c r="U17" s="24"/>
      <c r="V17" s="3"/>
      <c r="W17" s="25" t="s">
        <v>6747</v>
      </c>
      <c r="X17" s="25"/>
      <c r="Y17" s="25" t="str">
        <f>IFERROR(VLOOKUP(C_Ope_003[[#This Row],[NOTA 2]],Clientes_Proveedores[[Ruc / Dni]:[Razon Social]],2,0),"")</f>
        <v/>
      </c>
      <c r="Z17" s="25"/>
      <c r="AA17" s="25"/>
      <c r="AB17" s="3" t="str">
        <f>IF(C_Ope_003[[#This Row],[FECHA]]&gt;0,TEXT(C_Ope_003[[#This Row],[FECHA]],"mmmm"),0)</f>
        <v>Febrero</v>
      </c>
    </row>
    <row r="18" spans="2:28" x14ac:dyDescent="0.3">
      <c r="B18" s="2">
        <f>IF(C_Ope_003[[#This Row],[TIPO DE R.]]="R",COUNTIFS($D$4:$D17,"R")+1,"")</f>
        <v>14</v>
      </c>
      <c r="C18" s="19" t="str">
        <f t="shared" si="4"/>
        <v>C_Ope_003</v>
      </c>
      <c r="D18" s="3" t="s">
        <v>1074</v>
      </c>
      <c r="E18" s="14">
        <v>45693</v>
      </c>
      <c r="F18" s="5" t="s">
        <v>4644</v>
      </c>
      <c r="G18" s="5" t="s">
        <v>1079</v>
      </c>
      <c r="H18" s="6"/>
      <c r="I18" s="6" t="s">
        <v>21</v>
      </c>
      <c r="J18" s="6">
        <v>1</v>
      </c>
      <c r="K18" s="6">
        <v>56731</v>
      </c>
      <c r="L18" s="7" t="s">
        <v>6891</v>
      </c>
      <c r="M18" s="8">
        <v>22901</v>
      </c>
      <c r="N18" s="8" t="str">
        <f t="shared" si="5"/>
        <v>PEN</v>
      </c>
      <c r="O18" s="13"/>
      <c r="P18" s="13">
        <v>10</v>
      </c>
      <c r="Q18" s="3">
        <f t="shared" si="1"/>
        <v>0</v>
      </c>
      <c r="R18" s="3">
        <f t="shared" si="2"/>
        <v>10</v>
      </c>
      <c r="S18" s="3">
        <f t="shared" si="3"/>
        <v>1343.15</v>
      </c>
      <c r="T18" s="24"/>
      <c r="U18" s="24"/>
      <c r="V18" s="3"/>
      <c r="W18" s="25" t="s">
        <v>6747</v>
      </c>
      <c r="X18" s="25"/>
      <c r="Y18" s="25" t="str">
        <f>IFERROR(VLOOKUP(C_Ope_003[[#This Row],[NOTA 2]],Clientes_Proveedores[[Ruc / Dni]:[Razon Social]],2,0),"")</f>
        <v/>
      </c>
      <c r="Z18" s="25"/>
      <c r="AA18" s="25"/>
      <c r="AB18" s="3" t="str">
        <f>IF(C_Ope_003[[#This Row],[FECHA]]&gt;0,TEXT(C_Ope_003[[#This Row],[FECHA]],"mmmm"),0)</f>
        <v>Febrero</v>
      </c>
    </row>
    <row r="19" spans="2:28" x14ac:dyDescent="0.3">
      <c r="B19" s="2">
        <f>IF(C_Ope_003[[#This Row],[TIPO DE R.]]="R",COUNTIFS($D$4:$D18,"R")+1,"")</f>
        <v>15</v>
      </c>
      <c r="C19" s="19" t="str">
        <f t="shared" si="4"/>
        <v>C_Ope_003</v>
      </c>
      <c r="D19" s="3" t="s">
        <v>1074</v>
      </c>
      <c r="E19" s="14">
        <v>45693</v>
      </c>
      <c r="F19" s="5" t="s">
        <v>4644</v>
      </c>
      <c r="G19" s="5" t="s">
        <v>1079</v>
      </c>
      <c r="H19" s="6"/>
      <c r="I19" s="6" t="s">
        <v>21</v>
      </c>
      <c r="J19" s="6">
        <v>1</v>
      </c>
      <c r="K19" s="6">
        <v>611</v>
      </c>
      <c r="L19" s="7" t="s">
        <v>6892</v>
      </c>
      <c r="M19" s="8">
        <v>22902</v>
      </c>
      <c r="N19" s="8" t="str">
        <f t="shared" si="5"/>
        <v>PEN</v>
      </c>
      <c r="O19" s="13"/>
      <c r="P19" s="13">
        <v>100</v>
      </c>
      <c r="Q19" s="3">
        <f t="shared" si="1"/>
        <v>0</v>
      </c>
      <c r="R19" s="3">
        <f t="shared" si="2"/>
        <v>100</v>
      </c>
      <c r="S19" s="3">
        <f t="shared" si="3"/>
        <v>1243.1500000000001</v>
      </c>
      <c r="T19" s="24"/>
      <c r="U19" s="24"/>
      <c r="V19" s="3"/>
      <c r="W19" s="25" t="s">
        <v>6747</v>
      </c>
      <c r="X19" s="25"/>
      <c r="Y19" s="25" t="str">
        <f>IFERROR(VLOOKUP(C_Ope_003[[#This Row],[NOTA 2]],Clientes_Proveedores[[Ruc / Dni]:[Razon Social]],2,0),"")</f>
        <v/>
      </c>
      <c r="Z19" s="25"/>
      <c r="AA19" s="25"/>
      <c r="AB19" s="3" t="str">
        <f>IF(C_Ope_003[[#This Row],[FECHA]]&gt;0,TEXT(C_Ope_003[[#This Row],[FECHA]],"mmmm"),0)</f>
        <v>Febrero</v>
      </c>
    </row>
    <row r="20" spans="2:28" x14ac:dyDescent="0.3">
      <c r="B20" s="2">
        <f>IF(C_Ope_003[[#This Row],[TIPO DE R.]]="R",COUNTIFS($D$4:$D19,"R")+1,"")</f>
        <v>16</v>
      </c>
      <c r="C20" s="19" t="str">
        <f t="shared" si="4"/>
        <v>C_Ope_003</v>
      </c>
      <c r="D20" s="3" t="s">
        <v>1074</v>
      </c>
      <c r="E20" s="14">
        <v>45694</v>
      </c>
      <c r="F20" s="5" t="s">
        <v>4644</v>
      </c>
      <c r="G20" s="5" t="s">
        <v>1079</v>
      </c>
      <c r="H20" s="6"/>
      <c r="I20" s="6"/>
      <c r="J20" s="6" t="s">
        <v>6893</v>
      </c>
      <c r="K20" s="6"/>
      <c r="L20" s="7" t="s">
        <v>6894</v>
      </c>
      <c r="M20" s="8">
        <v>22934</v>
      </c>
      <c r="N20" s="8" t="str">
        <f t="shared" si="5"/>
        <v>PEN</v>
      </c>
      <c r="O20" s="13"/>
      <c r="P20" s="13">
        <v>24</v>
      </c>
      <c r="Q20" s="3">
        <f t="shared" si="1"/>
        <v>0</v>
      </c>
      <c r="R20" s="3">
        <f t="shared" si="2"/>
        <v>24</v>
      </c>
      <c r="S20" s="3">
        <f t="shared" si="3"/>
        <v>1219.1500000000001</v>
      </c>
      <c r="T20" s="24"/>
      <c r="U20" s="24"/>
      <c r="V20" s="3"/>
      <c r="W20" s="25" t="s">
        <v>6747</v>
      </c>
      <c r="X20" s="25"/>
      <c r="Y20" s="25" t="str">
        <f>IFERROR(VLOOKUP(C_Ope_003[[#This Row],[NOTA 2]],Clientes_Proveedores[[Ruc / Dni]:[Razon Social]],2,0),"")</f>
        <v/>
      </c>
      <c r="Z20" s="25"/>
      <c r="AA20" s="25"/>
      <c r="AB20" s="3" t="str">
        <f>IF(C_Ope_003[[#This Row],[FECHA]]&gt;0,TEXT(C_Ope_003[[#This Row],[FECHA]],"mmmm"),0)</f>
        <v>Febrero</v>
      </c>
    </row>
    <row r="21" spans="2:28" x14ac:dyDescent="0.3">
      <c r="B21" s="2">
        <f>IF(C_Ope_003[[#This Row],[TIPO DE R.]]="R",COUNTIFS($D$4:$D20,"R")+1,"")</f>
        <v>17</v>
      </c>
      <c r="C21" s="19" t="str">
        <f t="shared" si="4"/>
        <v>C_Ope_003</v>
      </c>
      <c r="D21" s="3" t="s">
        <v>1074</v>
      </c>
      <c r="E21" s="14">
        <v>45694</v>
      </c>
      <c r="F21" s="5" t="s">
        <v>4644</v>
      </c>
      <c r="G21" s="5" t="s">
        <v>1079</v>
      </c>
      <c r="H21" s="6"/>
      <c r="I21" s="6" t="s">
        <v>21</v>
      </c>
      <c r="J21" s="6">
        <v>1</v>
      </c>
      <c r="K21" s="6">
        <v>431</v>
      </c>
      <c r="L21" s="7" t="s">
        <v>6895</v>
      </c>
      <c r="M21" s="8">
        <v>22935</v>
      </c>
      <c r="N21" s="8" t="str">
        <f t="shared" si="5"/>
        <v>PEN</v>
      </c>
      <c r="O21" s="13"/>
      <c r="P21" s="13">
        <v>30</v>
      </c>
      <c r="Q21" s="3">
        <f t="shared" si="1"/>
        <v>0</v>
      </c>
      <c r="R21" s="3">
        <f t="shared" si="2"/>
        <v>30</v>
      </c>
      <c r="S21" s="3">
        <f t="shared" si="3"/>
        <v>1189.1500000000001</v>
      </c>
      <c r="T21" s="24"/>
      <c r="U21" s="24"/>
      <c r="V21" s="3"/>
      <c r="W21" s="25" t="s">
        <v>6747</v>
      </c>
      <c r="X21" s="25"/>
      <c r="Y21" s="25" t="str">
        <f>IFERROR(VLOOKUP(C_Ope_003[[#This Row],[NOTA 2]],Clientes_Proveedores[[Ruc / Dni]:[Razon Social]],2,0),"")</f>
        <v/>
      </c>
      <c r="Z21" s="25"/>
      <c r="AA21" s="25"/>
      <c r="AB21" s="3" t="str">
        <f>IF(C_Ope_003[[#This Row],[FECHA]]&gt;0,TEXT(C_Ope_003[[#This Row],[FECHA]],"mmmm"),0)</f>
        <v>Febrero</v>
      </c>
    </row>
    <row r="22" spans="2:28" x14ac:dyDescent="0.3">
      <c r="B22" s="2">
        <f>IF(C_Ope_003[[#This Row],[TIPO DE R.]]="R",COUNTIFS($D$4:$D21,"R")+1,"")</f>
        <v>18</v>
      </c>
      <c r="C22" s="19" t="str">
        <f t="shared" si="4"/>
        <v>C_Ope_003</v>
      </c>
      <c r="D22" s="3" t="s">
        <v>1074</v>
      </c>
      <c r="E22" s="14">
        <v>45694</v>
      </c>
      <c r="F22" s="5" t="s">
        <v>4644</v>
      </c>
      <c r="G22" s="5" t="s">
        <v>1079</v>
      </c>
      <c r="H22" s="6"/>
      <c r="I22" s="6"/>
      <c r="J22" s="6" t="s">
        <v>6893</v>
      </c>
      <c r="K22" s="6"/>
      <c r="L22" s="7" t="s">
        <v>6896</v>
      </c>
      <c r="M22" s="8">
        <v>22936</v>
      </c>
      <c r="N22" s="8" t="str">
        <f t="shared" si="5"/>
        <v>PEN</v>
      </c>
      <c r="O22" s="13"/>
      <c r="P22" s="13">
        <v>24</v>
      </c>
      <c r="Q22" s="3">
        <f t="shared" si="1"/>
        <v>0</v>
      </c>
      <c r="R22" s="3">
        <f t="shared" si="2"/>
        <v>24</v>
      </c>
      <c r="S22" s="3">
        <f t="shared" si="3"/>
        <v>1165.1500000000001</v>
      </c>
      <c r="T22" s="24"/>
      <c r="U22" s="24"/>
      <c r="V22" s="3"/>
      <c r="W22" s="25" t="s">
        <v>6747</v>
      </c>
      <c r="X22" s="25"/>
      <c r="Y22" s="25" t="str">
        <f>IFERROR(VLOOKUP(C_Ope_003[[#This Row],[NOTA 2]],Clientes_Proveedores[[Ruc / Dni]:[Razon Social]],2,0),"")</f>
        <v/>
      </c>
      <c r="Z22" s="25"/>
      <c r="AA22" s="25"/>
      <c r="AB22" s="3" t="str">
        <f>IF(C_Ope_003[[#This Row],[FECHA]]&gt;0,TEXT(C_Ope_003[[#This Row],[FECHA]],"mmmm"),0)</f>
        <v>Febrero</v>
      </c>
    </row>
    <row r="23" spans="2:28" x14ac:dyDescent="0.3">
      <c r="B23" s="2">
        <f>IF(C_Ope_003[[#This Row],[TIPO DE R.]]="R",COUNTIFS($D$4:$D22,"R")+1,"")</f>
        <v>19</v>
      </c>
      <c r="C23" s="19" t="str">
        <f t="shared" si="4"/>
        <v>C_Ope_003</v>
      </c>
      <c r="D23" s="3" t="s">
        <v>1074</v>
      </c>
      <c r="E23" s="14">
        <v>45695</v>
      </c>
      <c r="F23" s="5" t="s">
        <v>4644</v>
      </c>
      <c r="G23" s="5" t="s">
        <v>1079</v>
      </c>
      <c r="H23" s="6"/>
      <c r="I23" s="6"/>
      <c r="J23" s="6" t="s">
        <v>6893</v>
      </c>
      <c r="K23" s="6"/>
      <c r="L23" s="7" t="s">
        <v>6897</v>
      </c>
      <c r="M23" s="8">
        <v>22959</v>
      </c>
      <c r="N23" s="8" t="str">
        <f t="shared" si="5"/>
        <v>PEN</v>
      </c>
      <c r="O23" s="13"/>
      <c r="P23" s="13">
        <v>16</v>
      </c>
      <c r="Q23" s="3">
        <f t="shared" si="1"/>
        <v>0</v>
      </c>
      <c r="R23" s="3">
        <f t="shared" si="2"/>
        <v>16</v>
      </c>
      <c r="S23" s="3">
        <f t="shared" si="3"/>
        <v>1149.1500000000001</v>
      </c>
      <c r="T23" s="24"/>
      <c r="U23" s="24"/>
      <c r="V23" s="3"/>
      <c r="W23" s="25" t="s">
        <v>6747</v>
      </c>
      <c r="X23" s="25"/>
      <c r="Y23" s="25" t="str">
        <f>IFERROR(VLOOKUP(C_Ope_003[[#This Row],[NOTA 2]],Clientes_Proveedores[[Ruc / Dni]:[Razon Social]],2,0),"")</f>
        <v/>
      </c>
      <c r="Z23" s="25"/>
      <c r="AA23" s="25"/>
      <c r="AB23" s="3" t="str">
        <f>IF(C_Ope_003[[#This Row],[FECHA]]&gt;0,TEXT(C_Ope_003[[#This Row],[FECHA]],"mmmm"),0)</f>
        <v>Febrero</v>
      </c>
    </row>
    <row r="24" spans="2:28" x14ac:dyDescent="0.3">
      <c r="B24" s="2">
        <f>IF(C_Ope_003[[#This Row],[TIPO DE R.]]="R",COUNTIFS($D$4:$D23,"R")+1,"")</f>
        <v>20</v>
      </c>
      <c r="C24" s="19" t="str">
        <f t="shared" si="4"/>
        <v>C_Ope_003</v>
      </c>
      <c r="D24" s="3" t="s">
        <v>1074</v>
      </c>
      <c r="E24" s="14">
        <v>45695</v>
      </c>
      <c r="F24" s="5" t="s">
        <v>4644</v>
      </c>
      <c r="G24" s="5" t="s">
        <v>1079</v>
      </c>
      <c r="H24" s="6"/>
      <c r="I24" s="6" t="s">
        <v>21</v>
      </c>
      <c r="J24" s="6">
        <v>1</v>
      </c>
      <c r="K24" s="6">
        <v>686</v>
      </c>
      <c r="L24" s="7" t="s">
        <v>6898</v>
      </c>
      <c r="M24" s="8">
        <v>22960</v>
      </c>
      <c r="N24" s="8" t="str">
        <f t="shared" si="5"/>
        <v>PEN</v>
      </c>
      <c r="O24" s="13"/>
      <c r="P24" s="13">
        <v>24</v>
      </c>
      <c r="Q24" s="3">
        <f t="shared" si="1"/>
        <v>0</v>
      </c>
      <c r="R24" s="3">
        <f t="shared" si="2"/>
        <v>24</v>
      </c>
      <c r="S24" s="3">
        <f t="shared" si="3"/>
        <v>1125.1500000000001</v>
      </c>
      <c r="T24" s="24"/>
      <c r="U24" s="24"/>
      <c r="V24" s="3"/>
      <c r="W24" s="25" t="s">
        <v>6747</v>
      </c>
      <c r="X24" s="25"/>
      <c r="Y24" s="25" t="str">
        <f>IFERROR(VLOOKUP(C_Ope_003[[#This Row],[NOTA 2]],Clientes_Proveedores[[Ruc / Dni]:[Razon Social]],2,0),"")</f>
        <v/>
      </c>
      <c r="Z24" s="25"/>
      <c r="AA24" s="25"/>
      <c r="AB24" s="3" t="str">
        <f>IF(C_Ope_003[[#This Row],[FECHA]]&gt;0,TEXT(C_Ope_003[[#This Row],[FECHA]],"mmmm"),0)</f>
        <v>Febrero</v>
      </c>
    </row>
    <row r="25" spans="2:28" x14ac:dyDescent="0.3">
      <c r="B25" s="2">
        <f>IF(C_Ope_003[[#This Row],[TIPO DE R.]]="R",COUNTIFS($D$4:$D24,"R")+1,"")</f>
        <v>21</v>
      </c>
      <c r="C25" s="19" t="str">
        <f t="shared" si="4"/>
        <v>C_Ope_003</v>
      </c>
      <c r="D25" s="3" t="s">
        <v>1074</v>
      </c>
      <c r="E25" s="14">
        <v>45695</v>
      </c>
      <c r="F25" s="5" t="s">
        <v>4644</v>
      </c>
      <c r="G25" s="5" t="s">
        <v>1079</v>
      </c>
      <c r="H25" s="6"/>
      <c r="I25" s="6"/>
      <c r="J25" s="6" t="s">
        <v>6893</v>
      </c>
      <c r="K25" s="6"/>
      <c r="L25" s="7" t="s">
        <v>6899</v>
      </c>
      <c r="M25" s="8">
        <v>22961</v>
      </c>
      <c r="N25" s="8" t="str">
        <f t="shared" si="5"/>
        <v>PEN</v>
      </c>
      <c r="O25" s="13"/>
      <c r="P25" s="13">
        <v>20</v>
      </c>
      <c r="Q25" s="3">
        <f t="shared" si="1"/>
        <v>0</v>
      </c>
      <c r="R25" s="3">
        <f t="shared" si="2"/>
        <v>20</v>
      </c>
      <c r="S25" s="3">
        <f t="shared" si="3"/>
        <v>1105.1500000000001</v>
      </c>
      <c r="T25" s="24"/>
      <c r="U25" s="24"/>
      <c r="V25" s="3"/>
      <c r="W25" s="25" t="s">
        <v>6747</v>
      </c>
      <c r="X25" s="25"/>
      <c r="Y25" s="25" t="str">
        <f>IFERROR(VLOOKUP(C_Ope_003[[#This Row],[NOTA 2]],Clientes_Proveedores[[Ruc / Dni]:[Razon Social]],2,0),"")</f>
        <v/>
      </c>
      <c r="Z25" s="25"/>
      <c r="AA25" s="25"/>
      <c r="AB25" s="3" t="str">
        <f>IF(C_Ope_003[[#This Row],[FECHA]]&gt;0,TEXT(C_Ope_003[[#This Row],[FECHA]],"mmmm"),0)</f>
        <v>Febrero</v>
      </c>
    </row>
    <row r="26" spans="2:28" x14ac:dyDescent="0.3">
      <c r="B26" s="2">
        <f>IF(C_Ope_003[[#This Row],[TIPO DE R.]]="R",COUNTIFS($D$4:$D25,"R")+1,"")</f>
        <v>22</v>
      </c>
      <c r="C26" s="19" t="str">
        <f t="shared" si="4"/>
        <v>C_Ope_003</v>
      </c>
      <c r="D26" s="3" t="s">
        <v>1074</v>
      </c>
      <c r="E26" s="14">
        <v>45695</v>
      </c>
      <c r="F26" s="5" t="s">
        <v>4644</v>
      </c>
      <c r="G26" s="5" t="s">
        <v>1079</v>
      </c>
      <c r="H26" s="6"/>
      <c r="I26" s="6" t="s">
        <v>14</v>
      </c>
      <c r="J26" s="6" t="s">
        <v>2789</v>
      </c>
      <c r="K26" s="6">
        <v>39280</v>
      </c>
      <c r="L26" s="7" t="s">
        <v>6565</v>
      </c>
      <c r="M26" s="8">
        <v>22962</v>
      </c>
      <c r="N26" s="8" t="str">
        <f t="shared" si="5"/>
        <v>PEN</v>
      </c>
      <c r="O26" s="13"/>
      <c r="P26" s="13">
        <v>65</v>
      </c>
      <c r="Q26" s="3">
        <f t="shared" si="1"/>
        <v>0</v>
      </c>
      <c r="R26" s="3">
        <f t="shared" si="2"/>
        <v>65</v>
      </c>
      <c r="S26" s="3">
        <f t="shared" si="3"/>
        <v>1040.1500000000001</v>
      </c>
      <c r="T26" s="24"/>
      <c r="U26" s="24"/>
      <c r="V26" s="3"/>
      <c r="W26" s="25" t="s">
        <v>6747</v>
      </c>
      <c r="X26" s="25"/>
      <c r="Y26" s="25" t="str">
        <f>IFERROR(VLOOKUP(C_Ope_003[[#This Row],[NOTA 2]],Clientes_Proveedores[[Ruc / Dni]:[Razon Social]],2,0),"")</f>
        <v/>
      </c>
      <c r="Z26" s="25"/>
      <c r="AA26" s="25"/>
      <c r="AB26" s="3" t="str">
        <f>IF(C_Ope_003[[#This Row],[FECHA]]&gt;0,TEXT(C_Ope_003[[#This Row],[FECHA]],"mmmm"),0)</f>
        <v>Febrero</v>
      </c>
    </row>
    <row r="27" spans="2:28" x14ac:dyDescent="0.3">
      <c r="B27" s="2">
        <f>IF(C_Ope_003[[#This Row],[TIPO DE R.]]="R",COUNTIFS($D$4:$D26,"R")+1,"")</f>
        <v>23</v>
      </c>
      <c r="C27" s="19" t="str">
        <f t="shared" si="4"/>
        <v>C_Ope_003</v>
      </c>
      <c r="D27" s="3" t="s">
        <v>1074</v>
      </c>
      <c r="E27" s="14">
        <v>45696</v>
      </c>
      <c r="F27" s="5" t="s">
        <v>4644</v>
      </c>
      <c r="G27" s="5" t="s">
        <v>1079</v>
      </c>
      <c r="H27" s="6"/>
      <c r="I27" s="6"/>
      <c r="J27" s="6" t="s">
        <v>6893</v>
      </c>
      <c r="K27" s="6"/>
      <c r="L27" s="7" t="s">
        <v>6900</v>
      </c>
      <c r="M27" s="8">
        <v>22963</v>
      </c>
      <c r="N27" s="8" t="str">
        <f t="shared" si="5"/>
        <v>PEN</v>
      </c>
      <c r="O27" s="13"/>
      <c r="P27" s="13">
        <v>16</v>
      </c>
      <c r="Q27" s="3">
        <f t="shared" si="1"/>
        <v>0</v>
      </c>
      <c r="R27" s="3">
        <f t="shared" si="2"/>
        <v>16</v>
      </c>
      <c r="S27" s="3">
        <f t="shared" si="3"/>
        <v>1024.1500000000001</v>
      </c>
      <c r="T27" s="24"/>
      <c r="U27" s="24"/>
      <c r="V27" s="3"/>
      <c r="W27" s="25" t="s">
        <v>6747</v>
      </c>
      <c r="X27" s="25"/>
      <c r="Y27" s="25" t="str">
        <f>IFERROR(VLOOKUP(C_Ope_003[[#This Row],[NOTA 2]],Clientes_Proveedores[[Ruc / Dni]:[Razon Social]],2,0),"")</f>
        <v/>
      </c>
      <c r="Z27" s="25"/>
      <c r="AA27" s="25"/>
      <c r="AB27" s="3" t="str">
        <f>IF(C_Ope_003[[#This Row],[FECHA]]&gt;0,TEXT(C_Ope_003[[#This Row],[FECHA]],"mmmm"),0)</f>
        <v>Febrero</v>
      </c>
    </row>
    <row r="28" spans="2:28" x14ac:dyDescent="0.3">
      <c r="B28" s="2">
        <f>IF(C_Ope_003[[#This Row],[TIPO DE R.]]="R",COUNTIFS($D$4:$D27,"R")+1,"")</f>
        <v>24</v>
      </c>
      <c r="C28" s="19" t="str">
        <f t="shared" si="4"/>
        <v>C_Ope_003</v>
      </c>
      <c r="D28" s="3" t="s">
        <v>1074</v>
      </c>
      <c r="E28" s="14">
        <v>45696</v>
      </c>
      <c r="F28" s="5" t="s">
        <v>4644</v>
      </c>
      <c r="G28" s="5" t="s">
        <v>1079</v>
      </c>
      <c r="H28" s="6"/>
      <c r="I28" s="6"/>
      <c r="J28" s="6" t="s">
        <v>6893</v>
      </c>
      <c r="K28" s="6"/>
      <c r="L28" s="7" t="s">
        <v>6901</v>
      </c>
      <c r="M28" s="8">
        <v>22964</v>
      </c>
      <c r="N28" s="8" t="str">
        <f t="shared" si="5"/>
        <v>PEN</v>
      </c>
      <c r="O28" s="13"/>
      <c r="P28" s="13">
        <v>24</v>
      </c>
      <c r="Q28" s="3">
        <f t="shared" si="1"/>
        <v>0</v>
      </c>
      <c r="R28" s="3">
        <f t="shared" si="2"/>
        <v>24</v>
      </c>
      <c r="S28" s="3">
        <f t="shared" si="3"/>
        <v>1000.1500000000001</v>
      </c>
      <c r="T28" s="24"/>
      <c r="U28" s="24"/>
      <c r="V28" s="3"/>
      <c r="W28" s="25" t="s">
        <v>6747</v>
      </c>
      <c r="X28" s="25"/>
      <c r="Y28" s="25" t="str">
        <f>IFERROR(VLOOKUP(C_Ope_003[[#This Row],[NOTA 2]],Clientes_Proveedores[[Ruc / Dni]:[Razon Social]],2,0),"")</f>
        <v/>
      </c>
      <c r="Z28" s="25"/>
      <c r="AA28" s="25"/>
      <c r="AB28" s="3" t="str">
        <f>IF(C_Ope_003[[#This Row],[FECHA]]&gt;0,TEXT(C_Ope_003[[#This Row],[FECHA]],"mmmm"),0)</f>
        <v>Febrero</v>
      </c>
    </row>
    <row r="29" spans="2:28" x14ac:dyDescent="0.3">
      <c r="B29" s="2">
        <f>IF(C_Ope_003[[#This Row],[TIPO DE R.]]="R",COUNTIFS($D$4:$D28,"R")+1,"")</f>
        <v>25</v>
      </c>
      <c r="C29" s="19" t="str">
        <f t="shared" si="4"/>
        <v>C_Ope_003</v>
      </c>
      <c r="D29" s="3" t="s">
        <v>1074</v>
      </c>
      <c r="E29" s="14">
        <v>45696</v>
      </c>
      <c r="F29" s="5" t="s">
        <v>4644</v>
      </c>
      <c r="G29" s="5" t="s">
        <v>1079</v>
      </c>
      <c r="H29" s="6"/>
      <c r="I29" s="6"/>
      <c r="J29" s="6" t="s">
        <v>6893</v>
      </c>
      <c r="K29" s="6"/>
      <c r="L29" s="7" t="s">
        <v>6902</v>
      </c>
      <c r="M29" s="8">
        <v>22965</v>
      </c>
      <c r="N29" s="8" t="str">
        <f t="shared" si="5"/>
        <v>PEN</v>
      </c>
      <c r="O29" s="13"/>
      <c r="P29" s="13">
        <v>20</v>
      </c>
      <c r="Q29" s="3">
        <f t="shared" si="1"/>
        <v>0</v>
      </c>
      <c r="R29" s="3">
        <f t="shared" si="2"/>
        <v>20</v>
      </c>
      <c r="S29" s="3">
        <f t="shared" si="3"/>
        <v>980.15000000000009</v>
      </c>
      <c r="T29" s="24"/>
      <c r="U29" s="24"/>
      <c r="V29" s="3"/>
      <c r="W29" s="25" t="s">
        <v>6747</v>
      </c>
      <c r="X29" s="25"/>
      <c r="Y29" s="25" t="str">
        <f>IFERROR(VLOOKUP(C_Ope_003[[#This Row],[NOTA 2]],Clientes_Proveedores[[Ruc / Dni]:[Razon Social]],2,0),"")</f>
        <v/>
      </c>
      <c r="Z29" s="25"/>
      <c r="AA29" s="25"/>
      <c r="AB29" s="3" t="str">
        <f>IF(C_Ope_003[[#This Row],[FECHA]]&gt;0,TEXT(C_Ope_003[[#This Row],[FECHA]],"mmmm"),0)</f>
        <v>Febrero</v>
      </c>
    </row>
    <row r="30" spans="2:28" x14ac:dyDescent="0.3">
      <c r="B30" s="2">
        <f>IF(C_Ope_003[[#This Row],[TIPO DE R.]]="R",COUNTIFS($D$4:$D29,"R")+1,"")</f>
        <v>26</v>
      </c>
      <c r="C30" s="19" t="str">
        <f t="shared" si="4"/>
        <v>C_Ope_003</v>
      </c>
      <c r="D30" s="3" t="s">
        <v>1074</v>
      </c>
      <c r="E30" s="14">
        <v>45697</v>
      </c>
      <c r="F30" s="5" t="s">
        <v>4644</v>
      </c>
      <c r="G30" s="5" t="s">
        <v>1079</v>
      </c>
      <c r="H30" s="6"/>
      <c r="I30" s="6"/>
      <c r="J30" s="6" t="s">
        <v>6893</v>
      </c>
      <c r="K30" s="6"/>
      <c r="L30" s="7" t="s">
        <v>6897</v>
      </c>
      <c r="M30" s="8">
        <v>22966</v>
      </c>
      <c r="N30" s="8" t="str">
        <f t="shared" si="5"/>
        <v>PEN</v>
      </c>
      <c r="O30" s="13"/>
      <c r="P30" s="13">
        <v>16</v>
      </c>
      <c r="Q30" s="3">
        <f t="shared" si="1"/>
        <v>0</v>
      </c>
      <c r="R30" s="3">
        <f t="shared" si="2"/>
        <v>16</v>
      </c>
      <c r="S30" s="3">
        <f t="shared" si="3"/>
        <v>964.15000000000009</v>
      </c>
      <c r="T30" s="24"/>
      <c r="U30" s="24"/>
      <c r="V30" s="3"/>
      <c r="W30" s="25" t="s">
        <v>6747</v>
      </c>
      <c r="X30" s="25"/>
      <c r="Y30" s="25" t="str">
        <f>IFERROR(VLOOKUP(C_Ope_003[[#This Row],[NOTA 2]],Clientes_Proveedores[[Ruc / Dni]:[Razon Social]],2,0),"")</f>
        <v/>
      </c>
      <c r="Z30" s="25"/>
      <c r="AA30" s="25"/>
      <c r="AB30" s="3" t="str">
        <f>IF(C_Ope_003[[#This Row],[FECHA]]&gt;0,TEXT(C_Ope_003[[#This Row],[FECHA]],"mmmm"),0)</f>
        <v>Febrero</v>
      </c>
    </row>
    <row r="31" spans="2:28" x14ac:dyDescent="0.3">
      <c r="B31" s="2">
        <f>IF(C_Ope_003[[#This Row],[TIPO DE R.]]="R",COUNTIFS($D$4:$D30,"R")+1,"")</f>
        <v>27</v>
      </c>
      <c r="C31" s="19" t="str">
        <f t="shared" si="4"/>
        <v>C_Ope_003</v>
      </c>
      <c r="D31" s="3" t="s">
        <v>1074</v>
      </c>
      <c r="E31" s="14">
        <v>45697</v>
      </c>
      <c r="F31" s="5" t="s">
        <v>4644</v>
      </c>
      <c r="G31" s="5" t="s">
        <v>1079</v>
      </c>
      <c r="H31" s="6"/>
      <c r="I31" s="6"/>
      <c r="J31" s="6" t="s">
        <v>6893</v>
      </c>
      <c r="K31" s="6"/>
      <c r="L31" s="7" t="s">
        <v>6889</v>
      </c>
      <c r="M31" s="8">
        <v>22967</v>
      </c>
      <c r="N31" s="8" t="str">
        <f t="shared" si="5"/>
        <v>PEN</v>
      </c>
      <c r="O31" s="13"/>
      <c r="P31" s="13">
        <v>24</v>
      </c>
      <c r="Q31" s="3">
        <f t="shared" si="1"/>
        <v>0</v>
      </c>
      <c r="R31" s="3">
        <f t="shared" si="2"/>
        <v>24</v>
      </c>
      <c r="S31" s="3">
        <f t="shared" si="3"/>
        <v>940.15000000000009</v>
      </c>
      <c r="T31" s="24"/>
      <c r="U31" s="24"/>
      <c r="V31" s="3"/>
      <c r="W31" s="25" t="s">
        <v>6747</v>
      </c>
      <c r="X31" s="25"/>
      <c r="Y31" s="25" t="str">
        <f>IFERROR(VLOOKUP(C_Ope_003[[#This Row],[NOTA 2]],Clientes_Proveedores[[Ruc / Dni]:[Razon Social]],2,0),"")</f>
        <v/>
      </c>
      <c r="Z31" s="25"/>
      <c r="AA31" s="25"/>
      <c r="AB31" s="3" t="str">
        <f>IF(C_Ope_003[[#This Row],[FECHA]]&gt;0,TEXT(C_Ope_003[[#This Row],[FECHA]],"mmmm"),0)</f>
        <v>Febrero</v>
      </c>
    </row>
    <row r="32" spans="2:28" x14ac:dyDescent="0.3">
      <c r="B32" s="2">
        <f>IF(C_Ope_003[[#This Row],[TIPO DE R.]]="R",COUNTIFS($D$4:$D31,"R")+1,"")</f>
        <v>28</v>
      </c>
      <c r="C32" s="19" t="str">
        <f t="shared" si="4"/>
        <v>C_Ope_003</v>
      </c>
      <c r="D32" s="3" t="s">
        <v>1074</v>
      </c>
      <c r="E32" s="14">
        <v>45697</v>
      </c>
      <c r="F32" s="5" t="s">
        <v>4644</v>
      </c>
      <c r="G32" s="5" t="s">
        <v>1079</v>
      </c>
      <c r="H32" s="6"/>
      <c r="I32" s="6"/>
      <c r="J32" s="6" t="s">
        <v>6893</v>
      </c>
      <c r="K32" s="6"/>
      <c r="L32" s="7" t="s">
        <v>6903</v>
      </c>
      <c r="M32" s="8">
        <v>22968</v>
      </c>
      <c r="N32" s="8" t="str">
        <f t="shared" si="5"/>
        <v>PEN</v>
      </c>
      <c r="O32" s="13"/>
      <c r="P32" s="13">
        <v>20</v>
      </c>
      <c r="Q32" s="3">
        <f t="shared" si="1"/>
        <v>0</v>
      </c>
      <c r="R32" s="3">
        <f t="shared" si="2"/>
        <v>20</v>
      </c>
      <c r="S32" s="3">
        <f t="shared" si="3"/>
        <v>920.15000000000009</v>
      </c>
      <c r="T32" s="24"/>
      <c r="U32" s="24"/>
      <c r="V32" s="3"/>
      <c r="W32" s="25" t="s">
        <v>6747</v>
      </c>
      <c r="X32" s="25"/>
      <c r="Y32" s="25" t="str">
        <f>IFERROR(VLOOKUP(C_Ope_003[[#This Row],[NOTA 2]],Clientes_Proveedores[[Ruc / Dni]:[Razon Social]],2,0),"")</f>
        <v/>
      </c>
      <c r="Z32" s="25"/>
      <c r="AA32" s="25"/>
      <c r="AB32" s="3" t="str">
        <f>IF(C_Ope_003[[#This Row],[FECHA]]&gt;0,TEXT(C_Ope_003[[#This Row],[FECHA]],"mmmm"),0)</f>
        <v>Febrero</v>
      </c>
    </row>
    <row r="33" spans="2:28" x14ac:dyDescent="0.3">
      <c r="B33" s="2">
        <f>IF(C_Ope_003[[#This Row],[TIPO DE R.]]="R",COUNTIFS($D$4:$D32,"R")+1,"")</f>
        <v>29</v>
      </c>
      <c r="C33" s="19" t="str">
        <f t="shared" si="4"/>
        <v>C_Ope_003</v>
      </c>
      <c r="D33" s="3" t="s">
        <v>1074</v>
      </c>
      <c r="E33" s="14">
        <v>45698</v>
      </c>
      <c r="F33" s="5" t="s">
        <v>4644</v>
      </c>
      <c r="G33" s="5" t="s">
        <v>1079</v>
      </c>
      <c r="H33" s="6"/>
      <c r="I33" s="6" t="s">
        <v>14</v>
      </c>
      <c r="J33" s="6" t="s">
        <v>6904</v>
      </c>
      <c r="K33" s="6">
        <v>4364957</v>
      </c>
      <c r="L33" s="7" t="s">
        <v>6905</v>
      </c>
      <c r="M33" s="8">
        <v>22977</v>
      </c>
      <c r="N33" s="8" t="str">
        <f t="shared" si="5"/>
        <v>PEN</v>
      </c>
      <c r="O33" s="13"/>
      <c r="P33" s="13">
        <v>19.8</v>
      </c>
      <c r="Q33" s="3">
        <f t="shared" si="1"/>
        <v>0</v>
      </c>
      <c r="R33" s="3">
        <f t="shared" si="2"/>
        <v>19.8</v>
      </c>
      <c r="S33" s="3">
        <f t="shared" si="3"/>
        <v>900.35000000000014</v>
      </c>
      <c r="T33" s="24"/>
      <c r="U33" s="24"/>
      <c r="V33" s="3"/>
      <c r="W33" s="25" t="s">
        <v>6747</v>
      </c>
      <c r="X33" s="25"/>
      <c r="Y33" s="25" t="str">
        <f>IFERROR(VLOOKUP(C_Ope_003[[#This Row],[NOTA 2]],Clientes_Proveedores[[Ruc / Dni]:[Razon Social]],2,0),"")</f>
        <v/>
      </c>
      <c r="Z33" s="25"/>
      <c r="AA33" s="25"/>
      <c r="AB33" s="3" t="str">
        <f>IF(C_Ope_003[[#This Row],[FECHA]]&gt;0,TEXT(C_Ope_003[[#This Row],[FECHA]],"mmmm"),0)</f>
        <v>Febrero</v>
      </c>
    </row>
    <row r="34" spans="2:28" ht="24" x14ac:dyDescent="0.3">
      <c r="B34" s="2">
        <f>IF(C_Ope_003[[#This Row],[TIPO DE R.]]="R",COUNTIFS($D$4:$D33,"R")+1,"")</f>
        <v>30</v>
      </c>
      <c r="C34" s="19" t="str">
        <f t="shared" si="4"/>
        <v>C_Ope_003</v>
      </c>
      <c r="D34" s="3" t="s">
        <v>1074</v>
      </c>
      <c r="E34" s="14">
        <v>45698</v>
      </c>
      <c r="F34" s="5" t="s">
        <v>4644</v>
      </c>
      <c r="G34" s="5" t="s">
        <v>1079</v>
      </c>
      <c r="H34" s="6"/>
      <c r="I34" s="6" t="s">
        <v>14</v>
      </c>
      <c r="J34" s="6" t="s">
        <v>6906</v>
      </c>
      <c r="K34" s="6">
        <v>2569821</v>
      </c>
      <c r="L34" s="7" t="s">
        <v>6907</v>
      </c>
      <c r="M34" s="8">
        <v>22978</v>
      </c>
      <c r="N34" s="8" t="str">
        <f t="shared" si="5"/>
        <v>PEN</v>
      </c>
      <c r="O34" s="13"/>
      <c r="P34" s="13">
        <v>22.5</v>
      </c>
      <c r="Q34" s="3">
        <f t="shared" si="1"/>
        <v>0</v>
      </c>
      <c r="R34" s="3">
        <f t="shared" si="2"/>
        <v>22.5</v>
      </c>
      <c r="S34" s="3">
        <f t="shared" si="3"/>
        <v>877.85000000000014</v>
      </c>
      <c r="T34" s="24"/>
      <c r="U34" s="24"/>
      <c r="V34" s="3"/>
      <c r="W34" s="25" t="s">
        <v>6747</v>
      </c>
      <c r="X34" s="25"/>
      <c r="Y34" s="25" t="str">
        <f>IFERROR(VLOOKUP(C_Ope_003[[#This Row],[NOTA 2]],Clientes_Proveedores[[Ruc / Dni]:[Razon Social]],2,0),"")</f>
        <v/>
      </c>
      <c r="Z34" s="25"/>
      <c r="AA34" s="25"/>
      <c r="AB34" s="3" t="str">
        <f>IF(C_Ope_003[[#This Row],[FECHA]]&gt;0,TEXT(C_Ope_003[[#This Row],[FECHA]],"mmmm"),0)</f>
        <v>Febrero</v>
      </c>
    </row>
    <row r="35" spans="2:28" ht="24" x14ac:dyDescent="0.3">
      <c r="B35" s="2">
        <f>IF(C_Ope_003[[#This Row],[TIPO DE R.]]="R",COUNTIFS($D$4:$D34,"R")+1,"")</f>
        <v>31</v>
      </c>
      <c r="C35" s="19" t="str">
        <f t="shared" si="4"/>
        <v>C_Ope_003</v>
      </c>
      <c r="D35" s="3" t="s">
        <v>1074</v>
      </c>
      <c r="E35" s="14">
        <v>45698</v>
      </c>
      <c r="F35" s="5" t="s">
        <v>4644</v>
      </c>
      <c r="G35" s="5" t="s">
        <v>1079</v>
      </c>
      <c r="H35" s="6"/>
      <c r="I35" s="6" t="s">
        <v>14</v>
      </c>
      <c r="J35" s="6" t="s">
        <v>6908</v>
      </c>
      <c r="K35" s="6">
        <v>2109628</v>
      </c>
      <c r="L35" s="7" t="s">
        <v>6909</v>
      </c>
      <c r="M35" s="8">
        <v>22979</v>
      </c>
      <c r="N35" s="8" t="str">
        <f t="shared" si="5"/>
        <v>PEN</v>
      </c>
      <c r="O35" s="13"/>
      <c r="P35" s="13">
        <v>56.4</v>
      </c>
      <c r="Q35" s="3">
        <f t="shared" si="1"/>
        <v>0</v>
      </c>
      <c r="R35" s="3">
        <f t="shared" si="2"/>
        <v>56.4</v>
      </c>
      <c r="S35" s="3">
        <f t="shared" si="3"/>
        <v>821.45000000000016</v>
      </c>
      <c r="T35" s="24"/>
      <c r="U35" s="24"/>
      <c r="V35" s="3"/>
      <c r="W35" s="25" t="s">
        <v>6747</v>
      </c>
      <c r="X35" s="25"/>
      <c r="Y35" s="25" t="str">
        <f>IFERROR(VLOOKUP(C_Ope_003[[#This Row],[NOTA 2]],Clientes_Proveedores[[Ruc / Dni]:[Razon Social]],2,0),"")</f>
        <v/>
      </c>
      <c r="Z35" s="25"/>
      <c r="AA35" s="25"/>
      <c r="AB35" s="3" t="str">
        <f>IF(C_Ope_003[[#This Row],[FECHA]]&gt;0,TEXT(C_Ope_003[[#This Row],[FECHA]],"mmmm"),0)</f>
        <v>Febrero</v>
      </c>
    </row>
    <row r="36" spans="2:28" x14ac:dyDescent="0.3">
      <c r="B36" s="2">
        <f>IF(C_Ope_003[[#This Row],[TIPO DE R.]]="R",COUNTIFS($D$4:$D35,"R")+1,"")</f>
        <v>32</v>
      </c>
      <c r="C36" s="19" t="str">
        <f t="shared" si="4"/>
        <v>C_Ope_003</v>
      </c>
      <c r="D36" s="3" t="s">
        <v>1074</v>
      </c>
      <c r="E36" s="14">
        <v>45698</v>
      </c>
      <c r="F36" s="5" t="s">
        <v>4644</v>
      </c>
      <c r="G36" s="5" t="s">
        <v>1079</v>
      </c>
      <c r="H36" s="6"/>
      <c r="I36" s="6" t="s">
        <v>14</v>
      </c>
      <c r="J36" s="6" t="s">
        <v>6910</v>
      </c>
      <c r="K36" s="6">
        <v>2397559</v>
      </c>
      <c r="L36" s="7" t="s">
        <v>6911</v>
      </c>
      <c r="M36" s="8">
        <v>22980</v>
      </c>
      <c r="N36" s="8" t="str">
        <f t="shared" si="5"/>
        <v>PEN</v>
      </c>
      <c r="O36" s="13"/>
      <c r="P36" s="13">
        <v>56.4</v>
      </c>
      <c r="Q36" s="3">
        <f t="shared" si="1"/>
        <v>0</v>
      </c>
      <c r="R36" s="3">
        <f t="shared" si="2"/>
        <v>56.4</v>
      </c>
      <c r="S36" s="3">
        <f t="shared" si="3"/>
        <v>765.05000000000018</v>
      </c>
      <c r="T36" s="24"/>
      <c r="U36" s="24"/>
      <c r="V36" s="3"/>
      <c r="W36" s="25" t="s">
        <v>6747</v>
      </c>
      <c r="X36" s="25"/>
      <c r="Y36" s="25" t="str">
        <f>IFERROR(VLOOKUP(C_Ope_003[[#This Row],[NOTA 2]],Clientes_Proveedores[[Ruc / Dni]:[Razon Social]],2,0),"")</f>
        <v/>
      </c>
      <c r="Z36" s="25"/>
      <c r="AA36" s="25"/>
      <c r="AB36" s="3" t="str">
        <f>IF(C_Ope_003[[#This Row],[FECHA]]&gt;0,TEXT(C_Ope_003[[#This Row],[FECHA]],"mmmm"),0)</f>
        <v>Febrero</v>
      </c>
    </row>
    <row r="37" spans="2:28" ht="24" x14ac:dyDescent="0.3">
      <c r="B37" s="2">
        <f>IF(C_Ope_003[[#This Row],[TIPO DE R.]]="R",COUNTIFS($D$4:$D36,"R")+1,"")</f>
        <v>33</v>
      </c>
      <c r="C37" s="19" t="str">
        <f t="shared" si="4"/>
        <v>C_Ope_003</v>
      </c>
      <c r="D37" s="3" t="s">
        <v>1074</v>
      </c>
      <c r="E37" s="14">
        <v>45698</v>
      </c>
      <c r="F37" s="5" t="s">
        <v>4644</v>
      </c>
      <c r="G37" s="5" t="s">
        <v>1079</v>
      </c>
      <c r="H37" s="6"/>
      <c r="I37" s="6"/>
      <c r="J37" s="6"/>
      <c r="K37" s="6" t="s">
        <v>6912</v>
      </c>
      <c r="L37" s="7" t="s">
        <v>6913</v>
      </c>
      <c r="M37" s="8">
        <v>22981</v>
      </c>
      <c r="N37" s="8" t="str">
        <f t="shared" si="5"/>
        <v>PEN</v>
      </c>
      <c r="O37" s="13"/>
      <c r="P37" s="13">
        <v>19.5</v>
      </c>
      <c r="Q37" s="3">
        <f t="shared" si="1"/>
        <v>0</v>
      </c>
      <c r="R37" s="3">
        <f t="shared" si="2"/>
        <v>19.5</v>
      </c>
      <c r="S37" s="3">
        <f t="shared" si="3"/>
        <v>745.55000000000018</v>
      </c>
      <c r="T37" s="24"/>
      <c r="U37" s="24"/>
      <c r="V37" s="3"/>
      <c r="W37" s="25" t="s">
        <v>6747</v>
      </c>
      <c r="X37" s="25"/>
      <c r="Y37" s="25" t="str">
        <f>IFERROR(VLOOKUP(C_Ope_003[[#This Row],[NOTA 2]],Clientes_Proveedores[[Ruc / Dni]:[Razon Social]],2,0),"")</f>
        <v/>
      </c>
      <c r="Z37" s="25"/>
      <c r="AA37" s="25"/>
      <c r="AB37" s="3" t="str">
        <f>IF(C_Ope_003[[#This Row],[FECHA]]&gt;0,TEXT(C_Ope_003[[#This Row],[FECHA]],"mmmm"),0)</f>
        <v>Febrero</v>
      </c>
    </row>
    <row r="38" spans="2:28" ht="24" x14ac:dyDescent="0.3">
      <c r="B38" s="2">
        <f>IF(C_Ope_003[[#This Row],[TIPO DE R.]]="R",COUNTIFS($D$4:$D37,"R")+1,"")</f>
        <v>34</v>
      </c>
      <c r="C38" s="19" t="str">
        <f t="shared" si="4"/>
        <v>C_Ope_003</v>
      </c>
      <c r="D38" s="3" t="s">
        <v>1074</v>
      </c>
      <c r="E38" s="14">
        <v>45698</v>
      </c>
      <c r="F38" s="5" t="s">
        <v>4644</v>
      </c>
      <c r="G38" s="5" t="s">
        <v>1079</v>
      </c>
      <c r="H38" s="6"/>
      <c r="I38" s="6"/>
      <c r="J38" s="6"/>
      <c r="K38" s="6" t="s">
        <v>6914</v>
      </c>
      <c r="L38" s="7" t="s">
        <v>6915</v>
      </c>
      <c r="M38" s="8">
        <v>22986</v>
      </c>
      <c r="N38" s="8" t="str">
        <f t="shared" si="5"/>
        <v>PEN</v>
      </c>
      <c r="O38" s="13"/>
      <c r="P38" s="13">
        <v>19.5</v>
      </c>
      <c r="Q38" s="3">
        <f t="shared" si="1"/>
        <v>0</v>
      </c>
      <c r="R38" s="3">
        <f t="shared" si="2"/>
        <v>19.5</v>
      </c>
      <c r="S38" s="3">
        <f t="shared" si="3"/>
        <v>726.05000000000018</v>
      </c>
      <c r="T38" s="24"/>
      <c r="U38" s="24"/>
      <c r="V38" s="3"/>
      <c r="W38" s="25" t="s">
        <v>6747</v>
      </c>
      <c r="X38" s="25"/>
      <c r="Y38" s="25" t="str">
        <f>IFERROR(VLOOKUP(C_Ope_003[[#This Row],[NOTA 2]],Clientes_Proveedores[[Ruc / Dni]:[Razon Social]],2,0),"")</f>
        <v/>
      </c>
      <c r="Z38" s="25"/>
      <c r="AA38" s="25"/>
      <c r="AB38" s="3" t="str">
        <f>IF(C_Ope_003[[#This Row],[FECHA]]&gt;0,TEXT(C_Ope_003[[#This Row],[FECHA]],"mmmm"),0)</f>
        <v>Febrero</v>
      </c>
    </row>
    <row r="39" spans="2:28" x14ac:dyDescent="0.3">
      <c r="B39" s="2">
        <f>IF(C_Ope_003[[#This Row],[TIPO DE R.]]="R",COUNTIFS($D$4:$D38,"R")+1,"")</f>
        <v>35</v>
      </c>
      <c r="C39" s="19" t="str">
        <f t="shared" si="4"/>
        <v>C_Ope_003</v>
      </c>
      <c r="D39" s="3" t="s">
        <v>1074</v>
      </c>
      <c r="E39" s="14">
        <v>45699</v>
      </c>
      <c r="F39" s="5" t="s">
        <v>4644</v>
      </c>
      <c r="G39" s="5" t="s">
        <v>1079</v>
      </c>
      <c r="H39" s="6"/>
      <c r="I39" s="6"/>
      <c r="J39" s="6">
        <v>351</v>
      </c>
      <c r="K39" s="6">
        <v>97333</v>
      </c>
      <c r="L39" s="7" t="s">
        <v>6916</v>
      </c>
      <c r="M39" s="8">
        <v>23000</v>
      </c>
      <c r="N39" s="8" t="str">
        <f t="shared" si="5"/>
        <v>PEN</v>
      </c>
      <c r="O39" s="13"/>
      <c r="P39" s="13">
        <v>19.5</v>
      </c>
      <c r="Q39" s="3">
        <f t="shared" si="1"/>
        <v>0</v>
      </c>
      <c r="R39" s="3">
        <f t="shared" si="2"/>
        <v>19.5</v>
      </c>
      <c r="S39" s="3">
        <f t="shared" si="3"/>
        <v>706.55000000000018</v>
      </c>
      <c r="T39" s="24"/>
      <c r="U39" s="24"/>
      <c r="V39" s="3"/>
      <c r="W39" s="25" t="s">
        <v>6747</v>
      </c>
      <c r="X39" s="25"/>
      <c r="Y39" s="25" t="str">
        <f>IFERROR(VLOOKUP(C_Ope_003[[#This Row],[NOTA 2]],Clientes_Proveedores[[Ruc / Dni]:[Razon Social]],2,0),"")</f>
        <v/>
      </c>
      <c r="Z39" s="25"/>
      <c r="AA39" s="25"/>
      <c r="AB39" s="3" t="str">
        <f>IF(C_Ope_003[[#This Row],[FECHA]]&gt;0,TEXT(C_Ope_003[[#This Row],[FECHA]],"mmmm"),0)</f>
        <v>Febrero</v>
      </c>
    </row>
    <row r="40" spans="2:28" x14ac:dyDescent="0.3">
      <c r="B40" s="2">
        <f>IF(C_Ope_003[[#This Row],[TIPO DE R.]]="R",COUNTIFS($D$4:$D39,"R")+1,"")</f>
        <v>36</v>
      </c>
      <c r="C40" s="19" t="str">
        <f t="shared" si="4"/>
        <v>C_Ope_003</v>
      </c>
      <c r="D40" s="3" t="s">
        <v>1074</v>
      </c>
      <c r="E40" s="14">
        <v>45699</v>
      </c>
      <c r="F40" s="5" t="s">
        <v>4644</v>
      </c>
      <c r="G40" s="5" t="s">
        <v>1079</v>
      </c>
      <c r="H40" s="6"/>
      <c r="I40" s="6" t="s">
        <v>14</v>
      </c>
      <c r="J40" s="6" t="s">
        <v>2629</v>
      </c>
      <c r="K40" s="6">
        <v>679344</v>
      </c>
      <c r="L40" s="7" t="s">
        <v>6917</v>
      </c>
      <c r="M40" s="8">
        <v>23082</v>
      </c>
      <c r="N40" s="8" t="str">
        <f t="shared" si="5"/>
        <v>PEN</v>
      </c>
      <c r="O40" s="13"/>
      <c r="P40" s="13">
        <v>23.6</v>
      </c>
      <c r="Q40" s="3">
        <f t="shared" si="1"/>
        <v>0</v>
      </c>
      <c r="R40" s="3">
        <f t="shared" si="2"/>
        <v>23.6</v>
      </c>
      <c r="S40" s="3">
        <f t="shared" si="3"/>
        <v>682.95000000000016</v>
      </c>
      <c r="T40" s="24"/>
      <c r="U40" s="24"/>
      <c r="V40" s="3"/>
      <c r="W40" s="25" t="s">
        <v>6747</v>
      </c>
      <c r="X40" s="25"/>
      <c r="Y40" s="25" t="str">
        <f>IFERROR(VLOOKUP(C_Ope_003[[#This Row],[NOTA 2]],Clientes_Proveedores[[Ruc / Dni]:[Razon Social]],2,0),"")</f>
        <v/>
      </c>
      <c r="Z40" s="25"/>
      <c r="AA40" s="25"/>
      <c r="AB40" s="3" t="str">
        <f>IF(C_Ope_003[[#This Row],[FECHA]]&gt;0,TEXT(C_Ope_003[[#This Row],[FECHA]],"mmmm"),0)</f>
        <v>Febrero</v>
      </c>
    </row>
    <row r="41" spans="2:28" x14ac:dyDescent="0.3">
      <c r="B41" s="2">
        <f>IF(C_Ope_003[[#This Row],[TIPO DE R.]]="R",COUNTIFS($D$4:$D40,"R")+1,"")</f>
        <v>37</v>
      </c>
      <c r="C41" s="19" t="str">
        <f t="shared" si="4"/>
        <v>C_Ope_003</v>
      </c>
      <c r="D41" s="3" t="s">
        <v>1074</v>
      </c>
      <c r="E41" s="14">
        <v>45698</v>
      </c>
      <c r="F41" s="5" t="s">
        <v>4644</v>
      </c>
      <c r="G41" s="5" t="s">
        <v>1079</v>
      </c>
      <c r="H41" s="6"/>
      <c r="I41" s="6"/>
      <c r="J41" s="6" t="s">
        <v>6893</v>
      </c>
      <c r="K41" s="6"/>
      <c r="L41" s="7" t="s">
        <v>6900</v>
      </c>
      <c r="M41" s="8">
        <v>22972</v>
      </c>
      <c r="N41" s="8" t="str">
        <f t="shared" si="5"/>
        <v>PEN</v>
      </c>
      <c r="O41" s="13"/>
      <c r="P41" s="13">
        <v>16</v>
      </c>
      <c r="Q41" s="3">
        <f t="shared" si="1"/>
        <v>0</v>
      </c>
      <c r="R41" s="3">
        <f t="shared" si="2"/>
        <v>16</v>
      </c>
      <c r="S41" s="3">
        <f t="shared" si="3"/>
        <v>666.95000000000016</v>
      </c>
      <c r="T41" s="24"/>
      <c r="U41" s="24"/>
      <c r="V41" s="3"/>
      <c r="W41" s="25" t="s">
        <v>6747</v>
      </c>
      <c r="X41" s="25"/>
      <c r="Y41" s="25" t="str">
        <f>IFERROR(VLOOKUP(C_Ope_003[[#This Row],[NOTA 2]],Clientes_Proveedores[[Ruc / Dni]:[Razon Social]],2,0),"")</f>
        <v/>
      </c>
      <c r="Z41" s="25"/>
      <c r="AA41" s="25"/>
      <c r="AB41" s="3" t="str">
        <f>IF(C_Ope_003[[#This Row],[FECHA]]&gt;0,TEXT(C_Ope_003[[#This Row],[FECHA]],"mmmm"),0)</f>
        <v>Febrero</v>
      </c>
    </row>
    <row r="42" spans="2:28" x14ac:dyDescent="0.3">
      <c r="B42" s="2">
        <f>IF(C_Ope_003[[#This Row],[TIPO DE R.]]="R",COUNTIFS($D$4:$D41,"R")+1,"")</f>
        <v>38</v>
      </c>
      <c r="C42" s="19" t="str">
        <f t="shared" si="4"/>
        <v>C_Ope_003</v>
      </c>
      <c r="D42" s="3" t="s">
        <v>1074</v>
      </c>
      <c r="E42" s="14">
        <v>45698</v>
      </c>
      <c r="F42" s="5" t="s">
        <v>4644</v>
      </c>
      <c r="G42" s="5" t="s">
        <v>1079</v>
      </c>
      <c r="H42" s="6"/>
      <c r="I42" s="6"/>
      <c r="J42" s="6" t="s">
        <v>6893</v>
      </c>
      <c r="K42" s="6"/>
      <c r="L42" s="7" t="s">
        <v>6918</v>
      </c>
      <c r="M42" s="8">
        <v>22973</v>
      </c>
      <c r="N42" s="8" t="str">
        <f t="shared" si="5"/>
        <v>PEN</v>
      </c>
      <c r="O42" s="13"/>
      <c r="P42" s="13">
        <v>30</v>
      </c>
      <c r="Q42" s="3">
        <f t="shared" si="1"/>
        <v>0</v>
      </c>
      <c r="R42" s="3">
        <f t="shared" si="2"/>
        <v>30</v>
      </c>
      <c r="S42" s="3">
        <f t="shared" si="3"/>
        <v>636.95000000000016</v>
      </c>
      <c r="T42" s="24"/>
      <c r="U42" s="24"/>
      <c r="V42" s="3"/>
      <c r="W42" s="25" t="s">
        <v>6747</v>
      </c>
      <c r="X42" s="25"/>
      <c r="Y42" s="25" t="str">
        <f>IFERROR(VLOOKUP(C_Ope_003[[#This Row],[NOTA 2]],Clientes_Proveedores[[Ruc / Dni]:[Razon Social]],2,0),"")</f>
        <v/>
      </c>
      <c r="Z42" s="25"/>
      <c r="AA42" s="25"/>
      <c r="AB42" s="3" t="str">
        <f>IF(C_Ope_003[[#This Row],[FECHA]]&gt;0,TEXT(C_Ope_003[[#This Row],[FECHA]],"mmmm"),0)</f>
        <v>Febrero</v>
      </c>
    </row>
    <row r="43" spans="2:28" x14ac:dyDescent="0.3">
      <c r="B43" s="2">
        <f>IF(C_Ope_003[[#This Row],[TIPO DE R.]]="R",COUNTIFS($D$4:$D42,"R")+1,"")</f>
        <v>39</v>
      </c>
      <c r="C43" s="19" t="str">
        <f t="shared" si="4"/>
        <v>C_Ope_003</v>
      </c>
      <c r="D43" s="3" t="s">
        <v>1074</v>
      </c>
      <c r="E43" s="14">
        <v>45698</v>
      </c>
      <c r="F43" s="5" t="s">
        <v>4644</v>
      </c>
      <c r="G43" s="5" t="s">
        <v>1079</v>
      </c>
      <c r="H43" s="6"/>
      <c r="I43" s="6" t="s">
        <v>14</v>
      </c>
      <c r="J43" s="6" t="s">
        <v>1119</v>
      </c>
      <c r="K43" s="6">
        <v>58694</v>
      </c>
      <c r="L43" s="7" t="s">
        <v>6919</v>
      </c>
      <c r="M43" s="8">
        <v>22976</v>
      </c>
      <c r="N43" s="8" t="str">
        <f t="shared" si="5"/>
        <v>PEN</v>
      </c>
      <c r="O43" s="13"/>
      <c r="P43" s="13">
        <v>66</v>
      </c>
      <c r="Q43" s="3">
        <f t="shared" si="1"/>
        <v>0</v>
      </c>
      <c r="R43" s="3">
        <f t="shared" si="2"/>
        <v>66</v>
      </c>
      <c r="S43" s="3">
        <f t="shared" si="3"/>
        <v>570.95000000000016</v>
      </c>
      <c r="T43" s="24"/>
      <c r="U43" s="24"/>
      <c r="V43" s="3"/>
      <c r="W43" s="25" t="s">
        <v>6747</v>
      </c>
      <c r="X43" s="25"/>
      <c r="Y43" s="25" t="str">
        <f>IFERROR(VLOOKUP(C_Ope_003[[#This Row],[NOTA 2]],Clientes_Proveedores[[Ruc / Dni]:[Razon Social]],2,0),"")</f>
        <v/>
      </c>
      <c r="Z43" s="25"/>
      <c r="AA43" s="25"/>
      <c r="AB43" s="3" t="str">
        <f>IF(C_Ope_003[[#This Row],[FECHA]]&gt;0,TEXT(C_Ope_003[[#This Row],[FECHA]],"mmmm"),0)</f>
        <v>Febrero</v>
      </c>
    </row>
    <row r="44" spans="2:28" x14ac:dyDescent="0.3">
      <c r="B44" s="2">
        <f>IF(C_Ope_003[[#This Row],[TIPO DE R.]]="R",COUNTIFS($D$4:$D43,"R")+1,"")</f>
        <v>40</v>
      </c>
      <c r="C44" s="19" t="str">
        <f t="shared" si="4"/>
        <v>C_Ope_003</v>
      </c>
      <c r="D44" s="3" t="s">
        <v>1074</v>
      </c>
      <c r="E44" s="14">
        <v>45698</v>
      </c>
      <c r="F44" s="5" t="s">
        <v>4644</v>
      </c>
      <c r="G44" s="5" t="s">
        <v>1079</v>
      </c>
      <c r="H44" s="6"/>
      <c r="I44" s="6" t="s">
        <v>21</v>
      </c>
      <c r="J44" s="6">
        <v>1</v>
      </c>
      <c r="K44" s="6">
        <v>664</v>
      </c>
      <c r="L44" s="7" t="s">
        <v>6920</v>
      </c>
      <c r="M44" s="8">
        <v>22987</v>
      </c>
      <c r="N44" s="8" t="str">
        <f t="shared" si="5"/>
        <v>PEN</v>
      </c>
      <c r="O44" s="13"/>
      <c r="P44" s="13">
        <v>24</v>
      </c>
      <c r="Q44" s="3">
        <f t="shared" si="1"/>
        <v>0</v>
      </c>
      <c r="R44" s="3">
        <f t="shared" si="2"/>
        <v>24</v>
      </c>
      <c r="S44" s="3">
        <f t="shared" si="3"/>
        <v>546.95000000000016</v>
      </c>
      <c r="T44" s="24"/>
      <c r="U44" s="24"/>
      <c r="V44" s="3"/>
      <c r="W44" s="25" t="s">
        <v>6747</v>
      </c>
      <c r="X44" s="25"/>
      <c r="Y44" s="25" t="str">
        <f>IFERROR(VLOOKUP(C_Ope_003[[#This Row],[NOTA 2]],Clientes_Proveedores[[Ruc / Dni]:[Razon Social]],2,0),"")</f>
        <v/>
      </c>
      <c r="Z44" s="25"/>
      <c r="AA44" s="25"/>
      <c r="AB44" s="3" t="str">
        <f>IF(C_Ope_003[[#This Row],[FECHA]]&gt;0,TEXT(C_Ope_003[[#This Row],[FECHA]],"mmmm"),0)</f>
        <v>Febrero</v>
      </c>
    </row>
    <row r="45" spans="2:28" x14ac:dyDescent="0.3">
      <c r="B45" s="2">
        <f>IF(C_Ope_003[[#This Row],[TIPO DE R.]]="R",COUNTIFS($D$4:$D44,"R")+1,"")</f>
        <v>41</v>
      </c>
      <c r="C45" s="19" t="str">
        <f t="shared" si="4"/>
        <v>C_Ope_003</v>
      </c>
      <c r="D45" s="3" t="s">
        <v>1074</v>
      </c>
      <c r="E45" s="14">
        <v>45698</v>
      </c>
      <c r="F45" s="5" t="s">
        <v>4644</v>
      </c>
      <c r="G45" s="5" t="s">
        <v>1079</v>
      </c>
      <c r="H45" s="6"/>
      <c r="I45" s="6"/>
      <c r="J45" s="6" t="s">
        <v>1121</v>
      </c>
      <c r="K45" s="6">
        <v>3091</v>
      </c>
      <c r="L45" s="7" t="s">
        <v>6921</v>
      </c>
      <c r="M45" s="8">
        <v>22988</v>
      </c>
      <c r="N45" s="8" t="str">
        <f t="shared" si="5"/>
        <v>PEN</v>
      </c>
      <c r="O45" s="13"/>
      <c r="P45" s="13">
        <v>110</v>
      </c>
      <c r="Q45" s="3">
        <f t="shared" si="1"/>
        <v>0</v>
      </c>
      <c r="R45" s="3">
        <f t="shared" si="2"/>
        <v>110</v>
      </c>
      <c r="S45" s="3">
        <f t="shared" si="3"/>
        <v>436.95000000000016</v>
      </c>
      <c r="T45" s="24"/>
      <c r="U45" s="24"/>
      <c r="V45" s="3"/>
      <c r="W45" s="25" t="s">
        <v>6747</v>
      </c>
      <c r="X45" s="25"/>
      <c r="Y45" s="25" t="str">
        <f>IFERROR(VLOOKUP(C_Ope_003[[#This Row],[NOTA 2]],Clientes_Proveedores[[Ruc / Dni]:[Razon Social]],2,0),"")</f>
        <v/>
      </c>
      <c r="Z45" s="25"/>
      <c r="AA45" s="25"/>
      <c r="AB45" s="3" t="str">
        <f>IF(C_Ope_003[[#This Row],[FECHA]]&gt;0,TEXT(C_Ope_003[[#This Row],[FECHA]],"mmmm"),0)</f>
        <v>Febrero</v>
      </c>
    </row>
    <row r="46" spans="2:28" x14ac:dyDescent="0.3">
      <c r="B46" s="2">
        <f>IF(C_Ope_003[[#This Row],[TIPO DE R.]]="R",COUNTIFS($D$4:$D45,"R")+1,"")</f>
        <v>42</v>
      </c>
      <c r="C46" s="19" t="str">
        <f t="shared" si="4"/>
        <v>C_Ope_003</v>
      </c>
      <c r="D46" s="3" t="s">
        <v>1074</v>
      </c>
      <c r="E46" s="14">
        <v>45698</v>
      </c>
      <c r="F46" s="5" t="s">
        <v>4644</v>
      </c>
      <c r="G46" s="5" t="s">
        <v>1079</v>
      </c>
      <c r="H46" s="6"/>
      <c r="I46" s="6"/>
      <c r="J46" s="6" t="s">
        <v>6893</v>
      </c>
      <c r="K46" s="6"/>
      <c r="L46" s="7" t="s">
        <v>6922</v>
      </c>
      <c r="M46" s="8">
        <v>22989</v>
      </c>
      <c r="N46" s="8" t="str">
        <f t="shared" si="5"/>
        <v>PEN</v>
      </c>
      <c r="O46" s="13"/>
      <c r="P46" s="13">
        <v>10</v>
      </c>
      <c r="Q46" s="3">
        <f t="shared" si="1"/>
        <v>0</v>
      </c>
      <c r="R46" s="3">
        <f t="shared" si="2"/>
        <v>10</v>
      </c>
      <c r="S46" s="3">
        <f t="shared" si="3"/>
        <v>426.95000000000016</v>
      </c>
      <c r="T46" s="24"/>
      <c r="U46" s="24"/>
      <c r="V46" s="3"/>
      <c r="W46" s="25" t="s">
        <v>6747</v>
      </c>
      <c r="X46" s="25"/>
      <c r="Y46" s="25" t="str">
        <f>IFERROR(VLOOKUP(C_Ope_003[[#This Row],[NOTA 2]],Clientes_Proveedores[[Ruc / Dni]:[Razon Social]],2,0),"")</f>
        <v/>
      </c>
      <c r="Z46" s="25"/>
      <c r="AA46" s="25"/>
      <c r="AB46" s="3" t="str">
        <f>IF(C_Ope_003[[#This Row],[FECHA]]&gt;0,TEXT(C_Ope_003[[#This Row],[FECHA]],"mmmm"),0)</f>
        <v>Febrero</v>
      </c>
    </row>
    <row r="47" spans="2:28" x14ac:dyDescent="0.3">
      <c r="B47" s="2">
        <f>IF(C_Ope_003[[#This Row],[TIPO DE R.]]="R",COUNTIFS($D$4:$D46,"R")+1,"")</f>
        <v>43</v>
      </c>
      <c r="C47" s="19" t="str">
        <f t="shared" si="4"/>
        <v>C_Ope_003</v>
      </c>
      <c r="D47" s="3" t="s">
        <v>1074</v>
      </c>
      <c r="E47" s="14">
        <v>45699</v>
      </c>
      <c r="F47" s="5" t="s">
        <v>4644</v>
      </c>
      <c r="G47" s="5" t="s">
        <v>1079</v>
      </c>
      <c r="H47" s="6"/>
      <c r="I47" s="6" t="s">
        <v>14</v>
      </c>
      <c r="J47" s="6" t="s">
        <v>1119</v>
      </c>
      <c r="K47" s="6">
        <v>3914</v>
      </c>
      <c r="L47" s="7" t="s">
        <v>6888</v>
      </c>
      <c r="M47" s="8">
        <v>22998</v>
      </c>
      <c r="N47" s="8" t="str">
        <f t="shared" si="5"/>
        <v>PEN</v>
      </c>
      <c r="O47" s="13"/>
      <c r="P47" s="13">
        <v>24</v>
      </c>
      <c r="Q47" s="3">
        <f t="shared" si="1"/>
        <v>0</v>
      </c>
      <c r="R47" s="3">
        <f t="shared" si="2"/>
        <v>24</v>
      </c>
      <c r="S47" s="3">
        <f t="shared" si="3"/>
        <v>402.95000000000016</v>
      </c>
      <c r="T47" s="24"/>
      <c r="U47" s="24"/>
      <c r="V47" s="3"/>
      <c r="W47" s="25" t="s">
        <v>6747</v>
      </c>
      <c r="X47" s="25"/>
      <c r="Y47" s="25" t="str">
        <f>IFERROR(VLOOKUP(C_Ope_003[[#This Row],[NOTA 2]],Clientes_Proveedores[[Ruc / Dni]:[Razon Social]],2,0),"")</f>
        <v/>
      </c>
      <c r="Z47" s="25"/>
      <c r="AA47" s="25"/>
      <c r="AB47" s="3" t="str">
        <f>IF(C_Ope_003[[#This Row],[FECHA]]&gt;0,TEXT(C_Ope_003[[#This Row],[FECHA]],"mmmm"),0)</f>
        <v>Febrero</v>
      </c>
    </row>
    <row r="48" spans="2:28" x14ac:dyDescent="0.3">
      <c r="B48" s="2">
        <f>IF(C_Ope_003[[#This Row],[TIPO DE R.]]="R",COUNTIFS($D$4:$D47,"R")+1,"")</f>
        <v>44</v>
      </c>
      <c r="C48" s="19" t="str">
        <f t="shared" si="4"/>
        <v>C_Ope_003</v>
      </c>
      <c r="D48" s="3" t="s">
        <v>1074</v>
      </c>
      <c r="E48" s="14">
        <v>45699</v>
      </c>
      <c r="F48" s="5" t="s">
        <v>4644</v>
      </c>
      <c r="G48" s="5" t="s">
        <v>1079</v>
      </c>
      <c r="H48" s="6"/>
      <c r="I48" s="6"/>
      <c r="J48" s="6" t="s">
        <v>6893</v>
      </c>
      <c r="K48" s="6"/>
      <c r="L48" s="7" t="s">
        <v>6923</v>
      </c>
      <c r="M48" s="8">
        <v>22999</v>
      </c>
      <c r="N48" s="8" t="str">
        <f t="shared" si="5"/>
        <v>PEN</v>
      </c>
      <c r="O48" s="13"/>
      <c r="P48" s="13">
        <v>30</v>
      </c>
      <c r="Q48" s="3">
        <f t="shared" si="1"/>
        <v>0</v>
      </c>
      <c r="R48" s="3">
        <f t="shared" si="2"/>
        <v>30</v>
      </c>
      <c r="S48" s="3">
        <f t="shared" si="3"/>
        <v>372.95000000000016</v>
      </c>
      <c r="T48" s="24"/>
      <c r="U48" s="24"/>
      <c r="V48" s="3"/>
      <c r="W48" s="25" t="s">
        <v>6747</v>
      </c>
      <c r="X48" s="25"/>
      <c r="Y48" s="25" t="str">
        <f>IFERROR(VLOOKUP(C_Ope_003[[#This Row],[NOTA 2]],Clientes_Proveedores[[Ruc / Dni]:[Razon Social]],2,0),"")</f>
        <v/>
      </c>
      <c r="Z48" s="25"/>
      <c r="AA48" s="25"/>
      <c r="AB48" s="3" t="str">
        <f>IF(C_Ope_003[[#This Row],[FECHA]]&gt;0,TEXT(C_Ope_003[[#This Row],[FECHA]],"mmmm"),0)</f>
        <v>Febrero</v>
      </c>
    </row>
    <row r="49" spans="2:28" x14ac:dyDescent="0.3">
      <c r="B49" s="2">
        <f>IF(C_Ope_003[[#This Row],[TIPO DE R.]]="R",COUNTIFS($D$4:$D48,"R")+1,"")</f>
        <v>45</v>
      </c>
      <c r="C49" s="19" t="str">
        <f t="shared" si="4"/>
        <v>C_Ope_003</v>
      </c>
      <c r="D49" s="3" t="s">
        <v>1074</v>
      </c>
      <c r="E49" s="14">
        <v>45707</v>
      </c>
      <c r="F49" s="5" t="s">
        <v>6299</v>
      </c>
      <c r="G49" s="5" t="s">
        <v>1087</v>
      </c>
      <c r="H49" s="6"/>
      <c r="I49" s="6"/>
      <c r="J49" s="6"/>
      <c r="K49" s="6"/>
      <c r="L49" s="7" t="s">
        <v>6302</v>
      </c>
      <c r="M49" s="8">
        <v>23107</v>
      </c>
      <c r="N49" s="8" t="str">
        <f t="shared" si="5"/>
        <v>PEN</v>
      </c>
      <c r="O49" s="13"/>
      <c r="P49" s="13">
        <v>1000</v>
      </c>
      <c r="Q49" s="3">
        <f t="shared" si="1"/>
        <v>1000</v>
      </c>
      <c r="R49" s="3">
        <f t="shared" si="2"/>
        <v>0</v>
      </c>
      <c r="S49" s="3">
        <f t="shared" si="3"/>
        <v>1372.9500000000003</v>
      </c>
      <c r="T49" s="24"/>
      <c r="U49" s="24"/>
      <c r="V49" s="3"/>
      <c r="W49" s="25"/>
      <c r="X49" s="25"/>
      <c r="Y49" s="25" t="str">
        <f>IFERROR(VLOOKUP(C_Ope_003[[#This Row],[NOTA 2]],Clientes_Proveedores[[Ruc / Dni]:[Razon Social]],2,0),"")</f>
        <v/>
      </c>
      <c r="Z49" s="25"/>
      <c r="AA49" s="25"/>
      <c r="AB49" s="3" t="str">
        <f>IF(C_Ope_003[[#This Row],[FECHA]]&gt;0,TEXT(C_Ope_003[[#This Row],[FECHA]],"mmmm"),0)</f>
        <v>Febrero</v>
      </c>
    </row>
    <row r="50" spans="2:28" ht="24" x14ac:dyDescent="0.3">
      <c r="B50" s="2">
        <f>IF(C_Ope_003[[#This Row],[TIPO DE R.]]="R",COUNTIFS($D$4:$D49,"R")+1,"")</f>
        <v>46</v>
      </c>
      <c r="C50" s="19" t="str">
        <f t="shared" si="4"/>
        <v>C_Ope_003</v>
      </c>
      <c r="D50" s="3" t="s">
        <v>1074</v>
      </c>
      <c r="E50" s="14">
        <v>45708</v>
      </c>
      <c r="F50" s="5" t="s">
        <v>4644</v>
      </c>
      <c r="G50" s="5" t="s">
        <v>1079</v>
      </c>
      <c r="H50" s="6"/>
      <c r="I50" s="6" t="s">
        <v>14</v>
      </c>
      <c r="J50" s="6" t="s">
        <v>6924</v>
      </c>
      <c r="K50" s="6">
        <v>2238985</v>
      </c>
      <c r="L50" s="7" t="s">
        <v>6925</v>
      </c>
      <c r="M50" s="8">
        <v>23111</v>
      </c>
      <c r="N50" s="8" t="str">
        <f t="shared" si="5"/>
        <v>PEN</v>
      </c>
      <c r="O50" s="13"/>
      <c r="P50" s="13">
        <v>12</v>
      </c>
      <c r="Q50" s="3">
        <f t="shared" si="1"/>
        <v>0</v>
      </c>
      <c r="R50" s="3">
        <f t="shared" si="2"/>
        <v>12</v>
      </c>
      <c r="S50" s="3">
        <f t="shared" si="3"/>
        <v>1360.9500000000003</v>
      </c>
      <c r="T50" s="24"/>
      <c r="U50" s="24"/>
      <c r="V50" s="3"/>
      <c r="W50" s="25" t="s">
        <v>6747</v>
      </c>
      <c r="X50" s="25"/>
      <c r="Y50" s="25" t="str">
        <f>IFERROR(VLOOKUP(C_Ope_003[[#This Row],[NOTA 2]],Clientes_Proveedores[[Ruc / Dni]:[Razon Social]],2,0),"")</f>
        <v/>
      </c>
      <c r="Z50" s="25"/>
      <c r="AA50" s="25"/>
      <c r="AB50" s="3" t="str">
        <f>IF(C_Ope_003[[#This Row],[FECHA]]&gt;0,TEXT(C_Ope_003[[#This Row],[FECHA]],"mmmm"),0)</f>
        <v>Febrero</v>
      </c>
    </row>
    <row r="51" spans="2:28" ht="24" x14ac:dyDescent="0.3">
      <c r="B51" s="2">
        <f>IF(C_Ope_003[[#This Row],[TIPO DE R.]]="R",COUNTIFS($D$4:$D50,"R")+1,"")</f>
        <v>47</v>
      </c>
      <c r="C51" s="19" t="str">
        <f t="shared" si="4"/>
        <v>C_Ope_003</v>
      </c>
      <c r="D51" s="3" t="s">
        <v>1074</v>
      </c>
      <c r="E51" s="14">
        <v>45708</v>
      </c>
      <c r="F51" s="5" t="s">
        <v>4644</v>
      </c>
      <c r="G51" s="5" t="s">
        <v>1079</v>
      </c>
      <c r="H51" s="6"/>
      <c r="I51" s="6" t="s">
        <v>14</v>
      </c>
      <c r="J51" s="6" t="s">
        <v>6879</v>
      </c>
      <c r="K51" s="6">
        <v>523939</v>
      </c>
      <c r="L51" s="7" t="s">
        <v>6880</v>
      </c>
      <c r="M51" s="8">
        <v>23114</v>
      </c>
      <c r="N51" s="8" t="str">
        <f t="shared" si="5"/>
        <v>PEN</v>
      </c>
      <c r="O51" s="13"/>
      <c r="P51" s="13">
        <v>23.6</v>
      </c>
      <c r="Q51" s="3">
        <f t="shared" si="1"/>
        <v>0</v>
      </c>
      <c r="R51" s="3">
        <f t="shared" si="2"/>
        <v>23.6</v>
      </c>
      <c r="S51" s="3">
        <f t="shared" si="3"/>
        <v>1337.3500000000004</v>
      </c>
      <c r="T51" s="24"/>
      <c r="U51" s="24"/>
      <c r="V51" s="3"/>
      <c r="W51" s="25" t="s">
        <v>6747</v>
      </c>
      <c r="X51" s="25"/>
      <c r="Y51" s="25" t="str">
        <f>IFERROR(VLOOKUP(C_Ope_003[[#This Row],[NOTA 2]],Clientes_Proveedores[[Ruc / Dni]:[Razon Social]],2,0),"")</f>
        <v/>
      </c>
      <c r="Z51" s="25"/>
      <c r="AA51" s="25"/>
      <c r="AB51" s="3" t="str">
        <f>IF(C_Ope_003[[#This Row],[FECHA]]&gt;0,TEXT(C_Ope_003[[#This Row],[FECHA]],"mmmm"),0)</f>
        <v>Febrero</v>
      </c>
    </row>
    <row r="52" spans="2:28" ht="24" x14ac:dyDescent="0.3">
      <c r="B52" s="2">
        <f>IF(C_Ope_003[[#This Row],[TIPO DE R.]]="R",COUNTIFS($D$4:$D51,"R")+1,"")</f>
        <v>48</v>
      </c>
      <c r="C52" s="19" t="str">
        <f t="shared" si="4"/>
        <v>C_Ope_003</v>
      </c>
      <c r="D52" s="3" t="s">
        <v>1074</v>
      </c>
      <c r="E52" s="14">
        <v>45709</v>
      </c>
      <c r="F52" s="5" t="s">
        <v>4644</v>
      </c>
      <c r="G52" s="5" t="s">
        <v>1079</v>
      </c>
      <c r="H52" s="6"/>
      <c r="I52" s="6" t="s">
        <v>14</v>
      </c>
      <c r="J52" s="6" t="s">
        <v>6926</v>
      </c>
      <c r="K52" s="6">
        <v>2771743</v>
      </c>
      <c r="L52" s="7" t="s">
        <v>6882</v>
      </c>
      <c r="M52" s="8">
        <v>23115</v>
      </c>
      <c r="N52" s="8" t="str">
        <f t="shared" si="5"/>
        <v>PEN</v>
      </c>
      <c r="O52" s="13"/>
      <c r="P52" s="13">
        <v>58.2</v>
      </c>
      <c r="Q52" s="3">
        <f t="shared" si="1"/>
        <v>0</v>
      </c>
      <c r="R52" s="3">
        <f t="shared" si="2"/>
        <v>58.2</v>
      </c>
      <c r="S52" s="3">
        <f t="shared" si="3"/>
        <v>1279.1500000000003</v>
      </c>
      <c r="T52" s="24"/>
      <c r="U52" s="24"/>
      <c r="V52" s="3"/>
      <c r="W52" s="25" t="s">
        <v>6747</v>
      </c>
      <c r="X52" s="25"/>
      <c r="Y52" s="25" t="str">
        <f>IFERROR(VLOOKUP(C_Ope_003[[#This Row],[NOTA 2]],Clientes_Proveedores[[Ruc / Dni]:[Razon Social]],2,0),"")</f>
        <v/>
      </c>
      <c r="Z52" s="25"/>
      <c r="AA52" s="25"/>
      <c r="AB52" s="3" t="str">
        <f>IF(C_Ope_003[[#This Row],[FECHA]]&gt;0,TEXT(C_Ope_003[[#This Row],[FECHA]],"mmmm"),0)</f>
        <v>Febrero</v>
      </c>
    </row>
    <row r="53" spans="2:28" x14ac:dyDescent="0.3">
      <c r="B53" s="2">
        <f>IF(C_Ope_003[[#This Row],[TIPO DE R.]]="R",COUNTIFS($D$4:$D52,"R")+1,"")</f>
        <v>49</v>
      </c>
      <c r="C53" s="19" t="str">
        <f t="shared" si="4"/>
        <v>C_Ope_003</v>
      </c>
      <c r="D53" s="3" t="s">
        <v>1074</v>
      </c>
      <c r="E53" s="14">
        <v>45709</v>
      </c>
      <c r="F53" s="5" t="s">
        <v>4644</v>
      </c>
      <c r="G53" s="5" t="s">
        <v>1079</v>
      </c>
      <c r="H53" s="6"/>
      <c r="I53" s="6" t="s">
        <v>14</v>
      </c>
      <c r="J53" s="6" t="s">
        <v>6927</v>
      </c>
      <c r="K53" s="6">
        <v>565024</v>
      </c>
      <c r="L53" s="7" t="s">
        <v>6928</v>
      </c>
      <c r="M53" s="8">
        <v>23146</v>
      </c>
      <c r="N53" s="8" t="str">
        <f t="shared" si="5"/>
        <v>PEN</v>
      </c>
      <c r="O53" s="13"/>
      <c r="P53" s="13">
        <v>22.5</v>
      </c>
      <c r="Q53" s="3">
        <f t="shared" si="1"/>
        <v>0</v>
      </c>
      <c r="R53" s="3">
        <f t="shared" si="2"/>
        <v>22.5</v>
      </c>
      <c r="S53" s="3">
        <f t="shared" si="3"/>
        <v>1256.6500000000003</v>
      </c>
      <c r="T53" s="24"/>
      <c r="U53" s="24"/>
      <c r="V53" s="3"/>
      <c r="W53" s="25" t="s">
        <v>6747</v>
      </c>
      <c r="X53" s="25"/>
      <c r="Y53" s="25" t="str">
        <f>IFERROR(VLOOKUP(C_Ope_003[[#This Row],[NOTA 2]],Clientes_Proveedores[[Ruc / Dni]:[Razon Social]],2,0),"")</f>
        <v/>
      </c>
      <c r="Z53" s="25"/>
      <c r="AA53" s="25"/>
      <c r="AB53" s="3" t="str">
        <f>IF(C_Ope_003[[#This Row],[FECHA]]&gt;0,TEXT(C_Ope_003[[#This Row],[FECHA]],"mmmm"),0)</f>
        <v>Febrero</v>
      </c>
    </row>
    <row r="54" spans="2:28" x14ac:dyDescent="0.3">
      <c r="B54" s="2">
        <f>IF(C_Ope_003[[#This Row],[TIPO DE R.]]="R",COUNTIFS($D$4:$D53,"R")+1,"")</f>
        <v>50</v>
      </c>
      <c r="C54" s="19" t="str">
        <f t="shared" si="4"/>
        <v>C_Ope_003</v>
      </c>
      <c r="D54" s="3" t="s">
        <v>1074</v>
      </c>
      <c r="E54" s="14">
        <v>45708</v>
      </c>
      <c r="F54" s="5" t="s">
        <v>4644</v>
      </c>
      <c r="G54" s="5" t="s">
        <v>1079</v>
      </c>
      <c r="H54" s="6"/>
      <c r="I54" s="6" t="s">
        <v>21</v>
      </c>
      <c r="J54" s="6">
        <v>2</v>
      </c>
      <c r="K54" s="6">
        <v>13670</v>
      </c>
      <c r="L54" s="7" t="s">
        <v>6929</v>
      </c>
      <c r="M54" s="8">
        <v>23108</v>
      </c>
      <c r="N54" s="8" t="str">
        <f t="shared" si="5"/>
        <v>PEN</v>
      </c>
      <c r="O54" s="13"/>
      <c r="P54" s="13">
        <v>24</v>
      </c>
      <c r="Q54" s="3">
        <f t="shared" si="1"/>
        <v>0</v>
      </c>
      <c r="R54" s="3">
        <f t="shared" si="2"/>
        <v>24</v>
      </c>
      <c r="S54" s="3">
        <f t="shared" si="3"/>
        <v>1232.6500000000003</v>
      </c>
      <c r="T54" s="24"/>
      <c r="U54" s="24"/>
      <c r="V54" s="3"/>
      <c r="W54" s="25" t="s">
        <v>6747</v>
      </c>
      <c r="X54" s="25"/>
      <c r="Y54" s="25" t="str">
        <f>IFERROR(VLOOKUP(C_Ope_003[[#This Row],[NOTA 2]],Clientes_Proveedores[[Ruc / Dni]:[Razon Social]],2,0),"")</f>
        <v/>
      </c>
      <c r="Z54" s="25"/>
      <c r="AA54" s="25"/>
      <c r="AB54" s="3" t="str">
        <f>IF(C_Ope_003[[#This Row],[FECHA]]&gt;0,TEXT(C_Ope_003[[#This Row],[FECHA]],"mmmm"),0)</f>
        <v>Febrero</v>
      </c>
    </row>
    <row r="55" spans="2:28" x14ac:dyDescent="0.3">
      <c r="B55" s="2">
        <f>IF(C_Ope_003[[#This Row],[TIPO DE R.]]="R",COUNTIFS($D$4:$D54,"R")+1,"")</f>
        <v>51</v>
      </c>
      <c r="C55" s="19" t="str">
        <f t="shared" si="4"/>
        <v>C_Ope_003</v>
      </c>
      <c r="D55" s="3" t="s">
        <v>1074</v>
      </c>
      <c r="E55" s="14">
        <v>45708</v>
      </c>
      <c r="F55" s="5" t="s">
        <v>4644</v>
      </c>
      <c r="G55" s="5" t="s">
        <v>1079</v>
      </c>
      <c r="H55" s="6"/>
      <c r="I55" s="6" t="s">
        <v>21</v>
      </c>
      <c r="J55" s="6">
        <v>1</v>
      </c>
      <c r="K55" s="6">
        <v>5215</v>
      </c>
      <c r="L55" s="7" t="s">
        <v>6930</v>
      </c>
      <c r="M55" s="8">
        <v>23109</v>
      </c>
      <c r="N55" s="8" t="str">
        <f t="shared" si="5"/>
        <v>PEN</v>
      </c>
      <c r="O55" s="13"/>
      <c r="P55" s="13">
        <v>30</v>
      </c>
      <c r="Q55" s="3">
        <f t="shared" si="1"/>
        <v>0</v>
      </c>
      <c r="R55" s="3">
        <f t="shared" si="2"/>
        <v>30</v>
      </c>
      <c r="S55" s="3">
        <f t="shared" si="3"/>
        <v>1202.6500000000003</v>
      </c>
      <c r="T55" s="24"/>
      <c r="U55" s="24"/>
      <c r="V55" s="3"/>
      <c r="W55" s="25" t="s">
        <v>6747</v>
      </c>
      <c r="X55" s="25"/>
      <c r="Y55" s="25" t="str">
        <f>IFERROR(VLOOKUP(C_Ope_003[[#This Row],[NOTA 2]],Clientes_Proveedores[[Ruc / Dni]:[Razon Social]],2,0),"")</f>
        <v/>
      </c>
      <c r="Z55" s="25"/>
      <c r="AA55" s="25"/>
      <c r="AB55" s="3" t="str">
        <f>IF(C_Ope_003[[#This Row],[FECHA]]&gt;0,TEXT(C_Ope_003[[#This Row],[FECHA]],"mmmm"),0)</f>
        <v>Febrero</v>
      </c>
    </row>
    <row r="56" spans="2:28" x14ac:dyDescent="0.3">
      <c r="B56" s="2">
        <f>IF(C_Ope_003[[#This Row],[TIPO DE R.]]="R",COUNTIFS($D$4:$D55,"R")+1,"")</f>
        <v>52</v>
      </c>
      <c r="C56" s="19" t="str">
        <f t="shared" si="4"/>
        <v>C_Ope_003</v>
      </c>
      <c r="D56" s="3" t="s">
        <v>1074</v>
      </c>
      <c r="E56" s="14">
        <v>45708</v>
      </c>
      <c r="F56" s="5" t="s">
        <v>4644</v>
      </c>
      <c r="G56" s="5" t="s">
        <v>1079</v>
      </c>
      <c r="H56" s="6"/>
      <c r="I56" s="6" t="s">
        <v>21</v>
      </c>
      <c r="J56" s="6">
        <v>1</v>
      </c>
      <c r="K56" s="6">
        <v>4933</v>
      </c>
      <c r="L56" s="7" t="s">
        <v>6931</v>
      </c>
      <c r="M56" s="8">
        <v>23110</v>
      </c>
      <c r="N56" s="8" t="str">
        <f t="shared" si="5"/>
        <v>PEN</v>
      </c>
      <c r="O56" s="13"/>
      <c r="P56" s="13">
        <v>24</v>
      </c>
      <c r="Q56" s="3">
        <f t="shared" si="1"/>
        <v>0</v>
      </c>
      <c r="R56" s="3">
        <f t="shared" si="2"/>
        <v>24</v>
      </c>
      <c r="S56" s="3">
        <f t="shared" si="3"/>
        <v>1178.6500000000003</v>
      </c>
      <c r="T56" s="24"/>
      <c r="U56" s="24"/>
      <c r="V56" s="3"/>
      <c r="W56" s="25" t="s">
        <v>6747</v>
      </c>
      <c r="X56" s="25"/>
      <c r="Y56" s="25" t="str">
        <f>IFERROR(VLOOKUP(C_Ope_003[[#This Row],[NOTA 2]],Clientes_Proveedores[[Ruc / Dni]:[Razon Social]],2,0),"")</f>
        <v/>
      </c>
      <c r="Z56" s="25"/>
      <c r="AA56" s="25"/>
      <c r="AB56" s="3" t="str">
        <f>IF(C_Ope_003[[#This Row],[FECHA]]&gt;0,TEXT(C_Ope_003[[#This Row],[FECHA]],"mmmm"),0)</f>
        <v>Febrero</v>
      </c>
    </row>
    <row r="57" spans="2:28" x14ac:dyDescent="0.3">
      <c r="B57" s="2">
        <f>IF(C_Ope_003[[#This Row],[TIPO DE R.]]="R",COUNTIFS($D$4:$D56,"R")+1,"")</f>
        <v>53</v>
      </c>
      <c r="C57" s="19" t="str">
        <f t="shared" si="4"/>
        <v>C_Ope_003</v>
      </c>
      <c r="D57" s="3" t="s">
        <v>1074</v>
      </c>
      <c r="E57" s="14">
        <v>45708</v>
      </c>
      <c r="F57" s="5" t="s">
        <v>4644</v>
      </c>
      <c r="G57" s="5" t="s">
        <v>1079</v>
      </c>
      <c r="H57" s="6"/>
      <c r="I57" s="6"/>
      <c r="J57" s="6" t="s">
        <v>1121</v>
      </c>
      <c r="K57" s="6">
        <v>641</v>
      </c>
      <c r="L57" s="7" t="s">
        <v>6932</v>
      </c>
      <c r="M57" s="8">
        <v>23118</v>
      </c>
      <c r="N57" s="8" t="str">
        <f t="shared" si="5"/>
        <v>PEN</v>
      </c>
      <c r="O57" s="13"/>
      <c r="P57" s="13">
        <v>100</v>
      </c>
      <c r="Q57" s="3">
        <f t="shared" si="1"/>
        <v>0</v>
      </c>
      <c r="R57" s="3">
        <f t="shared" si="2"/>
        <v>100</v>
      </c>
      <c r="S57" s="3">
        <f t="shared" si="3"/>
        <v>1078.6500000000003</v>
      </c>
      <c r="T57" s="24"/>
      <c r="U57" s="24"/>
      <c r="V57" s="3"/>
      <c r="W57" s="25" t="s">
        <v>6747</v>
      </c>
      <c r="X57" s="25"/>
      <c r="Y57" s="25" t="str">
        <f>IFERROR(VLOOKUP(C_Ope_003[[#This Row],[NOTA 2]],Clientes_Proveedores[[Ruc / Dni]:[Razon Social]],2,0),"")</f>
        <v/>
      </c>
      <c r="Z57" s="25"/>
      <c r="AA57" s="25"/>
      <c r="AB57" s="3" t="str">
        <f>IF(C_Ope_003[[#This Row],[FECHA]]&gt;0,TEXT(C_Ope_003[[#This Row],[FECHA]],"mmmm"),0)</f>
        <v>Febrero</v>
      </c>
    </row>
    <row r="58" spans="2:28" x14ac:dyDescent="0.3">
      <c r="B58" s="2">
        <f>IF(C_Ope_003[[#This Row],[TIPO DE R.]]="R",COUNTIFS($D$4:$D57,"R")+1,"")</f>
        <v>54</v>
      </c>
      <c r="C58" s="19" t="str">
        <f t="shared" si="4"/>
        <v>C_Ope_003</v>
      </c>
      <c r="D58" s="3" t="s">
        <v>1074</v>
      </c>
      <c r="E58" s="14">
        <v>45708</v>
      </c>
      <c r="F58" s="5" t="s">
        <v>4644</v>
      </c>
      <c r="G58" s="5" t="s">
        <v>1079</v>
      </c>
      <c r="H58" s="6"/>
      <c r="I58" s="6"/>
      <c r="J58" s="6" t="s">
        <v>1121</v>
      </c>
      <c r="K58" s="6">
        <v>641</v>
      </c>
      <c r="L58" s="7" t="s">
        <v>6933</v>
      </c>
      <c r="M58" s="8">
        <v>23119</v>
      </c>
      <c r="N58" s="8" t="str">
        <f t="shared" si="5"/>
        <v>PEN</v>
      </c>
      <c r="O58" s="13"/>
      <c r="P58" s="13">
        <v>10</v>
      </c>
      <c r="Q58" s="3">
        <f t="shared" si="1"/>
        <v>0</v>
      </c>
      <c r="R58" s="3">
        <f t="shared" si="2"/>
        <v>10</v>
      </c>
      <c r="S58" s="3">
        <f t="shared" si="3"/>
        <v>1068.6500000000003</v>
      </c>
      <c r="T58" s="24"/>
      <c r="U58" s="24"/>
      <c r="V58" s="3"/>
      <c r="W58" s="25" t="s">
        <v>6747</v>
      </c>
      <c r="X58" s="25"/>
      <c r="Y58" s="25" t="str">
        <f>IFERROR(VLOOKUP(C_Ope_003[[#This Row],[NOTA 2]],Clientes_Proveedores[[Ruc / Dni]:[Razon Social]],2,0),"")</f>
        <v/>
      </c>
      <c r="Z58" s="25"/>
      <c r="AA58" s="25"/>
      <c r="AB58" s="3" t="str">
        <f>IF(C_Ope_003[[#This Row],[FECHA]]&gt;0,TEXT(C_Ope_003[[#This Row],[FECHA]],"mmmm"),0)</f>
        <v>Febrero</v>
      </c>
    </row>
    <row r="59" spans="2:28" x14ac:dyDescent="0.3">
      <c r="B59" s="2">
        <f>IF(C_Ope_003[[#This Row],[TIPO DE R.]]="R",COUNTIFS($D$4:$D58,"R")+1,"")</f>
        <v>55</v>
      </c>
      <c r="C59" s="19" t="str">
        <f t="shared" si="4"/>
        <v>C_Ope_003</v>
      </c>
      <c r="D59" s="3" t="s">
        <v>1074</v>
      </c>
      <c r="E59" s="14">
        <v>45709</v>
      </c>
      <c r="F59" s="5" t="s">
        <v>4644</v>
      </c>
      <c r="G59" s="5" t="s">
        <v>1079</v>
      </c>
      <c r="H59" s="6"/>
      <c r="I59" s="6"/>
      <c r="J59" s="6" t="s">
        <v>6893</v>
      </c>
      <c r="K59" s="6"/>
      <c r="L59" s="7" t="s">
        <v>6897</v>
      </c>
      <c r="M59" s="8">
        <v>23142</v>
      </c>
      <c r="N59" s="8" t="str">
        <f t="shared" si="5"/>
        <v>PEN</v>
      </c>
      <c r="O59" s="13"/>
      <c r="P59" s="13">
        <v>24</v>
      </c>
      <c r="Q59" s="3">
        <f t="shared" si="1"/>
        <v>0</v>
      </c>
      <c r="R59" s="3">
        <f t="shared" si="2"/>
        <v>24</v>
      </c>
      <c r="S59" s="3">
        <f t="shared" si="3"/>
        <v>1044.6500000000003</v>
      </c>
      <c r="T59" s="24"/>
      <c r="U59" s="24"/>
      <c r="V59" s="3"/>
      <c r="W59" s="25" t="s">
        <v>6747</v>
      </c>
      <c r="X59" s="25"/>
      <c r="Y59" s="25" t="str">
        <f>IFERROR(VLOOKUP(C_Ope_003[[#This Row],[NOTA 2]],Clientes_Proveedores[[Ruc / Dni]:[Razon Social]],2,0),"")</f>
        <v/>
      </c>
      <c r="Z59" s="25"/>
      <c r="AA59" s="25"/>
      <c r="AB59" s="3" t="str">
        <f>IF(C_Ope_003[[#This Row],[FECHA]]&gt;0,TEXT(C_Ope_003[[#This Row],[FECHA]],"mmmm"),0)</f>
        <v>Febrero</v>
      </c>
    </row>
    <row r="60" spans="2:28" x14ac:dyDescent="0.3">
      <c r="B60" s="2">
        <f>IF(C_Ope_003[[#This Row],[TIPO DE R.]]="R",COUNTIFS($D$4:$D59,"R")+1,"")</f>
        <v>56</v>
      </c>
      <c r="C60" s="19" t="str">
        <f t="shared" si="4"/>
        <v>C_Ope_003</v>
      </c>
      <c r="D60" s="3" t="s">
        <v>1074</v>
      </c>
      <c r="E60" s="14">
        <v>45709</v>
      </c>
      <c r="F60" s="5" t="s">
        <v>4644</v>
      </c>
      <c r="G60" s="5" t="s">
        <v>1079</v>
      </c>
      <c r="H60" s="6"/>
      <c r="I60" s="6" t="s">
        <v>21</v>
      </c>
      <c r="J60" s="6">
        <v>1</v>
      </c>
      <c r="K60" s="6">
        <v>467</v>
      </c>
      <c r="L60" s="7" t="s">
        <v>6934</v>
      </c>
      <c r="M60" s="8">
        <v>23143</v>
      </c>
      <c r="N60" s="8" t="str">
        <f t="shared" si="5"/>
        <v>PEN</v>
      </c>
      <c r="O60" s="13"/>
      <c r="P60" s="13">
        <v>30</v>
      </c>
      <c r="Q60" s="3">
        <f t="shared" si="1"/>
        <v>0</v>
      </c>
      <c r="R60" s="3">
        <f t="shared" si="2"/>
        <v>30</v>
      </c>
      <c r="S60" s="3">
        <f t="shared" si="3"/>
        <v>1014.6500000000003</v>
      </c>
      <c r="T60" s="24"/>
      <c r="U60" s="24"/>
      <c r="V60" s="3"/>
      <c r="W60" s="25" t="s">
        <v>6747</v>
      </c>
      <c r="X60" s="25"/>
      <c r="Y60" s="25" t="str">
        <f>IFERROR(VLOOKUP(C_Ope_003[[#This Row],[NOTA 2]],Clientes_Proveedores[[Ruc / Dni]:[Razon Social]],2,0),"")</f>
        <v/>
      </c>
      <c r="Z60" s="25"/>
      <c r="AA60" s="25"/>
      <c r="AB60" s="3" t="str">
        <f>IF(C_Ope_003[[#This Row],[FECHA]]&gt;0,TEXT(C_Ope_003[[#This Row],[FECHA]],"mmmm"),0)</f>
        <v>Febrero</v>
      </c>
    </row>
    <row r="61" spans="2:28" x14ac:dyDescent="0.3">
      <c r="B61" s="2">
        <f>IF(C_Ope_003[[#This Row],[TIPO DE R.]]="R",COUNTIFS($D$4:$D60,"R")+1,"")</f>
        <v>57</v>
      </c>
      <c r="C61" s="19" t="str">
        <f t="shared" si="4"/>
        <v>C_Ope_003</v>
      </c>
      <c r="D61" s="3" t="s">
        <v>1074</v>
      </c>
      <c r="E61" s="14">
        <v>45709</v>
      </c>
      <c r="F61" s="5" t="s">
        <v>4644</v>
      </c>
      <c r="G61" s="5" t="s">
        <v>1079</v>
      </c>
      <c r="H61" s="6"/>
      <c r="I61" s="6"/>
      <c r="J61" s="6" t="s">
        <v>6893</v>
      </c>
      <c r="K61" s="6"/>
      <c r="L61" s="7" t="s">
        <v>6899</v>
      </c>
      <c r="M61" s="8">
        <v>23144</v>
      </c>
      <c r="N61" s="8" t="str">
        <f t="shared" si="5"/>
        <v>PEN</v>
      </c>
      <c r="O61" s="13"/>
      <c r="P61" s="13">
        <v>20</v>
      </c>
      <c r="Q61" s="3">
        <f t="shared" si="1"/>
        <v>0</v>
      </c>
      <c r="R61" s="3">
        <f t="shared" si="2"/>
        <v>20</v>
      </c>
      <c r="S61" s="3">
        <f t="shared" si="3"/>
        <v>994.65000000000032</v>
      </c>
      <c r="T61" s="24"/>
      <c r="U61" s="24"/>
      <c r="V61" s="3"/>
      <c r="W61" s="25" t="s">
        <v>6747</v>
      </c>
      <c r="X61" s="25"/>
      <c r="Y61" s="25" t="str">
        <f>IFERROR(VLOOKUP(C_Ope_003[[#This Row],[NOTA 2]],Clientes_Proveedores[[Ruc / Dni]:[Razon Social]],2,0),"")</f>
        <v/>
      </c>
      <c r="Z61" s="25"/>
      <c r="AA61" s="25"/>
      <c r="AB61" s="3" t="str">
        <f>IF(C_Ope_003[[#This Row],[FECHA]]&gt;0,TEXT(C_Ope_003[[#This Row],[FECHA]],"mmmm"),0)</f>
        <v>Febrero</v>
      </c>
    </row>
    <row r="62" spans="2:28" x14ac:dyDescent="0.3">
      <c r="B62" s="2">
        <f>IF(C_Ope_003[[#This Row],[TIPO DE R.]]="R",COUNTIFS($D$4:$D61,"R")+1,"")</f>
        <v>58</v>
      </c>
      <c r="C62" s="19" t="str">
        <f t="shared" si="4"/>
        <v>C_Ope_003</v>
      </c>
      <c r="D62" s="3" t="s">
        <v>1074</v>
      </c>
      <c r="E62" s="14">
        <v>45709</v>
      </c>
      <c r="F62" s="5" t="s">
        <v>4644</v>
      </c>
      <c r="G62" s="5" t="s">
        <v>1079</v>
      </c>
      <c r="H62" s="6"/>
      <c r="I62" s="6" t="s">
        <v>21</v>
      </c>
      <c r="J62" s="6">
        <v>1</v>
      </c>
      <c r="K62" s="6">
        <v>57230</v>
      </c>
      <c r="L62" s="7" t="s">
        <v>6565</v>
      </c>
      <c r="M62" s="8">
        <v>23145</v>
      </c>
      <c r="N62" s="8" t="str">
        <f t="shared" si="5"/>
        <v>PEN</v>
      </c>
      <c r="O62" s="13"/>
      <c r="P62" s="13">
        <v>60</v>
      </c>
      <c r="Q62" s="3">
        <f t="shared" si="1"/>
        <v>0</v>
      </c>
      <c r="R62" s="3">
        <f t="shared" si="2"/>
        <v>60</v>
      </c>
      <c r="S62" s="3">
        <f t="shared" si="3"/>
        <v>934.65000000000032</v>
      </c>
      <c r="T62" s="24"/>
      <c r="U62" s="24"/>
      <c r="V62" s="3"/>
      <c r="W62" s="25" t="s">
        <v>6747</v>
      </c>
      <c r="X62" s="25"/>
      <c r="Y62" s="25" t="str">
        <f>IFERROR(VLOOKUP(C_Ope_003[[#This Row],[NOTA 2]],Clientes_Proveedores[[Ruc / Dni]:[Razon Social]],2,0),"")</f>
        <v/>
      </c>
      <c r="Z62" s="25"/>
      <c r="AA62" s="25"/>
      <c r="AB62" s="3" t="str">
        <f>IF(C_Ope_003[[#This Row],[FECHA]]&gt;0,TEXT(C_Ope_003[[#This Row],[FECHA]],"mmmm"),0)</f>
        <v>Febrero</v>
      </c>
    </row>
    <row r="63" spans="2:28" x14ac:dyDescent="0.3">
      <c r="B63" s="2">
        <f>IF(C_Ope_003[[#This Row],[TIPO DE R.]]="R",COUNTIFS($D$4:$D62,"R")+1,"")</f>
        <v>59</v>
      </c>
      <c r="C63" s="19" t="str">
        <f t="shared" si="4"/>
        <v>C_Ope_003</v>
      </c>
      <c r="D63" s="3" t="s">
        <v>1074</v>
      </c>
      <c r="E63" s="14">
        <v>45710</v>
      </c>
      <c r="F63" s="5" t="s">
        <v>4644</v>
      </c>
      <c r="G63" s="5" t="s">
        <v>1079</v>
      </c>
      <c r="H63" s="6"/>
      <c r="I63" s="6"/>
      <c r="J63" s="6" t="s">
        <v>6893</v>
      </c>
      <c r="K63" s="6"/>
      <c r="L63" s="7" t="s">
        <v>6900</v>
      </c>
      <c r="M63" s="8">
        <v>23148</v>
      </c>
      <c r="N63" s="8" t="str">
        <f t="shared" si="5"/>
        <v>PEN</v>
      </c>
      <c r="O63" s="13"/>
      <c r="P63" s="13">
        <v>16</v>
      </c>
      <c r="Q63" s="3">
        <f t="shared" si="1"/>
        <v>0</v>
      </c>
      <c r="R63" s="3">
        <f t="shared" si="2"/>
        <v>16</v>
      </c>
      <c r="S63" s="3">
        <f t="shared" si="3"/>
        <v>918.65000000000032</v>
      </c>
      <c r="T63" s="24"/>
      <c r="U63" s="24"/>
      <c r="V63" s="3"/>
      <c r="W63" s="25" t="s">
        <v>6747</v>
      </c>
      <c r="X63" s="25"/>
      <c r="Y63" s="25" t="str">
        <f>IFERROR(VLOOKUP(C_Ope_003[[#This Row],[NOTA 2]],Clientes_Proveedores[[Ruc / Dni]:[Razon Social]],2,0),"")</f>
        <v/>
      </c>
      <c r="Z63" s="25"/>
      <c r="AA63" s="25"/>
      <c r="AB63" s="3" t="str">
        <f>IF(C_Ope_003[[#This Row],[FECHA]]&gt;0,TEXT(C_Ope_003[[#This Row],[FECHA]],"mmmm"),0)</f>
        <v>Febrero</v>
      </c>
    </row>
    <row r="64" spans="2:28" x14ac:dyDescent="0.3">
      <c r="B64" s="2">
        <f>IF(C_Ope_003[[#This Row],[TIPO DE R.]]="R",COUNTIFS($D$4:$D63,"R")+1,"")</f>
        <v>60</v>
      </c>
      <c r="C64" s="19" t="str">
        <f t="shared" si="4"/>
        <v>C_Ope_003</v>
      </c>
      <c r="D64" s="3" t="s">
        <v>1074</v>
      </c>
      <c r="E64" s="14">
        <v>45710</v>
      </c>
      <c r="F64" s="5" t="s">
        <v>4644</v>
      </c>
      <c r="G64" s="5" t="s">
        <v>1079</v>
      </c>
      <c r="H64" s="6"/>
      <c r="I64" s="6"/>
      <c r="J64" s="6" t="s">
        <v>6893</v>
      </c>
      <c r="K64" s="6"/>
      <c r="L64" s="7" t="s">
        <v>6901</v>
      </c>
      <c r="M64" s="8">
        <v>23149</v>
      </c>
      <c r="N64" s="8" t="str">
        <f t="shared" si="5"/>
        <v>PEN</v>
      </c>
      <c r="O64" s="13"/>
      <c r="P64" s="13">
        <v>24</v>
      </c>
      <c r="Q64" s="3">
        <f t="shared" si="1"/>
        <v>0</v>
      </c>
      <c r="R64" s="3">
        <f t="shared" si="2"/>
        <v>24</v>
      </c>
      <c r="S64" s="3">
        <f t="shared" si="3"/>
        <v>894.65000000000032</v>
      </c>
      <c r="T64" s="24"/>
      <c r="U64" s="24"/>
      <c r="V64" s="3"/>
      <c r="W64" s="25" t="s">
        <v>6747</v>
      </c>
      <c r="X64" s="25"/>
      <c r="Y64" s="25" t="str">
        <f>IFERROR(VLOOKUP(C_Ope_003[[#This Row],[NOTA 2]],Clientes_Proveedores[[Ruc / Dni]:[Razon Social]],2,0),"")</f>
        <v/>
      </c>
      <c r="Z64" s="25"/>
      <c r="AA64" s="25"/>
      <c r="AB64" s="3" t="str">
        <f>IF(C_Ope_003[[#This Row],[FECHA]]&gt;0,TEXT(C_Ope_003[[#This Row],[FECHA]],"mmmm"),0)</f>
        <v>Febrero</v>
      </c>
    </row>
    <row r="65" spans="2:28" x14ac:dyDescent="0.3">
      <c r="B65" s="2">
        <f>IF(C_Ope_003[[#This Row],[TIPO DE R.]]="R",COUNTIFS($D$4:$D64,"R")+1,"")</f>
        <v>61</v>
      </c>
      <c r="C65" s="19" t="str">
        <f t="shared" si="4"/>
        <v>C_Ope_003</v>
      </c>
      <c r="D65" s="3" t="s">
        <v>1074</v>
      </c>
      <c r="E65" s="14">
        <v>45710</v>
      </c>
      <c r="F65" s="5" t="s">
        <v>4644</v>
      </c>
      <c r="G65" s="5" t="s">
        <v>1079</v>
      </c>
      <c r="H65" s="6"/>
      <c r="I65" s="6"/>
      <c r="J65" s="6" t="s">
        <v>6893</v>
      </c>
      <c r="K65" s="6"/>
      <c r="L65" s="7" t="s">
        <v>6899</v>
      </c>
      <c r="M65" s="8">
        <v>23150</v>
      </c>
      <c r="N65" s="8" t="str">
        <f t="shared" si="5"/>
        <v>PEN</v>
      </c>
      <c r="O65" s="13"/>
      <c r="P65" s="13">
        <v>20</v>
      </c>
      <c r="Q65" s="3">
        <f t="shared" si="1"/>
        <v>0</v>
      </c>
      <c r="R65" s="3">
        <f t="shared" si="2"/>
        <v>20</v>
      </c>
      <c r="S65" s="3">
        <f t="shared" si="3"/>
        <v>874.65000000000032</v>
      </c>
      <c r="T65" s="24"/>
      <c r="U65" s="24"/>
      <c r="V65" s="3"/>
      <c r="W65" s="25" t="s">
        <v>6747</v>
      </c>
      <c r="X65" s="25"/>
      <c r="Y65" s="25" t="str">
        <f>IFERROR(VLOOKUP(C_Ope_003[[#This Row],[NOTA 2]],Clientes_Proveedores[[Ruc / Dni]:[Razon Social]],2,0),"")</f>
        <v/>
      </c>
      <c r="Z65" s="25"/>
      <c r="AA65" s="25"/>
      <c r="AB65" s="3" t="str">
        <f>IF(C_Ope_003[[#This Row],[FECHA]]&gt;0,TEXT(C_Ope_003[[#This Row],[FECHA]],"mmmm"),0)</f>
        <v>Febrero</v>
      </c>
    </row>
    <row r="66" spans="2:28" x14ac:dyDescent="0.3">
      <c r="B66" s="2">
        <f>IF(C_Ope_003[[#This Row],[TIPO DE R.]]="R",COUNTIFS($D$4:$D65,"R")+1,"")</f>
        <v>62</v>
      </c>
      <c r="C66" s="19" t="str">
        <f t="shared" si="4"/>
        <v>C_Ope_003</v>
      </c>
      <c r="D66" s="3" t="s">
        <v>1074</v>
      </c>
      <c r="E66" s="14">
        <v>45711</v>
      </c>
      <c r="F66" s="5" t="s">
        <v>4644</v>
      </c>
      <c r="G66" s="5" t="s">
        <v>1079</v>
      </c>
      <c r="H66" s="6"/>
      <c r="I66" s="6"/>
      <c r="J66" s="6" t="s">
        <v>6893</v>
      </c>
      <c r="K66" s="6"/>
      <c r="L66" s="7" t="s">
        <v>6900</v>
      </c>
      <c r="M66" s="8">
        <v>23151</v>
      </c>
      <c r="N66" s="8" t="str">
        <f t="shared" si="5"/>
        <v>PEN</v>
      </c>
      <c r="O66" s="13"/>
      <c r="P66" s="13">
        <v>16</v>
      </c>
      <c r="Q66" s="3">
        <f t="shared" si="1"/>
        <v>0</v>
      </c>
      <c r="R66" s="3">
        <f t="shared" si="2"/>
        <v>16</v>
      </c>
      <c r="S66" s="3">
        <f t="shared" si="3"/>
        <v>858.65000000000032</v>
      </c>
      <c r="T66" s="24"/>
      <c r="U66" s="24"/>
      <c r="V66" s="3"/>
      <c r="W66" s="25" t="s">
        <v>6747</v>
      </c>
      <c r="X66" s="25"/>
      <c r="Y66" s="25" t="str">
        <f>IFERROR(VLOOKUP(C_Ope_003[[#This Row],[NOTA 2]],Clientes_Proveedores[[Ruc / Dni]:[Razon Social]],2,0),"")</f>
        <v/>
      </c>
      <c r="Z66" s="25"/>
      <c r="AA66" s="25"/>
      <c r="AB66" s="3" t="str">
        <f>IF(C_Ope_003[[#This Row],[FECHA]]&gt;0,TEXT(C_Ope_003[[#This Row],[FECHA]],"mmmm"),0)</f>
        <v>Febrero</v>
      </c>
    </row>
    <row r="67" spans="2:28" x14ac:dyDescent="0.3">
      <c r="B67" s="2">
        <f>IF(C_Ope_003[[#This Row],[TIPO DE R.]]="R",COUNTIFS($D$4:$D66,"R")+1,"")</f>
        <v>63</v>
      </c>
      <c r="C67" s="19" t="str">
        <f t="shared" si="4"/>
        <v>C_Ope_003</v>
      </c>
      <c r="D67" s="3" t="s">
        <v>1074</v>
      </c>
      <c r="E67" s="14">
        <v>45711</v>
      </c>
      <c r="F67" s="5" t="s">
        <v>4644</v>
      </c>
      <c r="G67" s="5" t="s">
        <v>1079</v>
      </c>
      <c r="H67" s="6"/>
      <c r="I67" s="6"/>
      <c r="J67" s="6" t="s">
        <v>6893</v>
      </c>
      <c r="K67" s="6"/>
      <c r="L67" s="7" t="s">
        <v>6901</v>
      </c>
      <c r="M67" s="8">
        <v>23152</v>
      </c>
      <c r="N67" s="8" t="str">
        <f t="shared" si="5"/>
        <v>PEN</v>
      </c>
      <c r="O67" s="13"/>
      <c r="P67" s="13">
        <v>24</v>
      </c>
      <c r="Q67" s="3">
        <f t="shared" si="1"/>
        <v>0</v>
      </c>
      <c r="R67" s="3">
        <f t="shared" si="2"/>
        <v>24</v>
      </c>
      <c r="S67" s="3">
        <f t="shared" si="3"/>
        <v>834.65000000000032</v>
      </c>
      <c r="T67" s="24"/>
      <c r="U67" s="24"/>
      <c r="V67" s="3"/>
      <c r="W67" s="25" t="s">
        <v>6747</v>
      </c>
      <c r="X67" s="25"/>
      <c r="Y67" s="25" t="str">
        <f>IFERROR(VLOOKUP(C_Ope_003[[#This Row],[NOTA 2]],Clientes_Proveedores[[Ruc / Dni]:[Razon Social]],2,0),"")</f>
        <v/>
      </c>
      <c r="Z67" s="25"/>
      <c r="AA67" s="25"/>
      <c r="AB67" s="3" t="str">
        <f>IF(C_Ope_003[[#This Row],[FECHA]]&gt;0,TEXT(C_Ope_003[[#This Row],[FECHA]],"mmmm"),0)</f>
        <v>Febrero</v>
      </c>
    </row>
    <row r="68" spans="2:28" x14ac:dyDescent="0.3">
      <c r="B68" s="2">
        <f>IF(C_Ope_003[[#This Row],[TIPO DE R.]]="R",COUNTIFS($D$4:$D67,"R")+1,"")</f>
        <v>64</v>
      </c>
      <c r="C68" s="19" t="str">
        <f t="shared" si="4"/>
        <v>C_Ope_003</v>
      </c>
      <c r="D68" s="3" t="s">
        <v>1074</v>
      </c>
      <c r="E68" s="14">
        <v>45711</v>
      </c>
      <c r="F68" s="5" t="s">
        <v>4644</v>
      </c>
      <c r="G68" s="5" t="s">
        <v>1079</v>
      </c>
      <c r="H68" s="6"/>
      <c r="I68" s="6"/>
      <c r="J68" s="6" t="s">
        <v>6893</v>
      </c>
      <c r="K68" s="6"/>
      <c r="L68" s="7" t="s">
        <v>6899</v>
      </c>
      <c r="M68" s="8">
        <v>23153</v>
      </c>
      <c r="N68" s="8" t="str">
        <f t="shared" si="5"/>
        <v>PEN</v>
      </c>
      <c r="O68" s="13"/>
      <c r="P68" s="13">
        <v>20</v>
      </c>
      <c r="Q68" s="3">
        <f t="shared" si="1"/>
        <v>0</v>
      </c>
      <c r="R68" s="3">
        <f t="shared" si="2"/>
        <v>20</v>
      </c>
      <c r="S68" s="3">
        <f t="shared" si="3"/>
        <v>814.65000000000032</v>
      </c>
      <c r="T68" s="24"/>
      <c r="U68" s="24"/>
      <c r="V68" s="3"/>
      <c r="W68" s="25" t="s">
        <v>6747</v>
      </c>
      <c r="X68" s="25"/>
      <c r="Y68" s="25" t="str">
        <f>IFERROR(VLOOKUP(C_Ope_003[[#This Row],[NOTA 2]],Clientes_Proveedores[[Ruc / Dni]:[Razon Social]],2,0),"")</f>
        <v/>
      </c>
      <c r="Z68" s="25"/>
      <c r="AA68" s="25"/>
      <c r="AB68" s="3" t="str">
        <f>IF(C_Ope_003[[#This Row],[FECHA]]&gt;0,TEXT(C_Ope_003[[#This Row],[FECHA]],"mmmm"),0)</f>
        <v>Febrero</v>
      </c>
    </row>
    <row r="69" spans="2:28" ht="24" x14ac:dyDescent="0.3">
      <c r="B69" s="2">
        <f>IF(C_Ope_003[[#This Row],[TIPO DE R.]]="R",COUNTIFS($D$4:$D68,"R")+1,"")</f>
        <v>65</v>
      </c>
      <c r="C69" s="19" t="str">
        <f t="shared" si="4"/>
        <v>C_Ope_003</v>
      </c>
      <c r="D69" s="3" t="s">
        <v>1074</v>
      </c>
      <c r="E69" s="14">
        <v>45712</v>
      </c>
      <c r="F69" s="5" t="s">
        <v>4644</v>
      </c>
      <c r="G69" s="5" t="s">
        <v>1079</v>
      </c>
      <c r="H69" s="6"/>
      <c r="I69" s="6" t="s">
        <v>14</v>
      </c>
      <c r="J69" s="6" t="s">
        <v>6904</v>
      </c>
      <c r="K69" s="6">
        <v>4384068</v>
      </c>
      <c r="L69" s="7" t="s">
        <v>6935</v>
      </c>
      <c r="M69" s="8">
        <v>23183</v>
      </c>
      <c r="N69" s="8" t="str">
        <f t="shared" si="5"/>
        <v>PEN</v>
      </c>
      <c r="O69" s="13"/>
      <c r="P69" s="13">
        <v>19.8</v>
      </c>
      <c r="Q69" s="3">
        <f t="shared" ref="Q69:Q132" si="6">+IF(OR($G69="SALDO",$G69="INGRESO"),$P69,0)</f>
        <v>0</v>
      </c>
      <c r="R69" s="3">
        <f t="shared" ref="R69:R132" si="7">+IF($G69="EGRESO",$P69,0)</f>
        <v>19.8</v>
      </c>
      <c r="S69" s="3">
        <f t="shared" ref="S69:S132" si="8">IFERROR(IF(G69="SALDO",Q69,S68+Q69-R69),0)</f>
        <v>794.85000000000036</v>
      </c>
      <c r="T69" s="24"/>
      <c r="U69" s="24"/>
      <c r="V69" s="3"/>
      <c r="W69" s="25" t="s">
        <v>6747</v>
      </c>
      <c r="X69" s="25"/>
      <c r="Y69" s="25" t="str">
        <f>IFERROR(VLOOKUP(C_Ope_003[[#This Row],[NOTA 2]],Clientes_Proveedores[[Ruc / Dni]:[Razon Social]],2,0),"")</f>
        <v/>
      </c>
      <c r="Z69" s="25"/>
      <c r="AA69" s="25"/>
      <c r="AB69" s="3" t="str">
        <f>IF(C_Ope_003[[#This Row],[FECHA]]&gt;0,TEXT(C_Ope_003[[#This Row],[FECHA]],"mmmm"),0)</f>
        <v>Febrero</v>
      </c>
    </row>
    <row r="70" spans="2:28" ht="24" x14ac:dyDescent="0.3">
      <c r="B70" s="2">
        <f>IF(C_Ope_003[[#This Row],[TIPO DE R.]]="R",COUNTIFS($D$4:$D69,"R")+1,"")</f>
        <v>66</v>
      </c>
      <c r="C70" s="19" t="str">
        <f t="shared" ref="C70:C133" si="9">"C_Ope_003"</f>
        <v>C_Ope_003</v>
      </c>
      <c r="D70" s="3" t="s">
        <v>1074</v>
      </c>
      <c r="E70" s="14">
        <v>45712</v>
      </c>
      <c r="F70" s="5" t="s">
        <v>4644</v>
      </c>
      <c r="G70" s="5" t="s">
        <v>1079</v>
      </c>
      <c r="H70" s="6"/>
      <c r="I70" s="6" t="s">
        <v>14</v>
      </c>
      <c r="J70" s="6" t="s">
        <v>6936</v>
      </c>
      <c r="K70" s="6">
        <v>3656051</v>
      </c>
      <c r="L70" s="7" t="s">
        <v>6937</v>
      </c>
      <c r="M70" s="8">
        <v>23184</v>
      </c>
      <c r="N70" s="8" t="str">
        <f t="shared" ref="N70:N133" si="10">"PEN"</f>
        <v>PEN</v>
      </c>
      <c r="O70" s="13"/>
      <c r="P70" s="13">
        <v>22.5</v>
      </c>
      <c r="Q70" s="3">
        <f t="shared" si="6"/>
        <v>0</v>
      </c>
      <c r="R70" s="3">
        <f t="shared" si="7"/>
        <v>22.5</v>
      </c>
      <c r="S70" s="3">
        <f t="shared" si="8"/>
        <v>772.35000000000036</v>
      </c>
      <c r="T70" s="24"/>
      <c r="U70" s="24"/>
      <c r="V70" s="3"/>
      <c r="W70" s="25" t="s">
        <v>6747</v>
      </c>
      <c r="X70" s="25"/>
      <c r="Y70" s="25" t="str">
        <f>IFERROR(VLOOKUP(C_Ope_003[[#This Row],[NOTA 2]],Clientes_Proveedores[[Ruc / Dni]:[Razon Social]],2,0),"")</f>
        <v/>
      </c>
      <c r="Z70" s="25"/>
      <c r="AA70" s="25"/>
      <c r="AB70" s="3" t="str">
        <f>IF(C_Ope_003[[#This Row],[FECHA]]&gt;0,TEXT(C_Ope_003[[#This Row],[FECHA]],"mmmm"),0)</f>
        <v>Febrero</v>
      </c>
    </row>
    <row r="71" spans="2:28" x14ac:dyDescent="0.3">
      <c r="B71" s="2">
        <f>IF(C_Ope_003[[#This Row],[TIPO DE R.]]="R",COUNTIFS($D$4:$D70,"R")+1,"")</f>
        <v>67</v>
      </c>
      <c r="C71" s="19" t="str">
        <f t="shared" si="9"/>
        <v>C_Ope_003</v>
      </c>
      <c r="D71" s="3" t="s">
        <v>1074</v>
      </c>
      <c r="E71" s="14">
        <v>45712</v>
      </c>
      <c r="F71" s="5" t="s">
        <v>4644</v>
      </c>
      <c r="G71" s="5" t="s">
        <v>1079</v>
      </c>
      <c r="H71" s="6"/>
      <c r="I71" s="6" t="s">
        <v>14</v>
      </c>
      <c r="J71" s="6" t="s">
        <v>6908</v>
      </c>
      <c r="K71" s="6">
        <v>2122539</v>
      </c>
      <c r="L71" s="7" t="s">
        <v>6938</v>
      </c>
      <c r="M71" s="8">
        <v>23185</v>
      </c>
      <c r="N71" s="8" t="str">
        <f t="shared" si="10"/>
        <v>PEN</v>
      </c>
      <c r="O71" s="13"/>
      <c r="P71" s="13">
        <v>58.2</v>
      </c>
      <c r="Q71" s="3">
        <f t="shared" si="6"/>
        <v>0</v>
      </c>
      <c r="R71" s="3">
        <f t="shared" si="7"/>
        <v>58.2</v>
      </c>
      <c r="S71" s="3">
        <f t="shared" si="8"/>
        <v>714.15000000000032</v>
      </c>
      <c r="T71" s="24"/>
      <c r="U71" s="24"/>
      <c r="V71" s="3"/>
      <c r="W71" s="25" t="s">
        <v>6747</v>
      </c>
      <c r="X71" s="25"/>
      <c r="Y71" s="25" t="str">
        <f>IFERROR(VLOOKUP(C_Ope_003[[#This Row],[NOTA 2]],Clientes_Proveedores[[Ruc / Dni]:[Razon Social]],2,0),"")</f>
        <v/>
      </c>
      <c r="Z71" s="25"/>
      <c r="AA71" s="25"/>
      <c r="AB71" s="3" t="str">
        <f>IF(C_Ope_003[[#This Row],[FECHA]]&gt;0,TEXT(C_Ope_003[[#This Row],[FECHA]],"mmmm"),0)</f>
        <v>Febrero</v>
      </c>
    </row>
    <row r="72" spans="2:28" x14ac:dyDescent="0.3">
      <c r="B72" s="2">
        <f>IF(C_Ope_003[[#This Row],[TIPO DE R.]]="R",COUNTIFS($D$4:$D71,"R")+1,"")</f>
        <v>68</v>
      </c>
      <c r="C72" s="19" t="str">
        <f t="shared" si="9"/>
        <v>C_Ope_003</v>
      </c>
      <c r="D72" s="3" t="s">
        <v>1074</v>
      </c>
      <c r="E72" s="14">
        <v>45712</v>
      </c>
      <c r="F72" s="5" t="s">
        <v>4644</v>
      </c>
      <c r="G72" s="5" t="s">
        <v>1079</v>
      </c>
      <c r="H72" s="6"/>
      <c r="I72" s="6" t="s">
        <v>14</v>
      </c>
      <c r="J72" s="6" t="s">
        <v>6939</v>
      </c>
      <c r="K72" s="6">
        <v>2070494</v>
      </c>
      <c r="L72" s="7" t="s">
        <v>6940</v>
      </c>
      <c r="M72" s="8">
        <v>23186</v>
      </c>
      <c r="N72" s="8" t="str">
        <f t="shared" si="10"/>
        <v>PEN</v>
      </c>
      <c r="O72" s="13"/>
      <c r="P72" s="13">
        <v>58.2</v>
      </c>
      <c r="Q72" s="3">
        <f t="shared" si="6"/>
        <v>0</v>
      </c>
      <c r="R72" s="3">
        <f t="shared" si="7"/>
        <v>58.2</v>
      </c>
      <c r="S72" s="3">
        <f t="shared" si="8"/>
        <v>655.95000000000027</v>
      </c>
      <c r="T72" s="24"/>
      <c r="U72" s="24"/>
      <c r="V72" s="3"/>
      <c r="W72" s="25" t="s">
        <v>6747</v>
      </c>
      <c r="X72" s="25"/>
      <c r="Y72" s="25" t="str">
        <f>IFERROR(VLOOKUP(C_Ope_003[[#This Row],[NOTA 2]],Clientes_Proveedores[[Ruc / Dni]:[Razon Social]],2,0),"")</f>
        <v/>
      </c>
      <c r="Z72" s="25"/>
      <c r="AA72" s="25"/>
      <c r="AB72" s="3" t="str">
        <f>IF(C_Ope_003[[#This Row],[FECHA]]&gt;0,TEXT(C_Ope_003[[#This Row],[FECHA]],"mmmm"),0)</f>
        <v>Febrero</v>
      </c>
    </row>
    <row r="73" spans="2:28" ht="24" x14ac:dyDescent="0.3">
      <c r="B73" s="2">
        <f>IF(C_Ope_003[[#This Row],[TIPO DE R.]]="R",COUNTIFS($D$4:$D72,"R")+1,"")</f>
        <v>69</v>
      </c>
      <c r="C73" s="19" t="str">
        <f t="shared" si="9"/>
        <v>C_Ope_003</v>
      </c>
      <c r="D73" s="3" t="s">
        <v>1074</v>
      </c>
      <c r="E73" s="14">
        <v>45713</v>
      </c>
      <c r="F73" s="5" t="s">
        <v>4644</v>
      </c>
      <c r="G73" s="5" t="s">
        <v>1079</v>
      </c>
      <c r="H73" s="6"/>
      <c r="I73" s="6"/>
      <c r="J73" s="6"/>
      <c r="K73" s="6" t="s">
        <v>6941</v>
      </c>
      <c r="L73" s="7" t="s">
        <v>6942</v>
      </c>
      <c r="M73" s="8">
        <v>23202</v>
      </c>
      <c r="N73" s="8" t="str">
        <f t="shared" si="10"/>
        <v>PEN</v>
      </c>
      <c r="O73" s="13"/>
      <c r="P73" s="13">
        <v>19.5</v>
      </c>
      <c r="Q73" s="3">
        <f t="shared" si="6"/>
        <v>0</v>
      </c>
      <c r="R73" s="3">
        <f t="shared" si="7"/>
        <v>19.5</v>
      </c>
      <c r="S73" s="3">
        <f t="shared" si="8"/>
        <v>636.45000000000027</v>
      </c>
      <c r="T73" s="24"/>
      <c r="U73" s="24"/>
      <c r="V73" s="3"/>
      <c r="W73" s="25" t="s">
        <v>6747</v>
      </c>
      <c r="X73" s="25"/>
      <c r="Y73" s="25" t="str">
        <f>IFERROR(VLOOKUP(C_Ope_003[[#This Row],[NOTA 2]],Clientes_Proveedores[[Ruc / Dni]:[Razon Social]],2,0),"")</f>
        <v/>
      </c>
      <c r="Z73" s="25"/>
      <c r="AA73" s="25"/>
      <c r="AB73" s="3" t="str">
        <f>IF(C_Ope_003[[#This Row],[FECHA]]&gt;0,TEXT(C_Ope_003[[#This Row],[FECHA]],"mmmm"),0)</f>
        <v>Febrero</v>
      </c>
    </row>
    <row r="74" spans="2:28" ht="24" x14ac:dyDescent="0.3">
      <c r="B74" s="2">
        <f>IF(C_Ope_003[[#This Row],[TIPO DE R.]]="R",COUNTIFS($D$4:$D73,"R")+1,"")</f>
        <v>70</v>
      </c>
      <c r="C74" s="19" t="str">
        <f t="shared" si="9"/>
        <v>C_Ope_003</v>
      </c>
      <c r="D74" s="3" t="s">
        <v>1074</v>
      </c>
      <c r="E74" s="14">
        <v>45713</v>
      </c>
      <c r="F74" s="5" t="s">
        <v>4644</v>
      </c>
      <c r="G74" s="5" t="s">
        <v>1079</v>
      </c>
      <c r="H74" s="6"/>
      <c r="I74" s="6"/>
      <c r="J74" s="6"/>
      <c r="K74" s="6" t="s">
        <v>6943</v>
      </c>
      <c r="L74" s="7" t="s">
        <v>6944</v>
      </c>
      <c r="M74" s="8">
        <v>23203</v>
      </c>
      <c r="N74" s="8" t="str">
        <f t="shared" si="10"/>
        <v>PEN</v>
      </c>
      <c r="O74" s="13"/>
      <c r="P74" s="13">
        <v>19.5</v>
      </c>
      <c r="Q74" s="3">
        <f t="shared" si="6"/>
        <v>0</v>
      </c>
      <c r="R74" s="3">
        <f t="shared" si="7"/>
        <v>19.5</v>
      </c>
      <c r="S74" s="3">
        <f t="shared" si="8"/>
        <v>616.95000000000027</v>
      </c>
      <c r="T74" s="24"/>
      <c r="U74" s="24"/>
      <c r="V74" s="3"/>
      <c r="W74" s="25" t="s">
        <v>6747</v>
      </c>
      <c r="X74" s="25"/>
      <c r="Y74" s="25" t="str">
        <f>IFERROR(VLOOKUP(C_Ope_003[[#This Row],[NOTA 2]],Clientes_Proveedores[[Ruc / Dni]:[Razon Social]],2,0),"")</f>
        <v/>
      </c>
      <c r="Z74" s="25"/>
      <c r="AA74" s="25"/>
      <c r="AB74" s="3" t="str">
        <f>IF(C_Ope_003[[#This Row],[FECHA]]&gt;0,TEXT(C_Ope_003[[#This Row],[FECHA]],"mmmm"),0)</f>
        <v>Febrero</v>
      </c>
    </row>
    <row r="75" spans="2:28" ht="24" x14ac:dyDescent="0.3">
      <c r="B75" s="2">
        <f>IF(C_Ope_003[[#This Row],[TIPO DE R.]]="R",COUNTIFS($D$4:$D74,"R")+1,"")</f>
        <v>71</v>
      </c>
      <c r="C75" s="19" t="str">
        <f t="shared" si="9"/>
        <v>C_Ope_003</v>
      </c>
      <c r="D75" s="3" t="s">
        <v>1074</v>
      </c>
      <c r="E75" s="14">
        <v>45713</v>
      </c>
      <c r="F75" s="5" t="s">
        <v>4644</v>
      </c>
      <c r="G75" s="5" t="s">
        <v>1079</v>
      </c>
      <c r="H75" s="6"/>
      <c r="I75" s="6"/>
      <c r="J75" s="6"/>
      <c r="K75" s="6" t="s">
        <v>6945</v>
      </c>
      <c r="L75" s="7" t="s">
        <v>6946</v>
      </c>
      <c r="M75" s="8">
        <v>23204</v>
      </c>
      <c r="N75" s="8" t="str">
        <f t="shared" si="10"/>
        <v>PEN</v>
      </c>
      <c r="O75" s="13"/>
      <c r="P75" s="13">
        <v>19.5</v>
      </c>
      <c r="Q75" s="3">
        <f t="shared" si="6"/>
        <v>0</v>
      </c>
      <c r="R75" s="3">
        <f t="shared" si="7"/>
        <v>19.5</v>
      </c>
      <c r="S75" s="3">
        <f t="shared" si="8"/>
        <v>597.45000000000027</v>
      </c>
      <c r="T75" s="24"/>
      <c r="U75" s="24"/>
      <c r="V75" s="3"/>
      <c r="W75" s="25" t="s">
        <v>6747</v>
      </c>
      <c r="X75" s="25"/>
      <c r="Y75" s="25" t="str">
        <f>IFERROR(VLOOKUP(C_Ope_003[[#This Row],[NOTA 2]],Clientes_Proveedores[[Ruc / Dni]:[Razon Social]],2,0),"")</f>
        <v/>
      </c>
      <c r="Z75" s="25"/>
      <c r="AA75" s="25"/>
      <c r="AB75" s="3" t="str">
        <f>IF(C_Ope_003[[#This Row],[FECHA]]&gt;0,TEXT(C_Ope_003[[#This Row],[FECHA]],"mmmm"),0)</f>
        <v>Febrero</v>
      </c>
    </row>
    <row r="76" spans="2:28" x14ac:dyDescent="0.3">
      <c r="B76" s="2">
        <f>IF(C_Ope_003[[#This Row],[TIPO DE R.]]="R",COUNTIFS($D$4:$D75,"R")+1,"")</f>
        <v>72</v>
      </c>
      <c r="C76" s="19" t="str">
        <f t="shared" si="9"/>
        <v>C_Ope_003</v>
      </c>
      <c r="D76" s="3" t="s">
        <v>1074</v>
      </c>
      <c r="E76" s="14">
        <v>45713</v>
      </c>
      <c r="F76" s="5" t="s">
        <v>4644</v>
      </c>
      <c r="G76" s="5" t="s">
        <v>1079</v>
      </c>
      <c r="H76" s="6"/>
      <c r="I76" s="6" t="s">
        <v>14</v>
      </c>
      <c r="J76" s="6" t="s">
        <v>2629</v>
      </c>
      <c r="K76" s="6">
        <v>690419</v>
      </c>
      <c r="L76" s="7" t="s">
        <v>6947</v>
      </c>
      <c r="M76" s="8">
        <v>23205</v>
      </c>
      <c r="N76" s="8" t="str">
        <f t="shared" si="10"/>
        <v>PEN</v>
      </c>
      <c r="O76" s="13"/>
      <c r="P76" s="13">
        <v>23.6</v>
      </c>
      <c r="Q76" s="3">
        <f t="shared" si="6"/>
        <v>0</v>
      </c>
      <c r="R76" s="3">
        <f t="shared" si="7"/>
        <v>23.6</v>
      </c>
      <c r="S76" s="3">
        <f t="shared" si="8"/>
        <v>573.85000000000025</v>
      </c>
      <c r="T76" s="24"/>
      <c r="U76" s="24"/>
      <c r="V76" s="3"/>
      <c r="W76" s="25" t="s">
        <v>6747</v>
      </c>
      <c r="X76" s="25"/>
      <c r="Y76" s="25" t="str">
        <f>IFERROR(VLOOKUP(C_Ope_003[[#This Row],[NOTA 2]],Clientes_Proveedores[[Ruc / Dni]:[Razon Social]],2,0),"")</f>
        <v/>
      </c>
      <c r="Z76" s="25"/>
      <c r="AA76" s="25"/>
      <c r="AB76" s="3" t="str">
        <f>IF(C_Ope_003[[#This Row],[FECHA]]&gt;0,TEXT(C_Ope_003[[#This Row],[FECHA]],"mmmm"),0)</f>
        <v>Febrero</v>
      </c>
    </row>
    <row r="77" spans="2:28" ht="24" x14ac:dyDescent="0.3">
      <c r="B77" s="2">
        <f>IF(C_Ope_003[[#This Row],[TIPO DE R.]]="R",COUNTIFS($D$4:$D76,"R")+1,"")</f>
        <v>73</v>
      </c>
      <c r="C77" s="19" t="str">
        <f t="shared" si="9"/>
        <v>C_Ope_003</v>
      </c>
      <c r="D77" s="3" t="s">
        <v>1074</v>
      </c>
      <c r="E77" s="14">
        <v>45714</v>
      </c>
      <c r="F77" s="5" t="s">
        <v>4644</v>
      </c>
      <c r="G77" s="5" t="s">
        <v>1079</v>
      </c>
      <c r="H77" s="6"/>
      <c r="I77" s="6" t="s">
        <v>14</v>
      </c>
      <c r="J77" s="6" t="s">
        <v>6948</v>
      </c>
      <c r="K77" s="6">
        <v>617413</v>
      </c>
      <c r="L77" s="7" t="s">
        <v>6949</v>
      </c>
      <c r="M77" s="8">
        <v>23217</v>
      </c>
      <c r="N77" s="8" t="str">
        <f t="shared" si="10"/>
        <v>PEN</v>
      </c>
      <c r="O77" s="13"/>
      <c r="P77" s="13">
        <v>15</v>
      </c>
      <c r="Q77" s="3">
        <f t="shared" si="6"/>
        <v>0</v>
      </c>
      <c r="R77" s="3">
        <f t="shared" si="7"/>
        <v>15</v>
      </c>
      <c r="S77" s="3">
        <f t="shared" si="8"/>
        <v>558.85000000000025</v>
      </c>
      <c r="T77" s="24"/>
      <c r="U77" s="24"/>
      <c r="V77" s="3"/>
      <c r="W77" s="25" t="s">
        <v>6950</v>
      </c>
      <c r="X77" s="25"/>
      <c r="Y77" s="25" t="str">
        <f>IFERROR(VLOOKUP(C_Ope_003[[#This Row],[NOTA 2]],Clientes_Proveedores[[Ruc / Dni]:[Razon Social]],2,0),"")</f>
        <v/>
      </c>
      <c r="Z77" s="25"/>
      <c r="AA77" s="25"/>
      <c r="AB77" s="3" t="str">
        <f>IF(C_Ope_003[[#This Row],[FECHA]]&gt;0,TEXT(C_Ope_003[[#This Row],[FECHA]],"mmmm"),0)</f>
        <v>Febrero</v>
      </c>
    </row>
    <row r="78" spans="2:28" ht="24" x14ac:dyDescent="0.3">
      <c r="B78" s="2">
        <f>IF(C_Ope_003[[#This Row],[TIPO DE R.]]="R",COUNTIFS($D$4:$D77,"R")+1,"")</f>
        <v>74</v>
      </c>
      <c r="C78" s="19" t="str">
        <f t="shared" si="9"/>
        <v>C_Ope_003</v>
      </c>
      <c r="D78" s="3" t="s">
        <v>1074</v>
      </c>
      <c r="E78" s="14">
        <v>45714</v>
      </c>
      <c r="F78" s="5" t="s">
        <v>4644</v>
      </c>
      <c r="G78" s="5" t="s">
        <v>1079</v>
      </c>
      <c r="H78" s="6"/>
      <c r="I78" s="6" t="s">
        <v>14</v>
      </c>
      <c r="J78" s="6" t="s">
        <v>6906</v>
      </c>
      <c r="K78" s="6">
        <v>2583746</v>
      </c>
      <c r="L78" s="7" t="s">
        <v>6951</v>
      </c>
      <c r="M78" s="8">
        <v>23218</v>
      </c>
      <c r="N78" s="8" t="str">
        <f t="shared" si="10"/>
        <v>PEN</v>
      </c>
      <c r="O78" s="13"/>
      <c r="P78" s="13">
        <v>15</v>
      </c>
      <c r="Q78" s="3">
        <f t="shared" si="6"/>
        <v>0</v>
      </c>
      <c r="R78" s="3">
        <f t="shared" si="7"/>
        <v>15</v>
      </c>
      <c r="S78" s="3">
        <f t="shared" si="8"/>
        <v>543.85000000000025</v>
      </c>
      <c r="T78" s="24"/>
      <c r="U78" s="24"/>
      <c r="V78" s="3"/>
      <c r="W78" s="25" t="s">
        <v>6950</v>
      </c>
      <c r="X78" s="25"/>
      <c r="Y78" s="25" t="str">
        <f>IFERROR(VLOOKUP(C_Ope_003[[#This Row],[NOTA 2]],Clientes_Proveedores[[Ruc / Dni]:[Razon Social]],2,0),"")</f>
        <v/>
      </c>
      <c r="Z78" s="25"/>
      <c r="AA78" s="25"/>
      <c r="AB78" s="3" t="str">
        <f>IF(C_Ope_003[[#This Row],[FECHA]]&gt;0,TEXT(C_Ope_003[[#This Row],[FECHA]],"mmmm"),0)</f>
        <v>Febrero</v>
      </c>
    </row>
    <row r="79" spans="2:28" x14ac:dyDescent="0.3">
      <c r="B79" s="2">
        <f>IF(C_Ope_003[[#This Row],[TIPO DE R.]]="R",COUNTIFS($D$4:$D78,"R")+1,"")</f>
        <v>75</v>
      </c>
      <c r="C79" s="19" t="str">
        <f t="shared" si="9"/>
        <v>C_Ope_003</v>
      </c>
      <c r="D79" s="3" t="s">
        <v>1074</v>
      </c>
      <c r="E79" s="14">
        <v>45712</v>
      </c>
      <c r="F79" s="5" t="s">
        <v>4644</v>
      </c>
      <c r="G79" s="5" t="s">
        <v>1079</v>
      </c>
      <c r="H79" s="6"/>
      <c r="I79" s="6" t="s">
        <v>14</v>
      </c>
      <c r="J79" s="6" t="s">
        <v>1119</v>
      </c>
      <c r="K79" s="6">
        <v>58985</v>
      </c>
      <c r="L79" s="7" t="s">
        <v>6919</v>
      </c>
      <c r="M79" s="8">
        <v>23164</v>
      </c>
      <c r="N79" s="8" t="str">
        <f t="shared" si="10"/>
        <v>PEN</v>
      </c>
      <c r="O79" s="13"/>
      <c r="P79" s="13">
        <v>66</v>
      </c>
      <c r="Q79" s="3">
        <f t="shared" si="6"/>
        <v>0</v>
      </c>
      <c r="R79" s="3">
        <f t="shared" si="7"/>
        <v>66</v>
      </c>
      <c r="S79" s="3">
        <f t="shared" si="8"/>
        <v>477.85000000000025</v>
      </c>
      <c r="T79" s="24"/>
      <c r="U79" s="24"/>
      <c r="V79" s="3"/>
      <c r="W79" s="25" t="s">
        <v>6747</v>
      </c>
      <c r="X79" s="25"/>
      <c r="Y79" s="25" t="str">
        <f>IFERROR(VLOOKUP(C_Ope_003[[#This Row],[NOTA 2]],Clientes_Proveedores[[Ruc / Dni]:[Razon Social]],2,0),"")</f>
        <v/>
      </c>
      <c r="Z79" s="25"/>
      <c r="AA79" s="25"/>
      <c r="AB79" s="3" t="str">
        <f>IF(C_Ope_003[[#This Row],[FECHA]]&gt;0,TEXT(C_Ope_003[[#This Row],[FECHA]],"mmmm"),0)</f>
        <v>Febrero</v>
      </c>
    </row>
    <row r="80" spans="2:28" x14ac:dyDescent="0.3">
      <c r="B80" s="2">
        <f>IF(C_Ope_003[[#This Row],[TIPO DE R.]]="R",COUNTIFS($D$4:$D79,"R")+1,"")</f>
        <v>76</v>
      </c>
      <c r="C80" s="19" t="str">
        <f t="shared" si="9"/>
        <v>C_Ope_003</v>
      </c>
      <c r="D80" s="3" t="s">
        <v>1074</v>
      </c>
      <c r="E80" s="14">
        <v>45712</v>
      </c>
      <c r="F80" s="5" t="s">
        <v>4644</v>
      </c>
      <c r="G80" s="5" t="s">
        <v>1079</v>
      </c>
      <c r="H80" s="6"/>
      <c r="I80" s="6"/>
      <c r="J80" s="6" t="s">
        <v>6893</v>
      </c>
      <c r="K80" s="6"/>
      <c r="L80" s="7" t="s">
        <v>6900</v>
      </c>
      <c r="M80" s="8">
        <v>23165</v>
      </c>
      <c r="N80" s="8" t="str">
        <f t="shared" si="10"/>
        <v>PEN</v>
      </c>
      <c r="O80" s="13"/>
      <c r="P80" s="13">
        <v>16</v>
      </c>
      <c r="Q80" s="3">
        <f t="shared" si="6"/>
        <v>0</v>
      </c>
      <c r="R80" s="3">
        <f t="shared" si="7"/>
        <v>16</v>
      </c>
      <c r="S80" s="3">
        <f t="shared" si="8"/>
        <v>461.85000000000025</v>
      </c>
      <c r="T80" s="24"/>
      <c r="U80" s="24"/>
      <c r="V80" s="3"/>
      <c r="W80" s="25" t="s">
        <v>6747</v>
      </c>
      <c r="X80" s="25"/>
      <c r="Y80" s="25" t="str">
        <f>IFERROR(VLOOKUP(C_Ope_003[[#This Row],[NOTA 2]],Clientes_Proveedores[[Ruc / Dni]:[Razon Social]],2,0),"")</f>
        <v/>
      </c>
      <c r="Z80" s="25"/>
      <c r="AA80" s="25"/>
      <c r="AB80" s="3" t="str">
        <f>IF(C_Ope_003[[#This Row],[FECHA]]&gt;0,TEXT(C_Ope_003[[#This Row],[FECHA]],"mmmm"),0)</f>
        <v>Febrero</v>
      </c>
    </row>
    <row r="81" spans="2:28" x14ac:dyDescent="0.3">
      <c r="B81" s="2">
        <f>IF(C_Ope_003[[#This Row],[TIPO DE R.]]="R",COUNTIFS($D$4:$D80,"R")+1,"")</f>
        <v>77</v>
      </c>
      <c r="C81" s="19" t="str">
        <f t="shared" si="9"/>
        <v>C_Ope_003</v>
      </c>
      <c r="D81" s="3" t="s">
        <v>1074</v>
      </c>
      <c r="E81" s="14">
        <v>45712</v>
      </c>
      <c r="F81" s="5" t="s">
        <v>4644</v>
      </c>
      <c r="G81" s="5" t="s">
        <v>1079</v>
      </c>
      <c r="H81" s="6"/>
      <c r="I81" s="6" t="s">
        <v>21</v>
      </c>
      <c r="J81" s="6">
        <v>1</v>
      </c>
      <c r="K81" s="6">
        <v>406</v>
      </c>
      <c r="L81" s="7" t="s">
        <v>6901</v>
      </c>
      <c r="M81" s="8">
        <v>23166</v>
      </c>
      <c r="N81" s="8" t="str">
        <f t="shared" si="10"/>
        <v>PEN</v>
      </c>
      <c r="O81" s="13"/>
      <c r="P81" s="13">
        <v>24</v>
      </c>
      <c r="Q81" s="3">
        <f t="shared" si="6"/>
        <v>0</v>
      </c>
      <c r="R81" s="3">
        <f t="shared" si="7"/>
        <v>24</v>
      </c>
      <c r="S81" s="3">
        <f t="shared" si="8"/>
        <v>437.85000000000025</v>
      </c>
      <c r="T81" s="24"/>
      <c r="U81" s="24"/>
      <c r="V81" s="3"/>
      <c r="W81" s="25" t="s">
        <v>6747</v>
      </c>
      <c r="X81" s="25"/>
      <c r="Y81" s="25" t="str">
        <f>IFERROR(VLOOKUP(C_Ope_003[[#This Row],[NOTA 2]],Clientes_Proveedores[[Ruc / Dni]:[Razon Social]],2,0),"")</f>
        <v/>
      </c>
      <c r="Z81" s="25"/>
      <c r="AA81" s="25"/>
      <c r="AB81" s="3" t="str">
        <f>IF(C_Ope_003[[#This Row],[FECHA]]&gt;0,TEXT(C_Ope_003[[#This Row],[FECHA]],"mmmm"),0)</f>
        <v>Febrero</v>
      </c>
    </row>
    <row r="82" spans="2:28" x14ac:dyDescent="0.3">
      <c r="B82" s="2">
        <f>IF(C_Ope_003[[#This Row],[TIPO DE R.]]="R",COUNTIFS($D$4:$D81,"R")+1,"")</f>
        <v>78</v>
      </c>
      <c r="C82" s="19" t="str">
        <f t="shared" si="9"/>
        <v>C_Ope_003</v>
      </c>
      <c r="D82" s="3" t="s">
        <v>1074</v>
      </c>
      <c r="E82" s="14">
        <v>45712</v>
      </c>
      <c r="F82" s="5" t="s">
        <v>4644</v>
      </c>
      <c r="G82" s="5" t="s">
        <v>1079</v>
      </c>
      <c r="H82" s="6"/>
      <c r="I82" s="6"/>
      <c r="J82" s="6" t="s">
        <v>6893</v>
      </c>
      <c r="K82" s="6"/>
      <c r="L82" s="7" t="s">
        <v>6952</v>
      </c>
      <c r="M82" s="8">
        <v>23181</v>
      </c>
      <c r="N82" s="8" t="str">
        <f t="shared" si="10"/>
        <v>PEN</v>
      </c>
      <c r="O82" s="13"/>
      <c r="P82" s="13">
        <v>10</v>
      </c>
      <c r="Q82" s="3">
        <f t="shared" si="6"/>
        <v>0</v>
      </c>
      <c r="R82" s="3">
        <f t="shared" si="7"/>
        <v>10</v>
      </c>
      <c r="S82" s="3">
        <f t="shared" si="8"/>
        <v>427.85000000000025</v>
      </c>
      <c r="T82" s="24"/>
      <c r="U82" s="24"/>
      <c r="V82" s="3"/>
      <c r="W82" s="25" t="s">
        <v>6747</v>
      </c>
      <c r="X82" s="25"/>
      <c r="Y82" s="25" t="str">
        <f>IFERROR(VLOOKUP(C_Ope_003[[#This Row],[NOTA 2]],Clientes_Proveedores[[Ruc / Dni]:[Razon Social]],2,0),"")</f>
        <v/>
      </c>
      <c r="Z82" s="25"/>
      <c r="AA82" s="25"/>
      <c r="AB82" s="3" t="str">
        <f>IF(C_Ope_003[[#This Row],[FECHA]]&gt;0,TEXT(C_Ope_003[[#This Row],[FECHA]],"mmmm"),0)</f>
        <v>Febrero</v>
      </c>
    </row>
    <row r="83" spans="2:28" x14ac:dyDescent="0.3">
      <c r="B83" s="2">
        <f>IF(C_Ope_003[[#This Row],[TIPO DE R.]]="R",COUNTIFS($D$4:$D82,"R")+1,"")</f>
        <v>79</v>
      </c>
      <c r="C83" s="19" t="str">
        <f t="shared" si="9"/>
        <v>C_Ope_003</v>
      </c>
      <c r="D83" s="3" t="s">
        <v>1074</v>
      </c>
      <c r="E83" s="14">
        <v>45712</v>
      </c>
      <c r="F83" s="5" t="s">
        <v>4644</v>
      </c>
      <c r="G83" s="5" t="s">
        <v>1079</v>
      </c>
      <c r="H83" s="6"/>
      <c r="I83" s="6" t="s">
        <v>21</v>
      </c>
      <c r="J83" s="6">
        <v>1</v>
      </c>
      <c r="K83" s="6">
        <v>1935</v>
      </c>
      <c r="L83" s="7" t="s">
        <v>6953</v>
      </c>
      <c r="M83" s="8">
        <v>23182</v>
      </c>
      <c r="N83" s="8" t="str">
        <f t="shared" si="10"/>
        <v>PEN</v>
      </c>
      <c r="O83" s="13"/>
      <c r="P83" s="13">
        <v>12</v>
      </c>
      <c r="Q83" s="3">
        <f t="shared" si="6"/>
        <v>0</v>
      </c>
      <c r="R83" s="3">
        <f t="shared" si="7"/>
        <v>12</v>
      </c>
      <c r="S83" s="3">
        <f t="shared" si="8"/>
        <v>415.85000000000025</v>
      </c>
      <c r="T83" s="24"/>
      <c r="U83" s="24"/>
      <c r="V83" s="3"/>
      <c r="W83" s="25" t="s">
        <v>6747</v>
      </c>
      <c r="X83" s="25"/>
      <c r="Y83" s="25" t="str">
        <f>IFERROR(VLOOKUP(C_Ope_003[[#This Row],[NOTA 2]],Clientes_Proveedores[[Ruc / Dni]:[Razon Social]],2,0),"")</f>
        <v/>
      </c>
      <c r="Z83" s="25"/>
      <c r="AA83" s="25"/>
      <c r="AB83" s="3" t="str">
        <f>IF(C_Ope_003[[#This Row],[FECHA]]&gt;0,TEXT(C_Ope_003[[#This Row],[FECHA]],"mmmm"),0)</f>
        <v>Febrero</v>
      </c>
    </row>
    <row r="84" spans="2:28" x14ac:dyDescent="0.3">
      <c r="B84" s="2">
        <f>IF(C_Ope_003[[#This Row],[TIPO DE R.]]="R",COUNTIFS($D$4:$D83,"R")+1,"")</f>
        <v>80</v>
      </c>
      <c r="C84" s="19" t="str">
        <f t="shared" si="9"/>
        <v>C_Ope_003</v>
      </c>
      <c r="D84" s="3" t="s">
        <v>1074</v>
      </c>
      <c r="E84" s="14">
        <v>45712</v>
      </c>
      <c r="F84" s="5" t="s">
        <v>4644</v>
      </c>
      <c r="G84" s="5" t="s">
        <v>1079</v>
      </c>
      <c r="H84" s="6"/>
      <c r="I84" s="6"/>
      <c r="J84" s="6" t="s">
        <v>6954</v>
      </c>
      <c r="K84" s="6">
        <v>7367</v>
      </c>
      <c r="L84" s="7" t="s">
        <v>6955</v>
      </c>
      <c r="M84" s="8">
        <v>23187</v>
      </c>
      <c r="N84" s="8" t="str">
        <f t="shared" si="10"/>
        <v>PEN</v>
      </c>
      <c r="O84" s="13"/>
      <c r="P84" s="13">
        <v>60</v>
      </c>
      <c r="Q84" s="3">
        <f t="shared" si="6"/>
        <v>0</v>
      </c>
      <c r="R84" s="3">
        <f t="shared" si="7"/>
        <v>60</v>
      </c>
      <c r="S84" s="3">
        <f t="shared" si="8"/>
        <v>355.85000000000025</v>
      </c>
      <c r="T84" s="24"/>
      <c r="U84" s="24"/>
      <c r="V84" s="3"/>
      <c r="W84" s="25" t="s">
        <v>6747</v>
      </c>
      <c r="X84" s="25"/>
      <c r="Y84" s="25" t="str">
        <f>IFERROR(VLOOKUP(C_Ope_003[[#This Row],[NOTA 2]],Clientes_Proveedores[[Ruc / Dni]:[Razon Social]],2,0),"")</f>
        <v/>
      </c>
      <c r="Z84" s="25"/>
      <c r="AA84" s="25"/>
      <c r="AB84" s="3" t="str">
        <f>IF(C_Ope_003[[#This Row],[FECHA]]&gt;0,TEXT(C_Ope_003[[#This Row],[FECHA]],"mmmm"),0)</f>
        <v>Febrero</v>
      </c>
    </row>
    <row r="85" spans="2:28" x14ac:dyDescent="0.3">
      <c r="B85" s="2">
        <f>IF(C_Ope_003[[#This Row],[TIPO DE R.]]="R",COUNTIFS($D$4:$D84,"R")+1,"")</f>
        <v>81</v>
      </c>
      <c r="C85" s="19" t="str">
        <f t="shared" si="9"/>
        <v>C_Ope_003</v>
      </c>
      <c r="D85" s="3" t="s">
        <v>1074</v>
      </c>
      <c r="E85" s="14">
        <v>45713</v>
      </c>
      <c r="F85" s="5" t="s">
        <v>4644</v>
      </c>
      <c r="G85" s="5" t="s">
        <v>1079</v>
      </c>
      <c r="H85" s="6"/>
      <c r="I85" s="6"/>
      <c r="J85" s="6" t="s">
        <v>6893</v>
      </c>
      <c r="K85" s="6"/>
      <c r="L85" s="7" t="s">
        <v>6956</v>
      </c>
      <c r="M85" s="8">
        <v>23197</v>
      </c>
      <c r="N85" s="8" t="str">
        <f t="shared" si="10"/>
        <v>PEN</v>
      </c>
      <c r="O85" s="13"/>
      <c r="P85" s="13">
        <v>8</v>
      </c>
      <c r="Q85" s="3">
        <f t="shared" si="6"/>
        <v>0</v>
      </c>
      <c r="R85" s="3">
        <f t="shared" si="7"/>
        <v>8</v>
      </c>
      <c r="S85" s="3">
        <f t="shared" si="8"/>
        <v>347.85000000000025</v>
      </c>
      <c r="T85" s="24"/>
      <c r="U85" s="24"/>
      <c r="V85" s="3"/>
      <c r="W85" s="25"/>
      <c r="X85" s="25"/>
      <c r="Y85" s="25" t="str">
        <f>IFERROR(VLOOKUP(C_Ope_003[[#This Row],[NOTA 2]],Clientes_Proveedores[[Ruc / Dni]:[Razon Social]],2,0),"")</f>
        <v/>
      </c>
      <c r="Z85" s="25"/>
      <c r="AA85" s="25"/>
      <c r="AB85" s="3" t="str">
        <f>IF(C_Ope_003[[#This Row],[FECHA]]&gt;0,TEXT(C_Ope_003[[#This Row],[FECHA]],"mmmm"),0)</f>
        <v>Febrero</v>
      </c>
    </row>
    <row r="86" spans="2:28" x14ac:dyDescent="0.3">
      <c r="B86" s="2">
        <f>IF(C_Ope_003[[#This Row],[TIPO DE R.]]="R",COUNTIFS($D$4:$D85,"R")+1,"")</f>
        <v>82</v>
      </c>
      <c r="C86" s="19" t="str">
        <f t="shared" si="9"/>
        <v>C_Ope_003</v>
      </c>
      <c r="D86" s="3" t="s">
        <v>1074</v>
      </c>
      <c r="E86" s="14">
        <v>45713</v>
      </c>
      <c r="F86" s="5" t="s">
        <v>4644</v>
      </c>
      <c r="G86" s="5" t="s">
        <v>1079</v>
      </c>
      <c r="H86" s="6"/>
      <c r="I86" s="6" t="s">
        <v>21</v>
      </c>
      <c r="J86" s="6">
        <v>1</v>
      </c>
      <c r="K86" s="6">
        <v>408</v>
      </c>
      <c r="L86" s="7" t="s">
        <v>6957</v>
      </c>
      <c r="M86" s="8">
        <v>23198</v>
      </c>
      <c r="N86" s="8" t="str">
        <f t="shared" si="10"/>
        <v>PEN</v>
      </c>
      <c r="O86" s="13"/>
      <c r="P86" s="13">
        <v>12</v>
      </c>
      <c r="Q86" s="3">
        <f t="shared" si="6"/>
        <v>0</v>
      </c>
      <c r="R86" s="3">
        <f t="shared" si="7"/>
        <v>12</v>
      </c>
      <c r="S86" s="3">
        <f t="shared" si="8"/>
        <v>335.85000000000025</v>
      </c>
      <c r="T86" s="24"/>
      <c r="U86" s="24"/>
      <c r="V86" s="3"/>
      <c r="W86" s="25"/>
      <c r="X86" s="25"/>
      <c r="Y86" s="25" t="str">
        <f>IFERROR(VLOOKUP(C_Ope_003[[#This Row],[NOTA 2]],Clientes_Proveedores[[Ruc / Dni]:[Razon Social]],2,0),"")</f>
        <v/>
      </c>
      <c r="Z86" s="25"/>
      <c r="AA86" s="25"/>
      <c r="AB86" s="3" t="str">
        <f>IF(C_Ope_003[[#This Row],[FECHA]]&gt;0,TEXT(C_Ope_003[[#This Row],[FECHA]],"mmmm"),0)</f>
        <v>Febrero</v>
      </c>
    </row>
    <row r="87" spans="2:28" x14ac:dyDescent="0.3">
      <c r="B87" s="2">
        <f>IF(C_Ope_003[[#This Row],[TIPO DE R.]]="R",COUNTIFS($D$4:$D86,"R")+1,"")</f>
        <v>83</v>
      </c>
      <c r="C87" s="19" t="str">
        <f t="shared" si="9"/>
        <v>C_Ope_003</v>
      </c>
      <c r="D87" s="3" t="s">
        <v>1074</v>
      </c>
      <c r="E87" s="14">
        <v>45713</v>
      </c>
      <c r="F87" s="5" t="s">
        <v>4644</v>
      </c>
      <c r="G87" s="5" t="s">
        <v>1079</v>
      </c>
      <c r="H87" s="6"/>
      <c r="I87" s="6"/>
      <c r="J87" s="6" t="s">
        <v>6893</v>
      </c>
      <c r="K87" s="6"/>
      <c r="L87" s="7" t="s">
        <v>6958</v>
      </c>
      <c r="M87" s="8">
        <v>23199</v>
      </c>
      <c r="N87" s="8" t="str">
        <f t="shared" si="10"/>
        <v>PEN</v>
      </c>
      <c r="O87" s="13"/>
      <c r="P87" s="13">
        <v>10</v>
      </c>
      <c r="Q87" s="3">
        <f t="shared" si="6"/>
        <v>0</v>
      </c>
      <c r="R87" s="3">
        <f t="shared" si="7"/>
        <v>10</v>
      </c>
      <c r="S87" s="3">
        <f t="shared" si="8"/>
        <v>325.85000000000025</v>
      </c>
      <c r="T87" s="24"/>
      <c r="U87" s="24"/>
      <c r="V87" s="3"/>
      <c r="W87" s="25"/>
      <c r="X87" s="25"/>
      <c r="Y87" s="25" t="str">
        <f>IFERROR(VLOOKUP(C_Ope_003[[#This Row],[NOTA 2]],Clientes_Proveedores[[Ruc / Dni]:[Razon Social]],2,0),"")</f>
        <v/>
      </c>
      <c r="Z87" s="25"/>
      <c r="AA87" s="25"/>
      <c r="AB87" s="3" t="str">
        <f>IF(C_Ope_003[[#This Row],[FECHA]]&gt;0,TEXT(C_Ope_003[[#This Row],[FECHA]],"mmmm"),0)</f>
        <v>Febrero</v>
      </c>
    </row>
    <row r="88" spans="2:28" x14ac:dyDescent="0.3">
      <c r="B88" s="2">
        <f>IF(C_Ope_003[[#This Row],[TIPO DE R.]]="R",COUNTIFS($D$4:$D87,"R")+1,"")</f>
        <v>84</v>
      </c>
      <c r="C88" s="19" t="str">
        <f t="shared" si="9"/>
        <v>C_Ope_003</v>
      </c>
      <c r="D88" s="3" t="s">
        <v>1074</v>
      </c>
      <c r="E88" s="14">
        <v>45713</v>
      </c>
      <c r="F88" s="5" t="s">
        <v>4644</v>
      </c>
      <c r="G88" s="5" t="s">
        <v>1079</v>
      </c>
      <c r="H88" s="6"/>
      <c r="I88" s="6"/>
      <c r="J88" s="6" t="s">
        <v>6959</v>
      </c>
      <c r="K88" s="6">
        <v>111</v>
      </c>
      <c r="L88" s="7" t="s">
        <v>6960</v>
      </c>
      <c r="M88" s="8">
        <v>23200</v>
      </c>
      <c r="N88" s="8" t="str">
        <f t="shared" si="10"/>
        <v>PEN</v>
      </c>
      <c r="O88" s="13"/>
      <c r="P88" s="13">
        <v>12</v>
      </c>
      <c r="Q88" s="3">
        <f t="shared" si="6"/>
        <v>0</v>
      </c>
      <c r="R88" s="3">
        <f t="shared" si="7"/>
        <v>12</v>
      </c>
      <c r="S88" s="3">
        <f t="shared" si="8"/>
        <v>313.85000000000025</v>
      </c>
      <c r="T88" s="24"/>
      <c r="U88" s="24"/>
      <c r="V88" s="3"/>
      <c r="W88" s="25" t="s">
        <v>6747</v>
      </c>
      <c r="X88" s="25"/>
      <c r="Y88" s="25" t="str">
        <f>IFERROR(VLOOKUP(C_Ope_003[[#This Row],[NOTA 2]],Clientes_Proveedores[[Ruc / Dni]:[Razon Social]],2,0),"")</f>
        <v/>
      </c>
      <c r="Z88" s="25"/>
      <c r="AA88" s="25"/>
      <c r="AB88" s="3" t="str">
        <f>IF(C_Ope_003[[#This Row],[FECHA]]&gt;0,TEXT(C_Ope_003[[#This Row],[FECHA]],"mmmm"),0)</f>
        <v>Febrero</v>
      </c>
    </row>
    <row r="89" spans="2:28" x14ac:dyDescent="0.3">
      <c r="B89" s="2">
        <f>IF(C_Ope_003[[#This Row],[TIPO DE R.]]="R",COUNTIFS($D$4:$D88,"R")+1,"")</f>
        <v>85</v>
      </c>
      <c r="C89" s="19" t="str">
        <f t="shared" si="9"/>
        <v>C_Ope_003</v>
      </c>
      <c r="D89" s="3" t="s">
        <v>1074</v>
      </c>
      <c r="E89" s="14">
        <v>45713</v>
      </c>
      <c r="F89" s="5" t="s">
        <v>4644</v>
      </c>
      <c r="G89" s="5" t="s">
        <v>1079</v>
      </c>
      <c r="H89" s="6"/>
      <c r="I89" s="6" t="s">
        <v>21</v>
      </c>
      <c r="J89" s="6">
        <v>4</v>
      </c>
      <c r="K89" s="6">
        <v>3642</v>
      </c>
      <c r="L89" s="7" t="s">
        <v>6961</v>
      </c>
      <c r="M89" s="8">
        <v>23201</v>
      </c>
      <c r="N89" s="8" t="str">
        <f t="shared" si="10"/>
        <v>PEN</v>
      </c>
      <c r="O89" s="13"/>
      <c r="P89" s="13">
        <v>15</v>
      </c>
      <c r="Q89" s="3">
        <f t="shared" si="6"/>
        <v>0</v>
      </c>
      <c r="R89" s="3">
        <f t="shared" si="7"/>
        <v>15</v>
      </c>
      <c r="S89" s="3">
        <f t="shared" si="8"/>
        <v>298.85000000000025</v>
      </c>
      <c r="T89" s="24"/>
      <c r="U89" s="24"/>
      <c r="V89" s="3"/>
      <c r="W89" s="25" t="s">
        <v>6747</v>
      </c>
      <c r="X89" s="25"/>
      <c r="Y89" s="25" t="str">
        <f>IFERROR(VLOOKUP(C_Ope_003[[#This Row],[NOTA 2]],Clientes_Proveedores[[Ruc / Dni]:[Razon Social]],2,0),"")</f>
        <v/>
      </c>
      <c r="Z89" s="25"/>
      <c r="AA89" s="25"/>
      <c r="AB89" s="3" t="str">
        <f>IF(C_Ope_003[[#This Row],[FECHA]]&gt;0,TEXT(C_Ope_003[[#This Row],[FECHA]],"mmmm"),0)</f>
        <v>Febrero</v>
      </c>
    </row>
    <row r="90" spans="2:28" x14ac:dyDescent="0.3">
      <c r="B90" s="2">
        <f>IF(C_Ope_003[[#This Row],[TIPO DE R.]]="R",COUNTIFS($D$4:$D89,"R")+1,"")</f>
        <v>86</v>
      </c>
      <c r="C90" s="19" t="str">
        <f t="shared" si="9"/>
        <v>C_Ope_003</v>
      </c>
      <c r="D90" s="3" t="s">
        <v>1074</v>
      </c>
      <c r="E90" s="14">
        <v>45714</v>
      </c>
      <c r="F90" s="5" t="s">
        <v>4644</v>
      </c>
      <c r="G90" s="5" t="s">
        <v>1079</v>
      </c>
      <c r="H90" s="6"/>
      <c r="I90" s="6"/>
      <c r="J90" s="6" t="s">
        <v>6893</v>
      </c>
      <c r="K90" s="6"/>
      <c r="L90" s="7" t="s">
        <v>6962</v>
      </c>
      <c r="M90" s="8">
        <v>23214</v>
      </c>
      <c r="N90" s="8" t="str">
        <f t="shared" si="10"/>
        <v>PEN</v>
      </c>
      <c r="O90" s="13"/>
      <c r="P90" s="13">
        <v>8</v>
      </c>
      <c r="Q90" s="3">
        <f t="shared" si="6"/>
        <v>0</v>
      </c>
      <c r="R90" s="3">
        <f t="shared" si="7"/>
        <v>8</v>
      </c>
      <c r="S90" s="3">
        <f t="shared" si="8"/>
        <v>290.85000000000025</v>
      </c>
      <c r="T90" s="24"/>
      <c r="U90" s="24"/>
      <c r="V90" s="3"/>
      <c r="W90" s="25"/>
      <c r="X90" s="25"/>
      <c r="Y90" s="25" t="str">
        <f>IFERROR(VLOOKUP(C_Ope_003[[#This Row],[NOTA 2]],Clientes_Proveedores[[Ruc / Dni]:[Razon Social]],2,0),"")</f>
        <v/>
      </c>
      <c r="Z90" s="25"/>
      <c r="AA90" s="25"/>
      <c r="AB90" s="3" t="str">
        <f>IF(C_Ope_003[[#This Row],[FECHA]]&gt;0,TEXT(C_Ope_003[[#This Row],[FECHA]],"mmmm"),0)</f>
        <v>Febrero</v>
      </c>
    </row>
    <row r="91" spans="2:28" x14ac:dyDescent="0.3">
      <c r="B91" s="2">
        <f>IF(C_Ope_003[[#This Row],[TIPO DE R.]]="R",COUNTIFS($D$4:$D90,"R")+1,"")</f>
        <v>87</v>
      </c>
      <c r="C91" s="19" t="str">
        <f t="shared" si="9"/>
        <v>C_Ope_003</v>
      </c>
      <c r="D91" s="3" t="s">
        <v>1074</v>
      </c>
      <c r="E91" s="14">
        <v>45714</v>
      </c>
      <c r="F91" s="5" t="s">
        <v>4644</v>
      </c>
      <c r="G91" s="5" t="s">
        <v>1079</v>
      </c>
      <c r="H91" s="6"/>
      <c r="I91" s="6" t="s">
        <v>21</v>
      </c>
      <c r="J91" s="6">
        <v>1</v>
      </c>
      <c r="K91" s="6">
        <v>410</v>
      </c>
      <c r="L91" s="7" t="s">
        <v>6957</v>
      </c>
      <c r="M91" s="8">
        <v>23215</v>
      </c>
      <c r="N91" s="8" t="str">
        <f t="shared" si="10"/>
        <v>PEN</v>
      </c>
      <c r="O91" s="13"/>
      <c r="P91" s="13">
        <v>12</v>
      </c>
      <c r="Q91" s="3">
        <f t="shared" si="6"/>
        <v>0</v>
      </c>
      <c r="R91" s="3">
        <f t="shared" si="7"/>
        <v>12</v>
      </c>
      <c r="S91" s="3">
        <f t="shared" si="8"/>
        <v>278.85000000000025</v>
      </c>
      <c r="T91" s="24"/>
      <c r="U91" s="24"/>
      <c r="V91" s="3"/>
      <c r="W91" s="25"/>
      <c r="X91" s="25"/>
      <c r="Y91" s="25" t="str">
        <f>IFERROR(VLOOKUP(C_Ope_003[[#This Row],[NOTA 2]],Clientes_Proveedores[[Ruc / Dni]:[Razon Social]],2,0),"")</f>
        <v/>
      </c>
      <c r="Z91" s="25"/>
      <c r="AA91" s="25"/>
      <c r="AB91" s="3" t="str">
        <f>IF(C_Ope_003[[#This Row],[FECHA]]&gt;0,TEXT(C_Ope_003[[#This Row],[FECHA]],"mmmm"),0)</f>
        <v>Febrero</v>
      </c>
    </row>
    <row r="92" spans="2:28" x14ac:dyDescent="0.3">
      <c r="B92" s="2">
        <f>IF(C_Ope_003[[#This Row],[TIPO DE R.]]="R",COUNTIFS($D$4:$D91,"R")+1,"")</f>
        <v>88</v>
      </c>
      <c r="C92" s="19" t="str">
        <f t="shared" si="9"/>
        <v>C_Ope_003</v>
      </c>
      <c r="D92" s="3" t="s">
        <v>1074</v>
      </c>
      <c r="E92" s="14">
        <v>45714</v>
      </c>
      <c r="F92" s="5" t="s">
        <v>4644</v>
      </c>
      <c r="G92" s="5" t="s">
        <v>1079</v>
      </c>
      <c r="H92" s="6"/>
      <c r="I92" s="6"/>
      <c r="J92" s="6" t="s">
        <v>6893</v>
      </c>
      <c r="K92" s="6"/>
      <c r="L92" s="7" t="s">
        <v>6952</v>
      </c>
      <c r="M92" s="8">
        <v>23216</v>
      </c>
      <c r="N92" s="8" t="str">
        <f t="shared" si="10"/>
        <v>PEN</v>
      </c>
      <c r="O92" s="13"/>
      <c r="P92" s="13">
        <v>10</v>
      </c>
      <c r="Q92" s="3">
        <f t="shared" si="6"/>
        <v>0</v>
      </c>
      <c r="R92" s="3">
        <f t="shared" si="7"/>
        <v>10</v>
      </c>
      <c r="S92" s="3">
        <f t="shared" si="8"/>
        <v>268.85000000000025</v>
      </c>
      <c r="T92" s="24"/>
      <c r="U92" s="24"/>
      <c r="V92" s="3"/>
      <c r="W92" s="25"/>
      <c r="X92" s="25"/>
      <c r="Y92" s="25" t="str">
        <f>IFERROR(VLOOKUP(C_Ope_003[[#This Row],[NOTA 2]],Clientes_Proveedores[[Ruc / Dni]:[Razon Social]],2,0),"")</f>
        <v/>
      </c>
      <c r="Z92" s="25"/>
      <c r="AA92" s="25"/>
      <c r="AB92" s="3" t="str">
        <f>IF(C_Ope_003[[#This Row],[FECHA]]&gt;0,TEXT(C_Ope_003[[#This Row],[FECHA]],"mmmm"),0)</f>
        <v>Febrero</v>
      </c>
    </row>
    <row r="93" spans="2:28" x14ac:dyDescent="0.3">
      <c r="B93" s="2">
        <f>IF(C_Ope_003[[#This Row],[TIPO DE R.]]="R",COUNTIFS($D$4:$D92,"R")+1,"")</f>
        <v>89</v>
      </c>
      <c r="C93" s="19" t="str">
        <f t="shared" si="9"/>
        <v>C_Ope_003</v>
      </c>
      <c r="D93" s="3" t="s">
        <v>1074</v>
      </c>
      <c r="E93" s="14">
        <v>45715</v>
      </c>
      <c r="F93" s="5" t="s">
        <v>4644</v>
      </c>
      <c r="G93" s="5" t="s">
        <v>1079</v>
      </c>
      <c r="H93" s="6"/>
      <c r="I93" s="6"/>
      <c r="J93" s="6" t="s">
        <v>6893</v>
      </c>
      <c r="K93" s="6"/>
      <c r="L93" s="7" t="s">
        <v>6956</v>
      </c>
      <c r="M93" s="8">
        <v>23231</v>
      </c>
      <c r="N93" s="8" t="str">
        <f t="shared" si="10"/>
        <v>PEN</v>
      </c>
      <c r="O93" s="13"/>
      <c r="P93" s="13">
        <v>8</v>
      </c>
      <c r="Q93" s="3">
        <f t="shared" si="6"/>
        <v>0</v>
      </c>
      <c r="R93" s="3">
        <f t="shared" si="7"/>
        <v>8</v>
      </c>
      <c r="S93" s="3">
        <f t="shared" si="8"/>
        <v>260.85000000000025</v>
      </c>
      <c r="T93" s="24"/>
      <c r="U93" s="24"/>
      <c r="V93" s="3"/>
      <c r="W93" s="25"/>
      <c r="X93" s="25"/>
      <c r="Y93" s="25" t="str">
        <f>IFERROR(VLOOKUP(C_Ope_003[[#This Row],[NOTA 2]],Clientes_Proveedores[[Ruc / Dni]:[Razon Social]],2,0),"")</f>
        <v/>
      </c>
      <c r="Z93" s="25"/>
      <c r="AA93" s="25"/>
      <c r="AB93" s="3" t="str">
        <f>IF(C_Ope_003[[#This Row],[FECHA]]&gt;0,TEXT(C_Ope_003[[#This Row],[FECHA]],"mmmm"),0)</f>
        <v>Febrero</v>
      </c>
    </row>
    <row r="94" spans="2:28" x14ac:dyDescent="0.3">
      <c r="B94" s="2">
        <f>IF(C_Ope_003[[#This Row],[TIPO DE R.]]="R",COUNTIFS($D$4:$D93,"R")+1,"")</f>
        <v>90</v>
      </c>
      <c r="C94" s="19" t="str">
        <f t="shared" si="9"/>
        <v>C_Ope_003</v>
      </c>
      <c r="D94" s="3" t="s">
        <v>1074</v>
      </c>
      <c r="E94" s="14">
        <v>45715</v>
      </c>
      <c r="F94" s="5" t="s">
        <v>4644</v>
      </c>
      <c r="G94" s="5" t="s">
        <v>1079</v>
      </c>
      <c r="H94" s="6"/>
      <c r="I94" s="6"/>
      <c r="J94" s="6" t="s">
        <v>6893</v>
      </c>
      <c r="K94" s="6"/>
      <c r="L94" s="7" t="s">
        <v>6963</v>
      </c>
      <c r="M94" s="8">
        <v>23232</v>
      </c>
      <c r="N94" s="8" t="str">
        <f t="shared" si="10"/>
        <v>PEN</v>
      </c>
      <c r="O94" s="13"/>
      <c r="P94" s="13">
        <v>15</v>
      </c>
      <c r="Q94" s="3">
        <f t="shared" si="6"/>
        <v>0</v>
      </c>
      <c r="R94" s="3">
        <f t="shared" si="7"/>
        <v>15</v>
      </c>
      <c r="S94" s="3">
        <f t="shared" si="8"/>
        <v>245.85000000000025</v>
      </c>
      <c r="T94" s="24"/>
      <c r="U94" s="24"/>
      <c r="V94" s="3"/>
      <c r="W94" s="25"/>
      <c r="X94" s="25"/>
      <c r="Y94" s="25" t="str">
        <f>IFERROR(VLOOKUP(C_Ope_003[[#This Row],[NOTA 2]],Clientes_Proveedores[[Ruc / Dni]:[Razon Social]],2,0),"")</f>
        <v/>
      </c>
      <c r="Z94" s="25"/>
      <c r="AA94" s="25"/>
      <c r="AB94" s="3" t="str">
        <f>IF(C_Ope_003[[#This Row],[FECHA]]&gt;0,TEXT(C_Ope_003[[#This Row],[FECHA]],"mmmm"),0)</f>
        <v>Febrero</v>
      </c>
    </row>
    <row r="95" spans="2:28" x14ac:dyDescent="0.3">
      <c r="B95" s="2">
        <f>IF(C_Ope_003[[#This Row],[TIPO DE R.]]="R",COUNTIFS($D$4:$D94,"R")+1,"")</f>
        <v>91</v>
      </c>
      <c r="C95" s="19" t="str">
        <f t="shared" si="9"/>
        <v>C_Ope_003</v>
      </c>
      <c r="D95" s="3" t="s">
        <v>1074</v>
      </c>
      <c r="E95" s="14">
        <v>45715</v>
      </c>
      <c r="F95" s="5" t="s">
        <v>4644</v>
      </c>
      <c r="G95" s="5" t="s">
        <v>1079</v>
      </c>
      <c r="H95" s="6"/>
      <c r="I95" s="6"/>
      <c r="J95" s="6" t="s">
        <v>6893</v>
      </c>
      <c r="K95" s="6"/>
      <c r="L95" s="7" t="s">
        <v>6964</v>
      </c>
      <c r="M95" s="8">
        <v>23233</v>
      </c>
      <c r="N95" s="8" t="str">
        <f t="shared" si="10"/>
        <v>PEN</v>
      </c>
      <c r="O95" s="13"/>
      <c r="P95" s="13">
        <v>12</v>
      </c>
      <c r="Q95" s="3">
        <f t="shared" si="6"/>
        <v>0</v>
      </c>
      <c r="R95" s="3">
        <f t="shared" si="7"/>
        <v>12</v>
      </c>
      <c r="S95" s="3">
        <f t="shared" si="8"/>
        <v>233.85000000000025</v>
      </c>
      <c r="T95" s="24"/>
      <c r="U95" s="24"/>
      <c r="V95" s="3"/>
      <c r="W95" s="25"/>
      <c r="X95" s="25"/>
      <c r="Y95" s="25" t="str">
        <f>IFERROR(VLOOKUP(C_Ope_003[[#This Row],[NOTA 2]],Clientes_Proveedores[[Ruc / Dni]:[Razon Social]],2,0),"")</f>
        <v/>
      </c>
      <c r="Z95" s="25"/>
      <c r="AA95" s="25"/>
      <c r="AB95" s="3" t="str">
        <f>IF(C_Ope_003[[#This Row],[FECHA]]&gt;0,TEXT(C_Ope_003[[#This Row],[FECHA]],"mmmm"),0)</f>
        <v>Febrero</v>
      </c>
    </row>
    <row r="96" spans="2:28" x14ac:dyDescent="0.3">
      <c r="B96" s="2">
        <f>IF(C_Ope_003[[#This Row],[TIPO DE R.]]="R",COUNTIFS($D$4:$D95,"R")+1,"")</f>
        <v>92</v>
      </c>
      <c r="C96" s="19" t="str">
        <f t="shared" si="9"/>
        <v>C_Ope_003</v>
      </c>
      <c r="D96" s="3" t="s">
        <v>1074</v>
      </c>
      <c r="E96" s="14">
        <v>45716</v>
      </c>
      <c r="F96" s="5" t="s">
        <v>4644</v>
      </c>
      <c r="G96" s="5" t="s">
        <v>1079</v>
      </c>
      <c r="H96" s="6"/>
      <c r="I96" s="6" t="s">
        <v>14</v>
      </c>
      <c r="J96" s="6" t="s">
        <v>3010</v>
      </c>
      <c r="K96" s="6">
        <v>328</v>
      </c>
      <c r="L96" s="7" t="s">
        <v>6965</v>
      </c>
      <c r="M96" s="8">
        <v>23270</v>
      </c>
      <c r="N96" s="8" t="str">
        <f t="shared" si="10"/>
        <v>PEN</v>
      </c>
      <c r="O96" s="13"/>
      <c r="P96" s="13">
        <v>12</v>
      </c>
      <c r="Q96" s="3">
        <f t="shared" si="6"/>
        <v>0</v>
      </c>
      <c r="R96" s="3">
        <f t="shared" si="7"/>
        <v>12</v>
      </c>
      <c r="S96" s="3">
        <f t="shared" si="8"/>
        <v>221.85000000000025</v>
      </c>
      <c r="T96" s="24"/>
      <c r="U96" s="24"/>
      <c r="V96" s="3"/>
      <c r="W96" s="25"/>
      <c r="X96" s="25"/>
      <c r="Y96" s="25" t="str">
        <f>IFERROR(VLOOKUP(C_Ope_003[[#This Row],[NOTA 2]],Clientes_Proveedores[[Ruc / Dni]:[Razon Social]],2,0),"")</f>
        <v/>
      </c>
      <c r="Z96" s="25"/>
      <c r="AA96" s="25"/>
      <c r="AB96" s="3" t="str">
        <f>IF(C_Ope_003[[#This Row],[FECHA]]&gt;0,TEXT(C_Ope_003[[#This Row],[FECHA]],"mmmm"),0)</f>
        <v>Febrero</v>
      </c>
    </row>
    <row r="97" spans="2:28" x14ac:dyDescent="0.3">
      <c r="B97" s="2">
        <f>IF(C_Ope_003[[#This Row],[TIPO DE R.]]="R",COUNTIFS($D$4:$D96,"R")+1,"")</f>
        <v>93</v>
      </c>
      <c r="C97" s="19" t="str">
        <f t="shared" si="9"/>
        <v>C_Ope_003</v>
      </c>
      <c r="D97" s="3" t="s">
        <v>1074</v>
      </c>
      <c r="E97" s="14">
        <v>45716</v>
      </c>
      <c r="F97" s="5" t="s">
        <v>4644</v>
      </c>
      <c r="G97" s="5" t="s">
        <v>1079</v>
      </c>
      <c r="H97" s="6"/>
      <c r="I97" s="6"/>
      <c r="J97" s="6" t="s">
        <v>6893</v>
      </c>
      <c r="K97" s="6"/>
      <c r="L97" s="7" t="s">
        <v>6966</v>
      </c>
      <c r="M97" s="8">
        <v>23271</v>
      </c>
      <c r="N97" s="8" t="str">
        <f t="shared" si="10"/>
        <v>PEN</v>
      </c>
      <c r="O97" s="13"/>
      <c r="P97" s="13">
        <v>15</v>
      </c>
      <c r="Q97" s="3">
        <f t="shared" si="6"/>
        <v>0</v>
      </c>
      <c r="R97" s="3">
        <f t="shared" si="7"/>
        <v>15</v>
      </c>
      <c r="S97" s="3">
        <f t="shared" si="8"/>
        <v>206.85000000000025</v>
      </c>
      <c r="T97" s="24"/>
      <c r="U97" s="24"/>
      <c r="V97" s="3"/>
      <c r="W97" s="25"/>
      <c r="X97" s="25"/>
      <c r="Y97" s="25" t="str">
        <f>IFERROR(VLOOKUP(C_Ope_003[[#This Row],[NOTA 2]],Clientes_Proveedores[[Ruc / Dni]:[Razon Social]],2,0),"")</f>
        <v/>
      </c>
      <c r="Z97" s="25"/>
      <c r="AA97" s="25"/>
      <c r="AB97" s="3" t="str">
        <f>IF(C_Ope_003[[#This Row],[FECHA]]&gt;0,TEXT(C_Ope_003[[#This Row],[FECHA]],"mmmm"),0)</f>
        <v>Febrero</v>
      </c>
    </row>
    <row r="98" spans="2:28" ht="24" x14ac:dyDescent="0.3">
      <c r="B98" s="2">
        <f>IF(C_Ope_003[[#This Row],[TIPO DE R.]]="R",COUNTIFS($D$4:$D97,"R")+1,"")</f>
        <v>94</v>
      </c>
      <c r="C98" s="19" t="str">
        <f t="shared" si="9"/>
        <v>C_Ope_003</v>
      </c>
      <c r="D98" s="3" t="s">
        <v>1074</v>
      </c>
      <c r="E98" s="14">
        <v>45720</v>
      </c>
      <c r="F98" s="5" t="s">
        <v>4644</v>
      </c>
      <c r="G98" s="5" t="s">
        <v>1079</v>
      </c>
      <c r="H98" s="6"/>
      <c r="I98" s="6" t="s">
        <v>14</v>
      </c>
      <c r="J98" s="6" t="s">
        <v>6561</v>
      </c>
      <c r="K98" s="6">
        <v>61</v>
      </c>
      <c r="L98" s="7" t="s">
        <v>6967</v>
      </c>
      <c r="M98" s="8">
        <v>23283</v>
      </c>
      <c r="N98" s="8" t="str">
        <f t="shared" si="10"/>
        <v>PEN</v>
      </c>
      <c r="O98" s="13"/>
      <c r="P98" s="13">
        <v>10</v>
      </c>
      <c r="Q98" s="3">
        <f t="shared" si="6"/>
        <v>0</v>
      </c>
      <c r="R98" s="3">
        <f t="shared" si="7"/>
        <v>10</v>
      </c>
      <c r="S98" s="3">
        <f t="shared" si="8"/>
        <v>196.85000000000025</v>
      </c>
      <c r="T98" s="24"/>
      <c r="U98" s="24"/>
      <c r="V98" s="3"/>
      <c r="W98" s="25" t="s">
        <v>6546</v>
      </c>
      <c r="X98" s="25"/>
      <c r="Y98" s="25" t="str">
        <f>IFERROR(VLOOKUP(C_Ope_003[[#This Row],[NOTA 2]],Clientes_Proveedores[[Ruc / Dni]:[Razon Social]],2,0),"")</f>
        <v/>
      </c>
      <c r="Z98" s="25"/>
      <c r="AA98" s="25"/>
      <c r="AB98" s="3" t="str">
        <f>IF(C_Ope_003[[#This Row],[FECHA]]&gt;0,TEXT(C_Ope_003[[#This Row],[FECHA]],"mmmm"),0)</f>
        <v>Marzo</v>
      </c>
    </row>
    <row r="99" spans="2:28" ht="24" x14ac:dyDescent="0.3">
      <c r="B99" s="2">
        <f>IF(C_Ope_003[[#This Row],[TIPO DE R.]]="R",COUNTIFS($D$4:$D98,"R")+1,"")</f>
        <v>95</v>
      </c>
      <c r="C99" s="19" t="str">
        <f t="shared" si="9"/>
        <v>C_Ope_003</v>
      </c>
      <c r="D99" s="3" t="s">
        <v>1074</v>
      </c>
      <c r="E99" s="14">
        <v>45727</v>
      </c>
      <c r="F99" s="5" t="s">
        <v>4644</v>
      </c>
      <c r="G99" s="5" t="s">
        <v>1079</v>
      </c>
      <c r="H99" s="6"/>
      <c r="I99" s="6" t="s">
        <v>14</v>
      </c>
      <c r="J99" s="6" t="s">
        <v>5244</v>
      </c>
      <c r="K99" s="6">
        <v>1676638</v>
      </c>
      <c r="L99" s="7" t="s">
        <v>6968</v>
      </c>
      <c r="M99" s="8">
        <v>23372</v>
      </c>
      <c r="N99" s="8" t="str">
        <f t="shared" si="10"/>
        <v>PEN</v>
      </c>
      <c r="O99" s="13"/>
      <c r="P99" s="13">
        <v>12</v>
      </c>
      <c r="Q99" s="3">
        <f t="shared" si="6"/>
        <v>0</v>
      </c>
      <c r="R99" s="3">
        <f t="shared" si="7"/>
        <v>12</v>
      </c>
      <c r="S99" s="3">
        <f t="shared" si="8"/>
        <v>184.85000000000025</v>
      </c>
      <c r="T99" s="24"/>
      <c r="U99" s="24"/>
      <c r="V99" s="3"/>
      <c r="W99" s="25" t="s">
        <v>6747</v>
      </c>
      <c r="X99" s="25"/>
      <c r="Y99" s="25" t="str">
        <f>IFERROR(VLOOKUP(C_Ope_003[[#This Row],[NOTA 2]],Clientes_Proveedores[[Ruc / Dni]:[Razon Social]],2,0),"")</f>
        <v/>
      </c>
      <c r="Z99" s="25"/>
      <c r="AA99" s="25"/>
      <c r="AB99" s="3" t="str">
        <f>IF(C_Ope_003[[#This Row],[FECHA]]&gt;0,TEXT(C_Ope_003[[#This Row],[FECHA]],"mmmm"),0)</f>
        <v>Marzo</v>
      </c>
    </row>
    <row r="100" spans="2:28" ht="24" x14ac:dyDescent="0.3">
      <c r="B100" s="2">
        <f>IF(C_Ope_003[[#This Row],[TIPO DE R.]]="R",COUNTIFS($D$4:$D99,"R")+1,"")</f>
        <v>96</v>
      </c>
      <c r="C100" s="19" t="str">
        <f t="shared" si="9"/>
        <v>C_Ope_003</v>
      </c>
      <c r="D100" s="3" t="s">
        <v>1074</v>
      </c>
      <c r="E100" s="14">
        <v>45727</v>
      </c>
      <c r="F100" s="5" t="s">
        <v>4644</v>
      </c>
      <c r="G100" s="5" t="s">
        <v>1079</v>
      </c>
      <c r="H100" s="6"/>
      <c r="I100" s="6" t="s">
        <v>14</v>
      </c>
      <c r="J100" s="6" t="s">
        <v>5245</v>
      </c>
      <c r="K100" s="6">
        <v>1695927</v>
      </c>
      <c r="L100" s="7" t="s">
        <v>6968</v>
      </c>
      <c r="M100" s="8">
        <v>23374</v>
      </c>
      <c r="N100" s="8" t="str">
        <f t="shared" si="10"/>
        <v>PEN</v>
      </c>
      <c r="O100" s="13"/>
      <c r="P100" s="13">
        <v>12</v>
      </c>
      <c r="Q100" s="3">
        <f t="shared" si="6"/>
        <v>0</v>
      </c>
      <c r="R100" s="3">
        <f t="shared" si="7"/>
        <v>12</v>
      </c>
      <c r="S100" s="3">
        <f t="shared" si="8"/>
        <v>172.85000000000025</v>
      </c>
      <c r="T100" s="24"/>
      <c r="U100" s="24"/>
      <c r="V100" s="3"/>
      <c r="W100" s="25" t="s">
        <v>6747</v>
      </c>
      <c r="X100" s="25"/>
      <c r="Y100" s="25" t="str">
        <f>IFERROR(VLOOKUP(C_Ope_003[[#This Row],[NOTA 2]],Clientes_Proveedores[[Ruc / Dni]:[Razon Social]],2,0),"")</f>
        <v/>
      </c>
      <c r="Z100" s="25"/>
      <c r="AA100" s="25"/>
      <c r="AB100" s="3" t="str">
        <f>IF(C_Ope_003[[#This Row],[FECHA]]&gt;0,TEXT(C_Ope_003[[#This Row],[FECHA]],"mmmm"),0)</f>
        <v>Marzo</v>
      </c>
    </row>
    <row r="101" spans="2:28" x14ac:dyDescent="0.3">
      <c r="B101" s="2">
        <f>IF(C_Ope_003[[#This Row],[TIPO DE R.]]="R",COUNTIFS($D$4:$D100,"R")+1,"")</f>
        <v>97</v>
      </c>
      <c r="C101" s="19" t="str">
        <f t="shared" si="9"/>
        <v>C_Ope_003</v>
      </c>
      <c r="D101" s="3" t="s">
        <v>1074</v>
      </c>
      <c r="E101" s="14">
        <v>45733</v>
      </c>
      <c r="F101" s="5" t="s">
        <v>6299</v>
      </c>
      <c r="G101" s="5" t="s">
        <v>1087</v>
      </c>
      <c r="H101" s="6"/>
      <c r="I101" s="6"/>
      <c r="J101" s="6"/>
      <c r="K101" s="6"/>
      <c r="L101" s="7" t="s">
        <v>6302</v>
      </c>
      <c r="M101" s="8">
        <v>23502</v>
      </c>
      <c r="N101" s="8" t="str">
        <f t="shared" si="10"/>
        <v>PEN</v>
      </c>
      <c r="O101" s="13"/>
      <c r="P101" s="13">
        <v>30</v>
      </c>
      <c r="Q101" s="3">
        <f t="shared" si="6"/>
        <v>30</v>
      </c>
      <c r="R101" s="3">
        <f t="shared" si="7"/>
        <v>0</v>
      </c>
      <c r="S101" s="3">
        <f t="shared" si="8"/>
        <v>202.85000000000025</v>
      </c>
      <c r="T101" s="24"/>
      <c r="U101" s="24"/>
      <c r="V101" s="3"/>
      <c r="W101" s="25"/>
      <c r="X101" s="25"/>
      <c r="Y101" s="25" t="str">
        <f>IFERROR(VLOOKUP(C_Ope_003[[#This Row],[NOTA 2]],Clientes_Proveedores[[Ruc / Dni]:[Razon Social]],2,0),"")</f>
        <v/>
      </c>
      <c r="Z101" s="25"/>
      <c r="AA101" s="25"/>
      <c r="AB101" s="3" t="str">
        <f>IF(C_Ope_003[[#This Row],[FECHA]]&gt;0,TEXT(C_Ope_003[[#This Row],[FECHA]],"mmmm"),0)</f>
        <v>Marzo</v>
      </c>
    </row>
    <row r="102" spans="2:28" x14ac:dyDescent="0.3">
      <c r="B102" s="2">
        <f>IF(C_Ope_003[[#This Row],[TIPO DE R.]]="R",COUNTIFS($D$4:$D101,"R")+1,"")</f>
        <v>98</v>
      </c>
      <c r="C102" s="19" t="str">
        <f t="shared" si="9"/>
        <v>C_Ope_003</v>
      </c>
      <c r="D102" s="3" t="s">
        <v>1074</v>
      </c>
      <c r="E102" s="14">
        <v>45733</v>
      </c>
      <c r="F102" s="5" t="s">
        <v>4644</v>
      </c>
      <c r="G102" s="5" t="s">
        <v>1079</v>
      </c>
      <c r="H102" s="6"/>
      <c r="I102" s="6" t="s">
        <v>14</v>
      </c>
      <c r="J102" s="6" t="s">
        <v>5245</v>
      </c>
      <c r="K102" s="6">
        <v>1700808</v>
      </c>
      <c r="L102" s="7" t="s">
        <v>6969</v>
      </c>
      <c r="M102" s="8">
        <v>23442</v>
      </c>
      <c r="N102" s="8" t="str">
        <f t="shared" si="10"/>
        <v>PEN</v>
      </c>
      <c r="O102" s="13"/>
      <c r="P102" s="13">
        <v>12</v>
      </c>
      <c r="Q102" s="3">
        <f t="shared" si="6"/>
        <v>0</v>
      </c>
      <c r="R102" s="3">
        <f t="shared" si="7"/>
        <v>12</v>
      </c>
      <c r="S102" s="3">
        <f t="shared" si="8"/>
        <v>190.85000000000025</v>
      </c>
      <c r="T102" s="24"/>
      <c r="U102" s="24"/>
      <c r="V102" s="3"/>
      <c r="W102" s="25" t="s">
        <v>6747</v>
      </c>
      <c r="X102" s="25"/>
      <c r="Y102" s="25" t="str">
        <f>IFERROR(VLOOKUP(C_Ope_003[[#This Row],[NOTA 2]],Clientes_Proveedores[[Ruc / Dni]:[Razon Social]],2,0),"")</f>
        <v/>
      </c>
      <c r="Z102" s="25"/>
      <c r="AA102" s="25"/>
      <c r="AB102" s="3" t="str">
        <f>IF(C_Ope_003[[#This Row],[FECHA]]&gt;0,TEXT(C_Ope_003[[#This Row],[FECHA]],"mmmm"),0)</f>
        <v>Marzo</v>
      </c>
    </row>
    <row r="103" spans="2:28" ht="36" x14ac:dyDescent="0.3">
      <c r="B103" s="2">
        <f>IF(C_Ope_003[[#This Row],[TIPO DE R.]]="R",COUNTIFS($D$4:$D102,"R")+1,"")</f>
        <v>99</v>
      </c>
      <c r="C103" s="19" t="str">
        <f t="shared" si="9"/>
        <v>C_Ope_003</v>
      </c>
      <c r="D103" s="3" t="s">
        <v>1074</v>
      </c>
      <c r="E103" s="14">
        <v>45733</v>
      </c>
      <c r="F103" s="5" t="s">
        <v>4644</v>
      </c>
      <c r="G103" s="5" t="s">
        <v>1079</v>
      </c>
      <c r="H103" s="6"/>
      <c r="I103" s="6" t="s">
        <v>14</v>
      </c>
      <c r="J103" s="6" t="s">
        <v>5243</v>
      </c>
      <c r="K103" s="6">
        <v>2267797</v>
      </c>
      <c r="L103" s="7" t="s">
        <v>6970</v>
      </c>
      <c r="M103" s="8">
        <v>23459</v>
      </c>
      <c r="N103" s="8" t="str">
        <f t="shared" si="10"/>
        <v>PEN</v>
      </c>
      <c r="O103" s="13"/>
      <c r="P103" s="13">
        <v>8</v>
      </c>
      <c r="Q103" s="3">
        <f t="shared" si="6"/>
        <v>0</v>
      </c>
      <c r="R103" s="3">
        <f t="shared" si="7"/>
        <v>8</v>
      </c>
      <c r="S103" s="3">
        <f t="shared" si="8"/>
        <v>182.85000000000025</v>
      </c>
      <c r="T103" s="24"/>
      <c r="U103" s="24"/>
      <c r="V103" s="3"/>
      <c r="W103" s="25" t="s">
        <v>6630</v>
      </c>
      <c r="X103" s="25"/>
      <c r="Y103" s="25" t="str">
        <f>IFERROR(VLOOKUP(C_Ope_003[[#This Row],[NOTA 2]],Clientes_Proveedores[[Ruc / Dni]:[Razon Social]],2,0),"")</f>
        <v/>
      </c>
      <c r="Z103" s="25"/>
      <c r="AA103" s="25"/>
      <c r="AB103" s="3" t="str">
        <f>IF(C_Ope_003[[#This Row],[FECHA]]&gt;0,TEXT(C_Ope_003[[#This Row],[FECHA]],"mmmm"),0)</f>
        <v>Marzo</v>
      </c>
    </row>
    <row r="104" spans="2:28" ht="24" x14ac:dyDescent="0.3">
      <c r="B104" s="2">
        <f>IF(C_Ope_003[[#This Row],[TIPO DE R.]]="R",COUNTIFS($D$4:$D103,"R")+1,"")</f>
        <v>100</v>
      </c>
      <c r="C104" s="19" t="str">
        <f t="shared" si="9"/>
        <v>C_Ope_003</v>
      </c>
      <c r="D104" s="3" t="s">
        <v>1074</v>
      </c>
      <c r="E104" s="14">
        <v>45736</v>
      </c>
      <c r="F104" s="5" t="s">
        <v>4644</v>
      </c>
      <c r="G104" s="5" t="s">
        <v>1079</v>
      </c>
      <c r="H104" s="6"/>
      <c r="I104" s="6" t="s">
        <v>14</v>
      </c>
      <c r="J104" s="6" t="s">
        <v>5245</v>
      </c>
      <c r="K104" s="6">
        <v>1703577</v>
      </c>
      <c r="L104" s="7" t="s">
        <v>6971</v>
      </c>
      <c r="M104" s="8">
        <v>23543</v>
      </c>
      <c r="N104" s="8" t="str">
        <f t="shared" si="10"/>
        <v>PEN</v>
      </c>
      <c r="O104" s="13"/>
      <c r="P104" s="13">
        <v>12</v>
      </c>
      <c r="Q104" s="3">
        <f t="shared" si="6"/>
        <v>0</v>
      </c>
      <c r="R104" s="3">
        <f t="shared" si="7"/>
        <v>12</v>
      </c>
      <c r="S104" s="3">
        <f t="shared" si="8"/>
        <v>170.85000000000025</v>
      </c>
      <c r="T104" s="24"/>
      <c r="U104" s="24"/>
      <c r="V104" s="3"/>
      <c r="W104" s="25" t="s">
        <v>6747</v>
      </c>
      <c r="X104" s="25"/>
      <c r="Y104" s="25" t="str">
        <f>IFERROR(VLOOKUP(C_Ope_003[[#This Row],[NOTA 2]],Clientes_Proveedores[[Ruc / Dni]:[Razon Social]],2,0),"")</f>
        <v/>
      </c>
      <c r="Z104" s="25"/>
      <c r="AA104" s="25"/>
      <c r="AB104" s="3" t="str">
        <f>IF(C_Ope_003[[#This Row],[FECHA]]&gt;0,TEXT(C_Ope_003[[#This Row],[FECHA]],"mmmm"),0)</f>
        <v>Marzo</v>
      </c>
    </row>
    <row r="105" spans="2:28" ht="24" x14ac:dyDescent="0.3">
      <c r="B105" s="2">
        <f>IF(C_Ope_003[[#This Row],[TIPO DE R.]]="R",COUNTIFS($D$4:$D104,"R")+1,"")</f>
        <v>101</v>
      </c>
      <c r="C105" s="19" t="str">
        <f t="shared" si="9"/>
        <v>C_Ope_003</v>
      </c>
      <c r="D105" s="3" t="s">
        <v>1074</v>
      </c>
      <c r="E105" s="14">
        <v>45735</v>
      </c>
      <c r="F105" s="5" t="s">
        <v>4644</v>
      </c>
      <c r="G105" s="5" t="s">
        <v>1079</v>
      </c>
      <c r="H105" s="6"/>
      <c r="I105" s="6" t="s">
        <v>14</v>
      </c>
      <c r="J105" s="6" t="s">
        <v>1097</v>
      </c>
      <c r="K105" s="6">
        <v>15903</v>
      </c>
      <c r="L105" s="7" t="s">
        <v>6972</v>
      </c>
      <c r="M105" s="8">
        <v>23503</v>
      </c>
      <c r="N105" s="8" t="str">
        <f t="shared" si="10"/>
        <v>PEN</v>
      </c>
      <c r="O105" s="13"/>
      <c r="P105" s="13">
        <v>20</v>
      </c>
      <c r="Q105" s="3">
        <f t="shared" si="6"/>
        <v>0</v>
      </c>
      <c r="R105" s="3">
        <f t="shared" si="7"/>
        <v>20</v>
      </c>
      <c r="S105" s="3">
        <f t="shared" si="8"/>
        <v>150.85000000000025</v>
      </c>
      <c r="T105" s="24"/>
      <c r="U105" s="24"/>
      <c r="V105" s="3"/>
      <c r="W105" s="25" t="s">
        <v>6546</v>
      </c>
      <c r="X105" s="25"/>
      <c r="Y105" s="25" t="str">
        <f>IFERROR(VLOOKUP(C_Ope_003[[#This Row],[NOTA 2]],Clientes_Proveedores[[Ruc / Dni]:[Razon Social]],2,0),"")</f>
        <v/>
      </c>
      <c r="Z105" s="25"/>
      <c r="AA105" s="25"/>
      <c r="AB105" s="3" t="str">
        <f>IF(C_Ope_003[[#This Row],[FECHA]]&gt;0,TEXT(C_Ope_003[[#This Row],[FECHA]],"mmmm"),0)</f>
        <v>Marzo</v>
      </c>
    </row>
    <row r="106" spans="2:28" x14ac:dyDescent="0.3">
      <c r="B106" s="2">
        <f>IF(C_Ope_003[[#This Row],[TIPO DE R.]]="R",COUNTIFS($D$4:$D105,"R")+1,"")</f>
        <v>102</v>
      </c>
      <c r="C106" s="19" t="str">
        <f t="shared" si="9"/>
        <v>C_Ope_003</v>
      </c>
      <c r="D106" s="3" t="s">
        <v>1074</v>
      </c>
      <c r="E106" s="14">
        <v>45740</v>
      </c>
      <c r="F106" s="5" t="s">
        <v>6299</v>
      </c>
      <c r="G106" s="5" t="s">
        <v>1087</v>
      </c>
      <c r="H106" s="6"/>
      <c r="I106" s="6"/>
      <c r="J106" s="6"/>
      <c r="K106" s="6"/>
      <c r="L106" s="7" t="s">
        <v>6302</v>
      </c>
      <c r="M106" s="8">
        <v>23578</v>
      </c>
      <c r="N106" s="8" t="str">
        <f t="shared" si="10"/>
        <v>PEN</v>
      </c>
      <c r="O106" s="13"/>
      <c r="P106" s="13">
        <v>50</v>
      </c>
      <c r="Q106" s="3">
        <f t="shared" si="6"/>
        <v>50</v>
      </c>
      <c r="R106" s="3">
        <f t="shared" si="7"/>
        <v>0</v>
      </c>
      <c r="S106" s="3">
        <f t="shared" si="8"/>
        <v>200.85000000000025</v>
      </c>
      <c r="T106" s="24"/>
      <c r="U106" s="24"/>
      <c r="V106" s="3"/>
      <c r="W106" s="25"/>
      <c r="X106" s="25"/>
      <c r="Y106" s="25" t="str">
        <f>IFERROR(VLOOKUP(C_Ope_003[[#This Row],[NOTA 2]],Clientes_Proveedores[[Ruc / Dni]:[Razon Social]],2,0),"")</f>
        <v/>
      </c>
      <c r="Z106" s="25"/>
      <c r="AA106" s="25"/>
      <c r="AB106" s="3" t="str">
        <f>IF(C_Ope_003[[#This Row],[FECHA]]&gt;0,TEXT(C_Ope_003[[#This Row],[FECHA]],"mmmm"),0)</f>
        <v>Marzo</v>
      </c>
    </row>
    <row r="107" spans="2:28" x14ac:dyDescent="0.3">
      <c r="B107" s="2">
        <f>IF(C_Ope_003[[#This Row],[TIPO DE R.]]="R",COUNTIFS($D$4:$D106,"R")+1,"")</f>
        <v>103</v>
      </c>
      <c r="C107" s="19" t="str">
        <f t="shared" si="9"/>
        <v>C_Ope_003</v>
      </c>
      <c r="D107" s="3" t="s">
        <v>1074</v>
      </c>
      <c r="E107" s="14">
        <v>45740</v>
      </c>
      <c r="F107" s="5" t="s">
        <v>4644</v>
      </c>
      <c r="G107" s="5" t="s">
        <v>1079</v>
      </c>
      <c r="H107" s="6"/>
      <c r="I107" s="6" t="s">
        <v>14</v>
      </c>
      <c r="J107" s="6" t="s">
        <v>6559</v>
      </c>
      <c r="K107" s="6">
        <v>375568</v>
      </c>
      <c r="L107" s="7" t="s">
        <v>6973</v>
      </c>
      <c r="M107" s="8">
        <v>23573</v>
      </c>
      <c r="N107" s="8" t="str">
        <f t="shared" si="10"/>
        <v>PEN</v>
      </c>
      <c r="O107" s="13"/>
      <c r="P107" s="13">
        <v>8</v>
      </c>
      <c r="Q107" s="3">
        <f t="shared" si="6"/>
        <v>0</v>
      </c>
      <c r="R107" s="3">
        <f t="shared" si="7"/>
        <v>8</v>
      </c>
      <c r="S107" s="3">
        <f t="shared" si="8"/>
        <v>192.85000000000025</v>
      </c>
      <c r="T107" s="24"/>
      <c r="U107" s="24"/>
      <c r="V107" s="3"/>
      <c r="W107" s="25" t="s">
        <v>6630</v>
      </c>
      <c r="X107" s="25"/>
      <c r="Y107" s="25" t="str">
        <f>IFERROR(VLOOKUP(C_Ope_003[[#This Row],[NOTA 2]],Clientes_Proveedores[[Ruc / Dni]:[Razon Social]],2,0),"")</f>
        <v/>
      </c>
      <c r="Z107" s="25"/>
      <c r="AA107" s="25"/>
      <c r="AB107" s="3" t="str">
        <f>IF(C_Ope_003[[#This Row],[FECHA]]&gt;0,TEXT(C_Ope_003[[#This Row],[FECHA]],"mmmm"),0)</f>
        <v>Marzo</v>
      </c>
    </row>
    <row r="108" spans="2:28" x14ac:dyDescent="0.3">
      <c r="B108" s="2">
        <f>IF(C_Ope_003[[#This Row],[TIPO DE R.]]="R",COUNTIFS($D$4:$D107,"R")+1,"")</f>
        <v>104</v>
      </c>
      <c r="C108" s="19" t="str">
        <f t="shared" si="9"/>
        <v>C_Ope_003</v>
      </c>
      <c r="D108" s="3" t="s">
        <v>1074</v>
      </c>
      <c r="E108" s="14">
        <v>45740</v>
      </c>
      <c r="F108" s="5" t="s">
        <v>4644</v>
      </c>
      <c r="G108" s="5" t="s">
        <v>1079</v>
      </c>
      <c r="H108" s="6"/>
      <c r="I108" s="6" t="s">
        <v>14</v>
      </c>
      <c r="J108" s="6" t="s">
        <v>5281</v>
      </c>
      <c r="K108" s="6">
        <v>943154</v>
      </c>
      <c r="L108" s="7" t="s">
        <v>6973</v>
      </c>
      <c r="M108" s="8">
        <v>23574</v>
      </c>
      <c r="N108" s="8" t="str">
        <f t="shared" si="10"/>
        <v>PEN</v>
      </c>
      <c r="O108" s="13"/>
      <c r="P108" s="13">
        <v>8</v>
      </c>
      <c r="Q108" s="3">
        <f t="shared" si="6"/>
        <v>0</v>
      </c>
      <c r="R108" s="3">
        <f t="shared" si="7"/>
        <v>8</v>
      </c>
      <c r="S108" s="3">
        <f t="shared" si="8"/>
        <v>184.85000000000025</v>
      </c>
      <c r="T108" s="24"/>
      <c r="U108" s="24"/>
      <c r="V108" s="3"/>
      <c r="W108" s="25" t="s">
        <v>6630</v>
      </c>
      <c r="X108" s="25"/>
      <c r="Y108" s="25" t="str">
        <f>IFERROR(VLOOKUP(C_Ope_003[[#This Row],[NOTA 2]],Clientes_Proveedores[[Ruc / Dni]:[Razon Social]],2,0),"")</f>
        <v/>
      </c>
      <c r="Z108" s="25"/>
      <c r="AA108" s="25"/>
      <c r="AB108" s="3" t="str">
        <f>IF(C_Ope_003[[#This Row],[FECHA]]&gt;0,TEXT(C_Ope_003[[#This Row],[FECHA]],"mmmm"),0)</f>
        <v>Marzo</v>
      </c>
    </row>
    <row r="109" spans="2:28" x14ac:dyDescent="0.3">
      <c r="B109" s="2">
        <f>IF(C_Ope_003[[#This Row],[TIPO DE R.]]="R",COUNTIFS($D$4:$D108,"R")+1,"")</f>
        <v>105</v>
      </c>
      <c r="C109" s="19" t="str">
        <f t="shared" si="9"/>
        <v>C_Ope_003</v>
      </c>
      <c r="D109" s="3" t="s">
        <v>1074</v>
      </c>
      <c r="E109" s="14">
        <v>45740</v>
      </c>
      <c r="F109" s="5" t="s">
        <v>4644</v>
      </c>
      <c r="G109" s="5" t="s">
        <v>1079</v>
      </c>
      <c r="H109" s="6"/>
      <c r="I109" s="6" t="s">
        <v>14</v>
      </c>
      <c r="J109" s="6" t="s">
        <v>1119</v>
      </c>
      <c r="K109" s="6">
        <v>17144</v>
      </c>
      <c r="L109" s="7" t="s">
        <v>6974</v>
      </c>
      <c r="M109" s="8">
        <v>23576</v>
      </c>
      <c r="N109" s="8" t="str">
        <f t="shared" si="10"/>
        <v>PEN</v>
      </c>
      <c r="O109" s="13"/>
      <c r="P109" s="13">
        <v>11</v>
      </c>
      <c r="Q109" s="3">
        <f t="shared" si="6"/>
        <v>0</v>
      </c>
      <c r="R109" s="3">
        <f t="shared" si="7"/>
        <v>11</v>
      </c>
      <c r="S109" s="3">
        <f t="shared" si="8"/>
        <v>173.85000000000025</v>
      </c>
      <c r="T109" s="24"/>
      <c r="U109" s="24"/>
      <c r="V109" s="3"/>
      <c r="W109" s="25" t="s">
        <v>6630</v>
      </c>
      <c r="X109" s="25"/>
      <c r="Y109" s="25" t="str">
        <f>IFERROR(VLOOKUP(C_Ope_003[[#This Row],[NOTA 2]],Clientes_Proveedores[[Ruc / Dni]:[Razon Social]],2,0),"")</f>
        <v/>
      </c>
      <c r="Z109" s="25"/>
      <c r="AA109" s="25"/>
      <c r="AB109" s="3" t="str">
        <f>IF(C_Ope_003[[#This Row],[FECHA]]&gt;0,TEXT(C_Ope_003[[#This Row],[FECHA]],"mmmm"),0)</f>
        <v>Marzo</v>
      </c>
    </row>
    <row r="110" spans="2:28" ht="24" x14ac:dyDescent="0.3">
      <c r="B110" s="2">
        <f>IF(C_Ope_003[[#This Row],[TIPO DE R.]]="R",COUNTIFS($D$4:$D109,"R")+1,"")</f>
        <v>106</v>
      </c>
      <c r="C110" s="19" t="str">
        <f t="shared" si="9"/>
        <v>C_Ope_003</v>
      </c>
      <c r="D110" s="3" t="s">
        <v>1074</v>
      </c>
      <c r="E110" s="14">
        <v>45744</v>
      </c>
      <c r="F110" s="5" t="s">
        <v>4644</v>
      </c>
      <c r="G110" s="5" t="s">
        <v>1079</v>
      </c>
      <c r="H110" s="6"/>
      <c r="I110" s="6" t="s">
        <v>14</v>
      </c>
      <c r="J110" s="6" t="s">
        <v>1097</v>
      </c>
      <c r="K110" s="6">
        <v>15977</v>
      </c>
      <c r="L110" s="7" t="s">
        <v>6975</v>
      </c>
      <c r="M110" s="8">
        <v>23641</v>
      </c>
      <c r="N110" s="8" t="str">
        <f t="shared" si="10"/>
        <v>PEN</v>
      </c>
      <c r="O110" s="13"/>
      <c r="P110" s="13">
        <v>20</v>
      </c>
      <c r="Q110" s="3">
        <f t="shared" si="6"/>
        <v>0</v>
      </c>
      <c r="R110" s="3">
        <f t="shared" si="7"/>
        <v>20</v>
      </c>
      <c r="S110" s="3">
        <f t="shared" si="8"/>
        <v>153.85000000000025</v>
      </c>
      <c r="T110" s="24"/>
      <c r="U110" s="24"/>
      <c r="V110" s="3"/>
      <c r="W110" s="25" t="s">
        <v>6630</v>
      </c>
      <c r="X110" s="25"/>
      <c r="Y110" s="25" t="str">
        <f>IFERROR(VLOOKUP(C_Ope_003[[#This Row],[NOTA 2]],Clientes_Proveedores[[Ruc / Dni]:[Razon Social]],2,0),"")</f>
        <v/>
      </c>
      <c r="Z110" s="25"/>
      <c r="AA110" s="25"/>
      <c r="AB110" s="3" t="str">
        <f>IF(C_Ope_003[[#This Row],[FECHA]]&gt;0,TEXT(C_Ope_003[[#This Row],[FECHA]],"mmmm"),0)</f>
        <v>Marzo</v>
      </c>
    </row>
    <row r="111" spans="2:28" ht="24" x14ac:dyDescent="0.3">
      <c r="B111" s="2">
        <f>IF(C_Ope_003[[#This Row],[TIPO DE R.]]="R",COUNTIFS($D$4:$D110,"R")+1,"")</f>
        <v>107</v>
      </c>
      <c r="C111" s="19" t="str">
        <f t="shared" si="9"/>
        <v>C_Ope_003</v>
      </c>
      <c r="D111" s="3" t="s">
        <v>1074</v>
      </c>
      <c r="E111" s="14">
        <v>45744</v>
      </c>
      <c r="F111" s="5" t="s">
        <v>4644</v>
      </c>
      <c r="G111" s="5" t="s">
        <v>1079</v>
      </c>
      <c r="H111" s="6"/>
      <c r="I111" s="6" t="s">
        <v>14</v>
      </c>
      <c r="J111" s="6" t="s">
        <v>1097</v>
      </c>
      <c r="K111" s="6">
        <v>15982</v>
      </c>
      <c r="L111" s="7" t="s">
        <v>6976</v>
      </c>
      <c r="M111" s="8">
        <v>23642</v>
      </c>
      <c r="N111" s="8" t="str">
        <f t="shared" si="10"/>
        <v>PEN</v>
      </c>
      <c r="O111" s="13"/>
      <c r="P111" s="13">
        <v>20</v>
      </c>
      <c r="Q111" s="3">
        <f t="shared" si="6"/>
        <v>0</v>
      </c>
      <c r="R111" s="3">
        <f t="shared" si="7"/>
        <v>20</v>
      </c>
      <c r="S111" s="3">
        <f t="shared" si="8"/>
        <v>133.85000000000025</v>
      </c>
      <c r="T111" s="24"/>
      <c r="U111" s="24"/>
      <c r="V111" s="3"/>
      <c r="W111" s="25" t="s">
        <v>6630</v>
      </c>
      <c r="X111" s="25"/>
      <c r="Y111" s="25" t="str">
        <f>IFERROR(VLOOKUP(C_Ope_003[[#This Row],[NOTA 2]],Clientes_Proveedores[[Ruc / Dni]:[Razon Social]],2,0),"")</f>
        <v/>
      </c>
      <c r="Z111" s="25"/>
      <c r="AA111" s="25"/>
      <c r="AB111" s="3" t="str">
        <f>IF(C_Ope_003[[#This Row],[FECHA]]&gt;0,TEXT(C_Ope_003[[#This Row],[FECHA]],"mmmm"),0)</f>
        <v>Marzo</v>
      </c>
    </row>
    <row r="112" spans="2:28" x14ac:dyDescent="0.3">
      <c r="B112" s="2">
        <f>IF(C_Ope_003[[#This Row],[TIPO DE R.]]="R",COUNTIFS($D$4:$D111,"R")+1,"")</f>
        <v>108</v>
      </c>
      <c r="C112" s="19" t="str">
        <f t="shared" si="9"/>
        <v>C_Ope_003</v>
      </c>
      <c r="D112" s="3" t="s">
        <v>1074</v>
      </c>
      <c r="E112" s="14">
        <v>45747</v>
      </c>
      <c r="F112" s="5" t="s">
        <v>4644</v>
      </c>
      <c r="G112" s="5" t="s">
        <v>1079</v>
      </c>
      <c r="H112" s="6"/>
      <c r="I112" s="6" t="s">
        <v>14</v>
      </c>
      <c r="J112" s="6" t="s">
        <v>1429</v>
      </c>
      <c r="K112" s="6">
        <v>16160</v>
      </c>
      <c r="L112" s="7" t="s">
        <v>6977</v>
      </c>
      <c r="M112" s="8">
        <v>23718</v>
      </c>
      <c r="N112" s="8" t="str">
        <f t="shared" si="10"/>
        <v>PEN</v>
      </c>
      <c r="O112" s="13"/>
      <c r="P112" s="13">
        <v>12</v>
      </c>
      <c r="Q112" s="3">
        <f t="shared" si="6"/>
        <v>0</v>
      </c>
      <c r="R112" s="3">
        <f t="shared" si="7"/>
        <v>12</v>
      </c>
      <c r="S112" s="3">
        <f t="shared" si="8"/>
        <v>121.85000000000025</v>
      </c>
      <c r="T112" s="24"/>
      <c r="U112" s="24"/>
      <c r="V112" s="3"/>
      <c r="W112" s="25" t="s">
        <v>6630</v>
      </c>
      <c r="X112" s="25"/>
      <c r="Y112" s="25" t="str">
        <f>IFERROR(VLOOKUP(C_Ope_003[[#This Row],[NOTA 2]],Clientes_Proveedores[[Ruc / Dni]:[Razon Social]],2,0),"")</f>
        <v/>
      </c>
      <c r="Z112" s="25"/>
      <c r="AA112" s="25"/>
      <c r="AB112" s="3" t="str">
        <f>IF(C_Ope_003[[#This Row],[FECHA]]&gt;0,TEXT(C_Ope_003[[#This Row],[FECHA]],"mmmm"),0)</f>
        <v>Marzo</v>
      </c>
    </row>
    <row r="113" spans="2:28" x14ac:dyDescent="0.3">
      <c r="B113" s="2">
        <f>IF(C_Ope_003[[#This Row],[TIPO DE R.]]="R",COUNTIFS($D$4:$D112,"R")+1,"")</f>
        <v>109</v>
      </c>
      <c r="C113" s="19" t="str">
        <f t="shared" si="9"/>
        <v>C_Ope_003</v>
      </c>
      <c r="D113" s="3" t="s">
        <v>1074</v>
      </c>
      <c r="E113" s="14">
        <v>45744</v>
      </c>
      <c r="F113" s="5" t="s">
        <v>4644</v>
      </c>
      <c r="G113" s="5" t="s">
        <v>1079</v>
      </c>
      <c r="H113" s="6"/>
      <c r="I113" s="6" t="s">
        <v>21</v>
      </c>
      <c r="J113" s="6">
        <v>1</v>
      </c>
      <c r="K113" s="6">
        <v>206</v>
      </c>
      <c r="L113" s="7" t="s">
        <v>6808</v>
      </c>
      <c r="M113" s="8">
        <v>23643</v>
      </c>
      <c r="N113" s="8" t="str">
        <f t="shared" si="10"/>
        <v>PEN</v>
      </c>
      <c r="O113" s="13"/>
      <c r="P113" s="13">
        <v>40</v>
      </c>
      <c r="Q113" s="3">
        <f t="shared" si="6"/>
        <v>0</v>
      </c>
      <c r="R113" s="3">
        <f t="shared" si="7"/>
        <v>40</v>
      </c>
      <c r="S113" s="3">
        <f t="shared" si="8"/>
        <v>81.85000000000025</v>
      </c>
      <c r="T113" s="24"/>
      <c r="U113" s="24"/>
      <c r="V113" s="3"/>
      <c r="W113" s="25" t="s">
        <v>6630</v>
      </c>
      <c r="X113" s="25"/>
      <c r="Y113" s="25" t="str">
        <f>IFERROR(VLOOKUP(C_Ope_003[[#This Row],[NOTA 2]],Clientes_Proveedores[[Ruc / Dni]:[Razon Social]],2,0),"")</f>
        <v/>
      </c>
      <c r="Z113" s="25"/>
      <c r="AA113" s="25"/>
      <c r="AB113" s="3" t="str">
        <f>IF(C_Ope_003[[#This Row],[FECHA]]&gt;0,TEXT(C_Ope_003[[#This Row],[FECHA]],"mmmm"),0)</f>
        <v>Marzo</v>
      </c>
    </row>
    <row r="114" spans="2:28" x14ac:dyDescent="0.3">
      <c r="B114" s="2">
        <f>IF(C_Ope_003[[#This Row],[TIPO DE R.]]="R",COUNTIFS($D$4:$D113,"R")+1,"")</f>
        <v>110</v>
      </c>
      <c r="C114" s="19" t="str">
        <f t="shared" si="9"/>
        <v>C_Ope_003</v>
      </c>
      <c r="D114" s="3" t="s">
        <v>1074</v>
      </c>
      <c r="E114" s="14">
        <v>45749</v>
      </c>
      <c r="F114" s="5" t="s">
        <v>6299</v>
      </c>
      <c r="G114" s="5" t="s">
        <v>1087</v>
      </c>
      <c r="H114" s="6"/>
      <c r="I114" s="6"/>
      <c r="J114" s="6"/>
      <c r="K114" s="6"/>
      <c r="L114" s="7" t="s">
        <v>6302</v>
      </c>
      <c r="M114" s="8">
        <v>23748</v>
      </c>
      <c r="N114" s="8" t="str">
        <f t="shared" si="10"/>
        <v>PEN</v>
      </c>
      <c r="O114" s="13"/>
      <c r="P114" s="13">
        <v>120</v>
      </c>
      <c r="Q114" s="3">
        <f t="shared" si="6"/>
        <v>120</v>
      </c>
      <c r="R114" s="3">
        <f t="shared" si="7"/>
        <v>0</v>
      </c>
      <c r="S114" s="3">
        <f t="shared" si="8"/>
        <v>201.85000000000025</v>
      </c>
      <c r="T114" s="24"/>
      <c r="U114" s="24"/>
      <c r="V114" s="3"/>
      <c r="W114" s="25"/>
      <c r="X114" s="25"/>
      <c r="Y114" s="25" t="str">
        <f>IFERROR(VLOOKUP(C_Ope_003[[#This Row],[NOTA 2]],Clientes_Proveedores[[Ruc / Dni]:[Razon Social]],2,0),"")</f>
        <v/>
      </c>
      <c r="Z114" s="25"/>
      <c r="AA114" s="25"/>
      <c r="AB114" s="3" t="str">
        <f>IF(C_Ope_003[[#This Row],[FECHA]]&gt;0,TEXT(C_Ope_003[[#This Row],[FECHA]],"mmmm"),0)</f>
        <v>Abril</v>
      </c>
    </row>
    <row r="115" spans="2:28" x14ac:dyDescent="0.3">
      <c r="B115" s="2">
        <f>IF(C_Ope_003[[#This Row],[TIPO DE R.]]="R",COUNTIFS($D$4:$D114,"R")+1,"")</f>
        <v>111</v>
      </c>
      <c r="C115" s="19" t="str">
        <f t="shared" si="9"/>
        <v>C_Ope_003</v>
      </c>
      <c r="D115" s="3" t="s">
        <v>1074</v>
      </c>
      <c r="E115" s="14">
        <v>45748</v>
      </c>
      <c r="F115" s="5" t="s">
        <v>4644</v>
      </c>
      <c r="G115" s="5" t="s">
        <v>1079</v>
      </c>
      <c r="H115" s="6"/>
      <c r="I115" s="6" t="s">
        <v>14</v>
      </c>
      <c r="J115" s="6" t="s">
        <v>1429</v>
      </c>
      <c r="K115" s="6">
        <v>16167</v>
      </c>
      <c r="L115" s="7" t="s">
        <v>6977</v>
      </c>
      <c r="M115" s="8">
        <v>23719</v>
      </c>
      <c r="N115" s="8" t="str">
        <f t="shared" si="10"/>
        <v>PEN</v>
      </c>
      <c r="O115" s="13"/>
      <c r="P115" s="13">
        <v>12</v>
      </c>
      <c r="Q115" s="3">
        <f t="shared" si="6"/>
        <v>0</v>
      </c>
      <c r="R115" s="3">
        <f t="shared" si="7"/>
        <v>12</v>
      </c>
      <c r="S115" s="3">
        <f t="shared" si="8"/>
        <v>189.85000000000025</v>
      </c>
      <c r="T115" s="24"/>
      <c r="U115" s="24"/>
      <c r="V115" s="3"/>
      <c r="W115" s="25" t="s">
        <v>6630</v>
      </c>
      <c r="X115" s="25"/>
      <c r="Y115" s="25" t="str">
        <f>IFERROR(VLOOKUP(C_Ope_003[[#This Row],[NOTA 2]],Clientes_Proveedores[[Ruc / Dni]:[Razon Social]],2,0),"")</f>
        <v/>
      </c>
      <c r="Z115" s="25"/>
      <c r="AA115" s="25"/>
      <c r="AB115" s="3" t="str">
        <f>IF(C_Ope_003[[#This Row],[FECHA]]&gt;0,TEXT(C_Ope_003[[#This Row],[FECHA]],"mmmm"),0)</f>
        <v>Abril</v>
      </c>
    </row>
    <row r="116" spans="2:28" ht="24" x14ac:dyDescent="0.3">
      <c r="B116" s="2">
        <f>IF(C_Ope_003[[#This Row],[TIPO DE R.]]="R",COUNTIFS($D$4:$D115,"R")+1,"")</f>
        <v>112</v>
      </c>
      <c r="C116" s="19" t="str">
        <f t="shared" si="9"/>
        <v>C_Ope_003</v>
      </c>
      <c r="D116" s="3" t="s">
        <v>1074</v>
      </c>
      <c r="E116" s="14">
        <v>45751</v>
      </c>
      <c r="F116" s="5" t="s">
        <v>4644</v>
      </c>
      <c r="G116" s="5" t="s">
        <v>1079</v>
      </c>
      <c r="H116" s="6"/>
      <c r="I116" s="6" t="s">
        <v>14</v>
      </c>
      <c r="J116" s="6" t="s">
        <v>1148</v>
      </c>
      <c r="K116" s="6">
        <v>130177</v>
      </c>
      <c r="L116" s="7" t="s">
        <v>6978</v>
      </c>
      <c r="M116" s="8">
        <v>23744</v>
      </c>
      <c r="N116" s="8" t="str">
        <f t="shared" si="10"/>
        <v>PEN</v>
      </c>
      <c r="O116" s="13"/>
      <c r="P116" s="13">
        <v>10</v>
      </c>
      <c r="Q116" s="3">
        <f t="shared" si="6"/>
        <v>0</v>
      </c>
      <c r="R116" s="3">
        <f t="shared" si="7"/>
        <v>10</v>
      </c>
      <c r="S116" s="3">
        <f t="shared" si="8"/>
        <v>179.85000000000025</v>
      </c>
      <c r="T116" s="24"/>
      <c r="U116" s="24"/>
      <c r="V116" s="3"/>
      <c r="W116" s="25" t="s">
        <v>6630</v>
      </c>
      <c r="X116" s="25"/>
      <c r="Y116" s="25" t="str">
        <f>IFERROR(VLOOKUP(C_Ope_003[[#This Row],[NOTA 2]],Clientes_Proveedores[[Ruc / Dni]:[Razon Social]],2,0),"")</f>
        <v/>
      </c>
      <c r="Z116" s="25"/>
      <c r="AA116" s="25"/>
      <c r="AB116" s="3" t="str">
        <f>IF(C_Ope_003[[#This Row],[FECHA]]&gt;0,TEXT(C_Ope_003[[#This Row],[FECHA]],"mmmm"),0)</f>
        <v>Abril</v>
      </c>
    </row>
    <row r="117" spans="2:28" x14ac:dyDescent="0.3">
      <c r="B117" s="2">
        <f>IF(C_Ope_003[[#This Row],[TIPO DE R.]]="R",COUNTIFS($D$4:$D116,"R")+1,"")</f>
        <v>113</v>
      </c>
      <c r="C117" s="19" t="str">
        <f t="shared" si="9"/>
        <v>C_Ope_003</v>
      </c>
      <c r="D117" s="3" t="s">
        <v>1074</v>
      </c>
      <c r="E117" s="14">
        <v>45748</v>
      </c>
      <c r="F117" s="5" t="s">
        <v>4644</v>
      </c>
      <c r="G117" s="5" t="s">
        <v>1079</v>
      </c>
      <c r="H117" s="6"/>
      <c r="I117" s="6" t="s">
        <v>14</v>
      </c>
      <c r="J117" s="6" t="s">
        <v>1119</v>
      </c>
      <c r="K117" s="6">
        <v>1640</v>
      </c>
      <c r="L117" s="7" t="s">
        <v>6565</v>
      </c>
      <c r="M117" s="8">
        <v>23720</v>
      </c>
      <c r="N117" s="8" t="str">
        <f t="shared" si="10"/>
        <v>PEN</v>
      </c>
      <c r="O117" s="13"/>
      <c r="P117" s="13">
        <v>50</v>
      </c>
      <c r="Q117" s="3">
        <f t="shared" si="6"/>
        <v>0</v>
      </c>
      <c r="R117" s="3">
        <f t="shared" si="7"/>
        <v>50</v>
      </c>
      <c r="S117" s="3">
        <f t="shared" si="8"/>
        <v>129.85000000000025</v>
      </c>
      <c r="T117" s="24"/>
      <c r="U117" s="24"/>
      <c r="V117" s="3"/>
      <c r="W117" s="25" t="s">
        <v>6630</v>
      </c>
      <c r="X117" s="25"/>
      <c r="Y117" s="25" t="str">
        <f>IFERROR(VLOOKUP(C_Ope_003[[#This Row],[NOTA 2]],Clientes_Proveedores[[Ruc / Dni]:[Razon Social]],2,0),"")</f>
        <v/>
      </c>
      <c r="Z117" s="25"/>
      <c r="AA117" s="25"/>
      <c r="AB117" s="3" t="str">
        <f>IF(C_Ope_003[[#This Row],[FECHA]]&gt;0,TEXT(C_Ope_003[[#This Row],[FECHA]],"mmmm"),0)</f>
        <v>Abril</v>
      </c>
    </row>
    <row r="118" spans="2:28" x14ac:dyDescent="0.3">
      <c r="B118" s="2">
        <f>IF(C_Ope_003[[#This Row],[TIPO DE R.]]="R",COUNTIFS($D$4:$D117,"R")+1,"")</f>
        <v>114</v>
      </c>
      <c r="C118" s="19" t="str">
        <f t="shared" si="9"/>
        <v>C_Ope_003</v>
      </c>
      <c r="D118" s="3" t="s">
        <v>1074</v>
      </c>
      <c r="E118" s="14">
        <v>45748</v>
      </c>
      <c r="F118" s="5" t="s">
        <v>4644</v>
      </c>
      <c r="G118" s="5" t="s">
        <v>1079</v>
      </c>
      <c r="H118" s="6"/>
      <c r="I118" s="6" t="s">
        <v>14</v>
      </c>
      <c r="J118" s="6" t="s">
        <v>1119</v>
      </c>
      <c r="K118" s="6">
        <v>1639</v>
      </c>
      <c r="L118" s="7" t="s">
        <v>6565</v>
      </c>
      <c r="M118" s="8">
        <v>23745</v>
      </c>
      <c r="N118" s="8" t="str">
        <f t="shared" si="10"/>
        <v>PEN</v>
      </c>
      <c r="O118" s="13"/>
      <c r="P118" s="13">
        <v>0</v>
      </c>
      <c r="Q118" s="3">
        <f t="shared" si="6"/>
        <v>0</v>
      </c>
      <c r="R118" s="3">
        <f t="shared" si="7"/>
        <v>0</v>
      </c>
      <c r="S118" s="3">
        <f t="shared" si="8"/>
        <v>129.85000000000025</v>
      </c>
      <c r="T118" s="24"/>
      <c r="U118" s="24"/>
      <c r="V118" s="3"/>
      <c r="W118" s="25" t="s">
        <v>6630</v>
      </c>
      <c r="X118" s="25"/>
      <c r="Y118" s="25" t="str">
        <f>IFERROR(VLOOKUP(C_Ope_003[[#This Row],[NOTA 2]],Clientes_Proveedores[[Ruc / Dni]:[Razon Social]],2,0),"")</f>
        <v/>
      </c>
      <c r="Z118" s="25"/>
      <c r="AA118" s="25"/>
      <c r="AB118" s="3" t="str">
        <f>IF(C_Ope_003[[#This Row],[FECHA]]&gt;0,TEXT(C_Ope_003[[#This Row],[FECHA]],"mmmm"),0)</f>
        <v>Abril</v>
      </c>
    </row>
    <row r="119" spans="2:28" x14ac:dyDescent="0.3">
      <c r="B119" s="2">
        <f>IF(C_Ope_003[[#This Row],[TIPO DE R.]]="R",COUNTIFS($D$4:$D118,"R")+1,"")</f>
        <v>115</v>
      </c>
      <c r="C119" s="19" t="str">
        <f t="shared" si="9"/>
        <v>C_Ope_003</v>
      </c>
      <c r="D119" s="3" t="s">
        <v>1074</v>
      </c>
      <c r="E119" s="14">
        <v>45755</v>
      </c>
      <c r="F119" s="5" t="s">
        <v>6299</v>
      </c>
      <c r="G119" s="5" t="s">
        <v>1087</v>
      </c>
      <c r="H119" s="6"/>
      <c r="I119" s="6"/>
      <c r="J119" s="6"/>
      <c r="K119" s="6"/>
      <c r="L119" s="7" t="s">
        <v>6302</v>
      </c>
      <c r="M119" s="8">
        <v>23781</v>
      </c>
      <c r="N119" s="8" t="str">
        <f t="shared" si="10"/>
        <v>PEN</v>
      </c>
      <c r="O119" s="13"/>
      <c r="P119" s="13">
        <v>120</v>
      </c>
      <c r="Q119" s="3">
        <f t="shared" si="6"/>
        <v>120</v>
      </c>
      <c r="R119" s="3">
        <f t="shared" si="7"/>
        <v>0</v>
      </c>
      <c r="S119" s="3">
        <f t="shared" si="8"/>
        <v>249.85000000000025</v>
      </c>
      <c r="T119" s="24"/>
      <c r="U119" s="24"/>
      <c r="V119" s="3"/>
      <c r="W119" s="25"/>
      <c r="X119" s="25"/>
      <c r="Y119" s="25" t="str">
        <f>IFERROR(VLOOKUP(C_Ope_003[[#This Row],[NOTA 2]],Clientes_Proveedores[[Ruc / Dni]:[Razon Social]],2,0),"")</f>
        <v/>
      </c>
      <c r="Z119" s="25"/>
      <c r="AA119" s="25"/>
      <c r="AB119" s="3" t="str">
        <f>IF(C_Ope_003[[#This Row],[FECHA]]&gt;0,TEXT(C_Ope_003[[#This Row],[FECHA]],"mmmm"),0)</f>
        <v>Abril</v>
      </c>
    </row>
    <row r="120" spans="2:28" ht="24" x14ac:dyDescent="0.3">
      <c r="B120" s="2">
        <f>IF(C_Ope_003[[#This Row],[TIPO DE R.]]="R",COUNTIFS($D$4:$D119,"R")+1,"")</f>
        <v>116</v>
      </c>
      <c r="C120" s="19" t="str">
        <f t="shared" si="9"/>
        <v>C_Ope_003</v>
      </c>
      <c r="D120" s="3" t="s">
        <v>1074</v>
      </c>
      <c r="E120" s="14">
        <v>45755</v>
      </c>
      <c r="F120" s="5" t="s">
        <v>4644</v>
      </c>
      <c r="G120" s="5" t="s">
        <v>1079</v>
      </c>
      <c r="H120" s="6"/>
      <c r="I120" s="6" t="s">
        <v>14</v>
      </c>
      <c r="J120" s="6" t="s">
        <v>1097</v>
      </c>
      <c r="K120" s="6">
        <v>16072</v>
      </c>
      <c r="L120" s="7" t="s">
        <v>6979</v>
      </c>
      <c r="M120" s="8">
        <v>23782</v>
      </c>
      <c r="N120" s="8" t="str">
        <f t="shared" si="10"/>
        <v>PEN</v>
      </c>
      <c r="O120" s="13"/>
      <c r="P120" s="13">
        <v>20</v>
      </c>
      <c r="Q120" s="3">
        <f t="shared" si="6"/>
        <v>0</v>
      </c>
      <c r="R120" s="3">
        <f t="shared" si="7"/>
        <v>20</v>
      </c>
      <c r="S120" s="3">
        <f t="shared" si="8"/>
        <v>229.85000000000025</v>
      </c>
      <c r="T120" s="24"/>
      <c r="U120" s="24"/>
      <c r="V120" s="3"/>
      <c r="W120" s="25" t="s">
        <v>6630</v>
      </c>
      <c r="X120" s="25"/>
      <c r="Y120" s="25" t="str">
        <f>IFERROR(VLOOKUP(C_Ope_003[[#This Row],[NOTA 2]],Clientes_Proveedores[[Ruc / Dni]:[Razon Social]],2,0),"")</f>
        <v/>
      </c>
      <c r="Z120" s="25"/>
      <c r="AA120" s="25"/>
      <c r="AB120" s="3" t="str">
        <f>IF(C_Ope_003[[#This Row],[FECHA]]&gt;0,TEXT(C_Ope_003[[#This Row],[FECHA]],"mmmm"),0)</f>
        <v>Abril</v>
      </c>
    </row>
    <row r="121" spans="2:28" ht="24" x14ac:dyDescent="0.3">
      <c r="B121" s="2">
        <f>IF(C_Ope_003[[#This Row],[TIPO DE R.]]="R",COUNTIFS($D$4:$D120,"R")+1,"")</f>
        <v>117</v>
      </c>
      <c r="C121" s="19" t="str">
        <f t="shared" si="9"/>
        <v>C_Ope_003</v>
      </c>
      <c r="D121" s="3" t="s">
        <v>1074</v>
      </c>
      <c r="E121" s="14">
        <v>45755</v>
      </c>
      <c r="F121" s="5" t="s">
        <v>4644</v>
      </c>
      <c r="G121" s="5" t="s">
        <v>1079</v>
      </c>
      <c r="H121" s="6"/>
      <c r="I121" s="6" t="s">
        <v>14</v>
      </c>
      <c r="J121" s="6" t="s">
        <v>1097</v>
      </c>
      <c r="K121" s="6">
        <v>16072</v>
      </c>
      <c r="L121" s="7" t="s">
        <v>6979</v>
      </c>
      <c r="M121" s="8">
        <v>23783</v>
      </c>
      <c r="N121" s="8" t="str">
        <f t="shared" si="10"/>
        <v>PEN</v>
      </c>
      <c r="O121" s="13"/>
      <c r="P121" s="13">
        <v>0</v>
      </c>
      <c r="Q121" s="3">
        <f t="shared" si="6"/>
        <v>0</v>
      </c>
      <c r="R121" s="3">
        <f t="shared" si="7"/>
        <v>0</v>
      </c>
      <c r="S121" s="3">
        <f t="shared" si="8"/>
        <v>229.85000000000025</v>
      </c>
      <c r="T121" s="24"/>
      <c r="U121" s="24"/>
      <c r="V121" s="3"/>
      <c r="W121" s="25" t="s">
        <v>6630</v>
      </c>
      <c r="X121" s="25"/>
      <c r="Y121" s="25" t="str">
        <f>IFERROR(VLOOKUP(C_Ope_003[[#This Row],[NOTA 2]],Clientes_Proveedores[[Ruc / Dni]:[Razon Social]],2,0),"")</f>
        <v/>
      </c>
      <c r="Z121" s="25"/>
      <c r="AA121" s="25"/>
      <c r="AB121" s="3" t="str">
        <f>IF(C_Ope_003[[#This Row],[FECHA]]&gt;0,TEXT(C_Ope_003[[#This Row],[FECHA]],"mmmm"),0)</f>
        <v>Abril</v>
      </c>
    </row>
    <row r="122" spans="2:28" ht="24" x14ac:dyDescent="0.3">
      <c r="B122" s="2">
        <f>IF(C_Ope_003[[#This Row],[TIPO DE R.]]="R",COUNTIFS($D$4:$D121,"R")+1,"")</f>
        <v>118</v>
      </c>
      <c r="C122" s="19" t="str">
        <f t="shared" si="9"/>
        <v>C_Ope_003</v>
      </c>
      <c r="D122" s="3" t="s">
        <v>1074</v>
      </c>
      <c r="E122" s="14">
        <v>45755</v>
      </c>
      <c r="F122" s="5" t="s">
        <v>4644</v>
      </c>
      <c r="G122" s="5" t="s">
        <v>1079</v>
      </c>
      <c r="H122" s="6"/>
      <c r="I122" s="6" t="s">
        <v>14</v>
      </c>
      <c r="J122" s="6" t="s">
        <v>1097</v>
      </c>
      <c r="K122" s="6">
        <v>16077</v>
      </c>
      <c r="L122" s="7" t="s">
        <v>6980</v>
      </c>
      <c r="M122" s="8">
        <v>23784</v>
      </c>
      <c r="N122" s="8" t="str">
        <f t="shared" si="10"/>
        <v>PEN</v>
      </c>
      <c r="O122" s="13"/>
      <c r="P122" s="13">
        <v>20</v>
      </c>
      <c r="Q122" s="3">
        <f t="shared" si="6"/>
        <v>0</v>
      </c>
      <c r="R122" s="3">
        <f t="shared" si="7"/>
        <v>20</v>
      </c>
      <c r="S122" s="3">
        <f t="shared" si="8"/>
        <v>209.85000000000025</v>
      </c>
      <c r="T122" s="24"/>
      <c r="U122" s="24"/>
      <c r="V122" s="3"/>
      <c r="W122" s="25" t="s">
        <v>6630</v>
      </c>
      <c r="X122" s="25"/>
      <c r="Y122" s="25" t="str">
        <f>IFERROR(VLOOKUP(C_Ope_003[[#This Row],[NOTA 2]],Clientes_Proveedores[[Ruc / Dni]:[Razon Social]],2,0),"")</f>
        <v/>
      </c>
      <c r="Z122" s="25"/>
      <c r="AA122" s="25"/>
      <c r="AB122" s="3" t="str">
        <f>IF(C_Ope_003[[#This Row],[FECHA]]&gt;0,TEXT(C_Ope_003[[#This Row],[FECHA]],"mmmm"),0)</f>
        <v>Abril</v>
      </c>
    </row>
    <row r="123" spans="2:28" ht="24" x14ac:dyDescent="0.3">
      <c r="B123" s="2">
        <f>IF(C_Ope_003[[#This Row],[TIPO DE R.]]="R",COUNTIFS($D$4:$D122,"R")+1,"")</f>
        <v>119</v>
      </c>
      <c r="C123" s="19" t="str">
        <f t="shared" si="9"/>
        <v>C_Ope_003</v>
      </c>
      <c r="D123" s="3" t="s">
        <v>1074</v>
      </c>
      <c r="E123" s="14">
        <v>45758</v>
      </c>
      <c r="F123" s="5" t="s">
        <v>4644</v>
      </c>
      <c r="G123" s="5" t="s">
        <v>1079</v>
      </c>
      <c r="H123" s="6"/>
      <c r="I123" s="6" t="s">
        <v>14</v>
      </c>
      <c r="J123" s="6" t="s">
        <v>1097</v>
      </c>
      <c r="K123" s="6">
        <v>16095</v>
      </c>
      <c r="L123" s="7" t="s">
        <v>6981</v>
      </c>
      <c r="M123" s="8">
        <v>23824</v>
      </c>
      <c r="N123" s="8" t="str">
        <f t="shared" si="10"/>
        <v>PEN</v>
      </c>
      <c r="O123" s="13"/>
      <c r="P123" s="13">
        <v>20</v>
      </c>
      <c r="Q123" s="3">
        <f t="shared" si="6"/>
        <v>0</v>
      </c>
      <c r="R123" s="3">
        <f t="shared" si="7"/>
        <v>20</v>
      </c>
      <c r="S123" s="3">
        <f t="shared" si="8"/>
        <v>189.85000000000025</v>
      </c>
      <c r="T123" s="24"/>
      <c r="U123" s="24"/>
      <c r="V123" s="3"/>
      <c r="W123" s="25" t="s">
        <v>6747</v>
      </c>
      <c r="X123" s="25"/>
      <c r="Y123" s="25" t="str">
        <f>IFERROR(VLOOKUP(C_Ope_003[[#This Row],[NOTA 2]],Clientes_Proveedores[[Ruc / Dni]:[Razon Social]],2,0),"")</f>
        <v/>
      </c>
      <c r="Z123" s="25"/>
      <c r="AA123" s="25"/>
      <c r="AB123" s="3" t="str">
        <f>IF(C_Ope_003[[#This Row],[FECHA]]&gt;0,TEXT(C_Ope_003[[#This Row],[FECHA]],"mmmm"),0)</f>
        <v>Abril</v>
      </c>
    </row>
    <row r="124" spans="2:28" x14ac:dyDescent="0.3">
      <c r="B124" s="2">
        <f>IF(C_Ope_003[[#This Row],[TIPO DE R.]]="R",COUNTIFS($D$4:$D123,"R")+1,"")</f>
        <v>120</v>
      </c>
      <c r="C124" s="19" t="str">
        <f t="shared" si="9"/>
        <v>C_Ope_003</v>
      </c>
      <c r="D124" s="3" t="s">
        <v>1074</v>
      </c>
      <c r="E124" s="14">
        <v>45758</v>
      </c>
      <c r="F124" s="5" t="s">
        <v>4644</v>
      </c>
      <c r="G124" s="5" t="s">
        <v>1079</v>
      </c>
      <c r="H124" s="6"/>
      <c r="I124" s="6" t="s">
        <v>21</v>
      </c>
      <c r="J124" s="6">
        <v>1</v>
      </c>
      <c r="K124" s="6">
        <v>2227</v>
      </c>
      <c r="L124" s="7" t="s">
        <v>6565</v>
      </c>
      <c r="M124" s="8">
        <v>23829</v>
      </c>
      <c r="N124" s="8" t="str">
        <f t="shared" si="10"/>
        <v>PEN</v>
      </c>
      <c r="O124" s="13"/>
      <c r="P124" s="13">
        <v>50</v>
      </c>
      <c r="Q124" s="3">
        <f t="shared" si="6"/>
        <v>0</v>
      </c>
      <c r="R124" s="3">
        <f t="shared" si="7"/>
        <v>50</v>
      </c>
      <c r="S124" s="3">
        <f t="shared" si="8"/>
        <v>139.85000000000025</v>
      </c>
      <c r="T124" s="24"/>
      <c r="U124" s="24"/>
      <c r="V124" s="3"/>
      <c r="W124" s="25" t="s">
        <v>6747</v>
      </c>
      <c r="X124" s="25"/>
      <c r="Y124" s="25" t="str">
        <f>IFERROR(VLOOKUP(C_Ope_003[[#This Row],[NOTA 2]],Clientes_Proveedores[[Ruc / Dni]:[Razon Social]],2,0),"")</f>
        <v/>
      </c>
      <c r="Z124" s="25"/>
      <c r="AA124" s="25"/>
      <c r="AB124" s="3" t="str">
        <f>IF(C_Ope_003[[#This Row],[FECHA]]&gt;0,TEXT(C_Ope_003[[#This Row],[FECHA]],"mmmm"),0)</f>
        <v>Abril</v>
      </c>
    </row>
    <row r="125" spans="2:28" x14ac:dyDescent="0.3">
      <c r="B125" s="2">
        <f>IF(C_Ope_003[[#This Row],[TIPO DE R.]]="R",COUNTIFS($D$4:$D124,"R")+1,"")</f>
        <v>121</v>
      </c>
      <c r="C125" s="19" t="str">
        <f t="shared" si="9"/>
        <v>C_Ope_003</v>
      </c>
      <c r="D125" s="3" t="s">
        <v>1074</v>
      </c>
      <c r="E125" s="14">
        <v>45761</v>
      </c>
      <c r="F125" s="5" t="s">
        <v>6299</v>
      </c>
      <c r="G125" s="5" t="s">
        <v>1087</v>
      </c>
      <c r="H125" s="6"/>
      <c r="I125" s="6"/>
      <c r="J125" s="6"/>
      <c r="K125" s="6"/>
      <c r="L125" s="7" t="s">
        <v>6302</v>
      </c>
      <c r="M125" s="8">
        <v>23844</v>
      </c>
      <c r="N125" s="8" t="str">
        <f t="shared" si="10"/>
        <v>PEN</v>
      </c>
      <c r="O125" s="13"/>
      <c r="P125" s="13">
        <v>900</v>
      </c>
      <c r="Q125" s="3">
        <f t="shared" si="6"/>
        <v>900</v>
      </c>
      <c r="R125" s="3">
        <f t="shared" si="7"/>
        <v>0</v>
      </c>
      <c r="S125" s="3">
        <f t="shared" si="8"/>
        <v>1039.8500000000004</v>
      </c>
      <c r="T125" s="24"/>
      <c r="U125" s="24"/>
      <c r="V125" s="3"/>
      <c r="W125" s="25"/>
      <c r="X125" s="25"/>
      <c r="Y125" s="25" t="str">
        <f>IFERROR(VLOOKUP(C_Ope_003[[#This Row],[NOTA 2]],Clientes_Proveedores[[Ruc / Dni]:[Razon Social]],2,0),"")</f>
        <v/>
      </c>
      <c r="Z125" s="25"/>
      <c r="AA125" s="25"/>
      <c r="AB125" s="3" t="str">
        <f>IF(C_Ope_003[[#This Row],[FECHA]]&gt;0,TEXT(C_Ope_003[[#This Row],[FECHA]],"mmmm"),0)</f>
        <v>Abril</v>
      </c>
    </row>
    <row r="126" spans="2:28" ht="24" x14ac:dyDescent="0.3">
      <c r="B126" s="2">
        <f>IF(C_Ope_003[[#This Row],[TIPO DE R.]]="R",COUNTIFS($D$4:$D125,"R")+1,"")</f>
        <v>122</v>
      </c>
      <c r="C126" s="19" t="str">
        <f t="shared" si="9"/>
        <v>C_Ope_003</v>
      </c>
      <c r="D126" s="3" t="s">
        <v>1074</v>
      </c>
      <c r="E126" s="14">
        <v>45761</v>
      </c>
      <c r="F126" s="5" t="s">
        <v>4644</v>
      </c>
      <c r="G126" s="5" t="s">
        <v>1079</v>
      </c>
      <c r="H126" s="6"/>
      <c r="I126" s="6" t="s">
        <v>14</v>
      </c>
      <c r="J126" s="6" t="s">
        <v>5242</v>
      </c>
      <c r="K126" s="6">
        <v>2020536</v>
      </c>
      <c r="L126" s="7" t="s">
        <v>6982</v>
      </c>
      <c r="M126" s="8">
        <v>23843</v>
      </c>
      <c r="N126" s="8" t="str">
        <f t="shared" si="10"/>
        <v>PEN</v>
      </c>
      <c r="O126" s="13"/>
      <c r="P126" s="13">
        <v>12</v>
      </c>
      <c r="Q126" s="3">
        <f t="shared" si="6"/>
        <v>0</v>
      </c>
      <c r="R126" s="3">
        <f t="shared" si="7"/>
        <v>12</v>
      </c>
      <c r="S126" s="3">
        <f t="shared" si="8"/>
        <v>1027.8500000000004</v>
      </c>
      <c r="T126" s="24"/>
      <c r="U126" s="24"/>
      <c r="V126" s="3"/>
      <c r="W126" s="25" t="s">
        <v>6747</v>
      </c>
      <c r="X126" s="25"/>
      <c r="Y126" s="25" t="str">
        <f>IFERROR(VLOOKUP(C_Ope_003[[#This Row],[NOTA 2]],Clientes_Proveedores[[Ruc / Dni]:[Razon Social]],2,0),"")</f>
        <v/>
      </c>
      <c r="Z126" s="25"/>
      <c r="AA126" s="25"/>
      <c r="AB126" s="3" t="str">
        <f>IF(C_Ope_003[[#This Row],[FECHA]]&gt;0,TEXT(C_Ope_003[[#This Row],[FECHA]],"mmmm"),0)</f>
        <v>Abril</v>
      </c>
    </row>
    <row r="127" spans="2:28" ht="24" x14ac:dyDescent="0.3">
      <c r="B127" s="2">
        <f>IF(C_Ope_003[[#This Row],[TIPO DE R.]]="R",COUNTIFS($D$4:$D126,"R")+1,"")</f>
        <v>123</v>
      </c>
      <c r="C127" s="19" t="str">
        <f t="shared" si="9"/>
        <v>C_Ope_003</v>
      </c>
      <c r="D127" s="3" t="s">
        <v>1074</v>
      </c>
      <c r="E127" s="14">
        <v>45761</v>
      </c>
      <c r="F127" s="5" t="s">
        <v>4644</v>
      </c>
      <c r="G127" s="5" t="s">
        <v>1079</v>
      </c>
      <c r="H127" s="6"/>
      <c r="I127" s="6" t="s">
        <v>14</v>
      </c>
      <c r="J127" s="6" t="s">
        <v>5244</v>
      </c>
      <c r="K127" s="6">
        <v>1706025</v>
      </c>
      <c r="L127" s="7" t="s">
        <v>6982</v>
      </c>
      <c r="M127" s="8">
        <v>23856</v>
      </c>
      <c r="N127" s="8" t="str">
        <f t="shared" si="10"/>
        <v>PEN</v>
      </c>
      <c r="O127" s="13"/>
      <c r="P127" s="13">
        <v>12</v>
      </c>
      <c r="Q127" s="3">
        <f t="shared" si="6"/>
        <v>0</v>
      </c>
      <c r="R127" s="3">
        <f t="shared" si="7"/>
        <v>12</v>
      </c>
      <c r="S127" s="3">
        <f t="shared" si="8"/>
        <v>1015.8500000000004</v>
      </c>
      <c r="T127" s="24"/>
      <c r="U127" s="24"/>
      <c r="V127" s="3"/>
      <c r="W127" s="25" t="s">
        <v>6747</v>
      </c>
      <c r="X127" s="25"/>
      <c r="Y127" s="25" t="str">
        <f>IFERROR(VLOOKUP(C_Ope_003[[#This Row],[NOTA 2]],Clientes_Proveedores[[Ruc / Dni]:[Razon Social]],2,0),"")</f>
        <v/>
      </c>
      <c r="Z127" s="25"/>
      <c r="AA127" s="25"/>
      <c r="AB127" s="3" t="str">
        <f>IF(C_Ope_003[[#This Row],[FECHA]]&gt;0,TEXT(C_Ope_003[[#This Row],[FECHA]],"mmmm"),0)</f>
        <v>Abril</v>
      </c>
    </row>
    <row r="128" spans="2:28" ht="24" x14ac:dyDescent="0.3">
      <c r="B128" s="2">
        <f>IF(C_Ope_003[[#This Row],[TIPO DE R.]]="R",COUNTIFS($D$4:$D127,"R")+1,"")</f>
        <v>124</v>
      </c>
      <c r="C128" s="19" t="str">
        <f t="shared" si="9"/>
        <v>C_Ope_003</v>
      </c>
      <c r="D128" s="3" t="s">
        <v>1074</v>
      </c>
      <c r="E128" s="14">
        <v>45761</v>
      </c>
      <c r="F128" s="5" t="s">
        <v>4644</v>
      </c>
      <c r="G128" s="5" t="s">
        <v>1079</v>
      </c>
      <c r="H128" s="6"/>
      <c r="I128" s="6" t="s">
        <v>14</v>
      </c>
      <c r="J128" s="6" t="s">
        <v>6879</v>
      </c>
      <c r="K128" s="6">
        <v>565181</v>
      </c>
      <c r="L128" s="7" t="s">
        <v>6983</v>
      </c>
      <c r="M128" s="8">
        <v>23857</v>
      </c>
      <c r="N128" s="8" t="str">
        <f t="shared" si="10"/>
        <v>PEN</v>
      </c>
      <c r="O128" s="13"/>
      <c r="P128" s="13">
        <v>23.6</v>
      </c>
      <c r="Q128" s="3">
        <f t="shared" si="6"/>
        <v>0</v>
      </c>
      <c r="R128" s="3">
        <f t="shared" si="7"/>
        <v>23.6</v>
      </c>
      <c r="S128" s="3">
        <f t="shared" si="8"/>
        <v>992.25000000000034</v>
      </c>
      <c r="T128" s="24"/>
      <c r="U128" s="24"/>
      <c r="V128" s="3"/>
      <c r="W128" s="25" t="s">
        <v>6747</v>
      </c>
      <c r="X128" s="25"/>
      <c r="Y128" s="25" t="str">
        <f>IFERROR(VLOOKUP(C_Ope_003[[#This Row],[NOTA 2]],Clientes_Proveedores[[Ruc / Dni]:[Razon Social]],2,0),"")</f>
        <v/>
      </c>
      <c r="Z128" s="25"/>
      <c r="AA128" s="25"/>
      <c r="AB128" s="3" t="str">
        <f>IF(C_Ope_003[[#This Row],[FECHA]]&gt;0,TEXT(C_Ope_003[[#This Row],[FECHA]],"mmmm"),0)</f>
        <v>Abril</v>
      </c>
    </row>
    <row r="129" spans="2:28" ht="24" x14ac:dyDescent="0.3">
      <c r="B129" s="2">
        <f>IF(C_Ope_003[[#This Row],[TIPO DE R.]]="R",COUNTIFS($D$4:$D128,"R")+1,"")</f>
        <v>125</v>
      </c>
      <c r="C129" s="19" t="str">
        <f t="shared" si="9"/>
        <v>C_Ope_003</v>
      </c>
      <c r="D129" s="3" t="s">
        <v>1074</v>
      </c>
      <c r="E129" s="14">
        <v>45762</v>
      </c>
      <c r="F129" s="5" t="s">
        <v>4644</v>
      </c>
      <c r="G129" s="5" t="s">
        <v>1079</v>
      </c>
      <c r="H129" s="6"/>
      <c r="I129" s="6" t="s">
        <v>14</v>
      </c>
      <c r="J129" s="6" t="s">
        <v>6926</v>
      </c>
      <c r="K129" s="6">
        <v>2824792</v>
      </c>
      <c r="L129" s="7" t="s">
        <v>6984</v>
      </c>
      <c r="M129" s="8">
        <v>23883</v>
      </c>
      <c r="N129" s="8" t="str">
        <f t="shared" si="10"/>
        <v>PEN</v>
      </c>
      <c r="O129" s="13"/>
      <c r="P129" s="13">
        <v>58.2</v>
      </c>
      <c r="Q129" s="3">
        <f t="shared" si="6"/>
        <v>0</v>
      </c>
      <c r="R129" s="3">
        <f t="shared" si="7"/>
        <v>58.2</v>
      </c>
      <c r="S129" s="3">
        <f t="shared" si="8"/>
        <v>934.0500000000003</v>
      </c>
      <c r="T129" s="24"/>
      <c r="U129" s="24"/>
      <c r="V129" s="3"/>
      <c r="W129" s="25" t="s">
        <v>6747</v>
      </c>
      <c r="X129" s="25"/>
      <c r="Y129" s="25" t="str">
        <f>IFERROR(VLOOKUP(C_Ope_003[[#This Row],[NOTA 2]],Clientes_Proveedores[[Ruc / Dni]:[Razon Social]],2,0),"")</f>
        <v/>
      </c>
      <c r="Z129" s="25"/>
      <c r="AA129" s="25"/>
      <c r="AB129" s="3" t="str">
        <f>IF(C_Ope_003[[#This Row],[FECHA]]&gt;0,TEXT(C_Ope_003[[#This Row],[FECHA]],"mmmm"),0)</f>
        <v>Abril</v>
      </c>
    </row>
    <row r="130" spans="2:28" ht="24" x14ac:dyDescent="0.3">
      <c r="B130" s="2">
        <f>IF(C_Ope_003[[#This Row],[TIPO DE R.]]="R",COUNTIFS($D$4:$D129,"R")+1,"")</f>
        <v>126</v>
      </c>
      <c r="C130" s="19" t="str">
        <f t="shared" si="9"/>
        <v>C_Ope_003</v>
      </c>
      <c r="D130" s="3" t="s">
        <v>1074</v>
      </c>
      <c r="E130" s="14">
        <v>45762</v>
      </c>
      <c r="F130" s="5" t="s">
        <v>4644</v>
      </c>
      <c r="G130" s="5" t="s">
        <v>1079</v>
      </c>
      <c r="H130" s="6"/>
      <c r="I130" s="6" t="s">
        <v>14</v>
      </c>
      <c r="J130" s="6" t="s">
        <v>6985</v>
      </c>
      <c r="K130" s="6">
        <v>2973577</v>
      </c>
      <c r="L130" s="7" t="s">
        <v>6986</v>
      </c>
      <c r="M130" s="8">
        <v>23884</v>
      </c>
      <c r="N130" s="8" t="str">
        <f t="shared" si="10"/>
        <v>PEN</v>
      </c>
      <c r="O130" s="13"/>
      <c r="P130" s="13">
        <v>22.5</v>
      </c>
      <c r="Q130" s="3">
        <f t="shared" si="6"/>
        <v>0</v>
      </c>
      <c r="R130" s="3">
        <f t="shared" si="7"/>
        <v>22.5</v>
      </c>
      <c r="S130" s="3">
        <f t="shared" si="8"/>
        <v>911.5500000000003</v>
      </c>
      <c r="T130" s="24"/>
      <c r="U130" s="24"/>
      <c r="V130" s="3"/>
      <c r="W130" s="25" t="s">
        <v>6747</v>
      </c>
      <c r="X130" s="25"/>
      <c r="Y130" s="25" t="str">
        <f>IFERROR(VLOOKUP(C_Ope_003[[#This Row],[NOTA 2]],Clientes_Proveedores[[Ruc / Dni]:[Razon Social]],2,0),"")</f>
        <v/>
      </c>
      <c r="Z130" s="25"/>
      <c r="AA130" s="25"/>
      <c r="AB130" s="3" t="str">
        <f>IF(C_Ope_003[[#This Row],[FECHA]]&gt;0,TEXT(C_Ope_003[[#This Row],[FECHA]],"mmmm"),0)</f>
        <v>Abril</v>
      </c>
    </row>
    <row r="131" spans="2:28" ht="24" x14ac:dyDescent="0.3">
      <c r="B131" s="2">
        <f>IF(C_Ope_003[[#This Row],[TIPO DE R.]]="R",COUNTIFS($D$4:$D130,"R")+1,"")</f>
        <v>127</v>
      </c>
      <c r="C131" s="19" t="str">
        <f t="shared" si="9"/>
        <v>C_Ope_003</v>
      </c>
      <c r="D131" s="3" t="s">
        <v>1074</v>
      </c>
      <c r="E131" s="14">
        <v>45763</v>
      </c>
      <c r="F131" s="5" t="s">
        <v>4644</v>
      </c>
      <c r="G131" s="5" t="s">
        <v>1079</v>
      </c>
      <c r="H131" s="6"/>
      <c r="I131" s="6" t="s">
        <v>14</v>
      </c>
      <c r="J131" s="6" t="s">
        <v>6987</v>
      </c>
      <c r="K131" s="6">
        <v>3980516</v>
      </c>
      <c r="L131" s="7" t="s">
        <v>6988</v>
      </c>
      <c r="M131" s="8">
        <v>23906</v>
      </c>
      <c r="N131" s="8" t="str">
        <f t="shared" si="10"/>
        <v>PEN</v>
      </c>
      <c r="O131" s="13"/>
      <c r="P131" s="13">
        <v>19.8</v>
      </c>
      <c r="Q131" s="3">
        <f t="shared" si="6"/>
        <v>0</v>
      </c>
      <c r="R131" s="3">
        <f t="shared" si="7"/>
        <v>19.8</v>
      </c>
      <c r="S131" s="3">
        <f t="shared" si="8"/>
        <v>891.75000000000034</v>
      </c>
      <c r="T131" s="24"/>
      <c r="U131" s="24"/>
      <c r="V131" s="3"/>
      <c r="W131" s="25" t="s">
        <v>6747</v>
      </c>
      <c r="X131" s="25"/>
      <c r="Y131" s="25" t="str">
        <f>IFERROR(VLOOKUP(C_Ope_003[[#This Row],[NOTA 2]],Clientes_Proveedores[[Ruc / Dni]:[Razon Social]],2,0),"")</f>
        <v/>
      </c>
      <c r="Z131" s="25"/>
      <c r="AA131" s="25"/>
      <c r="AB131" s="3" t="str">
        <f>IF(C_Ope_003[[#This Row],[FECHA]]&gt;0,TEXT(C_Ope_003[[#This Row],[FECHA]],"mmmm"),0)</f>
        <v>Abril</v>
      </c>
    </row>
    <row r="132" spans="2:28" x14ac:dyDescent="0.3">
      <c r="B132" s="2">
        <f>IF(C_Ope_003[[#This Row],[TIPO DE R.]]="R",COUNTIFS($D$4:$D131,"R")+1,"")</f>
        <v>128</v>
      </c>
      <c r="C132" s="19" t="str">
        <f t="shared" si="9"/>
        <v>C_Ope_003</v>
      </c>
      <c r="D132" s="3" t="s">
        <v>1074</v>
      </c>
      <c r="E132" s="14">
        <v>45764</v>
      </c>
      <c r="F132" s="5" t="s">
        <v>4644</v>
      </c>
      <c r="G132" s="5" t="s">
        <v>1079</v>
      </c>
      <c r="H132" s="6"/>
      <c r="I132" s="6" t="s">
        <v>14</v>
      </c>
      <c r="J132" s="6" t="s">
        <v>6989</v>
      </c>
      <c r="K132" s="6">
        <v>4718512</v>
      </c>
      <c r="L132" s="7" t="s">
        <v>6990</v>
      </c>
      <c r="M132" s="8">
        <v>23915</v>
      </c>
      <c r="N132" s="8" t="str">
        <f t="shared" si="10"/>
        <v>PEN</v>
      </c>
      <c r="O132" s="13"/>
      <c r="P132" s="13">
        <v>19.8</v>
      </c>
      <c r="Q132" s="3">
        <f t="shared" si="6"/>
        <v>0</v>
      </c>
      <c r="R132" s="3">
        <f t="shared" si="7"/>
        <v>19.8</v>
      </c>
      <c r="S132" s="3">
        <f t="shared" si="8"/>
        <v>871.95000000000039</v>
      </c>
      <c r="T132" s="24"/>
      <c r="U132" s="24"/>
      <c r="V132" s="3"/>
      <c r="W132" s="25" t="s">
        <v>6747</v>
      </c>
      <c r="X132" s="25"/>
      <c r="Y132" s="25" t="str">
        <f>IFERROR(VLOOKUP(C_Ope_003[[#This Row],[NOTA 2]],Clientes_Proveedores[[Ruc / Dni]:[Razon Social]],2,0),"")</f>
        <v/>
      </c>
      <c r="Z132" s="25"/>
      <c r="AA132" s="25"/>
      <c r="AB132" s="3" t="str">
        <f>IF(C_Ope_003[[#This Row],[FECHA]]&gt;0,TEXT(C_Ope_003[[#This Row],[FECHA]],"mmmm"),0)</f>
        <v>Abril</v>
      </c>
    </row>
    <row r="133" spans="2:28" ht="24" x14ac:dyDescent="0.3">
      <c r="B133" s="2">
        <f>IF(C_Ope_003[[#This Row],[TIPO DE R.]]="R",COUNTIFS($D$4:$D132,"R")+1,"")</f>
        <v>129</v>
      </c>
      <c r="C133" s="19" t="str">
        <f t="shared" si="9"/>
        <v>C_Ope_003</v>
      </c>
      <c r="D133" s="3" t="s">
        <v>1074</v>
      </c>
      <c r="E133" s="14">
        <v>45764</v>
      </c>
      <c r="F133" s="5" t="s">
        <v>4644</v>
      </c>
      <c r="G133" s="5" t="s">
        <v>1079</v>
      </c>
      <c r="H133" s="6"/>
      <c r="I133" s="6" t="s">
        <v>14</v>
      </c>
      <c r="J133" s="6" t="s">
        <v>6936</v>
      </c>
      <c r="K133" s="6">
        <v>3710312</v>
      </c>
      <c r="L133" s="7" t="s">
        <v>6991</v>
      </c>
      <c r="M133" s="8">
        <v>23916</v>
      </c>
      <c r="N133" s="8" t="str">
        <f t="shared" si="10"/>
        <v>PEN</v>
      </c>
      <c r="O133" s="13"/>
      <c r="P133" s="13">
        <v>22.5</v>
      </c>
      <c r="Q133" s="3">
        <f t="shared" ref="Q133:Q196" si="11">+IF(OR($G133="SALDO",$G133="INGRESO"),$P133,0)</f>
        <v>0</v>
      </c>
      <c r="R133" s="3">
        <f t="shared" ref="R133:R196" si="12">+IF($G133="EGRESO",$P133,0)</f>
        <v>22.5</v>
      </c>
      <c r="S133" s="3">
        <f t="shared" ref="S133:S196" si="13">IFERROR(IF(G133="SALDO",Q133,S132+Q133-R133),0)</f>
        <v>849.45000000000039</v>
      </c>
      <c r="T133" s="24"/>
      <c r="U133" s="24"/>
      <c r="V133" s="3"/>
      <c r="W133" s="25" t="s">
        <v>6747</v>
      </c>
      <c r="X133" s="25"/>
      <c r="Y133" s="25" t="str">
        <f>IFERROR(VLOOKUP(C_Ope_003[[#This Row],[NOTA 2]],Clientes_Proveedores[[Ruc / Dni]:[Razon Social]],2,0),"")</f>
        <v/>
      </c>
      <c r="Z133" s="25"/>
      <c r="AA133" s="25"/>
      <c r="AB133" s="3" t="str">
        <f>IF(C_Ope_003[[#This Row],[FECHA]]&gt;0,TEXT(C_Ope_003[[#This Row],[FECHA]],"mmmm"),0)</f>
        <v>Abril</v>
      </c>
    </row>
    <row r="134" spans="2:28" x14ac:dyDescent="0.3">
      <c r="B134" s="2">
        <f>IF(C_Ope_003[[#This Row],[TIPO DE R.]]="R",COUNTIFS($D$4:$D133,"R")+1,"")</f>
        <v>130</v>
      </c>
      <c r="C134" s="19" t="str">
        <f t="shared" ref="C134:C197" si="14">"C_Ope_003"</f>
        <v>C_Ope_003</v>
      </c>
      <c r="D134" s="3" t="s">
        <v>1074</v>
      </c>
      <c r="E134" s="14">
        <v>45764</v>
      </c>
      <c r="F134" s="5" t="s">
        <v>4644</v>
      </c>
      <c r="G134" s="5" t="s">
        <v>1079</v>
      </c>
      <c r="H134" s="6"/>
      <c r="I134" s="6" t="s">
        <v>14</v>
      </c>
      <c r="J134" s="6" t="s">
        <v>6908</v>
      </c>
      <c r="K134" s="6">
        <v>2163879</v>
      </c>
      <c r="L134" s="7" t="s">
        <v>6992</v>
      </c>
      <c r="M134" s="8">
        <v>23917</v>
      </c>
      <c r="N134" s="8" t="str">
        <f t="shared" ref="N134:N197" si="15">"PEN"</f>
        <v>PEN</v>
      </c>
      <c r="O134" s="13"/>
      <c r="P134" s="13">
        <v>58.2</v>
      </c>
      <c r="Q134" s="3">
        <f t="shared" si="11"/>
        <v>0</v>
      </c>
      <c r="R134" s="3">
        <f t="shared" si="12"/>
        <v>58.2</v>
      </c>
      <c r="S134" s="3">
        <f t="shared" si="13"/>
        <v>791.25000000000034</v>
      </c>
      <c r="T134" s="24"/>
      <c r="U134" s="24"/>
      <c r="V134" s="3"/>
      <c r="W134" s="25" t="s">
        <v>6747</v>
      </c>
      <c r="X134" s="25"/>
      <c r="Y134" s="25" t="str">
        <f>IFERROR(VLOOKUP(C_Ope_003[[#This Row],[NOTA 2]],Clientes_Proveedores[[Ruc / Dni]:[Razon Social]],2,0),"")</f>
        <v/>
      </c>
      <c r="Z134" s="25"/>
      <c r="AA134" s="25"/>
      <c r="AB134" s="3" t="str">
        <f>IF(C_Ope_003[[#This Row],[FECHA]]&gt;0,TEXT(C_Ope_003[[#This Row],[FECHA]],"mmmm"),0)</f>
        <v>Abril</v>
      </c>
    </row>
    <row r="135" spans="2:28" x14ac:dyDescent="0.3">
      <c r="B135" s="2">
        <f>IF(C_Ope_003[[#This Row],[TIPO DE R.]]="R",COUNTIFS($D$4:$D134,"R")+1,"")</f>
        <v>131</v>
      </c>
      <c r="C135" s="19" t="str">
        <f t="shared" si="14"/>
        <v>C_Ope_003</v>
      </c>
      <c r="D135" s="3" t="s">
        <v>1074</v>
      </c>
      <c r="E135" s="14">
        <v>45764</v>
      </c>
      <c r="F135" s="5" t="s">
        <v>4644</v>
      </c>
      <c r="G135" s="5" t="s">
        <v>1079</v>
      </c>
      <c r="H135" s="6"/>
      <c r="I135" s="6" t="s">
        <v>14</v>
      </c>
      <c r="J135" s="6" t="s">
        <v>6993</v>
      </c>
      <c r="K135" s="6">
        <v>346554</v>
      </c>
      <c r="L135" s="7" t="s">
        <v>6994</v>
      </c>
      <c r="M135" s="8">
        <v>23918</v>
      </c>
      <c r="N135" s="8" t="str">
        <f t="shared" si="15"/>
        <v>PEN</v>
      </c>
      <c r="O135" s="13"/>
      <c r="P135" s="13">
        <v>58.2</v>
      </c>
      <c r="Q135" s="3">
        <f t="shared" si="11"/>
        <v>0</v>
      </c>
      <c r="R135" s="3">
        <f t="shared" si="12"/>
        <v>58.2</v>
      </c>
      <c r="S135" s="3">
        <f t="shared" si="13"/>
        <v>733.0500000000003</v>
      </c>
      <c r="T135" s="24"/>
      <c r="U135" s="24"/>
      <c r="V135" s="3"/>
      <c r="W135" s="25" t="s">
        <v>6747</v>
      </c>
      <c r="X135" s="25"/>
      <c r="Y135" s="25" t="str">
        <f>IFERROR(VLOOKUP(C_Ope_003[[#This Row],[NOTA 2]],Clientes_Proveedores[[Ruc / Dni]:[Razon Social]],2,0),"")</f>
        <v/>
      </c>
      <c r="Z135" s="25"/>
      <c r="AA135" s="25"/>
      <c r="AB135" s="3" t="str">
        <f>IF(C_Ope_003[[#This Row],[FECHA]]&gt;0,TEXT(C_Ope_003[[#This Row],[FECHA]],"mmmm"),0)</f>
        <v>Abril</v>
      </c>
    </row>
    <row r="136" spans="2:28" ht="24" x14ac:dyDescent="0.3">
      <c r="B136" s="2">
        <f>IF(C_Ope_003[[#This Row],[TIPO DE R.]]="R",COUNTIFS($D$4:$D135,"R")+1,"")</f>
        <v>132</v>
      </c>
      <c r="C136" s="19" t="str">
        <f t="shared" si="14"/>
        <v>C_Ope_003</v>
      </c>
      <c r="D136" s="3" t="s">
        <v>1074</v>
      </c>
      <c r="E136" s="14">
        <v>45765</v>
      </c>
      <c r="F136" s="5" t="s">
        <v>4644</v>
      </c>
      <c r="G136" s="5" t="s">
        <v>1079</v>
      </c>
      <c r="H136" s="6"/>
      <c r="I136" s="6"/>
      <c r="J136" s="6"/>
      <c r="K136" s="6" t="s">
        <v>6995</v>
      </c>
      <c r="L136" s="7" t="s">
        <v>6996</v>
      </c>
      <c r="M136" s="8">
        <v>23923</v>
      </c>
      <c r="N136" s="8" t="str">
        <f t="shared" si="15"/>
        <v>PEN</v>
      </c>
      <c r="O136" s="13"/>
      <c r="P136" s="13">
        <v>19.5</v>
      </c>
      <c r="Q136" s="3">
        <f t="shared" si="11"/>
        <v>0</v>
      </c>
      <c r="R136" s="3">
        <f t="shared" si="12"/>
        <v>19.5</v>
      </c>
      <c r="S136" s="3">
        <f t="shared" si="13"/>
        <v>713.5500000000003</v>
      </c>
      <c r="T136" s="24"/>
      <c r="U136" s="24"/>
      <c r="V136" s="3"/>
      <c r="W136" s="25" t="s">
        <v>6747</v>
      </c>
      <c r="X136" s="25"/>
      <c r="Y136" s="25" t="str">
        <f>IFERROR(VLOOKUP(C_Ope_003[[#This Row],[NOTA 2]],Clientes_Proveedores[[Ruc / Dni]:[Razon Social]],2,0),"")</f>
        <v/>
      </c>
      <c r="Z136" s="25"/>
      <c r="AA136" s="25"/>
      <c r="AB136" s="3" t="str">
        <f>IF(C_Ope_003[[#This Row],[FECHA]]&gt;0,TEXT(C_Ope_003[[#This Row],[FECHA]],"mmmm"),0)</f>
        <v>Abril</v>
      </c>
    </row>
    <row r="137" spans="2:28" ht="24" x14ac:dyDescent="0.3">
      <c r="B137" s="2">
        <f>IF(C_Ope_003[[#This Row],[TIPO DE R.]]="R",COUNTIFS($D$4:$D136,"R")+1,"")</f>
        <v>133</v>
      </c>
      <c r="C137" s="19" t="str">
        <f t="shared" si="14"/>
        <v>C_Ope_003</v>
      </c>
      <c r="D137" s="3" t="s">
        <v>1074</v>
      </c>
      <c r="E137" s="14">
        <v>45765</v>
      </c>
      <c r="F137" s="5" t="s">
        <v>4644</v>
      </c>
      <c r="G137" s="5" t="s">
        <v>1079</v>
      </c>
      <c r="H137" s="6"/>
      <c r="I137" s="6"/>
      <c r="J137" s="6"/>
      <c r="K137" s="6" t="s">
        <v>6997</v>
      </c>
      <c r="L137" s="7" t="s">
        <v>6998</v>
      </c>
      <c r="M137" s="8">
        <v>23924</v>
      </c>
      <c r="N137" s="8" t="str">
        <f t="shared" si="15"/>
        <v>PEN</v>
      </c>
      <c r="O137" s="13"/>
      <c r="P137" s="13">
        <v>19.5</v>
      </c>
      <c r="Q137" s="3">
        <f t="shared" si="11"/>
        <v>0</v>
      </c>
      <c r="R137" s="3">
        <f t="shared" si="12"/>
        <v>19.5</v>
      </c>
      <c r="S137" s="3">
        <f t="shared" si="13"/>
        <v>694.0500000000003</v>
      </c>
      <c r="T137" s="24"/>
      <c r="U137" s="24"/>
      <c r="V137" s="3"/>
      <c r="W137" s="25" t="s">
        <v>6747</v>
      </c>
      <c r="X137" s="25"/>
      <c r="Y137" s="25" t="str">
        <f>IFERROR(VLOOKUP(C_Ope_003[[#This Row],[NOTA 2]],Clientes_Proveedores[[Ruc / Dni]:[Razon Social]],2,0),"")</f>
        <v/>
      </c>
      <c r="Z137" s="25"/>
      <c r="AA137" s="25"/>
      <c r="AB137" s="3" t="str">
        <f>IF(C_Ope_003[[#This Row],[FECHA]]&gt;0,TEXT(C_Ope_003[[#This Row],[FECHA]],"mmmm"),0)</f>
        <v>Abril</v>
      </c>
    </row>
    <row r="138" spans="2:28" ht="24" x14ac:dyDescent="0.3">
      <c r="B138" s="2">
        <f>IF(C_Ope_003[[#This Row],[TIPO DE R.]]="R",COUNTIFS($D$4:$D137,"R")+1,"")</f>
        <v>134</v>
      </c>
      <c r="C138" s="19" t="str">
        <f t="shared" si="14"/>
        <v>C_Ope_003</v>
      </c>
      <c r="D138" s="3" t="s">
        <v>1074</v>
      </c>
      <c r="E138" s="14">
        <v>45765</v>
      </c>
      <c r="F138" s="5" t="s">
        <v>4644</v>
      </c>
      <c r="G138" s="5" t="s">
        <v>1079</v>
      </c>
      <c r="H138" s="6"/>
      <c r="I138" s="6"/>
      <c r="J138" s="6"/>
      <c r="K138" s="6" t="s">
        <v>6999</v>
      </c>
      <c r="L138" s="7" t="s">
        <v>7000</v>
      </c>
      <c r="M138" s="8">
        <v>23925</v>
      </c>
      <c r="N138" s="8" t="str">
        <f t="shared" si="15"/>
        <v>PEN</v>
      </c>
      <c r="O138" s="13"/>
      <c r="P138" s="13">
        <v>19.5</v>
      </c>
      <c r="Q138" s="3">
        <f t="shared" si="11"/>
        <v>0</v>
      </c>
      <c r="R138" s="3">
        <f t="shared" si="12"/>
        <v>19.5</v>
      </c>
      <c r="S138" s="3">
        <f t="shared" si="13"/>
        <v>674.5500000000003</v>
      </c>
      <c r="T138" s="24"/>
      <c r="U138" s="24"/>
      <c r="V138" s="3"/>
      <c r="W138" s="25" t="s">
        <v>6747</v>
      </c>
      <c r="X138" s="25"/>
      <c r="Y138" s="25" t="str">
        <f>IFERROR(VLOOKUP(C_Ope_003[[#This Row],[NOTA 2]],Clientes_Proveedores[[Ruc / Dni]:[Razon Social]],2,0),"")</f>
        <v/>
      </c>
      <c r="Z138" s="25"/>
      <c r="AA138" s="25"/>
      <c r="AB138" s="3" t="str">
        <f>IF(C_Ope_003[[#This Row],[FECHA]]&gt;0,TEXT(C_Ope_003[[#This Row],[FECHA]],"mmmm"),0)</f>
        <v>Abril</v>
      </c>
    </row>
    <row r="139" spans="2:28" x14ac:dyDescent="0.3">
      <c r="B139" s="2">
        <f>IF(C_Ope_003[[#This Row],[TIPO DE R.]]="R",COUNTIFS($D$4:$D138,"R")+1,"")</f>
        <v>135</v>
      </c>
      <c r="C139" s="19" t="str">
        <f t="shared" si="14"/>
        <v>C_Ope_003</v>
      </c>
      <c r="D139" s="3" t="s">
        <v>1074</v>
      </c>
      <c r="E139" s="14">
        <v>45765</v>
      </c>
      <c r="F139" s="5" t="s">
        <v>4644</v>
      </c>
      <c r="G139" s="5" t="s">
        <v>1079</v>
      </c>
      <c r="H139" s="6"/>
      <c r="I139" s="6" t="s">
        <v>14</v>
      </c>
      <c r="J139" s="6" t="s">
        <v>2629</v>
      </c>
      <c r="K139" s="6">
        <v>733047</v>
      </c>
      <c r="L139" s="7" t="s">
        <v>7001</v>
      </c>
      <c r="M139" s="8">
        <v>23926</v>
      </c>
      <c r="N139" s="8" t="str">
        <f t="shared" si="15"/>
        <v>PEN</v>
      </c>
      <c r="O139" s="13"/>
      <c r="P139" s="13">
        <v>23.6</v>
      </c>
      <c r="Q139" s="3">
        <f t="shared" si="11"/>
        <v>0</v>
      </c>
      <c r="R139" s="3">
        <f t="shared" si="12"/>
        <v>23.6</v>
      </c>
      <c r="S139" s="3">
        <f t="shared" si="13"/>
        <v>650.95000000000027</v>
      </c>
      <c r="T139" s="24"/>
      <c r="U139" s="24"/>
      <c r="V139" s="3"/>
      <c r="W139" s="25" t="s">
        <v>6747</v>
      </c>
      <c r="X139" s="25"/>
      <c r="Y139" s="25" t="str">
        <f>IFERROR(VLOOKUP(C_Ope_003[[#This Row],[NOTA 2]],Clientes_Proveedores[[Ruc / Dni]:[Razon Social]],2,0),"")</f>
        <v/>
      </c>
      <c r="Z139" s="25"/>
      <c r="AA139" s="25"/>
      <c r="AB139" s="3" t="str">
        <f>IF(C_Ope_003[[#This Row],[FECHA]]&gt;0,TEXT(C_Ope_003[[#This Row],[FECHA]],"mmmm"),0)</f>
        <v>Abril</v>
      </c>
    </row>
    <row r="140" spans="2:28" x14ac:dyDescent="0.3">
      <c r="B140" s="2">
        <f>IF(C_Ope_003[[#This Row],[TIPO DE R.]]="R",COUNTIFS($D$4:$D139,"R")+1,"")</f>
        <v>136</v>
      </c>
      <c r="C140" s="19" t="str">
        <f t="shared" si="14"/>
        <v>C_Ope_003</v>
      </c>
      <c r="D140" s="3" t="s">
        <v>1074</v>
      </c>
      <c r="E140" s="14">
        <v>45761</v>
      </c>
      <c r="F140" s="5" t="s">
        <v>4644</v>
      </c>
      <c r="G140" s="5" t="s">
        <v>1079</v>
      </c>
      <c r="H140" s="6"/>
      <c r="I140" s="6"/>
      <c r="J140" s="6" t="s">
        <v>6893</v>
      </c>
      <c r="K140" s="6"/>
      <c r="L140" s="7" t="s">
        <v>7002</v>
      </c>
      <c r="M140" s="8">
        <v>23858</v>
      </c>
      <c r="N140" s="8" t="str">
        <f t="shared" si="15"/>
        <v>PEN</v>
      </c>
      <c r="O140" s="13"/>
      <c r="P140" s="13">
        <v>12</v>
      </c>
      <c r="Q140" s="3">
        <f t="shared" si="11"/>
        <v>0</v>
      </c>
      <c r="R140" s="3">
        <f t="shared" si="12"/>
        <v>12</v>
      </c>
      <c r="S140" s="3">
        <f t="shared" si="13"/>
        <v>638.95000000000027</v>
      </c>
      <c r="T140" s="24"/>
      <c r="U140" s="24"/>
      <c r="V140" s="3"/>
      <c r="W140" s="25" t="s">
        <v>6747</v>
      </c>
      <c r="X140" s="25"/>
      <c r="Y140" s="25" t="str">
        <f>IFERROR(VLOOKUP(C_Ope_003[[#This Row],[NOTA 2]],Clientes_Proveedores[[Ruc / Dni]:[Razon Social]],2,0),"")</f>
        <v/>
      </c>
      <c r="Z140" s="25"/>
      <c r="AA140" s="25"/>
      <c r="AB140" s="3" t="str">
        <f>IF(C_Ope_003[[#This Row],[FECHA]]&gt;0,TEXT(C_Ope_003[[#This Row],[FECHA]],"mmmm"),0)</f>
        <v>Abril</v>
      </c>
    </row>
    <row r="141" spans="2:28" x14ac:dyDescent="0.3">
      <c r="B141" s="2">
        <f>IF(C_Ope_003[[#This Row],[TIPO DE R.]]="R",COUNTIFS($D$4:$D140,"R")+1,"")</f>
        <v>137</v>
      </c>
      <c r="C141" s="19" t="str">
        <f t="shared" si="14"/>
        <v>C_Ope_003</v>
      </c>
      <c r="D141" s="3" t="s">
        <v>1074</v>
      </c>
      <c r="E141" s="14">
        <v>45761</v>
      </c>
      <c r="F141" s="5" t="s">
        <v>4644</v>
      </c>
      <c r="G141" s="5" t="s">
        <v>1079</v>
      </c>
      <c r="H141" s="6"/>
      <c r="I141" s="6"/>
      <c r="J141" s="6" t="s">
        <v>6893</v>
      </c>
      <c r="K141" s="6"/>
      <c r="L141" s="7" t="s">
        <v>7003</v>
      </c>
      <c r="M141" s="8">
        <v>23859</v>
      </c>
      <c r="N141" s="8" t="str">
        <f t="shared" si="15"/>
        <v>PEN</v>
      </c>
      <c r="O141" s="13"/>
      <c r="P141" s="13">
        <v>50</v>
      </c>
      <c r="Q141" s="3">
        <f t="shared" si="11"/>
        <v>0</v>
      </c>
      <c r="R141" s="3">
        <f t="shared" si="12"/>
        <v>50</v>
      </c>
      <c r="S141" s="3">
        <f t="shared" si="13"/>
        <v>588.95000000000027</v>
      </c>
      <c r="T141" s="24"/>
      <c r="U141" s="24"/>
      <c r="V141" s="3"/>
      <c r="W141" s="25" t="s">
        <v>6747</v>
      </c>
      <c r="X141" s="25"/>
      <c r="Y141" s="25" t="str">
        <f>IFERROR(VLOOKUP(C_Ope_003[[#This Row],[NOTA 2]],Clientes_Proveedores[[Ruc / Dni]:[Razon Social]],2,0),"")</f>
        <v/>
      </c>
      <c r="Z141" s="25"/>
      <c r="AA141" s="25"/>
      <c r="AB141" s="3" t="str">
        <f>IF(C_Ope_003[[#This Row],[FECHA]]&gt;0,TEXT(C_Ope_003[[#This Row],[FECHA]],"mmmm"),0)</f>
        <v>Abril</v>
      </c>
    </row>
    <row r="142" spans="2:28" x14ac:dyDescent="0.3">
      <c r="B142" s="2">
        <f>IF(C_Ope_003[[#This Row],[TIPO DE R.]]="R",COUNTIFS($D$4:$D141,"R")+1,"")</f>
        <v>138</v>
      </c>
      <c r="C142" s="19" t="str">
        <f t="shared" si="14"/>
        <v>C_Ope_003</v>
      </c>
      <c r="D142" s="3" t="s">
        <v>1074</v>
      </c>
      <c r="E142" s="14">
        <v>45761</v>
      </c>
      <c r="F142" s="5" t="s">
        <v>4644</v>
      </c>
      <c r="G142" s="5" t="s">
        <v>1079</v>
      </c>
      <c r="H142" s="6"/>
      <c r="I142" s="6"/>
      <c r="J142" s="6" t="s">
        <v>6893</v>
      </c>
      <c r="K142" s="6"/>
      <c r="L142" s="7" t="s">
        <v>7004</v>
      </c>
      <c r="M142" s="8">
        <v>23860</v>
      </c>
      <c r="N142" s="8" t="str">
        <f t="shared" si="15"/>
        <v>PEN</v>
      </c>
      <c r="O142" s="13"/>
      <c r="P142" s="13">
        <v>10</v>
      </c>
      <c r="Q142" s="3">
        <f t="shared" si="11"/>
        <v>0</v>
      </c>
      <c r="R142" s="3">
        <f t="shared" si="12"/>
        <v>10</v>
      </c>
      <c r="S142" s="3">
        <f t="shared" si="13"/>
        <v>578.95000000000027</v>
      </c>
      <c r="T142" s="24"/>
      <c r="U142" s="24"/>
      <c r="V142" s="3"/>
      <c r="W142" s="25" t="s">
        <v>6747</v>
      </c>
      <c r="X142" s="25"/>
      <c r="Y142" s="25" t="str">
        <f>IFERROR(VLOOKUP(C_Ope_003[[#This Row],[NOTA 2]],Clientes_Proveedores[[Ruc / Dni]:[Razon Social]],2,0),"")</f>
        <v/>
      </c>
      <c r="Z142" s="25"/>
      <c r="AA142" s="25"/>
      <c r="AB142" s="3" t="str">
        <f>IF(C_Ope_003[[#This Row],[FECHA]]&gt;0,TEXT(C_Ope_003[[#This Row],[FECHA]],"mmmm"),0)</f>
        <v>Abril</v>
      </c>
    </row>
    <row r="143" spans="2:28" x14ac:dyDescent="0.3">
      <c r="B143" s="2">
        <f>IF(C_Ope_003[[#This Row],[TIPO DE R.]]="R",COUNTIFS($D$4:$D142,"R")+1,"")</f>
        <v>139</v>
      </c>
      <c r="C143" s="19" t="str">
        <f t="shared" si="14"/>
        <v>C_Ope_003</v>
      </c>
      <c r="D143" s="3" t="s">
        <v>1074</v>
      </c>
      <c r="E143" s="14">
        <v>45762</v>
      </c>
      <c r="F143" s="5" t="s">
        <v>4644</v>
      </c>
      <c r="G143" s="5" t="s">
        <v>1079</v>
      </c>
      <c r="H143" s="6"/>
      <c r="I143" s="6"/>
      <c r="J143" s="6" t="s">
        <v>6893</v>
      </c>
      <c r="K143" s="6"/>
      <c r="L143" s="7" t="s">
        <v>7005</v>
      </c>
      <c r="M143" s="8">
        <v>23880</v>
      </c>
      <c r="N143" s="8" t="str">
        <f t="shared" si="15"/>
        <v>PEN</v>
      </c>
      <c r="O143" s="13"/>
      <c r="P143" s="13">
        <v>12</v>
      </c>
      <c r="Q143" s="3">
        <f t="shared" si="11"/>
        <v>0</v>
      </c>
      <c r="R143" s="3">
        <f t="shared" si="12"/>
        <v>12</v>
      </c>
      <c r="S143" s="3">
        <f t="shared" si="13"/>
        <v>566.95000000000027</v>
      </c>
      <c r="T143" s="24"/>
      <c r="U143" s="24"/>
      <c r="V143" s="3"/>
      <c r="W143" s="25" t="s">
        <v>6747</v>
      </c>
      <c r="X143" s="25"/>
      <c r="Y143" s="25" t="str">
        <f>IFERROR(VLOOKUP(C_Ope_003[[#This Row],[NOTA 2]],Clientes_Proveedores[[Ruc / Dni]:[Razon Social]],2,0),"")</f>
        <v/>
      </c>
      <c r="Z143" s="25"/>
      <c r="AA143" s="25"/>
      <c r="AB143" s="3" t="str">
        <f>IF(C_Ope_003[[#This Row],[FECHA]]&gt;0,TEXT(C_Ope_003[[#This Row],[FECHA]],"mmmm"),0)</f>
        <v>Abril</v>
      </c>
    </row>
    <row r="144" spans="2:28" x14ac:dyDescent="0.3">
      <c r="B144" s="2">
        <f>IF(C_Ope_003[[#This Row],[TIPO DE R.]]="R",COUNTIFS($D$4:$D143,"R")+1,"")</f>
        <v>140</v>
      </c>
      <c r="C144" s="19" t="str">
        <f t="shared" si="14"/>
        <v>C_Ope_003</v>
      </c>
      <c r="D144" s="3" t="s">
        <v>1074</v>
      </c>
      <c r="E144" s="14">
        <v>45762</v>
      </c>
      <c r="F144" s="5" t="s">
        <v>4644</v>
      </c>
      <c r="G144" s="5" t="s">
        <v>1079</v>
      </c>
      <c r="H144" s="6"/>
      <c r="I144" s="6" t="s">
        <v>21</v>
      </c>
      <c r="J144" s="6">
        <v>1</v>
      </c>
      <c r="K144" s="6">
        <v>215</v>
      </c>
      <c r="L144" s="7" t="s">
        <v>7006</v>
      </c>
      <c r="M144" s="8">
        <v>23881</v>
      </c>
      <c r="N144" s="8" t="str">
        <f t="shared" si="15"/>
        <v>PEN</v>
      </c>
      <c r="O144" s="13"/>
      <c r="P144" s="13">
        <v>15</v>
      </c>
      <c r="Q144" s="3">
        <f t="shared" si="11"/>
        <v>0</v>
      </c>
      <c r="R144" s="3">
        <f t="shared" si="12"/>
        <v>15</v>
      </c>
      <c r="S144" s="3">
        <f t="shared" si="13"/>
        <v>551.95000000000027</v>
      </c>
      <c r="T144" s="24"/>
      <c r="U144" s="24"/>
      <c r="V144" s="3"/>
      <c r="W144" s="25" t="s">
        <v>6747</v>
      </c>
      <c r="X144" s="25"/>
      <c r="Y144" s="25" t="str">
        <f>IFERROR(VLOOKUP(C_Ope_003[[#This Row],[NOTA 2]],Clientes_Proveedores[[Ruc / Dni]:[Razon Social]],2,0),"")</f>
        <v/>
      </c>
      <c r="Z144" s="25"/>
      <c r="AA144" s="25"/>
      <c r="AB144" s="3" t="str">
        <f>IF(C_Ope_003[[#This Row],[FECHA]]&gt;0,TEXT(C_Ope_003[[#This Row],[FECHA]],"mmmm"),0)</f>
        <v>Abril</v>
      </c>
    </row>
    <row r="145" spans="2:28" x14ac:dyDescent="0.3">
      <c r="B145" s="2">
        <f>IF(C_Ope_003[[#This Row],[TIPO DE R.]]="R",COUNTIFS($D$4:$D144,"R")+1,"")</f>
        <v>141</v>
      </c>
      <c r="C145" s="19" t="str">
        <f t="shared" si="14"/>
        <v>C_Ope_003</v>
      </c>
      <c r="D145" s="3" t="s">
        <v>1074</v>
      </c>
      <c r="E145" s="14">
        <v>45762</v>
      </c>
      <c r="F145" s="5" t="s">
        <v>4644</v>
      </c>
      <c r="G145" s="5" t="s">
        <v>1079</v>
      </c>
      <c r="H145" s="6"/>
      <c r="I145" s="6"/>
      <c r="J145" s="6" t="s">
        <v>6893</v>
      </c>
      <c r="K145" s="6"/>
      <c r="L145" s="7" t="s">
        <v>7007</v>
      </c>
      <c r="M145" s="8">
        <v>23882</v>
      </c>
      <c r="N145" s="8" t="str">
        <f t="shared" si="15"/>
        <v>PEN</v>
      </c>
      <c r="O145" s="13"/>
      <c r="P145" s="13">
        <v>12</v>
      </c>
      <c r="Q145" s="3">
        <f t="shared" si="11"/>
        <v>0</v>
      </c>
      <c r="R145" s="3">
        <f t="shared" si="12"/>
        <v>12</v>
      </c>
      <c r="S145" s="3">
        <f t="shared" si="13"/>
        <v>539.95000000000027</v>
      </c>
      <c r="T145" s="24"/>
      <c r="U145" s="24"/>
      <c r="V145" s="3"/>
      <c r="W145" s="25" t="s">
        <v>6747</v>
      </c>
      <c r="X145" s="25"/>
      <c r="Y145" s="25" t="str">
        <f>IFERROR(VLOOKUP(C_Ope_003[[#This Row],[NOTA 2]],Clientes_Proveedores[[Ruc / Dni]:[Razon Social]],2,0),"")</f>
        <v/>
      </c>
      <c r="Z145" s="25"/>
      <c r="AA145" s="25"/>
      <c r="AB145" s="3" t="str">
        <f>IF(C_Ope_003[[#This Row],[FECHA]]&gt;0,TEXT(C_Ope_003[[#This Row],[FECHA]],"mmmm"),0)</f>
        <v>Abril</v>
      </c>
    </row>
    <row r="146" spans="2:28" x14ac:dyDescent="0.3">
      <c r="B146" s="2">
        <f>IF(C_Ope_003[[#This Row],[TIPO DE R.]]="R",COUNTIFS($D$4:$D145,"R")+1,"")</f>
        <v>142</v>
      </c>
      <c r="C146" s="19" t="str">
        <f t="shared" si="14"/>
        <v>C_Ope_003</v>
      </c>
      <c r="D146" s="3" t="s">
        <v>1074</v>
      </c>
      <c r="E146" s="14">
        <v>45762</v>
      </c>
      <c r="F146" s="5" t="s">
        <v>4644</v>
      </c>
      <c r="G146" s="5" t="s">
        <v>1079</v>
      </c>
      <c r="H146" s="6"/>
      <c r="I146" s="6"/>
      <c r="J146" s="6" t="s">
        <v>6893</v>
      </c>
      <c r="K146" s="6"/>
      <c r="L146" s="7" t="s">
        <v>7008</v>
      </c>
      <c r="M146" s="8">
        <v>23885</v>
      </c>
      <c r="N146" s="8" t="str">
        <f t="shared" si="15"/>
        <v>PEN</v>
      </c>
      <c r="O146" s="13"/>
      <c r="P146" s="13">
        <v>50</v>
      </c>
      <c r="Q146" s="3">
        <f t="shared" si="11"/>
        <v>0</v>
      </c>
      <c r="R146" s="3">
        <f t="shared" si="12"/>
        <v>50</v>
      </c>
      <c r="S146" s="3">
        <f t="shared" si="13"/>
        <v>489.95000000000027</v>
      </c>
      <c r="T146" s="24"/>
      <c r="U146" s="24"/>
      <c r="V146" s="3"/>
      <c r="W146" s="25" t="s">
        <v>6747</v>
      </c>
      <c r="X146" s="25"/>
      <c r="Y146" s="25" t="str">
        <f>IFERROR(VLOOKUP(C_Ope_003[[#This Row],[NOTA 2]],Clientes_Proveedores[[Ruc / Dni]:[Razon Social]],2,0),"")</f>
        <v/>
      </c>
      <c r="Z146" s="25"/>
      <c r="AA146" s="25"/>
      <c r="AB146" s="3" t="str">
        <f>IF(C_Ope_003[[#This Row],[FECHA]]&gt;0,TEXT(C_Ope_003[[#This Row],[FECHA]],"mmmm"),0)</f>
        <v>Abril</v>
      </c>
    </row>
    <row r="147" spans="2:28" x14ac:dyDescent="0.3">
      <c r="B147" s="2">
        <f>IF(C_Ope_003[[#This Row],[TIPO DE R.]]="R",COUNTIFS($D$4:$D146,"R")+1,"")</f>
        <v>143</v>
      </c>
      <c r="C147" s="19" t="str">
        <f t="shared" si="14"/>
        <v>C_Ope_003</v>
      </c>
      <c r="D147" s="3" t="s">
        <v>1074</v>
      </c>
      <c r="E147" s="14">
        <v>45763</v>
      </c>
      <c r="F147" s="5" t="s">
        <v>4644</v>
      </c>
      <c r="G147" s="5" t="s">
        <v>1079</v>
      </c>
      <c r="H147" s="6"/>
      <c r="I147" s="6" t="s">
        <v>14</v>
      </c>
      <c r="J147" s="6" t="s">
        <v>1119</v>
      </c>
      <c r="K147" s="6">
        <v>91</v>
      </c>
      <c r="L147" s="7" t="s">
        <v>7009</v>
      </c>
      <c r="M147" s="8">
        <v>23886</v>
      </c>
      <c r="N147" s="8" t="str">
        <f t="shared" si="15"/>
        <v>PEN</v>
      </c>
      <c r="O147" s="13"/>
      <c r="P147" s="13">
        <v>20</v>
      </c>
      <c r="Q147" s="3">
        <f t="shared" si="11"/>
        <v>0</v>
      </c>
      <c r="R147" s="3">
        <f t="shared" si="12"/>
        <v>20</v>
      </c>
      <c r="S147" s="3">
        <f t="shared" si="13"/>
        <v>469.95000000000027</v>
      </c>
      <c r="T147" s="24"/>
      <c r="U147" s="24"/>
      <c r="V147" s="3"/>
      <c r="W147" s="25" t="s">
        <v>6747</v>
      </c>
      <c r="X147" s="25"/>
      <c r="Y147" s="25" t="str">
        <f>IFERROR(VLOOKUP(C_Ope_003[[#This Row],[NOTA 2]],Clientes_Proveedores[[Ruc / Dni]:[Razon Social]],2,0),"")</f>
        <v/>
      </c>
      <c r="Z147" s="25"/>
      <c r="AA147" s="25"/>
      <c r="AB147" s="3" t="str">
        <f>IF(C_Ope_003[[#This Row],[FECHA]]&gt;0,TEXT(C_Ope_003[[#This Row],[FECHA]],"mmmm"),0)</f>
        <v>Abril</v>
      </c>
    </row>
    <row r="148" spans="2:28" x14ac:dyDescent="0.3">
      <c r="B148" s="2">
        <f>IF(C_Ope_003[[#This Row],[TIPO DE R.]]="R",COUNTIFS($D$4:$D147,"R")+1,"")</f>
        <v>144</v>
      </c>
      <c r="C148" s="19" t="str">
        <f t="shared" si="14"/>
        <v>C_Ope_003</v>
      </c>
      <c r="D148" s="3" t="s">
        <v>1074</v>
      </c>
      <c r="E148" s="14">
        <v>45763</v>
      </c>
      <c r="F148" s="5" t="s">
        <v>4644</v>
      </c>
      <c r="G148" s="5" t="s">
        <v>1079</v>
      </c>
      <c r="H148" s="6"/>
      <c r="I148" s="6"/>
      <c r="J148" s="6" t="s">
        <v>6893</v>
      </c>
      <c r="K148" s="6"/>
      <c r="L148" s="7" t="s">
        <v>7010</v>
      </c>
      <c r="M148" s="8">
        <v>23903</v>
      </c>
      <c r="N148" s="8" t="str">
        <f t="shared" si="15"/>
        <v>PEN</v>
      </c>
      <c r="O148" s="13"/>
      <c r="P148" s="13">
        <v>12</v>
      </c>
      <c r="Q148" s="3">
        <f t="shared" si="11"/>
        <v>0</v>
      </c>
      <c r="R148" s="3">
        <f t="shared" si="12"/>
        <v>12</v>
      </c>
      <c r="S148" s="3">
        <f t="shared" si="13"/>
        <v>457.95000000000027</v>
      </c>
      <c r="T148" s="24"/>
      <c r="U148" s="24"/>
      <c r="V148" s="3"/>
      <c r="W148" s="25" t="s">
        <v>6747</v>
      </c>
      <c r="X148" s="25"/>
      <c r="Y148" s="25" t="str">
        <f>IFERROR(VLOOKUP(C_Ope_003[[#This Row],[NOTA 2]],Clientes_Proveedores[[Ruc / Dni]:[Razon Social]],2,0),"")</f>
        <v/>
      </c>
      <c r="Z148" s="25"/>
      <c r="AA148" s="25"/>
      <c r="AB148" s="3" t="str">
        <f>IF(C_Ope_003[[#This Row],[FECHA]]&gt;0,TEXT(C_Ope_003[[#This Row],[FECHA]],"mmmm"),0)</f>
        <v>Abril</v>
      </c>
    </row>
    <row r="149" spans="2:28" x14ac:dyDescent="0.3">
      <c r="B149" s="2">
        <f>IF(C_Ope_003[[#This Row],[TIPO DE R.]]="R",COUNTIFS($D$4:$D148,"R")+1,"")</f>
        <v>145</v>
      </c>
      <c r="C149" s="19" t="str">
        <f t="shared" si="14"/>
        <v>C_Ope_003</v>
      </c>
      <c r="D149" s="3" t="s">
        <v>1074</v>
      </c>
      <c r="E149" s="14">
        <v>45763</v>
      </c>
      <c r="F149" s="5" t="s">
        <v>4644</v>
      </c>
      <c r="G149" s="5" t="s">
        <v>1079</v>
      </c>
      <c r="H149" s="6"/>
      <c r="I149" s="6"/>
      <c r="J149" s="6" t="s">
        <v>6893</v>
      </c>
      <c r="K149" s="6"/>
      <c r="L149" s="7" t="s">
        <v>7011</v>
      </c>
      <c r="M149" s="8">
        <v>23904</v>
      </c>
      <c r="N149" s="8" t="str">
        <f t="shared" si="15"/>
        <v>PEN</v>
      </c>
      <c r="O149" s="13"/>
      <c r="P149" s="13">
        <v>15</v>
      </c>
      <c r="Q149" s="3">
        <f t="shared" si="11"/>
        <v>0</v>
      </c>
      <c r="R149" s="3">
        <f t="shared" si="12"/>
        <v>15</v>
      </c>
      <c r="S149" s="3">
        <f t="shared" si="13"/>
        <v>442.95000000000027</v>
      </c>
      <c r="T149" s="24"/>
      <c r="U149" s="24"/>
      <c r="V149" s="3"/>
      <c r="W149" s="25" t="s">
        <v>6747</v>
      </c>
      <c r="X149" s="25"/>
      <c r="Y149" s="25" t="str">
        <f>IFERROR(VLOOKUP(C_Ope_003[[#This Row],[NOTA 2]],Clientes_Proveedores[[Ruc / Dni]:[Razon Social]],2,0),"")</f>
        <v/>
      </c>
      <c r="Z149" s="25"/>
      <c r="AA149" s="25"/>
      <c r="AB149" s="3" t="str">
        <f>IF(C_Ope_003[[#This Row],[FECHA]]&gt;0,TEXT(C_Ope_003[[#This Row],[FECHA]],"mmmm"),0)</f>
        <v>Abril</v>
      </c>
    </row>
    <row r="150" spans="2:28" x14ac:dyDescent="0.3">
      <c r="B150" s="2">
        <f>IF(C_Ope_003[[#This Row],[TIPO DE R.]]="R",COUNTIFS($D$4:$D149,"R")+1,"")</f>
        <v>146</v>
      </c>
      <c r="C150" s="19" t="str">
        <f t="shared" si="14"/>
        <v>C_Ope_003</v>
      </c>
      <c r="D150" s="3" t="s">
        <v>1074</v>
      </c>
      <c r="E150" s="14">
        <v>45763</v>
      </c>
      <c r="F150" s="5" t="s">
        <v>4644</v>
      </c>
      <c r="G150" s="5" t="s">
        <v>1079</v>
      </c>
      <c r="H150" s="6"/>
      <c r="I150" s="6"/>
      <c r="J150" s="6" t="s">
        <v>6893</v>
      </c>
      <c r="K150" s="6"/>
      <c r="L150" s="7" t="s">
        <v>7012</v>
      </c>
      <c r="M150" s="8">
        <v>23905</v>
      </c>
      <c r="N150" s="8" t="str">
        <f t="shared" si="15"/>
        <v>PEN</v>
      </c>
      <c r="O150" s="13"/>
      <c r="P150" s="13">
        <v>10</v>
      </c>
      <c r="Q150" s="3">
        <f t="shared" si="11"/>
        <v>0</v>
      </c>
      <c r="R150" s="3">
        <f t="shared" si="12"/>
        <v>10</v>
      </c>
      <c r="S150" s="3">
        <f t="shared" si="13"/>
        <v>432.95000000000027</v>
      </c>
      <c r="T150" s="24"/>
      <c r="U150" s="24"/>
      <c r="V150" s="3"/>
      <c r="W150" s="25" t="s">
        <v>6747</v>
      </c>
      <c r="X150" s="25"/>
      <c r="Y150" s="25" t="str">
        <f>IFERROR(VLOOKUP(C_Ope_003[[#This Row],[NOTA 2]],Clientes_Proveedores[[Ruc / Dni]:[Razon Social]],2,0),"")</f>
        <v/>
      </c>
      <c r="Z150" s="25"/>
      <c r="AA150" s="25"/>
      <c r="AB150" s="3" t="str">
        <f>IF(C_Ope_003[[#This Row],[FECHA]]&gt;0,TEXT(C_Ope_003[[#This Row],[FECHA]],"mmmm"),0)</f>
        <v>Abril</v>
      </c>
    </row>
    <row r="151" spans="2:28" x14ac:dyDescent="0.3">
      <c r="B151" s="2">
        <f>IF(C_Ope_003[[#This Row],[TIPO DE R.]]="R",COUNTIFS($D$4:$D150,"R")+1,"")</f>
        <v>147</v>
      </c>
      <c r="C151" s="19" t="str">
        <f t="shared" si="14"/>
        <v>C_Ope_003</v>
      </c>
      <c r="D151" s="3" t="s">
        <v>1074</v>
      </c>
      <c r="E151" s="14">
        <v>45764</v>
      </c>
      <c r="F151" s="5" t="s">
        <v>4644</v>
      </c>
      <c r="G151" s="5" t="s">
        <v>1079</v>
      </c>
      <c r="H151" s="6"/>
      <c r="I151" s="6"/>
      <c r="J151" s="6" t="s">
        <v>6893</v>
      </c>
      <c r="K151" s="6"/>
      <c r="L151" s="7" t="s">
        <v>7013</v>
      </c>
      <c r="M151" s="8">
        <v>23911</v>
      </c>
      <c r="N151" s="8" t="str">
        <f t="shared" si="15"/>
        <v>PEN</v>
      </c>
      <c r="O151" s="13"/>
      <c r="P151" s="13">
        <v>8</v>
      </c>
      <c r="Q151" s="3">
        <f t="shared" si="11"/>
        <v>0</v>
      </c>
      <c r="R151" s="3">
        <f t="shared" si="12"/>
        <v>8</v>
      </c>
      <c r="S151" s="3">
        <f t="shared" si="13"/>
        <v>424.95000000000027</v>
      </c>
      <c r="T151" s="24"/>
      <c r="U151" s="24"/>
      <c r="V151" s="3"/>
      <c r="W151" s="25" t="s">
        <v>6747</v>
      </c>
      <c r="X151" s="25"/>
      <c r="Y151" s="25" t="str">
        <f>IFERROR(VLOOKUP(C_Ope_003[[#This Row],[NOTA 2]],Clientes_Proveedores[[Ruc / Dni]:[Razon Social]],2,0),"")</f>
        <v/>
      </c>
      <c r="Z151" s="25"/>
      <c r="AA151" s="25"/>
      <c r="AB151" s="3" t="str">
        <f>IF(C_Ope_003[[#This Row],[FECHA]]&gt;0,TEXT(C_Ope_003[[#This Row],[FECHA]],"mmmm"),0)</f>
        <v>Abril</v>
      </c>
    </row>
    <row r="152" spans="2:28" x14ac:dyDescent="0.3">
      <c r="B152" s="2">
        <f>IF(C_Ope_003[[#This Row],[TIPO DE R.]]="R",COUNTIFS($D$4:$D151,"R")+1,"")</f>
        <v>148</v>
      </c>
      <c r="C152" s="19" t="str">
        <f t="shared" si="14"/>
        <v>C_Ope_003</v>
      </c>
      <c r="D152" s="3" t="s">
        <v>1074</v>
      </c>
      <c r="E152" s="14">
        <v>45764</v>
      </c>
      <c r="F152" s="5" t="s">
        <v>4644</v>
      </c>
      <c r="G152" s="5" t="s">
        <v>1079</v>
      </c>
      <c r="H152" s="6"/>
      <c r="I152" s="6"/>
      <c r="J152" s="6" t="s">
        <v>5291</v>
      </c>
      <c r="K152" s="6"/>
      <c r="L152" s="7" t="s">
        <v>7014</v>
      </c>
      <c r="M152" s="8">
        <v>23912</v>
      </c>
      <c r="N152" s="8" t="str">
        <f t="shared" si="15"/>
        <v>PEN</v>
      </c>
      <c r="O152" s="13"/>
      <c r="P152" s="13">
        <v>15</v>
      </c>
      <c r="Q152" s="3">
        <f t="shared" si="11"/>
        <v>0</v>
      </c>
      <c r="R152" s="3">
        <f t="shared" si="12"/>
        <v>15</v>
      </c>
      <c r="S152" s="3">
        <f t="shared" si="13"/>
        <v>409.95000000000027</v>
      </c>
      <c r="T152" s="24"/>
      <c r="U152" s="24"/>
      <c r="V152" s="3"/>
      <c r="W152" s="25" t="s">
        <v>6747</v>
      </c>
      <c r="X152" s="25"/>
      <c r="Y152" s="25" t="str">
        <f>IFERROR(VLOOKUP(C_Ope_003[[#This Row],[NOTA 2]],Clientes_Proveedores[[Ruc / Dni]:[Razon Social]],2,0),"")</f>
        <v/>
      </c>
      <c r="Z152" s="25"/>
      <c r="AA152" s="25"/>
      <c r="AB152" s="3" t="str">
        <f>IF(C_Ope_003[[#This Row],[FECHA]]&gt;0,TEXT(C_Ope_003[[#This Row],[FECHA]],"mmmm"),0)</f>
        <v>Abril</v>
      </c>
    </row>
    <row r="153" spans="2:28" x14ac:dyDescent="0.3">
      <c r="B153" s="2">
        <f>IF(C_Ope_003[[#This Row],[TIPO DE R.]]="R",COUNTIFS($D$4:$D152,"R")+1,"")</f>
        <v>149</v>
      </c>
      <c r="C153" s="19" t="str">
        <f t="shared" si="14"/>
        <v>C_Ope_003</v>
      </c>
      <c r="D153" s="3" t="s">
        <v>1074</v>
      </c>
      <c r="E153" s="14">
        <v>45764</v>
      </c>
      <c r="F153" s="5" t="s">
        <v>4644</v>
      </c>
      <c r="G153" s="5" t="s">
        <v>1079</v>
      </c>
      <c r="H153" s="6"/>
      <c r="I153" s="6"/>
      <c r="J153" s="6" t="s">
        <v>6893</v>
      </c>
      <c r="K153" s="6"/>
      <c r="L153" s="7" t="s">
        <v>7015</v>
      </c>
      <c r="M153" s="8">
        <v>23913</v>
      </c>
      <c r="N153" s="8" t="str">
        <f t="shared" si="15"/>
        <v>PEN</v>
      </c>
      <c r="O153" s="13"/>
      <c r="P153" s="13">
        <v>12</v>
      </c>
      <c r="Q153" s="3">
        <f t="shared" si="11"/>
        <v>0</v>
      </c>
      <c r="R153" s="3">
        <f t="shared" si="12"/>
        <v>12</v>
      </c>
      <c r="S153" s="3">
        <f t="shared" si="13"/>
        <v>397.95000000000027</v>
      </c>
      <c r="T153" s="24"/>
      <c r="U153" s="24"/>
      <c r="V153" s="3"/>
      <c r="W153" s="25" t="s">
        <v>6747</v>
      </c>
      <c r="X153" s="25"/>
      <c r="Y153" s="25" t="str">
        <f>IFERROR(VLOOKUP(C_Ope_003[[#This Row],[NOTA 2]],Clientes_Proveedores[[Ruc / Dni]:[Razon Social]],2,0),"")</f>
        <v/>
      </c>
      <c r="Z153" s="25"/>
      <c r="AA153" s="25"/>
      <c r="AB153" s="3" t="str">
        <f>IF(C_Ope_003[[#This Row],[FECHA]]&gt;0,TEXT(C_Ope_003[[#This Row],[FECHA]],"mmmm"),0)</f>
        <v>Abril</v>
      </c>
    </row>
    <row r="154" spans="2:28" x14ac:dyDescent="0.3">
      <c r="B154" s="2">
        <f>IF(C_Ope_003[[#This Row],[TIPO DE R.]]="R",COUNTIFS($D$4:$D153,"R")+1,"")</f>
        <v>150</v>
      </c>
      <c r="C154" s="19" t="str">
        <f t="shared" si="14"/>
        <v>C_Ope_003</v>
      </c>
      <c r="D154" s="3" t="s">
        <v>1074</v>
      </c>
      <c r="E154" s="14">
        <v>45764</v>
      </c>
      <c r="F154" s="5" t="s">
        <v>4644</v>
      </c>
      <c r="G154" s="5" t="s">
        <v>1079</v>
      </c>
      <c r="H154" s="6"/>
      <c r="I154" s="6" t="s">
        <v>14</v>
      </c>
      <c r="J154" s="6" t="s">
        <v>1119</v>
      </c>
      <c r="K154" s="6">
        <v>59953</v>
      </c>
      <c r="L154" s="7" t="s">
        <v>6919</v>
      </c>
      <c r="M154" s="8">
        <v>23914</v>
      </c>
      <c r="N154" s="8" t="str">
        <f t="shared" si="15"/>
        <v>PEN</v>
      </c>
      <c r="O154" s="13"/>
      <c r="P154" s="13">
        <v>18</v>
      </c>
      <c r="Q154" s="3">
        <f t="shared" si="11"/>
        <v>0</v>
      </c>
      <c r="R154" s="3">
        <f t="shared" si="12"/>
        <v>18</v>
      </c>
      <c r="S154" s="3">
        <f t="shared" si="13"/>
        <v>379.95000000000027</v>
      </c>
      <c r="T154" s="24"/>
      <c r="U154" s="24"/>
      <c r="V154" s="3"/>
      <c r="W154" s="25" t="s">
        <v>6747</v>
      </c>
      <c r="X154" s="25"/>
      <c r="Y154" s="25" t="str">
        <f>IFERROR(VLOOKUP(C_Ope_003[[#This Row],[NOTA 2]],Clientes_Proveedores[[Ruc / Dni]:[Razon Social]],2,0),"")</f>
        <v/>
      </c>
      <c r="Z154" s="25"/>
      <c r="AA154" s="25"/>
      <c r="AB154" s="3" t="str">
        <f>IF(C_Ope_003[[#This Row],[FECHA]]&gt;0,TEXT(C_Ope_003[[#This Row],[FECHA]],"mmmm"),0)</f>
        <v>Abril</v>
      </c>
    </row>
    <row r="155" spans="2:28" x14ac:dyDescent="0.3">
      <c r="B155" s="2">
        <f>IF(C_Ope_003[[#This Row],[TIPO DE R.]]="R",COUNTIFS($D$4:$D154,"R")+1,"")</f>
        <v>151</v>
      </c>
      <c r="C155" s="19" t="str">
        <f t="shared" si="14"/>
        <v>C_Ope_003</v>
      </c>
      <c r="D155" s="3" t="s">
        <v>1074</v>
      </c>
      <c r="E155" s="14">
        <v>45764</v>
      </c>
      <c r="F155" s="5" t="s">
        <v>4644</v>
      </c>
      <c r="G155" s="5" t="s">
        <v>1079</v>
      </c>
      <c r="H155" s="6"/>
      <c r="I155" s="6"/>
      <c r="J155" s="6" t="s">
        <v>1121</v>
      </c>
      <c r="K155" s="6">
        <v>7638</v>
      </c>
      <c r="L155" s="7" t="s">
        <v>7016</v>
      </c>
      <c r="M155" s="8">
        <v>23919</v>
      </c>
      <c r="N155" s="8" t="str">
        <f t="shared" si="15"/>
        <v>PEN</v>
      </c>
      <c r="O155" s="13"/>
      <c r="P155" s="13">
        <v>50</v>
      </c>
      <c r="Q155" s="3">
        <f t="shared" si="11"/>
        <v>0</v>
      </c>
      <c r="R155" s="3">
        <f t="shared" si="12"/>
        <v>50</v>
      </c>
      <c r="S155" s="3">
        <f t="shared" si="13"/>
        <v>329.95000000000027</v>
      </c>
      <c r="T155" s="24"/>
      <c r="U155" s="24"/>
      <c r="V155" s="3"/>
      <c r="W155" s="25" t="s">
        <v>6747</v>
      </c>
      <c r="X155" s="25"/>
      <c r="Y155" s="25" t="str">
        <f>IFERROR(VLOOKUP(C_Ope_003[[#This Row],[NOTA 2]],Clientes_Proveedores[[Ruc / Dni]:[Razon Social]],2,0),"")</f>
        <v/>
      </c>
      <c r="Z155" s="25"/>
      <c r="AA155" s="25"/>
      <c r="AB155" s="3" t="str">
        <f>IF(C_Ope_003[[#This Row],[FECHA]]&gt;0,TEXT(C_Ope_003[[#This Row],[FECHA]],"mmmm"),0)</f>
        <v>Abril</v>
      </c>
    </row>
    <row r="156" spans="2:28" x14ac:dyDescent="0.3">
      <c r="B156" s="2">
        <f>IF(C_Ope_003[[#This Row],[TIPO DE R.]]="R",COUNTIFS($D$4:$D155,"R")+1,"")</f>
        <v>152</v>
      </c>
      <c r="C156" s="19" t="str">
        <f t="shared" si="14"/>
        <v>C_Ope_003</v>
      </c>
      <c r="D156" s="3" t="s">
        <v>1074</v>
      </c>
      <c r="E156" s="14">
        <v>45764</v>
      </c>
      <c r="F156" s="5" t="s">
        <v>4644</v>
      </c>
      <c r="G156" s="5" t="s">
        <v>1079</v>
      </c>
      <c r="H156" s="6"/>
      <c r="I156" s="6"/>
      <c r="J156" s="6" t="s">
        <v>1121</v>
      </c>
      <c r="K156" s="6">
        <v>7638</v>
      </c>
      <c r="L156" s="7" t="s">
        <v>7017</v>
      </c>
      <c r="M156" s="8">
        <v>23947</v>
      </c>
      <c r="N156" s="8" t="str">
        <f t="shared" si="15"/>
        <v>PEN</v>
      </c>
      <c r="O156" s="13"/>
      <c r="P156" s="13">
        <v>20</v>
      </c>
      <c r="Q156" s="3">
        <f t="shared" si="11"/>
        <v>0</v>
      </c>
      <c r="R156" s="3">
        <f t="shared" si="12"/>
        <v>20</v>
      </c>
      <c r="S156" s="3">
        <f t="shared" si="13"/>
        <v>309.95000000000027</v>
      </c>
      <c r="T156" s="24"/>
      <c r="U156" s="24"/>
      <c r="V156" s="3"/>
      <c r="W156" s="25" t="s">
        <v>6747</v>
      </c>
      <c r="X156" s="25"/>
      <c r="Y156" s="25" t="str">
        <f>IFERROR(VLOOKUP(C_Ope_003[[#This Row],[NOTA 2]],Clientes_Proveedores[[Ruc / Dni]:[Razon Social]],2,0),"")</f>
        <v/>
      </c>
      <c r="Z156" s="25"/>
      <c r="AA156" s="25"/>
      <c r="AB156" s="3" t="str">
        <f>IF(C_Ope_003[[#This Row],[FECHA]]&gt;0,TEXT(C_Ope_003[[#This Row],[FECHA]],"mmmm"),0)</f>
        <v>Abril</v>
      </c>
    </row>
    <row r="157" spans="2:28" x14ac:dyDescent="0.3">
      <c r="B157" s="2">
        <f>IF(C_Ope_003[[#This Row],[TIPO DE R.]]="R",COUNTIFS($D$4:$D156,"R")+1,"")</f>
        <v>153</v>
      </c>
      <c r="C157" s="19" t="str">
        <f t="shared" si="14"/>
        <v>C_Ope_003</v>
      </c>
      <c r="D157" s="3" t="s">
        <v>1074</v>
      </c>
      <c r="E157" s="14">
        <v>45765</v>
      </c>
      <c r="F157" s="5" t="s">
        <v>4644</v>
      </c>
      <c r="G157" s="5" t="s">
        <v>1079</v>
      </c>
      <c r="H157" s="6"/>
      <c r="I157" s="6"/>
      <c r="J157" s="6" t="s">
        <v>6893</v>
      </c>
      <c r="K157" s="6"/>
      <c r="L157" s="7" t="s">
        <v>7018</v>
      </c>
      <c r="M157" s="8">
        <v>23920</v>
      </c>
      <c r="N157" s="8" t="str">
        <f t="shared" si="15"/>
        <v>PEN</v>
      </c>
      <c r="O157" s="13"/>
      <c r="P157" s="13">
        <v>12</v>
      </c>
      <c r="Q157" s="3">
        <f t="shared" si="11"/>
        <v>0</v>
      </c>
      <c r="R157" s="3">
        <f t="shared" si="12"/>
        <v>12</v>
      </c>
      <c r="S157" s="3">
        <f t="shared" si="13"/>
        <v>297.95000000000027</v>
      </c>
      <c r="T157" s="24"/>
      <c r="U157" s="24"/>
      <c r="V157" s="3"/>
      <c r="W157" s="25" t="s">
        <v>6747</v>
      </c>
      <c r="X157" s="25"/>
      <c r="Y157" s="25" t="str">
        <f>IFERROR(VLOOKUP(C_Ope_003[[#This Row],[NOTA 2]],Clientes_Proveedores[[Ruc / Dni]:[Razon Social]],2,0),"")</f>
        <v/>
      </c>
      <c r="Z157" s="25"/>
      <c r="AA157" s="25"/>
      <c r="AB157" s="3" t="str">
        <f>IF(C_Ope_003[[#This Row],[FECHA]]&gt;0,TEXT(C_Ope_003[[#This Row],[FECHA]],"mmmm"),0)</f>
        <v>Abril</v>
      </c>
    </row>
    <row r="158" spans="2:28" x14ac:dyDescent="0.3">
      <c r="B158" s="2">
        <f>IF(C_Ope_003[[#This Row],[TIPO DE R.]]="R",COUNTIFS($D$4:$D157,"R")+1,"")</f>
        <v>154</v>
      </c>
      <c r="C158" s="19" t="str">
        <f t="shared" si="14"/>
        <v>C_Ope_003</v>
      </c>
      <c r="D158" s="3" t="s">
        <v>1074</v>
      </c>
      <c r="E158" s="14">
        <v>45765</v>
      </c>
      <c r="F158" s="5" t="s">
        <v>4644</v>
      </c>
      <c r="G158" s="5" t="s">
        <v>1079</v>
      </c>
      <c r="H158" s="6"/>
      <c r="I158" s="6" t="s">
        <v>21</v>
      </c>
      <c r="J158" s="6">
        <v>1</v>
      </c>
      <c r="K158" s="6">
        <v>2942</v>
      </c>
      <c r="L158" s="7" t="s">
        <v>7019</v>
      </c>
      <c r="M158" s="8">
        <v>23921</v>
      </c>
      <c r="N158" s="8" t="str">
        <f t="shared" si="15"/>
        <v>PEN</v>
      </c>
      <c r="O158" s="13"/>
      <c r="P158" s="13">
        <v>15</v>
      </c>
      <c r="Q158" s="3">
        <f t="shared" si="11"/>
        <v>0</v>
      </c>
      <c r="R158" s="3">
        <f t="shared" si="12"/>
        <v>15</v>
      </c>
      <c r="S158" s="3">
        <f t="shared" si="13"/>
        <v>282.95000000000027</v>
      </c>
      <c r="T158" s="24"/>
      <c r="U158" s="24"/>
      <c r="V158" s="3"/>
      <c r="W158" s="25" t="s">
        <v>6747</v>
      </c>
      <c r="X158" s="25"/>
      <c r="Y158" s="25" t="str">
        <f>IFERROR(VLOOKUP(C_Ope_003[[#This Row],[NOTA 2]],Clientes_Proveedores[[Ruc / Dni]:[Razon Social]],2,0),"")</f>
        <v/>
      </c>
      <c r="Z158" s="25"/>
      <c r="AA158" s="25"/>
      <c r="AB158" s="3" t="str">
        <f>IF(C_Ope_003[[#This Row],[FECHA]]&gt;0,TEXT(C_Ope_003[[#This Row],[FECHA]],"mmmm"),0)</f>
        <v>Abril</v>
      </c>
    </row>
    <row r="159" spans="2:28" x14ac:dyDescent="0.3">
      <c r="B159" s="2">
        <f>IF(C_Ope_003[[#This Row],[TIPO DE R.]]="R",COUNTIFS($D$4:$D158,"R")+1,"")</f>
        <v>155</v>
      </c>
      <c r="C159" s="19" t="str">
        <f t="shared" si="14"/>
        <v>C_Ope_003</v>
      </c>
      <c r="D159" s="3" t="s">
        <v>1074</v>
      </c>
      <c r="E159" s="14">
        <v>45765</v>
      </c>
      <c r="F159" s="5" t="s">
        <v>4644</v>
      </c>
      <c r="G159" s="5" t="s">
        <v>1079</v>
      </c>
      <c r="H159" s="6"/>
      <c r="I159" s="6"/>
      <c r="J159" s="6" t="s">
        <v>6893</v>
      </c>
      <c r="K159" s="6"/>
      <c r="L159" s="7" t="s">
        <v>7020</v>
      </c>
      <c r="M159" s="8">
        <v>23922</v>
      </c>
      <c r="N159" s="8" t="str">
        <f t="shared" si="15"/>
        <v>PEN</v>
      </c>
      <c r="O159" s="13"/>
      <c r="P159" s="13">
        <v>12</v>
      </c>
      <c r="Q159" s="3">
        <f t="shared" si="11"/>
        <v>0</v>
      </c>
      <c r="R159" s="3">
        <f t="shared" si="12"/>
        <v>12</v>
      </c>
      <c r="S159" s="3">
        <f t="shared" si="13"/>
        <v>270.95000000000027</v>
      </c>
      <c r="T159" s="24"/>
      <c r="U159" s="24"/>
      <c r="V159" s="3"/>
      <c r="W159" s="25" t="s">
        <v>6747</v>
      </c>
      <c r="X159" s="25"/>
      <c r="Y159" s="25" t="str">
        <f>IFERROR(VLOOKUP(C_Ope_003[[#This Row],[NOTA 2]],Clientes_Proveedores[[Ruc / Dni]:[Razon Social]],2,0),"")</f>
        <v/>
      </c>
      <c r="Z159" s="25"/>
      <c r="AA159" s="25"/>
      <c r="AB159" s="3" t="str">
        <f>IF(C_Ope_003[[#This Row],[FECHA]]&gt;0,TEXT(C_Ope_003[[#This Row],[FECHA]],"mmmm"),0)</f>
        <v>Abril</v>
      </c>
    </row>
    <row r="160" spans="2:28" ht="24" x14ac:dyDescent="0.3">
      <c r="B160" s="2">
        <f>IF(C_Ope_003[[#This Row],[TIPO DE R.]]="R",COUNTIFS($D$4:$D159,"R")+1,"")</f>
        <v>156</v>
      </c>
      <c r="C160" s="19" t="str">
        <f t="shared" si="14"/>
        <v>C_Ope_003</v>
      </c>
      <c r="D160" s="3" t="s">
        <v>1074</v>
      </c>
      <c r="E160" s="14">
        <v>45772</v>
      </c>
      <c r="F160" s="5" t="s">
        <v>4644</v>
      </c>
      <c r="G160" s="5" t="s">
        <v>1079</v>
      </c>
      <c r="H160" s="6"/>
      <c r="I160" s="6" t="s">
        <v>14</v>
      </c>
      <c r="J160" s="6" t="s">
        <v>1088</v>
      </c>
      <c r="K160" s="6">
        <v>34470</v>
      </c>
      <c r="L160" s="7" t="s">
        <v>7021</v>
      </c>
      <c r="M160" s="8">
        <v>23989</v>
      </c>
      <c r="N160" s="8" t="str">
        <f t="shared" si="15"/>
        <v>PEN</v>
      </c>
      <c r="O160" s="13"/>
      <c r="P160" s="13">
        <v>10</v>
      </c>
      <c r="Q160" s="3">
        <f t="shared" si="11"/>
        <v>0</v>
      </c>
      <c r="R160" s="3">
        <f t="shared" si="12"/>
        <v>10</v>
      </c>
      <c r="S160" s="3">
        <f t="shared" si="13"/>
        <v>260.95000000000027</v>
      </c>
      <c r="T160" s="24"/>
      <c r="U160" s="24"/>
      <c r="V160" s="3"/>
      <c r="W160" s="25" t="s">
        <v>6747</v>
      </c>
      <c r="X160" s="25"/>
      <c r="Y160" s="25" t="str">
        <f>IFERROR(VLOOKUP(C_Ope_003[[#This Row],[NOTA 2]],Clientes_Proveedores[[Ruc / Dni]:[Razon Social]],2,0),"")</f>
        <v/>
      </c>
      <c r="Z160" s="25"/>
      <c r="AA160" s="25"/>
      <c r="AB160" s="3" t="str">
        <f>IF(C_Ope_003[[#This Row],[FECHA]]&gt;0,TEXT(C_Ope_003[[#This Row],[FECHA]],"mmmm"),0)</f>
        <v>Abril</v>
      </c>
    </row>
    <row r="161" spans="2:28" x14ac:dyDescent="0.3">
      <c r="B161" s="2">
        <f>IF(C_Ope_003[[#This Row],[TIPO DE R.]]="R",COUNTIFS($D$4:$D160,"R")+1,"")</f>
        <v>157</v>
      </c>
      <c r="C161" s="19" t="str">
        <f t="shared" si="14"/>
        <v>C_Ope_003</v>
      </c>
      <c r="D161" s="3" t="s">
        <v>1074</v>
      </c>
      <c r="E161" s="14">
        <v>45761</v>
      </c>
      <c r="F161" s="5" t="s">
        <v>6299</v>
      </c>
      <c r="G161" s="5" t="s">
        <v>1087</v>
      </c>
      <c r="H161" s="6"/>
      <c r="I161" s="6"/>
      <c r="J161" s="6"/>
      <c r="K161" s="6"/>
      <c r="L161" s="7" t="s">
        <v>6302</v>
      </c>
      <c r="M161" s="8">
        <v>24097</v>
      </c>
      <c r="N161" s="8" t="str">
        <f t="shared" si="15"/>
        <v>PEN</v>
      </c>
      <c r="O161" s="13"/>
      <c r="P161" s="13">
        <v>400</v>
      </c>
      <c r="Q161" s="3">
        <f t="shared" si="11"/>
        <v>400</v>
      </c>
      <c r="R161" s="3">
        <f t="shared" si="12"/>
        <v>0</v>
      </c>
      <c r="S161" s="3">
        <f t="shared" si="13"/>
        <v>660.95000000000027</v>
      </c>
      <c r="T161" s="24"/>
      <c r="U161" s="24"/>
      <c r="V161" s="3"/>
      <c r="W161" s="25"/>
      <c r="X161" s="25"/>
      <c r="Y161" s="25" t="str">
        <f>IFERROR(VLOOKUP(C_Ope_003[[#This Row],[NOTA 2]],Clientes_Proveedores[[Ruc / Dni]:[Razon Social]],2,0),"")</f>
        <v/>
      </c>
      <c r="Z161" s="25"/>
      <c r="AA161" s="25"/>
      <c r="AB161" s="3" t="str">
        <f>IF(C_Ope_003[[#This Row],[FECHA]]&gt;0,TEXT(C_Ope_003[[#This Row],[FECHA]],"mmmm"),0)</f>
        <v>Abril</v>
      </c>
    </row>
    <row r="162" spans="2:28" ht="24" x14ac:dyDescent="0.3">
      <c r="B162" s="2">
        <f>IF(C_Ope_003[[#This Row],[TIPO DE R.]]="R",COUNTIFS($D$4:$D161,"R")+1,"")</f>
        <v>158</v>
      </c>
      <c r="C162" s="19" t="str">
        <f t="shared" si="14"/>
        <v>C_Ope_003</v>
      </c>
      <c r="D162" s="3" t="s">
        <v>1074</v>
      </c>
      <c r="E162" s="14">
        <v>45800</v>
      </c>
      <c r="F162" s="5" t="s">
        <v>4644</v>
      </c>
      <c r="G162" s="5" t="s">
        <v>1079</v>
      </c>
      <c r="H162" s="6"/>
      <c r="I162" s="6" t="s">
        <v>14</v>
      </c>
      <c r="J162" s="6" t="s">
        <v>5243</v>
      </c>
      <c r="K162" s="6">
        <v>2341499</v>
      </c>
      <c r="L162" s="7" t="s">
        <v>7022</v>
      </c>
      <c r="M162" s="8">
        <v>24303</v>
      </c>
      <c r="N162" s="8" t="str">
        <f t="shared" si="15"/>
        <v>PEN</v>
      </c>
      <c r="O162" s="13"/>
      <c r="P162" s="13">
        <v>8</v>
      </c>
      <c r="Q162" s="3">
        <f t="shared" si="11"/>
        <v>0</v>
      </c>
      <c r="R162" s="3">
        <f t="shared" si="12"/>
        <v>8</v>
      </c>
      <c r="S162" s="3">
        <f t="shared" si="13"/>
        <v>652.95000000000027</v>
      </c>
      <c r="T162" s="24"/>
      <c r="U162" s="24"/>
      <c r="V162" s="3"/>
      <c r="W162" s="25" t="s">
        <v>6630</v>
      </c>
      <c r="X162" s="25"/>
      <c r="Y162" s="25" t="str">
        <f>IFERROR(VLOOKUP(C_Ope_003[[#This Row],[NOTA 2]],Clientes_Proveedores[[Ruc / Dni]:[Razon Social]],2,0),"")</f>
        <v/>
      </c>
      <c r="Z162" s="25"/>
      <c r="AA162" s="25"/>
      <c r="AB162" s="3" t="str">
        <f>IF(C_Ope_003[[#This Row],[FECHA]]&gt;0,TEXT(C_Ope_003[[#This Row],[FECHA]],"mmmm"),0)</f>
        <v>Mayo</v>
      </c>
    </row>
    <row r="163" spans="2:28" ht="24" x14ac:dyDescent="0.3">
      <c r="B163" s="2">
        <f>IF(C_Ope_003[[#This Row],[TIPO DE R.]]="R",COUNTIFS($D$4:$D162,"R")+1,"")</f>
        <v>159</v>
      </c>
      <c r="C163" s="19" t="str">
        <f t="shared" si="14"/>
        <v>C_Ope_003</v>
      </c>
      <c r="D163" s="3" t="s">
        <v>1074</v>
      </c>
      <c r="E163" s="14">
        <v>45800</v>
      </c>
      <c r="F163" s="5" t="s">
        <v>4644</v>
      </c>
      <c r="G163" s="5" t="s">
        <v>1079</v>
      </c>
      <c r="H163" s="6"/>
      <c r="I163" s="6" t="s">
        <v>14</v>
      </c>
      <c r="J163" s="6" t="s">
        <v>5245</v>
      </c>
      <c r="K163" s="6">
        <v>1758114</v>
      </c>
      <c r="L163" s="7" t="s">
        <v>7022</v>
      </c>
      <c r="M163" s="8">
        <v>24304</v>
      </c>
      <c r="N163" s="8" t="str">
        <f t="shared" si="15"/>
        <v>PEN</v>
      </c>
      <c r="O163" s="13"/>
      <c r="P163" s="13">
        <v>8</v>
      </c>
      <c r="Q163" s="3">
        <f t="shared" si="11"/>
        <v>0</v>
      </c>
      <c r="R163" s="3">
        <f t="shared" si="12"/>
        <v>8</v>
      </c>
      <c r="S163" s="3">
        <f t="shared" si="13"/>
        <v>644.95000000000027</v>
      </c>
      <c r="T163" s="24"/>
      <c r="U163" s="24"/>
      <c r="V163" s="3"/>
      <c r="W163" s="25" t="s">
        <v>6630</v>
      </c>
      <c r="X163" s="25"/>
      <c r="Y163" s="25" t="str">
        <f>IFERROR(VLOOKUP(C_Ope_003[[#This Row],[NOTA 2]],Clientes_Proveedores[[Ruc / Dni]:[Razon Social]],2,0),"")</f>
        <v/>
      </c>
      <c r="Z163" s="25"/>
      <c r="AA163" s="25"/>
      <c r="AB163" s="3" t="str">
        <f>IF(C_Ope_003[[#This Row],[FECHA]]&gt;0,TEXT(C_Ope_003[[#This Row],[FECHA]],"mmmm"),0)</f>
        <v>Mayo</v>
      </c>
    </row>
    <row r="164" spans="2:28" x14ac:dyDescent="0.3">
      <c r="B164" s="2">
        <f>IF(C_Ope_003[[#This Row],[TIPO DE R.]]="R",COUNTIFS($D$4:$D163,"R")+1,"")</f>
        <v>160</v>
      </c>
      <c r="C164" s="19" t="str">
        <f t="shared" si="14"/>
        <v>C_Ope_003</v>
      </c>
      <c r="D164" s="3" t="s">
        <v>1074</v>
      </c>
      <c r="E164" s="14">
        <v>45804</v>
      </c>
      <c r="F164" s="5" t="s">
        <v>6299</v>
      </c>
      <c r="G164" s="5" t="s">
        <v>1087</v>
      </c>
      <c r="H164" s="6"/>
      <c r="I164" s="6"/>
      <c r="J164" s="6"/>
      <c r="K164" s="6"/>
      <c r="L164" s="7" t="s">
        <v>6302</v>
      </c>
      <c r="M164" s="8">
        <v>24336</v>
      </c>
      <c r="N164" s="8" t="str">
        <f t="shared" si="15"/>
        <v>PEN</v>
      </c>
      <c r="O164" s="13"/>
      <c r="P164" s="13">
        <v>400</v>
      </c>
      <c r="Q164" s="3">
        <f t="shared" si="11"/>
        <v>400</v>
      </c>
      <c r="R164" s="3">
        <f t="shared" si="12"/>
        <v>0</v>
      </c>
      <c r="S164" s="3">
        <f t="shared" si="13"/>
        <v>1044.9500000000003</v>
      </c>
      <c r="T164" s="24"/>
      <c r="U164" s="24"/>
      <c r="V164" s="3"/>
      <c r="W164" s="25"/>
      <c r="X164" s="25"/>
      <c r="Y164" s="25" t="str">
        <f>IFERROR(VLOOKUP(C_Ope_003[[#This Row],[NOTA 2]],Clientes_Proveedores[[Ruc / Dni]:[Razon Social]],2,0),"")</f>
        <v/>
      </c>
      <c r="Z164" s="25"/>
      <c r="AA164" s="25"/>
      <c r="AB164" s="3" t="str">
        <f>IF(C_Ope_003[[#This Row],[FECHA]]&gt;0,TEXT(C_Ope_003[[#This Row],[FECHA]],"mmmm"),0)</f>
        <v>Mayo</v>
      </c>
    </row>
    <row r="165" spans="2:28" ht="24" x14ac:dyDescent="0.3">
      <c r="B165" s="2">
        <f>IF(C_Ope_003[[#This Row],[TIPO DE R.]]="R",COUNTIFS($D$4:$D164,"R")+1,"")</f>
        <v>161</v>
      </c>
      <c r="C165" s="19" t="str">
        <f t="shared" si="14"/>
        <v>C_Ope_003</v>
      </c>
      <c r="D165" s="3" t="s">
        <v>1074</v>
      </c>
      <c r="E165" s="14">
        <v>45803</v>
      </c>
      <c r="F165" s="5" t="s">
        <v>4644</v>
      </c>
      <c r="G165" s="5" t="s">
        <v>1079</v>
      </c>
      <c r="H165" s="6"/>
      <c r="I165" s="6" t="s">
        <v>14</v>
      </c>
      <c r="J165" s="6" t="s">
        <v>5244</v>
      </c>
      <c r="K165" s="6">
        <v>1741098</v>
      </c>
      <c r="L165" s="7" t="s">
        <v>6982</v>
      </c>
      <c r="M165" s="8">
        <v>24309</v>
      </c>
      <c r="N165" s="8" t="str">
        <f t="shared" si="15"/>
        <v>PEN</v>
      </c>
      <c r="O165" s="13"/>
      <c r="P165" s="13">
        <v>12</v>
      </c>
      <c r="Q165" s="3">
        <f t="shared" si="11"/>
        <v>0</v>
      </c>
      <c r="R165" s="3">
        <f t="shared" si="12"/>
        <v>12</v>
      </c>
      <c r="S165" s="3">
        <f t="shared" si="13"/>
        <v>1032.9500000000003</v>
      </c>
      <c r="T165" s="24"/>
      <c r="U165" s="24"/>
      <c r="V165" s="3"/>
      <c r="W165" s="25" t="s">
        <v>6747</v>
      </c>
      <c r="X165" s="25"/>
      <c r="Y165" s="25" t="str">
        <f>IFERROR(VLOOKUP(C_Ope_003[[#This Row],[NOTA 2]],Clientes_Proveedores[[Ruc / Dni]:[Razon Social]],2,0),"")</f>
        <v/>
      </c>
      <c r="Z165" s="25"/>
      <c r="AA165" s="25"/>
      <c r="AB165" s="3" t="str">
        <f>IF(C_Ope_003[[#This Row],[FECHA]]&gt;0,TEXT(C_Ope_003[[#This Row],[FECHA]],"mmmm"),0)</f>
        <v>Mayo</v>
      </c>
    </row>
    <row r="166" spans="2:28" ht="24" x14ac:dyDescent="0.3">
      <c r="B166" s="2">
        <f>IF(C_Ope_003[[#This Row],[TIPO DE R.]]="R",COUNTIFS($D$4:$D165,"R")+1,"")</f>
        <v>162</v>
      </c>
      <c r="C166" s="19" t="str">
        <f t="shared" si="14"/>
        <v>C_Ope_003</v>
      </c>
      <c r="D166" s="3" t="s">
        <v>1074</v>
      </c>
      <c r="E166" s="14">
        <v>45803</v>
      </c>
      <c r="F166" s="5" t="s">
        <v>4644</v>
      </c>
      <c r="G166" s="5" t="s">
        <v>1079</v>
      </c>
      <c r="H166" s="6"/>
      <c r="I166" s="6" t="s">
        <v>14</v>
      </c>
      <c r="J166" s="6" t="s">
        <v>7023</v>
      </c>
      <c r="K166" s="6">
        <v>315185</v>
      </c>
      <c r="L166" s="7" t="s">
        <v>6983</v>
      </c>
      <c r="M166" s="8">
        <v>24310</v>
      </c>
      <c r="N166" s="8" t="str">
        <f t="shared" si="15"/>
        <v>PEN</v>
      </c>
      <c r="O166" s="13"/>
      <c r="P166" s="13">
        <v>23.6</v>
      </c>
      <c r="Q166" s="3">
        <f t="shared" si="11"/>
        <v>0</v>
      </c>
      <c r="R166" s="3">
        <f t="shared" si="12"/>
        <v>23.6</v>
      </c>
      <c r="S166" s="3">
        <f t="shared" si="13"/>
        <v>1009.3500000000003</v>
      </c>
      <c r="T166" s="24"/>
      <c r="U166" s="24"/>
      <c r="V166" s="3"/>
      <c r="W166" s="25" t="s">
        <v>6747</v>
      </c>
      <c r="X166" s="25"/>
      <c r="Y166" s="25" t="str">
        <f>IFERROR(VLOOKUP(C_Ope_003[[#This Row],[NOTA 2]],Clientes_Proveedores[[Ruc / Dni]:[Razon Social]],2,0),"")</f>
        <v/>
      </c>
      <c r="Z166" s="25"/>
      <c r="AA166" s="25"/>
      <c r="AB166" s="3" t="str">
        <f>IF(C_Ope_003[[#This Row],[FECHA]]&gt;0,TEXT(C_Ope_003[[#This Row],[FECHA]],"mmmm"),0)</f>
        <v>Mayo</v>
      </c>
    </row>
    <row r="167" spans="2:28" ht="24" x14ac:dyDescent="0.3">
      <c r="B167" s="2">
        <f>IF(C_Ope_003[[#This Row],[TIPO DE R.]]="R",COUNTIFS($D$4:$D166,"R")+1,"")</f>
        <v>163</v>
      </c>
      <c r="C167" s="19" t="str">
        <f t="shared" si="14"/>
        <v>C_Ope_003</v>
      </c>
      <c r="D167" s="3" t="s">
        <v>1074</v>
      </c>
      <c r="E167" s="14">
        <v>45804</v>
      </c>
      <c r="F167" s="5" t="s">
        <v>4644</v>
      </c>
      <c r="G167" s="5" t="s">
        <v>1079</v>
      </c>
      <c r="H167" s="6"/>
      <c r="I167" s="6" t="s">
        <v>14</v>
      </c>
      <c r="J167" s="6" t="s">
        <v>6926</v>
      </c>
      <c r="K167" s="6">
        <v>2865110</v>
      </c>
      <c r="L167" s="7" t="s">
        <v>7024</v>
      </c>
      <c r="M167" s="8">
        <v>24313</v>
      </c>
      <c r="N167" s="8" t="str">
        <f t="shared" si="15"/>
        <v>PEN</v>
      </c>
      <c r="O167" s="13"/>
      <c r="P167" s="13">
        <v>58.2</v>
      </c>
      <c r="Q167" s="3">
        <f t="shared" si="11"/>
        <v>0</v>
      </c>
      <c r="R167" s="3">
        <f t="shared" si="12"/>
        <v>58.2</v>
      </c>
      <c r="S167" s="3">
        <f t="shared" si="13"/>
        <v>951.1500000000002</v>
      </c>
      <c r="T167" s="24"/>
      <c r="U167" s="24"/>
      <c r="V167" s="3"/>
      <c r="W167" s="25" t="s">
        <v>6747</v>
      </c>
      <c r="X167" s="25"/>
      <c r="Y167" s="25" t="str">
        <f>IFERROR(VLOOKUP(C_Ope_003[[#This Row],[NOTA 2]],Clientes_Proveedores[[Ruc / Dni]:[Razon Social]],2,0),"")</f>
        <v/>
      </c>
      <c r="Z167" s="25"/>
      <c r="AA167" s="25"/>
      <c r="AB167" s="3" t="str">
        <f>IF(C_Ope_003[[#This Row],[FECHA]]&gt;0,TEXT(C_Ope_003[[#This Row],[FECHA]],"mmmm"),0)</f>
        <v>Mayo</v>
      </c>
    </row>
    <row r="168" spans="2:28" ht="24" x14ac:dyDescent="0.3">
      <c r="B168" s="2">
        <f>IF(C_Ope_003[[#This Row],[TIPO DE R.]]="R",COUNTIFS($D$4:$D167,"R")+1,"")</f>
        <v>164</v>
      </c>
      <c r="C168" s="19" t="str">
        <f t="shared" si="14"/>
        <v>C_Ope_003</v>
      </c>
      <c r="D168" s="3" t="s">
        <v>1074</v>
      </c>
      <c r="E168" s="14">
        <v>45804</v>
      </c>
      <c r="F168" s="5" t="s">
        <v>4644</v>
      </c>
      <c r="G168" s="5" t="s">
        <v>1079</v>
      </c>
      <c r="H168" s="6"/>
      <c r="I168" s="6" t="s">
        <v>14</v>
      </c>
      <c r="J168" s="6" t="s">
        <v>6985</v>
      </c>
      <c r="K168" s="6">
        <v>3010259</v>
      </c>
      <c r="L168" s="7" t="s">
        <v>7025</v>
      </c>
      <c r="M168" s="8">
        <v>24314</v>
      </c>
      <c r="N168" s="8" t="str">
        <f t="shared" si="15"/>
        <v>PEN</v>
      </c>
      <c r="O168" s="13"/>
      <c r="P168" s="13">
        <v>22.5</v>
      </c>
      <c r="Q168" s="3">
        <f t="shared" si="11"/>
        <v>0</v>
      </c>
      <c r="R168" s="3">
        <f t="shared" si="12"/>
        <v>22.5</v>
      </c>
      <c r="S168" s="3">
        <f t="shared" si="13"/>
        <v>928.6500000000002</v>
      </c>
      <c r="T168" s="24"/>
      <c r="U168" s="24"/>
      <c r="V168" s="3"/>
      <c r="W168" s="25" t="s">
        <v>6747</v>
      </c>
      <c r="X168" s="25"/>
      <c r="Y168" s="25" t="str">
        <f>IFERROR(VLOOKUP(C_Ope_003[[#This Row],[NOTA 2]],Clientes_Proveedores[[Ruc / Dni]:[Razon Social]],2,0),"")</f>
        <v/>
      </c>
      <c r="Z168" s="25"/>
      <c r="AA168" s="25"/>
      <c r="AB168" s="3" t="str">
        <f>IF(C_Ope_003[[#This Row],[FECHA]]&gt;0,TEXT(C_Ope_003[[#This Row],[FECHA]],"mmmm"),0)</f>
        <v>Mayo</v>
      </c>
    </row>
    <row r="169" spans="2:28" ht="24" x14ac:dyDescent="0.3">
      <c r="B169" s="2">
        <f>IF(C_Ope_003[[#This Row],[TIPO DE R.]]="R",COUNTIFS($D$4:$D168,"R")+1,"")</f>
        <v>165</v>
      </c>
      <c r="C169" s="19" t="str">
        <f t="shared" si="14"/>
        <v>C_Ope_003</v>
      </c>
      <c r="D169" s="3" t="s">
        <v>1074</v>
      </c>
      <c r="E169" s="14">
        <v>45804</v>
      </c>
      <c r="F169" s="5" t="s">
        <v>4644</v>
      </c>
      <c r="G169" s="5" t="s">
        <v>1079</v>
      </c>
      <c r="H169" s="6"/>
      <c r="I169" s="6" t="s">
        <v>14</v>
      </c>
      <c r="J169" s="6" t="s">
        <v>6987</v>
      </c>
      <c r="K169" s="6">
        <v>4020752</v>
      </c>
      <c r="L169" s="7" t="s">
        <v>7026</v>
      </c>
      <c r="M169" s="8">
        <v>24315</v>
      </c>
      <c r="N169" s="8" t="str">
        <f t="shared" si="15"/>
        <v>PEN</v>
      </c>
      <c r="O169" s="13"/>
      <c r="P169" s="13">
        <v>19.8</v>
      </c>
      <c r="Q169" s="3">
        <f t="shared" si="11"/>
        <v>0</v>
      </c>
      <c r="R169" s="3">
        <f t="shared" si="12"/>
        <v>19.8</v>
      </c>
      <c r="S169" s="3">
        <f t="shared" si="13"/>
        <v>908.85000000000025</v>
      </c>
      <c r="T169" s="24"/>
      <c r="U169" s="24"/>
      <c r="V169" s="3"/>
      <c r="W169" s="25" t="s">
        <v>6747</v>
      </c>
      <c r="X169" s="25"/>
      <c r="Y169" s="25" t="str">
        <f>IFERROR(VLOOKUP(C_Ope_003[[#This Row],[NOTA 2]],Clientes_Proveedores[[Ruc / Dni]:[Razon Social]],2,0),"")</f>
        <v/>
      </c>
      <c r="Z169" s="25"/>
      <c r="AA169" s="25"/>
      <c r="AB169" s="3" t="str">
        <f>IF(C_Ope_003[[#This Row],[FECHA]]&gt;0,TEXT(C_Ope_003[[#This Row],[FECHA]],"mmmm"),0)</f>
        <v>Mayo</v>
      </c>
    </row>
    <row r="170" spans="2:28" x14ac:dyDescent="0.3">
      <c r="B170" s="2">
        <f>IF(C_Ope_003[[#This Row],[TIPO DE R.]]="R",COUNTIFS($D$4:$D169,"R")+1,"")</f>
        <v>166</v>
      </c>
      <c r="C170" s="19" t="str">
        <f t="shared" si="14"/>
        <v>C_Ope_003</v>
      </c>
      <c r="D170" s="3" t="s">
        <v>1074</v>
      </c>
      <c r="E170" s="14">
        <v>45804</v>
      </c>
      <c r="F170" s="5" t="s">
        <v>4644</v>
      </c>
      <c r="G170" s="5" t="s">
        <v>1079</v>
      </c>
      <c r="H170" s="6"/>
      <c r="I170" s="6" t="s">
        <v>14</v>
      </c>
      <c r="J170" s="6" t="s">
        <v>1148</v>
      </c>
      <c r="K170" s="6">
        <v>701570</v>
      </c>
      <c r="L170" s="7" t="s">
        <v>6990</v>
      </c>
      <c r="M170" s="8">
        <v>24321</v>
      </c>
      <c r="N170" s="8" t="str">
        <f t="shared" si="15"/>
        <v>PEN</v>
      </c>
      <c r="O170" s="13"/>
      <c r="P170" s="13">
        <v>19.8</v>
      </c>
      <c r="Q170" s="3">
        <f t="shared" si="11"/>
        <v>0</v>
      </c>
      <c r="R170" s="3">
        <f t="shared" si="12"/>
        <v>19.8</v>
      </c>
      <c r="S170" s="3">
        <f t="shared" si="13"/>
        <v>889.0500000000003</v>
      </c>
      <c r="T170" s="24"/>
      <c r="U170" s="24"/>
      <c r="V170" s="3"/>
      <c r="W170" s="25" t="s">
        <v>6747</v>
      </c>
      <c r="X170" s="25"/>
      <c r="Y170" s="25" t="str">
        <f>IFERROR(VLOOKUP(C_Ope_003[[#This Row],[NOTA 2]],Clientes_Proveedores[[Ruc / Dni]:[Razon Social]],2,0),"")</f>
        <v/>
      </c>
      <c r="Z170" s="25"/>
      <c r="AA170" s="25"/>
      <c r="AB170" s="3" t="str">
        <f>IF(C_Ope_003[[#This Row],[FECHA]]&gt;0,TEXT(C_Ope_003[[#This Row],[FECHA]],"mmmm"),0)</f>
        <v>Mayo</v>
      </c>
    </row>
    <row r="171" spans="2:28" ht="24" x14ac:dyDescent="0.3">
      <c r="B171" s="2">
        <f>IF(C_Ope_003[[#This Row],[TIPO DE R.]]="R",COUNTIFS($D$4:$D170,"R")+1,"")</f>
        <v>167</v>
      </c>
      <c r="C171" s="19" t="str">
        <f t="shared" si="14"/>
        <v>C_Ope_003</v>
      </c>
      <c r="D171" s="3" t="s">
        <v>1074</v>
      </c>
      <c r="E171" s="14">
        <v>45804</v>
      </c>
      <c r="F171" s="5" t="s">
        <v>4644</v>
      </c>
      <c r="G171" s="5" t="s">
        <v>1079</v>
      </c>
      <c r="H171" s="6"/>
      <c r="I171" s="6" t="s">
        <v>14</v>
      </c>
      <c r="J171" s="6" t="s">
        <v>6906</v>
      </c>
      <c r="K171" s="6">
        <v>2658123</v>
      </c>
      <c r="L171" s="7" t="s">
        <v>7027</v>
      </c>
      <c r="M171" s="8">
        <v>24325</v>
      </c>
      <c r="N171" s="8" t="str">
        <f t="shared" si="15"/>
        <v>PEN</v>
      </c>
      <c r="O171" s="13"/>
      <c r="P171" s="13">
        <v>22.5</v>
      </c>
      <c r="Q171" s="3">
        <f t="shared" si="11"/>
        <v>0</v>
      </c>
      <c r="R171" s="3">
        <f t="shared" si="12"/>
        <v>22.5</v>
      </c>
      <c r="S171" s="3">
        <f t="shared" si="13"/>
        <v>866.5500000000003</v>
      </c>
      <c r="T171" s="24"/>
      <c r="U171" s="24"/>
      <c r="V171" s="3"/>
      <c r="W171" s="25" t="s">
        <v>6747</v>
      </c>
      <c r="X171" s="25"/>
      <c r="Y171" s="25" t="str">
        <f>IFERROR(VLOOKUP(C_Ope_003[[#This Row],[NOTA 2]],Clientes_Proveedores[[Ruc / Dni]:[Razon Social]],2,0),"")</f>
        <v/>
      </c>
      <c r="Z171" s="25"/>
      <c r="AA171" s="25"/>
      <c r="AB171" s="3" t="str">
        <f>IF(C_Ope_003[[#This Row],[FECHA]]&gt;0,TEXT(C_Ope_003[[#This Row],[FECHA]],"mmmm"),0)</f>
        <v>Mayo</v>
      </c>
    </row>
    <row r="172" spans="2:28" x14ac:dyDescent="0.3">
      <c r="B172" s="2">
        <f>IF(C_Ope_003[[#This Row],[TIPO DE R.]]="R",COUNTIFS($D$4:$D171,"R")+1,"")</f>
        <v>168</v>
      </c>
      <c r="C172" s="19" t="str">
        <f t="shared" si="14"/>
        <v>C_Ope_003</v>
      </c>
      <c r="D172" s="3" t="s">
        <v>1074</v>
      </c>
      <c r="E172" s="14">
        <v>45804</v>
      </c>
      <c r="F172" s="5" t="s">
        <v>4644</v>
      </c>
      <c r="G172" s="5" t="s">
        <v>1079</v>
      </c>
      <c r="H172" s="6"/>
      <c r="I172" s="6" t="s">
        <v>14</v>
      </c>
      <c r="J172" s="6" t="s">
        <v>7028</v>
      </c>
      <c r="K172" s="6">
        <v>1639841</v>
      </c>
      <c r="L172" s="7" t="s">
        <v>6992</v>
      </c>
      <c r="M172" s="8">
        <v>24327</v>
      </c>
      <c r="N172" s="8" t="str">
        <f t="shared" si="15"/>
        <v>PEN</v>
      </c>
      <c r="O172" s="13"/>
      <c r="P172" s="13">
        <v>58.2</v>
      </c>
      <c r="Q172" s="3">
        <f t="shared" si="11"/>
        <v>0</v>
      </c>
      <c r="R172" s="3">
        <f t="shared" si="12"/>
        <v>58.2</v>
      </c>
      <c r="S172" s="3">
        <f t="shared" si="13"/>
        <v>808.35000000000025</v>
      </c>
      <c r="T172" s="24"/>
      <c r="U172" s="24"/>
      <c r="V172" s="3"/>
      <c r="W172" s="25" t="s">
        <v>6747</v>
      </c>
      <c r="X172" s="25"/>
      <c r="Y172" s="25" t="str">
        <f>IFERROR(VLOOKUP(C_Ope_003[[#This Row],[NOTA 2]],Clientes_Proveedores[[Ruc / Dni]:[Razon Social]],2,0),"")</f>
        <v/>
      </c>
      <c r="Z172" s="25"/>
      <c r="AA172" s="25"/>
      <c r="AB172" s="3" t="str">
        <f>IF(C_Ope_003[[#This Row],[FECHA]]&gt;0,TEXT(C_Ope_003[[#This Row],[FECHA]],"mmmm"),0)</f>
        <v>Mayo</v>
      </c>
    </row>
    <row r="173" spans="2:28" x14ac:dyDescent="0.3">
      <c r="B173" s="2">
        <f>IF(C_Ope_003[[#This Row],[TIPO DE R.]]="R",COUNTIFS($D$4:$D172,"R")+1,"")</f>
        <v>169</v>
      </c>
      <c r="C173" s="19" t="str">
        <f t="shared" si="14"/>
        <v>C_Ope_003</v>
      </c>
      <c r="D173" s="3" t="s">
        <v>1074</v>
      </c>
      <c r="E173" s="14">
        <v>45805</v>
      </c>
      <c r="F173" s="5" t="s">
        <v>4644</v>
      </c>
      <c r="G173" s="5" t="s">
        <v>1079</v>
      </c>
      <c r="H173" s="6"/>
      <c r="I173" s="6" t="s">
        <v>14</v>
      </c>
      <c r="J173" s="6" t="s">
        <v>7029</v>
      </c>
      <c r="K173" s="6">
        <v>1157224</v>
      </c>
      <c r="L173" s="7" t="s">
        <v>6994</v>
      </c>
      <c r="M173" s="8">
        <v>24326</v>
      </c>
      <c r="N173" s="8" t="str">
        <f t="shared" si="15"/>
        <v>PEN</v>
      </c>
      <c r="O173" s="13"/>
      <c r="P173" s="13">
        <v>58.2</v>
      </c>
      <c r="Q173" s="3">
        <f t="shared" si="11"/>
        <v>0</v>
      </c>
      <c r="R173" s="3">
        <f t="shared" si="12"/>
        <v>58.2</v>
      </c>
      <c r="S173" s="3">
        <f t="shared" si="13"/>
        <v>750.1500000000002</v>
      </c>
      <c r="T173" s="24"/>
      <c r="U173" s="24"/>
      <c r="V173" s="3"/>
      <c r="W173" s="25" t="s">
        <v>6747</v>
      </c>
      <c r="X173" s="25"/>
      <c r="Y173" s="25" t="str">
        <f>IFERROR(VLOOKUP(C_Ope_003[[#This Row],[NOTA 2]],Clientes_Proveedores[[Ruc / Dni]:[Razon Social]],2,0),"")</f>
        <v/>
      </c>
      <c r="Z173" s="25"/>
      <c r="AA173" s="25"/>
      <c r="AB173" s="3" t="str">
        <f>IF(C_Ope_003[[#This Row],[FECHA]]&gt;0,TEXT(C_Ope_003[[#This Row],[FECHA]],"mmmm"),0)</f>
        <v>Mayo</v>
      </c>
    </row>
    <row r="174" spans="2:28" ht="24" x14ac:dyDescent="0.3">
      <c r="B174" s="2">
        <f>IF(C_Ope_003[[#This Row],[TIPO DE R.]]="R",COUNTIFS($D$4:$D173,"R")+1,"")</f>
        <v>170</v>
      </c>
      <c r="C174" s="19" t="str">
        <f t="shared" si="14"/>
        <v>C_Ope_003</v>
      </c>
      <c r="D174" s="3" t="s">
        <v>1074</v>
      </c>
      <c r="E174" s="14">
        <v>45805</v>
      </c>
      <c r="F174" s="5" t="s">
        <v>4644</v>
      </c>
      <c r="G174" s="5" t="s">
        <v>1079</v>
      </c>
      <c r="H174" s="6"/>
      <c r="I174" s="6"/>
      <c r="J174" s="6"/>
      <c r="K174" s="6" t="s">
        <v>7030</v>
      </c>
      <c r="L174" s="7" t="s">
        <v>7000</v>
      </c>
      <c r="M174" s="8">
        <v>24328</v>
      </c>
      <c r="N174" s="8" t="str">
        <f t="shared" si="15"/>
        <v>PEN</v>
      </c>
      <c r="O174" s="13"/>
      <c r="P174" s="13">
        <v>19.5</v>
      </c>
      <c r="Q174" s="3">
        <f t="shared" si="11"/>
        <v>0</v>
      </c>
      <c r="R174" s="3">
        <f t="shared" si="12"/>
        <v>19.5</v>
      </c>
      <c r="S174" s="3">
        <f t="shared" si="13"/>
        <v>730.6500000000002</v>
      </c>
      <c r="T174" s="24"/>
      <c r="U174" s="24"/>
      <c r="V174" s="3"/>
      <c r="W174" s="25" t="s">
        <v>6747</v>
      </c>
      <c r="X174" s="25"/>
      <c r="Y174" s="25" t="str">
        <f>IFERROR(VLOOKUP(C_Ope_003[[#This Row],[NOTA 2]],Clientes_Proveedores[[Ruc / Dni]:[Razon Social]],2,0),"")</f>
        <v/>
      </c>
      <c r="Z174" s="25"/>
      <c r="AA174" s="25"/>
      <c r="AB174" s="3" t="str">
        <f>IF(C_Ope_003[[#This Row],[FECHA]]&gt;0,TEXT(C_Ope_003[[#This Row],[FECHA]],"mmmm"),0)</f>
        <v>Mayo</v>
      </c>
    </row>
    <row r="175" spans="2:28" ht="24" x14ac:dyDescent="0.3">
      <c r="B175" s="2">
        <f>IF(C_Ope_003[[#This Row],[TIPO DE R.]]="R",COUNTIFS($D$4:$D174,"R")+1,"")</f>
        <v>171</v>
      </c>
      <c r="C175" s="19" t="str">
        <f t="shared" si="14"/>
        <v>C_Ope_003</v>
      </c>
      <c r="D175" s="3" t="s">
        <v>1074</v>
      </c>
      <c r="E175" s="14">
        <v>45805</v>
      </c>
      <c r="F175" s="5" t="s">
        <v>4644</v>
      </c>
      <c r="G175" s="5" t="s">
        <v>1079</v>
      </c>
      <c r="H175" s="6"/>
      <c r="I175" s="6"/>
      <c r="J175" s="6"/>
      <c r="K175" s="6" t="s">
        <v>7031</v>
      </c>
      <c r="L175" s="7" t="s">
        <v>6998</v>
      </c>
      <c r="M175" s="8">
        <v>24329</v>
      </c>
      <c r="N175" s="8" t="str">
        <f t="shared" si="15"/>
        <v>PEN</v>
      </c>
      <c r="O175" s="13"/>
      <c r="P175" s="13">
        <v>19.5</v>
      </c>
      <c r="Q175" s="3">
        <f t="shared" si="11"/>
        <v>0</v>
      </c>
      <c r="R175" s="3">
        <f t="shared" si="12"/>
        <v>19.5</v>
      </c>
      <c r="S175" s="3">
        <f t="shared" si="13"/>
        <v>711.1500000000002</v>
      </c>
      <c r="T175" s="24"/>
      <c r="U175" s="24"/>
      <c r="V175" s="3"/>
      <c r="W175" s="25" t="s">
        <v>6747</v>
      </c>
      <c r="X175" s="25"/>
      <c r="Y175" s="25" t="str">
        <f>IFERROR(VLOOKUP(C_Ope_003[[#This Row],[NOTA 2]],Clientes_Proveedores[[Ruc / Dni]:[Razon Social]],2,0),"")</f>
        <v/>
      </c>
      <c r="Z175" s="25"/>
      <c r="AA175" s="25"/>
      <c r="AB175" s="3" t="str">
        <f>IF(C_Ope_003[[#This Row],[FECHA]]&gt;0,TEXT(C_Ope_003[[#This Row],[FECHA]],"mmmm"),0)</f>
        <v>Mayo</v>
      </c>
    </row>
    <row r="176" spans="2:28" ht="24" x14ac:dyDescent="0.3">
      <c r="B176" s="2">
        <f>IF(C_Ope_003[[#This Row],[TIPO DE R.]]="R",COUNTIFS($D$4:$D175,"R")+1,"")</f>
        <v>172</v>
      </c>
      <c r="C176" s="19" t="str">
        <f t="shared" si="14"/>
        <v>C_Ope_003</v>
      </c>
      <c r="D176" s="3" t="s">
        <v>1074</v>
      </c>
      <c r="E176" s="14">
        <v>45805</v>
      </c>
      <c r="F176" s="5" t="s">
        <v>4644</v>
      </c>
      <c r="G176" s="5" t="s">
        <v>1079</v>
      </c>
      <c r="H176" s="6"/>
      <c r="I176" s="6"/>
      <c r="J176" s="6"/>
      <c r="K176" s="6" t="s">
        <v>7032</v>
      </c>
      <c r="L176" s="7" t="s">
        <v>6996</v>
      </c>
      <c r="M176" s="8">
        <v>24330</v>
      </c>
      <c r="N176" s="8" t="str">
        <f t="shared" si="15"/>
        <v>PEN</v>
      </c>
      <c r="O176" s="13"/>
      <c r="P176" s="13">
        <v>19.5</v>
      </c>
      <c r="Q176" s="3">
        <f t="shared" si="11"/>
        <v>0</v>
      </c>
      <c r="R176" s="3">
        <f t="shared" si="12"/>
        <v>19.5</v>
      </c>
      <c r="S176" s="3">
        <f t="shared" si="13"/>
        <v>691.6500000000002</v>
      </c>
      <c r="T176" s="24"/>
      <c r="U176" s="24"/>
      <c r="V176" s="3"/>
      <c r="W176" s="25" t="s">
        <v>6747</v>
      </c>
      <c r="X176" s="25"/>
      <c r="Y176" s="25" t="str">
        <f>IFERROR(VLOOKUP(C_Ope_003[[#This Row],[NOTA 2]],Clientes_Proveedores[[Ruc / Dni]:[Razon Social]],2,0),"")</f>
        <v/>
      </c>
      <c r="Z176" s="25"/>
      <c r="AA176" s="25"/>
      <c r="AB176" s="3" t="str">
        <f>IF(C_Ope_003[[#This Row],[FECHA]]&gt;0,TEXT(C_Ope_003[[#This Row],[FECHA]],"mmmm"),0)</f>
        <v>Mayo</v>
      </c>
    </row>
    <row r="177" spans="2:28" x14ac:dyDescent="0.3">
      <c r="B177" s="2">
        <f>IF(C_Ope_003[[#This Row],[TIPO DE R.]]="R",COUNTIFS($D$4:$D176,"R")+1,"")</f>
        <v>173</v>
      </c>
      <c r="C177" s="19" t="str">
        <f t="shared" si="14"/>
        <v>C_Ope_003</v>
      </c>
      <c r="D177" s="3" t="s">
        <v>1074</v>
      </c>
      <c r="E177" s="14">
        <v>45805</v>
      </c>
      <c r="F177" s="5" t="s">
        <v>4644</v>
      </c>
      <c r="G177" s="5" t="s">
        <v>1079</v>
      </c>
      <c r="H177" s="6"/>
      <c r="I177" s="6" t="s">
        <v>14</v>
      </c>
      <c r="J177" s="6" t="s">
        <v>2629</v>
      </c>
      <c r="K177" s="6">
        <v>764935</v>
      </c>
      <c r="L177" s="7" t="s">
        <v>7033</v>
      </c>
      <c r="M177" s="8">
        <v>24331</v>
      </c>
      <c r="N177" s="8" t="str">
        <f t="shared" si="15"/>
        <v>PEN</v>
      </c>
      <c r="O177" s="13"/>
      <c r="P177" s="13">
        <v>23.6</v>
      </c>
      <c r="Q177" s="3">
        <f t="shared" si="11"/>
        <v>0</v>
      </c>
      <c r="R177" s="3">
        <f t="shared" si="12"/>
        <v>23.6</v>
      </c>
      <c r="S177" s="3">
        <f t="shared" si="13"/>
        <v>668.05000000000018</v>
      </c>
      <c r="T177" s="24"/>
      <c r="U177" s="24"/>
      <c r="V177" s="3"/>
      <c r="W177" s="25" t="s">
        <v>6747</v>
      </c>
      <c r="X177" s="25"/>
      <c r="Y177" s="25" t="str">
        <f>IFERROR(VLOOKUP(C_Ope_003[[#This Row],[NOTA 2]],Clientes_Proveedores[[Ruc / Dni]:[Razon Social]],2,0),"")</f>
        <v/>
      </c>
      <c r="Z177" s="25"/>
      <c r="AA177" s="25"/>
      <c r="AB177" s="3" t="str">
        <f>IF(C_Ope_003[[#This Row],[FECHA]]&gt;0,TEXT(C_Ope_003[[#This Row],[FECHA]],"mmmm"),0)</f>
        <v>Mayo</v>
      </c>
    </row>
    <row r="178" spans="2:28" ht="24" x14ac:dyDescent="0.3">
      <c r="B178" s="2">
        <f>IF(C_Ope_003[[#This Row],[TIPO DE R.]]="R",COUNTIFS($D$4:$D177,"R")+1,"")</f>
        <v>174</v>
      </c>
      <c r="C178" s="19" t="str">
        <f t="shared" si="14"/>
        <v>C_Ope_003</v>
      </c>
      <c r="D178" s="3" t="s">
        <v>1074</v>
      </c>
      <c r="E178" s="14">
        <v>45807</v>
      </c>
      <c r="F178" s="5" t="s">
        <v>4644</v>
      </c>
      <c r="G178" s="5" t="s">
        <v>1079</v>
      </c>
      <c r="H178" s="6"/>
      <c r="I178" s="6" t="s">
        <v>14</v>
      </c>
      <c r="J178" s="6" t="s">
        <v>5245</v>
      </c>
      <c r="K178" s="6">
        <v>1764674</v>
      </c>
      <c r="L178" s="7" t="s">
        <v>7034</v>
      </c>
      <c r="M178" s="8">
        <v>24370</v>
      </c>
      <c r="N178" s="8" t="str">
        <f t="shared" si="15"/>
        <v>PEN</v>
      </c>
      <c r="O178" s="13"/>
      <c r="P178" s="13">
        <v>12</v>
      </c>
      <c r="Q178" s="3">
        <f t="shared" si="11"/>
        <v>0</v>
      </c>
      <c r="R178" s="3">
        <f t="shared" si="12"/>
        <v>12</v>
      </c>
      <c r="S178" s="3">
        <f t="shared" si="13"/>
        <v>656.05000000000018</v>
      </c>
      <c r="T178" s="24"/>
      <c r="U178" s="24"/>
      <c r="V178" s="3"/>
      <c r="W178" s="25" t="s">
        <v>6747</v>
      </c>
      <c r="X178" s="25"/>
      <c r="Y178" s="25" t="str">
        <f>IFERROR(VLOOKUP(C_Ope_003[[#This Row],[NOTA 2]],Clientes_Proveedores[[Ruc / Dni]:[Razon Social]],2,0),"")</f>
        <v/>
      </c>
      <c r="Z178" s="25"/>
      <c r="AA178" s="25"/>
      <c r="AB178" s="3" t="str">
        <f>IF(C_Ope_003[[#This Row],[FECHA]]&gt;0,TEXT(C_Ope_003[[#This Row],[FECHA]],"mmmm"),0)</f>
        <v>Mayo</v>
      </c>
    </row>
    <row r="179" spans="2:28" x14ac:dyDescent="0.3">
      <c r="B179" s="2">
        <f>IF(C_Ope_003[[#This Row],[TIPO DE R.]]="R",COUNTIFS($D$4:$D178,"R")+1,"")</f>
        <v>175</v>
      </c>
      <c r="C179" s="19" t="str">
        <f t="shared" si="14"/>
        <v>C_Ope_003</v>
      </c>
      <c r="D179" s="3" t="s">
        <v>1074</v>
      </c>
      <c r="E179" s="14">
        <v>45803</v>
      </c>
      <c r="F179" s="5" t="s">
        <v>4644</v>
      </c>
      <c r="G179" s="5" t="s">
        <v>1079</v>
      </c>
      <c r="H179" s="6"/>
      <c r="I179" s="6"/>
      <c r="J179" s="6" t="s">
        <v>6893</v>
      </c>
      <c r="K179" s="6"/>
      <c r="L179" s="7" t="s">
        <v>7035</v>
      </c>
      <c r="M179" s="8">
        <v>24307</v>
      </c>
      <c r="N179" s="8" t="str">
        <f t="shared" si="15"/>
        <v>PEN</v>
      </c>
      <c r="O179" s="13"/>
      <c r="P179" s="13">
        <v>30</v>
      </c>
      <c r="Q179" s="3">
        <f t="shared" si="11"/>
        <v>0</v>
      </c>
      <c r="R179" s="3">
        <f t="shared" si="12"/>
        <v>30</v>
      </c>
      <c r="S179" s="3">
        <f t="shared" si="13"/>
        <v>626.05000000000018</v>
      </c>
      <c r="T179" s="24"/>
      <c r="U179" s="24"/>
      <c r="V179" s="3"/>
      <c r="W179" s="25" t="s">
        <v>6747</v>
      </c>
      <c r="X179" s="25"/>
      <c r="Y179" s="25" t="str">
        <f>IFERROR(VLOOKUP(C_Ope_003[[#This Row],[NOTA 2]],Clientes_Proveedores[[Ruc / Dni]:[Razon Social]],2,0),"")</f>
        <v/>
      </c>
      <c r="Z179" s="25"/>
      <c r="AA179" s="25"/>
      <c r="AB179" s="3" t="str">
        <f>IF(C_Ope_003[[#This Row],[FECHA]]&gt;0,TEXT(C_Ope_003[[#This Row],[FECHA]],"mmmm"),0)</f>
        <v>Mayo</v>
      </c>
    </row>
    <row r="180" spans="2:28" x14ac:dyDescent="0.3">
      <c r="B180" s="2">
        <f>IF(C_Ope_003[[#This Row],[TIPO DE R.]]="R",COUNTIFS($D$4:$D179,"R")+1,"")</f>
        <v>176</v>
      </c>
      <c r="C180" s="19" t="str">
        <f t="shared" si="14"/>
        <v>C_Ope_003</v>
      </c>
      <c r="D180" s="3" t="s">
        <v>1074</v>
      </c>
      <c r="E180" s="14">
        <v>45803</v>
      </c>
      <c r="F180" s="5" t="s">
        <v>4644</v>
      </c>
      <c r="G180" s="5" t="s">
        <v>1079</v>
      </c>
      <c r="H180" s="6"/>
      <c r="I180" s="6"/>
      <c r="J180" s="6" t="s">
        <v>6893</v>
      </c>
      <c r="K180" s="6"/>
      <c r="L180" s="7" t="s">
        <v>7036</v>
      </c>
      <c r="M180" s="8">
        <v>24308</v>
      </c>
      <c r="N180" s="8" t="str">
        <f t="shared" si="15"/>
        <v>PEN</v>
      </c>
      <c r="O180" s="13"/>
      <c r="P180" s="13">
        <v>24</v>
      </c>
      <c r="Q180" s="3">
        <f t="shared" si="11"/>
        <v>0</v>
      </c>
      <c r="R180" s="3">
        <f t="shared" si="12"/>
        <v>24</v>
      </c>
      <c r="S180" s="3">
        <f t="shared" si="13"/>
        <v>602.05000000000018</v>
      </c>
      <c r="T180" s="24"/>
      <c r="U180" s="24"/>
      <c r="V180" s="3"/>
      <c r="W180" s="25" t="s">
        <v>6747</v>
      </c>
      <c r="X180" s="25"/>
      <c r="Y180" s="25" t="str">
        <f>IFERROR(VLOOKUP(C_Ope_003[[#This Row],[NOTA 2]],Clientes_Proveedores[[Ruc / Dni]:[Razon Social]],2,0),"")</f>
        <v/>
      </c>
      <c r="Z180" s="25"/>
      <c r="AA180" s="25"/>
      <c r="AB180" s="3" t="str">
        <f>IF(C_Ope_003[[#This Row],[FECHA]]&gt;0,TEXT(C_Ope_003[[#This Row],[FECHA]],"mmmm"),0)</f>
        <v>Mayo</v>
      </c>
    </row>
    <row r="181" spans="2:28" x14ac:dyDescent="0.3">
      <c r="B181" s="2">
        <f>IF(C_Ope_003[[#This Row],[TIPO DE R.]]="R",COUNTIFS($D$4:$D180,"R")+1,"")</f>
        <v>177</v>
      </c>
      <c r="C181" s="19" t="str">
        <f t="shared" si="14"/>
        <v>C_Ope_003</v>
      </c>
      <c r="D181" s="3" t="s">
        <v>1074</v>
      </c>
      <c r="E181" s="14">
        <v>45804</v>
      </c>
      <c r="F181" s="5" t="s">
        <v>4644</v>
      </c>
      <c r="G181" s="5" t="s">
        <v>1079</v>
      </c>
      <c r="H181" s="6"/>
      <c r="I181" s="6"/>
      <c r="J181" s="6" t="s">
        <v>6893</v>
      </c>
      <c r="K181" s="6"/>
      <c r="L181" s="7" t="s">
        <v>7037</v>
      </c>
      <c r="M181" s="8">
        <v>24322</v>
      </c>
      <c r="N181" s="8" t="str">
        <f t="shared" si="15"/>
        <v>PEN</v>
      </c>
      <c r="O181" s="13"/>
      <c r="P181" s="13">
        <v>24</v>
      </c>
      <c r="Q181" s="3">
        <f t="shared" si="11"/>
        <v>0</v>
      </c>
      <c r="R181" s="3">
        <f t="shared" si="12"/>
        <v>24</v>
      </c>
      <c r="S181" s="3">
        <f t="shared" si="13"/>
        <v>578.05000000000018</v>
      </c>
      <c r="T181" s="24"/>
      <c r="U181" s="24"/>
      <c r="V181" s="3"/>
      <c r="W181" s="25" t="s">
        <v>6747</v>
      </c>
      <c r="X181" s="25"/>
      <c r="Y181" s="25" t="str">
        <f>IFERROR(VLOOKUP(C_Ope_003[[#This Row],[NOTA 2]],Clientes_Proveedores[[Ruc / Dni]:[Razon Social]],2,0),"")</f>
        <v/>
      </c>
      <c r="Z181" s="25"/>
      <c r="AA181" s="25"/>
      <c r="AB181" s="3" t="str">
        <f>IF(C_Ope_003[[#This Row],[FECHA]]&gt;0,TEXT(C_Ope_003[[#This Row],[FECHA]],"mmmm"),0)</f>
        <v>Mayo</v>
      </c>
    </row>
    <row r="182" spans="2:28" x14ac:dyDescent="0.3">
      <c r="B182" s="2">
        <f>IF(C_Ope_003[[#This Row],[TIPO DE R.]]="R",COUNTIFS($D$4:$D181,"R")+1,"")</f>
        <v>178</v>
      </c>
      <c r="C182" s="19" t="str">
        <f t="shared" si="14"/>
        <v>C_Ope_003</v>
      </c>
      <c r="D182" s="3" t="s">
        <v>1074</v>
      </c>
      <c r="E182" s="14">
        <v>45804</v>
      </c>
      <c r="F182" s="5" t="s">
        <v>4644</v>
      </c>
      <c r="G182" s="5" t="s">
        <v>1079</v>
      </c>
      <c r="H182" s="6"/>
      <c r="I182" s="6" t="s">
        <v>21</v>
      </c>
      <c r="J182" s="6">
        <v>1</v>
      </c>
      <c r="K182" s="6">
        <v>482</v>
      </c>
      <c r="L182" s="7" t="s">
        <v>7038</v>
      </c>
      <c r="M182" s="8">
        <v>24323</v>
      </c>
      <c r="N182" s="8" t="str">
        <f t="shared" si="15"/>
        <v>PEN</v>
      </c>
      <c r="O182" s="13"/>
      <c r="P182" s="13">
        <v>30</v>
      </c>
      <c r="Q182" s="3">
        <f t="shared" si="11"/>
        <v>0</v>
      </c>
      <c r="R182" s="3">
        <f t="shared" si="12"/>
        <v>30</v>
      </c>
      <c r="S182" s="3">
        <f t="shared" si="13"/>
        <v>548.05000000000018</v>
      </c>
      <c r="T182" s="24"/>
      <c r="U182" s="24"/>
      <c r="V182" s="3"/>
      <c r="W182" s="25" t="s">
        <v>6747</v>
      </c>
      <c r="X182" s="25"/>
      <c r="Y182" s="25" t="str">
        <f>IFERROR(VLOOKUP(C_Ope_003[[#This Row],[NOTA 2]],Clientes_Proveedores[[Ruc / Dni]:[Razon Social]],2,0),"")</f>
        <v/>
      </c>
      <c r="Z182" s="25"/>
      <c r="AA182" s="25"/>
      <c r="AB182" s="3" t="str">
        <f>IF(C_Ope_003[[#This Row],[FECHA]]&gt;0,TEXT(C_Ope_003[[#This Row],[FECHA]],"mmmm"),0)</f>
        <v>Mayo</v>
      </c>
    </row>
    <row r="183" spans="2:28" x14ac:dyDescent="0.3">
      <c r="B183" s="2">
        <f>IF(C_Ope_003[[#This Row],[TIPO DE R.]]="R",COUNTIFS($D$4:$D182,"R")+1,"")</f>
        <v>179</v>
      </c>
      <c r="C183" s="19" t="str">
        <f t="shared" si="14"/>
        <v>C_Ope_003</v>
      </c>
      <c r="D183" s="3" t="s">
        <v>1074</v>
      </c>
      <c r="E183" s="14">
        <v>45804</v>
      </c>
      <c r="F183" s="5" t="s">
        <v>4644</v>
      </c>
      <c r="G183" s="5" t="s">
        <v>1079</v>
      </c>
      <c r="H183" s="6"/>
      <c r="I183" s="6"/>
      <c r="J183" s="6" t="s">
        <v>6893</v>
      </c>
      <c r="K183" s="6"/>
      <c r="L183" s="7" t="s">
        <v>6896</v>
      </c>
      <c r="M183" s="8">
        <v>24324</v>
      </c>
      <c r="N183" s="8" t="str">
        <f t="shared" si="15"/>
        <v>PEN</v>
      </c>
      <c r="O183" s="13"/>
      <c r="P183" s="13">
        <v>24</v>
      </c>
      <c r="Q183" s="3">
        <f t="shared" si="11"/>
        <v>0</v>
      </c>
      <c r="R183" s="3">
        <f t="shared" si="12"/>
        <v>24</v>
      </c>
      <c r="S183" s="3">
        <f t="shared" si="13"/>
        <v>524.05000000000018</v>
      </c>
      <c r="T183" s="24"/>
      <c r="U183" s="24"/>
      <c r="V183" s="3"/>
      <c r="W183" s="25" t="s">
        <v>6747</v>
      </c>
      <c r="X183" s="25"/>
      <c r="Y183" s="25" t="str">
        <f>IFERROR(VLOOKUP(C_Ope_003[[#This Row],[NOTA 2]],Clientes_Proveedores[[Ruc / Dni]:[Razon Social]],2,0),"")</f>
        <v/>
      </c>
      <c r="Z183" s="25"/>
      <c r="AA183" s="25"/>
      <c r="AB183" s="3" t="str">
        <f>IF(C_Ope_003[[#This Row],[FECHA]]&gt;0,TEXT(C_Ope_003[[#This Row],[FECHA]],"mmmm"),0)</f>
        <v>Mayo</v>
      </c>
    </row>
    <row r="184" spans="2:28" x14ac:dyDescent="0.3">
      <c r="B184" s="2">
        <f>IF(C_Ope_003[[#This Row],[TIPO DE R.]]="R",COUNTIFS($D$4:$D183,"R")+1,"")</f>
        <v>180</v>
      </c>
      <c r="C184" s="19" t="str">
        <f t="shared" si="14"/>
        <v>C_Ope_003</v>
      </c>
      <c r="D184" s="3" t="s">
        <v>1074</v>
      </c>
      <c r="E184" s="14">
        <v>45805</v>
      </c>
      <c r="F184" s="5" t="s">
        <v>4644</v>
      </c>
      <c r="G184" s="5" t="s">
        <v>1079</v>
      </c>
      <c r="H184" s="6"/>
      <c r="I184" s="6"/>
      <c r="J184" s="6" t="s">
        <v>6893</v>
      </c>
      <c r="K184" s="6"/>
      <c r="L184" s="7" t="s">
        <v>7039</v>
      </c>
      <c r="M184" s="8">
        <v>24332</v>
      </c>
      <c r="N184" s="8" t="str">
        <f t="shared" si="15"/>
        <v>PEN</v>
      </c>
      <c r="O184" s="13"/>
      <c r="P184" s="13">
        <v>24</v>
      </c>
      <c r="Q184" s="3">
        <f t="shared" si="11"/>
        <v>0</v>
      </c>
      <c r="R184" s="3">
        <f t="shared" si="12"/>
        <v>24</v>
      </c>
      <c r="S184" s="3">
        <f t="shared" si="13"/>
        <v>500.05000000000018</v>
      </c>
      <c r="T184" s="24"/>
      <c r="U184" s="24"/>
      <c r="V184" s="3"/>
      <c r="W184" s="25" t="s">
        <v>6747</v>
      </c>
      <c r="X184" s="25"/>
      <c r="Y184" s="25" t="str">
        <f>IFERROR(VLOOKUP(C_Ope_003[[#This Row],[NOTA 2]],Clientes_Proveedores[[Ruc / Dni]:[Razon Social]],2,0),"")</f>
        <v/>
      </c>
      <c r="Z184" s="25"/>
      <c r="AA184" s="25"/>
      <c r="AB184" s="3" t="str">
        <f>IF(C_Ope_003[[#This Row],[FECHA]]&gt;0,TEXT(C_Ope_003[[#This Row],[FECHA]],"mmmm"),0)</f>
        <v>Mayo</v>
      </c>
    </row>
    <row r="185" spans="2:28" x14ac:dyDescent="0.3">
      <c r="B185" s="2">
        <f>IF(C_Ope_003[[#This Row],[TIPO DE R.]]="R",COUNTIFS($D$4:$D184,"R")+1,"")</f>
        <v>181</v>
      </c>
      <c r="C185" s="19" t="str">
        <f t="shared" si="14"/>
        <v>C_Ope_003</v>
      </c>
      <c r="D185" s="3" t="s">
        <v>1074</v>
      </c>
      <c r="E185" s="14">
        <v>45805</v>
      </c>
      <c r="F185" s="5" t="s">
        <v>4644</v>
      </c>
      <c r="G185" s="5" t="s">
        <v>1079</v>
      </c>
      <c r="H185" s="6"/>
      <c r="I185" s="6"/>
      <c r="J185" s="6" t="s">
        <v>6893</v>
      </c>
      <c r="K185" s="6"/>
      <c r="L185" s="7" t="s">
        <v>7040</v>
      </c>
      <c r="M185" s="8">
        <v>24333</v>
      </c>
      <c r="N185" s="8" t="str">
        <f t="shared" si="15"/>
        <v>PEN</v>
      </c>
      <c r="O185" s="13"/>
      <c r="P185" s="13">
        <v>30</v>
      </c>
      <c r="Q185" s="3">
        <f t="shared" si="11"/>
        <v>0</v>
      </c>
      <c r="R185" s="3">
        <f t="shared" si="12"/>
        <v>30</v>
      </c>
      <c r="S185" s="3">
        <f t="shared" si="13"/>
        <v>470.05000000000018</v>
      </c>
      <c r="T185" s="24"/>
      <c r="U185" s="24"/>
      <c r="V185" s="3"/>
      <c r="W185" s="25" t="s">
        <v>6747</v>
      </c>
      <c r="X185" s="25"/>
      <c r="Y185" s="25" t="str">
        <f>IFERROR(VLOOKUP(C_Ope_003[[#This Row],[NOTA 2]],Clientes_Proveedores[[Ruc / Dni]:[Razon Social]],2,0),"")</f>
        <v/>
      </c>
      <c r="Z185" s="25"/>
      <c r="AA185" s="25"/>
      <c r="AB185" s="3" t="str">
        <f>IF(C_Ope_003[[#This Row],[FECHA]]&gt;0,TEXT(C_Ope_003[[#This Row],[FECHA]],"mmmm"),0)</f>
        <v>Mayo</v>
      </c>
    </row>
    <row r="186" spans="2:28" x14ac:dyDescent="0.3">
      <c r="B186" s="2">
        <f>IF(C_Ope_003[[#This Row],[TIPO DE R.]]="R",COUNTIFS($D$4:$D185,"R")+1,"")</f>
        <v>182</v>
      </c>
      <c r="C186" s="19" t="str">
        <f t="shared" si="14"/>
        <v>C_Ope_003</v>
      </c>
      <c r="D186" s="3" t="s">
        <v>1074</v>
      </c>
      <c r="E186" s="14">
        <v>45806</v>
      </c>
      <c r="F186" s="5" t="s">
        <v>4644</v>
      </c>
      <c r="G186" s="5" t="s">
        <v>1079</v>
      </c>
      <c r="H186" s="6"/>
      <c r="I186" s="6"/>
      <c r="J186" s="6" t="s">
        <v>6893</v>
      </c>
      <c r="K186" s="6"/>
      <c r="L186" s="7" t="s">
        <v>6565</v>
      </c>
      <c r="M186" s="8">
        <v>24369</v>
      </c>
      <c r="N186" s="8" t="str">
        <f t="shared" si="15"/>
        <v>PEN</v>
      </c>
      <c r="O186" s="13"/>
      <c r="P186" s="13">
        <v>60</v>
      </c>
      <c r="Q186" s="3">
        <f t="shared" si="11"/>
        <v>0</v>
      </c>
      <c r="R186" s="3">
        <f t="shared" si="12"/>
        <v>60</v>
      </c>
      <c r="S186" s="3">
        <f t="shared" si="13"/>
        <v>410.05000000000018</v>
      </c>
      <c r="T186" s="24"/>
      <c r="U186" s="24"/>
      <c r="V186" s="3"/>
      <c r="W186" s="25" t="s">
        <v>6747</v>
      </c>
      <c r="X186" s="25"/>
      <c r="Y186" s="25" t="str">
        <f>IFERROR(VLOOKUP(C_Ope_003[[#This Row],[NOTA 2]],Clientes_Proveedores[[Ruc / Dni]:[Razon Social]],2,0),"")</f>
        <v/>
      </c>
      <c r="Z186" s="25"/>
      <c r="AA186" s="25"/>
      <c r="AB186" s="3" t="str">
        <f>IF(C_Ope_003[[#This Row],[FECHA]]&gt;0,TEXT(C_Ope_003[[#This Row],[FECHA]],"mmmm"),0)</f>
        <v>Mayo</v>
      </c>
    </row>
    <row r="187" spans="2:28" x14ac:dyDescent="0.3">
      <c r="B187" s="2">
        <f>IF(C_Ope_003[[#This Row],[TIPO DE R.]]="R",COUNTIFS($D$4:$D186,"R")+1,"")</f>
        <v>183</v>
      </c>
      <c r="C187" s="19" t="str">
        <f t="shared" si="14"/>
        <v>C_Ope_003</v>
      </c>
      <c r="D187" s="3" t="s">
        <v>1074</v>
      </c>
      <c r="E187" s="14">
        <v>45812</v>
      </c>
      <c r="F187" s="5" t="s">
        <v>6299</v>
      </c>
      <c r="G187" s="5" t="s">
        <v>1087</v>
      </c>
      <c r="H187" s="6"/>
      <c r="I187" s="6"/>
      <c r="J187" s="6"/>
      <c r="K187" s="6"/>
      <c r="L187" s="7" t="s">
        <v>6302</v>
      </c>
      <c r="M187" s="8">
        <v>24449</v>
      </c>
      <c r="N187" s="8" t="str">
        <f t="shared" si="15"/>
        <v>PEN</v>
      </c>
      <c r="O187" s="13"/>
      <c r="P187" s="13">
        <v>500</v>
      </c>
      <c r="Q187" s="3">
        <f t="shared" si="11"/>
        <v>500</v>
      </c>
      <c r="R187" s="3">
        <f t="shared" si="12"/>
        <v>0</v>
      </c>
      <c r="S187" s="3">
        <f t="shared" si="13"/>
        <v>910.05000000000018</v>
      </c>
      <c r="T187" s="24"/>
      <c r="U187" s="24"/>
      <c r="V187" s="3"/>
      <c r="W187" s="25"/>
      <c r="X187" s="25"/>
      <c r="Y187" s="25" t="str">
        <f>IFERROR(VLOOKUP(C_Ope_003[[#This Row],[NOTA 2]],Clientes_Proveedores[[Ruc / Dni]:[Razon Social]],2,0),"")</f>
        <v/>
      </c>
      <c r="Z187" s="25"/>
      <c r="AA187" s="25"/>
      <c r="AB187" s="3" t="str">
        <f>IF(C_Ope_003[[#This Row],[FECHA]]&gt;0,TEXT(C_Ope_003[[#This Row],[FECHA]],"mmmm"),0)</f>
        <v>Junio</v>
      </c>
    </row>
    <row r="188" spans="2:28" ht="24" x14ac:dyDescent="0.3">
      <c r="B188" s="2">
        <f>IF(C_Ope_003[[#This Row],[TIPO DE R.]]="R",COUNTIFS($D$4:$D187,"R")+1,"")</f>
        <v>184</v>
      </c>
      <c r="C188" s="19" t="str">
        <f t="shared" si="14"/>
        <v>C_Ope_003</v>
      </c>
      <c r="D188" s="3" t="s">
        <v>1074</v>
      </c>
      <c r="E188" s="14">
        <v>45812</v>
      </c>
      <c r="F188" s="5" t="s">
        <v>4644</v>
      </c>
      <c r="G188" s="5" t="s">
        <v>1079</v>
      </c>
      <c r="H188" s="6"/>
      <c r="I188" s="6" t="s">
        <v>14</v>
      </c>
      <c r="J188" s="6" t="s">
        <v>6879</v>
      </c>
      <c r="K188" s="6">
        <v>604479</v>
      </c>
      <c r="L188" s="7" t="s">
        <v>6880</v>
      </c>
      <c r="M188" s="8">
        <v>24452</v>
      </c>
      <c r="N188" s="8" t="str">
        <f t="shared" si="15"/>
        <v>PEN</v>
      </c>
      <c r="O188" s="13"/>
      <c r="P188" s="13">
        <v>23.6</v>
      </c>
      <c r="Q188" s="3">
        <f t="shared" si="11"/>
        <v>0</v>
      </c>
      <c r="R188" s="3">
        <f t="shared" si="12"/>
        <v>23.6</v>
      </c>
      <c r="S188" s="3">
        <f t="shared" si="13"/>
        <v>886.45000000000016</v>
      </c>
      <c r="T188" s="24"/>
      <c r="U188" s="24"/>
      <c r="V188" s="3"/>
      <c r="W188" s="25" t="s">
        <v>6747</v>
      </c>
      <c r="X188" s="25"/>
      <c r="Y188" s="25" t="str">
        <f>IFERROR(VLOOKUP(C_Ope_003[[#This Row],[NOTA 2]],Clientes_Proveedores[[Ruc / Dni]:[Razon Social]],2,0),"")</f>
        <v/>
      </c>
      <c r="Z188" s="25"/>
      <c r="AA188" s="25"/>
      <c r="AB188" s="3" t="str">
        <f>IF(C_Ope_003[[#This Row],[FECHA]]&gt;0,TEXT(C_Ope_003[[#This Row],[FECHA]],"mmmm"),0)</f>
        <v>Junio</v>
      </c>
    </row>
    <row r="189" spans="2:28" ht="24" x14ac:dyDescent="0.3">
      <c r="B189" s="2">
        <f>IF(C_Ope_003[[#This Row],[TIPO DE R.]]="R",COUNTIFS($D$4:$D188,"R")+1,"")</f>
        <v>185</v>
      </c>
      <c r="C189" s="19" t="str">
        <f t="shared" si="14"/>
        <v>C_Ope_003</v>
      </c>
      <c r="D189" s="3" t="s">
        <v>1074</v>
      </c>
      <c r="E189" s="14">
        <v>45813</v>
      </c>
      <c r="F189" s="5" t="s">
        <v>4644</v>
      </c>
      <c r="G189" s="5" t="s">
        <v>1079</v>
      </c>
      <c r="H189" s="6"/>
      <c r="I189" s="6" t="s">
        <v>14</v>
      </c>
      <c r="J189" s="6" t="s">
        <v>6926</v>
      </c>
      <c r="K189" s="6">
        <v>2874740</v>
      </c>
      <c r="L189" s="7" t="s">
        <v>6882</v>
      </c>
      <c r="M189" s="8">
        <v>24463</v>
      </c>
      <c r="N189" s="8" t="str">
        <f t="shared" si="15"/>
        <v>PEN</v>
      </c>
      <c r="O189" s="13"/>
      <c r="P189" s="13">
        <v>58.2</v>
      </c>
      <c r="Q189" s="3">
        <f t="shared" si="11"/>
        <v>0</v>
      </c>
      <c r="R189" s="3">
        <f t="shared" si="12"/>
        <v>58.2</v>
      </c>
      <c r="S189" s="3">
        <f t="shared" si="13"/>
        <v>828.25000000000011</v>
      </c>
      <c r="T189" s="24"/>
      <c r="U189" s="24"/>
      <c r="V189" s="3"/>
      <c r="W189" s="25" t="s">
        <v>6747</v>
      </c>
      <c r="X189" s="25"/>
      <c r="Y189" s="25" t="str">
        <f>IFERROR(VLOOKUP(C_Ope_003[[#This Row],[NOTA 2]],Clientes_Proveedores[[Ruc / Dni]:[Razon Social]],2,0),"")</f>
        <v/>
      </c>
      <c r="Z189" s="25"/>
      <c r="AA189" s="25"/>
      <c r="AB189" s="3" t="str">
        <f>IF(C_Ope_003[[#This Row],[FECHA]]&gt;0,TEXT(C_Ope_003[[#This Row],[FECHA]],"mmmm"),0)</f>
        <v>Junio</v>
      </c>
    </row>
    <row r="190" spans="2:28" ht="24" x14ac:dyDescent="0.3">
      <c r="B190" s="2">
        <f>IF(C_Ope_003[[#This Row],[TIPO DE R.]]="R",COUNTIFS($D$4:$D189,"R")+1,"")</f>
        <v>186</v>
      </c>
      <c r="C190" s="19" t="str">
        <f t="shared" si="14"/>
        <v>C_Ope_003</v>
      </c>
      <c r="D190" s="3" t="s">
        <v>1074</v>
      </c>
      <c r="E190" s="14">
        <v>45814</v>
      </c>
      <c r="F190" s="5" t="s">
        <v>4644</v>
      </c>
      <c r="G190" s="5" t="s">
        <v>1079</v>
      </c>
      <c r="H190" s="6"/>
      <c r="I190" s="6" t="s">
        <v>14</v>
      </c>
      <c r="J190" s="6" t="s">
        <v>7041</v>
      </c>
      <c r="K190" s="6">
        <v>2281580</v>
      </c>
      <c r="L190" s="7" t="s">
        <v>7042</v>
      </c>
      <c r="M190" s="8">
        <v>24476</v>
      </c>
      <c r="N190" s="8" t="str">
        <f t="shared" si="15"/>
        <v>PEN</v>
      </c>
      <c r="O190" s="13"/>
      <c r="P190" s="13">
        <v>22.5</v>
      </c>
      <c r="Q190" s="3">
        <f t="shared" si="11"/>
        <v>0</v>
      </c>
      <c r="R190" s="3">
        <f t="shared" si="12"/>
        <v>22.5</v>
      </c>
      <c r="S190" s="3">
        <f t="shared" si="13"/>
        <v>805.75000000000011</v>
      </c>
      <c r="T190" s="24"/>
      <c r="U190" s="24"/>
      <c r="V190" s="3"/>
      <c r="W190" s="25" t="s">
        <v>6747</v>
      </c>
      <c r="X190" s="25"/>
      <c r="Y190" s="25" t="str">
        <f>IFERROR(VLOOKUP(C_Ope_003[[#This Row],[NOTA 2]],Clientes_Proveedores[[Ruc / Dni]:[Razon Social]],2,0),"")</f>
        <v/>
      </c>
      <c r="Z190" s="25"/>
      <c r="AA190" s="25"/>
      <c r="AB190" s="3" t="str">
        <f>IF(C_Ope_003[[#This Row],[FECHA]]&gt;0,TEXT(C_Ope_003[[#This Row],[FECHA]],"mmmm"),0)</f>
        <v>Junio</v>
      </c>
    </row>
    <row r="191" spans="2:28" ht="24" x14ac:dyDescent="0.3">
      <c r="B191" s="2">
        <f>IF(C_Ope_003[[#This Row],[TIPO DE R.]]="R",COUNTIFS($D$4:$D190,"R")+1,"")</f>
        <v>187</v>
      </c>
      <c r="C191" s="19" t="str">
        <f t="shared" si="14"/>
        <v>C_Ope_003</v>
      </c>
      <c r="D191" s="3" t="s">
        <v>1074</v>
      </c>
      <c r="E191" s="14">
        <v>45815</v>
      </c>
      <c r="F191" s="5" t="s">
        <v>4644</v>
      </c>
      <c r="G191" s="5" t="s">
        <v>1079</v>
      </c>
      <c r="H191" s="6"/>
      <c r="I191" s="6" t="s">
        <v>14</v>
      </c>
      <c r="J191" s="6" t="s">
        <v>6906</v>
      </c>
      <c r="K191" s="6">
        <v>2668429</v>
      </c>
      <c r="L191" s="7" t="s">
        <v>7043</v>
      </c>
      <c r="M191" s="8">
        <v>24480</v>
      </c>
      <c r="N191" s="8" t="str">
        <f t="shared" si="15"/>
        <v>PEN</v>
      </c>
      <c r="O191" s="13"/>
      <c r="P191" s="13">
        <v>22.5</v>
      </c>
      <c r="Q191" s="3">
        <f t="shared" si="11"/>
        <v>0</v>
      </c>
      <c r="R191" s="3">
        <f t="shared" si="12"/>
        <v>22.5</v>
      </c>
      <c r="S191" s="3">
        <f t="shared" si="13"/>
        <v>783.25000000000011</v>
      </c>
      <c r="T191" s="24"/>
      <c r="U191" s="24"/>
      <c r="V191" s="3"/>
      <c r="W191" s="25" t="s">
        <v>6747</v>
      </c>
      <c r="X191" s="25"/>
      <c r="Y191" s="25" t="str">
        <f>IFERROR(VLOOKUP(C_Ope_003[[#This Row],[NOTA 2]],Clientes_Proveedores[[Ruc / Dni]:[Razon Social]],2,0),"")</f>
        <v/>
      </c>
      <c r="Z191" s="25"/>
      <c r="AA191" s="25"/>
      <c r="AB191" s="3" t="str">
        <f>IF(C_Ope_003[[#This Row],[FECHA]]&gt;0,TEXT(C_Ope_003[[#This Row],[FECHA]],"mmmm"),0)</f>
        <v>Junio</v>
      </c>
    </row>
    <row r="192" spans="2:28" ht="24" x14ac:dyDescent="0.3">
      <c r="B192" s="2">
        <f>IF(C_Ope_003[[#This Row],[TIPO DE R.]]="R",COUNTIFS($D$4:$D191,"R")+1,"")</f>
        <v>188</v>
      </c>
      <c r="C192" s="19" t="str">
        <f t="shared" si="14"/>
        <v>C_Ope_003</v>
      </c>
      <c r="D192" s="3" t="s">
        <v>1074</v>
      </c>
      <c r="E192" s="14">
        <v>45815</v>
      </c>
      <c r="F192" s="5" t="s">
        <v>4644</v>
      </c>
      <c r="G192" s="5" t="s">
        <v>1079</v>
      </c>
      <c r="H192" s="6"/>
      <c r="I192" s="6" t="s">
        <v>14</v>
      </c>
      <c r="J192" s="6" t="s">
        <v>6908</v>
      </c>
      <c r="K192" s="6">
        <v>2203923</v>
      </c>
      <c r="L192" s="7" t="s">
        <v>7044</v>
      </c>
      <c r="M192" s="8">
        <v>24481</v>
      </c>
      <c r="N192" s="8" t="str">
        <f t="shared" si="15"/>
        <v>PEN</v>
      </c>
      <c r="O192" s="13"/>
      <c r="P192" s="13">
        <v>58.2</v>
      </c>
      <c r="Q192" s="3">
        <f t="shared" si="11"/>
        <v>0</v>
      </c>
      <c r="R192" s="3">
        <f t="shared" si="12"/>
        <v>58.2</v>
      </c>
      <c r="S192" s="3">
        <f t="shared" si="13"/>
        <v>725.05000000000007</v>
      </c>
      <c r="T192" s="24"/>
      <c r="U192" s="24"/>
      <c r="V192" s="3"/>
      <c r="W192" s="25" t="s">
        <v>6747</v>
      </c>
      <c r="X192" s="25"/>
      <c r="Y192" s="25" t="str">
        <f>IFERROR(VLOOKUP(C_Ope_003[[#This Row],[NOTA 2]],Clientes_Proveedores[[Ruc / Dni]:[Razon Social]],2,0),"")</f>
        <v/>
      </c>
      <c r="Z192" s="25"/>
      <c r="AA192" s="25"/>
      <c r="AB192" s="3" t="str">
        <f>IF(C_Ope_003[[#This Row],[FECHA]]&gt;0,TEXT(C_Ope_003[[#This Row],[FECHA]],"mmmm"),0)</f>
        <v>Junio</v>
      </c>
    </row>
    <row r="193" spans="2:28" x14ac:dyDescent="0.3">
      <c r="B193" s="2">
        <f>IF(C_Ope_003[[#This Row],[TIPO DE R.]]="R",COUNTIFS($D$4:$D192,"R")+1,"")</f>
        <v>189</v>
      </c>
      <c r="C193" s="19" t="str">
        <f t="shared" si="14"/>
        <v>C_Ope_003</v>
      </c>
      <c r="D193" s="3" t="s">
        <v>1074</v>
      </c>
      <c r="E193" s="14">
        <v>45816</v>
      </c>
      <c r="F193" s="5" t="s">
        <v>4644</v>
      </c>
      <c r="G193" s="5" t="s">
        <v>1079</v>
      </c>
      <c r="H193" s="6"/>
      <c r="I193" s="6" t="s">
        <v>14</v>
      </c>
      <c r="J193" s="6" t="s">
        <v>2920</v>
      </c>
      <c r="K193" s="6">
        <v>2153527</v>
      </c>
      <c r="L193" s="7" t="s">
        <v>7045</v>
      </c>
      <c r="M193" s="8">
        <v>24489</v>
      </c>
      <c r="N193" s="8" t="str">
        <f t="shared" si="15"/>
        <v>PEN</v>
      </c>
      <c r="O193" s="13"/>
      <c r="P193" s="13">
        <v>58.2</v>
      </c>
      <c r="Q193" s="3">
        <f t="shared" si="11"/>
        <v>0</v>
      </c>
      <c r="R193" s="3">
        <f t="shared" si="12"/>
        <v>58.2</v>
      </c>
      <c r="S193" s="3">
        <f t="shared" si="13"/>
        <v>666.85</v>
      </c>
      <c r="T193" s="24"/>
      <c r="U193" s="24"/>
      <c r="V193" s="3"/>
      <c r="W193" s="25" t="s">
        <v>6747</v>
      </c>
      <c r="X193" s="25"/>
      <c r="Y193" s="25" t="str">
        <f>IFERROR(VLOOKUP(C_Ope_003[[#This Row],[NOTA 2]],Clientes_Proveedores[[Ruc / Dni]:[Razon Social]],2,0),"")</f>
        <v/>
      </c>
      <c r="Z193" s="25"/>
      <c r="AA193" s="25"/>
      <c r="AB193" s="3" t="str">
        <f>IF(C_Ope_003[[#This Row],[FECHA]]&gt;0,TEXT(C_Ope_003[[#This Row],[FECHA]],"mmmm"),0)</f>
        <v>Junio</v>
      </c>
    </row>
    <row r="194" spans="2:28" ht="24" x14ac:dyDescent="0.3">
      <c r="B194" s="2">
        <f>IF(C_Ope_003[[#This Row],[TIPO DE R.]]="R",COUNTIFS($D$4:$D193,"R")+1,"")</f>
        <v>190</v>
      </c>
      <c r="C194" s="19" t="str">
        <f t="shared" si="14"/>
        <v>C_Ope_003</v>
      </c>
      <c r="D194" s="3" t="s">
        <v>1074</v>
      </c>
      <c r="E194" s="14">
        <v>45816</v>
      </c>
      <c r="F194" s="5" t="s">
        <v>4644</v>
      </c>
      <c r="G194" s="5" t="s">
        <v>1079</v>
      </c>
      <c r="H194" s="6"/>
      <c r="I194" s="6"/>
      <c r="J194" s="6"/>
      <c r="K194" s="6" t="s">
        <v>7046</v>
      </c>
      <c r="L194" s="7" t="s">
        <v>7047</v>
      </c>
      <c r="M194" s="8">
        <v>24490</v>
      </c>
      <c r="N194" s="8" t="str">
        <f t="shared" si="15"/>
        <v>PEN</v>
      </c>
      <c r="O194" s="13"/>
      <c r="P194" s="13">
        <v>19.5</v>
      </c>
      <c r="Q194" s="3">
        <f t="shared" si="11"/>
        <v>0</v>
      </c>
      <c r="R194" s="3">
        <f t="shared" si="12"/>
        <v>19.5</v>
      </c>
      <c r="S194" s="3">
        <f t="shared" si="13"/>
        <v>647.35</v>
      </c>
      <c r="T194" s="24"/>
      <c r="U194" s="24"/>
      <c r="V194" s="3"/>
      <c r="W194" s="25" t="s">
        <v>6747</v>
      </c>
      <c r="X194" s="25"/>
      <c r="Y194" s="25" t="str">
        <f>IFERROR(VLOOKUP(C_Ope_003[[#This Row],[NOTA 2]],Clientes_Proveedores[[Ruc / Dni]:[Razon Social]],2,0),"")</f>
        <v/>
      </c>
      <c r="Z194" s="25"/>
      <c r="AA194" s="25"/>
      <c r="AB194" s="3" t="str">
        <f>IF(C_Ope_003[[#This Row],[FECHA]]&gt;0,TEXT(C_Ope_003[[#This Row],[FECHA]],"mmmm"),0)</f>
        <v>Junio</v>
      </c>
    </row>
    <row r="195" spans="2:28" ht="24" x14ac:dyDescent="0.3">
      <c r="B195" s="2">
        <f>IF(C_Ope_003[[#This Row],[TIPO DE R.]]="R",COUNTIFS($D$4:$D194,"R")+1,"")</f>
        <v>191</v>
      </c>
      <c r="C195" s="19" t="str">
        <f t="shared" si="14"/>
        <v>C_Ope_003</v>
      </c>
      <c r="D195" s="3" t="s">
        <v>1074</v>
      </c>
      <c r="E195" s="14">
        <v>45816</v>
      </c>
      <c r="F195" s="5" t="s">
        <v>4644</v>
      </c>
      <c r="G195" s="5" t="s">
        <v>1079</v>
      </c>
      <c r="H195" s="6"/>
      <c r="I195" s="6"/>
      <c r="J195" s="6"/>
      <c r="K195" s="6" t="s">
        <v>7048</v>
      </c>
      <c r="L195" s="7" t="s">
        <v>7049</v>
      </c>
      <c r="M195" s="8">
        <v>24491</v>
      </c>
      <c r="N195" s="8" t="str">
        <f t="shared" si="15"/>
        <v>PEN</v>
      </c>
      <c r="O195" s="13"/>
      <c r="P195" s="13">
        <v>19.5</v>
      </c>
      <c r="Q195" s="3">
        <f t="shared" si="11"/>
        <v>0</v>
      </c>
      <c r="R195" s="3">
        <f t="shared" si="12"/>
        <v>19.5</v>
      </c>
      <c r="S195" s="3">
        <f t="shared" si="13"/>
        <v>627.85</v>
      </c>
      <c r="T195" s="24"/>
      <c r="U195" s="24"/>
      <c r="V195" s="3"/>
      <c r="W195" s="25" t="s">
        <v>6747</v>
      </c>
      <c r="X195" s="25"/>
      <c r="Y195" s="25" t="str">
        <f>IFERROR(VLOOKUP(C_Ope_003[[#This Row],[NOTA 2]],Clientes_Proveedores[[Ruc / Dni]:[Razon Social]],2,0),"")</f>
        <v/>
      </c>
      <c r="Z195" s="25"/>
      <c r="AA195" s="25"/>
      <c r="AB195" s="3" t="str">
        <f>IF(C_Ope_003[[#This Row],[FECHA]]&gt;0,TEXT(C_Ope_003[[#This Row],[FECHA]],"mmmm"),0)</f>
        <v>Junio</v>
      </c>
    </row>
    <row r="196" spans="2:28" ht="24" x14ac:dyDescent="0.3">
      <c r="B196" s="2">
        <f>IF(C_Ope_003[[#This Row],[TIPO DE R.]]="R",COUNTIFS($D$4:$D195,"R")+1,"")</f>
        <v>192</v>
      </c>
      <c r="C196" s="19" t="str">
        <f t="shared" si="14"/>
        <v>C_Ope_003</v>
      </c>
      <c r="D196" s="3" t="s">
        <v>1074</v>
      </c>
      <c r="E196" s="14">
        <v>45816</v>
      </c>
      <c r="F196" s="5" t="s">
        <v>4644</v>
      </c>
      <c r="G196" s="5" t="s">
        <v>1079</v>
      </c>
      <c r="H196" s="6"/>
      <c r="I196" s="6"/>
      <c r="J196" s="6"/>
      <c r="K196" s="6" t="s">
        <v>7050</v>
      </c>
      <c r="L196" s="7" t="s">
        <v>7051</v>
      </c>
      <c r="M196" s="8">
        <v>24492</v>
      </c>
      <c r="N196" s="8" t="str">
        <f t="shared" si="15"/>
        <v>PEN</v>
      </c>
      <c r="O196" s="13"/>
      <c r="P196" s="13">
        <v>19.5</v>
      </c>
      <c r="Q196" s="3">
        <f t="shared" si="11"/>
        <v>0</v>
      </c>
      <c r="R196" s="3">
        <f t="shared" si="12"/>
        <v>19.5</v>
      </c>
      <c r="S196" s="3">
        <f t="shared" si="13"/>
        <v>608.35</v>
      </c>
      <c r="T196" s="24"/>
      <c r="U196" s="24"/>
      <c r="V196" s="3"/>
      <c r="W196" s="25" t="s">
        <v>6747</v>
      </c>
      <c r="X196" s="25"/>
      <c r="Y196" s="25" t="str">
        <f>IFERROR(VLOOKUP(C_Ope_003[[#This Row],[NOTA 2]],Clientes_Proveedores[[Ruc / Dni]:[Razon Social]],2,0),"")</f>
        <v/>
      </c>
      <c r="Z196" s="25"/>
      <c r="AA196" s="25"/>
      <c r="AB196" s="3" t="str">
        <f>IF(C_Ope_003[[#This Row],[FECHA]]&gt;0,TEXT(C_Ope_003[[#This Row],[FECHA]],"mmmm"),0)</f>
        <v>Junio</v>
      </c>
    </row>
    <row r="197" spans="2:28" ht="24" x14ac:dyDescent="0.3">
      <c r="B197" s="2">
        <f>IF(C_Ope_003[[#This Row],[TIPO DE R.]]="R",COUNTIFS($D$4:$D196,"R")+1,"")</f>
        <v>193</v>
      </c>
      <c r="C197" s="19" t="str">
        <f t="shared" si="14"/>
        <v>C_Ope_003</v>
      </c>
      <c r="D197" s="3" t="s">
        <v>1074</v>
      </c>
      <c r="E197" s="14">
        <v>45816</v>
      </c>
      <c r="F197" s="5" t="s">
        <v>4644</v>
      </c>
      <c r="G197" s="5" t="s">
        <v>1079</v>
      </c>
      <c r="H197" s="6"/>
      <c r="I197" s="6" t="s">
        <v>14</v>
      </c>
      <c r="J197" s="6" t="s">
        <v>2629</v>
      </c>
      <c r="K197" s="6">
        <v>774194</v>
      </c>
      <c r="L197" s="7" t="s">
        <v>7052</v>
      </c>
      <c r="M197" s="8">
        <v>24493</v>
      </c>
      <c r="N197" s="8" t="str">
        <f t="shared" si="15"/>
        <v>PEN</v>
      </c>
      <c r="O197" s="13"/>
      <c r="P197" s="13">
        <v>23.6</v>
      </c>
      <c r="Q197" s="3">
        <f t="shared" ref="Q197:Q236" si="16">+IF(OR($G197="SALDO",$G197="INGRESO"),$P197,0)</f>
        <v>0</v>
      </c>
      <c r="R197" s="3">
        <f t="shared" ref="R197:R236" si="17">+IF($G197="EGRESO",$P197,0)</f>
        <v>23.6</v>
      </c>
      <c r="S197" s="3">
        <f t="shared" ref="S197:S255" si="18">IFERROR(IF(G197="SALDO",Q197,S196+Q197-R197),0)</f>
        <v>584.75</v>
      </c>
      <c r="T197" s="24"/>
      <c r="U197" s="24"/>
      <c r="V197" s="3"/>
      <c r="W197" s="25" t="s">
        <v>6747</v>
      </c>
      <c r="X197" s="25"/>
      <c r="Y197" s="25" t="str">
        <f>IFERROR(VLOOKUP(C_Ope_003[[#This Row],[NOTA 2]],Clientes_Proveedores[[Ruc / Dni]:[Razon Social]],2,0),"")</f>
        <v/>
      </c>
      <c r="Z197" s="25"/>
      <c r="AA197" s="25"/>
      <c r="AB197" s="3" t="str">
        <f>IF(C_Ope_003[[#This Row],[FECHA]]&gt;0,TEXT(C_Ope_003[[#This Row],[FECHA]],"mmmm"),0)</f>
        <v>Junio</v>
      </c>
    </row>
    <row r="198" spans="2:28" x14ac:dyDescent="0.3">
      <c r="B198" s="2">
        <f>IF(C_Ope_003[[#This Row],[TIPO DE R.]]="R",COUNTIFS($D$4:$D197,"R")+1,"")</f>
        <v>194</v>
      </c>
      <c r="C198" s="19" t="str">
        <f t="shared" ref="C198:C236" si="19">"C_Ope_003"</f>
        <v>C_Ope_003</v>
      </c>
      <c r="D198" s="3" t="s">
        <v>1074</v>
      </c>
      <c r="E198" s="14">
        <v>45810</v>
      </c>
      <c r="F198" s="5" t="s">
        <v>4644</v>
      </c>
      <c r="G198" s="5" t="s">
        <v>1079</v>
      </c>
      <c r="H198" s="6"/>
      <c r="I198" s="6" t="s">
        <v>14</v>
      </c>
      <c r="J198" s="6" t="s">
        <v>1148</v>
      </c>
      <c r="K198" s="6">
        <v>132626</v>
      </c>
      <c r="L198" s="7" t="s">
        <v>7053</v>
      </c>
      <c r="M198" s="8">
        <v>24414</v>
      </c>
      <c r="N198" s="8" t="str">
        <f t="shared" ref="N198:N236" si="20">"PEN"</f>
        <v>PEN</v>
      </c>
      <c r="O198" s="13"/>
      <c r="P198" s="13">
        <v>10</v>
      </c>
      <c r="Q198" s="3">
        <f t="shared" si="16"/>
        <v>0</v>
      </c>
      <c r="R198" s="3">
        <f t="shared" si="17"/>
        <v>10</v>
      </c>
      <c r="S198" s="3">
        <f t="shared" si="18"/>
        <v>574.75</v>
      </c>
      <c r="T198" s="24"/>
      <c r="U198" s="24"/>
      <c r="V198" s="3"/>
      <c r="W198" s="25" t="s">
        <v>6747</v>
      </c>
      <c r="X198" s="25"/>
      <c r="Y198" s="25" t="str">
        <f>IFERROR(VLOOKUP(C_Ope_003[[#This Row],[NOTA 2]],Clientes_Proveedores[[Ruc / Dni]:[Razon Social]],2,0),"")</f>
        <v/>
      </c>
      <c r="Z198" s="25"/>
      <c r="AA198" s="25"/>
      <c r="AB198" s="3" t="str">
        <f>IF(C_Ope_003[[#This Row],[FECHA]]&gt;0,TEXT(C_Ope_003[[#This Row],[FECHA]],"mmmm"),0)</f>
        <v>Junio</v>
      </c>
    </row>
    <row r="199" spans="2:28" x14ac:dyDescent="0.3">
      <c r="B199" s="2">
        <f>IF(C_Ope_003[[#This Row],[TIPO DE R.]]="R",COUNTIFS($D$4:$D198,"R")+1,"")</f>
        <v>195</v>
      </c>
      <c r="C199" s="19" t="str">
        <f t="shared" si="19"/>
        <v>C_Ope_003</v>
      </c>
      <c r="D199" s="3" t="s">
        <v>1074</v>
      </c>
      <c r="E199" s="14">
        <v>45810</v>
      </c>
      <c r="F199" s="5" t="s">
        <v>4644</v>
      </c>
      <c r="G199" s="5" t="s">
        <v>1079</v>
      </c>
      <c r="H199" s="6"/>
      <c r="I199" s="6" t="s">
        <v>14</v>
      </c>
      <c r="J199" s="6" t="s">
        <v>1148</v>
      </c>
      <c r="K199" s="6">
        <v>132631</v>
      </c>
      <c r="L199" s="7" t="s">
        <v>7054</v>
      </c>
      <c r="M199" s="8">
        <v>24415</v>
      </c>
      <c r="N199" s="8" t="str">
        <f t="shared" si="20"/>
        <v>PEN</v>
      </c>
      <c r="O199" s="13"/>
      <c r="P199" s="13">
        <v>10</v>
      </c>
      <c r="Q199" s="3">
        <f t="shared" si="16"/>
        <v>0</v>
      </c>
      <c r="R199" s="3">
        <f t="shared" si="17"/>
        <v>10</v>
      </c>
      <c r="S199" s="3">
        <f t="shared" si="18"/>
        <v>564.75</v>
      </c>
      <c r="T199" s="24"/>
      <c r="U199" s="24"/>
      <c r="V199" s="3"/>
      <c r="W199" s="25" t="s">
        <v>6747</v>
      </c>
      <c r="X199" s="25"/>
      <c r="Y199" s="25" t="str">
        <f>IFERROR(VLOOKUP(C_Ope_003[[#This Row],[NOTA 2]],Clientes_Proveedores[[Ruc / Dni]:[Razon Social]],2,0),"")</f>
        <v/>
      </c>
      <c r="Z199" s="25"/>
      <c r="AA199" s="25"/>
      <c r="AB199" s="3" t="str">
        <f>IF(C_Ope_003[[#This Row],[FECHA]]&gt;0,TEXT(C_Ope_003[[#This Row],[FECHA]],"mmmm"),0)</f>
        <v>Junio</v>
      </c>
    </row>
    <row r="200" spans="2:28" x14ac:dyDescent="0.3">
      <c r="B200" s="2">
        <f>IF(C_Ope_003[[#This Row],[TIPO DE R.]]="R",COUNTIFS($D$4:$D199,"R")+1,"")</f>
        <v>196</v>
      </c>
      <c r="C200" s="19" t="str">
        <f t="shared" si="19"/>
        <v>C_Ope_003</v>
      </c>
      <c r="D200" s="3" t="s">
        <v>1074</v>
      </c>
      <c r="E200" s="14">
        <v>45810</v>
      </c>
      <c r="F200" s="5" t="s">
        <v>4644</v>
      </c>
      <c r="G200" s="5" t="s">
        <v>1079</v>
      </c>
      <c r="H200" s="6"/>
      <c r="I200" s="6" t="s">
        <v>14</v>
      </c>
      <c r="J200" s="6" t="s">
        <v>1148</v>
      </c>
      <c r="K200" s="6">
        <v>132625</v>
      </c>
      <c r="L200" s="7" t="s">
        <v>7055</v>
      </c>
      <c r="M200" s="8">
        <v>24416</v>
      </c>
      <c r="N200" s="8" t="str">
        <f t="shared" si="20"/>
        <v>PEN</v>
      </c>
      <c r="O200" s="13"/>
      <c r="P200" s="13">
        <v>10</v>
      </c>
      <c r="Q200" s="3">
        <f t="shared" si="16"/>
        <v>0</v>
      </c>
      <c r="R200" s="3">
        <f t="shared" si="17"/>
        <v>10</v>
      </c>
      <c r="S200" s="3">
        <f t="shared" si="18"/>
        <v>554.75</v>
      </c>
      <c r="T200" s="24"/>
      <c r="U200" s="24"/>
      <c r="V200" s="3"/>
      <c r="W200" s="25" t="s">
        <v>6747</v>
      </c>
      <c r="X200" s="25"/>
      <c r="Y200" s="25" t="str">
        <f>IFERROR(VLOOKUP(C_Ope_003[[#This Row],[NOTA 2]],Clientes_Proveedores[[Ruc / Dni]:[Razon Social]],2,0),"")</f>
        <v/>
      </c>
      <c r="Z200" s="25"/>
      <c r="AA200" s="25"/>
      <c r="AB200" s="3" t="str">
        <f>IF(C_Ope_003[[#This Row],[FECHA]]&gt;0,TEXT(C_Ope_003[[#This Row],[FECHA]],"mmmm"),0)</f>
        <v>Junio</v>
      </c>
    </row>
    <row r="201" spans="2:28" x14ac:dyDescent="0.3">
      <c r="B201" s="2">
        <f>IF(C_Ope_003[[#This Row],[TIPO DE R.]]="R",COUNTIFS($D$4:$D200,"R")+1,"")</f>
        <v>197</v>
      </c>
      <c r="C201" s="19" t="str">
        <f t="shared" si="19"/>
        <v>C_Ope_003</v>
      </c>
      <c r="D201" s="3" t="s">
        <v>1074</v>
      </c>
      <c r="E201" s="14">
        <v>45812</v>
      </c>
      <c r="F201" s="5" t="s">
        <v>4644</v>
      </c>
      <c r="G201" s="5" t="s">
        <v>1079</v>
      </c>
      <c r="H201" s="6"/>
      <c r="I201" s="6"/>
      <c r="J201" s="6" t="s">
        <v>6893</v>
      </c>
      <c r="K201" s="6"/>
      <c r="L201" s="7" t="s">
        <v>7056</v>
      </c>
      <c r="M201" s="8">
        <v>24450</v>
      </c>
      <c r="N201" s="8" t="str">
        <f t="shared" si="20"/>
        <v>PEN</v>
      </c>
      <c r="O201" s="13"/>
      <c r="P201" s="13">
        <v>15</v>
      </c>
      <c r="Q201" s="3">
        <f t="shared" si="16"/>
        <v>0</v>
      </c>
      <c r="R201" s="3">
        <f t="shared" si="17"/>
        <v>15</v>
      </c>
      <c r="S201" s="3">
        <f t="shared" si="18"/>
        <v>539.75</v>
      </c>
      <c r="T201" s="24"/>
      <c r="U201" s="24"/>
      <c r="V201" s="3"/>
      <c r="W201" s="25" t="s">
        <v>6747</v>
      </c>
      <c r="X201" s="25"/>
      <c r="Y201" s="25" t="str">
        <f>IFERROR(VLOOKUP(C_Ope_003[[#This Row],[NOTA 2]],Clientes_Proveedores[[Ruc / Dni]:[Razon Social]],2,0),"")</f>
        <v/>
      </c>
      <c r="Z201" s="25"/>
      <c r="AA201" s="25"/>
      <c r="AB201" s="3" t="str">
        <f>IF(C_Ope_003[[#This Row],[FECHA]]&gt;0,TEXT(C_Ope_003[[#This Row],[FECHA]],"mmmm"),0)</f>
        <v>Junio</v>
      </c>
    </row>
    <row r="202" spans="2:28" x14ac:dyDescent="0.3">
      <c r="B202" s="2">
        <f>IF(C_Ope_003[[#This Row],[TIPO DE R.]]="R",COUNTIFS($D$4:$D201,"R")+1,"")</f>
        <v>198</v>
      </c>
      <c r="C202" s="19" t="str">
        <f t="shared" si="19"/>
        <v>C_Ope_003</v>
      </c>
      <c r="D202" s="3" t="s">
        <v>1074</v>
      </c>
      <c r="E202" s="14">
        <v>45812</v>
      </c>
      <c r="F202" s="5" t="s">
        <v>4644</v>
      </c>
      <c r="G202" s="5" t="s">
        <v>1079</v>
      </c>
      <c r="H202" s="6"/>
      <c r="I202" s="6"/>
      <c r="J202" s="6" t="s">
        <v>6893</v>
      </c>
      <c r="K202" s="6"/>
      <c r="L202" s="7" t="s">
        <v>7057</v>
      </c>
      <c r="M202" s="8">
        <v>24451</v>
      </c>
      <c r="N202" s="8" t="str">
        <f t="shared" si="20"/>
        <v>PEN</v>
      </c>
      <c r="O202" s="13"/>
      <c r="P202" s="13">
        <v>12</v>
      </c>
      <c r="Q202" s="3">
        <f t="shared" si="16"/>
        <v>0</v>
      </c>
      <c r="R202" s="3">
        <f t="shared" si="17"/>
        <v>12</v>
      </c>
      <c r="S202" s="3">
        <f t="shared" si="18"/>
        <v>527.75</v>
      </c>
      <c r="T202" s="24"/>
      <c r="U202" s="24"/>
      <c r="V202" s="3"/>
      <c r="W202" s="25" t="s">
        <v>6747</v>
      </c>
      <c r="X202" s="25"/>
      <c r="Y202" s="25" t="str">
        <f>IFERROR(VLOOKUP(C_Ope_003[[#This Row],[NOTA 2]],Clientes_Proveedores[[Ruc / Dni]:[Razon Social]],2,0),"")</f>
        <v/>
      </c>
      <c r="Z202" s="25"/>
      <c r="AA202" s="25"/>
      <c r="AB202" s="3" t="str">
        <f>IF(C_Ope_003[[#This Row],[FECHA]]&gt;0,TEXT(C_Ope_003[[#This Row],[FECHA]],"mmmm"),0)</f>
        <v>Junio</v>
      </c>
    </row>
    <row r="203" spans="2:28" x14ac:dyDescent="0.3">
      <c r="B203" s="2">
        <f>IF(C_Ope_003[[#This Row],[TIPO DE R.]]="R",COUNTIFS($D$4:$D202,"R")+1,"")</f>
        <v>199</v>
      </c>
      <c r="C203" s="19" t="str">
        <f t="shared" si="19"/>
        <v>C_Ope_003</v>
      </c>
      <c r="D203" s="3" t="s">
        <v>1074</v>
      </c>
      <c r="E203" s="14">
        <v>45812</v>
      </c>
      <c r="F203" s="5" t="s">
        <v>4644</v>
      </c>
      <c r="G203" s="5" t="s">
        <v>1079</v>
      </c>
      <c r="H203" s="6"/>
      <c r="I203" s="6"/>
      <c r="J203" s="6" t="s">
        <v>6893</v>
      </c>
      <c r="K203" s="6"/>
      <c r="L203" s="7" t="s">
        <v>7058</v>
      </c>
      <c r="M203" s="8">
        <v>24453</v>
      </c>
      <c r="N203" s="8" t="str">
        <f t="shared" si="20"/>
        <v>PEN</v>
      </c>
      <c r="O203" s="13"/>
      <c r="P203" s="13">
        <v>50</v>
      </c>
      <c r="Q203" s="3">
        <f t="shared" si="16"/>
        <v>0</v>
      </c>
      <c r="R203" s="3">
        <f t="shared" si="17"/>
        <v>50</v>
      </c>
      <c r="S203" s="3">
        <f t="shared" si="18"/>
        <v>477.75</v>
      </c>
      <c r="T203" s="24"/>
      <c r="U203" s="24"/>
      <c r="V203" s="3"/>
      <c r="W203" s="25" t="s">
        <v>6747</v>
      </c>
      <c r="X203" s="25"/>
      <c r="Y203" s="25" t="str">
        <f>IFERROR(VLOOKUP(C_Ope_003[[#This Row],[NOTA 2]],Clientes_Proveedores[[Ruc / Dni]:[Razon Social]],2,0),"")</f>
        <v/>
      </c>
      <c r="Z203" s="25"/>
      <c r="AA203" s="25"/>
      <c r="AB203" s="3" t="str">
        <f>IF(C_Ope_003[[#This Row],[FECHA]]&gt;0,TEXT(C_Ope_003[[#This Row],[FECHA]],"mmmm"),0)</f>
        <v>Junio</v>
      </c>
    </row>
    <row r="204" spans="2:28" x14ac:dyDescent="0.3">
      <c r="B204" s="2">
        <f>IF(C_Ope_003[[#This Row],[TIPO DE R.]]="R",COUNTIFS($D$4:$D203,"R")+1,"")</f>
        <v>200</v>
      </c>
      <c r="C204" s="19" t="str">
        <f t="shared" si="19"/>
        <v>C_Ope_003</v>
      </c>
      <c r="D204" s="3" t="s">
        <v>1074</v>
      </c>
      <c r="E204" s="14">
        <v>45812</v>
      </c>
      <c r="F204" s="5" t="s">
        <v>4644</v>
      </c>
      <c r="G204" s="5" t="s">
        <v>1079</v>
      </c>
      <c r="H204" s="6"/>
      <c r="I204" s="6"/>
      <c r="J204" s="6" t="s">
        <v>6893</v>
      </c>
      <c r="K204" s="6"/>
      <c r="L204" s="7" t="s">
        <v>7059</v>
      </c>
      <c r="M204" s="8">
        <v>24454</v>
      </c>
      <c r="N204" s="8" t="str">
        <f t="shared" si="20"/>
        <v>PEN</v>
      </c>
      <c r="O204" s="13"/>
      <c r="P204" s="13">
        <v>15</v>
      </c>
      <c r="Q204" s="3">
        <f t="shared" si="16"/>
        <v>0</v>
      </c>
      <c r="R204" s="3">
        <f t="shared" si="17"/>
        <v>15</v>
      </c>
      <c r="S204" s="3">
        <f t="shared" si="18"/>
        <v>462.75</v>
      </c>
      <c r="T204" s="24"/>
      <c r="U204" s="24"/>
      <c r="V204" s="3"/>
      <c r="W204" s="25" t="s">
        <v>6747</v>
      </c>
      <c r="X204" s="25"/>
      <c r="Y204" s="25" t="str">
        <f>IFERROR(VLOOKUP(C_Ope_003[[#This Row],[NOTA 2]],Clientes_Proveedores[[Ruc / Dni]:[Razon Social]],2,0),"")</f>
        <v/>
      </c>
      <c r="Z204" s="25"/>
      <c r="AA204" s="25"/>
      <c r="AB204" s="3" t="str">
        <f>IF(C_Ope_003[[#This Row],[FECHA]]&gt;0,TEXT(C_Ope_003[[#This Row],[FECHA]],"mmmm"),0)</f>
        <v>Junio</v>
      </c>
    </row>
    <row r="205" spans="2:28" x14ac:dyDescent="0.3">
      <c r="B205" s="2">
        <f>IF(C_Ope_003[[#This Row],[TIPO DE R.]]="R",COUNTIFS($D$4:$D204,"R")+1,"")</f>
        <v>201</v>
      </c>
      <c r="C205" s="19" t="str">
        <f t="shared" si="19"/>
        <v>C_Ope_003</v>
      </c>
      <c r="D205" s="3" t="s">
        <v>1074</v>
      </c>
      <c r="E205" s="14">
        <v>45813</v>
      </c>
      <c r="F205" s="5" t="s">
        <v>4644</v>
      </c>
      <c r="G205" s="5" t="s">
        <v>1079</v>
      </c>
      <c r="H205" s="6"/>
      <c r="I205" s="6" t="s">
        <v>21</v>
      </c>
      <c r="J205" s="6">
        <v>3</v>
      </c>
      <c r="K205" s="6">
        <v>34526</v>
      </c>
      <c r="L205" s="7" t="s">
        <v>7060</v>
      </c>
      <c r="M205" s="8">
        <v>24457</v>
      </c>
      <c r="N205" s="8" t="str">
        <f t="shared" si="20"/>
        <v>PEN</v>
      </c>
      <c r="O205" s="13"/>
      <c r="P205" s="13">
        <v>12</v>
      </c>
      <c r="Q205" s="3">
        <f t="shared" si="16"/>
        <v>0</v>
      </c>
      <c r="R205" s="3">
        <f t="shared" si="17"/>
        <v>12</v>
      </c>
      <c r="S205" s="3">
        <f t="shared" si="18"/>
        <v>450.75</v>
      </c>
      <c r="T205" s="24"/>
      <c r="U205" s="24"/>
      <c r="V205" s="3"/>
      <c r="W205" s="25" t="s">
        <v>6747</v>
      </c>
      <c r="X205" s="25"/>
      <c r="Y205" s="25" t="str">
        <f>IFERROR(VLOOKUP(C_Ope_003[[#This Row],[NOTA 2]],Clientes_Proveedores[[Ruc / Dni]:[Razon Social]],2,0),"")</f>
        <v/>
      </c>
      <c r="Z205" s="25"/>
      <c r="AA205" s="25"/>
      <c r="AB205" s="3" t="str">
        <f>IF(C_Ope_003[[#This Row],[FECHA]]&gt;0,TEXT(C_Ope_003[[#This Row],[FECHA]],"mmmm"),0)</f>
        <v>Junio</v>
      </c>
    </row>
    <row r="206" spans="2:28" x14ac:dyDescent="0.3">
      <c r="B206" s="2">
        <f>IF(C_Ope_003[[#This Row],[TIPO DE R.]]="R",COUNTIFS($D$4:$D205,"R")+1,"")</f>
        <v>202</v>
      </c>
      <c r="C206" s="19" t="str">
        <f t="shared" si="19"/>
        <v>C_Ope_003</v>
      </c>
      <c r="D206" s="3" t="s">
        <v>1074</v>
      </c>
      <c r="E206" s="14">
        <v>45813</v>
      </c>
      <c r="F206" s="5" t="s">
        <v>4644</v>
      </c>
      <c r="G206" s="5" t="s">
        <v>1079</v>
      </c>
      <c r="H206" s="6"/>
      <c r="I206" s="6" t="s">
        <v>21</v>
      </c>
      <c r="J206" s="6">
        <v>3</v>
      </c>
      <c r="K206" s="6">
        <v>34526</v>
      </c>
      <c r="L206" s="7" t="s">
        <v>7060</v>
      </c>
      <c r="M206" s="8">
        <v>24458</v>
      </c>
      <c r="N206" s="8" t="str">
        <f t="shared" si="20"/>
        <v>PEN</v>
      </c>
      <c r="O206" s="13"/>
      <c r="P206" s="13">
        <v>0</v>
      </c>
      <c r="Q206" s="3">
        <f t="shared" si="16"/>
        <v>0</v>
      </c>
      <c r="R206" s="3">
        <f t="shared" si="17"/>
        <v>0</v>
      </c>
      <c r="S206" s="3">
        <f t="shared" si="18"/>
        <v>450.75</v>
      </c>
      <c r="T206" s="24"/>
      <c r="U206" s="24"/>
      <c r="V206" s="3"/>
      <c r="W206" s="25" t="s">
        <v>6747</v>
      </c>
      <c r="X206" s="25"/>
      <c r="Y206" s="25" t="str">
        <f>IFERROR(VLOOKUP(C_Ope_003[[#This Row],[NOTA 2]],Clientes_Proveedores[[Ruc / Dni]:[Razon Social]],2,0),"")</f>
        <v/>
      </c>
      <c r="Z206" s="25"/>
      <c r="AA206" s="25"/>
      <c r="AB206" s="3" t="str">
        <f>IF(C_Ope_003[[#This Row],[FECHA]]&gt;0,TEXT(C_Ope_003[[#This Row],[FECHA]],"mmmm"),0)</f>
        <v>Junio</v>
      </c>
    </row>
    <row r="207" spans="2:28" x14ac:dyDescent="0.3">
      <c r="B207" s="2">
        <f>IF(C_Ope_003[[#This Row],[TIPO DE R.]]="R",COUNTIFS($D$4:$D206,"R")+1,"")</f>
        <v>203</v>
      </c>
      <c r="C207" s="19" t="str">
        <f t="shared" si="19"/>
        <v>C_Ope_003</v>
      </c>
      <c r="D207" s="3" t="s">
        <v>1074</v>
      </c>
      <c r="E207" s="14">
        <v>45813</v>
      </c>
      <c r="F207" s="5" t="s">
        <v>4644</v>
      </c>
      <c r="G207" s="5" t="s">
        <v>1079</v>
      </c>
      <c r="H207" s="6"/>
      <c r="I207" s="6" t="s">
        <v>21</v>
      </c>
      <c r="J207" s="6">
        <v>1</v>
      </c>
      <c r="K207" s="6">
        <v>731</v>
      </c>
      <c r="L207" s="7" t="s">
        <v>7061</v>
      </c>
      <c r="M207" s="8">
        <v>24459</v>
      </c>
      <c r="N207" s="8" t="str">
        <f t="shared" si="20"/>
        <v>PEN</v>
      </c>
      <c r="O207" s="13"/>
      <c r="P207" s="13">
        <v>15</v>
      </c>
      <c r="Q207" s="3">
        <f t="shared" si="16"/>
        <v>0</v>
      </c>
      <c r="R207" s="3">
        <f t="shared" si="17"/>
        <v>15</v>
      </c>
      <c r="S207" s="3">
        <f t="shared" si="18"/>
        <v>435.75</v>
      </c>
      <c r="T207" s="24"/>
      <c r="U207" s="24"/>
      <c r="V207" s="3"/>
      <c r="W207" s="25" t="s">
        <v>6747</v>
      </c>
      <c r="X207" s="25"/>
      <c r="Y207" s="25" t="str">
        <f>IFERROR(VLOOKUP(C_Ope_003[[#This Row],[NOTA 2]],Clientes_Proveedores[[Ruc / Dni]:[Razon Social]],2,0),"")</f>
        <v/>
      </c>
      <c r="Z207" s="25"/>
      <c r="AA207" s="25"/>
      <c r="AB207" s="3" t="str">
        <f>IF(C_Ope_003[[#This Row],[FECHA]]&gt;0,TEXT(C_Ope_003[[#This Row],[FECHA]],"mmmm"),0)</f>
        <v>Junio</v>
      </c>
    </row>
    <row r="208" spans="2:28" x14ac:dyDescent="0.3">
      <c r="B208" s="2">
        <f>IF(C_Ope_003[[#This Row],[TIPO DE R.]]="R",COUNTIFS($D$4:$D207,"R")+1,"")</f>
        <v>204</v>
      </c>
      <c r="C208" s="19" t="str">
        <f t="shared" si="19"/>
        <v>C_Ope_003</v>
      </c>
      <c r="D208" s="3" t="s">
        <v>1074</v>
      </c>
      <c r="E208" s="14">
        <v>45813</v>
      </c>
      <c r="F208" s="5" t="s">
        <v>4644</v>
      </c>
      <c r="G208" s="5" t="s">
        <v>1079</v>
      </c>
      <c r="H208" s="6"/>
      <c r="I208" s="6"/>
      <c r="J208" s="6" t="s">
        <v>6893</v>
      </c>
      <c r="K208" s="6"/>
      <c r="L208" s="7" t="s">
        <v>7062</v>
      </c>
      <c r="M208" s="8">
        <v>24460</v>
      </c>
      <c r="N208" s="8" t="str">
        <f t="shared" si="20"/>
        <v>PEN</v>
      </c>
      <c r="O208" s="13"/>
      <c r="P208" s="13">
        <v>12</v>
      </c>
      <c r="Q208" s="3">
        <f t="shared" si="16"/>
        <v>0</v>
      </c>
      <c r="R208" s="3">
        <f t="shared" si="17"/>
        <v>12</v>
      </c>
      <c r="S208" s="3">
        <f t="shared" si="18"/>
        <v>423.75</v>
      </c>
      <c r="T208" s="24"/>
      <c r="U208" s="24"/>
      <c r="V208" s="3"/>
      <c r="W208" s="25" t="s">
        <v>6747</v>
      </c>
      <c r="X208" s="25"/>
      <c r="Y208" s="25" t="str">
        <f>IFERROR(VLOOKUP(C_Ope_003[[#This Row],[NOTA 2]],Clientes_Proveedores[[Ruc / Dni]:[Razon Social]],2,0),"")</f>
        <v/>
      </c>
      <c r="Z208" s="25"/>
      <c r="AA208" s="25"/>
      <c r="AB208" s="3" t="str">
        <f>IF(C_Ope_003[[#This Row],[FECHA]]&gt;0,TEXT(C_Ope_003[[#This Row],[FECHA]],"mmmm"),0)</f>
        <v>Junio</v>
      </c>
    </row>
    <row r="209" spans="2:28" x14ac:dyDescent="0.3">
      <c r="B209" s="2">
        <f>IF(C_Ope_003[[#This Row],[TIPO DE R.]]="R",COUNTIFS($D$4:$D208,"R")+1,"")</f>
        <v>205</v>
      </c>
      <c r="C209" s="19" t="str">
        <f t="shared" si="19"/>
        <v>C_Ope_003</v>
      </c>
      <c r="D209" s="3" t="s">
        <v>1074</v>
      </c>
      <c r="E209" s="14">
        <v>45813</v>
      </c>
      <c r="F209" s="5" t="s">
        <v>4644</v>
      </c>
      <c r="G209" s="5" t="s">
        <v>1079</v>
      </c>
      <c r="H209" s="6"/>
      <c r="I209" s="6"/>
      <c r="J209" s="6" t="s">
        <v>1121</v>
      </c>
      <c r="K209" s="6">
        <v>171</v>
      </c>
      <c r="L209" s="7" t="s">
        <v>6892</v>
      </c>
      <c r="M209" s="8">
        <v>24461</v>
      </c>
      <c r="N209" s="8" t="str">
        <f t="shared" si="20"/>
        <v>PEN</v>
      </c>
      <c r="O209" s="13"/>
      <c r="P209" s="13">
        <v>50</v>
      </c>
      <c r="Q209" s="3">
        <f t="shared" si="16"/>
        <v>0</v>
      </c>
      <c r="R209" s="3">
        <f t="shared" si="17"/>
        <v>50</v>
      </c>
      <c r="S209" s="3">
        <f t="shared" si="18"/>
        <v>373.75</v>
      </c>
      <c r="T209" s="24"/>
      <c r="U209" s="24"/>
      <c r="V209" s="3"/>
      <c r="W209" s="25" t="s">
        <v>6747</v>
      </c>
      <c r="X209" s="25"/>
      <c r="Y209" s="25" t="str">
        <f>IFERROR(VLOOKUP(C_Ope_003[[#This Row],[NOTA 2]],Clientes_Proveedores[[Ruc / Dni]:[Razon Social]],2,0),"")</f>
        <v/>
      </c>
      <c r="Z209" s="25"/>
      <c r="AA209" s="25"/>
      <c r="AB209" s="3" t="str">
        <f>IF(C_Ope_003[[#This Row],[FECHA]]&gt;0,TEXT(C_Ope_003[[#This Row],[FECHA]],"mmmm"),0)</f>
        <v>Junio</v>
      </c>
    </row>
    <row r="210" spans="2:28" x14ac:dyDescent="0.3">
      <c r="B210" s="2">
        <f>IF(C_Ope_003[[#This Row],[TIPO DE R.]]="R",COUNTIFS($D$4:$D209,"R")+1,"")</f>
        <v>206</v>
      </c>
      <c r="C210" s="19" t="str">
        <f t="shared" si="19"/>
        <v>C_Ope_003</v>
      </c>
      <c r="D210" s="3" t="s">
        <v>1074</v>
      </c>
      <c r="E210" s="14">
        <v>45813</v>
      </c>
      <c r="F210" s="5" t="s">
        <v>4644</v>
      </c>
      <c r="G210" s="5" t="s">
        <v>1079</v>
      </c>
      <c r="H210" s="6"/>
      <c r="I210" s="6"/>
      <c r="J210" s="6" t="s">
        <v>1121</v>
      </c>
      <c r="K210" s="6">
        <v>171</v>
      </c>
      <c r="L210" s="7" t="s">
        <v>6891</v>
      </c>
      <c r="M210" s="8">
        <v>24462</v>
      </c>
      <c r="N210" s="8" t="str">
        <f t="shared" si="20"/>
        <v>PEN</v>
      </c>
      <c r="O210" s="13"/>
      <c r="P210" s="13">
        <v>20</v>
      </c>
      <c r="Q210" s="3">
        <f t="shared" si="16"/>
        <v>0</v>
      </c>
      <c r="R210" s="3">
        <f t="shared" si="17"/>
        <v>20</v>
      </c>
      <c r="S210" s="3">
        <f t="shared" si="18"/>
        <v>353.75</v>
      </c>
      <c r="T210" s="24"/>
      <c r="U210" s="24"/>
      <c r="V210" s="3"/>
      <c r="W210" s="25" t="s">
        <v>6747</v>
      </c>
      <c r="X210" s="25"/>
      <c r="Y210" s="25" t="str">
        <f>IFERROR(VLOOKUP(C_Ope_003[[#This Row],[NOTA 2]],Clientes_Proveedores[[Ruc / Dni]:[Razon Social]],2,0),"")</f>
        <v/>
      </c>
      <c r="Z210" s="25"/>
      <c r="AA210" s="25"/>
      <c r="AB210" s="3" t="str">
        <f>IF(C_Ope_003[[#This Row],[FECHA]]&gt;0,TEXT(C_Ope_003[[#This Row],[FECHA]],"mmmm"),0)</f>
        <v>Junio</v>
      </c>
    </row>
    <row r="211" spans="2:28" x14ac:dyDescent="0.3">
      <c r="B211" s="2">
        <f>IF(C_Ope_003[[#This Row],[TIPO DE R.]]="R",COUNTIFS($D$4:$D210,"R")+1,"")</f>
        <v>207</v>
      </c>
      <c r="C211" s="19" t="str">
        <f t="shared" si="19"/>
        <v>C_Ope_003</v>
      </c>
      <c r="D211" s="3" t="s">
        <v>1074</v>
      </c>
      <c r="E211" s="14">
        <v>45814</v>
      </c>
      <c r="F211" s="5" t="s">
        <v>4644</v>
      </c>
      <c r="G211" s="5" t="s">
        <v>1079</v>
      </c>
      <c r="H211" s="6"/>
      <c r="I211" s="6"/>
      <c r="J211" s="6" t="s">
        <v>6893</v>
      </c>
      <c r="K211" s="6"/>
      <c r="L211" s="7" t="s">
        <v>7063</v>
      </c>
      <c r="M211" s="8">
        <v>24473</v>
      </c>
      <c r="N211" s="8" t="str">
        <f t="shared" si="20"/>
        <v>PEN</v>
      </c>
      <c r="O211" s="13"/>
      <c r="P211" s="13">
        <v>12</v>
      </c>
      <c r="Q211" s="3">
        <f t="shared" si="16"/>
        <v>0</v>
      </c>
      <c r="R211" s="3">
        <f t="shared" si="17"/>
        <v>12</v>
      </c>
      <c r="S211" s="3">
        <f t="shared" si="18"/>
        <v>341.75</v>
      </c>
      <c r="T211" s="24"/>
      <c r="U211" s="24"/>
      <c r="V211" s="3"/>
      <c r="W211" s="25" t="s">
        <v>6747</v>
      </c>
      <c r="X211" s="25"/>
      <c r="Y211" s="25" t="str">
        <f>IFERROR(VLOOKUP(C_Ope_003[[#This Row],[NOTA 2]],Clientes_Proveedores[[Ruc / Dni]:[Razon Social]],2,0),"")</f>
        <v/>
      </c>
      <c r="Z211" s="25"/>
      <c r="AA211" s="25"/>
      <c r="AB211" s="3" t="str">
        <f>IF(C_Ope_003[[#This Row],[FECHA]]&gt;0,TEXT(C_Ope_003[[#This Row],[FECHA]],"mmmm"),0)</f>
        <v>Junio</v>
      </c>
    </row>
    <row r="212" spans="2:28" x14ac:dyDescent="0.3">
      <c r="B212" s="2">
        <f>IF(C_Ope_003[[#This Row],[TIPO DE R.]]="R",COUNTIFS($D$4:$D211,"R")+1,"")</f>
        <v>208</v>
      </c>
      <c r="C212" s="19" t="str">
        <f t="shared" si="19"/>
        <v>C_Ope_003</v>
      </c>
      <c r="D212" s="3" t="s">
        <v>1074</v>
      </c>
      <c r="E212" s="14">
        <v>45814</v>
      </c>
      <c r="F212" s="5" t="s">
        <v>4644</v>
      </c>
      <c r="G212" s="5" t="s">
        <v>1079</v>
      </c>
      <c r="H212" s="6"/>
      <c r="I212" s="6" t="s">
        <v>21</v>
      </c>
      <c r="J212" s="6">
        <v>1</v>
      </c>
      <c r="K212" s="6">
        <v>735</v>
      </c>
      <c r="L212" s="7" t="s">
        <v>7061</v>
      </c>
      <c r="M212" s="8">
        <v>24474</v>
      </c>
      <c r="N212" s="8" t="str">
        <f t="shared" si="20"/>
        <v>PEN</v>
      </c>
      <c r="O212" s="13"/>
      <c r="P212" s="13">
        <v>15</v>
      </c>
      <c r="Q212" s="3">
        <f t="shared" si="16"/>
        <v>0</v>
      </c>
      <c r="R212" s="3">
        <f t="shared" si="17"/>
        <v>15</v>
      </c>
      <c r="S212" s="3">
        <f t="shared" si="18"/>
        <v>326.75</v>
      </c>
      <c r="T212" s="24"/>
      <c r="U212" s="24"/>
      <c r="V212" s="3"/>
      <c r="W212" s="25" t="s">
        <v>6747</v>
      </c>
      <c r="X212" s="25"/>
      <c r="Y212" s="25" t="str">
        <f>IFERROR(VLOOKUP(C_Ope_003[[#This Row],[NOTA 2]],Clientes_Proveedores[[Ruc / Dni]:[Razon Social]],2,0),"")</f>
        <v/>
      </c>
      <c r="Z212" s="25"/>
      <c r="AA212" s="25"/>
      <c r="AB212" s="3" t="str">
        <f>IF(C_Ope_003[[#This Row],[FECHA]]&gt;0,TEXT(C_Ope_003[[#This Row],[FECHA]],"mmmm"),0)</f>
        <v>Junio</v>
      </c>
    </row>
    <row r="213" spans="2:28" x14ac:dyDescent="0.3">
      <c r="B213" s="2">
        <f>IF(C_Ope_003[[#This Row],[TIPO DE R.]]="R",COUNTIFS($D$4:$D212,"R")+1,"")</f>
        <v>209</v>
      </c>
      <c r="C213" s="19" t="str">
        <f t="shared" si="19"/>
        <v>C_Ope_003</v>
      </c>
      <c r="D213" s="3" t="s">
        <v>1074</v>
      </c>
      <c r="E213" s="14">
        <v>45814</v>
      </c>
      <c r="F213" s="5" t="s">
        <v>4644</v>
      </c>
      <c r="G213" s="5" t="s">
        <v>1079</v>
      </c>
      <c r="H213" s="6"/>
      <c r="I213" s="6"/>
      <c r="J213" s="6" t="s">
        <v>6893</v>
      </c>
      <c r="K213" s="6"/>
      <c r="L213" s="7" t="s">
        <v>7064</v>
      </c>
      <c r="M213" s="8">
        <v>24475</v>
      </c>
      <c r="N213" s="8" t="str">
        <f t="shared" si="20"/>
        <v>PEN</v>
      </c>
      <c r="O213" s="13"/>
      <c r="P213" s="13">
        <v>10</v>
      </c>
      <c r="Q213" s="3">
        <f t="shared" si="16"/>
        <v>0</v>
      </c>
      <c r="R213" s="3">
        <f t="shared" si="17"/>
        <v>10</v>
      </c>
      <c r="S213" s="3">
        <f t="shared" si="18"/>
        <v>316.75</v>
      </c>
      <c r="T213" s="24"/>
      <c r="U213" s="24"/>
      <c r="V213" s="3"/>
      <c r="W213" s="25" t="s">
        <v>6747</v>
      </c>
      <c r="X213" s="25"/>
      <c r="Y213" s="25" t="str">
        <f>IFERROR(VLOOKUP(C_Ope_003[[#This Row],[NOTA 2]],Clientes_Proveedores[[Ruc / Dni]:[Razon Social]],2,0),"")</f>
        <v/>
      </c>
      <c r="Z213" s="25"/>
      <c r="AA213" s="25"/>
      <c r="AB213" s="3" t="str">
        <f>IF(C_Ope_003[[#This Row],[FECHA]]&gt;0,TEXT(C_Ope_003[[#This Row],[FECHA]],"mmmm"),0)</f>
        <v>Junio</v>
      </c>
    </row>
    <row r="214" spans="2:28" x14ac:dyDescent="0.3">
      <c r="B214" s="2">
        <f>IF(C_Ope_003[[#This Row],[TIPO DE R.]]="R",COUNTIFS($D$4:$D213,"R")+1,"")</f>
        <v>210</v>
      </c>
      <c r="C214" s="19" t="str">
        <f t="shared" si="19"/>
        <v>C_Ope_003</v>
      </c>
      <c r="D214" s="3" t="s">
        <v>1074</v>
      </c>
      <c r="E214" s="14">
        <v>45815</v>
      </c>
      <c r="F214" s="5" t="s">
        <v>4644</v>
      </c>
      <c r="G214" s="5" t="s">
        <v>1079</v>
      </c>
      <c r="H214" s="6"/>
      <c r="I214" s="6"/>
      <c r="J214" s="6" t="s">
        <v>6893</v>
      </c>
      <c r="K214" s="6"/>
      <c r="L214" s="7" t="s">
        <v>7013</v>
      </c>
      <c r="M214" s="8">
        <v>24477</v>
      </c>
      <c r="N214" s="8" t="str">
        <f t="shared" si="20"/>
        <v>PEN</v>
      </c>
      <c r="O214" s="13"/>
      <c r="P214" s="13">
        <v>8</v>
      </c>
      <c r="Q214" s="3">
        <f t="shared" si="16"/>
        <v>0</v>
      </c>
      <c r="R214" s="3">
        <f t="shared" si="17"/>
        <v>8</v>
      </c>
      <c r="S214" s="3">
        <f t="shared" si="18"/>
        <v>308.75</v>
      </c>
      <c r="T214" s="24"/>
      <c r="U214" s="24"/>
      <c r="V214" s="3"/>
      <c r="W214" s="25" t="s">
        <v>6747</v>
      </c>
      <c r="X214" s="25"/>
      <c r="Y214" s="25" t="str">
        <f>IFERROR(VLOOKUP(C_Ope_003[[#This Row],[NOTA 2]],Clientes_Proveedores[[Ruc / Dni]:[Razon Social]],2,0),"")</f>
        <v/>
      </c>
      <c r="Z214" s="25"/>
      <c r="AA214" s="25"/>
      <c r="AB214" s="3" t="str">
        <f>IF(C_Ope_003[[#This Row],[FECHA]]&gt;0,TEXT(C_Ope_003[[#This Row],[FECHA]],"mmmm"),0)</f>
        <v>Junio</v>
      </c>
    </row>
    <row r="215" spans="2:28" x14ac:dyDescent="0.3">
      <c r="B215" s="2">
        <f>IF(C_Ope_003[[#This Row],[TIPO DE R.]]="R",COUNTIFS($D$4:$D214,"R")+1,"")</f>
        <v>211</v>
      </c>
      <c r="C215" s="19" t="str">
        <f t="shared" si="19"/>
        <v>C_Ope_003</v>
      </c>
      <c r="D215" s="3" t="s">
        <v>1074</v>
      </c>
      <c r="E215" s="14">
        <v>45815</v>
      </c>
      <c r="F215" s="5" t="s">
        <v>4644</v>
      </c>
      <c r="G215" s="5" t="s">
        <v>1079</v>
      </c>
      <c r="H215" s="6"/>
      <c r="I215" s="6"/>
      <c r="J215" s="6" t="s">
        <v>6893</v>
      </c>
      <c r="K215" s="6"/>
      <c r="L215" s="7" t="s">
        <v>7065</v>
      </c>
      <c r="M215" s="8">
        <v>24478</v>
      </c>
      <c r="N215" s="8" t="str">
        <f t="shared" si="20"/>
        <v>PEN</v>
      </c>
      <c r="O215" s="13"/>
      <c r="P215" s="13">
        <v>12</v>
      </c>
      <c r="Q215" s="3">
        <f t="shared" si="16"/>
        <v>0</v>
      </c>
      <c r="R215" s="3">
        <f t="shared" si="17"/>
        <v>12</v>
      </c>
      <c r="S215" s="3">
        <f t="shared" si="18"/>
        <v>296.75</v>
      </c>
      <c r="T215" s="24"/>
      <c r="U215" s="24"/>
      <c r="V215" s="3"/>
      <c r="W215" s="25" t="s">
        <v>6747</v>
      </c>
      <c r="X215" s="25"/>
      <c r="Y215" s="25" t="str">
        <f>IFERROR(VLOOKUP(C_Ope_003[[#This Row],[NOTA 2]],Clientes_Proveedores[[Ruc / Dni]:[Razon Social]],2,0),"")</f>
        <v/>
      </c>
      <c r="Z215" s="25"/>
      <c r="AA215" s="25"/>
      <c r="AB215" s="3" t="str">
        <f>IF(C_Ope_003[[#This Row],[FECHA]]&gt;0,TEXT(C_Ope_003[[#This Row],[FECHA]],"mmmm"),0)</f>
        <v>Junio</v>
      </c>
    </row>
    <row r="216" spans="2:28" x14ac:dyDescent="0.3">
      <c r="B216" s="2">
        <f>IF(C_Ope_003[[#This Row],[TIPO DE R.]]="R",COUNTIFS($D$4:$D215,"R")+1,"")</f>
        <v>212</v>
      </c>
      <c r="C216" s="19" t="str">
        <f t="shared" si="19"/>
        <v>C_Ope_003</v>
      </c>
      <c r="D216" s="3" t="s">
        <v>1074</v>
      </c>
      <c r="E216" s="14">
        <v>45815</v>
      </c>
      <c r="F216" s="5" t="s">
        <v>4644</v>
      </c>
      <c r="G216" s="5" t="s">
        <v>1079</v>
      </c>
      <c r="H216" s="6"/>
      <c r="I216" s="6"/>
      <c r="J216" s="6" t="s">
        <v>6893</v>
      </c>
      <c r="K216" s="6"/>
      <c r="L216" s="7" t="s">
        <v>7007</v>
      </c>
      <c r="M216" s="8">
        <v>24479</v>
      </c>
      <c r="N216" s="8" t="str">
        <f t="shared" si="20"/>
        <v>PEN</v>
      </c>
      <c r="O216" s="13"/>
      <c r="P216" s="13">
        <v>12</v>
      </c>
      <c r="Q216" s="3">
        <f t="shared" si="16"/>
        <v>0</v>
      </c>
      <c r="R216" s="3">
        <f t="shared" si="17"/>
        <v>12</v>
      </c>
      <c r="S216" s="3">
        <f t="shared" si="18"/>
        <v>284.75</v>
      </c>
      <c r="T216" s="24"/>
      <c r="U216" s="24"/>
      <c r="V216" s="3"/>
      <c r="W216" s="25" t="s">
        <v>6747</v>
      </c>
      <c r="X216" s="25"/>
      <c r="Y216" s="25" t="str">
        <f>IFERROR(VLOOKUP(C_Ope_003[[#This Row],[NOTA 2]],Clientes_Proveedores[[Ruc / Dni]:[Razon Social]],2,0),"")</f>
        <v/>
      </c>
      <c r="Z216" s="25"/>
      <c r="AA216" s="25"/>
      <c r="AB216" s="3" t="str">
        <f>IF(C_Ope_003[[#This Row],[FECHA]]&gt;0,TEXT(C_Ope_003[[#This Row],[FECHA]],"mmmm"),0)</f>
        <v>Junio</v>
      </c>
    </row>
    <row r="217" spans="2:28" x14ac:dyDescent="0.3">
      <c r="B217" s="2">
        <f>IF(C_Ope_003[[#This Row],[TIPO DE R.]]="R",COUNTIFS($D$4:$D216,"R")+1,"")</f>
        <v>213</v>
      </c>
      <c r="C217" s="19" t="str">
        <f t="shared" si="19"/>
        <v>C_Ope_003</v>
      </c>
      <c r="D217" s="3" t="s">
        <v>1074</v>
      </c>
      <c r="E217" s="14">
        <v>45815</v>
      </c>
      <c r="F217" s="5" t="s">
        <v>4644</v>
      </c>
      <c r="G217" s="5" t="s">
        <v>1079</v>
      </c>
      <c r="H217" s="6"/>
      <c r="I217" s="6"/>
      <c r="J217" s="6" t="s">
        <v>6893</v>
      </c>
      <c r="K217" s="6"/>
      <c r="L217" s="7" t="s">
        <v>6919</v>
      </c>
      <c r="M217" s="8">
        <v>24482</v>
      </c>
      <c r="N217" s="8" t="str">
        <f t="shared" si="20"/>
        <v>PEN</v>
      </c>
      <c r="O217" s="13"/>
      <c r="P217" s="13">
        <v>36</v>
      </c>
      <c r="Q217" s="3">
        <f t="shared" si="16"/>
        <v>0</v>
      </c>
      <c r="R217" s="3">
        <f t="shared" si="17"/>
        <v>36</v>
      </c>
      <c r="S217" s="3">
        <f t="shared" si="18"/>
        <v>248.75</v>
      </c>
      <c r="T217" s="24"/>
      <c r="U217" s="24"/>
      <c r="V217" s="3"/>
      <c r="W217" s="25" t="s">
        <v>6747</v>
      </c>
      <c r="X217" s="25"/>
      <c r="Y217" s="25" t="str">
        <f>IFERROR(VLOOKUP(C_Ope_003[[#This Row],[NOTA 2]],Clientes_Proveedores[[Ruc / Dni]:[Razon Social]],2,0),"")</f>
        <v/>
      </c>
      <c r="Z217" s="25"/>
      <c r="AA217" s="25"/>
      <c r="AB217" s="3" t="str">
        <f>IF(C_Ope_003[[#This Row],[FECHA]]&gt;0,TEXT(C_Ope_003[[#This Row],[FECHA]],"mmmm"),0)</f>
        <v>Junio</v>
      </c>
    </row>
    <row r="218" spans="2:28" x14ac:dyDescent="0.3">
      <c r="B218" s="2">
        <f>IF(C_Ope_003[[#This Row],[TIPO DE R.]]="R",COUNTIFS($D$4:$D217,"R")+1,"")</f>
        <v>214</v>
      </c>
      <c r="C218" s="19" t="str">
        <f t="shared" si="19"/>
        <v>C_Ope_003</v>
      </c>
      <c r="D218" s="3" t="s">
        <v>1074</v>
      </c>
      <c r="E218" s="14">
        <v>45816</v>
      </c>
      <c r="F218" s="5" t="s">
        <v>4644</v>
      </c>
      <c r="G218" s="5" t="s">
        <v>1079</v>
      </c>
      <c r="H218" s="6"/>
      <c r="I218" s="6"/>
      <c r="J218" s="6" t="s">
        <v>6893</v>
      </c>
      <c r="K218" s="6"/>
      <c r="L218" s="7" t="s">
        <v>7066</v>
      </c>
      <c r="M218" s="8">
        <v>24484</v>
      </c>
      <c r="N218" s="8" t="str">
        <f t="shared" si="20"/>
        <v>PEN</v>
      </c>
      <c r="O218" s="13"/>
      <c r="P218" s="13">
        <v>50</v>
      </c>
      <c r="Q218" s="3">
        <f t="shared" si="16"/>
        <v>0</v>
      </c>
      <c r="R218" s="3">
        <f t="shared" si="17"/>
        <v>50</v>
      </c>
      <c r="S218" s="3">
        <f t="shared" si="18"/>
        <v>198.75</v>
      </c>
      <c r="T218" s="24"/>
      <c r="U218" s="24"/>
      <c r="V218" s="3"/>
      <c r="W218" s="25" t="s">
        <v>6747</v>
      </c>
      <c r="X218" s="25"/>
      <c r="Y218" s="25" t="str">
        <f>IFERROR(VLOOKUP(C_Ope_003[[#This Row],[NOTA 2]],Clientes_Proveedores[[Ruc / Dni]:[Razon Social]],2,0),"")</f>
        <v/>
      </c>
      <c r="Z218" s="25"/>
      <c r="AA218" s="25"/>
      <c r="AB218" s="3" t="str">
        <f>IF(C_Ope_003[[#This Row],[FECHA]]&gt;0,TEXT(C_Ope_003[[#This Row],[FECHA]],"mmmm"),0)</f>
        <v>Junio</v>
      </c>
    </row>
    <row r="219" spans="2:28" x14ac:dyDescent="0.3">
      <c r="B219" s="2">
        <f>IF(C_Ope_003[[#This Row],[TIPO DE R.]]="R",COUNTIFS($D$4:$D218,"R")+1,"")</f>
        <v>215</v>
      </c>
      <c r="C219" s="19" t="str">
        <f t="shared" si="19"/>
        <v>C_Ope_003</v>
      </c>
      <c r="D219" s="3" t="s">
        <v>1074</v>
      </c>
      <c r="E219" s="14">
        <v>45816</v>
      </c>
      <c r="F219" s="5" t="s">
        <v>4644</v>
      </c>
      <c r="G219" s="5" t="s">
        <v>1079</v>
      </c>
      <c r="H219" s="6"/>
      <c r="I219" s="6"/>
      <c r="J219" s="6" t="s">
        <v>6893</v>
      </c>
      <c r="K219" s="6"/>
      <c r="L219" s="7" t="s">
        <v>7067</v>
      </c>
      <c r="M219" s="8">
        <v>24485</v>
      </c>
      <c r="N219" s="8" t="str">
        <f t="shared" si="20"/>
        <v>PEN</v>
      </c>
      <c r="O219" s="13"/>
      <c r="P219" s="13">
        <v>15</v>
      </c>
      <c r="Q219" s="3">
        <f t="shared" si="16"/>
        <v>0</v>
      </c>
      <c r="R219" s="3">
        <f t="shared" si="17"/>
        <v>15</v>
      </c>
      <c r="S219" s="3">
        <f t="shared" si="18"/>
        <v>183.75</v>
      </c>
      <c r="T219" s="24"/>
      <c r="U219" s="24"/>
      <c r="V219" s="3"/>
      <c r="W219" s="25" t="s">
        <v>6747</v>
      </c>
      <c r="X219" s="25"/>
      <c r="Y219" s="25" t="str">
        <f>IFERROR(VLOOKUP(C_Ope_003[[#This Row],[NOTA 2]],Clientes_Proveedores[[Ruc / Dni]:[Razon Social]],2,0),"")</f>
        <v/>
      </c>
      <c r="Z219" s="25"/>
      <c r="AA219" s="25"/>
      <c r="AB219" s="3" t="str">
        <f>IF(C_Ope_003[[#This Row],[FECHA]]&gt;0,TEXT(C_Ope_003[[#This Row],[FECHA]],"mmmm"),0)</f>
        <v>Junio</v>
      </c>
    </row>
    <row r="220" spans="2:28" x14ac:dyDescent="0.3">
      <c r="B220" s="2">
        <f>IF(C_Ope_003[[#This Row],[TIPO DE R.]]="R",COUNTIFS($D$4:$D219,"R")+1,"")</f>
        <v>216</v>
      </c>
      <c r="C220" s="19" t="str">
        <f t="shared" si="19"/>
        <v>C_Ope_003</v>
      </c>
      <c r="D220" s="3" t="s">
        <v>1074</v>
      </c>
      <c r="E220" s="14">
        <v>45816</v>
      </c>
      <c r="F220" s="5" t="s">
        <v>4644</v>
      </c>
      <c r="G220" s="5" t="s">
        <v>1079</v>
      </c>
      <c r="H220" s="6"/>
      <c r="I220" s="6"/>
      <c r="J220" s="6" t="s">
        <v>6893</v>
      </c>
      <c r="K220" s="6"/>
      <c r="L220" s="7" t="s">
        <v>7060</v>
      </c>
      <c r="M220" s="8">
        <v>24486</v>
      </c>
      <c r="N220" s="8" t="str">
        <f t="shared" si="20"/>
        <v>PEN</v>
      </c>
      <c r="O220" s="13"/>
      <c r="P220" s="13">
        <v>12</v>
      </c>
      <c r="Q220" s="3">
        <f t="shared" si="16"/>
        <v>0</v>
      </c>
      <c r="R220" s="3">
        <f t="shared" si="17"/>
        <v>12</v>
      </c>
      <c r="S220" s="3">
        <f t="shared" si="18"/>
        <v>171.75</v>
      </c>
      <c r="T220" s="24"/>
      <c r="U220" s="24"/>
      <c r="V220" s="3"/>
      <c r="W220" s="25" t="s">
        <v>6747</v>
      </c>
      <c r="X220" s="25"/>
      <c r="Y220" s="25" t="str">
        <f>IFERROR(VLOOKUP(C_Ope_003[[#This Row],[NOTA 2]],Clientes_Proveedores[[Ruc / Dni]:[Razon Social]],2,0),"")</f>
        <v/>
      </c>
      <c r="Z220" s="25"/>
      <c r="AA220" s="25"/>
      <c r="AB220" s="3" t="str">
        <f>IF(C_Ope_003[[#This Row],[FECHA]]&gt;0,TEXT(C_Ope_003[[#This Row],[FECHA]],"mmmm"),0)</f>
        <v>Junio</v>
      </c>
    </row>
    <row r="221" spans="2:28" x14ac:dyDescent="0.3">
      <c r="B221" s="2">
        <f>IF(C_Ope_003[[#This Row],[TIPO DE R.]]="R",COUNTIFS($D$4:$D220,"R")+1,"")</f>
        <v>217</v>
      </c>
      <c r="C221" s="19" t="str">
        <f t="shared" si="19"/>
        <v>C_Ope_003</v>
      </c>
      <c r="D221" s="3" t="s">
        <v>1074</v>
      </c>
      <c r="E221" s="14">
        <v>45816</v>
      </c>
      <c r="F221" s="5" t="s">
        <v>4644</v>
      </c>
      <c r="G221" s="5" t="s">
        <v>1079</v>
      </c>
      <c r="H221" s="6"/>
      <c r="I221" s="6"/>
      <c r="J221" s="6" t="s">
        <v>6893</v>
      </c>
      <c r="K221" s="6"/>
      <c r="L221" s="7" t="s">
        <v>7068</v>
      </c>
      <c r="M221" s="8">
        <v>24487</v>
      </c>
      <c r="N221" s="8" t="str">
        <f t="shared" si="20"/>
        <v>PEN</v>
      </c>
      <c r="O221" s="13"/>
      <c r="P221" s="13">
        <v>15</v>
      </c>
      <c r="Q221" s="3">
        <f t="shared" si="16"/>
        <v>0</v>
      </c>
      <c r="R221" s="3">
        <f t="shared" si="17"/>
        <v>15</v>
      </c>
      <c r="S221" s="3">
        <f t="shared" si="18"/>
        <v>156.75</v>
      </c>
      <c r="T221" s="24"/>
      <c r="U221" s="24"/>
      <c r="V221" s="3"/>
      <c r="W221" s="25" t="s">
        <v>6747</v>
      </c>
      <c r="X221" s="25"/>
      <c r="Y221" s="25" t="str">
        <f>IFERROR(VLOOKUP(C_Ope_003[[#This Row],[NOTA 2]],Clientes_Proveedores[[Ruc / Dni]:[Razon Social]],2,0),"")</f>
        <v/>
      </c>
      <c r="Z221" s="25"/>
      <c r="AA221" s="25"/>
      <c r="AB221" s="3" t="str">
        <f>IF(C_Ope_003[[#This Row],[FECHA]]&gt;0,TEXT(C_Ope_003[[#This Row],[FECHA]],"mmmm"),0)</f>
        <v>Junio</v>
      </c>
    </row>
    <row r="222" spans="2:28" x14ac:dyDescent="0.3">
      <c r="B222" s="2">
        <f>IF(C_Ope_003[[#This Row],[TIPO DE R.]]="R",COUNTIFS($D$4:$D221,"R")+1,"")</f>
        <v>218</v>
      </c>
      <c r="C222" s="19" t="str">
        <f t="shared" si="19"/>
        <v>C_Ope_003</v>
      </c>
      <c r="D222" s="3" t="s">
        <v>1074</v>
      </c>
      <c r="E222" s="14">
        <v>45816</v>
      </c>
      <c r="F222" s="5" t="s">
        <v>4644</v>
      </c>
      <c r="G222" s="5" t="s">
        <v>1079</v>
      </c>
      <c r="H222" s="6"/>
      <c r="I222" s="6"/>
      <c r="J222" s="6" t="s">
        <v>6893</v>
      </c>
      <c r="K222" s="6"/>
      <c r="L222" s="7" t="s">
        <v>7069</v>
      </c>
      <c r="M222" s="8">
        <v>24488</v>
      </c>
      <c r="N222" s="8" t="str">
        <f t="shared" si="20"/>
        <v>PEN</v>
      </c>
      <c r="O222" s="13"/>
      <c r="P222" s="13">
        <v>12</v>
      </c>
      <c r="Q222" s="3">
        <f t="shared" si="16"/>
        <v>0</v>
      </c>
      <c r="R222" s="3">
        <f t="shared" si="17"/>
        <v>12</v>
      </c>
      <c r="S222" s="3">
        <f t="shared" si="18"/>
        <v>144.75</v>
      </c>
      <c r="T222" s="24"/>
      <c r="U222" s="24"/>
      <c r="V222" s="3"/>
      <c r="W222" s="25" t="s">
        <v>6747</v>
      </c>
      <c r="X222" s="25"/>
      <c r="Y222" s="25" t="str">
        <f>IFERROR(VLOOKUP(C_Ope_003[[#This Row],[NOTA 2]],Clientes_Proveedores[[Ruc / Dni]:[Razon Social]],2,0),"")</f>
        <v/>
      </c>
      <c r="Z222" s="25"/>
      <c r="AA222" s="25"/>
      <c r="AB222" s="3" t="str">
        <f>IF(C_Ope_003[[#This Row],[FECHA]]&gt;0,TEXT(C_Ope_003[[#This Row],[FECHA]],"mmmm"),0)</f>
        <v>Junio</v>
      </c>
    </row>
    <row r="223" spans="2:28" x14ac:dyDescent="0.3">
      <c r="B223" s="2">
        <f>IF(C_Ope_003[[#This Row],[TIPO DE R.]]="R",COUNTIFS($D$4:$D222,"R")+1,"")</f>
        <v>219</v>
      </c>
      <c r="C223" s="19" t="str">
        <f t="shared" si="19"/>
        <v>C_Ope_003</v>
      </c>
      <c r="D223" s="3" t="s">
        <v>1074</v>
      </c>
      <c r="E223" s="14">
        <v>45817</v>
      </c>
      <c r="F223" s="5" t="s">
        <v>6299</v>
      </c>
      <c r="G223" s="5" t="s">
        <v>1087</v>
      </c>
      <c r="H223" s="6"/>
      <c r="I223" s="6"/>
      <c r="J223" s="6"/>
      <c r="K223" s="6"/>
      <c r="L223" s="7" t="s">
        <v>6302</v>
      </c>
      <c r="M223" s="8">
        <v>24503</v>
      </c>
      <c r="N223" s="8" t="str">
        <f t="shared" si="20"/>
        <v>PEN</v>
      </c>
      <c r="O223" s="13"/>
      <c r="P223" s="13">
        <v>60</v>
      </c>
      <c r="Q223" s="3">
        <f t="shared" si="16"/>
        <v>60</v>
      </c>
      <c r="R223" s="3">
        <f t="shared" si="17"/>
        <v>0</v>
      </c>
      <c r="S223" s="3">
        <f t="shared" si="18"/>
        <v>204.75</v>
      </c>
      <c r="T223" s="24"/>
      <c r="U223" s="24"/>
      <c r="V223" s="3"/>
      <c r="W223" s="25"/>
      <c r="X223" s="25"/>
      <c r="Y223" s="25" t="str">
        <f>IFERROR(VLOOKUP(C_Ope_003[[#This Row],[NOTA 2]],Clientes_Proveedores[[Ruc / Dni]:[Razon Social]],2,0),"")</f>
        <v/>
      </c>
      <c r="Z223" s="25"/>
      <c r="AA223" s="25"/>
      <c r="AB223" s="3" t="str">
        <f>IF(C_Ope_003[[#This Row],[FECHA]]&gt;0,TEXT(C_Ope_003[[#This Row],[FECHA]],"mmmm"),0)</f>
        <v>Junio</v>
      </c>
    </row>
    <row r="224" spans="2:28" ht="24" x14ac:dyDescent="0.3">
      <c r="B224" s="2">
        <f>IF(C_Ope_003[[#This Row],[TIPO DE R.]]="R",COUNTIFS($D$4:$D223,"R")+1,"")</f>
        <v>220</v>
      </c>
      <c r="C224" s="19" t="str">
        <f t="shared" si="19"/>
        <v>C_Ope_003</v>
      </c>
      <c r="D224" s="3" t="s">
        <v>1074</v>
      </c>
      <c r="E224" s="14">
        <v>45817</v>
      </c>
      <c r="F224" s="5" t="s">
        <v>4644</v>
      </c>
      <c r="G224" s="5" t="s">
        <v>1079</v>
      </c>
      <c r="H224" s="6"/>
      <c r="I224" s="6" t="s">
        <v>14</v>
      </c>
      <c r="J224" s="6" t="s">
        <v>5245</v>
      </c>
      <c r="K224" s="6">
        <v>1773203</v>
      </c>
      <c r="L224" s="7" t="s">
        <v>7070</v>
      </c>
      <c r="M224" s="8">
        <v>24495</v>
      </c>
      <c r="N224" s="8" t="str">
        <f t="shared" si="20"/>
        <v>PEN</v>
      </c>
      <c r="O224" s="13"/>
      <c r="P224" s="13">
        <v>12</v>
      </c>
      <c r="Q224" s="3">
        <f t="shared" si="16"/>
        <v>0</v>
      </c>
      <c r="R224" s="3">
        <f t="shared" si="17"/>
        <v>12</v>
      </c>
      <c r="S224" s="3">
        <f t="shared" si="18"/>
        <v>192.75</v>
      </c>
      <c r="T224" s="24"/>
      <c r="U224" s="24"/>
      <c r="V224" s="3"/>
      <c r="W224" s="25" t="s">
        <v>6747</v>
      </c>
      <c r="X224" s="25"/>
      <c r="Y224" s="25" t="str">
        <f>IFERROR(VLOOKUP(C_Ope_003[[#This Row],[NOTA 2]],Clientes_Proveedores[[Ruc / Dni]:[Razon Social]],2,0),"")</f>
        <v/>
      </c>
      <c r="Z224" s="25"/>
      <c r="AA224" s="25"/>
      <c r="AB224" s="3" t="str">
        <f>IF(C_Ope_003[[#This Row],[FECHA]]&gt;0,TEXT(C_Ope_003[[#This Row],[FECHA]],"mmmm"),0)</f>
        <v>Junio</v>
      </c>
    </row>
    <row r="225" spans="2:28" ht="24" x14ac:dyDescent="0.3">
      <c r="B225" s="2">
        <f>IF(C_Ope_003[[#This Row],[TIPO DE R.]]="R",COUNTIFS($D$4:$D224,"R")+1,"")</f>
        <v>221</v>
      </c>
      <c r="C225" s="19" t="str">
        <f t="shared" si="19"/>
        <v>C_Ope_003</v>
      </c>
      <c r="D225" s="3" t="s">
        <v>1074</v>
      </c>
      <c r="E225" s="14">
        <v>45817</v>
      </c>
      <c r="F225" s="5" t="s">
        <v>4644</v>
      </c>
      <c r="G225" s="5" t="s">
        <v>1079</v>
      </c>
      <c r="H225" s="6"/>
      <c r="I225" s="6" t="s">
        <v>14</v>
      </c>
      <c r="J225" s="6" t="s">
        <v>5244</v>
      </c>
      <c r="K225" s="6">
        <v>1754186</v>
      </c>
      <c r="L225" s="7" t="s">
        <v>7070</v>
      </c>
      <c r="M225" s="8">
        <v>24509</v>
      </c>
      <c r="N225" s="8" t="str">
        <f t="shared" si="20"/>
        <v>PEN</v>
      </c>
      <c r="O225" s="13"/>
      <c r="P225" s="13">
        <v>12</v>
      </c>
      <c r="Q225" s="3">
        <f t="shared" si="16"/>
        <v>0</v>
      </c>
      <c r="R225" s="3">
        <f t="shared" si="17"/>
        <v>12</v>
      </c>
      <c r="S225" s="3">
        <f t="shared" si="18"/>
        <v>180.75</v>
      </c>
      <c r="T225" s="24"/>
      <c r="U225" s="24"/>
      <c r="V225" s="3"/>
      <c r="W225" s="25" t="s">
        <v>6747</v>
      </c>
      <c r="X225" s="25"/>
      <c r="Y225" s="25" t="str">
        <f>IFERROR(VLOOKUP(C_Ope_003[[#This Row],[NOTA 2]],Clientes_Proveedores[[Ruc / Dni]:[Razon Social]],2,0),"")</f>
        <v/>
      </c>
      <c r="Z225" s="25"/>
      <c r="AA225" s="25"/>
      <c r="AB225" s="3" t="str">
        <f>IF(C_Ope_003[[#This Row],[FECHA]]&gt;0,TEXT(C_Ope_003[[#This Row],[FECHA]],"mmmm"),0)</f>
        <v>Junio</v>
      </c>
    </row>
    <row r="226" spans="2:28" ht="24" x14ac:dyDescent="0.3">
      <c r="B226" s="2">
        <f>IF(C_Ope_003[[#This Row],[TIPO DE R.]]="R",COUNTIFS($D$4:$D225,"R")+1,"")</f>
        <v>222</v>
      </c>
      <c r="C226" s="19" t="str">
        <f t="shared" si="19"/>
        <v>C_Ope_003</v>
      </c>
      <c r="D226" s="3" t="s">
        <v>1074</v>
      </c>
      <c r="E226" s="14">
        <v>45818</v>
      </c>
      <c r="F226" s="5" t="s">
        <v>4644</v>
      </c>
      <c r="G226" s="5" t="s">
        <v>1079</v>
      </c>
      <c r="H226" s="6"/>
      <c r="I226" s="6" t="s">
        <v>14</v>
      </c>
      <c r="J226" s="6" t="s">
        <v>6556</v>
      </c>
      <c r="K226" s="6">
        <v>479968</v>
      </c>
      <c r="L226" s="7" t="s">
        <v>7071</v>
      </c>
      <c r="M226" s="8">
        <v>24518</v>
      </c>
      <c r="N226" s="8" t="str">
        <f t="shared" si="20"/>
        <v>PEN</v>
      </c>
      <c r="O226" s="13"/>
      <c r="P226" s="13">
        <v>12</v>
      </c>
      <c r="Q226" s="3">
        <f t="shared" si="16"/>
        <v>0</v>
      </c>
      <c r="R226" s="3">
        <f t="shared" si="17"/>
        <v>12</v>
      </c>
      <c r="S226" s="3">
        <f t="shared" si="18"/>
        <v>168.75</v>
      </c>
      <c r="T226" s="24"/>
      <c r="U226" s="24"/>
      <c r="V226" s="3"/>
      <c r="W226" s="25" t="s">
        <v>6747</v>
      </c>
      <c r="X226" s="25"/>
      <c r="Y226" s="25" t="str">
        <f>IFERROR(VLOOKUP(C_Ope_003[[#This Row],[NOTA 2]],Clientes_Proveedores[[Ruc / Dni]:[Razon Social]],2,0),"")</f>
        <v/>
      </c>
      <c r="Z226" s="25"/>
      <c r="AA226" s="25"/>
      <c r="AB226" s="3" t="str">
        <f>IF(C_Ope_003[[#This Row],[FECHA]]&gt;0,TEXT(C_Ope_003[[#This Row],[FECHA]],"mmmm"),0)</f>
        <v>Junio</v>
      </c>
    </row>
    <row r="227" spans="2:28" ht="24" x14ac:dyDescent="0.3">
      <c r="B227" s="2">
        <f>IF(C_Ope_003[[#This Row],[TIPO DE R.]]="R",COUNTIFS($D$4:$D226,"R")+1,"")</f>
        <v>223</v>
      </c>
      <c r="C227" s="19" t="str">
        <f t="shared" si="19"/>
        <v>C_Ope_003</v>
      </c>
      <c r="D227" s="3" t="s">
        <v>1074</v>
      </c>
      <c r="E227" s="14">
        <v>45818</v>
      </c>
      <c r="F227" s="5" t="s">
        <v>4644</v>
      </c>
      <c r="G227" s="5" t="s">
        <v>1079</v>
      </c>
      <c r="H227" s="6"/>
      <c r="I227" s="6" t="s">
        <v>14</v>
      </c>
      <c r="J227" s="6" t="s">
        <v>5280</v>
      </c>
      <c r="K227" s="6">
        <v>1070749</v>
      </c>
      <c r="L227" s="7" t="s">
        <v>7071</v>
      </c>
      <c r="M227" s="8">
        <v>24519</v>
      </c>
      <c r="N227" s="8" t="str">
        <f t="shared" si="20"/>
        <v>PEN</v>
      </c>
      <c r="O227" s="13"/>
      <c r="P227" s="13">
        <v>12</v>
      </c>
      <c r="Q227" s="3">
        <f t="shared" si="16"/>
        <v>0</v>
      </c>
      <c r="R227" s="3">
        <f t="shared" si="17"/>
        <v>12</v>
      </c>
      <c r="S227" s="3">
        <f t="shared" si="18"/>
        <v>156.75</v>
      </c>
      <c r="T227" s="24"/>
      <c r="U227" s="24"/>
      <c r="V227" s="3"/>
      <c r="W227" s="25" t="s">
        <v>6747</v>
      </c>
      <c r="X227" s="25"/>
      <c r="Y227" s="25" t="str">
        <f>IFERROR(VLOOKUP(C_Ope_003[[#This Row],[NOTA 2]],Clientes_Proveedores[[Ruc / Dni]:[Razon Social]],2,0),"")</f>
        <v/>
      </c>
      <c r="Z227" s="25"/>
      <c r="AA227" s="25"/>
      <c r="AB227" s="3" t="str">
        <f>IF(C_Ope_003[[#This Row],[FECHA]]&gt;0,TEXT(C_Ope_003[[#This Row],[FECHA]],"mmmm"),0)</f>
        <v>Junio</v>
      </c>
    </row>
    <row r="228" spans="2:28" ht="24" x14ac:dyDescent="0.3">
      <c r="B228" s="2">
        <f>IF(C_Ope_003[[#This Row],[TIPO DE R.]]="R",COUNTIFS($D$4:$D227,"R")+1,"")</f>
        <v>224</v>
      </c>
      <c r="C228" s="19" t="str">
        <f t="shared" si="19"/>
        <v>C_Ope_003</v>
      </c>
      <c r="D228" s="3" t="s">
        <v>1074</v>
      </c>
      <c r="E228" s="14">
        <v>45819</v>
      </c>
      <c r="F228" s="5" t="s">
        <v>4644</v>
      </c>
      <c r="G228" s="5" t="s">
        <v>1079</v>
      </c>
      <c r="H228" s="6"/>
      <c r="I228" s="6" t="s">
        <v>14</v>
      </c>
      <c r="J228" s="6" t="s">
        <v>5242</v>
      </c>
      <c r="K228" s="6">
        <v>2078138</v>
      </c>
      <c r="L228" s="7" t="s">
        <v>7072</v>
      </c>
      <c r="M228" s="8">
        <v>24545</v>
      </c>
      <c r="N228" s="8" t="str">
        <f t="shared" si="20"/>
        <v>PEN</v>
      </c>
      <c r="O228" s="13"/>
      <c r="P228" s="13">
        <v>12</v>
      </c>
      <c r="Q228" s="3">
        <f t="shared" si="16"/>
        <v>0</v>
      </c>
      <c r="R228" s="3">
        <f t="shared" si="17"/>
        <v>12</v>
      </c>
      <c r="S228" s="3">
        <f t="shared" si="18"/>
        <v>144.75</v>
      </c>
      <c r="T228" s="24"/>
      <c r="U228" s="24"/>
      <c r="V228" s="3"/>
      <c r="W228" s="25" t="s">
        <v>6747</v>
      </c>
      <c r="X228" s="25"/>
      <c r="Y228" s="25" t="str">
        <f>IFERROR(VLOOKUP(C_Ope_003[[#This Row],[NOTA 2]],Clientes_Proveedores[[Ruc / Dni]:[Razon Social]],2,0),"")</f>
        <v/>
      </c>
      <c r="Z228" s="25"/>
      <c r="AA228" s="25"/>
      <c r="AB228" s="3" t="str">
        <f>IF(C_Ope_003[[#This Row],[FECHA]]&gt;0,TEXT(C_Ope_003[[#This Row],[FECHA]],"mmmm"),0)</f>
        <v>Junio</v>
      </c>
    </row>
    <row r="229" spans="2:28" x14ac:dyDescent="0.3">
      <c r="B229" s="2">
        <f>IF(C_Ope_003[[#This Row],[TIPO DE R.]]="R",COUNTIFS($D$4:$D228,"R")+1,"")</f>
        <v>225</v>
      </c>
      <c r="C229" s="19" t="str">
        <f t="shared" si="19"/>
        <v>C_Ope_003</v>
      </c>
      <c r="D229" s="3" t="s">
        <v>1074</v>
      </c>
      <c r="E229" s="14">
        <v>45826</v>
      </c>
      <c r="F229" s="5" t="s">
        <v>6299</v>
      </c>
      <c r="G229" s="5" t="s">
        <v>1087</v>
      </c>
      <c r="H229" s="6"/>
      <c r="I229" s="6"/>
      <c r="J229" s="6"/>
      <c r="K229" s="6"/>
      <c r="L229" s="7" t="s">
        <v>6302</v>
      </c>
      <c r="M229" s="8">
        <v>24653</v>
      </c>
      <c r="N229" s="8" t="str">
        <f t="shared" si="20"/>
        <v>PEN</v>
      </c>
      <c r="O229" s="13"/>
      <c r="P229" s="13">
        <v>50</v>
      </c>
      <c r="Q229" s="3">
        <f t="shared" si="16"/>
        <v>50</v>
      </c>
      <c r="R229" s="3">
        <f t="shared" si="17"/>
        <v>0</v>
      </c>
      <c r="S229" s="3">
        <f t="shared" si="18"/>
        <v>194.75</v>
      </c>
      <c r="T229" s="24"/>
      <c r="U229" s="24"/>
      <c r="V229" s="3"/>
      <c r="W229" s="25"/>
      <c r="X229" s="25"/>
      <c r="Y229" s="25" t="str">
        <f>IFERROR(VLOOKUP(C_Ope_003[[#This Row],[NOTA 2]],Clientes_Proveedores[[Ruc / Dni]:[Razon Social]],2,0),"")</f>
        <v/>
      </c>
      <c r="Z229" s="25"/>
      <c r="AA229" s="25"/>
      <c r="AB229" s="3" t="str">
        <f>IF(C_Ope_003[[#This Row],[FECHA]]&gt;0,TEXT(C_Ope_003[[#This Row],[FECHA]],"mmmm"),0)</f>
        <v>Junio</v>
      </c>
    </row>
    <row r="230" spans="2:28" ht="24" x14ac:dyDescent="0.3">
      <c r="B230" s="2">
        <f>IF(C_Ope_003[[#This Row],[TIPO DE R.]]="R",COUNTIFS($D$4:$D229,"R")+1,"")</f>
        <v>226</v>
      </c>
      <c r="C230" s="19" t="str">
        <f t="shared" si="19"/>
        <v>C_Ope_003</v>
      </c>
      <c r="D230" s="3" t="s">
        <v>1074</v>
      </c>
      <c r="E230" s="14">
        <v>45832</v>
      </c>
      <c r="F230" s="5" t="s">
        <v>4644</v>
      </c>
      <c r="G230" s="5" t="s">
        <v>1079</v>
      </c>
      <c r="H230" s="6"/>
      <c r="I230" s="6" t="s">
        <v>14</v>
      </c>
      <c r="J230" s="6" t="s">
        <v>5242</v>
      </c>
      <c r="K230" s="6">
        <v>2092409</v>
      </c>
      <c r="L230" s="7" t="s">
        <v>7073</v>
      </c>
      <c r="M230" s="8">
        <v>24661</v>
      </c>
      <c r="N230" s="8" t="str">
        <f t="shared" si="20"/>
        <v>PEN</v>
      </c>
      <c r="O230" s="13"/>
      <c r="P230" s="13">
        <v>8</v>
      </c>
      <c r="Q230" s="3">
        <f t="shared" si="16"/>
        <v>0</v>
      </c>
      <c r="R230" s="3">
        <f t="shared" si="17"/>
        <v>8</v>
      </c>
      <c r="S230" s="3">
        <f t="shared" si="18"/>
        <v>186.75</v>
      </c>
      <c r="T230" s="24"/>
      <c r="U230" s="24"/>
      <c r="V230" s="3"/>
      <c r="W230" s="25" t="s">
        <v>6630</v>
      </c>
      <c r="X230" s="25"/>
      <c r="Y230" s="25" t="str">
        <f>IFERROR(VLOOKUP(C_Ope_003[[#This Row],[NOTA 2]],Clientes_Proveedores[[Ruc / Dni]:[Razon Social]],2,0),"")</f>
        <v/>
      </c>
      <c r="Z230" s="25"/>
      <c r="AA230" s="25"/>
      <c r="AB230" s="3" t="str">
        <f>IF(C_Ope_003[[#This Row],[FECHA]]&gt;0,TEXT(C_Ope_003[[#This Row],[FECHA]],"mmmm"),0)</f>
        <v>Junio</v>
      </c>
    </row>
    <row r="231" spans="2:28" ht="24" x14ac:dyDescent="0.3">
      <c r="B231" s="2">
        <f>IF(C_Ope_003[[#This Row],[TIPO DE R.]]="R",COUNTIFS($D$4:$D230,"R")+1,"")</f>
        <v>227</v>
      </c>
      <c r="C231" s="19" t="str">
        <f t="shared" si="19"/>
        <v>C_Ope_003</v>
      </c>
      <c r="D231" s="3" t="s">
        <v>1074</v>
      </c>
      <c r="E231" s="14">
        <v>45832</v>
      </c>
      <c r="F231" s="5" t="s">
        <v>4644</v>
      </c>
      <c r="G231" s="5" t="s">
        <v>1079</v>
      </c>
      <c r="H231" s="6"/>
      <c r="I231" s="6" t="s">
        <v>14</v>
      </c>
      <c r="J231" s="6" t="s">
        <v>5244</v>
      </c>
      <c r="K231" s="6">
        <v>1768103</v>
      </c>
      <c r="L231" s="7" t="s">
        <v>7073</v>
      </c>
      <c r="M231" s="8">
        <v>24662</v>
      </c>
      <c r="N231" s="8" t="str">
        <f t="shared" si="20"/>
        <v>PEN</v>
      </c>
      <c r="O231" s="13"/>
      <c r="P231" s="13">
        <v>8</v>
      </c>
      <c r="Q231" s="3">
        <f t="shared" si="16"/>
        <v>0</v>
      </c>
      <c r="R231" s="3">
        <f t="shared" si="17"/>
        <v>8</v>
      </c>
      <c r="S231" s="3">
        <f t="shared" si="18"/>
        <v>178.75</v>
      </c>
      <c r="T231" s="24"/>
      <c r="U231" s="24"/>
      <c r="V231" s="3"/>
      <c r="W231" s="25" t="s">
        <v>6630</v>
      </c>
      <c r="X231" s="25"/>
      <c r="Y231" s="25" t="str">
        <f>IFERROR(VLOOKUP(C_Ope_003[[#This Row],[NOTA 2]],Clientes_Proveedores[[Ruc / Dni]:[Razon Social]],2,0),"")</f>
        <v/>
      </c>
      <c r="Z231" s="25"/>
      <c r="AA231" s="25"/>
      <c r="AB231" s="3" t="str">
        <f>IF(C_Ope_003[[#This Row],[FECHA]]&gt;0,TEXT(C_Ope_003[[#This Row],[FECHA]],"mmmm"),0)</f>
        <v>Junio</v>
      </c>
    </row>
    <row r="232" spans="2:28" ht="24" x14ac:dyDescent="0.3">
      <c r="B232" s="2">
        <f>IF(C_Ope_003[[#This Row],[TIPO DE R.]]="R",COUNTIFS($D$4:$D231,"R")+1,"")</f>
        <v>228</v>
      </c>
      <c r="C232" s="19" t="str">
        <f t="shared" si="19"/>
        <v>C_Ope_003</v>
      </c>
      <c r="D232" s="3" t="s">
        <v>1074</v>
      </c>
      <c r="E232" s="14">
        <v>45832</v>
      </c>
      <c r="F232" s="5" t="s">
        <v>4644</v>
      </c>
      <c r="G232" s="5" t="s">
        <v>1079</v>
      </c>
      <c r="H232" s="6"/>
      <c r="I232" s="6" t="s">
        <v>14</v>
      </c>
      <c r="J232" s="6" t="s">
        <v>1097</v>
      </c>
      <c r="K232" s="6">
        <v>16735</v>
      </c>
      <c r="L232" s="7" t="s">
        <v>7074</v>
      </c>
      <c r="M232" s="8">
        <v>24660</v>
      </c>
      <c r="N232" s="8" t="str">
        <f t="shared" si="20"/>
        <v>PEN</v>
      </c>
      <c r="O232" s="13"/>
      <c r="P232" s="13">
        <v>20</v>
      </c>
      <c r="Q232" s="3">
        <f t="shared" si="16"/>
        <v>0</v>
      </c>
      <c r="R232" s="3">
        <f t="shared" si="17"/>
        <v>20</v>
      </c>
      <c r="S232" s="3">
        <f t="shared" si="18"/>
        <v>158.75</v>
      </c>
      <c r="T232" s="24"/>
      <c r="U232" s="24"/>
      <c r="V232" s="3"/>
      <c r="W232" s="25" t="s">
        <v>6630</v>
      </c>
      <c r="X232" s="25"/>
      <c r="Y232" s="25" t="str">
        <f>IFERROR(VLOOKUP(C_Ope_003[[#This Row],[NOTA 2]],Clientes_Proveedores[[Ruc / Dni]:[Razon Social]],2,0),"")</f>
        <v/>
      </c>
      <c r="Z232" s="25"/>
      <c r="AA232" s="25"/>
      <c r="AB232" s="3" t="str">
        <f>IF(C_Ope_003[[#This Row],[FECHA]]&gt;0,TEXT(C_Ope_003[[#This Row],[FECHA]],"mmmm"),0)</f>
        <v>Junio</v>
      </c>
    </row>
    <row r="233" spans="2:28" x14ac:dyDescent="0.3">
      <c r="B233" s="2">
        <f>IF(C_Ope_003[[#This Row],[TIPO DE R.]]="R",COUNTIFS($D$4:$D232,"R")+1,"")</f>
        <v>229</v>
      </c>
      <c r="C233" s="19" t="str">
        <f t="shared" si="19"/>
        <v>C_Ope_003</v>
      </c>
      <c r="D233" s="3" t="s">
        <v>1074</v>
      </c>
      <c r="E233" s="14">
        <v>45833</v>
      </c>
      <c r="F233" s="5" t="s">
        <v>4644</v>
      </c>
      <c r="G233" s="5" t="s">
        <v>1079</v>
      </c>
      <c r="H233" s="6"/>
      <c r="I233" s="6" t="s">
        <v>14</v>
      </c>
      <c r="J233" s="6" t="s">
        <v>1097</v>
      </c>
      <c r="K233" s="6">
        <v>16746</v>
      </c>
      <c r="L233" s="7" t="s">
        <v>7075</v>
      </c>
      <c r="M233" s="8">
        <v>24692</v>
      </c>
      <c r="N233" s="8" t="str">
        <f t="shared" si="20"/>
        <v>PEN</v>
      </c>
      <c r="O233" s="13"/>
      <c r="P233" s="13">
        <v>20</v>
      </c>
      <c r="Q233" s="3">
        <f t="shared" si="16"/>
        <v>0</v>
      </c>
      <c r="R233" s="3">
        <f t="shared" si="17"/>
        <v>20</v>
      </c>
      <c r="S233" s="3">
        <f t="shared" si="18"/>
        <v>138.75</v>
      </c>
      <c r="T233" s="24"/>
      <c r="U233" s="24"/>
      <c r="V233" s="3"/>
      <c r="W233" s="25" t="s">
        <v>6630</v>
      </c>
      <c r="X233" s="25"/>
      <c r="Y233" s="25" t="str">
        <f>IFERROR(VLOOKUP(C_Ope_003[[#This Row],[NOTA 2]],Clientes_Proveedores[[Ruc / Dni]:[Razon Social]],2,0),"")</f>
        <v/>
      </c>
      <c r="Z233" s="25"/>
      <c r="AA233" s="25"/>
      <c r="AB233" s="3" t="str">
        <f>IF(C_Ope_003[[#This Row],[FECHA]]&gt;0,TEXT(C_Ope_003[[#This Row],[FECHA]],"mmmm"),0)</f>
        <v>Junio</v>
      </c>
    </row>
    <row r="234" spans="2:28" ht="24" x14ac:dyDescent="0.3">
      <c r="B234" s="2">
        <f>IF(C_Ope_003[[#This Row],[TIPO DE R.]]="R",COUNTIFS($D$4:$D233,"R")+1,"")</f>
        <v>230</v>
      </c>
      <c r="C234" s="19" t="str">
        <f t="shared" si="19"/>
        <v>C_Ope_003</v>
      </c>
      <c r="D234" s="3" t="s">
        <v>1074</v>
      </c>
      <c r="E234" s="14">
        <v>45834</v>
      </c>
      <c r="F234" s="5" t="s">
        <v>4644</v>
      </c>
      <c r="G234" s="5" t="s">
        <v>1079</v>
      </c>
      <c r="H234" s="6"/>
      <c r="I234" s="6" t="s">
        <v>14</v>
      </c>
      <c r="J234" s="6" t="s">
        <v>1097</v>
      </c>
      <c r="K234" s="6">
        <v>16769</v>
      </c>
      <c r="L234" s="7" t="s">
        <v>6979</v>
      </c>
      <c r="M234" s="8">
        <v>24753</v>
      </c>
      <c r="N234" s="8" t="str">
        <f t="shared" si="20"/>
        <v>PEN</v>
      </c>
      <c r="O234" s="13"/>
      <c r="P234" s="13">
        <v>20</v>
      </c>
      <c r="Q234" s="3">
        <f t="shared" si="16"/>
        <v>0</v>
      </c>
      <c r="R234" s="3">
        <f t="shared" si="17"/>
        <v>20</v>
      </c>
      <c r="S234" s="3">
        <f t="shared" si="18"/>
        <v>118.75</v>
      </c>
      <c r="T234" s="24"/>
      <c r="U234" s="24"/>
      <c r="V234" s="3"/>
      <c r="W234" s="25" t="s">
        <v>6630</v>
      </c>
      <c r="X234" s="25"/>
      <c r="Y234" s="25" t="str">
        <f>IFERROR(VLOOKUP(C_Ope_003[[#This Row],[NOTA 2]],Clientes_Proveedores[[Ruc / Dni]:[Razon Social]],2,0),"")</f>
        <v/>
      </c>
      <c r="Z234" s="25"/>
      <c r="AA234" s="25"/>
      <c r="AB234" s="3" t="str">
        <f>IF(C_Ope_003[[#This Row],[FECHA]]&gt;0,TEXT(C_Ope_003[[#This Row],[FECHA]],"mmmm"),0)</f>
        <v>Junio</v>
      </c>
    </row>
    <row r="235" spans="2:28" x14ac:dyDescent="0.3">
      <c r="B235" s="2">
        <f>IF(C_Ope_003[[#This Row],[TIPO DE R.]]="R",COUNTIFS($D$4:$D234,"R")+1,"")</f>
        <v>231</v>
      </c>
      <c r="C235" s="19" t="str">
        <f t="shared" si="19"/>
        <v>C_Ope_003</v>
      </c>
      <c r="D235" s="3" t="s">
        <v>1074</v>
      </c>
      <c r="E235" s="14">
        <v>45831</v>
      </c>
      <c r="F235" s="5" t="s">
        <v>4644</v>
      </c>
      <c r="G235" s="5" t="s">
        <v>1079</v>
      </c>
      <c r="H235" s="6"/>
      <c r="I235" s="6" t="s">
        <v>14</v>
      </c>
      <c r="J235" s="6" t="s">
        <v>1119</v>
      </c>
      <c r="K235" s="6">
        <v>1793</v>
      </c>
      <c r="L235" s="7" t="s">
        <v>6565</v>
      </c>
      <c r="M235" s="8">
        <v>24652</v>
      </c>
      <c r="N235" s="8" t="str">
        <f t="shared" si="20"/>
        <v>PEN</v>
      </c>
      <c r="O235" s="13"/>
      <c r="P235" s="13">
        <v>30</v>
      </c>
      <c r="Q235" s="3">
        <f t="shared" si="16"/>
        <v>0</v>
      </c>
      <c r="R235" s="3">
        <f t="shared" si="17"/>
        <v>30</v>
      </c>
      <c r="S235" s="3">
        <f t="shared" si="18"/>
        <v>88.75</v>
      </c>
      <c r="T235" s="24"/>
      <c r="U235" s="24"/>
      <c r="V235" s="3"/>
      <c r="W235" s="25" t="s">
        <v>6630</v>
      </c>
      <c r="X235" s="25"/>
      <c r="Y235" s="25" t="str">
        <f>IFERROR(VLOOKUP(C_Ope_003[[#This Row],[NOTA 2]],Clientes_Proveedores[[Ruc / Dni]:[Razon Social]],2,0),"")</f>
        <v/>
      </c>
      <c r="Z235" s="25"/>
      <c r="AA235" s="25"/>
      <c r="AB235" s="3" t="str">
        <f>IF(C_Ope_003[[#This Row],[FECHA]]&gt;0,TEXT(C_Ope_003[[#This Row],[FECHA]],"mmmm"),0)</f>
        <v>Junio</v>
      </c>
    </row>
    <row r="236" spans="2:28" x14ac:dyDescent="0.3">
      <c r="B236" s="2">
        <f>IF(C_Ope_003[[#This Row],[TIPO DE R.]]="R",COUNTIFS($D$4:$D235,"R")+1,"")</f>
        <v>232</v>
      </c>
      <c r="C236" s="19" t="str">
        <f t="shared" si="19"/>
        <v>C_Ope_003</v>
      </c>
      <c r="D236" s="3" t="s">
        <v>1074</v>
      </c>
      <c r="E236" s="14">
        <v>45839</v>
      </c>
      <c r="F236" s="5" t="s">
        <v>6299</v>
      </c>
      <c r="G236" s="5" t="s">
        <v>1087</v>
      </c>
      <c r="H236" s="6"/>
      <c r="I236" s="6"/>
      <c r="J236" s="6"/>
      <c r="K236" s="6"/>
      <c r="L236" s="7" t="s">
        <v>6302</v>
      </c>
      <c r="M236" s="8"/>
      <c r="N236" s="8" t="str">
        <f t="shared" si="20"/>
        <v>PEN</v>
      </c>
      <c r="O236" s="13"/>
      <c r="P236" s="13">
        <v>110</v>
      </c>
      <c r="Q236" s="3">
        <f t="shared" si="16"/>
        <v>110</v>
      </c>
      <c r="R236" s="3">
        <f t="shared" si="17"/>
        <v>0</v>
      </c>
      <c r="S236" s="3">
        <f t="shared" si="18"/>
        <v>198.75</v>
      </c>
      <c r="T236" s="24"/>
      <c r="U236" s="24"/>
      <c r="V236" s="3"/>
      <c r="W236" s="25"/>
      <c r="X236" s="25"/>
      <c r="Y236" s="25" t="str">
        <f>IFERROR(VLOOKUP(C_Ope_003[[#This Row],[NOTA 2]],Clientes_Proveedores[[Ruc / Dni]:[Razon Social]],2,0),"")</f>
        <v/>
      </c>
      <c r="Z236" s="25"/>
      <c r="AA236" s="25"/>
      <c r="AB236" s="3" t="str">
        <f>IF(C_Ope_003[[#This Row],[FECHA]]&gt;0,TEXT(C_Ope_003[[#This Row],[FECHA]],"mmmm"),0)</f>
        <v>Julio</v>
      </c>
    </row>
    <row r="237" spans="2:28" ht="24" x14ac:dyDescent="0.3">
      <c r="B237" s="2">
        <f>IF(C_Ope_003[[#This Row],[TIPO DE R.]]="R",COUNTIFS($D$4:$D236,"R")+1,"")</f>
        <v>233</v>
      </c>
      <c r="C237" s="19" t="str">
        <f t="shared" ref="C237:C245" si="21">"C_Ope_003"</f>
        <v>C_Ope_003</v>
      </c>
      <c r="D237" s="3" t="s">
        <v>1074</v>
      </c>
      <c r="E237" s="14">
        <v>45848</v>
      </c>
      <c r="F237" s="5" t="s">
        <v>4644</v>
      </c>
      <c r="G237" s="5" t="s">
        <v>1079</v>
      </c>
      <c r="H237" s="6" t="s">
        <v>919</v>
      </c>
      <c r="I237" s="6" t="s">
        <v>14</v>
      </c>
      <c r="J237" s="6" t="s">
        <v>5243</v>
      </c>
      <c r="K237" s="6">
        <v>2393776</v>
      </c>
      <c r="L237" s="7" t="s">
        <v>7076</v>
      </c>
      <c r="M237" s="8">
        <v>24842</v>
      </c>
      <c r="N237" s="8" t="str">
        <f t="shared" ref="N237:N245" si="22">"PEN"</f>
        <v>PEN</v>
      </c>
      <c r="O237" s="13"/>
      <c r="P237" s="13">
        <v>8</v>
      </c>
      <c r="Q237" s="3">
        <f t="shared" ref="Q237:Q245" si="23">+IF(OR($G237="SALDO",$G237="INGRESO"),$P237,0)</f>
        <v>0</v>
      </c>
      <c r="R237" s="3">
        <f t="shared" ref="R237:R245" si="24">+IF($G237="EGRESO",$P237,0)</f>
        <v>8</v>
      </c>
      <c r="S237" s="3">
        <f t="shared" si="18"/>
        <v>190.75</v>
      </c>
      <c r="T237" s="24" t="s">
        <v>1081</v>
      </c>
      <c r="U237" s="24"/>
      <c r="V237" s="3"/>
      <c r="W237" s="25" t="s">
        <v>6630</v>
      </c>
      <c r="X237" s="25">
        <v>20517252558</v>
      </c>
      <c r="Y237" s="25" t="str">
        <f>IFERROR(VLOOKUP(C_Ope_003[[#This Row],[NOTA 2]],Clientes_Proveedores[[Ruc / Dni]:[Razon Social]],2,0),"")</f>
        <v>COVISUR S.A.</v>
      </c>
      <c r="Z237" s="25" t="s">
        <v>6677</v>
      </c>
      <c r="AA237" s="25"/>
      <c r="AB237" s="3" t="str">
        <f>IF(C_Ope_003[[#This Row],[FECHA]]&gt;0,TEXT(C_Ope_003[[#This Row],[FECHA]],"mmmm"),0)</f>
        <v>Julio</v>
      </c>
    </row>
    <row r="238" spans="2:28" ht="24" x14ac:dyDescent="0.3">
      <c r="B238" s="2">
        <f>IF(C_Ope_003[[#This Row],[TIPO DE R.]]="R",COUNTIFS($D$4:$D237,"R")+1,"")</f>
        <v>234</v>
      </c>
      <c r="C238" s="19" t="str">
        <f t="shared" si="21"/>
        <v>C_Ope_003</v>
      </c>
      <c r="D238" s="3" t="s">
        <v>1074</v>
      </c>
      <c r="E238" s="14">
        <v>45848</v>
      </c>
      <c r="F238" s="5" t="s">
        <v>4644</v>
      </c>
      <c r="G238" s="5" t="s">
        <v>1079</v>
      </c>
      <c r="H238" s="6" t="s">
        <v>919</v>
      </c>
      <c r="I238" s="6" t="s">
        <v>14</v>
      </c>
      <c r="J238" s="6" t="s">
        <v>6556</v>
      </c>
      <c r="K238" s="6">
        <v>487477</v>
      </c>
      <c r="L238" s="7" t="s">
        <v>7077</v>
      </c>
      <c r="M238" s="8">
        <v>24844</v>
      </c>
      <c r="N238" s="8" t="str">
        <f t="shared" si="22"/>
        <v>PEN</v>
      </c>
      <c r="O238" s="13"/>
      <c r="P238" s="13">
        <v>8</v>
      </c>
      <c r="Q238" s="3">
        <f t="shared" si="23"/>
        <v>0</v>
      </c>
      <c r="R238" s="3">
        <f t="shared" si="24"/>
        <v>8</v>
      </c>
      <c r="S238" s="3">
        <f t="shared" si="18"/>
        <v>182.75</v>
      </c>
      <c r="T238" s="24" t="s">
        <v>1081</v>
      </c>
      <c r="U238" s="24"/>
      <c r="V238" s="3"/>
      <c r="W238" s="25" t="s">
        <v>6630</v>
      </c>
      <c r="X238" s="25">
        <v>20517252558</v>
      </c>
      <c r="Y238" s="25" t="str">
        <f>IFERROR(VLOOKUP(C_Ope_003[[#This Row],[NOTA 2]],Clientes_Proveedores[[Ruc / Dni]:[Razon Social]],2,0),"")</f>
        <v>COVISUR S.A.</v>
      </c>
      <c r="Z238" s="25" t="s">
        <v>6677</v>
      </c>
      <c r="AA238" s="25"/>
      <c r="AB238" s="3" t="str">
        <f>IF(C_Ope_003[[#This Row],[FECHA]]&gt;0,TEXT(C_Ope_003[[#This Row],[FECHA]],"mmmm"),0)</f>
        <v>Julio</v>
      </c>
    </row>
    <row r="239" spans="2:28" ht="24" x14ac:dyDescent="0.3">
      <c r="B239" s="2">
        <f>IF(C_Ope_003[[#This Row],[TIPO DE R.]]="R",COUNTIFS($D$4:$D238,"R")+1,"")</f>
        <v>235</v>
      </c>
      <c r="C239" s="19" t="str">
        <f t="shared" si="21"/>
        <v>C_Ope_003</v>
      </c>
      <c r="D239" s="3" t="s">
        <v>1074</v>
      </c>
      <c r="E239" s="14">
        <v>45848</v>
      </c>
      <c r="F239" s="5" t="s">
        <v>4644</v>
      </c>
      <c r="G239" s="5" t="s">
        <v>1079</v>
      </c>
      <c r="H239" s="6" t="s">
        <v>919</v>
      </c>
      <c r="I239" s="6" t="s">
        <v>14</v>
      </c>
      <c r="J239" s="6" t="s">
        <v>5280</v>
      </c>
      <c r="K239" s="6">
        <v>1087851</v>
      </c>
      <c r="L239" s="7" t="s">
        <v>7077</v>
      </c>
      <c r="M239" s="8">
        <v>24846</v>
      </c>
      <c r="N239" s="8" t="str">
        <f t="shared" si="22"/>
        <v>PEN</v>
      </c>
      <c r="O239" s="13"/>
      <c r="P239" s="13">
        <v>8</v>
      </c>
      <c r="Q239" s="3">
        <f t="shared" si="23"/>
        <v>0</v>
      </c>
      <c r="R239" s="3">
        <f t="shared" si="24"/>
        <v>8</v>
      </c>
      <c r="S239" s="3">
        <f t="shared" si="18"/>
        <v>174.75</v>
      </c>
      <c r="T239" s="24" t="s">
        <v>1081</v>
      </c>
      <c r="U239" s="24"/>
      <c r="V239" s="3"/>
      <c r="W239" s="25" t="s">
        <v>6630</v>
      </c>
      <c r="X239" s="25">
        <v>20517252558</v>
      </c>
      <c r="Y239" s="25" t="str">
        <f>IFERROR(VLOOKUP(C_Ope_003[[#This Row],[NOTA 2]],Clientes_Proveedores[[Ruc / Dni]:[Razon Social]],2,0),"")</f>
        <v>COVISUR S.A.</v>
      </c>
      <c r="Z239" s="25" t="s">
        <v>6677</v>
      </c>
      <c r="AA239" s="25"/>
      <c r="AB239" s="3" t="str">
        <f>IF(C_Ope_003[[#This Row],[FECHA]]&gt;0,TEXT(C_Ope_003[[#This Row],[FECHA]],"mmmm"),0)</f>
        <v>Julio</v>
      </c>
    </row>
    <row r="240" spans="2:28" ht="36" x14ac:dyDescent="0.3">
      <c r="B240" s="2">
        <f>IF(C_Ope_003[[#This Row],[TIPO DE R.]]="R",COUNTIFS($D$4:$D239,"R")+1,"")</f>
        <v>236</v>
      </c>
      <c r="C240" s="19" t="str">
        <f t="shared" si="21"/>
        <v>C_Ope_003</v>
      </c>
      <c r="D240" s="3" t="s">
        <v>1074</v>
      </c>
      <c r="E240" s="14">
        <v>45848</v>
      </c>
      <c r="F240" s="5" t="s">
        <v>4644</v>
      </c>
      <c r="G240" s="5" t="s">
        <v>1079</v>
      </c>
      <c r="H240" s="6" t="s">
        <v>970</v>
      </c>
      <c r="I240" s="6" t="s">
        <v>14</v>
      </c>
      <c r="J240" s="6" t="s">
        <v>1119</v>
      </c>
      <c r="K240" s="6">
        <v>17923</v>
      </c>
      <c r="L240" s="7" t="s">
        <v>7078</v>
      </c>
      <c r="M240" s="8">
        <v>24849</v>
      </c>
      <c r="N240" s="8" t="str">
        <f t="shared" si="22"/>
        <v>PEN</v>
      </c>
      <c r="O240" s="13"/>
      <c r="P240" s="13">
        <v>11</v>
      </c>
      <c r="Q240" s="3">
        <f t="shared" si="23"/>
        <v>0</v>
      </c>
      <c r="R240" s="3">
        <f t="shared" si="24"/>
        <v>11</v>
      </c>
      <c r="S240" s="3">
        <f t="shared" si="18"/>
        <v>163.75</v>
      </c>
      <c r="T240" s="24" t="s">
        <v>1081</v>
      </c>
      <c r="U240" s="24"/>
      <c r="V240" s="3"/>
      <c r="W240" s="25" t="s">
        <v>6630</v>
      </c>
      <c r="X240" s="25">
        <v>20454058187</v>
      </c>
      <c r="Y240" s="25" t="str">
        <f>IFERROR(VLOOKUP(C_Ope_003[[#This Row],[NOTA 2]],Clientes_Proveedores[[Ruc / Dni]:[Razon Social]],2,0),"")</f>
        <v>ZONA ESPECIAL DE DESARROLLO ZED MATARANI</v>
      </c>
      <c r="Z240" s="25" t="s">
        <v>4972</v>
      </c>
      <c r="AA240" s="25"/>
      <c r="AB240" s="3" t="str">
        <f>IF(C_Ope_003[[#This Row],[FECHA]]&gt;0,TEXT(C_Ope_003[[#This Row],[FECHA]],"mmmm"),0)</f>
        <v>Julio</v>
      </c>
    </row>
    <row r="241" spans="2:28" ht="36" x14ac:dyDescent="0.3">
      <c r="B241" s="2">
        <f>IF(C_Ope_003[[#This Row],[TIPO DE R.]]="R",COUNTIFS($D$4:$D240,"R")+1,"")</f>
        <v>237</v>
      </c>
      <c r="C241" s="19" t="str">
        <f t="shared" si="21"/>
        <v>C_Ope_003</v>
      </c>
      <c r="D241" s="3" t="s">
        <v>1074</v>
      </c>
      <c r="E241" s="14">
        <v>45848</v>
      </c>
      <c r="F241" s="5" t="s">
        <v>4644</v>
      </c>
      <c r="G241" s="5" t="s">
        <v>1079</v>
      </c>
      <c r="H241" s="6" t="s">
        <v>970</v>
      </c>
      <c r="I241" s="6" t="s">
        <v>14</v>
      </c>
      <c r="J241" s="6" t="s">
        <v>1119</v>
      </c>
      <c r="K241" s="6">
        <v>17924</v>
      </c>
      <c r="L241" s="7" t="s">
        <v>7078</v>
      </c>
      <c r="M241" s="8">
        <v>24850</v>
      </c>
      <c r="N241" s="8" t="str">
        <f t="shared" si="22"/>
        <v>PEN</v>
      </c>
      <c r="O241" s="13"/>
      <c r="P241" s="13">
        <v>22</v>
      </c>
      <c r="Q241" s="3">
        <f t="shared" si="23"/>
        <v>0</v>
      </c>
      <c r="R241" s="3">
        <f t="shared" si="24"/>
        <v>22</v>
      </c>
      <c r="S241" s="3">
        <f t="shared" si="18"/>
        <v>141.75</v>
      </c>
      <c r="T241" s="24" t="s">
        <v>1081</v>
      </c>
      <c r="U241" s="24"/>
      <c r="V241" s="3"/>
      <c r="W241" s="25" t="s">
        <v>6630</v>
      </c>
      <c r="X241" s="25">
        <v>20454058187</v>
      </c>
      <c r="Y241" s="25" t="str">
        <f>IFERROR(VLOOKUP(C_Ope_003[[#This Row],[NOTA 2]],Clientes_Proveedores[[Ruc / Dni]:[Razon Social]],2,0),"")</f>
        <v>ZONA ESPECIAL DE DESARROLLO ZED MATARANI</v>
      </c>
      <c r="Z241" s="25" t="s">
        <v>4972</v>
      </c>
      <c r="AA241" s="25"/>
      <c r="AB241" s="3" t="str">
        <f>IF(C_Ope_003[[#This Row],[FECHA]]&gt;0,TEXT(C_Ope_003[[#This Row],[FECHA]],"mmmm"),0)</f>
        <v>Julio</v>
      </c>
    </row>
    <row r="242" spans="2:28" x14ac:dyDescent="0.3">
      <c r="B242" s="2">
        <f>IF(C_Ope_003[[#This Row],[TIPO DE R.]]="R",COUNTIFS($D$4:$D241,"R")+1,"")</f>
        <v>238</v>
      </c>
      <c r="C242" s="19" t="str">
        <f t="shared" si="21"/>
        <v>C_Ope_003</v>
      </c>
      <c r="D242" s="3" t="s">
        <v>1074</v>
      </c>
      <c r="E242" s="14">
        <v>45855</v>
      </c>
      <c r="F242" s="5" t="s">
        <v>4644</v>
      </c>
      <c r="G242" s="5" t="s">
        <v>1079</v>
      </c>
      <c r="H242" s="6" t="s">
        <v>919</v>
      </c>
      <c r="I242" s="6" t="s">
        <v>14</v>
      </c>
      <c r="J242" s="6" t="s">
        <v>5243</v>
      </c>
      <c r="K242" s="6">
        <v>2401478</v>
      </c>
      <c r="L242" s="7" t="s">
        <v>7079</v>
      </c>
      <c r="M242" s="8">
        <v>24913</v>
      </c>
      <c r="N242" s="8" t="str">
        <f t="shared" si="22"/>
        <v>PEN</v>
      </c>
      <c r="O242" s="13"/>
      <c r="P242" s="13">
        <v>8</v>
      </c>
      <c r="Q242" s="3">
        <f t="shared" si="23"/>
        <v>0</v>
      </c>
      <c r="R242" s="3">
        <f t="shared" si="24"/>
        <v>8</v>
      </c>
      <c r="S242" s="3">
        <f t="shared" si="18"/>
        <v>133.75</v>
      </c>
      <c r="T242" s="24" t="s">
        <v>1081</v>
      </c>
      <c r="U242" s="24"/>
      <c r="V242" s="3"/>
      <c r="W242" s="25" t="s">
        <v>6630</v>
      </c>
      <c r="X242" s="25">
        <v>20517252558</v>
      </c>
      <c r="Y242" s="25" t="str">
        <f>IFERROR(VLOOKUP(C_Ope_003[[#This Row],[NOTA 2]],Clientes_Proveedores[[Ruc / Dni]:[Razon Social]],2,0),"")</f>
        <v>COVISUR S.A.</v>
      </c>
      <c r="Z242" s="25" t="s">
        <v>6677</v>
      </c>
      <c r="AA242" s="25"/>
      <c r="AB242" s="3" t="str">
        <f>IF(C_Ope_003[[#This Row],[FECHA]]&gt;0,TEXT(C_Ope_003[[#This Row],[FECHA]],"mmmm"),0)</f>
        <v>Julio</v>
      </c>
    </row>
    <row r="243" spans="2:28" ht="36" x14ac:dyDescent="0.3">
      <c r="B243" s="2">
        <f>IF(C_Ope_003[[#This Row],[TIPO DE R.]]="R",COUNTIFS($D$4:$D242,"R")+1,"")</f>
        <v>239</v>
      </c>
      <c r="C243" s="19" t="str">
        <f t="shared" si="21"/>
        <v>C_Ope_003</v>
      </c>
      <c r="D243" s="3" t="s">
        <v>1074</v>
      </c>
      <c r="E243" s="14">
        <v>45859</v>
      </c>
      <c r="F243" s="5" t="s">
        <v>4644</v>
      </c>
      <c r="G243" s="5" t="s">
        <v>1079</v>
      </c>
      <c r="H243" s="6" t="s">
        <v>624</v>
      </c>
      <c r="I243" s="6" t="s">
        <v>14</v>
      </c>
      <c r="J243" s="6" t="s">
        <v>1097</v>
      </c>
      <c r="K243" s="6">
        <v>17050</v>
      </c>
      <c r="L243" s="7" t="s">
        <v>7080</v>
      </c>
      <c r="M243" s="8">
        <v>24962</v>
      </c>
      <c r="N243" s="8" t="str">
        <f t="shared" si="22"/>
        <v>PEN</v>
      </c>
      <c r="O243" s="13"/>
      <c r="P243" s="13">
        <v>20</v>
      </c>
      <c r="Q243" s="3">
        <f t="shared" si="23"/>
        <v>0</v>
      </c>
      <c r="R243" s="3">
        <f t="shared" si="24"/>
        <v>20</v>
      </c>
      <c r="S243" s="3">
        <f t="shared" si="18"/>
        <v>113.75</v>
      </c>
      <c r="T243" s="24" t="s">
        <v>1081</v>
      </c>
      <c r="U243" s="24"/>
      <c r="V243" s="3"/>
      <c r="W243" s="25" t="s">
        <v>6541</v>
      </c>
      <c r="X243" s="25">
        <v>20259858934</v>
      </c>
      <c r="Y243" s="25" t="str">
        <f>IFERROR(VLOOKUP(C_Ope_003[[#This Row],[NOTA 2]],Clientes_Proveedores[[Ruc / Dni]:[Razon Social]],2,0),"")</f>
        <v>COMERCIALIZACION Y SERVICIOS EL EDEN S.A.C.</v>
      </c>
      <c r="Z243" s="25" t="s">
        <v>4972</v>
      </c>
      <c r="AA243" s="25"/>
      <c r="AB243" s="3" t="str">
        <f>IF(C_Ope_003[[#This Row],[FECHA]]&gt;0,TEXT(C_Ope_003[[#This Row],[FECHA]],"mmmm"),0)</f>
        <v>Julio</v>
      </c>
    </row>
    <row r="244" spans="2:28" ht="36" x14ac:dyDescent="0.3">
      <c r="B244" s="2">
        <f>IF(C_Ope_003[[#This Row],[TIPO DE R.]]="R",COUNTIFS($D$4:$D243,"R")+1,"")</f>
        <v>240</v>
      </c>
      <c r="C244" s="19" t="str">
        <f t="shared" si="21"/>
        <v>C_Ope_003</v>
      </c>
      <c r="D244" s="3" t="s">
        <v>1074</v>
      </c>
      <c r="E244" s="14">
        <v>45860</v>
      </c>
      <c r="F244" s="5" t="s">
        <v>4644</v>
      </c>
      <c r="G244" s="5" t="s">
        <v>1079</v>
      </c>
      <c r="H244" s="6" t="s">
        <v>624</v>
      </c>
      <c r="I244" s="6" t="s">
        <v>14</v>
      </c>
      <c r="J244" s="6" t="s">
        <v>1097</v>
      </c>
      <c r="K244" s="6">
        <v>17076</v>
      </c>
      <c r="L244" s="7" t="s">
        <v>7081</v>
      </c>
      <c r="M244" s="8">
        <v>25002</v>
      </c>
      <c r="N244" s="8" t="str">
        <f t="shared" si="22"/>
        <v>PEN</v>
      </c>
      <c r="O244" s="13"/>
      <c r="P244" s="13">
        <v>10</v>
      </c>
      <c r="Q244" s="3">
        <f t="shared" si="23"/>
        <v>0</v>
      </c>
      <c r="R244" s="3">
        <f t="shared" si="24"/>
        <v>10</v>
      </c>
      <c r="S244" s="3">
        <f t="shared" si="18"/>
        <v>103.75</v>
      </c>
      <c r="T244" s="24" t="s">
        <v>1081</v>
      </c>
      <c r="U244" s="24"/>
      <c r="V244" s="3"/>
      <c r="W244" s="25" t="s">
        <v>6630</v>
      </c>
      <c r="X244" s="25">
        <v>20259858934</v>
      </c>
      <c r="Y244" s="25" t="str">
        <f>IFERROR(VLOOKUP(C_Ope_003[[#This Row],[NOTA 2]],Clientes_Proveedores[[Ruc / Dni]:[Razon Social]],2,0),"")</f>
        <v>COMERCIALIZACION Y SERVICIOS EL EDEN S.A.C.</v>
      </c>
      <c r="Z244" s="25" t="s">
        <v>4972</v>
      </c>
      <c r="AA244" s="25"/>
      <c r="AB244" s="3" t="str">
        <f>IF(C_Ope_003[[#This Row],[FECHA]]&gt;0,TEXT(C_Ope_003[[#This Row],[FECHA]],"mmmm"),0)</f>
        <v>Julio</v>
      </c>
    </row>
    <row r="245" spans="2:28" ht="36" x14ac:dyDescent="0.3">
      <c r="B245" s="2">
        <f>IF(C_Ope_003[[#This Row],[TIPO DE R.]]="R",COUNTIFS($D$4:$D244,"R")+1,"")</f>
        <v>241</v>
      </c>
      <c r="C245" s="19" t="str">
        <f t="shared" si="21"/>
        <v>C_Ope_003</v>
      </c>
      <c r="D245" s="3" t="s">
        <v>1074</v>
      </c>
      <c r="E245" s="14">
        <v>45862</v>
      </c>
      <c r="F245" s="5" t="s">
        <v>4644</v>
      </c>
      <c r="G245" s="5" t="s">
        <v>1079</v>
      </c>
      <c r="H245" s="6" t="s">
        <v>624</v>
      </c>
      <c r="I245" s="6" t="s">
        <v>14</v>
      </c>
      <c r="J245" s="6" t="s">
        <v>1097</v>
      </c>
      <c r="K245" s="6">
        <v>17090</v>
      </c>
      <c r="L245" s="7" t="s">
        <v>7081</v>
      </c>
      <c r="M245" s="8">
        <v>25009</v>
      </c>
      <c r="N245" s="8" t="str">
        <f t="shared" si="22"/>
        <v>PEN</v>
      </c>
      <c r="O245" s="13"/>
      <c r="P245" s="13">
        <v>10</v>
      </c>
      <c r="Q245" s="3">
        <f t="shared" si="23"/>
        <v>0</v>
      </c>
      <c r="R245" s="3">
        <f t="shared" si="24"/>
        <v>10</v>
      </c>
      <c r="S245" s="3">
        <f t="shared" si="18"/>
        <v>93.75</v>
      </c>
      <c r="T245" s="24" t="s">
        <v>1081</v>
      </c>
      <c r="U245" s="24"/>
      <c r="V245" s="3"/>
      <c r="W245" s="25" t="s">
        <v>6630</v>
      </c>
      <c r="X245" s="25">
        <v>20259858934</v>
      </c>
      <c r="Y245" s="25" t="str">
        <f>IFERROR(VLOOKUP(C_Ope_003[[#This Row],[NOTA 2]],Clientes_Proveedores[[Ruc / Dni]:[Razon Social]],2,0),"")</f>
        <v>COMERCIALIZACION Y SERVICIOS EL EDEN S.A.C.</v>
      </c>
      <c r="Z245" s="25" t="s">
        <v>4972</v>
      </c>
      <c r="AA245" s="25"/>
      <c r="AB245" s="3" t="str">
        <f>IF(C_Ope_003[[#This Row],[FECHA]]&gt;0,TEXT(C_Ope_003[[#This Row],[FECHA]],"mmmm"),0)</f>
        <v>Julio</v>
      </c>
    </row>
    <row r="246" spans="2:28" ht="24" x14ac:dyDescent="0.3">
      <c r="B246" s="2">
        <f>IF(C_Ope_003[[#This Row],[TIPO DE R.]]="R",COUNTIFS($D$4:$D245,"R")+1,"")</f>
        <v>242</v>
      </c>
      <c r="C246" s="19" t="str">
        <f t="shared" ref="C246:C255" si="25">"C_Ope_003"</f>
        <v>C_Ope_003</v>
      </c>
      <c r="D246" s="3" t="s">
        <v>1074</v>
      </c>
      <c r="E246" s="14">
        <v>45863</v>
      </c>
      <c r="F246" s="5" t="s">
        <v>4644</v>
      </c>
      <c r="G246" s="5" t="s">
        <v>1079</v>
      </c>
      <c r="H246" s="6" t="s">
        <v>399</v>
      </c>
      <c r="I246" s="6" t="s">
        <v>14</v>
      </c>
      <c r="J246" s="6" t="s">
        <v>1119</v>
      </c>
      <c r="K246" s="6">
        <v>307</v>
      </c>
      <c r="L246" s="7" t="s">
        <v>6565</v>
      </c>
      <c r="M246" s="8">
        <v>25014</v>
      </c>
      <c r="N246" s="8" t="str">
        <f t="shared" ref="N246:N255" si="26">"PEN"</f>
        <v>PEN</v>
      </c>
      <c r="O246" s="13"/>
      <c r="P246" s="13">
        <v>30</v>
      </c>
      <c r="Q246" s="3">
        <f t="shared" ref="Q246:Q255" si="27">+IF(OR($G246="SALDO",$G246="INGRESO"),$P246,0)</f>
        <v>0</v>
      </c>
      <c r="R246" s="3">
        <f t="shared" ref="R246:R255" si="28">+IF($G246="EGRESO",$P246,0)</f>
        <v>30</v>
      </c>
      <c r="S246" s="3">
        <f t="shared" si="18"/>
        <v>63.75</v>
      </c>
      <c r="T246" s="24" t="s">
        <v>1081</v>
      </c>
      <c r="U246" s="24"/>
      <c r="V246" s="3"/>
      <c r="W246" s="25" t="s">
        <v>6630</v>
      </c>
      <c r="X246" s="25">
        <v>20600910010</v>
      </c>
      <c r="Y246" s="25" t="str">
        <f>IFERROR(VLOOKUP(C_Ope_003[[#This Row],[NOTA 2]],Clientes_Proveedores[[Ruc / Dni]:[Razon Social]],2,0),"")</f>
        <v>SAN FRANCISCO JR SAC</v>
      </c>
      <c r="Z246" s="25" t="s">
        <v>6727</v>
      </c>
      <c r="AA246" s="25"/>
      <c r="AB246" s="3" t="str">
        <f>IF(C_Ope_003[[#This Row],[FECHA]]&gt;0,TEXT(C_Ope_003[[#This Row],[FECHA]],"mmmm"),0)</f>
        <v>Julio</v>
      </c>
    </row>
    <row r="247" spans="2:28" ht="36" x14ac:dyDescent="0.3">
      <c r="B247" s="2">
        <f>IF(C_Ope_003[[#This Row],[TIPO DE R.]]="R",COUNTIFS($D$4:$D246,"R")+1,"")</f>
        <v>243</v>
      </c>
      <c r="C247" s="19" t="str">
        <f t="shared" si="25"/>
        <v>C_Ope_003</v>
      </c>
      <c r="D247" s="3" t="s">
        <v>1074</v>
      </c>
      <c r="E247" s="14">
        <v>45868</v>
      </c>
      <c r="F247" s="5" t="s">
        <v>4644</v>
      </c>
      <c r="G247" s="5" t="s">
        <v>1079</v>
      </c>
      <c r="H247" s="6" t="s">
        <v>624</v>
      </c>
      <c r="I247" s="6" t="s">
        <v>14</v>
      </c>
      <c r="J247" s="6" t="s">
        <v>7082</v>
      </c>
      <c r="K247" s="6">
        <v>17156</v>
      </c>
      <c r="L247" s="7" t="s">
        <v>7083</v>
      </c>
      <c r="M247" s="8">
        <v>25043</v>
      </c>
      <c r="N247" s="8" t="str">
        <f t="shared" si="26"/>
        <v>PEN</v>
      </c>
      <c r="O247" s="13"/>
      <c r="P247" s="13">
        <v>20</v>
      </c>
      <c r="Q247" s="3">
        <f t="shared" si="27"/>
        <v>0</v>
      </c>
      <c r="R247" s="3">
        <f t="shared" si="28"/>
        <v>20</v>
      </c>
      <c r="S247" s="3">
        <f t="shared" si="18"/>
        <v>43.75</v>
      </c>
      <c r="T247" s="24" t="s">
        <v>1081</v>
      </c>
      <c r="U247" s="24"/>
      <c r="V247" s="3"/>
      <c r="W247" s="25" t="s">
        <v>6630</v>
      </c>
      <c r="X247" s="25">
        <v>20259858934</v>
      </c>
      <c r="Y247" s="25" t="str">
        <f>IFERROR(VLOOKUP(C_Ope_003[[#This Row],[NOTA 2]],Clientes_Proveedores[[Ruc / Dni]:[Razon Social]],2,0),"")</f>
        <v>COMERCIALIZACION Y SERVICIOS EL EDEN S.A.C.</v>
      </c>
      <c r="Z247" s="25" t="s">
        <v>4972</v>
      </c>
      <c r="AA247" s="25"/>
      <c r="AB247" s="3" t="str">
        <f>IF(C_Ope_003[[#This Row],[FECHA]]&gt;0,TEXT(C_Ope_003[[#This Row],[FECHA]],"mmmm"),0)</f>
        <v>Julio</v>
      </c>
    </row>
    <row r="248" spans="2:28" ht="36" x14ac:dyDescent="0.3">
      <c r="B248" s="2">
        <f>IF(C_Ope_003[[#This Row],[TIPO DE R.]]="R",COUNTIFS($D$4:$D247,"R")+1,"")</f>
        <v>244</v>
      </c>
      <c r="C248" s="19" t="str">
        <f t="shared" si="25"/>
        <v>C_Ope_003</v>
      </c>
      <c r="D248" s="3" t="s">
        <v>1074</v>
      </c>
      <c r="E248" s="14">
        <v>45869</v>
      </c>
      <c r="F248" s="5" t="s">
        <v>4644</v>
      </c>
      <c r="G248" s="5" t="s">
        <v>1079</v>
      </c>
      <c r="H248" s="6" t="s">
        <v>624</v>
      </c>
      <c r="I248" s="6" t="s">
        <v>14</v>
      </c>
      <c r="J248" s="6" t="s">
        <v>1097</v>
      </c>
      <c r="K248" s="6">
        <v>17165</v>
      </c>
      <c r="L248" s="7" t="s">
        <v>7084</v>
      </c>
      <c r="M248" s="8">
        <v>25044</v>
      </c>
      <c r="N248" s="8" t="str">
        <f t="shared" si="26"/>
        <v>PEN</v>
      </c>
      <c r="O248" s="13"/>
      <c r="P248" s="13">
        <v>20</v>
      </c>
      <c r="Q248" s="3">
        <f t="shared" si="27"/>
        <v>0</v>
      </c>
      <c r="R248" s="3">
        <f t="shared" si="28"/>
        <v>20</v>
      </c>
      <c r="S248" s="3">
        <f t="shared" si="18"/>
        <v>23.75</v>
      </c>
      <c r="T248" s="24" t="s">
        <v>1081</v>
      </c>
      <c r="U248" s="24"/>
      <c r="V248" s="3"/>
      <c r="W248" s="25" t="s">
        <v>6630</v>
      </c>
      <c r="X248" s="25">
        <v>20259858934</v>
      </c>
      <c r="Y248" s="25" t="str">
        <f>IFERROR(VLOOKUP(C_Ope_003[[#This Row],[NOTA 2]],Clientes_Proveedores[[Ruc / Dni]:[Razon Social]],2,0),"")</f>
        <v>COMERCIALIZACION Y SERVICIOS EL EDEN S.A.C.</v>
      </c>
      <c r="Z248" s="25" t="s">
        <v>4972</v>
      </c>
      <c r="AA248" s="25"/>
      <c r="AB248" s="3" t="str">
        <f>IF(C_Ope_003[[#This Row],[FECHA]]&gt;0,TEXT(C_Ope_003[[#This Row],[FECHA]],"mmmm"),0)</f>
        <v>Julio</v>
      </c>
    </row>
    <row r="249" spans="2:28" x14ac:dyDescent="0.3">
      <c r="B249" s="2">
        <f>IF(C_Ope_003[[#This Row],[TIPO DE R.]]="R",COUNTIFS($D$4:$D248,"R")+1,"")</f>
        <v>245</v>
      </c>
      <c r="C249" s="19" t="str">
        <f t="shared" si="25"/>
        <v>C_Ope_003</v>
      </c>
      <c r="D249" s="3" t="s">
        <v>1074</v>
      </c>
      <c r="E249" s="14">
        <v>45870</v>
      </c>
      <c r="F249" s="5" t="s">
        <v>4644</v>
      </c>
      <c r="G249" s="5" t="s">
        <v>1079</v>
      </c>
      <c r="H249" s="6" t="s">
        <v>919</v>
      </c>
      <c r="I249" s="6" t="s">
        <v>14</v>
      </c>
      <c r="J249" s="6" t="s">
        <v>5244</v>
      </c>
      <c r="K249" s="6">
        <v>1799996</v>
      </c>
      <c r="L249" s="7" t="s">
        <v>7085</v>
      </c>
      <c r="M249" s="8">
        <v>25046</v>
      </c>
      <c r="N249" s="8" t="str">
        <f t="shared" si="26"/>
        <v>PEN</v>
      </c>
      <c r="O249" s="13"/>
      <c r="P249" s="13">
        <v>12</v>
      </c>
      <c r="Q249" s="3">
        <f t="shared" si="27"/>
        <v>0</v>
      </c>
      <c r="R249" s="3">
        <f t="shared" si="28"/>
        <v>12</v>
      </c>
      <c r="S249" s="3">
        <f t="shared" si="18"/>
        <v>11.75</v>
      </c>
      <c r="T249" s="24" t="s">
        <v>1081</v>
      </c>
      <c r="U249" s="24"/>
      <c r="V249" s="3"/>
      <c r="W249" s="25" t="s">
        <v>6747</v>
      </c>
      <c r="X249" s="25">
        <v>20517252558</v>
      </c>
      <c r="Y249" s="25" t="str">
        <f>IFERROR(VLOOKUP(C_Ope_003[[#This Row],[NOTA 2]],Clientes_Proveedores[[Ruc / Dni]:[Razon Social]],2,0),"")</f>
        <v>COVISUR S.A.</v>
      </c>
      <c r="Z249" s="25" t="s">
        <v>6677</v>
      </c>
      <c r="AA249" s="25"/>
      <c r="AB249" s="3" t="str">
        <f>IF(C_Ope_003[[#This Row],[FECHA]]&gt;0,TEXT(C_Ope_003[[#This Row],[FECHA]],"mmmm"),0)</f>
        <v>Agosto</v>
      </c>
    </row>
    <row r="250" spans="2:28" x14ac:dyDescent="0.3">
      <c r="B250" s="2">
        <f>IF(C_Ope_003[[#This Row],[TIPO DE R.]]="R",COUNTIFS($D$4:$D249,"R")+1,"")</f>
        <v>246</v>
      </c>
      <c r="C250" s="19" t="str">
        <f>"C_Ope_003"</f>
        <v>C_Ope_003</v>
      </c>
      <c r="D250" s="3" t="s">
        <v>1074</v>
      </c>
      <c r="E250" s="14">
        <v>45873</v>
      </c>
      <c r="F250" s="5" t="s">
        <v>3353</v>
      </c>
      <c r="G250" s="5" t="s">
        <v>1087</v>
      </c>
      <c r="H250" s="6"/>
      <c r="I250" s="6"/>
      <c r="J250" s="6"/>
      <c r="K250" s="6"/>
      <c r="L250" s="7" t="s">
        <v>6302</v>
      </c>
      <c r="M250" s="8">
        <v>25079</v>
      </c>
      <c r="N250" s="8" t="str">
        <f>"PEN"</f>
        <v>PEN</v>
      </c>
      <c r="O250" s="13"/>
      <c r="P250" s="13">
        <v>140</v>
      </c>
      <c r="Q250" s="3">
        <f>+IF(OR($G250="SALDO",$G250="INGRESO"),$P250,0)</f>
        <v>140</v>
      </c>
      <c r="R250" s="3">
        <f>+IF($G250="EGRESO",$P250,0)</f>
        <v>0</v>
      </c>
      <c r="S250" s="3">
        <f t="shared" si="18"/>
        <v>151.75</v>
      </c>
      <c r="T250" s="24"/>
      <c r="U250" s="24"/>
      <c r="V250" s="3"/>
      <c r="W250" s="25"/>
      <c r="X250" s="25"/>
      <c r="Y250" s="25" t="str">
        <f>IFERROR(VLOOKUP(C_Ope_003[[#This Row],[NOTA 2]],Clientes_Proveedores[[Ruc / Dni]:[Razon Social]],2,0),"")</f>
        <v/>
      </c>
      <c r="Z250" s="25"/>
      <c r="AA250" s="25"/>
      <c r="AB250" s="3" t="str">
        <f>IF(C_Ope_003[[#This Row],[FECHA]]&gt;0,TEXT(C_Ope_003[[#This Row],[FECHA]],"mmmm"),0)</f>
        <v>Agosto</v>
      </c>
    </row>
    <row r="251" spans="2:28" ht="24" x14ac:dyDescent="0.3">
      <c r="B251" s="2">
        <f>IF(C_Ope_003[[#This Row],[TIPO DE R.]]="R",COUNTIFS($D$4:$D250,"R")+1,"")</f>
        <v>247</v>
      </c>
      <c r="C251" s="19" t="str">
        <f t="shared" si="25"/>
        <v>C_Ope_003</v>
      </c>
      <c r="D251" s="3" t="s">
        <v>1074</v>
      </c>
      <c r="E251" s="14">
        <v>45873</v>
      </c>
      <c r="F251" s="5" t="s">
        <v>4644</v>
      </c>
      <c r="G251" s="5" t="s">
        <v>1079</v>
      </c>
      <c r="H251" s="6" t="s">
        <v>919</v>
      </c>
      <c r="I251" s="6" t="s">
        <v>14</v>
      </c>
      <c r="J251" s="6" t="s">
        <v>5242</v>
      </c>
      <c r="K251" s="6">
        <v>2133054</v>
      </c>
      <c r="L251" s="7" t="s">
        <v>7086</v>
      </c>
      <c r="M251" s="8">
        <v>25064</v>
      </c>
      <c r="N251" s="8" t="str">
        <f t="shared" si="26"/>
        <v>PEN</v>
      </c>
      <c r="O251" s="13"/>
      <c r="P251" s="13">
        <v>12</v>
      </c>
      <c r="Q251" s="3">
        <f t="shared" si="27"/>
        <v>0</v>
      </c>
      <c r="R251" s="3">
        <f t="shared" si="28"/>
        <v>12</v>
      </c>
      <c r="S251" s="3">
        <f t="shared" si="18"/>
        <v>139.75</v>
      </c>
      <c r="T251" s="24" t="s">
        <v>1081</v>
      </c>
      <c r="U251" s="24"/>
      <c r="V251" s="3"/>
      <c r="W251" s="25" t="s">
        <v>6747</v>
      </c>
      <c r="X251" s="25">
        <v>20517252558</v>
      </c>
      <c r="Y251" s="25" t="str">
        <f>IFERROR(VLOOKUP(C_Ope_003[[#This Row],[NOTA 2]],Clientes_Proveedores[[Ruc / Dni]:[Razon Social]],2,0),"")</f>
        <v>COVISUR S.A.</v>
      </c>
      <c r="Z251" s="25" t="s">
        <v>6677</v>
      </c>
      <c r="AA251" s="25"/>
      <c r="AB251" s="3" t="str">
        <f>IF(C_Ope_003[[#This Row],[FECHA]]&gt;0,TEXT(C_Ope_003[[#This Row],[FECHA]],"mmmm"),0)</f>
        <v>Agosto</v>
      </c>
    </row>
    <row r="252" spans="2:28" x14ac:dyDescent="0.3">
      <c r="B252" s="2">
        <f>IF(C_Ope_003[[#This Row],[TIPO DE R.]]="R",COUNTIFS($D$4:$D251,"R")+1,"")</f>
        <v>248</v>
      </c>
      <c r="C252" s="19" t="str">
        <f t="shared" si="25"/>
        <v>C_Ope_003</v>
      </c>
      <c r="D252" s="3" t="s">
        <v>1074</v>
      </c>
      <c r="E252" s="14">
        <v>45873</v>
      </c>
      <c r="F252" s="5" t="s">
        <v>4644</v>
      </c>
      <c r="G252" s="5" t="s">
        <v>1079</v>
      </c>
      <c r="H252" s="6" t="s">
        <v>919</v>
      </c>
      <c r="I252" s="6" t="s">
        <v>14</v>
      </c>
      <c r="J252" s="6" t="s">
        <v>5243</v>
      </c>
      <c r="K252" s="6">
        <v>2422670</v>
      </c>
      <c r="L252" s="7" t="s">
        <v>7087</v>
      </c>
      <c r="M252" s="8">
        <v>25078</v>
      </c>
      <c r="N252" s="8" t="str">
        <f t="shared" si="26"/>
        <v>PEN</v>
      </c>
      <c r="O252" s="13"/>
      <c r="P252" s="13">
        <v>12</v>
      </c>
      <c r="Q252" s="3">
        <f t="shared" si="27"/>
        <v>0</v>
      </c>
      <c r="R252" s="3">
        <f t="shared" si="28"/>
        <v>12</v>
      </c>
      <c r="S252" s="3">
        <f t="shared" si="18"/>
        <v>127.75</v>
      </c>
      <c r="T252" s="24" t="s">
        <v>1081</v>
      </c>
      <c r="U252" s="24"/>
      <c r="V252" s="3"/>
      <c r="W252" s="25" t="s">
        <v>6747</v>
      </c>
      <c r="X252" s="25">
        <v>20517252558</v>
      </c>
      <c r="Y252" s="25" t="str">
        <f>IFERROR(VLOOKUP(C_Ope_003[[#This Row],[NOTA 2]],Clientes_Proveedores[[Ruc / Dni]:[Razon Social]],2,0),"")</f>
        <v>COVISUR S.A.</v>
      </c>
      <c r="Z252" s="25" t="s">
        <v>6677</v>
      </c>
      <c r="AA252" s="25"/>
      <c r="AB252" s="3" t="str">
        <f>IF(C_Ope_003[[#This Row],[FECHA]]&gt;0,TEXT(C_Ope_003[[#This Row],[FECHA]],"mmmm"),0)</f>
        <v>Agosto</v>
      </c>
    </row>
    <row r="253" spans="2:28" ht="24" x14ac:dyDescent="0.3">
      <c r="B253" s="2">
        <f>IF(C_Ope_003[[#This Row],[TIPO DE R.]]="R",COUNTIFS($D$4:$D252,"R")+1,"")</f>
        <v>249</v>
      </c>
      <c r="C253" s="19" t="str">
        <f t="shared" si="25"/>
        <v>C_Ope_003</v>
      </c>
      <c r="D253" s="3" t="s">
        <v>1074</v>
      </c>
      <c r="E253" s="14">
        <v>45874</v>
      </c>
      <c r="F253" s="5" t="s">
        <v>4644</v>
      </c>
      <c r="G253" s="5" t="s">
        <v>1079</v>
      </c>
      <c r="H253" s="6" t="s">
        <v>919</v>
      </c>
      <c r="I253" s="6" t="s">
        <v>14</v>
      </c>
      <c r="J253" s="6" t="s">
        <v>5242</v>
      </c>
      <c r="K253" s="6">
        <v>2134105</v>
      </c>
      <c r="L253" s="7" t="s">
        <v>7088</v>
      </c>
      <c r="M253" s="8">
        <v>25093</v>
      </c>
      <c r="N253" s="8" t="str">
        <f t="shared" si="26"/>
        <v>PEN</v>
      </c>
      <c r="O253" s="13"/>
      <c r="P253" s="13">
        <v>12</v>
      </c>
      <c r="Q253" s="3">
        <f t="shared" si="27"/>
        <v>0</v>
      </c>
      <c r="R253" s="3">
        <f t="shared" si="28"/>
        <v>12</v>
      </c>
      <c r="S253" s="3">
        <f t="shared" si="18"/>
        <v>115.75</v>
      </c>
      <c r="T253" s="24" t="s">
        <v>1081</v>
      </c>
      <c r="U253" s="24"/>
      <c r="V253" s="3"/>
      <c r="W253" s="25" t="s">
        <v>6747</v>
      </c>
      <c r="X253" s="25">
        <v>20517252558</v>
      </c>
      <c r="Y253" s="25" t="str">
        <f>IFERROR(VLOOKUP(C_Ope_003[[#This Row],[NOTA 2]],Clientes_Proveedores[[Ruc / Dni]:[Razon Social]],2,0),"")</f>
        <v>COVISUR S.A.</v>
      </c>
      <c r="Z253" s="25" t="s">
        <v>6677</v>
      </c>
      <c r="AA253" s="25"/>
      <c r="AB253" s="3" t="str">
        <f>IF(C_Ope_003[[#This Row],[FECHA]]&gt;0,TEXT(C_Ope_003[[#This Row],[FECHA]],"mmmm"),0)</f>
        <v>Agosto</v>
      </c>
    </row>
    <row r="254" spans="2:28" x14ac:dyDescent="0.3">
      <c r="B254" s="2">
        <f>IF(C_Ope_003[[#This Row],[TIPO DE R.]]="R",COUNTIFS($D$4:$D253,"R")+1,"")</f>
        <v>250</v>
      </c>
      <c r="C254" s="19" t="str">
        <f t="shared" si="25"/>
        <v>C_Ope_003</v>
      </c>
      <c r="D254" s="3" t="s">
        <v>1074</v>
      </c>
      <c r="E254" s="14">
        <v>45877</v>
      </c>
      <c r="F254" s="5" t="s">
        <v>4644</v>
      </c>
      <c r="G254" s="5" t="s">
        <v>1079</v>
      </c>
      <c r="H254" s="6" t="s">
        <v>919</v>
      </c>
      <c r="I254" s="6" t="s">
        <v>14</v>
      </c>
      <c r="J254" s="6" t="s">
        <v>5243</v>
      </c>
      <c r="K254" s="6">
        <v>2427754</v>
      </c>
      <c r="L254" s="7" t="s">
        <v>7089</v>
      </c>
      <c r="M254" s="8">
        <v>25115</v>
      </c>
      <c r="N254" s="8" t="str">
        <f t="shared" si="26"/>
        <v>PEN</v>
      </c>
      <c r="O254" s="13"/>
      <c r="P254" s="13">
        <v>12</v>
      </c>
      <c r="Q254" s="3">
        <f t="shared" si="27"/>
        <v>0</v>
      </c>
      <c r="R254" s="3">
        <f t="shared" si="28"/>
        <v>12</v>
      </c>
      <c r="S254" s="3">
        <f t="shared" si="18"/>
        <v>103.75</v>
      </c>
      <c r="T254" s="24" t="s">
        <v>1081</v>
      </c>
      <c r="U254" s="24"/>
      <c r="V254" s="3"/>
      <c r="W254" s="25" t="s">
        <v>6747</v>
      </c>
      <c r="X254" s="25">
        <v>20517252558</v>
      </c>
      <c r="Y254" s="25" t="str">
        <f>IFERROR(VLOOKUP(C_Ope_003[[#This Row],[NOTA 2]],Clientes_Proveedores[[Ruc / Dni]:[Razon Social]],2,0),"")</f>
        <v>COVISUR S.A.</v>
      </c>
      <c r="Z254" s="25" t="s">
        <v>6677</v>
      </c>
      <c r="AA254" s="25"/>
      <c r="AB254" s="3" t="str">
        <f>IF(C_Ope_003[[#This Row],[FECHA]]&gt;0,TEXT(C_Ope_003[[#This Row],[FECHA]],"mmmm"),0)</f>
        <v>Agosto</v>
      </c>
    </row>
    <row r="255" spans="2:28" x14ac:dyDescent="0.3">
      <c r="B255" s="2">
        <f>IF(C_Ope_003[[#This Row],[TIPO DE R.]]="R",COUNTIFS($D$4:$D254,"R")+1,"")</f>
        <v>251</v>
      </c>
      <c r="C255" s="19" t="str">
        <f t="shared" si="25"/>
        <v>C_Ope_003</v>
      </c>
      <c r="D255" s="3" t="s">
        <v>1074</v>
      </c>
      <c r="E255" s="14">
        <v>45880</v>
      </c>
      <c r="F255" s="5" t="s">
        <v>4644</v>
      </c>
      <c r="G255" s="5" t="s">
        <v>1079</v>
      </c>
      <c r="H255" s="6" t="s">
        <v>919</v>
      </c>
      <c r="I255" s="6" t="s">
        <v>14</v>
      </c>
      <c r="J255" s="6" t="s">
        <v>5245</v>
      </c>
      <c r="K255" s="6">
        <v>1828780</v>
      </c>
      <c r="L255" s="7" t="s">
        <v>7090</v>
      </c>
      <c r="M255" s="8">
        <v>25116</v>
      </c>
      <c r="N255" s="8" t="str">
        <f t="shared" si="26"/>
        <v>PEN</v>
      </c>
      <c r="O255" s="13"/>
      <c r="P255" s="13">
        <v>12</v>
      </c>
      <c r="Q255" s="3">
        <f t="shared" si="27"/>
        <v>0</v>
      </c>
      <c r="R255" s="3">
        <f t="shared" si="28"/>
        <v>12</v>
      </c>
      <c r="S255" s="3">
        <f t="shared" si="18"/>
        <v>91.75</v>
      </c>
      <c r="T255" s="24" t="s">
        <v>1081</v>
      </c>
      <c r="U255" s="24"/>
      <c r="V255" s="3"/>
      <c r="W255" s="25" t="s">
        <v>6747</v>
      </c>
      <c r="X255" s="25">
        <v>20517252558</v>
      </c>
      <c r="Y255" s="25" t="str">
        <f>IFERROR(VLOOKUP(C_Ope_003[[#This Row],[NOTA 2]],Clientes_Proveedores[[Ruc / Dni]:[Razon Social]],2,0),"")</f>
        <v>COVISUR S.A.</v>
      </c>
      <c r="Z255" s="25" t="s">
        <v>6677</v>
      </c>
      <c r="AA255" s="25"/>
      <c r="AB255" s="3" t="str">
        <f>IF(C_Ope_003[[#This Row],[FECHA]]&gt;0,TEXT(C_Ope_003[[#This Row],[FECHA]],"mmmm"),0)</f>
        <v>Agosto</v>
      </c>
    </row>
    <row r="256" spans="2:28" x14ac:dyDescent="0.3">
      <c r="B256" s="2">
        <f>IF(C_Ope_003[[#This Row],[TIPO DE R.]]="R",COUNTIFS($D$4:$D255,"R")+1,"")</f>
        <v>252</v>
      </c>
      <c r="C256" s="19" t="str">
        <f>"C_Ope_003"</f>
        <v>C_Ope_003</v>
      </c>
      <c r="D256" s="3" t="s">
        <v>1074</v>
      </c>
      <c r="E256" s="14">
        <v>45880</v>
      </c>
      <c r="F256" s="5" t="s">
        <v>3353</v>
      </c>
      <c r="G256" s="5" t="s">
        <v>1087</v>
      </c>
      <c r="H256" s="6"/>
      <c r="I256" s="6"/>
      <c r="J256" s="6"/>
      <c r="K256" s="6"/>
      <c r="L256" s="7" t="s">
        <v>6302</v>
      </c>
      <c r="M256" s="8">
        <v>25167</v>
      </c>
      <c r="N256" s="8" t="str">
        <f>"PEN"</f>
        <v>PEN</v>
      </c>
      <c r="O256" s="13"/>
      <c r="P256" s="13">
        <v>100</v>
      </c>
      <c r="Q256" s="3">
        <f>+IF(OR($G256="SALDO",$G256="INGRESO"),$P256,0)</f>
        <v>100</v>
      </c>
      <c r="R256" s="3">
        <f>+IF($G256="EGRESO",$P256,0)</f>
        <v>0</v>
      </c>
      <c r="S256" s="3">
        <f>IFERROR(IF(G256="SALDO",Q256,S255+Q256-R256),0)</f>
        <v>191.75</v>
      </c>
      <c r="T256" s="24"/>
      <c r="U256" s="24"/>
      <c r="V256" s="3"/>
      <c r="W256" s="25"/>
      <c r="X256" s="25"/>
      <c r="Y256" s="25" t="str">
        <f>IFERROR(VLOOKUP(C_Ope_003[[#This Row],[NOTA 2]],Clientes_Proveedores[[Ruc / Dni]:[Razon Social]],2,0),"")</f>
        <v/>
      </c>
      <c r="Z256" s="25"/>
      <c r="AA256" s="25"/>
      <c r="AB256" s="3" t="str">
        <f>IF(C_Ope_003[[#This Row],[FECHA]]&gt;0,TEXT(C_Ope_003[[#This Row],[FECHA]],"mmmm"),0)</f>
        <v>Agosto</v>
      </c>
    </row>
    <row r="257" spans="2:28" x14ac:dyDescent="0.3">
      <c r="B257" s="2">
        <f>IF(C_Ope_003[[#This Row],[TIPO DE R.]]="R",COUNTIFS($D$4:$D256,"R")+1,"")</f>
        <v>253</v>
      </c>
      <c r="C257" s="19" t="str">
        <f t="shared" ref="C257:C266" si="29">"C_Ope_003"</f>
        <v>C_Ope_003</v>
      </c>
      <c r="D257" s="3" t="s">
        <v>1074</v>
      </c>
      <c r="E257" s="14">
        <v>45881</v>
      </c>
      <c r="F257" s="5" t="s">
        <v>4644</v>
      </c>
      <c r="G257" s="5" t="s">
        <v>1079</v>
      </c>
      <c r="H257" s="6" t="s">
        <v>919</v>
      </c>
      <c r="I257" s="6" t="s">
        <v>14</v>
      </c>
      <c r="J257" s="6" t="s">
        <v>5243</v>
      </c>
      <c r="K257" s="6">
        <v>2432733</v>
      </c>
      <c r="L257" s="7" t="s">
        <v>7091</v>
      </c>
      <c r="M257" s="8">
        <v>25150</v>
      </c>
      <c r="N257" s="8" t="str">
        <f t="shared" ref="N257:N266" si="30">"PEN"</f>
        <v>PEN</v>
      </c>
      <c r="O257" s="13"/>
      <c r="P257" s="13">
        <v>12</v>
      </c>
      <c r="Q257" s="3">
        <f t="shared" ref="Q257:Q266" si="31">+IF(OR($G257="SALDO",$G257="INGRESO"),$P257,0)</f>
        <v>0</v>
      </c>
      <c r="R257" s="3">
        <f t="shared" ref="R257:R266" si="32">+IF($G257="EGRESO",$P257,0)</f>
        <v>12</v>
      </c>
      <c r="S257" s="3">
        <f t="shared" ref="S257:S266" si="33">IFERROR(IF(G257="SALDO",Q257,S256+Q257-R257),0)</f>
        <v>179.75</v>
      </c>
      <c r="T257" s="24" t="s">
        <v>1081</v>
      </c>
      <c r="U257" s="24"/>
      <c r="V257" s="3"/>
      <c r="W257" s="25" t="s">
        <v>6747</v>
      </c>
      <c r="X257" s="25">
        <v>20517252558</v>
      </c>
      <c r="Y257" s="25" t="str">
        <f>IFERROR(VLOOKUP(C_Ope_003[[#This Row],[NOTA 2]],Clientes_Proveedores[[Ruc / Dni]:[Razon Social]],2,0),"")</f>
        <v>COVISUR S.A.</v>
      </c>
      <c r="Z257" s="25" t="s">
        <v>6677</v>
      </c>
      <c r="AA257" s="25"/>
      <c r="AB257" s="3" t="str">
        <f>IF(C_Ope_003[[#This Row],[FECHA]]&gt;0,TEXT(C_Ope_003[[#This Row],[FECHA]],"mmmm"),0)</f>
        <v>Agosto</v>
      </c>
    </row>
    <row r="258" spans="2:28" ht="36" x14ac:dyDescent="0.3">
      <c r="B258" s="2">
        <f>IF(C_Ope_003[[#This Row],[TIPO DE R.]]="R",COUNTIFS($D$4:$D257,"R")+1,"")</f>
        <v>254</v>
      </c>
      <c r="C258" s="19" t="str">
        <f t="shared" si="29"/>
        <v>C_Ope_003</v>
      </c>
      <c r="D258" s="3" t="s">
        <v>1074</v>
      </c>
      <c r="E258" s="14">
        <v>45883</v>
      </c>
      <c r="F258" s="5" t="s">
        <v>4644</v>
      </c>
      <c r="G258" s="5" t="s">
        <v>1079</v>
      </c>
      <c r="H258" s="6" t="s">
        <v>624</v>
      </c>
      <c r="I258" s="6" t="s">
        <v>14</v>
      </c>
      <c r="J258" s="6" t="s">
        <v>1097</v>
      </c>
      <c r="K258" s="6">
        <v>17334</v>
      </c>
      <c r="L258" s="7" t="s">
        <v>7092</v>
      </c>
      <c r="M258" s="8">
        <v>25162</v>
      </c>
      <c r="N258" s="8" t="str">
        <f t="shared" si="30"/>
        <v>PEN</v>
      </c>
      <c r="O258" s="13"/>
      <c r="P258" s="13">
        <v>20</v>
      </c>
      <c r="Q258" s="3">
        <f t="shared" si="31"/>
        <v>0</v>
      </c>
      <c r="R258" s="3">
        <f t="shared" si="32"/>
        <v>20</v>
      </c>
      <c r="S258" s="3">
        <f t="shared" si="33"/>
        <v>159.75</v>
      </c>
      <c r="T258" s="24" t="s">
        <v>1081</v>
      </c>
      <c r="U258" s="24"/>
      <c r="V258" s="3"/>
      <c r="W258" s="25" t="s">
        <v>6747</v>
      </c>
      <c r="X258" s="25">
        <v>20259858934</v>
      </c>
      <c r="Y258" s="25" t="str">
        <f>IFERROR(VLOOKUP(C_Ope_003[[#This Row],[NOTA 2]],Clientes_Proveedores[[Ruc / Dni]:[Razon Social]],2,0),"")</f>
        <v>COMERCIALIZACION Y SERVICIOS EL EDEN S.A.C.</v>
      </c>
      <c r="Z258" s="25" t="s">
        <v>4972</v>
      </c>
      <c r="AA258" s="25"/>
      <c r="AB258" s="3" t="str">
        <f>IF(C_Ope_003[[#This Row],[FECHA]]&gt;0,TEXT(C_Ope_003[[#This Row],[FECHA]],"mmmm"),0)</f>
        <v>Agosto</v>
      </c>
    </row>
    <row r="259" spans="2:28" ht="24" x14ac:dyDescent="0.3">
      <c r="B259" s="2">
        <f>IF(C_Ope_003[[#This Row],[TIPO DE R.]]="R",COUNTIFS($D$4:$D258,"R")+1,"")</f>
        <v>255</v>
      </c>
      <c r="C259" s="19" t="str">
        <f t="shared" si="29"/>
        <v>C_Ope_003</v>
      </c>
      <c r="D259" s="3" t="s">
        <v>1074</v>
      </c>
      <c r="E259" s="14">
        <v>45883</v>
      </c>
      <c r="F259" s="5" t="s">
        <v>4644</v>
      </c>
      <c r="G259" s="5" t="s">
        <v>1079</v>
      </c>
      <c r="H259" s="6" t="s">
        <v>1039</v>
      </c>
      <c r="I259" s="6" t="s">
        <v>21</v>
      </c>
      <c r="J259" s="6">
        <v>1</v>
      </c>
      <c r="K259" s="6">
        <v>2598</v>
      </c>
      <c r="L259" s="7" t="s">
        <v>7093</v>
      </c>
      <c r="M259" s="8">
        <v>25163</v>
      </c>
      <c r="N259" s="8" t="str">
        <f t="shared" si="30"/>
        <v>PEN</v>
      </c>
      <c r="O259" s="13"/>
      <c r="P259" s="13">
        <v>50</v>
      </c>
      <c r="Q259" s="3">
        <f t="shared" si="31"/>
        <v>0</v>
      </c>
      <c r="R259" s="3">
        <f t="shared" si="32"/>
        <v>50</v>
      </c>
      <c r="S259" s="3">
        <f t="shared" si="33"/>
        <v>109.75</v>
      </c>
      <c r="T259" s="24" t="s">
        <v>1081</v>
      </c>
      <c r="U259" s="24"/>
      <c r="V259" s="3"/>
      <c r="W259" s="25" t="s">
        <v>6747</v>
      </c>
      <c r="X259" s="25">
        <v>10460411195</v>
      </c>
      <c r="Y259" s="25" t="str">
        <f>IFERROR(VLOOKUP(C_Ope_003[[#This Row],[NOTA 2]],Clientes_Proveedores[[Ruc / Dni]:[Razon Social]],2,0),"")</f>
        <v>ROMERO CAMA ROXANA</v>
      </c>
      <c r="Z259" s="25" t="s">
        <v>6727</v>
      </c>
      <c r="AA259" s="25"/>
      <c r="AB259" s="3" t="str">
        <f>IF(C_Ope_003[[#This Row],[FECHA]]&gt;0,TEXT(C_Ope_003[[#This Row],[FECHA]],"mmmm"),0)</f>
        <v>Agosto</v>
      </c>
    </row>
    <row r="260" spans="2:28" x14ac:dyDescent="0.3">
      <c r="B260" s="2">
        <f>IF(C_Ope_003[[#This Row],[TIPO DE R.]]="R",COUNTIFS($D$4:$D259,"R")+1,"")</f>
        <v>256</v>
      </c>
      <c r="C260" s="19" t="str">
        <f t="shared" si="29"/>
        <v>C_Ope_003</v>
      </c>
      <c r="D260" s="3" t="s">
        <v>1074</v>
      </c>
      <c r="E260" s="14">
        <v>45888</v>
      </c>
      <c r="F260" s="5" t="s">
        <v>4644</v>
      </c>
      <c r="G260" s="5" t="s">
        <v>1079</v>
      </c>
      <c r="H260" s="6" t="s">
        <v>919</v>
      </c>
      <c r="I260" s="6" t="s">
        <v>14</v>
      </c>
      <c r="J260" s="6" t="s">
        <v>5245</v>
      </c>
      <c r="K260" s="6">
        <v>1836488</v>
      </c>
      <c r="L260" s="7" t="s">
        <v>7094</v>
      </c>
      <c r="M260" s="8">
        <v>25185</v>
      </c>
      <c r="N260" s="8" t="str">
        <f t="shared" si="30"/>
        <v>PEN</v>
      </c>
      <c r="O260" s="13"/>
      <c r="P260" s="13">
        <v>12</v>
      </c>
      <c r="Q260" s="3">
        <f t="shared" si="31"/>
        <v>0</v>
      </c>
      <c r="R260" s="3">
        <f t="shared" si="32"/>
        <v>12</v>
      </c>
      <c r="S260" s="3">
        <f t="shared" si="33"/>
        <v>97.75</v>
      </c>
      <c r="T260" s="24" t="s">
        <v>1081</v>
      </c>
      <c r="U260" s="24"/>
      <c r="V260" s="3"/>
      <c r="W260" s="25" t="s">
        <v>6747</v>
      </c>
      <c r="X260" s="25">
        <v>20517252558</v>
      </c>
      <c r="Y260" s="25" t="str">
        <f>IFERROR(VLOOKUP(C_Ope_003[[#This Row],[NOTA 2]],Clientes_Proveedores[[Ruc / Dni]:[Razon Social]],2,0),"")</f>
        <v>COVISUR S.A.</v>
      </c>
      <c r="Z260" s="25" t="s">
        <v>6677</v>
      </c>
      <c r="AA260" s="25"/>
      <c r="AB260" s="3" t="str">
        <f>IF(C_Ope_003[[#This Row],[FECHA]]&gt;0,TEXT(C_Ope_003[[#This Row],[FECHA]],"mmmm"),0)</f>
        <v>Agosto</v>
      </c>
    </row>
    <row r="261" spans="2:28" x14ac:dyDescent="0.3">
      <c r="B261" s="2">
        <f>IF(C_Ope_003[[#This Row],[TIPO DE R.]]="R",COUNTIFS($D$4:$D260,"R")+1,"")</f>
        <v>257</v>
      </c>
      <c r="C261" s="19" t="str">
        <f t="shared" si="29"/>
        <v>C_Ope_003</v>
      </c>
      <c r="D261" s="3" t="s">
        <v>1074</v>
      </c>
      <c r="E261" s="14">
        <v>45890</v>
      </c>
      <c r="F261" s="5" t="s">
        <v>4644</v>
      </c>
      <c r="G261" s="5" t="s">
        <v>1079</v>
      </c>
      <c r="H261" s="6" t="s">
        <v>919</v>
      </c>
      <c r="I261" s="6" t="s">
        <v>14</v>
      </c>
      <c r="J261" s="6" t="s">
        <v>5243</v>
      </c>
      <c r="K261" s="6">
        <v>2443783</v>
      </c>
      <c r="L261" s="7" t="s">
        <v>7095</v>
      </c>
      <c r="M261" s="8">
        <v>25225</v>
      </c>
      <c r="N261" s="8" t="str">
        <f t="shared" si="30"/>
        <v>PEN</v>
      </c>
      <c r="O261" s="13"/>
      <c r="P261" s="13">
        <v>12</v>
      </c>
      <c r="Q261" s="3">
        <f t="shared" si="31"/>
        <v>0</v>
      </c>
      <c r="R261" s="3">
        <f t="shared" si="32"/>
        <v>12</v>
      </c>
      <c r="S261" s="3">
        <f t="shared" si="33"/>
        <v>85.75</v>
      </c>
      <c r="T261" s="24" t="s">
        <v>1081</v>
      </c>
      <c r="U261" s="24"/>
      <c r="V261" s="3"/>
      <c r="W261" s="25" t="s">
        <v>6747</v>
      </c>
      <c r="X261" s="25">
        <v>20517252558</v>
      </c>
      <c r="Y261" s="25" t="str">
        <f>IFERROR(VLOOKUP(C_Ope_003[[#This Row],[NOTA 2]],Clientes_Proveedores[[Ruc / Dni]:[Razon Social]],2,0),"")</f>
        <v>COVISUR S.A.</v>
      </c>
      <c r="Z261" s="25" t="s">
        <v>6677</v>
      </c>
      <c r="AA261" s="25"/>
      <c r="AB261" s="3" t="str">
        <f>IF(C_Ope_003[[#This Row],[FECHA]]&gt;0,TEXT(C_Ope_003[[#This Row],[FECHA]],"mmmm"),0)</f>
        <v>Agosto</v>
      </c>
    </row>
    <row r="262" spans="2:28" ht="36" x14ac:dyDescent="0.3">
      <c r="B262" s="2">
        <f>IF(C_Ope_003[[#This Row],[TIPO DE R.]]="R",COUNTIFS($D$4:$D261,"R")+1,"")</f>
        <v>258</v>
      </c>
      <c r="C262" s="19" t="str">
        <f t="shared" si="29"/>
        <v>C_Ope_003</v>
      </c>
      <c r="D262" s="3" t="s">
        <v>1074</v>
      </c>
      <c r="E262" s="14">
        <v>45890</v>
      </c>
      <c r="F262" s="5" t="s">
        <v>4644</v>
      </c>
      <c r="G262" s="5" t="s">
        <v>1079</v>
      </c>
      <c r="H262" s="6" t="s">
        <v>170</v>
      </c>
      <c r="I262" s="6" t="s">
        <v>14</v>
      </c>
      <c r="J262" s="6" t="s">
        <v>1148</v>
      </c>
      <c r="K262" s="6">
        <v>135829</v>
      </c>
      <c r="L262" s="7" t="s">
        <v>7096</v>
      </c>
      <c r="M262" s="8">
        <v>25223</v>
      </c>
      <c r="N262" s="8" t="str">
        <f t="shared" si="30"/>
        <v>PEN</v>
      </c>
      <c r="O262" s="13"/>
      <c r="P262" s="13">
        <v>10</v>
      </c>
      <c r="Q262" s="3">
        <f t="shared" si="31"/>
        <v>0</v>
      </c>
      <c r="R262" s="3">
        <f t="shared" si="32"/>
        <v>10</v>
      </c>
      <c r="S262" s="3">
        <f t="shared" si="33"/>
        <v>75.75</v>
      </c>
      <c r="T262" s="24" t="s">
        <v>1081</v>
      </c>
      <c r="U262" s="24"/>
      <c r="V262" s="3"/>
      <c r="W262" s="25" t="s">
        <v>6747</v>
      </c>
      <c r="X262" s="25">
        <v>20124952850</v>
      </c>
      <c r="Y262" s="25" t="str">
        <f>IFERROR(VLOOKUP(C_Ope_003[[#This Row],[NOTA 2]],Clientes_Proveedores[[Ruc / Dni]:[Razon Social]],2,0),"")</f>
        <v>ALIMENTOS Y SERVICIOS AGROPECUARIOS SRL.</v>
      </c>
      <c r="Z262" s="25" t="s">
        <v>4972</v>
      </c>
      <c r="AA262" s="25"/>
      <c r="AB262" s="3" t="str">
        <f>IF(C_Ope_003[[#This Row],[FECHA]]&gt;0,TEXT(C_Ope_003[[#This Row],[FECHA]],"mmmm"),0)</f>
        <v>Agosto</v>
      </c>
    </row>
    <row r="263" spans="2:28" ht="36" x14ac:dyDescent="0.3">
      <c r="B263" s="2">
        <f>IF(C_Ope_003[[#This Row],[TIPO DE R.]]="R",COUNTIFS($D$4:$D262,"R")+1,"")</f>
        <v>259</v>
      </c>
      <c r="C263" s="19" t="str">
        <f t="shared" si="29"/>
        <v>C_Ope_003</v>
      </c>
      <c r="D263" s="3" t="s">
        <v>1074</v>
      </c>
      <c r="E263" s="14">
        <v>45890</v>
      </c>
      <c r="F263" s="5" t="s">
        <v>4644</v>
      </c>
      <c r="G263" s="5" t="s">
        <v>1079</v>
      </c>
      <c r="H263" s="6" t="s">
        <v>170</v>
      </c>
      <c r="I263" s="6" t="s">
        <v>14</v>
      </c>
      <c r="J263" s="6" t="s">
        <v>1148</v>
      </c>
      <c r="K263" s="6">
        <v>135830</v>
      </c>
      <c r="L263" s="7" t="s">
        <v>7097</v>
      </c>
      <c r="M263" s="8">
        <v>25224</v>
      </c>
      <c r="N263" s="8" t="str">
        <f t="shared" si="30"/>
        <v>PEN</v>
      </c>
      <c r="O263" s="13"/>
      <c r="P263" s="13">
        <v>10</v>
      </c>
      <c r="Q263" s="3">
        <f t="shared" si="31"/>
        <v>0</v>
      </c>
      <c r="R263" s="3">
        <f t="shared" si="32"/>
        <v>10</v>
      </c>
      <c r="S263" s="3">
        <f t="shared" si="33"/>
        <v>65.75</v>
      </c>
      <c r="T263" s="24" t="s">
        <v>1081</v>
      </c>
      <c r="U263" s="24"/>
      <c r="V263" s="3"/>
      <c r="W263" s="25" t="s">
        <v>6747</v>
      </c>
      <c r="X263" s="25">
        <v>20124952850</v>
      </c>
      <c r="Y263" s="25" t="str">
        <f>IFERROR(VLOOKUP(C_Ope_003[[#This Row],[NOTA 2]],Clientes_Proveedores[[Ruc / Dni]:[Razon Social]],2,0),"")</f>
        <v>ALIMENTOS Y SERVICIOS AGROPECUARIOS SRL.</v>
      </c>
      <c r="Z263" s="25" t="s">
        <v>4972</v>
      </c>
      <c r="AA263" s="25"/>
      <c r="AB263" s="3" t="str">
        <f>IF(C_Ope_003[[#This Row],[FECHA]]&gt;0,TEXT(C_Ope_003[[#This Row],[FECHA]],"mmmm"),0)</f>
        <v>Agosto</v>
      </c>
    </row>
    <row r="264" spans="2:28" ht="24" x14ac:dyDescent="0.3">
      <c r="B264" s="2">
        <f>IF(C_Ope_003[[#This Row],[TIPO DE R.]]="R",COUNTIFS($D$4:$D263,"R")+1,"")</f>
        <v>260</v>
      </c>
      <c r="C264" s="19" t="str">
        <f t="shared" si="29"/>
        <v>C_Ope_003</v>
      </c>
      <c r="D264" s="3" t="s">
        <v>1074</v>
      </c>
      <c r="E264" s="14">
        <v>45891</v>
      </c>
      <c r="F264" s="5" t="s">
        <v>4644</v>
      </c>
      <c r="G264" s="5" t="s">
        <v>1079</v>
      </c>
      <c r="H264" s="6" t="s">
        <v>919</v>
      </c>
      <c r="I264" s="6" t="s">
        <v>14</v>
      </c>
      <c r="J264" s="6" t="s">
        <v>5245</v>
      </c>
      <c r="K264" s="6">
        <v>1839791</v>
      </c>
      <c r="L264" s="7" t="s">
        <v>7098</v>
      </c>
      <c r="M264" s="8">
        <v>25233</v>
      </c>
      <c r="N264" s="8" t="str">
        <f t="shared" si="30"/>
        <v>PEN</v>
      </c>
      <c r="O264" s="13"/>
      <c r="P264" s="13">
        <v>12</v>
      </c>
      <c r="Q264" s="3">
        <f t="shared" si="31"/>
        <v>0</v>
      </c>
      <c r="R264" s="3">
        <f t="shared" si="32"/>
        <v>12</v>
      </c>
      <c r="S264" s="3">
        <f t="shared" si="33"/>
        <v>53.75</v>
      </c>
      <c r="T264" s="24" t="s">
        <v>1081</v>
      </c>
      <c r="U264" s="24"/>
      <c r="V264" s="3"/>
      <c r="W264" s="25" t="s">
        <v>6747</v>
      </c>
      <c r="X264" s="25">
        <v>20517252558</v>
      </c>
      <c r="Y264" s="25" t="str">
        <f>IFERROR(VLOOKUP(C_Ope_003[[#This Row],[NOTA 2]],Clientes_Proveedores[[Ruc / Dni]:[Razon Social]],2,0),"")</f>
        <v>COVISUR S.A.</v>
      </c>
      <c r="Z264" s="25" t="s">
        <v>6677</v>
      </c>
      <c r="AA264" s="25"/>
      <c r="AB264" s="3" t="str">
        <f>IF(C_Ope_003[[#This Row],[FECHA]]&gt;0,TEXT(C_Ope_003[[#This Row],[FECHA]],"mmmm"),0)</f>
        <v>Agosto</v>
      </c>
    </row>
    <row r="265" spans="2:28" x14ac:dyDescent="0.3">
      <c r="B265" s="2">
        <f>IF(C_Ope_003[[#This Row],[TIPO DE R.]]="R",COUNTIFS($D$4:$D264,"R")+1,"")</f>
        <v>261</v>
      </c>
      <c r="C265" s="19" t="str">
        <f t="shared" si="29"/>
        <v>C_Ope_003</v>
      </c>
      <c r="D265" s="3" t="s">
        <v>1074</v>
      </c>
      <c r="E265" s="14">
        <v>45891</v>
      </c>
      <c r="F265" s="5" t="s">
        <v>4644</v>
      </c>
      <c r="G265" s="5" t="s">
        <v>1079</v>
      </c>
      <c r="H265" s="6" t="s">
        <v>919</v>
      </c>
      <c r="I265" s="6" t="s">
        <v>14</v>
      </c>
      <c r="J265" s="6" t="s">
        <v>5244</v>
      </c>
      <c r="K265" s="6">
        <v>1819437</v>
      </c>
      <c r="L265" s="7" t="s">
        <v>7099</v>
      </c>
      <c r="M265" s="8">
        <v>25239</v>
      </c>
      <c r="N265" s="8" t="str">
        <f t="shared" si="30"/>
        <v>PEN</v>
      </c>
      <c r="O265" s="13"/>
      <c r="P265" s="13">
        <v>12</v>
      </c>
      <c r="Q265" s="3">
        <f t="shared" si="31"/>
        <v>0</v>
      </c>
      <c r="R265" s="3">
        <f t="shared" si="32"/>
        <v>12</v>
      </c>
      <c r="S265" s="3">
        <f t="shared" si="33"/>
        <v>41.75</v>
      </c>
      <c r="T265" s="24" t="s">
        <v>1081</v>
      </c>
      <c r="U265" s="24"/>
      <c r="V265" s="3"/>
      <c r="W265" s="25" t="s">
        <v>6747</v>
      </c>
      <c r="X265" s="25">
        <v>20517252558</v>
      </c>
      <c r="Y265" s="25" t="str">
        <f>IFERROR(VLOOKUP(C_Ope_003[[#This Row],[NOTA 2]],Clientes_Proveedores[[Ruc / Dni]:[Razon Social]],2,0),"")</f>
        <v>COVISUR S.A.</v>
      </c>
      <c r="Z265" s="25" t="s">
        <v>6677</v>
      </c>
      <c r="AA265" s="25"/>
      <c r="AB265" s="3" t="str">
        <f>IF(C_Ope_003[[#This Row],[FECHA]]&gt;0,TEXT(C_Ope_003[[#This Row],[FECHA]],"mmmm"),0)</f>
        <v>Agosto</v>
      </c>
    </row>
    <row r="266" spans="2:28" x14ac:dyDescent="0.3">
      <c r="B266" s="2">
        <f>IF(C_Ope_003[[#This Row],[TIPO DE R.]]="R",COUNTIFS($D$4:$D265,"R")+1,"")</f>
        <v>262</v>
      </c>
      <c r="C266" s="19" t="str">
        <f t="shared" si="29"/>
        <v>C_Ope_003</v>
      </c>
      <c r="D266" s="3" t="s">
        <v>1074</v>
      </c>
      <c r="E266" s="14">
        <v>45891</v>
      </c>
      <c r="F266" s="5" t="s">
        <v>4644</v>
      </c>
      <c r="G266" s="5" t="s">
        <v>1079</v>
      </c>
      <c r="H266" s="6" t="s">
        <v>919</v>
      </c>
      <c r="I266" s="6" t="s">
        <v>14</v>
      </c>
      <c r="J266" s="6" t="s">
        <v>5242</v>
      </c>
      <c r="K266" s="6">
        <v>2153404</v>
      </c>
      <c r="L266" s="7" t="s">
        <v>7099</v>
      </c>
      <c r="M266" s="8">
        <v>25240</v>
      </c>
      <c r="N266" s="8" t="str">
        <f t="shared" si="30"/>
        <v>PEN</v>
      </c>
      <c r="O266" s="13"/>
      <c r="P266" s="13">
        <v>12</v>
      </c>
      <c r="Q266" s="3">
        <f t="shared" si="31"/>
        <v>0</v>
      </c>
      <c r="R266" s="3">
        <f t="shared" si="32"/>
        <v>12</v>
      </c>
      <c r="S266" s="3">
        <f t="shared" si="33"/>
        <v>29.75</v>
      </c>
      <c r="T266" s="24" t="s">
        <v>1081</v>
      </c>
      <c r="U266" s="24"/>
      <c r="V266" s="3"/>
      <c r="W266" s="25" t="s">
        <v>6747</v>
      </c>
      <c r="X266" s="25">
        <v>20517252558</v>
      </c>
      <c r="Y266" s="25" t="str">
        <f>IFERROR(VLOOKUP(C_Ope_003[[#This Row],[NOTA 2]],Clientes_Proveedores[[Ruc / Dni]:[Razon Social]],2,0),"")</f>
        <v>COVISUR S.A.</v>
      </c>
      <c r="Z266" s="25" t="s">
        <v>6677</v>
      </c>
      <c r="AA266" s="25"/>
      <c r="AB266" s="3" t="str">
        <f>IF(C_Ope_003[[#This Row],[FECHA]]&gt;0,TEXT(C_Ope_003[[#This Row],[FECHA]],"mmmm"),0)</f>
        <v>Agosto</v>
      </c>
    </row>
    <row r="274" spans="2:4" x14ac:dyDescent="0.3">
      <c r="B274" s="97" t="s">
        <v>7100</v>
      </c>
      <c r="C274" s="98"/>
      <c r="D274" s="96" t="s">
        <v>830</v>
      </c>
    </row>
  </sheetData>
  <mergeCells count="1">
    <mergeCell ref="B2:AB2"/>
  </mergeCells>
  <conditionalFormatting sqref="B274:D274">
    <cfRule type="expression" dxfId="30" priority="1">
      <formula>$T274="OK"</formula>
    </cfRule>
  </conditionalFormatting>
  <conditionalFormatting sqref="B5:AB266">
    <cfRule type="expression" dxfId="29" priority="247">
      <formula>$U5="OK"</formula>
    </cfRule>
    <cfRule type="expression" dxfId="28" priority="248">
      <formula>$T5="OK"</formula>
    </cfRule>
    <cfRule type="expression" dxfId="27" priority="249">
      <formula>$D5="D"</formula>
    </cfRule>
  </conditionalFormatting>
  <dataValidations count="4">
    <dataValidation type="list" allowBlank="1" showInputMessage="1" showErrorMessage="1" sqref="H5:H266" xr:uid="{10FFEB84-1DAF-564E-9E3C-E933C3C2A4FA}">
      <formula1>Proveedores_Clientes</formula1>
    </dataValidation>
    <dataValidation type="list" allowBlank="1" showInputMessage="1" showErrorMessage="1" sqref="I5:I266" xr:uid="{EEBB2EBC-0A27-F24E-B0F7-D4F704E4661B}">
      <formula1>Documentos</formula1>
    </dataValidation>
    <dataValidation type="list" allowBlank="1" showInputMessage="1" showErrorMessage="1" sqref="G5:G266" xr:uid="{77670C53-223D-7144-97C8-812E8A4A6ED0}">
      <formula1>"SALDO,INGRESO,EGRESO"</formula1>
    </dataValidation>
    <dataValidation type="list" allowBlank="1" showInputMessage="1" showErrorMessage="1" sqref="D5:D266" xr:uid="{B8D332E7-2D1D-9141-98A9-04AD13982FCB}">
      <formula1>"R,D"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3" fitToHeight="0" orientation="landscape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3716-C5A3-49BA-9070-DBA0B771B18F}">
  <sheetPr codeName="Hoja13">
    <tabColor rgb="FFFFC000"/>
    <pageSetUpPr fitToPage="1"/>
  </sheetPr>
  <dimension ref="B2:AB241"/>
  <sheetViews>
    <sheetView showGridLines="0" topLeftCell="A212" zoomScaleNormal="100" zoomScaleSheetLayoutView="100" workbookViewId="0">
      <selection activeCell="H230" sqref="H230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5.44140625" bestFit="1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bestFit="1" customWidth="1"/>
    <col min="23" max="27" width="15.88671875" customWidth="1" outlineLevel="1"/>
    <col min="28" max="28" width="12.88671875" customWidth="1" outlineLevel="1"/>
  </cols>
  <sheetData>
    <row r="2" spans="2:28" ht="23.4" x14ac:dyDescent="0.3">
      <c r="B2" s="263" t="s">
        <v>7101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2">
        <f>IF(C_Ope_004[[#This Row],[TIPO DE R.]]="R",COUNTIFS($D$4:$D4,"R")+1,"")</f>
        <v>1</v>
      </c>
      <c r="C5" s="19" t="str">
        <f>"C_Ope_004"</f>
        <v>C_Ope_004</v>
      </c>
      <c r="D5" s="3" t="s">
        <v>1074</v>
      </c>
      <c r="E5" s="4">
        <v>45658</v>
      </c>
      <c r="F5" s="5" t="s">
        <v>7102</v>
      </c>
      <c r="G5" s="6" t="s">
        <v>1064</v>
      </c>
      <c r="H5" s="6"/>
      <c r="I5" s="6"/>
      <c r="J5" s="6"/>
      <c r="K5" s="6"/>
      <c r="L5" s="7" t="s">
        <v>1076</v>
      </c>
      <c r="M5" s="8">
        <v>22574</v>
      </c>
      <c r="N5" s="8" t="str">
        <f t="shared" ref="N5:N36" si="0">"PEN"</f>
        <v>PEN</v>
      </c>
      <c r="O5" s="13"/>
      <c r="P5" s="9">
        <v>35.99</v>
      </c>
      <c r="Q5" s="9">
        <f t="shared" ref="Q5:Q36" si="1">+IF(OR($G5="SALDO",$G5="INGRESO"),$P5,0)</f>
        <v>35.99</v>
      </c>
      <c r="R5" s="9">
        <f t="shared" ref="R5:R36" si="2">+IF($G5="EGRESO",$P5,0)</f>
        <v>0</v>
      </c>
      <c r="S5" s="9">
        <f t="shared" ref="S5:S68" si="3">IFERROR(IF(G5="SALDO",Q5,S4+Q5-R5),0)</f>
        <v>35.99</v>
      </c>
      <c r="T5" s="24"/>
      <c r="U5" s="24"/>
      <c r="V5" s="15"/>
      <c r="W5" s="25" t="s">
        <v>6950</v>
      </c>
      <c r="X5" s="25"/>
      <c r="Y5" s="25" t="str">
        <f>IFERROR(VLOOKUP(C_Ope_004[[#This Row],[NOTA 2]],Clientes_Proveedores[[Ruc / Dni]:[Razon Social]],2,0),"")</f>
        <v/>
      </c>
      <c r="Z5" s="25"/>
      <c r="AA5" s="25"/>
      <c r="AB5" s="3" t="str">
        <f>IF(C_Ope_004[[#This Row],[FECHA]]&gt;0,TEXT(C_Ope_004[[#This Row],[FECHA]],"mmmm"),0)</f>
        <v>Enero</v>
      </c>
    </row>
    <row r="6" spans="2:28" x14ac:dyDescent="0.3">
      <c r="B6" s="2">
        <f>IF(C_Ope_004[[#This Row],[TIPO DE R.]]="R",COUNTIFS($D$4:$D5,"R")+1,"")</f>
        <v>2</v>
      </c>
      <c r="C6" s="19" t="str">
        <f t="shared" ref="C6:C37" si="4">"C_Ope_004"</f>
        <v>C_Ope_004</v>
      </c>
      <c r="D6" s="3" t="s">
        <v>1074</v>
      </c>
      <c r="E6" s="14">
        <v>45660</v>
      </c>
      <c r="F6" s="5" t="s">
        <v>6299</v>
      </c>
      <c r="G6" s="5" t="s">
        <v>1087</v>
      </c>
      <c r="H6" s="6"/>
      <c r="I6" s="6"/>
      <c r="J6" s="6"/>
      <c r="K6" s="6"/>
      <c r="L6" s="7" t="s">
        <v>6302</v>
      </c>
      <c r="M6" s="8">
        <v>22608</v>
      </c>
      <c r="N6" s="8" t="str">
        <f t="shared" si="0"/>
        <v>PEN</v>
      </c>
      <c r="O6" s="13"/>
      <c r="P6" s="13">
        <v>160</v>
      </c>
      <c r="Q6" s="3">
        <f t="shared" si="1"/>
        <v>160</v>
      </c>
      <c r="R6" s="3">
        <f t="shared" si="2"/>
        <v>0</v>
      </c>
      <c r="S6" s="3">
        <f t="shared" si="3"/>
        <v>195.99</v>
      </c>
      <c r="T6" s="24"/>
      <c r="U6" s="24"/>
      <c r="V6" s="3"/>
      <c r="W6" s="25"/>
      <c r="X6" s="25"/>
      <c r="Y6" s="25" t="str">
        <f>IFERROR(VLOOKUP(C_Ope_004[[#This Row],[NOTA 2]],Clientes_Proveedores[[Ruc / Dni]:[Razon Social]],2,0),"")</f>
        <v/>
      </c>
      <c r="Z6" s="25"/>
      <c r="AA6" s="25"/>
      <c r="AB6" s="3" t="str">
        <f>IF(C_Ope_004[[#This Row],[FECHA]]&gt;0,TEXT(C_Ope_004[[#This Row],[FECHA]],"mmmm"),0)</f>
        <v>Enero</v>
      </c>
    </row>
    <row r="7" spans="2:28" ht="24" x14ac:dyDescent="0.3">
      <c r="B7" s="2">
        <f>IF(C_Ope_004[[#This Row],[TIPO DE R.]]="R",COUNTIFS($D$4:$D6,"R")+1,"")</f>
        <v>3</v>
      </c>
      <c r="C7" s="19" t="str">
        <f t="shared" si="4"/>
        <v>C_Ope_004</v>
      </c>
      <c r="D7" s="3" t="s">
        <v>1074</v>
      </c>
      <c r="E7" s="14">
        <v>45659</v>
      </c>
      <c r="F7" s="5" t="s">
        <v>7102</v>
      </c>
      <c r="G7" s="5" t="s">
        <v>1079</v>
      </c>
      <c r="H7" s="6"/>
      <c r="I7" s="6" t="s">
        <v>14</v>
      </c>
      <c r="J7" s="6" t="s">
        <v>5244</v>
      </c>
      <c r="K7" s="6">
        <v>3260710</v>
      </c>
      <c r="L7" s="7" t="s">
        <v>6951</v>
      </c>
      <c r="M7" s="8">
        <v>22517</v>
      </c>
      <c r="N7" s="8" t="str">
        <f t="shared" si="0"/>
        <v>PEN</v>
      </c>
      <c r="O7" s="13"/>
      <c r="P7" s="13">
        <v>15</v>
      </c>
      <c r="Q7" s="3">
        <f t="shared" si="1"/>
        <v>0</v>
      </c>
      <c r="R7" s="3">
        <f t="shared" si="2"/>
        <v>15</v>
      </c>
      <c r="S7" s="3">
        <f t="shared" si="3"/>
        <v>180.99</v>
      </c>
      <c r="T7" s="24"/>
      <c r="U7" s="24"/>
      <c r="V7" s="3"/>
      <c r="W7" s="25" t="s">
        <v>6950</v>
      </c>
      <c r="X7" s="25"/>
      <c r="Y7" s="25" t="str">
        <f>IFERROR(VLOOKUP(C_Ope_004[[#This Row],[NOTA 2]],Clientes_Proveedores[[Ruc / Dni]:[Razon Social]],2,0),"")</f>
        <v/>
      </c>
      <c r="Z7" s="25"/>
      <c r="AA7" s="25"/>
      <c r="AB7" s="3" t="str">
        <f>IF(C_Ope_004[[#This Row],[FECHA]]&gt;0,TEXT(C_Ope_004[[#This Row],[FECHA]],"mmmm"),0)</f>
        <v>Enero</v>
      </c>
    </row>
    <row r="8" spans="2:28" ht="24" x14ac:dyDescent="0.3">
      <c r="B8" s="2">
        <f>IF(C_Ope_004[[#This Row],[TIPO DE R.]]="R",COUNTIFS($D$4:$D7,"R")+1,"")</f>
        <v>4</v>
      </c>
      <c r="C8" s="19" t="str">
        <f t="shared" si="4"/>
        <v>C_Ope_004</v>
      </c>
      <c r="D8" s="3" t="s">
        <v>1074</v>
      </c>
      <c r="E8" s="14">
        <v>45659</v>
      </c>
      <c r="F8" s="5" t="s">
        <v>7102</v>
      </c>
      <c r="G8" s="5" t="s">
        <v>1079</v>
      </c>
      <c r="H8" s="6"/>
      <c r="I8" s="6" t="s">
        <v>14</v>
      </c>
      <c r="J8" s="6" t="s">
        <v>7103</v>
      </c>
      <c r="K8" s="6">
        <v>3574668</v>
      </c>
      <c r="L8" s="7" t="s">
        <v>6949</v>
      </c>
      <c r="M8" s="8">
        <v>22533</v>
      </c>
      <c r="N8" s="8" t="str">
        <f t="shared" si="0"/>
        <v>PEN</v>
      </c>
      <c r="O8" s="13"/>
      <c r="P8" s="13">
        <v>15</v>
      </c>
      <c r="Q8" s="3">
        <f t="shared" si="1"/>
        <v>0</v>
      </c>
      <c r="R8" s="3">
        <f t="shared" si="2"/>
        <v>15</v>
      </c>
      <c r="S8" s="3">
        <f t="shared" si="3"/>
        <v>165.99</v>
      </c>
      <c r="T8" s="24"/>
      <c r="U8" s="24"/>
      <c r="V8" s="3"/>
      <c r="W8" s="25" t="s">
        <v>6950</v>
      </c>
      <c r="X8" s="25"/>
      <c r="Y8" s="25" t="str">
        <f>IFERROR(VLOOKUP(C_Ope_004[[#This Row],[NOTA 2]],Clientes_Proveedores[[Ruc / Dni]:[Razon Social]],2,0),"")</f>
        <v/>
      </c>
      <c r="Z8" s="25"/>
      <c r="AA8" s="25"/>
      <c r="AB8" s="3" t="str">
        <f>IF(C_Ope_004[[#This Row],[FECHA]]&gt;0,TEXT(C_Ope_004[[#This Row],[FECHA]],"mmmm"),0)</f>
        <v>Enero</v>
      </c>
    </row>
    <row r="9" spans="2:28" ht="24" x14ac:dyDescent="0.3">
      <c r="B9" s="2">
        <f>IF(C_Ope_004[[#This Row],[TIPO DE R.]]="R",COUNTIFS($D$4:$D8,"R")+1,"")</f>
        <v>5</v>
      </c>
      <c r="C9" s="19" t="str">
        <f t="shared" si="4"/>
        <v>C_Ope_004</v>
      </c>
      <c r="D9" s="3" t="s">
        <v>1074</v>
      </c>
      <c r="E9" s="14">
        <v>45660</v>
      </c>
      <c r="F9" s="5" t="s">
        <v>7102</v>
      </c>
      <c r="G9" s="5" t="s">
        <v>1079</v>
      </c>
      <c r="H9" s="6"/>
      <c r="I9" s="6" t="s">
        <v>14</v>
      </c>
      <c r="J9" s="6" t="s">
        <v>7104</v>
      </c>
      <c r="K9" s="6">
        <v>1530691</v>
      </c>
      <c r="L9" s="7" t="s">
        <v>6951</v>
      </c>
      <c r="M9" s="8">
        <v>22564</v>
      </c>
      <c r="N9" s="8" t="str">
        <f t="shared" si="0"/>
        <v>PEN</v>
      </c>
      <c r="O9" s="13"/>
      <c r="P9" s="13">
        <v>15</v>
      </c>
      <c r="Q9" s="3">
        <f t="shared" si="1"/>
        <v>0</v>
      </c>
      <c r="R9" s="3">
        <f t="shared" si="2"/>
        <v>15</v>
      </c>
      <c r="S9" s="3">
        <f t="shared" si="3"/>
        <v>150.99</v>
      </c>
      <c r="T9" s="24"/>
      <c r="U9" s="24"/>
      <c r="V9" s="3"/>
      <c r="W9" s="25" t="s">
        <v>6950</v>
      </c>
      <c r="X9" s="25"/>
      <c r="Y9" s="25" t="str">
        <f>IFERROR(VLOOKUP(C_Ope_004[[#This Row],[NOTA 2]],Clientes_Proveedores[[Ruc / Dni]:[Razon Social]],2,0),"")</f>
        <v/>
      </c>
      <c r="Z9" s="25"/>
      <c r="AA9" s="25"/>
      <c r="AB9" s="3" t="str">
        <f>IF(C_Ope_004[[#This Row],[FECHA]]&gt;0,TEXT(C_Ope_004[[#This Row],[FECHA]],"mmmm"),0)</f>
        <v>Enero</v>
      </c>
    </row>
    <row r="10" spans="2:28" ht="24" x14ac:dyDescent="0.3">
      <c r="B10" s="2">
        <f>IF(C_Ope_004[[#This Row],[TIPO DE R.]]="R",COUNTIFS($D$4:$D9,"R")+1,"")</f>
        <v>6</v>
      </c>
      <c r="C10" s="19" t="str">
        <f t="shared" si="4"/>
        <v>C_Ope_004</v>
      </c>
      <c r="D10" s="3" t="s">
        <v>1074</v>
      </c>
      <c r="E10" s="14">
        <v>45660</v>
      </c>
      <c r="F10" s="5" t="s">
        <v>7102</v>
      </c>
      <c r="G10" s="5" t="s">
        <v>1079</v>
      </c>
      <c r="H10" s="6"/>
      <c r="I10" s="6" t="s">
        <v>14</v>
      </c>
      <c r="J10" s="6" t="s">
        <v>7105</v>
      </c>
      <c r="K10" s="6">
        <v>3034130</v>
      </c>
      <c r="L10" s="7" t="s">
        <v>6949</v>
      </c>
      <c r="M10" s="8">
        <v>22565</v>
      </c>
      <c r="N10" s="8" t="str">
        <f t="shared" si="0"/>
        <v>PEN</v>
      </c>
      <c r="O10" s="13"/>
      <c r="P10" s="13">
        <v>15</v>
      </c>
      <c r="Q10" s="3">
        <f t="shared" si="1"/>
        <v>0</v>
      </c>
      <c r="R10" s="3">
        <f t="shared" si="2"/>
        <v>15</v>
      </c>
      <c r="S10" s="3">
        <f t="shared" si="3"/>
        <v>135.99</v>
      </c>
      <c r="T10" s="24"/>
      <c r="U10" s="24"/>
      <c r="V10" s="3"/>
      <c r="W10" s="25" t="s">
        <v>6950</v>
      </c>
      <c r="X10" s="25"/>
      <c r="Y10" s="25" t="str">
        <f>IFERROR(VLOOKUP(C_Ope_004[[#This Row],[NOTA 2]],Clientes_Proveedores[[Ruc / Dni]:[Razon Social]],2,0),"")</f>
        <v/>
      </c>
      <c r="Z10" s="25"/>
      <c r="AA10" s="25"/>
      <c r="AB10" s="3" t="str">
        <f>IF(C_Ope_004[[#This Row],[FECHA]]&gt;0,TEXT(C_Ope_004[[#This Row],[FECHA]],"mmmm"),0)</f>
        <v>Enero</v>
      </c>
    </row>
    <row r="11" spans="2:28" ht="24" x14ac:dyDescent="0.3">
      <c r="B11" s="2">
        <f>IF(C_Ope_004[[#This Row],[TIPO DE R.]]="R",COUNTIFS($D$4:$D10,"R")+1,"")</f>
        <v>7</v>
      </c>
      <c r="C11" s="19" t="str">
        <f t="shared" si="4"/>
        <v>C_Ope_004</v>
      </c>
      <c r="D11" s="3" t="s">
        <v>1074</v>
      </c>
      <c r="E11" s="14">
        <v>45664</v>
      </c>
      <c r="F11" s="5" t="s">
        <v>7102</v>
      </c>
      <c r="G11" s="5" t="s">
        <v>1079</v>
      </c>
      <c r="H11" s="6"/>
      <c r="I11" s="6" t="s">
        <v>14</v>
      </c>
      <c r="J11" s="6" t="s">
        <v>6906</v>
      </c>
      <c r="K11" s="6">
        <v>2540278</v>
      </c>
      <c r="L11" s="7" t="s">
        <v>7106</v>
      </c>
      <c r="M11" s="8">
        <v>22566</v>
      </c>
      <c r="N11" s="8" t="str">
        <f t="shared" si="0"/>
        <v>PEN</v>
      </c>
      <c r="O11" s="13"/>
      <c r="P11" s="13">
        <v>15</v>
      </c>
      <c r="Q11" s="3">
        <f t="shared" si="1"/>
        <v>0</v>
      </c>
      <c r="R11" s="3">
        <f t="shared" si="2"/>
        <v>15</v>
      </c>
      <c r="S11" s="3">
        <f t="shared" si="3"/>
        <v>120.99000000000001</v>
      </c>
      <c r="T11" s="24"/>
      <c r="U11" s="24"/>
      <c r="V11" s="3"/>
      <c r="W11" s="25" t="s">
        <v>6950</v>
      </c>
      <c r="X11" s="25"/>
      <c r="Y11" s="25" t="str">
        <f>IFERROR(VLOOKUP(C_Ope_004[[#This Row],[NOTA 2]],Clientes_Proveedores[[Ruc / Dni]:[Razon Social]],2,0),"")</f>
        <v/>
      </c>
      <c r="Z11" s="25"/>
      <c r="AA11" s="25"/>
      <c r="AB11" s="3" t="str">
        <f>IF(C_Ope_004[[#This Row],[FECHA]]&gt;0,TEXT(C_Ope_004[[#This Row],[FECHA]],"mmmm"),0)</f>
        <v>Enero</v>
      </c>
    </row>
    <row r="12" spans="2:28" ht="24" x14ac:dyDescent="0.3">
      <c r="B12" s="2">
        <f>IF(C_Ope_004[[#This Row],[TIPO DE R.]]="R",COUNTIFS($D$4:$D11,"R")+1,"")</f>
        <v>8</v>
      </c>
      <c r="C12" s="19" t="str">
        <f t="shared" si="4"/>
        <v>C_Ope_004</v>
      </c>
      <c r="D12" s="3" t="s">
        <v>1074</v>
      </c>
      <c r="E12" s="14">
        <v>45664</v>
      </c>
      <c r="F12" s="5" t="s">
        <v>7102</v>
      </c>
      <c r="G12" s="5" t="s">
        <v>1079</v>
      </c>
      <c r="H12" s="6"/>
      <c r="I12" s="6" t="s">
        <v>14</v>
      </c>
      <c r="J12" s="6" t="s">
        <v>7105</v>
      </c>
      <c r="K12" s="6">
        <v>3037861</v>
      </c>
      <c r="L12" s="7" t="s">
        <v>7107</v>
      </c>
      <c r="M12" s="8">
        <v>22572</v>
      </c>
      <c r="N12" s="8" t="str">
        <f t="shared" si="0"/>
        <v>PEN</v>
      </c>
      <c r="O12" s="13"/>
      <c r="P12" s="13">
        <v>15</v>
      </c>
      <c r="Q12" s="3">
        <f t="shared" si="1"/>
        <v>0</v>
      </c>
      <c r="R12" s="3">
        <f t="shared" si="2"/>
        <v>15</v>
      </c>
      <c r="S12" s="3">
        <f t="shared" si="3"/>
        <v>105.99000000000001</v>
      </c>
      <c r="T12" s="24"/>
      <c r="U12" s="24"/>
      <c r="V12" s="3"/>
      <c r="W12" s="25" t="s">
        <v>6950</v>
      </c>
      <c r="X12" s="25"/>
      <c r="Y12" s="25" t="str">
        <f>IFERROR(VLOOKUP(C_Ope_004[[#This Row],[NOTA 2]],Clientes_Proveedores[[Ruc / Dni]:[Razon Social]],2,0),"")</f>
        <v/>
      </c>
      <c r="Z12" s="25"/>
      <c r="AA12" s="25"/>
      <c r="AB12" s="3" t="str">
        <f>IF(C_Ope_004[[#This Row],[FECHA]]&gt;0,TEXT(C_Ope_004[[#This Row],[FECHA]],"mmmm"),0)</f>
        <v>Enero</v>
      </c>
    </row>
    <row r="13" spans="2:28" ht="24" x14ac:dyDescent="0.3">
      <c r="B13" s="2">
        <f>IF(C_Ope_004[[#This Row],[TIPO DE R.]]="R",COUNTIFS($D$4:$D12,"R")+1,"")</f>
        <v>9</v>
      </c>
      <c r="C13" s="19" t="str">
        <f t="shared" si="4"/>
        <v>C_Ope_004</v>
      </c>
      <c r="D13" s="3" t="s">
        <v>1074</v>
      </c>
      <c r="E13" s="14">
        <v>45666</v>
      </c>
      <c r="F13" s="5" t="s">
        <v>7102</v>
      </c>
      <c r="G13" s="5" t="s">
        <v>1079</v>
      </c>
      <c r="H13" s="6"/>
      <c r="I13" s="6" t="s">
        <v>14</v>
      </c>
      <c r="J13" s="6" t="s">
        <v>6906</v>
      </c>
      <c r="K13" s="6">
        <v>2542133</v>
      </c>
      <c r="L13" s="7" t="s">
        <v>7106</v>
      </c>
      <c r="M13" s="8">
        <v>22605</v>
      </c>
      <c r="N13" s="8" t="str">
        <f t="shared" si="0"/>
        <v>PEN</v>
      </c>
      <c r="O13" s="13"/>
      <c r="P13" s="13">
        <v>15</v>
      </c>
      <c r="Q13" s="3">
        <f t="shared" si="1"/>
        <v>0</v>
      </c>
      <c r="R13" s="3">
        <f t="shared" si="2"/>
        <v>15</v>
      </c>
      <c r="S13" s="3">
        <f t="shared" si="3"/>
        <v>90.990000000000009</v>
      </c>
      <c r="T13" s="24"/>
      <c r="U13" s="24"/>
      <c r="V13" s="3"/>
      <c r="W13" s="25" t="s">
        <v>6950</v>
      </c>
      <c r="X13" s="25"/>
      <c r="Y13" s="25" t="str">
        <f>IFERROR(VLOOKUP(C_Ope_004[[#This Row],[NOTA 2]],Clientes_Proveedores[[Ruc / Dni]:[Razon Social]],2,0),"")</f>
        <v/>
      </c>
      <c r="Z13" s="25"/>
      <c r="AA13" s="25"/>
      <c r="AB13" s="3" t="str">
        <f>IF(C_Ope_004[[#This Row],[FECHA]]&gt;0,TEXT(C_Ope_004[[#This Row],[FECHA]],"mmmm"),0)</f>
        <v>Enero</v>
      </c>
    </row>
    <row r="14" spans="2:28" ht="24" x14ac:dyDescent="0.3">
      <c r="B14" s="2">
        <f>IF(C_Ope_004[[#This Row],[TIPO DE R.]]="R",COUNTIFS($D$4:$D13,"R")+1,"")</f>
        <v>10</v>
      </c>
      <c r="C14" s="19" t="str">
        <f t="shared" si="4"/>
        <v>C_Ope_004</v>
      </c>
      <c r="D14" s="3" t="s">
        <v>1074</v>
      </c>
      <c r="E14" s="14">
        <v>45666</v>
      </c>
      <c r="F14" s="5" t="s">
        <v>7102</v>
      </c>
      <c r="G14" s="5" t="s">
        <v>1079</v>
      </c>
      <c r="H14" s="6"/>
      <c r="I14" s="6" t="s">
        <v>14</v>
      </c>
      <c r="J14" s="6" t="s">
        <v>7105</v>
      </c>
      <c r="K14" s="6">
        <v>3039362</v>
      </c>
      <c r="L14" s="7" t="s">
        <v>7107</v>
      </c>
      <c r="M14" s="8">
        <v>22606</v>
      </c>
      <c r="N14" s="8" t="str">
        <f t="shared" si="0"/>
        <v>PEN</v>
      </c>
      <c r="O14" s="13"/>
      <c r="P14" s="13">
        <v>15</v>
      </c>
      <c r="Q14" s="3">
        <f t="shared" si="1"/>
        <v>0</v>
      </c>
      <c r="R14" s="3">
        <f t="shared" si="2"/>
        <v>15</v>
      </c>
      <c r="S14" s="3">
        <f t="shared" si="3"/>
        <v>75.990000000000009</v>
      </c>
      <c r="T14" s="24"/>
      <c r="U14" s="24"/>
      <c r="V14" s="3"/>
      <c r="W14" s="25" t="s">
        <v>6950</v>
      </c>
      <c r="X14" s="25"/>
      <c r="Y14" s="25" t="str">
        <f>IFERROR(VLOOKUP(C_Ope_004[[#This Row],[NOTA 2]],Clientes_Proveedores[[Ruc / Dni]:[Razon Social]],2,0),"")</f>
        <v/>
      </c>
      <c r="Z14" s="25"/>
      <c r="AA14" s="25"/>
      <c r="AB14" s="3" t="str">
        <f>IF(C_Ope_004[[#This Row],[FECHA]]&gt;0,TEXT(C_Ope_004[[#This Row],[FECHA]],"mmmm"),0)</f>
        <v>Enero</v>
      </c>
    </row>
    <row r="15" spans="2:28" x14ac:dyDescent="0.3">
      <c r="B15" s="2">
        <f>IF(C_Ope_004[[#This Row],[TIPO DE R.]]="R",COUNTIFS($D$4:$D14,"R")+1,"")</f>
        <v>11</v>
      </c>
      <c r="C15" s="19" t="str">
        <f t="shared" si="4"/>
        <v>C_Ope_004</v>
      </c>
      <c r="D15" s="3" t="s">
        <v>1074</v>
      </c>
      <c r="E15" s="14">
        <v>45670</v>
      </c>
      <c r="F15" s="5" t="s">
        <v>6299</v>
      </c>
      <c r="G15" s="5" t="s">
        <v>1087</v>
      </c>
      <c r="H15" s="6"/>
      <c r="I15" s="6"/>
      <c r="J15" s="6"/>
      <c r="K15" s="6"/>
      <c r="L15" s="7" t="s">
        <v>6302</v>
      </c>
      <c r="M15" s="8">
        <v>22667</v>
      </c>
      <c r="N15" s="8" t="str">
        <f t="shared" si="0"/>
        <v>PEN</v>
      </c>
      <c r="O15" s="13"/>
      <c r="P15" s="13">
        <v>120</v>
      </c>
      <c r="Q15" s="3">
        <f t="shared" si="1"/>
        <v>120</v>
      </c>
      <c r="R15" s="3">
        <f t="shared" si="2"/>
        <v>0</v>
      </c>
      <c r="S15" s="3">
        <f t="shared" si="3"/>
        <v>195.99</v>
      </c>
      <c r="T15" s="24"/>
      <c r="U15" s="24"/>
      <c r="V15" s="3"/>
      <c r="W15" s="25"/>
      <c r="X15" s="25"/>
      <c r="Y15" s="25" t="str">
        <f>IFERROR(VLOOKUP(C_Ope_004[[#This Row],[NOTA 2]],Clientes_Proveedores[[Ruc / Dni]:[Razon Social]],2,0),"")</f>
        <v/>
      </c>
      <c r="Z15" s="25"/>
      <c r="AA15" s="25"/>
      <c r="AB15" s="3" t="str">
        <f>IF(C_Ope_004[[#This Row],[FECHA]]&gt;0,TEXT(C_Ope_004[[#This Row],[FECHA]],"mmmm"),0)</f>
        <v>Enero</v>
      </c>
    </row>
    <row r="16" spans="2:28" ht="24" x14ac:dyDescent="0.3">
      <c r="B16" s="2">
        <f>IF(C_Ope_004[[#This Row],[TIPO DE R.]]="R",COUNTIFS($D$4:$D15,"R")+1,"")</f>
        <v>12</v>
      </c>
      <c r="C16" s="19" t="str">
        <f t="shared" si="4"/>
        <v>C_Ope_004</v>
      </c>
      <c r="D16" s="3" t="s">
        <v>1074</v>
      </c>
      <c r="E16" s="14">
        <v>45670</v>
      </c>
      <c r="F16" s="5" t="s">
        <v>7102</v>
      </c>
      <c r="G16" s="5" t="s">
        <v>1079</v>
      </c>
      <c r="H16" s="6"/>
      <c r="I16" s="6" t="s">
        <v>14</v>
      </c>
      <c r="J16" s="6" t="s">
        <v>7105</v>
      </c>
      <c r="K16" s="6">
        <v>3043070</v>
      </c>
      <c r="L16" s="7" t="s">
        <v>6949</v>
      </c>
      <c r="M16" s="8">
        <v>22652</v>
      </c>
      <c r="N16" s="8" t="str">
        <f t="shared" si="0"/>
        <v>PEN</v>
      </c>
      <c r="O16" s="13"/>
      <c r="P16" s="13">
        <v>15</v>
      </c>
      <c r="Q16" s="3">
        <f t="shared" si="1"/>
        <v>0</v>
      </c>
      <c r="R16" s="3">
        <f t="shared" si="2"/>
        <v>15</v>
      </c>
      <c r="S16" s="3">
        <f t="shared" si="3"/>
        <v>180.99</v>
      </c>
      <c r="T16" s="24"/>
      <c r="U16" s="24"/>
      <c r="V16" s="3"/>
      <c r="W16" s="25" t="s">
        <v>6950</v>
      </c>
      <c r="X16" s="25"/>
      <c r="Y16" s="25" t="str">
        <f>IFERROR(VLOOKUP(C_Ope_004[[#This Row],[NOTA 2]],Clientes_Proveedores[[Ruc / Dni]:[Razon Social]],2,0),"")</f>
        <v/>
      </c>
      <c r="Z16" s="25"/>
      <c r="AA16" s="25"/>
      <c r="AB16" s="3" t="str">
        <f>IF(C_Ope_004[[#This Row],[FECHA]]&gt;0,TEXT(C_Ope_004[[#This Row],[FECHA]],"mmmm"),0)</f>
        <v>Enero</v>
      </c>
    </row>
    <row r="17" spans="2:28" ht="24" x14ac:dyDescent="0.3">
      <c r="B17" s="2">
        <f>IF(C_Ope_004[[#This Row],[TIPO DE R.]]="R",COUNTIFS($D$4:$D16,"R")+1,"")</f>
        <v>13</v>
      </c>
      <c r="C17" s="19" t="str">
        <f t="shared" si="4"/>
        <v>C_Ope_004</v>
      </c>
      <c r="D17" s="3" t="s">
        <v>1074</v>
      </c>
      <c r="E17" s="14">
        <v>45671</v>
      </c>
      <c r="F17" s="5" t="s">
        <v>7102</v>
      </c>
      <c r="G17" s="5" t="s">
        <v>1079</v>
      </c>
      <c r="H17" s="6"/>
      <c r="I17" s="6" t="s">
        <v>14</v>
      </c>
      <c r="J17" s="6" t="s">
        <v>6906</v>
      </c>
      <c r="K17" s="6">
        <v>2545958</v>
      </c>
      <c r="L17" s="7" t="s">
        <v>6951</v>
      </c>
      <c r="M17" s="8">
        <v>22653</v>
      </c>
      <c r="N17" s="8" t="str">
        <f t="shared" si="0"/>
        <v>PEN</v>
      </c>
      <c r="O17" s="13"/>
      <c r="P17" s="13">
        <v>15</v>
      </c>
      <c r="Q17" s="3">
        <f t="shared" si="1"/>
        <v>0</v>
      </c>
      <c r="R17" s="3">
        <f t="shared" si="2"/>
        <v>15</v>
      </c>
      <c r="S17" s="3">
        <f t="shared" si="3"/>
        <v>165.99</v>
      </c>
      <c r="T17" s="24"/>
      <c r="U17" s="24"/>
      <c r="V17" s="3"/>
      <c r="W17" s="25" t="s">
        <v>6950</v>
      </c>
      <c r="X17" s="25"/>
      <c r="Y17" s="25" t="str">
        <f>IFERROR(VLOOKUP(C_Ope_004[[#This Row],[NOTA 2]],Clientes_Proveedores[[Ruc / Dni]:[Razon Social]],2,0),"")</f>
        <v/>
      </c>
      <c r="Z17" s="25"/>
      <c r="AA17" s="25"/>
      <c r="AB17" s="3" t="str">
        <f>IF(C_Ope_004[[#This Row],[FECHA]]&gt;0,TEXT(C_Ope_004[[#This Row],[FECHA]],"mmmm"),0)</f>
        <v>Enero</v>
      </c>
    </row>
    <row r="18" spans="2:28" ht="24" x14ac:dyDescent="0.3">
      <c r="B18" s="2">
        <f>IF(C_Ope_004[[#This Row],[TIPO DE R.]]="R",COUNTIFS($D$4:$D17,"R")+1,"")</f>
        <v>14</v>
      </c>
      <c r="C18" s="19" t="str">
        <f t="shared" si="4"/>
        <v>C_Ope_004</v>
      </c>
      <c r="D18" s="3" t="s">
        <v>1074</v>
      </c>
      <c r="E18" s="14">
        <v>45671</v>
      </c>
      <c r="F18" s="5" t="s">
        <v>7102</v>
      </c>
      <c r="G18" s="5" t="s">
        <v>1079</v>
      </c>
      <c r="H18" s="6"/>
      <c r="I18" s="6" t="s">
        <v>14</v>
      </c>
      <c r="J18" s="6" t="s">
        <v>6985</v>
      </c>
      <c r="K18" s="6">
        <v>2889452</v>
      </c>
      <c r="L18" s="7" t="s">
        <v>6949</v>
      </c>
      <c r="M18" s="8">
        <v>22654</v>
      </c>
      <c r="N18" s="8" t="str">
        <f t="shared" si="0"/>
        <v>PEN</v>
      </c>
      <c r="O18" s="13"/>
      <c r="P18" s="13">
        <v>15</v>
      </c>
      <c r="Q18" s="3">
        <f t="shared" si="1"/>
        <v>0</v>
      </c>
      <c r="R18" s="3">
        <f t="shared" si="2"/>
        <v>15</v>
      </c>
      <c r="S18" s="3">
        <f t="shared" si="3"/>
        <v>150.99</v>
      </c>
      <c r="T18" s="24"/>
      <c r="U18" s="24"/>
      <c r="V18" s="3"/>
      <c r="W18" s="25" t="s">
        <v>6950</v>
      </c>
      <c r="X18" s="25"/>
      <c r="Y18" s="25" t="str">
        <f>IFERROR(VLOOKUP(C_Ope_004[[#This Row],[NOTA 2]],Clientes_Proveedores[[Ruc / Dni]:[Razon Social]],2,0),"")</f>
        <v/>
      </c>
      <c r="Z18" s="25"/>
      <c r="AA18" s="25"/>
      <c r="AB18" s="3" t="str">
        <f>IF(C_Ope_004[[#This Row],[FECHA]]&gt;0,TEXT(C_Ope_004[[#This Row],[FECHA]],"mmmm"),0)</f>
        <v>Enero</v>
      </c>
    </row>
    <row r="19" spans="2:28" ht="24" x14ac:dyDescent="0.3">
      <c r="B19" s="2">
        <f>IF(C_Ope_004[[#This Row],[TIPO DE R.]]="R",COUNTIFS($D$4:$D18,"R")+1,"")</f>
        <v>15</v>
      </c>
      <c r="C19" s="19" t="str">
        <f t="shared" si="4"/>
        <v>C_Ope_004</v>
      </c>
      <c r="D19" s="3" t="s">
        <v>1074</v>
      </c>
      <c r="E19" s="14">
        <v>45672</v>
      </c>
      <c r="F19" s="5" t="s">
        <v>7102</v>
      </c>
      <c r="G19" s="5" t="s">
        <v>1079</v>
      </c>
      <c r="H19" s="6"/>
      <c r="I19" s="6" t="s">
        <v>14</v>
      </c>
      <c r="J19" s="6" t="s">
        <v>6906</v>
      </c>
      <c r="K19" s="6">
        <v>2547262</v>
      </c>
      <c r="L19" s="7" t="s">
        <v>7108</v>
      </c>
      <c r="M19" s="8">
        <v>22665</v>
      </c>
      <c r="N19" s="8" t="str">
        <f t="shared" si="0"/>
        <v>PEN</v>
      </c>
      <c r="O19" s="13"/>
      <c r="P19" s="13">
        <v>15</v>
      </c>
      <c r="Q19" s="3">
        <f t="shared" si="1"/>
        <v>0</v>
      </c>
      <c r="R19" s="3">
        <f t="shared" si="2"/>
        <v>15</v>
      </c>
      <c r="S19" s="3">
        <f t="shared" si="3"/>
        <v>135.99</v>
      </c>
      <c r="T19" s="24"/>
      <c r="U19" s="24"/>
      <c r="V19" s="3"/>
      <c r="W19" s="25" t="s">
        <v>6950</v>
      </c>
      <c r="X19" s="25"/>
      <c r="Y19" s="25" t="str">
        <f>IFERROR(VLOOKUP(C_Ope_004[[#This Row],[NOTA 2]],Clientes_Proveedores[[Ruc / Dni]:[Razon Social]],2,0),"")</f>
        <v/>
      </c>
      <c r="Z19" s="25"/>
      <c r="AA19" s="25"/>
      <c r="AB19" s="3" t="str">
        <f>IF(C_Ope_004[[#This Row],[FECHA]]&gt;0,TEXT(C_Ope_004[[#This Row],[FECHA]],"mmmm"),0)</f>
        <v>Enero</v>
      </c>
    </row>
    <row r="20" spans="2:28" ht="24" x14ac:dyDescent="0.3">
      <c r="B20" s="2">
        <f>IF(C_Ope_004[[#This Row],[TIPO DE R.]]="R",COUNTIFS($D$4:$D19,"R")+1,"")</f>
        <v>16</v>
      </c>
      <c r="C20" s="19" t="str">
        <f t="shared" si="4"/>
        <v>C_Ope_004</v>
      </c>
      <c r="D20" s="3" t="s">
        <v>1074</v>
      </c>
      <c r="E20" s="14">
        <v>45672</v>
      </c>
      <c r="F20" s="5" t="s">
        <v>7102</v>
      </c>
      <c r="G20" s="5" t="s">
        <v>1079</v>
      </c>
      <c r="H20" s="6"/>
      <c r="I20" s="6" t="s">
        <v>14</v>
      </c>
      <c r="J20" s="6" t="s">
        <v>6927</v>
      </c>
      <c r="K20" s="6">
        <v>557046</v>
      </c>
      <c r="L20" s="7" t="s">
        <v>7109</v>
      </c>
      <c r="M20" s="8">
        <v>22666</v>
      </c>
      <c r="N20" s="8" t="str">
        <f t="shared" si="0"/>
        <v>PEN</v>
      </c>
      <c r="O20" s="13"/>
      <c r="P20" s="13">
        <v>15</v>
      </c>
      <c r="Q20" s="3">
        <f t="shared" si="1"/>
        <v>0</v>
      </c>
      <c r="R20" s="3">
        <f t="shared" si="2"/>
        <v>15</v>
      </c>
      <c r="S20" s="3">
        <f t="shared" si="3"/>
        <v>120.99000000000001</v>
      </c>
      <c r="T20" s="24"/>
      <c r="U20" s="24"/>
      <c r="V20" s="3"/>
      <c r="W20" s="25" t="s">
        <v>6950</v>
      </c>
      <c r="X20" s="25"/>
      <c r="Y20" s="25" t="str">
        <f>IFERROR(VLOOKUP(C_Ope_004[[#This Row],[NOTA 2]],Clientes_Proveedores[[Ruc / Dni]:[Razon Social]],2,0),"")</f>
        <v/>
      </c>
      <c r="Z20" s="25"/>
      <c r="AA20" s="25"/>
      <c r="AB20" s="3" t="str">
        <f>IF(C_Ope_004[[#This Row],[FECHA]]&gt;0,TEXT(C_Ope_004[[#This Row],[FECHA]],"mmmm"),0)</f>
        <v>Enero</v>
      </c>
    </row>
    <row r="21" spans="2:28" ht="24" x14ac:dyDescent="0.3">
      <c r="B21" s="2">
        <f>IF(C_Ope_004[[#This Row],[TIPO DE R.]]="R",COUNTIFS($D$4:$D20,"R")+1,"")</f>
        <v>17</v>
      </c>
      <c r="C21" s="19" t="str">
        <f t="shared" si="4"/>
        <v>C_Ope_004</v>
      </c>
      <c r="D21" s="3" t="s">
        <v>1074</v>
      </c>
      <c r="E21" s="14">
        <v>45673</v>
      </c>
      <c r="F21" s="5" t="s">
        <v>7102</v>
      </c>
      <c r="G21" s="5" t="s">
        <v>1079</v>
      </c>
      <c r="H21" s="6"/>
      <c r="I21" s="6" t="s">
        <v>14</v>
      </c>
      <c r="J21" s="6" t="s">
        <v>7110</v>
      </c>
      <c r="K21" s="6">
        <v>1538992</v>
      </c>
      <c r="L21" s="7" t="s">
        <v>6951</v>
      </c>
      <c r="M21" s="8">
        <v>22717</v>
      </c>
      <c r="N21" s="8" t="str">
        <f t="shared" si="0"/>
        <v>PEN</v>
      </c>
      <c r="O21" s="13"/>
      <c r="P21" s="13">
        <v>15</v>
      </c>
      <c r="Q21" s="3">
        <f t="shared" si="1"/>
        <v>0</v>
      </c>
      <c r="R21" s="3">
        <f t="shared" si="2"/>
        <v>15</v>
      </c>
      <c r="S21" s="3">
        <f t="shared" si="3"/>
        <v>105.99000000000001</v>
      </c>
      <c r="T21" s="24"/>
      <c r="U21" s="24"/>
      <c r="V21" s="3"/>
      <c r="W21" s="25" t="s">
        <v>6950</v>
      </c>
      <c r="X21" s="25"/>
      <c r="Y21" s="25" t="str">
        <f>IFERROR(VLOOKUP(C_Ope_004[[#This Row],[NOTA 2]],Clientes_Proveedores[[Ruc / Dni]:[Razon Social]],2,0),"")</f>
        <v/>
      </c>
      <c r="Z21" s="25"/>
      <c r="AA21" s="25"/>
      <c r="AB21" s="3" t="str">
        <f>IF(C_Ope_004[[#This Row],[FECHA]]&gt;0,TEXT(C_Ope_004[[#This Row],[FECHA]],"mmmm"),0)</f>
        <v>Enero</v>
      </c>
    </row>
    <row r="22" spans="2:28" ht="24" x14ac:dyDescent="0.3">
      <c r="B22" s="2">
        <f>IF(C_Ope_004[[#This Row],[TIPO DE R.]]="R",COUNTIFS($D$4:$D21,"R")+1,"")</f>
        <v>18</v>
      </c>
      <c r="C22" s="19" t="str">
        <f t="shared" si="4"/>
        <v>C_Ope_004</v>
      </c>
      <c r="D22" s="3" t="s">
        <v>1074</v>
      </c>
      <c r="E22" s="14">
        <v>45673</v>
      </c>
      <c r="F22" s="5" t="s">
        <v>7102</v>
      </c>
      <c r="G22" s="5" t="s">
        <v>1079</v>
      </c>
      <c r="H22" s="6"/>
      <c r="I22" s="6" t="s">
        <v>14</v>
      </c>
      <c r="J22" s="6" t="s">
        <v>6985</v>
      </c>
      <c r="K22" s="6">
        <v>2891282</v>
      </c>
      <c r="L22" s="7" t="s">
        <v>6949</v>
      </c>
      <c r="M22" s="8">
        <v>22718</v>
      </c>
      <c r="N22" s="8" t="str">
        <f t="shared" si="0"/>
        <v>PEN</v>
      </c>
      <c r="O22" s="13"/>
      <c r="P22" s="13">
        <v>15</v>
      </c>
      <c r="Q22" s="3">
        <f t="shared" si="1"/>
        <v>0</v>
      </c>
      <c r="R22" s="3">
        <f t="shared" si="2"/>
        <v>15</v>
      </c>
      <c r="S22" s="3">
        <f t="shared" si="3"/>
        <v>90.990000000000009</v>
      </c>
      <c r="T22" s="24"/>
      <c r="U22" s="24"/>
      <c r="V22" s="3"/>
      <c r="W22" s="25" t="s">
        <v>6950</v>
      </c>
      <c r="X22" s="25"/>
      <c r="Y22" s="25" t="str">
        <f>IFERROR(VLOOKUP(C_Ope_004[[#This Row],[NOTA 2]],Clientes_Proveedores[[Ruc / Dni]:[Razon Social]],2,0),"")</f>
        <v/>
      </c>
      <c r="Z22" s="25"/>
      <c r="AA22" s="25"/>
      <c r="AB22" s="3" t="str">
        <f>IF(C_Ope_004[[#This Row],[FECHA]]&gt;0,TEXT(C_Ope_004[[#This Row],[FECHA]],"mmmm"),0)</f>
        <v>Enero</v>
      </c>
    </row>
    <row r="23" spans="2:28" x14ac:dyDescent="0.3">
      <c r="B23" s="2">
        <f>IF(C_Ope_004[[#This Row],[TIPO DE R.]]="R",COUNTIFS($D$4:$D22,"R")+1,"")</f>
        <v>19</v>
      </c>
      <c r="C23" s="19" t="str">
        <f t="shared" si="4"/>
        <v>C_Ope_004</v>
      </c>
      <c r="D23" s="3" t="s">
        <v>1074</v>
      </c>
      <c r="E23" s="14">
        <v>45674</v>
      </c>
      <c r="F23" s="5" t="s">
        <v>7102</v>
      </c>
      <c r="G23" s="5" t="s">
        <v>1079</v>
      </c>
      <c r="H23" s="6"/>
      <c r="I23" s="6" t="s">
        <v>14</v>
      </c>
      <c r="J23" s="6" t="s">
        <v>2789</v>
      </c>
      <c r="K23" s="6">
        <v>38874</v>
      </c>
      <c r="L23" s="7" t="s">
        <v>7111</v>
      </c>
      <c r="M23" s="8">
        <v>22719</v>
      </c>
      <c r="N23" s="8" t="str">
        <f t="shared" si="0"/>
        <v>PEN</v>
      </c>
      <c r="O23" s="13"/>
      <c r="P23" s="13">
        <v>55</v>
      </c>
      <c r="Q23" s="3">
        <f t="shared" si="1"/>
        <v>0</v>
      </c>
      <c r="R23" s="3">
        <f t="shared" si="2"/>
        <v>55</v>
      </c>
      <c r="S23" s="3">
        <f t="shared" si="3"/>
        <v>35.990000000000009</v>
      </c>
      <c r="T23" s="24"/>
      <c r="U23" s="24"/>
      <c r="V23" s="3"/>
      <c r="W23" s="25" t="s">
        <v>6950</v>
      </c>
      <c r="X23" s="25"/>
      <c r="Y23" s="25" t="str">
        <f>IFERROR(VLOOKUP(C_Ope_004[[#This Row],[NOTA 2]],Clientes_Proveedores[[Ruc / Dni]:[Razon Social]],2,0),"")</f>
        <v/>
      </c>
      <c r="Z23" s="25"/>
      <c r="AA23" s="25"/>
      <c r="AB23" s="3" t="str">
        <f>IF(C_Ope_004[[#This Row],[FECHA]]&gt;0,TEXT(C_Ope_004[[#This Row],[FECHA]],"mmmm"),0)</f>
        <v>Enero</v>
      </c>
    </row>
    <row r="24" spans="2:28" x14ac:dyDescent="0.3">
      <c r="B24" s="2">
        <f>IF(C_Ope_004[[#This Row],[TIPO DE R.]]="R",COUNTIFS($D$4:$D23,"R")+1,"")</f>
        <v>20</v>
      </c>
      <c r="C24" s="19" t="str">
        <f t="shared" si="4"/>
        <v>C_Ope_004</v>
      </c>
      <c r="D24" s="3" t="s">
        <v>1074</v>
      </c>
      <c r="E24" s="14">
        <v>45678</v>
      </c>
      <c r="F24" s="5" t="s">
        <v>6299</v>
      </c>
      <c r="G24" s="5" t="s">
        <v>1087</v>
      </c>
      <c r="H24" s="6"/>
      <c r="I24" s="6"/>
      <c r="J24" s="6"/>
      <c r="K24" s="6"/>
      <c r="L24" s="7" t="s">
        <v>6302</v>
      </c>
      <c r="M24" s="8">
        <v>22740</v>
      </c>
      <c r="N24" s="8" t="str">
        <f t="shared" si="0"/>
        <v>PEN</v>
      </c>
      <c r="O24" s="13"/>
      <c r="P24" s="13">
        <v>170</v>
      </c>
      <c r="Q24" s="3">
        <f t="shared" si="1"/>
        <v>170</v>
      </c>
      <c r="R24" s="3">
        <f t="shared" si="2"/>
        <v>0</v>
      </c>
      <c r="S24" s="3">
        <f t="shared" si="3"/>
        <v>205.99</v>
      </c>
      <c r="T24" s="24"/>
      <c r="U24" s="24"/>
      <c r="V24" s="3"/>
      <c r="W24" s="25"/>
      <c r="X24" s="25"/>
      <c r="Y24" s="25" t="str">
        <f>IFERROR(VLOOKUP(C_Ope_004[[#This Row],[NOTA 2]],Clientes_Proveedores[[Ruc / Dni]:[Razon Social]],2,0),"")</f>
        <v/>
      </c>
      <c r="Z24" s="25"/>
      <c r="AA24" s="25"/>
      <c r="AB24" s="3" t="str">
        <f>IF(C_Ope_004[[#This Row],[FECHA]]&gt;0,TEXT(C_Ope_004[[#This Row],[FECHA]],"mmmm"),0)</f>
        <v>Enero</v>
      </c>
    </row>
    <row r="25" spans="2:28" ht="24" x14ac:dyDescent="0.3">
      <c r="B25" s="2">
        <f>IF(C_Ope_004[[#This Row],[TIPO DE R.]]="R",COUNTIFS($D$4:$D24,"R")+1,"")</f>
        <v>21</v>
      </c>
      <c r="C25" s="19" t="str">
        <f t="shared" si="4"/>
        <v>C_Ope_004</v>
      </c>
      <c r="D25" s="3" t="s">
        <v>1074</v>
      </c>
      <c r="E25" s="14">
        <v>45678</v>
      </c>
      <c r="F25" s="5" t="s">
        <v>7102</v>
      </c>
      <c r="G25" s="5" t="s">
        <v>1079</v>
      </c>
      <c r="H25" s="6"/>
      <c r="I25" s="6" t="s">
        <v>14</v>
      </c>
      <c r="J25" s="6" t="s">
        <v>6881</v>
      </c>
      <c r="K25" s="6">
        <v>551674</v>
      </c>
      <c r="L25" s="7" t="s">
        <v>7108</v>
      </c>
      <c r="M25" s="8">
        <v>22768</v>
      </c>
      <c r="N25" s="8" t="str">
        <f t="shared" si="0"/>
        <v>PEN</v>
      </c>
      <c r="O25" s="13"/>
      <c r="P25" s="13">
        <v>15</v>
      </c>
      <c r="Q25" s="3">
        <f t="shared" si="1"/>
        <v>0</v>
      </c>
      <c r="R25" s="3">
        <f t="shared" si="2"/>
        <v>15</v>
      </c>
      <c r="S25" s="3">
        <f t="shared" si="3"/>
        <v>190.99</v>
      </c>
      <c r="T25" s="24"/>
      <c r="U25" s="24"/>
      <c r="V25" s="3"/>
      <c r="W25" s="25" t="s">
        <v>6950</v>
      </c>
      <c r="X25" s="25"/>
      <c r="Y25" s="25" t="str">
        <f>IFERROR(VLOOKUP(C_Ope_004[[#This Row],[NOTA 2]],Clientes_Proveedores[[Ruc / Dni]:[Razon Social]],2,0),"")</f>
        <v/>
      </c>
      <c r="Z25" s="25"/>
      <c r="AA25" s="25"/>
      <c r="AB25" s="3" t="str">
        <f>IF(C_Ope_004[[#This Row],[FECHA]]&gt;0,TEXT(C_Ope_004[[#This Row],[FECHA]],"mmmm"),0)</f>
        <v>Enero</v>
      </c>
    </row>
    <row r="26" spans="2:28" ht="24" x14ac:dyDescent="0.3">
      <c r="B26" s="2">
        <f>IF(C_Ope_004[[#This Row],[TIPO DE R.]]="R",COUNTIFS($D$4:$D25,"R")+1,"")</f>
        <v>22</v>
      </c>
      <c r="C26" s="19" t="str">
        <f t="shared" si="4"/>
        <v>C_Ope_004</v>
      </c>
      <c r="D26" s="3" t="s">
        <v>1074</v>
      </c>
      <c r="E26" s="14">
        <v>45678</v>
      </c>
      <c r="F26" s="5" t="s">
        <v>7102</v>
      </c>
      <c r="G26" s="5" t="s">
        <v>1079</v>
      </c>
      <c r="H26" s="6"/>
      <c r="I26" s="6" t="s">
        <v>14</v>
      </c>
      <c r="J26" s="6" t="s">
        <v>6985</v>
      </c>
      <c r="K26" s="6">
        <v>92895960</v>
      </c>
      <c r="L26" s="7" t="s">
        <v>7109</v>
      </c>
      <c r="M26" s="8">
        <v>22769</v>
      </c>
      <c r="N26" s="8" t="str">
        <f t="shared" si="0"/>
        <v>PEN</v>
      </c>
      <c r="O26" s="13"/>
      <c r="P26" s="13">
        <v>15</v>
      </c>
      <c r="Q26" s="3">
        <f t="shared" si="1"/>
        <v>0</v>
      </c>
      <c r="R26" s="3">
        <f t="shared" si="2"/>
        <v>15</v>
      </c>
      <c r="S26" s="3">
        <f t="shared" si="3"/>
        <v>175.99</v>
      </c>
      <c r="T26" s="24"/>
      <c r="U26" s="24"/>
      <c r="V26" s="3"/>
      <c r="W26" s="25" t="s">
        <v>6950</v>
      </c>
      <c r="X26" s="25"/>
      <c r="Y26" s="25" t="str">
        <f>IFERROR(VLOOKUP(C_Ope_004[[#This Row],[NOTA 2]],Clientes_Proveedores[[Ruc / Dni]:[Razon Social]],2,0),"")</f>
        <v/>
      </c>
      <c r="Z26" s="25"/>
      <c r="AA26" s="25"/>
      <c r="AB26" s="3" t="str">
        <f>IF(C_Ope_004[[#This Row],[FECHA]]&gt;0,TEXT(C_Ope_004[[#This Row],[FECHA]],"mmmm"),0)</f>
        <v>Enero</v>
      </c>
    </row>
    <row r="27" spans="2:28" ht="24" x14ac:dyDescent="0.3">
      <c r="B27" s="2">
        <f>IF(C_Ope_004[[#This Row],[TIPO DE R.]]="R",COUNTIFS($D$4:$D26,"R")+1,"")</f>
        <v>23</v>
      </c>
      <c r="C27" s="19" t="str">
        <f t="shared" si="4"/>
        <v>C_Ope_004</v>
      </c>
      <c r="D27" s="3" t="s">
        <v>1074</v>
      </c>
      <c r="E27" s="14">
        <v>45679</v>
      </c>
      <c r="F27" s="5" t="s">
        <v>7102</v>
      </c>
      <c r="G27" s="5" t="s">
        <v>1079</v>
      </c>
      <c r="H27" s="6"/>
      <c r="I27" s="6" t="s">
        <v>14</v>
      </c>
      <c r="J27" s="6" t="s">
        <v>7112</v>
      </c>
      <c r="K27" s="6">
        <v>605914</v>
      </c>
      <c r="L27" s="7" t="s">
        <v>7108</v>
      </c>
      <c r="M27" s="8">
        <v>22770</v>
      </c>
      <c r="N27" s="8" t="str">
        <f t="shared" si="0"/>
        <v>PEN</v>
      </c>
      <c r="O27" s="13"/>
      <c r="P27" s="13">
        <v>15</v>
      </c>
      <c r="Q27" s="3">
        <f t="shared" si="1"/>
        <v>0</v>
      </c>
      <c r="R27" s="3">
        <f t="shared" si="2"/>
        <v>15</v>
      </c>
      <c r="S27" s="3">
        <f t="shared" si="3"/>
        <v>160.99</v>
      </c>
      <c r="T27" s="24"/>
      <c r="U27" s="24"/>
      <c r="V27" s="3"/>
      <c r="W27" s="25" t="s">
        <v>6950</v>
      </c>
      <c r="X27" s="25"/>
      <c r="Y27" s="25" t="str">
        <f>IFERROR(VLOOKUP(C_Ope_004[[#This Row],[NOTA 2]],Clientes_Proveedores[[Ruc / Dni]:[Razon Social]],2,0),"")</f>
        <v/>
      </c>
      <c r="Z27" s="25"/>
      <c r="AA27" s="25"/>
      <c r="AB27" s="3" t="str">
        <f>IF(C_Ope_004[[#This Row],[FECHA]]&gt;0,TEXT(C_Ope_004[[#This Row],[FECHA]],"mmmm"),0)</f>
        <v>Enero</v>
      </c>
    </row>
    <row r="28" spans="2:28" ht="24" x14ac:dyDescent="0.3">
      <c r="B28" s="2">
        <f>IF(C_Ope_004[[#This Row],[TIPO DE R.]]="R",COUNTIFS($D$4:$D27,"R")+1,"")</f>
        <v>24</v>
      </c>
      <c r="C28" s="19" t="str">
        <f t="shared" si="4"/>
        <v>C_Ope_004</v>
      </c>
      <c r="D28" s="3" t="s">
        <v>1074</v>
      </c>
      <c r="E28" s="14">
        <v>45679</v>
      </c>
      <c r="F28" s="5" t="s">
        <v>7102</v>
      </c>
      <c r="G28" s="5" t="s">
        <v>1079</v>
      </c>
      <c r="H28" s="6"/>
      <c r="I28" s="6" t="s">
        <v>14</v>
      </c>
      <c r="J28" s="6" t="s">
        <v>6985</v>
      </c>
      <c r="K28" s="6">
        <v>2896665</v>
      </c>
      <c r="L28" s="7" t="s">
        <v>7109</v>
      </c>
      <c r="M28" s="8">
        <v>22771</v>
      </c>
      <c r="N28" s="8" t="str">
        <f t="shared" si="0"/>
        <v>PEN</v>
      </c>
      <c r="O28" s="13"/>
      <c r="P28" s="13">
        <v>15</v>
      </c>
      <c r="Q28" s="3">
        <f t="shared" si="1"/>
        <v>0</v>
      </c>
      <c r="R28" s="3">
        <f t="shared" si="2"/>
        <v>15</v>
      </c>
      <c r="S28" s="3">
        <f t="shared" si="3"/>
        <v>145.99</v>
      </c>
      <c r="T28" s="24"/>
      <c r="U28" s="24"/>
      <c r="V28" s="3"/>
      <c r="W28" s="25" t="s">
        <v>6950</v>
      </c>
      <c r="X28" s="25"/>
      <c r="Y28" s="25" t="str">
        <f>IFERROR(VLOOKUP(C_Ope_004[[#This Row],[NOTA 2]],Clientes_Proveedores[[Ruc / Dni]:[Razon Social]],2,0),"")</f>
        <v/>
      </c>
      <c r="Z28" s="25"/>
      <c r="AA28" s="25"/>
      <c r="AB28" s="3" t="str">
        <f>IF(C_Ope_004[[#This Row],[FECHA]]&gt;0,TEXT(C_Ope_004[[#This Row],[FECHA]],"mmmm"),0)</f>
        <v>Enero</v>
      </c>
    </row>
    <row r="29" spans="2:28" ht="24" x14ac:dyDescent="0.3">
      <c r="B29" s="2">
        <f>IF(C_Ope_004[[#This Row],[TIPO DE R.]]="R",COUNTIFS($D$4:$D28,"R")+1,"")</f>
        <v>25</v>
      </c>
      <c r="C29" s="19" t="str">
        <f t="shared" si="4"/>
        <v>C_Ope_004</v>
      </c>
      <c r="D29" s="3" t="s">
        <v>1074</v>
      </c>
      <c r="E29" s="14">
        <v>45680</v>
      </c>
      <c r="F29" s="5" t="s">
        <v>7102</v>
      </c>
      <c r="G29" s="5" t="s">
        <v>1079</v>
      </c>
      <c r="H29" s="6"/>
      <c r="I29" s="6" t="s">
        <v>14</v>
      </c>
      <c r="J29" s="6" t="s">
        <v>7112</v>
      </c>
      <c r="K29" s="6">
        <v>606183</v>
      </c>
      <c r="L29" s="7" t="s">
        <v>7108</v>
      </c>
      <c r="M29" s="8">
        <v>22780</v>
      </c>
      <c r="N29" s="8" t="str">
        <f t="shared" si="0"/>
        <v>PEN</v>
      </c>
      <c r="O29" s="13"/>
      <c r="P29" s="13">
        <v>15</v>
      </c>
      <c r="Q29" s="3">
        <f t="shared" si="1"/>
        <v>0</v>
      </c>
      <c r="R29" s="3">
        <f t="shared" si="2"/>
        <v>15</v>
      </c>
      <c r="S29" s="3">
        <f t="shared" si="3"/>
        <v>130.99</v>
      </c>
      <c r="T29" s="24"/>
      <c r="U29" s="24"/>
      <c r="V29" s="3"/>
      <c r="W29" s="25" t="s">
        <v>6950</v>
      </c>
      <c r="X29" s="25"/>
      <c r="Y29" s="25" t="str">
        <f>IFERROR(VLOOKUP(C_Ope_004[[#This Row],[NOTA 2]],Clientes_Proveedores[[Ruc / Dni]:[Razon Social]],2,0),"")</f>
        <v/>
      </c>
      <c r="Z29" s="25"/>
      <c r="AA29" s="25"/>
      <c r="AB29" s="3" t="str">
        <f>IF(C_Ope_004[[#This Row],[FECHA]]&gt;0,TEXT(C_Ope_004[[#This Row],[FECHA]],"mmmm"),0)</f>
        <v>Enero</v>
      </c>
    </row>
    <row r="30" spans="2:28" ht="24" x14ac:dyDescent="0.3">
      <c r="B30" s="2">
        <f>IF(C_Ope_004[[#This Row],[TIPO DE R.]]="R",COUNTIFS($D$4:$D29,"R")+1,"")</f>
        <v>26</v>
      </c>
      <c r="C30" s="19" t="str">
        <f t="shared" si="4"/>
        <v>C_Ope_004</v>
      </c>
      <c r="D30" s="3" t="s">
        <v>1074</v>
      </c>
      <c r="E30" s="14">
        <v>45680</v>
      </c>
      <c r="F30" s="5" t="s">
        <v>7102</v>
      </c>
      <c r="G30" s="5" t="s">
        <v>1079</v>
      </c>
      <c r="H30" s="6"/>
      <c r="I30" s="6" t="s">
        <v>14</v>
      </c>
      <c r="J30" s="6" t="s">
        <v>6985</v>
      </c>
      <c r="K30" s="6">
        <v>2897787</v>
      </c>
      <c r="L30" s="7" t="s">
        <v>7109</v>
      </c>
      <c r="M30" s="8">
        <v>22781</v>
      </c>
      <c r="N30" s="8" t="str">
        <f t="shared" si="0"/>
        <v>PEN</v>
      </c>
      <c r="O30" s="13"/>
      <c r="P30" s="13">
        <v>15</v>
      </c>
      <c r="Q30" s="3">
        <f t="shared" si="1"/>
        <v>0</v>
      </c>
      <c r="R30" s="3">
        <f t="shared" si="2"/>
        <v>15</v>
      </c>
      <c r="S30" s="3">
        <f t="shared" si="3"/>
        <v>115.99000000000001</v>
      </c>
      <c r="T30" s="24"/>
      <c r="U30" s="24"/>
      <c r="V30" s="3"/>
      <c r="W30" s="25" t="s">
        <v>6950</v>
      </c>
      <c r="X30" s="25"/>
      <c r="Y30" s="25" t="str">
        <f>IFERROR(VLOOKUP(C_Ope_004[[#This Row],[NOTA 2]],Clientes_Proveedores[[Ruc / Dni]:[Razon Social]],2,0),"")</f>
        <v/>
      </c>
      <c r="Z30" s="25"/>
      <c r="AA30" s="25"/>
      <c r="AB30" s="3" t="str">
        <f>IF(C_Ope_004[[#This Row],[FECHA]]&gt;0,TEXT(C_Ope_004[[#This Row],[FECHA]],"mmmm"),0)</f>
        <v>Enero</v>
      </c>
    </row>
    <row r="31" spans="2:28" x14ac:dyDescent="0.3">
      <c r="B31" s="2">
        <f>IF(C_Ope_004[[#This Row],[TIPO DE R.]]="R",COUNTIFS($D$4:$D30,"R")+1,"")</f>
        <v>27</v>
      </c>
      <c r="C31" s="19" t="str">
        <f t="shared" si="4"/>
        <v>C_Ope_004</v>
      </c>
      <c r="D31" s="3" t="s">
        <v>1074</v>
      </c>
      <c r="E31" s="14">
        <v>45684</v>
      </c>
      <c r="F31" s="5" t="s">
        <v>6299</v>
      </c>
      <c r="G31" s="5" t="s">
        <v>1087</v>
      </c>
      <c r="H31" s="6"/>
      <c r="I31" s="6"/>
      <c r="J31" s="6"/>
      <c r="K31" s="6"/>
      <c r="L31" s="7" t="s">
        <v>6302</v>
      </c>
      <c r="M31" s="8">
        <v>22832</v>
      </c>
      <c r="N31" s="8" t="str">
        <f t="shared" si="0"/>
        <v>PEN</v>
      </c>
      <c r="O31" s="13"/>
      <c r="P31" s="13">
        <v>80</v>
      </c>
      <c r="Q31" s="3">
        <f t="shared" si="1"/>
        <v>80</v>
      </c>
      <c r="R31" s="3">
        <f t="shared" si="2"/>
        <v>0</v>
      </c>
      <c r="S31" s="3">
        <f t="shared" si="3"/>
        <v>195.99</v>
      </c>
      <c r="T31" s="24"/>
      <c r="U31" s="24"/>
      <c r="V31" s="3"/>
      <c r="W31" s="25"/>
      <c r="X31" s="25"/>
      <c r="Y31" s="25" t="str">
        <f>IFERROR(VLOOKUP(C_Ope_004[[#This Row],[NOTA 2]],Clientes_Proveedores[[Ruc / Dni]:[Razon Social]],2,0),"")</f>
        <v/>
      </c>
      <c r="Z31" s="25"/>
      <c r="AA31" s="25"/>
      <c r="AB31" s="3" t="str">
        <f>IF(C_Ope_004[[#This Row],[FECHA]]&gt;0,TEXT(C_Ope_004[[#This Row],[FECHA]],"mmmm"),0)</f>
        <v>Enero</v>
      </c>
    </row>
    <row r="32" spans="2:28" ht="24" x14ac:dyDescent="0.3">
      <c r="B32" s="2">
        <f>IF(C_Ope_004[[#This Row],[TIPO DE R.]]="R",COUNTIFS($D$4:$D31,"R")+1,"")</f>
        <v>28</v>
      </c>
      <c r="C32" s="19" t="str">
        <f t="shared" si="4"/>
        <v>C_Ope_004</v>
      </c>
      <c r="D32" s="3" t="s">
        <v>1074</v>
      </c>
      <c r="E32" s="14">
        <v>45684</v>
      </c>
      <c r="F32" s="5" t="s">
        <v>7102</v>
      </c>
      <c r="G32" s="5" t="s">
        <v>1079</v>
      </c>
      <c r="H32" s="6"/>
      <c r="I32" s="6" t="s">
        <v>14</v>
      </c>
      <c r="J32" s="6" t="s">
        <v>6881</v>
      </c>
      <c r="K32" s="6">
        <v>553448</v>
      </c>
      <c r="L32" s="7" t="s">
        <v>7108</v>
      </c>
      <c r="M32" s="8">
        <v>22827</v>
      </c>
      <c r="N32" s="8" t="str">
        <f t="shared" si="0"/>
        <v>PEN</v>
      </c>
      <c r="O32" s="13"/>
      <c r="P32" s="13">
        <v>15</v>
      </c>
      <c r="Q32" s="3">
        <f t="shared" si="1"/>
        <v>0</v>
      </c>
      <c r="R32" s="3">
        <f t="shared" si="2"/>
        <v>15</v>
      </c>
      <c r="S32" s="3">
        <f t="shared" si="3"/>
        <v>180.99</v>
      </c>
      <c r="T32" s="24"/>
      <c r="U32" s="24"/>
      <c r="V32" s="3"/>
      <c r="W32" s="25" t="s">
        <v>6950</v>
      </c>
      <c r="X32" s="25"/>
      <c r="Y32" s="25" t="str">
        <f>IFERROR(VLOOKUP(C_Ope_004[[#This Row],[NOTA 2]],Clientes_Proveedores[[Ruc / Dni]:[Razon Social]],2,0),"")</f>
        <v/>
      </c>
      <c r="Z32" s="25"/>
      <c r="AA32" s="25"/>
      <c r="AB32" s="3" t="str">
        <f>IF(C_Ope_004[[#This Row],[FECHA]]&gt;0,TEXT(C_Ope_004[[#This Row],[FECHA]],"mmmm"),0)</f>
        <v>Enero</v>
      </c>
    </row>
    <row r="33" spans="2:28" ht="24" x14ac:dyDescent="0.3">
      <c r="B33" s="2">
        <f>IF(C_Ope_004[[#This Row],[TIPO DE R.]]="R",COUNTIFS($D$4:$D32,"R")+1,"")</f>
        <v>29</v>
      </c>
      <c r="C33" s="19" t="str">
        <f t="shared" si="4"/>
        <v>C_Ope_004</v>
      </c>
      <c r="D33" s="3" t="s">
        <v>1074</v>
      </c>
      <c r="E33" s="14">
        <v>45684</v>
      </c>
      <c r="F33" s="5" t="s">
        <v>7102</v>
      </c>
      <c r="G33" s="5" t="s">
        <v>1079</v>
      </c>
      <c r="H33" s="6"/>
      <c r="I33" s="6" t="s">
        <v>14</v>
      </c>
      <c r="J33" s="6" t="s">
        <v>7103</v>
      </c>
      <c r="K33" s="6">
        <v>3600699</v>
      </c>
      <c r="L33" s="7" t="s">
        <v>7109</v>
      </c>
      <c r="M33" s="8">
        <v>22828</v>
      </c>
      <c r="N33" s="8" t="str">
        <f t="shared" si="0"/>
        <v>PEN</v>
      </c>
      <c r="O33" s="13"/>
      <c r="P33" s="13">
        <v>15</v>
      </c>
      <c r="Q33" s="3">
        <f t="shared" si="1"/>
        <v>0</v>
      </c>
      <c r="R33" s="3">
        <f t="shared" si="2"/>
        <v>15</v>
      </c>
      <c r="S33" s="3">
        <f t="shared" si="3"/>
        <v>165.99</v>
      </c>
      <c r="T33" s="24"/>
      <c r="U33" s="24"/>
      <c r="V33" s="3"/>
      <c r="W33" s="25" t="s">
        <v>6950</v>
      </c>
      <c r="X33" s="25"/>
      <c r="Y33" s="25" t="str">
        <f>IFERROR(VLOOKUP(C_Ope_004[[#This Row],[NOTA 2]],Clientes_Proveedores[[Ruc / Dni]:[Razon Social]],2,0),"")</f>
        <v/>
      </c>
      <c r="Z33" s="25"/>
      <c r="AA33" s="25"/>
      <c r="AB33" s="3" t="str">
        <f>IF(C_Ope_004[[#This Row],[FECHA]]&gt;0,TEXT(C_Ope_004[[#This Row],[FECHA]],"mmmm"),0)</f>
        <v>Enero</v>
      </c>
    </row>
    <row r="34" spans="2:28" ht="24" x14ac:dyDescent="0.3">
      <c r="B34" s="2">
        <f>IF(C_Ope_004[[#This Row],[TIPO DE R.]]="R",COUNTIFS($D$4:$D33,"R")+1,"")</f>
        <v>30</v>
      </c>
      <c r="C34" s="19" t="str">
        <f t="shared" si="4"/>
        <v>C_Ope_004</v>
      </c>
      <c r="D34" s="3" t="s">
        <v>1074</v>
      </c>
      <c r="E34" s="14">
        <v>45685</v>
      </c>
      <c r="F34" s="5" t="s">
        <v>7102</v>
      </c>
      <c r="G34" s="5" t="s">
        <v>1079</v>
      </c>
      <c r="H34" s="6"/>
      <c r="I34" s="6" t="s">
        <v>14</v>
      </c>
      <c r="J34" s="6" t="s">
        <v>5244</v>
      </c>
      <c r="K34" s="6">
        <v>3286699</v>
      </c>
      <c r="L34" s="7" t="s">
        <v>7108</v>
      </c>
      <c r="M34" s="8">
        <v>22829</v>
      </c>
      <c r="N34" s="8" t="str">
        <f t="shared" si="0"/>
        <v>PEN</v>
      </c>
      <c r="O34" s="13"/>
      <c r="P34" s="13">
        <v>15</v>
      </c>
      <c r="Q34" s="3">
        <f t="shared" si="1"/>
        <v>0</v>
      </c>
      <c r="R34" s="3">
        <f t="shared" si="2"/>
        <v>15</v>
      </c>
      <c r="S34" s="3">
        <f t="shared" si="3"/>
        <v>150.99</v>
      </c>
      <c r="T34" s="24"/>
      <c r="U34" s="24"/>
      <c r="V34" s="3"/>
      <c r="W34" s="25" t="s">
        <v>6950</v>
      </c>
      <c r="X34" s="25"/>
      <c r="Y34" s="25" t="str">
        <f>IFERROR(VLOOKUP(C_Ope_004[[#This Row],[NOTA 2]],Clientes_Proveedores[[Ruc / Dni]:[Razon Social]],2,0),"")</f>
        <v/>
      </c>
      <c r="Z34" s="25"/>
      <c r="AA34" s="25"/>
      <c r="AB34" s="3" t="str">
        <f>IF(C_Ope_004[[#This Row],[FECHA]]&gt;0,TEXT(C_Ope_004[[#This Row],[FECHA]],"mmmm"),0)</f>
        <v>Enero</v>
      </c>
    </row>
    <row r="35" spans="2:28" ht="24" x14ac:dyDescent="0.3">
      <c r="B35" s="2">
        <f>IF(C_Ope_004[[#This Row],[TIPO DE R.]]="R",COUNTIFS($D$4:$D34,"R")+1,"")</f>
        <v>31</v>
      </c>
      <c r="C35" s="19" t="str">
        <f t="shared" si="4"/>
        <v>C_Ope_004</v>
      </c>
      <c r="D35" s="3" t="s">
        <v>1074</v>
      </c>
      <c r="E35" s="14">
        <v>45685</v>
      </c>
      <c r="F35" s="5" t="s">
        <v>7102</v>
      </c>
      <c r="G35" s="5" t="s">
        <v>1079</v>
      </c>
      <c r="H35" s="6"/>
      <c r="I35" s="6" t="s">
        <v>14</v>
      </c>
      <c r="J35" s="6" t="s">
        <v>7103</v>
      </c>
      <c r="K35" s="6">
        <v>3602017</v>
      </c>
      <c r="L35" s="7" t="s">
        <v>7109</v>
      </c>
      <c r="M35" s="8">
        <v>22830</v>
      </c>
      <c r="N35" s="8" t="str">
        <f t="shared" si="0"/>
        <v>PEN</v>
      </c>
      <c r="O35" s="13"/>
      <c r="P35" s="13">
        <v>15</v>
      </c>
      <c r="Q35" s="3">
        <f t="shared" si="1"/>
        <v>0</v>
      </c>
      <c r="R35" s="3">
        <f t="shared" si="2"/>
        <v>15</v>
      </c>
      <c r="S35" s="3">
        <f t="shared" si="3"/>
        <v>135.99</v>
      </c>
      <c r="T35" s="24"/>
      <c r="U35" s="24"/>
      <c r="V35" s="3"/>
      <c r="W35" s="25" t="s">
        <v>6950</v>
      </c>
      <c r="X35" s="25"/>
      <c r="Y35" s="25" t="str">
        <f>IFERROR(VLOOKUP(C_Ope_004[[#This Row],[NOTA 2]],Clientes_Proveedores[[Ruc / Dni]:[Razon Social]],2,0),"")</f>
        <v/>
      </c>
      <c r="Z35" s="25"/>
      <c r="AA35" s="25"/>
      <c r="AB35" s="3" t="str">
        <f>IF(C_Ope_004[[#This Row],[FECHA]]&gt;0,TEXT(C_Ope_004[[#This Row],[FECHA]],"mmmm"),0)</f>
        <v>Enero</v>
      </c>
    </row>
    <row r="36" spans="2:28" ht="24" x14ac:dyDescent="0.3">
      <c r="B36" s="2">
        <f>IF(C_Ope_004[[#This Row],[TIPO DE R.]]="R",COUNTIFS($D$4:$D35,"R")+1,"")</f>
        <v>32</v>
      </c>
      <c r="C36" s="19" t="str">
        <f t="shared" si="4"/>
        <v>C_Ope_004</v>
      </c>
      <c r="D36" s="3" t="s">
        <v>1074</v>
      </c>
      <c r="E36" s="14">
        <v>45686</v>
      </c>
      <c r="F36" s="5" t="s">
        <v>7102</v>
      </c>
      <c r="G36" s="5" t="s">
        <v>1079</v>
      </c>
      <c r="H36" s="6"/>
      <c r="I36" s="6" t="s">
        <v>14</v>
      </c>
      <c r="J36" s="6" t="s">
        <v>7104</v>
      </c>
      <c r="K36" s="6">
        <v>1547378</v>
      </c>
      <c r="L36" s="7" t="s">
        <v>6951</v>
      </c>
      <c r="M36" s="8">
        <v>22847</v>
      </c>
      <c r="N36" s="8" t="str">
        <f t="shared" si="0"/>
        <v>PEN</v>
      </c>
      <c r="O36" s="13"/>
      <c r="P36" s="13">
        <v>15</v>
      </c>
      <c r="Q36" s="3">
        <f t="shared" si="1"/>
        <v>0</v>
      </c>
      <c r="R36" s="3">
        <f t="shared" si="2"/>
        <v>15</v>
      </c>
      <c r="S36" s="3">
        <f t="shared" si="3"/>
        <v>120.99000000000001</v>
      </c>
      <c r="T36" s="24"/>
      <c r="U36" s="24"/>
      <c r="V36" s="3"/>
      <c r="W36" s="25" t="s">
        <v>6950</v>
      </c>
      <c r="X36" s="25"/>
      <c r="Y36" s="25" t="str">
        <f>IFERROR(VLOOKUP(C_Ope_004[[#This Row],[NOTA 2]],Clientes_Proveedores[[Ruc / Dni]:[Razon Social]],2,0),"")</f>
        <v/>
      </c>
      <c r="Z36" s="25"/>
      <c r="AA36" s="25"/>
      <c r="AB36" s="3" t="str">
        <f>IF(C_Ope_004[[#This Row],[FECHA]]&gt;0,TEXT(C_Ope_004[[#This Row],[FECHA]],"mmmm"),0)</f>
        <v>Enero</v>
      </c>
    </row>
    <row r="37" spans="2:28" ht="24" x14ac:dyDescent="0.3">
      <c r="B37" s="2">
        <f>IF(C_Ope_004[[#This Row],[TIPO DE R.]]="R",COUNTIFS($D$4:$D36,"R")+1,"")</f>
        <v>33</v>
      </c>
      <c r="C37" s="19" t="str">
        <f t="shared" si="4"/>
        <v>C_Ope_004</v>
      </c>
      <c r="D37" s="3" t="s">
        <v>1074</v>
      </c>
      <c r="E37" s="14">
        <v>45686</v>
      </c>
      <c r="F37" s="5" t="s">
        <v>7102</v>
      </c>
      <c r="G37" s="5" t="s">
        <v>1079</v>
      </c>
      <c r="H37" s="6"/>
      <c r="I37" s="6" t="s">
        <v>14</v>
      </c>
      <c r="J37" s="6" t="s">
        <v>6985</v>
      </c>
      <c r="K37" s="6">
        <v>2903118</v>
      </c>
      <c r="L37" s="7" t="s">
        <v>6949</v>
      </c>
      <c r="M37" s="8">
        <v>22848</v>
      </c>
      <c r="N37" s="8" t="str">
        <f t="shared" ref="N37:N68" si="5">"PEN"</f>
        <v>PEN</v>
      </c>
      <c r="O37" s="13"/>
      <c r="P37" s="13">
        <v>15</v>
      </c>
      <c r="Q37" s="3">
        <f t="shared" ref="Q37:Q68" si="6">+IF(OR($G37="SALDO",$G37="INGRESO"),$P37,0)</f>
        <v>0</v>
      </c>
      <c r="R37" s="3">
        <f t="shared" ref="R37:R68" si="7">+IF($G37="EGRESO",$P37,0)</f>
        <v>15</v>
      </c>
      <c r="S37" s="3">
        <f t="shared" si="3"/>
        <v>105.99000000000001</v>
      </c>
      <c r="T37" s="24"/>
      <c r="U37" s="24"/>
      <c r="V37" s="3"/>
      <c r="W37" s="25" t="s">
        <v>6950</v>
      </c>
      <c r="X37" s="25"/>
      <c r="Y37" s="25" t="str">
        <f>IFERROR(VLOOKUP(C_Ope_004[[#This Row],[NOTA 2]],Clientes_Proveedores[[Ruc / Dni]:[Razon Social]],2,0),"")</f>
        <v/>
      </c>
      <c r="Z37" s="25"/>
      <c r="AA37" s="25"/>
      <c r="AB37" s="3" t="str">
        <f>IF(C_Ope_004[[#This Row],[FECHA]]&gt;0,TEXT(C_Ope_004[[#This Row],[FECHA]],"mmmm"),0)</f>
        <v>Enero</v>
      </c>
    </row>
    <row r="38" spans="2:28" ht="24" x14ac:dyDescent="0.3">
      <c r="B38" s="2">
        <f>IF(C_Ope_004[[#This Row],[TIPO DE R.]]="R",COUNTIFS($D$4:$D37,"R")+1,"")</f>
        <v>34</v>
      </c>
      <c r="C38" s="19" t="str">
        <f t="shared" ref="C38:C69" si="8">"C_Ope_004"</f>
        <v>C_Ope_004</v>
      </c>
      <c r="D38" s="3" t="s">
        <v>1074</v>
      </c>
      <c r="E38" s="14">
        <v>45686</v>
      </c>
      <c r="F38" s="5" t="s">
        <v>7102</v>
      </c>
      <c r="G38" s="5" t="s">
        <v>1079</v>
      </c>
      <c r="H38" s="6"/>
      <c r="I38" s="6" t="s">
        <v>14</v>
      </c>
      <c r="J38" s="6" t="s">
        <v>6985</v>
      </c>
      <c r="K38" s="6">
        <v>2903118</v>
      </c>
      <c r="L38" s="7" t="s">
        <v>6949</v>
      </c>
      <c r="M38" s="8">
        <v>22849</v>
      </c>
      <c r="N38" s="8" t="str">
        <f t="shared" si="5"/>
        <v>PEN</v>
      </c>
      <c r="O38" s="13"/>
      <c r="P38" s="13">
        <v>0</v>
      </c>
      <c r="Q38" s="3">
        <f t="shared" si="6"/>
        <v>0</v>
      </c>
      <c r="R38" s="3">
        <f t="shared" si="7"/>
        <v>0</v>
      </c>
      <c r="S38" s="3">
        <f t="shared" si="3"/>
        <v>105.99000000000001</v>
      </c>
      <c r="T38" s="24"/>
      <c r="U38" s="24"/>
      <c r="V38" s="3"/>
      <c r="W38" s="25" t="s">
        <v>6950</v>
      </c>
      <c r="X38" s="25"/>
      <c r="Y38" s="25" t="str">
        <f>IFERROR(VLOOKUP(C_Ope_004[[#This Row],[NOTA 2]],Clientes_Proveedores[[Ruc / Dni]:[Razon Social]],2,0),"")</f>
        <v/>
      </c>
      <c r="Z38" s="25"/>
      <c r="AA38" s="25"/>
      <c r="AB38" s="3" t="str">
        <f>IF(C_Ope_004[[#This Row],[FECHA]]&gt;0,TEXT(C_Ope_004[[#This Row],[FECHA]],"mmmm"),0)</f>
        <v>Enero</v>
      </c>
    </row>
    <row r="39" spans="2:28" x14ac:dyDescent="0.3">
      <c r="B39" s="2">
        <f>IF(C_Ope_004[[#This Row],[TIPO DE R.]]="R",COUNTIFS($D$4:$D38,"R")+1,"")</f>
        <v>35</v>
      </c>
      <c r="C39" s="19" t="str">
        <f t="shared" si="8"/>
        <v>C_Ope_004</v>
      </c>
      <c r="D39" s="3" t="s">
        <v>1074</v>
      </c>
      <c r="E39" s="14">
        <v>45684</v>
      </c>
      <c r="F39" s="5" t="s">
        <v>7102</v>
      </c>
      <c r="G39" s="5" t="s">
        <v>1079</v>
      </c>
      <c r="H39" s="6"/>
      <c r="I39" s="6" t="s">
        <v>14</v>
      </c>
      <c r="J39" s="6" t="s">
        <v>2789</v>
      </c>
      <c r="K39" s="6">
        <v>39085</v>
      </c>
      <c r="L39" s="7" t="s">
        <v>7111</v>
      </c>
      <c r="M39" s="8">
        <v>22831</v>
      </c>
      <c r="N39" s="8" t="str">
        <f t="shared" si="5"/>
        <v>PEN</v>
      </c>
      <c r="O39" s="13"/>
      <c r="P39" s="13">
        <v>55</v>
      </c>
      <c r="Q39" s="3">
        <f t="shared" si="6"/>
        <v>0</v>
      </c>
      <c r="R39" s="3">
        <f t="shared" si="7"/>
        <v>55</v>
      </c>
      <c r="S39" s="3">
        <f t="shared" si="3"/>
        <v>50.990000000000009</v>
      </c>
      <c r="T39" s="24"/>
      <c r="U39" s="24"/>
      <c r="V39" s="3"/>
      <c r="W39" s="25" t="s">
        <v>6950</v>
      </c>
      <c r="X39" s="25"/>
      <c r="Y39" s="25" t="str">
        <f>IFERROR(VLOOKUP(C_Ope_004[[#This Row],[NOTA 2]],Clientes_Proveedores[[Ruc / Dni]:[Razon Social]],2,0),"")</f>
        <v/>
      </c>
      <c r="Z39" s="25"/>
      <c r="AA39" s="25"/>
      <c r="AB39" s="3" t="str">
        <f>IF(C_Ope_004[[#This Row],[FECHA]]&gt;0,TEXT(C_Ope_004[[#This Row],[FECHA]],"mmmm"),0)</f>
        <v>Enero</v>
      </c>
    </row>
    <row r="40" spans="2:28" x14ac:dyDescent="0.3">
      <c r="B40" s="2">
        <f>IF(C_Ope_004[[#This Row],[TIPO DE R.]]="R",COUNTIFS($D$4:$D39,"R")+1,"")</f>
        <v>36</v>
      </c>
      <c r="C40" s="19" t="str">
        <f t="shared" si="8"/>
        <v>C_Ope_004</v>
      </c>
      <c r="D40" s="3" t="s">
        <v>1074</v>
      </c>
      <c r="E40" s="14">
        <v>45691</v>
      </c>
      <c r="F40" s="5" t="s">
        <v>6299</v>
      </c>
      <c r="G40" s="5" t="s">
        <v>1087</v>
      </c>
      <c r="H40" s="6"/>
      <c r="I40" s="6"/>
      <c r="J40" s="6"/>
      <c r="K40" s="6"/>
      <c r="L40" s="7" t="s">
        <v>7113</v>
      </c>
      <c r="M40" s="8">
        <v>22881</v>
      </c>
      <c r="N40" s="8" t="str">
        <f t="shared" si="5"/>
        <v>PEN</v>
      </c>
      <c r="O40" s="13"/>
      <c r="P40" s="13">
        <v>150</v>
      </c>
      <c r="Q40" s="3">
        <f t="shared" si="6"/>
        <v>150</v>
      </c>
      <c r="R40" s="3">
        <f t="shared" si="7"/>
        <v>0</v>
      </c>
      <c r="S40" s="3">
        <f t="shared" si="3"/>
        <v>200.99</v>
      </c>
      <c r="T40" s="24"/>
      <c r="U40" s="24"/>
      <c r="V40" s="3"/>
      <c r="W40" s="25"/>
      <c r="X40" s="25"/>
      <c r="Y40" s="25" t="str">
        <f>IFERROR(VLOOKUP(C_Ope_004[[#This Row],[NOTA 2]],Clientes_Proveedores[[Ruc / Dni]:[Razon Social]],2,0),"")</f>
        <v/>
      </c>
      <c r="Z40" s="25"/>
      <c r="AA40" s="25"/>
      <c r="AB40" s="3" t="str">
        <f>IF(C_Ope_004[[#This Row],[FECHA]]&gt;0,TEXT(C_Ope_004[[#This Row],[FECHA]],"mmmm"),0)</f>
        <v>Febrero</v>
      </c>
    </row>
    <row r="41" spans="2:28" x14ac:dyDescent="0.3">
      <c r="B41" s="2">
        <f>IF(C_Ope_004[[#This Row],[TIPO DE R.]]="R",COUNTIFS($D$4:$D40,"R")+1,"")</f>
        <v>37</v>
      </c>
      <c r="C41" s="19" t="str">
        <f t="shared" si="8"/>
        <v>C_Ope_004</v>
      </c>
      <c r="D41" s="3" t="s">
        <v>1074</v>
      </c>
      <c r="E41" s="14">
        <v>45695</v>
      </c>
      <c r="F41" s="5" t="s">
        <v>6299</v>
      </c>
      <c r="G41" s="5" t="s">
        <v>1087</v>
      </c>
      <c r="H41" s="6"/>
      <c r="I41" s="6"/>
      <c r="J41" s="6"/>
      <c r="K41" s="6"/>
      <c r="L41" s="7" t="s">
        <v>7113</v>
      </c>
      <c r="M41" s="8">
        <v>23069</v>
      </c>
      <c r="N41" s="8" t="str">
        <f t="shared" si="5"/>
        <v>PEN</v>
      </c>
      <c r="O41" s="13"/>
      <c r="P41" s="13">
        <v>400</v>
      </c>
      <c r="Q41" s="3">
        <f t="shared" si="6"/>
        <v>400</v>
      </c>
      <c r="R41" s="3">
        <f t="shared" si="7"/>
        <v>0</v>
      </c>
      <c r="S41" s="3">
        <f t="shared" si="3"/>
        <v>600.99</v>
      </c>
      <c r="T41" s="24"/>
      <c r="U41" s="24"/>
      <c r="V41" s="3"/>
      <c r="W41" s="25"/>
      <c r="X41" s="25"/>
      <c r="Y41" s="25" t="str">
        <f>IFERROR(VLOOKUP(C_Ope_004[[#This Row],[NOTA 2]],Clientes_Proveedores[[Ruc / Dni]:[Razon Social]],2,0),"")</f>
        <v/>
      </c>
      <c r="Z41" s="25"/>
      <c r="AA41" s="25"/>
      <c r="AB41" s="3" t="str">
        <f>IF(C_Ope_004[[#This Row],[FECHA]]&gt;0,TEXT(C_Ope_004[[#This Row],[FECHA]],"mmmm"),0)</f>
        <v>Febrero</v>
      </c>
    </row>
    <row r="42" spans="2:28" ht="24" x14ac:dyDescent="0.3">
      <c r="B42" s="2">
        <f>IF(C_Ope_004[[#This Row],[TIPO DE R.]]="R",COUNTIFS($D$4:$D41,"R")+1,"")</f>
        <v>38</v>
      </c>
      <c r="C42" s="19" t="str">
        <f t="shared" si="8"/>
        <v>C_Ope_004</v>
      </c>
      <c r="D42" s="3" t="s">
        <v>1074</v>
      </c>
      <c r="E42" s="14">
        <v>45691</v>
      </c>
      <c r="F42" s="5" t="s">
        <v>7102</v>
      </c>
      <c r="G42" s="5" t="s">
        <v>1079</v>
      </c>
      <c r="H42" s="6"/>
      <c r="I42" s="6" t="s">
        <v>14</v>
      </c>
      <c r="J42" s="6" t="s">
        <v>6881</v>
      </c>
      <c r="K42" s="6">
        <v>555530</v>
      </c>
      <c r="L42" s="7" t="s">
        <v>7108</v>
      </c>
      <c r="M42" s="8">
        <v>22877</v>
      </c>
      <c r="N42" s="8" t="str">
        <f t="shared" si="5"/>
        <v>PEN</v>
      </c>
      <c r="O42" s="13"/>
      <c r="P42" s="13">
        <v>15</v>
      </c>
      <c r="Q42" s="3">
        <f t="shared" si="6"/>
        <v>0</v>
      </c>
      <c r="R42" s="3">
        <f t="shared" si="7"/>
        <v>15</v>
      </c>
      <c r="S42" s="3">
        <f t="shared" si="3"/>
        <v>585.99</v>
      </c>
      <c r="T42" s="24"/>
      <c r="U42" s="24"/>
      <c r="V42" s="3"/>
      <c r="W42" s="25" t="s">
        <v>6950</v>
      </c>
      <c r="X42" s="25"/>
      <c r="Y42" s="25" t="str">
        <f>IFERROR(VLOOKUP(C_Ope_004[[#This Row],[NOTA 2]],Clientes_Proveedores[[Ruc / Dni]:[Razon Social]],2,0),"")</f>
        <v/>
      </c>
      <c r="Z42" s="25"/>
      <c r="AA42" s="25"/>
      <c r="AB42" s="3" t="str">
        <f>IF(C_Ope_004[[#This Row],[FECHA]]&gt;0,TEXT(C_Ope_004[[#This Row],[FECHA]],"mmmm"),0)</f>
        <v>Febrero</v>
      </c>
    </row>
    <row r="43" spans="2:28" ht="24" x14ac:dyDescent="0.3">
      <c r="B43" s="2">
        <f>IF(C_Ope_004[[#This Row],[TIPO DE R.]]="R",COUNTIFS($D$4:$D42,"R")+1,"")</f>
        <v>39</v>
      </c>
      <c r="C43" s="19" t="str">
        <f t="shared" si="8"/>
        <v>C_Ope_004</v>
      </c>
      <c r="D43" s="3" t="s">
        <v>1074</v>
      </c>
      <c r="E43" s="14">
        <v>45691</v>
      </c>
      <c r="F43" s="5" t="s">
        <v>7102</v>
      </c>
      <c r="G43" s="5" t="s">
        <v>1079</v>
      </c>
      <c r="H43" s="6"/>
      <c r="I43" s="6" t="s">
        <v>14</v>
      </c>
      <c r="J43" s="6" t="s">
        <v>7105</v>
      </c>
      <c r="K43" s="6">
        <v>3061336</v>
      </c>
      <c r="L43" s="7" t="s">
        <v>7109</v>
      </c>
      <c r="M43" s="8">
        <v>22878</v>
      </c>
      <c r="N43" s="8" t="str">
        <f t="shared" si="5"/>
        <v>PEN</v>
      </c>
      <c r="O43" s="13"/>
      <c r="P43" s="13">
        <v>15</v>
      </c>
      <c r="Q43" s="3">
        <f t="shared" si="6"/>
        <v>0</v>
      </c>
      <c r="R43" s="3">
        <f t="shared" si="7"/>
        <v>15</v>
      </c>
      <c r="S43" s="3">
        <f t="shared" si="3"/>
        <v>570.99</v>
      </c>
      <c r="T43" s="24"/>
      <c r="U43" s="24"/>
      <c r="V43" s="3"/>
      <c r="W43" s="25" t="s">
        <v>6950</v>
      </c>
      <c r="X43" s="25"/>
      <c r="Y43" s="25" t="str">
        <f>IFERROR(VLOOKUP(C_Ope_004[[#This Row],[NOTA 2]],Clientes_Proveedores[[Ruc / Dni]:[Razon Social]],2,0),"")</f>
        <v/>
      </c>
      <c r="Z43" s="25"/>
      <c r="AA43" s="25"/>
      <c r="AB43" s="3" t="str">
        <f>IF(C_Ope_004[[#This Row],[FECHA]]&gt;0,TEXT(C_Ope_004[[#This Row],[FECHA]],"mmmm"),0)</f>
        <v>Febrero</v>
      </c>
    </row>
    <row r="44" spans="2:28" ht="24" x14ac:dyDescent="0.3">
      <c r="B44" s="2">
        <f>IF(C_Ope_004[[#This Row],[TIPO DE R.]]="R",COUNTIFS($D$4:$D43,"R")+1,"")</f>
        <v>40</v>
      </c>
      <c r="C44" s="19" t="str">
        <f t="shared" si="8"/>
        <v>C_Ope_004</v>
      </c>
      <c r="D44" s="3" t="s">
        <v>1074</v>
      </c>
      <c r="E44" s="14">
        <v>45693</v>
      </c>
      <c r="F44" s="5" t="s">
        <v>7102</v>
      </c>
      <c r="G44" s="5" t="s">
        <v>1079</v>
      </c>
      <c r="H44" s="6"/>
      <c r="I44" s="6" t="s">
        <v>14</v>
      </c>
      <c r="J44" s="6" t="s">
        <v>5244</v>
      </c>
      <c r="K44" s="6">
        <v>3294787</v>
      </c>
      <c r="L44" s="7" t="s">
        <v>6951</v>
      </c>
      <c r="M44" s="8">
        <v>22906</v>
      </c>
      <c r="N44" s="8" t="str">
        <f t="shared" si="5"/>
        <v>PEN</v>
      </c>
      <c r="O44" s="13"/>
      <c r="P44" s="13">
        <v>15</v>
      </c>
      <c r="Q44" s="3">
        <f t="shared" si="6"/>
        <v>0</v>
      </c>
      <c r="R44" s="3">
        <f t="shared" si="7"/>
        <v>15</v>
      </c>
      <c r="S44" s="3">
        <f t="shared" si="3"/>
        <v>555.99</v>
      </c>
      <c r="T44" s="24"/>
      <c r="U44" s="24"/>
      <c r="V44" s="3"/>
      <c r="W44" s="25" t="s">
        <v>6950</v>
      </c>
      <c r="X44" s="25"/>
      <c r="Y44" s="25" t="str">
        <f>IFERROR(VLOOKUP(C_Ope_004[[#This Row],[NOTA 2]],Clientes_Proveedores[[Ruc / Dni]:[Razon Social]],2,0),"")</f>
        <v/>
      </c>
      <c r="Z44" s="25"/>
      <c r="AA44" s="25"/>
      <c r="AB44" s="3" t="str">
        <f>IF(C_Ope_004[[#This Row],[FECHA]]&gt;0,TEXT(C_Ope_004[[#This Row],[FECHA]],"mmmm"),0)</f>
        <v>Febrero</v>
      </c>
    </row>
    <row r="45" spans="2:28" ht="24" x14ac:dyDescent="0.3">
      <c r="B45" s="2">
        <f>IF(C_Ope_004[[#This Row],[TIPO DE R.]]="R",COUNTIFS($D$4:$D44,"R")+1,"")</f>
        <v>41</v>
      </c>
      <c r="C45" s="19" t="str">
        <f t="shared" si="8"/>
        <v>C_Ope_004</v>
      </c>
      <c r="D45" s="3" t="s">
        <v>1074</v>
      </c>
      <c r="E45" s="14">
        <v>45693</v>
      </c>
      <c r="F45" s="5" t="s">
        <v>7102</v>
      </c>
      <c r="G45" s="5" t="s">
        <v>1079</v>
      </c>
      <c r="H45" s="6"/>
      <c r="I45" s="6" t="s">
        <v>14</v>
      </c>
      <c r="J45" s="6" t="s">
        <v>7103</v>
      </c>
      <c r="K45" s="6">
        <v>3610448</v>
      </c>
      <c r="L45" s="7" t="s">
        <v>6949</v>
      </c>
      <c r="M45" s="8">
        <v>22907</v>
      </c>
      <c r="N45" s="8" t="str">
        <f t="shared" si="5"/>
        <v>PEN</v>
      </c>
      <c r="O45" s="13"/>
      <c r="P45" s="13">
        <v>15</v>
      </c>
      <c r="Q45" s="3">
        <f t="shared" si="6"/>
        <v>0</v>
      </c>
      <c r="R45" s="3">
        <f t="shared" si="7"/>
        <v>15</v>
      </c>
      <c r="S45" s="3">
        <f t="shared" si="3"/>
        <v>540.99</v>
      </c>
      <c r="T45" s="24"/>
      <c r="U45" s="24"/>
      <c r="V45" s="3"/>
      <c r="W45" s="25" t="s">
        <v>6950</v>
      </c>
      <c r="X45" s="25"/>
      <c r="Y45" s="25" t="str">
        <f>IFERROR(VLOOKUP(C_Ope_004[[#This Row],[NOTA 2]],Clientes_Proveedores[[Ruc / Dni]:[Razon Social]],2,0),"")</f>
        <v/>
      </c>
      <c r="Z45" s="25"/>
      <c r="AA45" s="25"/>
      <c r="AB45" s="3" t="str">
        <f>IF(C_Ope_004[[#This Row],[FECHA]]&gt;0,TEXT(C_Ope_004[[#This Row],[FECHA]],"mmmm"),0)</f>
        <v>Febrero</v>
      </c>
    </row>
    <row r="46" spans="2:28" x14ac:dyDescent="0.3">
      <c r="B46" s="2">
        <f>IF(C_Ope_004[[#This Row],[TIPO DE R.]]="R",COUNTIFS($D$4:$D45,"R")+1,"")</f>
        <v>42</v>
      </c>
      <c r="C46" s="19" t="str">
        <f t="shared" si="8"/>
        <v>C_Ope_004</v>
      </c>
      <c r="D46" s="3" t="s">
        <v>1074</v>
      </c>
      <c r="E46" s="14">
        <v>45692</v>
      </c>
      <c r="F46" s="5" t="s">
        <v>7102</v>
      </c>
      <c r="G46" s="5" t="s">
        <v>1079</v>
      </c>
      <c r="H46" s="6"/>
      <c r="I46" s="6" t="s">
        <v>14</v>
      </c>
      <c r="J46" s="6" t="s">
        <v>2789</v>
      </c>
      <c r="K46" s="6">
        <v>39236</v>
      </c>
      <c r="L46" s="7" t="s">
        <v>7114</v>
      </c>
      <c r="M46" s="8">
        <v>22879</v>
      </c>
      <c r="N46" s="8" t="str">
        <f t="shared" si="5"/>
        <v>PEN</v>
      </c>
      <c r="O46" s="13"/>
      <c r="P46" s="13">
        <v>55</v>
      </c>
      <c r="Q46" s="3">
        <f t="shared" si="6"/>
        <v>0</v>
      </c>
      <c r="R46" s="3">
        <f t="shared" si="7"/>
        <v>55</v>
      </c>
      <c r="S46" s="3">
        <f t="shared" si="3"/>
        <v>485.99</v>
      </c>
      <c r="T46" s="24"/>
      <c r="U46" s="24"/>
      <c r="V46" s="3"/>
      <c r="W46" s="25" t="s">
        <v>6950</v>
      </c>
      <c r="X46" s="25"/>
      <c r="Y46" s="25" t="str">
        <f>IFERROR(VLOOKUP(C_Ope_004[[#This Row],[NOTA 2]],Clientes_Proveedores[[Ruc / Dni]:[Razon Social]],2,0),"")</f>
        <v/>
      </c>
      <c r="Z46" s="25"/>
      <c r="AA46" s="25"/>
      <c r="AB46" s="3" t="str">
        <f>IF(C_Ope_004[[#This Row],[FECHA]]&gt;0,TEXT(C_Ope_004[[#This Row],[FECHA]],"mmmm"),0)</f>
        <v>Febrero</v>
      </c>
    </row>
    <row r="47" spans="2:28" ht="24" x14ac:dyDescent="0.3">
      <c r="B47" s="2">
        <f>IF(C_Ope_004[[#This Row],[TIPO DE R.]]="R",COUNTIFS($D$4:$D46,"R")+1,"")</f>
        <v>43</v>
      </c>
      <c r="C47" s="19" t="str">
        <f t="shared" si="8"/>
        <v>C_Ope_004</v>
      </c>
      <c r="D47" s="3" t="s">
        <v>1074</v>
      </c>
      <c r="E47" s="14">
        <v>45698</v>
      </c>
      <c r="F47" s="5" t="s">
        <v>7102</v>
      </c>
      <c r="G47" s="5" t="s">
        <v>1079</v>
      </c>
      <c r="H47" s="6"/>
      <c r="I47" s="6" t="s">
        <v>14</v>
      </c>
      <c r="J47" s="6" t="s">
        <v>5130</v>
      </c>
      <c r="K47" s="6">
        <v>1115353</v>
      </c>
      <c r="L47" s="7" t="s">
        <v>6951</v>
      </c>
      <c r="M47" s="8">
        <v>23038</v>
      </c>
      <c r="N47" s="8" t="str">
        <f t="shared" si="5"/>
        <v>PEN</v>
      </c>
      <c r="O47" s="13"/>
      <c r="P47" s="13">
        <v>15</v>
      </c>
      <c r="Q47" s="3">
        <f t="shared" si="6"/>
        <v>0</v>
      </c>
      <c r="R47" s="3">
        <f t="shared" si="7"/>
        <v>15</v>
      </c>
      <c r="S47" s="3">
        <f t="shared" si="3"/>
        <v>470.99</v>
      </c>
      <c r="T47" s="24"/>
      <c r="U47" s="24"/>
      <c r="V47" s="3"/>
      <c r="W47" s="25" t="s">
        <v>6950</v>
      </c>
      <c r="X47" s="25"/>
      <c r="Y47" s="25" t="str">
        <f>IFERROR(VLOOKUP(C_Ope_004[[#This Row],[NOTA 2]],Clientes_Proveedores[[Ruc / Dni]:[Razon Social]],2,0),"")</f>
        <v/>
      </c>
      <c r="Z47" s="25"/>
      <c r="AA47" s="25"/>
      <c r="AB47" s="3" t="str">
        <f>IF(C_Ope_004[[#This Row],[FECHA]]&gt;0,TEXT(C_Ope_004[[#This Row],[FECHA]],"mmmm"),0)</f>
        <v>Febrero</v>
      </c>
    </row>
    <row r="48" spans="2:28" ht="24" x14ac:dyDescent="0.3">
      <c r="B48" s="2">
        <f>IF(C_Ope_004[[#This Row],[TIPO DE R.]]="R",COUNTIFS($D$4:$D47,"R")+1,"")</f>
        <v>44</v>
      </c>
      <c r="C48" s="19" t="str">
        <f t="shared" si="8"/>
        <v>C_Ope_004</v>
      </c>
      <c r="D48" s="3" t="s">
        <v>1074</v>
      </c>
      <c r="E48" s="14">
        <v>45698</v>
      </c>
      <c r="F48" s="5" t="s">
        <v>7102</v>
      </c>
      <c r="G48" s="5" t="s">
        <v>1079</v>
      </c>
      <c r="H48" s="6"/>
      <c r="I48" s="6" t="s">
        <v>14</v>
      </c>
      <c r="J48" s="6" t="s">
        <v>6985</v>
      </c>
      <c r="K48" s="6">
        <v>2914672</v>
      </c>
      <c r="L48" s="7" t="s">
        <v>6949</v>
      </c>
      <c r="M48" s="8">
        <v>23039</v>
      </c>
      <c r="N48" s="8" t="str">
        <f t="shared" si="5"/>
        <v>PEN</v>
      </c>
      <c r="O48" s="13"/>
      <c r="P48" s="13">
        <v>15</v>
      </c>
      <c r="Q48" s="3">
        <f t="shared" si="6"/>
        <v>0</v>
      </c>
      <c r="R48" s="3">
        <f t="shared" si="7"/>
        <v>15</v>
      </c>
      <c r="S48" s="3">
        <f t="shared" si="3"/>
        <v>455.99</v>
      </c>
      <c r="T48" s="24"/>
      <c r="U48" s="24"/>
      <c r="V48" s="3"/>
      <c r="W48" s="25" t="s">
        <v>6950</v>
      </c>
      <c r="X48" s="25"/>
      <c r="Y48" s="25" t="str">
        <f>IFERROR(VLOOKUP(C_Ope_004[[#This Row],[NOTA 2]],Clientes_Proveedores[[Ruc / Dni]:[Razon Social]],2,0),"")</f>
        <v/>
      </c>
      <c r="Z48" s="25"/>
      <c r="AA48" s="25"/>
      <c r="AB48" s="3" t="str">
        <f>IF(C_Ope_004[[#This Row],[FECHA]]&gt;0,TEXT(C_Ope_004[[#This Row],[FECHA]],"mmmm"),0)</f>
        <v>Febrero</v>
      </c>
    </row>
    <row r="49" spans="2:28" ht="24" x14ac:dyDescent="0.3">
      <c r="B49" s="2">
        <f>IF(C_Ope_004[[#This Row],[TIPO DE R.]]="R",COUNTIFS($D$4:$D48,"R")+1,"")</f>
        <v>45</v>
      </c>
      <c r="C49" s="19" t="str">
        <f t="shared" si="8"/>
        <v>C_Ope_004</v>
      </c>
      <c r="D49" s="3" t="s">
        <v>1074</v>
      </c>
      <c r="E49" s="14">
        <v>45700</v>
      </c>
      <c r="F49" s="5" t="s">
        <v>7102</v>
      </c>
      <c r="G49" s="5" t="s">
        <v>1079</v>
      </c>
      <c r="H49" s="6"/>
      <c r="I49" s="6" t="s">
        <v>14</v>
      </c>
      <c r="J49" s="6" t="s">
        <v>6985</v>
      </c>
      <c r="K49" s="6">
        <v>2916586</v>
      </c>
      <c r="L49" s="7" t="s">
        <v>7109</v>
      </c>
      <c r="M49" s="8">
        <v>23040</v>
      </c>
      <c r="N49" s="8" t="str">
        <f t="shared" si="5"/>
        <v>PEN</v>
      </c>
      <c r="O49" s="13"/>
      <c r="P49" s="13">
        <v>15</v>
      </c>
      <c r="Q49" s="3">
        <f t="shared" si="6"/>
        <v>0</v>
      </c>
      <c r="R49" s="3">
        <f t="shared" si="7"/>
        <v>15</v>
      </c>
      <c r="S49" s="3">
        <f t="shared" si="3"/>
        <v>440.99</v>
      </c>
      <c r="T49" s="24"/>
      <c r="U49" s="24"/>
      <c r="V49" s="3"/>
      <c r="W49" s="25" t="s">
        <v>6950</v>
      </c>
      <c r="X49" s="25"/>
      <c r="Y49" s="25" t="str">
        <f>IFERROR(VLOOKUP(C_Ope_004[[#This Row],[NOTA 2]],Clientes_Proveedores[[Ruc / Dni]:[Razon Social]],2,0),"")</f>
        <v/>
      </c>
      <c r="Z49" s="25"/>
      <c r="AA49" s="25"/>
      <c r="AB49" s="3" t="str">
        <f>IF(C_Ope_004[[#This Row],[FECHA]]&gt;0,TEXT(C_Ope_004[[#This Row],[FECHA]],"mmmm"),0)</f>
        <v>Febrero</v>
      </c>
    </row>
    <row r="50" spans="2:28" ht="24" x14ac:dyDescent="0.3">
      <c r="B50" s="2">
        <f>IF(C_Ope_004[[#This Row],[TIPO DE R.]]="R",COUNTIFS($D$4:$D49,"R")+1,"")</f>
        <v>46</v>
      </c>
      <c r="C50" s="19" t="str">
        <f t="shared" si="8"/>
        <v>C_Ope_004</v>
      </c>
      <c r="D50" s="3" t="s">
        <v>1074</v>
      </c>
      <c r="E50" s="14">
        <v>45700</v>
      </c>
      <c r="F50" s="5" t="s">
        <v>7102</v>
      </c>
      <c r="G50" s="5" t="s">
        <v>1079</v>
      </c>
      <c r="H50" s="6"/>
      <c r="I50" s="6" t="s">
        <v>14</v>
      </c>
      <c r="J50" s="6" t="s">
        <v>7104</v>
      </c>
      <c r="K50" s="6">
        <v>1557160</v>
      </c>
      <c r="L50" s="7" t="s">
        <v>7108</v>
      </c>
      <c r="M50" s="8">
        <v>23041</v>
      </c>
      <c r="N50" s="8" t="str">
        <f t="shared" si="5"/>
        <v>PEN</v>
      </c>
      <c r="O50" s="13"/>
      <c r="P50" s="13">
        <v>15</v>
      </c>
      <c r="Q50" s="3">
        <f t="shared" si="6"/>
        <v>0</v>
      </c>
      <c r="R50" s="3">
        <f t="shared" si="7"/>
        <v>15</v>
      </c>
      <c r="S50" s="3">
        <f t="shared" si="3"/>
        <v>425.99</v>
      </c>
      <c r="T50" s="24"/>
      <c r="U50" s="24"/>
      <c r="V50" s="3"/>
      <c r="W50" s="25" t="s">
        <v>6950</v>
      </c>
      <c r="X50" s="25"/>
      <c r="Y50" s="25" t="str">
        <f>IFERROR(VLOOKUP(C_Ope_004[[#This Row],[NOTA 2]],Clientes_Proveedores[[Ruc / Dni]:[Razon Social]],2,0),"")</f>
        <v/>
      </c>
      <c r="Z50" s="25"/>
      <c r="AA50" s="25"/>
      <c r="AB50" s="3" t="str">
        <f>IF(C_Ope_004[[#This Row],[FECHA]]&gt;0,TEXT(C_Ope_004[[#This Row],[FECHA]],"mmmm"),0)</f>
        <v>Febrero</v>
      </c>
    </row>
    <row r="51" spans="2:28" ht="24" x14ac:dyDescent="0.3">
      <c r="B51" s="2">
        <f>IF(C_Ope_004[[#This Row],[TIPO DE R.]]="R",COUNTIFS($D$4:$D50,"R")+1,"")</f>
        <v>47</v>
      </c>
      <c r="C51" s="19" t="str">
        <f t="shared" si="8"/>
        <v>C_Ope_004</v>
      </c>
      <c r="D51" s="3" t="s">
        <v>1074</v>
      </c>
      <c r="E51" s="14">
        <v>45701</v>
      </c>
      <c r="F51" s="5" t="s">
        <v>7102</v>
      </c>
      <c r="G51" s="5" t="s">
        <v>1079</v>
      </c>
      <c r="H51" s="6"/>
      <c r="I51" s="6" t="s">
        <v>14</v>
      </c>
      <c r="J51" s="6" t="s">
        <v>6881</v>
      </c>
      <c r="K51" s="6">
        <v>559018</v>
      </c>
      <c r="L51" s="7" t="s">
        <v>6951</v>
      </c>
      <c r="M51" s="8">
        <v>23042</v>
      </c>
      <c r="N51" s="8" t="str">
        <f t="shared" si="5"/>
        <v>PEN</v>
      </c>
      <c r="O51" s="13"/>
      <c r="P51" s="13">
        <v>15</v>
      </c>
      <c r="Q51" s="3">
        <f t="shared" si="6"/>
        <v>0</v>
      </c>
      <c r="R51" s="3">
        <f t="shared" si="7"/>
        <v>15</v>
      </c>
      <c r="S51" s="3">
        <f t="shared" si="3"/>
        <v>410.99</v>
      </c>
      <c r="T51" s="24"/>
      <c r="U51" s="24"/>
      <c r="V51" s="3"/>
      <c r="W51" s="25" t="s">
        <v>6950</v>
      </c>
      <c r="X51" s="25"/>
      <c r="Y51" s="25" t="str">
        <f>IFERROR(VLOOKUP(C_Ope_004[[#This Row],[NOTA 2]],Clientes_Proveedores[[Ruc / Dni]:[Razon Social]],2,0),"")</f>
        <v/>
      </c>
      <c r="Z51" s="25"/>
      <c r="AA51" s="25"/>
      <c r="AB51" s="3" t="str">
        <f>IF(C_Ope_004[[#This Row],[FECHA]]&gt;0,TEXT(C_Ope_004[[#This Row],[FECHA]],"mmmm"),0)</f>
        <v>Febrero</v>
      </c>
    </row>
    <row r="52" spans="2:28" ht="24" x14ac:dyDescent="0.3">
      <c r="B52" s="2">
        <f>IF(C_Ope_004[[#This Row],[TIPO DE R.]]="R",COUNTIFS($D$4:$D51,"R")+1,"")</f>
        <v>48</v>
      </c>
      <c r="C52" s="19" t="str">
        <f t="shared" si="8"/>
        <v>C_Ope_004</v>
      </c>
      <c r="D52" s="3" t="s">
        <v>1074</v>
      </c>
      <c r="E52" s="14">
        <v>45701</v>
      </c>
      <c r="F52" s="5" t="s">
        <v>7102</v>
      </c>
      <c r="G52" s="5" t="s">
        <v>1079</v>
      </c>
      <c r="H52" s="6"/>
      <c r="I52" s="6" t="s">
        <v>14</v>
      </c>
      <c r="J52" s="6" t="s">
        <v>6985</v>
      </c>
      <c r="K52" s="6">
        <v>2917508</v>
      </c>
      <c r="L52" s="7" t="s">
        <v>6949</v>
      </c>
      <c r="M52" s="8">
        <v>23043</v>
      </c>
      <c r="N52" s="8" t="str">
        <f t="shared" si="5"/>
        <v>PEN</v>
      </c>
      <c r="O52" s="13"/>
      <c r="P52" s="13">
        <v>15</v>
      </c>
      <c r="Q52" s="3">
        <f t="shared" si="6"/>
        <v>0</v>
      </c>
      <c r="R52" s="3">
        <f t="shared" si="7"/>
        <v>15</v>
      </c>
      <c r="S52" s="3">
        <f t="shared" si="3"/>
        <v>395.99</v>
      </c>
      <c r="T52" s="24"/>
      <c r="U52" s="24"/>
      <c r="V52" s="3"/>
      <c r="W52" s="25" t="s">
        <v>6950</v>
      </c>
      <c r="X52" s="25"/>
      <c r="Y52" s="25" t="str">
        <f>IFERROR(VLOOKUP(C_Ope_004[[#This Row],[NOTA 2]],Clientes_Proveedores[[Ruc / Dni]:[Razon Social]],2,0),"")</f>
        <v/>
      </c>
      <c r="Z52" s="25"/>
      <c r="AA52" s="25"/>
      <c r="AB52" s="3" t="str">
        <f>IF(C_Ope_004[[#This Row],[FECHA]]&gt;0,TEXT(C_Ope_004[[#This Row],[FECHA]],"mmmm"),0)</f>
        <v>Febrero</v>
      </c>
    </row>
    <row r="53" spans="2:28" x14ac:dyDescent="0.3">
      <c r="B53" s="2">
        <f>IF(C_Ope_004[[#This Row],[TIPO DE R.]]="R",COUNTIFS($D$4:$D52,"R")+1,"")</f>
        <v>49</v>
      </c>
      <c r="C53" s="19" t="str">
        <f t="shared" si="8"/>
        <v>C_Ope_004</v>
      </c>
      <c r="D53" s="3" t="s">
        <v>1074</v>
      </c>
      <c r="E53" s="14">
        <v>45702</v>
      </c>
      <c r="F53" s="5" t="s">
        <v>7102</v>
      </c>
      <c r="G53" s="5" t="s">
        <v>1079</v>
      </c>
      <c r="H53" s="6"/>
      <c r="I53" s="6" t="s">
        <v>14</v>
      </c>
      <c r="J53" s="6" t="s">
        <v>2789</v>
      </c>
      <c r="K53" s="6">
        <v>39430</v>
      </c>
      <c r="L53" s="7" t="s">
        <v>7111</v>
      </c>
      <c r="M53" s="8">
        <v>23083</v>
      </c>
      <c r="N53" s="8" t="str">
        <f t="shared" si="5"/>
        <v>PEN</v>
      </c>
      <c r="O53" s="13"/>
      <c r="P53" s="13">
        <v>55</v>
      </c>
      <c r="Q53" s="3">
        <f t="shared" si="6"/>
        <v>0</v>
      </c>
      <c r="R53" s="3">
        <f t="shared" si="7"/>
        <v>55</v>
      </c>
      <c r="S53" s="3">
        <f t="shared" si="3"/>
        <v>340.99</v>
      </c>
      <c r="T53" s="24"/>
      <c r="U53" s="24"/>
      <c r="V53" s="3"/>
      <c r="W53" s="25" t="s">
        <v>6950</v>
      </c>
      <c r="X53" s="25"/>
      <c r="Y53" s="25" t="str">
        <f>IFERROR(VLOOKUP(C_Ope_004[[#This Row],[NOTA 2]],Clientes_Proveedores[[Ruc / Dni]:[Razon Social]],2,0),"")</f>
        <v/>
      </c>
      <c r="Z53" s="25"/>
      <c r="AA53" s="25"/>
      <c r="AB53" s="3" t="str">
        <f>IF(C_Ope_004[[#This Row],[FECHA]]&gt;0,TEXT(C_Ope_004[[#This Row],[FECHA]],"mmmm"),0)</f>
        <v>Febrero</v>
      </c>
    </row>
    <row r="54" spans="2:28" ht="24" x14ac:dyDescent="0.3">
      <c r="B54" s="2">
        <f>IF(C_Ope_004[[#This Row],[TIPO DE R.]]="R",COUNTIFS($D$4:$D53,"R")+1,"")</f>
        <v>50</v>
      </c>
      <c r="C54" s="19" t="str">
        <f t="shared" si="8"/>
        <v>C_Ope_004</v>
      </c>
      <c r="D54" s="3" t="s">
        <v>1074</v>
      </c>
      <c r="E54" s="14">
        <v>45706</v>
      </c>
      <c r="F54" s="5" t="s">
        <v>7102</v>
      </c>
      <c r="G54" s="5" t="s">
        <v>1079</v>
      </c>
      <c r="H54" s="6"/>
      <c r="I54" s="6" t="s">
        <v>14</v>
      </c>
      <c r="J54" s="6" t="s">
        <v>7104</v>
      </c>
      <c r="K54" s="6">
        <v>1560826</v>
      </c>
      <c r="L54" s="7" t="s">
        <v>7108</v>
      </c>
      <c r="M54" s="8">
        <v>23084</v>
      </c>
      <c r="N54" s="8" t="str">
        <f t="shared" si="5"/>
        <v>PEN</v>
      </c>
      <c r="O54" s="13"/>
      <c r="P54" s="13">
        <v>15</v>
      </c>
      <c r="Q54" s="3">
        <f t="shared" si="6"/>
        <v>0</v>
      </c>
      <c r="R54" s="3">
        <f t="shared" si="7"/>
        <v>15</v>
      </c>
      <c r="S54" s="3">
        <f t="shared" si="3"/>
        <v>325.99</v>
      </c>
      <c r="T54" s="24"/>
      <c r="U54" s="24"/>
      <c r="V54" s="3"/>
      <c r="W54" s="25" t="s">
        <v>6950</v>
      </c>
      <c r="X54" s="25"/>
      <c r="Y54" s="25" t="str">
        <f>IFERROR(VLOOKUP(C_Ope_004[[#This Row],[NOTA 2]],Clientes_Proveedores[[Ruc / Dni]:[Razon Social]],2,0),"")</f>
        <v/>
      </c>
      <c r="Z54" s="25"/>
      <c r="AA54" s="25"/>
      <c r="AB54" s="3" t="str">
        <f>IF(C_Ope_004[[#This Row],[FECHA]]&gt;0,TEXT(C_Ope_004[[#This Row],[FECHA]],"mmmm"),0)</f>
        <v>Febrero</v>
      </c>
    </row>
    <row r="55" spans="2:28" ht="24" x14ac:dyDescent="0.3">
      <c r="B55" s="2">
        <f>IF(C_Ope_004[[#This Row],[TIPO DE R.]]="R",COUNTIFS($D$4:$D54,"R")+1,"")</f>
        <v>51</v>
      </c>
      <c r="C55" s="19" t="str">
        <f t="shared" si="8"/>
        <v>C_Ope_004</v>
      </c>
      <c r="D55" s="3" t="s">
        <v>1074</v>
      </c>
      <c r="E55" s="14">
        <v>45706</v>
      </c>
      <c r="F55" s="5" t="s">
        <v>7102</v>
      </c>
      <c r="G55" s="5" t="s">
        <v>1079</v>
      </c>
      <c r="H55" s="6"/>
      <c r="I55" s="6" t="s">
        <v>14</v>
      </c>
      <c r="J55" s="6" t="s">
        <v>7103</v>
      </c>
      <c r="K55" s="6">
        <v>3623790</v>
      </c>
      <c r="L55" s="7" t="s">
        <v>7109</v>
      </c>
      <c r="M55" s="8">
        <v>23085</v>
      </c>
      <c r="N55" s="8" t="str">
        <f t="shared" si="5"/>
        <v>PEN</v>
      </c>
      <c r="O55" s="13"/>
      <c r="P55" s="13">
        <v>15</v>
      </c>
      <c r="Q55" s="3">
        <f t="shared" si="6"/>
        <v>0</v>
      </c>
      <c r="R55" s="3">
        <f t="shared" si="7"/>
        <v>15</v>
      </c>
      <c r="S55" s="3">
        <f t="shared" si="3"/>
        <v>310.99</v>
      </c>
      <c r="T55" s="24"/>
      <c r="U55" s="24"/>
      <c r="V55" s="3"/>
      <c r="W55" s="25" t="s">
        <v>6950</v>
      </c>
      <c r="X55" s="25"/>
      <c r="Y55" s="25" t="str">
        <f>IFERROR(VLOOKUP(C_Ope_004[[#This Row],[NOTA 2]],Clientes_Proveedores[[Ruc / Dni]:[Razon Social]],2,0),"")</f>
        <v/>
      </c>
      <c r="Z55" s="25"/>
      <c r="AA55" s="25"/>
      <c r="AB55" s="3" t="str">
        <f>IF(C_Ope_004[[#This Row],[FECHA]]&gt;0,TEXT(C_Ope_004[[#This Row],[FECHA]],"mmmm"),0)</f>
        <v>Febrero</v>
      </c>
    </row>
    <row r="56" spans="2:28" ht="24" x14ac:dyDescent="0.3">
      <c r="B56" s="2">
        <f>IF(C_Ope_004[[#This Row],[TIPO DE R.]]="R",COUNTIFS($D$4:$D55,"R")+1,"")</f>
        <v>52</v>
      </c>
      <c r="C56" s="19" t="str">
        <f t="shared" si="8"/>
        <v>C_Ope_004</v>
      </c>
      <c r="D56" s="3" t="s">
        <v>1074</v>
      </c>
      <c r="E56" s="14">
        <v>45707</v>
      </c>
      <c r="F56" s="5" t="s">
        <v>7102</v>
      </c>
      <c r="G56" s="5" t="s">
        <v>1079</v>
      </c>
      <c r="H56" s="6"/>
      <c r="I56" s="6" t="s">
        <v>14</v>
      </c>
      <c r="J56" s="6" t="s">
        <v>7115</v>
      </c>
      <c r="K56" s="6">
        <v>1194244</v>
      </c>
      <c r="L56" s="7" t="s">
        <v>7116</v>
      </c>
      <c r="M56" s="8">
        <v>23086</v>
      </c>
      <c r="N56" s="8" t="str">
        <f t="shared" si="5"/>
        <v>PEN</v>
      </c>
      <c r="O56" s="13"/>
      <c r="P56" s="13">
        <v>15</v>
      </c>
      <c r="Q56" s="3">
        <f t="shared" si="6"/>
        <v>0</v>
      </c>
      <c r="R56" s="3">
        <f t="shared" si="7"/>
        <v>15</v>
      </c>
      <c r="S56" s="3">
        <f t="shared" si="3"/>
        <v>295.99</v>
      </c>
      <c r="T56" s="24"/>
      <c r="U56" s="24"/>
      <c r="V56" s="3"/>
      <c r="W56" s="25" t="s">
        <v>6950</v>
      </c>
      <c r="X56" s="25"/>
      <c r="Y56" s="25" t="str">
        <f>IFERROR(VLOOKUP(C_Ope_004[[#This Row],[NOTA 2]],Clientes_Proveedores[[Ruc / Dni]:[Razon Social]],2,0),"")</f>
        <v/>
      </c>
      <c r="Z56" s="25"/>
      <c r="AA56" s="25"/>
      <c r="AB56" s="3" t="str">
        <f>IF(C_Ope_004[[#This Row],[FECHA]]&gt;0,TEXT(C_Ope_004[[#This Row],[FECHA]],"mmmm"),0)</f>
        <v>Febrero</v>
      </c>
    </row>
    <row r="57" spans="2:28" ht="24" x14ac:dyDescent="0.3">
      <c r="B57" s="2">
        <f>IF(C_Ope_004[[#This Row],[TIPO DE R.]]="R",COUNTIFS($D$4:$D56,"R")+1,"")</f>
        <v>53</v>
      </c>
      <c r="C57" s="19" t="str">
        <f t="shared" si="8"/>
        <v>C_Ope_004</v>
      </c>
      <c r="D57" s="3" t="s">
        <v>1074</v>
      </c>
      <c r="E57" s="14">
        <v>45707</v>
      </c>
      <c r="F57" s="5" t="s">
        <v>7102</v>
      </c>
      <c r="G57" s="5" t="s">
        <v>1079</v>
      </c>
      <c r="H57" s="6"/>
      <c r="I57" s="6" t="s">
        <v>14</v>
      </c>
      <c r="J57" s="6" t="s">
        <v>7103</v>
      </c>
      <c r="K57" s="6">
        <v>3624563</v>
      </c>
      <c r="L57" s="7" t="s">
        <v>7117</v>
      </c>
      <c r="M57" s="8">
        <v>23087</v>
      </c>
      <c r="N57" s="8" t="str">
        <f t="shared" si="5"/>
        <v>PEN</v>
      </c>
      <c r="O57" s="13"/>
      <c r="P57" s="13">
        <v>15</v>
      </c>
      <c r="Q57" s="3">
        <f t="shared" si="6"/>
        <v>0</v>
      </c>
      <c r="R57" s="3">
        <f t="shared" si="7"/>
        <v>15</v>
      </c>
      <c r="S57" s="3">
        <f t="shared" si="3"/>
        <v>280.99</v>
      </c>
      <c r="T57" s="24"/>
      <c r="U57" s="24"/>
      <c r="V57" s="3"/>
      <c r="W57" s="25" t="s">
        <v>6950</v>
      </c>
      <c r="X57" s="25"/>
      <c r="Y57" s="25" t="str">
        <f>IFERROR(VLOOKUP(C_Ope_004[[#This Row],[NOTA 2]],Clientes_Proveedores[[Ruc / Dni]:[Razon Social]],2,0),"")</f>
        <v/>
      </c>
      <c r="Z57" s="25"/>
      <c r="AA57" s="25"/>
      <c r="AB57" s="3" t="str">
        <f>IF(C_Ope_004[[#This Row],[FECHA]]&gt;0,TEXT(C_Ope_004[[#This Row],[FECHA]],"mmmm"),0)</f>
        <v>Febrero</v>
      </c>
    </row>
    <row r="58" spans="2:28" ht="24" x14ac:dyDescent="0.3">
      <c r="B58" s="2">
        <f>IF(C_Ope_004[[#This Row],[TIPO DE R.]]="R",COUNTIFS($D$4:$D57,"R")+1,"")</f>
        <v>54</v>
      </c>
      <c r="C58" s="19" t="str">
        <f t="shared" si="8"/>
        <v>C_Ope_004</v>
      </c>
      <c r="D58" s="3" t="s">
        <v>1074</v>
      </c>
      <c r="E58" s="14">
        <v>45715</v>
      </c>
      <c r="F58" s="5" t="s">
        <v>7102</v>
      </c>
      <c r="G58" s="5" t="s">
        <v>1079</v>
      </c>
      <c r="H58" s="6"/>
      <c r="I58" s="6" t="s">
        <v>14</v>
      </c>
      <c r="J58" s="6" t="s">
        <v>6881</v>
      </c>
      <c r="K58" s="6">
        <v>564451</v>
      </c>
      <c r="L58" s="7" t="s">
        <v>7108</v>
      </c>
      <c r="M58" s="8">
        <v>23265</v>
      </c>
      <c r="N58" s="8" t="str">
        <f t="shared" si="5"/>
        <v>PEN</v>
      </c>
      <c r="O58" s="13"/>
      <c r="P58" s="13">
        <v>15</v>
      </c>
      <c r="Q58" s="3">
        <f t="shared" si="6"/>
        <v>0</v>
      </c>
      <c r="R58" s="3">
        <f t="shared" si="7"/>
        <v>15</v>
      </c>
      <c r="S58" s="3">
        <f t="shared" si="3"/>
        <v>265.99</v>
      </c>
      <c r="T58" s="24"/>
      <c r="U58" s="24"/>
      <c r="V58" s="3"/>
      <c r="W58" s="25" t="s">
        <v>6950</v>
      </c>
      <c r="X58" s="25"/>
      <c r="Y58" s="25" t="str">
        <f>IFERROR(VLOOKUP(C_Ope_004[[#This Row],[NOTA 2]],Clientes_Proveedores[[Ruc / Dni]:[Razon Social]],2,0),"")</f>
        <v/>
      </c>
      <c r="Z58" s="25"/>
      <c r="AA58" s="25"/>
      <c r="AB58" s="3" t="str">
        <f>IF(C_Ope_004[[#This Row],[FECHA]]&gt;0,TEXT(C_Ope_004[[#This Row],[FECHA]],"mmmm"),0)</f>
        <v>Febrero</v>
      </c>
    </row>
    <row r="59" spans="2:28" ht="24" x14ac:dyDescent="0.3">
      <c r="B59" s="2">
        <f>IF(C_Ope_004[[#This Row],[TIPO DE R.]]="R",COUNTIFS($D$4:$D58,"R")+1,"")</f>
        <v>55</v>
      </c>
      <c r="C59" s="19" t="str">
        <f t="shared" si="8"/>
        <v>C_Ope_004</v>
      </c>
      <c r="D59" s="3" t="s">
        <v>1074</v>
      </c>
      <c r="E59" s="14">
        <v>45715</v>
      </c>
      <c r="F59" s="5" t="s">
        <v>7102</v>
      </c>
      <c r="G59" s="5" t="s">
        <v>1079</v>
      </c>
      <c r="H59" s="6"/>
      <c r="I59" s="6" t="s">
        <v>14</v>
      </c>
      <c r="J59" s="6" t="s">
        <v>6985</v>
      </c>
      <c r="K59" s="6">
        <v>2931316</v>
      </c>
      <c r="L59" s="7" t="s">
        <v>7109</v>
      </c>
      <c r="M59" s="8">
        <v>23266</v>
      </c>
      <c r="N59" s="8" t="str">
        <f t="shared" si="5"/>
        <v>PEN</v>
      </c>
      <c r="O59" s="13"/>
      <c r="P59" s="13">
        <v>15</v>
      </c>
      <c r="Q59" s="3">
        <f t="shared" si="6"/>
        <v>0</v>
      </c>
      <c r="R59" s="3">
        <f t="shared" si="7"/>
        <v>15</v>
      </c>
      <c r="S59" s="3">
        <f t="shared" si="3"/>
        <v>250.99</v>
      </c>
      <c r="T59" s="24"/>
      <c r="U59" s="24"/>
      <c r="V59" s="3"/>
      <c r="W59" s="25" t="s">
        <v>6950</v>
      </c>
      <c r="X59" s="25"/>
      <c r="Y59" s="25" t="str">
        <f>IFERROR(VLOOKUP(C_Ope_004[[#This Row],[NOTA 2]],Clientes_Proveedores[[Ruc / Dni]:[Razon Social]],2,0),"")</f>
        <v/>
      </c>
      <c r="Z59" s="25"/>
      <c r="AA59" s="25"/>
      <c r="AB59" s="3" t="str">
        <f>IF(C_Ope_004[[#This Row],[FECHA]]&gt;0,TEXT(C_Ope_004[[#This Row],[FECHA]],"mmmm"),0)</f>
        <v>Febrero</v>
      </c>
    </row>
    <row r="60" spans="2:28" ht="24" x14ac:dyDescent="0.3">
      <c r="B60" s="2">
        <f>IF(C_Ope_004[[#This Row],[TIPO DE R.]]="R",COUNTIFS($D$4:$D59,"R")+1,"")</f>
        <v>56</v>
      </c>
      <c r="C60" s="19" t="str">
        <f t="shared" si="8"/>
        <v>C_Ope_004</v>
      </c>
      <c r="D60" s="3" t="s">
        <v>1074</v>
      </c>
      <c r="E60" s="14">
        <v>45716</v>
      </c>
      <c r="F60" s="5" t="s">
        <v>7102</v>
      </c>
      <c r="G60" s="5" t="s">
        <v>1079</v>
      </c>
      <c r="H60" s="6"/>
      <c r="I60" s="6" t="s">
        <v>14</v>
      </c>
      <c r="J60" s="6" t="s">
        <v>6906</v>
      </c>
      <c r="K60" s="6">
        <v>2585546</v>
      </c>
      <c r="L60" s="7" t="s">
        <v>6951</v>
      </c>
      <c r="M60" s="8">
        <v>23263</v>
      </c>
      <c r="N60" s="8" t="str">
        <f t="shared" si="5"/>
        <v>PEN</v>
      </c>
      <c r="O60" s="13"/>
      <c r="P60" s="13">
        <v>15</v>
      </c>
      <c r="Q60" s="3">
        <f t="shared" si="6"/>
        <v>0</v>
      </c>
      <c r="R60" s="3">
        <f t="shared" si="7"/>
        <v>15</v>
      </c>
      <c r="S60" s="3">
        <f t="shared" si="3"/>
        <v>235.99</v>
      </c>
      <c r="T60" s="24"/>
      <c r="U60" s="24"/>
      <c r="V60" s="3"/>
      <c r="W60" s="25" t="s">
        <v>6950</v>
      </c>
      <c r="X60" s="25"/>
      <c r="Y60" s="25" t="str">
        <f>IFERROR(VLOOKUP(C_Ope_004[[#This Row],[NOTA 2]],Clientes_Proveedores[[Ruc / Dni]:[Razon Social]],2,0),"")</f>
        <v/>
      </c>
      <c r="Z60" s="25"/>
      <c r="AA60" s="25"/>
      <c r="AB60" s="3" t="str">
        <f>IF(C_Ope_004[[#This Row],[FECHA]]&gt;0,TEXT(C_Ope_004[[#This Row],[FECHA]],"mmmm"),0)</f>
        <v>Febrero</v>
      </c>
    </row>
    <row r="61" spans="2:28" ht="24" x14ac:dyDescent="0.3">
      <c r="B61" s="2">
        <f>IF(C_Ope_004[[#This Row],[TIPO DE R.]]="R",COUNTIFS($D$4:$D60,"R")+1,"")</f>
        <v>57</v>
      </c>
      <c r="C61" s="19" t="str">
        <f t="shared" si="8"/>
        <v>C_Ope_004</v>
      </c>
      <c r="D61" s="3" t="s">
        <v>1074</v>
      </c>
      <c r="E61" s="14">
        <v>45716</v>
      </c>
      <c r="F61" s="5" t="s">
        <v>7102</v>
      </c>
      <c r="G61" s="5" t="s">
        <v>1079</v>
      </c>
      <c r="H61" s="6"/>
      <c r="I61" s="6" t="s">
        <v>14</v>
      </c>
      <c r="J61" s="6" t="s">
        <v>7118</v>
      </c>
      <c r="K61" s="6">
        <v>1500378</v>
      </c>
      <c r="L61" s="7" t="s">
        <v>6949</v>
      </c>
      <c r="M61" s="8">
        <v>23264</v>
      </c>
      <c r="N61" s="8" t="str">
        <f t="shared" si="5"/>
        <v>PEN</v>
      </c>
      <c r="O61" s="13"/>
      <c r="P61" s="13">
        <v>15</v>
      </c>
      <c r="Q61" s="3">
        <f t="shared" si="6"/>
        <v>0</v>
      </c>
      <c r="R61" s="3">
        <f t="shared" si="7"/>
        <v>15</v>
      </c>
      <c r="S61" s="3">
        <f t="shared" si="3"/>
        <v>220.99</v>
      </c>
      <c r="T61" s="24"/>
      <c r="U61" s="24"/>
      <c r="V61" s="3"/>
      <c r="W61" s="25" t="s">
        <v>6950</v>
      </c>
      <c r="X61" s="25"/>
      <c r="Y61" s="25" t="str">
        <f>IFERROR(VLOOKUP(C_Ope_004[[#This Row],[NOTA 2]],Clientes_Proveedores[[Ruc / Dni]:[Razon Social]],2,0),"")</f>
        <v/>
      </c>
      <c r="Z61" s="25"/>
      <c r="AA61" s="25"/>
      <c r="AB61" s="3" t="str">
        <f>IF(C_Ope_004[[#This Row],[FECHA]]&gt;0,TEXT(C_Ope_004[[#This Row],[FECHA]],"mmmm"),0)</f>
        <v>Febrero</v>
      </c>
    </row>
    <row r="62" spans="2:28" x14ac:dyDescent="0.3">
      <c r="B62" s="2">
        <f>IF(C_Ope_004[[#This Row],[TIPO DE R.]]="R",COUNTIFS($D$4:$D61,"R")+1,"")</f>
        <v>58</v>
      </c>
      <c r="C62" s="19" t="str">
        <f t="shared" si="8"/>
        <v>C_Ope_004</v>
      </c>
      <c r="D62" s="3" t="s">
        <v>1074</v>
      </c>
      <c r="E62" s="14">
        <v>45715</v>
      </c>
      <c r="F62" s="5" t="s">
        <v>7102</v>
      </c>
      <c r="G62" s="5" t="s">
        <v>1079</v>
      </c>
      <c r="H62" s="6"/>
      <c r="I62" s="6" t="s">
        <v>14</v>
      </c>
      <c r="J62" s="6" t="s">
        <v>1121</v>
      </c>
      <c r="K62" s="6"/>
      <c r="L62" s="7" t="s">
        <v>7119</v>
      </c>
      <c r="M62" s="8">
        <v>23262</v>
      </c>
      <c r="N62" s="8" t="str">
        <f t="shared" si="5"/>
        <v>PEN</v>
      </c>
      <c r="O62" s="13"/>
      <c r="P62" s="13">
        <v>15</v>
      </c>
      <c r="Q62" s="3">
        <f t="shared" si="6"/>
        <v>0</v>
      </c>
      <c r="R62" s="3">
        <f t="shared" si="7"/>
        <v>15</v>
      </c>
      <c r="S62" s="3">
        <f t="shared" si="3"/>
        <v>205.99</v>
      </c>
      <c r="T62" s="24"/>
      <c r="U62" s="24"/>
      <c r="V62" s="3"/>
      <c r="W62" s="25" t="s">
        <v>6950</v>
      </c>
      <c r="X62" s="25"/>
      <c r="Y62" s="25" t="str">
        <f>IFERROR(VLOOKUP(C_Ope_004[[#This Row],[NOTA 2]],Clientes_Proveedores[[Ruc / Dni]:[Razon Social]],2,0),"")</f>
        <v/>
      </c>
      <c r="Z62" s="25"/>
      <c r="AA62" s="25"/>
      <c r="AB62" s="3" t="str">
        <f>IF(C_Ope_004[[#This Row],[FECHA]]&gt;0,TEXT(C_Ope_004[[#This Row],[FECHA]],"mmmm"),0)</f>
        <v>Febrero</v>
      </c>
    </row>
    <row r="63" spans="2:28" x14ac:dyDescent="0.3">
      <c r="B63" s="2">
        <f>IF(C_Ope_004[[#This Row],[TIPO DE R.]]="R",COUNTIFS($D$4:$D62,"R")+1,"")</f>
        <v>59</v>
      </c>
      <c r="C63" s="19" t="str">
        <f t="shared" si="8"/>
        <v>C_Ope_004</v>
      </c>
      <c r="D63" s="3" t="s">
        <v>1074</v>
      </c>
      <c r="E63" s="14">
        <v>45712</v>
      </c>
      <c r="F63" s="5" t="s">
        <v>7102</v>
      </c>
      <c r="G63" s="5" t="s">
        <v>1079</v>
      </c>
      <c r="H63" s="6"/>
      <c r="I63" s="6" t="s">
        <v>14</v>
      </c>
      <c r="J63" s="6" t="s">
        <v>2789</v>
      </c>
      <c r="K63" s="6">
        <v>39599</v>
      </c>
      <c r="L63" s="7" t="s">
        <v>7111</v>
      </c>
      <c r="M63" s="8">
        <v>23222</v>
      </c>
      <c r="N63" s="8" t="str">
        <f t="shared" si="5"/>
        <v>PEN</v>
      </c>
      <c r="O63" s="13"/>
      <c r="P63" s="13">
        <v>50</v>
      </c>
      <c r="Q63" s="3">
        <f t="shared" si="6"/>
        <v>0</v>
      </c>
      <c r="R63" s="3">
        <f t="shared" si="7"/>
        <v>50</v>
      </c>
      <c r="S63" s="3">
        <f t="shared" si="3"/>
        <v>155.99</v>
      </c>
      <c r="T63" s="24"/>
      <c r="U63" s="24"/>
      <c r="V63" s="3"/>
      <c r="W63" s="25" t="s">
        <v>6950</v>
      </c>
      <c r="X63" s="25"/>
      <c r="Y63" s="25" t="str">
        <f>IFERROR(VLOOKUP(C_Ope_004[[#This Row],[NOTA 2]],Clientes_Proveedores[[Ruc / Dni]:[Razon Social]],2,0),"")</f>
        <v/>
      </c>
      <c r="Z63" s="25"/>
      <c r="AA63" s="25"/>
      <c r="AB63" s="3" t="str">
        <f>IF(C_Ope_004[[#This Row],[FECHA]]&gt;0,TEXT(C_Ope_004[[#This Row],[FECHA]],"mmmm"),0)</f>
        <v>Febrero</v>
      </c>
    </row>
    <row r="64" spans="2:28" x14ac:dyDescent="0.3">
      <c r="B64" s="2">
        <f>IF(C_Ope_004[[#This Row],[TIPO DE R.]]="R",COUNTIFS($D$4:$D63,"R")+1,"")</f>
        <v>60</v>
      </c>
      <c r="C64" s="19" t="str">
        <f t="shared" si="8"/>
        <v>C_Ope_004</v>
      </c>
      <c r="D64" s="3" t="s">
        <v>1074</v>
      </c>
      <c r="E64" s="14">
        <v>45720</v>
      </c>
      <c r="F64" s="5" t="s">
        <v>6299</v>
      </c>
      <c r="G64" s="5" t="s">
        <v>1087</v>
      </c>
      <c r="H64" s="6"/>
      <c r="I64" s="6"/>
      <c r="J64" s="6"/>
      <c r="K64" s="6"/>
      <c r="L64" s="7" t="s">
        <v>7113</v>
      </c>
      <c r="M64" s="8">
        <v>23305</v>
      </c>
      <c r="N64" s="8" t="str">
        <f t="shared" si="5"/>
        <v>PEN</v>
      </c>
      <c r="O64" s="13"/>
      <c r="P64" s="13">
        <v>50</v>
      </c>
      <c r="Q64" s="3">
        <f t="shared" si="6"/>
        <v>50</v>
      </c>
      <c r="R64" s="3">
        <f t="shared" si="7"/>
        <v>0</v>
      </c>
      <c r="S64" s="3">
        <f t="shared" si="3"/>
        <v>205.99</v>
      </c>
      <c r="T64" s="24"/>
      <c r="U64" s="24"/>
      <c r="V64" s="3"/>
      <c r="W64" s="25"/>
      <c r="X64" s="25"/>
      <c r="Y64" s="25" t="str">
        <f>IFERROR(VLOOKUP(C_Ope_004[[#This Row],[NOTA 2]],Clientes_Proveedores[[Ruc / Dni]:[Razon Social]],2,0),"")</f>
        <v/>
      </c>
      <c r="Z64" s="25"/>
      <c r="AA64" s="25"/>
      <c r="AB64" s="3" t="str">
        <f>IF(C_Ope_004[[#This Row],[FECHA]]&gt;0,TEXT(C_Ope_004[[#This Row],[FECHA]],"mmmm"),0)</f>
        <v>Marzo</v>
      </c>
    </row>
    <row r="65" spans="2:28" ht="24" x14ac:dyDescent="0.3">
      <c r="B65" s="2">
        <f>IF(C_Ope_004[[#This Row],[TIPO DE R.]]="R",COUNTIFS($D$4:$D64,"R")+1,"")</f>
        <v>61</v>
      </c>
      <c r="C65" s="19" t="str">
        <f t="shared" si="8"/>
        <v>C_Ope_004</v>
      </c>
      <c r="D65" s="3" t="s">
        <v>1074</v>
      </c>
      <c r="E65" s="14">
        <v>45721</v>
      </c>
      <c r="F65" s="5" t="s">
        <v>7102</v>
      </c>
      <c r="G65" s="5" t="s">
        <v>1079</v>
      </c>
      <c r="H65" s="6"/>
      <c r="I65" s="6" t="s">
        <v>14</v>
      </c>
      <c r="J65" s="6" t="s">
        <v>5130</v>
      </c>
      <c r="K65" s="6">
        <v>1125954</v>
      </c>
      <c r="L65" s="7" t="s">
        <v>7108</v>
      </c>
      <c r="M65" s="8">
        <v>23301</v>
      </c>
      <c r="N65" s="8" t="str">
        <f t="shared" si="5"/>
        <v>PEN</v>
      </c>
      <c r="O65" s="13"/>
      <c r="P65" s="13">
        <v>15</v>
      </c>
      <c r="Q65" s="3">
        <f t="shared" si="6"/>
        <v>0</v>
      </c>
      <c r="R65" s="3">
        <f t="shared" si="7"/>
        <v>15</v>
      </c>
      <c r="S65" s="3">
        <f t="shared" si="3"/>
        <v>190.99</v>
      </c>
      <c r="T65" s="24"/>
      <c r="U65" s="24"/>
      <c r="V65" s="3"/>
      <c r="W65" s="25" t="s">
        <v>6950</v>
      </c>
      <c r="X65" s="25"/>
      <c r="Y65" s="25" t="str">
        <f>IFERROR(VLOOKUP(C_Ope_004[[#This Row],[NOTA 2]],Clientes_Proveedores[[Ruc / Dni]:[Razon Social]],2,0),"")</f>
        <v/>
      </c>
      <c r="Z65" s="25"/>
      <c r="AA65" s="25"/>
      <c r="AB65" s="3" t="str">
        <f>IF(C_Ope_004[[#This Row],[FECHA]]&gt;0,TEXT(C_Ope_004[[#This Row],[FECHA]],"mmmm"),0)</f>
        <v>Marzo</v>
      </c>
    </row>
    <row r="66" spans="2:28" ht="24" x14ac:dyDescent="0.3">
      <c r="B66" s="2">
        <f>IF(C_Ope_004[[#This Row],[TIPO DE R.]]="R",COUNTIFS($D$4:$D65,"R")+1,"")</f>
        <v>62</v>
      </c>
      <c r="C66" s="19" t="str">
        <f t="shared" si="8"/>
        <v>C_Ope_004</v>
      </c>
      <c r="D66" s="3" t="s">
        <v>1074</v>
      </c>
      <c r="E66" s="14">
        <v>45721</v>
      </c>
      <c r="F66" s="5" t="s">
        <v>7102</v>
      </c>
      <c r="G66" s="5" t="s">
        <v>1079</v>
      </c>
      <c r="H66" s="6"/>
      <c r="I66" s="6" t="s">
        <v>14</v>
      </c>
      <c r="J66" s="6" t="s">
        <v>7103</v>
      </c>
      <c r="K66" s="6">
        <v>3638811</v>
      </c>
      <c r="L66" s="7" t="s">
        <v>7109</v>
      </c>
      <c r="M66" s="8">
        <v>23302</v>
      </c>
      <c r="N66" s="8" t="str">
        <f t="shared" si="5"/>
        <v>PEN</v>
      </c>
      <c r="O66" s="13"/>
      <c r="P66" s="13">
        <v>15</v>
      </c>
      <c r="Q66" s="3">
        <f t="shared" si="6"/>
        <v>0</v>
      </c>
      <c r="R66" s="3">
        <f t="shared" si="7"/>
        <v>15</v>
      </c>
      <c r="S66" s="3">
        <f t="shared" si="3"/>
        <v>175.99</v>
      </c>
      <c r="T66" s="24"/>
      <c r="U66" s="24"/>
      <c r="V66" s="3"/>
      <c r="W66" s="25" t="s">
        <v>6950</v>
      </c>
      <c r="X66" s="25"/>
      <c r="Y66" s="25" t="str">
        <f>IFERROR(VLOOKUP(C_Ope_004[[#This Row],[NOTA 2]],Clientes_Proveedores[[Ruc / Dni]:[Razon Social]],2,0),"")</f>
        <v/>
      </c>
      <c r="Z66" s="25"/>
      <c r="AA66" s="25"/>
      <c r="AB66" s="3" t="str">
        <f>IF(C_Ope_004[[#This Row],[FECHA]]&gt;0,TEXT(C_Ope_004[[#This Row],[FECHA]],"mmmm"),0)</f>
        <v>Marzo</v>
      </c>
    </row>
    <row r="67" spans="2:28" ht="24" x14ac:dyDescent="0.3">
      <c r="B67" s="2">
        <f>IF(C_Ope_004[[#This Row],[TIPO DE R.]]="R",COUNTIFS($D$4:$D66,"R")+1,"")</f>
        <v>63</v>
      </c>
      <c r="C67" s="19" t="str">
        <f t="shared" si="8"/>
        <v>C_Ope_004</v>
      </c>
      <c r="D67" s="3" t="s">
        <v>1074</v>
      </c>
      <c r="E67" s="14">
        <v>45722</v>
      </c>
      <c r="F67" s="5" t="s">
        <v>7102</v>
      </c>
      <c r="G67" s="5" t="s">
        <v>1079</v>
      </c>
      <c r="H67" s="6"/>
      <c r="I67" s="6" t="s">
        <v>14</v>
      </c>
      <c r="J67" s="6" t="s">
        <v>6881</v>
      </c>
      <c r="K67" s="6">
        <v>566418</v>
      </c>
      <c r="L67" s="7" t="s">
        <v>6951</v>
      </c>
      <c r="M67" s="8">
        <v>23312</v>
      </c>
      <c r="N67" s="8" t="str">
        <f t="shared" si="5"/>
        <v>PEN</v>
      </c>
      <c r="O67" s="13"/>
      <c r="P67" s="13">
        <v>15</v>
      </c>
      <c r="Q67" s="3">
        <f t="shared" si="6"/>
        <v>0</v>
      </c>
      <c r="R67" s="3">
        <f t="shared" si="7"/>
        <v>15</v>
      </c>
      <c r="S67" s="3">
        <f t="shared" si="3"/>
        <v>160.99</v>
      </c>
      <c r="T67" s="24"/>
      <c r="U67" s="24"/>
      <c r="V67" s="3"/>
      <c r="W67" s="25" t="s">
        <v>6950</v>
      </c>
      <c r="X67" s="25"/>
      <c r="Y67" s="25" t="str">
        <f>IFERROR(VLOOKUP(C_Ope_004[[#This Row],[NOTA 2]],Clientes_Proveedores[[Ruc / Dni]:[Razon Social]],2,0),"")</f>
        <v/>
      </c>
      <c r="Z67" s="25"/>
      <c r="AA67" s="25"/>
      <c r="AB67" s="3" t="str">
        <f>IF(C_Ope_004[[#This Row],[FECHA]]&gt;0,TEXT(C_Ope_004[[#This Row],[FECHA]],"mmmm"),0)</f>
        <v>Marzo</v>
      </c>
    </row>
    <row r="68" spans="2:28" ht="24" x14ac:dyDescent="0.3">
      <c r="B68" s="2">
        <f>IF(C_Ope_004[[#This Row],[TIPO DE R.]]="R",COUNTIFS($D$4:$D67,"R")+1,"")</f>
        <v>64</v>
      </c>
      <c r="C68" s="19" t="str">
        <f t="shared" si="8"/>
        <v>C_Ope_004</v>
      </c>
      <c r="D68" s="3" t="s">
        <v>1074</v>
      </c>
      <c r="E68" s="14">
        <v>45722</v>
      </c>
      <c r="F68" s="5" t="s">
        <v>7102</v>
      </c>
      <c r="G68" s="5" t="s">
        <v>1079</v>
      </c>
      <c r="H68" s="6"/>
      <c r="I68" s="6" t="s">
        <v>14</v>
      </c>
      <c r="J68" s="6" t="s">
        <v>7105</v>
      </c>
      <c r="K68" s="6">
        <v>3088830</v>
      </c>
      <c r="L68" s="7" t="s">
        <v>6949</v>
      </c>
      <c r="M68" s="8">
        <v>23313</v>
      </c>
      <c r="N68" s="8" t="str">
        <f t="shared" si="5"/>
        <v>PEN</v>
      </c>
      <c r="O68" s="13"/>
      <c r="P68" s="13">
        <v>15</v>
      </c>
      <c r="Q68" s="3">
        <f t="shared" si="6"/>
        <v>0</v>
      </c>
      <c r="R68" s="3">
        <f t="shared" si="7"/>
        <v>15</v>
      </c>
      <c r="S68" s="3">
        <f t="shared" si="3"/>
        <v>145.99</v>
      </c>
      <c r="T68" s="24"/>
      <c r="U68" s="24"/>
      <c r="V68" s="3"/>
      <c r="W68" s="25" t="s">
        <v>6950</v>
      </c>
      <c r="X68" s="25"/>
      <c r="Y68" s="25" t="str">
        <f>IFERROR(VLOOKUP(C_Ope_004[[#This Row],[NOTA 2]],Clientes_Proveedores[[Ruc / Dni]:[Razon Social]],2,0),"")</f>
        <v/>
      </c>
      <c r="Z68" s="25"/>
      <c r="AA68" s="25"/>
      <c r="AB68" s="3" t="str">
        <f>IF(C_Ope_004[[#This Row],[FECHA]]&gt;0,TEXT(C_Ope_004[[#This Row],[FECHA]],"mmmm"),0)</f>
        <v>Marzo</v>
      </c>
    </row>
    <row r="69" spans="2:28" x14ac:dyDescent="0.3">
      <c r="B69" s="2">
        <f>IF(C_Ope_004[[#This Row],[TIPO DE R.]]="R",COUNTIFS($D$4:$D68,"R")+1,"")</f>
        <v>65</v>
      </c>
      <c r="C69" s="19" t="str">
        <f t="shared" si="8"/>
        <v>C_Ope_004</v>
      </c>
      <c r="D69" s="3" t="s">
        <v>1074</v>
      </c>
      <c r="E69" s="14">
        <v>45719</v>
      </c>
      <c r="F69" s="5" t="s">
        <v>7102</v>
      </c>
      <c r="G69" s="5" t="s">
        <v>1079</v>
      </c>
      <c r="H69" s="6"/>
      <c r="I69" s="6" t="s">
        <v>14</v>
      </c>
      <c r="J69" s="6" t="s">
        <v>2789</v>
      </c>
      <c r="K69" s="6">
        <v>39734</v>
      </c>
      <c r="L69" s="7" t="s">
        <v>7120</v>
      </c>
      <c r="M69" s="8">
        <v>23275</v>
      </c>
      <c r="N69" s="8" t="str">
        <f t="shared" ref="N69:N100" si="9">"PEN"</f>
        <v>PEN</v>
      </c>
      <c r="O69" s="13"/>
      <c r="P69" s="13">
        <v>55</v>
      </c>
      <c r="Q69" s="3">
        <f t="shared" ref="Q69:Q100" si="10">+IF(OR($G69="SALDO",$G69="INGRESO"),$P69,0)</f>
        <v>0</v>
      </c>
      <c r="R69" s="3">
        <f t="shared" ref="R69:R100" si="11">+IF($G69="EGRESO",$P69,0)</f>
        <v>55</v>
      </c>
      <c r="S69" s="3">
        <f t="shared" ref="S69:S132" si="12">IFERROR(IF(G69="SALDO",Q69,S68+Q69-R69),0)</f>
        <v>90.990000000000009</v>
      </c>
      <c r="T69" s="24"/>
      <c r="U69" s="24"/>
      <c r="V69" s="3"/>
      <c r="W69" s="25" t="s">
        <v>6950</v>
      </c>
      <c r="X69" s="25"/>
      <c r="Y69" s="25" t="str">
        <f>IFERROR(VLOOKUP(C_Ope_004[[#This Row],[NOTA 2]],Clientes_Proveedores[[Ruc / Dni]:[Razon Social]],2,0),"")</f>
        <v/>
      </c>
      <c r="Z69" s="25"/>
      <c r="AA69" s="25"/>
      <c r="AB69" s="3" t="str">
        <f>IF(C_Ope_004[[#This Row],[FECHA]]&gt;0,TEXT(C_Ope_004[[#This Row],[FECHA]],"mmmm"),0)</f>
        <v>Marzo</v>
      </c>
    </row>
    <row r="70" spans="2:28" x14ac:dyDescent="0.3">
      <c r="B70" s="2">
        <f>IF(C_Ope_004[[#This Row],[TIPO DE R.]]="R",COUNTIFS($D$4:$D69,"R")+1,"")</f>
        <v>66</v>
      </c>
      <c r="C70" s="19" t="str">
        <f t="shared" ref="C70:C101" si="13">"C_Ope_004"</f>
        <v>C_Ope_004</v>
      </c>
      <c r="D70" s="3" t="s">
        <v>1074</v>
      </c>
      <c r="E70" s="14">
        <v>45727</v>
      </c>
      <c r="F70" s="5" t="s">
        <v>6299</v>
      </c>
      <c r="G70" s="5" t="s">
        <v>1087</v>
      </c>
      <c r="H70" s="6"/>
      <c r="I70" s="6"/>
      <c r="J70" s="6"/>
      <c r="K70" s="6"/>
      <c r="L70" s="7" t="s">
        <v>7113</v>
      </c>
      <c r="M70" s="8">
        <v>23403</v>
      </c>
      <c r="N70" s="8" t="str">
        <f t="shared" si="9"/>
        <v>PEN</v>
      </c>
      <c r="O70" s="13"/>
      <c r="P70" s="13">
        <v>110</v>
      </c>
      <c r="Q70" s="3">
        <f t="shared" si="10"/>
        <v>110</v>
      </c>
      <c r="R70" s="3">
        <f t="shared" si="11"/>
        <v>0</v>
      </c>
      <c r="S70" s="3">
        <f t="shared" si="12"/>
        <v>200.99</v>
      </c>
      <c r="T70" s="24"/>
      <c r="U70" s="24"/>
      <c r="V70" s="3"/>
      <c r="W70" s="25"/>
      <c r="X70" s="25"/>
      <c r="Y70" s="25" t="str">
        <f>IFERROR(VLOOKUP(C_Ope_004[[#This Row],[NOTA 2]],Clientes_Proveedores[[Ruc / Dni]:[Razon Social]],2,0),"")</f>
        <v/>
      </c>
      <c r="Z70" s="25"/>
      <c r="AA70" s="25"/>
      <c r="AB70" s="3" t="str">
        <f>IF(C_Ope_004[[#This Row],[FECHA]]&gt;0,TEXT(C_Ope_004[[#This Row],[FECHA]],"mmmm"),0)</f>
        <v>Marzo</v>
      </c>
    </row>
    <row r="71" spans="2:28" ht="24" x14ac:dyDescent="0.3">
      <c r="B71" s="2">
        <f>IF(C_Ope_004[[#This Row],[TIPO DE R.]]="R",COUNTIFS($D$4:$D70,"R")+1,"")</f>
        <v>67</v>
      </c>
      <c r="C71" s="19" t="str">
        <f t="shared" si="13"/>
        <v>C_Ope_004</v>
      </c>
      <c r="D71" s="3" t="s">
        <v>1074</v>
      </c>
      <c r="E71" s="14">
        <v>45728</v>
      </c>
      <c r="F71" s="5" t="s">
        <v>7102</v>
      </c>
      <c r="G71" s="5" t="s">
        <v>1079</v>
      </c>
      <c r="H71" s="6"/>
      <c r="I71" s="6" t="s">
        <v>14</v>
      </c>
      <c r="J71" s="6" t="s">
        <v>7112</v>
      </c>
      <c r="K71" s="6">
        <v>621876</v>
      </c>
      <c r="L71" s="7" t="s">
        <v>7108</v>
      </c>
      <c r="M71" s="8">
        <v>23406</v>
      </c>
      <c r="N71" s="8" t="str">
        <f t="shared" si="9"/>
        <v>PEN</v>
      </c>
      <c r="O71" s="13"/>
      <c r="P71" s="13">
        <v>15</v>
      </c>
      <c r="Q71" s="3">
        <f t="shared" si="10"/>
        <v>0</v>
      </c>
      <c r="R71" s="3">
        <f t="shared" si="11"/>
        <v>15</v>
      </c>
      <c r="S71" s="3">
        <f t="shared" si="12"/>
        <v>185.99</v>
      </c>
      <c r="T71" s="24"/>
      <c r="U71" s="24"/>
      <c r="V71" s="3"/>
      <c r="W71" s="25" t="s">
        <v>6950</v>
      </c>
      <c r="X71" s="25"/>
      <c r="Y71" s="25" t="str">
        <f>IFERROR(VLOOKUP(C_Ope_004[[#This Row],[NOTA 2]],Clientes_Proveedores[[Ruc / Dni]:[Razon Social]],2,0),"")</f>
        <v/>
      </c>
      <c r="Z71" s="25"/>
      <c r="AA71" s="25"/>
      <c r="AB71" s="3" t="str">
        <f>IF(C_Ope_004[[#This Row],[FECHA]]&gt;0,TEXT(C_Ope_004[[#This Row],[FECHA]],"mmmm"),0)</f>
        <v>Marzo</v>
      </c>
    </row>
    <row r="72" spans="2:28" ht="24" x14ac:dyDescent="0.3">
      <c r="B72" s="2">
        <f>IF(C_Ope_004[[#This Row],[TIPO DE R.]]="R",COUNTIFS($D$4:$D71,"R")+1,"")</f>
        <v>68</v>
      </c>
      <c r="C72" s="19" t="str">
        <f t="shared" si="13"/>
        <v>C_Ope_004</v>
      </c>
      <c r="D72" s="3" t="s">
        <v>1074</v>
      </c>
      <c r="E72" s="14">
        <v>45728</v>
      </c>
      <c r="F72" s="5" t="s">
        <v>7102</v>
      </c>
      <c r="G72" s="5" t="s">
        <v>1079</v>
      </c>
      <c r="H72" s="6"/>
      <c r="I72" s="6" t="s">
        <v>14</v>
      </c>
      <c r="J72" s="6" t="s">
        <v>7103</v>
      </c>
      <c r="K72" s="6">
        <v>3645901</v>
      </c>
      <c r="L72" s="7" t="s">
        <v>7109</v>
      </c>
      <c r="M72" s="8">
        <v>23407</v>
      </c>
      <c r="N72" s="8" t="str">
        <f t="shared" si="9"/>
        <v>PEN</v>
      </c>
      <c r="O72" s="13"/>
      <c r="P72" s="13">
        <v>15</v>
      </c>
      <c r="Q72" s="3">
        <f t="shared" si="10"/>
        <v>0</v>
      </c>
      <c r="R72" s="3">
        <f t="shared" si="11"/>
        <v>15</v>
      </c>
      <c r="S72" s="3">
        <f t="shared" si="12"/>
        <v>170.99</v>
      </c>
      <c r="T72" s="24"/>
      <c r="U72" s="24"/>
      <c r="V72" s="3"/>
      <c r="W72" s="25" t="s">
        <v>6950</v>
      </c>
      <c r="X72" s="25"/>
      <c r="Y72" s="25" t="str">
        <f>IFERROR(VLOOKUP(C_Ope_004[[#This Row],[NOTA 2]],Clientes_Proveedores[[Ruc / Dni]:[Razon Social]],2,0),"")</f>
        <v/>
      </c>
      <c r="Z72" s="25"/>
      <c r="AA72" s="25"/>
      <c r="AB72" s="3" t="str">
        <f>IF(C_Ope_004[[#This Row],[FECHA]]&gt;0,TEXT(C_Ope_004[[#This Row],[FECHA]],"mmmm"),0)</f>
        <v>Marzo</v>
      </c>
    </row>
    <row r="73" spans="2:28" ht="24" x14ac:dyDescent="0.3">
      <c r="B73" s="2">
        <f>IF(C_Ope_004[[#This Row],[TIPO DE R.]]="R",COUNTIFS($D$4:$D72,"R")+1,"")</f>
        <v>69</v>
      </c>
      <c r="C73" s="19" t="str">
        <f t="shared" si="13"/>
        <v>C_Ope_004</v>
      </c>
      <c r="D73" s="3" t="s">
        <v>1074</v>
      </c>
      <c r="E73" s="14">
        <v>45729</v>
      </c>
      <c r="F73" s="5" t="s">
        <v>7102</v>
      </c>
      <c r="G73" s="5" t="s">
        <v>1079</v>
      </c>
      <c r="H73" s="6"/>
      <c r="I73" s="6" t="s">
        <v>14</v>
      </c>
      <c r="J73" s="6" t="s">
        <v>6906</v>
      </c>
      <c r="K73" s="6">
        <v>2596695</v>
      </c>
      <c r="L73" s="7" t="s">
        <v>6951</v>
      </c>
      <c r="M73" s="8">
        <v>23430</v>
      </c>
      <c r="N73" s="8" t="str">
        <f t="shared" si="9"/>
        <v>PEN</v>
      </c>
      <c r="O73" s="13"/>
      <c r="P73" s="13">
        <v>15</v>
      </c>
      <c r="Q73" s="3">
        <f t="shared" si="10"/>
        <v>0</v>
      </c>
      <c r="R73" s="3">
        <f t="shared" si="11"/>
        <v>15</v>
      </c>
      <c r="S73" s="3">
        <f t="shared" si="12"/>
        <v>155.99</v>
      </c>
      <c r="T73" s="24"/>
      <c r="U73" s="24"/>
      <c r="V73" s="3"/>
      <c r="W73" s="25" t="s">
        <v>6950</v>
      </c>
      <c r="X73" s="25"/>
      <c r="Y73" s="25" t="str">
        <f>IFERROR(VLOOKUP(C_Ope_004[[#This Row],[NOTA 2]],Clientes_Proveedores[[Ruc / Dni]:[Razon Social]],2,0),"")</f>
        <v/>
      </c>
      <c r="Z73" s="25"/>
      <c r="AA73" s="25"/>
      <c r="AB73" s="3" t="str">
        <f>IF(C_Ope_004[[#This Row],[FECHA]]&gt;0,TEXT(C_Ope_004[[#This Row],[FECHA]],"mmmm"),0)</f>
        <v>Marzo</v>
      </c>
    </row>
    <row r="74" spans="2:28" ht="24" x14ac:dyDescent="0.3">
      <c r="B74" s="2">
        <f>IF(C_Ope_004[[#This Row],[TIPO DE R.]]="R",COUNTIFS($D$4:$D73,"R")+1,"")</f>
        <v>70</v>
      </c>
      <c r="C74" s="19" t="str">
        <f t="shared" si="13"/>
        <v>C_Ope_004</v>
      </c>
      <c r="D74" s="3" t="s">
        <v>1074</v>
      </c>
      <c r="E74" s="14">
        <v>45729</v>
      </c>
      <c r="F74" s="5" t="s">
        <v>7102</v>
      </c>
      <c r="G74" s="5" t="s">
        <v>1079</v>
      </c>
      <c r="H74" s="6"/>
      <c r="I74" s="6" t="s">
        <v>14</v>
      </c>
      <c r="J74" s="6" t="s">
        <v>6927</v>
      </c>
      <c r="K74" s="6">
        <v>569794</v>
      </c>
      <c r="L74" s="7" t="s">
        <v>6949</v>
      </c>
      <c r="M74" s="8">
        <v>23431</v>
      </c>
      <c r="N74" s="8" t="str">
        <f t="shared" si="9"/>
        <v>PEN</v>
      </c>
      <c r="O74" s="13"/>
      <c r="P74" s="13">
        <v>15</v>
      </c>
      <c r="Q74" s="3">
        <f t="shared" si="10"/>
        <v>0</v>
      </c>
      <c r="R74" s="3">
        <f t="shared" si="11"/>
        <v>15</v>
      </c>
      <c r="S74" s="3">
        <f t="shared" si="12"/>
        <v>140.99</v>
      </c>
      <c r="T74" s="24"/>
      <c r="U74" s="24"/>
      <c r="V74" s="3"/>
      <c r="W74" s="25" t="s">
        <v>6950</v>
      </c>
      <c r="X74" s="25"/>
      <c r="Y74" s="25" t="str">
        <f>IFERROR(VLOOKUP(C_Ope_004[[#This Row],[NOTA 2]],Clientes_Proveedores[[Ruc / Dni]:[Razon Social]],2,0),"")</f>
        <v/>
      </c>
      <c r="Z74" s="25"/>
      <c r="AA74" s="25"/>
      <c r="AB74" s="3" t="str">
        <f>IF(C_Ope_004[[#This Row],[FECHA]]&gt;0,TEXT(C_Ope_004[[#This Row],[FECHA]],"mmmm"),0)</f>
        <v>Marzo</v>
      </c>
    </row>
    <row r="75" spans="2:28" ht="24" x14ac:dyDescent="0.3">
      <c r="B75" s="2">
        <f>IF(C_Ope_004[[#This Row],[TIPO DE R.]]="R",COUNTIFS($D$4:$D74,"R")+1,"")</f>
        <v>71</v>
      </c>
      <c r="C75" s="19" t="str">
        <f t="shared" si="13"/>
        <v>C_Ope_004</v>
      </c>
      <c r="D75" s="3" t="s">
        <v>1074</v>
      </c>
      <c r="E75" s="14">
        <v>45730</v>
      </c>
      <c r="F75" s="5" t="s">
        <v>7102</v>
      </c>
      <c r="G75" s="5" t="s">
        <v>1079</v>
      </c>
      <c r="H75" s="6"/>
      <c r="I75" s="6" t="s">
        <v>14</v>
      </c>
      <c r="J75" s="6" t="s">
        <v>6881</v>
      </c>
      <c r="K75" s="6">
        <v>568956</v>
      </c>
      <c r="L75" s="7" t="s">
        <v>7108</v>
      </c>
      <c r="M75" s="8">
        <v>23461</v>
      </c>
      <c r="N75" s="8" t="str">
        <f t="shared" si="9"/>
        <v>PEN</v>
      </c>
      <c r="O75" s="13"/>
      <c r="P75" s="13">
        <v>15</v>
      </c>
      <c r="Q75" s="3">
        <f t="shared" si="10"/>
        <v>0</v>
      </c>
      <c r="R75" s="3">
        <f t="shared" si="11"/>
        <v>15</v>
      </c>
      <c r="S75" s="3">
        <f t="shared" si="12"/>
        <v>125.99000000000001</v>
      </c>
      <c r="T75" s="24"/>
      <c r="U75" s="24"/>
      <c r="V75" s="3"/>
      <c r="W75" s="25" t="s">
        <v>6950</v>
      </c>
      <c r="X75" s="25"/>
      <c r="Y75" s="25" t="str">
        <f>IFERROR(VLOOKUP(C_Ope_004[[#This Row],[NOTA 2]],Clientes_Proveedores[[Ruc / Dni]:[Razon Social]],2,0),"")</f>
        <v/>
      </c>
      <c r="Z75" s="25"/>
      <c r="AA75" s="25"/>
      <c r="AB75" s="3" t="str">
        <f>IF(C_Ope_004[[#This Row],[FECHA]]&gt;0,TEXT(C_Ope_004[[#This Row],[FECHA]],"mmmm"),0)</f>
        <v>Marzo</v>
      </c>
    </row>
    <row r="76" spans="2:28" ht="24" x14ac:dyDescent="0.3">
      <c r="B76" s="2">
        <f>IF(C_Ope_004[[#This Row],[TIPO DE R.]]="R",COUNTIFS($D$4:$D75,"R")+1,"")</f>
        <v>72</v>
      </c>
      <c r="C76" s="19" t="str">
        <f t="shared" si="13"/>
        <v>C_Ope_004</v>
      </c>
      <c r="D76" s="3" t="s">
        <v>1074</v>
      </c>
      <c r="E76" s="14">
        <v>45730</v>
      </c>
      <c r="F76" s="5" t="s">
        <v>7102</v>
      </c>
      <c r="G76" s="5" t="s">
        <v>1079</v>
      </c>
      <c r="H76" s="6"/>
      <c r="I76" s="6" t="s">
        <v>14</v>
      </c>
      <c r="J76" s="6" t="s">
        <v>7041</v>
      </c>
      <c r="K76" s="6">
        <v>2220582</v>
      </c>
      <c r="L76" s="7" t="s">
        <v>7109</v>
      </c>
      <c r="M76" s="8">
        <v>23462</v>
      </c>
      <c r="N76" s="8" t="str">
        <f t="shared" si="9"/>
        <v>PEN</v>
      </c>
      <c r="O76" s="13"/>
      <c r="P76" s="13">
        <v>15</v>
      </c>
      <c r="Q76" s="3">
        <f t="shared" si="10"/>
        <v>0</v>
      </c>
      <c r="R76" s="3">
        <f t="shared" si="11"/>
        <v>15</v>
      </c>
      <c r="S76" s="3">
        <f t="shared" si="12"/>
        <v>110.99000000000001</v>
      </c>
      <c r="T76" s="24"/>
      <c r="U76" s="24"/>
      <c r="V76" s="3"/>
      <c r="W76" s="25" t="s">
        <v>6950</v>
      </c>
      <c r="X76" s="25"/>
      <c r="Y76" s="25" t="str">
        <f>IFERROR(VLOOKUP(C_Ope_004[[#This Row],[NOTA 2]],Clientes_Proveedores[[Ruc / Dni]:[Razon Social]],2,0),"")</f>
        <v/>
      </c>
      <c r="Z76" s="25"/>
      <c r="AA76" s="25"/>
      <c r="AB76" s="3" t="str">
        <f>IF(C_Ope_004[[#This Row],[FECHA]]&gt;0,TEXT(C_Ope_004[[#This Row],[FECHA]],"mmmm"),0)</f>
        <v>Marzo</v>
      </c>
    </row>
    <row r="77" spans="2:28" x14ac:dyDescent="0.3">
      <c r="B77" s="2">
        <f>IF(C_Ope_004[[#This Row],[TIPO DE R.]]="R",COUNTIFS($D$4:$D76,"R")+1,"")</f>
        <v>73</v>
      </c>
      <c r="C77" s="19" t="str">
        <f t="shared" si="13"/>
        <v>C_Ope_004</v>
      </c>
      <c r="D77" s="3" t="s">
        <v>1074</v>
      </c>
      <c r="E77" s="14">
        <v>45727</v>
      </c>
      <c r="F77" s="5" t="s">
        <v>7102</v>
      </c>
      <c r="G77" s="5" t="s">
        <v>1079</v>
      </c>
      <c r="H77" s="6"/>
      <c r="I77" s="6" t="s">
        <v>14</v>
      </c>
      <c r="J77" s="6" t="s">
        <v>2789</v>
      </c>
      <c r="K77" s="6">
        <v>39886</v>
      </c>
      <c r="L77" s="7" t="s">
        <v>7111</v>
      </c>
      <c r="M77" s="8">
        <v>23385</v>
      </c>
      <c r="N77" s="8" t="str">
        <f t="shared" si="9"/>
        <v>PEN</v>
      </c>
      <c r="O77" s="13"/>
      <c r="P77" s="13">
        <v>55</v>
      </c>
      <c r="Q77" s="3">
        <f t="shared" si="10"/>
        <v>0</v>
      </c>
      <c r="R77" s="3">
        <f t="shared" si="11"/>
        <v>55</v>
      </c>
      <c r="S77" s="3">
        <f t="shared" si="12"/>
        <v>55.990000000000009</v>
      </c>
      <c r="T77" s="24"/>
      <c r="U77" s="24"/>
      <c r="V77" s="3"/>
      <c r="W77" s="25" t="s">
        <v>6950</v>
      </c>
      <c r="X77" s="25"/>
      <c r="Y77" s="25" t="str">
        <f>IFERROR(VLOOKUP(C_Ope_004[[#This Row],[NOTA 2]],Clientes_Proveedores[[Ruc / Dni]:[Razon Social]],2,0),"")</f>
        <v/>
      </c>
      <c r="Z77" s="25"/>
      <c r="AA77" s="25"/>
      <c r="AB77" s="3" t="str">
        <f>IF(C_Ope_004[[#This Row],[FECHA]]&gt;0,TEXT(C_Ope_004[[#This Row],[FECHA]],"mmmm"),0)</f>
        <v>Marzo</v>
      </c>
    </row>
    <row r="78" spans="2:28" x14ac:dyDescent="0.3">
      <c r="B78" s="2">
        <f>IF(C_Ope_004[[#This Row],[TIPO DE R.]]="R",COUNTIFS($D$4:$D77,"R")+1,"")</f>
        <v>74</v>
      </c>
      <c r="C78" s="19" t="str">
        <f t="shared" si="13"/>
        <v>C_Ope_004</v>
      </c>
      <c r="D78" s="3" t="s">
        <v>1074</v>
      </c>
      <c r="E78" s="14">
        <v>45734</v>
      </c>
      <c r="F78" s="5" t="s">
        <v>6299</v>
      </c>
      <c r="G78" s="5" t="s">
        <v>1087</v>
      </c>
      <c r="H78" s="6"/>
      <c r="I78" s="6"/>
      <c r="J78" s="6"/>
      <c r="K78" s="6"/>
      <c r="L78" s="7" t="s">
        <v>7113</v>
      </c>
      <c r="M78" s="8">
        <v>23491</v>
      </c>
      <c r="N78" s="8" t="str">
        <f t="shared" si="9"/>
        <v>PEN</v>
      </c>
      <c r="O78" s="13"/>
      <c r="P78" s="13">
        <v>150</v>
      </c>
      <c r="Q78" s="3">
        <f t="shared" si="10"/>
        <v>150</v>
      </c>
      <c r="R78" s="3">
        <f t="shared" si="11"/>
        <v>0</v>
      </c>
      <c r="S78" s="3">
        <f t="shared" si="12"/>
        <v>205.99</v>
      </c>
      <c r="T78" s="24"/>
      <c r="U78" s="24"/>
      <c r="V78" s="3"/>
      <c r="W78" s="25"/>
      <c r="X78" s="25"/>
      <c r="Y78" s="25" t="str">
        <f>IFERROR(VLOOKUP(C_Ope_004[[#This Row],[NOTA 2]],Clientes_Proveedores[[Ruc / Dni]:[Razon Social]],2,0),"")</f>
        <v/>
      </c>
      <c r="Z78" s="25"/>
      <c r="AA78" s="25"/>
      <c r="AB78" s="3" t="str">
        <f>IF(C_Ope_004[[#This Row],[FECHA]]&gt;0,TEXT(C_Ope_004[[#This Row],[FECHA]],"mmmm"),0)</f>
        <v>Marzo</v>
      </c>
    </row>
    <row r="79" spans="2:28" x14ac:dyDescent="0.3">
      <c r="B79" s="2">
        <f>IF(C_Ope_004[[#This Row],[TIPO DE R.]]="R",COUNTIFS($D$4:$D78,"R")+1,"")</f>
        <v>75</v>
      </c>
      <c r="C79" s="19" t="str">
        <f t="shared" si="13"/>
        <v>C_Ope_004</v>
      </c>
      <c r="D79" s="3" t="s">
        <v>1074</v>
      </c>
      <c r="E79" s="14">
        <v>45737</v>
      </c>
      <c r="F79" s="5" t="s">
        <v>6299</v>
      </c>
      <c r="G79" s="5" t="s">
        <v>1087</v>
      </c>
      <c r="H79" s="6"/>
      <c r="I79" s="6"/>
      <c r="J79" s="6"/>
      <c r="K79" s="6"/>
      <c r="L79" s="7" t="s">
        <v>7113</v>
      </c>
      <c r="M79" s="8">
        <v>23614</v>
      </c>
      <c r="N79" s="8" t="str">
        <f t="shared" si="9"/>
        <v>PEN</v>
      </c>
      <c r="O79" s="13"/>
      <c r="P79" s="13">
        <v>200</v>
      </c>
      <c r="Q79" s="3">
        <f t="shared" si="10"/>
        <v>200</v>
      </c>
      <c r="R79" s="3">
        <f t="shared" si="11"/>
        <v>0</v>
      </c>
      <c r="S79" s="3">
        <f t="shared" si="12"/>
        <v>405.99</v>
      </c>
      <c r="T79" s="24"/>
      <c r="U79" s="24"/>
      <c r="V79" s="3"/>
      <c r="W79" s="25"/>
      <c r="X79" s="25"/>
      <c r="Y79" s="25" t="str">
        <f>IFERROR(VLOOKUP(C_Ope_004[[#This Row],[NOTA 2]],Clientes_Proveedores[[Ruc / Dni]:[Razon Social]],2,0),"")</f>
        <v/>
      </c>
      <c r="Z79" s="25"/>
      <c r="AA79" s="25"/>
      <c r="AB79" s="3" t="str">
        <f>IF(C_Ope_004[[#This Row],[FECHA]]&gt;0,TEXT(C_Ope_004[[#This Row],[FECHA]],"mmmm"),0)</f>
        <v>Marzo</v>
      </c>
    </row>
    <row r="80" spans="2:28" ht="24" x14ac:dyDescent="0.3">
      <c r="B80" s="2">
        <f>IF(C_Ope_004[[#This Row],[TIPO DE R.]]="R",COUNTIFS($D$4:$D79,"R")+1,"")</f>
        <v>76</v>
      </c>
      <c r="C80" s="19" t="str">
        <f t="shared" si="13"/>
        <v>C_Ope_004</v>
      </c>
      <c r="D80" s="3" t="s">
        <v>1074</v>
      </c>
      <c r="E80" s="14">
        <v>45733</v>
      </c>
      <c r="F80" s="5" t="s">
        <v>7102</v>
      </c>
      <c r="G80" s="5" t="s">
        <v>1079</v>
      </c>
      <c r="H80" s="6"/>
      <c r="I80" s="6" t="s">
        <v>14</v>
      </c>
      <c r="J80" s="6" t="s">
        <v>6881</v>
      </c>
      <c r="K80" s="6">
        <v>569772</v>
      </c>
      <c r="L80" s="7" t="s">
        <v>6951</v>
      </c>
      <c r="M80" s="8">
        <v>23463</v>
      </c>
      <c r="N80" s="8" t="str">
        <f t="shared" si="9"/>
        <v>PEN</v>
      </c>
      <c r="O80" s="13"/>
      <c r="P80" s="13">
        <v>15</v>
      </c>
      <c r="Q80" s="3">
        <f t="shared" si="10"/>
        <v>0</v>
      </c>
      <c r="R80" s="3">
        <f t="shared" si="11"/>
        <v>15</v>
      </c>
      <c r="S80" s="3">
        <f t="shared" si="12"/>
        <v>390.99</v>
      </c>
      <c r="T80" s="24"/>
      <c r="U80" s="24"/>
      <c r="V80" s="3"/>
      <c r="W80" s="25" t="s">
        <v>6950</v>
      </c>
      <c r="X80" s="25"/>
      <c r="Y80" s="25" t="str">
        <f>IFERROR(VLOOKUP(C_Ope_004[[#This Row],[NOTA 2]],Clientes_Proveedores[[Ruc / Dni]:[Razon Social]],2,0),"")</f>
        <v/>
      </c>
      <c r="Z80" s="25"/>
      <c r="AA80" s="25"/>
      <c r="AB80" s="3" t="str">
        <f>IF(C_Ope_004[[#This Row],[FECHA]]&gt;0,TEXT(C_Ope_004[[#This Row],[FECHA]],"mmmm"),0)</f>
        <v>Marzo</v>
      </c>
    </row>
    <row r="81" spans="2:28" ht="24" x14ac:dyDescent="0.3">
      <c r="B81" s="2">
        <f>IF(C_Ope_004[[#This Row],[TIPO DE R.]]="R",COUNTIFS($D$4:$D80,"R")+1,"")</f>
        <v>77</v>
      </c>
      <c r="C81" s="19" t="str">
        <f t="shared" si="13"/>
        <v>C_Ope_004</v>
      </c>
      <c r="D81" s="3" t="s">
        <v>1074</v>
      </c>
      <c r="E81" s="14">
        <v>45733</v>
      </c>
      <c r="F81" s="5" t="s">
        <v>7102</v>
      </c>
      <c r="G81" s="5" t="s">
        <v>1079</v>
      </c>
      <c r="H81" s="6"/>
      <c r="I81" s="6" t="s">
        <v>14</v>
      </c>
      <c r="J81" s="6" t="s">
        <v>7041</v>
      </c>
      <c r="K81" s="6">
        <v>2222350</v>
      </c>
      <c r="L81" s="7" t="s">
        <v>6949</v>
      </c>
      <c r="M81" s="8">
        <v>23464</v>
      </c>
      <c r="N81" s="8" t="str">
        <f t="shared" si="9"/>
        <v>PEN</v>
      </c>
      <c r="O81" s="13"/>
      <c r="P81" s="13">
        <v>15</v>
      </c>
      <c r="Q81" s="3">
        <f t="shared" si="10"/>
        <v>0</v>
      </c>
      <c r="R81" s="3">
        <f t="shared" si="11"/>
        <v>15</v>
      </c>
      <c r="S81" s="3">
        <f t="shared" si="12"/>
        <v>375.99</v>
      </c>
      <c r="T81" s="24"/>
      <c r="U81" s="24"/>
      <c r="V81" s="3"/>
      <c r="W81" s="25" t="s">
        <v>6950</v>
      </c>
      <c r="X81" s="25"/>
      <c r="Y81" s="25" t="str">
        <f>IFERROR(VLOOKUP(C_Ope_004[[#This Row],[NOTA 2]],Clientes_Proveedores[[Ruc / Dni]:[Razon Social]],2,0),"")</f>
        <v/>
      </c>
      <c r="Z81" s="25"/>
      <c r="AA81" s="25"/>
      <c r="AB81" s="3" t="str">
        <f>IF(C_Ope_004[[#This Row],[FECHA]]&gt;0,TEXT(C_Ope_004[[#This Row],[FECHA]],"mmmm"),0)</f>
        <v>Marzo</v>
      </c>
    </row>
    <row r="82" spans="2:28" ht="24" x14ac:dyDescent="0.3">
      <c r="B82" s="2">
        <f>IF(C_Ope_004[[#This Row],[TIPO DE R.]]="R",COUNTIFS($D$4:$D81,"R")+1,"")</f>
        <v>78</v>
      </c>
      <c r="C82" s="19" t="str">
        <f t="shared" si="13"/>
        <v>C_Ope_004</v>
      </c>
      <c r="D82" s="3" t="s">
        <v>1074</v>
      </c>
      <c r="E82" s="14">
        <v>45734</v>
      </c>
      <c r="F82" s="5" t="s">
        <v>7102</v>
      </c>
      <c r="G82" s="5" t="s">
        <v>1079</v>
      </c>
      <c r="H82" s="6"/>
      <c r="I82" s="6" t="s">
        <v>14</v>
      </c>
      <c r="J82" s="6" t="s">
        <v>6906</v>
      </c>
      <c r="K82" s="6">
        <v>2600482</v>
      </c>
      <c r="L82" s="7" t="s">
        <v>6951</v>
      </c>
      <c r="M82" s="8">
        <v>23488</v>
      </c>
      <c r="N82" s="8" t="str">
        <f t="shared" si="9"/>
        <v>PEN</v>
      </c>
      <c r="O82" s="13"/>
      <c r="P82" s="13">
        <v>15</v>
      </c>
      <c r="Q82" s="3">
        <f t="shared" si="10"/>
        <v>0</v>
      </c>
      <c r="R82" s="3">
        <f t="shared" si="11"/>
        <v>15</v>
      </c>
      <c r="S82" s="3">
        <f t="shared" si="12"/>
        <v>360.99</v>
      </c>
      <c r="T82" s="24"/>
      <c r="U82" s="24"/>
      <c r="V82" s="3"/>
      <c r="W82" s="25" t="s">
        <v>6950</v>
      </c>
      <c r="X82" s="25"/>
      <c r="Y82" s="25" t="str">
        <f>IFERROR(VLOOKUP(C_Ope_004[[#This Row],[NOTA 2]],Clientes_Proveedores[[Ruc / Dni]:[Razon Social]],2,0),"")</f>
        <v/>
      </c>
      <c r="Z82" s="25"/>
      <c r="AA82" s="25"/>
      <c r="AB82" s="3" t="str">
        <f>IF(C_Ope_004[[#This Row],[FECHA]]&gt;0,TEXT(C_Ope_004[[#This Row],[FECHA]],"mmmm"),0)</f>
        <v>Marzo</v>
      </c>
    </row>
    <row r="83" spans="2:28" ht="24" x14ac:dyDescent="0.3">
      <c r="B83" s="2">
        <f>IF(C_Ope_004[[#This Row],[TIPO DE R.]]="R",COUNTIFS($D$4:$D82,"R")+1,"")</f>
        <v>79</v>
      </c>
      <c r="C83" s="19" t="str">
        <f t="shared" si="13"/>
        <v>C_Ope_004</v>
      </c>
      <c r="D83" s="3" t="s">
        <v>1074</v>
      </c>
      <c r="E83" s="14">
        <v>45734</v>
      </c>
      <c r="F83" s="5" t="s">
        <v>7102</v>
      </c>
      <c r="G83" s="5" t="s">
        <v>1079</v>
      </c>
      <c r="H83" s="6"/>
      <c r="I83" s="6" t="s">
        <v>14</v>
      </c>
      <c r="J83" s="6" t="s">
        <v>7118</v>
      </c>
      <c r="K83" s="6">
        <v>1509421</v>
      </c>
      <c r="L83" s="7" t="s">
        <v>6949</v>
      </c>
      <c r="M83" s="8">
        <v>23489</v>
      </c>
      <c r="N83" s="8" t="str">
        <f t="shared" si="9"/>
        <v>PEN</v>
      </c>
      <c r="O83" s="13"/>
      <c r="P83" s="13">
        <v>15</v>
      </c>
      <c r="Q83" s="3">
        <f t="shared" si="10"/>
        <v>0</v>
      </c>
      <c r="R83" s="3">
        <f t="shared" si="11"/>
        <v>15</v>
      </c>
      <c r="S83" s="3">
        <f t="shared" si="12"/>
        <v>345.99</v>
      </c>
      <c r="T83" s="24"/>
      <c r="U83" s="24"/>
      <c r="V83" s="3"/>
      <c r="W83" s="25" t="s">
        <v>6950</v>
      </c>
      <c r="X83" s="25"/>
      <c r="Y83" s="25" t="str">
        <f>IFERROR(VLOOKUP(C_Ope_004[[#This Row],[NOTA 2]],Clientes_Proveedores[[Ruc / Dni]:[Razon Social]],2,0),"")</f>
        <v/>
      </c>
      <c r="Z83" s="25"/>
      <c r="AA83" s="25"/>
      <c r="AB83" s="3" t="str">
        <f>IF(C_Ope_004[[#This Row],[FECHA]]&gt;0,TEXT(C_Ope_004[[#This Row],[FECHA]],"mmmm"),0)</f>
        <v>Marzo</v>
      </c>
    </row>
    <row r="84" spans="2:28" ht="24" x14ac:dyDescent="0.3">
      <c r="B84" s="2">
        <f>IF(C_Ope_004[[#This Row],[TIPO DE R.]]="R",COUNTIFS($D$4:$D83,"R")+1,"")</f>
        <v>80</v>
      </c>
      <c r="C84" s="19" t="str">
        <f t="shared" si="13"/>
        <v>C_Ope_004</v>
      </c>
      <c r="D84" s="3" t="s">
        <v>1074</v>
      </c>
      <c r="E84" s="14">
        <v>45735</v>
      </c>
      <c r="F84" s="5" t="s">
        <v>7102</v>
      </c>
      <c r="G84" s="5" t="s">
        <v>1079</v>
      </c>
      <c r="H84" s="6"/>
      <c r="I84" s="6" t="s">
        <v>14</v>
      </c>
      <c r="J84" s="6" t="s">
        <v>6881</v>
      </c>
      <c r="K84" s="6">
        <v>570642</v>
      </c>
      <c r="L84" s="7" t="s">
        <v>6951</v>
      </c>
      <c r="M84" s="8">
        <v>23523</v>
      </c>
      <c r="N84" s="8" t="str">
        <f t="shared" si="9"/>
        <v>PEN</v>
      </c>
      <c r="O84" s="13"/>
      <c r="P84" s="13">
        <v>15</v>
      </c>
      <c r="Q84" s="3">
        <f t="shared" si="10"/>
        <v>0</v>
      </c>
      <c r="R84" s="3">
        <f t="shared" si="11"/>
        <v>15</v>
      </c>
      <c r="S84" s="3">
        <f t="shared" si="12"/>
        <v>330.99</v>
      </c>
      <c r="T84" s="24"/>
      <c r="U84" s="24"/>
      <c r="V84" s="3"/>
      <c r="W84" s="25" t="s">
        <v>6950</v>
      </c>
      <c r="X84" s="25"/>
      <c r="Y84" s="25" t="str">
        <f>IFERROR(VLOOKUP(C_Ope_004[[#This Row],[NOTA 2]],Clientes_Proveedores[[Ruc / Dni]:[Razon Social]],2,0),"")</f>
        <v/>
      </c>
      <c r="Z84" s="25"/>
      <c r="AA84" s="25"/>
      <c r="AB84" s="3" t="str">
        <f>IF(C_Ope_004[[#This Row],[FECHA]]&gt;0,TEXT(C_Ope_004[[#This Row],[FECHA]],"mmmm"),0)</f>
        <v>Marzo</v>
      </c>
    </row>
    <row r="85" spans="2:28" ht="24" x14ac:dyDescent="0.3">
      <c r="B85" s="2">
        <f>IF(C_Ope_004[[#This Row],[TIPO DE R.]]="R",COUNTIFS($D$4:$D84,"R")+1,"")</f>
        <v>81</v>
      </c>
      <c r="C85" s="19" t="str">
        <f t="shared" si="13"/>
        <v>C_Ope_004</v>
      </c>
      <c r="D85" s="3" t="s">
        <v>1074</v>
      </c>
      <c r="E85" s="14">
        <v>45735</v>
      </c>
      <c r="F85" s="5" t="s">
        <v>7102</v>
      </c>
      <c r="G85" s="5" t="s">
        <v>1079</v>
      </c>
      <c r="H85" s="6"/>
      <c r="I85" s="6" t="s">
        <v>14</v>
      </c>
      <c r="J85" s="6" t="s">
        <v>7103</v>
      </c>
      <c r="K85" s="6">
        <v>3652956</v>
      </c>
      <c r="L85" s="7" t="s">
        <v>6949</v>
      </c>
      <c r="M85" s="8">
        <v>23524</v>
      </c>
      <c r="N85" s="8" t="str">
        <f t="shared" si="9"/>
        <v>PEN</v>
      </c>
      <c r="O85" s="13"/>
      <c r="P85" s="13">
        <v>15</v>
      </c>
      <c r="Q85" s="3">
        <f t="shared" si="10"/>
        <v>0</v>
      </c>
      <c r="R85" s="3">
        <f t="shared" si="11"/>
        <v>15</v>
      </c>
      <c r="S85" s="3">
        <f t="shared" si="12"/>
        <v>315.99</v>
      </c>
      <c r="T85" s="24"/>
      <c r="U85" s="24"/>
      <c r="V85" s="3"/>
      <c r="W85" s="25" t="s">
        <v>6950</v>
      </c>
      <c r="X85" s="25"/>
      <c r="Y85" s="25" t="str">
        <f>IFERROR(VLOOKUP(C_Ope_004[[#This Row],[NOTA 2]],Clientes_Proveedores[[Ruc / Dni]:[Razon Social]],2,0),"")</f>
        <v/>
      </c>
      <c r="Z85" s="25"/>
      <c r="AA85" s="25"/>
      <c r="AB85" s="3" t="str">
        <f>IF(C_Ope_004[[#This Row],[FECHA]]&gt;0,TEXT(C_Ope_004[[#This Row],[FECHA]],"mmmm"),0)</f>
        <v>Marzo</v>
      </c>
    </row>
    <row r="86" spans="2:28" ht="24" x14ac:dyDescent="0.3">
      <c r="B86" s="2">
        <f>IF(C_Ope_004[[#This Row],[TIPO DE R.]]="R",COUNTIFS($D$4:$D85,"R")+1,"")</f>
        <v>82</v>
      </c>
      <c r="C86" s="19" t="str">
        <f t="shared" si="13"/>
        <v>C_Ope_004</v>
      </c>
      <c r="D86" s="3" t="s">
        <v>1074</v>
      </c>
      <c r="E86" s="14">
        <v>45736</v>
      </c>
      <c r="F86" s="5" t="s">
        <v>7102</v>
      </c>
      <c r="G86" s="5" t="s">
        <v>1079</v>
      </c>
      <c r="H86" s="6"/>
      <c r="I86" s="6" t="s">
        <v>14</v>
      </c>
      <c r="J86" s="6" t="s">
        <v>7121</v>
      </c>
      <c r="K86" s="6">
        <v>2309467</v>
      </c>
      <c r="L86" s="7" t="s">
        <v>6951</v>
      </c>
      <c r="M86" s="8">
        <v>23538</v>
      </c>
      <c r="N86" s="8" t="str">
        <f t="shared" si="9"/>
        <v>PEN</v>
      </c>
      <c r="O86" s="13"/>
      <c r="P86" s="13">
        <v>15</v>
      </c>
      <c r="Q86" s="3">
        <f t="shared" si="10"/>
        <v>0</v>
      </c>
      <c r="R86" s="3">
        <f t="shared" si="11"/>
        <v>15</v>
      </c>
      <c r="S86" s="3">
        <f t="shared" si="12"/>
        <v>300.99</v>
      </c>
      <c r="T86" s="24"/>
      <c r="U86" s="24"/>
      <c r="V86" s="3"/>
      <c r="W86" s="25" t="s">
        <v>6950</v>
      </c>
      <c r="X86" s="25"/>
      <c r="Y86" s="25" t="str">
        <f>IFERROR(VLOOKUP(C_Ope_004[[#This Row],[NOTA 2]],Clientes_Proveedores[[Ruc / Dni]:[Razon Social]],2,0),"")</f>
        <v/>
      </c>
      <c r="Z86" s="25"/>
      <c r="AA86" s="25"/>
      <c r="AB86" s="3" t="str">
        <f>IF(C_Ope_004[[#This Row],[FECHA]]&gt;0,TEXT(C_Ope_004[[#This Row],[FECHA]],"mmmm"),0)</f>
        <v>Marzo</v>
      </c>
    </row>
    <row r="87" spans="2:28" ht="24" x14ac:dyDescent="0.3">
      <c r="B87" s="2">
        <f>IF(C_Ope_004[[#This Row],[TIPO DE R.]]="R",COUNTIFS($D$4:$D86,"R")+1,"")</f>
        <v>83</v>
      </c>
      <c r="C87" s="19" t="str">
        <f t="shared" si="13"/>
        <v>C_Ope_004</v>
      </c>
      <c r="D87" s="3" t="s">
        <v>1074</v>
      </c>
      <c r="E87" s="14">
        <v>45736</v>
      </c>
      <c r="F87" s="5" t="s">
        <v>7102</v>
      </c>
      <c r="G87" s="5" t="s">
        <v>1079</v>
      </c>
      <c r="H87" s="6"/>
      <c r="I87" s="6" t="s">
        <v>14</v>
      </c>
      <c r="J87" s="6" t="s">
        <v>7041</v>
      </c>
      <c r="K87" s="6">
        <v>2225066</v>
      </c>
      <c r="L87" s="7" t="s">
        <v>6949</v>
      </c>
      <c r="M87" s="8">
        <v>23539</v>
      </c>
      <c r="N87" s="8" t="str">
        <f t="shared" si="9"/>
        <v>PEN</v>
      </c>
      <c r="O87" s="13"/>
      <c r="P87" s="13">
        <v>15</v>
      </c>
      <c r="Q87" s="3">
        <f t="shared" si="10"/>
        <v>0</v>
      </c>
      <c r="R87" s="3">
        <f t="shared" si="11"/>
        <v>15</v>
      </c>
      <c r="S87" s="3">
        <f t="shared" si="12"/>
        <v>285.99</v>
      </c>
      <c r="T87" s="24"/>
      <c r="U87" s="24"/>
      <c r="V87" s="3"/>
      <c r="W87" s="25" t="s">
        <v>6950</v>
      </c>
      <c r="X87" s="25"/>
      <c r="Y87" s="25" t="str">
        <f>IFERROR(VLOOKUP(C_Ope_004[[#This Row],[NOTA 2]],Clientes_Proveedores[[Ruc / Dni]:[Razon Social]],2,0),"")</f>
        <v/>
      </c>
      <c r="Z87" s="25"/>
      <c r="AA87" s="25"/>
      <c r="AB87" s="3" t="str">
        <f>IF(C_Ope_004[[#This Row],[FECHA]]&gt;0,TEXT(C_Ope_004[[#This Row],[FECHA]],"mmmm"),0)</f>
        <v>Marzo</v>
      </c>
    </row>
    <row r="88" spans="2:28" ht="24" x14ac:dyDescent="0.3">
      <c r="B88" s="2">
        <f>IF(C_Ope_004[[#This Row],[TIPO DE R.]]="R",COUNTIFS($D$4:$D87,"R")+1,"")</f>
        <v>84</v>
      </c>
      <c r="C88" s="19" t="str">
        <f t="shared" si="13"/>
        <v>C_Ope_004</v>
      </c>
      <c r="D88" s="3" t="s">
        <v>1074</v>
      </c>
      <c r="E88" s="14">
        <v>45734</v>
      </c>
      <c r="F88" s="5" t="s">
        <v>7102</v>
      </c>
      <c r="G88" s="5" t="s">
        <v>1079</v>
      </c>
      <c r="H88" s="6"/>
      <c r="I88" s="6" t="s">
        <v>14</v>
      </c>
      <c r="J88" s="6" t="s">
        <v>3759</v>
      </c>
      <c r="K88" s="6">
        <v>11487</v>
      </c>
      <c r="L88" s="7" t="s">
        <v>7122</v>
      </c>
      <c r="M88" s="8">
        <v>23487</v>
      </c>
      <c r="N88" s="8" t="str">
        <f t="shared" si="9"/>
        <v>PEN</v>
      </c>
      <c r="O88" s="13"/>
      <c r="P88" s="13">
        <v>15</v>
      </c>
      <c r="Q88" s="3">
        <f t="shared" si="10"/>
        <v>0</v>
      </c>
      <c r="R88" s="3">
        <f t="shared" si="11"/>
        <v>15</v>
      </c>
      <c r="S88" s="3">
        <f t="shared" si="12"/>
        <v>270.99</v>
      </c>
      <c r="T88" s="24"/>
      <c r="U88" s="24"/>
      <c r="V88" s="3"/>
      <c r="W88" s="25" t="s">
        <v>6950</v>
      </c>
      <c r="X88" s="25"/>
      <c r="Y88" s="25" t="str">
        <f>IFERROR(VLOOKUP(C_Ope_004[[#This Row],[NOTA 2]],Clientes_Proveedores[[Ruc / Dni]:[Razon Social]],2,0),"")</f>
        <v/>
      </c>
      <c r="Z88" s="25"/>
      <c r="AA88" s="25"/>
      <c r="AB88" s="3" t="str">
        <f>IF(C_Ope_004[[#This Row],[FECHA]]&gt;0,TEXT(C_Ope_004[[#This Row],[FECHA]],"mmmm"),0)</f>
        <v>Marzo</v>
      </c>
    </row>
    <row r="89" spans="2:28" x14ac:dyDescent="0.3">
      <c r="B89" s="2">
        <f>IF(C_Ope_004[[#This Row],[TIPO DE R.]]="R",COUNTIFS($D$4:$D88,"R")+1,"")</f>
        <v>85</v>
      </c>
      <c r="C89" s="19" t="str">
        <f t="shared" si="13"/>
        <v>C_Ope_004</v>
      </c>
      <c r="D89" s="3" t="s">
        <v>1074</v>
      </c>
      <c r="E89" s="14">
        <v>45734</v>
      </c>
      <c r="F89" s="5" t="s">
        <v>7102</v>
      </c>
      <c r="G89" s="5" t="s">
        <v>1079</v>
      </c>
      <c r="H89" s="6"/>
      <c r="I89" s="6" t="s">
        <v>14</v>
      </c>
      <c r="J89" s="6" t="s">
        <v>2789</v>
      </c>
      <c r="K89" s="6">
        <v>40022</v>
      </c>
      <c r="L89" s="7" t="s">
        <v>7123</v>
      </c>
      <c r="M89" s="8">
        <v>23490</v>
      </c>
      <c r="N89" s="8" t="str">
        <f t="shared" si="9"/>
        <v>PEN</v>
      </c>
      <c r="O89" s="13"/>
      <c r="P89" s="13">
        <v>55</v>
      </c>
      <c r="Q89" s="3">
        <f t="shared" si="10"/>
        <v>0</v>
      </c>
      <c r="R89" s="3">
        <f t="shared" si="11"/>
        <v>55</v>
      </c>
      <c r="S89" s="3">
        <f t="shared" si="12"/>
        <v>215.99</v>
      </c>
      <c r="T89" s="24"/>
      <c r="U89" s="24"/>
      <c r="V89" s="3"/>
      <c r="W89" s="25" t="s">
        <v>6950</v>
      </c>
      <c r="X89" s="25"/>
      <c r="Y89" s="25" t="str">
        <f>IFERROR(VLOOKUP(C_Ope_004[[#This Row],[NOTA 2]],Clientes_Proveedores[[Ruc / Dni]:[Razon Social]],2,0),"")</f>
        <v/>
      </c>
      <c r="Z89" s="25"/>
      <c r="AA89" s="25"/>
      <c r="AB89" s="3" t="str">
        <f>IF(C_Ope_004[[#This Row],[FECHA]]&gt;0,TEXT(C_Ope_004[[#This Row],[FECHA]],"mmmm"),0)</f>
        <v>Marzo</v>
      </c>
    </row>
    <row r="90" spans="2:28" x14ac:dyDescent="0.3">
      <c r="B90" s="2">
        <f>IF(C_Ope_004[[#This Row],[TIPO DE R.]]="R",COUNTIFS($D$4:$D89,"R")+1,"")</f>
        <v>86</v>
      </c>
      <c r="C90" s="19" t="str">
        <f t="shared" si="13"/>
        <v>C_Ope_004</v>
      </c>
      <c r="D90" s="3" t="s">
        <v>1074</v>
      </c>
      <c r="E90" s="14">
        <v>45737</v>
      </c>
      <c r="F90" s="5" t="s">
        <v>7102</v>
      </c>
      <c r="G90" s="5" t="s">
        <v>1079</v>
      </c>
      <c r="H90" s="6"/>
      <c r="I90" s="6" t="s">
        <v>14</v>
      </c>
      <c r="J90" s="6" t="s">
        <v>2789</v>
      </c>
      <c r="K90" s="6">
        <v>40084</v>
      </c>
      <c r="L90" s="7" t="s">
        <v>7123</v>
      </c>
      <c r="M90" s="8">
        <v>23547</v>
      </c>
      <c r="N90" s="8" t="str">
        <f t="shared" si="9"/>
        <v>PEN</v>
      </c>
      <c r="O90" s="13"/>
      <c r="P90" s="13">
        <v>55</v>
      </c>
      <c r="Q90" s="3">
        <f t="shared" si="10"/>
        <v>0</v>
      </c>
      <c r="R90" s="3">
        <f t="shared" si="11"/>
        <v>55</v>
      </c>
      <c r="S90" s="3">
        <f t="shared" si="12"/>
        <v>160.99</v>
      </c>
      <c r="T90" s="24"/>
      <c r="U90" s="24"/>
      <c r="V90" s="3"/>
      <c r="W90" s="25" t="s">
        <v>6950</v>
      </c>
      <c r="X90" s="25"/>
      <c r="Y90" s="25" t="str">
        <f>IFERROR(VLOOKUP(C_Ope_004[[#This Row],[NOTA 2]],Clientes_Proveedores[[Ruc / Dni]:[Razon Social]],2,0),"")</f>
        <v/>
      </c>
      <c r="Z90" s="25"/>
      <c r="AA90" s="25"/>
      <c r="AB90" s="3" t="str">
        <f>IF(C_Ope_004[[#This Row],[FECHA]]&gt;0,TEXT(C_Ope_004[[#This Row],[FECHA]],"mmmm"),0)</f>
        <v>Marzo</v>
      </c>
    </row>
    <row r="91" spans="2:28" x14ac:dyDescent="0.3">
      <c r="B91" s="2">
        <f>IF(C_Ope_004[[#This Row],[TIPO DE R.]]="R",COUNTIFS($D$4:$D90,"R")+1,"")</f>
        <v>87</v>
      </c>
      <c r="C91" s="19" t="str">
        <f t="shared" si="13"/>
        <v>C_Ope_004</v>
      </c>
      <c r="D91" s="3" t="s">
        <v>1074</v>
      </c>
      <c r="E91" s="14">
        <v>45740</v>
      </c>
      <c r="F91" s="5" t="s">
        <v>6299</v>
      </c>
      <c r="G91" s="5" t="s">
        <v>1087</v>
      </c>
      <c r="H91" s="6"/>
      <c r="I91" s="6"/>
      <c r="J91" s="6"/>
      <c r="K91" s="6"/>
      <c r="L91" s="7" t="s">
        <v>6420</v>
      </c>
      <c r="M91" s="8">
        <v>23615</v>
      </c>
      <c r="N91" s="8" t="str">
        <f t="shared" si="9"/>
        <v>PEN</v>
      </c>
      <c r="O91" s="13"/>
      <c r="P91" s="13">
        <v>900</v>
      </c>
      <c r="Q91" s="3">
        <f t="shared" si="10"/>
        <v>900</v>
      </c>
      <c r="R91" s="3">
        <f t="shared" si="11"/>
        <v>0</v>
      </c>
      <c r="S91" s="3">
        <f t="shared" si="12"/>
        <v>1060.99</v>
      </c>
      <c r="T91" s="24"/>
      <c r="U91" s="24"/>
      <c r="V91" s="3"/>
      <c r="W91" s="25"/>
      <c r="X91" s="25"/>
      <c r="Y91" s="25" t="str">
        <f>IFERROR(VLOOKUP(C_Ope_004[[#This Row],[NOTA 2]],Clientes_Proveedores[[Ruc / Dni]:[Razon Social]],2,0),"")</f>
        <v/>
      </c>
      <c r="Z91" s="25"/>
      <c r="AA91" s="25"/>
      <c r="AB91" s="3" t="str">
        <f>IF(C_Ope_004[[#This Row],[FECHA]]&gt;0,TEXT(C_Ope_004[[#This Row],[FECHA]],"mmmm"),0)</f>
        <v>Marzo</v>
      </c>
    </row>
    <row r="92" spans="2:28" x14ac:dyDescent="0.3">
      <c r="B92" s="2">
        <f>IF(C_Ope_004[[#This Row],[TIPO DE R.]]="R",COUNTIFS($D$4:$D91,"R")+1,"")</f>
        <v>88</v>
      </c>
      <c r="C92" s="19" t="str">
        <f t="shared" si="13"/>
        <v>C_Ope_004</v>
      </c>
      <c r="D92" s="3" t="s">
        <v>1074</v>
      </c>
      <c r="E92" s="14">
        <v>45747</v>
      </c>
      <c r="F92" s="5" t="s">
        <v>6299</v>
      </c>
      <c r="G92" s="5" t="s">
        <v>1087</v>
      </c>
      <c r="H92" s="6"/>
      <c r="I92" s="6"/>
      <c r="J92" s="6"/>
      <c r="K92" s="6"/>
      <c r="L92" s="7" t="s">
        <v>7113</v>
      </c>
      <c r="M92" s="8">
        <v>23686</v>
      </c>
      <c r="N92" s="8" t="str">
        <f t="shared" si="9"/>
        <v>PEN</v>
      </c>
      <c r="O92" s="13"/>
      <c r="P92" s="13">
        <v>140</v>
      </c>
      <c r="Q92" s="3">
        <f t="shared" si="10"/>
        <v>140</v>
      </c>
      <c r="R92" s="3">
        <f t="shared" si="11"/>
        <v>0</v>
      </c>
      <c r="S92" s="3">
        <f t="shared" si="12"/>
        <v>1200.99</v>
      </c>
      <c r="T92" s="24"/>
      <c r="U92" s="24"/>
      <c r="V92" s="3"/>
      <c r="W92" s="25"/>
      <c r="X92" s="25"/>
      <c r="Y92" s="25" t="str">
        <f>IFERROR(VLOOKUP(C_Ope_004[[#This Row],[NOTA 2]],Clientes_Proveedores[[Ruc / Dni]:[Razon Social]],2,0),"")</f>
        <v/>
      </c>
      <c r="Z92" s="25"/>
      <c r="AA92" s="25"/>
      <c r="AB92" s="3" t="str">
        <f>IF(C_Ope_004[[#This Row],[FECHA]]&gt;0,TEXT(C_Ope_004[[#This Row],[FECHA]],"mmmm"),0)</f>
        <v>Marzo</v>
      </c>
    </row>
    <row r="93" spans="2:28" x14ac:dyDescent="0.3">
      <c r="B93" s="2">
        <f>IF(C_Ope_004[[#This Row],[TIPO DE R.]]="R",COUNTIFS($D$4:$D92,"R")+1,"")</f>
        <v>89</v>
      </c>
      <c r="C93" s="19" t="str">
        <f t="shared" si="13"/>
        <v>C_Ope_004</v>
      </c>
      <c r="D93" s="3" t="s">
        <v>1074</v>
      </c>
      <c r="E93" s="14">
        <v>45742</v>
      </c>
      <c r="F93" s="5" t="s">
        <v>7102</v>
      </c>
      <c r="G93" s="5" t="s">
        <v>1079</v>
      </c>
      <c r="H93" s="6"/>
      <c r="I93" s="6" t="s">
        <v>14</v>
      </c>
      <c r="J93" s="6" t="s">
        <v>1578</v>
      </c>
      <c r="K93" s="6">
        <v>60324</v>
      </c>
      <c r="L93" s="7" t="s">
        <v>7124</v>
      </c>
      <c r="M93" s="8">
        <v>23682</v>
      </c>
      <c r="N93" s="8" t="str">
        <f t="shared" si="9"/>
        <v>PEN</v>
      </c>
      <c r="O93" s="13"/>
      <c r="P93" s="13">
        <v>300</v>
      </c>
      <c r="Q93" s="3">
        <f t="shared" si="10"/>
        <v>0</v>
      </c>
      <c r="R93" s="3">
        <f t="shared" si="11"/>
        <v>300</v>
      </c>
      <c r="S93" s="3">
        <f t="shared" si="12"/>
        <v>900.99</v>
      </c>
      <c r="T93" s="24"/>
      <c r="U93" s="24"/>
      <c r="V93" s="3"/>
      <c r="W93" s="25" t="s">
        <v>6950</v>
      </c>
      <c r="X93" s="25"/>
      <c r="Y93" s="25" t="str">
        <f>IFERROR(VLOOKUP(C_Ope_004[[#This Row],[NOTA 2]],Clientes_Proveedores[[Ruc / Dni]:[Razon Social]],2,0),"")</f>
        <v/>
      </c>
      <c r="Z93" s="25"/>
      <c r="AA93" s="25"/>
      <c r="AB93" s="3" t="str">
        <f>IF(C_Ope_004[[#This Row],[FECHA]]&gt;0,TEXT(C_Ope_004[[#This Row],[FECHA]],"mmmm"),0)</f>
        <v>Marzo</v>
      </c>
    </row>
    <row r="94" spans="2:28" ht="24" x14ac:dyDescent="0.3">
      <c r="B94" s="2">
        <f>IF(C_Ope_004[[#This Row],[TIPO DE R.]]="R",COUNTIFS($D$4:$D93,"R")+1,"")</f>
        <v>90</v>
      </c>
      <c r="C94" s="19" t="str">
        <f t="shared" si="13"/>
        <v>C_Ope_004</v>
      </c>
      <c r="D94" s="3" t="s">
        <v>1074</v>
      </c>
      <c r="E94" s="14">
        <v>45740</v>
      </c>
      <c r="F94" s="5" t="s">
        <v>7102</v>
      </c>
      <c r="G94" s="5" t="s">
        <v>1079</v>
      </c>
      <c r="H94" s="6"/>
      <c r="I94" s="6" t="s">
        <v>14</v>
      </c>
      <c r="J94" s="6" t="s">
        <v>5130</v>
      </c>
      <c r="K94" s="6">
        <v>1134646</v>
      </c>
      <c r="L94" s="7" t="s">
        <v>7108</v>
      </c>
      <c r="M94" s="8">
        <v>23616</v>
      </c>
      <c r="N94" s="8" t="str">
        <f t="shared" si="9"/>
        <v>PEN</v>
      </c>
      <c r="O94" s="13"/>
      <c r="P94" s="13">
        <v>15</v>
      </c>
      <c r="Q94" s="3">
        <f t="shared" si="10"/>
        <v>0</v>
      </c>
      <c r="R94" s="3">
        <f t="shared" si="11"/>
        <v>15</v>
      </c>
      <c r="S94" s="3">
        <f t="shared" si="12"/>
        <v>885.99</v>
      </c>
      <c r="T94" s="24"/>
      <c r="U94" s="24"/>
      <c r="V94" s="3"/>
      <c r="W94" s="25" t="s">
        <v>6950</v>
      </c>
      <c r="X94" s="25"/>
      <c r="Y94" s="25" t="str">
        <f>IFERROR(VLOOKUP(C_Ope_004[[#This Row],[NOTA 2]],Clientes_Proveedores[[Ruc / Dni]:[Razon Social]],2,0),"")</f>
        <v/>
      </c>
      <c r="Z94" s="25"/>
      <c r="AA94" s="25"/>
      <c r="AB94" s="3" t="str">
        <f>IF(C_Ope_004[[#This Row],[FECHA]]&gt;0,TEXT(C_Ope_004[[#This Row],[FECHA]],"mmmm"),0)</f>
        <v>Marzo</v>
      </c>
    </row>
    <row r="95" spans="2:28" ht="24" x14ac:dyDescent="0.3">
      <c r="B95" s="2">
        <f>IF(C_Ope_004[[#This Row],[TIPO DE R.]]="R",COUNTIFS($D$4:$D94,"R")+1,"")</f>
        <v>91</v>
      </c>
      <c r="C95" s="19" t="str">
        <f t="shared" si="13"/>
        <v>C_Ope_004</v>
      </c>
      <c r="D95" s="3" t="s">
        <v>1074</v>
      </c>
      <c r="E95" s="14">
        <v>45740</v>
      </c>
      <c r="F95" s="5" t="s">
        <v>7102</v>
      </c>
      <c r="G95" s="5" t="s">
        <v>1079</v>
      </c>
      <c r="H95" s="6"/>
      <c r="I95" s="6" t="s">
        <v>14</v>
      </c>
      <c r="J95" s="6" t="s">
        <v>6985</v>
      </c>
      <c r="K95" s="6">
        <v>2953212</v>
      </c>
      <c r="L95" s="7" t="s">
        <v>7125</v>
      </c>
      <c r="M95" s="8">
        <v>23663</v>
      </c>
      <c r="N95" s="8" t="str">
        <f t="shared" si="9"/>
        <v>PEN</v>
      </c>
      <c r="O95" s="13"/>
      <c r="P95" s="13">
        <v>15</v>
      </c>
      <c r="Q95" s="3">
        <f t="shared" si="10"/>
        <v>0</v>
      </c>
      <c r="R95" s="3">
        <f t="shared" si="11"/>
        <v>15</v>
      </c>
      <c r="S95" s="3">
        <f t="shared" si="12"/>
        <v>870.99</v>
      </c>
      <c r="T95" s="24"/>
      <c r="U95" s="24"/>
      <c r="V95" s="3"/>
      <c r="W95" s="25" t="s">
        <v>6950</v>
      </c>
      <c r="X95" s="25"/>
      <c r="Y95" s="25" t="str">
        <f>IFERROR(VLOOKUP(C_Ope_004[[#This Row],[NOTA 2]],Clientes_Proveedores[[Ruc / Dni]:[Razon Social]],2,0),"")</f>
        <v/>
      </c>
      <c r="Z95" s="25"/>
      <c r="AA95" s="25"/>
      <c r="AB95" s="3" t="str">
        <f>IF(C_Ope_004[[#This Row],[FECHA]]&gt;0,TEXT(C_Ope_004[[#This Row],[FECHA]],"mmmm"),0)</f>
        <v>Marzo</v>
      </c>
    </row>
    <row r="96" spans="2:28" ht="24" x14ac:dyDescent="0.3">
      <c r="B96" s="2">
        <f>IF(C_Ope_004[[#This Row],[TIPO DE R.]]="R",COUNTIFS($D$4:$D95,"R")+1,"")</f>
        <v>92</v>
      </c>
      <c r="C96" s="19" t="str">
        <f t="shared" si="13"/>
        <v>C_Ope_004</v>
      </c>
      <c r="D96" s="3" t="s">
        <v>1074</v>
      </c>
      <c r="E96" s="14">
        <v>45741</v>
      </c>
      <c r="F96" s="5" t="s">
        <v>7102</v>
      </c>
      <c r="G96" s="5" t="s">
        <v>1079</v>
      </c>
      <c r="H96" s="6"/>
      <c r="I96" s="6" t="s">
        <v>14</v>
      </c>
      <c r="J96" s="6" t="s">
        <v>7121</v>
      </c>
      <c r="K96" s="6">
        <v>2314635</v>
      </c>
      <c r="L96" s="7" t="s">
        <v>7126</v>
      </c>
      <c r="M96" s="8">
        <v>23664</v>
      </c>
      <c r="N96" s="8" t="str">
        <f t="shared" si="9"/>
        <v>PEN</v>
      </c>
      <c r="O96" s="13"/>
      <c r="P96" s="13">
        <v>15</v>
      </c>
      <c r="Q96" s="3">
        <f t="shared" si="10"/>
        <v>0</v>
      </c>
      <c r="R96" s="3">
        <f t="shared" si="11"/>
        <v>15</v>
      </c>
      <c r="S96" s="3">
        <f t="shared" si="12"/>
        <v>855.99</v>
      </c>
      <c r="T96" s="24"/>
      <c r="U96" s="24"/>
      <c r="V96" s="3"/>
      <c r="W96" s="25" t="s">
        <v>6950</v>
      </c>
      <c r="X96" s="25"/>
      <c r="Y96" s="25" t="str">
        <f>IFERROR(VLOOKUP(C_Ope_004[[#This Row],[NOTA 2]],Clientes_Proveedores[[Ruc / Dni]:[Razon Social]],2,0),"")</f>
        <v/>
      </c>
      <c r="Z96" s="25"/>
      <c r="AA96" s="25"/>
      <c r="AB96" s="3" t="str">
        <f>IF(C_Ope_004[[#This Row],[FECHA]]&gt;0,TEXT(C_Ope_004[[#This Row],[FECHA]],"mmmm"),0)</f>
        <v>Marzo</v>
      </c>
    </row>
    <row r="97" spans="2:28" ht="24" x14ac:dyDescent="0.3">
      <c r="B97" s="2">
        <f>IF(C_Ope_004[[#This Row],[TIPO DE R.]]="R",COUNTIFS($D$4:$D96,"R")+1,"")</f>
        <v>93</v>
      </c>
      <c r="C97" s="19" t="str">
        <f t="shared" si="13"/>
        <v>C_Ope_004</v>
      </c>
      <c r="D97" s="3" t="s">
        <v>1074</v>
      </c>
      <c r="E97" s="14">
        <v>45741</v>
      </c>
      <c r="F97" s="5" t="s">
        <v>7102</v>
      </c>
      <c r="G97" s="5" t="s">
        <v>1079</v>
      </c>
      <c r="H97" s="6"/>
      <c r="I97" s="6" t="s">
        <v>14</v>
      </c>
      <c r="J97" s="6" t="s">
        <v>6908</v>
      </c>
      <c r="K97" s="6">
        <v>2144771</v>
      </c>
      <c r="L97" s="7" t="s">
        <v>7127</v>
      </c>
      <c r="M97" s="8">
        <v>23666</v>
      </c>
      <c r="N97" s="8" t="str">
        <f t="shared" si="9"/>
        <v>PEN</v>
      </c>
      <c r="O97" s="13"/>
      <c r="P97" s="13">
        <v>38.799999999999997</v>
      </c>
      <c r="Q97" s="3">
        <f t="shared" si="10"/>
        <v>0</v>
      </c>
      <c r="R97" s="3">
        <f t="shared" si="11"/>
        <v>38.799999999999997</v>
      </c>
      <c r="S97" s="3">
        <f t="shared" si="12"/>
        <v>817.19</v>
      </c>
      <c r="T97" s="24"/>
      <c r="U97" s="24"/>
      <c r="V97" s="3"/>
      <c r="W97" s="25" t="s">
        <v>6950</v>
      </c>
      <c r="X97" s="25"/>
      <c r="Y97" s="25" t="str">
        <f>IFERROR(VLOOKUP(C_Ope_004[[#This Row],[NOTA 2]],Clientes_Proveedores[[Ruc / Dni]:[Razon Social]],2,0),"")</f>
        <v/>
      </c>
      <c r="Z97" s="25"/>
      <c r="AA97" s="25"/>
      <c r="AB97" s="3" t="str">
        <f>IF(C_Ope_004[[#This Row],[FECHA]]&gt;0,TEXT(C_Ope_004[[#This Row],[FECHA]],"mmmm"),0)</f>
        <v>Marzo</v>
      </c>
    </row>
    <row r="98" spans="2:28" ht="24" x14ac:dyDescent="0.3">
      <c r="B98" s="2">
        <f>IF(C_Ope_004[[#This Row],[TIPO DE R.]]="R",COUNTIFS($D$4:$D97,"R")+1,"")</f>
        <v>94</v>
      </c>
      <c r="C98" s="19" t="str">
        <f t="shared" si="13"/>
        <v>C_Ope_004</v>
      </c>
      <c r="D98" s="3" t="s">
        <v>1074</v>
      </c>
      <c r="E98" s="14">
        <v>45743</v>
      </c>
      <c r="F98" s="5" t="s">
        <v>7102</v>
      </c>
      <c r="G98" s="5" t="s">
        <v>1079</v>
      </c>
      <c r="H98" s="6"/>
      <c r="I98" s="6" t="s">
        <v>14</v>
      </c>
      <c r="J98" s="6" t="s">
        <v>7041</v>
      </c>
      <c r="K98" s="6">
        <v>2230466</v>
      </c>
      <c r="L98" s="7" t="s">
        <v>7128</v>
      </c>
      <c r="M98" s="8">
        <v>23665</v>
      </c>
      <c r="N98" s="8" t="str">
        <f t="shared" si="9"/>
        <v>PEN</v>
      </c>
      <c r="O98" s="13"/>
      <c r="P98" s="13">
        <v>15</v>
      </c>
      <c r="Q98" s="3">
        <f t="shared" si="10"/>
        <v>0</v>
      </c>
      <c r="R98" s="3">
        <f t="shared" si="11"/>
        <v>15</v>
      </c>
      <c r="S98" s="3">
        <f t="shared" si="12"/>
        <v>802.19</v>
      </c>
      <c r="T98" s="24"/>
      <c r="U98" s="24"/>
      <c r="V98" s="3"/>
      <c r="W98" s="25" t="s">
        <v>6950</v>
      </c>
      <c r="X98" s="25"/>
      <c r="Y98" s="25" t="str">
        <f>IFERROR(VLOOKUP(C_Ope_004[[#This Row],[NOTA 2]],Clientes_Proveedores[[Ruc / Dni]:[Razon Social]],2,0),"")</f>
        <v/>
      </c>
      <c r="Z98" s="25"/>
      <c r="AA98" s="25"/>
      <c r="AB98" s="3" t="str">
        <f>IF(C_Ope_004[[#This Row],[FECHA]]&gt;0,TEXT(C_Ope_004[[#This Row],[FECHA]],"mmmm"),0)</f>
        <v>Marzo</v>
      </c>
    </row>
    <row r="99" spans="2:28" ht="24" x14ac:dyDescent="0.3">
      <c r="B99" s="2">
        <f>IF(C_Ope_004[[#This Row],[TIPO DE R.]]="R",COUNTIFS($D$4:$D98,"R")+1,"")</f>
        <v>95</v>
      </c>
      <c r="C99" s="19" t="str">
        <f t="shared" si="13"/>
        <v>C_Ope_004</v>
      </c>
      <c r="D99" s="3" t="s">
        <v>1074</v>
      </c>
      <c r="E99" s="14">
        <v>45743</v>
      </c>
      <c r="F99" s="5" t="s">
        <v>7102</v>
      </c>
      <c r="G99" s="5" t="s">
        <v>1079</v>
      </c>
      <c r="H99" s="6"/>
      <c r="I99" s="6" t="s">
        <v>14</v>
      </c>
      <c r="J99" s="6" t="s">
        <v>6926</v>
      </c>
      <c r="K99" s="6">
        <v>2804610</v>
      </c>
      <c r="L99" s="7" t="s">
        <v>7129</v>
      </c>
      <c r="M99" s="8">
        <v>23667</v>
      </c>
      <c r="N99" s="8" t="str">
        <f t="shared" si="9"/>
        <v>PEN</v>
      </c>
      <c r="O99" s="13"/>
      <c r="P99" s="13">
        <v>38.799999999999997</v>
      </c>
      <c r="Q99" s="3">
        <f t="shared" si="10"/>
        <v>0</v>
      </c>
      <c r="R99" s="3">
        <f t="shared" si="11"/>
        <v>38.799999999999997</v>
      </c>
      <c r="S99" s="3">
        <f t="shared" si="12"/>
        <v>763.3900000000001</v>
      </c>
      <c r="T99" s="24"/>
      <c r="U99" s="24"/>
      <c r="V99" s="3"/>
      <c r="W99" s="25" t="s">
        <v>6950</v>
      </c>
      <c r="X99" s="25"/>
      <c r="Y99" s="25" t="str">
        <f>IFERROR(VLOOKUP(C_Ope_004[[#This Row],[NOTA 2]],Clientes_Proveedores[[Ruc / Dni]:[Razon Social]],2,0),"")</f>
        <v/>
      </c>
      <c r="Z99" s="25"/>
      <c r="AA99" s="25"/>
      <c r="AB99" s="3" t="str">
        <f>IF(C_Ope_004[[#This Row],[FECHA]]&gt;0,TEXT(C_Ope_004[[#This Row],[FECHA]],"mmmm"),0)</f>
        <v>Marzo</v>
      </c>
    </row>
    <row r="100" spans="2:28" ht="24" x14ac:dyDescent="0.3">
      <c r="B100" s="2">
        <f>IF(C_Ope_004[[#This Row],[TIPO DE R.]]="R",COUNTIFS($D$4:$D99,"R")+1,"")</f>
        <v>96</v>
      </c>
      <c r="C100" s="19" t="str">
        <f t="shared" si="13"/>
        <v>C_Ope_004</v>
      </c>
      <c r="D100" s="3" t="s">
        <v>1074</v>
      </c>
      <c r="E100" s="14">
        <v>45747</v>
      </c>
      <c r="F100" s="5" t="s">
        <v>7102</v>
      </c>
      <c r="G100" s="5" t="s">
        <v>1079</v>
      </c>
      <c r="H100" s="6"/>
      <c r="I100" s="6" t="s">
        <v>14</v>
      </c>
      <c r="J100" s="6" t="s">
        <v>5130</v>
      </c>
      <c r="K100" s="6">
        <v>1137892</v>
      </c>
      <c r="L100" s="7" t="s">
        <v>6951</v>
      </c>
      <c r="M100" s="8">
        <v>23699</v>
      </c>
      <c r="N100" s="8" t="str">
        <f t="shared" si="9"/>
        <v>PEN</v>
      </c>
      <c r="O100" s="13"/>
      <c r="P100" s="13">
        <v>15</v>
      </c>
      <c r="Q100" s="3">
        <f t="shared" si="10"/>
        <v>0</v>
      </c>
      <c r="R100" s="3">
        <f t="shared" si="11"/>
        <v>15</v>
      </c>
      <c r="S100" s="3">
        <f t="shared" si="12"/>
        <v>748.3900000000001</v>
      </c>
      <c r="T100" s="24"/>
      <c r="U100" s="24"/>
      <c r="V100" s="3"/>
      <c r="W100" s="25" t="s">
        <v>6950</v>
      </c>
      <c r="X100" s="25"/>
      <c r="Y100" s="25" t="str">
        <f>IFERROR(VLOOKUP(C_Ope_004[[#This Row],[NOTA 2]],Clientes_Proveedores[[Ruc / Dni]:[Razon Social]],2,0),"")</f>
        <v/>
      </c>
      <c r="Z100" s="25"/>
      <c r="AA100" s="25"/>
      <c r="AB100" s="3" t="str">
        <f>IF(C_Ope_004[[#This Row],[FECHA]]&gt;0,TEXT(C_Ope_004[[#This Row],[FECHA]],"mmmm"),0)</f>
        <v>Marzo</v>
      </c>
    </row>
    <row r="101" spans="2:28" ht="24" x14ac:dyDescent="0.3">
      <c r="B101" s="2">
        <f>IF(C_Ope_004[[#This Row],[TIPO DE R.]]="R",COUNTIFS($D$4:$D100,"R")+1,"")</f>
        <v>97</v>
      </c>
      <c r="C101" s="19" t="str">
        <f t="shared" si="13"/>
        <v>C_Ope_004</v>
      </c>
      <c r="D101" s="3" t="s">
        <v>1074</v>
      </c>
      <c r="E101" s="14">
        <v>45747</v>
      </c>
      <c r="F101" s="5" t="s">
        <v>7102</v>
      </c>
      <c r="G101" s="5" t="s">
        <v>1079</v>
      </c>
      <c r="H101" s="6"/>
      <c r="I101" s="6" t="s">
        <v>14</v>
      </c>
      <c r="J101" s="6" t="s">
        <v>7130</v>
      </c>
      <c r="K101" s="6">
        <v>1032193</v>
      </c>
      <c r="L101" s="7" t="s">
        <v>6949</v>
      </c>
      <c r="M101" s="8">
        <v>23701</v>
      </c>
      <c r="N101" s="8" t="str">
        <f t="shared" ref="N101:N132" si="14">"PEN"</f>
        <v>PEN</v>
      </c>
      <c r="O101" s="13"/>
      <c r="P101" s="13">
        <v>15</v>
      </c>
      <c r="Q101" s="3">
        <f t="shared" ref="Q101:Q132" si="15">+IF(OR($G101="SALDO",$G101="INGRESO"),$P101,0)</f>
        <v>0</v>
      </c>
      <c r="R101" s="3">
        <f t="shared" ref="R101:R132" si="16">+IF($G101="EGRESO",$P101,0)</f>
        <v>15</v>
      </c>
      <c r="S101" s="3">
        <f t="shared" si="12"/>
        <v>733.3900000000001</v>
      </c>
      <c r="T101" s="24"/>
      <c r="U101" s="24"/>
      <c r="V101" s="3"/>
      <c r="W101" s="25" t="s">
        <v>6950</v>
      </c>
      <c r="X101" s="25"/>
      <c r="Y101" s="25" t="str">
        <f>IFERROR(VLOOKUP(C_Ope_004[[#This Row],[NOTA 2]],Clientes_Proveedores[[Ruc / Dni]:[Razon Social]],2,0),"")</f>
        <v/>
      </c>
      <c r="Z101" s="25"/>
      <c r="AA101" s="25"/>
      <c r="AB101" s="3" t="str">
        <f>IF(C_Ope_004[[#This Row],[FECHA]]&gt;0,TEXT(C_Ope_004[[#This Row],[FECHA]],"mmmm"),0)</f>
        <v>Marzo</v>
      </c>
    </row>
    <row r="102" spans="2:28" ht="24" x14ac:dyDescent="0.3">
      <c r="B102" s="2">
        <f>IF(C_Ope_004[[#This Row],[TIPO DE R.]]="R",COUNTIFS($D$4:$D101,"R")+1,"")</f>
        <v>98</v>
      </c>
      <c r="C102" s="19" t="str">
        <f t="shared" ref="C102:C133" si="17">"C_Ope_004"</f>
        <v>C_Ope_004</v>
      </c>
      <c r="D102" s="3" t="s">
        <v>1074</v>
      </c>
      <c r="E102" s="14">
        <v>45741</v>
      </c>
      <c r="F102" s="5" t="s">
        <v>7102</v>
      </c>
      <c r="G102" s="5" t="s">
        <v>1079</v>
      </c>
      <c r="H102" s="6"/>
      <c r="I102" s="6" t="s">
        <v>21</v>
      </c>
      <c r="J102" s="6">
        <v>2</v>
      </c>
      <c r="K102" s="6">
        <v>7520</v>
      </c>
      <c r="L102" s="7" t="s">
        <v>7131</v>
      </c>
      <c r="M102" s="8">
        <v>23670</v>
      </c>
      <c r="N102" s="8" t="str">
        <f t="shared" si="14"/>
        <v>PEN</v>
      </c>
      <c r="O102" s="13"/>
      <c r="P102" s="13">
        <v>90</v>
      </c>
      <c r="Q102" s="3">
        <f t="shared" si="15"/>
        <v>0</v>
      </c>
      <c r="R102" s="3">
        <f t="shared" si="16"/>
        <v>90</v>
      </c>
      <c r="S102" s="3">
        <f t="shared" si="12"/>
        <v>643.3900000000001</v>
      </c>
      <c r="T102" s="24"/>
      <c r="U102" s="24"/>
      <c r="V102" s="3"/>
      <c r="W102" s="25"/>
      <c r="X102" s="25"/>
      <c r="Y102" s="25" t="str">
        <f>IFERROR(VLOOKUP(C_Ope_004[[#This Row],[NOTA 2]],Clientes_Proveedores[[Ruc / Dni]:[Razon Social]],2,0),"")</f>
        <v/>
      </c>
      <c r="Z102" s="25"/>
      <c r="AA102" s="25"/>
      <c r="AB102" s="3" t="str">
        <f>IF(C_Ope_004[[#This Row],[FECHA]]&gt;0,TEXT(C_Ope_004[[#This Row],[FECHA]],"mmmm"),0)</f>
        <v>Marzo</v>
      </c>
    </row>
    <row r="103" spans="2:28" x14ac:dyDescent="0.3">
      <c r="B103" s="2">
        <f>IF(C_Ope_004[[#This Row],[TIPO DE R.]]="R",COUNTIFS($D$4:$D102,"R")+1,"")</f>
        <v>99</v>
      </c>
      <c r="C103" s="19" t="str">
        <f t="shared" si="17"/>
        <v>C_Ope_004</v>
      </c>
      <c r="D103" s="3" t="s">
        <v>1074</v>
      </c>
      <c r="E103" s="14">
        <v>45741</v>
      </c>
      <c r="F103" s="5" t="s">
        <v>7102</v>
      </c>
      <c r="G103" s="5" t="s">
        <v>1079</v>
      </c>
      <c r="H103" s="6"/>
      <c r="I103" s="6"/>
      <c r="J103" s="6"/>
      <c r="K103" s="6"/>
      <c r="L103" s="7" t="s">
        <v>6897</v>
      </c>
      <c r="M103" s="8">
        <v>23672</v>
      </c>
      <c r="N103" s="8" t="str">
        <f t="shared" si="14"/>
        <v>PEN</v>
      </c>
      <c r="O103" s="13"/>
      <c r="P103" s="13">
        <v>24</v>
      </c>
      <c r="Q103" s="3">
        <f t="shared" si="15"/>
        <v>0</v>
      </c>
      <c r="R103" s="3">
        <f t="shared" si="16"/>
        <v>24</v>
      </c>
      <c r="S103" s="3">
        <f t="shared" si="12"/>
        <v>619.3900000000001</v>
      </c>
      <c r="T103" s="24"/>
      <c r="U103" s="24"/>
      <c r="V103" s="3"/>
      <c r="W103" s="25" t="s">
        <v>6950</v>
      </c>
      <c r="X103" s="25"/>
      <c r="Y103" s="25" t="str">
        <f>IFERROR(VLOOKUP(C_Ope_004[[#This Row],[NOTA 2]],Clientes_Proveedores[[Ruc / Dni]:[Razon Social]],2,0),"")</f>
        <v/>
      </c>
      <c r="Z103" s="25"/>
      <c r="AA103" s="25"/>
      <c r="AB103" s="3" t="str">
        <f>IF(C_Ope_004[[#This Row],[FECHA]]&gt;0,TEXT(C_Ope_004[[#This Row],[FECHA]],"mmmm"),0)</f>
        <v>Marzo</v>
      </c>
    </row>
    <row r="104" spans="2:28" x14ac:dyDescent="0.3">
      <c r="B104" s="2">
        <f>IF(C_Ope_004[[#This Row],[TIPO DE R.]]="R",COUNTIFS($D$4:$D103,"R")+1,"")</f>
        <v>100</v>
      </c>
      <c r="C104" s="19" t="str">
        <f t="shared" si="17"/>
        <v>C_Ope_004</v>
      </c>
      <c r="D104" s="3" t="s">
        <v>1074</v>
      </c>
      <c r="E104" s="14">
        <v>45741</v>
      </c>
      <c r="F104" s="5" t="s">
        <v>7102</v>
      </c>
      <c r="G104" s="5" t="s">
        <v>1079</v>
      </c>
      <c r="H104" s="6"/>
      <c r="I104" s="6"/>
      <c r="J104" s="6"/>
      <c r="K104" s="6"/>
      <c r="L104" s="7" t="s">
        <v>6889</v>
      </c>
      <c r="M104" s="8">
        <v>23673</v>
      </c>
      <c r="N104" s="8" t="str">
        <f t="shared" si="14"/>
        <v>PEN</v>
      </c>
      <c r="O104" s="13"/>
      <c r="P104" s="13">
        <v>30</v>
      </c>
      <c r="Q104" s="3">
        <f t="shared" si="15"/>
        <v>0</v>
      </c>
      <c r="R104" s="3">
        <f t="shared" si="16"/>
        <v>30</v>
      </c>
      <c r="S104" s="3">
        <f t="shared" si="12"/>
        <v>589.3900000000001</v>
      </c>
      <c r="T104" s="24"/>
      <c r="U104" s="24"/>
      <c r="V104" s="3"/>
      <c r="W104" s="25" t="s">
        <v>6950</v>
      </c>
      <c r="X104" s="25"/>
      <c r="Y104" s="25" t="str">
        <f>IFERROR(VLOOKUP(C_Ope_004[[#This Row],[NOTA 2]],Clientes_Proveedores[[Ruc / Dni]:[Razon Social]],2,0),"")</f>
        <v/>
      </c>
      <c r="Z104" s="25"/>
      <c r="AA104" s="25"/>
      <c r="AB104" s="3" t="str">
        <f>IF(C_Ope_004[[#This Row],[FECHA]]&gt;0,TEXT(C_Ope_004[[#This Row],[FECHA]],"mmmm"),0)</f>
        <v>Marzo</v>
      </c>
    </row>
    <row r="105" spans="2:28" x14ac:dyDescent="0.3">
      <c r="B105" s="2">
        <f>IF(C_Ope_004[[#This Row],[TIPO DE R.]]="R",COUNTIFS($D$4:$D104,"R")+1,"")</f>
        <v>101</v>
      </c>
      <c r="C105" s="19" t="str">
        <f t="shared" si="17"/>
        <v>C_Ope_004</v>
      </c>
      <c r="D105" s="3" t="s">
        <v>1074</v>
      </c>
      <c r="E105" s="14">
        <v>45741</v>
      </c>
      <c r="F105" s="5" t="s">
        <v>7102</v>
      </c>
      <c r="G105" s="5" t="s">
        <v>1079</v>
      </c>
      <c r="H105" s="6"/>
      <c r="I105" s="6"/>
      <c r="J105" s="6"/>
      <c r="K105" s="6"/>
      <c r="L105" s="7" t="s">
        <v>6903</v>
      </c>
      <c r="M105" s="8">
        <v>23674</v>
      </c>
      <c r="N105" s="8" t="str">
        <f t="shared" si="14"/>
        <v>PEN</v>
      </c>
      <c r="O105" s="13"/>
      <c r="P105" s="13">
        <v>24</v>
      </c>
      <c r="Q105" s="3">
        <f t="shared" si="15"/>
        <v>0</v>
      </c>
      <c r="R105" s="3">
        <f t="shared" si="16"/>
        <v>24</v>
      </c>
      <c r="S105" s="3">
        <f t="shared" si="12"/>
        <v>565.3900000000001</v>
      </c>
      <c r="T105" s="24"/>
      <c r="U105" s="24"/>
      <c r="V105" s="3"/>
      <c r="W105" s="25" t="s">
        <v>6950</v>
      </c>
      <c r="X105" s="25"/>
      <c r="Y105" s="25" t="str">
        <f>IFERROR(VLOOKUP(C_Ope_004[[#This Row],[NOTA 2]],Clientes_Proveedores[[Ruc / Dni]:[Razon Social]],2,0),"")</f>
        <v/>
      </c>
      <c r="Z105" s="25"/>
      <c r="AA105" s="25"/>
      <c r="AB105" s="3" t="str">
        <f>IF(C_Ope_004[[#This Row],[FECHA]]&gt;0,TEXT(C_Ope_004[[#This Row],[FECHA]],"mmmm"),0)</f>
        <v>Marzo</v>
      </c>
    </row>
    <row r="106" spans="2:28" x14ac:dyDescent="0.3">
      <c r="B106" s="2">
        <f>IF(C_Ope_004[[#This Row],[TIPO DE R.]]="R",COUNTIFS($D$4:$D105,"R")+1,"")</f>
        <v>102</v>
      </c>
      <c r="C106" s="19" t="str">
        <f t="shared" si="17"/>
        <v>C_Ope_004</v>
      </c>
      <c r="D106" s="3" t="s">
        <v>1074</v>
      </c>
      <c r="E106" s="14">
        <v>45742</v>
      </c>
      <c r="F106" s="5" t="s">
        <v>7102</v>
      </c>
      <c r="G106" s="5" t="s">
        <v>1079</v>
      </c>
      <c r="H106" s="6"/>
      <c r="I106" s="6" t="s">
        <v>14</v>
      </c>
      <c r="J106" s="6" t="s">
        <v>7132</v>
      </c>
      <c r="K106" s="6">
        <v>7729</v>
      </c>
      <c r="L106" s="7" t="s">
        <v>7133</v>
      </c>
      <c r="M106" s="8">
        <v>23668</v>
      </c>
      <c r="N106" s="8" t="str">
        <f t="shared" si="14"/>
        <v>PEN</v>
      </c>
      <c r="O106" s="13"/>
      <c r="P106" s="13">
        <v>20</v>
      </c>
      <c r="Q106" s="3">
        <f t="shared" si="15"/>
        <v>0</v>
      </c>
      <c r="R106" s="3">
        <f t="shared" si="16"/>
        <v>20</v>
      </c>
      <c r="S106" s="3">
        <f t="shared" si="12"/>
        <v>545.3900000000001</v>
      </c>
      <c r="T106" s="24"/>
      <c r="U106" s="24"/>
      <c r="V106" s="3"/>
      <c r="W106" s="25" t="s">
        <v>6950</v>
      </c>
      <c r="X106" s="25"/>
      <c r="Y106" s="25" t="str">
        <f>IFERROR(VLOOKUP(C_Ope_004[[#This Row],[NOTA 2]],Clientes_Proveedores[[Ruc / Dni]:[Razon Social]],2,0),"")</f>
        <v/>
      </c>
      <c r="Z106" s="25"/>
      <c r="AA106" s="25"/>
      <c r="AB106" s="3" t="str">
        <f>IF(C_Ope_004[[#This Row],[FECHA]]&gt;0,TEXT(C_Ope_004[[#This Row],[FECHA]],"mmmm"),0)</f>
        <v>Marzo</v>
      </c>
    </row>
    <row r="107" spans="2:28" ht="24" x14ac:dyDescent="0.3">
      <c r="B107" s="2">
        <f>IF(C_Ope_004[[#This Row],[TIPO DE R.]]="R",COUNTIFS($D$4:$D106,"R")+1,"")</f>
        <v>103</v>
      </c>
      <c r="C107" s="19" t="str">
        <f t="shared" si="17"/>
        <v>C_Ope_004</v>
      </c>
      <c r="D107" s="3" t="s">
        <v>1074</v>
      </c>
      <c r="E107" s="14">
        <v>45742</v>
      </c>
      <c r="F107" s="5" t="s">
        <v>7102</v>
      </c>
      <c r="G107" s="5" t="s">
        <v>1079</v>
      </c>
      <c r="H107" s="6"/>
      <c r="I107" s="6" t="s">
        <v>21</v>
      </c>
      <c r="J107" s="6">
        <v>1</v>
      </c>
      <c r="K107" s="6">
        <v>172</v>
      </c>
      <c r="L107" s="7" t="s">
        <v>7134</v>
      </c>
      <c r="M107" s="8">
        <v>23669</v>
      </c>
      <c r="N107" s="8" t="str">
        <f t="shared" si="14"/>
        <v>PEN</v>
      </c>
      <c r="O107" s="13"/>
      <c r="P107" s="13">
        <v>45</v>
      </c>
      <c r="Q107" s="3">
        <f t="shared" si="15"/>
        <v>0</v>
      </c>
      <c r="R107" s="3">
        <f t="shared" si="16"/>
        <v>45</v>
      </c>
      <c r="S107" s="3">
        <f t="shared" si="12"/>
        <v>500.3900000000001</v>
      </c>
      <c r="T107" s="24"/>
      <c r="U107" s="24"/>
      <c r="V107" s="3"/>
      <c r="W107" s="25" t="s">
        <v>6950</v>
      </c>
      <c r="X107" s="25"/>
      <c r="Y107" s="25" t="str">
        <f>IFERROR(VLOOKUP(C_Ope_004[[#This Row],[NOTA 2]],Clientes_Proveedores[[Ruc / Dni]:[Razon Social]],2,0),"")</f>
        <v/>
      </c>
      <c r="Z107" s="25"/>
      <c r="AA107" s="25"/>
      <c r="AB107" s="3" t="str">
        <f>IF(C_Ope_004[[#This Row],[FECHA]]&gt;0,TEXT(C_Ope_004[[#This Row],[FECHA]],"mmmm"),0)</f>
        <v>Marzo</v>
      </c>
    </row>
    <row r="108" spans="2:28" ht="24" x14ac:dyDescent="0.3">
      <c r="B108" s="2">
        <f>IF(C_Ope_004[[#This Row],[TIPO DE R.]]="R",COUNTIFS($D$4:$D107,"R")+1,"")</f>
        <v>104</v>
      </c>
      <c r="C108" s="19" t="str">
        <f t="shared" si="17"/>
        <v>C_Ope_004</v>
      </c>
      <c r="D108" s="3" t="s">
        <v>1074</v>
      </c>
      <c r="E108" s="14">
        <v>45742</v>
      </c>
      <c r="F108" s="5" t="s">
        <v>7102</v>
      </c>
      <c r="G108" s="5" t="s">
        <v>1079</v>
      </c>
      <c r="H108" s="6"/>
      <c r="I108" s="6" t="s">
        <v>21</v>
      </c>
      <c r="J108" s="6">
        <v>1</v>
      </c>
      <c r="K108" s="6">
        <v>469</v>
      </c>
      <c r="L108" s="7" t="s">
        <v>7135</v>
      </c>
      <c r="M108" s="8">
        <v>23671</v>
      </c>
      <c r="N108" s="8" t="str">
        <f t="shared" si="14"/>
        <v>PEN</v>
      </c>
      <c r="O108" s="13"/>
      <c r="P108" s="13">
        <v>100</v>
      </c>
      <c r="Q108" s="3">
        <f t="shared" si="15"/>
        <v>0</v>
      </c>
      <c r="R108" s="3">
        <f t="shared" si="16"/>
        <v>100</v>
      </c>
      <c r="S108" s="3">
        <f t="shared" si="12"/>
        <v>400.3900000000001</v>
      </c>
      <c r="T108" s="24"/>
      <c r="U108" s="24"/>
      <c r="V108" s="3"/>
      <c r="W108" s="25" t="s">
        <v>6950</v>
      </c>
      <c r="X108" s="25"/>
      <c r="Y108" s="25" t="str">
        <f>IFERROR(VLOOKUP(C_Ope_004[[#This Row],[NOTA 2]],Clientes_Proveedores[[Ruc / Dni]:[Razon Social]],2,0),"")</f>
        <v/>
      </c>
      <c r="Z108" s="25"/>
      <c r="AA108" s="25"/>
      <c r="AB108" s="3" t="str">
        <f>IF(C_Ope_004[[#This Row],[FECHA]]&gt;0,TEXT(C_Ope_004[[#This Row],[FECHA]],"mmmm"),0)</f>
        <v>Marzo</v>
      </c>
    </row>
    <row r="109" spans="2:28" x14ac:dyDescent="0.3">
      <c r="B109" s="2">
        <f>IF(C_Ope_004[[#This Row],[TIPO DE R.]]="R",COUNTIFS($D$4:$D108,"R")+1,"")</f>
        <v>105</v>
      </c>
      <c r="C109" s="19" t="str">
        <f t="shared" si="17"/>
        <v>C_Ope_004</v>
      </c>
      <c r="D109" s="3" t="s">
        <v>1074</v>
      </c>
      <c r="E109" s="14">
        <v>45742</v>
      </c>
      <c r="F109" s="5" t="s">
        <v>7102</v>
      </c>
      <c r="G109" s="5" t="s">
        <v>1079</v>
      </c>
      <c r="H109" s="6"/>
      <c r="I109" s="6"/>
      <c r="J109" s="6"/>
      <c r="K109" s="6"/>
      <c r="L109" s="7" t="s">
        <v>6897</v>
      </c>
      <c r="M109" s="8">
        <v>23675</v>
      </c>
      <c r="N109" s="8" t="str">
        <f t="shared" si="14"/>
        <v>PEN</v>
      </c>
      <c r="O109" s="13"/>
      <c r="P109" s="13">
        <v>24</v>
      </c>
      <c r="Q109" s="3">
        <f t="shared" si="15"/>
        <v>0</v>
      </c>
      <c r="R109" s="3">
        <f t="shared" si="16"/>
        <v>24</v>
      </c>
      <c r="S109" s="3">
        <f t="shared" si="12"/>
        <v>376.3900000000001</v>
      </c>
      <c r="T109" s="24"/>
      <c r="U109" s="24"/>
      <c r="V109" s="3"/>
      <c r="W109" s="25" t="s">
        <v>6950</v>
      </c>
      <c r="X109" s="25"/>
      <c r="Y109" s="25" t="str">
        <f>IFERROR(VLOOKUP(C_Ope_004[[#This Row],[NOTA 2]],Clientes_Proveedores[[Ruc / Dni]:[Razon Social]],2,0),"")</f>
        <v/>
      </c>
      <c r="Z109" s="25"/>
      <c r="AA109" s="25"/>
      <c r="AB109" s="3" t="str">
        <f>IF(C_Ope_004[[#This Row],[FECHA]]&gt;0,TEXT(C_Ope_004[[#This Row],[FECHA]],"mmmm"),0)</f>
        <v>Marzo</v>
      </c>
    </row>
    <row r="110" spans="2:28" x14ac:dyDescent="0.3">
      <c r="B110" s="2">
        <f>IF(C_Ope_004[[#This Row],[TIPO DE R.]]="R",COUNTIFS($D$4:$D109,"R")+1,"")</f>
        <v>106</v>
      </c>
      <c r="C110" s="19" t="str">
        <f t="shared" si="17"/>
        <v>C_Ope_004</v>
      </c>
      <c r="D110" s="3" t="s">
        <v>1074</v>
      </c>
      <c r="E110" s="14">
        <v>45742</v>
      </c>
      <c r="F110" s="5" t="s">
        <v>7102</v>
      </c>
      <c r="G110" s="5" t="s">
        <v>1079</v>
      </c>
      <c r="H110" s="6"/>
      <c r="I110" s="6"/>
      <c r="J110" s="6"/>
      <c r="K110" s="6"/>
      <c r="L110" s="7" t="s">
        <v>6889</v>
      </c>
      <c r="M110" s="8">
        <v>23676</v>
      </c>
      <c r="N110" s="8" t="str">
        <f t="shared" si="14"/>
        <v>PEN</v>
      </c>
      <c r="O110" s="13"/>
      <c r="P110" s="13">
        <v>30</v>
      </c>
      <c r="Q110" s="3">
        <f t="shared" si="15"/>
        <v>0</v>
      </c>
      <c r="R110" s="3">
        <f t="shared" si="16"/>
        <v>30</v>
      </c>
      <c r="S110" s="3">
        <f t="shared" si="12"/>
        <v>346.3900000000001</v>
      </c>
      <c r="T110" s="24"/>
      <c r="U110" s="24"/>
      <c r="V110" s="3"/>
      <c r="W110" s="25" t="s">
        <v>6950</v>
      </c>
      <c r="X110" s="25"/>
      <c r="Y110" s="25" t="str">
        <f>IFERROR(VLOOKUP(C_Ope_004[[#This Row],[NOTA 2]],Clientes_Proveedores[[Ruc / Dni]:[Razon Social]],2,0),"")</f>
        <v/>
      </c>
      <c r="Z110" s="25"/>
      <c r="AA110" s="25"/>
      <c r="AB110" s="3" t="str">
        <f>IF(C_Ope_004[[#This Row],[FECHA]]&gt;0,TEXT(C_Ope_004[[#This Row],[FECHA]],"mmmm"),0)</f>
        <v>Marzo</v>
      </c>
    </row>
    <row r="111" spans="2:28" x14ac:dyDescent="0.3">
      <c r="B111" s="2">
        <f>IF(C_Ope_004[[#This Row],[TIPO DE R.]]="R",COUNTIFS($D$4:$D110,"R")+1,"")</f>
        <v>107</v>
      </c>
      <c r="C111" s="19" t="str">
        <f t="shared" si="17"/>
        <v>C_Ope_004</v>
      </c>
      <c r="D111" s="3" t="s">
        <v>1074</v>
      </c>
      <c r="E111" s="14">
        <v>45742</v>
      </c>
      <c r="F111" s="5" t="s">
        <v>7102</v>
      </c>
      <c r="G111" s="5" t="s">
        <v>1079</v>
      </c>
      <c r="H111" s="6"/>
      <c r="I111" s="6"/>
      <c r="J111" s="6"/>
      <c r="K111" s="6"/>
      <c r="L111" s="7" t="s">
        <v>6903</v>
      </c>
      <c r="M111" s="8">
        <v>23677</v>
      </c>
      <c r="N111" s="8" t="str">
        <f t="shared" si="14"/>
        <v>PEN</v>
      </c>
      <c r="O111" s="13"/>
      <c r="P111" s="13">
        <v>24</v>
      </c>
      <c r="Q111" s="3">
        <f t="shared" si="15"/>
        <v>0</v>
      </c>
      <c r="R111" s="3">
        <f t="shared" si="16"/>
        <v>24</v>
      </c>
      <c r="S111" s="3">
        <f t="shared" si="12"/>
        <v>322.3900000000001</v>
      </c>
      <c r="T111" s="24"/>
      <c r="U111" s="24"/>
      <c r="V111" s="3"/>
      <c r="W111" s="25" t="s">
        <v>6950</v>
      </c>
      <c r="X111" s="25"/>
      <c r="Y111" s="25" t="str">
        <f>IFERROR(VLOOKUP(C_Ope_004[[#This Row],[NOTA 2]],Clientes_Proveedores[[Ruc / Dni]:[Razon Social]],2,0),"")</f>
        <v/>
      </c>
      <c r="Z111" s="25"/>
      <c r="AA111" s="25"/>
      <c r="AB111" s="3" t="str">
        <f>IF(C_Ope_004[[#This Row],[FECHA]]&gt;0,TEXT(C_Ope_004[[#This Row],[FECHA]],"mmmm"),0)</f>
        <v>Marzo</v>
      </c>
    </row>
    <row r="112" spans="2:28" x14ac:dyDescent="0.3">
      <c r="B112" s="2">
        <f>IF(C_Ope_004[[#This Row],[TIPO DE R.]]="R",COUNTIFS($D$4:$D111,"R")+1,"")</f>
        <v>108</v>
      </c>
      <c r="C112" s="19" t="str">
        <f t="shared" si="17"/>
        <v>C_Ope_004</v>
      </c>
      <c r="D112" s="3" t="s">
        <v>1074</v>
      </c>
      <c r="E112" s="14">
        <v>45742</v>
      </c>
      <c r="F112" s="5" t="s">
        <v>7102</v>
      </c>
      <c r="G112" s="5" t="s">
        <v>1079</v>
      </c>
      <c r="H112" s="6"/>
      <c r="I112" s="6"/>
      <c r="J112" s="6">
        <v>1</v>
      </c>
      <c r="K112" s="6">
        <v>469</v>
      </c>
      <c r="L112" s="7" t="s">
        <v>7136</v>
      </c>
      <c r="M112" s="8">
        <v>23709</v>
      </c>
      <c r="N112" s="8" t="str">
        <f t="shared" si="14"/>
        <v>PEN</v>
      </c>
      <c r="O112" s="13"/>
      <c r="P112" s="13">
        <v>20</v>
      </c>
      <c r="Q112" s="3">
        <f t="shared" si="15"/>
        <v>0</v>
      </c>
      <c r="R112" s="3">
        <f t="shared" si="16"/>
        <v>20</v>
      </c>
      <c r="S112" s="3">
        <f t="shared" si="12"/>
        <v>302.3900000000001</v>
      </c>
      <c r="T112" s="24"/>
      <c r="U112" s="24"/>
      <c r="V112" s="3"/>
      <c r="W112" s="25" t="s">
        <v>6950</v>
      </c>
      <c r="X112" s="25"/>
      <c r="Y112" s="25" t="str">
        <f>IFERROR(VLOOKUP(C_Ope_004[[#This Row],[NOTA 2]],Clientes_Proveedores[[Ruc / Dni]:[Razon Social]],2,0),"")</f>
        <v/>
      </c>
      <c r="Z112" s="25"/>
      <c r="AA112" s="25"/>
      <c r="AB112" s="3" t="str">
        <f>IF(C_Ope_004[[#This Row],[FECHA]]&gt;0,TEXT(C_Ope_004[[#This Row],[FECHA]],"mmmm"),0)</f>
        <v>Marzo</v>
      </c>
    </row>
    <row r="113" spans="2:28" x14ac:dyDescent="0.3">
      <c r="B113" s="2">
        <f>IF(C_Ope_004[[#This Row],[TIPO DE R.]]="R",COUNTIFS($D$4:$D112,"R")+1,"")</f>
        <v>109</v>
      </c>
      <c r="C113" s="19" t="str">
        <f t="shared" si="17"/>
        <v>C_Ope_004</v>
      </c>
      <c r="D113" s="3" t="s">
        <v>1074</v>
      </c>
      <c r="E113" s="14">
        <v>45743</v>
      </c>
      <c r="F113" s="5" t="s">
        <v>7102</v>
      </c>
      <c r="G113" s="5" t="s">
        <v>1079</v>
      </c>
      <c r="H113" s="6"/>
      <c r="I113" s="6"/>
      <c r="J113" s="6"/>
      <c r="K113" s="6"/>
      <c r="L113" s="7" t="s">
        <v>6897</v>
      </c>
      <c r="M113" s="8">
        <v>23678</v>
      </c>
      <c r="N113" s="8" t="str">
        <f t="shared" si="14"/>
        <v>PEN</v>
      </c>
      <c r="O113" s="13"/>
      <c r="P113" s="13">
        <v>24</v>
      </c>
      <c r="Q113" s="3">
        <f t="shared" si="15"/>
        <v>0</v>
      </c>
      <c r="R113" s="3">
        <f t="shared" si="16"/>
        <v>24</v>
      </c>
      <c r="S113" s="3">
        <f t="shared" si="12"/>
        <v>278.3900000000001</v>
      </c>
      <c r="T113" s="24"/>
      <c r="U113" s="24"/>
      <c r="V113" s="3"/>
      <c r="W113" s="25" t="s">
        <v>6950</v>
      </c>
      <c r="X113" s="25"/>
      <c r="Y113" s="25" t="str">
        <f>IFERROR(VLOOKUP(C_Ope_004[[#This Row],[NOTA 2]],Clientes_Proveedores[[Ruc / Dni]:[Razon Social]],2,0),"")</f>
        <v/>
      </c>
      <c r="Z113" s="25"/>
      <c r="AA113" s="25"/>
      <c r="AB113" s="3" t="str">
        <f>IF(C_Ope_004[[#This Row],[FECHA]]&gt;0,TEXT(C_Ope_004[[#This Row],[FECHA]],"mmmm"),0)</f>
        <v>Marzo</v>
      </c>
    </row>
    <row r="114" spans="2:28" x14ac:dyDescent="0.3">
      <c r="B114" s="2">
        <f>IF(C_Ope_004[[#This Row],[TIPO DE R.]]="R",COUNTIFS($D$4:$D113,"R")+1,"")</f>
        <v>110</v>
      </c>
      <c r="C114" s="19" t="str">
        <f t="shared" si="17"/>
        <v>C_Ope_004</v>
      </c>
      <c r="D114" s="3" t="s">
        <v>1074</v>
      </c>
      <c r="E114" s="14">
        <v>45743</v>
      </c>
      <c r="F114" s="5" t="s">
        <v>7102</v>
      </c>
      <c r="G114" s="5" t="s">
        <v>1079</v>
      </c>
      <c r="H114" s="6"/>
      <c r="I114" s="6"/>
      <c r="J114" s="6"/>
      <c r="K114" s="6"/>
      <c r="L114" s="7" t="s">
        <v>6889</v>
      </c>
      <c r="M114" s="8">
        <v>23679</v>
      </c>
      <c r="N114" s="8" t="str">
        <f t="shared" si="14"/>
        <v>PEN</v>
      </c>
      <c r="O114" s="13"/>
      <c r="P114" s="13">
        <v>30</v>
      </c>
      <c r="Q114" s="3">
        <f t="shared" si="15"/>
        <v>0</v>
      </c>
      <c r="R114" s="3">
        <f t="shared" si="16"/>
        <v>30</v>
      </c>
      <c r="S114" s="3">
        <f t="shared" si="12"/>
        <v>248.3900000000001</v>
      </c>
      <c r="T114" s="24"/>
      <c r="U114" s="24"/>
      <c r="V114" s="3"/>
      <c r="W114" s="25" t="s">
        <v>6950</v>
      </c>
      <c r="X114" s="25"/>
      <c r="Y114" s="25" t="str">
        <f>IFERROR(VLOOKUP(C_Ope_004[[#This Row],[NOTA 2]],Clientes_Proveedores[[Ruc / Dni]:[Razon Social]],2,0),"")</f>
        <v/>
      </c>
      <c r="Z114" s="25"/>
      <c r="AA114" s="25"/>
      <c r="AB114" s="3" t="str">
        <f>IF(C_Ope_004[[#This Row],[FECHA]]&gt;0,TEXT(C_Ope_004[[#This Row],[FECHA]],"mmmm"),0)</f>
        <v>Marzo</v>
      </c>
    </row>
    <row r="115" spans="2:28" x14ac:dyDescent="0.3">
      <c r="B115" s="2">
        <f>IF(C_Ope_004[[#This Row],[TIPO DE R.]]="R",COUNTIFS($D$4:$D114,"R")+1,"")</f>
        <v>111</v>
      </c>
      <c r="C115" s="19" t="str">
        <f t="shared" si="17"/>
        <v>C_Ope_004</v>
      </c>
      <c r="D115" s="3" t="s">
        <v>1074</v>
      </c>
      <c r="E115" s="14">
        <v>45743</v>
      </c>
      <c r="F115" s="5" t="s">
        <v>7102</v>
      </c>
      <c r="G115" s="5" t="s">
        <v>1079</v>
      </c>
      <c r="H115" s="6"/>
      <c r="I115" s="6"/>
      <c r="J115" s="6"/>
      <c r="K115" s="6"/>
      <c r="L115" s="7" t="s">
        <v>6903</v>
      </c>
      <c r="M115" s="8">
        <v>23680</v>
      </c>
      <c r="N115" s="8" t="str">
        <f t="shared" si="14"/>
        <v>PEN</v>
      </c>
      <c r="O115" s="13"/>
      <c r="P115" s="13">
        <v>24</v>
      </c>
      <c r="Q115" s="3">
        <f t="shared" si="15"/>
        <v>0</v>
      </c>
      <c r="R115" s="3">
        <f t="shared" si="16"/>
        <v>24</v>
      </c>
      <c r="S115" s="3">
        <f t="shared" si="12"/>
        <v>224.3900000000001</v>
      </c>
      <c r="T115" s="24"/>
      <c r="U115" s="24"/>
      <c r="V115" s="3"/>
      <c r="W115" s="25" t="s">
        <v>6950</v>
      </c>
      <c r="X115" s="25"/>
      <c r="Y115" s="25" t="str">
        <f>IFERROR(VLOOKUP(C_Ope_004[[#This Row],[NOTA 2]],Clientes_Proveedores[[Ruc / Dni]:[Razon Social]],2,0),"")</f>
        <v/>
      </c>
      <c r="Z115" s="25"/>
      <c r="AA115" s="25"/>
      <c r="AB115" s="3" t="str">
        <f>IF(C_Ope_004[[#This Row],[FECHA]]&gt;0,TEXT(C_Ope_004[[#This Row],[FECHA]],"mmmm"),0)</f>
        <v>Marzo</v>
      </c>
    </row>
    <row r="116" spans="2:28" x14ac:dyDescent="0.3">
      <c r="B116" s="2">
        <f>IF(C_Ope_004[[#This Row],[TIPO DE R.]]="R",COUNTIFS($D$4:$D115,"R")+1,"")</f>
        <v>112</v>
      </c>
      <c r="C116" s="19" t="str">
        <f t="shared" si="17"/>
        <v>C_Ope_004</v>
      </c>
      <c r="D116" s="3" t="s">
        <v>1074</v>
      </c>
      <c r="E116" s="14">
        <v>45744</v>
      </c>
      <c r="F116" s="5" t="s">
        <v>7102</v>
      </c>
      <c r="G116" s="5" t="s">
        <v>1079</v>
      </c>
      <c r="H116" s="6"/>
      <c r="I116" s="6" t="s">
        <v>14</v>
      </c>
      <c r="J116" s="6" t="s">
        <v>2789</v>
      </c>
      <c r="K116" s="6">
        <v>40211</v>
      </c>
      <c r="L116" s="7" t="s">
        <v>7111</v>
      </c>
      <c r="M116" s="8">
        <v>23681</v>
      </c>
      <c r="N116" s="8" t="str">
        <f t="shared" si="14"/>
        <v>PEN</v>
      </c>
      <c r="O116" s="13"/>
      <c r="P116" s="13">
        <v>55</v>
      </c>
      <c r="Q116" s="3">
        <f t="shared" si="15"/>
        <v>0</v>
      </c>
      <c r="R116" s="3">
        <f t="shared" si="16"/>
        <v>55</v>
      </c>
      <c r="S116" s="3">
        <f t="shared" si="12"/>
        <v>169.3900000000001</v>
      </c>
      <c r="T116" s="24"/>
      <c r="U116" s="24"/>
      <c r="V116" s="3"/>
      <c r="W116" s="25" t="s">
        <v>6950</v>
      </c>
      <c r="X116" s="25"/>
      <c r="Y116" s="25" t="str">
        <f>IFERROR(VLOOKUP(C_Ope_004[[#This Row],[NOTA 2]],Clientes_Proveedores[[Ruc / Dni]:[Razon Social]],2,0),"")</f>
        <v/>
      </c>
      <c r="Z116" s="25"/>
      <c r="AA116" s="25"/>
      <c r="AB116" s="3" t="str">
        <f>IF(C_Ope_004[[#This Row],[FECHA]]&gt;0,TEXT(C_Ope_004[[#This Row],[FECHA]],"mmmm"),0)</f>
        <v>Marzo</v>
      </c>
    </row>
    <row r="117" spans="2:28" ht="24" x14ac:dyDescent="0.3">
      <c r="B117" s="2">
        <f>IF(C_Ope_004[[#This Row],[TIPO DE R.]]="R",COUNTIFS($D$4:$D116,"R")+1,"")</f>
        <v>113</v>
      </c>
      <c r="C117" s="19" t="str">
        <f t="shared" si="17"/>
        <v>C_Ope_004</v>
      </c>
      <c r="D117" s="3" t="s">
        <v>1074</v>
      </c>
      <c r="E117" s="14">
        <v>45748</v>
      </c>
      <c r="F117" s="5" t="s">
        <v>7102</v>
      </c>
      <c r="G117" s="5" t="s">
        <v>1079</v>
      </c>
      <c r="H117" s="6"/>
      <c r="I117" s="6" t="s">
        <v>14</v>
      </c>
      <c r="J117" s="6" t="s">
        <v>5244</v>
      </c>
      <c r="K117" s="6">
        <v>3346909</v>
      </c>
      <c r="L117" s="7" t="s">
        <v>7108</v>
      </c>
      <c r="M117" s="8">
        <v>23716</v>
      </c>
      <c r="N117" s="8" t="str">
        <f t="shared" si="14"/>
        <v>PEN</v>
      </c>
      <c r="O117" s="13"/>
      <c r="P117" s="13">
        <v>15</v>
      </c>
      <c r="Q117" s="3">
        <f t="shared" si="15"/>
        <v>0</v>
      </c>
      <c r="R117" s="3">
        <f t="shared" si="16"/>
        <v>15</v>
      </c>
      <c r="S117" s="3">
        <f t="shared" si="12"/>
        <v>154.3900000000001</v>
      </c>
      <c r="T117" s="24"/>
      <c r="U117" s="24"/>
      <c r="V117" s="3"/>
      <c r="W117" s="25" t="s">
        <v>6950</v>
      </c>
      <c r="X117" s="25"/>
      <c r="Y117" s="25" t="str">
        <f>IFERROR(VLOOKUP(C_Ope_004[[#This Row],[NOTA 2]],Clientes_Proveedores[[Ruc / Dni]:[Razon Social]],2,0),"")</f>
        <v/>
      </c>
      <c r="Z117" s="25"/>
      <c r="AA117" s="25"/>
      <c r="AB117" s="3" t="str">
        <f>IF(C_Ope_004[[#This Row],[FECHA]]&gt;0,TEXT(C_Ope_004[[#This Row],[FECHA]],"mmmm"),0)</f>
        <v>Abril</v>
      </c>
    </row>
    <row r="118" spans="2:28" ht="24" x14ac:dyDescent="0.3">
      <c r="B118" s="2">
        <f>IF(C_Ope_004[[#This Row],[TIPO DE R.]]="R",COUNTIFS($D$4:$D117,"R")+1,"")</f>
        <v>114</v>
      </c>
      <c r="C118" s="19" t="str">
        <f t="shared" si="17"/>
        <v>C_Ope_004</v>
      </c>
      <c r="D118" s="3" t="s">
        <v>1074</v>
      </c>
      <c r="E118" s="14">
        <v>45748</v>
      </c>
      <c r="F118" s="5" t="s">
        <v>7102</v>
      </c>
      <c r="G118" s="5" t="s">
        <v>1079</v>
      </c>
      <c r="H118" s="6"/>
      <c r="I118" s="6" t="s">
        <v>14</v>
      </c>
      <c r="J118" s="6" t="s">
        <v>6985</v>
      </c>
      <c r="K118" s="6">
        <v>2960324</v>
      </c>
      <c r="L118" s="7" t="s">
        <v>7125</v>
      </c>
      <c r="M118" s="8">
        <v>23717</v>
      </c>
      <c r="N118" s="8" t="str">
        <f t="shared" si="14"/>
        <v>PEN</v>
      </c>
      <c r="O118" s="13"/>
      <c r="P118" s="13">
        <v>15</v>
      </c>
      <c r="Q118" s="3">
        <f t="shared" si="15"/>
        <v>0</v>
      </c>
      <c r="R118" s="3">
        <f t="shared" si="16"/>
        <v>15</v>
      </c>
      <c r="S118" s="3">
        <f t="shared" si="12"/>
        <v>139.3900000000001</v>
      </c>
      <c r="T118" s="24"/>
      <c r="U118" s="24"/>
      <c r="V118" s="3"/>
      <c r="W118" s="25" t="s">
        <v>6950</v>
      </c>
      <c r="X118" s="25"/>
      <c r="Y118" s="25" t="str">
        <f>IFERROR(VLOOKUP(C_Ope_004[[#This Row],[NOTA 2]],Clientes_Proveedores[[Ruc / Dni]:[Razon Social]],2,0),"")</f>
        <v/>
      </c>
      <c r="Z118" s="25"/>
      <c r="AA118" s="25"/>
      <c r="AB118" s="3" t="str">
        <f>IF(C_Ope_004[[#This Row],[FECHA]]&gt;0,TEXT(C_Ope_004[[#This Row],[FECHA]],"mmmm"),0)</f>
        <v>Abril</v>
      </c>
    </row>
    <row r="119" spans="2:28" ht="24" x14ac:dyDescent="0.3">
      <c r="B119" s="2">
        <f>IF(C_Ope_004[[#This Row],[TIPO DE R.]]="R",COUNTIFS($D$4:$D118,"R")+1,"")</f>
        <v>115</v>
      </c>
      <c r="C119" s="19" t="str">
        <f t="shared" si="17"/>
        <v>C_Ope_004</v>
      </c>
      <c r="D119" s="3" t="s">
        <v>1074</v>
      </c>
      <c r="E119" s="14">
        <v>45749</v>
      </c>
      <c r="F119" s="5" t="s">
        <v>7102</v>
      </c>
      <c r="G119" s="5" t="s">
        <v>1079</v>
      </c>
      <c r="H119" s="6"/>
      <c r="I119" s="6" t="s">
        <v>14</v>
      </c>
      <c r="J119" s="6" t="s">
        <v>6936</v>
      </c>
      <c r="K119" s="6">
        <v>3694704</v>
      </c>
      <c r="L119" s="7" t="s">
        <v>6951</v>
      </c>
      <c r="M119" s="8">
        <v>23734</v>
      </c>
      <c r="N119" s="8" t="str">
        <f t="shared" si="14"/>
        <v>PEN</v>
      </c>
      <c r="O119" s="13"/>
      <c r="P119" s="13">
        <v>15</v>
      </c>
      <c r="Q119" s="3">
        <f t="shared" si="15"/>
        <v>0</v>
      </c>
      <c r="R119" s="3">
        <f t="shared" si="16"/>
        <v>15</v>
      </c>
      <c r="S119" s="3">
        <f t="shared" si="12"/>
        <v>124.3900000000001</v>
      </c>
      <c r="T119" s="24"/>
      <c r="U119" s="24"/>
      <c r="V119" s="3"/>
      <c r="W119" s="25" t="s">
        <v>6950</v>
      </c>
      <c r="X119" s="25"/>
      <c r="Y119" s="25" t="str">
        <f>IFERROR(VLOOKUP(C_Ope_004[[#This Row],[NOTA 2]],Clientes_Proveedores[[Ruc / Dni]:[Razon Social]],2,0),"")</f>
        <v/>
      </c>
      <c r="Z119" s="25"/>
      <c r="AA119" s="25"/>
      <c r="AB119" s="3" t="str">
        <f>IF(C_Ope_004[[#This Row],[FECHA]]&gt;0,TEXT(C_Ope_004[[#This Row],[FECHA]],"mmmm"),0)</f>
        <v>Abril</v>
      </c>
    </row>
    <row r="120" spans="2:28" ht="24" x14ac:dyDescent="0.3">
      <c r="B120" s="2">
        <f>IF(C_Ope_004[[#This Row],[TIPO DE R.]]="R",COUNTIFS($D$4:$D119,"R")+1,"")</f>
        <v>116</v>
      </c>
      <c r="C120" s="19" t="str">
        <f t="shared" si="17"/>
        <v>C_Ope_004</v>
      </c>
      <c r="D120" s="3" t="s">
        <v>1074</v>
      </c>
      <c r="E120" s="14">
        <v>45749</v>
      </c>
      <c r="F120" s="5" t="s">
        <v>7102</v>
      </c>
      <c r="G120" s="5" t="s">
        <v>1079</v>
      </c>
      <c r="H120" s="6"/>
      <c r="I120" s="6" t="s">
        <v>14</v>
      </c>
      <c r="J120" s="6" t="s">
        <v>6985</v>
      </c>
      <c r="K120" s="6">
        <v>2961603</v>
      </c>
      <c r="L120" s="7" t="s">
        <v>6949</v>
      </c>
      <c r="M120" s="8">
        <v>23735</v>
      </c>
      <c r="N120" s="8" t="str">
        <f t="shared" si="14"/>
        <v>PEN</v>
      </c>
      <c r="O120" s="13"/>
      <c r="P120" s="13">
        <v>15</v>
      </c>
      <c r="Q120" s="3">
        <f t="shared" si="15"/>
        <v>0</v>
      </c>
      <c r="R120" s="3">
        <f t="shared" si="16"/>
        <v>15</v>
      </c>
      <c r="S120" s="3">
        <f t="shared" si="12"/>
        <v>109.3900000000001</v>
      </c>
      <c r="T120" s="24"/>
      <c r="U120" s="24"/>
      <c r="V120" s="3"/>
      <c r="W120" s="25" t="s">
        <v>6950</v>
      </c>
      <c r="X120" s="25"/>
      <c r="Y120" s="25" t="str">
        <f>IFERROR(VLOOKUP(C_Ope_004[[#This Row],[NOTA 2]],Clientes_Proveedores[[Ruc / Dni]:[Razon Social]],2,0),"")</f>
        <v/>
      </c>
      <c r="Z120" s="25"/>
      <c r="AA120" s="25"/>
      <c r="AB120" s="3" t="str">
        <f>IF(C_Ope_004[[#This Row],[FECHA]]&gt;0,TEXT(C_Ope_004[[#This Row],[FECHA]],"mmmm"),0)</f>
        <v>Abril</v>
      </c>
    </row>
    <row r="121" spans="2:28" x14ac:dyDescent="0.3">
      <c r="B121" s="2">
        <f>IF(C_Ope_004[[#This Row],[TIPO DE R.]]="R",COUNTIFS($D$4:$D120,"R")+1,"")</f>
        <v>117</v>
      </c>
      <c r="C121" s="19" t="str">
        <f t="shared" si="17"/>
        <v>C_Ope_004</v>
      </c>
      <c r="D121" s="3" t="s">
        <v>1074</v>
      </c>
      <c r="E121" s="14">
        <v>45755</v>
      </c>
      <c r="F121" s="5" t="s">
        <v>6299</v>
      </c>
      <c r="G121" s="5" t="s">
        <v>1087</v>
      </c>
      <c r="H121" s="6"/>
      <c r="I121" s="6"/>
      <c r="J121" s="6"/>
      <c r="K121" s="6"/>
      <c r="L121" s="7" t="s">
        <v>7113</v>
      </c>
      <c r="M121" s="8">
        <v>23841</v>
      </c>
      <c r="N121" s="8" t="str">
        <f t="shared" si="14"/>
        <v>PEN</v>
      </c>
      <c r="O121" s="13"/>
      <c r="P121" s="13">
        <v>100</v>
      </c>
      <c r="Q121" s="3">
        <f t="shared" si="15"/>
        <v>100</v>
      </c>
      <c r="R121" s="3">
        <f t="shared" si="16"/>
        <v>0</v>
      </c>
      <c r="S121" s="3">
        <f t="shared" si="12"/>
        <v>209.3900000000001</v>
      </c>
      <c r="T121" s="24"/>
      <c r="U121" s="24"/>
      <c r="V121" s="3"/>
      <c r="W121" s="25"/>
      <c r="X121" s="25"/>
      <c r="Y121" s="25" t="str">
        <f>IFERROR(VLOOKUP(C_Ope_004[[#This Row],[NOTA 2]],Clientes_Proveedores[[Ruc / Dni]:[Razon Social]],2,0),"")</f>
        <v/>
      </c>
      <c r="Z121" s="25"/>
      <c r="AA121" s="25"/>
      <c r="AB121" s="3" t="str">
        <f>IF(C_Ope_004[[#This Row],[FECHA]]&gt;0,TEXT(C_Ope_004[[#This Row],[FECHA]],"mmmm"),0)</f>
        <v>Abril</v>
      </c>
    </row>
    <row r="122" spans="2:28" ht="24" x14ac:dyDescent="0.3">
      <c r="B122" s="2">
        <f>IF(C_Ope_004[[#This Row],[TIPO DE R.]]="R",COUNTIFS($D$4:$D121,"R")+1,"")</f>
        <v>118</v>
      </c>
      <c r="C122" s="19" t="str">
        <f t="shared" si="17"/>
        <v>C_Ope_004</v>
      </c>
      <c r="D122" s="3" t="s">
        <v>1074</v>
      </c>
      <c r="E122" s="14">
        <v>45761</v>
      </c>
      <c r="F122" s="5" t="s">
        <v>7102</v>
      </c>
      <c r="G122" s="5" t="s">
        <v>1079</v>
      </c>
      <c r="H122" s="6"/>
      <c r="I122" s="6" t="s">
        <v>14</v>
      </c>
      <c r="J122" s="6" t="s">
        <v>5130</v>
      </c>
      <c r="K122" s="6">
        <v>1143004</v>
      </c>
      <c r="L122" s="7" t="s">
        <v>7108</v>
      </c>
      <c r="M122" s="8">
        <v>23929</v>
      </c>
      <c r="N122" s="8" t="str">
        <f t="shared" si="14"/>
        <v>PEN</v>
      </c>
      <c r="O122" s="13"/>
      <c r="P122" s="13">
        <v>15</v>
      </c>
      <c r="Q122" s="3">
        <f t="shared" si="15"/>
        <v>0</v>
      </c>
      <c r="R122" s="3">
        <f t="shared" si="16"/>
        <v>15</v>
      </c>
      <c r="S122" s="3">
        <f t="shared" si="12"/>
        <v>194.3900000000001</v>
      </c>
      <c r="T122" s="24"/>
      <c r="U122" s="24"/>
      <c r="V122" s="3"/>
      <c r="W122" s="25" t="s">
        <v>6950</v>
      </c>
      <c r="X122" s="25"/>
      <c r="Y122" s="25" t="str">
        <f>IFERROR(VLOOKUP(C_Ope_004[[#This Row],[NOTA 2]],Clientes_Proveedores[[Ruc / Dni]:[Razon Social]],2,0),"")</f>
        <v/>
      </c>
      <c r="Z122" s="25"/>
      <c r="AA122" s="25"/>
      <c r="AB122" s="3" t="str">
        <f>IF(C_Ope_004[[#This Row],[FECHA]]&gt;0,TEXT(C_Ope_004[[#This Row],[FECHA]],"mmmm"),0)</f>
        <v>Abril</v>
      </c>
    </row>
    <row r="123" spans="2:28" ht="24" x14ac:dyDescent="0.3">
      <c r="B123" s="2">
        <f>IF(C_Ope_004[[#This Row],[TIPO DE R.]]="R",COUNTIFS($D$4:$D122,"R")+1,"")</f>
        <v>119</v>
      </c>
      <c r="C123" s="19" t="str">
        <f t="shared" si="17"/>
        <v>C_Ope_004</v>
      </c>
      <c r="D123" s="3" t="s">
        <v>1074</v>
      </c>
      <c r="E123" s="14">
        <v>45761</v>
      </c>
      <c r="F123" s="5" t="s">
        <v>7102</v>
      </c>
      <c r="G123" s="5" t="s">
        <v>1079</v>
      </c>
      <c r="H123" s="6"/>
      <c r="I123" s="6" t="s">
        <v>14</v>
      </c>
      <c r="J123" s="6" t="s">
        <v>7118</v>
      </c>
      <c r="K123" s="6">
        <v>1524588</v>
      </c>
      <c r="L123" s="7" t="s">
        <v>7125</v>
      </c>
      <c r="M123" s="8">
        <v>23930</v>
      </c>
      <c r="N123" s="8" t="str">
        <f t="shared" si="14"/>
        <v>PEN</v>
      </c>
      <c r="O123" s="13"/>
      <c r="P123" s="13">
        <v>15</v>
      </c>
      <c r="Q123" s="3">
        <f t="shared" si="15"/>
        <v>0</v>
      </c>
      <c r="R123" s="3">
        <f t="shared" si="16"/>
        <v>15</v>
      </c>
      <c r="S123" s="3">
        <f t="shared" si="12"/>
        <v>179.3900000000001</v>
      </c>
      <c r="T123" s="24"/>
      <c r="U123" s="24"/>
      <c r="V123" s="3"/>
      <c r="W123" s="25" t="s">
        <v>6950</v>
      </c>
      <c r="X123" s="25"/>
      <c r="Y123" s="25" t="str">
        <f>IFERROR(VLOOKUP(C_Ope_004[[#This Row],[NOTA 2]],Clientes_Proveedores[[Ruc / Dni]:[Razon Social]],2,0),"")</f>
        <v/>
      </c>
      <c r="Z123" s="25"/>
      <c r="AA123" s="25"/>
      <c r="AB123" s="3" t="str">
        <f>IF(C_Ope_004[[#This Row],[FECHA]]&gt;0,TEXT(C_Ope_004[[#This Row],[FECHA]],"mmmm"),0)</f>
        <v>Abril</v>
      </c>
    </row>
    <row r="124" spans="2:28" ht="24" x14ac:dyDescent="0.3">
      <c r="B124" s="2">
        <f>IF(C_Ope_004[[#This Row],[TIPO DE R.]]="R",COUNTIFS($D$4:$D123,"R")+1,"")</f>
        <v>120</v>
      </c>
      <c r="C124" s="19" t="str">
        <f t="shared" si="17"/>
        <v>C_Ope_004</v>
      </c>
      <c r="D124" s="3" t="s">
        <v>1074</v>
      </c>
      <c r="E124" s="14">
        <v>45762</v>
      </c>
      <c r="F124" s="5" t="s">
        <v>7102</v>
      </c>
      <c r="G124" s="5" t="s">
        <v>1079</v>
      </c>
      <c r="H124" s="6"/>
      <c r="I124" s="6" t="s">
        <v>14</v>
      </c>
      <c r="J124" s="6" t="s">
        <v>7115</v>
      </c>
      <c r="K124" s="6">
        <v>1222953</v>
      </c>
      <c r="L124" s="7" t="s">
        <v>7108</v>
      </c>
      <c r="M124" s="8">
        <v>23931</v>
      </c>
      <c r="N124" s="8" t="str">
        <f t="shared" si="14"/>
        <v>PEN</v>
      </c>
      <c r="O124" s="13"/>
      <c r="P124" s="13">
        <v>15</v>
      </c>
      <c r="Q124" s="3">
        <f t="shared" si="15"/>
        <v>0</v>
      </c>
      <c r="R124" s="3">
        <f t="shared" si="16"/>
        <v>15</v>
      </c>
      <c r="S124" s="3">
        <f t="shared" si="12"/>
        <v>164.3900000000001</v>
      </c>
      <c r="T124" s="24"/>
      <c r="U124" s="24"/>
      <c r="V124" s="3"/>
      <c r="W124" s="25" t="s">
        <v>6950</v>
      </c>
      <c r="X124" s="25"/>
      <c r="Y124" s="25" t="str">
        <f>IFERROR(VLOOKUP(C_Ope_004[[#This Row],[NOTA 2]],Clientes_Proveedores[[Ruc / Dni]:[Razon Social]],2,0),"")</f>
        <v/>
      </c>
      <c r="Z124" s="25"/>
      <c r="AA124" s="25"/>
      <c r="AB124" s="3" t="str">
        <f>IF(C_Ope_004[[#This Row],[FECHA]]&gt;0,TEXT(C_Ope_004[[#This Row],[FECHA]],"mmmm"),0)</f>
        <v>Abril</v>
      </c>
    </row>
    <row r="125" spans="2:28" ht="24" x14ac:dyDescent="0.3">
      <c r="B125" s="2">
        <f>IF(C_Ope_004[[#This Row],[TIPO DE R.]]="R",COUNTIFS($D$4:$D124,"R")+1,"")</f>
        <v>121</v>
      </c>
      <c r="C125" s="19" t="str">
        <f t="shared" si="17"/>
        <v>C_Ope_004</v>
      </c>
      <c r="D125" s="3" t="s">
        <v>1074</v>
      </c>
      <c r="E125" s="14">
        <v>45762</v>
      </c>
      <c r="F125" s="5" t="s">
        <v>7102</v>
      </c>
      <c r="G125" s="5" t="s">
        <v>1079</v>
      </c>
      <c r="H125" s="6"/>
      <c r="I125" s="6" t="s">
        <v>14</v>
      </c>
      <c r="J125" s="6" t="s">
        <v>6985</v>
      </c>
      <c r="K125" s="6">
        <v>2973416</v>
      </c>
      <c r="L125" s="7" t="s">
        <v>7125</v>
      </c>
      <c r="M125" s="8">
        <v>23932</v>
      </c>
      <c r="N125" s="8" t="str">
        <f t="shared" si="14"/>
        <v>PEN</v>
      </c>
      <c r="O125" s="13"/>
      <c r="P125" s="13">
        <v>15</v>
      </c>
      <c r="Q125" s="3">
        <f t="shared" si="15"/>
        <v>0</v>
      </c>
      <c r="R125" s="3">
        <f t="shared" si="16"/>
        <v>15</v>
      </c>
      <c r="S125" s="3">
        <f t="shared" si="12"/>
        <v>149.3900000000001</v>
      </c>
      <c r="T125" s="24"/>
      <c r="U125" s="24"/>
      <c r="V125" s="3"/>
      <c r="W125" s="25" t="s">
        <v>6950</v>
      </c>
      <c r="X125" s="25"/>
      <c r="Y125" s="25" t="str">
        <f>IFERROR(VLOOKUP(C_Ope_004[[#This Row],[NOTA 2]],Clientes_Proveedores[[Ruc / Dni]:[Razon Social]],2,0),"")</f>
        <v/>
      </c>
      <c r="Z125" s="25"/>
      <c r="AA125" s="25"/>
      <c r="AB125" s="3" t="str">
        <f>IF(C_Ope_004[[#This Row],[FECHA]]&gt;0,TEXT(C_Ope_004[[#This Row],[FECHA]],"mmmm"),0)</f>
        <v>Abril</v>
      </c>
    </row>
    <row r="126" spans="2:28" x14ac:dyDescent="0.3">
      <c r="B126" s="2">
        <f>IF(C_Ope_004[[#This Row],[TIPO DE R.]]="R",COUNTIFS($D$4:$D125,"R")+1,"")</f>
        <v>122</v>
      </c>
      <c r="C126" s="19" t="str">
        <f t="shared" si="17"/>
        <v>C_Ope_004</v>
      </c>
      <c r="D126" s="3" t="s">
        <v>1074</v>
      </c>
      <c r="E126" s="14">
        <v>45763</v>
      </c>
      <c r="F126" s="5" t="s">
        <v>7102</v>
      </c>
      <c r="G126" s="5" t="s">
        <v>1079</v>
      </c>
      <c r="H126" s="6"/>
      <c r="I126" s="6" t="s">
        <v>14</v>
      </c>
      <c r="J126" s="6" t="s">
        <v>2789</v>
      </c>
      <c r="K126" s="6">
        <v>40569</v>
      </c>
      <c r="L126" s="7" t="s">
        <v>7137</v>
      </c>
      <c r="M126" s="8">
        <v>23933</v>
      </c>
      <c r="N126" s="8" t="str">
        <f t="shared" si="14"/>
        <v>PEN</v>
      </c>
      <c r="O126" s="13"/>
      <c r="P126" s="13">
        <v>55</v>
      </c>
      <c r="Q126" s="3">
        <f t="shared" si="15"/>
        <v>0</v>
      </c>
      <c r="R126" s="3">
        <f t="shared" si="16"/>
        <v>55</v>
      </c>
      <c r="S126" s="3">
        <f t="shared" si="12"/>
        <v>94.3900000000001</v>
      </c>
      <c r="T126" s="24"/>
      <c r="U126" s="24"/>
      <c r="V126" s="3"/>
      <c r="W126" s="25" t="s">
        <v>6950</v>
      </c>
      <c r="X126" s="25"/>
      <c r="Y126" s="25" t="str">
        <f>IFERROR(VLOOKUP(C_Ope_004[[#This Row],[NOTA 2]],Clientes_Proveedores[[Ruc / Dni]:[Razon Social]],2,0),"")</f>
        <v/>
      </c>
      <c r="Z126" s="25"/>
      <c r="AA126" s="25"/>
      <c r="AB126" s="3" t="str">
        <f>IF(C_Ope_004[[#This Row],[FECHA]]&gt;0,TEXT(C_Ope_004[[#This Row],[FECHA]],"mmmm"),0)</f>
        <v>Abril</v>
      </c>
    </row>
    <row r="127" spans="2:28" x14ac:dyDescent="0.3">
      <c r="B127" s="2">
        <f>IF(C_Ope_004[[#This Row],[TIPO DE R.]]="R",COUNTIFS($D$4:$D126,"R")+1,"")</f>
        <v>123</v>
      </c>
      <c r="C127" s="19" t="str">
        <f t="shared" si="17"/>
        <v>C_Ope_004</v>
      </c>
      <c r="D127" s="3" t="s">
        <v>1074</v>
      </c>
      <c r="E127" s="14">
        <v>45769</v>
      </c>
      <c r="F127" s="5" t="s">
        <v>6299</v>
      </c>
      <c r="G127" s="5" t="s">
        <v>1087</v>
      </c>
      <c r="H127" s="6"/>
      <c r="I127" s="6"/>
      <c r="J127" s="6"/>
      <c r="K127" s="6"/>
      <c r="L127" s="7" t="s">
        <v>7113</v>
      </c>
      <c r="M127" s="8">
        <v>23999</v>
      </c>
      <c r="N127" s="8" t="str">
        <f t="shared" si="14"/>
        <v>PEN</v>
      </c>
      <c r="O127" s="13"/>
      <c r="P127" s="13">
        <v>110</v>
      </c>
      <c r="Q127" s="3">
        <f t="shared" si="15"/>
        <v>110</v>
      </c>
      <c r="R127" s="3">
        <f t="shared" si="16"/>
        <v>0</v>
      </c>
      <c r="S127" s="3">
        <f t="shared" si="12"/>
        <v>204.3900000000001</v>
      </c>
      <c r="T127" s="24"/>
      <c r="U127" s="24"/>
      <c r="V127" s="3"/>
      <c r="W127" s="25"/>
      <c r="X127" s="25"/>
      <c r="Y127" s="25" t="str">
        <f>IFERROR(VLOOKUP(C_Ope_004[[#This Row],[NOTA 2]],Clientes_Proveedores[[Ruc / Dni]:[Razon Social]],2,0),"")</f>
        <v/>
      </c>
      <c r="Z127" s="25"/>
      <c r="AA127" s="25"/>
      <c r="AB127" s="3" t="str">
        <f>IF(C_Ope_004[[#This Row],[FECHA]]&gt;0,TEXT(C_Ope_004[[#This Row],[FECHA]],"mmmm"),0)</f>
        <v>Abril</v>
      </c>
    </row>
    <row r="128" spans="2:28" ht="24" x14ac:dyDescent="0.3">
      <c r="B128" s="2">
        <f>IF(C_Ope_004[[#This Row],[TIPO DE R.]]="R",COUNTIFS($D$4:$D127,"R")+1,"")</f>
        <v>124</v>
      </c>
      <c r="C128" s="19" t="str">
        <f t="shared" si="17"/>
        <v>C_Ope_004</v>
      </c>
      <c r="D128" s="3" t="s">
        <v>1074</v>
      </c>
      <c r="E128" s="14">
        <v>45768</v>
      </c>
      <c r="F128" s="5" t="s">
        <v>7102</v>
      </c>
      <c r="G128" s="5" t="s">
        <v>1079</v>
      </c>
      <c r="H128" s="6"/>
      <c r="I128" s="6" t="s">
        <v>14</v>
      </c>
      <c r="J128" s="6" t="s">
        <v>7112</v>
      </c>
      <c r="K128" s="6">
        <v>633047</v>
      </c>
      <c r="L128" s="7" t="s">
        <v>6951</v>
      </c>
      <c r="M128" s="8">
        <v>24000</v>
      </c>
      <c r="N128" s="8" t="str">
        <f t="shared" si="14"/>
        <v>PEN</v>
      </c>
      <c r="O128" s="13"/>
      <c r="P128" s="13">
        <v>15</v>
      </c>
      <c r="Q128" s="3">
        <f t="shared" si="15"/>
        <v>0</v>
      </c>
      <c r="R128" s="3">
        <f t="shared" si="16"/>
        <v>15</v>
      </c>
      <c r="S128" s="3">
        <f t="shared" si="12"/>
        <v>189.3900000000001</v>
      </c>
      <c r="T128" s="24"/>
      <c r="U128" s="24"/>
      <c r="V128" s="3"/>
      <c r="W128" s="25" t="s">
        <v>6950</v>
      </c>
      <c r="X128" s="25"/>
      <c r="Y128" s="25" t="str">
        <f>IFERROR(VLOOKUP(C_Ope_004[[#This Row],[NOTA 2]],Clientes_Proveedores[[Ruc / Dni]:[Razon Social]],2,0),"")</f>
        <v/>
      </c>
      <c r="Z128" s="25"/>
      <c r="AA128" s="25"/>
      <c r="AB128" s="3" t="str">
        <f>IF(C_Ope_004[[#This Row],[FECHA]]&gt;0,TEXT(C_Ope_004[[#This Row],[FECHA]],"mmmm"),0)</f>
        <v>Abril</v>
      </c>
    </row>
    <row r="129" spans="2:28" ht="24" x14ac:dyDescent="0.3">
      <c r="B129" s="2">
        <f>IF(C_Ope_004[[#This Row],[TIPO DE R.]]="R",COUNTIFS($D$4:$D128,"R")+1,"")</f>
        <v>125</v>
      </c>
      <c r="C129" s="19" t="str">
        <f t="shared" si="17"/>
        <v>C_Ope_004</v>
      </c>
      <c r="D129" s="3" t="s">
        <v>1074</v>
      </c>
      <c r="E129" s="14">
        <v>45768</v>
      </c>
      <c r="F129" s="5" t="s">
        <v>7102</v>
      </c>
      <c r="G129" s="5" t="s">
        <v>1079</v>
      </c>
      <c r="H129" s="6"/>
      <c r="I129" s="6" t="s">
        <v>14</v>
      </c>
      <c r="J129" s="6" t="s">
        <v>7103</v>
      </c>
      <c r="K129" s="6">
        <v>3683669</v>
      </c>
      <c r="L129" s="7" t="s">
        <v>6949</v>
      </c>
      <c r="M129" s="8">
        <v>24001</v>
      </c>
      <c r="N129" s="8" t="str">
        <f t="shared" si="14"/>
        <v>PEN</v>
      </c>
      <c r="O129" s="13"/>
      <c r="P129" s="13">
        <v>15</v>
      </c>
      <c r="Q129" s="3">
        <f t="shared" si="15"/>
        <v>0</v>
      </c>
      <c r="R129" s="3">
        <f t="shared" si="16"/>
        <v>15</v>
      </c>
      <c r="S129" s="3">
        <f t="shared" si="12"/>
        <v>174.3900000000001</v>
      </c>
      <c r="T129" s="24"/>
      <c r="U129" s="24"/>
      <c r="V129" s="3"/>
      <c r="W129" s="25" t="s">
        <v>6950</v>
      </c>
      <c r="X129" s="25"/>
      <c r="Y129" s="25" t="str">
        <f>IFERROR(VLOOKUP(C_Ope_004[[#This Row],[NOTA 2]],Clientes_Proveedores[[Ruc / Dni]:[Razon Social]],2,0),"")</f>
        <v/>
      </c>
      <c r="Z129" s="25"/>
      <c r="AA129" s="25"/>
      <c r="AB129" s="3" t="str">
        <f>IF(C_Ope_004[[#This Row],[FECHA]]&gt;0,TEXT(C_Ope_004[[#This Row],[FECHA]],"mmmm"),0)</f>
        <v>Abril</v>
      </c>
    </row>
    <row r="130" spans="2:28" ht="24" x14ac:dyDescent="0.3">
      <c r="B130" s="2">
        <f>IF(C_Ope_004[[#This Row],[TIPO DE R.]]="R",COUNTIFS($D$4:$D129,"R")+1,"")</f>
        <v>126</v>
      </c>
      <c r="C130" s="19" t="str">
        <f t="shared" si="17"/>
        <v>C_Ope_004</v>
      </c>
      <c r="D130" s="3" t="s">
        <v>1074</v>
      </c>
      <c r="E130" s="14">
        <v>45771</v>
      </c>
      <c r="F130" s="5" t="s">
        <v>7102</v>
      </c>
      <c r="G130" s="5" t="s">
        <v>1079</v>
      </c>
      <c r="H130" s="6"/>
      <c r="I130" s="6" t="s">
        <v>14</v>
      </c>
      <c r="J130" s="6" t="s">
        <v>7121</v>
      </c>
      <c r="K130" s="6">
        <v>2347587</v>
      </c>
      <c r="L130" s="7" t="s">
        <v>7108</v>
      </c>
      <c r="M130" s="8">
        <v>24002</v>
      </c>
      <c r="N130" s="8" t="str">
        <f t="shared" si="14"/>
        <v>PEN</v>
      </c>
      <c r="O130" s="13"/>
      <c r="P130" s="13">
        <v>15</v>
      </c>
      <c r="Q130" s="3">
        <f t="shared" si="15"/>
        <v>0</v>
      </c>
      <c r="R130" s="3">
        <f t="shared" si="16"/>
        <v>15</v>
      </c>
      <c r="S130" s="3">
        <f t="shared" si="12"/>
        <v>159.3900000000001</v>
      </c>
      <c r="T130" s="24"/>
      <c r="U130" s="24"/>
      <c r="V130" s="3"/>
      <c r="W130" s="25" t="s">
        <v>6950</v>
      </c>
      <c r="X130" s="25"/>
      <c r="Y130" s="25" t="str">
        <f>IFERROR(VLOOKUP(C_Ope_004[[#This Row],[NOTA 2]],Clientes_Proveedores[[Ruc / Dni]:[Razon Social]],2,0),"")</f>
        <v/>
      </c>
      <c r="Z130" s="25"/>
      <c r="AA130" s="25"/>
      <c r="AB130" s="3" t="str">
        <f>IF(C_Ope_004[[#This Row],[FECHA]]&gt;0,TEXT(C_Ope_004[[#This Row],[FECHA]],"mmmm"),0)</f>
        <v>Abril</v>
      </c>
    </row>
    <row r="131" spans="2:28" ht="24" x14ac:dyDescent="0.3">
      <c r="B131" s="2">
        <f>IF(C_Ope_004[[#This Row],[TIPO DE R.]]="R",COUNTIFS($D$4:$D130,"R")+1,"")</f>
        <v>127</v>
      </c>
      <c r="C131" s="19" t="str">
        <f t="shared" si="17"/>
        <v>C_Ope_004</v>
      </c>
      <c r="D131" s="3" t="s">
        <v>1074</v>
      </c>
      <c r="E131" s="14">
        <v>45771</v>
      </c>
      <c r="F131" s="5" t="s">
        <v>7102</v>
      </c>
      <c r="G131" s="5" t="s">
        <v>1079</v>
      </c>
      <c r="H131" s="6"/>
      <c r="I131" s="6" t="s">
        <v>14</v>
      </c>
      <c r="J131" s="6" t="s">
        <v>6927</v>
      </c>
      <c r="K131" s="6">
        <v>570306</v>
      </c>
      <c r="L131" s="7" t="s">
        <v>7125</v>
      </c>
      <c r="M131" s="8">
        <v>24003</v>
      </c>
      <c r="N131" s="8" t="str">
        <f t="shared" si="14"/>
        <v>PEN</v>
      </c>
      <c r="O131" s="13"/>
      <c r="P131" s="13">
        <v>15</v>
      </c>
      <c r="Q131" s="3">
        <f t="shared" si="15"/>
        <v>0</v>
      </c>
      <c r="R131" s="3">
        <f t="shared" si="16"/>
        <v>15</v>
      </c>
      <c r="S131" s="3">
        <f t="shared" si="12"/>
        <v>144.3900000000001</v>
      </c>
      <c r="T131" s="24"/>
      <c r="U131" s="24"/>
      <c r="V131" s="3"/>
      <c r="W131" s="25" t="s">
        <v>6950</v>
      </c>
      <c r="X131" s="25"/>
      <c r="Y131" s="25" t="str">
        <f>IFERROR(VLOOKUP(C_Ope_004[[#This Row],[NOTA 2]],Clientes_Proveedores[[Ruc / Dni]:[Razon Social]],2,0),"")</f>
        <v/>
      </c>
      <c r="Z131" s="25"/>
      <c r="AA131" s="25"/>
      <c r="AB131" s="3" t="str">
        <f>IF(C_Ope_004[[#This Row],[FECHA]]&gt;0,TEXT(C_Ope_004[[#This Row],[FECHA]],"mmmm"),0)</f>
        <v>Abril</v>
      </c>
    </row>
    <row r="132" spans="2:28" ht="24" x14ac:dyDescent="0.3">
      <c r="B132" s="2">
        <f>IF(C_Ope_004[[#This Row],[TIPO DE R.]]="R",COUNTIFS($D$4:$D131,"R")+1,"")</f>
        <v>128</v>
      </c>
      <c r="C132" s="19" t="str">
        <f t="shared" si="17"/>
        <v>C_Ope_004</v>
      </c>
      <c r="D132" s="3" t="s">
        <v>1074</v>
      </c>
      <c r="E132" s="14">
        <v>45772</v>
      </c>
      <c r="F132" s="5" t="s">
        <v>7102</v>
      </c>
      <c r="G132" s="5" t="s">
        <v>1079</v>
      </c>
      <c r="H132" s="6"/>
      <c r="I132" s="6" t="s">
        <v>14</v>
      </c>
      <c r="J132" s="6" t="s">
        <v>7115</v>
      </c>
      <c r="K132" s="6">
        <v>1227104</v>
      </c>
      <c r="L132" s="7" t="s">
        <v>7108</v>
      </c>
      <c r="M132" s="8">
        <v>24008</v>
      </c>
      <c r="N132" s="8" t="str">
        <f t="shared" si="14"/>
        <v>PEN</v>
      </c>
      <c r="O132" s="13"/>
      <c r="P132" s="13">
        <v>15</v>
      </c>
      <c r="Q132" s="3">
        <f t="shared" si="15"/>
        <v>0</v>
      </c>
      <c r="R132" s="3">
        <f t="shared" si="16"/>
        <v>15</v>
      </c>
      <c r="S132" s="3">
        <f t="shared" si="12"/>
        <v>129.3900000000001</v>
      </c>
      <c r="T132" s="24"/>
      <c r="U132" s="24"/>
      <c r="V132" s="3"/>
      <c r="W132" s="25" t="s">
        <v>6950</v>
      </c>
      <c r="X132" s="25"/>
      <c r="Y132" s="25" t="str">
        <f>IFERROR(VLOOKUP(C_Ope_004[[#This Row],[NOTA 2]],Clientes_Proveedores[[Ruc / Dni]:[Razon Social]],2,0),"")</f>
        <v/>
      </c>
      <c r="Z132" s="25"/>
      <c r="AA132" s="25"/>
      <c r="AB132" s="3" t="str">
        <f>IF(C_Ope_004[[#This Row],[FECHA]]&gt;0,TEXT(C_Ope_004[[#This Row],[FECHA]],"mmmm"),0)</f>
        <v>Abril</v>
      </c>
    </row>
    <row r="133" spans="2:28" ht="24" x14ac:dyDescent="0.3">
      <c r="B133" s="2">
        <f>IF(C_Ope_004[[#This Row],[TIPO DE R.]]="R",COUNTIFS($D$4:$D132,"R")+1,"")</f>
        <v>129</v>
      </c>
      <c r="C133" s="19" t="str">
        <f t="shared" si="17"/>
        <v>C_Ope_004</v>
      </c>
      <c r="D133" s="3" t="s">
        <v>1074</v>
      </c>
      <c r="E133" s="14">
        <v>45772</v>
      </c>
      <c r="F133" s="5" t="s">
        <v>7102</v>
      </c>
      <c r="G133" s="5" t="s">
        <v>1079</v>
      </c>
      <c r="H133" s="6"/>
      <c r="I133" s="6" t="s">
        <v>14</v>
      </c>
      <c r="J133" s="6" t="s">
        <v>7041</v>
      </c>
      <c r="K133" s="6">
        <v>2250231</v>
      </c>
      <c r="L133" s="7" t="s">
        <v>7125</v>
      </c>
      <c r="M133" s="8">
        <v>24009</v>
      </c>
      <c r="N133" s="8" t="str">
        <f t="shared" ref="N133:N164" si="18">"PEN"</f>
        <v>PEN</v>
      </c>
      <c r="O133" s="13"/>
      <c r="P133" s="13">
        <v>15</v>
      </c>
      <c r="Q133" s="3">
        <f t="shared" ref="Q133:Q164" si="19">+IF(OR($G133="SALDO",$G133="INGRESO"),$P133,0)</f>
        <v>0</v>
      </c>
      <c r="R133" s="3">
        <f t="shared" ref="R133:R164" si="20">+IF($G133="EGRESO",$P133,0)</f>
        <v>15</v>
      </c>
      <c r="S133" s="3">
        <f t="shared" ref="S133:S196" si="21">IFERROR(IF(G133="SALDO",Q133,S132+Q133-R133),0)</f>
        <v>114.3900000000001</v>
      </c>
      <c r="T133" s="24"/>
      <c r="U133" s="24"/>
      <c r="V133" s="3"/>
      <c r="W133" s="25" t="s">
        <v>6950</v>
      </c>
      <c r="X133" s="25"/>
      <c r="Y133" s="25" t="str">
        <f>IFERROR(VLOOKUP(C_Ope_004[[#This Row],[NOTA 2]],Clientes_Proveedores[[Ruc / Dni]:[Razon Social]],2,0),"")</f>
        <v/>
      </c>
      <c r="Z133" s="25"/>
      <c r="AA133" s="25"/>
      <c r="AB133" s="3" t="str">
        <f>IF(C_Ope_004[[#This Row],[FECHA]]&gt;0,TEXT(C_Ope_004[[#This Row],[FECHA]],"mmmm"),0)</f>
        <v>Abril</v>
      </c>
    </row>
    <row r="134" spans="2:28" x14ac:dyDescent="0.3">
      <c r="B134" s="2">
        <f>IF(C_Ope_004[[#This Row],[TIPO DE R.]]="R",COUNTIFS($D$4:$D133,"R")+1,"")</f>
        <v>130</v>
      </c>
      <c r="C134" s="19" t="str">
        <f t="shared" ref="C134:C165" si="22">"C_Ope_004"</f>
        <v>C_Ope_004</v>
      </c>
      <c r="D134" s="3" t="s">
        <v>1074</v>
      </c>
      <c r="E134" s="14">
        <v>45772</v>
      </c>
      <c r="F134" s="5" t="s">
        <v>7102</v>
      </c>
      <c r="G134" s="5" t="s">
        <v>1079</v>
      </c>
      <c r="H134" s="6"/>
      <c r="I134" s="6" t="s">
        <v>14</v>
      </c>
      <c r="J134" s="6" t="s">
        <v>2789</v>
      </c>
      <c r="K134" s="6">
        <v>40707</v>
      </c>
      <c r="L134" s="7" t="s">
        <v>7138</v>
      </c>
      <c r="M134" s="8">
        <v>24007</v>
      </c>
      <c r="N134" s="8" t="str">
        <f t="shared" si="18"/>
        <v>PEN</v>
      </c>
      <c r="O134" s="13"/>
      <c r="P134" s="13">
        <v>55</v>
      </c>
      <c r="Q134" s="3">
        <f t="shared" si="19"/>
        <v>0</v>
      </c>
      <c r="R134" s="3">
        <f t="shared" si="20"/>
        <v>55</v>
      </c>
      <c r="S134" s="3">
        <f t="shared" si="21"/>
        <v>59.3900000000001</v>
      </c>
      <c r="T134" s="24"/>
      <c r="U134" s="24"/>
      <c r="V134" s="3"/>
      <c r="W134" s="25" t="s">
        <v>6950</v>
      </c>
      <c r="X134" s="25"/>
      <c r="Y134" s="25" t="str">
        <f>IFERROR(VLOOKUP(C_Ope_004[[#This Row],[NOTA 2]],Clientes_Proveedores[[Ruc / Dni]:[Razon Social]],2,0),"")</f>
        <v/>
      </c>
      <c r="Z134" s="25"/>
      <c r="AA134" s="25"/>
      <c r="AB134" s="3" t="str">
        <f>IF(C_Ope_004[[#This Row],[FECHA]]&gt;0,TEXT(C_Ope_004[[#This Row],[FECHA]],"mmmm"),0)</f>
        <v>Abril</v>
      </c>
    </row>
    <row r="135" spans="2:28" x14ac:dyDescent="0.3">
      <c r="B135" s="2">
        <f>IF(C_Ope_004[[#This Row],[TIPO DE R.]]="R",COUNTIFS($D$4:$D134,"R")+1,"")</f>
        <v>131</v>
      </c>
      <c r="C135" s="19" t="str">
        <f t="shared" si="22"/>
        <v>C_Ope_004</v>
      </c>
      <c r="D135" s="3" t="s">
        <v>1074</v>
      </c>
      <c r="E135" s="14">
        <v>45775</v>
      </c>
      <c r="F135" s="5" t="s">
        <v>6299</v>
      </c>
      <c r="G135" s="5" t="s">
        <v>1087</v>
      </c>
      <c r="H135" s="6"/>
      <c r="I135" s="6"/>
      <c r="J135" s="6"/>
      <c r="K135" s="6"/>
      <c r="L135" s="7" t="s">
        <v>7113</v>
      </c>
      <c r="M135" s="8">
        <v>24058</v>
      </c>
      <c r="N135" s="8" t="str">
        <f t="shared" si="18"/>
        <v>PEN</v>
      </c>
      <c r="O135" s="13"/>
      <c r="P135" s="13">
        <v>140</v>
      </c>
      <c r="Q135" s="3">
        <f t="shared" si="19"/>
        <v>140</v>
      </c>
      <c r="R135" s="3">
        <f t="shared" si="20"/>
        <v>0</v>
      </c>
      <c r="S135" s="3">
        <f t="shared" si="21"/>
        <v>199.3900000000001</v>
      </c>
      <c r="T135" s="24"/>
      <c r="U135" s="24"/>
      <c r="V135" s="3"/>
      <c r="W135" s="25"/>
      <c r="X135" s="25"/>
      <c r="Y135" s="25" t="str">
        <f>IFERROR(VLOOKUP(C_Ope_004[[#This Row],[NOTA 2]],Clientes_Proveedores[[Ruc / Dni]:[Razon Social]],2,0),"")</f>
        <v/>
      </c>
      <c r="Z135" s="25"/>
      <c r="AA135" s="25"/>
      <c r="AB135" s="3" t="str">
        <f>IF(C_Ope_004[[#This Row],[FECHA]]&gt;0,TEXT(C_Ope_004[[#This Row],[FECHA]],"mmmm"),0)</f>
        <v>Abril</v>
      </c>
    </row>
    <row r="136" spans="2:28" x14ac:dyDescent="0.3">
      <c r="B136" s="2">
        <f>IF(C_Ope_004[[#This Row],[TIPO DE R.]]="R",COUNTIFS($D$4:$D135,"R")+1,"")</f>
        <v>132</v>
      </c>
      <c r="C136" s="19" t="str">
        <f t="shared" si="22"/>
        <v>C_Ope_004</v>
      </c>
      <c r="D136" s="3" t="s">
        <v>1074</v>
      </c>
      <c r="E136" s="14">
        <v>45777</v>
      </c>
      <c r="F136" s="5" t="s">
        <v>6299</v>
      </c>
      <c r="G136" s="5" t="s">
        <v>1087</v>
      </c>
      <c r="H136" s="6"/>
      <c r="I136" s="6"/>
      <c r="J136" s="6"/>
      <c r="K136" s="6"/>
      <c r="L136" s="7" t="s">
        <v>7113</v>
      </c>
      <c r="M136" s="8">
        <v>24099</v>
      </c>
      <c r="N136" s="8" t="str">
        <f t="shared" si="18"/>
        <v>PEN</v>
      </c>
      <c r="O136" s="13"/>
      <c r="P136" s="13">
        <v>400</v>
      </c>
      <c r="Q136" s="3">
        <f t="shared" si="19"/>
        <v>400</v>
      </c>
      <c r="R136" s="3">
        <f t="shared" si="20"/>
        <v>0</v>
      </c>
      <c r="S136" s="3">
        <f t="shared" si="21"/>
        <v>599.3900000000001</v>
      </c>
      <c r="T136" s="24"/>
      <c r="U136" s="24"/>
      <c r="V136" s="3"/>
      <c r="W136" s="25"/>
      <c r="X136" s="25"/>
      <c r="Y136" s="25" t="str">
        <f>IFERROR(VLOOKUP(C_Ope_004[[#This Row],[NOTA 2]],Clientes_Proveedores[[Ruc / Dni]:[Razon Social]],2,0),"")</f>
        <v/>
      </c>
      <c r="Z136" s="25"/>
      <c r="AA136" s="25"/>
      <c r="AB136" s="3" t="str">
        <f>IF(C_Ope_004[[#This Row],[FECHA]]&gt;0,TEXT(C_Ope_004[[#This Row],[FECHA]],"mmmm"),0)</f>
        <v>Abril</v>
      </c>
    </row>
    <row r="137" spans="2:28" ht="24" x14ac:dyDescent="0.3">
      <c r="B137" s="2">
        <f>IF(C_Ope_004[[#This Row],[TIPO DE R.]]="R",COUNTIFS($D$4:$D136,"R")+1,"")</f>
        <v>133</v>
      </c>
      <c r="C137" s="19" t="str">
        <f t="shared" si="22"/>
        <v>C_Ope_004</v>
      </c>
      <c r="D137" s="3" t="s">
        <v>1074</v>
      </c>
      <c r="E137" s="14">
        <v>45779</v>
      </c>
      <c r="F137" s="5" t="s">
        <v>7102</v>
      </c>
      <c r="G137" s="5" t="s">
        <v>1079</v>
      </c>
      <c r="H137" s="6"/>
      <c r="I137" s="6" t="s">
        <v>14</v>
      </c>
      <c r="J137" s="6" t="s">
        <v>7112</v>
      </c>
      <c r="K137" s="6">
        <v>636538</v>
      </c>
      <c r="L137" s="7" t="s">
        <v>6951</v>
      </c>
      <c r="M137" s="8">
        <v>24100</v>
      </c>
      <c r="N137" s="8" t="str">
        <f t="shared" si="18"/>
        <v>PEN</v>
      </c>
      <c r="O137" s="13"/>
      <c r="P137" s="13">
        <v>15</v>
      </c>
      <c r="Q137" s="3">
        <f t="shared" si="19"/>
        <v>0</v>
      </c>
      <c r="R137" s="3">
        <f t="shared" si="20"/>
        <v>15</v>
      </c>
      <c r="S137" s="3">
        <f t="shared" si="21"/>
        <v>584.3900000000001</v>
      </c>
      <c r="T137" s="24"/>
      <c r="U137" s="24"/>
      <c r="V137" s="3"/>
      <c r="W137" s="25" t="s">
        <v>6950</v>
      </c>
      <c r="X137" s="25"/>
      <c r="Y137" s="25" t="str">
        <f>IFERROR(VLOOKUP(C_Ope_004[[#This Row],[NOTA 2]],Clientes_Proveedores[[Ruc / Dni]:[Razon Social]],2,0),"")</f>
        <v/>
      </c>
      <c r="Z137" s="25"/>
      <c r="AA137" s="25"/>
      <c r="AB137" s="3" t="str">
        <f>IF(C_Ope_004[[#This Row],[FECHA]]&gt;0,TEXT(C_Ope_004[[#This Row],[FECHA]],"mmmm"),0)</f>
        <v>Mayo</v>
      </c>
    </row>
    <row r="138" spans="2:28" ht="24" x14ac:dyDescent="0.3">
      <c r="B138" s="2">
        <f>IF(C_Ope_004[[#This Row],[TIPO DE R.]]="R",COUNTIFS($D$4:$D137,"R")+1,"")</f>
        <v>134</v>
      </c>
      <c r="C138" s="19" t="str">
        <f t="shared" si="22"/>
        <v>C_Ope_004</v>
      </c>
      <c r="D138" s="3" t="s">
        <v>1074</v>
      </c>
      <c r="E138" s="14">
        <v>45779</v>
      </c>
      <c r="F138" s="5" t="s">
        <v>7102</v>
      </c>
      <c r="G138" s="5" t="s">
        <v>1079</v>
      </c>
      <c r="H138" s="6"/>
      <c r="I138" s="6" t="s">
        <v>14</v>
      </c>
      <c r="J138" s="6" t="s">
        <v>6985</v>
      </c>
      <c r="K138" s="6">
        <v>2988079</v>
      </c>
      <c r="L138" s="7" t="s">
        <v>6949</v>
      </c>
      <c r="M138" s="8">
        <v>24101</v>
      </c>
      <c r="N138" s="8" t="str">
        <f t="shared" si="18"/>
        <v>PEN</v>
      </c>
      <c r="O138" s="13"/>
      <c r="P138" s="13">
        <v>15</v>
      </c>
      <c r="Q138" s="3">
        <f t="shared" si="19"/>
        <v>0</v>
      </c>
      <c r="R138" s="3">
        <f t="shared" si="20"/>
        <v>15</v>
      </c>
      <c r="S138" s="3">
        <f t="shared" si="21"/>
        <v>569.3900000000001</v>
      </c>
      <c r="T138" s="24"/>
      <c r="U138" s="24"/>
      <c r="V138" s="3"/>
      <c r="W138" s="25" t="s">
        <v>6950</v>
      </c>
      <c r="X138" s="25"/>
      <c r="Y138" s="25" t="str">
        <f>IFERROR(VLOOKUP(C_Ope_004[[#This Row],[NOTA 2]],Clientes_Proveedores[[Ruc / Dni]:[Razon Social]],2,0),"")</f>
        <v/>
      </c>
      <c r="Z138" s="25"/>
      <c r="AA138" s="25"/>
      <c r="AB138" s="3" t="str">
        <f>IF(C_Ope_004[[#This Row],[FECHA]]&gt;0,TEXT(C_Ope_004[[#This Row],[FECHA]],"mmmm"),0)</f>
        <v>Mayo</v>
      </c>
    </row>
    <row r="139" spans="2:28" ht="24" x14ac:dyDescent="0.3">
      <c r="B139" s="2">
        <f>IF(C_Ope_004[[#This Row],[TIPO DE R.]]="R",COUNTIFS($D$4:$D138,"R")+1,"")</f>
        <v>135</v>
      </c>
      <c r="C139" s="19" t="str">
        <f t="shared" si="22"/>
        <v>C_Ope_004</v>
      </c>
      <c r="D139" s="3" t="s">
        <v>1074</v>
      </c>
      <c r="E139" s="14">
        <v>45785</v>
      </c>
      <c r="F139" s="5" t="s">
        <v>7102</v>
      </c>
      <c r="G139" s="5" t="s">
        <v>1079</v>
      </c>
      <c r="H139" s="6"/>
      <c r="I139" s="6" t="s">
        <v>14</v>
      </c>
      <c r="J139" s="6" t="s">
        <v>5130</v>
      </c>
      <c r="K139" s="6">
        <v>1151498</v>
      </c>
      <c r="L139" s="7" t="s">
        <v>7108</v>
      </c>
      <c r="M139" s="8">
        <v>24141</v>
      </c>
      <c r="N139" s="8" t="str">
        <f t="shared" si="18"/>
        <v>PEN</v>
      </c>
      <c r="O139" s="13"/>
      <c r="P139" s="13">
        <v>15</v>
      </c>
      <c r="Q139" s="3">
        <f t="shared" si="19"/>
        <v>0</v>
      </c>
      <c r="R139" s="3">
        <f t="shared" si="20"/>
        <v>15</v>
      </c>
      <c r="S139" s="3">
        <f t="shared" si="21"/>
        <v>554.3900000000001</v>
      </c>
      <c r="T139" s="24"/>
      <c r="U139" s="24"/>
      <c r="V139" s="3"/>
      <c r="W139" s="25" t="s">
        <v>6950</v>
      </c>
      <c r="X139" s="25"/>
      <c r="Y139" s="25" t="str">
        <f>IFERROR(VLOOKUP(C_Ope_004[[#This Row],[NOTA 2]],Clientes_Proveedores[[Ruc / Dni]:[Razon Social]],2,0),"")</f>
        <v/>
      </c>
      <c r="Z139" s="25"/>
      <c r="AA139" s="25"/>
      <c r="AB139" s="3" t="str">
        <f>IF(C_Ope_004[[#This Row],[FECHA]]&gt;0,TEXT(C_Ope_004[[#This Row],[FECHA]],"mmmm"),0)</f>
        <v>Mayo</v>
      </c>
    </row>
    <row r="140" spans="2:28" ht="24" x14ac:dyDescent="0.3">
      <c r="B140" s="2">
        <f>IF(C_Ope_004[[#This Row],[TIPO DE R.]]="R",COUNTIFS($D$4:$D139,"R")+1,"")</f>
        <v>136</v>
      </c>
      <c r="C140" s="19" t="str">
        <f t="shared" si="22"/>
        <v>C_Ope_004</v>
      </c>
      <c r="D140" s="3" t="s">
        <v>1074</v>
      </c>
      <c r="E140" s="14">
        <v>45785</v>
      </c>
      <c r="F140" s="5" t="s">
        <v>7102</v>
      </c>
      <c r="G140" s="5" t="s">
        <v>1079</v>
      </c>
      <c r="H140" s="6"/>
      <c r="I140" s="6" t="s">
        <v>14</v>
      </c>
      <c r="J140" s="6" t="s">
        <v>7105</v>
      </c>
      <c r="K140" s="6">
        <v>3139064</v>
      </c>
      <c r="L140" s="7" t="s">
        <v>7125</v>
      </c>
      <c r="M140" s="8">
        <v>24142</v>
      </c>
      <c r="N140" s="8" t="str">
        <f t="shared" si="18"/>
        <v>PEN</v>
      </c>
      <c r="O140" s="13"/>
      <c r="P140" s="13">
        <v>15</v>
      </c>
      <c r="Q140" s="3">
        <f t="shared" si="19"/>
        <v>0</v>
      </c>
      <c r="R140" s="3">
        <f t="shared" si="20"/>
        <v>15</v>
      </c>
      <c r="S140" s="3">
        <f t="shared" si="21"/>
        <v>539.3900000000001</v>
      </c>
      <c r="T140" s="24"/>
      <c r="U140" s="24"/>
      <c r="V140" s="3"/>
      <c r="W140" s="25" t="s">
        <v>6950</v>
      </c>
      <c r="X140" s="25"/>
      <c r="Y140" s="25" t="str">
        <f>IFERROR(VLOOKUP(C_Ope_004[[#This Row],[NOTA 2]],Clientes_Proveedores[[Ruc / Dni]:[Razon Social]],2,0),"")</f>
        <v/>
      </c>
      <c r="Z140" s="25"/>
      <c r="AA140" s="25"/>
      <c r="AB140" s="3" t="str">
        <f>IF(C_Ope_004[[#This Row],[FECHA]]&gt;0,TEXT(C_Ope_004[[#This Row],[FECHA]],"mmmm"),0)</f>
        <v>Mayo</v>
      </c>
    </row>
    <row r="141" spans="2:28" ht="24" x14ac:dyDescent="0.3">
      <c r="B141" s="2">
        <f>IF(C_Ope_004[[#This Row],[TIPO DE R.]]="R",COUNTIFS($D$4:$D140,"R")+1,"")</f>
        <v>137</v>
      </c>
      <c r="C141" s="19" t="str">
        <f t="shared" si="22"/>
        <v>C_Ope_004</v>
      </c>
      <c r="D141" s="3" t="s">
        <v>1074</v>
      </c>
      <c r="E141" s="14">
        <v>45786</v>
      </c>
      <c r="F141" s="5" t="s">
        <v>7102</v>
      </c>
      <c r="G141" s="5" t="s">
        <v>1079</v>
      </c>
      <c r="H141" s="6"/>
      <c r="I141" s="6" t="s">
        <v>14</v>
      </c>
      <c r="J141" s="6" t="s">
        <v>7139</v>
      </c>
      <c r="K141" s="6">
        <v>2157545</v>
      </c>
      <c r="L141" s="7" t="s">
        <v>6951</v>
      </c>
      <c r="M141" s="8">
        <v>24169</v>
      </c>
      <c r="N141" s="8" t="str">
        <f t="shared" si="18"/>
        <v>PEN</v>
      </c>
      <c r="O141" s="13"/>
      <c r="P141" s="13">
        <v>15</v>
      </c>
      <c r="Q141" s="3">
        <f t="shared" si="19"/>
        <v>0</v>
      </c>
      <c r="R141" s="3">
        <f t="shared" si="20"/>
        <v>15</v>
      </c>
      <c r="S141" s="3">
        <f t="shared" si="21"/>
        <v>524.3900000000001</v>
      </c>
      <c r="T141" s="24"/>
      <c r="U141" s="24"/>
      <c r="V141" s="3"/>
      <c r="W141" s="25" t="s">
        <v>6950</v>
      </c>
      <c r="X141" s="25"/>
      <c r="Y141" s="25" t="str">
        <f>IFERROR(VLOOKUP(C_Ope_004[[#This Row],[NOTA 2]],Clientes_Proveedores[[Ruc / Dni]:[Razon Social]],2,0),"")</f>
        <v/>
      </c>
      <c r="Z141" s="25"/>
      <c r="AA141" s="25"/>
      <c r="AB141" s="3" t="str">
        <f>IF(C_Ope_004[[#This Row],[FECHA]]&gt;0,TEXT(C_Ope_004[[#This Row],[FECHA]],"mmmm"),0)</f>
        <v>Mayo</v>
      </c>
    </row>
    <row r="142" spans="2:28" ht="24" x14ac:dyDescent="0.3">
      <c r="B142" s="2">
        <f>IF(C_Ope_004[[#This Row],[TIPO DE R.]]="R",COUNTIFS($D$4:$D141,"R")+1,"")</f>
        <v>138</v>
      </c>
      <c r="C142" s="19" t="str">
        <f t="shared" si="22"/>
        <v>C_Ope_004</v>
      </c>
      <c r="D142" s="3" t="s">
        <v>1074</v>
      </c>
      <c r="E142" s="14">
        <v>45786</v>
      </c>
      <c r="F142" s="5" t="s">
        <v>7102</v>
      </c>
      <c r="G142" s="5" t="s">
        <v>1079</v>
      </c>
      <c r="H142" s="6"/>
      <c r="I142" s="6" t="s">
        <v>14</v>
      </c>
      <c r="J142" s="6" t="s">
        <v>7041</v>
      </c>
      <c r="K142" s="6">
        <v>2260328</v>
      </c>
      <c r="L142" s="7" t="s">
        <v>6949</v>
      </c>
      <c r="M142" s="8">
        <v>24170</v>
      </c>
      <c r="N142" s="8" t="str">
        <f t="shared" si="18"/>
        <v>PEN</v>
      </c>
      <c r="O142" s="13"/>
      <c r="P142" s="13">
        <v>15</v>
      </c>
      <c r="Q142" s="3">
        <f t="shared" si="19"/>
        <v>0</v>
      </c>
      <c r="R142" s="3">
        <f t="shared" si="20"/>
        <v>15</v>
      </c>
      <c r="S142" s="3">
        <f t="shared" si="21"/>
        <v>509.3900000000001</v>
      </c>
      <c r="T142" s="24"/>
      <c r="U142" s="24"/>
      <c r="V142" s="3"/>
      <c r="W142" s="25" t="s">
        <v>6950</v>
      </c>
      <c r="X142" s="25"/>
      <c r="Y142" s="25" t="str">
        <f>IFERROR(VLOOKUP(C_Ope_004[[#This Row],[NOTA 2]],Clientes_Proveedores[[Ruc / Dni]:[Razon Social]],2,0),"")</f>
        <v/>
      </c>
      <c r="Z142" s="25"/>
      <c r="AA142" s="25"/>
      <c r="AB142" s="3" t="str">
        <f>IF(C_Ope_004[[#This Row],[FECHA]]&gt;0,TEXT(C_Ope_004[[#This Row],[FECHA]],"mmmm"),0)</f>
        <v>Mayo</v>
      </c>
    </row>
    <row r="143" spans="2:28" x14ac:dyDescent="0.3">
      <c r="B143" s="2">
        <f>IF(C_Ope_004[[#This Row],[TIPO DE R.]]="R",COUNTIFS($D$4:$D142,"R")+1,"")</f>
        <v>139</v>
      </c>
      <c r="C143" s="19" t="str">
        <f t="shared" si="22"/>
        <v>C_Ope_004</v>
      </c>
      <c r="D143" s="3" t="s">
        <v>1074</v>
      </c>
      <c r="E143" s="14">
        <v>45791</v>
      </c>
      <c r="F143" s="5"/>
      <c r="G143" s="5" t="s">
        <v>1087</v>
      </c>
      <c r="H143" s="6"/>
      <c r="I143" s="6"/>
      <c r="J143" s="6"/>
      <c r="K143" s="6"/>
      <c r="L143" s="7" t="s">
        <v>7113</v>
      </c>
      <c r="M143" s="8">
        <v>24279</v>
      </c>
      <c r="N143" s="8" t="str">
        <f t="shared" si="18"/>
        <v>PEN</v>
      </c>
      <c r="O143" s="13"/>
      <c r="P143" s="13">
        <v>200</v>
      </c>
      <c r="Q143" s="3">
        <f t="shared" si="19"/>
        <v>200</v>
      </c>
      <c r="R143" s="3">
        <f t="shared" si="20"/>
        <v>0</v>
      </c>
      <c r="S143" s="3">
        <f t="shared" si="21"/>
        <v>709.3900000000001</v>
      </c>
      <c r="T143" s="24"/>
      <c r="U143" s="24"/>
      <c r="V143" s="3"/>
      <c r="W143" s="25"/>
      <c r="X143" s="25"/>
      <c r="Y143" s="25" t="str">
        <f>IFERROR(VLOOKUP(C_Ope_004[[#This Row],[NOTA 2]],Clientes_Proveedores[[Ruc / Dni]:[Razon Social]],2,0),"")</f>
        <v/>
      </c>
      <c r="Z143" s="25"/>
      <c r="AA143" s="25"/>
      <c r="AB143" s="3" t="str">
        <f>IF(C_Ope_004[[#This Row],[FECHA]]&gt;0,TEXT(C_Ope_004[[#This Row],[FECHA]],"mmmm"),0)</f>
        <v>Mayo</v>
      </c>
    </row>
    <row r="144" spans="2:28" ht="24" x14ac:dyDescent="0.3">
      <c r="B144" s="2">
        <f>IF(C_Ope_004[[#This Row],[TIPO DE R.]]="R",COUNTIFS($D$4:$D143,"R")+1,"")</f>
        <v>140</v>
      </c>
      <c r="C144" s="19" t="str">
        <f t="shared" si="22"/>
        <v>C_Ope_004</v>
      </c>
      <c r="D144" s="3" t="s">
        <v>1074</v>
      </c>
      <c r="E144" s="14">
        <v>45790</v>
      </c>
      <c r="F144" s="5" t="s">
        <v>7102</v>
      </c>
      <c r="G144" s="5" t="s">
        <v>1079</v>
      </c>
      <c r="H144" s="6"/>
      <c r="I144" s="6" t="s">
        <v>14</v>
      </c>
      <c r="J144" s="6" t="s">
        <v>7139</v>
      </c>
      <c r="K144" s="6">
        <v>2159600</v>
      </c>
      <c r="L144" s="7" t="s">
        <v>7108</v>
      </c>
      <c r="M144" s="8">
        <v>24206</v>
      </c>
      <c r="N144" s="8" t="str">
        <f t="shared" si="18"/>
        <v>PEN</v>
      </c>
      <c r="O144" s="13"/>
      <c r="P144" s="13">
        <v>15</v>
      </c>
      <c r="Q144" s="3">
        <f t="shared" si="19"/>
        <v>0</v>
      </c>
      <c r="R144" s="3">
        <f t="shared" si="20"/>
        <v>15</v>
      </c>
      <c r="S144" s="3">
        <f t="shared" si="21"/>
        <v>694.3900000000001</v>
      </c>
      <c r="T144" s="24"/>
      <c r="U144" s="24"/>
      <c r="V144" s="3"/>
      <c r="W144" s="25" t="s">
        <v>6950</v>
      </c>
      <c r="X144" s="25"/>
      <c r="Y144" s="25" t="str">
        <f>IFERROR(VLOOKUP(C_Ope_004[[#This Row],[NOTA 2]],Clientes_Proveedores[[Ruc / Dni]:[Razon Social]],2,0),"")</f>
        <v/>
      </c>
      <c r="Z144" s="25"/>
      <c r="AA144" s="25"/>
      <c r="AB144" s="3" t="str">
        <f>IF(C_Ope_004[[#This Row],[FECHA]]&gt;0,TEXT(C_Ope_004[[#This Row],[FECHA]],"mmmm"),0)</f>
        <v>Mayo</v>
      </c>
    </row>
    <row r="145" spans="2:28" ht="24" x14ac:dyDescent="0.3">
      <c r="B145" s="2">
        <f>IF(C_Ope_004[[#This Row],[TIPO DE R.]]="R",COUNTIFS($D$4:$D144,"R")+1,"")</f>
        <v>141</v>
      </c>
      <c r="C145" s="19" t="str">
        <f t="shared" si="22"/>
        <v>C_Ope_004</v>
      </c>
      <c r="D145" s="3" t="s">
        <v>1074</v>
      </c>
      <c r="E145" s="14">
        <v>45790</v>
      </c>
      <c r="F145" s="5" t="s">
        <v>7102</v>
      </c>
      <c r="G145" s="5" t="s">
        <v>1079</v>
      </c>
      <c r="H145" s="6"/>
      <c r="I145" s="6" t="s">
        <v>14</v>
      </c>
      <c r="J145" s="6" t="s">
        <v>7103</v>
      </c>
      <c r="K145" s="6">
        <v>3702309</v>
      </c>
      <c r="L145" s="7" t="s">
        <v>7125</v>
      </c>
      <c r="M145" s="8">
        <v>24207</v>
      </c>
      <c r="N145" s="8" t="str">
        <f t="shared" si="18"/>
        <v>PEN</v>
      </c>
      <c r="O145" s="13"/>
      <c r="P145" s="13">
        <v>15</v>
      </c>
      <c r="Q145" s="3">
        <f t="shared" si="19"/>
        <v>0</v>
      </c>
      <c r="R145" s="3">
        <f t="shared" si="20"/>
        <v>15</v>
      </c>
      <c r="S145" s="3">
        <f t="shared" si="21"/>
        <v>679.3900000000001</v>
      </c>
      <c r="T145" s="24"/>
      <c r="U145" s="24"/>
      <c r="V145" s="3"/>
      <c r="W145" s="25" t="s">
        <v>6950</v>
      </c>
      <c r="X145" s="25"/>
      <c r="Y145" s="25" t="str">
        <f>IFERROR(VLOOKUP(C_Ope_004[[#This Row],[NOTA 2]],Clientes_Proveedores[[Ruc / Dni]:[Razon Social]],2,0),"")</f>
        <v/>
      </c>
      <c r="Z145" s="25"/>
      <c r="AA145" s="25"/>
      <c r="AB145" s="3" t="str">
        <f>IF(C_Ope_004[[#This Row],[FECHA]]&gt;0,TEXT(C_Ope_004[[#This Row],[FECHA]],"mmmm"),0)</f>
        <v>Mayo</v>
      </c>
    </row>
    <row r="146" spans="2:28" ht="24" x14ac:dyDescent="0.3">
      <c r="B146" s="2">
        <f>IF(C_Ope_004[[#This Row],[TIPO DE R.]]="R",COUNTIFS($D$4:$D145,"R")+1,"")</f>
        <v>142</v>
      </c>
      <c r="C146" s="19" t="str">
        <f t="shared" si="22"/>
        <v>C_Ope_004</v>
      </c>
      <c r="D146" s="3" t="s">
        <v>1074</v>
      </c>
      <c r="E146" s="14">
        <v>45793</v>
      </c>
      <c r="F146" s="5" t="s">
        <v>7102</v>
      </c>
      <c r="G146" s="5" t="s">
        <v>1079</v>
      </c>
      <c r="H146" s="6"/>
      <c r="I146" s="6" t="s">
        <v>14</v>
      </c>
      <c r="J146" s="6" t="s">
        <v>7112</v>
      </c>
      <c r="K146" s="6">
        <v>638772</v>
      </c>
      <c r="L146" s="7" t="s">
        <v>7108</v>
      </c>
      <c r="M146" s="8">
        <v>24215</v>
      </c>
      <c r="N146" s="8" t="str">
        <f t="shared" si="18"/>
        <v>PEN</v>
      </c>
      <c r="O146" s="13"/>
      <c r="P146" s="13">
        <v>15</v>
      </c>
      <c r="Q146" s="3">
        <f t="shared" si="19"/>
        <v>0</v>
      </c>
      <c r="R146" s="3">
        <f t="shared" si="20"/>
        <v>15</v>
      </c>
      <c r="S146" s="3">
        <f t="shared" si="21"/>
        <v>664.3900000000001</v>
      </c>
      <c r="T146" s="24"/>
      <c r="U146" s="24"/>
      <c r="V146" s="3"/>
      <c r="W146" s="25" t="s">
        <v>6950</v>
      </c>
      <c r="X146" s="25"/>
      <c r="Y146" s="25" t="str">
        <f>IFERROR(VLOOKUP(C_Ope_004[[#This Row],[NOTA 2]],Clientes_Proveedores[[Ruc / Dni]:[Razon Social]],2,0),"")</f>
        <v/>
      </c>
      <c r="Z146" s="25"/>
      <c r="AA146" s="25"/>
      <c r="AB146" s="3" t="str">
        <f>IF(C_Ope_004[[#This Row],[FECHA]]&gt;0,TEXT(C_Ope_004[[#This Row],[FECHA]],"mmmm"),0)</f>
        <v>Mayo</v>
      </c>
    </row>
    <row r="147" spans="2:28" ht="24" x14ac:dyDescent="0.3">
      <c r="B147" s="2">
        <f>IF(C_Ope_004[[#This Row],[TIPO DE R.]]="R",COUNTIFS($D$4:$D146,"R")+1,"")</f>
        <v>143</v>
      </c>
      <c r="C147" s="19" t="str">
        <f t="shared" si="22"/>
        <v>C_Ope_004</v>
      </c>
      <c r="D147" s="3" t="s">
        <v>1074</v>
      </c>
      <c r="E147" s="14">
        <v>45793</v>
      </c>
      <c r="F147" s="5" t="s">
        <v>7102</v>
      </c>
      <c r="G147" s="5" t="s">
        <v>1079</v>
      </c>
      <c r="H147" s="6"/>
      <c r="I147" s="6" t="s">
        <v>14</v>
      </c>
      <c r="J147" s="6" t="s">
        <v>7105</v>
      </c>
      <c r="K147" s="6">
        <v>3144259</v>
      </c>
      <c r="L147" s="7" t="s">
        <v>7125</v>
      </c>
      <c r="M147" s="8">
        <v>24216</v>
      </c>
      <c r="N147" s="8" t="str">
        <f t="shared" si="18"/>
        <v>PEN</v>
      </c>
      <c r="O147" s="13"/>
      <c r="P147" s="13">
        <v>15</v>
      </c>
      <c r="Q147" s="3">
        <f t="shared" si="19"/>
        <v>0</v>
      </c>
      <c r="R147" s="3">
        <f t="shared" si="20"/>
        <v>15</v>
      </c>
      <c r="S147" s="3">
        <f t="shared" si="21"/>
        <v>649.3900000000001</v>
      </c>
      <c r="T147" s="24"/>
      <c r="U147" s="24"/>
      <c r="V147" s="3"/>
      <c r="W147" s="25" t="s">
        <v>6950</v>
      </c>
      <c r="X147" s="25"/>
      <c r="Y147" s="25" t="str">
        <f>IFERROR(VLOOKUP(C_Ope_004[[#This Row],[NOTA 2]],Clientes_Proveedores[[Ruc / Dni]:[Razon Social]],2,0),"")</f>
        <v/>
      </c>
      <c r="Z147" s="25"/>
      <c r="AA147" s="25"/>
      <c r="AB147" s="3" t="str">
        <f>IF(C_Ope_004[[#This Row],[FECHA]]&gt;0,TEXT(C_Ope_004[[#This Row],[FECHA]],"mmmm"),0)</f>
        <v>Mayo</v>
      </c>
    </row>
    <row r="148" spans="2:28" x14ac:dyDescent="0.3">
      <c r="B148" s="2">
        <f>IF(C_Ope_004[[#This Row],[TIPO DE R.]]="R",COUNTIFS($D$4:$D147,"R")+1,"")</f>
        <v>144</v>
      </c>
      <c r="C148" s="19" t="str">
        <f t="shared" si="22"/>
        <v>C_Ope_004</v>
      </c>
      <c r="D148" s="3" t="s">
        <v>1074</v>
      </c>
      <c r="E148" s="14">
        <v>45789</v>
      </c>
      <c r="F148" s="5" t="s">
        <v>7102</v>
      </c>
      <c r="G148" s="5" t="s">
        <v>1079</v>
      </c>
      <c r="H148" s="6"/>
      <c r="I148" s="6" t="s">
        <v>14</v>
      </c>
      <c r="J148" s="6" t="s">
        <v>2789</v>
      </c>
      <c r="K148" s="6">
        <v>40995</v>
      </c>
      <c r="L148" s="7" t="s">
        <v>7123</v>
      </c>
      <c r="M148" s="8">
        <v>24193</v>
      </c>
      <c r="N148" s="8" t="str">
        <f t="shared" si="18"/>
        <v>PEN</v>
      </c>
      <c r="O148" s="13"/>
      <c r="P148" s="13">
        <v>40</v>
      </c>
      <c r="Q148" s="3">
        <f t="shared" si="19"/>
        <v>0</v>
      </c>
      <c r="R148" s="3">
        <f t="shared" si="20"/>
        <v>40</v>
      </c>
      <c r="S148" s="3">
        <f t="shared" si="21"/>
        <v>609.3900000000001</v>
      </c>
      <c r="T148" s="24"/>
      <c r="U148" s="24"/>
      <c r="V148" s="3"/>
      <c r="W148" s="25" t="s">
        <v>6950</v>
      </c>
      <c r="X148" s="25"/>
      <c r="Y148" s="25" t="str">
        <f>IFERROR(VLOOKUP(C_Ope_004[[#This Row],[NOTA 2]],Clientes_Proveedores[[Ruc / Dni]:[Razon Social]],2,0),"")</f>
        <v/>
      </c>
      <c r="Z148" s="25"/>
      <c r="AA148" s="25"/>
      <c r="AB148" s="3" t="str">
        <f>IF(C_Ope_004[[#This Row],[FECHA]]&gt;0,TEXT(C_Ope_004[[#This Row],[FECHA]],"mmmm"),0)</f>
        <v>Mayo</v>
      </c>
    </row>
    <row r="149" spans="2:28" ht="24" x14ac:dyDescent="0.3">
      <c r="B149" s="2">
        <f>IF(C_Ope_004[[#This Row],[TIPO DE R.]]="R",COUNTIFS($D$4:$D148,"R")+1,"")</f>
        <v>145</v>
      </c>
      <c r="C149" s="19" t="str">
        <f t="shared" si="22"/>
        <v>C_Ope_004</v>
      </c>
      <c r="D149" s="3" t="s">
        <v>1074</v>
      </c>
      <c r="E149" s="14">
        <v>45796</v>
      </c>
      <c r="F149" s="5" t="s">
        <v>7102</v>
      </c>
      <c r="G149" s="5" t="s">
        <v>1079</v>
      </c>
      <c r="H149" s="6"/>
      <c r="I149" s="6" t="s">
        <v>14</v>
      </c>
      <c r="J149" s="6" t="s">
        <v>7115</v>
      </c>
      <c r="K149" s="6">
        <v>1236558</v>
      </c>
      <c r="L149" s="7" t="s">
        <v>6951</v>
      </c>
      <c r="M149" s="8">
        <v>24233</v>
      </c>
      <c r="N149" s="8" t="str">
        <f t="shared" si="18"/>
        <v>PEN</v>
      </c>
      <c r="O149" s="13"/>
      <c r="P149" s="13">
        <v>15</v>
      </c>
      <c r="Q149" s="3">
        <f t="shared" si="19"/>
        <v>0</v>
      </c>
      <c r="R149" s="3">
        <f t="shared" si="20"/>
        <v>15</v>
      </c>
      <c r="S149" s="3">
        <f t="shared" si="21"/>
        <v>594.3900000000001</v>
      </c>
      <c r="T149" s="24"/>
      <c r="U149" s="24"/>
      <c r="V149" s="3"/>
      <c r="W149" s="25" t="s">
        <v>6950</v>
      </c>
      <c r="X149" s="25"/>
      <c r="Y149" s="25" t="str">
        <f>IFERROR(VLOOKUP(C_Ope_004[[#This Row],[NOTA 2]],Clientes_Proveedores[[Ruc / Dni]:[Razon Social]],2,0),"")</f>
        <v/>
      </c>
      <c r="Z149" s="25"/>
      <c r="AA149" s="25"/>
      <c r="AB149" s="3" t="str">
        <f>IF(C_Ope_004[[#This Row],[FECHA]]&gt;0,TEXT(C_Ope_004[[#This Row],[FECHA]],"mmmm"),0)</f>
        <v>Mayo</v>
      </c>
    </row>
    <row r="150" spans="2:28" ht="24" x14ac:dyDescent="0.3">
      <c r="B150" s="2">
        <f>IF(C_Ope_004[[#This Row],[TIPO DE R.]]="R",COUNTIFS($D$4:$D149,"R")+1,"")</f>
        <v>146</v>
      </c>
      <c r="C150" s="19" t="str">
        <f t="shared" si="22"/>
        <v>C_Ope_004</v>
      </c>
      <c r="D150" s="3" t="s">
        <v>1074</v>
      </c>
      <c r="E150" s="14">
        <v>45796</v>
      </c>
      <c r="F150" s="5" t="s">
        <v>7102</v>
      </c>
      <c r="G150" s="5" t="s">
        <v>1079</v>
      </c>
      <c r="H150" s="6"/>
      <c r="I150" s="6" t="s">
        <v>14</v>
      </c>
      <c r="J150" s="6" t="s">
        <v>7105</v>
      </c>
      <c r="K150" s="6">
        <v>3146641</v>
      </c>
      <c r="L150" s="7" t="s">
        <v>6949</v>
      </c>
      <c r="M150" s="8">
        <v>24234</v>
      </c>
      <c r="N150" s="8" t="str">
        <f t="shared" si="18"/>
        <v>PEN</v>
      </c>
      <c r="O150" s="13"/>
      <c r="P150" s="13">
        <v>15</v>
      </c>
      <c r="Q150" s="3">
        <f t="shared" si="19"/>
        <v>0</v>
      </c>
      <c r="R150" s="3">
        <f t="shared" si="20"/>
        <v>15</v>
      </c>
      <c r="S150" s="3">
        <f t="shared" si="21"/>
        <v>579.3900000000001</v>
      </c>
      <c r="T150" s="24"/>
      <c r="U150" s="24"/>
      <c r="V150" s="3"/>
      <c r="W150" s="25" t="s">
        <v>6950</v>
      </c>
      <c r="X150" s="25"/>
      <c r="Y150" s="25" t="str">
        <f>IFERROR(VLOOKUP(C_Ope_004[[#This Row],[NOTA 2]],Clientes_Proveedores[[Ruc / Dni]:[Razon Social]],2,0),"")</f>
        <v/>
      </c>
      <c r="Z150" s="25"/>
      <c r="AA150" s="25"/>
      <c r="AB150" s="3" t="str">
        <f>IF(C_Ope_004[[#This Row],[FECHA]]&gt;0,TEXT(C_Ope_004[[#This Row],[FECHA]],"mmmm"),0)</f>
        <v>Mayo</v>
      </c>
    </row>
    <row r="151" spans="2:28" ht="24" x14ac:dyDescent="0.3">
      <c r="B151" s="2">
        <f>IF(C_Ope_004[[#This Row],[TIPO DE R.]]="R",COUNTIFS($D$4:$D150,"R")+1,"")</f>
        <v>147</v>
      </c>
      <c r="C151" s="19" t="str">
        <f t="shared" si="22"/>
        <v>C_Ope_004</v>
      </c>
      <c r="D151" s="3" t="s">
        <v>1074</v>
      </c>
      <c r="E151" s="14">
        <v>45798</v>
      </c>
      <c r="F151" s="5" t="s">
        <v>7102</v>
      </c>
      <c r="G151" s="5" t="s">
        <v>1079</v>
      </c>
      <c r="H151" s="6"/>
      <c r="I151" s="6" t="s">
        <v>14</v>
      </c>
      <c r="J151" s="6" t="s">
        <v>6936</v>
      </c>
      <c r="K151" s="6">
        <v>3744139</v>
      </c>
      <c r="L151" s="7" t="s">
        <v>7108</v>
      </c>
      <c r="M151" s="8">
        <v>24235</v>
      </c>
      <c r="N151" s="8" t="str">
        <f t="shared" si="18"/>
        <v>PEN</v>
      </c>
      <c r="O151" s="13"/>
      <c r="P151" s="13">
        <v>15</v>
      </c>
      <c r="Q151" s="3">
        <f t="shared" si="19"/>
        <v>0</v>
      </c>
      <c r="R151" s="3">
        <f t="shared" si="20"/>
        <v>15</v>
      </c>
      <c r="S151" s="3">
        <f t="shared" si="21"/>
        <v>564.3900000000001</v>
      </c>
      <c r="T151" s="24"/>
      <c r="U151" s="24"/>
      <c r="V151" s="3"/>
      <c r="W151" s="25" t="s">
        <v>6950</v>
      </c>
      <c r="X151" s="25"/>
      <c r="Y151" s="25" t="str">
        <f>IFERROR(VLOOKUP(C_Ope_004[[#This Row],[NOTA 2]],Clientes_Proveedores[[Ruc / Dni]:[Razon Social]],2,0),"")</f>
        <v/>
      </c>
      <c r="Z151" s="25"/>
      <c r="AA151" s="25"/>
      <c r="AB151" s="3" t="str">
        <f>IF(C_Ope_004[[#This Row],[FECHA]]&gt;0,TEXT(C_Ope_004[[#This Row],[FECHA]],"mmmm"),0)</f>
        <v>Mayo</v>
      </c>
    </row>
    <row r="152" spans="2:28" ht="24" x14ac:dyDescent="0.3">
      <c r="B152" s="2">
        <f>IF(C_Ope_004[[#This Row],[TIPO DE R.]]="R",COUNTIFS($D$4:$D151,"R")+1,"")</f>
        <v>148</v>
      </c>
      <c r="C152" s="19" t="str">
        <f t="shared" si="22"/>
        <v>C_Ope_004</v>
      </c>
      <c r="D152" s="3" t="s">
        <v>1074</v>
      </c>
      <c r="E152" s="14">
        <v>45798</v>
      </c>
      <c r="F152" s="5" t="s">
        <v>7102</v>
      </c>
      <c r="G152" s="5" t="s">
        <v>1079</v>
      </c>
      <c r="H152" s="6"/>
      <c r="I152" s="6" t="s">
        <v>14</v>
      </c>
      <c r="J152" s="6" t="s">
        <v>6927</v>
      </c>
      <c r="K152" s="6">
        <v>586004</v>
      </c>
      <c r="L152" s="7" t="s">
        <v>7125</v>
      </c>
      <c r="M152" s="8">
        <v>24238</v>
      </c>
      <c r="N152" s="8" t="str">
        <f t="shared" si="18"/>
        <v>PEN</v>
      </c>
      <c r="O152" s="13"/>
      <c r="P152" s="13">
        <v>15</v>
      </c>
      <c r="Q152" s="3">
        <f t="shared" si="19"/>
        <v>0</v>
      </c>
      <c r="R152" s="3">
        <f t="shared" si="20"/>
        <v>15</v>
      </c>
      <c r="S152" s="3">
        <f t="shared" si="21"/>
        <v>549.3900000000001</v>
      </c>
      <c r="T152" s="24"/>
      <c r="U152" s="24"/>
      <c r="V152" s="3"/>
      <c r="W152" s="25" t="s">
        <v>6950</v>
      </c>
      <c r="X152" s="25"/>
      <c r="Y152" s="25" t="str">
        <f>IFERROR(VLOOKUP(C_Ope_004[[#This Row],[NOTA 2]],Clientes_Proveedores[[Ruc / Dni]:[Razon Social]],2,0),"")</f>
        <v/>
      </c>
      <c r="Z152" s="25"/>
      <c r="AA152" s="25"/>
      <c r="AB152" s="3" t="str">
        <f>IF(C_Ope_004[[#This Row],[FECHA]]&gt;0,TEXT(C_Ope_004[[#This Row],[FECHA]],"mmmm"),0)</f>
        <v>Mayo</v>
      </c>
    </row>
    <row r="153" spans="2:28" ht="24" x14ac:dyDescent="0.3">
      <c r="B153" s="2">
        <f>IF(C_Ope_004[[#This Row],[TIPO DE R.]]="R",COUNTIFS($D$4:$D152,"R")+1,"")</f>
        <v>149</v>
      </c>
      <c r="C153" s="19" t="str">
        <f t="shared" si="22"/>
        <v>C_Ope_004</v>
      </c>
      <c r="D153" s="3" t="s">
        <v>1074</v>
      </c>
      <c r="E153" s="14">
        <v>45803</v>
      </c>
      <c r="F153" s="5" t="s">
        <v>7102</v>
      </c>
      <c r="G153" s="5" t="s">
        <v>1079</v>
      </c>
      <c r="H153" s="6"/>
      <c r="I153" s="6" t="s">
        <v>14</v>
      </c>
      <c r="J153" s="6" t="s">
        <v>5242</v>
      </c>
      <c r="K153" s="6">
        <v>2195054</v>
      </c>
      <c r="L153" s="7" t="s">
        <v>7108</v>
      </c>
      <c r="M153" s="8">
        <v>24353</v>
      </c>
      <c r="N153" s="8" t="str">
        <f t="shared" si="18"/>
        <v>PEN</v>
      </c>
      <c r="O153" s="13"/>
      <c r="P153" s="13">
        <v>15</v>
      </c>
      <c r="Q153" s="3">
        <f t="shared" si="19"/>
        <v>0</v>
      </c>
      <c r="R153" s="3">
        <f t="shared" si="20"/>
        <v>15</v>
      </c>
      <c r="S153" s="3">
        <f t="shared" si="21"/>
        <v>534.3900000000001</v>
      </c>
      <c r="T153" s="24"/>
      <c r="U153" s="24"/>
      <c r="V153" s="3"/>
      <c r="W153" s="25" t="s">
        <v>6950</v>
      </c>
      <c r="X153" s="25"/>
      <c r="Y153" s="25" t="str">
        <f>IFERROR(VLOOKUP(C_Ope_004[[#This Row],[NOTA 2]],Clientes_Proveedores[[Ruc / Dni]:[Razon Social]],2,0),"")</f>
        <v/>
      </c>
      <c r="Z153" s="25"/>
      <c r="AA153" s="25"/>
      <c r="AB153" s="3" t="str">
        <f>IF(C_Ope_004[[#This Row],[FECHA]]&gt;0,TEXT(C_Ope_004[[#This Row],[FECHA]],"mmmm"),0)</f>
        <v>Mayo</v>
      </c>
    </row>
    <row r="154" spans="2:28" ht="24" x14ac:dyDescent="0.3">
      <c r="B154" s="2">
        <f>IF(C_Ope_004[[#This Row],[TIPO DE R.]]="R",COUNTIFS($D$4:$D153,"R")+1,"")</f>
        <v>150</v>
      </c>
      <c r="C154" s="19" t="str">
        <f t="shared" si="22"/>
        <v>C_Ope_004</v>
      </c>
      <c r="D154" s="3" t="s">
        <v>1074</v>
      </c>
      <c r="E154" s="14">
        <v>45803</v>
      </c>
      <c r="F154" s="5" t="s">
        <v>7102</v>
      </c>
      <c r="G154" s="5" t="s">
        <v>1079</v>
      </c>
      <c r="H154" s="6"/>
      <c r="I154" s="6" t="s">
        <v>14</v>
      </c>
      <c r="J154" s="6" t="s">
        <v>7103</v>
      </c>
      <c r="K154" s="6">
        <v>3714602</v>
      </c>
      <c r="L154" s="7" t="s">
        <v>7125</v>
      </c>
      <c r="M154" s="8">
        <v>24354</v>
      </c>
      <c r="N154" s="8" t="str">
        <f t="shared" si="18"/>
        <v>PEN</v>
      </c>
      <c r="O154" s="13"/>
      <c r="P154" s="13">
        <v>15</v>
      </c>
      <c r="Q154" s="3">
        <f t="shared" si="19"/>
        <v>0</v>
      </c>
      <c r="R154" s="3">
        <f t="shared" si="20"/>
        <v>15</v>
      </c>
      <c r="S154" s="3">
        <f t="shared" si="21"/>
        <v>519.3900000000001</v>
      </c>
      <c r="T154" s="24"/>
      <c r="U154" s="24"/>
      <c r="V154" s="3"/>
      <c r="W154" s="25" t="s">
        <v>6950</v>
      </c>
      <c r="X154" s="25"/>
      <c r="Y154" s="25" t="str">
        <f>IFERROR(VLOOKUP(C_Ope_004[[#This Row],[NOTA 2]],Clientes_Proveedores[[Ruc / Dni]:[Razon Social]],2,0),"")</f>
        <v/>
      </c>
      <c r="Z154" s="25"/>
      <c r="AA154" s="25"/>
      <c r="AB154" s="3" t="str">
        <f>IF(C_Ope_004[[#This Row],[FECHA]]&gt;0,TEXT(C_Ope_004[[#This Row],[FECHA]],"mmmm"),0)</f>
        <v>Mayo</v>
      </c>
    </row>
    <row r="155" spans="2:28" ht="24" x14ac:dyDescent="0.3">
      <c r="B155" s="2">
        <f>IF(C_Ope_004[[#This Row],[TIPO DE R.]]="R",COUNTIFS($D$4:$D154,"R")+1,"")</f>
        <v>151</v>
      </c>
      <c r="C155" s="19" t="str">
        <f t="shared" si="22"/>
        <v>C_Ope_004</v>
      </c>
      <c r="D155" s="3" t="s">
        <v>1074</v>
      </c>
      <c r="E155" s="14">
        <v>45806</v>
      </c>
      <c r="F155" s="5" t="s">
        <v>7102</v>
      </c>
      <c r="G155" s="5" t="s">
        <v>1079</v>
      </c>
      <c r="H155" s="6"/>
      <c r="I155" s="6" t="s">
        <v>14</v>
      </c>
      <c r="J155" s="6" t="s">
        <v>5130</v>
      </c>
      <c r="K155" s="6">
        <v>1158992</v>
      </c>
      <c r="L155" s="7" t="s">
        <v>7108</v>
      </c>
      <c r="M155" s="8">
        <v>24355</v>
      </c>
      <c r="N155" s="8" t="str">
        <f t="shared" si="18"/>
        <v>PEN</v>
      </c>
      <c r="O155" s="13"/>
      <c r="P155" s="13">
        <v>15</v>
      </c>
      <c r="Q155" s="3">
        <f t="shared" si="19"/>
        <v>0</v>
      </c>
      <c r="R155" s="3">
        <f t="shared" si="20"/>
        <v>15</v>
      </c>
      <c r="S155" s="3">
        <f t="shared" si="21"/>
        <v>504.3900000000001</v>
      </c>
      <c r="T155" s="24"/>
      <c r="U155" s="24"/>
      <c r="V155" s="3"/>
      <c r="W155" s="25" t="s">
        <v>6950</v>
      </c>
      <c r="X155" s="25"/>
      <c r="Y155" s="25" t="str">
        <f>IFERROR(VLOOKUP(C_Ope_004[[#This Row],[NOTA 2]],Clientes_Proveedores[[Ruc / Dni]:[Razon Social]],2,0),"")</f>
        <v/>
      </c>
      <c r="Z155" s="25"/>
      <c r="AA155" s="25"/>
      <c r="AB155" s="3" t="str">
        <f>IF(C_Ope_004[[#This Row],[FECHA]]&gt;0,TEXT(C_Ope_004[[#This Row],[FECHA]],"mmmm"),0)</f>
        <v>Mayo</v>
      </c>
    </row>
    <row r="156" spans="2:28" ht="24" x14ac:dyDescent="0.3">
      <c r="B156" s="2">
        <f>IF(C_Ope_004[[#This Row],[TIPO DE R.]]="R",COUNTIFS($D$4:$D155,"R")+1,"")</f>
        <v>152</v>
      </c>
      <c r="C156" s="19" t="str">
        <f t="shared" si="22"/>
        <v>C_Ope_004</v>
      </c>
      <c r="D156" s="3" t="s">
        <v>1074</v>
      </c>
      <c r="E156" s="14">
        <v>45806</v>
      </c>
      <c r="F156" s="5" t="s">
        <v>7102</v>
      </c>
      <c r="G156" s="5" t="s">
        <v>1079</v>
      </c>
      <c r="H156" s="6"/>
      <c r="I156" s="6" t="s">
        <v>14</v>
      </c>
      <c r="J156" s="6" t="s">
        <v>7118</v>
      </c>
      <c r="K156" s="6">
        <v>1550770</v>
      </c>
      <c r="L156" s="7" t="s">
        <v>7125</v>
      </c>
      <c r="M156" s="8">
        <v>24356</v>
      </c>
      <c r="N156" s="8" t="str">
        <f t="shared" si="18"/>
        <v>PEN</v>
      </c>
      <c r="O156" s="13"/>
      <c r="P156" s="13">
        <v>15</v>
      </c>
      <c r="Q156" s="3">
        <f t="shared" si="19"/>
        <v>0</v>
      </c>
      <c r="R156" s="3">
        <f t="shared" si="20"/>
        <v>15</v>
      </c>
      <c r="S156" s="3">
        <f t="shared" si="21"/>
        <v>489.3900000000001</v>
      </c>
      <c r="T156" s="24"/>
      <c r="U156" s="24"/>
      <c r="V156" s="3"/>
      <c r="W156" s="25" t="s">
        <v>6950</v>
      </c>
      <c r="X156" s="25"/>
      <c r="Y156" s="25" t="str">
        <f>IFERROR(VLOOKUP(C_Ope_004[[#This Row],[NOTA 2]],Clientes_Proveedores[[Ruc / Dni]:[Razon Social]],2,0),"")</f>
        <v/>
      </c>
      <c r="Z156" s="25"/>
      <c r="AA156" s="25"/>
      <c r="AB156" s="3" t="str">
        <f>IF(C_Ope_004[[#This Row],[FECHA]]&gt;0,TEXT(C_Ope_004[[#This Row],[FECHA]],"mmmm"),0)</f>
        <v>Mayo</v>
      </c>
    </row>
    <row r="157" spans="2:28" x14ac:dyDescent="0.3">
      <c r="B157" s="2">
        <f>IF(C_Ope_004[[#This Row],[TIPO DE R.]]="R",COUNTIFS($D$4:$D156,"R")+1,"")</f>
        <v>153</v>
      </c>
      <c r="C157" s="19" t="str">
        <f t="shared" si="22"/>
        <v>C_Ope_004</v>
      </c>
      <c r="D157" s="3" t="s">
        <v>1074</v>
      </c>
      <c r="E157" s="14">
        <v>45807</v>
      </c>
      <c r="F157" s="5" t="s">
        <v>7102</v>
      </c>
      <c r="G157" s="5" t="s">
        <v>1079</v>
      </c>
      <c r="H157" s="6"/>
      <c r="I157" s="6" t="s">
        <v>14</v>
      </c>
      <c r="J157" s="6" t="s">
        <v>2789</v>
      </c>
      <c r="K157" s="6">
        <v>41324</v>
      </c>
      <c r="L157" s="7" t="s">
        <v>7123</v>
      </c>
      <c r="M157" s="8">
        <v>24366</v>
      </c>
      <c r="N157" s="8" t="str">
        <f t="shared" si="18"/>
        <v>PEN</v>
      </c>
      <c r="O157" s="13"/>
      <c r="P157" s="13">
        <v>55</v>
      </c>
      <c r="Q157" s="3">
        <f t="shared" si="19"/>
        <v>0</v>
      </c>
      <c r="R157" s="3">
        <f t="shared" si="20"/>
        <v>55</v>
      </c>
      <c r="S157" s="3">
        <f t="shared" si="21"/>
        <v>434.3900000000001</v>
      </c>
      <c r="T157" s="24"/>
      <c r="U157" s="24"/>
      <c r="V157" s="3"/>
      <c r="W157" s="25" t="s">
        <v>6950</v>
      </c>
      <c r="X157" s="25"/>
      <c r="Y157" s="25" t="str">
        <f>IFERROR(VLOOKUP(C_Ope_004[[#This Row],[NOTA 2]],Clientes_Proveedores[[Ruc / Dni]:[Razon Social]],2,0),"")</f>
        <v/>
      </c>
      <c r="Z157" s="25"/>
      <c r="AA157" s="25"/>
      <c r="AB157" s="3" t="str">
        <f>IF(C_Ope_004[[#This Row],[FECHA]]&gt;0,TEXT(C_Ope_004[[#This Row],[FECHA]],"mmmm"),0)</f>
        <v>Mayo</v>
      </c>
    </row>
    <row r="158" spans="2:28" ht="24" x14ac:dyDescent="0.3">
      <c r="B158" s="2">
        <f>IF(C_Ope_004[[#This Row],[TIPO DE R.]]="R",COUNTIFS($D$4:$D157,"R")+1,"")</f>
        <v>154</v>
      </c>
      <c r="C158" s="19" t="str">
        <f t="shared" si="22"/>
        <v>C_Ope_004</v>
      </c>
      <c r="D158" s="3" t="s">
        <v>1074</v>
      </c>
      <c r="E158" s="14">
        <v>45811</v>
      </c>
      <c r="F158" s="5" t="s">
        <v>7102</v>
      </c>
      <c r="G158" s="5" t="s">
        <v>1079</v>
      </c>
      <c r="H158" s="6"/>
      <c r="I158" s="6" t="s">
        <v>14</v>
      </c>
      <c r="J158" s="6" t="s">
        <v>7115</v>
      </c>
      <c r="K158" s="6">
        <v>1245176</v>
      </c>
      <c r="L158" s="7" t="s">
        <v>6951</v>
      </c>
      <c r="M158" s="8">
        <v>24465</v>
      </c>
      <c r="N158" s="8" t="str">
        <f t="shared" si="18"/>
        <v>PEN</v>
      </c>
      <c r="O158" s="13"/>
      <c r="P158" s="13">
        <v>15</v>
      </c>
      <c r="Q158" s="3">
        <f t="shared" si="19"/>
        <v>0</v>
      </c>
      <c r="R158" s="3">
        <f t="shared" si="20"/>
        <v>15</v>
      </c>
      <c r="S158" s="3">
        <f t="shared" si="21"/>
        <v>419.3900000000001</v>
      </c>
      <c r="T158" s="24"/>
      <c r="U158" s="24"/>
      <c r="V158" s="3"/>
      <c r="W158" s="25" t="s">
        <v>6950</v>
      </c>
      <c r="X158" s="25"/>
      <c r="Y158" s="25" t="str">
        <f>IFERROR(VLOOKUP(C_Ope_004[[#This Row],[NOTA 2]],Clientes_Proveedores[[Ruc / Dni]:[Razon Social]],2,0),"")</f>
        <v/>
      </c>
      <c r="Z158" s="25"/>
      <c r="AA158" s="25"/>
      <c r="AB158" s="3" t="str">
        <f>IF(C_Ope_004[[#This Row],[FECHA]]&gt;0,TEXT(C_Ope_004[[#This Row],[FECHA]],"mmmm"),0)</f>
        <v>Junio</v>
      </c>
    </row>
    <row r="159" spans="2:28" ht="24" x14ac:dyDescent="0.3">
      <c r="B159" s="2">
        <f>IF(C_Ope_004[[#This Row],[TIPO DE R.]]="R",COUNTIFS($D$4:$D158,"R")+1,"")</f>
        <v>155</v>
      </c>
      <c r="C159" s="19" t="str">
        <f t="shared" si="22"/>
        <v>C_Ope_004</v>
      </c>
      <c r="D159" s="3" t="s">
        <v>1074</v>
      </c>
      <c r="E159" s="14">
        <v>45811</v>
      </c>
      <c r="F159" s="5" t="s">
        <v>7102</v>
      </c>
      <c r="G159" s="5" t="s">
        <v>1079</v>
      </c>
      <c r="H159" s="6"/>
      <c r="I159" s="6" t="s">
        <v>14</v>
      </c>
      <c r="J159" s="6" t="s">
        <v>7041</v>
      </c>
      <c r="K159" s="6">
        <v>2278817</v>
      </c>
      <c r="L159" s="7" t="s">
        <v>6949</v>
      </c>
      <c r="M159" s="8">
        <v>24466</v>
      </c>
      <c r="N159" s="8" t="str">
        <f t="shared" si="18"/>
        <v>PEN</v>
      </c>
      <c r="O159" s="13"/>
      <c r="P159" s="13">
        <v>15</v>
      </c>
      <c r="Q159" s="3">
        <f t="shared" si="19"/>
        <v>0</v>
      </c>
      <c r="R159" s="3">
        <f t="shared" si="20"/>
        <v>15</v>
      </c>
      <c r="S159" s="3">
        <f t="shared" si="21"/>
        <v>404.3900000000001</v>
      </c>
      <c r="T159" s="24"/>
      <c r="U159" s="24"/>
      <c r="V159" s="3"/>
      <c r="W159" s="25" t="s">
        <v>6950</v>
      </c>
      <c r="X159" s="25"/>
      <c r="Y159" s="25" t="str">
        <f>IFERROR(VLOOKUP(C_Ope_004[[#This Row],[NOTA 2]],Clientes_Proveedores[[Ruc / Dni]:[Razon Social]],2,0),"")</f>
        <v/>
      </c>
      <c r="Z159" s="25"/>
      <c r="AA159" s="25"/>
      <c r="AB159" s="3" t="str">
        <f>IF(C_Ope_004[[#This Row],[FECHA]]&gt;0,TEXT(C_Ope_004[[#This Row],[FECHA]],"mmmm"),0)</f>
        <v>Junio</v>
      </c>
    </row>
    <row r="160" spans="2:28" ht="24" x14ac:dyDescent="0.3">
      <c r="B160" s="2">
        <f>IF(C_Ope_004[[#This Row],[TIPO DE R.]]="R",COUNTIFS($D$4:$D159,"R")+1,"")</f>
        <v>156</v>
      </c>
      <c r="C160" s="19" t="str">
        <f t="shared" si="22"/>
        <v>C_Ope_004</v>
      </c>
      <c r="D160" s="3" t="s">
        <v>1074</v>
      </c>
      <c r="E160" s="14">
        <v>45813</v>
      </c>
      <c r="F160" s="5" t="s">
        <v>7102</v>
      </c>
      <c r="G160" s="5" t="s">
        <v>1079</v>
      </c>
      <c r="H160" s="6"/>
      <c r="I160" s="6" t="s">
        <v>14</v>
      </c>
      <c r="J160" s="6" t="s">
        <v>5130</v>
      </c>
      <c r="K160" s="6">
        <v>1162433</v>
      </c>
      <c r="L160" s="7" t="s">
        <v>6951</v>
      </c>
      <c r="M160" s="8">
        <v>24467</v>
      </c>
      <c r="N160" s="8" t="str">
        <f t="shared" si="18"/>
        <v>PEN</v>
      </c>
      <c r="O160" s="13"/>
      <c r="P160" s="13">
        <v>15</v>
      </c>
      <c r="Q160" s="3">
        <f t="shared" si="19"/>
        <v>0</v>
      </c>
      <c r="R160" s="3">
        <f t="shared" si="20"/>
        <v>15</v>
      </c>
      <c r="S160" s="3">
        <f t="shared" si="21"/>
        <v>389.3900000000001</v>
      </c>
      <c r="T160" s="24"/>
      <c r="U160" s="24"/>
      <c r="V160" s="3"/>
      <c r="W160" s="25" t="s">
        <v>6950</v>
      </c>
      <c r="X160" s="25"/>
      <c r="Y160" s="25" t="str">
        <f>IFERROR(VLOOKUP(C_Ope_004[[#This Row],[NOTA 2]],Clientes_Proveedores[[Ruc / Dni]:[Razon Social]],2,0),"")</f>
        <v/>
      </c>
      <c r="Z160" s="25"/>
      <c r="AA160" s="25"/>
      <c r="AB160" s="3" t="str">
        <f>IF(C_Ope_004[[#This Row],[FECHA]]&gt;0,TEXT(C_Ope_004[[#This Row],[FECHA]],"mmmm"),0)</f>
        <v>Junio</v>
      </c>
    </row>
    <row r="161" spans="2:28" ht="24" x14ac:dyDescent="0.3">
      <c r="B161" s="2">
        <f>IF(C_Ope_004[[#This Row],[TIPO DE R.]]="R",COUNTIFS($D$4:$D160,"R")+1,"")</f>
        <v>157</v>
      </c>
      <c r="C161" s="19" t="str">
        <f t="shared" si="22"/>
        <v>C_Ope_004</v>
      </c>
      <c r="D161" s="3" t="s">
        <v>1074</v>
      </c>
      <c r="E161" s="14">
        <v>45813</v>
      </c>
      <c r="F161" s="5" t="s">
        <v>7102</v>
      </c>
      <c r="G161" s="5" t="s">
        <v>1079</v>
      </c>
      <c r="H161" s="6"/>
      <c r="I161" s="6" t="s">
        <v>14</v>
      </c>
      <c r="J161" s="6" t="s">
        <v>6985</v>
      </c>
      <c r="K161" s="6" t="s">
        <v>7140</v>
      </c>
      <c r="L161" s="7" t="s">
        <v>6949</v>
      </c>
      <c r="M161" s="8">
        <v>24468</v>
      </c>
      <c r="N161" s="8" t="str">
        <f t="shared" si="18"/>
        <v>PEN</v>
      </c>
      <c r="O161" s="13"/>
      <c r="P161" s="13">
        <v>15</v>
      </c>
      <c r="Q161" s="3">
        <f t="shared" si="19"/>
        <v>0</v>
      </c>
      <c r="R161" s="3">
        <f t="shared" si="20"/>
        <v>15</v>
      </c>
      <c r="S161" s="3">
        <f t="shared" si="21"/>
        <v>374.3900000000001</v>
      </c>
      <c r="T161" s="24"/>
      <c r="U161" s="24"/>
      <c r="V161" s="3"/>
      <c r="W161" s="25" t="s">
        <v>6950</v>
      </c>
      <c r="X161" s="25"/>
      <c r="Y161" s="25" t="str">
        <f>IFERROR(VLOOKUP(C_Ope_004[[#This Row],[NOTA 2]],Clientes_Proveedores[[Ruc / Dni]:[Razon Social]],2,0),"")</f>
        <v/>
      </c>
      <c r="Z161" s="25"/>
      <c r="AA161" s="25"/>
      <c r="AB161" s="3" t="str">
        <f>IF(C_Ope_004[[#This Row],[FECHA]]&gt;0,TEXT(C_Ope_004[[#This Row],[FECHA]],"mmmm"),0)</f>
        <v>Junio</v>
      </c>
    </row>
    <row r="162" spans="2:28" ht="24" x14ac:dyDescent="0.3">
      <c r="B162" s="2">
        <f>IF(C_Ope_004[[#This Row],[TIPO DE R.]]="R",COUNTIFS($D$4:$D161,"R")+1,"")</f>
        <v>158</v>
      </c>
      <c r="C162" s="19" t="str">
        <f t="shared" si="22"/>
        <v>C_Ope_004</v>
      </c>
      <c r="D162" s="3" t="s">
        <v>1074</v>
      </c>
      <c r="E162" s="14">
        <v>45817</v>
      </c>
      <c r="F162" s="5" t="s">
        <v>7102</v>
      </c>
      <c r="G162" s="5" t="s">
        <v>1079</v>
      </c>
      <c r="H162" s="6"/>
      <c r="I162" s="6" t="s">
        <v>14</v>
      </c>
      <c r="J162" s="6" t="s">
        <v>7103</v>
      </c>
      <c r="K162" s="6">
        <v>3628467</v>
      </c>
      <c r="L162" s="7" t="s">
        <v>6949</v>
      </c>
      <c r="M162" s="8">
        <v>24558</v>
      </c>
      <c r="N162" s="8" t="str">
        <f t="shared" si="18"/>
        <v>PEN</v>
      </c>
      <c r="O162" s="13"/>
      <c r="P162" s="13">
        <v>15</v>
      </c>
      <c r="Q162" s="3">
        <f t="shared" si="19"/>
        <v>0</v>
      </c>
      <c r="R162" s="3">
        <f t="shared" si="20"/>
        <v>15</v>
      </c>
      <c r="S162" s="3">
        <f t="shared" si="21"/>
        <v>359.3900000000001</v>
      </c>
      <c r="T162" s="24"/>
      <c r="U162" s="24"/>
      <c r="V162" s="3"/>
      <c r="W162" s="25" t="s">
        <v>6950</v>
      </c>
      <c r="X162" s="25"/>
      <c r="Y162" s="25" t="str">
        <f>IFERROR(VLOOKUP(C_Ope_004[[#This Row],[NOTA 2]],Clientes_Proveedores[[Ruc / Dni]:[Razon Social]],2,0),"")</f>
        <v/>
      </c>
      <c r="Z162" s="25"/>
      <c r="AA162" s="25"/>
      <c r="AB162" s="3" t="str">
        <f>IF(C_Ope_004[[#This Row],[FECHA]]&gt;0,TEXT(C_Ope_004[[#This Row],[FECHA]],"mmmm"),0)</f>
        <v>Junio</v>
      </c>
    </row>
    <row r="163" spans="2:28" ht="24" x14ac:dyDescent="0.3">
      <c r="B163" s="2">
        <f>IF(C_Ope_004[[#This Row],[TIPO DE R.]]="R",COUNTIFS($D$4:$D162,"R")+1,"")</f>
        <v>159</v>
      </c>
      <c r="C163" s="19" t="str">
        <f t="shared" si="22"/>
        <v>C_Ope_004</v>
      </c>
      <c r="D163" s="3" t="s">
        <v>1074</v>
      </c>
      <c r="E163" s="14">
        <v>45817</v>
      </c>
      <c r="F163" s="5" t="s">
        <v>7102</v>
      </c>
      <c r="G163" s="5" t="s">
        <v>1079</v>
      </c>
      <c r="H163" s="6"/>
      <c r="I163" s="6" t="s">
        <v>14</v>
      </c>
      <c r="J163" s="6" t="s">
        <v>7112</v>
      </c>
      <c r="K163" s="6">
        <v>645342</v>
      </c>
      <c r="L163" s="7" t="s">
        <v>6951</v>
      </c>
      <c r="M163" s="8">
        <v>24559</v>
      </c>
      <c r="N163" s="8" t="str">
        <f t="shared" si="18"/>
        <v>PEN</v>
      </c>
      <c r="O163" s="13"/>
      <c r="P163" s="13">
        <v>15</v>
      </c>
      <c r="Q163" s="3">
        <f t="shared" si="19"/>
        <v>0</v>
      </c>
      <c r="R163" s="3">
        <f t="shared" si="20"/>
        <v>15</v>
      </c>
      <c r="S163" s="3">
        <f t="shared" si="21"/>
        <v>344.3900000000001</v>
      </c>
      <c r="T163" s="24"/>
      <c r="U163" s="24"/>
      <c r="V163" s="3"/>
      <c r="W163" s="25" t="s">
        <v>6950</v>
      </c>
      <c r="X163" s="25"/>
      <c r="Y163" s="25" t="str">
        <f>IFERROR(VLOOKUP(C_Ope_004[[#This Row],[NOTA 2]],Clientes_Proveedores[[Ruc / Dni]:[Razon Social]],2,0),"")</f>
        <v/>
      </c>
      <c r="Z163" s="25"/>
      <c r="AA163" s="25"/>
      <c r="AB163" s="3" t="str">
        <f>IF(C_Ope_004[[#This Row],[FECHA]]&gt;0,TEXT(C_Ope_004[[#This Row],[FECHA]],"mmmm"),0)</f>
        <v>Junio</v>
      </c>
    </row>
    <row r="164" spans="2:28" ht="24" x14ac:dyDescent="0.3">
      <c r="B164" s="2">
        <f>IF(C_Ope_004[[#This Row],[TIPO DE R.]]="R",COUNTIFS($D$4:$D163,"R")+1,"")</f>
        <v>160</v>
      </c>
      <c r="C164" s="19" t="str">
        <f t="shared" si="22"/>
        <v>C_Ope_004</v>
      </c>
      <c r="D164" s="3" t="s">
        <v>1074</v>
      </c>
      <c r="E164" s="14">
        <v>45818</v>
      </c>
      <c r="F164" s="5" t="s">
        <v>7102</v>
      </c>
      <c r="G164" s="5" t="s">
        <v>1079</v>
      </c>
      <c r="H164" s="6"/>
      <c r="I164" s="6" t="s">
        <v>14</v>
      </c>
      <c r="J164" s="6" t="s">
        <v>6927</v>
      </c>
      <c r="K164" s="6">
        <v>592673</v>
      </c>
      <c r="L164" s="7" t="s">
        <v>6949</v>
      </c>
      <c r="M164" s="8">
        <v>24560</v>
      </c>
      <c r="N164" s="8" t="str">
        <f t="shared" si="18"/>
        <v>PEN</v>
      </c>
      <c r="O164" s="13"/>
      <c r="P164" s="13">
        <v>15</v>
      </c>
      <c r="Q164" s="3">
        <f t="shared" si="19"/>
        <v>0</v>
      </c>
      <c r="R164" s="3">
        <f t="shared" si="20"/>
        <v>15</v>
      </c>
      <c r="S164" s="3">
        <f t="shared" si="21"/>
        <v>329.3900000000001</v>
      </c>
      <c r="T164" s="24"/>
      <c r="U164" s="24"/>
      <c r="V164" s="3"/>
      <c r="W164" s="25" t="s">
        <v>6950</v>
      </c>
      <c r="X164" s="25"/>
      <c r="Y164" s="25" t="str">
        <f>IFERROR(VLOOKUP(C_Ope_004[[#This Row],[NOTA 2]],Clientes_Proveedores[[Ruc / Dni]:[Razon Social]],2,0),"")</f>
        <v/>
      </c>
      <c r="Z164" s="25"/>
      <c r="AA164" s="25"/>
      <c r="AB164" s="3" t="str">
        <f>IF(C_Ope_004[[#This Row],[FECHA]]&gt;0,TEXT(C_Ope_004[[#This Row],[FECHA]],"mmmm"),0)</f>
        <v>Junio</v>
      </c>
    </row>
    <row r="165" spans="2:28" ht="24" x14ac:dyDescent="0.3">
      <c r="B165" s="2">
        <f>IF(C_Ope_004[[#This Row],[TIPO DE R.]]="R",COUNTIFS($D$4:$D164,"R")+1,"")</f>
        <v>161</v>
      </c>
      <c r="C165" s="19" t="str">
        <f t="shared" si="22"/>
        <v>C_Ope_004</v>
      </c>
      <c r="D165" s="3" t="s">
        <v>1074</v>
      </c>
      <c r="E165" s="14">
        <v>45818</v>
      </c>
      <c r="F165" s="5" t="s">
        <v>7102</v>
      </c>
      <c r="G165" s="5" t="s">
        <v>1079</v>
      </c>
      <c r="H165" s="6"/>
      <c r="I165" s="6" t="s">
        <v>14</v>
      </c>
      <c r="J165" s="6" t="s">
        <v>6906</v>
      </c>
      <c r="K165" s="6">
        <v>2670444</v>
      </c>
      <c r="L165" s="7" t="s">
        <v>6951</v>
      </c>
      <c r="M165" s="8">
        <v>24561</v>
      </c>
      <c r="N165" s="8" t="str">
        <f t="shared" ref="N165:N202" si="23">"PEN"</f>
        <v>PEN</v>
      </c>
      <c r="O165" s="13"/>
      <c r="P165" s="13">
        <v>15</v>
      </c>
      <c r="Q165" s="3">
        <f t="shared" ref="Q165:Q198" si="24">+IF(OR($G165="SALDO",$G165="INGRESO"),$P165,0)</f>
        <v>0</v>
      </c>
      <c r="R165" s="3">
        <f t="shared" ref="R165:R198" si="25">+IF($G165="EGRESO",$P165,0)</f>
        <v>15</v>
      </c>
      <c r="S165" s="3">
        <f t="shared" si="21"/>
        <v>314.3900000000001</v>
      </c>
      <c r="T165" s="24"/>
      <c r="U165" s="24"/>
      <c r="V165" s="3"/>
      <c r="W165" s="25" t="s">
        <v>6950</v>
      </c>
      <c r="X165" s="25"/>
      <c r="Y165" s="25" t="str">
        <f>IFERROR(VLOOKUP(C_Ope_004[[#This Row],[NOTA 2]],Clientes_Proveedores[[Ruc / Dni]:[Razon Social]],2,0),"")</f>
        <v/>
      </c>
      <c r="Z165" s="25"/>
      <c r="AA165" s="25"/>
      <c r="AB165" s="3" t="str">
        <f>IF(C_Ope_004[[#This Row],[FECHA]]&gt;0,TEXT(C_Ope_004[[#This Row],[FECHA]],"mmmm"),0)</f>
        <v>Junio</v>
      </c>
    </row>
    <row r="166" spans="2:28" ht="24" x14ac:dyDescent="0.3">
      <c r="B166" s="2">
        <f>IF(C_Ope_004[[#This Row],[TIPO DE R.]]="R",COUNTIFS($D$4:$D165,"R")+1,"")</f>
        <v>162</v>
      </c>
      <c r="C166" s="19" t="str">
        <f t="shared" ref="C166:C187" si="26">"C_Ope_004"</f>
        <v>C_Ope_004</v>
      </c>
      <c r="D166" s="3" t="s">
        <v>1074</v>
      </c>
      <c r="E166" s="14">
        <v>45820</v>
      </c>
      <c r="F166" s="5" t="s">
        <v>7102</v>
      </c>
      <c r="G166" s="5" t="s">
        <v>1079</v>
      </c>
      <c r="H166" s="6"/>
      <c r="I166" s="6" t="s">
        <v>14</v>
      </c>
      <c r="J166" s="6" t="s">
        <v>6985</v>
      </c>
      <c r="K166" s="6">
        <v>3026311</v>
      </c>
      <c r="L166" s="7" t="s">
        <v>7125</v>
      </c>
      <c r="M166" s="8">
        <v>24562</v>
      </c>
      <c r="N166" s="8" t="str">
        <f t="shared" si="23"/>
        <v>PEN</v>
      </c>
      <c r="O166" s="13"/>
      <c r="P166" s="13">
        <v>15</v>
      </c>
      <c r="Q166" s="3">
        <f t="shared" si="24"/>
        <v>0</v>
      </c>
      <c r="R166" s="3">
        <f t="shared" si="25"/>
        <v>15</v>
      </c>
      <c r="S166" s="3">
        <f t="shared" si="21"/>
        <v>299.3900000000001</v>
      </c>
      <c r="T166" s="24"/>
      <c r="U166" s="24"/>
      <c r="V166" s="3"/>
      <c r="W166" s="25" t="s">
        <v>6950</v>
      </c>
      <c r="X166" s="25"/>
      <c r="Y166" s="25" t="str">
        <f>IFERROR(VLOOKUP(C_Ope_004[[#This Row],[NOTA 2]],Clientes_Proveedores[[Ruc / Dni]:[Razon Social]],2,0),"")</f>
        <v/>
      </c>
      <c r="Z166" s="25"/>
      <c r="AA166" s="25"/>
      <c r="AB166" s="3" t="str">
        <f>IF(C_Ope_004[[#This Row],[FECHA]]&gt;0,TEXT(C_Ope_004[[#This Row],[FECHA]],"mmmm"),0)</f>
        <v>Junio</v>
      </c>
    </row>
    <row r="167" spans="2:28" ht="24" x14ac:dyDescent="0.3">
      <c r="B167" s="2">
        <f>IF(C_Ope_004[[#This Row],[TIPO DE R.]]="R",COUNTIFS($D$4:$D166,"R")+1,"")</f>
        <v>163</v>
      </c>
      <c r="C167" s="19" t="str">
        <f t="shared" si="26"/>
        <v>C_Ope_004</v>
      </c>
      <c r="D167" s="3" t="s">
        <v>1074</v>
      </c>
      <c r="E167" s="14">
        <v>45820</v>
      </c>
      <c r="F167" s="5" t="s">
        <v>7102</v>
      </c>
      <c r="G167" s="5" t="s">
        <v>1079</v>
      </c>
      <c r="H167" s="6"/>
      <c r="I167" s="6" t="s">
        <v>14</v>
      </c>
      <c r="J167" s="6" t="s">
        <v>7141</v>
      </c>
      <c r="K167" s="6">
        <v>1968965</v>
      </c>
      <c r="L167" s="7" t="s">
        <v>7108</v>
      </c>
      <c r="M167" s="8">
        <v>24563</v>
      </c>
      <c r="N167" s="8" t="str">
        <f t="shared" si="23"/>
        <v>PEN</v>
      </c>
      <c r="O167" s="13"/>
      <c r="P167" s="13">
        <v>15</v>
      </c>
      <c r="Q167" s="3">
        <f t="shared" si="24"/>
        <v>0</v>
      </c>
      <c r="R167" s="3">
        <f t="shared" si="25"/>
        <v>15</v>
      </c>
      <c r="S167" s="3">
        <f t="shared" si="21"/>
        <v>284.3900000000001</v>
      </c>
      <c r="T167" s="24"/>
      <c r="U167" s="24"/>
      <c r="V167" s="3"/>
      <c r="W167" s="25" t="s">
        <v>6950</v>
      </c>
      <c r="X167" s="25"/>
      <c r="Y167" s="25" t="str">
        <f>IFERROR(VLOOKUP(C_Ope_004[[#This Row],[NOTA 2]],Clientes_Proveedores[[Ruc / Dni]:[Razon Social]],2,0),"")</f>
        <v/>
      </c>
      <c r="Z167" s="25"/>
      <c r="AA167" s="25"/>
      <c r="AB167" s="3" t="str">
        <f>IF(C_Ope_004[[#This Row],[FECHA]]&gt;0,TEXT(C_Ope_004[[#This Row],[FECHA]],"mmmm"),0)</f>
        <v>Junio</v>
      </c>
    </row>
    <row r="168" spans="2:28" ht="24" x14ac:dyDescent="0.3">
      <c r="B168" s="2">
        <f>IF(C_Ope_004[[#This Row],[TIPO DE R.]]="R",COUNTIFS($D$4:$D167,"R")+1,"")</f>
        <v>164</v>
      </c>
      <c r="C168" s="19" t="str">
        <f t="shared" si="26"/>
        <v>C_Ope_004</v>
      </c>
      <c r="D168" s="3" t="s">
        <v>1074</v>
      </c>
      <c r="E168" s="14">
        <v>45821</v>
      </c>
      <c r="F168" s="5" t="s">
        <v>7102</v>
      </c>
      <c r="G168" s="5" t="s">
        <v>1079</v>
      </c>
      <c r="H168" s="6"/>
      <c r="I168" s="6" t="s">
        <v>14</v>
      </c>
      <c r="J168" s="6" t="s">
        <v>7112</v>
      </c>
      <c r="K168" s="6">
        <v>646487</v>
      </c>
      <c r="L168" s="7" t="s">
        <v>6951</v>
      </c>
      <c r="M168" s="8">
        <v>24571</v>
      </c>
      <c r="N168" s="8" t="str">
        <f t="shared" si="23"/>
        <v>PEN</v>
      </c>
      <c r="O168" s="13"/>
      <c r="P168" s="13">
        <v>15</v>
      </c>
      <c r="Q168" s="3">
        <f t="shared" si="24"/>
        <v>0</v>
      </c>
      <c r="R168" s="3">
        <f t="shared" si="25"/>
        <v>15</v>
      </c>
      <c r="S168" s="3">
        <f t="shared" si="21"/>
        <v>269.3900000000001</v>
      </c>
      <c r="T168" s="24"/>
      <c r="U168" s="24"/>
      <c r="V168" s="3"/>
      <c r="W168" s="25" t="s">
        <v>6950</v>
      </c>
      <c r="X168" s="25"/>
      <c r="Y168" s="25" t="str">
        <f>IFERROR(VLOOKUP(C_Ope_004[[#This Row],[NOTA 2]],Clientes_Proveedores[[Ruc / Dni]:[Razon Social]],2,0),"")</f>
        <v/>
      </c>
      <c r="Z168" s="25"/>
      <c r="AA168" s="25"/>
      <c r="AB168" s="3" t="str">
        <f>IF(C_Ope_004[[#This Row],[FECHA]]&gt;0,TEXT(C_Ope_004[[#This Row],[FECHA]],"mmmm"),0)</f>
        <v>Junio</v>
      </c>
    </row>
    <row r="169" spans="2:28" ht="24" x14ac:dyDescent="0.3">
      <c r="B169" s="2">
        <f>IF(C_Ope_004[[#This Row],[TIPO DE R.]]="R",COUNTIFS($D$4:$D168,"R")+1,"")</f>
        <v>165</v>
      </c>
      <c r="C169" s="19" t="str">
        <f t="shared" si="26"/>
        <v>C_Ope_004</v>
      </c>
      <c r="D169" s="3" t="s">
        <v>1074</v>
      </c>
      <c r="E169" s="14">
        <v>45821</v>
      </c>
      <c r="F169" s="5" t="s">
        <v>7102</v>
      </c>
      <c r="G169" s="5" t="s">
        <v>1079</v>
      </c>
      <c r="H169" s="6"/>
      <c r="I169" s="6" t="s">
        <v>14</v>
      </c>
      <c r="J169" s="6" t="s">
        <v>6927</v>
      </c>
      <c r="K169" s="6">
        <v>594139</v>
      </c>
      <c r="L169" s="7" t="s">
        <v>6949</v>
      </c>
      <c r="M169" s="8">
        <v>24572</v>
      </c>
      <c r="N169" s="8" t="str">
        <f t="shared" si="23"/>
        <v>PEN</v>
      </c>
      <c r="O169" s="13"/>
      <c r="P169" s="13">
        <v>15</v>
      </c>
      <c r="Q169" s="3">
        <f t="shared" si="24"/>
        <v>0</v>
      </c>
      <c r="R169" s="3">
        <f t="shared" si="25"/>
        <v>15</v>
      </c>
      <c r="S169" s="3">
        <f t="shared" si="21"/>
        <v>254.3900000000001</v>
      </c>
      <c r="T169" s="24"/>
      <c r="U169" s="24"/>
      <c r="V169" s="3"/>
      <c r="W169" s="25" t="s">
        <v>6950</v>
      </c>
      <c r="X169" s="25"/>
      <c r="Y169" s="25" t="str">
        <f>IFERROR(VLOOKUP(C_Ope_004[[#This Row],[NOTA 2]],Clientes_Proveedores[[Ruc / Dni]:[Razon Social]],2,0),"")</f>
        <v/>
      </c>
      <c r="Z169" s="25"/>
      <c r="AA169" s="25"/>
      <c r="AB169" s="3" t="str">
        <f>IF(C_Ope_004[[#This Row],[FECHA]]&gt;0,TEXT(C_Ope_004[[#This Row],[FECHA]],"mmmm"),0)</f>
        <v>Junio</v>
      </c>
    </row>
    <row r="170" spans="2:28" ht="24" x14ac:dyDescent="0.3">
      <c r="B170" s="2">
        <f>IF(C_Ope_004[[#This Row],[TIPO DE R.]]="R",COUNTIFS($D$4:$D169,"R")+1,"")</f>
        <v>166</v>
      </c>
      <c r="C170" s="19" t="str">
        <f t="shared" si="26"/>
        <v>C_Ope_004</v>
      </c>
      <c r="D170" s="3" t="s">
        <v>1074</v>
      </c>
      <c r="E170" s="14">
        <v>45817</v>
      </c>
      <c r="F170" s="5" t="s">
        <v>7102</v>
      </c>
      <c r="G170" s="5" t="s">
        <v>1079</v>
      </c>
      <c r="H170" s="6"/>
      <c r="I170" s="6" t="s">
        <v>14</v>
      </c>
      <c r="J170" s="6" t="s">
        <v>1119</v>
      </c>
      <c r="K170" s="6">
        <v>7402</v>
      </c>
      <c r="L170" s="7" t="s">
        <v>7142</v>
      </c>
      <c r="M170" s="8">
        <v>24564</v>
      </c>
      <c r="N170" s="8" t="str">
        <f t="shared" si="23"/>
        <v>PEN</v>
      </c>
      <c r="O170" s="13"/>
      <c r="P170" s="13">
        <v>13</v>
      </c>
      <c r="Q170" s="3">
        <f t="shared" si="24"/>
        <v>0</v>
      </c>
      <c r="R170" s="3">
        <f t="shared" si="25"/>
        <v>13</v>
      </c>
      <c r="S170" s="3">
        <f t="shared" si="21"/>
        <v>241.3900000000001</v>
      </c>
      <c r="T170" s="24"/>
      <c r="U170" s="24"/>
      <c r="V170" s="3"/>
      <c r="W170" s="25" t="s">
        <v>6950</v>
      </c>
      <c r="X170" s="25"/>
      <c r="Y170" s="25" t="str">
        <f>IFERROR(VLOOKUP(C_Ope_004[[#This Row],[NOTA 2]],Clientes_Proveedores[[Ruc / Dni]:[Razon Social]],2,0),"")</f>
        <v/>
      </c>
      <c r="Z170" s="25"/>
      <c r="AA170" s="25"/>
      <c r="AB170" s="3" t="str">
        <f>IF(C_Ope_004[[#This Row],[FECHA]]&gt;0,TEXT(C_Ope_004[[#This Row],[FECHA]],"mmmm"),0)</f>
        <v>Junio</v>
      </c>
    </row>
    <row r="171" spans="2:28" ht="24" x14ac:dyDescent="0.3">
      <c r="B171" s="2">
        <f>IF(C_Ope_004[[#This Row],[TIPO DE R.]]="R",COUNTIFS($D$4:$D170,"R")+1,"")</f>
        <v>167</v>
      </c>
      <c r="C171" s="19" t="str">
        <f t="shared" si="26"/>
        <v>C_Ope_004</v>
      </c>
      <c r="D171" s="3" t="s">
        <v>1074</v>
      </c>
      <c r="E171" s="14">
        <v>45817</v>
      </c>
      <c r="F171" s="5" t="s">
        <v>7102</v>
      </c>
      <c r="G171" s="5" t="s">
        <v>1079</v>
      </c>
      <c r="H171" s="6"/>
      <c r="I171" s="6" t="s">
        <v>14</v>
      </c>
      <c r="J171" s="6" t="s">
        <v>1119</v>
      </c>
      <c r="K171" s="6">
        <v>7400</v>
      </c>
      <c r="L171" s="7" t="s">
        <v>7142</v>
      </c>
      <c r="M171" s="8">
        <v>24565</v>
      </c>
      <c r="N171" s="8" t="str">
        <f t="shared" si="23"/>
        <v>PEN</v>
      </c>
      <c r="O171" s="13"/>
      <c r="P171" s="13">
        <v>13</v>
      </c>
      <c r="Q171" s="3">
        <f t="shared" si="24"/>
        <v>0</v>
      </c>
      <c r="R171" s="3">
        <f t="shared" si="25"/>
        <v>13</v>
      </c>
      <c r="S171" s="3">
        <f t="shared" si="21"/>
        <v>228.3900000000001</v>
      </c>
      <c r="T171" s="24"/>
      <c r="U171" s="24"/>
      <c r="V171" s="3"/>
      <c r="W171" s="25" t="s">
        <v>6950</v>
      </c>
      <c r="X171" s="25"/>
      <c r="Y171" s="25" t="str">
        <f>IFERROR(VLOOKUP(C_Ope_004[[#This Row],[NOTA 2]],Clientes_Proveedores[[Ruc / Dni]:[Razon Social]],2,0),"")</f>
        <v/>
      </c>
      <c r="Z171" s="25"/>
      <c r="AA171" s="25"/>
      <c r="AB171" s="3" t="str">
        <f>IF(C_Ope_004[[#This Row],[FECHA]]&gt;0,TEXT(C_Ope_004[[#This Row],[FECHA]],"mmmm"),0)</f>
        <v>Junio</v>
      </c>
    </row>
    <row r="172" spans="2:28" ht="24" x14ac:dyDescent="0.3">
      <c r="B172" s="2">
        <f>IF(C_Ope_004[[#This Row],[TIPO DE R.]]="R",COUNTIFS($D$4:$D171,"R")+1,"")</f>
        <v>168</v>
      </c>
      <c r="C172" s="19" t="str">
        <f t="shared" si="26"/>
        <v>C_Ope_004</v>
      </c>
      <c r="D172" s="3" t="s">
        <v>1074</v>
      </c>
      <c r="E172" s="14">
        <v>45817</v>
      </c>
      <c r="F172" s="5" t="s">
        <v>7102</v>
      </c>
      <c r="G172" s="5" t="s">
        <v>1079</v>
      </c>
      <c r="H172" s="6"/>
      <c r="I172" s="6" t="s">
        <v>14</v>
      </c>
      <c r="J172" s="6" t="s">
        <v>1119</v>
      </c>
      <c r="K172" s="6">
        <v>7399</v>
      </c>
      <c r="L172" s="7" t="s">
        <v>7142</v>
      </c>
      <c r="M172" s="8">
        <v>24566</v>
      </c>
      <c r="N172" s="8" t="str">
        <f t="shared" si="23"/>
        <v>PEN</v>
      </c>
      <c r="O172" s="13"/>
      <c r="P172" s="13">
        <v>13</v>
      </c>
      <c r="Q172" s="3">
        <f t="shared" si="24"/>
        <v>0</v>
      </c>
      <c r="R172" s="3">
        <f t="shared" si="25"/>
        <v>13</v>
      </c>
      <c r="S172" s="3">
        <f t="shared" si="21"/>
        <v>215.3900000000001</v>
      </c>
      <c r="T172" s="24"/>
      <c r="U172" s="24"/>
      <c r="V172" s="3"/>
      <c r="W172" s="25" t="s">
        <v>6950</v>
      </c>
      <c r="X172" s="25"/>
      <c r="Y172" s="25" t="str">
        <f>IFERROR(VLOOKUP(C_Ope_004[[#This Row],[NOTA 2]],Clientes_Proveedores[[Ruc / Dni]:[Razon Social]],2,0),"")</f>
        <v/>
      </c>
      <c r="Z172" s="25"/>
      <c r="AA172" s="25"/>
      <c r="AB172" s="3" t="str">
        <f>IF(C_Ope_004[[#This Row],[FECHA]]&gt;0,TEXT(C_Ope_004[[#This Row],[FECHA]],"mmmm"),0)</f>
        <v>Junio</v>
      </c>
    </row>
    <row r="173" spans="2:28" ht="24" x14ac:dyDescent="0.3">
      <c r="B173" s="2">
        <f>IF(C_Ope_004[[#This Row],[TIPO DE R.]]="R",COUNTIFS($D$4:$D172,"R")+1,"")</f>
        <v>169</v>
      </c>
      <c r="C173" s="19" t="str">
        <f t="shared" si="26"/>
        <v>C_Ope_004</v>
      </c>
      <c r="D173" s="3" t="s">
        <v>1074</v>
      </c>
      <c r="E173" s="14">
        <v>45821</v>
      </c>
      <c r="F173" s="5" t="s">
        <v>7102</v>
      </c>
      <c r="G173" s="5" t="s">
        <v>1079</v>
      </c>
      <c r="H173" s="6"/>
      <c r="I173" s="6" t="s">
        <v>14</v>
      </c>
      <c r="J173" s="6" t="s">
        <v>1119</v>
      </c>
      <c r="K173" s="6">
        <v>7445</v>
      </c>
      <c r="L173" s="7" t="s">
        <v>7142</v>
      </c>
      <c r="M173" s="8">
        <v>24573</v>
      </c>
      <c r="N173" s="8" t="str">
        <f t="shared" si="23"/>
        <v>PEN</v>
      </c>
      <c r="O173" s="13"/>
      <c r="P173" s="13">
        <v>13</v>
      </c>
      <c r="Q173" s="3">
        <f t="shared" si="24"/>
        <v>0</v>
      </c>
      <c r="R173" s="3">
        <f t="shared" si="25"/>
        <v>13</v>
      </c>
      <c r="S173" s="3">
        <f t="shared" si="21"/>
        <v>202.3900000000001</v>
      </c>
      <c r="T173" s="24"/>
      <c r="U173" s="24"/>
      <c r="V173" s="3"/>
      <c r="W173" s="25" t="s">
        <v>6950</v>
      </c>
      <c r="X173" s="25"/>
      <c r="Y173" s="25" t="str">
        <f>IFERROR(VLOOKUP(C_Ope_004[[#This Row],[NOTA 2]],Clientes_Proveedores[[Ruc / Dni]:[Razon Social]],2,0),"")</f>
        <v/>
      </c>
      <c r="Z173" s="25"/>
      <c r="AA173" s="25"/>
      <c r="AB173" s="3" t="str">
        <f>IF(C_Ope_004[[#This Row],[FECHA]]&gt;0,TEXT(C_Ope_004[[#This Row],[FECHA]],"mmmm"),0)</f>
        <v>Junio</v>
      </c>
    </row>
    <row r="174" spans="2:28" ht="24" x14ac:dyDescent="0.3">
      <c r="B174" s="2">
        <f>IF(C_Ope_004[[#This Row],[TIPO DE R.]]="R",COUNTIFS($D$4:$D173,"R")+1,"")</f>
        <v>170</v>
      </c>
      <c r="C174" s="19" t="str">
        <f t="shared" si="26"/>
        <v>C_Ope_004</v>
      </c>
      <c r="D174" s="3" t="s">
        <v>1074</v>
      </c>
      <c r="E174" s="14">
        <v>45825</v>
      </c>
      <c r="F174" s="5" t="s">
        <v>7102</v>
      </c>
      <c r="G174" s="5" t="s">
        <v>1079</v>
      </c>
      <c r="H174" s="6"/>
      <c r="I174" s="6" t="s">
        <v>14</v>
      </c>
      <c r="J174" s="6" t="s">
        <v>7139</v>
      </c>
      <c r="K174" s="6">
        <v>2181902</v>
      </c>
      <c r="L174" s="7" t="s">
        <v>6951</v>
      </c>
      <c r="M174" s="8">
        <v>24619</v>
      </c>
      <c r="N174" s="8" t="str">
        <f t="shared" si="23"/>
        <v>PEN</v>
      </c>
      <c r="O174" s="13"/>
      <c r="P174" s="13">
        <v>15</v>
      </c>
      <c r="Q174" s="3">
        <f t="shared" si="24"/>
        <v>0</v>
      </c>
      <c r="R174" s="3">
        <f t="shared" si="25"/>
        <v>15</v>
      </c>
      <c r="S174" s="3">
        <f t="shared" si="21"/>
        <v>187.3900000000001</v>
      </c>
      <c r="T174" s="24"/>
      <c r="U174" s="24"/>
      <c r="V174" s="3"/>
      <c r="W174" s="25" t="s">
        <v>6950</v>
      </c>
      <c r="X174" s="25"/>
      <c r="Y174" s="25" t="str">
        <f>IFERROR(VLOOKUP(C_Ope_004[[#This Row],[NOTA 2]],Clientes_Proveedores[[Ruc / Dni]:[Razon Social]],2,0),"")</f>
        <v/>
      </c>
      <c r="Z174" s="25"/>
      <c r="AA174" s="25"/>
      <c r="AB174" s="3" t="str">
        <f>IF(C_Ope_004[[#This Row],[FECHA]]&gt;0,TEXT(C_Ope_004[[#This Row],[FECHA]],"mmmm"),0)</f>
        <v>Junio</v>
      </c>
    </row>
    <row r="175" spans="2:28" ht="24" x14ac:dyDescent="0.3">
      <c r="B175" s="2">
        <f>IF(C_Ope_004[[#This Row],[TIPO DE R.]]="R",COUNTIFS($D$4:$D174,"R")+1,"")</f>
        <v>171</v>
      </c>
      <c r="C175" s="19" t="str">
        <f t="shared" si="26"/>
        <v>C_Ope_004</v>
      </c>
      <c r="D175" s="3" t="s">
        <v>1074</v>
      </c>
      <c r="E175" s="14">
        <v>45825</v>
      </c>
      <c r="F175" s="5" t="s">
        <v>7102</v>
      </c>
      <c r="G175" s="5" t="s">
        <v>1079</v>
      </c>
      <c r="H175" s="6"/>
      <c r="I175" s="6" t="s">
        <v>14</v>
      </c>
      <c r="J175" s="6" t="s">
        <v>6927</v>
      </c>
      <c r="K175" s="6">
        <v>595539</v>
      </c>
      <c r="L175" s="7" t="s">
        <v>6949</v>
      </c>
      <c r="M175" s="8">
        <v>24620</v>
      </c>
      <c r="N175" s="8" t="str">
        <f t="shared" si="23"/>
        <v>PEN</v>
      </c>
      <c r="O175" s="13"/>
      <c r="P175" s="13">
        <v>15</v>
      </c>
      <c r="Q175" s="3">
        <f t="shared" si="24"/>
        <v>0</v>
      </c>
      <c r="R175" s="3">
        <f t="shared" si="25"/>
        <v>15</v>
      </c>
      <c r="S175" s="3">
        <f t="shared" si="21"/>
        <v>172.3900000000001</v>
      </c>
      <c r="T175" s="24"/>
      <c r="U175" s="24"/>
      <c r="V175" s="3"/>
      <c r="W175" s="25" t="s">
        <v>6950</v>
      </c>
      <c r="X175" s="25"/>
      <c r="Y175" s="25" t="str">
        <f>IFERROR(VLOOKUP(C_Ope_004[[#This Row],[NOTA 2]],Clientes_Proveedores[[Ruc / Dni]:[Razon Social]],2,0),"")</f>
        <v/>
      </c>
      <c r="Z175" s="25"/>
      <c r="AA175" s="25"/>
      <c r="AB175" s="3" t="str">
        <f>IF(C_Ope_004[[#This Row],[FECHA]]&gt;0,TEXT(C_Ope_004[[#This Row],[FECHA]],"mmmm"),0)</f>
        <v>Junio</v>
      </c>
    </row>
    <row r="176" spans="2:28" ht="24" x14ac:dyDescent="0.3">
      <c r="B176" s="2">
        <f>IF(C_Ope_004[[#This Row],[TIPO DE R.]]="R",COUNTIFS($D$4:$D175,"R")+1,"")</f>
        <v>172</v>
      </c>
      <c r="C176" s="19" t="str">
        <f t="shared" si="26"/>
        <v>C_Ope_004</v>
      </c>
      <c r="D176" s="3" t="s">
        <v>1074</v>
      </c>
      <c r="E176" s="14">
        <v>45827</v>
      </c>
      <c r="F176" s="5" t="s">
        <v>7102</v>
      </c>
      <c r="G176" s="5" t="s">
        <v>1079</v>
      </c>
      <c r="H176" s="6"/>
      <c r="I176" s="6" t="s">
        <v>14</v>
      </c>
      <c r="J176" s="6" t="s">
        <v>6881</v>
      </c>
      <c r="K176" s="6">
        <v>595322</v>
      </c>
      <c r="L176" s="7" t="s">
        <v>6951</v>
      </c>
      <c r="M176" s="8">
        <v>24621</v>
      </c>
      <c r="N176" s="8" t="str">
        <f t="shared" si="23"/>
        <v>PEN</v>
      </c>
      <c r="O176" s="13"/>
      <c r="P176" s="13">
        <v>15</v>
      </c>
      <c r="Q176" s="3">
        <f t="shared" si="24"/>
        <v>0</v>
      </c>
      <c r="R176" s="3">
        <f t="shared" si="25"/>
        <v>15</v>
      </c>
      <c r="S176" s="3">
        <f t="shared" si="21"/>
        <v>157.3900000000001</v>
      </c>
      <c r="T176" s="24"/>
      <c r="U176" s="24"/>
      <c r="V176" s="3"/>
      <c r="W176" s="25" t="s">
        <v>6950</v>
      </c>
      <c r="X176" s="25"/>
      <c r="Y176" s="25" t="str">
        <f>IFERROR(VLOOKUP(C_Ope_004[[#This Row],[NOTA 2]],Clientes_Proveedores[[Ruc / Dni]:[Razon Social]],2,0),"")</f>
        <v/>
      </c>
      <c r="Z176" s="25"/>
      <c r="AA176" s="25"/>
      <c r="AB176" s="3" t="str">
        <f>IF(C_Ope_004[[#This Row],[FECHA]]&gt;0,TEXT(C_Ope_004[[#This Row],[FECHA]],"mmmm"),0)</f>
        <v>Junio</v>
      </c>
    </row>
    <row r="177" spans="2:28" ht="24" x14ac:dyDescent="0.3">
      <c r="B177" s="2">
        <f>IF(C_Ope_004[[#This Row],[TIPO DE R.]]="R",COUNTIFS($D$4:$D176,"R")+1,"")</f>
        <v>173</v>
      </c>
      <c r="C177" s="19" t="str">
        <f t="shared" si="26"/>
        <v>C_Ope_004</v>
      </c>
      <c r="D177" s="3" t="s">
        <v>1074</v>
      </c>
      <c r="E177" s="14">
        <v>45827</v>
      </c>
      <c r="F177" s="5" t="s">
        <v>7102</v>
      </c>
      <c r="G177" s="5" t="s">
        <v>1079</v>
      </c>
      <c r="H177" s="6"/>
      <c r="I177" s="6" t="s">
        <v>14</v>
      </c>
      <c r="J177" s="6" t="s">
        <v>6985</v>
      </c>
      <c r="K177" s="6">
        <v>3033026</v>
      </c>
      <c r="L177" s="7" t="s">
        <v>6949</v>
      </c>
      <c r="M177" s="8">
        <v>24622</v>
      </c>
      <c r="N177" s="8" t="str">
        <f t="shared" si="23"/>
        <v>PEN</v>
      </c>
      <c r="O177" s="13"/>
      <c r="P177" s="13">
        <v>15</v>
      </c>
      <c r="Q177" s="3">
        <f t="shared" si="24"/>
        <v>0</v>
      </c>
      <c r="R177" s="3">
        <f t="shared" si="25"/>
        <v>15</v>
      </c>
      <c r="S177" s="3">
        <f t="shared" si="21"/>
        <v>142.3900000000001</v>
      </c>
      <c r="T177" s="24"/>
      <c r="U177" s="24"/>
      <c r="V177" s="3"/>
      <c r="W177" s="25" t="s">
        <v>6950</v>
      </c>
      <c r="X177" s="25"/>
      <c r="Y177" s="25" t="str">
        <f>IFERROR(VLOOKUP(C_Ope_004[[#This Row],[NOTA 2]],Clientes_Proveedores[[Ruc / Dni]:[Razon Social]],2,0),"")</f>
        <v/>
      </c>
      <c r="Z177" s="25"/>
      <c r="AA177" s="25"/>
      <c r="AB177" s="3" t="str">
        <f>IF(C_Ope_004[[#This Row],[FECHA]]&gt;0,TEXT(C_Ope_004[[#This Row],[FECHA]],"mmmm"),0)</f>
        <v>Junio</v>
      </c>
    </row>
    <row r="178" spans="2:28" ht="24" x14ac:dyDescent="0.3">
      <c r="B178" s="2">
        <f>IF(C_Ope_004[[#This Row],[TIPO DE R.]]="R",COUNTIFS($D$4:$D177,"R")+1,"")</f>
        <v>174</v>
      </c>
      <c r="C178" s="19" t="str">
        <f t="shared" si="26"/>
        <v>C_Ope_004</v>
      </c>
      <c r="D178" s="3" t="s">
        <v>1074</v>
      </c>
      <c r="E178" s="14">
        <v>45828</v>
      </c>
      <c r="F178" s="5" t="s">
        <v>7102</v>
      </c>
      <c r="G178" s="5" t="s">
        <v>1079</v>
      </c>
      <c r="H178" s="6"/>
      <c r="I178" s="6" t="s">
        <v>14</v>
      </c>
      <c r="J178" s="6" t="s">
        <v>6881</v>
      </c>
      <c r="K178" s="6">
        <v>595855</v>
      </c>
      <c r="L178" s="7" t="s">
        <v>6951</v>
      </c>
      <c r="M178" s="8">
        <v>24643</v>
      </c>
      <c r="N178" s="8" t="str">
        <f t="shared" si="23"/>
        <v>PEN</v>
      </c>
      <c r="O178" s="13"/>
      <c r="P178" s="13">
        <v>15</v>
      </c>
      <c r="Q178" s="3">
        <f t="shared" si="24"/>
        <v>0</v>
      </c>
      <c r="R178" s="3">
        <f t="shared" si="25"/>
        <v>15</v>
      </c>
      <c r="S178" s="3">
        <f t="shared" si="21"/>
        <v>127.3900000000001</v>
      </c>
      <c r="T178" s="24"/>
      <c r="U178" s="24"/>
      <c r="V178" s="3"/>
      <c r="W178" s="25" t="s">
        <v>6950</v>
      </c>
      <c r="X178" s="25"/>
      <c r="Y178" s="25" t="str">
        <f>IFERROR(VLOOKUP(C_Ope_004[[#This Row],[NOTA 2]],Clientes_Proveedores[[Ruc / Dni]:[Razon Social]],2,0),"")</f>
        <v/>
      </c>
      <c r="Z178" s="25"/>
      <c r="AA178" s="25"/>
      <c r="AB178" s="3" t="str">
        <f>IF(C_Ope_004[[#This Row],[FECHA]]&gt;0,TEXT(C_Ope_004[[#This Row],[FECHA]],"mmmm"),0)</f>
        <v>Junio</v>
      </c>
    </row>
    <row r="179" spans="2:28" ht="24" x14ac:dyDescent="0.3">
      <c r="B179" s="2">
        <f>IF(C_Ope_004[[#This Row],[TIPO DE R.]]="R",COUNTIFS($D$4:$D178,"R")+1,"")</f>
        <v>175</v>
      </c>
      <c r="C179" s="19" t="str">
        <f t="shared" si="26"/>
        <v>C_Ope_004</v>
      </c>
      <c r="D179" s="3" t="s">
        <v>1074</v>
      </c>
      <c r="E179" s="14">
        <v>45828</v>
      </c>
      <c r="F179" s="5" t="s">
        <v>7102</v>
      </c>
      <c r="G179" s="5" t="s">
        <v>1079</v>
      </c>
      <c r="H179" s="6"/>
      <c r="I179" s="6" t="s">
        <v>14</v>
      </c>
      <c r="J179" s="6" t="s">
        <v>7105</v>
      </c>
      <c r="K179" s="6">
        <v>3166451</v>
      </c>
      <c r="L179" s="7" t="s">
        <v>6949</v>
      </c>
      <c r="M179" s="8">
        <v>24644</v>
      </c>
      <c r="N179" s="8" t="str">
        <f t="shared" si="23"/>
        <v>PEN</v>
      </c>
      <c r="O179" s="13"/>
      <c r="P179" s="13">
        <v>15</v>
      </c>
      <c r="Q179" s="3">
        <f t="shared" si="24"/>
        <v>0</v>
      </c>
      <c r="R179" s="3">
        <f t="shared" si="25"/>
        <v>15</v>
      </c>
      <c r="S179" s="3">
        <f t="shared" si="21"/>
        <v>112.3900000000001</v>
      </c>
      <c r="T179" s="24"/>
      <c r="U179" s="24"/>
      <c r="V179" s="3"/>
      <c r="W179" s="25" t="s">
        <v>6950</v>
      </c>
      <c r="X179" s="25"/>
      <c r="Y179" s="25" t="str">
        <f>IFERROR(VLOOKUP(C_Ope_004[[#This Row],[NOTA 2]],Clientes_Proveedores[[Ruc / Dni]:[Razon Social]],2,0),"")</f>
        <v/>
      </c>
      <c r="Z179" s="25"/>
      <c r="AA179" s="25"/>
      <c r="AB179" s="3" t="str">
        <f>IF(C_Ope_004[[#This Row],[FECHA]]&gt;0,TEXT(C_Ope_004[[#This Row],[FECHA]],"mmmm"),0)</f>
        <v>Junio</v>
      </c>
    </row>
    <row r="180" spans="2:28" x14ac:dyDescent="0.3">
      <c r="B180" s="2">
        <f>IF(C_Ope_004[[#This Row],[TIPO DE R.]]="R",COUNTIFS($D$4:$D179,"R")+1,"")</f>
        <v>176</v>
      </c>
      <c r="C180" s="19" t="str">
        <f t="shared" si="26"/>
        <v>C_Ope_004</v>
      </c>
      <c r="D180" s="3" t="s">
        <v>1074</v>
      </c>
      <c r="E180" s="14">
        <v>45831</v>
      </c>
      <c r="F180" s="5"/>
      <c r="G180" s="5" t="s">
        <v>1087</v>
      </c>
      <c r="H180" s="6"/>
      <c r="I180" s="6"/>
      <c r="J180" s="6"/>
      <c r="K180" s="6"/>
      <c r="L180" s="7" t="s">
        <v>7113</v>
      </c>
      <c r="M180" s="8">
        <v>24654</v>
      </c>
      <c r="N180" s="8" t="str">
        <f t="shared" si="23"/>
        <v>PEN</v>
      </c>
      <c r="O180" s="13"/>
      <c r="P180" s="13">
        <v>90</v>
      </c>
      <c r="Q180" s="3">
        <f t="shared" si="24"/>
        <v>90</v>
      </c>
      <c r="R180" s="3">
        <f t="shared" si="25"/>
        <v>0</v>
      </c>
      <c r="S180" s="3">
        <f t="shared" si="21"/>
        <v>202.3900000000001</v>
      </c>
      <c r="T180" s="24"/>
      <c r="U180" s="24"/>
      <c r="V180" s="3"/>
      <c r="W180" s="25"/>
      <c r="X180" s="25"/>
      <c r="Y180" s="25" t="str">
        <f>IFERROR(VLOOKUP(C_Ope_004[[#This Row],[NOTA 2]],Clientes_Proveedores[[Ruc / Dni]:[Razon Social]],2,0),"")</f>
        <v/>
      </c>
      <c r="Z180" s="25"/>
      <c r="AA180" s="25"/>
      <c r="AB180" s="3" t="str">
        <f>IF(C_Ope_004[[#This Row],[FECHA]]&gt;0,TEXT(C_Ope_004[[#This Row],[FECHA]],"mmmm"),0)</f>
        <v>Junio</v>
      </c>
    </row>
    <row r="181" spans="2:28" x14ac:dyDescent="0.3">
      <c r="B181" s="2">
        <f>IF(C_Ope_004[[#This Row],[TIPO DE R.]]="R",COUNTIFS($D$4:$D180,"R")+1,"")</f>
        <v>177</v>
      </c>
      <c r="C181" s="19" t="str">
        <f t="shared" si="26"/>
        <v>C_Ope_004</v>
      </c>
      <c r="D181" s="3" t="s">
        <v>1074</v>
      </c>
      <c r="E181" s="14">
        <v>45832</v>
      </c>
      <c r="F181" s="5"/>
      <c r="G181" s="5" t="s">
        <v>1087</v>
      </c>
      <c r="H181" s="6"/>
      <c r="I181" s="6"/>
      <c r="J181" s="6"/>
      <c r="K181" s="6"/>
      <c r="L181" s="7" t="s">
        <v>7113</v>
      </c>
      <c r="M181" s="8">
        <v>24685</v>
      </c>
      <c r="N181" s="8" t="str">
        <f t="shared" si="23"/>
        <v>PEN</v>
      </c>
      <c r="O181" s="13"/>
      <c r="P181" s="13">
        <v>100</v>
      </c>
      <c r="Q181" s="3">
        <f t="shared" si="24"/>
        <v>100</v>
      </c>
      <c r="R181" s="3">
        <f t="shared" si="25"/>
        <v>0</v>
      </c>
      <c r="S181" s="3">
        <f t="shared" si="21"/>
        <v>302.3900000000001</v>
      </c>
      <c r="T181" s="24"/>
      <c r="U181" s="24"/>
      <c r="V181" s="3"/>
      <c r="W181" s="25"/>
      <c r="X181" s="25"/>
      <c r="Y181" s="25" t="str">
        <f>IFERROR(VLOOKUP(C_Ope_004[[#This Row],[NOTA 2]],Clientes_Proveedores[[Ruc / Dni]:[Razon Social]],2,0),"")</f>
        <v/>
      </c>
      <c r="Z181" s="25"/>
      <c r="AA181" s="25"/>
      <c r="AB181" s="3" t="str">
        <f>IF(C_Ope_004[[#This Row],[FECHA]]&gt;0,TEXT(C_Ope_004[[#This Row],[FECHA]],"mmmm"),0)</f>
        <v>Junio</v>
      </c>
    </row>
    <row r="182" spans="2:28" ht="24" x14ac:dyDescent="0.3">
      <c r="B182" s="2">
        <f>IF(C_Ope_004[[#This Row],[TIPO DE R.]]="R",COUNTIFS($D$4:$D181,"R")+1,"")</f>
        <v>178</v>
      </c>
      <c r="C182" s="19" t="str">
        <f t="shared" si="26"/>
        <v>C_Ope_004</v>
      </c>
      <c r="D182" s="3" t="s">
        <v>1074</v>
      </c>
      <c r="E182" s="14">
        <v>45831</v>
      </c>
      <c r="F182" s="5" t="s">
        <v>7102</v>
      </c>
      <c r="G182" s="5" t="s">
        <v>1079</v>
      </c>
      <c r="H182" s="6"/>
      <c r="I182" s="6" t="s">
        <v>14</v>
      </c>
      <c r="J182" s="6" t="s">
        <v>7115</v>
      </c>
      <c r="K182" s="6">
        <v>1256930</v>
      </c>
      <c r="L182" s="7" t="s">
        <v>6951</v>
      </c>
      <c r="M182" s="8">
        <v>24655</v>
      </c>
      <c r="N182" s="8" t="str">
        <f t="shared" si="23"/>
        <v>PEN</v>
      </c>
      <c r="O182" s="13"/>
      <c r="P182" s="13">
        <v>15</v>
      </c>
      <c r="Q182" s="3">
        <f t="shared" si="24"/>
        <v>0</v>
      </c>
      <c r="R182" s="3">
        <f t="shared" si="25"/>
        <v>15</v>
      </c>
      <c r="S182" s="3">
        <f t="shared" si="21"/>
        <v>287.3900000000001</v>
      </c>
      <c r="T182" s="24"/>
      <c r="U182" s="24"/>
      <c r="V182" s="3"/>
      <c r="W182" s="25" t="s">
        <v>6950</v>
      </c>
      <c r="X182" s="25"/>
      <c r="Y182" s="25" t="str">
        <f>IFERROR(VLOOKUP(C_Ope_004[[#This Row],[NOTA 2]],Clientes_Proveedores[[Ruc / Dni]:[Razon Social]],2,0),"")</f>
        <v/>
      </c>
      <c r="Z182" s="25"/>
      <c r="AA182" s="25"/>
      <c r="AB182" s="3" t="str">
        <f>IF(C_Ope_004[[#This Row],[FECHA]]&gt;0,TEXT(C_Ope_004[[#This Row],[FECHA]],"mmmm"),0)</f>
        <v>Junio</v>
      </c>
    </row>
    <row r="183" spans="2:28" ht="24" x14ac:dyDescent="0.3">
      <c r="B183" s="2">
        <f>IF(C_Ope_004[[#This Row],[TIPO DE R.]]="R",COUNTIFS($D$4:$D182,"R")+1,"")</f>
        <v>179</v>
      </c>
      <c r="C183" s="19" t="str">
        <f t="shared" si="26"/>
        <v>C_Ope_004</v>
      </c>
      <c r="D183" s="3" t="s">
        <v>1074</v>
      </c>
      <c r="E183" s="14">
        <v>45831</v>
      </c>
      <c r="F183" s="5" t="s">
        <v>7102</v>
      </c>
      <c r="G183" s="5" t="s">
        <v>1079</v>
      </c>
      <c r="H183" s="6"/>
      <c r="I183" s="6" t="s">
        <v>14</v>
      </c>
      <c r="J183" s="6" t="s">
        <v>7103</v>
      </c>
      <c r="K183" s="6">
        <v>3742614</v>
      </c>
      <c r="L183" s="7" t="s">
        <v>6949</v>
      </c>
      <c r="M183" s="8">
        <v>24656</v>
      </c>
      <c r="N183" s="8" t="str">
        <f t="shared" si="23"/>
        <v>PEN</v>
      </c>
      <c r="O183" s="13"/>
      <c r="P183" s="13">
        <v>15</v>
      </c>
      <c r="Q183" s="3">
        <f t="shared" si="24"/>
        <v>0</v>
      </c>
      <c r="R183" s="3">
        <f t="shared" si="25"/>
        <v>15</v>
      </c>
      <c r="S183" s="3">
        <f t="shared" si="21"/>
        <v>272.3900000000001</v>
      </c>
      <c r="T183" s="24"/>
      <c r="U183" s="24"/>
      <c r="V183" s="3"/>
      <c r="W183" s="25" t="s">
        <v>6950</v>
      </c>
      <c r="X183" s="25"/>
      <c r="Y183" s="25" t="str">
        <f>IFERROR(VLOOKUP(C_Ope_004[[#This Row],[NOTA 2]],Clientes_Proveedores[[Ruc / Dni]:[Razon Social]],2,0),"")</f>
        <v/>
      </c>
      <c r="Z183" s="25"/>
      <c r="AA183" s="25"/>
      <c r="AB183" s="3" t="str">
        <f>IF(C_Ope_004[[#This Row],[FECHA]]&gt;0,TEXT(C_Ope_004[[#This Row],[FECHA]],"mmmm"),0)</f>
        <v>Junio</v>
      </c>
    </row>
    <row r="184" spans="2:28" ht="24" x14ac:dyDescent="0.3">
      <c r="B184" s="2">
        <f>IF(C_Ope_004[[#This Row],[TIPO DE R.]]="R",COUNTIFS($D$4:$D183,"R")+1,"")</f>
        <v>180</v>
      </c>
      <c r="C184" s="19" t="str">
        <f t="shared" si="26"/>
        <v>C_Ope_004</v>
      </c>
      <c r="D184" s="3" t="s">
        <v>1074</v>
      </c>
      <c r="E184" s="14">
        <v>45832</v>
      </c>
      <c r="F184" s="5" t="s">
        <v>7102</v>
      </c>
      <c r="G184" s="5" t="s">
        <v>1079</v>
      </c>
      <c r="H184" s="6"/>
      <c r="I184" s="6" t="s">
        <v>14</v>
      </c>
      <c r="J184" s="6" t="s">
        <v>7141</v>
      </c>
      <c r="K184" s="6">
        <v>1977176</v>
      </c>
      <c r="L184" s="7" t="s">
        <v>7108</v>
      </c>
      <c r="M184" s="8">
        <v>24658</v>
      </c>
      <c r="N184" s="8" t="str">
        <f t="shared" si="23"/>
        <v>PEN</v>
      </c>
      <c r="O184" s="13"/>
      <c r="P184" s="13">
        <v>15</v>
      </c>
      <c r="Q184" s="3">
        <f t="shared" si="24"/>
        <v>0</v>
      </c>
      <c r="R184" s="3">
        <f t="shared" si="25"/>
        <v>15</v>
      </c>
      <c r="S184" s="3">
        <f t="shared" si="21"/>
        <v>257.3900000000001</v>
      </c>
      <c r="T184" s="24"/>
      <c r="U184" s="24"/>
      <c r="V184" s="3"/>
      <c r="W184" s="25" t="s">
        <v>6950</v>
      </c>
      <c r="X184" s="25"/>
      <c r="Y184" s="25" t="str">
        <f>IFERROR(VLOOKUP(C_Ope_004[[#This Row],[NOTA 2]],Clientes_Proveedores[[Ruc / Dni]:[Razon Social]],2,0),"")</f>
        <v/>
      </c>
      <c r="Z184" s="25"/>
      <c r="AA184" s="25"/>
      <c r="AB184" s="3" t="str">
        <f>IF(C_Ope_004[[#This Row],[FECHA]]&gt;0,TEXT(C_Ope_004[[#This Row],[FECHA]],"mmmm"),0)</f>
        <v>Junio</v>
      </c>
    </row>
    <row r="185" spans="2:28" ht="24" x14ac:dyDescent="0.3">
      <c r="B185" s="2">
        <f>IF(C_Ope_004[[#This Row],[TIPO DE R.]]="R",COUNTIFS($D$4:$D184,"R")+1,"")</f>
        <v>181</v>
      </c>
      <c r="C185" s="19" t="str">
        <f t="shared" si="26"/>
        <v>C_Ope_004</v>
      </c>
      <c r="D185" s="3" t="s">
        <v>1074</v>
      </c>
      <c r="E185" s="14">
        <v>45832</v>
      </c>
      <c r="F185" s="5" t="s">
        <v>7102</v>
      </c>
      <c r="G185" s="5" t="s">
        <v>1079</v>
      </c>
      <c r="H185" s="6"/>
      <c r="I185" s="6" t="s">
        <v>14</v>
      </c>
      <c r="J185" s="6" t="s">
        <v>7103</v>
      </c>
      <c r="K185" s="6">
        <v>3743611</v>
      </c>
      <c r="L185" s="7" t="s">
        <v>7125</v>
      </c>
      <c r="M185" s="8">
        <v>24679</v>
      </c>
      <c r="N185" s="8" t="str">
        <f t="shared" si="23"/>
        <v>PEN</v>
      </c>
      <c r="O185" s="13"/>
      <c r="P185" s="13">
        <v>15</v>
      </c>
      <c r="Q185" s="3">
        <f t="shared" si="24"/>
        <v>0</v>
      </c>
      <c r="R185" s="3">
        <f t="shared" si="25"/>
        <v>15</v>
      </c>
      <c r="S185" s="3">
        <f t="shared" si="21"/>
        <v>242.3900000000001</v>
      </c>
      <c r="T185" s="24"/>
      <c r="U185" s="24"/>
      <c r="V185" s="3"/>
      <c r="W185" s="25" t="s">
        <v>6950</v>
      </c>
      <c r="X185" s="25"/>
      <c r="Y185" s="25" t="str">
        <f>IFERROR(VLOOKUP(C_Ope_004[[#This Row],[NOTA 2]],Clientes_Proveedores[[Ruc / Dni]:[Razon Social]],2,0),"")</f>
        <v/>
      </c>
      <c r="Z185" s="25"/>
      <c r="AA185" s="25"/>
      <c r="AB185" s="3" t="str">
        <f>IF(C_Ope_004[[#This Row],[FECHA]]&gt;0,TEXT(C_Ope_004[[#This Row],[FECHA]],"mmmm"),0)</f>
        <v>Junio</v>
      </c>
    </row>
    <row r="186" spans="2:28" ht="24" x14ac:dyDescent="0.3">
      <c r="B186" s="2">
        <f>IF(C_Ope_004[[#This Row],[TIPO DE R.]]="R",COUNTIFS($D$4:$D185,"R")+1,"")</f>
        <v>182</v>
      </c>
      <c r="C186" s="19" t="str">
        <f t="shared" si="26"/>
        <v>C_Ope_004</v>
      </c>
      <c r="D186" s="3" t="s">
        <v>1074</v>
      </c>
      <c r="E186" s="14">
        <v>45838</v>
      </c>
      <c r="F186" s="5" t="s">
        <v>7102</v>
      </c>
      <c r="G186" s="5" t="s">
        <v>1079</v>
      </c>
      <c r="H186" s="6"/>
      <c r="I186" s="6" t="s">
        <v>14</v>
      </c>
      <c r="J186" s="6" t="s">
        <v>5130</v>
      </c>
      <c r="K186" s="6">
        <v>1172243</v>
      </c>
      <c r="L186" s="7" t="s">
        <v>7108</v>
      </c>
      <c r="M186" s="8">
        <v>24750</v>
      </c>
      <c r="N186" s="8" t="str">
        <f t="shared" si="23"/>
        <v>PEN</v>
      </c>
      <c r="O186" s="13"/>
      <c r="P186" s="13">
        <v>15</v>
      </c>
      <c r="Q186" s="3">
        <f t="shared" si="24"/>
        <v>0</v>
      </c>
      <c r="R186" s="3">
        <f t="shared" si="25"/>
        <v>15</v>
      </c>
      <c r="S186" s="3">
        <f t="shared" si="21"/>
        <v>227.3900000000001</v>
      </c>
      <c r="T186" s="24"/>
      <c r="U186" s="24"/>
      <c r="V186" s="3"/>
      <c r="W186" s="25" t="s">
        <v>6950</v>
      </c>
      <c r="X186" s="25"/>
      <c r="Y186" s="25" t="str">
        <f>IFERROR(VLOOKUP(C_Ope_004[[#This Row],[NOTA 2]],Clientes_Proveedores[[Ruc / Dni]:[Razon Social]],2,0),"")</f>
        <v/>
      </c>
      <c r="Z186" s="25"/>
      <c r="AA186" s="25"/>
      <c r="AB186" s="3" t="str">
        <f>IF(C_Ope_004[[#This Row],[FECHA]]&gt;0,TEXT(C_Ope_004[[#This Row],[FECHA]],"mmmm"),0)</f>
        <v>Junio</v>
      </c>
    </row>
    <row r="187" spans="2:28" ht="24" x14ac:dyDescent="0.3">
      <c r="B187" s="2">
        <f>IF(C_Ope_004[[#This Row],[TIPO DE R.]]="R",COUNTIFS($D$4:$D186,"R")+1,"")</f>
        <v>183</v>
      </c>
      <c r="C187" s="19" t="str">
        <f t="shared" si="26"/>
        <v>C_Ope_004</v>
      </c>
      <c r="D187" s="3" t="s">
        <v>1074</v>
      </c>
      <c r="E187" s="14">
        <v>45838</v>
      </c>
      <c r="F187" s="5" t="s">
        <v>7102</v>
      </c>
      <c r="G187" s="5" t="s">
        <v>1079</v>
      </c>
      <c r="H187" s="6"/>
      <c r="I187" s="6" t="s">
        <v>14</v>
      </c>
      <c r="J187" s="6" t="s">
        <v>7118</v>
      </c>
      <c r="K187" s="6">
        <v>1570248</v>
      </c>
      <c r="L187" s="7" t="s">
        <v>7125</v>
      </c>
      <c r="M187" s="8">
        <v>24751</v>
      </c>
      <c r="N187" s="8" t="str">
        <f t="shared" si="23"/>
        <v>PEN</v>
      </c>
      <c r="O187" s="13"/>
      <c r="P187" s="13">
        <v>15</v>
      </c>
      <c r="Q187" s="3">
        <f t="shared" si="24"/>
        <v>0</v>
      </c>
      <c r="R187" s="3">
        <f t="shared" si="25"/>
        <v>15</v>
      </c>
      <c r="S187" s="3">
        <f t="shared" si="21"/>
        <v>212.3900000000001</v>
      </c>
      <c r="T187" s="24"/>
      <c r="U187" s="24"/>
      <c r="V187" s="3"/>
      <c r="W187" s="25" t="s">
        <v>6950</v>
      </c>
      <c r="X187" s="25"/>
      <c r="Y187" s="25" t="str">
        <f>IFERROR(VLOOKUP(C_Ope_004[[#This Row],[NOTA 2]],Clientes_Proveedores[[Ruc / Dni]:[Razon Social]],2,0),"")</f>
        <v/>
      </c>
      <c r="Z187" s="25"/>
      <c r="AA187" s="25"/>
      <c r="AB187" s="3" t="str">
        <f>IF(C_Ope_004[[#This Row],[FECHA]]&gt;0,TEXT(C_Ope_004[[#This Row],[FECHA]],"mmmm"),0)</f>
        <v>Junio</v>
      </c>
    </row>
    <row r="188" spans="2:28" x14ac:dyDescent="0.3">
      <c r="B188" s="2">
        <f>IF(C_Ope_004[[#This Row],[TIPO DE R.]]="R",COUNTIFS($D$4:$D187,"R")+1,"")</f>
        <v>184</v>
      </c>
      <c r="C188" s="19" t="str">
        <f t="shared" ref="C188:C189" si="27">"C_Ope_004"</f>
        <v>C_Ope_004</v>
      </c>
      <c r="D188" s="3" t="s">
        <v>1074</v>
      </c>
      <c r="E188" s="14">
        <v>45842</v>
      </c>
      <c r="F188" s="5" t="s">
        <v>7102</v>
      </c>
      <c r="G188" s="5" t="s">
        <v>1079</v>
      </c>
      <c r="H188" s="6" t="s">
        <v>920</v>
      </c>
      <c r="I188" s="6" t="s">
        <v>14</v>
      </c>
      <c r="J188" s="6" t="s">
        <v>7112</v>
      </c>
      <c r="K188" s="6">
        <v>651684</v>
      </c>
      <c r="L188" s="7" t="s">
        <v>7143</v>
      </c>
      <c r="M188" s="8">
        <v>24789</v>
      </c>
      <c r="N188" s="8" t="str">
        <f t="shared" si="23"/>
        <v>PEN</v>
      </c>
      <c r="O188" s="13"/>
      <c r="P188" s="13">
        <v>15</v>
      </c>
      <c r="Q188" s="3">
        <f t="shared" si="24"/>
        <v>0</v>
      </c>
      <c r="R188" s="3">
        <f t="shared" si="25"/>
        <v>15</v>
      </c>
      <c r="S188" s="3">
        <f t="shared" si="21"/>
        <v>197.3900000000001</v>
      </c>
      <c r="T188" s="24" t="s">
        <v>1081</v>
      </c>
      <c r="U188" s="24"/>
      <c r="V188" s="3"/>
      <c r="W188" s="25" t="s">
        <v>6950</v>
      </c>
      <c r="X188" s="25">
        <v>20550372640</v>
      </c>
      <c r="Y188" s="25" t="str">
        <f>IFERROR(VLOOKUP(C_Ope_004[[#This Row],[NOTA 2]],Clientes_Proveedores[[Ruc / Dni]:[Razon Social]],2,0),"")</f>
        <v>RUTAS DE LIMA S.A.C.</v>
      </c>
      <c r="Z188" s="25"/>
      <c r="AA188" s="25"/>
      <c r="AB188" s="3" t="str">
        <f>IF(C_Ope_004[[#This Row],[FECHA]]&gt;0,TEXT(C_Ope_004[[#This Row],[FECHA]],"mmmm"),0)</f>
        <v>Julio</v>
      </c>
    </row>
    <row r="189" spans="2:28" x14ac:dyDescent="0.3">
      <c r="B189" s="2">
        <f>IF(C_Ope_004[[#This Row],[TIPO DE R.]]="R",COUNTIFS($D$4:$D188,"R")+1,"")</f>
        <v>185</v>
      </c>
      <c r="C189" s="19" t="str">
        <f t="shared" si="27"/>
        <v>C_Ope_004</v>
      </c>
      <c r="D189" s="3" t="s">
        <v>1074</v>
      </c>
      <c r="E189" s="14">
        <v>45842</v>
      </c>
      <c r="F189" s="5" t="s">
        <v>7102</v>
      </c>
      <c r="G189" s="5" t="s">
        <v>1079</v>
      </c>
      <c r="H189" s="6" t="s">
        <v>920</v>
      </c>
      <c r="I189" s="6" t="s">
        <v>14</v>
      </c>
      <c r="J189" s="6" t="s">
        <v>7105</v>
      </c>
      <c r="K189" s="6">
        <v>3175453</v>
      </c>
      <c r="L189" s="7" t="s">
        <v>7144</v>
      </c>
      <c r="M189" s="8">
        <v>24790</v>
      </c>
      <c r="N189" s="8" t="str">
        <f t="shared" si="23"/>
        <v>PEN</v>
      </c>
      <c r="O189" s="13"/>
      <c r="P189" s="13">
        <v>15</v>
      </c>
      <c r="Q189" s="3">
        <f t="shared" si="24"/>
        <v>0</v>
      </c>
      <c r="R189" s="3">
        <f t="shared" si="25"/>
        <v>15</v>
      </c>
      <c r="S189" s="3">
        <f t="shared" si="21"/>
        <v>182.3900000000001</v>
      </c>
      <c r="T189" s="24" t="s">
        <v>1081</v>
      </c>
      <c r="U189" s="24"/>
      <c r="V189" s="3"/>
      <c r="W189" s="25" t="s">
        <v>6950</v>
      </c>
      <c r="X189" s="25">
        <v>20550372640</v>
      </c>
      <c r="Y189" s="25" t="str">
        <f>IFERROR(VLOOKUP(C_Ope_004[[#This Row],[NOTA 2]],Clientes_Proveedores[[Ruc / Dni]:[Razon Social]],2,0),"")</f>
        <v>RUTAS DE LIMA S.A.C.</v>
      </c>
      <c r="Z189" s="25"/>
      <c r="AA189" s="25"/>
      <c r="AB189" s="3" t="str">
        <f>IF(C_Ope_004[[#This Row],[FECHA]]&gt;0,TEXT(C_Ope_004[[#This Row],[FECHA]],"mmmm"),0)</f>
        <v>Julio</v>
      </c>
    </row>
    <row r="190" spans="2:28" ht="24" x14ac:dyDescent="0.3">
      <c r="B190" s="2">
        <f>IF(C_Ope_004[[#This Row],[TIPO DE R.]]="R",COUNTIFS($D$4:$D189,"R")+1,"")</f>
        <v>186</v>
      </c>
      <c r="C190" s="19" t="str">
        <f>"C_Ope_004"</f>
        <v>C_Ope_004</v>
      </c>
      <c r="D190" s="3" t="s">
        <v>1074</v>
      </c>
      <c r="E190" s="14">
        <v>45842</v>
      </c>
      <c r="F190" s="5" t="s">
        <v>7102</v>
      </c>
      <c r="G190" s="5" t="s">
        <v>1079</v>
      </c>
      <c r="H190" s="6" t="s">
        <v>676</v>
      </c>
      <c r="I190" s="6" t="s">
        <v>14</v>
      </c>
      <c r="J190" s="6" t="s">
        <v>2789</v>
      </c>
      <c r="K190" s="6">
        <v>41945</v>
      </c>
      <c r="L190" s="7" t="s">
        <v>7145</v>
      </c>
      <c r="M190" s="8">
        <v>24791</v>
      </c>
      <c r="N190" s="8" t="str">
        <f t="shared" si="23"/>
        <v>PEN</v>
      </c>
      <c r="O190" s="13"/>
      <c r="P190" s="13">
        <v>55</v>
      </c>
      <c r="Q190" s="3">
        <f t="shared" si="24"/>
        <v>0</v>
      </c>
      <c r="R190" s="3">
        <f t="shared" si="25"/>
        <v>55</v>
      </c>
      <c r="S190" s="3">
        <f t="shared" si="21"/>
        <v>127.3900000000001</v>
      </c>
      <c r="T190" s="24" t="s">
        <v>1081</v>
      </c>
      <c r="U190" s="24"/>
      <c r="V190" s="3"/>
      <c r="W190" s="25" t="s">
        <v>6950</v>
      </c>
      <c r="X190" s="25">
        <v>20514148539</v>
      </c>
      <c r="Y190" s="25" t="str">
        <f>IFERROR(VLOOKUP(C_Ope_004[[#This Row],[NOTA 2]],Clientes_Proveedores[[Ruc / Dni]:[Razon Social]],2,0),"")</f>
        <v>NEGOCIACIONES ABBYCORP E.I.R.L.</v>
      </c>
      <c r="Z190" s="25"/>
      <c r="AA190" s="25"/>
      <c r="AB190" s="3" t="str">
        <f>IF(C_Ope_004[[#This Row],[FECHA]]&gt;0,TEXT(C_Ope_004[[#This Row],[FECHA]],"mmmm"),0)</f>
        <v>Julio</v>
      </c>
    </row>
    <row r="191" spans="2:28" x14ac:dyDescent="0.3">
      <c r="B191" s="2">
        <f>IF(C_Ope_004[[#This Row],[TIPO DE R.]]="R",COUNTIFS($D$4:$D190,"R")+1,"")</f>
        <v>187</v>
      </c>
      <c r="C191" s="19" t="str">
        <f t="shared" ref="C191:C196" si="28">"C_Ope_004"</f>
        <v>C_Ope_004</v>
      </c>
      <c r="D191" s="3" t="s">
        <v>1074</v>
      </c>
      <c r="E191" s="14">
        <v>45845</v>
      </c>
      <c r="F191" s="5" t="s">
        <v>7102</v>
      </c>
      <c r="G191" s="5" t="s">
        <v>1079</v>
      </c>
      <c r="H191" s="6" t="s">
        <v>920</v>
      </c>
      <c r="I191" s="6" t="s">
        <v>14</v>
      </c>
      <c r="J191" s="6" t="s">
        <v>7121</v>
      </c>
      <c r="K191" s="6">
        <v>2435404</v>
      </c>
      <c r="L191" s="7" t="s">
        <v>7146</v>
      </c>
      <c r="M191" s="8">
        <v>24814</v>
      </c>
      <c r="N191" s="8" t="str">
        <f t="shared" si="23"/>
        <v>PEN</v>
      </c>
      <c r="O191" s="13"/>
      <c r="P191" s="13">
        <v>15</v>
      </c>
      <c r="Q191" s="3">
        <f t="shared" si="24"/>
        <v>0</v>
      </c>
      <c r="R191" s="3">
        <f t="shared" si="25"/>
        <v>15</v>
      </c>
      <c r="S191" s="3">
        <f t="shared" si="21"/>
        <v>112.3900000000001</v>
      </c>
      <c r="T191" s="24" t="s">
        <v>1081</v>
      </c>
      <c r="U191" s="24"/>
      <c r="V191" s="3"/>
      <c r="W191" s="25" t="s">
        <v>6950</v>
      </c>
      <c r="X191" s="25">
        <v>20550372640</v>
      </c>
      <c r="Y191" s="25" t="str">
        <f>IFERROR(VLOOKUP(C_Ope_004[[#This Row],[NOTA 2]],Clientes_Proveedores[[Ruc / Dni]:[Razon Social]],2,0),"")</f>
        <v>RUTAS DE LIMA S.A.C.</v>
      </c>
      <c r="Z191" s="25"/>
      <c r="AA191" s="25"/>
      <c r="AB191" s="3" t="str">
        <f>IF(C_Ope_004[[#This Row],[FECHA]]&gt;0,TEXT(C_Ope_004[[#This Row],[FECHA]],"mmmm"),0)</f>
        <v>Julio</v>
      </c>
    </row>
    <row r="192" spans="2:28" x14ac:dyDescent="0.3">
      <c r="B192" s="2">
        <f>IF(C_Ope_004[[#This Row],[TIPO DE R.]]="R",COUNTIFS($D$4:$D191,"R")+1,"")</f>
        <v>188</v>
      </c>
      <c r="C192" s="19" t="str">
        <f t="shared" si="28"/>
        <v>C_Ope_004</v>
      </c>
      <c r="D192" s="3" t="s">
        <v>1074</v>
      </c>
      <c r="E192" s="14">
        <v>45845</v>
      </c>
      <c r="F192" s="5" t="s">
        <v>7102</v>
      </c>
      <c r="G192" s="5" t="s">
        <v>1079</v>
      </c>
      <c r="H192" s="6" t="s">
        <v>920</v>
      </c>
      <c r="I192" s="6" t="s">
        <v>14</v>
      </c>
      <c r="J192" s="6" t="s">
        <v>6985</v>
      </c>
      <c r="K192" s="6">
        <v>3049444</v>
      </c>
      <c r="L192" s="7" t="s">
        <v>7147</v>
      </c>
      <c r="M192" s="8">
        <v>24815</v>
      </c>
      <c r="N192" s="8" t="str">
        <f t="shared" si="23"/>
        <v>PEN</v>
      </c>
      <c r="O192" s="13"/>
      <c r="P192" s="13">
        <v>15</v>
      </c>
      <c r="Q192" s="3">
        <f t="shared" si="24"/>
        <v>0</v>
      </c>
      <c r="R192" s="3">
        <f t="shared" si="25"/>
        <v>15</v>
      </c>
      <c r="S192" s="3">
        <f t="shared" si="21"/>
        <v>97.3900000000001</v>
      </c>
      <c r="T192" s="24" t="s">
        <v>1081</v>
      </c>
      <c r="U192" s="24"/>
      <c r="V192" s="3"/>
      <c r="W192" s="25" t="s">
        <v>6950</v>
      </c>
      <c r="X192" s="25">
        <v>20550372640</v>
      </c>
      <c r="Y192" s="25" t="str">
        <f>IFERROR(VLOOKUP(C_Ope_004[[#This Row],[NOTA 2]],Clientes_Proveedores[[Ruc / Dni]:[Razon Social]],2,0),"")</f>
        <v>RUTAS DE LIMA S.A.C.</v>
      </c>
      <c r="Z192" s="25"/>
      <c r="AA192" s="25"/>
      <c r="AB192" s="3" t="str">
        <f>IF(C_Ope_004[[#This Row],[FECHA]]&gt;0,TEXT(C_Ope_004[[#This Row],[FECHA]],"mmmm"),0)</f>
        <v>Julio</v>
      </c>
    </row>
    <row r="193" spans="2:28" ht="24" x14ac:dyDescent="0.3">
      <c r="B193" s="2">
        <f>IF(C_Ope_004[[#This Row],[TIPO DE R.]]="R",COUNTIFS($D$4:$D192,"R")+1,"")</f>
        <v>189</v>
      </c>
      <c r="C193" s="19" t="str">
        <f t="shared" si="28"/>
        <v>C_Ope_004</v>
      </c>
      <c r="D193" s="3" t="s">
        <v>1074</v>
      </c>
      <c r="E193" s="14">
        <v>45847</v>
      </c>
      <c r="F193" s="5" t="s">
        <v>7102</v>
      </c>
      <c r="G193" s="5" t="s">
        <v>1079</v>
      </c>
      <c r="H193" s="6" t="s">
        <v>920</v>
      </c>
      <c r="I193" s="6" t="s">
        <v>14</v>
      </c>
      <c r="J193" s="6" t="s">
        <v>7141</v>
      </c>
      <c r="K193" s="6">
        <v>1987722</v>
      </c>
      <c r="L193" s="7" t="s">
        <v>7148</v>
      </c>
      <c r="M193" s="8">
        <v>24826</v>
      </c>
      <c r="N193" s="8" t="str">
        <f t="shared" si="23"/>
        <v>PEN</v>
      </c>
      <c r="O193" s="13"/>
      <c r="P193" s="13">
        <v>15</v>
      </c>
      <c r="Q193" s="3">
        <f t="shared" si="24"/>
        <v>0</v>
      </c>
      <c r="R193" s="3">
        <f t="shared" si="25"/>
        <v>15</v>
      </c>
      <c r="S193" s="3">
        <f t="shared" si="21"/>
        <v>82.3900000000001</v>
      </c>
      <c r="T193" s="24" t="s">
        <v>1081</v>
      </c>
      <c r="U193" s="24"/>
      <c r="V193" s="3"/>
      <c r="W193" s="25" t="s">
        <v>6950</v>
      </c>
      <c r="X193" s="25">
        <v>20550372640</v>
      </c>
      <c r="Y193" s="25" t="str">
        <f>IFERROR(VLOOKUP(C_Ope_004[[#This Row],[NOTA 2]],Clientes_Proveedores[[Ruc / Dni]:[Razon Social]],2,0),"")</f>
        <v>RUTAS DE LIMA S.A.C.</v>
      </c>
      <c r="Z193" s="25"/>
      <c r="AA193" s="25"/>
      <c r="AB193" s="3" t="str">
        <f>IF(C_Ope_004[[#This Row],[FECHA]]&gt;0,TEXT(C_Ope_004[[#This Row],[FECHA]],"mmmm"),0)</f>
        <v>Julio</v>
      </c>
    </row>
    <row r="194" spans="2:28" x14ac:dyDescent="0.3">
      <c r="B194" s="2">
        <f>IF(C_Ope_004[[#This Row],[TIPO DE R.]]="R",COUNTIFS($D$4:$D193,"R")+1,"")</f>
        <v>190</v>
      </c>
      <c r="C194" s="19" t="str">
        <f t="shared" si="28"/>
        <v>C_Ope_004</v>
      </c>
      <c r="D194" s="3" t="s">
        <v>1074</v>
      </c>
      <c r="E194" s="14">
        <v>45847</v>
      </c>
      <c r="F194" s="5" t="s">
        <v>7102</v>
      </c>
      <c r="G194" s="5" t="s">
        <v>1079</v>
      </c>
      <c r="H194" s="6" t="s">
        <v>920</v>
      </c>
      <c r="I194" s="6" t="s">
        <v>14</v>
      </c>
      <c r="J194" s="6" t="s">
        <v>7103</v>
      </c>
      <c r="K194" s="6">
        <v>3758626</v>
      </c>
      <c r="L194" s="7" t="s">
        <v>7149</v>
      </c>
      <c r="M194" s="8">
        <v>24838</v>
      </c>
      <c r="N194" s="8" t="str">
        <f t="shared" si="23"/>
        <v>PEN</v>
      </c>
      <c r="O194" s="13"/>
      <c r="P194" s="13">
        <v>15</v>
      </c>
      <c r="Q194" s="3">
        <f t="shared" si="24"/>
        <v>0</v>
      </c>
      <c r="R194" s="3">
        <f t="shared" si="25"/>
        <v>15</v>
      </c>
      <c r="S194" s="3">
        <f t="shared" si="21"/>
        <v>67.3900000000001</v>
      </c>
      <c r="T194" s="24" t="s">
        <v>1081</v>
      </c>
      <c r="U194" s="24"/>
      <c r="V194" s="3"/>
      <c r="W194" s="25" t="s">
        <v>6950</v>
      </c>
      <c r="X194" s="25">
        <v>20550372640</v>
      </c>
      <c r="Y194" s="25" t="str">
        <f>IFERROR(VLOOKUP(C_Ope_004[[#This Row],[NOTA 2]],Clientes_Proveedores[[Ruc / Dni]:[Razon Social]],2,0),"")</f>
        <v>RUTAS DE LIMA S.A.C.</v>
      </c>
      <c r="Z194" s="25"/>
      <c r="AA194" s="25"/>
      <c r="AB194" s="3" t="str">
        <f>IF(C_Ope_004[[#This Row],[FECHA]]&gt;0,TEXT(C_Ope_004[[#This Row],[FECHA]],"mmmm"),0)</f>
        <v>Julio</v>
      </c>
    </row>
    <row r="195" spans="2:28" x14ac:dyDescent="0.3">
      <c r="B195" s="2">
        <f>IF(C_Ope_004[[#This Row],[TIPO DE R.]]="R",COUNTIFS($D$4:$D194,"R")+1,"")</f>
        <v>191</v>
      </c>
      <c r="C195" s="19" t="str">
        <f t="shared" si="28"/>
        <v>C_Ope_004</v>
      </c>
      <c r="D195" s="3" t="s">
        <v>1074</v>
      </c>
      <c r="E195" s="14">
        <v>45848</v>
      </c>
      <c r="F195" s="5" t="s">
        <v>7102</v>
      </c>
      <c r="G195" s="5" t="s">
        <v>1079</v>
      </c>
      <c r="H195" s="6" t="s">
        <v>920</v>
      </c>
      <c r="I195" s="6" t="s">
        <v>14</v>
      </c>
      <c r="J195" s="6" t="s">
        <v>7112</v>
      </c>
      <c r="K195" s="6">
        <v>653632</v>
      </c>
      <c r="L195" s="7" t="s">
        <v>7146</v>
      </c>
      <c r="M195" s="8">
        <v>24853</v>
      </c>
      <c r="N195" s="8" t="str">
        <f t="shared" si="23"/>
        <v>PEN</v>
      </c>
      <c r="O195" s="13"/>
      <c r="P195" s="13">
        <v>15</v>
      </c>
      <c r="Q195" s="3">
        <f t="shared" si="24"/>
        <v>0</v>
      </c>
      <c r="R195" s="3">
        <f t="shared" si="25"/>
        <v>15</v>
      </c>
      <c r="S195" s="3">
        <f t="shared" si="21"/>
        <v>52.3900000000001</v>
      </c>
      <c r="T195" s="24" t="s">
        <v>1081</v>
      </c>
      <c r="U195" s="24"/>
      <c r="V195" s="3"/>
      <c r="W195" s="25" t="s">
        <v>6950</v>
      </c>
      <c r="X195" s="25">
        <v>20550372640</v>
      </c>
      <c r="Y195" s="25" t="str">
        <f>IFERROR(VLOOKUP(C_Ope_004[[#This Row],[NOTA 2]],Clientes_Proveedores[[Ruc / Dni]:[Razon Social]],2,0),"")</f>
        <v>RUTAS DE LIMA S.A.C.</v>
      </c>
      <c r="Z195" s="25"/>
      <c r="AA195" s="25"/>
      <c r="AB195" s="3" t="str">
        <f>IF(C_Ope_004[[#This Row],[FECHA]]&gt;0,TEXT(C_Ope_004[[#This Row],[FECHA]],"mmmm"),0)</f>
        <v>Julio</v>
      </c>
    </row>
    <row r="196" spans="2:28" x14ac:dyDescent="0.3">
      <c r="B196" s="2">
        <f>IF(C_Ope_004[[#This Row],[TIPO DE R.]]="R",COUNTIFS($D$4:$D195,"R")+1,"")</f>
        <v>192</v>
      </c>
      <c r="C196" s="19" t="str">
        <f t="shared" si="28"/>
        <v>C_Ope_004</v>
      </c>
      <c r="D196" s="3" t="s">
        <v>1074</v>
      </c>
      <c r="E196" s="14">
        <v>45848</v>
      </c>
      <c r="F196" s="5" t="s">
        <v>7102</v>
      </c>
      <c r="G196" s="5" t="s">
        <v>1079</v>
      </c>
      <c r="H196" s="6" t="s">
        <v>920</v>
      </c>
      <c r="I196" s="6" t="s">
        <v>14</v>
      </c>
      <c r="J196" s="6" t="s">
        <v>7105</v>
      </c>
      <c r="K196" s="6">
        <v>3180602</v>
      </c>
      <c r="L196" s="7" t="s">
        <v>7147</v>
      </c>
      <c r="M196" s="8">
        <v>24854</v>
      </c>
      <c r="N196" s="8" t="str">
        <f t="shared" si="23"/>
        <v>PEN</v>
      </c>
      <c r="O196" s="13"/>
      <c r="P196" s="13">
        <v>15</v>
      </c>
      <c r="Q196" s="3">
        <f t="shared" si="24"/>
        <v>0</v>
      </c>
      <c r="R196" s="3">
        <f t="shared" si="25"/>
        <v>15</v>
      </c>
      <c r="S196" s="3">
        <f t="shared" si="21"/>
        <v>37.3900000000001</v>
      </c>
      <c r="T196" s="24" t="s">
        <v>1081</v>
      </c>
      <c r="U196" s="24"/>
      <c r="V196" s="3"/>
      <c r="W196" s="25" t="s">
        <v>6950</v>
      </c>
      <c r="X196" s="25">
        <v>20550372640</v>
      </c>
      <c r="Y196" s="25" t="str">
        <f>IFERROR(VLOOKUP(C_Ope_004[[#This Row],[NOTA 2]],Clientes_Proveedores[[Ruc / Dni]:[Razon Social]],2,0),"")</f>
        <v>RUTAS DE LIMA S.A.C.</v>
      </c>
      <c r="Z196" s="25"/>
      <c r="AA196" s="25"/>
      <c r="AB196" s="3" t="str">
        <f>IF(C_Ope_004[[#This Row],[FECHA]]&gt;0,TEXT(C_Ope_004[[#This Row],[FECHA]],"mmmm"),0)</f>
        <v>Julio</v>
      </c>
    </row>
    <row r="197" spans="2:28" x14ac:dyDescent="0.3">
      <c r="B197" s="2">
        <f>IF(C_Ope_004[[#This Row],[TIPO DE R.]]="R",COUNTIFS($D$4:$D196,"R")+1,"")</f>
        <v>193</v>
      </c>
      <c r="C197" s="19" t="str">
        <f>"C_Ope_004"</f>
        <v>C_Ope_004</v>
      </c>
      <c r="D197" s="3" t="s">
        <v>1074</v>
      </c>
      <c r="E197" s="14">
        <v>45849</v>
      </c>
      <c r="F197" s="5" t="s">
        <v>3353</v>
      </c>
      <c r="G197" s="5" t="s">
        <v>1087</v>
      </c>
      <c r="H197" s="6"/>
      <c r="I197" s="6"/>
      <c r="J197" s="6"/>
      <c r="K197" s="6"/>
      <c r="L197" s="7" t="s">
        <v>7113</v>
      </c>
      <c r="M197" s="8">
        <v>24876</v>
      </c>
      <c r="N197" s="8" t="str">
        <f>"PEN"</f>
        <v>PEN</v>
      </c>
      <c r="O197" s="13"/>
      <c r="P197" s="13">
        <v>100</v>
      </c>
      <c r="Q197" s="3">
        <f>+IF(OR($G197="SALDO",$G197="INGRESO"),$P197,0)</f>
        <v>100</v>
      </c>
      <c r="R197" s="3">
        <f>+IF($G197="EGRESO",$P197,0)</f>
        <v>0</v>
      </c>
      <c r="S197" s="3">
        <f t="shared" ref="S197:S229" si="29">IFERROR(IF(G197="SALDO",Q197,S196+Q197-R197),0)</f>
        <v>137.3900000000001</v>
      </c>
      <c r="T197" s="24"/>
      <c r="U197" s="24"/>
      <c r="V197" s="3"/>
      <c r="W197" s="25"/>
      <c r="X197" s="25"/>
      <c r="Y197" s="25" t="str">
        <f>IFERROR(VLOOKUP(C_Ope_004[[#This Row],[NOTA 2]],Clientes_Proveedores[[Ruc / Dni]:[Razon Social]],2,0),"")</f>
        <v/>
      </c>
      <c r="Z197" s="25"/>
      <c r="AA197" s="25"/>
      <c r="AB197" s="3" t="str">
        <f>IF(C_Ope_004[[#This Row],[FECHA]]&gt;0,TEXT(C_Ope_004[[#This Row],[FECHA]],"mmmm"),0)</f>
        <v>Julio</v>
      </c>
    </row>
    <row r="198" spans="2:28" ht="24" x14ac:dyDescent="0.3">
      <c r="B198" s="2">
        <f>IF(C_Ope_004[[#This Row],[TIPO DE R.]]="R",COUNTIFS($D$4:$D197,"R")+1,"")</f>
        <v>194</v>
      </c>
      <c r="C198" s="19" t="str">
        <f t="shared" ref="C198:C203" si="30">"C_Ope_004"</f>
        <v>C_Ope_004</v>
      </c>
      <c r="D198" s="3" t="s">
        <v>1074</v>
      </c>
      <c r="E198" s="14">
        <v>45849</v>
      </c>
      <c r="F198" s="5" t="s">
        <v>7102</v>
      </c>
      <c r="G198" s="5" t="s">
        <v>1079</v>
      </c>
      <c r="H198" s="6" t="s">
        <v>676</v>
      </c>
      <c r="I198" s="6" t="s">
        <v>14</v>
      </c>
      <c r="J198" s="6" t="s">
        <v>2789</v>
      </c>
      <c r="K198" s="6">
        <v>42073</v>
      </c>
      <c r="L198" s="7" t="s">
        <v>7145</v>
      </c>
      <c r="M198" s="8">
        <v>24875</v>
      </c>
      <c r="N198" s="8" t="str">
        <f t="shared" si="23"/>
        <v>PEN</v>
      </c>
      <c r="O198" s="13"/>
      <c r="P198" s="13">
        <v>55</v>
      </c>
      <c r="Q198" s="3">
        <f t="shared" si="24"/>
        <v>0</v>
      </c>
      <c r="R198" s="3">
        <f t="shared" si="25"/>
        <v>55</v>
      </c>
      <c r="S198" s="3">
        <f t="shared" si="29"/>
        <v>82.3900000000001</v>
      </c>
      <c r="T198" s="24" t="s">
        <v>1081</v>
      </c>
      <c r="U198" s="24"/>
      <c r="V198" s="3"/>
      <c r="W198" s="25" t="s">
        <v>6950</v>
      </c>
      <c r="X198" s="25">
        <v>20514148539</v>
      </c>
      <c r="Y198" s="25" t="str">
        <f>IFERROR(VLOOKUP(C_Ope_004[[#This Row],[NOTA 2]],Clientes_Proveedores[[Ruc / Dni]:[Razon Social]],2,0),"")</f>
        <v>NEGOCIACIONES ABBYCORP E.I.R.L.</v>
      </c>
      <c r="Z198" s="25"/>
      <c r="AA198" s="25"/>
      <c r="AB198" s="3" t="str">
        <f>IF(C_Ope_004[[#This Row],[FECHA]]&gt;0,TEXT(C_Ope_004[[#This Row],[FECHA]],"mmmm"),0)</f>
        <v>Julio</v>
      </c>
    </row>
    <row r="199" spans="2:28" ht="24" x14ac:dyDescent="0.3">
      <c r="B199" s="2">
        <f>IF(C_Ope_004[[#This Row],[TIPO DE R.]]="R",COUNTIFS($D$4:$D198,"R")+1,"")</f>
        <v>195</v>
      </c>
      <c r="C199" s="19" t="str">
        <f t="shared" si="30"/>
        <v>C_Ope_004</v>
      </c>
      <c r="D199" s="3" t="s">
        <v>1074</v>
      </c>
      <c r="E199" s="14">
        <v>45852</v>
      </c>
      <c r="F199" s="5" t="s">
        <v>7102</v>
      </c>
      <c r="G199" s="5" t="s">
        <v>1079</v>
      </c>
      <c r="H199" s="6" t="s">
        <v>920</v>
      </c>
      <c r="I199" s="6" t="s">
        <v>14</v>
      </c>
      <c r="J199" s="6" t="s">
        <v>5130</v>
      </c>
      <c r="K199" s="6">
        <v>1177382</v>
      </c>
      <c r="L199" s="7" t="s">
        <v>7150</v>
      </c>
      <c r="M199" s="8">
        <v>24925</v>
      </c>
      <c r="N199" s="8" t="str">
        <f t="shared" si="23"/>
        <v>PEN</v>
      </c>
      <c r="O199" s="13"/>
      <c r="P199" s="13">
        <v>15</v>
      </c>
      <c r="Q199" s="3">
        <f>+IF(OR($G199="SALDO",$G199="INGRESO"),$P199,0)</f>
        <v>0</v>
      </c>
      <c r="R199" s="3">
        <f>+IF($G199="EGRESO",$P199,0)</f>
        <v>15</v>
      </c>
      <c r="S199" s="3">
        <f t="shared" si="29"/>
        <v>67.3900000000001</v>
      </c>
      <c r="T199" s="24" t="s">
        <v>1081</v>
      </c>
      <c r="U199" s="24"/>
      <c r="V199" s="3"/>
      <c r="W199" s="25" t="s">
        <v>6950</v>
      </c>
      <c r="X199" s="25">
        <v>20550372640</v>
      </c>
      <c r="Y199" s="25" t="str">
        <f>IFERROR(VLOOKUP(C_Ope_004[[#This Row],[NOTA 2]],Clientes_Proveedores[[Ruc / Dni]:[Razon Social]],2,0),"")</f>
        <v>RUTAS DE LIMA S.A.C.</v>
      </c>
      <c r="Z199" s="25"/>
      <c r="AA199" s="25"/>
      <c r="AB199" s="3" t="str">
        <f>IF(C_Ope_004[[#This Row],[FECHA]]&gt;0,TEXT(C_Ope_004[[#This Row],[FECHA]],"mmmm"),0)</f>
        <v>Julio</v>
      </c>
    </row>
    <row r="200" spans="2:28" x14ac:dyDescent="0.3">
      <c r="B200" s="2">
        <f>IF(C_Ope_004[[#This Row],[TIPO DE R.]]="R",COUNTIFS($D$4:$D199,"R")+1,"")</f>
        <v>196</v>
      </c>
      <c r="C200" s="19" t="str">
        <f t="shared" si="30"/>
        <v>C_Ope_004</v>
      </c>
      <c r="D200" s="3" t="s">
        <v>1074</v>
      </c>
      <c r="E200" s="14">
        <v>45852</v>
      </c>
      <c r="F200" s="5" t="s">
        <v>7102</v>
      </c>
      <c r="G200" s="5" t="s">
        <v>1079</v>
      </c>
      <c r="H200" s="6" t="s">
        <v>920</v>
      </c>
      <c r="I200" s="6" t="s">
        <v>14</v>
      </c>
      <c r="J200" s="6" t="s">
        <v>7103</v>
      </c>
      <c r="K200" s="6">
        <v>3763706</v>
      </c>
      <c r="L200" s="7" t="s">
        <v>7151</v>
      </c>
      <c r="M200" s="8">
        <v>24926</v>
      </c>
      <c r="N200" s="8" t="str">
        <f t="shared" si="23"/>
        <v>PEN</v>
      </c>
      <c r="O200" s="13"/>
      <c r="P200" s="13">
        <v>15</v>
      </c>
      <c r="Q200" s="3">
        <f>+IF(OR($G200="SALDO",$G200="INGRESO"),$P200,0)</f>
        <v>0</v>
      </c>
      <c r="R200" s="3">
        <f>+IF($G200="EGRESO",$P200,0)</f>
        <v>15</v>
      </c>
      <c r="S200" s="3">
        <f t="shared" si="29"/>
        <v>52.3900000000001</v>
      </c>
      <c r="T200" s="24" t="s">
        <v>1081</v>
      </c>
      <c r="U200" s="24"/>
      <c r="V200" s="3"/>
      <c r="W200" s="25" t="s">
        <v>6950</v>
      </c>
      <c r="X200" s="25">
        <v>20550372640</v>
      </c>
      <c r="Y200" s="25" t="str">
        <f>IFERROR(VLOOKUP(C_Ope_004[[#This Row],[NOTA 2]],Clientes_Proveedores[[Ruc / Dni]:[Razon Social]],2,0),"")</f>
        <v>RUTAS DE LIMA S.A.C.</v>
      </c>
      <c r="Z200" s="25"/>
      <c r="AA200" s="25"/>
      <c r="AB200" s="3" t="str">
        <f>IF(C_Ope_004[[#This Row],[FECHA]]&gt;0,TEXT(C_Ope_004[[#This Row],[FECHA]],"mmmm"),0)</f>
        <v>Julio</v>
      </c>
    </row>
    <row r="201" spans="2:28" ht="24" x14ac:dyDescent="0.3">
      <c r="B201" s="2">
        <f>IF(C_Ope_004[[#This Row],[TIPO DE R.]]="R",COUNTIFS($D$4:$D200,"R")+1,"")</f>
        <v>197</v>
      </c>
      <c r="C201" s="19" t="str">
        <f t="shared" si="30"/>
        <v>C_Ope_004</v>
      </c>
      <c r="D201" s="3" t="s">
        <v>1074</v>
      </c>
      <c r="E201" s="14">
        <v>45855</v>
      </c>
      <c r="F201" s="5" t="s">
        <v>7102</v>
      </c>
      <c r="G201" s="5" t="s">
        <v>1079</v>
      </c>
      <c r="H201" s="6" t="s">
        <v>920</v>
      </c>
      <c r="I201" s="6" t="s">
        <v>14</v>
      </c>
      <c r="J201" s="6" t="s">
        <v>7112</v>
      </c>
      <c r="K201" s="6">
        <v>654842</v>
      </c>
      <c r="L201" s="7" t="s">
        <v>7152</v>
      </c>
      <c r="M201" s="8">
        <v>24927</v>
      </c>
      <c r="N201" s="8" t="str">
        <f t="shared" si="23"/>
        <v>PEN</v>
      </c>
      <c r="O201" s="13"/>
      <c r="P201" s="13">
        <v>15</v>
      </c>
      <c r="Q201" s="3">
        <f>+IF(OR($G201="SALDO",$G201="INGRESO"),$P201,0)</f>
        <v>0</v>
      </c>
      <c r="R201" s="3">
        <f>+IF($G201="EGRESO",$P201,0)</f>
        <v>15</v>
      </c>
      <c r="S201" s="3">
        <f t="shared" si="29"/>
        <v>37.3900000000001</v>
      </c>
      <c r="T201" s="24" t="s">
        <v>1081</v>
      </c>
      <c r="U201" s="24"/>
      <c r="V201" s="3"/>
      <c r="W201" s="25" t="s">
        <v>6950</v>
      </c>
      <c r="X201" s="25">
        <v>20550372640</v>
      </c>
      <c r="Y201" s="25" t="str">
        <f>IFERROR(VLOOKUP(C_Ope_004[[#This Row],[NOTA 2]],Clientes_Proveedores[[Ruc / Dni]:[Razon Social]],2,0),"")</f>
        <v>RUTAS DE LIMA S.A.C.</v>
      </c>
      <c r="Z201" s="25"/>
      <c r="AA201" s="25"/>
      <c r="AB201" s="3" t="str">
        <f>IF(C_Ope_004[[#This Row],[FECHA]]&gt;0,TEXT(C_Ope_004[[#This Row],[FECHA]],"mmmm"),0)</f>
        <v>Julio</v>
      </c>
    </row>
    <row r="202" spans="2:28" ht="24" x14ac:dyDescent="0.3">
      <c r="B202" s="2">
        <f>IF(C_Ope_004[[#This Row],[TIPO DE R.]]="R",COUNTIFS($D$4:$D201,"R")+1,"")</f>
        <v>198</v>
      </c>
      <c r="C202" s="19" t="str">
        <f t="shared" si="30"/>
        <v>C_Ope_004</v>
      </c>
      <c r="D202" s="3" t="s">
        <v>1074</v>
      </c>
      <c r="E202" s="14">
        <v>45855</v>
      </c>
      <c r="F202" s="5" t="s">
        <v>7102</v>
      </c>
      <c r="G202" s="5" t="s">
        <v>1079</v>
      </c>
      <c r="H202" s="6" t="s">
        <v>920</v>
      </c>
      <c r="I202" s="6" t="s">
        <v>14</v>
      </c>
      <c r="J202" s="6" t="s">
        <v>7041</v>
      </c>
      <c r="K202" s="6">
        <v>2312152</v>
      </c>
      <c r="L202" s="7" t="s">
        <v>7153</v>
      </c>
      <c r="M202" s="8">
        <v>24928</v>
      </c>
      <c r="N202" s="8" t="str">
        <f t="shared" si="23"/>
        <v>PEN</v>
      </c>
      <c r="O202" s="13"/>
      <c r="P202" s="13">
        <v>15</v>
      </c>
      <c r="Q202" s="3">
        <f>+IF(OR($G202="SALDO",$G202="INGRESO"),$P202,0)</f>
        <v>0</v>
      </c>
      <c r="R202" s="3">
        <f>+IF($G202="EGRESO",$P202,0)</f>
        <v>15</v>
      </c>
      <c r="S202" s="3">
        <f t="shared" si="29"/>
        <v>22.3900000000001</v>
      </c>
      <c r="T202" s="24" t="s">
        <v>1081</v>
      </c>
      <c r="U202" s="24"/>
      <c r="V202" s="3"/>
      <c r="W202" s="25" t="s">
        <v>6950</v>
      </c>
      <c r="X202" s="25">
        <v>20550372640</v>
      </c>
      <c r="Y202" s="25" t="str">
        <f>IFERROR(VLOOKUP(C_Ope_004[[#This Row],[NOTA 2]],Clientes_Proveedores[[Ruc / Dni]:[Razon Social]],2,0),"")</f>
        <v>RUTAS DE LIMA S.A.C.</v>
      </c>
      <c r="Z202" s="25"/>
      <c r="AA202" s="25"/>
      <c r="AB202" s="3" t="str">
        <f>IF(C_Ope_004[[#This Row],[FECHA]]&gt;0,TEXT(C_Ope_004[[#This Row],[FECHA]],"mmmm"),0)</f>
        <v>Julio</v>
      </c>
    </row>
    <row r="203" spans="2:28" x14ac:dyDescent="0.3">
      <c r="B203" s="2">
        <f>IF(C_Ope_004[[#This Row],[TIPO DE R.]]="R",COUNTIFS($D$4:$D202,"R")+1,"")</f>
        <v>199</v>
      </c>
      <c r="C203" s="19" t="str">
        <f t="shared" si="30"/>
        <v>C_Ope_004</v>
      </c>
      <c r="D203" s="3" t="s">
        <v>1074</v>
      </c>
      <c r="E203" s="14">
        <v>45856</v>
      </c>
      <c r="F203" s="5" t="s">
        <v>3353</v>
      </c>
      <c r="G203" s="5" t="s">
        <v>1087</v>
      </c>
      <c r="H203" s="6"/>
      <c r="I203" s="6"/>
      <c r="J203" s="6"/>
      <c r="K203" s="6"/>
      <c r="L203" s="7" t="s">
        <v>7113</v>
      </c>
      <c r="M203" s="8">
        <v>24940</v>
      </c>
      <c r="N203" s="8" t="str">
        <f>"PEN"</f>
        <v>PEN</v>
      </c>
      <c r="O203" s="13"/>
      <c r="P203" s="13">
        <v>100</v>
      </c>
      <c r="Q203" s="3">
        <f>+IF(OR($G203="SALDO",$G203="INGRESO"),$P203,0)</f>
        <v>100</v>
      </c>
      <c r="R203" s="3">
        <f>+IF($G203="EGRESO",$P203,0)</f>
        <v>0</v>
      </c>
      <c r="S203" s="3">
        <f t="shared" si="29"/>
        <v>122.3900000000001</v>
      </c>
      <c r="T203" s="24"/>
      <c r="U203" s="24"/>
      <c r="V203" s="3"/>
      <c r="W203" s="25"/>
      <c r="X203" s="25"/>
      <c r="Y203" s="25" t="str">
        <f>IFERROR(VLOOKUP(C_Ope_004[[#This Row],[NOTA 2]],Clientes_Proveedores[[Ruc / Dni]:[Razon Social]],2,0),"")</f>
        <v/>
      </c>
      <c r="Z203" s="25"/>
      <c r="AA203" s="25"/>
      <c r="AB203" s="3" t="str">
        <f>IF(C_Ope_004[[#This Row],[FECHA]]&gt;0,TEXT(C_Ope_004[[#This Row],[FECHA]],"mmmm"),0)</f>
        <v>Julio</v>
      </c>
    </row>
    <row r="204" spans="2:28" ht="24" x14ac:dyDescent="0.3">
      <c r="B204" s="2">
        <f>IF(C_Ope_004[[#This Row],[TIPO DE R.]]="R",COUNTIFS($D$4:$D203,"R")+1,"")</f>
        <v>200</v>
      </c>
      <c r="C204" s="19" t="str">
        <f t="shared" ref="C204:C221" si="31">"C_Ope_004"</f>
        <v>C_Ope_004</v>
      </c>
      <c r="D204" s="3" t="s">
        <v>1074</v>
      </c>
      <c r="E204" s="14">
        <v>45856</v>
      </c>
      <c r="F204" s="5" t="s">
        <v>7102</v>
      </c>
      <c r="G204" s="5" t="s">
        <v>1079</v>
      </c>
      <c r="H204" s="6" t="s">
        <v>676</v>
      </c>
      <c r="I204" s="6" t="s">
        <v>14</v>
      </c>
      <c r="J204" s="6" t="s">
        <v>2789</v>
      </c>
      <c r="K204" s="6">
        <v>42210</v>
      </c>
      <c r="L204" s="7" t="s">
        <v>7145</v>
      </c>
      <c r="M204" s="8">
        <v>24939</v>
      </c>
      <c r="N204" s="8" t="str">
        <f t="shared" ref="N204:N221" si="32">"PEN"</f>
        <v>PEN</v>
      </c>
      <c r="O204" s="13"/>
      <c r="P204" s="13">
        <v>55</v>
      </c>
      <c r="Q204" s="3">
        <f t="shared" ref="Q204:Q221" si="33">+IF(OR($G204="SALDO",$G204="INGRESO"),$P204,0)</f>
        <v>0</v>
      </c>
      <c r="R204" s="3">
        <f t="shared" ref="R204:R221" si="34">+IF($G204="EGRESO",$P204,0)</f>
        <v>55</v>
      </c>
      <c r="S204" s="3">
        <f t="shared" si="29"/>
        <v>67.3900000000001</v>
      </c>
      <c r="T204" s="24" t="s">
        <v>1081</v>
      </c>
      <c r="U204" s="24"/>
      <c r="V204" s="3"/>
      <c r="W204" s="25" t="s">
        <v>6950</v>
      </c>
      <c r="X204" s="25">
        <v>20514148539</v>
      </c>
      <c r="Y204" s="25" t="str">
        <f>IFERROR(VLOOKUP(C_Ope_004[[#This Row],[NOTA 2]],Clientes_Proveedores[[Ruc / Dni]:[Razon Social]],2,0),"")</f>
        <v>NEGOCIACIONES ABBYCORP E.I.R.L.</v>
      </c>
      <c r="Z204" s="25" t="s">
        <v>6727</v>
      </c>
      <c r="AA204" s="25"/>
      <c r="AB204" s="3" t="str">
        <f>IF(C_Ope_004[[#This Row],[FECHA]]&gt;0,TEXT(C_Ope_004[[#This Row],[FECHA]],"mmmm"),0)</f>
        <v>Julio</v>
      </c>
    </row>
    <row r="205" spans="2:28" x14ac:dyDescent="0.3">
      <c r="B205" s="2">
        <f>IF(C_Ope_004[[#This Row],[TIPO DE R.]]="R",COUNTIFS($D$4:$D204,"R")+1,"")</f>
        <v>201</v>
      </c>
      <c r="C205" s="19" t="str">
        <f t="shared" si="31"/>
        <v>C_Ope_004</v>
      </c>
      <c r="D205" s="3" t="s">
        <v>1074</v>
      </c>
      <c r="E205" s="14">
        <v>45859</v>
      </c>
      <c r="F205" s="5" t="s">
        <v>7102</v>
      </c>
      <c r="G205" s="5" t="s">
        <v>1079</v>
      </c>
      <c r="H205" s="6" t="s">
        <v>920</v>
      </c>
      <c r="I205" s="6" t="s">
        <v>14</v>
      </c>
      <c r="J205" s="6" t="s">
        <v>7141</v>
      </c>
      <c r="K205" s="6">
        <v>1995670</v>
      </c>
      <c r="L205" s="7" t="s">
        <v>7154</v>
      </c>
      <c r="M205" s="8">
        <v>24988</v>
      </c>
      <c r="N205" s="8" t="str">
        <f t="shared" si="32"/>
        <v>PEN</v>
      </c>
      <c r="O205" s="13"/>
      <c r="P205" s="13">
        <v>15</v>
      </c>
      <c r="Q205" s="3">
        <f t="shared" si="33"/>
        <v>0</v>
      </c>
      <c r="R205" s="3">
        <f t="shared" si="34"/>
        <v>15</v>
      </c>
      <c r="S205" s="3">
        <f t="shared" si="29"/>
        <v>52.3900000000001</v>
      </c>
      <c r="T205" s="24" t="s">
        <v>1081</v>
      </c>
      <c r="U205" s="24"/>
      <c r="V205" s="3"/>
      <c r="W205" s="25" t="s">
        <v>6950</v>
      </c>
      <c r="X205" s="25">
        <v>20550372640</v>
      </c>
      <c r="Y205" s="25" t="str">
        <f>IFERROR(VLOOKUP(C_Ope_004[[#This Row],[NOTA 2]],Clientes_Proveedores[[Ruc / Dni]:[Razon Social]],2,0),"")</f>
        <v>RUTAS DE LIMA S.A.C.</v>
      </c>
      <c r="Z205" s="25" t="s">
        <v>6677</v>
      </c>
      <c r="AA205" s="25"/>
      <c r="AB205" s="3" t="str">
        <f>IF(C_Ope_004[[#This Row],[FECHA]]&gt;0,TEXT(C_Ope_004[[#This Row],[FECHA]],"mmmm"),0)</f>
        <v>Julio</v>
      </c>
    </row>
    <row r="206" spans="2:28" x14ac:dyDescent="0.3">
      <c r="B206" s="2">
        <f>IF(C_Ope_004[[#This Row],[TIPO DE R.]]="R",COUNTIFS($D$4:$D205,"R")+1,"")</f>
        <v>202</v>
      </c>
      <c r="C206" s="19" t="str">
        <f t="shared" si="31"/>
        <v>C_Ope_004</v>
      </c>
      <c r="D206" s="3" t="s">
        <v>1074</v>
      </c>
      <c r="E206" s="14">
        <v>45859</v>
      </c>
      <c r="F206" s="5" t="s">
        <v>7102</v>
      </c>
      <c r="G206" s="5" t="s">
        <v>1079</v>
      </c>
      <c r="H206" s="6" t="s">
        <v>920</v>
      </c>
      <c r="I206" s="6" t="s">
        <v>14</v>
      </c>
      <c r="J206" s="6" t="s">
        <v>7103</v>
      </c>
      <c r="K206" s="6">
        <v>3771726</v>
      </c>
      <c r="L206" s="7" t="s">
        <v>7155</v>
      </c>
      <c r="M206" s="8">
        <v>24989</v>
      </c>
      <c r="N206" s="8" t="str">
        <f t="shared" si="32"/>
        <v>PEN</v>
      </c>
      <c r="O206" s="13"/>
      <c r="P206" s="13">
        <v>15</v>
      </c>
      <c r="Q206" s="3">
        <f t="shared" si="33"/>
        <v>0</v>
      </c>
      <c r="R206" s="3">
        <f t="shared" si="34"/>
        <v>15</v>
      </c>
      <c r="S206" s="3">
        <f t="shared" si="29"/>
        <v>37.3900000000001</v>
      </c>
      <c r="T206" s="24" t="s">
        <v>1081</v>
      </c>
      <c r="U206" s="24"/>
      <c r="V206" s="3"/>
      <c r="W206" s="25" t="s">
        <v>6950</v>
      </c>
      <c r="X206" s="25">
        <v>20550372640</v>
      </c>
      <c r="Y206" s="25" t="str">
        <f>IFERROR(VLOOKUP(C_Ope_004[[#This Row],[NOTA 2]],Clientes_Proveedores[[Ruc / Dni]:[Razon Social]],2,0),"")</f>
        <v>RUTAS DE LIMA S.A.C.</v>
      </c>
      <c r="Z206" s="25" t="s">
        <v>6677</v>
      </c>
      <c r="AA206" s="25"/>
      <c r="AB206" s="3" t="str">
        <f>IF(C_Ope_004[[#This Row],[FECHA]]&gt;0,TEXT(C_Ope_004[[#This Row],[FECHA]],"mmmm"),0)</f>
        <v>Julio</v>
      </c>
    </row>
    <row r="207" spans="2:28" x14ac:dyDescent="0.3">
      <c r="B207" s="2">
        <f>IF(C_Ope_004[[#This Row],[TIPO DE R.]]="R",COUNTIFS($D$4:$D206,"R")+1,"")</f>
        <v>203</v>
      </c>
      <c r="C207" s="19" t="str">
        <f>"C_Ope_004"</f>
        <v>C_Ope_004</v>
      </c>
      <c r="D207" s="3" t="s">
        <v>1074</v>
      </c>
      <c r="E207" s="14">
        <v>45863</v>
      </c>
      <c r="F207" s="5" t="s">
        <v>3353</v>
      </c>
      <c r="G207" s="5" t="s">
        <v>1087</v>
      </c>
      <c r="H207" s="6"/>
      <c r="I207" s="6"/>
      <c r="J207" s="6"/>
      <c r="K207" s="6"/>
      <c r="L207" s="7" t="s">
        <v>7113</v>
      </c>
      <c r="M207" s="8">
        <v>25037</v>
      </c>
      <c r="N207" s="8" t="str">
        <f>"PEN"</f>
        <v>PEN</v>
      </c>
      <c r="O207" s="13"/>
      <c r="P207" s="13">
        <v>150</v>
      </c>
      <c r="Q207" s="3">
        <f>+IF(OR($G207="SALDO",$G207="INGRESO"),$P207,0)</f>
        <v>150</v>
      </c>
      <c r="R207" s="3">
        <f>+IF($G207="EGRESO",$P207,0)</f>
        <v>0</v>
      </c>
      <c r="S207" s="3">
        <f t="shared" si="29"/>
        <v>187.3900000000001</v>
      </c>
      <c r="T207" s="24"/>
      <c r="U207" s="24"/>
      <c r="V207" s="3"/>
      <c r="W207" s="25"/>
      <c r="X207" s="25"/>
      <c r="Y207" s="25" t="str">
        <f>IFERROR(VLOOKUP(C_Ope_004[[#This Row],[NOTA 2]],Clientes_Proveedores[[Ruc / Dni]:[Razon Social]],2,0),"")</f>
        <v/>
      </c>
      <c r="Z207" s="25"/>
      <c r="AA207" s="25"/>
      <c r="AB207" s="3" t="str">
        <f>IF(C_Ope_004[[#This Row],[FECHA]]&gt;0,TEXT(C_Ope_004[[#This Row],[FECHA]],"mmmm"),0)</f>
        <v>Julio</v>
      </c>
    </row>
    <row r="208" spans="2:28" x14ac:dyDescent="0.3">
      <c r="B208" s="2">
        <f>IF(C_Ope_004[[#This Row],[TIPO DE R.]]="R",COUNTIFS($D$4:$D207,"R")+1,"")</f>
        <v>204</v>
      </c>
      <c r="C208" s="19" t="str">
        <f>"C_Ope_004"</f>
        <v>C_Ope_004</v>
      </c>
      <c r="D208" s="3" t="s">
        <v>1074</v>
      </c>
      <c r="E208" s="14">
        <v>45863</v>
      </c>
      <c r="F208" s="5" t="s">
        <v>7102</v>
      </c>
      <c r="G208" s="5" t="s">
        <v>1079</v>
      </c>
      <c r="H208" s="6" t="s">
        <v>920</v>
      </c>
      <c r="I208" s="6" t="s">
        <v>14</v>
      </c>
      <c r="J208" s="6" t="s">
        <v>7104</v>
      </c>
      <c r="K208" s="6">
        <v>1665602</v>
      </c>
      <c r="L208" s="7" t="s">
        <v>7143</v>
      </c>
      <c r="M208" s="8">
        <v>25201</v>
      </c>
      <c r="N208" s="8" t="str">
        <f>"PEN"</f>
        <v>PEN</v>
      </c>
      <c r="O208" s="13"/>
      <c r="P208" s="13">
        <v>15</v>
      </c>
      <c r="Q208" s="3">
        <f>+IF(OR($G208="SALDO",$G208="INGRESO"),$P208,0)</f>
        <v>0</v>
      </c>
      <c r="R208" s="3">
        <f>+IF($G208="EGRESO",$P208,0)</f>
        <v>15</v>
      </c>
      <c r="S208" s="3">
        <f t="shared" si="29"/>
        <v>172.3900000000001</v>
      </c>
      <c r="T208" s="24" t="s">
        <v>1081</v>
      </c>
      <c r="U208" s="24"/>
      <c r="V208" s="3"/>
      <c r="W208" s="25" t="s">
        <v>6950</v>
      </c>
      <c r="X208" s="25">
        <v>20550372640</v>
      </c>
      <c r="Y208" s="25" t="str">
        <f>IFERROR(VLOOKUP(C_Ope_004[[#This Row],[NOTA 2]],Clientes_Proveedores[[Ruc / Dni]:[Razon Social]],2,0),"")</f>
        <v>RUTAS DE LIMA S.A.C.</v>
      </c>
      <c r="Z208" s="25" t="s">
        <v>6677</v>
      </c>
      <c r="AA208" s="25"/>
      <c r="AB208" s="3" t="str">
        <f>IF(C_Ope_004[[#This Row],[FECHA]]&gt;0,TEXT(C_Ope_004[[#This Row],[FECHA]],"mmmm"),0)</f>
        <v>Julio</v>
      </c>
    </row>
    <row r="209" spans="2:28" x14ac:dyDescent="0.3">
      <c r="B209" s="2">
        <f>IF(C_Ope_004[[#This Row],[TIPO DE R.]]="R",COUNTIFS($D$4:$D208,"R")+1,"")</f>
        <v>205</v>
      </c>
      <c r="C209" s="19" t="str">
        <f>"C_Ope_004"</f>
        <v>C_Ope_004</v>
      </c>
      <c r="D209" s="3" t="s">
        <v>1074</v>
      </c>
      <c r="E209" s="14">
        <v>45863</v>
      </c>
      <c r="F209" s="5" t="s">
        <v>7102</v>
      </c>
      <c r="G209" s="5" t="s">
        <v>1079</v>
      </c>
      <c r="H209" s="6" t="s">
        <v>920</v>
      </c>
      <c r="I209" s="6" t="s">
        <v>14</v>
      </c>
      <c r="J209" s="6" t="s">
        <v>7103</v>
      </c>
      <c r="K209" s="6">
        <v>3775877</v>
      </c>
      <c r="L209" s="7" t="s">
        <v>7144</v>
      </c>
      <c r="M209" s="8">
        <v>25202</v>
      </c>
      <c r="N209" s="8" t="str">
        <f>"PEN"</f>
        <v>PEN</v>
      </c>
      <c r="O209" s="13"/>
      <c r="P209" s="13">
        <v>15</v>
      </c>
      <c r="Q209" s="3">
        <f>+IF(OR($G209="SALDO",$G209="INGRESO"),$P209,0)</f>
        <v>0</v>
      </c>
      <c r="R209" s="3">
        <f>+IF($G209="EGRESO",$P209,0)</f>
        <v>15</v>
      </c>
      <c r="S209" s="3">
        <f t="shared" si="29"/>
        <v>157.3900000000001</v>
      </c>
      <c r="T209" s="24" t="s">
        <v>1081</v>
      </c>
      <c r="U209" s="24"/>
      <c r="V209" s="3"/>
      <c r="W209" s="25" t="s">
        <v>6950</v>
      </c>
      <c r="X209" s="25">
        <v>20550372640</v>
      </c>
      <c r="Y209" s="25" t="str">
        <f>IFERROR(VLOOKUP(C_Ope_004[[#This Row],[NOTA 2]],Clientes_Proveedores[[Ruc / Dni]:[Razon Social]],2,0),"")</f>
        <v>RUTAS DE LIMA S.A.C.</v>
      </c>
      <c r="Z209" s="25" t="s">
        <v>6677</v>
      </c>
      <c r="AA209" s="25"/>
      <c r="AB209" s="3" t="str">
        <f>IF(C_Ope_004[[#This Row],[FECHA]]&gt;0,TEXT(C_Ope_004[[#This Row],[FECHA]],"mmmm"),0)</f>
        <v>Julio</v>
      </c>
    </row>
    <row r="210" spans="2:28" ht="24" x14ac:dyDescent="0.3">
      <c r="B210" s="2">
        <f>IF(C_Ope_004[[#This Row],[TIPO DE R.]]="R",COUNTIFS($D$4:$D209,"R")+1,"")</f>
        <v>206</v>
      </c>
      <c r="C210" s="19" t="str">
        <f t="shared" si="31"/>
        <v>C_Ope_004</v>
      </c>
      <c r="D210" s="3" t="s">
        <v>1074</v>
      </c>
      <c r="E210" s="14">
        <v>45868</v>
      </c>
      <c r="F210" s="5" t="s">
        <v>7102</v>
      </c>
      <c r="G210" s="5" t="s">
        <v>1079</v>
      </c>
      <c r="H210" s="6" t="s">
        <v>676</v>
      </c>
      <c r="I210" s="6" t="s">
        <v>14</v>
      </c>
      <c r="J210" s="6" t="s">
        <v>2789</v>
      </c>
      <c r="K210" s="6">
        <v>42420</v>
      </c>
      <c r="L210" s="7" t="s">
        <v>7156</v>
      </c>
      <c r="M210" s="8">
        <v>25040</v>
      </c>
      <c r="N210" s="8" t="str">
        <f t="shared" si="32"/>
        <v>PEN</v>
      </c>
      <c r="O210" s="13"/>
      <c r="P210" s="13">
        <v>55</v>
      </c>
      <c r="Q210" s="3">
        <f t="shared" si="33"/>
        <v>0</v>
      </c>
      <c r="R210" s="3">
        <f t="shared" si="34"/>
        <v>55</v>
      </c>
      <c r="S210" s="3">
        <f t="shared" si="29"/>
        <v>102.3900000000001</v>
      </c>
      <c r="T210" s="24" t="s">
        <v>1081</v>
      </c>
      <c r="U210" s="24"/>
      <c r="V210" s="3"/>
      <c r="W210" s="25" t="s">
        <v>6950</v>
      </c>
      <c r="X210" s="25">
        <v>20514148539</v>
      </c>
      <c r="Y210" s="25" t="str">
        <f>IFERROR(VLOOKUP(C_Ope_004[[#This Row],[NOTA 2]],Clientes_Proveedores[[Ruc / Dni]:[Razon Social]],2,0),"")</f>
        <v>NEGOCIACIONES ABBYCORP E.I.R.L.</v>
      </c>
      <c r="Z210" s="25" t="s">
        <v>6727</v>
      </c>
      <c r="AA210" s="25"/>
      <c r="AB210" s="3" t="str">
        <f>IF(C_Ope_004[[#This Row],[FECHA]]&gt;0,TEXT(C_Ope_004[[#This Row],[FECHA]],"mmmm"),0)</f>
        <v>Julio</v>
      </c>
    </row>
    <row r="211" spans="2:28" x14ac:dyDescent="0.3">
      <c r="B211" s="2">
        <f>IF(C_Ope_004[[#This Row],[TIPO DE R.]]="R",COUNTIFS($D$4:$D210,"R")+1,"")</f>
        <v>207</v>
      </c>
      <c r="C211" s="19" t="str">
        <f t="shared" si="31"/>
        <v>C_Ope_004</v>
      </c>
      <c r="D211" s="3" t="s">
        <v>1074</v>
      </c>
      <c r="E211" s="14">
        <v>45870</v>
      </c>
      <c r="F211" s="5" t="s">
        <v>7102</v>
      </c>
      <c r="G211" s="5" t="s">
        <v>1079</v>
      </c>
      <c r="H211" s="6" t="s">
        <v>920</v>
      </c>
      <c r="I211" s="6" t="s">
        <v>14</v>
      </c>
      <c r="J211" s="6" t="s">
        <v>5130</v>
      </c>
      <c r="K211" s="6">
        <v>1184261</v>
      </c>
      <c r="L211" s="7" t="s">
        <v>7143</v>
      </c>
      <c r="M211" s="8">
        <v>25062</v>
      </c>
      <c r="N211" s="8" t="str">
        <f t="shared" si="32"/>
        <v>PEN</v>
      </c>
      <c r="O211" s="13"/>
      <c r="P211" s="13">
        <v>15</v>
      </c>
      <c r="Q211" s="3">
        <f t="shared" si="33"/>
        <v>0</v>
      </c>
      <c r="R211" s="3">
        <f t="shared" si="34"/>
        <v>15</v>
      </c>
      <c r="S211" s="3">
        <f t="shared" si="29"/>
        <v>87.3900000000001</v>
      </c>
      <c r="T211" s="24" t="s">
        <v>1081</v>
      </c>
      <c r="U211" s="24"/>
      <c r="V211" s="3"/>
      <c r="W211" s="25" t="s">
        <v>6950</v>
      </c>
      <c r="X211" s="25">
        <v>20550372640</v>
      </c>
      <c r="Y211" s="25" t="str">
        <f>IFERROR(VLOOKUP(C_Ope_004[[#This Row],[NOTA 2]],Clientes_Proveedores[[Ruc / Dni]:[Razon Social]],2,0),"")</f>
        <v>RUTAS DE LIMA S.A.C.</v>
      </c>
      <c r="Z211" s="25" t="s">
        <v>6677</v>
      </c>
      <c r="AA211" s="25"/>
      <c r="AB211" s="3" t="str">
        <f>IF(C_Ope_004[[#This Row],[FECHA]]&gt;0,TEXT(C_Ope_004[[#This Row],[FECHA]],"mmmm"),0)</f>
        <v>Agosto</v>
      </c>
    </row>
    <row r="212" spans="2:28" x14ac:dyDescent="0.3">
      <c r="B212" s="2">
        <f>IF(C_Ope_004[[#This Row],[TIPO DE R.]]="R",COUNTIFS($D$4:$D211,"R")+1,"")</f>
        <v>208</v>
      </c>
      <c r="C212" s="19" t="str">
        <f t="shared" si="31"/>
        <v>C_Ope_004</v>
      </c>
      <c r="D212" s="3" t="s">
        <v>1074</v>
      </c>
      <c r="E212" s="14">
        <v>45870</v>
      </c>
      <c r="F212" s="5" t="s">
        <v>7102</v>
      </c>
      <c r="G212" s="5" t="s">
        <v>1079</v>
      </c>
      <c r="H212" s="6" t="s">
        <v>920</v>
      </c>
      <c r="I212" s="6" t="s">
        <v>14</v>
      </c>
      <c r="J212" s="6" t="s">
        <v>6927</v>
      </c>
      <c r="K212" s="6">
        <v>609731</v>
      </c>
      <c r="L212" s="7" t="s">
        <v>7157</v>
      </c>
      <c r="M212" s="8">
        <v>25063</v>
      </c>
      <c r="N212" s="8" t="str">
        <f t="shared" si="32"/>
        <v>PEN</v>
      </c>
      <c r="O212" s="13"/>
      <c r="P212" s="13">
        <v>15</v>
      </c>
      <c r="Q212" s="3">
        <f t="shared" si="33"/>
        <v>0</v>
      </c>
      <c r="R212" s="3">
        <f t="shared" si="34"/>
        <v>15</v>
      </c>
      <c r="S212" s="3">
        <f t="shared" si="29"/>
        <v>72.3900000000001</v>
      </c>
      <c r="T212" s="24" t="s">
        <v>1081</v>
      </c>
      <c r="U212" s="24"/>
      <c r="V212" s="3"/>
      <c r="W212" s="25" t="s">
        <v>6950</v>
      </c>
      <c r="X212" s="25">
        <v>20550372640</v>
      </c>
      <c r="Y212" s="25" t="str">
        <f>IFERROR(VLOOKUP(C_Ope_004[[#This Row],[NOTA 2]],Clientes_Proveedores[[Ruc / Dni]:[Razon Social]],2,0),"")</f>
        <v>RUTAS DE LIMA S.A.C.</v>
      </c>
      <c r="Z212" s="25" t="s">
        <v>6677</v>
      </c>
      <c r="AA212" s="25"/>
      <c r="AB212" s="3" t="str">
        <f>IF(C_Ope_004[[#This Row],[FECHA]]&gt;0,TEXT(C_Ope_004[[#This Row],[FECHA]],"mmmm"),0)</f>
        <v>Agosto</v>
      </c>
    </row>
    <row r="213" spans="2:28" x14ac:dyDescent="0.3">
      <c r="B213" s="2">
        <f>IF(C_Ope_004[[#This Row],[TIPO DE R.]]="R",COUNTIFS($D$4:$D212,"R")+1,"")</f>
        <v>209</v>
      </c>
      <c r="C213" s="19" t="str">
        <f t="shared" si="31"/>
        <v>C_Ope_004</v>
      </c>
      <c r="D213" s="3" t="s">
        <v>1074</v>
      </c>
      <c r="E213" s="14">
        <v>45873</v>
      </c>
      <c r="F213" s="5" t="s">
        <v>7102</v>
      </c>
      <c r="G213" s="5" t="s">
        <v>1079</v>
      </c>
      <c r="H213" s="6" t="s">
        <v>920</v>
      </c>
      <c r="I213" s="6" t="s">
        <v>14</v>
      </c>
      <c r="J213" s="6" t="s">
        <v>7141</v>
      </c>
      <c r="K213" s="6">
        <v>22003536</v>
      </c>
      <c r="L213" s="7" t="s">
        <v>7158</v>
      </c>
      <c r="M213" s="8">
        <v>25065</v>
      </c>
      <c r="N213" s="8" t="str">
        <f t="shared" si="32"/>
        <v>PEN</v>
      </c>
      <c r="O213" s="13"/>
      <c r="P213" s="13">
        <v>15</v>
      </c>
      <c r="Q213" s="3">
        <f t="shared" si="33"/>
        <v>0</v>
      </c>
      <c r="R213" s="3">
        <f t="shared" si="34"/>
        <v>15</v>
      </c>
      <c r="S213" s="3">
        <f t="shared" si="29"/>
        <v>57.3900000000001</v>
      </c>
      <c r="T213" s="24" t="s">
        <v>1081</v>
      </c>
      <c r="U213" s="24"/>
      <c r="V213" s="3"/>
      <c r="W213" s="25" t="s">
        <v>6950</v>
      </c>
      <c r="X213" s="25">
        <v>20550372640</v>
      </c>
      <c r="Y213" s="25" t="str">
        <f>IFERROR(VLOOKUP(C_Ope_004[[#This Row],[NOTA 2]],Clientes_Proveedores[[Ruc / Dni]:[Razon Social]],2,0),"")</f>
        <v>RUTAS DE LIMA S.A.C.</v>
      </c>
      <c r="Z213" s="25" t="s">
        <v>6677</v>
      </c>
      <c r="AA213" s="25"/>
      <c r="AB213" s="3" t="str">
        <f>IF(C_Ope_004[[#This Row],[FECHA]]&gt;0,TEXT(C_Ope_004[[#This Row],[FECHA]],"mmmm"),0)</f>
        <v>Agosto</v>
      </c>
    </row>
    <row r="214" spans="2:28" x14ac:dyDescent="0.3">
      <c r="B214" s="2">
        <f>IF(C_Ope_004[[#This Row],[TIPO DE R.]]="R",COUNTIFS($D$4:$D213,"R")+1,"")</f>
        <v>210</v>
      </c>
      <c r="C214" s="19" t="str">
        <f t="shared" si="31"/>
        <v>C_Ope_004</v>
      </c>
      <c r="D214" s="3" t="s">
        <v>1074</v>
      </c>
      <c r="E214" s="14">
        <v>45873</v>
      </c>
      <c r="F214" s="5" t="s">
        <v>7102</v>
      </c>
      <c r="G214" s="5" t="s">
        <v>1079</v>
      </c>
      <c r="H214" s="6" t="s">
        <v>920</v>
      </c>
      <c r="I214" s="6" t="s">
        <v>14</v>
      </c>
      <c r="J214" s="6" t="s">
        <v>7105</v>
      </c>
      <c r="K214" s="6">
        <v>3200171</v>
      </c>
      <c r="L214" s="7" t="s">
        <v>7158</v>
      </c>
      <c r="M214" s="8">
        <v>25072</v>
      </c>
      <c r="N214" s="8" t="str">
        <f t="shared" si="32"/>
        <v>PEN</v>
      </c>
      <c r="O214" s="13"/>
      <c r="P214" s="13">
        <v>15</v>
      </c>
      <c r="Q214" s="3">
        <f t="shared" si="33"/>
        <v>0</v>
      </c>
      <c r="R214" s="3">
        <f t="shared" si="34"/>
        <v>15</v>
      </c>
      <c r="S214" s="3">
        <f t="shared" si="29"/>
        <v>42.3900000000001</v>
      </c>
      <c r="T214" s="24" t="s">
        <v>1081</v>
      </c>
      <c r="U214" s="24"/>
      <c r="V214" s="3"/>
      <c r="W214" s="25" t="s">
        <v>6950</v>
      </c>
      <c r="X214" s="25">
        <v>20550372640</v>
      </c>
      <c r="Y214" s="25" t="str">
        <f>IFERROR(VLOOKUP(C_Ope_004[[#This Row],[NOTA 2]],Clientes_Proveedores[[Ruc / Dni]:[Razon Social]],2,0),"")</f>
        <v>RUTAS DE LIMA S.A.C.</v>
      </c>
      <c r="Z214" s="25" t="s">
        <v>6677</v>
      </c>
      <c r="AA214" s="25"/>
      <c r="AB214" s="3" t="str">
        <f>IF(C_Ope_004[[#This Row],[FECHA]]&gt;0,TEXT(C_Ope_004[[#This Row],[FECHA]],"mmmm"),0)</f>
        <v>Agosto</v>
      </c>
    </row>
    <row r="215" spans="2:28" ht="24" x14ac:dyDescent="0.3">
      <c r="B215" s="2">
        <f>IF(C_Ope_004[[#This Row],[TIPO DE R.]]="R",COUNTIFS($D$4:$D214,"R")+1,"")</f>
        <v>211</v>
      </c>
      <c r="C215" s="19" t="str">
        <f t="shared" si="31"/>
        <v>C_Ope_004</v>
      </c>
      <c r="D215" s="3" t="s">
        <v>1074</v>
      </c>
      <c r="E215" s="14">
        <v>45873</v>
      </c>
      <c r="F215" s="5" t="s">
        <v>7102</v>
      </c>
      <c r="G215" s="5" t="s">
        <v>1079</v>
      </c>
      <c r="H215" s="6" t="s">
        <v>1013</v>
      </c>
      <c r="I215" s="6" t="s">
        <v>14</v>
      </c>
      <c r="J215" s="6" t="s">
        <v>1119</v>
      </c>
      <c r="K215" s="6">
        <v>7699</v>
      </c>
      <c r="L215" s="7" t="s">
        <v>7159</v>
      </c>
      <c r="M215" s="8">
        <v>25074</v>
      </c>
      <c r="N215" s="8" t="str">
        <f t="shared" si="32"/>
        <v>PEN</v>
      </c>
      <c r="O215" s="13"/>
      <c r="P215" s="13">
        <v>13</v>
      </c>
      <c r="Q215" s="3">
        <f t="shared" si="33"/>
        <v>0</v>
      </c>
      <c r="R215" s="3">
        <f t="shared" si="34"/>
        <v>13</v>
      </c>
      <c r="S215" s="3">
        <f t="shared" si="29"/>
        <v>29.3900000000001</v>
      </c>
      <c r="T215" s="24" t="s">
        <v>1081</v>
      </c>
      <c r="U215" s="24"/>
      <c r="V215" s="3"/>
      <c r="W215" s="25" t="s">
        <v>6950</v>
      </c>
      <c r="X215" s="25">
        <v>10773382439</v>
      </c>
      <c r="Y215" s="25" t="str">
        <f>IFERROR(VLOOKUP(C_Ope_004[[#This Row],[NOTA 2]],Clientes_Proveedores[[Ruc / Dni]:[Razon Social]],2,0),"")</f>
        <v>PAUCAR PRADO ALEXIS LORENZO</v>
      </c>
      <c r="Z215" s="25" t="s">
        <v>4972</v>
      </c>
      <c r="AA215" s="25"/>
      <c r="AB215" s="3" t="str">
        <f>IF(C_Ope_004[[#This Row],[FECHA]]&gt;0,TEXT(C_Ope_004[[#This Row],[FECHA]],"mmmm"),0)</f>
        <v>Agosto</v>
      </c>
    </row>
    <row r="216" spans="2:28" ht="24" x14ac:dyDescent="0.3">
      <c r="B216" s="2">
        <f>IF(C_Ope_004[[#This Row],[TIPO DE R.]]="R",COUNTIFS($D$4:$D215,"R")+1,"")</f>
        <v>212</v>
      </c>
      <c r="C216" s="19" t="str">
        <f t="shared" si="31"/>
        <v>C_Ope_004</v>
      </c>
      <c r="D216" s="3" t="s">
        <v>1074</v>
      </c>
      <c r="E216" s="14">
        <v>45873</v>
      </c>
      <c r="F216" s="5" t="s">
        <v>7102</v>
      </c>
      <c r="G216" s="5" t="s">
        <v>1079</v>
      </c>
      <c r="H216" s="6" t="s">
        <v>676</v>
      </c>
      <c r="I216" s="6" t="s">
        <v>14</v>
      </c>
      <c r="J216" s="6" t="s">
        <v>2789</v>
      </c>
      <c r="K216" s="6">
        <v>42505</v>
      </c>
      <c r="L216" s="7" t="s">
        <v>7160</v>
      </c>
      <c r="M216" s="8">
        <v>25077</v>
      </c>
      <c r="N216" s="8" t="str">
        <f t="shared" si="32"/>
        <v>PEN</v>
      </c>
      <c r="O216" s="13"/>
      <c r="P216" s="13">
        <v>55</v>
      </c>
      <c r="Q216" s="3">
        <f t="shared" si="33"/>
        <v>0</v>
      </c>
      <c r="R216" s="3">
        <f t="shared" si="34"/>
        <v>55</v>
      </c>
      <c r="S216" s="3">
        <f t="shared" si="29"/>
        <v>-25.6099999999999</v>
      </c>
      <c r="T216" s="24" t="s">
        <v>1081</v>
      </c>
      <c r="U216" s="24"/>
      <c r="V216" s="3"/>
      <c r="W216" s="25" t="s">
        <v>6950</v>
      </c>
      <c r="X216" s="25">
        <v>20514148539</v>
      </c>
      <c r="Y216" s="25" t="str">
        <f>IFERROR(VLOOKUP(C_Ope_004[[#This Row],[NOTA 2]],Clientes_Proveedores[[Ruc / Dni]:[Razon Social]],2,0),"")</f>
        <v>NEGOCIACIONES ABBYCORP E.I.R.L.</v>
      </c>
      <c r="Z216" s="25" t="s">
        <v>6727</v>
      </c>
      <c r="AA216" s="25"/>
      <c r="AB216" s="3" t="str">
        <f>IF(C_Ope_004[[#This Row],[FECHA]]&gt;0,TEXT(C_Ope_004[[#This Row],[FECHA]],"mmmm"),0)</f>
        <v>Agosto</v>
      </c>
    </row>
    <row r="217" spans="2:28" x14ac:dyDescent="0.3">
      <c r="B217" s="2">
        <f>IF(C_Ope_004[[#This Row],[TIPO DE R.]]="R",COUNTIFS($D$4:$D216,"R")+1,"")</f>
        <v>213</v>
      </c>
      <c r="C217" s="19" t="str">
        <f>"C_Ope_004"</f>
        <v>C_Ope_004</v>
      </c>
      <c r="D217" s="3" t="s">
        <v>1074</v>
      </c>
      <c r="E217" s="14">
        <v>45874</v>
      </c>
      <c r="F217" s="5" t="s">
        <v>3353</v>
      </c>
      <c r="G217" s="5" t="s">
        <v>1087</v>
      </c>
      <c r="H217" s="6"/>
      <c r="I217" s="6"/>
      <c r="J217" s="6"/>
      <c r="K217" s="6"/>
      <c r="L217" s="7" t="s">
        <v>7113</v>
      </c>
      <c r="M217" s="8">
        <v>25095</v>
      </c>
      <c r="N217" s="8" t="str">
        <f>"PEN"</f>
        <v>PEN</v>
      </c>
      <c r="O217" s="13"/>
      <c r="P217" s="13">
        <v>150</v>
      </c>
      <c r="Q217" s="3">
        <f>+IF(OR($G217="SALDO",$G217="INGRESO"),$P217,0)</f>
        <v>150</v>
      </c>
      <c r="R217" s="3">
        <f>+IF($G217="EGRESO",$P217,0)</f>
        <v>0</v>
      </c>
      <c r="S217" s="3">
        <f t="shared" si="29"/>
        <v>124.3900000000001</v>
      </c>
      <c r="T217" s="24"/>
      <c r="U217" s="24"/>
      <c r="V217" s="3"/>
      <c r="W217" s="25"/>
      <c r="X217" s="25"/>
      <c r="Y217" s="25" t="str">
        <f>IFERROR(VLOOKUP(C_Ope_004[[#This Row],[NOTA 2]],Clientes_Proveedores[[Ruc / Dni]:[Razon Social]],2,0),"")</f>
        <v/>
      </c>
      <c r="Z217" s="25"/>
      <c r="AA217" s="25"/>
      <c r="AB217" s="3" t="str">
        <f>IF(C_Ope_004[[#This Row],[FECHA]]&gt;0,TEXT(C_Ope_004[[#This Row],[FECHA]],"mmmm"),0)</f>
        <v>Agosto</v>
      </c>
    </row>
    <row r="218" spans="2:28" x14ac:dyDescent="0.3">
      <c r="B218" s="2">
        <f>IF(C_Ope_004[[#This Row],[TIPO DE R.]]="R",COUNTIFS($D$4:$D217,"R")+1,"")</f>
        <v>214</v>
      </c>
      <c r="C218" s="19" t="str">
        <f t="shared" si="31"/>
        <v>C_Ope_004</v>
      </c>
      <c r="D218" s="3" t="s">
        <v>1074</v>
      </c>
      <c r="E218" s="14">
        <v>45874</v>
      </c>
      <c r="F218" s="5" t="s">
        <v>7102</v>
      </c>
      <c r="G218" s="5" t="s">
        <v>1079</v>
      </c>
      <c r="H218" s="6" t="s">
        <v>920</v>
      </c>
      <c r="I218" s="6" t="s">
        <v>14</v>
      </c>
      <c r="J218" s="6" t="s">
        <v>7112</v>
      </c>
      <c r="K218" s="6">
        <v>658300</v>
      </c>
      <c r="L218" s="7" t="s">
        <v>7161</v>
      </c>
      <c r="M218" s="8">
        <v>25084</v>
      </c>
      <c r="N218" s="8" t="str">
        <f t="shared" si="32"/>
        <v>PEN</v>
      </c>
      <c r="O218" s="13"/>
      <c r="P218" s="13">
        <v>15</v>
      </c>
      <c r="Q218" s="3">
        <f t="shared" si="33"/>
        <v>0</v>
      </c>
      <c r="R218" s="3">
        <f t="shared" si="34"/>
        <v>15</v>
      </c>
      <c r="S218" s="13">
        <f t="shared" si="29"/>
        <v>109.3900000000001</v>
      </c>
      <c r="T218" s="24" t="s">
        <v>1081</v>
      </c>
      <c r="U218" s="24"/>
      <c r="V218" s="3"/>
      <c r="W218" s="25" t="s">
        <v>6950</v>
      </c>
      <c r="X218" s="25">
        <v>20550372640</v>
      </c>
      <c r="Y218" s="25" t="str">
        <f>IFERROR(VLOOKUP(C_Ope_004[[#This Row],[NOTA 2]],Clientes_Proveedores[[Ruc / Dni]:[Razon Social]],2,0),"")</f>
        <v>RUTAS DE LIMA S.A.C.</v>
      </c>
      <c r="Z218" s="25" t="s">
        <v>6677</v>
      </c>
      <c r="AA218" s="25"/>
      <c r="AB218" s="3" t="str">
        <f>IF(C_Ope_004[[#This Row],[FECHA]]&gt;0,TEXT(C_Ope_004[[#This Row],[FECHA]],"mmmm"),0)</f>
        <v>Agosto</v>
      </c>
    </row>
    <row r="219" spans="2:28" x14ac:dyDescent="0.3">
      <c r="B219" s="2">
        <f>IF(C_Ope_004[[#This Row],[TIPO DE R.]]="R",COUNTIFS($D$4:$D218,"R")+1,"")</f>
        <v>215</v>
      </c>
      <c r="C219" s="19" t="str">
        <f t="shared" si="31"/>
        <v>C_Ope_004</v>
      </c>
      <c r="D219" s="3" t="s">
        <v>1074</v>
      </c>
      <c r="E219" s="14">
        <v>45874</v>
      </c>
      <c r="F219" s="5" t="s">
        <v>7102</v>
      </c>
      <c r="G219" s="5" t="s">
        <v>1079</v>
      </c>
      <c r="H219" s="6" t="s">
        <v>920</v>
      </c>
      <c r="I219" s="6" t="s">
        <v>14</v>
      </c>
      <c r="J219" s="6" t="s">
        <v>7105</v>
      </c>
      <c r="K219" s="6">
        <v>3201295</v>
      </c>
      <c r="L219" s="7" t="s">
        <v>7162</v>
      </c>
      <c r="M219" s="8">
        <v>25094</v>
      </c>
      <c r="N219" s="8" t="str">
        <f t="shared" si="32"/>
        <v>PEN</v>
      </c>
      <c r="O219" s="13"/>
      <c r="P219" s="13">
        <v>15</v>
      </c>
      <c r="Q219" s="3">
        <f t="shared" si="33"/>
        <v>0</v>
      </c>
      <c r="R219" s="3">
        <f t="shared" si="34"/>
        <v>15</v>
      </c>
      <c r="S219" s="13">
        <f t="shared" si="29"/>
        <v>94.3900000000001</v>
      </c>
      <c r="T219" s="24" t="s">
        <v>1081</v>
      </c>
      <c r="U219" s="24"/>
      <c r="V219" s="3"/>
      <c r="W219" s="25" t="s">
        <v>6950</v>
      </c>
      <c r="X219" s="25">
        <v>20550372640</v>
      </c>
      <c r="Y219" s="25" t="str">
        <f>IFERROR(VLOOKUP(C_Ope_004[[#This Row],[NOTA 2]],Clientes_Proveedores[[Ruc / Dni]:[Razon Social]],2,0),"")</f>
        <v>RUTAS DE LIMA S.A.C.</v>
      </c>
      <c r="Z219" s="25" t="s">
        <v>6677</v>
      </c>
      <c r="AA219" s="25"/>
      <c r="AB219" s="3" t="str">
        <f>IF(C_Ope_004[[#This Row],[FECHA]]&gt;0,TEXT(C_Ope_004[[#This Row],[FECHA]],"mmmm"),0)</f>
        <v>Agosto</v>
      </c>
    </row>
    <row r="220" spans="2:28" x14ac:dyDescent="0.3">
      <c r="B220" s="2">
        <f>IF(C_Ope_004[[#This Row],[TIPO DE R.]]="R",COUNTIFS($D$4:$D219,"R")+1,"")</f>
        <v>216</v>
      </c>
      <c r="C220" s="19" t="str">
        <f t="shared" si="31"/>
        <v>C_Ope_004</v>
      </c>
      <c r="D220" s="3" t="s">
        <v>1074</v>
      </c>
      <c r="E220" s="14">
        <v>45876</v>
      </c>
      <c r="F220" s="5" t="s">
        <v>7102</v>
      </c>
      <c r="G220" s="5" t="s">
        <v>1079</v>
      </c>
      <c r="H220" s="6" t="s">
        <v>920</v>
      </c>
      <c r="I220" s="6" t="s">
        <v>14</v>
      </c>
      <c r="J220" s="6" t="s">
        <v>5130</v>
      </c>
      <c r="K220" s="6">
        <v>1186401</v>
      </c>
      <c r="L220" s="7" t="s">
        <v>7143</v>
      </c>
      <c r="M220" s="8">
        <v>25136</v>
      </c>
      <c r="N220" s="8" t="str">
        <f t="shared" si="32"/>
        <v>PEN</v>
      </c>
      <c r="O220" s="13"/>
      <c r="P220" s="13">
        <v>15</v>
      </c>
      <c r="Q220" s="3">
        <f t="shared" si="33"/>
        <v>0</v>
      </c>
      <c r="R220" s="3">
        <f t="shared" si="34"/>
        <v>15</v>
      </c>
      <c r="S220" s="13">
        <f t="shared" si="29"/>
        <v>79.3900000000001</v>
      </c>
      <c r="T220" s="24" t="s">
        <v>1081</v>
      </c>
      <c r="U220" s="24"/>
      <c r="V220" s="3"/>
      <c r="W220" s="25" t="s">
        <v>6950</v>
      </c>
      <c r="X220" s="25">
        <v>20550372640</v>
      </c>
      <c r="Y220" s="25" t="str">
        <f>IFERROR(VLOOKUP(C_Ope_004[[#This Row],[NOTA 2]],Clientes_Proveedores[[Ruc / Dni]:[Razon Social]],2,0),"")</f>
        <v>RUTAS DE LIMA S.A.C.</v>
      </c>
      <c r="Z220" s="25" t="s">
        <v>6677</v>
      </c>
      <c r="AA220" s="25"/>
      <c r="AB220" s="3" t="str">
        <f>IF(C_Ope_004[[#This Row],[FECHA]]&gt;0,TEXT(C_Ope_004[[#This Row],[FECHA]],"mmmm"),0)</f>
        <v>Agosto</v>
      </c>
    </row>
    <row r="221" spans="2:28" x14ac:dyDescent="0.3">
      <c r="B221" s="2">
        <f>IF(C_Ope_004[[#This Row],[TIPO DE R.]]="R",COUNTIFS($D$4:$D220,"R")+1,"")</f>
        <v>217</v>
      </c>
      <c r="C221" s="19" t="str">
        <f t="shared" si="31"/>
        <v>C_Ope_004</v>
      </c>
      <c r="D221" s="3" t="s">
        <v>1074</v>
      </c>
      <c r="E221" s="14">
        <v>45876</v>
      </c>
      <c r="F221" s="5" t="s">
        <v>7102</v>
      </c>
      <c r="G221" s="5" t="s">
        <v>1079</v>
      </c>
      <c r="H221" s="6" t="s">
        <v>920</v>
      </c>
      <c r="I221" s="6" t="s">
        <v>14</v>
      </c>
      <c r="J221" s="6" t="s">
        <v>6985</v>
      </c>
      <c r="K221" s="6">
        <v>3078270</v>
      </c>
      <c r="L221" s="7" t="s">
        <v>7157</v>
      </c>
      <c r="M221" s="8">
        <v>25137</v>
      </c>
      <c r="N221" s="8" t="str">
        <f t="shared" si="32"/>
        <v>PEN</v>
      </c>
      <c r="O221" s="13"/>
      <c r="P221" s="13">
        <v>15</v>
      </c>
      <c r="Q221" s="3">
        <f t="shared" si="33"/>
        <v>0</v>
      </c>
      <c r="R221" s="3">
        <f t="shared" si="34"/>
        <v>15</v>
      </c>
      <c r="S221" s="13">
        <f t="shared" si="29"/>
        <v>64.3900000000001</v>
      </c>
      <c r="T221" s="24" t="s">
        <v>1081</v>
      </c>
      <c r="U221" s="24"/>
      <c r="V221" s="3"/>
      <c r="W221" s="25" t="s">
        <v>6950</v>
      </c>
      <c r="X221" s="25">
        <v>20550372640</v>
      </c>
      <c r="Y221" s="25" t="str">
        <f>IFERROR(VLOOKUP(C_Ope_004[[#This Row],[NOTA 2]],Clientes_Proveedores[[Ruc / Dni]:[Razon Social]],2,0),"")</f>
        <v>RUTAS DE LIMA S.A.C.</v>
      </c>
      <c r="Z221" s="25" t="s">
        <v>6677</v>
      </c>
      <c r="AA221" s="25"/>
      <c r="AB221" s="3" t="str">
        <f>IF(C_Ope_004[[#This Row],[FECHA]]&gt;0,TEXT(C_Ope_004[[#This Row],[FECHA]],"mmmm"),0)</f>
        <v>Agosto</v>
      </c>
    </row>
    <row r="222" spans="2:28" x14ac:dyDescent="0.3">
      <c r="B222" s="16">
        <f>IF(C_Ope_004[[#This Row],[TIPO DE R.]]="R",COUNTIFS($D$4:$D221,"R")+1,"")</f>
        <v>218</v>
      </c>
      <c r="C222" s="19" t="str">
        <f>"C_Ope_004"</f>
        <v>C_Ope_004</v>
      </c>
      <c r="D222" s="3" t="s">
        <v>1074</v>
      </c>
      <c r="E222" s="14">
        <v>45877</v>
      </c>
      <c r="F222" s="5" t="s">
        <v>7102</v>
      </c>
      <c r="G222" s="5" t="s">
        <v>1079</v>
      </c>
      <c r="H222" s="6" t="s">
        <v>920</v>
      </c>
      <c r="I222" s="6" t="s">
        <v>14</v>
      </c>
      <c r="J222" s="6" t="s">
        <v>7141</v>
      </c>
      <c r="K222" s="6">
        <v>2007003</v>
      </c>
      <c r="L222" s="7" t="s">
        <v>7154</v>
      </c>
      <c r="M222" s="8">
        <v>25138</v>
      </c>
      <c r="N222" s="8" t="str">
        <f>"PEN"</f>
        <v>PEN</v>
      </c>
      <c r="O222" s="13"/>
      <c r="P222" s="13">
        <v>15</v>
      </c>
      <c r="Q222" s="3">
        <f>+IF(OR($G222="SALDO",$G222="INGRESO"),$P222,0)</f>
        <v>0</v>
      </c>
      <c r="R222" s="3">
        <f>+IF($G222="EGRESO",$P222,0)</f>
        <v>15</v>
      </c>
      <c r="S222" s="3">
        <f t="shared" si="29"/>
        <v>49.3900000000001</v>
      </c>
      <c r="T222" s="24" t="s">
        <v>1081</v>
      </c>
      <c r="U222" s="24"/>
      <c r="V222" s="3"/>
      <c r="W222" s="25" t="s">
        <v>6950</v>
      </c>
      <c r="X222" s="25">
        <v>20550372640</v>
      </c>
      <c r="Y222" s="25" t="str">
        <f>IFERROR(VLOOKUP(C_Ope_004[[#This Row],[NOTA 2]],Clientes_Proveedores[[Ruc / Dni]:[Razon Social]],2,0),"")</f>
        <v>RUTAS DE LIMA S.A.C.</v>
      </c>
      <c r="Z222" s="25" t="s">
        <v>6677</v>
      </c>
      <c r="AA222" s="25"/>
      <c r="AB222" s="3" t="str">
        <f>IF(C_Ope_004[[#This Row],[FECHA]]&gt;0,TEXT(C_Ope_004[[#This Row],[FECHA]],"mmmm"),0)</f>
        <v>Agosto</v>
      </c>
    </row>
    <row r="223" spans="2:28" x14ac:dyDescent="0.3">
      <c r="B223" s="16">
        <f>IF(C_Ope_004[[#This Row],[TIPO DE R.]]="R",COUNTIFS($D$4:$D222,"R")+1,"")</f>
        <v>219</v>
      </c>
      <c r="C223" s="19" t="str">
        <f>"C_Ope_004"</f>
        <v>C_Ope_004</v>
      </c>
      <c r="D223" s="3" t="s">
        <v>1074</v>
      </c>
      <c r="E223" s="14">
        <v>45877</v>
      </c>
      <c r="F223" s="5" t="s">
        <v>7102</v>
      </c>
      <c r="G223" s="5" t="s">
        <v>1079</v>
      </c>
      <c r="H223" s="6" t="s">
        <v>920</v>
      </c>
      <c r="I223" s="6" t="s">
        <v>14</v>
      </c>
      <c r="J223" s="6" t="s">
        <v>6927</v>
      </c>
      <c r="K223" s="6">
        <v>612240</v>
      </c>
      <c r="L223" s="7" t="s">
        <v>7155</v>
      </c>
      <c r="M223" s="8">
        <v>25139</v>
      </c>
      <c r="N223" s="8" t="str">
        <f>"PEN"</f>
        <v>PEN</v>
      </c>
      <c r="O223" s="13"/>
      <c r="P223" s="13">
        <v>15</v>
      </c>
      <c r="Q223" s="3">
        <f>+IF(OR($G223="SALDO",$G223="INGRESO"),$P223,0)</f>
        <v>0</v>
      </c>
      <c r="R223" s="3">
        <f>+IF($G223="EGRESO",$P223,0)</f>
        <v>15</v>
      </c>
      <c r="S223" s="3">
        <f t="shared" si="29"/>
        <v>34.3900000000001</v>
      </c>
      <c r="T223" s="24" t="s">
        <v>1081</v>
      </c>
      <c r="U223" s="24"/>
      <c r="V223" s="3"/>
      <c r="W223" s="25" t="s">
        <v>6950</v>
      </c>
      <c r="X223" s="25">
        <v>20550372640</v>
      </c>
      <c r="Y223" s="25" t="str">
        <f>IFERROR(VLOOKUP(C_Ope_004[[#This Row],[NOTA 2]],Clientes_Proveedores[[Ruc / Dni]:[Razon Social]],2,0),"")</f>
        <v>RUTAS DE LIMA S.A.C.</v>
      </c>
      <c r="Z223" s="25" t="s">
        <v>6677</v>
      </c>
      <c r="AA223" s="25"/>
      <c r="AB223" s="3" t="str">
        <f>IF(C_Ope_004[[#This Row],[FECHA]]&gt;0,TEXT(C_Ope_004[[#This Row],[FECHA]],"mmmm"),0)</f>
        <v>Agosto</v>
      </c>
    </row>
    <row r="224" spans="2:28" x14ac:dyDescent="0.3">
      <c r="B224" s="16">
        <f>IF(C_Ope_004[[#This Row],[TIPO DE R.]]="R",COUNTIFS($D$4:$D223,"R")+1,"")</f>
        <v>220</v>
      </c>
      <c r="C224" s="19" t="str">
        <f t="shared" ref="C224:C229" si="35">"C_Ope_004"</f>
        <v>C_Ope_004</v>
      </c>
      <c r="D224" s="13" t="s">
        <v>1074</v>
      </c>
      <c r="E224" s="14">
        <v>45881</v>
      </c>
      <c r="F224" s="5" t="s">
        <v>7102</v>
      </c>
      <c r="G224" s="5" t="s">
        <v>1079</v>
      </c>
      <c r="H224" s="6" t="s">
        <v>920</v>
      </c>
      <c r="I224" s="6" t="s">
        <v>14</v>
      </c>
      <c r="J224" s="6" t="s">
        <v>5130</v>
      </c>
      <c r="K224" s="6">
        <v>1188228</v>
      </c>
      <c r="L224" s="7" t="s">
        <v>7154</v>
      </c>
      <c r="M224" s="8">
        <v>25165</v>
      </c>
      <c r="N224" s="8" t="str">
        <f t="shared" ref="N224:N229" si="36">"PEN"</f>
        <v>PEN</v>
      </c>
      <c r="O224" s="13"/>
      <c r="P224" s="13">
        <v>15</v>
      </c>
      <c r="Q224" s="3">
        <f t="shared" ref="Q224:Q229" si="37">+IF(OR($G224="SALDO",$G224="INGRESO"),$P224,0)</f>
        <v>0</v>
      </c>
      <c r="R224" s="3">
        <f t="shared" ref="R224:R229" si="38">+IF($G224="EGRESO",$P224,0)</f>
        <v>15</v>
      </c>
      <c r="S224" s="13">
        <f t="shared" si="29"/>
        <v>19.3900000000001</v>
      </c>
      <c r="T224" s="24" t="s">
        <v>1081</v>
      </c>
      <c r="U224" s="24"/>
      <c r="V224" s="3"/>
      <c r="W224" s="25" t="s">
        <v>6950</v>
      </c>
      <c r="X224" s="25">
        <v>20550372640</v>
      </c>
      <c r="Y224" s="25" t="str">
        <f>IFERROR(VLOOKUP(C_Ope_004[[#This Row],[NOTA 2]],Clientes_Proveedores[[Ruc / Dni]:[Razon Social]],2,0),"")</f>
        <v>RUTAS DE LIMA S.A.C.</v>
      </c>
      <c r="Z224" s="25" t="s">
        <v>6677</v>
      </c>
      <c r="AA224" s="25"/>
      <c r="AB224" s="3" t="str">
        <f>IF(C_Ope_004[[#This Row],[FECHA]]&gt;0,TEXT(C_Ope_004[[#This Row],[FECHA]],"mmmm"),0)</f>
        <v>Agosto</v>
      </c>
    </row>
    <row r="225" spans="2:28" x14ac:dyDescent="0.3">
      <c r="B225" s="16">
        <f>IF(C_Ope_004[[#This Row],[TIPO DE R.]]="R",COUNTIFS($D$4:$D224,"R")+1,"")</f>
        <v>221</v>
      </c>
      <c r="C225" s="19" t="str">
        <f t="shared" si="35"/>
        <v>C_Ope_004</v>
      </c>
      <c r="D225" s="13" t="s">
        <v>1074</v>
      </c>
      <c r="E225" s="14">
        <v>45881</v>
      </c>
      <c r="F225" s="5" t="s">
        <v>7102</v>
      </c>
      <c r="G225" s="5" t="s">
        <v>1079</v>
      </c>
      <c r="H225" s="6" t="s">
        <v>920</v>
      </c>
      <c r="I225" s="6" t="s">
        <v>14</v>
      </c>
      <c r="J225" s="6" t="s">
        <v>7041</v>
      </c>
      <c r="K225" s="6">
        <v>2332364</v>
      </c>
      <c r="L225" s="7" t="s">
        <v>7163</v>
      </c>
      <c r="M225" s="8">
        <v>25166</v>
      </c>
      <c r="N225" s="8" t="str">
        <f t="shared" si="36"/>
        <v>PEN</v>
      </c>
      <c r="O225" s="13"/>
      <c r="P225" s="13">
        <v>15</v>
      </c>
      <c r="Q225" s="3">
        <f t="shared" si="37"/>
        <v>0</v>
      </c>
      <c r="R225" s="3">
        <f t="shared" si="38"/>
        <v>15</v>
      </c>
      <c r="S225" s="13">
        <f t="shared" si="29"/>
        <v>4.3900000000001</v>
      </c>
      <c r="T225" s="24" t="s">
        <v>1081</v>
      </c>
      <c r="U225" s="24"/>
      <c r="V225" s="3"/>
      <c r="W225" s="25" t="s">
        <v>6950</v>
      </c>
      <c r="X225" s="25">
        <v>20550372640</v>
      </c>
      <c r="Y225" s="25" t="str">
        <f>IFERROR(VLOOKUP(C_Ope_004[[#This Row],[NOTA 2]],Clientes_Proveedores[[Ruc / Dni]:[Razon Social]],2,0),"")</f>
        <v>RUTAS DE LIMA S.A.C.</v>
      </c>
      <c r="Z225" s="25" t="s">
        <v>6677</v>
      </c>
      <c r="AA225" s="25"/>
      <c r="AB225" s="3" t="str">
        <f>IF(C_Ope_004[[#This Row],[FECHA]]&gt;0,TEXT(C_Ope_004[[#This Row],[FECHA]],"mmmm"),0)</f>
        <v>Agosto</v>
      </c>
    </row>
    <row r="226" spans="2:28" x14ac:dyDescent="0.3">
      <c r="B226" s="16">
        <f>IF(C_Ope_004[[#This Row],[TIPO DE R.]]="R",COUNTIFS($D$4:$D225,"R")+1,"")</f>
        <v>222</v>
      </c>
      <c r="C226" s="19" t="str">
        <f>"C_Ope_004"</f>
        <v>C_Ope_004</v>
      </c>
      <c r="D226" s="3" t="s">
        <v>1074</v>
      </c>
      <c r="E226" s="14">
        <v>45888</v>
      </c>
      <c r="F226" s="5" t="s">
        <v>3353</v>
      </c>
      <c r="G226" s="5" t="s">
        <v>1087</v>
      </c>
      <c r="H226" s="6"/>
      <c r="I226" s="6"/>
      <c r="J226" s="6"/>
      <c r="K226" s="6"/>
      <c r="L226" s="7" t="s">
        <v>7113</v>
      </c>
      <c r="M226" s="8">
        <v>25203</v>
      </c>
      <c r="N226" s="8" t="str">
        <f>"PEN"</f>
        <v>PEN</v>
      </c>
      <c r="O226" s="13"/>
      <c r="P226" s="13">
        <v>150</v>
      </c>
      <c r="Q226" s="3">
        <f>+IF(OR($G226="SALDO",$G226="INGRESO"),$P226,0)</f>
        <v>150</v>
      </c>
      <c r="R226" s="3">
        <f>+IF($G226="EGRESO",$P226,0)</f>
        <v>0</v>
      </c>
      <c r="S226" s="13">
        <f t="shared" si="29"/>
        <v>154.3900000000001</v>
      </c>
      <c r="T226" s="24"/>
      <c r="U226" s="24"/>
      <c r="V226" s="3"/>
      <c r="W226" s="25"/>
      <c r="X226" s="25"/>
      <c r="Y226" s="25" t="str">
        <f>IFERROR(VLOOKUP(C_Ope_004[[#This Row],[NOTA 2]],Clientes_Proveedores[[Ruc / Dni]:[Razon Social]],2,0),"")</f>
        <v/>
      </c>
      <c r="Z226" s="25"/>
      <c r="AA226" s="25"/>
      <c r="AB226" s="3" t="str">
        <f>IF(C_Ope_004[[#This Row],[FECHA]]&gt;0,TEXT(C_Ope_004[[#This Row],[FECHA]],"mmmm"),0)</f>
        <v>Agosto</v>
      </c>
    </row>
    <row r="227" spans="2:28" ht="24" x14ac:dyDescent="0.3">
      <c r="B227" s="16">
        <f>IF(C_Ope_004[[#This Row],[TIPO DE R.]]="R",COUNTIFS($D$4:$D226,"R")+1,"")</f>
        <v>223</v>
      </c>
      <c r="C227" s="19" t="str">
        <f t="shared" si="35"/>
        <v>C_Ope_004</v>
      </c>
      <c r="D227" s="13" t="s">
        <v>1074</v>
      </c>
      <c r="E227" s="14">
        <v>45888</v>
      </c>
      <c r="F227" s="5" t="s">
        <v>7102</v>
      </c>
      <c r="G227" s="5" t="s">
        <v>1079</v>
      </c>
      <c r="H227" s="6" t="s">
        <v>676</v>
      </c>
      <c r="I227" s="6" t="s">
        <v>14</v>
      </c>
      <c r="J227" s="6" t="s">
        <v>2789</v>
      </c>
      <c r="K227" s="6">
        <v>42801</v>
      </c>
      <c r="L227" s="7" t="s">
        <v>7164</v>
      </c>
      <c r="M227" s="8">
        <v>25200</v>
      </c>
      <c r="N227" s="8" t="str">
        <f t="shared" si="36"/>
        <v>PEN</v>
      </c>
      <c r="O227" s="13"/>
      <c r="P227" s="13">
        <v>55</v>
      </c>
      <c r="Q227" s="3">
        <f t="shared" si="37"/>
        <v>0</v>
      </c>
      <c r="R227" s="3">
        <f t="shared" si="38"/>
        <v>55</v>
      </c>
      <c r="S227" s="13">
        <f t="shared" si="29"/>
        <v>99.3900000000001</v>
      </c>
      <c r="T227" s="24" t="s">
        <v>1081</v>
      </c>
      <c r="U227" s="24"/>
      <c r="V227" s="3"/>
      <c r="W227" s="25" t="s">
        <v>6950</v>
      </c>
      <c r="X227" s="25">
        <v>20514148539</v>
      </c>
      <c r="Y227" s="25" t="str">
        <f>IFERROR(VLOOKUP(C_Ope_004[[#This Row],[NOTA 2]],Clientes_Proveedores[[Ruc / Dni]:[Razon Social]],2,0),"")</f>
        <v>NEGOCIACIONES ABBYCORP E.I.R.L.</v>
      </c>
      <c r="Z227" s="25" t="s">
        <v>6727</v>
      </c>
      <c r="AA227" s="25"/>
      <c r="AB227" s="3" t="str">
        <f>IF(C_Ope_004[[#This Row],[FECHA]]&gt;0,TEXT(C_Ope_004[[#This Row],[FECHA]],"mmmm"),0)</f>
        <v>Agosto</v>
      </c>
    </row>
    <row r="228" spans="2:28" x14ac:dyDescent="0.3">
      <c r="B228" s="16">
        <f>IF(C_Ope_004[[#This Row],[TIPO DE R.]]="R",COUNTIFS($D$4:$D227,"R")+1,"")</f>
        <v>224</v>
      </c>
      <c r="C228" s="19" t="str">
        <f t="shared" si="35"/>
        <v>C_Ope_004</v>
      </c>
      <c r="D228" s="13" t="s">
        <v>1074</v>
      </c>
      <c r="E228" s="14">
        <v>45890</v>
      </c>
      <c r="F228" s="5" t="s">
        <v>7102</v>
      </c>
      <c r="G228" s="5" t="s">
        <v>1079</v>
      </c>
      <c r="H228" s="6" t="s">
        <v>920</v>
      </c>
      <c r="I228" s="6" t="s">
        <v>14</v>
      </c>
      <c r="J228" s="6" t="s">
        <v>7141</v>
      </c>
      <c r="K228" s="6">
        <v>2016842</v>
      </c>
      <c r="L228" s="7" t="s">
        <v>7143</v>
      </c>
      <c r="M228" s="8">
        <v>25234</v>
      </c>
      <c r="N228" s="8" t="str">
        <f t="shared" si="36"/>
        <v>PEN</v>
      </c>
      <c r="O228" s="13"/>
      <c r="P228" s="13">
        <v>15</v>
      </c>
      <c r="Q228" s="3">
        <f t="shared" si="37"/>
        <v>0</v>
      </c>
      <c r="R228" s="3">
        <f t="shared" si="38"/>
        <v>15</v>
      </c>
      <c r="S228" s="13">
        <f t="shared" si="29"/>
        <v>84.3900000000001</v>
      </c>
      <c r="T228" s="24" t="s">
        <v>1081</v>
      </c>
      <c r="U228" s="24"/>
      <c r="V228" s="3"/>
      <c r="W228" s="25" t="s">
        <v>6950</v>
      </c>
      <c r="X228" s="25">
        <v>20550372640</v>
      </c>
      <c r="Y228" s="25" t="str">
        <f>IFERROR(VLOOKUP(C_Ope_004[[#This Row],[NOTA 2]],Clientes_Proveedores[[Ruc / Dni]:[Razon Social]],2,0),"")</f>
        <v>RUTAS DE LIMA S.A.C.</v>
      </c>
      <c r="Z228" s="25" t="s">
        <v>6677</v>
      </c>
      <c r="AA228" s="25"/>
      <c r="AB228" s="3" t="str">
        <f>IF(C_Ope_004[[#This Row],[FECHA]]&gt;0,TEXT(C_Ope_004[[#This Row],[FECHA]],"mmmm"),0)</f>
        <v>Agosto</v>
      </c>
    </row>
    <row r="229" spans="2:28" x14ac:dyDescent="0.3">
      <c r="B229" s="16">
        <f>IF(C_Ope_004[[#This Row],[TIPO DE R.]]="R",COUNTIFS($D$4:$D228,"R")+1,"")</f>
        <v>225</v>
      </c>
      <c r="C229" s="19" t="str">
        <f t="shared" si="35"/>
        <v>C_Ope_004</v>
      </c>
      <c r="D229" s="13" t="s">
        <v>1074</v>
      </c>
      <c r="E229" s="14">
        <v>45890</v>
      </c>
      <c r="F229" s="5" t="s">
        <v>7102</v>
      </c>
      <c r="G229" s="5" t="s">
        <v>1079</v>
      </c>
      <c r="H229" s="6" t="s">
        <v>920</v>
      </c>
      <c r="I229" s="6" t="s">
        <v>14</v>
      </c>
      <c r="J229" s="6" t="s">
        <v>7103</v>
      </c>
      <c r="K229" s="6">
        <v>3801852</v>
      </c>
      <c r="L229" s="7" t="s">
        <v>7144</v>
      </c>
      <c r="M229" s="8">
        <v>25235</v>
      </c>
      <c r="N229" s="8" t="str">
        <f t="shared" si="36"/>
        <v>PEN</v>
      </c>
      <c r="O229" s="13"/>
      <c r="P229" s="13">
        <v>15</v>
      </c>
      <c r="Q229" s="3">
        <f t="shared" si="37"/>
        <v>0</v>
      </c>
      <c r="R229" s="3">
        <f t="shared" si="38"/>
        <v>15</v>
      </c>
      <c r="S229" s="13">
        <f t="shared" si="29"/>
        <v>69.3900000000001</v>
      </c>
      <c r="T229" s="24" t="s">
        <v>1081</v>
      </c>
      <c r="U229" s="24"/>
      <c r="V229" s="3"/>
      <c r="W229" s="25" t="s">
        <v>6950</v>
      </c>
      <c r="X229" s="25">
        <v>20550372640</v>
      </c>
      <c r="Y229" s="25" t="str">
        <f>IFERROR(VLOOKUP(C_Ope_004[[#This Row],[NOTA 2]],Clientes_Proveedores[[Ruc / Dni]:[Razon Social]],2,0),"")</f>
        <v>RUTAS DE LIMA S.A.C.</v>
      </c>
      <c r="Z229" s="25" t="s">
        <v>6677</v>
      </c>
      <c r="AA229" s="25"/>
      <c r="AB229" s="3" t="str">
        <f>IF(C_Ope_004[[#This Row],[FECHA]]&gt;0,TEXT(C_Ope_004[[#This Row],[FECHA]],"mmmm"),0)</f>
        <v>Agosto</v>
      </c>
    </row>
    <row r="241" spans="2:3" x14ac:dyDescent="0.3">
      <c r="B241" s="97" t="s">
        <v>7100</v>
      </c>
      <c r="C241" s="96" t="s">
        <v>818</v>
      </c>
    </row>
  </sheetData>
  <mergeCells count="1">
    <mergeCell ref="B2:AB2"/>
  </mergeCells>
  <conditionalFormatting sqref="B5:AB229">
    <cfRule type="expression" dxfId="26" priority="251">
      <formula>$T5="OK"</formula>
    </cfRule>
  </conditionalFormatting>
  <dataValidations count="4">
    <dataValidation type="list" allowBlank="1" showInputMessage="1" showErrorMessage="1" sqref="I5:I229" xr:uid="{82C6082C-E301-4A10-A57E-1B4626909650}">
      <formula1>Documentos</formula1>
    </dataValidation>
    <dataValidation type="list" allowBlank="1" showInputMessage="1" showErrorMessage="1" sqref="G5:G229" xr:uid="{E5D44DD5-4262-4164-8C6B-D8A67FB499A8}">
      <formula1>"SALDO,INGRESO,EGRESO"</formula1>
    </dataValidation>
    <dataValidation type="list" allowBlank="1" showInputMessage="1" showErrorMessage="1" sqref="D5:D229" xr:uid="{D4859EE9-E92A-4645-B8EA-AFAC960A6E2F}">
      <formula1>"R,D"</formula1>
    </dataValidation>
    <dataValidation type="list" allowBlank="1" showInputMessage="1" showErrorMessage="1" sqref="H5:H229" xr:uid="{5E22AAAA-7656-40BB-977C-38D82DD6889F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3" fitToHeight="0" orientation="landscape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BCBF-9F2E-49C7-9193-832E5C386B33}">
  <sheetPr codeName="Hoja14">
    <tabColor rgb="FFFFC000"/>
    <pageSetUpPr fitToPage="1"/>
  </sheetPr>
  <dimension ref="B2:AB454"/>
  <sheetViews>
    <sheetView showGridLines="0" topLeftCell="A377" zoomScaleNormal="100" zoomScaleSheetLayoutView="100" workbookViewId="0">
      <selection activeCell="L387" sqref="L387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5.44140625" bestFit="1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bestFit="1" customWidth="1"/>
    <col min="23" max="27" width="15.88671875" customWidth="1" outlineLevel="1"/>
    <col min="28" max="28" width="12.88671875" customWidth="1" outlineLevel="1"/>
  </cols>
  <sheetData>
    <row r="2" spans="2:28" ht="23.4" x14ac:dyDescent="0.3">
      <c r="B2" s="263" t="s">
        <v>7165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2">
        <f>IF(C_Ope_005[[#This Row],[TIPO DE R.]]="R",COUNTIFS($D$4:$D4,"R")+1,"")</f>
        <v>1</v>
      </c>
      <c r="C5" s="19" t="str">
        <f>"C_Ope_005"</f>
        <v>C_Ope_005</v>
      </c>
      <c r="D5" s="3" t="s">
        <v>1074</v>
      </c>
      <c r="E5" s="4">
        <v>45658</v>
      </c>
      <c r="F5" s="5" t="s">
        <v>7166</v>
      </c>
      <c r="G5" s="6" t="s">
        <v>1064</v>
      </c>
      <c r="H5" s="6"/>
      <c r="I5" s="6"/>
      <c r="J5" s="6"/>
      <c r="K5" s="6"/>
      <c r="L5" s="7" t="s">
        <v>1076</v>
      </c>
      <c r="M5" s="8">
        <v>22570</v>
      </c>
      <c r="N5" s="8" t="str">
        <f t="shared" ref="N5" si="0">"PEN"</f>
        <v>PEN</v>
      </c>
      <c r="O5" s="13"/>
      <c r="P5" s="9">
        <v>155.1</v>
      </c>
      <c r="Q5" s="9">
        <f t="shared" ref="Q5:Q68" si="1">+IF(OR($G5="SALDO",$G5="INGRESO"),$P5,0)</f>
        <v>155.1</v>
      </c>
      <c r="R5" s="9">
        <f t="shared" ref="R5:R68" si="2">+IF($G5="EGRESO",$P5,0)</f>
        <v>0</v>
      </c>
      <c r="S5" s="9">
        <f t="shared" ref="S5:S68" si="3">IFERROR(IF(G5="SALDO",Q5,S4+Q5-R5),0)</f>
        <v>155.1</v>
      </c>
      <c r="T5" s="24"/>
      <c r="U5" s="24"/>
      <c r="V5" s="15"/>
      <c r="W5" s="25" t="s">
        <v>6546</v>
      </c>
      <c r="X5" s="25"/>
      <c r="Y5" s="25" t="str">
        <f>IFERROR(VLOOKUP(C_Ope_005[[#This Row],[NOTA 2]],Clientes_Proveedores[[Ruc / Dni]:[Razon Social]],2,0),"")</f>
        <v/>
      </c>
      <c r="Z5" s="25"/>
      <c r="AA5" s="25">
        <f>ROUND(C_Ope_005[[#This Row],[MONTO ]]/1.18,3)</f>
        <v>131.441</v>
      </c>
      <c r="AB5" s="3" t="str">
        <f>IF(C_Ope_005[[#This Row],[FECHA]]&gt;0,TEXT(C_Ope_005[[#This Row],[FECHA]],"mmmm"),0)</f>
        <v>Enero</v>
      </c>
    </row>
    <row r="6" spans="2:28" ht="24" x14ac:dyDescent="0.3">
      <c r="B6" s="2">
        <f>IF(C_Ope_005[[#This Row],[TIPO DE R.]]="R",COUNTIFS($D$4:$D5,"R")+1,"")</f>
        <v>2</v>
      </c>
      <c r="C6" s="19" t="str">
        <f t="shared" ref="C6:C69" si="4">"C_Ope_005"</f>
        <v>C_Ope_005</v>
      </c>
      <c r="D6" s="3" t="s">
        <v>1074</v>
      </c>
      <c r="E6" s="14">
        <v>45660</v>
      </c>
      <c r="F6" s="5" t="s">
        <v>7166</v>
      </c>
      <c r="G6" s="5" t="s">
        <v>1079</v>
      </c>
      <c r="H6" s="6"/>
      <c r="I6" s="6" t="s">
        <v>14</v>
      </c>
      <c r="J6" s="6" t="s">
        <v>5245</v>
      </c>
      <c r="K6" s="6">
        <v>1640422</v>
      </c>
      <c r="L6" s="7" t="s">
        <v>7167</v>
      </c>
      <c r="M6" s="8">
        <v>22546</v>
      </c>
      <c r="N6" s="8" t="str">
        <f t="shared" ref="N6:N69" si="5">"PEN"</f>
        <v>PEN</v>
      </c>
      <c r="O6" s="13"/>
      <c r="P6" s="13">
        <v>8</v>
      </c>
      <c r="Q6" s="3">
        <f t="shared" si="1"/>
        <v>0</v>
      </c>
      <c r="R6" s="3">
        <f t="shared" si="2"/>
        <v>8</v>
      </c>
      <c r="S6" s="3">
        <f t="shared" si="3"/>
        <v>147.1</v>
      </c>
      <c r="T6" s="24"/>
      <c r="U6" s="24"/>
      <c r="V6" s="3"/>
      <c r="W6" s="25" t="s">
        <v>6546</v>
      </c>
      <c r="X6" s="25"/>
      <c r="Y6" s="25" t="str">
        <f>IFERROR(VLOOKUP(C_Ope_005[[#This Row],[NOTA 2]],Clientes_Proveedores[[Ruc / Dni]:[Razon Social]],2,0),"")</f>
        <v/>
      </c>
      <c r="Z6" s="25"/>
      <c r="AA6" s="25"/>
      <c r="AB6" s="3" t="str">
        <f>IF(C_Ope_005[[#This Row],[FECHA]]&gt;0,TEXT(C_Ope_005[[#This Row],[FECHA]],"mmmm"),0)</f>
        <v>Enero</v>
      </c>
    </row>
    <row r="7" spans="2:28" ht="24" x14ac:dyDescent="0.3">
      <c r="B7" s="2">
        <f>IF(C_Ope_005[[#This Row],[TIPO DE R.]]="R",COUNTIFS($D$4:$D6,"R")+1,"")</f>
        <v>3</v>
      </c>
      <c r="C7" s="19" t="str">
        <f t="shared" si="4"/>
        <v>C_Ope_005</v>
      </c>
      <c r="D7" s="3" t="s">
        <v>1074</v>
      </c>
      <c r="E7" s="14">
        <v>45660</v>
      </c>
      <c r="F7" s="5" t="s">
        <v>7166</v>
      </c>
      <c r="G7" s="5" t="s">
        <v>1079</v>
      </c>
      <c r="H7" s="6"/>
      <c r="I7" s="6" t="s">
        <v>14</v>
      </c>
      <c r="J7" s="6" t="s">
        <v>5243</v>
      </c>
      <c r="K7" s="6">
        <v>2183883</v>
      </c>
      <c r="L7" s="7" t="s">
        <v>7167</v>
      </c>
      <c r="M7" s="8">
        <v>22547</v>
      </c>
      <c r="N7" s="8" t="str">
        <f t="shared" si="5"/>
        <v>PEN</v>
      </c>
      <c r="O7" s="13"/>
      <c r="P7" s="13">
        <v>8</v>
      </c>
      <c r="Q7" s="3">
        <f t="shared" si="1"/>
        <v>0</v>
      </c>
      <c r="R7" s="3">
        <f t="shared" si="2"/>
        <v>8</v>
      </c>
      <c r="S7" s="3">
        <f t="shared" si="3"/>
        <v>139.1</v>
      </c>
      <c r="T7" s="24"/>
      <c r="U7" s="24"/>
      <c r="V7" s="3"/>
      <c r="W7" s="25" t="s">
        <v>6546</v>
      </c>
      <c r="X7" s="25"/>
      <c r="Y7" s="25" t="str">
        <f>IFERROR(VLOOKUP(C_Ope_005[[#This Row],[NOTA 2]],Clientes_Proveedores[[Ruc / Dni]:[Razon Social]],2,0),"")</f>
        <v/>
      </c>
      <c r="Z7" s="25"/>
      <c r="AA7" s="25"/>
      <c r="AB7" s="3" t="str">
        <f>IF(C_Ope_005[[#This Row],[FECHA]]&gt;0,TEXT(C_Ope_005[[#This Row],[FECHA]],"mmmm"),0)</f>
        <v>Enero</v>
      </c>
    </row>
    <row r="8" spans="2:28" ht="24" x14ac:dyDescent="0.3">
      <c r="B8" s="2">
        <f>IF(C_Ope_005[[#This Row],[TIPO DE R.]]="R",COUNTIFS($D$4:$D7,"R")+1,"")</f>
        <v>4</v>
      </c>
      <c r="C8" s="19" t="str">
        <f t="shared" si="4"/>
        <v>C_Ope_005</v>
      </c>
      <c r="D8" s="3" t="s">
        <v>1074</v>
      </c>
      <c r="E8" s="14">
        <v>45664</v>
      </c>
      <c r="F8" s="5" t="s">
        <v>7166</v>
      </c>
      <c r="G8" s="5" t="s">
        <v>1079</v>
      </c>
      <c r="H8" s="6"/>
      <c r="I8" s="6" t="s">
        <v>14</v>
      </c>
      <c r="J8" s="6" t="s">
        <v>5244</v>
      </c>
      <c r="K8" s="6">
        <v>2188303</v>
      </c>
      <c r="L8" s="7" t="s">
        <v>7168</v>
      </c>
      <c r="M8" s="8">
        <v>22567</v>
      </c>
      <c r="N8" s="8" t="str">
        <f t="shared" si="5"/>
        <v>PEN</v>
      </c>
      <c r="O8" s="13"/>
      <c r="P8" s="13">
        <v>8</v>
      </c>
      <c r="Q8" s="3">
        <f t="shared" si="1"/>
        <v>0</v>
      </c>
      <c r="R8" s="3">
        <f t="shared" si="2"/>
        <v>8</v>
      </c>
      <c r="S8" s="3">
        <f t="shared" si="3"/>
        <v>131.1</v>
      </c>
      <c r="T8" s="24"/>
      <c r="U8" s="24"/>
      <c r="V8" s="3"/>
      <c r="W8" s="25" t="s">
        <v>6546</v>
      </c>
      <c r="X8" s="25"/>
      <c r="Y8" s="25" t="str">
        <f>IFERROR(VLOOKUP(C_Ope_005[[#This Row],[NOTA 2]],Clientes_Proveedores[[Ruc / Dni]:[Razon Social]],2,0),"")</f>
        <v/>
      </c>
      <c r="Z8" s="25"/>
      <c r="AA8" s="25"/>
      <c r="AB8" s="3" t="str">
        <f>IF(C_Ope_005[[#This Row],[FECHA]]&gt;0,TEXT(C_Ope_005[[#This Row],[FECHA]],"mmmm"),0)</f>
        <v>Enero</v>
      </c>
    </row>
    <row r="9" spans="2:28" ht="24" x14ac:dyDescent="0.3">
      <c r="B9" s="2">
        <f>IF(C_Ope_005[[#This Row],[TIPO DE R.]]="R",COUNTIFS($D$4:$D8,"R")+1,"")</f>
        <v>5</v>
      </c>
      <c r="C9" s="19" t="str">
        <f t="shared" si="4"/>
        <v>C_Ope_005</v>
      </c>
      <c r="D9" s="3" t="s">
        <v>1074</v>
      </c>
      <c r="E9" s="14">
        <v>45664</v>
      </c>
      <c r="F9" s="5" t="s">
        <v>7166</v>
      </c>
      <c r="G9" s="5" t="s">
        <v>1079</v>
      </c>
      <c r="H9" s="6"/>
      <c r="I9" s="6" t="s">
        <v>14</v>
      </c>
      <c r="J9" s="6" t="s">
        <v>6556</v>
      </c>
      <c r="K9" s="6">
        <v>443735</v>
      </c>
      <c r="L9" s="7" t="s">
        <v>7169</v>
      </c>
      <c r="M9" s="8">
        <v>22568</v>
      </c>
      <c r="N9" s="8" t="str">
        <f t="shared" si="5"/>
        <v>PEN</v>
      </c>
      <c r="O9" s="13"/>
      <c r="P9" s="13">
        <v>8</v>
      </c>
      <c r="Q9" s="3">
        <f t="shared" si="1"/>
        <v>0</v>
      </c>
      <c r="R9" s="3">
        <f t="shared" si="2"/>
        <v>8</v>
      </c>
      <c r="S9" s="3">
        <f t="shared" si="3"/>
        <v>123.1</v>
      </c>
      <c r="T9" s="24"/>
      <c r="U9" s="24"/>
      <c r="V9" s="3"/>
      <c r="W9" s="25" t="s">
        <v>6546</v>
      </c>
      <c r="X9" s="25"/>
      <c r="Y9" s="25" t="str">
        <f>IFERROR(VLOOKUP(C_Ope_005[[#This Row],[NOTA 2]],Clientes_Proveedores[[Ruc / Dni]:[Razon Social]],2,0),"")</f>
        <v/>
      </c>
      <c r="Z9" s="25"/>
      <c r="AA9" s="25"/>
      <c r="AB9" s="3" t="str">
        <f>IF(C_Ope_005[[#This Row],[FECHA]]&gt;0,TEXT(C_Ope_005[[#This Row],[FECHA]],"mmmm"),0)</f>
        <v>Enero</v>
      </c>
    </row>
    <row r="10" spans="2:28" ht="24" x14ac:dyDescent="0.3">
      <c r="B10" s="2">
        <f>IF(C_Ope_005[[#This Row],[TIPO DE R.]]="R",COUNTIFS($D$4:$D9,"R")+1,"")</f>
        <v>6</v>
      </c>
      <c r="C10" s="19" t="str">
        <f t="shared" si="4"/>
        <v>C_Ope_005</v>
      </c>
      <c r="D10" s="3" t="s">
        <v>1074</v>
      </c>
      <c r="E10" s="14">
        <v>45664</v>
      </c>
      <c r="F10" s="5" t="s">
        <v>7166</v>
      </c>
      <c r="G10" s="5" t="s">
        <v>1079</v>
      </c>
      <c r="H10" s="6"/>
      <c r="I10" s="6" t="s">
        <v>14</v>
      </c>
      <c r="J10" s="6" t="s">
        <v>6559</v>
      </c>
      <c r="K10" s="6">
        <v>360841</v>
      </c>
      <c r="L10" s="7" t="s">
        <v>7169</v>
      </c>
      <c r="M10" s="8">
        <v>22578</v>
      </c>
      <c r="N10" s="8" t="str">
        <f t="shared" si="5"/>
        <v>PEN</v>
      </c>
      <c r="O10" s="13"/>
      <c r="P10" s="13">
        <v>8</v>
      </c>
      <c r="Q10" s="3">
        <f t="shared" si="1"/>
        <v>0</v>
      </c>
      <c r="R10" s="3">
        <f t="shared" si="2"/>
        <v>8</v>
      </c>
      <c r="S10" s="3">
        <f t="shared" si="3"/>
        <v>115.1</v>
      </c>
      <c r="T10" s="24"/>
      <c r="U10" s="24"/>
      <c r="V10" s="3"/>
      <c r="W10" s="25" t="s">
        <v>6546</v>
      </c>
      <c r="X10" s="25"/>
      <c r="Y10" s="25" t="str">
        <f>IFERROR(VLOOKUP(C_Ope_005[[#This Row],[NOTA 2]],Clientes_Proveedores[[Ruc / Dni]:[Razon Social]],2,0),"")</f>
        <v/>
      </c>
      <c r="Z10" s="25"/>
      <c r="AA10" s="25"/>
      <c r="AB10" s="3" t="str">
        <f>IF(C_Ope_005[[#This Row],[FECHA]]&gt;0,TEXT(C_Ope_005[[#This Row],[FECHA]],"mmmm"),0)</f>
        <v>Enero</v>
      </c>
    </row>
    <row r="11" spans="2:28" ht="24" x14ac:dyDescent="0.3">
      <c r="B11" s="2">
        <f>IF(C_Ope_005[[#This Row],[TIPO DE R.]]="R",COUNTIFS($D$4:$D10,"R")+1,"")</f>
        <v>7</v>
      </c>
      <c r="C11" s="19" t="str">
        <f t="shared" si="4"/>
        <v>C_Ope_005</v>
      </c>
      <c r="D11" s="3" t="s">
        <v>1074</v>
      </c>
      <c r="E11" s="14">
        <v>45664</v>
      </c>
      <c r="F11" s="5" t="s">
        <v>7166</v>
      </c>
      <c r="G11" s="5" t="s">
        <v>1079</v>
      </c>
      <c r="H11" s="6"/>
      <c r="I11" s="6" t="s">
        <v>14</v>
      </c>
      <c r="J11" s="6" t="s">
        <v>5245</v>
      </c>
      <c r="K11" s="6">
        <v>1643542</v>
      </c>
      <c r="L11" s="7" t="s">
        <v>7168</v>
      </c>
      <c r="M11" s="8">
        <v>22579</v>
      </c>
      <c r="N11" s="8" t="str">
        <f t="shared" si="5"/>
        <v>PEN</v>
      </c>
      <c r="O11" s="13"/>
      <c r="P11" s="13">
        <v>8</v>
      </c>
      <c r="Q11" s="3">
        <f t="shared" si="1"/>
        <v>0</v>
      </c>
      <c r="R11" s="3">
        <f t="shared" si="2"/>
        <v>8</v>
      </c>
      <c r="S11" s="3">
        <f t="shared" si="3"/>
        <v>107.1</v>
      </c>
      <c r="T11" s="24"/>
      <c r="U11" s="24"/>
      <c r="V11" s="3"/>
      <c r="W11" s="25" t="s">
        <v>6546</v>
      </c>
      <c r="X11" s="25"/>
      <c r="Y11" s="25" t="str">
        <f>IFERROR(VLOOKUP(C_Ope_005[[#This Row],[NOTA 2]],Clientes_Proveedores[[Ruc / Dni]:[Razon Social]],2,0),"")</f>
        <v/>
      </c>
      <c r="Z11" s="25"/>
      <c r="AA11" s="25"/>
      <c r="AB11" s="3" t="str">
        <f>IF(C_Ope_005[[#This Row],[FECHA]]&gt;0,TEXT(C_Ope_005[[#This Row],[FECHA]],"mmmm"),0)</f>
        <v>Enero</v>
      </c>
    </row>
    <row r="12" spans="2:28" ht="36" x14ac:dyDescent="0.3">
      <c r="B12" s="2">
        <f>IF(C_Ope_005[[#This Row],[TIPO DE R.]]="R",COUNTIFS($D$4:$D11,"R")+1,"")</f>
        <v>8</v>
      </c>
      <c r="C12" s="19" t="str">
        <f t="shared" si="4"/>
        <v>C_Ope_005</v>
      </c>
      <c r="D12" s="3" t="s">
        <v>1074</v>
      </c>
      <c r="E12" s="14">
        <v>45666</v>
      </c>
      <c r="F12" s="5" t="s">
        <v>7166</v>
      </c>
      <c r="G12" s="5" t="s">
        <v>1079</v>
      </c>
      <c r="H12" s="6"/>
      <c r="I12" s="6" t="s">
        <v>14</v>
      </c>
      <c r="J12" s="6" t="s">
        <v>5244</v>
      </c>
      <c r="K12" s="6">
        <v>1626503</v>
      </c>
      <c r="L12" s="7" t="s">
        <v>7170</v>
      </c>
      <c r="M12" s="8">
        <v>22603</v>
      </c>
      <c r="N12" s="8" t="str">
        <f t="shared" si="5"/>
        <v>PEN</v>
      </c>
      <c r="O12" s="13"/>
      <c r="P12" s="13">
        <v>5</v>
      </c>
      <c r="Q12" s="3">
        <f t="shared" si="1"/>
        <v>0</v>
      </c>
      <c r="R12" s="3">
        <f t="shared" si="2"/>
        <v>5</v>
      </c>
      <c r="S12" s="3">
        <f t="shared" si="3"/>
        <v>102.1</v>
      </c>
      <c r="T12" s="24"/>
      <c r="U12" s="24"/>
      <c r="V12" s="3"/>
      <c r="W12" s="25" t="s">
        <v>6541</v>
      </c>
      <c r="X12" s="25"/>
      <c r="Y12" s="25" t="str">
        <f>IFERROR(VLOOKUP(C_Ope_005[[#This Row],[NOTA 2]],Clientes_Proveedores[[Ruc / Dni]:[Razon Social]],2,0),"")</f>
        <v/>
      </c>
      <c r="Z12" s="25"/>
      <c r="AA12" s="25"/>
      <c r="AB12" s="3" t="str">
        <f>IF(C_Ope_005[[#This Row],[FECHA]]&gt;0,TEXT(C_Ope_005[[#This Row],[FECHA]],"mmmm"),0)</f>
        <v>Enero</v>
      </c>
    </row>
    <row r="13" spans="2:28" ht="36" x14ac:dyDescent="0.3">
      <c r="B13" s="2">
        <f>IF(C_Ope_005[[#This Row],[TIPO DE R.]]="R",COUNTIFS($D$4:$D12,"R")+1,"")</f>
        <v>9</v>
      </c>
      <c r="C13" s="19" t="str">
        <f t="shared" si="4"/>
        <v>C_Ope_005</v>
      </c>
      <c r="D13" s="3" t="s">
        <v>1074</v>
      </c>
      <c r="E13" s="14">
        <v>45666</v>
      </c>
      <c r="F13" s="5" t="s">
        <v>7166</v>
      </c>
      <c r="G13" s="5" t="s">
        <v>1079</v>
      </c>
      <c r="H13" s="6"/>
      <c r="I13" s="6" t="s">
        <v>14</v>
      </c>
      <c r="J13" s="6" t="s">
        <v>5242</v>
      </c>
      <c r="K13" s="6">
        <v>1922313</v>
      </c>
      <c r="L13" s="7" t="s">
        <v>7170</v>
      </c>
      <c r="M13" s="8">
        <v>22604</v>
      </c>
      <c r="N13" s="8" t="str">
        <f t="shared" si="5"/>
        <v>PEN</v>
      </c>
      <c r="O13" s="13"/>
      <c r="P13" s="13">
        <v>5</v>
      </c>
      <c r="Q13" s="3">
        <f t="shared" si="1"/>
        <v>0</v>
      </c>
      <c r="R13" s="3">
        <f t="shared" si="2"/>
        <v>5</v>
      </c>
      <c r="S13" s="3">
        <f t="shared" si="3"/>
        <v>97.1</v>
      </c>
      <c r="T13" s="24"/>
      <c r="U13" s="24"/>
      <c r="V13" s="3"/>
      <c r="W13" s="25" t="s">
        <v>6541</v>
      </c>
      <c r="X13" s="25"/>
      <c r="Y13" s="25" t="str">
        <f>IFERROR(VLOOKUP(C_Ope_005[[#This Row],[NOTA 2]],Clientes_Proveedores[[Ruc / Dni]:[Razon Social]],2,0),"")</f>
        <v/>
      </c>
      <c r="Z13" s="25"/>
      <c r="AA13" s="25"/>
      <c r="AB13" s="3" t="str">
        <f>IF(C_Ope_005[[#This Row],[FECHA]]&gt;0,TEXT(C_Ope_005[[#This Row],[FECHA]],"mmmm"),0)</f>
        <v>Enero</v>
      </c>
    </row>
    <row r="14" spans="2:28" ht="24" x14ac:dyDescent="0.3">
      <c r="B14" s="2">
        <f>IF(C_Ope_005[[#This Row],[TIPO DE R.]]="R",COUNTIFS($D$4:$D13,"R")+1,"")</f>
        <v>10</v>
      </c>
      <c r="C14" s="19" t="str">
        <f t="shared" si="4"/>
        <v>C_Ope_005</v>
      </c>
      <c r="D14" s="3" t="s">
        <v>1074</v>
      </c>
      <c r="E14" s="14">
        <v>45667</v>
      </c>
      <c r="F14" s="5" t="s">
        <v>7166</v>
      </c>
      <c r="G14" s="5" t="s">
        <v>1079</v>
      </c>
      <c r="H14" s="6"/>
      <c r="I14" s="6" t="s">
        <v>14</v>
      </c>
      <c r="J14" s="6" t="s">
        <v>5244</v>
      </c>
      <c r="K14" s="6">
        <v>1627509</v>
      </c>
      <c r="L14" s="7" t="s">
        <v>7171</v>
      </c>
      <c r="M14" s="8">
        <v>22616</v>
      </c>
      <c r="N14" s="8" t="str">
        <f t="shared" si="5"/>
        <v>PEN</v>
      </c>
      <c r="O14" s="13"/>
      <c r="P14" s="13">
        <v>8</v>
      </c>
      <c r="Q14" s="3">
        <f t="shared" si="1"/>
        <v>0</v>
      </c>
      <c r="R14" s="3">
        <f t="shared" si="2"/>
        <v>8</v>
      </c>
      <c r="S14" s="3">
        <f t="shared" si="3"/>
        <v>89.1</v>
      </c>
      <c r="T14" s="24"/>
      <c r="U14" s="24"/>
      <c r="V14" s="3"/>
      <c r="W14" s="25" t="s">
        <v>6630</v>
      </c>
      <c r="X14" s="25"/>
      <c r="Y14" s="25" t="str">
        <f>IFERROR(VLOOKUP(C_Ope_005[[#This Row],[NOTA 2]],Clientes_Proveedores[[Ruc / Dni]:[Razon Social]],2,0),"")</f>
        <v/>
      </c>
      <c r="Z14" s="25"/>
      <c r="AA14" s="25"/>
      <c r="AB14" s="3" t="str">
        <f>IF(C_Ope_005[[#This Row],[FECHA]]&gt;0,TEXT(C_Ope_005[[#This Row],[FECHA]],"mmmm"),0)</f>
        <v>Enero</v>
      </c>
    </row>
    <row r="15" spans="2:28" ht="24" x14ac:dyDescent="0.3">
      <c r="B15" s="2">
        <f>IF(C_Ope_005[[#This Row],[TIPO DE R.]]="R",COUNTIFS($D$4:$D14,"R")+1,"")</f>
        <v>11</v>
      </c>
      <c r="C15" s="19" t="str">
        <f t="shared" si="4"/>
        <v>C_Ope_005</v>
      </c>
      <c r="D15" s="3" t="s">
        <v>1074</v>
      </c>
      <c r="E15" s="14">
        <v>45667</v>
      </c>
      <c r="F15" s="5" t="s">
        <v>7166</v>
      </c>
      <c r="G15" s="5" t="s">
        <v>1079</v>
      </c>
      <c r="H15" s="6"/>
      <c r="I15" s="6" t="s">
        <v>14</v>
      </c>
      <c r="J15" s="6" t="s">
        <v>5245</v>
      </c>
      <c r="K15" s="6">
        <v>1645966</v>
      </c>
      <c r="L15" s="7" t="s">
        <v>7171</v>
      </c>
      <c r="M15" s="8">
        <v>22617</v>
      </c>
      <c r="N15" s="8" t="str">
        <f t="shared" si="5"/>
        <v>PEN</v>
      </c>
      <c r="O15" s="13"/>
      <c r="P15" s="13">
        <v>8</v>
      </c>
      <c r="Q15" s="3">
        <f t="shared" si="1"/>
        <v>0</v>
      </c>
      <c r="R15" s="3">
        <f t="shared" si="2"/>
        <v>8</v>
      </c>
      <c r="S15" s="3">
        <f t="shared" si="3"/>
        <v>81.099999999999994</v>
      </c>
      <c r="T15" s="24"/>
      <c r="U15" s="24"/>
      <c r="V15" s="3"/>
      <c r="W15" s="25" t="s">
        <v>6630</v>
      </c>
      <c r="X15" s="25"/>
      <c r="Y15" s="25" t="str">
        <f>IFERROR(VLOOKUP(C_Ope_005[[#This Row],[NOTA 2]],Clientes_Proveedores[[Ruc / Dni]:[Razon Social]],2,0),"")</f>
        <v/>
      </c>
      <c r="Z15" s="25"/>
      <c r="AA15" s="25"/>
      <c r="AB15" s="3" t="str">
        <f>IF(C_Ope_005[[#This Row],[FECHA]]&gt;0,TEXT(C_Ope_005[[#This Row],[FECHA]],"mmmm"),0)</f>
        <v>Enero</v>
      </c>
    </row>
    <row r="16" spans="2:28" ht="24" x14ac:dyDescent="0.3">
      <c r="B16" s="2">
        <f>IF(C_Ope_005[[#This Row],[TIPO DE R.]]="R",COUNTIFS($D$4:$D15,"R")+1,"")</f>
        <v>12</v>
      </c>
      <c r="C16" s="19" t="str">
        <f t="shared" si="4"/>
        <v>C_Ope_005</v>
      </c>
      <c r="D16" s="3" t="s">
        <v>1074</v>
      </c>
      <c r="E16" s="14">
        <v>45659</v>
      </c>
      <c r="F16" s="5" t="s">
        <v>7166</v>
      </c>
      <c r="G16" s="5" t="s">
        <v>1079</v>
      </c>
      <c r="H16" s="6"/>
      <c r="I16" s="6" t="s">
        <v>14</v>
      </c>
      <c r="J16" s="6" t="s">
        <v>1148</v>
      </c>
      <c r="K16" s="6">
        <v>126310</v>
      </c>
      <c r="L16" s="7" t="s">
        <v>7172</v>
      </c>
      <c r="M16" s="8">
        <v>22525</v>
      </c>
      <c r="N16" s="8" t="str">
        <f t="shared" si="5"/>
        <v>PEN</v>
      </c>
      <c r="O16" s="13"/>
      <c r="P16" s="13">
        <v>10</v>
      </c>
      <c r="Q16" s="3">
        <f t="shared" si="1"/>
        <v>0</v>
      </c>
      <c r="R16" s="3">
        <f t="shared" si="2"/>
        <v>10</v>
      </c>
      <c r="S16" s="3">
        <f t="shared" si="3"/>
        <v>71.099999999999994</v>
      </c>
      <c r="T16" s="24"/>
      <c r="U16" s="24"/>
      <c r="V16" s="3"/>
      <c r="W16" s="25" t="s">
        <v>6546</v>
      </c>
      <c r="X16" s="25"/>
      <c r="Y16" s="25" t="str">
        <f>IFERROR(VLOOKUP(C_Ope_005[[#This Row],[NOTA 2]],Clientes_Proveedores[[Ruc / Dni]:[Razon Social]],2,0),"")</f>
        <v/>
      </c>
      <c r="Z16" s="25"/>
      <c r="AA16" s="25"/>
      <c r="AB16" s="3" t="str">
        <f>IF(C_Ope_005[[#This Row],[FECHA]]&gt;0,TEXT(C_Ope_005[[#This Row],[FECHA]],"mmmm"),0)</f>
        <v>Enero</v>
      </c>
    </row>
    <row r="17" spans="2:28" x14ac:dyDescent="0.3">
      <c r="B17" s="2">
        <f>IF(C_Ope_005[[#This Row],[TIPO DE R.]]="R",COUNTIFS($D$4:$D16,"R")+1,"")</f>
        <v>13</v>
      </c>
      <c r="C17" s="19" t="str">
        <f t="shared" si="4"/>
        <v>C_Ope_005</v>
      </c>
      <c r="D17" s="3" t="s">
        <v>1074</v>
      </c>
      <c r="E17" s="14">
        <v>45659</v>
      </c>
      <c r="F17" s="5" t="s">
        <v>7166</v>
      </c>
      <c r="G17" s="5" t="s">
        <v>1079</v>
      </c>
      <c r="H17" s="6"/>
      <c r="I17" s="6" t="s">
        <v>14</v>
      </c>
      <c r="J17" s="6" t="s">
        <v>1148</v>
      </c>
      <c r="K17" s="6">
        <v>126315</v>
      </c>
      <c r="L17" s="7" t="s">
        <v>7173</v>
      </c>
      <c r="M17" s="8">
        <v>22526</v>
      </c>
      <c r="N17" s="8" t="str">
        <f t="shared" si="5"/>
        <v>PEN</v>
      </c>
      <c r="O17" s="13"/>
      <c r="P17" s="13">
        <v>10</v>
      </c>
      <c r="Q17" s="3">
        <f t="shared" si="1"/>
        <v>0</v>
      </c>
      <c r="R17" s="3">
        <f t="shared" si="2"/>
        <v>10</v>
      </c>
      <c r="S17" s="3">
        <f t="shared" si="3"/>
        <v>61.099999999999994</v>
      </c>
      <c r="T17" s="24"/>
      <c r="U17" s="24"/>
      <c r="V17" s="3"/>
      <c r="W17" s="25" t="s">
        <v>6546</v>
      </c>
      <c r="X17" s="25"/>
      <c r="Y17" s="25" t="str">
        <f>IFERROR(VLOOKUP(C_Ope_005[[#This Row],[NOTA 2]],Clientes_Proveedores[[Ruc / Dni]:[Razon Social]],2,0),"")</f>
        <v/>
      </c>
      <c r="Z17" s="25"/>
      <c r="AA17" s="25"/>
      <c r="AB17" s="3" t="str">
        <f>IF(C_Ope_005[[#This Row],[FECHA]]&gt;0,TEXT(C_Ope_005[[#This Row],[FECHA]],"mmmm"),0)</f>
        <v>Enero</v>
      </c>
    </row>
    <row r="18" spans="2:28" x14ac:dyDescent="0.3">
      <c r="B18" s="2">
        <f>IF(C_Ope_005[[#This Row],[TIPO DE R.]]="R",COUNTIFS($D$4:$D17,"R")+1,"")</f>
        <v>14</v>
      </c>
      <c r="C18" s="19" t="str">
        <f t="shared" si="4"/>
        <v>C_Ope_005</v>
      </c>
      <c r="D18" s="3" t="s">
        <v>1074</v>
      </c>
      <c r="E18" s="14">
        <v>45660</v>
      </c>
      <c r="F18" s="5" t="s">
        <v>7166</v>
      </c>
      <c r="G18" s="5" t="s">
        <v>1079</v>
      </c>
      <c r="H18" s="6"/>
      <c r="I18" s="6" t="s">
        <v>14</v>
      </c>
      <c r="J18" s="6" t="s">
        <v>1148</v>
      </c>
      <c r="K18" s="6">
        <v>126385</v>
      </c>
      <c r="L18" s="7" t="s">
        <v>7174</v>
      </c>
      <c r="M18" s="8">
        <v>22548</v>
      </c>
      <c r="N18" s="8" t="str">
        <f t="shared" si="5"/>
        <v>PEN</v>
      </c>
      <c r="O18" s="13"/>
      <c r="P18" s="13">
        <v>10</v>
      </c>
      <c r="Q18" s="3">
        <f t="shared" si="1"/>
        <v>0</v>
      </c>
      <c r="R18" s="3">
        <f t="shared" si="2"/>
        <v>10</v>
      </c>
      <c r="S18" s="3">
        <f t="shared" si="3"/>
        <v>51.099999999999994</v>
      </c>
      <c r="T18" s="24"/>
      <c r="U18" s="24"/>
      <c r="V18" s="3"/>
      <c r="W18" s="25" t="s">
        <v>6546</v>
      </c>
      <c r="X18" s="25"/>
      <c r="Y18" s="25" t="str">
        <f>IFERROR(VLOOKUP(C_Ope_005[[#This Row],[NOTA 2]],Clientes_Proveedores[[Ruc / Dni]:[Razon Social]],2,0),"")</f>
        <v/>
      </c>
      <c r="Z18" s="25"/>
      <c r="AA18" s="25"/>
      <c r="AB18" s="3" t="str">
        <f>IF(C_Ope_005[[#This Row],[FECHA]]&gt;0,TEXT(C_Ope_005[[#This Row],[FECHA]],"mmmm"),0)</f>
        <v>Enero</v>
      </c>
    </row>
    <row r="19" spans="2:28" x14ac:dyDescent="0.3">
      <c r="B19" s="2">
        <f>IF(C_Ope_005[[#This Row],[TIPO DE R.]]="R",COUNTIFS($D$4:$D18,"R")+1,"")</f>
        <v>15</v>
      </c>
      <c r="C19" s="19" t="str">
        <f t="shared" si="4"/>
        <v>C_Ope_005</v>
      </c>
      <c r="D19" s="3" t="s">
        <v>1074</v>
      </c>
      <c r="E19" s="14">
        <v>45663</v>
      </c>
      <c r="F19" s="5" t="s">
        <v>7166</v>
      </c>
      <c r="G19" s="5" t="s">
        <v>1079</v>
      </c>
      <c r="H19" s="6"/>
      <c r="I19" s="6" t="s">
        <v>14</v>
      </c>
      <c r="J19" s="6" t="s">
        <v>1148</v>
      </c>
      <c r="K19" s="6">
        <v>126477</v>
      </c>
      <c r="L19" s="7" t="s">
        <v>6550</v>
      </c>
      <c r="M19" s="8">
        <v>22555</v>
      </c>
      <c r="N19" s="8" t="str">
        <f t="shared" si="5"/>
        <v>PEN</v>
      </c>
      <c r="O19" s="13"/>
      <c r="P19" s="13">
        <v>10</v>
      </c>
      <c r="Q19" s="3">
        <f t="shared" si="1"/>
        <v>0</v>
      </c>
      <c r="R19" s="3">
        <f t="shared" si="2"/>
        <v>10</v>
      </c>
      <c r="S19" s="3">
        <f t="shared" si="3"/>
        <v>41.099999999999994</v>
      </c>
      <c r="T19" s="24"/>
      <c r="U19" s="24"/>
      <c r="V19" s="3"/>
      <c r="W19" s="25" t="s">
        <v>6813</v>
      </c>
      <c r="X19" s="25"/>
      <c r="Y19" s="25" t="str">
        <f>IFERROR(VLOOKUP(C_Ope_005[[#This Row],[NOTA 2]],Clientes_Proveedores[[Ruc / Dni]:[Razon Social]],2,0),"")</f>
        <v/>
      </c>
      <c r="Z19" s="25"/>
      <c r="AA19" s="25"/>
      <c r="AB19" s="3" t="str">
        <f>IF(C_Ope_005[[#This Row],[FECHA]]&gt;0,TEXT(C_Ope_005[[#This Row],[FECHA]],"mmmm"),0)</f>
        <v>Enero</v>
      </c>
    </row>
    <row r="20" spans="2:28" ht="24" x14ac:dyDescent="0.3">
      <c r="B20" s="2">
        <f>IF(C_Ope_005[[#This Row],[TIPO DE R.]]="R",COUNTIFS($D$4:$D19,"R")+1,"")</f>
        <v>16</v>
      </c>
      <c r="C20" s="19" t="str">
        <f t="shared" si="4"/>
        <v>C_Ope_005</v>
      </c>
      <c r="D20" s="3" t="s">
        <v>1074</v>
      </c>
      <c r="E20" s="14">
        <v>45663</v>
      </c>
      <c r="F20" s="5" t="s">
        <v>7166</v>
      </c>
      <c r="G20" s="5" t="s">
        <v>1079</v>
      </c>
      <c r="H20" s="6"/>
      <c r="I20" s="6" t="s">
        <v>14</v>
      </c>
      <c r="J20" s="6" t="s">
        <v>1148</v>
      </c>
      <c r="K20" s="6">
        <v>126507</v>
      </c>
      <c r="L20" s="7" t="s">
        <v>7175</v>
      </c>
      <c r="M20" s="8">
        <v>22556</v>
      </c>
      <c r="N20" s="8" t="str">
        <f t="shared" si="5"/>
        <v>PEN</v>
      </c>
      <c r="O20" s="13"/>
      <c r="P20" s="13">
        <v>10</v>
      </c>
      <c r="Q20" s="3">
        <f t="shared" si="1"/>
        <v>0</v>
      </c>
      <c r="R20" s="3">
        <f t="shared" si="2"/>
        <v>10</v>
      </c>
      <c r="S20" s="3">
        <f t="shared" si="3"/>
        <v>31.099999999999994</v>
      </c>
      <c r="T20" s="24"/>
      <c r="U20" s="24"/>
      <c r="V20" s="3"/>
      <c r="W20" s="25" t="s">
        <v>6546</v>
      </c>
      <c r="X20" s="25"/>
      <c r="Y20" s="25" t="str">
        <f>IFERROR(VLOOKUP(C_Ope_005[[#This Row],[NOTA 2]],Clientes_Proveedores[[Ruc / Dni]:[Razon Social]],2,0),"")</f>
        <v/>
      </c>
      <c r="Z20" s="25"/>
      <c r="AA20" s="25"/>
      <c r="AB20" s="3" t="str">
        <f>IF(C_Ope_005[[#This Row],[FECHA]]&gt;0,TEXT(C_Ope_005[[#This Row],[FECHA]],"mmmm"),0)</f>
        <v>Enero</v>
      </c>
    </row>
    <row r="21" spans="2:28" x14ac:dyDescent="0.3">
      <c r="B21" s="2">
        <f>IF(C_Ope_005[[#This Row],[TIPO DE R.]]="R",COUNTIFS($D$4:$D20,"R")+1,"")</f>
        <v>17</v>
      </c>
      <c r="C21" s="19" t="str">
        <f t="shared" si="4"/>
        <v>C_Ope_005</v>
      </c>
      <c r="D21" s="3" t="s">
        <v>1074</v>
      </c>
      <c r="E21" s="14">
        <v>45663</v>
      </c>
      <c r="F21" s="5" t="s">
        <v>7166</v>
      </c>
      <c r="G21" s="5" t="s">
        <v>1079</v>
      </c>
      <c r="H21" s="6"/>
      <c r="I21" s="6" t="s">
        <v>14</v>
      </c>
      <c r="J21" s="6" t="s">
        <v>6561</v>
      </c>
      <c r="K21" s="6">
        <v>4869</v>
      </c>
      <c r="L21" s="7" t="s">
        <v>6562</v>
      </c>
      <c r="M21" s="8">
        <v>22557</v>
      </c>
      <c r="N21" s="8" t="str">
        <f t="shared" si="5"/>
        <v>PEN</v>
      </c>
      <c r="O21" s="13"/>
      <c r="P21" s="13">
        <v>10</v>
      </c>
      <c r="Q21" s="3">
        <f t="shared" si="1"/>
        <v>0</v>
      </c>
      <c r="R21" s="3">
        <f t="shared" si="2"/>
        <v>10</v>
      </c>
      <c r="S21" s="3">
        <f t="shared" si="3"/>
        <v>21.099999999999994</v>
      </c>
      <c r="T21" s="24"/>
      <c r="U21" s="24"/>
      <c r="V21" s="3"/>
      <c r="W21" s="25" t="s">
        <v>6546</v>
      </c>
      <c r="X21" s="25"/>
      <c r="Y21" s="25" t="str">
        <f>IFERROR(VLOOKUP(C_Ope_005[[#This Row],[NOTA 2]],Clientes_Proveedores[[Ruc / Dni]:[Razon Social]],2,0),"")</f>
        <v/>
      </c>
      <c r="Z21" s="25"/>
      <c r="AA21" s="25"/>
      <c r="AB21" s="3" t="str">
        <f>IF(C_Ope_005[[#This Row],[FECHA]]&gt;0,TEXT(C_Ope_005[[#This Row],[FECHA]],"mmmm"),0)</f>
        <v>Enero</v>
      </c>
    </row>
    <row r="22" spans="2:28" x14ac:dyDescent="0.3">
      <c r="B22" s="2">
        <f>IF(C_Ope_005[[#This Row],[TIPO DE R.]]="R",COUNTIFS($D$4:$D21,"R")+1,"")</f>
        <v>18</v>
      </c>
      <c r="C22" s="19" t="str">
        <f t="shared" si="4"/>
        <v>C_Ope_005</v>
      </c>
      <c r="D22" s="3" t="s">
        <v>1074</v>
      </c>
      <c r="E22" s="14">
        <v>45663</v>
      </c>
      <c r="F22" s="5" t="s">
        <v>7166</v>
      </c>
      <c r="G22" s="5" t="s">
        <v>1079</v>
      </c>
      <c r="H22" s="6"/>
      <c r="I22" s="6" t="s">
        <v>14</v>
      </c>
      <c r="J22" s="6" t="s">
        <v>6561</v>
      </c>
      <c r="K22" s="6">
        <v>4879</v>
      </c>
      <c r="L22" s="7" t="s">
        <v>7176</v>
      </c>
      <c r="M22" s="8">
        <v>22558</v>
      </c>
      <c r="N22" s="8" t="str">
        <f t="shared" si="5"/>
        <v>PEN</v>
      </c>
      <c r="O22" s="13"/>
      <c r="P22" s="13">
        <v>10</v>
      </c>
      <c r="Q22" s="3">
        <f t="shared" si="1"/>
        <v>0</v>
      </c>
      <c r="R22" s="3">
        <f t="shared" si="2"/>
        <v>10</v>
      </c>
      <c r="S22" s="3">
        <f t="shared" si="3"/>
        <v>11.099999999999994</v>
      </c>
      <c r="T22" s="24"/>
      <c r="U22" s="24"/>
      <c r="V22" s="3"/>
      <c r="W22" s="25" t="s">
        <v>6546</v>
      </c>
      <c r="X22" s="25"/>
      <c r="Y22" s="25" t="str">
        <f>IFERROR(VLOOKUP(C_Ope_005[[#This Row],[NOTA 2]],Clientes_Proveedores[[Ruc / Dni]:[Razon Social]],2,0),"")</f>
        <v/>
      </c>
      <c r="Z22" s="25"/>
      <c r="AA22" s="25"/>
      <c r="AB22" s="3" t="str">
        <f>IF(C_Ope_005[[#This Row],[FECHA]]&gt;0,TEXT(C_Ope_005[[#This Row],[FECHA]],"mmmm"),0)</f>
        <v>Enero</v>
      </c>
    </row>
    <row r="23" spans="2:28" ht="24" x14ac:dyDescent="0.3">
      <c r="B23" s="2">
        <f>IF(C_Ope_005[[#This Row],[TIPO DE R.]]="R",COUNTIFS($D$4:$D22,"R")+1,"")</f>
        <v>19</v>
      </c>
      <c r="C23" s="19" t="str">
        <f t="shared" si="4"/>
        <v>C_Ope_005</v>
      </c>
      <c r="D23" s="3" t="s">
        <v>1074</v>
      </c>
      <c r="E23" s="14">
        <v>45664</v>
      </c>
      <c r="F23" s="5" t="s">
        <v>7166</v>
      </c>
      <c r="G23" s="5" t="s">
        <v>1079</v>
      </c>
      <c r="H23" s="6"/>
      <c r="I23" s="6" t="s">
        <v>14</v>
      </c>
      <c r="J23" s="6" t="s">
        <v>1119</v>
      </c>
      <c r="K23" s="6">
        <v>16590</v>
      </c>
      <c r="L23" s="7" t="s">
        <v>7177</v>
      </c>
      <c r="M23" s="8">
        <v>22569</v>
      </c>
      <c r="N23" s="8" t="str">
        <f t="shared" si="5"/>
        <v>PEN</v>
      </c>
      <c r="O23" s="13"/>
      <c r="P23" s="13">
        <v>11</v>
      </c>
      <c r="Q23" s="3">
        <f t="shared" si="1"/>
        <v>0</v>
      </c>
      <c r="R23" s="3">
        <f t="shared" si="2"/>
        <v>11</v>
      </c>
      <c r="S23" s="3">
        <f t="shared" si="3"/>
        <v>9.9999999999994316E-2</v>
      </c>
      <c r="T23" s="24"/>
      <c r="U23" s="24"/>
      <c r="V23" s="3"/>
      <c r="W23" s="25" t="s">
        <v>6546</v>
      </c>
      <c r="X23" s="25"/>
      <c r="Y23" s="25" t="str">
        <f>IFERROR(VLOOKUP(C_Ope_005[[#This Row],[NOTA 2]],Clientes_Proveedores[[Ruc / Dni]:[Razon Social]],2,0),"")</f>
        <v/>
      </c>
      <c r="Z23" s="25"/>
      <c r="AA23" s="25"/>
      <c r="AB23" s="3" t="str">
        <f>IF(C_Ope_005[[#This Row],[FECHA]]&gt;0,TEXT(C_Ope_005[[#This Row],[FECHA]],"mmmm"),0)</f>
        <v>Enero</v>
      </c>
    </row>
    <row r="24" spans="2:28" ht="24" x14ac:dyDescent="0.3">
      <c r="B24" s="2">
        <f>IF(C_Ope_005[[#This Row],[TIPO DE R.]]="R",COUNTIFS($D$4:$D23,"R")+1,"")</f>
        <v>20</v>
      </c>
      <c r="C24" s="19" t="str">
        <f t="shared" si="4"/>
        <v>C_Ope_005</v>
      </c>
      <c r="D24" s="3" t="s">
        <v>1074</v>
      </c>
      <c r="E24" s="14">
        <v>45664</v>
      </c>
      <c r="F24" s="5" t="s">
        <v>7166</v>
      </c>
      <c r="G24" s="5" t="s">
        <v>1079</v>
      </c>
      <c r="H24" s="6"/>
      <c r="I24" s="6" t="s">
        <v>14</v>
      </c>
      <c r="J24" s="6" t="s">
        <v>1119</v>
      </c>
      <c r="K24" s="6">
        <v>16596</v>
      </c>
      <c r="L24" s="7" t="s">
        <v>7178</v>
      </c>
      <c r="M24" s="8">
        <v>22580</v>
      </c>
      <c r="N24" s="8" t="str">
        <f t="shared" si="5"/>
        <v>PEN</v>
      </c>
      <c r="O24" s="13"/>
      <c r="P24" s="13">
        <v>11</v>
      </c>
      <c r="Q24" s="3">
        <f t="shared" si="1"/>
        <v>0</v>
      </c>
      <c r="R24" s="3">
        <f t="shared" si="2"/>
        <v>11</v>
      </c>
      <c r="S24" s="3">
        <f t="shared" si="3"/>
        <v>-10.900000000000006</v>
      </c>
      <c r="T24" s="24"/>
      <c r="U24" s="24"/>
      <c r="V24" s="3"/>
      <c r="W24" s="25" t="s">
        <v>6546</v>
      </c>
      <c r="X24" s="25"/>
      <c r="Y24" s="25" t="str">
        <f>IFERROR(VLOOKUP(C_Ope_005[[#This Row],[NOTA 2]],Clientes_Proveedores[[Ruc / Dni]:[Razon Social]],2,0),"")</f>
        <v/>
      </c>
      <c r="Z24" s="25"/>
      <c r="AA24" s="25"/>
      <c r="AB24" s="3" t="str">
        <f>IF(C_Ope_005[[#This Row],[FECHA]]&gt;0,TEXT(C_Ope_005[[#This Row],[FECHA]],"mmmm"),0)</f>
        <v>Enero</v>
      </c>
    </row>
    <row r="25" spans="2:28" x14ac:dyDescent="0.3">
      <c r="B25" s="2">
        <f>IF(C_Ope_005[[#This Row],[TIPO DE R.]]="R",COUNTIFS($D$4:$D24,"R")+1,"")</f>
        <v>21</v>
      </c>
      <c r="C25" s="19" t="str">
        <f t="shared" si="4"/>
        <v>C_Ope_005</v>
      </c>
      <c r="D25" s="3" t="s">
        <v>1074</v>
      </c>
      <c r="E25" s="14">
        <v>45665</v>
      </c>
      <c r="F25" s="5" t="s">
        <v>7166</v>
      </c>
      <c r="G25" s="5" t="s">
        <v>1079</v>
      </c>
      <c r="H25" s="6"/>
      <c r="I25" s="6" t="s">
        <v>14</v>
      </c>
      <c r="J25" s="6" t="s">
        <v>1148</v>
      </c>
      <c r="K25" s="6">
        <v>126595</v>
      </c>
      <c r="L25" s="7" t="s">
        <v>7179</v>
      </c>
      <c r="M25" s="8">
        <v>22588</v>
      </c>
      <c r="N25" s="8" t="str">
        <f t="shared" si="5"/>
        <v>PEN</v>
      </c>
      <c r="O25" s="13"/>
      <c r="P25" s="13">
        <v>10</v>
      </c>
      <c r="Q25" s="3">
        <f t="shared" si="1"/>
        <v>0</v>
      </c>
      <c r="R25" s="3">
        <f t="shared" si="2"/>
        <v>10</v>
      </c>
      <c r="S25" s="3">
        <f t="shared" si="3"/>
        <v>-20.900000000000006</v>
      </c>
      <c r="T25" s="24"/>
      <c r="U25" s="24"/>
      <c r="V25" s="3"/>
      <c r="W25" s="25" t="s">
        <v>6546</v>
      </c>
      <c r="X25" s="25"/>
      <c r="Y25" s="25" t="str">
        <f>IFERROR(VLOOKUP(C_Ope_005[[#This Row],[NOTA 2]],Clientes_Proveedores[[Ruc / Dni]:[Razon Social]],2,0),"")</f>
        <v/>
      </c>
      <c r="Z25" s="25"/>
      <c r="AA25" s="25"/>
      <c r="AB25" s="3" t="str">
        <f>IF(C_Ope_005[[#This Row],[FECHA]]&gt;0,TEXT(C_Ope_005[[#This Row],[FECHA]],"mmmm"),0)</f>
        <v>Enero</v>
      </c>
    </row>
    <row r="26" spans="2:28" x14ac:dyDescent="0.3">
      <c r="B26" s="2">
        <f>IF(C_Ope_005[[#This Row],[TIPO DE R.]]="R",COUNTIFS($D$4:$D25,"R")+1,"")</f>
        <v>22</v>
      </c>
      <c r="C26" s="19" t="str">
        <f t="shared" si="4"/>
        <v>C_Ope_005</v>
      </c>
      <c r="D26" s="3" t="s">
        <v>1074</v>
      </c>
      <c r="E26" s="14">
        <v>45670</v>
      </c>
      <c r="F26" s="5" t="s">
        <v>6299</v>
      </c>
      <c r="G26" s="5" t="s">
        <v>1087</v>
      </c>
      <c r="H26" s="6"/>
      <c r="I26" s="6"/>
      <c r="J26" s="6"/>
      <c r="K26" s="6"/>
      <c r="L26" s="7" t="s">
        <v>6302</v>
      </c>
      <c r="M26" s="8">
        <v>22621</v>
      </c>
      <c r="N26" s="8" t="str">
        <f t="shared" si="5"/>
        <v>PEN</v>
      </c>
      <c r="O26" s="13"/>
      <c r="P26" s="13">
        <v>220</v>
      </c>
      <c r="Q26" s="3">
        <f t="shared" si="1"/>
        <v>220</v>
      </c>
      <c r="R26" s="3">
        <f t="shared" si="2"/>
        <v>0</v>
      </c>
      <c r="S26" s="3">
        <f t="shared" si="3"/>
        <v>199.1</v>
      </c>
      <c r="T26" s="24"/>
      <c r="U26" s="24"/>
      <c r="V26" s="3"/>
      <c r="W26" s="25"/>
      <c r="X26" s="25"/>
      <c r="Y26" s="25" t="str">
        <f>IFERROR(VLOOKUP(C_Ope_005[[#This Row],[NOTA 2]],Clientes_Proveedores[[Ruc / Dni]:[Razon Social]],2,0),"")</f>
        <v/>
      </c>
      <c r="Z26" s="25"/>
      <c r="AA26" s="25">
        <f>ROUND(C_Ope_005[[#This Row],[MONTO ]]/1.18,3)</f>
        <v>186.441</v>
      </c>
      <c r="AB26" s="3" t="str">
        <f>IF(C_Ope_005[[#This Row],[FECHA]]&gt;0,TEXT(C_Ope_005[[#This Row],[FECHA]],"mmmm"),0)</f>
        <v>Enero</v>
      </c>
    </row>
    <row r="27" spans="2:28" x14ac:dyDescent="0.3">
      <c r="B27" s="2">
        <f>IF(C_Ope_005[[#This Row],[TIPO DE R.]]="R",COUNTIFS($D$4:$D26,"R")+1,"")</f>
        <v>23</v>
      </c>
      <c r="C27" s="19" t="str">
        <f t="shared" si="4"/>
        <v>C_Ope_005</v>
      </c>
      <c r="D27" s="3" t="s">
        <v>1074</v>
      </c>
      <c r="E27" s="14">
        <v>45671</v>
      </c>
      <c r="F27" s="5" t="s">
        <v>6299</v>
      </c>
      <c r="G27" s="5" t="s">
        <v>1087</v>
      </c>
      <c r="H27" s="6"/>
      <c r="I27" s="6"/>
      <c r="J27" s="6"/>
      <c r="K27" s="6"/>
      <c r="L27" s="7" t="s">
        <v>7180</v>
      </c>
      <c r="M27" s="8">
        <v>22647</v>
      </c>
      <c r="N27" s="8" t="str">
        <f t="shared" si="5"/>
        <v>PEN</v>
      </c>
      <c r="O27" s="13"/>
      <c r="P27" s="13">
        <v>700</v>
      </c>
      <c r="Q27" s="3">
        <f t="shared" si="1"/>
        <v>700</v>
      </c>
      <c r="R27" s="3">
        <f t="shared" si="2"/>
        <v>0</v>
      </c>
      <c r="S27" s="3">
        <f t="shared" si="3"/>
        <v>899.1</v>
      </c>
      <c r="T27" s="24"/>
      <c r="U27" s="24"/>
      <c r="V27" s="3"/>
      <c r="W27" s="25"/>
      <c r="X27" s="25"/>
      <c r="Y27" s="25" t="str">
        <f>IFERROR(VLOOKUP(C_Ope_005[[#This Row],[NOTA 2]],Clientes_Proveedores[[Ruc / Dni]:[Razon Social]],2,0),"")</f>
        <v/>
      </c>
      <c r="Z27" s="25"/>
      <c r="AA27" s="25">
        <f>ROUND(C_Ope_005[[#This Row],[MONTO ]]/1.18,3)</f>
        <v>593.22</v>
      </c>
      <c r="AB27" s="3" t="str">
        <f>IF(C_Ope_005[[#This Row],[FECHA]]&gt;0,TEXT(C_Ope_005[[#This Row],[FECHA]],"mmmm"),0)</f>
        <v>Enero</v>
      </c>
    </row>
    <row r="28" spans="2:28" x14ac:dyDescent="0.3">
      <c r="B28" s="2">
        <f>IF(C_Ope_005[[#This Row],[TIPO DE R.]]="R",COUNTIFS($D$4:$D27,"R")+1,"")</f>
        <v>24</v>
      </c>
      <c r="C28" s="19" t="str">
        <f t="shared" si="4"/>
        <v>C_Ope_005</v>
      </c>
      <c r="D28" s="3" t="s">
        <v>1074</v>
      </c>
      <c r="E28" s="14">
        <v>45673</v>
      </c>
      <c r="F28" s="5" t="s">
        <v>7166</v>
      </c>
      <c r="G28" s="5" t="s">
        <v>1079</v>
      </c>
      <c r="H28" s="6"/>
      <c r="I28" s="6" t="s">
        <v>14</v>
      </c>
      <c r="J28" s="6" t="s">
        <v>1119</v>
      </c>
      <c r="K28" s="6">
        <v>42932</v>
      </c>
      <c r="L28" s="7" t="s">
        <v>7181</v>
      </c>
      <c r="M28" s="8">
        <v>22681</v>
      </c>
      <c r="N28" s="8" t="str">
        <f t="shared" si="5"/>
        <v>PEN</v>
      </c>
      <c r="O28" s="13"/>
      <c r="P28" s="13">
        <v>150</v>
      </c>
      <c r="Q28" s="3">
        <f t="shared" si="1"/>
        <v>0</v>
      </c>
      <c r="R28" s="3">
        <f t="shared" si="2"/>
        <v>150</v>
      </c>
      <c r="S28" s="3">
        <f t="shared" si="3"/>
        <v>749.1</v>
      </c>
      <c r="T28" s="24"/>
      <c r="U28" s="24"/>
      <c r="V28" s="3"/>
      <c r="W28" s="25" t="s">
        <v>6546</v>
      </c>
      <c r="X28" s="25"/>
      <c r="Y28" s="25" t="str">
        <f>IFERROR(VLOOKUP(C_Ope_005[[#This Row],[NOTA 2]],Clientes_Proveedores[[Ruc / Dni]:[Razon Social]],2,0),"")</f>
        <v/>
      </c>
      <c r="Z28" s="25"/>
      <c r="AA28" s="25"/>
      <c r="AB28" s="3" t="str">
        <f>IF(C_Ope_005[[#This Row],[FECHA]]&gt;0,TEXT(C_Ope_005[[#This Row],[FECHA]],"mmmm"),0)</f>
        <v>Enero</v>
      </c>
    </row>
    <row r="29" spans="2:28" ht="36" x14ac:dyDescent="0.3">
      <c r="B29" s="2">
        <f>IF(C_Ope_005[[#This Row],[TIPO DE R.]]="R",COUNTIFS($D$4:$D28,"R")+1,"")</f>
        <v>25</v>
      </c>
      <c r="C29" s="19" t="str">
        <f t="shared" si="4"/>
        <v>C_Ope_005</v>
      </c>
      <c r="D29" s="3" t="s">
        <v>1074</v>
      </c>
      <c r="E29" s="14">
        <v>45670</v>
      </c>
      <c r="F29" s="5" t="s">
        <v>7166</v>
      </c>
      <c r="G29" s="5" t="s">
        <v>1079</v>
      </c>
      <c r="H29" s="6"/>
      <c r="I29" s="6" t="s">
        <v>14</v>
      </c>
      <c r="J29" s="6" t="s">
        <v>5243</v>
      </c>
      <c r="K29" s="6">
        <v>2194926</v>
      </c>
      <c r="L29" s="7" t="s">
        <v>7182</v>
      </c>
      <c r="M29" s="8">
        <v>22619</v>
      </c>
      <c r="N29" s="8" t="str">
        <f t="shared" si="5"/>
        <v>PEN</v>
      </c>
      <c r="O29" s="13"/>
      <c r="P29" s="13">
        <v>8</v>
      </c>
      <c r="Q29" s="3">
        <f t="shared" si="1"/>
        <v>0</v>
      </c>
      <c r="R29" s="3">
        <f t="shared" si="2"/>
        <v>8</v>
      </c>
      <c r="S29" s="3">
        <f t="shared" si="3"/>
        <v>741.1</v>
      </c>
      <c r="T29" s="24"/>
      <c r="U29" s="24"/>
      <c r="V29" s="3"/>
      <c r="W29" s="25" t="s">
        <v>6546</v>
      </c>
      <c r="X29" s="25"/>
      <c r="Y29" s="25" t="str">
        <f>IFERROR(VLOOKUP(C_Ope_005[[#This Row],[NOTA 2]],Clientes_Proveedores[[Ruc / Dni]:[Razon Social]],2,0),"")</f>
        <v/>
      </c>
      <c r="Z29" s="25"/>
      <c r="AA29" s="25"/>
      <c r="AB29" s="3" t="str">
        <f>IF(C_Ope_005[[#This Row],[FECHA]]&gt;0,TEXT(C_Ope_005[[#This Row],[FECHA]],"mmmm"),0)</f>
        <v>Enero</v>
      </c>
    </row>
    <row r="30" spans="2:28" ht="36" x14ac:dyDescent="0.3">
      <c r="B30" s="2">
        <f>IF(C_Ope_005[[#This Row],[TIPO DE R.]]="R",COUNTIFS($D$4:$D29,"R")+1,"")</f>
        <v>26</v>
      </c>
      <c r="C30" s="19" t="str">
        <f t="shared" si="4"/>
        <v>C_Ope_005</v>
      </c>
      <c r="D30" s="3" t="s">
        <v>1074</v>
      </c>
      <c r="E30" s="14">
        <v>45670</v>
      </c>
      <c r="F30" s="5" t="s">
        <v>7166</v>
      </c>
      <c r="G30" s="5" t="s">
        <v>1079</v>
      </c>
      <c r="H30" s="6"/>
      <c r="I30" s="6" t="s">
        <v>14</v>
      </c>
      <c r="J30" s="6" t="s">
        <v>5242</v>
      </c>
      <c r="K30" s="6">
        <v>1926388</v>
      </c>
      <c r="L30" s="7" t="s">
        <v>7182</v>
      </c>
      <c r="M30" s="8">
        <v>22625</v>
      </c>
      <c r="N30" s="8" t="str">
        <f t="shared" si="5"/>
        <v>PEN</v>
      </c>
      <c r="O30" s="13"/>
      <c r="P30" s="13">
        <v>8</v>
      </c>
      <c r="Q30" s="3">
        <f t="shared" si="1"/>
        <v>0</v>
      </c>
      <c r="R30" s="3">
        <f t="shared" si="2"/>
        <v>8</v>
      </c>
      <c r="S30" s="3">
        <f t="shared" si="3"/>
        <v>733.1</v>
      </c>
      <c r="T30" s="24"/>
      <c r="U30" s="24"/>
      <c r="V30" s="3"/>
      <c r="W30" s="25" t="s">
        <v>6546</v>
      </c>
      <c r="X30" s="25"/>
      <c r="Y30" s="25" t="str">
        <f>IFERROR(VLOOKUP(C_Ope_005[[#This Row],[NOTA 2]],Clientes_Proveedores[[Ruc / Dni]:[Razon Social]],2,0),"")</f>
        <v/>
      </c>
      <c r="Z30" s="25"/>
      <c r="AA30" s="25"/>
      <c r="AB30" s="3" t="str">
        <f>IF(C_Ope_005[[#This Row],[FECHA]]&gt;0,TEXT(C_Ope_005[[#This Row],[FECHA]],"mmmm"),0)</f>
        <v>Enero</v>
      </c>
    </row>
    <row r="31" spans="2:28" ht="24" x14ac:dyDescent="0.3">
      <c r="B31" s="2">
        <f>IF(C_Ope_005[[#This Row],[TIPO DE R.]]="R",COUNTIFS($D$4:$D30,"R")+1,"")</f>
        <v>27</v>
      </c>
      <c r="C31" s="19" t="str">
        <f t="shared" si="4"/>
        <v>C_Ope_005</v>
      </c>
      <c r="D31" s="3" t="s">
        <v>1074</v>
      </c>
      <c r="E31" s="14">
        <v>45671</v>
      </c>
      <c r="F31" s="5" t="s">
        <v>7166</v>
      </c>
      <c r="G31" s="5" t="s">
        <v>1079</v>
      </c>
      <c r="H31" s="6"/>
      <c r="I31" s="6" t="s">
        <v>14</v>
      </c>
      <c r="J31" s="6" t="s">
        <v>7183</v>
      </c>
      <c r="K31" s="6">
        <v>1686581</v>
      </c>
      <c r="L31" s="7" t="s">
        <v>7184</v>
      </c>
      <c r="M31" s="8">
        <v>22648</v>
      </c>
      <c r="N31" s="8" t="str">
        <f t="shared" si="5"/>
        <v>PEN</v>
      </c>
      <c r="O31" s="13"/>
      <c r="P31" s="13">
        <v>7.7</v>
      </c>
      <c r="Q31" s="3">
        <f t="shared" si="1"/>
        <v>0</v>
      </c>
      <c r="R31" s="3">
        <f t="shared" si="2"/>
        <v>7.7</v>
      </c>
      <c r="S31" s="3">
        <f t="shared" si="3"/>
        <v>725.4</v>
      </c>
      <c r="T31" s="24"/>
      <c r="U31" s="24"/>
      <c r="V31" s="3"/>
      <c r="W31" s="25" t="s">
        <v>6546</v>
      </c>
      <c r="X31" s="25"/>
      <c r="Y31" s="25" t="str">
        <f>IFERROR(VLOOKUP(C_Ope_005[[#This Row],[NOTA 2]],Clientes_Proveedores[[Ruc / Dni]:[Razon Social]],2,0),"")</f>
        <v/>
      </c>
      <c r="Z31" s="25"/>
      <c r="AA31" s="25"/>
      <c r="AB31" s="3" t="str">
        <f>IF(C_Ope_005[[#This Row],[FECHA]]&gt;0,TEXT(C_Ope_005[[#This Row],[FECHA]],"mmmm"),0)</f>
        <v>Enero</v>
      </c>
    </row>
    <row r="32" spans="2:28" ht="24" x14ac:dyDescent="0.3">
      <c r="B32" s="2">
        <f>IF(C_Ope_005[[#This Row],[TIPO DE R.]]="R",COUNTIFS($D$4:$D31,"R")+1,"")</f>
        <v>28</v>
      </c>
      <c r="C32" s="19" t="str">
        <f t="shared" si="4"/>
        <v>C_Ope_005</v>
      </c>
      <c r="D32" s="3" t="s">
        <v>1074</v>
      </c>
      <c r="E32" s="14">
        <v>45672</v>
      </c>
      <c r="F32" s="5" t="s">
        <v>7166</v>
      </c>
      <c r="G32" s="5" t="s">
        <v>1079</v>
      </c>
      <c r="H32" s="6"/>
      <c r="I32" s="6" t="s">
        <v>14</v>
      </c>
      <c r="J32" s="6" t="s">
        <v>7185</v>
      </c>
      <c r="K32" s="6">
        <v>581920</v>
      </c>
      <c r="L32" s="7" t="s">
        <v>7186</v>
      </c>
      <c r="M32" s="8">
        <v>22658</v>
      </c>
      <c r="N32" s="8" t="str">
        <f t="shared" si="5"/>
        <v>PEN</v>
      </c>
      <c r="O32" s="13"/>
      <c r="P32" s="13">
        <v>7.7</v>
      </c>
      <c r="Q32" s="3">
        <f t="shared" si="1"/>
        <v>0</v>
      </c>
      <c r="R32" s="3">
        <f t="shared" si="2"/>
        <v>7.7</v>
      </c>
      <c r="S32" s="3">
        <f t="shared" si="3"/>
        <v>717.69999999999993</v>
      </c>
      <c r="T32" s="24"/>
      <c r="U32" s="24"/>
      <c r="V32" s="3"/>
      <c r="W32" s="25" t="s">
        <v>6546</v>
      </c>
      <c r="X32" s="25"/>
      <c r="Y32" s="25" t="str">
        <f>IFERROR(VLOOKUP(C_Ope_005[[#This Row],[NOTA 2]],Clientes_Proveedores[[Ruc / Dni]:[Razon Social]],2,0),"")</f>
        <v/>
      </c>
      <c r="Z32" s="25"/>
      <c r="AA32" s="25"/>
      <c r="AB32" s="3" t="str">
        <f>IF(C_Ope_005[[#This Row],[FECHA]]&gt;0,TEXT(C_Ope_005[[#This Row],[FECHA]],"mmmm"),0)</f>
        <v>Enero</v>
      </c>
    </row>
    <row r="33" spans="2:28" ht="24" x14ac:dyDescent="0.3">
      <c r="B33" s="2">
        <f>IF(C_Ope_005[[#This Row],[TIPO DE R.]]="R",COUNTIFS($D$4:$D32,"R")+1,"")</f>
        <v>29</v>
      </c>
      <c r="C33" s="19" t="str">
        <f t="shared" si="4"/>
        <v>C_Ope_005</v>
      </c>
      <c r="D33" s="3" t="s">
        <v>1074</v>
      </c>
      <c r="E33" s="14">
        <v>45673</v>
      </c>
      <c r="F33" s="5" t="s">
        <v>7166</v>
      </c>
      <c r="G33" s="5" t="s">
        <v>1079</v>
      </c>
      <c r="H33" s="6"/>
      <c r="I33" s="6" t="s">
        <v>14</v>
      </c>
      <c r="J33" s="6" t="s">
        <v>7187</v>
      </c>
      <c r="K33" s="6">
        <v>589312</v>
      </c>
      <c r="L33" s="7" t="s">
        <v>7186</v>
      </c>
      <c r="M33" s="8">
        <v>22680</v>
      </c>
      <c r="N33" s="8" t="str">
        <f t="shared" si="5"/>
        <v>PEN</v>
      </c>
      <c r="O33" s="13"/>
      <c r="P33" s="13">
        <v>7.7</v>
      </c>
      <c r="Q33" s="3">
        <f t="shared" si="1"/>
        <v>0</v>
      </c>
      <c r="R33" s="3">
        <f t="shared" si="2"/>
        <v>7.7</v>
      </c>
      <c r="S33" s="3">
        <f t="shared" si="3"/>
        <v>709.99999999999989</v>
      </c>
      <c r="T33" s="24"/>
      <c r="U33" s="24"/>
      <c r="V33" s="3"/>
      <c r="W33" s="25" t="s">
        <v>6546</v>
      </c>
      <c r="X33" s="25"/>
      <c r="Y33" s="25" t="str">
        <f>IFERROR(VLOOKUP(C_Ope_005[[#This Row],[NOTA 2]],Clientes_Proveedores[[Ruc / Dni]:[Razon Social]],2,0),"")</f>
        <v/>
      </c>
      <c r="Z33" s="25"/>
      <c r="AA33" s="25"/>
      <c r="AB33" s="3" t="str">
        <f>IF(C_Ope_005[[#This Row],[FECHA]]&gt;0,TEXT(C_Ope_005[[#This Row],[FECHA]],"mmmm"),0)</f>
        <v>Enero</v>
      </c>
    </row>
    <row r="34" spans="2:28" ht="24" x14ac:dyDescent="0.3">
      <c r="B34" s="2">
        <f>IF(C_Ope_005[[#This Row],[TIPO DE R.]]="R",COUNTIFS($D$4:$D33,"R")+1,"")</f>
        <v>30</v>
      </c>
      <c r="C34" s="19" t="str">
        <f t="shared" si="4"/>
        <v>C_Ope_005</v>
      </c>
      <c r="D34" s="3" t="s">
        <v>1074</v>
      </c>
      <c r="E34" s="14">
        <v>45674</v>
      </c>
      <c r="F34" s="5" t="s">
        <v>7166</v>
      </c>
      <c r="G34" s="5" t="s">
        <v>1079</v>
      </c>
      <c r="H34" s="6"/>
      <c r="I34" s="6" t="s">
        <v>14</v>
      </c>
      <c r="J34" s="6" t="s">
        <v>7188</v>
      </c>
      <c r="K34" s="6">
        <v>1729114</v>
      </c>
      <c r="L34" s="7" t="s">
        <v>7184</v>
      </c>
      <c r="M34" s="8">
        <v>22716</v>
      </c>
      <c r="N34" s="8" t="str">
        <f t="shared" si="5"/>
        <v>PEN</v>
      </c>
      <c r="O34" s="13"/>
      <c r="P34" s="13">
        <v>7.7</v>
      </c>
      <c r="Q34" s="3">
        <f t="shared" si="1"/>
        <v>0</v>
      </c>
      <c r="R34" s="3">
        <f t="shared" si="2"/>
        <v>7.7</v>
      </c>
      <c r="S34" s="3">
        <f t="shared" si="3"/>
        <v>702.29999999999984</v>
      </c>
      <c r="T34" s="24"/>
      <c r="U34" s="24"/>
      <c r="V34" s="3"/>
      <c r="W34" s="25" t="s">
        <v>6546</v>
      </c>
      <c r="X34" s="25"/>
      <c r="Y34" s="25" t="str">
        <f>IFERROR(VLOOKUP(C_Ope_005[[#This Row],[NOTA 2]],Clientes_Proveedores[[Ruc / Dni]:[Razon Social]],2,0),"")</f>
        <v/>
      </c>
      <c r="Z34" s="25"/>
      <c r="AA34" s="25"/>
      <c r="AB34" s="3" t="str">
        <f>IF(C_Ope_005[[#This Row],[FECHA]]&gt;0,TEXT(C_Ope_005[[#This Row],[FECHA]],"mmmm"),0)</f>
        <v>Enero</v>
      </c>
    </row>
    <row r="35" spans="2:28" ht="24" x14ac:dyDescent="0.3">
      <c r="B35" s="2">
        <f>IF(C_Ope_005[[#This Row],[TIPO DE R.]]="R",COUNTIFS($D$4:$D34,"R")+1,"")</f>
        <v>31</v>
      </c>
      <c r="C35" s="19" t="str">
        <f t="shared" si="4"/>
        <v>C_Ope_005</v>
      </c>
      <c r="D35" s="3" t="s">
        <v>1074</v>
      </c>
      <c r="E35" s="14">
        <v>45670</v>
      </c>
      <c r="F35" s="5" t="s">
        <v>7166</v>
      </c>
      <c r="G35" s="5" t="s">
        <v>1079</v>
      </c>
      <c r="H35" s="6"/>
      <c r="I35" s="6" t="s">
        <v>14</v>
      </c>
      <c r="J35" s="6" t="s">
        <v>1097</v>
      </c>
      <c r="K35" s="6">
        <v>15327</v>
      </c>
      <c r="L35" s="7" t="s">
        <v>7189</v>
      </c>
      <c r="M35" s="8">
        <v>22620</v>
      </c>
      <c r="N35" s="8" t="str">
        <f t="shared" si="5"/>
        <v>PEN</v>
      </c>
      <c r="O35" s="13"/>
      <c r="P35" s="13">
        <v>20</v>
      </c>
      <c r="Q35" s="3">
        <f t="shared" si="1"/>
        <v>0</v>
      </c>
      <c r="R35" s="3">
        <f t="shared" si="2"/>
        <v>20</v>
      </c>
      <c r="S35" s="3">
        <f t="shared" si="3"/>
        <v>682.29999999999984</v>
      </c>
      <c r="T35" s="24"/>
      <c r="U35" s="24"/>
      <c r="V35" s="3"/>
      <c r="W35" s="25" t="s">
        <v>6546</v>
      </c>
      <c r="X35" s="25"/>
      <c r="Y35" s="25" t="str">
        <f>IFERROR(VLOOKUP(C_Ope_005[[#This Row],[NOTA 2]],Clientes_Proveedores[[Ruc / Dni]:[Razon Social]],2,0),"")</f>
        <v/>
      </c>
      <c r="Z35" s="25"/>
      <c r="AA35" s="25"/>
      <c r="AB35" s="3" t="str">
        <f>IF(C_Ope_005[[#This Row],[FECHA]]&gt;0,TEXT(C_Ope_005[[#This Row],[FECHA]],"mmmm"),0)</f>
        <v>Enero</v>
      </c>
    </row>
    <row r="36" spans="2:28" x14ac:dyDescent="0.3">
      <c r="B36" s="2">
        <f>IF(C_Ope_005[[#This Row],[TIPO DE R.]]="R",COUNTIFS($D$4:$D35,"R")+1,"")</f>
        <v>32</v>
      </c>
      <c r="C36" s="19" t="str">
        <f t="shared" si="4"/>
        <v>C_Ope_005</v>
      </c>
      <c r="D36" s="3" t="s">
        <v>1074</v>
      </c>
      <c r="E36" s="14">
        <v>45671</v>
      </c>
      <c r="F36" s="5" t="s">
        <v>7166</v>
      </c>
      <c r="G36" s="5" t="s">
        <v>1079</v>
      </c>
      <c r="H36" s="6"/>
      <c r="I36" s="6" t="s">
        <v>14</v>
      </c>
      <c r="J36" s="6" t="s">
        <v>1148</v>
      </c>
      <c r="K36" s="6">
        <v>126894</v>
      </c>
      <c r="L36" s="7" t="s">
        <v>7190</v>
      </c>
      <c r="M36" s="8">
        <v>22641</v>
      </c>
      <c r="N36" s="8" t="str">
        <f t="shared" si="5"/>
        <v>PEN</v>
      </c>
      <c r="O36" s="13"/>
      <c r="P36" s="13">
        <v>10</v>
      </c>
      <c r="Q36" s="3">
        <f t="shared" si="1"/>
        <v>0</v>
      </c>
      <c r="R36" s="3">
        <f t="shared" si="2"/>
        <v>10</v>
      </c>
      <c r="S36" s="3">
        <f t="shared" si="3"/>
        <v>672.29999999999984</v>
      </c>
      <c r="T36" s="24"/>
      <c r="U36" s="24"/>
      <c r="V36" s="3"/>
      <c r="W36" s="25" t="s">
        <v>6546</v>
      </c>
      <c r="X36" s="25"/>
      <c r="Y36" s="25" t="str">
        <f>IFERROR(VLOOKUP(C_Ope_005[[#This Row],[NOTA 2]],Clientes_Proveedores[[Ruc / Dni]:[Razon Social]],2,0),"")</f>
        <v/>
      </c>
      <c r="Z36" s="25"/>
      <c r="AA36" s="25"/>
      <c r="AB36" s="3" t="str">
        <f>IF(C_Ope_005[[#This Row],[FECHA]]&gt;0,TEXT(C_Ope_005[[#This Row],[FECHA]],"mmmm"),0)</f>
        <v>Enero</v>
      </c>
    </row>
    <row r="37" spans="2:28" x14ac:dyDescent="0.3">
      <c r="B37" s="2">
        <f>IF(C_Ope_005[[#This Row],[TIPO DE R.]]="R",COUNTIFS($D$4:$D36,"R")+1,"")</f>
        <v>33</v>
      </c>
      <c r="C37" s="19" t="str">
        <f t="shared" si="4"/>
        <v>C_Ope_005</v>
      </c>
      <c r="D37" s="3" t="s">
        <v>1074</v>
      </c>
      <c r="E37" s="14">
        <v>45670</v>
      </c>
      <c r="F37" s="5" t="s">
        <v>7166</v>
      </c>
      <c r="G37" s="5" t="s">
        <v>1079</v>
      </c>
      <c r="H37" s="6"/>
      <c r="I37" s="6" t="s">
        <v>14</v>
      </c>
      <c r="J37" s="6" t="s">
        <v>1119</v>
      </c>
      <c r="K37" s="6">
        <v>15916</v>
      </c>
      <c r="L37" s="7" t="s">
        <v>6565</v>
      </c>
      <c r="M37" s="8">
        <v>22626</v>
      </c>
      <c r="N37" s="8" t="str">
        <f t="shared" si="5"/>
        <v>PEN</v>
      </c>
      <c r="O37" s="13"/>
      <c r="P37" s="13">
        <v>25</v>
      </c>
      <c r="Q37" s="3">
        <f t="shared" si="1"/>
        <v>0</v>
      </c>
      <c r="R37" s="3">
        <f t="shared" si="2"/>
        <v>25</v>
      </c>
      <c r="S37" s="3">
        <f t="shared" si="3"/>
        <v>647.29999999999984</v>
      </c>
      <c r="T37" s="24"/>
      <c r="U37" s="24"/>
      <c r="V37" s="3"/>
      <c r="W37" s="25" t="s">
        <v>6546</v>
      </c>
      <c r="X37" s="25"/>
      <c r="Y37" s="25" t="str">
        <f>IFERROR(VLOOKUP(C_Ope_005[[#This Row],[NOTA 2]],Clientes_Proveedores[[Ruc / Dni]:[Razon Social]],2,0),"")</f>
        <v/>
      </c>
      <c r="Z37" s="25"/>
      <c r="AA37" s="25"/>
      <c r="AB37" s="3" t="str">
        <f>IF(C_Ope_005[[#This Row],[FECHA]]&gt;0,TEXT(C_Ope_005[[#This Row],[FECHA]],"mmmm"),0)</f>
        <v>Enero</v>
      </c>
    </row>
    <row r="38" spans="2:28" x14ac:dyDescent="0.3">
      <c r="B38" s="2">
        <f>IF(C_Ope_005[[#This Row],[TIPO DE R.]]="R",COUNTIFS($D$4:$D37,"R")+1,"")</f>
        <v>34</v>
      </c>
      <c r="C38" s="19" t="str">
        <f t="shared" si="4"/>
        <v>C_Ope_005</v>
      </c>
      <c r="D38" s="3" t="s">
        <v>1074</v>
      </c>
      <c r="E38" s="14">
        <v>45671</v>
      </c>
      <c r="F38" s="5" t="s">
        <v>7166</v>
      </c>
      <c r="G38" s="5" t="s">
        <v>1079</v>
      </c>
      <c r="H38" s="6"/>
      <c r="I38" s="6" t="s">
        <v>21</v>
      </c>
      <c r="J38" s="6">
        <v>1</v>
      </c>
      <c r="K38" s="6">
        <v>70</v>
      </c>
      <c r="L38" s="7" t="s">
        <v>7191</v>
      </c>
      <c r="M38" s="8">
        <v>22649</v>
      </c>
      <c r="N38" s="8" t="str">
        <f t="shared" si="5"/>
        <v>PEN</v>
      </c>
      <c r="O38" s="13"/>
      <c r="P38" s="13">
        <v>100</v>
      </c>
      <c r="Q38" s="3">
        <f t="shared" si="1"/>
        <v>0</v>
      </c>
      <c r="R38" s="3">
        <f t="shared" si="2"/>
        <v>100</v>
      </c>
      <c r="S38" s="3">
        <f t="shared" si="3"/>
        <v>547.29999999999984</v>
      </c>
      <c r="T38" s="24"/>
      <c r="U38" s="24"/>
      <c r="V38" s="3"/>
      <c r="W38" s="25" t="s">
        <v>6546</v>
      </c>
      <c r="X38" s="25"/>
      <c r="Y38" s="25" t="str">
        <f>IFERROR(VLOOKUP(C_Ope_005[[#This Row],[NOTA 2]],Clientes_Proveedores[[Ruc / Dni]:[Razon Social]],2,0),"")</f>
        <v/>
      </c>
      <c r="Z38" s="25"/>
      <c r="AA38" s="25"/>
      <c r="AB38" s="3" t="str">
        <f>IF(C_Ope_005[[#This Row],[FECHA]]&gt;0,TEXT(C_Ope_005[[#This Row],[FECHA]],"mmmm"),0)</f>
        <v>Enero</v>
      </c>
    </row>
    <row r="39" spans="2:28" x14ac:dyDescent="0.3">
      <c r="B39" s="2">
        <f>IF(C_Ope_005[[#This Row],[TIPO DE R.]]="R",COUNTIFS($D$4:$D38,"R")+1,"")</f>
        <v>35</v>
      </c>
      <c r="C39" s="19" t="str">
        <f t="shared" si="4"/>
        <v>C_Ope_005</v>
      </c>
      <c r="D39" s="3" t="s">
        <v>1074</v>
      </c>
      <c r="E39" s="14">
        <v>45671</v>
      </c>
      <c r="F39" s="5" t="s">
        <v>7166</v>
      </c>
      <c r="G39" s="5" t="s">
        <v>1079</v>
      </c>
      <c r="H39" s="6"/>
      <c r="I39" s="6"/>
      <c r="J39" s="6"/>
      <c r="K39" s="6"/>
      <c r="L39" s="7" t="s">
        <v>7192</v>
      </c>
      <c r="M39" s="8">
        <v>22650</v>
      </c>
      <c r="N39" s="8" t="str">
        <f t="shared" si="5"/>
        <v>PEN</v>
      </c>
      <c r="O39" s="13"/>
      <c r="P39" s="13">
        <v>15</v>
      </c>
      <c r="Q39" s="3">
        <f t="shared" si="1"/>
        <v>0</v>
      </c>
      <c r="R39" s="3">
        <f t="shared" si="2"/>
        <v>15</v>
      </c>
      <c r="S39" s="3">
        <f t="shared" si="3"/>
        <v>532.29999999999984</v>
      </c>
      <c r="T39" s="24"/>
      <c r="U39" s="24"/>
      <c r="V39" s="3"/>
      <c r="W39" s="25" t="s">
        <v>6546</v>
      </c>
      <c r="X39" s="25"/>
      <c r="Y39" s="25" t="str">
        <f>IFERROR(VLOOKUP(C_Ope_005[[#This Row],[NOTA 2]],Clientes_Proveedores[[Ruc / Dni]:[Razon Social]],2,0),"")</f>
        <v/>
      </c>
      <c r="Z39" s="25"/>
      <c r="AA39" s="25"/>
      <c r="AB39" s="3" t="str">
        <f>IF(C_Ope_005[[#This Row],[FECHA]]&gt;0,TEXT(C_Ope_005[[#This Row],[FECHA]],"mmmm"),0)</f>
        <v>Enero</v>
      </c>
    </row>
    <row r="40" spans="2:28" x14ac:dyDescent="0.3">
      <c r="B40" s="2">
        <f>IF(C_Ope_005[[#This Row],[TIPO DE R.]]="R",COUNTIFS($D$4:$D39,"R")+1,"")</f>
        <v>36</v>
      </c>
      <c r="C40" s="19" t="str">
        <f t="shared" si="4"/>
        <v>C_Ope_005</v>
      </c>
      <c r="D40" s="3" t="s">
        <v>1074</v>
      </c>
      <c r="E40" s="14">
        <v>45671</v>
      </c>
      <c r="F40" s="5" t="s">
        <v>7166</v>
      </c>
      <c r="G40" s="5" t="s">
        <v>1079</v>
      </c>
      <c r="H40" s="6"/>
      <c r="I40" s="6"/>
      <c r="J40" s="6"/>
      <c r="K40" s="6"/>
      <c r="L40" s="7" t="s">
        <v>6903</v>
      </c>
      <c r="M40" s="8">
        <v>22651</v>
      </c>
      <c r="N40" s="8" t="str">
        <f t="shared" si="5"/>
        <v>PEN</v>
      </c>
      <c r="O40" s="13"/>
      <c r="P40" s="13">
        <v>24</v>
      </c>
      <c r="Q40" s="3">
        <f t="shared" si="1"/>
        <v>0</v>
      </c>
      <c r="R40" s="3">
        <f t="shared" si="2"/>
        <v>24</v>
      </c>
      <c r="S40" s="3">
        <f t="shared" si="3"/>
        <v>508.29999999999984</v>
      </c>
      <c r="T40" s="24"/>
      <c r="U40" s="24"/>
      <c r="V40" s="3"/>
      <c r="W40" s="25" t="s">
        <v>6546</v>
      </c>
      <c r="X40" s="25"/>
      <c r="Y40" s="25" t="str">
        <f>IFERROR(VLOOKUP(C_Ope_005[[#This Row],[NOTA 2]],Clientes_Proveedores[[Ruc / Dni]:[Razon Social]],2,0),"")</f>
        <v/>
      </c>
      <c r="Z40" s="25"/>
      <c r="AA40" s="25"/>
      <c r="AB40" s="3" t="str">
        <f>IF(C_Ope_005[[#This Row],[FECHA]]&gt;0,TEXT(C_Ope_005[[#This Row],[FECHA]],"mmmm"),0)</f>
        <v>Enero</v>
      </c>
    </row>
    <row r="41" spans="2:28" x14ac:dyDescent="0.3">
      <c r="B41" s="2">
        <f>IF(C_Ope_005[[#This Row],[TIPO DE R.]]="R",COUNTIFS($D$4:$D40,"R")+1,"")</f>
        <v>37</v>
      </c>
      <c r="C41" s="19" t="str">
        <f t="shared" si="4"/>
        <v>C_Ope_005</v>
      </c>
      <c r="D41" s="3" t="s">
        <v>1074</v>
      </c>
      <c r="E41" s="14">
        <v>45672</v>
      </c>
      <c r="F41" s="5" t="s">
        <v>7166</v>
      </c>
      <c r="G41" s="5" t="s">
        <v>1079</v>
      </c>
      <c r="H41" s="6"/>
      <c r="I41" s="6"/>
      <c r="J41" s="6"/>
      <c r="K41" s="6"/>
      <c r="L41" s="7" t="s">
        <v>6897</v>
      </c>
      <c r="M41" s="8">
        <v>22659</v>
      </c>
      <c r="N41" s="8" t="str">
        <f t="shared" si="5"/>
        <v>PEN</v>
      </c>
      <c r="O41" s="13"/>
      <c r="P41" s="13">
        <v>24</v>
      </c>
      <c r="Q41" s="3">
        <f t="shared" si="1"/>
        <v>0</v>
      </c>
      <c r="R41" s="3">
        <f t="shared" si="2"/>
        <v>24</v>
      </c>
      <c r="S41" s="3">
        <f t="shared" si="3"/>
        <v>484.29999999999984</v>
      </c>
      <c r="T41" s="24"/>
      <c r="U41" s="24"/>
      <c r="V41" s="3"/>
      <c r="W41" s="25" t="s">
        <v>6546</v>
      </c>
      <c r="X41" s="25"/>
      <c r="Y41" s="25" t="str">
        <f>IFERROR(VLOOKUP(C_Ope_005[[#This Row],[NOTA 2]],Clientes_Proveedores[[Ruc / Dni]:[Razon Social]],2,0),"")</f>
        <v/>
      </c>
      <c r="Z41" s="25"/>
      <c r="AA41" s="25"/>
      <c r="AB41" s="3" t="str">
        <f>IF(C_Ope_005[[#This Row],[FECHA]]&gt;0,TEXT(C_Ope_005[[#This Row],[FECHA]],"mmmm"),0)</f>
        <v>Enero</v>
      </c>
    </row>
    <row r="42" spans="2:28" x14ac:dyDescent="0.3">
      <c r="B42" s="2">
        <f>IF(C_Ope_005[[#This Row],[TIPO DE R.]]="R",COUNTIFS($D$4:$D41,"R")+1,"")</f>
        <v>38</v>
      </c>
      <c r="C42" s="19" t="str">
        <f t="shared" si="4"/>
        <v>C_Ope_005</v>
      </c>
      <c r="D42" s="3" t="s">
        <v>1074</v>
      </c>
      <c r="E42" s="14">
        <v>45672</v>
      </c>
      <c r="F42" s="5" t="s">
        <v>7166</v>
      </c>
      <c r="G42" s="5" t="s">
        <v>1079</v>
      </c>
      <c r="H42" s="6"/>
      <c r="I42" s="6"/>
      <c r="J42" s="6"/>
      <c r="K42" s="6"/>
      <c r="L42" s="7" t="s">
        <v>6889</v>
      </c>
      <c r="M42" s="8">
        <v>22660</v>
      </c>
      <c r="N42" s="8" t="str">
        <f t="shared" si="5"/>
        <v>PEN</v>
      </c>
      <c r="O42" s="13"/>
      <c r="P42" s="13">
        <v>30</v>
      </c>
      <c r="Q42" s="3">
        <f t="shared" si="1"/>
        <v>0</v>
      </c>
      <c r="R42" s="3">
        <f t="shared" si="2"/>
        <v>30</v>
      </c>
      <c r="S42" s="3">
        <f t="shared" si="3"/>
        <v>454.29999999999984</v>
      </c>
      <c r="T42" s="24"/>
      <c r="U42" s="24"/>
      <c r="V42" s="3"/>
      <c r="W42" s="25" t="s">
        <v>6546</v>
      </c>
      <c r="X42" s="25"/>
      <c r="Y42" s="25" t="str">
        <f>IFERROR(VLOOKUP(C_Ope_005[[#This Row],[NOTA 2]],Clientes_Proveedores[[Ruc / Dni]:[Razon Social]],2,0),"")</f>
        <v/>
      </c>
      <c r="Z42" s="25"/>
      <c r="AA42" s="25"/>
      <c r="AB42" s="3" t="str">
        <f>IF(C_Ope_005[[#This Row],[FECHA]]&gt;0,TEXT(C_Ope_005[[#This Row],[FECHA]],"mmmm"),0)</f>
        <v>Enero</v>
      </c>
    </row>
    <row r="43" spans="2:28" x14ac:dyDescent="0.3">
      <c r="B43" s="2">
        <f>IF(C_Ope_005[[#This Row],[TIPO DE R.]]="R",COUNTIFS($D$4:$D42,"R")+1,"")</f>
        <v>39</v>
      </c>
      <c r="C43" s="19" t="str">
        <f t="shared" si="4"/>
        <v>C_Ope_005</v>
      </c>
      <c r="D43" s="3" t="s">
        <v>1074</v>
      </c>
      <c r="E43" s="14">
        <v>45672</v>
      </c>
      <c r="F43" s="5" t="s">
        <v>7166</v>
      </c>
      <c r="G43" s="5" t="s">
        <v>1079</v>
      </c>
      <c r="H43" s="6"/>
      <c r="I43" s="6"/>
      <c r="J43" s="6"/>
      <c r="K43" s="6"/>
      <c r="L43" s="7" t="s">
        <v>6903</v>
      </c>
      <c r="M43" s="8">
        <v>22661</v>
      </c>
      <c r="N43" s="8" t="str">
        <f t="shared" si="5"/>
        <v>PEN</v>
      </c>
      <c r="O43" s="13"/>
      <c r="P43" s="13">
        <v>24</v>
      </c>
      <c r="Q43" s="3">
        <f t="shared" si="1"/>
        <v>0</v>
      </c>
      <c r="R43" s="3">
        <f t="shared" si="2"/>
        <v>24</v>
      </c>
      <c r="S43" s="3">
        <f t="shared" si="3"/>
        <v>430.29999999999984</v>
      </c>
      <c r="T43" s="24"/>
      <c r="U43" s="24"/>
      <c r="V43" s="3"/>
      <c r="W43" s="25" t="s">
        <v>6546</v>
      </c>
      <c r="X43" s="25"/>
      <c r="Y43" s="25" t="str">
        <f>IFERROR(VLOOKUP(C_Ope_005[[#This Row],[NOTA 2]],Clientes_Proveedores[[Ruc / Dni]:[Razon Social]],2,0),"")</f>
        <v/>
      </c>
      <c r="Z43" s="25"/>
      <c r="AA43" s="25"/>
      <c r="AB43" s="3" t="str">
        <f>IF(C_Ope_005[[#This Row],[FECHA]]&gt;0,TEXT(C_Ope_005[[#This Row],[FECHA]],"mmmm"),0)</f>
        <v>Enero</v>
      </c>
    </row>
    <row r="44" spans="2:28" x14ac:dyDescent="0.3">
      <c r="B44" s="2">
        <f>IF(C_Ope_005[[#This Row],[TIPO DE R.]]="R",COUNTIFS($D$4:$D43,"R")+1,"")</f>
        <v>40</v>
      </c>
      <c r="C44" s="19" t="str">
        <f t="shared" si="4"/>
        <v>C_Ope_005</v>
      </c>
      <c r="D44" s="3" t="s">
        <v>1074</v>
      </c>
      <c r="E44" s="14">
        <v>45672</v>
      </c>
      <c r="F44" s="5" t="s">
        <v>7166</v>
      </c>
      <c r="G44" s="5" t="s">
        <v>1079</v>
      </c>
      <c r="H44" s="6"/>
      <c r="I44" s="6"/>
      <c r="J44" s="6"/>
      <c r="K44" s="6"/>
      <c r="L44" s="7" t="s">
        <v>7193</v>
      </c>
      <c r="M44" s="8">
        <v>22662</v>
      </c>
      <c r="N44" s="8" t="str">
        <f t="shared" si="5"/>
        <v>PEN</v>
      </c>
      <c r="O44" s="13"/>
      <c r="P44" s="13">
        <v>100</v>
      </c>
      <c r="Q44" s="3">
        <f t="shared" si="1"/>
        <v>0</v>
      </c>
      <c r="R44" s="3">
        <f t="shared" si="2"/>
        <v>100</v>
      </c>
      <c r="S44" s="3">
        <f t="shared" si="3"/>
        <v>330.29999999999984</v>
      </c>
      <c r="T44" s="24"/>
      <c r="U44" s="24"/>
      <c r="V44" s="3"/>
      <c r="W44" s="25" t="s">
        <v>6546</v>
      </c>
      <c r="X44" s="25"/>
      <c r="Y44" s="25" t="str">
        <f>IFERROR(VLOOKUP(C_Ope_005[[#This Row],[NOTA 2]],Clientes_Proveedores[[Ruc / Dni]:[Razon Social]],2,0),"")</f>
        <v/>
      </c>
      <c r="Z44" s="25"/>
      <c r="AA44" s="25"/>
      <c r="AB44" s="3" t="str">
        <f>IF(C_Ope_005[[#This Row],[FECHA]]&gt;0,TEXT(C_Ope_005[[#This Row],[FECHA]],"mmmm"),0)</f>
        <v>Enero</v>
      </c>
    </row>
    <row r="45" spans="2:28" x14ac:dyDescent="0.3">
      <c r="B45" s="2">
        <f>IF(C_Ope_005[[#This Row],[TIPO DE R.]]="R",COUNTIFS($D$4:$D44,"R")+1,"")</f>
        <v>41</v>
      </c>
      <c r="C45" s="19" t="str">
        <f t="shared" si="4"/>
        <v>C_Ope_005</v>
      </c>
      <c r="D45" s="3" t="s">
        <v>1074</v>
      </c>
      <c r="E45" s="14">
        <v>45673</v>
      </c>
      <c r="F45" s="5" t="s">
        <v>7166</v>
      </c>
      <c r="G45" s="5" t="s">
        <v>1079</v>
      </c>
      <c r="H45" s="6"/>
      <c r="I45" s="6"/>
      <c r="J45" s="6"/>
      <c r="K45" s="6"/>
      <c r="L45" s="7" t="s">
        <v>6897</v>
      </c>
      <c r="M45" s="8">
        <v>22682</v>
      </c>
      <c r="N45" s="8" t="str">
        <f t="shared" si="5"/>
        <v>PEN</v>
      </c>
      <c r="O45" s="13"/>
      <c r="P45" s="13">
        <v>24</v>
      </c>
      <c r="Q45" s="3">
        <f t="shared" si="1"/>
        <v>0</v>
      </c>
      <c r="R45" s="3">
        <f t="shared" si="2"/>
        <v>24</v>
      </c>
      <c r="S45" s="3">
        <f t="shared" si="3"/>
        <v>306.29999999999984</v>
      </c>
      <c r="T45" s="24"/>
      <c r="U45" s="24"/>
      <c r="V45" s="3"/>
      <c r="W45" s="25" t="s">
        <v>6546</v>
      </c>
      <c r="X45" s="25"/>
      <c r="Y45" s="25" t="str">
        <f>IFERROR(VLOOKUP(C_Ope_005[[#This Row],[NOTA 2]],Clientes_Proveedores[[Ruc / Dni]:[Razon Social]],2,0),"")</f>
        <v/>
      </c>
      <c r="Z45" s="25"/>
      <c r="AA45" s="25"/>
      <c r="AB45" s="3" t="str">
        <f>IF(C_Ope_005[[#This Row],[FECHA]]&gt;0,TEXT(C_Ope_005[[#This Row],[FECHA]],"mmmm"),0)</f>
        <v>Enero</v>
      </c>
    </row>
    <row r="46" spans="2:28" x14ac:dyDescent="0.3">
      <c r="B46" s="2">
        <f>IF(C_Ope_005[[#This Row],[TIPO DE R.]]="R",COUNTIFS($D$4:$D45,"R")+1,"")</f>
        <v>42</v>
      </c>
      <c r="C46" s="19" t="str">
        <f t="shared" si="4"/>
        <v>C_Ope_005</v>
      </c>
      <c r="D46" s="3" t="s">
        <v>1074</v>
      </c>
      <c r="E46" s="14">
        <v>45673</v>
      </c>
      <c r="F46" s="5" t="s">
        <v>7166</v>
      </c>
      <c r="G46" s="5" t="s">
        <v>1079</v>
      </c>
      <c r="H46" s="6"/>
      <c r="I46" s="6"/>
      <c r="J46" s="6"/>
      <c r="K46" s="6"/>
      <c r="L46" s="7" t="s">
        <v>6889</v>
      </c>
      <c r="M46" s="8">
        <v>22683</v>
      </c>
      <c r="N46" s="8" t="str">
        <f t="shared" si="5"/>
        <v>PEN</v>
      </c>
      <c r="O46" s="13"/>
      <c r="P46" s="13">
        <v>30</v>
      </c>
      <c r="Q46" s="3">
        <f t="shared" si="1"/>
        <v>0</v>
      </c>
      <c r="R46" s="3">
        <f t="shared" si="2"/>
        <v>30</v>
      </c>
      <c r="S46" s="3">
        <f t="shared" si="3"/>
        <v>276.29999999999984</v>
      </c>
      <c r="T46" s="24"/>
      <c r="U46" s="24"/>
      <c r="V46" s="3"/>
      <c r="W46" s="25" t="s">
        <v>6546</v>
      </c>
      <c r="X46" s="25"/>
      <c r="Y46" s="25" t="str">
        <f>IFERROR(VLOOKUP(C_Ope_005[[#This Row],[NOTA 2]],Clientes_Proveedores[[Ruc / Dni]:[Razon Social]],2,0),"")</f>
        <v/>
      </c>
      <c r="Z46" s="25"/>
      <c r="AA46" s="25"/>
      <c r="AB46" s="3" t="str">
        <f>IF(C_Ope_005[[#This Row],[FECHA]]&gt;0,TEXT(C_Ope_005[[#This Row],[FECHA]],"mmmm"),0)</f>
        <v>Enero</v>
      </c>
    </row>
    <row r="47" spans="2:28" x14ac:dyDescent="0.3">
      <c r="B47" s="2">
        <f>IF(C_Ope_005[[#This Row],[TIPO DE R.]]="R",COUNTIFS($D$4:$D46,"R")+1,"")</f>
        <v>43</v>
      </c>
      <c r="C47" s="19" t="str">
        <f t="shared" si="4"/>
        <v>C_Ope_005</v>
      </c>
      <c r="D47" s="3" t="s">
        <v>1074</v>
      </c>
      <c r="E47" s="14">
        <v>45673</v>
      </c>
      <c r="F47" s="5" t="s">
        <v>7166</v>
      </c>
      <c r="G47" s="5" t="s">
        <v>1079</v>
      </c>
      <c r="H47" s="6"/>
      <c r="I47" s="6"/>
      <c r="J47" s="6"/>
      <c r="K47" s="6"/>
      <c r="L47" s="7" t="s">
        <v>6903</v>
      </c>
      <c r="M47" s="8">
        <v>22684</v>
      </c>
      <c r="N47" s="8" t="str">
        <f t="shared" si="5"/>
        <v>PEN</v>
      </c>
      <c r="O47" s="13"/>
      <c r="P47" s="13">
        <v>24</v>
      </c>
      <c r="Q47" s="3">
        <f t="shared" si="1"/>
        <v>0</v>
      </c>
      <c r="R47" s="3">
        <f t="shared" si="2"/>
        <v>24</v>
      </c>
      <c r="S47" s="3">
        <f t="shared" si="3"/>
        <v>252.29999999999984</v>
      </c>
      <c r="T47" s="24"/>
      <c r="U47" s="24"/>
      <c r="V47" s="3"/>
      <c r="W47" s="25" t="s">
        <v>6546</v>
      </c>
      <c r="X47" s="25"/>
      <c r="Y47" s="25" t="str">
        <f>IFERROR(VLOOKUP(C_Ope_005[[#This Row],[NOTA 2]],Clientes_Proveedores[[Ruc / Dni]:[Razon Social]],2,0),"")</f>
        <v/>
      </c>
      <c r="Z47" s="25"/>
      <c r="AA47" s="25"/>
      <c r="AB47" s="3" t="str">
        <f>IF(C_Ope_005[[#This Row],[FECHA]]&gt;0,TEXT(C_Ope_005[[#This Row],[FECHA]],"mmmm"),0)</f>
        <v>Enero</v>
      </c>
    </row>
    <row r="48" spans="2:28" x14ac:dyDescent="0.3">
      <c r="B48" s="2">
        <f>IF(C_Ope_005[[#This Row],[TIPO DE R.]]="R",COUNTIFS($D$4:$D47,"R")+1,"")</f>
        <v>44</v>
      </c>
      <c r="C48" s="19" t="str">
        <f t="shared" si="4"/>
        <v>C_Ope_005</v>
      </c>
      <c r="D48" s="3" t="s">
        <v>1074</v>
      </c>
      <c r="E48" s="14">
        <v>45673</v>
      </c>
      <c r="F48" s="5" t="s">
        <v>7166</v>
      </c>
      <c r="G48" s="5" t="s">
        <v>1079</v>
      </c>
      <c r="H48" s="6"/>
      <c r="I48" s="6"/>
      <c r="J48" s="6"/>
      <c r="K48" s="6"/>
      <c r="L48" s="7" t="s">
        <v>7194</v>
      </c>
      <c r="M48" s="8">
        <v>22685</v>
      </c>
      <c r="N48" s="8" t="str">
        <f t="shared" si="5"/>
        <v>PEN</v>
      </c>
      <c r="O48" s="13"/>
      <c r="P48" s="13">
        <v>80</v>
      </c>
      <c r="Q48" s="3">
        <f t="shared" si="1"/>
        <v>0</v>
      </c>
      <c r="R48" s="3">
        <f t="shared" si="2"/>
        <v>80</v>
      </c>
      <c r="S48" s="3">
        <f t="shared" si="3"/>
        <v>172.29999999999984</v>
      </c>
      <c r="T48" s="24"/>
      <c r="U48" s="24"/>
      <c r="V48" s="3"/>
      <c r="W48" s="25" t="s">
        <v>6546</v>
      </c>
      <c r="X48" s="25"/>
      <c r="Y48" s="25" t="str">
        <f>IFERROR(VLOOKUP(C_Ope_005[[#This Row],[NOTA 2]],Clientes_Proveedores[[Ruc / Dni]:[Razon Social]],2,0),"")</f>
        <v/>
      </c>
      <c r="Z48" s="25"/>
      <c r="AA48" s="25"/>
      <c r="AB48" s="3" t="str">
        <f>IF(C_Ope_005[[#This Row],[FECHA]]&gt;0,TEXT(C_Ope_005[[#This Row],[FECHA]],"mmmm"),0)</f>
        <v>Enero</v>
      </c>
    </row>
    <row r="49" spans="2:28" x14ac:dyDescent="0.3">
      <c r="B49" s="2">
        <f>IF(C_Ope_005[[#This Row],[TIPO DE R.]]="R",COUNTIFS($D$4:$D48,"R")+1,"")</f>
        <v>45</v>
      </c>
      <c r="C49" s="19" t="str">
        <f t="shared" si="4"/>
        <v>C_Ope_005</v>
      </c>
      <c r="D49" s="3" t="s">
        <v>1074</v>
      </c>
      <c r="E49" s="14">
        <v>45673</v>
      </c>
      <c r="F49" s="5" t="s">
        <v>7166</v>
      </c>
      <c r="G49" s="5" t="s">
        <v>1079</v>
      </c>
      <c r="H49" s="6"/>
      <c r="I49" s="6"/>
      <c r="J49" s="6"/>
      <c r="K49" s="6"/>
      <c r="L49" s="7" t="s">
        <v>7195</v>
      </c>
      <c r="M49" s="8">
        <v>22687</v>
      </c>
      <c r="N49" s="8" t="str">
        <f t="shared" si="5"/>
        <v>PEN</v>
      </c>
      <c r="O49" s="13"/>
      <c r="P49" s="13">
        <v>15</v>
      </c>
      <c r="Q49" s="3">
        <f t="shared" si="1"/>
        <v>0</v>
      </c>
      <c r="R49" s="3">
        <f t="shared" si="2"/>
        <v>15</v>
      </c>
      <c r="S49" s="3">
        <f t="shared" si="3"/>
        <v>157.29999999999984</v>
      </c>
      <c r="T49" s="24"/>
      <c r="U49" s="24"/>
      <c r="V49" s="3"/>
      <c r="W49" s="25" t="s">
        <v>6546</v>
      </c>
      <c r="X49" s="25"/>
      <c r="Y49" s="25" t="str">
        <f>IFERROR(VLOOKUP(C_Ope_005[[#This Row],[NOTA 2]],Clientes_Proveedores[[Ruc / Dni]:[Razon Social]],2,0),"")</f>
        <v/>
      </c>
      <c r="Z49" s="25"/>
      <c r="AA49" s="25"/>
      <c r="AB49" s="3" t="str">
        <f>IF(C_Ope_005[[#This Row],[FECHA]]&gt;0,TEXT(C_Ope_005[[#This Row],[FECHA]],"mmmm"),0)</f>
        <v>Enero</v>
      </c>
    </row>
    <row r="50" spans="2:28" x14ac:dyDescent="0.3">
      <c r="B50" s="2">
        <f>IF(C_Ope_005[[#This Row],[TIPO DE R.]]="R",COUNTIFS($D$4:$D49,"R")+1,"")</f>
        <v>46</v>
      </c>
      <c r="C50" s="19" t="str">
        <f t="shared" si="4"/>
        <v>C_Ope_005</v>
      </c>
      <c r="D50" s="3" t="s">
        <v>1074</v>
      </c>
      <c r="E50" s="14">
        <v>45674</v>
      </c>
      <c r="F50" s="5" t="s">
        <v>7166</v>
      </c>
      <c r="G50" s="5" t="s">
        <v>1079</v>
      </c>
      <c r="H50" s="6"/>
      <c r="I50" s="6"/>
      <c r="J50" s="6"/>
      <c r="K50" s="6"/>
      <c r="L50" s="7" t="s">
        <v>6897</v>
      </c>
      <c r="M50" s="8">
        <v>22696</v>
      </c>
      <c r="N50" s="8" t="str">
        <f t="shared" si="5"/>
        <v>PEN</v>
      </c>
      <c r="O50" s="13"/>
      <c r="P50" s="13">
        <v>24</v>
      </c>
      <c r="Q50" s="3">
        <f t="shared" si="1"/>
        <v>0</v>
      </c>
      <c r="R50" s="3">
        <f t="shared" si="2"/>
        <v>24</v>
      </c>
      <c r="S50" s="3">
        <f t="shared" si="3"/>
        <v>133.29999999999984</v>
      </c>
      <c r="T50" s="24"/>
      <c r="U50" s="24"/>
      <c r="V50" s="3"/>
      <c r="W50" s="25" t="s">
        <v>6546</v>
      </c>
      <c r="X50" s="25"/>
      <c r="Y50" s="25" t="str">
        <f>IFERROR(VLOOKUP(C_Ope_005[[#This Row],[NOTA 2]],Clientes_Proveedores[[Ruc / Dni]:[Razon Social]],2,0),"")</f>
        <v/>
      </c>
      <c r="Z50" s="25"/>
      <c r="AA50" s="25"/>
      <c r="AB50" s="3" t="str">
        <f>IF(C_Ope_005[[#This Row],[FECHA]]&gt;0,TEXT(C_Ope_005[[#This Row],[FECHA]],"mmmm"),0)</f>
        <v>Enero</v>
      </c>
    </row>
    <row r="51" spans="2:28" x14ac:dyDescent="0.3">
      <c r="B51" s="2">
        <f>IF(C_Ope_005[[#This Row],[TIPO DE R.]]="R",COUNTIFS($D$4:$D50,"R")+1,"")</f>
        <v>47</v>
      </c>
      <c r="C51" s="19" t="str">
        <f t="shared" si="4"/>
        <v>C_Ope_005</v>
      </c>
      <c r="D51" s="3" t="s">
        <v>1074</v>
      </c>
      <c r="E51" s="14">
        <v>45674</v>
      </c>
      <c r="F51" s="5" t="s">
        <v>7166</v>
      </c>
      <c r="G51" s="5" t="s">
        <v>1079</v>
      </c>
      <c r="H51" s="6"/>
      <c r="I51" s="6"/>
      <c r="J51" s="6"/>
      <c r="K51" s="6"/>
      <c r="L51" s="7" t="s">
        <v>6889</v>
      </c>
      <c r="M51" s="8">
        <v>22697</v>
      </c>
      <c r="N51" s="8" t="str">
        <f t="shared" si="5"/>
        <v>PEN</v>
      </c>
      <c r="O51" s="13"/>
      <c r="P51" s="13">
        <v>30</v>
      </c>
      <c r="Q51" s="3">
        <f t="shared" si="1"/>
        <v>0</v>
      </c>
      <c r="R51" s="3">
        <f t="shared" si="2"/>
        <v>30</v>
      </c>
      <c r="S51" s="3">
        <f t="shared" si="3"/>
        <v>103.29999999999984</v>
      </c>
      <c r="T51" s="24"/>
      <c r="U51" s="24"/>
      <c r="V51" s="3"/>
      <c r="W51" s="25" t="s">
        <v>6546</v>
      </c>
      <c r="X51" s="25"/>
      <c r="Y51" s="25" t="str">
        <f>IFERROR(VLOOKUP(C_Ope_005[[#This Row],[NOTA 2]],Clientes_Proveedores[[Ruc / Dni]:[Razon Social]],2,0),"")</f>
        <v/>
      </c>
      <c r="Z51" s="25"/>
      <c r="AA51" s="25"/>
      <c r="AB51" s="3" t="str">
        <f>IF(C_Ope_005[[#This Row],[FECHA]]&gt;0,TEXT(C_Ope_005[[#This Row],[FECHA]],"mmmm"),0)</f>
        <v>Enero</v>
      </c>
    </row>
    <row r="52" spans="2:28" x14ac:dyDescent="0.3">
      <c r="B52" s="2">
        <f>IF(C_Ope_005[[#This Row],[TIPO DE R.]]="R",COUNTIFS($D$4:$D51,"R")+1,"")</f>
        <v>48</v>
      </c>
      <c r="C52" s="19" t="str">
        <f t="shared" si="4"/>
        <v>C_Ope_005</v>
      </c>
      <c r="D52" s="3" t="s">
        <v>1074</v>
      </c>
      <c r="E52" s="14">
        <v>45678</v>
      </c>
      <c r="F52" s="5" t="s">
        <v>6299</v>
      </c>
      <c r="G52" s="5" t="s">
        <v>1087</v>
      </c>
      <c r="H52" s="6"/>
      <c r="I52" s="6"/>
      <c r="J52" s="6"/>
      <c r="K52" s="6"/>
      <c r="L52" s="7" t="s">
        <v>6302</v>
      </c>
      <c r="M52" s="8">
        <v>22746</v>
      </c>
      <c r="N52" s="8" t="str">
        <f t="shared" si="5"/>
        <v>PEN</v>
      </c>
      <c r="O52" s="13"/>
      <c r="P52" s="13">
        <v>100</v>
      </c>
      <c r="Q52" s="3">
        <f t="shared" si="1"/>
        <v>100</v>
      </c>
      <c r="R52" s="3">
        <f t="shared" si="2"/>
        <v>0</v>
      </c>
      <c r="S52" s="3">
        <f t="shared" si="3"/>
        <v>203.29999999999984</v>
      </c>
      <c r="T52" s="24"/>
      <c r="U52" s="24"/>
      <c r="V52" s="3"/>
      <c r="W52" s="25"/>
      <c r="X52" s="25"/>
      <c r="Y52" s="25" t="str">
        <f>IFERROR(VLOOKUP(C_Ope_005[[#This Row],[NOTA 2]],Clientes_Proveedores[[Ruc / Dni]:[Razon Social]],2,0),"")</f>
        <v/>
      </c>
      <c r="Z52" s="25"/>
      <c r="AA52" s="25">
        <f>ROUND(C_Ope_005[[#This Row],[MONTO ]]/1.18,3)</f>
        <v>84.745999999999995</v>
      </c>
      <c r="AB52" s="3" t="str">
        <f>IF(C_Ope_005[[#This Row],[FECHA]]&gt;0,TEXT(C_Ope_005[[#This Row],[FECHA]],"mmmm"),0)</f>
        <v>Enero</v>
      </c>
    </row>
    <row r="53" spans="2:28" x14ac:dyDescent="0.3">
      <c r="B53" s="2">
        <f>IF(C_Ope_005[[#This Row],[TIPO DE R.]]="R",COUNTIFS($D$4:$D52,"R")+1,"")</f>
        <v>49</v>
      </c>
      <c r="C53" s="19" t="str">
        <f t="shared" si="4"/>
        <v>C_Ope_005</v>
      </c>
      <c r="D53" s="3" t="s">
        <v>1074</v>
      </c>
      <c r="E53" s="14">
        <v>45679</v>
      </c>
      <c r="F53" s="5" t="s">
        <v>6299</v>
      </c>
      <c r="G53" s="5" t="s">
        <v>1087</v>
      </c>
      <c r="H53" s="6"/>
      <c r="I53" s="6"/>
      <c r="J53" s="6"/>
      <c r="K53" s="6"/>
      <c r="L53" s="7" t="s">
        <v>7196</v>
      </c>
      <c r="M53" s="8">
        <v>22765</v>
      </c>
      <c r="N53" s="8" t="str">
        <f t="shared" si="5"/>
        <v>PEN</v>
      </c>
      <c r="O53" s="13"/>
      <c r="P53" s="13">
        <v>200</v>
      </c>
      <c r="Q53" s="3">
        <f t="shared" si="1"/>
        <v>200</v>
      </c>
      <c r="R53" s="3">
        <f t="shared" si="2"/>
        <v>0</v>
      </c>
      <c r="S53" s="3">
        <f t="shared" si="3"/>
        <v>403.29999999999984</v>
      </c>
      <c r="T53" s="24"/>
      <c r="U53" s="24"/>
      <c r="V53" s="3"/>
      <c r="W53" s="25"/>
      <c r="X53" s="25"/>
      <c r="Y53" s="25" t="str">
        <f>IFERROR(VLOOKUP(C_Ope_005[[#This Row],[NOTA 2]],Clientes_Proveedores[[Ruc / Dni]:[Razon Social]],2,0),"")</f>
        <v/>
      </c>
      <c r="Z53" s="25"/>
      <c r="AA53" s="25">
        <f>ROUND(C_Ope_005[[#This Row],[MONTO ]]/1.18,3)</f>
        <v>169.49199999999999</v>
      </c>
      <c r="AB53" s="3" t="str">
        <f>IF(C_Ope_005[[#This Row],[FECHA]]&gt;0,TEXT(C_Ope_005[[#This Row],[FECHA]],"mmmm"),0)</f>
        <v>Enero</v>
      </c>
    </row>
    <row r="54" spans="2:28" ht="36" x14ac:dyDescent="0.3">
      <c r="B54" s="2">
        <f>IF(C_Ope_005[[#This Row],[TIPO DE R.]]="R",COUNTIFS($D$4:$D53,"R")+1,"")</f>
        <v>50</v>
      </c>
      <c r="C54" s="19" t="str">
        <f t="shared" si="4"/>
        <v>C_Ope_005</v>
      </c>
      <c r="D54" s="3" t="s">
        <v>1074</v>
      </c>
      <c r="E54" s="14">
        <v>45677</v>
      </c>
      <c r="F54" s="5" t="s">
        <v>7166</v>
      </c>
      <c r="G54" s="5" t="s">
        <v>1079</v>
      </c>
      <c r="H54" s="6"/>
      <c r="I54" s="6" t="s">
        <v>14</v>
      </c>
      <c r="J54" s="6" t="s">
        <v>5245</v>
      </c>
      <c r="K54" s="6">
        <v>1654552</v>
      </c>
      <c r="L54" s="7" t="s">
        <v>7197</v>
      </c>
      <c r="M54" s="8">
        <v>22736</v>
      </c>
      <c r="N54" s="8" t="str">
        <f t="shared" si="5"/>
        <v>PEN</v>
      </c>
      <c r="O54" s="13"/>
      <c r="P54" s="13">
        <v>8</v>
      </c>
      <c r="Q54" s="3">
        <f t="shared" si="1"/>
        <v>0</v>
      </c>
      <c r="R54" s="3">
        <f t="shared" si="2"/>
        <v>8</v>
      </c>
      <c r="S54" s="3">
        <f t="shared" si="3"/>
        <v>395.29999999999984</v>
      </c>
      <c r="T54" s="24"/>
      <c r="U54" s="24"/>
      <c r="V54" s="3"/>
      <c r="W54" s="25" t="s">
        <v>6630</v>
      </c>
      <c r="X54" s="25"/>
      <c r="Y54" s="25" t="str">
        <f>IFERROR(VLOOKUP(C_Ope_005[[#This Row],[NOTA 2]],Clientes_Proveedores[[Ruc / Dni]:[Razon Social]],2,0),"")</f>
        <v/>
      </c>
      <c r="Z54" s="25"/>
      <c r="AA54" s="25"/>
      <c r="AB54" s="3" t="str">
        <f>IF(C_Ope_005[[#This Row],[FECHA]]&gt;0,TEXT(C_Ope_005[[#This Row],[FECHA]],"mmmm"),0)</f>
        <v>Enero</v>
      </c>
    </row>
    <row r="55" spans="2:28" ht="36" x14ac:dyDescent="0.3">
      <c r="B55" s="2">
        <f>IF(C_Ope_005[[#This Row],[TIPO DE R.]]="R",COUNTIFS($D$4:$D54,"R")+1,"")</f>
        <v>51</v>
      </c>
      <c r="C55" s="19" t="str">
        <f t="shared" si="4"/>
        <v>C_Ope_005</v>
      </c>
      <c r="D55" s="3" t="s">
        <v>1074</v>
      </c>
      <c r="E55" s="14">
        <v>45677</v>
      </c>
      <c r="F55" s="5" t="s">
        <v>7166</v>
      </c>
      <c r="G55" s="5" t="s">
        <v>1079</v>
      </c>
      <c r="H55" s="6"/>
      <c r="I55" s="6" t="s">
        <v>14</v>
      </c>
      <c r="J55" s="6" t="s">
        <v>5244</v>
      </c>
      <c r="K55" s="6">
        <v>1635472</v>
      </c>
      <c r="L55" s="7" t="s">
        <v>7197</v>
      </c>
      <c r="M55" s="8">
        <v>22737</v>
      </c>
      <c r="N55" s="8" t="str">
        <f t="shared" si="5"/>
        <v>PEN</v>
      </c>
      <c r="O55" s="13"/>
      <c r="P55" s="13">
        <v>8</v>
      </c>
      <c r="Q55" s="3">
        <f t="shared" si="1"/>
        <v>0</v>
      </c>
      <c r="R55" s="3">
        <f t="shared" si="2"/>
        <v>8</v>
      </c>
      <c r="S55" s="3">
        <f t="shared" si="3"/>
        <v>387.29999999999984</v>
      </c>
      <c r="T55" s="24"/>
      <c r="U55" s="24"/>
      <c r="V55" s="3"/>
      <c r="W55" s="25" t="s">
        <v>6630</v>
      </c>
      <c r="X55" s="25"/>
      <c r="Y55" s="25" t="str">
        <f>IFERROR(VLOOKUP(C_Ope_005[[#This Row],[NOTA 2]],Clientes_Proveedores[[Ruc / Dni]:[Razon Social]],2,0),"")</f>
        <v/>
      </c>
      <c r="Z55" s="25"/>
      <c r="AA55" s="25"/>
      <c r="AB55" s="3" t="str">
        <f>IF(C_Ope_005[[#This Row],[FECHA]]&gt;0,TEXT(C_Ope_005[[#This Row],[FECHA]],"mmmm"),0)</f>
        <v>Enero</v>
      </c>
    </row>
    <row r="56" spans="2:28" ht="24" x14ac:dyDescent="0.3">
      <c r="B56" s="2">
        <f>IF(C_Ope_005[[#This Row],[TIPO DE R.]]="R",COUNTIFS($D$4:$D55,"R")+1,"")</f>
        <v>52</v>
      </c>
      <c r="C56" s="19" t="str">
        <f t="shared" si="4"/>
        <v>C_Ope_005</v>
      </c>
      <c r="D56" s="3" t="s">
        <v>1074</v>
      </c>
      <c r="E56" s="14">
        <v>45677</v>
      </c>
      <c r="F56" s="5" t="s">
        <v>7166</v>
      </c>
      <c r="G56" s="5" t="s">
        <v>1079</v>
      </c>
      <c r="H56" s="6"/>
      <c r="I56" s="6" t="s">
        <v>14</v>
      </c>
      <c r="J56" s="6" t="s">
        <v>6559</v>
      </c>
      <c r="K56" s="6">
        <v>363023</v>
      </c>
      <c r="L56" s="7" t="s">
        <v>7198</v>
      </c>
      <c r="M56" s="8">
        <v>22738</v>
      </c>
      <c r="N56" s="8" t="str">
        <f t="shared" si="5"/>
        <v>PEN</v>
      </c>
      <c r="O56" s="13"/>
      <c r="P56" s="13">
        <v>8</v>
      </c>
      <c r="Q56" s="3">
        <f t="shared" si="1"/>
        <v>0</v>
      </c>
      <c r="R56" s="3">
        <f t="shared" si="2"/>
        <v>8</v>
      </c>
      <c r="S56" s="3">
        <f t="shared" si="3"/>
        <v>379.29999999999984</v>
      </c>
      <c r="T56" s="24"/>
      <c r="U56" s="24"/>
      <c r="V56" s="3"/>
      <c r="W56" s="25" t="s">
        <v>6630</v>
      </c>
      <c r="X56" s="25"/>
      <c r="Y56" s="25" t="str">
        <f>IFERROR(VLOOKUP(C_Ope_005[[#This Row],[NOTA 2]],Clientes_Proveedores[[Ruc / Dni]:[Razon Social]],2,0),"")</f>
        <v/>
      </c>
      <c r="Z56" s="25"/>
      <c r="AA56" s="25"/>
      <c r="AB56" s="3" t="str">
        <f>IF(C_Ope_005[[#This Row],[FECHA]]&gt;0,TEXT(C_Ope_005[[#This Row],[FECHA]],"mmmm"),0)</f>
        <v>Enero</v>
      </c>
    </row>
    <row r="57" spans="2:28" ht="24" x14ac:dyDescent="0.3">
      <c r="B57" s="2">
        <f>IF(C_Ope_005[[#This Row],[TIPO DE R.]]="R",COUNTIFS($D$4:$D56,"R")+1,"")</f>
        <v>53</v>
      </c>
      <c r="C57" s="19" t="str">
        <f t="shared" si="4"/>
        <v>C_Ope_005</v>
      </c>
      <c r="D57" s="3" t="s">
        <v>1074</v>
      </c>
      <c r="E57" s="14">
        <v>45677</v>
      </c>
      <c r="F57" s="5" t="s">
        <v>7166</v>
      </c>
      <c r="G57" s="5" t="s">
        <v>1079</v>
      </c>
      <c r="H57" s="6"/>
      <c r="I57" s="6" t="s">
        <v>14</v>
      </c>
      <c r="J57" s="6" t="s">
        <v>6556</v>
      </c>
      <c r="K57" s="6">
        <v>446684</v>
      </c>
      <c r="L57" s="7" t="s">
        <v>7198</v>
      </c>
      <c r="M57" s="8">
        <v>22739</v>
      </c>
      <c r="N57" s="8" t="str">
        <f t="shared" si="5"/>
        <v>PEN</v>
      </c>
      <c r="O57" s="13"/>
      <c r="P57" s="13">
        <v>8</v>
      </c>
      <c r="Q57" s="3">
        <f t="shared" si="1"/>
        <v>0</v>
      </c>
      <c r="R57" s="3">
        <f t="shared" si="2"/>
        <v>8</v>
      </c>
      <c r="S57" s="3">
        <f t="shared" si="3"/>
        <v>371.29999999999984</v>
      </c>
      <c r="T57" s="24"/>
      <c r="U57" s="24"/>
      <c r="V57" s="3"/>
      <c r="W57" s="25" t="s">
        <v>6630</v>
      </c>
      <c r="X57" s="25"/>
      <c r="Y57" s="25" t="str">
        <f>IFERROR(VLOOKUP(C_Ope_005[[#This Row],[NOTA 2]],Clientes_Proveedores[[Ruc / Dni]:[Razon Social]],2,0),"")</f>
        <v/>
      </c>
      <c r="Z57" s="25"/>
      <c r="AA57" s="25"/>
      <c r="AB57" s="3" t="str">
        <f>IF(C_Ope_005[[#This Row],[FECHA]]&gt;0,TEXT(C_Ope_005[[#This Row],[FECHA]],"mmmm"),0)</f>
        <v>Enero</v>
      </c>
    </row>
    <row r="58" spans="2:28" ht="24" x14ac:dyDescent="0.3">
      <c r="B58" s="2">
        <f>IF(C_Ope_005[[#This Row],[TIPO DE R.]]="R",COUNTIFS($D$4:$D57,"R")+1,"")</f>
        <v>54</v>
      </c>
      <c r="C58" s="19" t="str">
        <f t="shared" si="4"/>
        <v>C_Ope_005</v>
      </c>
      <c r="D58" s="3" t="s">
        <v>1074</v>
      </c>
      <c r="E58" s="14">
        <v>45679</v>
      </c>
      <c r="F58" s="5" t="s">
        <v>7166</v>
      </c>
      <c r="G58" s="5" t="s">
        <v>1079</v>
      </c>
      <c r="H58" s="6"/>
      <c r="I58" s="6" t="s">
        <v>14</v>
      </c>
      <c r="J58" s="6" t="s">
        <v>5242</v>
      </c>
      <c r="K58" s="6">
        <v>1935995</v>
      </c>
      <c r="L58" s="7" t="s">
        <v>6570</v>
      </c>
      <c r="M58" s="8">
        <v>22766</v>
      </c>
      <c r="N58" s="8" t="str">
        <f t="shared" si="5"/>
        <v>PEN</v>
      </c>
      <c r="O58" s="13"/>
      <c r="P58" s="13">
        <v>8</v>
      </c>
      <c r="Q58" s="3">
        <f t="shared" si="1"/>
        <v>0</v>
      </c>
      <c r="R58" s="3">
        <f t="shared" si="2"/>
        <v>8</v>
      </c>
      <c r="S58" s="3">
        <f t="shared" si="3"/>
        <v>363.29999999999984</v>
      </c>
      <c r="T58" s="24"/>
      <c r="U58" s="24"/>
      <c r="V58" s="3"/>
      <c r="W58" s="25" t="s">
        <v>6546</v>
      </c>
      <c r="X58" s="25"/>
      <c r="Y58" s="25" t="str">
        <f>IFERROR(VLOOKUP(C_Ope_005[[#This Row],[NOTA 2]],Clientes_Proveedores[[Ruc / Dni]:[Razon Social]],2,0),"")</f>
        <v/>
      </c>
      <c r="Z58" s="25"/>
      <c r="AA58" s="25"/>
      <c r="AB58" s="3" t="str">
        <f>IF(C_Ope_005[[#This Row],[FECHA]]&gt;0,TEXT(C_Ope_005[[#This Row],[FECHA]],"mmmm"),0)</f>
        <v>Enero</v>
      </c>
    </row>
    <row r="59" spans="2:28" ht="24" x14ac:dyDescent="0.3">
      <c r="B59" s="2">
        <f>IF(C_Ope_005[[#This Row],[TIPO DE R.]]="R",COUNTIFS($D$4:$D58,"R")+1,"")</f>
        <v>55</v>
      </c>
      <c r="C59" s="19" t="str">
        <f t="shared" si="4"/>
        <v>C_Ope_005</v>
      </c>
      <c r="D59" s="3" t="s">
        <v>1074</v>
      </c>
      <c r="E59" s="14">
        <v>45679</v>
      </c>
      <c r="F59" s="5" t="s">
        <v>7166</v>
      </c>
      <c r="G59" s="5" t="s">
        <v>1079</v>
      </c>
      <c r="H59" s="6"/>
      <c r="I59" s="6" t="s">
        <v>14</v>
      </c>
      <c r="J59" s="6" t="s">
        <v>5243</v>
      </c>
      <c r="K59" s="6">
        <v>2205691</v>
      </c>
      <c r="L59" s="7" t="s">
        <v>6570</v>
      </c>
      <c r="M59" s="8">
        <v>22767</v>
      </c>
      <c r="N59" s="8" t="str">
        <f t="shared" si="5"/>
        <v>PEN</v>
      </c>
      <c r="O59" s="13"/>
      <c r="P59" s="13">
        <v>8</v>
      </c>
      <c r="Q59" s="3">
        <f t="shared" si="1"/>
        <v>0</v>
      </c>
      <c r="R59" s="3">
        <f t="shared" si="2"/>
        <v>8</v>
      </c>
      <c r="S59" s="3">
        <f t="shared" si="3"/>
        <v>355.29999999999984</v>
      </c>
      <c r="T59" s="24"/>
      <c r="U59" s="24"/>
      <c r="V59" s="3"/>
      <c r="W59" s="25" t="s">
        <v>6546</v>
      </c>
      <c r="X59" s="25"/>
      <c r="Y59" s="25" t="str">
        <f>IFERROR(VLOOKUP(C_Ope_005[[#This Row],[NOTA 2]],Clientes_Proveedores[[Ruc / Dni]:[Razon Social]],2,0),"")</f>
        <v/>
      </c>
      <c r="Z59" s="25"/>
      <c r="AA59" s="25"/>
      <c r="AB59" s="3" t="str">
        <f>IF(C_Ope_005[[#This Row],[FECHA]]&gt;0,TEXT(C_Ope_005[[#This Row],[FECHA]],"mmmm"),0)</f>
        <v>Enero</v>
      </c>
    </row>
    <row r="60" spans="2:28" ht="24" x14ac:dyDescent="0.3">
      <c r="B60" s="2">
        <f>IF(C_Ope_005[[#This Row],[TIPO DE R.]]="R",COUNTIFS($D$4:$D59,"R")+1,"")</f>
        <v>56</v>
      </c>
      <c r="C60" s="19" t="str">
        <f t="shared" si="4"/>
        <v>C_Ope_005</v>
      </c>
      <c r="D60" s="3" t="s">
        <v>1074</v>
      </c>
      <c r="E60" s="14">
        <v>45680</v>
      </c>
      <c r="F60" s="5" t="s">
        <v>7166</v>
      </c>
      <c r="G60" s="5" t="s">
        <v>1079</v>
      </c>
      <c r="H60" s="6"/>
      <c r="I60" s="6" t="s">
        <v>14</v>
      </c>
      <c r="J60" s="6" t="s">
        <v>7188</v>
      </c>
      <c r="K60" s="6">
        <v>1734853</v>
      </c>
      <c r="L60" s="7" t="s">
        <v>7199</v>
      </c>
      <c r="M60" s="8">
        <v>22775</v>
      </c>
      <c r="N60" s="8" t="str">
        <f t="shared" si="5"/>
        <v>PEN</v>
      </c>
      <c r="O60" s="13"/>
      <c r="P60" s="13">
        <v>7.7</v>
      </c>
      <c r="Q60" s="3">
        <f t="shared" si="1"/>
        <v>0</v>
      </c>
      <c r="R60" s="3">
        <f t="shared" si="2"/>
        <v>7.7</v>
      </c>
      <c r="S60" s="3">
        <f t="shared" si="3"/>
        <v>347.59999999999985</v>
      </c>
      <c r="T60" s="24"/>
      <c r="U60" s="24"/>
      <c r="V60" s="3"/>
      <c r="W60" s="25" t="s">
        <v>6546</v>
      </c>
      <c r="X60" s="25"/>
      <c r="Y60" s="25" t="str">
        <f>IFERROR(VLOOKUP(C_Ope_005[[#This Row],[NOTA 2]],Clientes_Proveedores[[Ruc / Dni]:[Razon Social]],2,0),"")</f>
        <v/>
      </c>
      <c r="Z60" s="25"/>
      <c r="AA60" s="25"/>
      <c r="AB60" s="3" t="str">
        <f>IF(C_Ope_005[[#This Row],[FECHA]]&gt;0,TEXT(C_Ope_005[[#This Row],[FECHA]],"mmmm"),0)</f>
        <v>Enero</v>
      </c>
    </row>
    <row r="61" spans="2:28" ht="24" x14ac:dyDescent="0.3">
      <c r="B61" s="2">
        <f>IF(C_Ope_005[[#This Row],[TIPO DE R.]]="R",COUNTIFS($D$4:$D60,"R")+1,"")</f>
        <v>57</v>
      </c>
      <c r="C61" s="19" t="str">
        <f t="shared" si="4"/>
        <v>C_Ope_005</v>
      </c>
      <c r="D61" s="3" t="s">
        <v>1074</v>
      </c>
      <c r="E61" s="14">
        <v>45680</v>
      </c>
      <c r="F61" s="5" t="s">
        <v>7166</v>
      </c>
      <c r="G61" s="5" t="s">
        <v>1079</v>
      </c>
      <c r="H61" s="6"/>
      <c r="I61" s="6" t="s">
        <v>14</v>
      </c>
      <c r="J61" s="6" t="s">
        <v>7183</v>
      </c>
      <c r="K61" s="6">
        <v>1692328</v>
      </c>
      <c r="L61" s="7" t="s">
        <v>7199</v>
      </c>
      <c r="M61" s="8">
        <v>22776</v>
      </c>
      <c r="N61" s="8" t="str">
        <f t="shared" si="5"/>
        <v>PEN</v>
      </c>
      <c r="O61" s="13"/>
      <c r="P61" s="13">
        <v>7.7</v>
      </c>
      <c r="Q61" s="3">
        <f t="shared" si="1"/>
        <v>0</v>
      </c>
      <c r="R61" s="3">
        <f t="shared" si="2"/>
        <v>7.7</v>
      </c>
      <c r="S61" s="3">
        <f t="shared" si="3"/>
        <v>339.89999999999986</v>
      </c>
      <c r="T61" s="24"/>
      <c r="U61" s="24"/>
      <c r="V61" s="3"/>
      <c r="W61" s="25" t="s">
        <v>6546</v>
      </c>
      <c r="X61" s="25"/>
      <c r="Y61" s="25" t="str">
        <f>IFERROR(VLOOKUP(C_Ope_005[[#This Row],[NOTA 2]],Clientes_Proveedores[[Ruc / Dni]:[Razon Social]],2,0),"")</f>
        <v/>
      </c>
      <c r="Z61" s="25"/>
      <c r="AA61" s="25"/>
      <c r="AB61" s="3" t="str">
        <f>IF(C_Ope_005[[#This Row],[FECHA]]&gt;0,TEXT(C_Ope_005[[#This Row],[FECHA]],"mmmm"),0)</f>
        <v>Enero</v>
      </c>
    </row>
    <row r="62" spans="2:28" ht="24" x14ac:dyDescent="0.3">
      <c r="B62" s="2">
        <f>IF(C_Ope_005[[#This Row],[TIPO DE R.]]="R",COUNTIFS($D$4:$D61,"R")+1,"")</f>
        <v>58</v>
      </c>
      <c r="C62" s="19" t="str">
        <f t="shared" si="4"/>
        <v>C_Ope_005</v>
      </c>
      <c r="D62" s="3" t="s">
        <v>1074</v>
      </c>
      <c r="E62" s="14">
        <v>45681</v>
      </c>
      <c r="F62" s="5" t="s">
        <v>7166</v>
      </c>
      <c r="G62" s="5" t="s">
        <v>1079</v>
      </c>
      <c r="H62" s="6"/>
      <c r="I62" s="6" t="s">
        <v>14</v>
      </c>
      <c r="J62" s="6" t="s">
        <v>5243</v>
      </c>
      <c r="K62" s="6">
        <v>2208143</v>
      </c>
      <c r="L62" s="7" t="s">
        <v>7200</v>
      </c>
      <c r="M62" s="8">
        <v>22787</v>
      </c>
      <c r="N62" s="8" t="str">
        <f t="shared" si="5"/>
        <v>PEN</v>
      </c>
      <c r="O62" s="13"/>
      <c r="P62" s="13">
        <v>8</v>
      </c>
      <c r="Q62" s="3">
        <f t="shared" si="1"/>
        <v>0</v>
      </c>
      <c r="R62" s="3">
        <f t="shared" si="2"/>
        <v>8</v>
      </c>
      <c r="S62" s="3">
        <f t="shared" si="3"/>
        <v>331.89999999999986</v>
      </c>
      <c r="T62" s="24"/>
      <c r="U62" s="24"/>
      <c r="V62" s="3"/>
      <c r="W62" s="25" t="s">
        <v>6546</v>
      </c>
      <c r="X62" s="25"/>
      <c r="Y62" s="25" t="str">
        <f>IFERROR(VLOOKUP(C_Ope_005[[#This Row],[NOTA 2]],Clientes_Proveedores[[Ruc / Dni]:[Razon Social]],2,0),"")</f>
        <v/>
      </c>
      <c r="Z62" s="25"/>
      <c r="AA62" s="25"/>
      <c r="AB62" s="3" t="str">
        <f>IF(C_Ope_005[[#This Row],[FECHA]]&gt;0,TEXT(C_Ope_005[[#This Row],[FECHA]],"mmmm"),0)</f>
        <v>Enero</v>
      </c>
    </row>
    <row r="63" spans="2:28" ht="24" x14ac:dyDescent="0.3">
      <c r="B63" s="2">
        <f>IF(C_Ope_005[[#This Row],[TIPO DE R.]]="R",COUNTIFS($D$4:$D62,"R")+1,"")</f>
        <v>59</v>
      </c>
      <c r="C63" s="19" t="str">
        <f t="shared" si="4"/>
        <v>C_Ope_005</v>
      </c>
      <c r="D63" s="3" t="s">
        <v>1074</v>
      </c>
      <c r="E63" s="14">
        <v>45677</v>
      </c>
      <c r="F63" s="5" t="s">
        <v>7166</v>
      </c>
      <c r="G63" s="5" t="s">
        <v>1079</v>
      </c>
      <c r="H63" s="6"/>
      <c r="I63" s="6" t="s">
        <v>14</v>
      </c>
      <c r="J63" s="6" t="s">
        <v>1119</v>
      </c>
      <c r="K63" s="6">
        <v>16663</v>
      </c>
      <c r="L63" s="7" t="s">
        <v>7201</v>
      </c>
      <c r="M63" s="8">
        <v>22747</v>
      </c>
      <c r="N63" s="8" t="str">
        <f t="shared" si="5"/>
        <v>PEN</v>
      </c>
      <c r="O63" s="13"/>
      <c r="P63" s="13">
        <v>22</v>
      </c>
      <c r="Q63" s="3">
        <f t="shared" si="1"/>
        <v>0</v>
      </c>
      <c r="R63" s="3">
        <f t="shared" si="2"/>
        <v>22</v>
      </c>
      <c r="S63" s="3">
        <f t="shared" si="3"/>
        <v>309.89999999999986</v>
      </c>
      <c r="T63" s="24"/>
      <c r="U63" s="24"/>
      <c r="V63" s="3"/>
      <c r="W63" s="25" t="s">
        <v>6630</v>
      </c>
      <c r="X63" s="25"/>
      <c r="Y63" s="25" t="str">
        <f>IFERROR(VLOOKUP(C_Ope_005[[#This Row],[NOTA 2]],Clientes_Proveedores[[Ruc / Dni]:[Razon Social]],2,0),"")</f>
        <v/>
      </c>
      <c r="Z63" s="25"/>
      <c r="AA63" s="25"/>
      <c r="AB63" s="3" t="str">
        <f>IF(C_Ope_005[[#This Row],[FECHA]]&gt;0,TEXT(C_Ope_005[[#This Row],[FECHA]],"mmmm"),0)</f>
        <v>Enero</v>
      </c>
    </row>
    <row r="64" spans="2:28" x14ac:dyDescent="0.3">
      <c r="B64" s="2">
        <f>IF(C_Ope_005[[#This Row],[TIPO DE R.]]="R",COUNTIFS($D$4:$D63,"R")+1,"")</f>
        <v>60</v>
      </c>
      <c r="C64" s="19" t="str">
        <f t="shared" si="4"/>
        <v>C_Ope_005</v>
      </c>
      <c r="D64" s="3" t="s">
        <v>1074</v>
      </c>
      <c r="E64" s="14">
        <v>45678</v>
      </c>
      <c r="F64" s="5" t="s">
        <v>7166</v>
      </c>
      <c r="G64" s="5" t="s">
        <v>1079</v>
      </c>
      <c r="H64" s="6"/>
      <c r="I64" s="6" t="s">
        <v>14</v>
      </c>
      <c r="J64" s="6" t="s">
        <v>6561</v>
      </c>
      <c r="K64" s="6">
        <v>5003</v>
      </c>
      <c r="L64" s="7" t="s">
        <v>7202</v>
      </c>
      <c r="M64" s="8">
        <v>22744</v>
      </c>
      <c r="N64" s="8" t="str">
        <f t="shared" si="5"/>
        <v>PEN</v>
      </c>
      <c r="O64" s="13"/>
      <c r="P64" s="13">
        <v>10</v>
      </c>
      <c r="Q64" s="3">
        <f t="shared" si="1"/>
        <v>0</v>
      </c>
      <c r="R64" s="3">
        <f t="shared" si="2"/>
        <v>10</v>
      </c>
      <c r="S64" s="3">
        <f t="shared" si="3"/>
        <v>299.89999999999986</v>
      </c>
      <c r="T64" s="24"/>
      <c r="U64" s="24"/>
      <c r="V64" s="3"/>
      <c r="W64" s="25" t="s">
        <v>6546</v>
      </c>
      <c r="X64" s="25"/>
      <c r="Y64" s="25" t="str">
        <f>IFERROR(VLOOKUP(C_Ope_005[[#This Row],[NOTA 2]],Clientes_Proveedores[[Ruc / Dni]:[Razon Social]],2,0),"")</f>
        <v/>
      </c>
      <c r="Z64" s="25"/>
      <c r="AA64" s="25"/>
      <c r="AB64" s="3" t="str">
        <f>IF(C_Ope_005[[#This Row],[FECHA]]&gt;0,TEXT(C_Ope_005[[#This Row],[FECHA]],"mmmm"),0)</f>
        <v>Enero</v>
      </c>
    </row>
    <row r="65" spans="2:28" ht="24" x14ac:dyDescent="0.3">
      <c r="B65" s="2">
        <f>IF(C_Ope_005[[#This Row],[TIPO DE R.]]="R",COUNTIFS($D$4:$D64,"R")+1,"")</f>
        <v>61</v>
      </c>
      <c r="C65" s="19" t="str">
        <f t="shared" si="4"/>
        <v>C_Ope_005</v>
      </c>
      <c r="D65" s="3" t="s">
        <v>1074</v>
      </c>
      <c r="E65" s="14">
        <v>45678</v>
      </c>
      <c r="F65" s="5" t="s">
        <v>7166</v>
      </c>
      <c r="G65" s="5" t="s">
        <v>1079</v>
      </c>
      <c r="H65" s="6"/>
      <c r="I65" s="6" t="s">
        <v>14</v>
      </c>
      <c r="J65" s="6" t="s">
        <v>6561</v>
      </c>
      <c r="K65" s="6">
        <v>5001</v>
      </c>
      <c r="L65" s="7" t="s">
        <v>7203</v>
      </c>
      <c r="M65" s="8">
        <v>22745</v>
      </c>
      <c r="N65" s="8" t="str">
        <f t="shared" si="5"/>
        <v>PEN</v>
      </c>
      <c r="O65" s="13"/>
      <c r="P65" s="13">
        <v>10</v>
      </c>
      <c r="Q65" s="3">
        <f t="shared" si="1"/>
        <v>0</v>
      </c>
      <c r="R65" s="3">
        <f t="shared" si="2"/>
        <v>10</v>
      </c>
      <c r="S65" s="3">
        <f t="shared" si="3"/>
        <v>289.89999999999986</v>
      </c>
      <c r="T65" s="24"/>
      <c r="U65" s="24"/>
      <c r="V65" s="3"/>
      <c r="W65" s="25" t="s">
        <v>6546</v>
      </c>
      <c r="X65" s="25"/>
      <c r="Y65" s="25" t="str">
        <f>IFERROR(VLOOKUP(C_Ope_005[[#This Row],[NOTA 2]],Clientes_Proveedores[[Ruc / Dni]:[Razon Social]],2,0),"")</f>
        <v/>
      </c>
      <c r="Z65" s="25"/>
      <c r="AA65" s="25"/>
      <c r="AB65" s="3" t="str">
        <f>IF(C_Ope_005[[#This Row],[FECHA]]&gt;0,TEXT(C_Ope_005[[#This Row],[FECHA]],"mmmm"),0)</f>
        <v>Enero</v>
      </c>
    </row>
    <row r="66" spans="2:28" x14ac:dyDescent="0.3">
      <c r="B66" s="2">
        <f>IF(C_Ope_005[[#This Row],[TIPO DE R.]]="R",COUNTIFS($D$4:$D65,"R")+1,"")</f>
        <v>62</v>
      </c>
      <c r="C66" s="19" t="str">
        <f t="shared" si="4"/>
        <v>C_Ope_005</v>
      </c>
      <c r="D66" s="3" t="s">
        <v>1074</v>
      </c>
      <c r="E66" s="14">
        <v>45681</v>
      </c>
      <c r="F66" s="5" t="s">
        <v>7166</v>
      </c>
      <c r="G66" s="5" t="s">
        <v>1079</v>
      </c>
      <c r="H66" s="6"/>
      <c r="I66" s="6" t="s">
        <v>14</v>
      </c>
      <c r="J66" s="6" t="s">
        <v>1097</v>
      </c>
      <c r="K66" s="6">
        <v>15461</v>
      </c>
      <c r="L66" s="7" t="s">
        <v>7204</v>
      </c>
      <c r="M66" s="8">
        <v>22788</v>
      </c>
      <c r="N66" s="8" t="str">
        <f t="shared" si="5"/>
        <v>PEN</v>
      </c>
      <c r="O66" s="13"/>
      <c r="P66" s="13">
        <v>20</v>
      </c>
      <c r="Q66" s="3">
        <f t="shared" si="1"/>
        <v>0</v>
      </c>
      <c r="R66" s="3">
        <f t="shared" si="2"/>
        <v>20</v>
      </c>
      <c r="S66" s="3">
        <f t="shared" si="3"/>
        <v>269.89999999999986</v>
      </c>
      <c r="T66" s="24"/>
      <c r="U66" s="24"/>
      <c r="V66" s="3"/>
      <c r="W66" s="25" t="s">
        <v>6546</v>
      </c>
      <c r="X66" s="25"/>
      <c r="Y66" s="25" t="str">
        <f>IFERROR(VLOOKUP(C_Ope_005[[#This Row],[NOTA 2]],Clientes_Proveedores[[Ruc / Dni]:[Razon Social]],2,0),"")</f>
        <v/>
      </c>
      <c r="Z66" s="25"/>
      <c r="AA66" s="25"/>
      <c r="AB66" s="3" t="str">
        <f>IF(C_Ope_005[[#This Row],[FECHA]]&gt;0,TEXT(C_Ope_005[[#This Row],[FECHA]],"mmmm"),0)</f>
        <v>Enero</v>
      </c>
    </row>
    <row r="67" spans="2:28" x14ac:dyDescent="0.3">
      <c r="B67" s="2">
        <f>IF(C_Ope_005[[#This Row],[TIPO DE R.]]="R",COUNTIFS($D$4:$D66,"R")+1,"")</f>
        <v>63</v>
      </c>
      <c r="C67" s="19" t="str">
        <f t="shared" si="4"/>
        <v>C_Ope_005</v>
      </c>
      <c r="D67" s="3" t="s">
        <v>1074</v>
      </c>
      <c r="E67" s="14">
        <v>45678</v>
      </c>
      <c r="F67" s="5" t="s">
        <v>7166</v>
      </c>
      <c r="G67" s="5" t="s">
        <v>1079</v>
      </c>
      <c r="H67" s="6"/>
      <c r="I67" s="6" t="s">
        <v>14</v>
      </c>
      <c r="J67" s="6" t="s">
        <v>1119</v>
      </c>
      <c r="K67" s="6">
        <v>16023</v>
      </c>
      <c r="L67" s="7" t="s">
        <v>7205</v>
      </c>
      <c r="M67" s="8">
        <v>22750</v>
      </c>
      <c r="N67" s="8" t="str">
        <f t="shared" si="5"/>
        <v>PEN</v>
      </c>
      <c r="O67" s="13"/>
      <c r="P67" s="13">
        <v>25</v>
      </c>
      <c r="Q67" s="3">
        <f t="shared" si="1"/>
        <v>0</v>
      </c>
      <c r="R67" s="3">
        <f t="shared" si="2"/>
        <v>25</v>
      </c>
      <c r="S67" s="3">
        <f t="shared" si="3"/>
        <v>244.89999999999986</v>
      </c>
      <c r="T67" s="24"/>
      <c r="U67" s="24"/>
      <c r="V67" s="3"/>
      <c r="W67" s="25" t="s">
        <v>6546</v>
      </c>
      <c r="X67" s="25"/>
      <c r="Y67" s="25" t="str">
        <f>IFERROR(VLOOKUP(C_Ope_005[[#This Row],[NOTA 2]],Clientes_Proveedores[[Ruc / Dni]:[Razon Social]],2,0),"")</f>
        <v/>
      </c>
      <c r="Z67" s="25"/>
      <c r="AA67" s="25"/>
      <c r="AB67" s="3" t="str">
        <f>IF(C_Ope_005[[#This Row],[FECHA]]&gt;0,TEXT(C_Ope_005[[#This Row],[FECHA]],"mmmm"),0)</f>
        <v>Enero</v>
      </c>
    </row>
    <row r="68" spans="2:28" x14ac:dyDescent="0.3">
      <c r="B68" s="2">
        <f>IF(C_Ope_005[[#This Row],[TIPO DE R.]]="R",COUNTIFS($D$4:$D67,"R")+1,"")</f>
        <v>64</v>
      </c>
      <c r="C68" s="19" t="str">
        <f t="shared" si="4"/>
        <v>C_Ope_005</v>
      </c>
      <c r="D68" s="3" t="s">
        <v>1074</v>
      </c>
      <c r="E68" s="14">
        <v>45680</v>
      </c>
      <c r="F68" s="5" t="s">
        <v>7166</v>
      </c>
      <c r="G68" s="5" t="s">
        <v>1079</v>
      </c>
      <c r="H68" s="6"/>
      <c r="I68" s="6"/>
      <c r="J68" s="6"/>
      <c r="K68" s="6"/>
      <c r="L68" s="7" t="s">
        <v>7206</v>
      </c>
      <c r="M68" s="8">
        <v>22777</v>
      </c>
      <c r="N68" s="8" t="str">
        <f t="shared" si="5"/>
        <v>PEN</v>
      </c>
      <c r="O68" s="13"/>
      <c r="P68" s="13">
        <v>24</v>
      </c>
      <c r="Q68" s="3">
        <f t="shared" si="1"/>
        <v>0</v>
      </c>
      <c r="R68" s="3">
        <f t="shared" si="2"/>
        <v>24</v>
      </c>
      <c r="S68" s="3">
        <f t="shared" si="3"/>
        <v>220.89999999999986</v>
      </c>
      <c r="T68" s="24"/>
      <c r="U68" s="24"/>
      <c r="V68" s="3"/>
      <c r="W68" s="25" t="s">
        <v>6546</v>
      </c>
      <c r="X68" s="25"/>
      <c r="Y68" s="25" t="str">
        <f>IFERROR(VLOOKUP(C_Ope_005[[#This Row],[NOTA 2]],Clientes_Proveedores[[Ruc / Dni]:[Razon Social]],2,0),"")</f>
        <v/>
      </c>
      <c r="Z68" s="25"/>
      <c r="AA68" s="25"/>
      <c r="AB68" s="3" t="str">
        <f>IF(C_Ope_005[[#This Row],[FECHA]]&gt;0,TEXT(C_Ope_005[[#This Row],[FECHA]],"mmmm"),0)</f>
        <v>Enero</v>
      </c>
    </row>
    <row r="69" spans="2:28" x14ac:dyDescent="0.3">
      <c r="B69" s="2">
        <f>IF(C_Ope_005[[#This Row],[TIPO DE R.]]="R",COUNTIFS($D$4:$D68,"R")+1,"")</f>
        <v>65</v>
      </c>
      <c r="C69" s="19" t="str">
        <f t="shared" si="4"/>
        <v>C_Ope_005</v>
      </c>
      <c r="D69" s="3" t="s">
        <v>1074</v>
      </c>
      <c r="E69" s="14">
        <v>45680</v>
      </c>
      <c r="F69" s="5" t="s">
        <v>7166</v>
      </c>
      <c r="G69" s="5" t="s">
        <v>1079</v>
      </c>
      <c r="H69" s="6"/>
      <c r="I69" s="6"/>
      <c r="J69" s="6"/>
      <c r="K69" s="6"/>
      <c r="L69" s="7" t="s">
        <v>7207</v>
      </c>
      <c r="M69" s="8">
        <v>22778</v>
      </c>
      <c r="N69" s="8" t="str">
        <f t="shared" si="5"/>
        <v>PEN</v>
      </c>
      <c r="O69" s="13"/>
      <c r="P69" s="13">
        <v>30</v>
      </c>
      <c r="Q69" s="3">
        <f t="shared" ref="Q69:Q132" si="6">+IF(OR($G69="SALDO",$G69="INGRESO"),$P69,0)</f>
        <v>0</v>
      </c>
      <c r="R69" s="3">
        <f t="shared" ref="R69:R132" si="7">+IF($G69="EGRESO",$P69,0)</f>
        <v>30</v>
      </c>
      <c r="S69" s="3">
        <f t="shared" ref="S69:S132" si="8">IFERROR(IF(G69="SALDO",Q69,S68+Q69-R69),0)</f>
        <v>190.89999999999986</v>
      </c>
      <c r="T69" s="24"/>
      <c r="U69" s="24"/>
      <c r="V69" s="3"/>
      <c r="W69" s="25" t="s">
        <v>6546</v>
      </c>
      <c r="X69" s="25"/>
      <c r="Y69" s="25" t="str">
        <f>IFERROR(VLOOKUP(C_Ope_005[[#This Row],[NOTA 2]],Clientes_Proveedores[[Ruc / Dni]:[Razon Social]],2,0),"")</f>
        <v/>
      </c>
      <c r="Z69" s="25"/>
      <c r="AA69" s="25"/>
      <c r="AB69" s="3" t="str">
        <f>IF(C_Ope_005[[#This Row],[FECHA]]&gt;0,TEXT(C_Ope_005[[#This Row],[FECHA]],"mmmm"),0)</f>
        <v>Enero</v>
      </c>
    </row>
    <row r="70" spans="2:28" x14ac:dyDescent="0.3">
      <c r="B70" s="2">
        <f>IF(C_Ope_005[[#This Row],[TIPO DE R.]]="R",COUNTIFS($D$4:$D69,"R")+1,"")</f>
        <v>66</v>
      </c>
      <c r="C70" s="19" t="str">
        <f t="shared" ref="C70:C133" si="9">"C_Ope_005"</f>
        <v>C_Ope_005</v>
      </c>
      <c r="D70" s="3" t="s">
        <v>1074</v>
      </c>
      <c r="E70" s="14">
        <v>45680</v>
      </c>
      <c r="F70" s="5" t="s">
        <v>7166</v>
      </c>
      <c r="G70" s="5" t="s">
        <v>1079</v>
      </c>
      <c r="H70" s="6"/>
      <c r="I70" s="6"/>
      <c r="J70" s="6"/>
      <c r="K70" s="6"/>
      <c r="L70" s="7" t="s">
        <v>7208</v>
      </c>
      <c r="M70" s="8">
        <v>22779</v>
      </c>
      <c r="N70" s="8" t="str">
        <f t="shared" ref="N70:N133" si="10">"PEN"</f>
        <v>PEN</v>
      </c>
      <c r="O70" s="13"/>
      <c r="P70" s="13">
        <v>24</v>
      </c>
      <c r="Q70" s="3">
        <f t="shared" si="6"/>
        <v>0</v>
      </c>
      <c r="R70" s="3">
        <f t="shared" si="7"/>
        <v>24</v>
      </c>
      <c r="S70" s="3">
        <f t="shared" si="8"/>
        <v>166.89999999999986</v>
      </c>
      <c r="T70" s="24"/>
      <c r="U70" s="24"/>
      <c r="V70" s="3"/>
      <c r="W70" s="25" t="s">
        <v>6546</v>
      </c>
      <c r="X70" s="25"/>
      <c r="Y70" s="25" t="str">
        <f>IFERROR(VLOOKUP(C_Ope_005[[#This Row],[NOTA 2]],Clientes_Proveedores[[Ruc / Dni]:[Razon Social]],2,0),"")</f>
        <v/>
      </c>
      <c r="Z70" s="25"/>
      <c r="AA70" s="25"/>
      <c r="AB70" s="3" t="str">
        <f>IF(C_Ope_005[[#This Row],[FECHA]]&gt;0,TEXT(C_Ope_005[[#This Row],[FECHA]],"mmmm"),0)</f>
        <v>Enero</v>
      </c>
    </row>
    <row r="71" spans="2:28" x14ac:dyDescent="0.3">
      <c r="B71" s="2">
        <f>IF(C_Ope_005[[#This Row],[TIPO DE R.]]="R",COUNTIFS($D$4:$D70,"R")+1,"")</f>
        <v>67</v>
      </c>
      <c r="C71" s="19" t="str">
        <f t="shared" si="9"/>
        <v>C_Ope_005</v>
      </c>
      <c r="D71" s="3" t="s">
        <v>1074</v>
      </c>
      <c r="E71" s="14">
        <v>45684</v>
      </c>
      <c r="F71" s="5" t="s">
        <v>6299</v>
      </c>
      <c r="G71" s="5" t="s">
        <v>1087</v>
      </c>
      <c r="H71" s="6"/>
      <c r="I71" s="6"/>
      <c r="J71" s="6"/>
      <c r="K71" s="6"/>
      <c r="L71" s="7" t="s">
        <v>6302</v>
      </c>
      <c r="M71" s="8">
        <v>22819</v>
      </c>
      <c r="N71" s="8" t="str">
        <f t="shared" si="10"/>
        <v>PEN</v>
      </c>
      <c r="O71" s="13"/>
      <c r="P71" s="13">
        <v>30</v>
      </c>
      <c r="Q71" s="3">
        <f t="shared" si="6"/>
        <v>30</v>
      </c>
      <c r="R71" s="3">
        <f t="shared" si="7"/>
        <v>0</v>
      </c>
      <c r="S71" s="3">
        <f t="shared" si="8"/>
        <v>196.89999999999986</v>
      </c>
      <c r="T71" s="24"/>
      <c r="U71" s="24"/>
      <c r="V71" s="3"/>
      <c r="W71" s="25"/>
      <c r="X71" s="25"/>
      <c r="Y71" s="25" t="str">
        <f>IFERROR(VLOOKUP(C_Ope_005[[#This Row],[NOTA 2]],Clientes_Proveedores[[Ruc / Dni]:[Razon Social]],2,0),"")</f>
        <v/>
      </c>
      <c r="Z71" s="25"/>
      <c r="AA71" s="25">
        <f>ROUND(C_Ope_005[[#This Row],[MONTO ]]/1.18,3)</f>
        <v>25.423999999999999</v>
      </c>
      <c r="AB71" s="3" t="str">
        <f>IF(C_Ope_005[[#This Row],[FECHA]]&gt;0,TEXT(C_Ope_005[[#This Row],[FECHA]],"mmmm"),0)</f>
        <v>Enero</v>
      </c>
    </row>
    <row r="72" spans="2:28" ht="24" x14ac:dyDescent="0.3">
      <c r="B72" s="2">
        <f>IF(C_Ope_005[[#This Row],[TIPO DE R.]]="R",COUNTIFS($D$4:$D71,"R")+1,"")</f>
        <v>68</v>
      </c>
      <c r="C72" s="19" t="str">
        <f t="shared" si="9"/>
        <v>C_Ope_005</v>
      </c>
      <c r="D72" s="3" t="s">
        <v>1074</v>
      </c>
      <c r="E72" s="14">
        <v>45687</v>
      </c>
      <c r="F72" s="5" t="s">
        <v>7166</v>
      </c>
      <c r="G72" s="5" t="s">
        <v>1079</v>
      </c>
      <c r="H72" s="6"/>
      <c r="I72" s="6" t="s">
        <v>14</v>
      </c>
      <c r="J72" s="6" t="s">
        <v>5242</v>
      </c>
      <c r="K72" s="6">
        <v>1944670</v>
      </c>
      <c r="L72" s="7" t="s">
        <v>7209</v>
      </c>
      <c r="M72" s="8">
        <v>22841</v>
      </c>
      <c r="N72" s="8" t="str">
        <f t="shared" si="10"/>
        <v>PEN</v>
      </c>
      <c r="O72" s="13"/>
      <c r="P72" s="13">
        <v>8</v>
      </c>
      <c r="Q72" s="3">
        <f t="shared" si="6"/>
        <v>0</v>
      </c>
      <c r="R72" s="3">
        <f t="shared" si="7"/>
        <v>8</v>
      </c>
      <c r="S72" s="3">
        <f t="shared" si="8"/>
        <v>188.89999999999986</v>
      </c>
      <c r="T72" s="24"/>
      <c r="U72" s="24"/>
      <c r="V72" s="3"/>
      <c r="W72" s="25" t="s">
        <v>6630</v>
      </c>
      <c r="X72" s="25"/>
      <c r="Y72" s="25" t="str">
        <f>IFERROR(VLOOKUP(C_Ope_005[[#This Row],[NOTA 2]],Clientes_Proveedores[[Ruc / Dni]:[Razon Social]],2,0),"")</f>
        <v/>
      </c>
      <c r="Z72" s="25"/>
      <c r="AA72" s="25"/>
      <c r="AB72" s="3" t="str">
        <f>IF(C_Ope_005[[#This Row],[FECHA]]&gt;0,TEXT(C_Ope_005[[#This Row],[FECHA]],"mmmm"),0)</f>
        <v>Enero</v>
      </c>
    </row>
    <row r="73" spans="2:28" ht="24" x14ac:dyDescent="0.3">
      <c r="B73" s="2">
        <f>IF(C_Ope_005[[#This Row],[TIPO DE R.]]="R",COUNTIFS($D$4:$D72,"R")+1,"")</f>
        <v>69</v>
      </c>
      <c r="C73" s="19" t="str">
        <f t="shared" si="9"/>
        <v>C_Ope_005</v>
      </c>
      <c r="D73" s="3" t="s">
        <v>1074</v>
      </c>
      <c r="E73" s="14">
        <v>45687</v>
      </c>
      <c r="F73" s="5" t="s">
        <v>7166</v>
      </c>
      <c r="G73" s="5" t="s">
        <v>1079</v>
      </c>
      <c r="H73" s="6"/>
      <c r="I73" s="6" t="s">
        <v>14</v>
      </c>
      <c r="J73" s="6" t="s">
        <v>5243</v>
      </c>
      <c r="K73" s="6">
        <v>2215337</v>
      </c>
      <c r="L73" s="7" t="s">
        <v>7209</v>
      </c>
      <c r="M73" s="8">
        <v>22842</v>
      </c>
      <c r="N73" s="8" t="str">
        <f t="shared" si="10"/>
        <v>PEN</v>
      </c>
      <c r="O73" s="13"/>
      <c r="P73" s="13">
        <v>8</v>
      </c>
      <c r="Q73" s="3">
        <f t="shared" si="6"/>
        <v>0</v>
      </c>
      <c r="R73" s="3">
        <f t="shared" si="7"/>
        <v>8</v>
      </c>
      <c r="S73" s="3">
        <f t="shared" si="8"/>
        <v>180.89999999999986</v>
      </c>
      <c r="T73" s="24"/>
      <c r="U73" s="24"/>
      <c r="V73" s="3"/>
      <c r="W73" s="25" t="s">
        <v>6630</v>
      </c>
      <c r="X73" s="25"/>
      <c r="Y73" s="25" t="str">
        <f>IFERROR(VLOOKUP(C_Ope_005[[#This Row],[NOTA 2]],Clientes_Proveedores[[Ruc / Dni]:[Razon Social]],2,0),"")</f>
        <v/>
      </c>
      <c r="Z73" s="25"/>
      <c r="AA73" s="25"/>
      <c r="AB73" s="3" t="str">
        <f>IF(C_Ope_005[[#This Row],[FECHA]]&gt;0,TEXT(C_Ope_005[[#This Row],[FECHA]],"mmmm"),0)</f>
        <v>Enero</v>
      </c>
    </row>
    <row r="74" spans="2:28" x14ac:dyDescent="0.3">
      <c r="B74" s="2">
        <f>IF(C_Ope_005[[#This Row],[TIPO DE R.]]="R",COUNTIFS($D$4:$D73,"R")+1,"")</f>
        <v>70</v>
      </c>
      <c r="C74" s="19" t="str">
        <f t="shared" si="9"/>
        <v>C_Ope_005</v>
      </c>
      <c r="D74" s="3" t="s">
        <v>1074</v>
      </c>
      <c r="E74" s="14">
        <v>45685</v>
      </c>
      <c r="F74" s="5" t="s">
        <v>7166</v>
      </c>
      <c r="G74" s="5" t="s">
        <v>1079</v>
      </c>
      <c r="H74" s="6"/>
      <c r="I74" s="6" t="s">
        <v>14</v>
      </c>
      <c r="J74" s="6" t="s">
        <v>6561</v>
      </c>
      <c r="K74" s="6">
        <v>5080</v>
      </c>
      <c r="L74" s="7" t="s">
        <v>6562</v>
      </c>
      <c r="M74" s="8">
        <v>22820</v>
      </c>
      <c r="N74" s="8" t="str">
        <f t="shared" si="10"/>
        <v>PEN</v>
      </c>
      <c r="O74" s="13"/>
      <c r="P74" s="13">
        <v>10</v>
      </c>
      <c r="Q74" s="3">
        <f t="shared" si="6"/>
        <v>0</v>
      </c>
      <c r="R74" s="3">
        <f t="shared" si="7"/>
        <v>10</v>
      </c>
      <c r="S74" s="3">
        <f t="shared" si="8"/>
        <v>170.89999999999986</v>
      </c>
      <c r="T74" s="24"/>
      <c r="U74" s="24"/>
      <c r="V74" s="3"/>
      <c r="W74" s="25" t="s">
        <v>6546</v>
      </c>
      <c r="X74" s="25"/>
      <c r="Y74" s="25" t="str">
        <f>IFERROR(VLOOKUP(C_Ope_005[[#This Row],[NOTA 2]],Clientes_Proveedores[[Ruc / Dni]:[Razon Social]],2,0),"")</f>
        <v/>
      </c>
      <c r="Z74" s="25"/>
      <c r="AA74" s="25"/>
      <c r="AB74" s="3" t="str">
        <f>IF(C_Ope_005[[#This Row],[FECHA]]&gt;0,TEXT(C_Ope_005[[#This Row],[FECHA]],"mmmm"),0)</f>
        <v>Enero</v>
      </c>
    </row>
    <row r="75" spans="2:28" x14ac:dyDescent="0.3">
      <c r="B75" s="2">
        <f>IF(C_Ope_005[[#This Row],[TIPO DE R.]]="R",COUNTIFS($D$4:$D74,"R")+1,"")</f>
        <v>71</v>
      </c>
      <c r="C75" s="19" t="str">
        <f t="shared" si="9"/>
        <v>C_Ope_005</v>
      </c>
      <c r="D75" s="3" t="s">
        <v>1074</v>
      </c>
      <c r="E75" s="14">
        <v>45685</v>
      </c>
      <c r="F75" s="5" t="s">
        <v>7166</v>
      </c>
      <c r="G75" s="5" t="s">
        <v>1079</v>
      </c>
      <c r="H75" s="6"/>
      <c r="I75" s="6" t="s">
        <v>14</v>
      </c>
      <c r="J75" s="6" t="s">
        <v>6561</v>
      </c>
      <c r="K75" s="6">
        <v>5088</v>
      </c>
      <c r="L75" s="7" t="s">
        <v>7176</v>
      </c>
      <c r="M75" s="8">
        <v>22821</v>
      </c>
      <c r="N75" s="8" t="str">
        <f t="shared" si="10"/>
        <v>PEN</v>
      </c>
      <c r="O75" s="13"/>
      <c r="P75" s="13">
        <v>10</v>
      </c>
      <c r="Q75" s="3">
        <f t="shared" si="6"/>
        <v>0</v>
      </c>
      <c r="R75" s="3">
        <f t="shared" si="7"/>
        <v>10</v>
      </c>
      <c r="S75" s="3">
        <f t="shared" si="8"/>
        <v>160.89999999999986</v>
      </c>
      <c r="T75" s="24"/>
      <c r="U75" s="24"/>
      <c r="V75" s="3"/>
      <c r="W75" s="25" t="s">
        <v>6546</v>
      </c>
      <c r="X75" s="25"/>
      <c r="Y75" s="25" t="str">
        <f>IFERROR(VLOOKUP(C_Ope_005[[#This Row],[NOTA 2]],Clientes_Proveedores[[Ruc / Dni]:[Razon Social]],2,0),"")</f>
        <v/>
      </c>
      <c r="Z75" s="25"/>
      <c r="AA75" s="25"/>
      <c r="AB75" s="3" t="str">
        <f>IF(C_Ope_005[[#This Row],[FECHA]]&gt;0,TEXT(C_Ope_005[[#This Row],[FECHA]],"mmmm"),0)</f>
        <v>Enero</v>
      </c>
    </row>
    <row r="76" spans="2:28" x14ac:dyDescent="0.3">
      <c r="B76" s="2">
        <f>IF(C_Ope_005[[#This Row],[TIPO DE R.]]="R",COUNTIFS($D$4:$D75,"R")+1,"")</f>
        <v>72</v>
      </c>
      <c r="C76" s="19" t="str">
        <f t="shared" si="9"/>
        <v>C_Ope_005</v>
      </c>
      <c r="D76" s="3" t="s">
        <v>1074</v>
      </c>
      <c r="E76" s="14">
        <v>45686</v>
      </c>
      <c r="F76" s="5" t="s">
        <v>7166</v>
      </c>
      <c r="G76" s="5" t="s">
        <v>1079</v>
      </c>
      <c r="H76" s="6"/>
      <c r="I76" s="6" t="s">
        <v>14</v>
      </c>
      <c r="J76" s="6" t="s">
        <v>1088</v>
      </c>
      <c r="K76" s="6">
        <v>33671</v>
      </c>
      <c r="L76" s="7" t="s">
        <v>7210</v>
      </c>
      <c r="M76" s="8">
        <v>22833</v>
      </c>
      <c r="N76" s="8" t="str">
        <f t="shared" si="10"/>
        <v>PEN</v>
      </c>
      <c r="O76" s="13"/>
      <c r="P76" s="13">
        <v>10</v>
      </c>
      <c r="Q76" s="3">
        <f t="shared" si="6"/>
        <v>0</v>
      </c>
      <c r="R76" s="3">
        <f t="shared" si="7"/>
        <v>10</v>
      </c>
      <c r="S76" s="3">
        <f t="shared" si="8"/>
        <v>150.89999999999986</v>
      </c>
      <c r="T76" s="24"/>
      <c r="U76" s="24"/>
      <c r="V76" s="3"/>
      <c r="W76" s="25" t="s">
        <v>6546</v>
      </c>
      <c r="X76" s="25"/>
      <c r="Y76" s="25" t="str">
        <f>IFERROR(VLOOKUP(C_Ope_005[[#This Row],[NOTA 2]],Clientes_Proveedores[[Ruc / Dni]:[Razon Social]],2,0),"")</f>
        <v/>
      </c>
      <c r="Z76" s="25"/>
      <c r="AA76" s="25"/>
      <c r="AB76" s="3" t="str">
        <f>IF(C_Ope_005[[#This Row],[FECHA]]&gt;0,TEXT(C_Ope_005[[#This Row],[FECHA]],"mmmm"),0)</f>
        <v>Enero</v>
      </c>
    </row>
    <row r="77" spans="2:28" x14ac:dyDescent="0.3">
      <c r="B77" s="2">
        <f>IF(C_Ope_005[[#This Row],[TIPO DE R.]]="R",COUNTIFS($D$4:$D76,"R")+1,"")</f>
        <v>73</v>
      </c>
      <c r="C77" s="19" t="str">
        <f t="shared" si="9"/>
        <v>C_Ope_005</v>
      </c>
      <c r="D77" s="3" t="s">
        <v>1074</v>
      </c>
      <c r="E77" s="14">
        <v>45687</v>
      </c>
      <c r="F77" s="5" t="s">
        <v>7166</v>
      </c>
      <c r="G77" s="5" t="s">
        <v>1079</v>
      </c>
      <c r="H77" s="6"/>
      <c r="I77" s="6" t="s">
        <v>14</v>
      </c>
      <c r="J77" s="6" t="s">
        <v>1097</v>
      </c>
      <c r="K77" s="6">
        <v>15541</v>
      </c>
      <c r="L77" s="7" t="s">
        <v>7211</v>
      </c>
      <c r="M77" s="8">
        <v>22840</v>
      </c>
      <c r="N77" s="8" t="str">
        <f t="shared" si="10"/>
        <v>PEN</v>
      </c>
      <c r="O77" s="13"/>
      <c r="P77" s="13">
        <v>20</v>
      </c>
      <c r="Q77" s="3">
        <f t="shared" si="6"/>
        <v>0</v>
      </c>
      <c r="R77" s="3">
        <f t="shared" si="7"/>
        <v>20</v>
      </c>
      <c r="S77" s="3">
        <f t="shared" si="8"/>
        <v>130.89999999999986</v>
      </c>
      <c r="T77" s="24"/>
      <c r="U77" s="24"/>
      <c r="V77" s="3"/>
      <c r="W77" s="25" t="s">
        <v>6630</v>
      </c>
      <c r="X77" s="25"/>
      <c r="Y77" s="25" t="str">
        <f>IFERROR(VLOOKUP(C_Ope_005[[#This Row],[NOTA 2]],Clientes_Proveedores[[Ruc / Dni]:[Razon Social]],2,0),"")</f>
        <v/>
      </c>
      <c r="Z77" s="25"/>
      <c r="AA77" s="25"/>
      <c r="AB77" s="3" t="str">
        <f>IF(C_Ope_005[[#This Row],[FECHA]]&gt;0,TEXT(C_Ope_005[[#This Row],[FECHA]],"mmmm"),0)</f>
        <v>Enero</v>
      </c>
    </row>
    <row r="78" spans="2:28" x14ac:dyDescent="0.3">
      <c r="B78" s="2">
        <f>IF(C_Ope_005[[#This Row],[TIPO DE R.]]="R",COUNTIFS($D$4:$D77,"R")+1,"")</f>
        <v>74</v>
      </c>
      <c r="C78" s="19" t="str">
        <f t="shared" si="9"/>
        <v>C_Ope_005</v>
      </c>
      <c r="D78" s="3" t="s">
        <v>1074</v>
      </c>
      <c r="E78" s="14">
        <v>45691</v>
      </c>
      <c r="F78" s="5" t="s">
        <v>6299</v>
      </c>
      <c r="G78" s="5" t="s">
        <v>1087</v>
      </c>
      <c r="H78" s="6"/>
      <c r="I78" s="6"/>
      <c r="J78" s="6"/>
      <c r="K78" s="6"/>
      <c r="L78" s="7" t="s">
        <v>6302</v>
      </c>
      <c r="M78" s="8">
        <v>22864</v>
      </c>
      <c r="N78" s="8" t="str">
        <f t="shared" si="10"/>
        <v>PEN</v>
      </c>
      <c r="O78" s="13"/>
      <c r="P78" s="13">
        <v>70</v>
      </c>
      <c r="Q78" s="3">
        <f t="shared" si="6"/>
        <v>70</v>
      </c>
      <c r="R78" s="3">
        <f t="shared" si="7"/>
        <v>0</v>
      </c>
      <c r="S78" s="3">
        <f t="shared" si="8"/>
        <v>200.89999999999986</v>
      </c>
      <c r="T78" s="24"/>
      <c r="U78" s="24"/>
      <c r="V78" s="3"/>
      <c r="W78" s="25"/>
      <c r="X78" s="25"/>
      <c r="Y78" s="25" t="str">
        <f>IFERROR(VLOOKUP(C_Ope_005[[#This Row],[NOTA 2]],Clientes_Proveedores[[Ruc / Dni]:[Razon Social]],2,0),"")</f>
        <v/>
      </c>
      <c r="Z78" s="25"/>
      <c r="AA78" s="25">
        <f>ROUND(C_Ope_005[[#This Row],[MONTO ]]/1.18,3)</f>
        <v>59.322000000000003</v>
      </c>
      <c r="AB78" s="3" t="str">
        <f>IF(C_Ope_005[[#This Row],[FECHA]]&gt;0,TEXT(C_Ope_005[[#This Row],[FECHA]],"mmmm"),0)</f>
        <v>Febrero</v>
      </c>
    </row>
    <row r="79" spans="2:28" x14ac:dyDescent="0.3">
      <c r="B79" s="2">
        <f>IF(C_Ope_005[[#This Row],[TIPO DE R.]]="R",COUNTIFS($D$4:$D78,"R")+1,"")</f>
        <v>75</v>
      </c>
      <c r="C79" s="19" t="str">
        <f t="shared" si="9"/>
        <v>C_Ope_005</v>
      </c>
      <c r="D79" s="3" t="s">
        <v>1074</v>
      </c>
      <c r="E79" s="14">
        <v>45693</v>
      </c>
      <c r="F79" s="5" t="s">
        <v>6299</v>
      </c>
      <c r="G79" s="5" t="s">
        <v>1087</v>
      </c>
      <c r="H79" s="6"/>
      <c r="I79" s="6"/>
      <c r="J79" s="6"/>
      <c r="K79" s="6"/>
      <c r="L79" s="7" t="s">
        <v>6357</v>
      </c>
      <c r="M79" s="8">
        <v>22894</v>
      </c>
      <c r="N79" s="8" t="str">
        <f t="shared" si="10"/>
        <v>PEN</v>
      </c>
      <c r="O79" s="13"/>
      <c r="P79" s="13">
        <v>600</v>
      </c>
      <c r="Q79" s="3">
        <f t="shared" si="6"/>
        <v>600</v>
      </c>
      <c r="R79" s="3">
        <f t="shared" si="7"/>
        <v>0</v>
      </c>
      <c r="S79" s="3">
        <f t="shared" si="8"/>
        <v>800.89999999999986</v>
      </c>
      <c r="T79" s="24"/>
      <c r="U79" s="24"/>
      <c r="V79" s="3"/>
      <c r="W79" s="25"/>
      <c r="X79" s="25"/>
      <c r="Y79" s="25" t="str">
        <f>IFERROR(VLOOKUP(C_Ope_005[[#This Row],[NOTA 2]],Clientes_Proveedores[[Ruc / Dni]:[Razon Social]],2,0),"")</f>
        <v/>
      </c>
      <c r="Z79" s="25"/>
      <c r="AA79" s="25">
        <f>ROUND(C_Ope_005[[#This Row],[MONTO ]]/1.18,3)</f>
        <v>508.47500000000002</v>
      </c>
      <c r="AB79" s="3" t="str">
        <f>IF(C_Ope_005[[#This Row],[FECHA]]&gt;0,TEXT(C_Ope_005[[#This Row],[FECHA]],"mmmm"),0)</f>
        <v>Febrero</v>
      </c>
    </row>
    <row r="80" spans="2:28" x14ac:dyDescent="0.3">
      <c r="B80" s="2">
        <f>IF(C_Ope_005[[#This Row],[TIPO DE R.]]="R",COUNTIFS($D$4:$D79,"R")+1,"")</f>
        <v>76</v>
      </c>
      <c r="C80" s="19" t="str">
        <f t="shared" si="9"/>
        <v>C_Ope_005</v>
      </c>
      <c r="D80" s="3" t="s">
        <v>1074</v>
      </c>
      <c r="E80" s="14">
        <v>45695</v>
      </c>
      <c r="F80" s="5" t="s">
        <v>6299</v>
      </c>
      <c r="G80" s="5" t="s">
        <v>1087</v>
      </c>
      <c r="H80" s="6"/>
      <c r="I80" s="6"/>
      <c r="J80" s="6"/>
      <c r="K80" s="6"/>
      <c r="L80" s="7" t="s">
        <v>6302</v>
      </c>
      <c r="M80" s="8">
        <v>22944</v>
      </c>
      <c r="N80" s="8" t="str">
        <f t="shared" si="10"/>
        <v>PEN</v>
      </c>
      <c r="O80" s="13"/>
      <c r="P80" s="13">
        <v>400</v>
      </c>
      <c r="Q80" s="3">
        <f t="shared" si="6"/>
        <v>400</v>
      </c>
      <c r="R80" s="3">
        <f t="shared" si="7"/>
        <v>0</v>
      </c>
      <c r="S80" s="3">
        <f t="shared" si="8"/>
        <v>1200.8999999999999</v>
      </c>
      <c r="T80" s="24"/>
      <c r="U80" s="24"/>
      <c r="V80" s="3"/>
      <c r="W80" s="25"/>
      <c r="X80" s="25"/>
      <c r="Y80" s="25" t="str">
        <f>IFERROR(VLOOKUP(C_Ope_005[[#This Row],[NOTA 2]],Clientes_Proveedores[[Ruc / Dni]:[Razon Social]],2,0),"")</f>
        <v/>
      </c>
      <c r="Z80" s="25"/>
      <c r="AA80" s="25">
        <f>ROUND(C_Ope_005[[#This Row],[MONTO ]]/1.18,3)</f>
        <v>338.983</v>
      </c>
      <c r="AB80" s="3" t="str">
        <f>IF(C_Ope_005[[#This Row],[FECHA]]&gt;0,TEXT(C_Ope_005[[#This Row],[FECHA]],"mmmm"),0)</f>
        <v>Febrero</v>
      </c>
    </row>
    <row r="81" spans="2:28" x14ac:dyDescent="0.3">
      <c r="B81" s="2">
        <f>IF(C_Ope_005[[#This Row],[TIPO DE R.]]="R",COUNTIFS($D$4:$D80,"R")+1,"")</f>
        <v>77</v>
      </c>
      <c r="C81" s="19" t="str">
        <f t="shared" si="9"/>
        <v>C_Ope_005</v>
      </c>
      <c r="D81" s="3" t="s">
        <v>1074</v>
      </c>
      <c r="E81" s="14">
        <v>45694</v>
      </c>
      <c r="F81" s="5" t="s">
        <v>7166</v>
      </c>
      <c r="G81" s="5" t="s">
        <v>1079</v>
      </c>
      <c r="H81" s="6"/>
      <c r="I81" s="6" t="s">
        <v>14</v>
      </c>
      <c r="J81" s="6" t="s">
        <v>1119</v>
      </c>
      <c r="K81" s="6">
        <v>62019</v>
      </c>
      <c r="L81" s="7" t="s">
        <v>7212</v>
      </c>
      <c r="M81" s="8">
        <v>22951</v>
      </c>
      <c r="N81" s="8" t="str">
        <f t="shared" si="10"/>
        <v>PEN</v>
      </c>
      <c r="O81" s="13"/>
      <c r="P81" s="13">
        <v>100</v>
      </c>
      <c r="Q81" s="3">
        <f t="shared" si="6"/>
        <v>0</v>
      </c>
      <c r="R81" s="3">
        <f t="shared" si="7"/>
        <v>100</v>
      </c>
      <c r="S81" s="3">
        <f t="shared" si="8"/>
        <v>1100.8999999999999</v>
      </c>
      <c r="T81" s="24"/>
      <c r="U81" s="24"/>
      <c r="V81" s="3"/>
      <c r="W81" s="25" t="s">
        <v>6546</v>
      </c>
      <c r="X81" s="25"/>
      <c r="Y81" s="25" t="str">
        <f>IFERROR(VLOOKUP(C_Ope_005[[#This Row],[NOTA 2]],Clientes_Proveedores[[Ruc / Dni]:[Razon Social]],2,0),"")</f>
        <v/>
      </c>
      <c r="Z81" s="25"/>
      <c r="AA81" s="25"/>
      <c r="AB81" s="3" t="str">
        <f>IF(C_Ope_005[[#This Row],[FECHA]]&gt;0,TEXT(C_Ope_005[[#This Row],[FECHA]],"mmmm"),0)</f>
        <v>Febrero</v>
      </c>
    </row>
    <row r="82" spans="2:28" ht="24" x14ac:dyDescent="0.3">
      <c r="B82" s="2">
        <f>IF(C_Ope_005[[#This Row],[TIPO DE R.]]="R",COUNTIFS($D$4:$D81,"R")+1,"")</f>
        <v>78</v>
      </c>
      <c r="C82" s="19" t="str">
        <f t="shared" si="9"/>
        <v>C_Ope_005</v>
      </c>
      <c r="D82" s="3" t="s">
        <v>1074</v>
      </c>
      <c r="E82" s="14">
        <v>45691</v>
      </c>
      <c r="F82" s="5" t="s">
        <v>7166</v>
      </c>
      <c r="G82" s="5" t="s">
        <v>1079</v>
      </c>
      <c r="H82" s="6"/>
      <c r="I82" s="6" t="s">
        <v>14</v>
      </c>
      <c r="J82" s="6" t="s">
        <v>5244</v>
      </c>
      <c r="K82" s="6">
        <v>1647606</v>
      </c>
      <c r="L82" s="7" t="s">
        <v>7213</v>
      </c>
      <c r="M82" s="8">
        <v>22866</v>
      </c>
      <c r="N82" s="8" t="str">
        <f t="shared" si="10"/>
        <v>PEN</v>
      </c>
      <c r="O82" s="13"/>
      <c r="P82" s="13">
        <v>8</v>
      </c>
      <c r="Q82" s="3">
        <f t="shared" si="6"/>
        <v>0</v>
      </c>
      <c r="R82" s="3">
        <f t="shared" si="7"/>
        <v>8</v>
      </c>
      <c r="S82" s="3">
        <f t="shared" si="8"/>
        <v>1092.8999999999999</v>
      </c>
      <c r="T82" s="24"/>
      <c r="U82" s="24"/>
      <c r="V82" s="3"/>
      <c r="W82" s="25" t="s">
        <v>6546</v>
      </c>
      <c r="X82" s="25"/>
      <c r="Y82" s="25" t="str">
        <f>IFERROR(VLOOKUP(C_Ope_005[[#This Row],[NOTA 2]],Clientes_Proveedores[[Ruc / Dni]:[Razon Social]],2,0),"")</f>
        <v/>
      </c>
      <c r="Z82" s="25"/>
      <c r="AA82" s="25"/>
      <c r="AB82" s="3" t="str">
        <f>IF(C_Ope_005[[#This Row],[FECHA]]&gt;0,TEXT(C_Ope_005[[#This Row],[FECHA]],"mmmm"),0)</f>
        <v>Febrero</v>
      </c>
    </row>
    <row r="83" spans="2:28" ht="24" x14ac:dyDescent="0.3">
      <c r="B83" s="2">
        <f>IF(C_Ope_005[[#This Row],[TIPO DE R.]]="R",COUNTIFS($D$4:$D82,"R")+1,"")</f>
        <v>79</v>
      </c>
      <c r="C83" s="19" t="str">
        <f t="shared" si="9"/>
        <v>C_Ope_005</v>
      </c>
      <c r="D83" s="3" t="s">
        <v>1074</v>
      </c>
      <c r="E83" s="14">
        <v>45691</v>
      </c>
      <c r="F83" s="5" t="s">
        <v>7166</v>
      </c>
      <c r="G83" s="5" t="s">
        <v>1079</v>
      </c>
      <c r="H83" s="6"/>
      <c r="I83" s="6" t="s">
        <v>14</v>
      </c>
      <c r="J83" s="6" t="s">
        <v>5281</v>
      </c>
      <c r="K83" s="6">
        <v>915747</v>
      </c>
      <c r="L83" s="7" t="s">
        <v>7214</v>
      </c>
      <c r="M83" s="8">
        <v>22867</v>
      </c>
      <c r="N83" s="8" t="str">
        <f t="shared" si="10"/>
        <v>PEN</v>
      </c>
      <c r="O83" s="13"/>
      <c r="P83" s="13">
        <v>8</v>
      </c>
      <c r="Q83" s="3">
        <f t="shared" si="6"/>
        <v>0</v>
      </c>
      <c r="R83" s="3">
        <f t="shared" si="7"/>
        <v>8</v>
      </c>
      <c r="S83" s="3">
        <f t="shared" si="8"/>
        <v>1084.8999999999999</v>
      </c>
      <c r="T83" s="24"/>
      <c r="U83" s="24"/>
      <c r="V83" s="3"/>
      <c r="W83" s="25" t="s">
        <v>6546</v>
      </c>
      <c r="X83" s="25"/>
      <c r="Y83" s="25" t="str">
        <f>IFERROR(VLOOKUP(C_Ope_005[[#This Row],[NOTA 2]],Clientes_Proveedores[[Ruc / Dni]:[Razon Social]],2,0),"")</f>
        <v/>
      </c>
      <c r="Z83" s="25"/>
      <c r="AA83" s="25"/>
      <c r="AB83" s="3" t="str">
        <f>IF(C_Ope_005[[#This Row],[FECHA]]&gt;0,TEXT(C_Ope_005[[#This Row],[FECHA]],"mmmm"),0)</f>
        <v>Febrero</v>
      </c>
    </row>
    <row r="84" spans="2:28" ht="24" x14ac:dyDescent="0.3">
      <c r="B84" s="2">
        <f>IF(C_Ope_005[[#This Row],[TIPO DE R.]]="R",COUNTIFS($D$4:$D83,"R")+1,"")</f>
        <v>80</v>
      </c>
      <c r="C84" s="19" t="str">
        <f t="shared" si="9"/>
        <v>C_Ope_005</v>
      </c>
      <c r="D84" s="3" t="s">
        <v>1074</v>
      </c>
      <c r="E84" s="14">
        <v>45691</v>
      </c>
      <c r="F84" s="5" t="s">
        <v>7166</v>
      </c>
      <c r="G84" s="5" t="s">
        <v>1079</v>
      </c>
      <c r="H84" s="6"/>
      <c r="I84" s="6" t="s">
        <v>14</v>
      </c>
      <c r="J84" s="6" t="s">
        <v>6559</v>
      </c>
      <c r="K84" s="6">
        <v>366144</v>
      </c>
      <c r="L84" s="7" t="s">
        <v>7214</v>
      </c>
      <c r="M84" s="8">
        <v>22868</v>
      </c>
      <c r="N84" s="8" t="str">
        <f t="shared" si="10"/>
        <v>PEN</v>
      </c>
      <c r="O84" s="13"/>
      <c r="P84" s="13">
        <v>8</v>
      </c>
      <c r="Q84" s="3">
        <f t="shared" si="6"/>
        <v>0</v>
      </c>
      <c r="R84" s="3">
        <f t="shared" si="7"/>
        <v>8</v>
      </c>
      <c r="S84" s="3">
        <f t="shared" si="8"/>
        <v>1076.8999999999999</v>
      </c>
      <c r="T84" s="24"/>
      <c r="U84" s="24"/>
      <c r="V84" s="3"/>
      <c r="W84" s="25" t="s">
        <v>6546</v>
      </c>
      <c r="X84" s="25"/>
      <c r="Y84" s="25" t="str">
        <f>IFERROR(VLOOKUP(C_Ope_005[[#This Row],[NOTA 2]],Clientes_Proveedores[[Ruc / Dni]:[Razon Social]],2,0),"")</f>
        <v/>
      </c>
      <c r="Z84" s="25"/>
      <c r="AA84" s="25"/>
      <c r="AB84" s="3" t="str">
        <f>IF(C_Ope_005[[#This Row],[FECHA]]&gt;0,TEXT(C_Ope_005[[#This Row],[FECHA]],"mmmm"),0)</f>
        <v>Febrero</v>
      </c>
    </row>
    <row r="85" spans="2:28" ht="24" x14ac:dyDescent="0.3">
      <c r="B85" s="2">
        <f>IF(C_Ope_005[[#This Row],[TIPO DE R.]]="R",COUNTIFS($D$4:$D84,"R")+1,"")</f>
        <v>81</v>
      </c>
      <c r="C85" s="19" t="str">
        <f t="shared" si="9"/>
        <v>C_Ope_005</v>
      </c>
      <c r="D85" s="3" t="s">
        <v>1074</v>
      </c>
      <c r="E85" s="14">
        <v>45693</v>
      </c>
      <c r="F85" s="5" t="s">
        <v>7166</v>
      </c>
      <c r="G85" s="5" t="s">
        <v>1079</v>
      </c>
      <c r="H85" s="6"/>
      <c r="I85" s="6" t="s">
        <v>14</v>
      </c>
      <c r="J85" s="6" t="s">
        <v>5244</v>
      </c>
      <c r="K85" s="6">
        <v>1649421</v>
      </c>
      <c r="L85" s="7" t="s">
        <v>6602</v>
      </c>
      <c r="M85" s="8">
        <v>22895</v>
      </c>
      <c r="N85" s="8" t="str">
        <f t="shared" si="10"/>
        <v>PEN</v>
      </c>
      <c r="O85" s="13"/>
      <c r="P85" s="13">
        <v>8</v>
      </c>
      <c r="Q85" s="3">
        <f t="shared" si="6"/>
        <v>0</v>
      </c>
      <c r="R85" s="3">
        <f t="shared" si="7"/>
        <v>8</v>
      </c>
      <c r="S85" s="3">
        <f t="shared" si="8"/>
        <v>1068.8999999999999</v>
      </c>
      <c r="T85" s="24"/>
      <c r="U85" s="24"/>
      <c r="V85" s="3"/>
      <c r="W85" s="25" t="s">
        <v>6546</v>
      </c>
      <c r="X85" s="25"/>
      <c r="Y85" s="25" t="str">
        <f>IFERROR(VLOOKUP(C_Ope_005[[#This Row],[NOTA 2]],Clientes_Proveedores[[Ruc / Dni]:[Razon Social]],2,0),"")</f>
        <v/>
      </c>
      <c r="Z85" s="25"/>
      <c r="AA85" s="25"/>
      <c r="AB85" s="3" t="str">
        <f>IF(C_Ope_005[[#This Row],[FECHA]]&gt;0,TEXT(C_Ope_005[[#This Row],[FECHA]],"mmmm"),0)</f>
        <v>Febrero</v>
      </c>
    </row>
    <row r="86" spans="2:28" ht="24" x14ac:dyDescent="0.3">
      <c r="B86" s="2">
        <f>IF(C_Ope_005[[#This Row],[TIPO DE R.]]="R",COUNTIFS($D$4:$D85,"R")+1,"")</f>
        <v>82</v>
      </c>
      <c r="C86" s="19" t="str">
        <f t="shared" si="9"/>
        <v>C_Ope_005</v>
      </c>
      <c r="D86" s="3" t="s">
        <v>1074</v>
      </c>
      <c r="E86" s="14">
        <v>45694</v>
      </c>
      <c r="F86" s="5" t="s">
        <v>7166</v>
      </c>
      <c r="G86" s="5" t="s">
        <v>1079</v>
      </c>
      <c r="H86" s="6"/>
      <c r="I86" s="6" t="s">
        <v>14</v>
      </c>
      <c r="J86" s="6" t="s">
        <v>5244</v>
      </c>
      <c r="K86" s="6">
        <v>1650152</v>
      </c>
      <c r="L86" s="7" t="s">
        <v>7215</v>
      </c>
      <c r="M86" s="8">
        <v>22947</v>
      </c>
      <c r="N86" s="8" t="str">
        <f t="shared" si="10"/>
        <v>PEN</v>
      </c>
      <c r="O86" s="13"/>
      <c r="P86" s="13">
        <v>8</v>
      </c>
      <c r="Q86" s="3">
        <f t="shared" si="6"/>
        <v>0</v>
      </c>
      <c r="R86" s="3">
        <f t="shared" si="7"/>
        <v>8</v>
      </c>
      <c r="S86" s="3">
        <f t="shared" si="8"/>
        <v>1060.8999999999999</v>
      </c>
      <c r="T86" s="24"/>
      <c r="U86" s="24"/>
      <c r="V86" s="3"/>
      <c r="W86" s="25" t="s">
        <v>6546</v>
      </c>
      <c r="X86" s="25"/>
      <c r="Y86" s="25" t="str">
        <f>IFERROR(VLOOKUP(C_Ope_005[[#This Row],[NOTA 2]],Clientes_Proveedores[[Ruc / Dni]:[Razon Social]],2,0),"")</f>
        <v/>
      </c>
      <c r="Z86" s="25"/>
      <c r="AA86" s="25"/>
      <c r="AB86" s="3" t="str">
        <f>IF(C_Ope_005[[#This Row],[FECHA]]&gt;0,TEXT(C_Ope_005[[#This Row],[FECHA]],"mmmm"),0)</f>
        <v>Febrero</v>
      </c>
    </row>
    <row r="87" spans="2:28" ht="24" x14ac:dyDescent="0.3">
      <c r="B87" s="2">
        <f>IF(C_Ope_005[[#This Row],[TIPO DE R.]]="R",COUNTIFS($D$4:$D86,"R")+1,"")</f>
        <v>83</v>
      </c>
      <c r="C87" s="19" t="str">
        <f t="shared" si="9"/>
        <v>C_Ope_005</v>
      </c>
      <c r="D87" s="3" t="s">
        <v>1074</v>
      </c>
      <c r="E87" s="14">
        <v>45694</v>
      </c>
      <c r="F87" s="5" t="s">
        <v>7166</v>
      </c>
      <c r="G87" s="5" t="s">
        <v>1079</v>
      </c>
      <c r="H87" s="6"/>
      <c r="I87" s="6" t="s">
        <v>14</v>
      </c>
      <c r="J87" s="6" t="s">
        <v>6690</v>
      </c>
      <c r="K87" s="6">
        <v>716400</v>
      </c>
      <c r="L87" s="7" t="s">
        <v>7216</v>
      </c>
      <c r="M87" s="8">
        <v>22948</v>
      </c>
      <c r="N87" s="8" t="str">
        <f t="shared" si="10"/>
        <v>PEN</v>
      </c>
      <c r="O87" s="13"/>
      <c r="P87" s="13">
        <v>15.7</v>
      </c>
      <c r="Q87" s="3">
        <f t="shared" si="6"/>
        <v>0</v>
      </c>
      <c r="R87" s="3">
        <f t="shared" si="7"/>
        <v>15.7</v>
      </c>
      <c r="S87" s="3">
        <f t="shared" si="8"/>
        <v>1045.1999999999998</v>
      </c>
      <c r="T87" s="24"/>
      <c r="U87" s="24"/>
      <c r="V87" s="3"/>
      <c r="W87" s="25" t="s">
        <v>6546</v>
      </c>
      <c r="X87" s="25"/>
      <c r="Y87" s="25" t="str">
        <f>IFERROR(VLOOKUP(C_Ope_005[[#This Row],[NOTA 2]],Clientes_Proveedores[[Ruc / Dni]:[Razon Social]],2,0),"")</f>
        <v/>
      </c>
      <c r="Z87" s="25"/>
      <c r="AA87" s="25"/>
      <c r="AB87" s="3" t="str">
        <f>IF(C_Ope_005[[#This Row],[FECHA]]&gt;0,TEXT(C_Ope_005[[#This Row],[FECHA]],"mmmm"),0)</f>
        <v>Febrero</v>
      </c>
    </row>
    <row r="88" spans="2:28" ht="24" x14ac:dyDescent="0.3">
      <c r="B88" s="2">
        <f>IF(C_Ope_005[[#This Row],[TIPO DE R.]]="R",COUNTIFS($D$4:$D87,"R")+1,"")</f>
        <v>84</v>
      </c>
      <c r="C88" s="19" t="str">
        <f t="shared" si="9"/>
        <v>C_Ope_005</v>
      </c>
      <c r="D88" s="3" t="s">
        <v>1074</v>
      </c>
      <c r="E88" s="14">
        <v>45694</v>
      </c>
      <c r="F88" s="5" t="s">
        <v>7166</v>
      </c>
      <c r="G88" s="5" t="s">
        <v>1079</v>
      </c>
      <c r="H88" s="6"/>
      <c r="I88" s="6" t="s">
        <v>14</v>
      </c>
      <c r="J88" s="6" t="s">
        <v>3128</v>
      </c>
      <c r="K88" s="6">
        <v>856467</v>
      </c>
      <c r="L88" s="7" t="s">
        <v>7217</v>
      </c>
      <c r="M88" s="8">
        <v>22949</v>
      </c>
      <c r="N88" s="8" t="str">
        <f t="shared" si="10"/>
        <v>PEN</v>
      </c>
      <c r="O88" s="13"/>
      <c r="P88" s="13">
        <v>15.7</v>
      </c>
      <c r="Q88" s="3">
        <f t="shared" si="6"/>
        <v>0</v>
      </c>
      <c r="R88" s="3">
        <f t="shared" si="7"/>
        <v>15.7</v>
      </c>
      <c r="S88" s="3">
        <f t="shared" si="8"/>
        <v>1029.4999999999998</v>
      </c>
      <c r="T88" s="24"/>
      <c r="U88" s="24"/>
      <c r="V88" s="3"/>
      <c r="W88" s="25" t="s">
        <v>6546</v>
      </c>
      <c r="X88" s="25"/>
      <c r="Y88" s="25" t="str">
        <f>IFERROR(VLOOKUP(C_Ope_005[[#This Row],[NOTA 2]],Clientes_Proveedores[[Ruc / Dni]:[Razon Social]],2,0),"")</f>
        <v/>
      </c>
      <c r="Z88" s="25"/>
      <c r="AA88" s="25"/>
      <c r="AB88" s="3" t="str">
        <f>IF(C_Ope_005[[#This Row],[FECHA]]&gt;0,TEXT(C_Ope_005[[#This Row],[FECHA]],"mmmm"),0)</f>
        <v>Febrero</v>
      </c>
    </row>
    <row r="89" spans="2:28" ht="24" x14ac:dyDescent="0.3">
      <c r="B89" s="2">
        <f>IF(C_Ope_005[[#This Row],[TIPO DE R.]]="R",COUNTIFS($D$4:$D88,"R")+1,"")</f>
        <v>85</v>
      </c>
      <c r="C89" s="19" t="str">
        <f t="shared" si="9"/>
        <v>C_Ope_005</v>
      </c>
      <c r="D89" s="3" t="s">
        <v>1074</v>
      </c>
      <c r="E89" s="14">
        <v>45694</v>
      </c>
      <c r="F89" s="5" t="s">
        <v>7166</v>
      </c>
      <c r="G89" s="5" t="s">
        <v>1079</v>
      </c>
      <c r="H89" s="6"/>
      <c r="I89" s="6" t="s">
        <v>14</v>
      </c>
      <c r="J89" s="6" t="s">
        <v>6561</v>
      </c>
      <c r="K89" s="6">
        <v>670956</v>
      </c>
      <c r="L89" s="7" t="s">
        <v>7218</v>
      </c>
      <c r="M89" s="8">
        <v>22950</v>
      </c>
      <c r="N89" s="8" t="str">
        <f t="shared" si="10"/>
        <v>PEN</v>
      </c>
      <c r="O89" s="13"/>
      <c r="P89" s="13">
        <v>15.7</v>
      </c>
      <c r="Q89" s="3">
        <f t="shared" si="6"/>
        <v>0</v>
      </c>
      <c r="R89" s="3">
        <f t="shared" si="7"/>
        <v>15.7</v>
      </c>
      <c r="S89" s="3">
        <f t="shared" si="8"/>
        <v>1013.7999999999997</v>
      </c>
      <c r="T89" s="24"/>
      <c r="U89" s="24"/>
      <c r="V89" s="3"/>
      <c r="W89" s="25" t="s">
        <v>6546</v>
      </c>
      <c r="X89" s="25"/>
      <c r="Y89" s="25" t="str">
        <f>IFERROR(VLOOKUP(C_Ope_005[[#This Row],[NOTA 2]],Clientes_Proveedores[[Ruc / Dni]:[Razon Social]],2,0),"")</f>
        <v/>
      </c>
      <c r="Z89" s="25"/>
      <c r="AA89" s="25"/>
      <c r="AB89" s="3" t="str">
        <f>IF(C_Ope_005[[#This Row],[FECHA]]&gt;0,TEXT(C_Ope_005[[#This Row],[FECHA]],"mmmm"),0)</f>
        <v>Febrero</v>
      </c>
    </row>
    <row r="90" spans="2:28" ht="24" x14ac:dyDescent="0.3">
      <c r="B90" s="2">
        <f>IF(C_Ope_005[[#This Row],[TIPO DE R.]]="R",COUNTIFS($D$4:$D89,"R")+1,"")</f>
        <v>86</v>
      </c>
      <c r="C90" s="19" t="str">
        <f t="shared" si="9"/>
        <v>C_Ope_005</v>
      </c>
      <c r="D90" s="3" t="s">
        <v>1074</v>
      </c>
      <c r="E90" s="14">
        <v>45691</v>
      </c>
      <c r="F90" s="5" t="s">
        <v>7166</v>
      </c>
      <c r="G90" s="5" t="s">
        <v>1079</v>
      </c>
      <c r="H90" s="6"/>
      <c r="I90" s="6" t="s">
        <v>14</v>
      </c>
      <c r="J90" s="6" t="s">
        <v>1119</v>
      </c>
      <c r="K90" s="6">
        <v>16763</v>
      </c>
      <c r="L90" s="7" t="s">
        <v>7219</v>
      </c>
      <c r="M90" s="8">
        <v>22869</v>
      </c>
      <c r="N90" s="8" t="str">
        <f t="shared" si="10"/>
        <v>PEN</v>
      </c>
      <c r="O90" s="13"/>
      <c r="P90" s="13">
        <v>11</v>
      </c>
      <c r="Q90" s="3">
        <f t="shared" si="6"/>
        <v>0</v>
      </c>
      <c r="R90" s="3">
        <f t="shared" si="7"/>
        <v>11</v>
      </c>
      <c r="S90" s="3">
        <f t="shared" si="8"/>
        <v>1002.7999999999997</v>
      </c>
      <c r="T90" s="24"/>
      <c r="U90" s="24"/>
      <c r="V90" s="3"/>
      <c r="W90" s="25" t="s">
        <v>6546</v>
      </c>
      <c r="X90" s="25"/>
      <c r="Y90" s="25" t="str">
        <f>IFERROR(VLOOKUP(C_Ope_005[[#This Row],[NOTA 2]],Clientes_Proveedores[[Ruc / Dni]:[Razon Social]],2,0),"")</f>
        <v/>
      </c>
      <c r="Z90" s="25"/>
      <c r="AA90" s="25"/>
      <c r="AB90" s="3" t="str">
        <f>IF(C_Ope_005[[#This Row],[FECHA]]&gt;0,TEXT(C_Ope_005[[#This Row],[FECHA]],"mmmm"),0)</f>
        <v>Febrero</v>
      </c>
    </row>
    <row r="91" spans="2:28" x14ac:dyDescent="0.3">
      <c r="B91" s="2">
        <f>IF(C_Ope_005[[#This Row],[TIPO DE R.]]="R",COUNTIFS($D$4:$D90,"R")+1,"")</f>
        <v>87</v>
      </c>
      <c r="C91" s="19" t="str">
        <f t="shared" si="9"/>
        <v>C_Ope_005</v>
      </c>
      <c r="D91" s="3" t="s">
        <v>1074</v>
      </c>
      <c r="E91" s="14">
        <v>45692</v>
      </c>
      <c r="F91" s="5" t="s">
        <v>7166</v>
      </c>
      <c r="G91" s="5" t="s">
        <v>1079</v>
      </c>
      <c r="H91" s="6"/>
      <c r="I91" s="6" t="s">
        <v>14</v>
      </c>
      <c r="J91" s="6" t="s">
        <v>1148</v>
      </c>
      <c r="K91" s="6">
        <v>11746</v>
      </c>
      <c r="L91" s="7" t="s">
        <v>7220</v>
      </c>
      <c r="M91" s="8">
        <v>22872</v>
      </c>
      <c r="N91" s="8" t="str">
        <f t="shared" si="10"/>
        <v>PEN</v>
      </c>
      <c r="O91" s="13"/>
      <c r="P91" s="13">
        <v>10</v>
      </c>
      <c r="Q91" s="3">
        <f t="shared" si="6"/>
        <v>0</v>
      </c>
      <c r="R91" s="3">
        <f t="shared" si="7"/>
        <v>10</v>
      </c>
      <c r="S91" s="3">
        <f t="shared" si="8"/>
        <v>992.79999999999973</v>
      </c>
      <c r="T91" s="24"/>
      <c r="U91" s="24"/>
      <c r="V91" s="3"/>
      <c r="W91" s="25" t="s">
        <v>6546</v>
      </c>
      <c r="X91" s="25"/>
      <c r="Y91" s="25" t="str">
        <f>IFERROR(VLOOKUP(C_Ope_005[[#This Row],[NOTA 2]],Clientes_Proveedores[[Ruc / Dni]:[Razon Social]],2,0),"")</f>
        <v/>
      </c>
      <c r="Z91" s="25"/>
      <c r="AA91" s="25"/>
      <c r="AB91" s="3" t="str">
        <f>IF(C_Ope_005[[#This Row],[FECHA]]&gt;0,TEXT(C_Ope_005[[#This Row],[FECHA]],"mmmm"),0)</f>
        <v>Febrero</v>
      </c>
    </row>
    <row r="92" spans="2:28" x14ac:dyDescent="0.3">
      <c r="B92" s="2">
        <f>IF(C_Ope_005[[#This Row],[TIPO DE R.]]="R",COUNTIFS($D$4:$D91,"R")+1,"")</f>
        <v>88</v>
      </c>
      <c r="C92" s="19" t="str">
        <f t="shared" si="9"/>
        <v>C_Ope_005</v>
      </c>
      <c r="D92" s="3" t="s">
        <v>1074</v>
      </c>
      <c r="E92" s="14">
        <v>45692</v>
      </c>
      <c r="F92" s="5" t="s">
        <v>7166</v>
      </c>
      <c r="G92" s="5" t="s">
        <v>1079</v>
      </c>
      <c r="H92" s="6"/>
      <c r="I92" s="6" t="s">
        <v>14</v>
      </c>
      <c r="J92" s="6" t="s">
        <v>6561</v>
      </c>
      <c r="K92" s="6">
        <v>5158</v>
      </c>
      <c r="L92" s="7" t="s">
        <v>7221</v>
      </c>
      <c r="M92" s="8">
        <v>22874</v>
      </c>
      <c r="N92" s="8" t="str">
        <f t="shared" si="10"/>
        <v>PEN</v>
      </c>
      <c r="O92" s="13"/>
      <c r="P92" s="13">
        <v>10</v>
      </c>
      <c r="Q92" s="3">
        <f t="shared" si="6"/>
        <v>0</v>
      </c>
      <c r="R92" s="3">
        <f t="shared" si="7"/>
        <v>10</v>
      </c>
      <c r="S92" s="3">
        <f t="shared" si="8"/>
        <v>982.79999999999973</v>
      </c>
      <c r="T92" s="24"/>
      <c r="U92" s="24"/>
      <c r="V92" s="3"/>
      <c r="W92" s="25" t="s">
        <v>6546</v>
      </c>
      <c r="X92" s="25"/>
      <c r="Y92" s="25" t="str">
        <f>IFERROR(VLOOKUP(C_Ope_005[[#This Row],[NOTA 2]],Clientes_Proveedores[[Ruc / Dni]:[Razon Social]],2,0),"")</f>
        <v/>
      </c>
      <c r="Z92" s="25"/>
      <c r="AA92" s="25"/>
      <c r="AB92" s="3" t="str">
        <f>IF(C_Ope_005[[#This Row],[FECHA]]&gt;0,TEXT(C_Ope_005[[#This Row],[FECHA]],"mmmm"),0)</f>
        <v>Febrero</v>
      </c>
    </row>
    <row r="93" spans="2:28" x14ac:dyDescent="0.3">
      <c r="B93" s="2">
        <f>IF(C_Ope_005[[#This Row],[TIPO DE R.]]="R",COUNTIFS($D$4:$D92,"R")+1,"")</f>
        <v>89</v>
      </c>
      <c r="C93" s="19" t="str">
        <f t="shared" si="9"/>
        <v>C_Ope_005</v>
      </c>
      <c r="D93" s="3" t="s">
        <v>1074</v>
      </c>
      <c r="E93" s="14">
        <v>45694</v>
      </c>
      <c r="F93" s="5" t="s">
        <v>7166</v>
      </c>
      <c r="G93" s="5" t="s">
        <v>1079</v>
      </c>
      <c r="H93" s="6"/>
      <c r="I93" s="6"/>
      <c r="J93" s="6"/>
      <c r="K93" s="6"/>
      <c r="L93" s="7" t="s">
        <v>6897</v>
      </c>
      <c r="M93" s="8">
        <v>22952</v>
      </c>
      <c r="N93" s="8" t="str">
        <f t="shared" si="10"/>
        <v>PEN</v>
      </c>
      <c r="O93" s="13"/>
      <c r="P93" s="13">
        <v>24</v>
      </c>
      <c r="Q93" s="3">
        <f t="shared" si="6"/>
        <v>0</v>
      </c>
      <c r="R93" s="3">
        <f t="shared" si="7"/>
        <v>24</v>
      </c>
      <c r="S93" s="3">
        <f t="shared" si="8"/>
        <v>958.79999999999973</v>
      </c>
      <c r="T93" s="24"/>
      <c r="U93" s="24"/>
      <c r="V93" s="3"/>
      <c r="W93" s="25" t="s">
        <v>6546</v>
      </c>
      <c r="X93" s="25"/>
      <c r="Y93" s="25" t="str">
        <f>IFERROR(VLOOKUP(C_Ope_005[[#This Row],[NOTA 2]],Clientes_Proveedores[[Ruc / Dni]:[Razon Social]],2,0),"")</f>
        <v/>
      </c>
      <c r="Z93" s="25"/>
      <c r="AA93" s="25"/>
      <c r="AB93" s="3" t="str">
        <f>IF(C_Ope_005[[#This Row],[FECHA]]&gt;0,TEXT(C_Ope_005[[#This Row],[FECHA]],"mmmm"),0)</f>
        <v>Febrero</v>
      </c>
    </row>
    <row r="94" spans="2:28" x14ac:dyDescent="0.3">
      <c r="B94" s="2">
        <f>IF(C_Ope_005[[#This Row],[TIPO DE R.]]="R",COUNTIFS($D$4:$D93,"R")+1,"")</f>
        <v>90</v>
      </c>
      <c r="C94" s="19" t="str">
        <f t="shared" si="9"/>
        <v>C_Ope_005</v>
      </c>
      <c r="D94" s="3" t="s">
        <v>1074</v>
      </c>
      <c r="E94" s="14">
        <v>45694</v>
      </c>
      <c r="F94" s="5" t="s">
        <v>7166</v>
      </c>
      <c r="G94" s="5" t="s">
        <v>1079</v>
      </c>
      <c r="H94" s="6"/>
      <c r="I94" s="6"/>
      <c r="J94" s="6"/>
      <c r="K94" s="6"/>
      <c r="L94" s="7" t="s">
        <v>6889</v>
      </c>
      <c r="M94" s="8">
        <v>22953</v>
      </c>
      <c r="N94" s="8" t="str">
        <f t="shared" si="10"/>
        <v>PEN</v>
      </c>
      <c r="O94" s="13"/>
      <c r="P94" s="13">
        <v>30</v>
      </c>
      <c r="Q94" s="3">
        <f t="shared" si="6"/>
        <v>0</v>
      </c>
      <c r="R94" s="3">
        <f t="shared" si="7"/>
        <v>30</v>
      </c>
      <c r="S94" s="3">
        <f t="shared" si="8"/>
        <v>928.79999999999973</v>
      </c>
      <c r="T94" s="24"/>
      <c r="U94" s="24"/>
      <c r="V94" s="3"/>
      <c r="W94" s="25" t="s">
        <v>6546</v>
      </c>
      <c r="X94" s="25"/>
      <c r="Y94" s="25" t="str">
        <f>IFERROR(VLOOKUP(C_Ope_005[[#This Row],[NOTA 2]],Clientes_Proveedores[[Ruc / Dni]:[Razon Social]],2,0),"")</f>
        <v/>
      </c>
      <c r="Z94" s="25"/>
      <c r="AA94" s="25"/>
      <c r="AB94" s="3" t="str">
        <f>IF(C_Ope_005[[#This Row],[FECHA]]&gt;0,TEXT(C_Ope_005[[#This Row],[FECHA]],"mmmm"),0)</f>
        <v>Febrero</v>
      </c>
    </row>
    <row r="95" spans="2:28" x14ac:dyDescent="0.3">
      <c r="B95" s="2">
        <f>IF(C_Ope_005[[#This Row],[TIPO DE R.]]="R",COUNTIFS($D$4:$D94,"R")+1,"")</f>
        <v>91</v>
      </c>
      <c r="C95" s="19" t="str">
        <f t="shared" si="9"/>
        <v>C_Ope_005</v>
      </c>
      <c r="D95" s="3" t="s">
        <v>1074</v>
      </c>
      <c r="E95" s="14">
        <v>45694</v>
      </c>
      <c r="F95" s="5" t="s">
        <v>7166</v>
      </c>
      <c r="G95" s="5" t="s">
        <v>1079</v>
      </c>
      <c r="H95" s="6"/>
      <c r="I95" s="6"/>
      <c r="J95" s="6"/>
      <c r="K95" s="6"/>
      <c r="L95" s="7" t="s">
        <v>6903</v>
      </c>
      <c r="M95" s="8">
        <v>22954</v>
      </c>
      <c r="N95" s="8" t="str">
        <f t="shared" si="10"/>
        <v>PEN</v>
      </c>
      <c r="O95" s="13"/>
      <c r="P95" s="13">
        <v>24</v>
      </c>
      <c r="Q95" s="3">
        <f t="shared" si="6"/>
        <v>0</v>
      </c>
      <c r="R95" s="3">
        <f t="shared" si="7"/>
        <v>24</v>
      </c>
      <c r="S95" s="3">
        <f t="shared" si="8"/>
        <v>904.79999999999973</v>
      </c>
      <c r="T95" s="24"/>
      <c r="U95" s="24"/>
      <c r="V95" s="3"/>
      <c r="W95" s="25" t="s">
        <v>6546</v>
      </c>
      <c r="X95" s="25"/>
      <c r="Y95" s="25" t="str">
        <f>IFERROR(VLOOKUP(C_Ope_005[[#This Row],[NOTA 2]],Clientes_Proveedores[[Ruc / Dni]:[Razon Social]],2,0),"")</f>
        <v/>
      </c>
      <c r="Z95" s="25"/>
      <c r="AA95" s="25"/>
      <c r="AB95" s="3" t="str">
        <f>IF(C_Ope_005[[#This Row],[FECHA]]&gt;0,TEXT(C_Ope_005[[#This Row],[FECHA]],"mmmm"),0)</f>
        <v>Febrero</v>
      </c>
    </row>
    <row r="96" spans="2:28" x14ac:dyDescent="0.3">
      <c r="B96" s="2">
        <f>IF(C_Ope_005[[#This Row],[TIPO DE R.]]="R",COUNTIFS($D$4:$D95,"R")+1,"")</f>
        <v>92</v>
      </c>
      <c r="C96" s="19" t="str">
        <f t="shared" si="9"/>
        <v>C_Ope_005</v>
      </c>
      <c r="D96" s="3" t="s">
        <v>1074</v>
      </c>
      <c r="E96" s="14">
        <v>45694</v>
      </c>
      <c r="F96" s="5" t="s">
        <v>7166</v>
      </c>
      <c r="G96" s="5" t="s">
        <v>1079</v>
      </c>
      <c r="H96" s="6"/>
      <c r="I96" s="6"/>
      <c r="J96" s="6"/>
      <c r="K96" s="6"/>
      <c r="L96" s="7" t="s">
        <v>7222</v>
      </c>
      <c r="M96" s="8">
        <v>22955</v>
      </c>
      <c r="N96" s="8" t="str">
        <f t="shared" si="10"/>
        <v>PEN</v>
      </c>
      <c r="O96" s="13"/>
      <c r="P96" s="13">
        <v>100</v>
      </c>
      <c r="Q96" s="3">
        <f t="shared" si="6"/>
        <v>0</v>
      </c>
      <c r="R96" s="3">
        <f t="shared" si="7"/>
        <v>100</v>
      </c>
      <c r="S96" s="3">
        <f t="shared" si="8"/>
        <v>804.79999999999973</v>
      </c>
      <c r="T96" s="24"/>
      <c r="U96" s="24"/>
      <c r="V96" s="3"/>
      <c r="W96" s="25" t="s">
        <v>6546</v>
      </c>
      <c r="X96" s="25"/>
      <c r="Y96" s="25" t="str">
        <f>IFERROR(VLOOKUP(C_Ope_005[[#This Row],[NOTA 2]],Clientes_Proveedores[[Ruc / Dni]:[Razon Social]],2,0),"")</f>
        <v/>
      </c>
      <c r="Z96" s="25"/>
      <c r="AA96" s="25"/>
      <c r="AB96" s="3" t="str">
        <f>IF(C_Ope_005[[#This Row],[FECHA]]&gt;0,TEXT(C_Ope_005[[#This Row],[FECHA]],"mmmm"),0)</f>
        <v>Febrero</v>
      </c>
    </row>
    <row r="97" spans="2:28" x14ac:dyDescent="0.3">
      <c r="B97" s="2">
        <f>IF(C_Ope_005[[#This Row],[TIPO DE R.]]="R",COUNTIFS($D$4:$D96,"R")+1,"")</f>
        <v>93</v>
      </c>
      <c r="C97" s="19" t="str">
        <f t="shared" si="9"/>
        <v>C_Ope_005</v>
      </c>
      <c r="D97" s="3" t="s">
        <v>1074</v>
      </c>
      <c r="E97" s="14">
        <v>45694</v>
      </c>
      <c r="F97" s="5" t="s">
        <v>7166</v>
      </c>
      <c r="G97" s="5" t="s">
        <v>1079</v>
      </c>
      <c r="H97" s="6"/>
      <c r="I97" s="6"/>
      <c r="J97" s="6"/>
      <c r="K97" s="6"/>
      <c r="L97" s="7" t="s">
        <v>7223</v>
      </c>
      <c r="M97" s="8">
        <v>22956</v>
      </c>
      <c r="N97" s="8" t="str">
        <f t="shared" si="10"/>
        <v>PEN</v>
      </c>
      <c r="O97" s="13"/>
      <c r="P97" s="13">
        <v>15</v>
      </c>
      <c r="Q97" s="3">
        <f t="shared" si="6"/>
        <v>0</v>
      </c>
      <c r="R97" s="3">
        <f t="shared" si="7"/>
        <v>15</v>
      </c>
      <c r="S97" s="3">
        <f t="shared" si="8"/>
        <v>789.79999999999973</v>
      </c>
      <c r="T97" s="24"/>
      <c r="U97" s="24"/>
      <c r="V97" s="3"/>
      <c r="W97" s="25" t="s">
        <v>6546</v>
      </c>
      <c r="X97" s="25"/>
      <c r="Y97" s="25" t="str">
        <f>IFERROR(VLOOKUP(C_Ope_005[[#This Row],[NOTA 2]],Clientes_Proveedores[[Ruc / Dni]:[Razon Social]],2,0),"")</f>
        <v/>
      </c>
      <c r="Z97" s="25"/>
      <c r="AA97" s="25"/>
      <c r="AB97" s="3" t="str">
        <f>IF(C_Ope_005[[#This Row],[FECHA]]&gt;0,TEXT(C_Ope_005[[#This Row],[FECHA]],"mmmm"),0)</f>
        <v>Febrero</v>
      </c>
    </row>
    <row r="98" spans="2:28" x14ac:dyDescent="0.3">
      <c r="B98" s="2">
        <f>IF(C_Ope_005[[#This Row],[TIPO DE R.]]="R",COUNTIFS($D$4:$D97,"R")+1,"")</f>
        <v>94</v>
      </c>
      <c r="C98" s="19" t="str">
        <f t="shared" si="9"/>
        <v>C_Ope_005</v>
      </c>
      <c r="D98" s="3" t="s">
        <v>1074</v>
      </c>
      <c r="E98" s="14">
        <v>45695</v>
      </c>
      <c r="F98" s="5" t="s">
        <v>7166</v>
      </c>
      <c r="G98" s="5" t="s">
        <v>1079</v>
      </c>
      <c r="H98" s="6"/>
      <c r="I98" s="6"/>
      <c r="J98" s="6"/>
      <c r="K98" s="6"/>
      <c r="L98" s="7" t="s">
        <v>6897</v>
      </c>
      <c r="M98" s="8">
        <v>22957</v>
      </c>
      <c r="N98" s="8" t="str">
        <f t="shared" si="10"/>
        <v>PEN</v>
      </c>
      <c r="O98" s="13"/>
      <c r="P98" s="13">
        <v>24</v>
      </c>
      <c r="Q98" s="3">
        <f t="shared" si="6"/>
        <v>0</v>
      </c>
      <c r="R98" s="3">
        <f t="shared" si="7"/>
        <v>24</v>
      </c>
      <c r="S98" s="3">
        <f t="shared" si="8"/>
        <v>765.79999999999973</v>
      </c>
      <c r="T98" s="24"/>
      <c r="U98" s="24"/>
      <c r="V98" s="3"/>
      <c r="W98" s="25" t="s">
        <v>6546</v>
      </c>
      <c r="X98" s="25"/>
      <c r="Y98" s="25" t="str">
        <f>IFERROR(VLOOKUP(C_Ope_005[[#This Row],[NOTA 2]],Clientes_Proveedores[[Ruc / Dni]:[Razon Social]],2,0),"")</f>
        <v/>
      </c>
      <c r="Z98" s="25"/>
      <c r="AA98" s="25"/>
      <c r="AB98" s="3" t="str">
        <f>IF(C_Ope_005[[#This Row],[FECHA]]&gt;0,TEXT(C_Ope_005[[#This Row],[FECHA]],"mmmm"),0)</f>
        <v>Febrero</v>
      </c>
    </row>
    <row r="99" spans="2:28" x14ac:dyDescent="0.3">
      <c r="B99" s="2">
        <f>IF(C_Ope_005[[#This Row],[TIPO DE R.]]="R",COUNTIFS($D$4:$D98,"R")+1,"")</f>
        <v>95</v>
      </c>
      <c r="C99" s="19" t="str">
        <f t="shared" si="9"/>
        <v>C_Ope_005</v>
      </c>
      <c r="D99" s="3" t="s">
        <v>1074</v>
      </c>
      <c r="E99" s="14">
        <v>45702</v>
      </c>
      <c r="F99" s="5" t="s">
        <v>7166</v>
      </c>
      <c r="G99" s="5" t="s">
        <v>1079</v>
      </c>
      <c r="H99" s="6"/>
      <c r="I99" s="6" t="s">
        <v>14</v>
      </c>
      <c r="J99" s="6" t="s">
        <v>1119</v>
      </c>
      <c r="K99" s="6">
        <v>79510</v>
      </c>
      <c r="L99" s="7" t="s">
        <v>7224</v>
      </c>
      <c r="M99" s="8">
        <v>23052</v>
      </c>
      <c r="N99" s="8" t="str">
        <f t="shared" si="10"/>
        <v>PEN</v>
      </c>
      <c r="O99" s="13"/>
      <c r="P99" s="13">
        <v>200</v>
      </c>
      <c r="Q99" s="3">
        <f t="shared" si="6"/>
        <v>0</v>
      </c>
      <c r="R99" s="3">
        <f t="shared" si="7"/>
        <v>200</v>
      </c>
      <c r="S99" s="3">
        <f t="shared" si="8"/>
        <v>565.79999999999973</v>
      </c>
      <c r="T99" s="24"/>
      <c r="U99" s="24"/>
      <c r="V99" s="3"/>
      <c r="W99" s="25" t="s">
        <v>6546</v>
      </c>
      <c r="X99" s="25"/>
      <c r="Y99" s="25" t="str">
        <f>IFERROR(VLOOKUP(C_Ope_005[[#This Row],[NOTA 2]],Clientes_Proveedores[[Ruc / Dni]:[Razon Social]],2,0),"")</f>
        <v/>
      </c>
      <c r="Z99" s="25"/>
      <c r="AA99" s="25"/>
      <c r="AB99" s="3" t="str">
        <f>IF(C_Ope_005[[#This Row],[FECHA]]&gt;0,TEXT(C_Ope_005[[#This Row],[FECHA]],"mmmm"),0)</f>
        <v>Febrero</v>
      </c>
    </row>
    <row r="100" spans="2:28" ht="36" x14ac:dyDescent="0.3">
      <c r="B100" s="2">
        <f>IF(C_Ope_005[[#This Row],[TIPO DE R.]]="R",COUNTIFS($D$4:$D99,"R")+1,"")</f>
        <v>96</v>
      </c>
      <c r="C100" s="19" t="str">
        <f t="shared" si="9"/>
        <v>C_Ope_005</v>
      </c>
      <c r="D100" s="3" t="s">
        <v>1074</v>
      </c>
      <c r="E100" s="14">
        <v>45698</v>
      </c>
      <c r="F100" s="5" t="s">
        <v>7166</v>
      </c>
      <c r="G100" s="5" t="s">
        <v>1079</v>
      </c>
      <c r="H100" s="6"/>
      <c r="I100" s="6"/>
      <c r="J100" s="6"/>
      <c r="K100" s="6"/>
      <c r="L100" s="7" t="s">
        <v>7225</v>
      </c>
      <c r="M100" s="8">
        <v>22994</v>
      </c>
      <c r="N100" s="8" t="str">
        <f t="shared" si="10"/>
        <v>PEN</v>
      </c>
      <c r="O100" s="13"/>
      <c r="P100" s="13">
        <v>5</v>
      </c>
      <c r="Q100" s="3">
        <f t="shared" si="6"/>
        <v>0</v>
      </c>
      <c r="R100" s="3">
        <f t="shared" si="7"/>
        <v>5</v>
      </c>
      <c r="S100" s="3">
        <f t="shared" si="8"/>
        <v>560.79999999999973</v>
      </c>
      <c r="T100" s="24"/>
      <c r="U100" s="24"/>
      <c r="V100" s="3"/>
      <c r="W100" s="25" t="s">
        <v>6546</v>
      </c>
      <c r="X100" s="25"/>
      <c r="Y100" s="25" t="str">
        <f>IFERROR(VLOOKUP(C_Ope_005[[#This Row],[NOTA 2]],Clientes_Proveedores[[Ruc / Dni]:[Razon Social]],2,0),"")</f>
        <v/>
      </c>
      <c r="Z100" s="25"/>
      <c r="AA100" s="25"/>
      <c r="AB100" s="3" t="str">
        <f>IF(C_Ope_005[[#This Row],[FECHA]]&gt;0,TEXT(C_Ope_005[[#This Row],[FECHA]],"mmmm"),0)</f>
        <v>Febrero</v>
      </c>
    </row>
    <row r="101" spans="2:28" ht="24" x14ac:dyDescent="0.3">
      <c r="B101" s="2">
        <f>IF(C_Ope_005[[#This Row],[TIPO DE R.]]="R",COUNTIFS($D$4:$D100,"R")+1,"")</f>
        <v>97</v>
      </c>
      <c r="C101" s="19" t="str">
        <f t="shared" si="9"/>
        <v>C_Ope_005</v>
      </c>
      <c r="D101" s="3" t="s">
        <v>1074</v>
      </c>
      <c r="E101" s="14">
        <v>45699</v>
      </c>
      <c r="F101" s="5" t="s">
        <v>7166</v>
      </c>
      <c r="G101" s="5" t="s">
        <v>1079</v>
      </c>
      <c r="H101" s="6"/>
      <c r="I101" s="6" t="s">
        <v>14</v>
      </c>
      <c r="J101" s="6" t="s">
        <v>7226</v>
      </c>
      <c r="K101" s="6">
        <v>412217</v>
      </c>
      <c r="L101" s="7" t="s">
        <v>7227</v>
      </c>
      <c r="M101" s="8">
        <v>23002</v>
      </c>
      <c r="N101" s="8" t="str">
        <f t="shared" si="10"/>
        <v>PEN</v>
      </c>
      <c r="O101" s="13"/>
      <c r="P101" s="13">
        <v>7.7</v>
      </c>
      <c r="Q101" s="3">
        <f t="shared" si="6"/>
        <v>0</v>
      </c>
      <c r="R101" s="3">
        <f t="shared" si="7"/>
        <v>7.7</v>
      </c>
      <c r="S101" s="3">
        <f t="shared" si="8"/>
        <v>553.09999999999968</v>
      </c>
      <c r="T101" s="24"/>
      <c r="U101" s="24"/>
      <c r="V101" s="3"/>
      <c r="W101" s="25" t="s">
        <v>6546</v>
      </c>
      <c r="X101" s="25"/>
      <c r="Y101" s="25" t="str">
        <f>IFERROR(VLOOKUP(C_Ope_005[[#This Row],[NOTA 2]],Clientes_Proveedores[[Ruc / Dni]:[Razon Social]],2,0),"")</f>
        <v/>
      </c>
      <c r="Z101" s="25"/>
      <c r="AA101" s="25"/>
      <c r="AB101" s="3" t="str">
        <f>IF(C_Ope_005[[#This Row],[FECHA]]&gt;0,TEXT(C_Ope_005[[#This Row],[FECHA]],"mmmm"),0)</f>
        <v>Febrero</v>
      </c>
    </row>
    <row r="102" spans="2:28" ht="24" x14ac:dyDescent="0.3">
      <c r="B102" s="2">
        <f>IF(C_Ope_005[[#This Row],[TIPO DE R.]]="R",COUNTIFS($D$4:$D101,"R")+1,"")</f>
        <v>98</v>
      </c>
      <c r="C102" s="19" t="str">
        <f t="shared" si="9"/>
        <v>C_Ope_005</v>
      </c>
      <c r="D102" s="3" t="s">
        <v>1074</v>
      </c>
      <c r="E102" s="14">
        <v>45700</v>
      </c>
      <c r="F102" s="5" t="s">
        <v>7166</v>
      </c>
      <c r="G102" s="5" t="s">
        <v>1079</v>
      </c>
      <c r="H102" s="6"/>
      <c r="I102" s="6" t="s">
        <v>14</v>
      </c>
      <c r="J102" s="6" t="s">
        <v>7185</v>
      </c>
      <c r="K102" s="6">
        <v>590093</v>
      </c>
      <c r="L102" s="7" t="s">
        <v>7228</v>
      </c>
      <c r="M102" s="8">
        <v>23027</v>
      </c>
      <c r="N102" s="8" t="str">
        <f t="shared" si="10"/>
        <v>PEN</v>
      </c>
      <c r="O102" s="13"/>
      <c r="P102" s="13">
        <v>7.7</v>
      </c>
      <c r="Q102" s="3">
        <f t="shared" si="6"/>
        <v>0</v>
      </c>
      <c r="R102" s="3">
        <f t="shared" si="7"/>
        <v>7.7</v>
      </c>
      <c r="S102" s="3">
        <f t="shared" si="8"/>
        <v>545.39999999999964</v>
      </c>
      <c r="T102" s="24"/>
      <c r="U102" s="24"/>
      <c r="V102" s="3"/>
      <c r="W102" s="25" t="s">
        <v>6546</v>
      </c>
      <c r="X102" s="25"/>
      <c r="Y102" s="25" t="str">
        <f>IFERROR(VLOOKUP(C_Ope_005[[#This Row],[NOTA 2]],Clientes_Proveedores[[Ruc / Dni]:[Razon Social]],2,0),"")</f>
        <v/>
      </c>
      <c r="Z102" s="25"/>
      <c r="AA102" s="25"/>
      <c r="AB102" s="3" t="str">
        <f>IF(C_Ope_005[[#This Row],[FECHA]]&gt;0,TEXT(C_Ope_005[[#This Row],[FECHA]],"mmmm"),0)</f>
        <v>Febrero</v>
      </c>
    </row>
    <row r="103" spans="2:28" ht="24" x14ac:dyDescent="0.3">
      <c r="B103" s="2">
        <f>IF(C_Ope_005[[#This Row],[TIPO DE R.]]="R",COUNTIFS($D$4:$D102,"R")+1,"")</f>
        <v>99</v>
      </c>
      <c r="C103" s="19" t="str">
        <f t="shared" si="9"/>
        <v>C_Ope_005</v>
      </c>
      <c r="D103" s="3" t="s">
        <v>1074</v>
      </c>
      <c r="E103" s="14">
        <v>45702</v>
      </c>
      <c r="F103" s="5" t="s">
        <v>7166</v>
      </c>
      <c r="G103" s="5" t="s">
        <v>1079</v>
      </c>
      <c r="H103" s="6"/>
      <c r="I103" s="6" t="s">
        <v>14</v>
      </c>
      <c r="J103" s="6" t="s">
        <v>7187</v>
      </c>
      <c r="K103" s="6">
        <v>598365</v>
      </c>
      <c r="L103" s="7" t="s">
        <v>7228</v>
      </c>
      <c r="M103" s="8">
        <v>23053</v>
      </c>
      <c r="N103" s="8" t="str">
        <f t="shared" si="10"/>
        <v>PEN</v>
      </c>
      <c r="O103" s="13"/>
      <c r="P103" s="13">
        <v>7.7</v>
      </c>
      <c r="Q103" s="3">
        <f t="shared" si="6"/>
        <v>0</v>
      </c>
      <c r="R103" s="3">
        <f t="shared" si="7"/>
        <v>7.7</v>
      </c>
      <c r="S103" s="3">
        <f t="shared" si="8"/>
        <v>537.69999999999959</v>
      </c>
      <c r="T103" s="24"/>
      <c r="U103" s="24"/>
      <c r="V103" s="3"/>
      <c r="W103" s="25" t="s">
        <v>6546</v>
      </c>
      <c r="X103" s="25"/>
      <c r="Y103" s="25" t="str">
        <f>IFERROR(VLOOKUP(C_Ope_005[[#This Row],[NOTA 2]],Clientes_Proveedores[[Ruc / Dni]:[Razon Social]],2,0),"")</f>
        <v/>
      </c>
      <c r="Z103" s="25"/>
      <c r="AA103" s="25"/>
      <c r="AB103" s="3" t="str">
        <f>IF(C_Ope_005[[#This Row],[FECHA]]&gt;0,TEXT(C_Ope_005[[#This Row],[FECHA]],"mmmm"),0)</f>
        <v>Febrero</v>
      </c>
    </row>
    <row r="104" spans="2:28" ht="24" x14ac:dyDescent="0.3">
      <c r="B104" s="2">
        <f>IF(C_Ope_005[[#This Row],[TIPO DE R.]]="R",COUNTIFS($D$4:$D103,"R")+1,"")</f>
        <v>100</v>
      </c>
      <c r="C104" s="19" t="str">
        <f t="shared" si="9"/>
        <v>C_Ope_005</v>
      </c>
      <c r="D104" s="3" t="s">
        <v>1074</v>
      </c>
      <c r="E104" s="14">
        <v>45704</v>
      </c>
      <c r="F104" s="5" t="s">
        <v>7166</v>
      </c>
      <c r="G104" s="5" t="s">
        <v>1079</v>
      </c>
      <c r="H104" s="6"/>
      <c r="I104" s="6" t="s">
        <v>14</v>
      </c>
      <c r="J104" s="6" t="s">
        <v>7188</v>
      </c>
      <c r="K104" s="6">
        <v>1754898</v>
      </c>
      <c r="L104" s="7" t="s">
        <v>7227</v>
      </c>
      <c r="M104" s="8">
        <v>23062</v>
      </c>
      <c r="N104" s="8" t="str">
        <f t="shared" si="10"/>
        <v>PEN</v>
      </c>
      <c r="O104" s="13"/>
      <c r="P104" s="13">
        <v>7.7</v>
      </c>
      <c r="Q104" s="3">
        <f t="shared" si="6"/>
        <v>0</v>
      </c>
      <c r="R104" s="3">
        <f t="shared" si="7"/>
        <v>7.7</v>
      </c>
      <c r="S104" s="3">
        <f t="shared" si="8"/>
        <v>529.99999999999955</v>
      </c>
      <c r="T104" s="24"/>
      <c r="U104" s="24"/>
      <c r="V104" s="3"/>
      <c r="W104" s="25" t="s">
        <v>6546</v>
      </c>
      <c r="X104" s="25"/>
      <c r="Y104" s="25" t="str">
        <f>IFERROR(VLOOKUP(C_Ope_005[[#This Row],[NOTA 2]],Clientes_Proveedores[[Ruc / Dni]:[Razon Social]],2,0),"")</f>
        <v/>
      </c>
      <c r="Z104" s="25"/>
      <c r="AA104" s="25"/>
      <c r="AB104" s="3" t="str">
        <f>IF(C_Ope_005[[#This Row],[FECHA]]&gt;0,TEXT(C_Ope_005[[#This Row],[FECHA]],"mmmm"),0)</f>
        <v>Febrero</v>
      </c>
    </row>
    <row r="105" spans="2:28" ht="24" x14ac:dyDescent="0.3">
      <c r="B105" s="2">
        <f>IF(C_Ope_005[[#This Row],[TIPO DE R.]]="R",COUNTIFS($D$4:$D104,"R")+1,"")</f>
        <v>101</v>
      </c>
      <c r="C105" s="19" t="str">
        <f t="shared" si="9"/>
        <v>C_Ope_005</v>
      </c>
      <c r="D105" s="3" t="s">
        <v>1074</v>
      </c>
      <c r="E105" s="14">
        <v>45698</v>
      </c>
      <c r="F105" s="5" t="s">
        <v>7166</v>
      </c>
      <c r="G105" s="5" t="s">
        <v>1079</v>
      </c>
      <c r="H105" s="6"/>
      <c r="I105" s="6" t="s">
        <v>14</v>
      </c>
      <c r="J105" s="6" t="s">
        <v>1097</v>
      </c>
      <c r="K105" s="6">
        <v>15617</v>
      </c>
      <c r="L105" s="7" t="s">
        <v>7189</v>
      </c>
      <c r="M105" s="8">
        <v>22993</v>
      </c>
      <c r="N105" s="8" t="str">
        <f t="shared" si="10"/>
        <v>PEN</v>
      </c>
      <c r="O105" s="13"/>
      <c r="P105" s="13">
        <v>20</v>
      </c>
      <c r="Q105" s="3">
        <f t="shared" si="6"/>
        <v>0</v>
      </c>
      <c r="R105" s="3">
        <f t="shared" si="7"/>
        <v>20</v>
      </c>
      <c r="S105" s="3">
        <f t="shared" si="8"/>
        <v>509.99999999999955</v>
      </c>
      <c r="T105" s="24"/>
      <c r="U105" s="24"/>
      <c r="V105" s="3"/>
      <c r="W105" s="25" t="s">
        <v>6546</v>
      </c>
      <c r="X105" s="25"/>
      <c r="Y105" s="25" t="str">
        <f>IFERROR(VLOOKUP(C_Ope_005[[#This Row],[NOTA 2]],Clientes_Proveedores[[Ruc / Dni]:[Razon Social]],2,0),"")</f>
        <v/>
      </c>
      <c r="Z105" s="25"/>
      <c r="AA105" s="25"/>
      <c r="AB105" s="3" t="str">
        <f>IF(C_Ope_005[[#This Row],[FECHA]]&gt;0,TEXT(C_Ope_005[[#This Row],[FECHA]],"mmmm"),0)</f>
        <v>Febrero</v>
      </c>
    </row>
    <row r="106" spans="2:28" x14ac:dyDescent="0.3">
      <c r="B106" s="2">
        <f>IF(C_Ope_005[[#This Row],[TIPO DE R.]]="R",COUNTIFS($D$4:$D105,"R")+1,"")</f>
        <v>102</v>
      </c>
      <c r="C106" s="19" t="str">
        <f t="shared" si="9"/>
        <v>C_Ope_005</v>
      </c>
      <c r="D106" s="3" t="s">
        <v>1074</v>
      </c>
      <c r="E106" s="14">
        <v>45699</v>
      </c>
      <c r="F106" s="5" t="s">
        <v>7166</v>
      </c>
      <c r="G106" s="5" t="s">
        <v>1079</v>
      </c>
      <c r="H106" s="6"/>
      <c r="I106" s="6" t="s">
        <v>14</v>
      </c>
      <c r="J106" s="6" t="s">
        <v>6561</v>
      </c>
      <c r="K106" s="6">
        <v>5215</v>
      </c>
      <c r="L106" s="7" t="s">
        <v>6562</v>
      </c>
      <c r="M106" s="8">
        <v>22991</v>
      </c>
      <c r="N106" s="8" t="str">
        <f t="shared" si="10"/>
        <v>PEN</v>
      </c>
      <c r="O106" s="13"/>
      <c r="P106" s="13">
        <v>10</v>
      </c>
      <c r="Q106" s="3">
        <f t="shared" si="6"/>
        <v>0</v>
      </c>
      <c r="R106" s="3">
        <f t="shared" si="7"/>
        <v>10</v>
      </c>
      <c r="S106" s="3">
        <f t="shared" si="8"/>
        <v>499.99999999999955</v>
      </c>
      <c r="T106" s="24"/>
      <c r="U106" s="24"/>
      <c r="V106" s="3"/>
      <c r="W106" s="25" t="s">
        <v>6546</v>
      </c>
      <c r="X106" s="25"/>
      <c r="Y106" s="25" t="str">
        <f>IFERROR(VLOOKUP(C_Ope_005[[#This Row],[NOTA 2]],Clientes_Proveedores[[Ruc / Dni]:[Razon Social]],2,0),"")</f>
        <v/>
      </c>
      <c r="Z106" s="25"/>
      <c r="AA106" s="25"/>
      <c r="AB106" s="3" t="str">
        <f>IF(C_Ope_005[[#This Row],[FECHA]]&gt;0,TEXT(C_Ope_005[[#This Row],[FECHA]],"mmmm"),0)</f>
        <v>Febrero</v>
      </c>
    </row>
    <row r="107" spans="2:28" x14ac:dyDescent="0.3">
      <c r="B107" s="2">
        <f>IF(C_Ope_005[[#This Row],[TIPO DE R.]]="R",COUNTIFS($D$4:$D106,"R")+1,"")</f>
        <v>103</v>
      </c>
      <c r="C107" s="19" t="str">
        <f t="shared" si="9"/>
        <v>C_Ope_005</v>
      </c>
      <c r="D107" s="3" t="s">
        <v>1074</v>
      </c>
      <c r="E107" s="14">
        <v>45699</v>
      </c>
      <c r="F107" s="5" t="s">
        <v>7166</v>
      </c>
      <c r="G107" s="5" t="s">
        <v>1079</v>
      </c>
      <c r="H107" s="6"/>
      <c r="I107" s="6" t="s">
        <v>14</v>
      </c>
      <c r="J107" s="6" t="s">
        <v>6561</v>
      </c>
      <c r="K107" s="6">
        <v>5220</v>
      </c>
      <c r="L107" s="7" t="s">
        <v>7229</v>
      </c>
      <c r="M107" s="8">
        <v>22992</v>
      </c>
      <c r="N107" s="8" t="str">
        <f t="shared" si="10"/>
        <v>PEN</v>
      </c>
      <c r="O107" s="13"/>
      <c r="P107" s="13">
        <v>10</v>
      </c>
      <c r="Q107" s="3">
        <f t="shared" si="6"/>
        <v>0</v>
      </c>
      <c r="R107" s="3">
        <f t="shared" si="7"/>
        <v>10</v>
      </c>
      <c r="S107" s="3">
        <f t="shared" si="8"/>
        <v>489.99999999999955</v>
      </c>
      <c r="T107" s="24"/>
      <c r="U107" s="24"/>
      <c r="V107" s="3"/>
      <c r="W107" s="25" t="s">
        <v>6546</v>
      </c>
      <c r="X107" s="25"/>
      <c r="Y107" s="25" t="str">
        <f>IFERROR(VLOOKUP(C_Ope_005[[#This Row],[NOTA 2]],Clientes_Proveedores[[Ruc / Dni]:[Razon Social]],2,0),"")</f>
        <v/>
      </c>
      <c r="Z107" s="25"/>
      <c r="AA107" s="25"/>
      <c r="AB107" s="3" t="str">
        <f>IF(C_Ope_005[[#This Row],[FECHA]]&gt;0,TEXT(C_Ope_005[[#This Row],[FECHA]],"mmmm"),0)</f>
        <v>Febrero</v>
      </c>
    </row>
    <row r="108" spans="2:28" x14ac:dyDescent="0.3">
      <c r="B108" s="2">
        <f>IF(C_Ope_005[[#This Row],[TIPO DE R.]]="R",COUNTIFS($D$4:$D107,"R")+1,"")</f>
        <v>104</v>
      </c>
      <c r="C108" s="19" t="str">
        <f t="shared" si="9"/>
        <v>C_Ope_005</v>
      </c>
      <c r="D108" s="3" t="s">
        <v>1074</v>
      </c>
      <c r="E108" s="14">
        <v>45699</v>
      </c>
      <c r="F108" s="5" t="s">
        <v>7166</v>
      </c>
      <c r="G108" s="5" t="s">
        <v>1079</v>
      </c>
      <c r="H108" s="6"/>
      <c r="I108" s="6"/>
      <c r="J108" s="6"/>
      <c r="K108" s="6"/>
      <c r="L108" s="7" t="s">
        <v>7230</v>
      </c>
      <c r="M108" s="8">
        <v>23003</v>
      </c>
      <c r="N108" s="8" t="str">
        <f t="shared" si="10"/>
        <v>PEN</v>
      </c>
      <c r="O108" s="13"/>
      <c r="P108" s="13">
        <v>100</v>
      </c>
      <c r="Q108" s="3">
        <f t="shared" si="6"/>
        <v>0</v>
      </c>
      <c r="R108" s="3">
        <f t="shared" si="7"/>
        <v>100</v>
      </c>
      <c r="S108" s="3">
        <f t="shared" si="8"/>
        <v>389.99999999999955</v>
      </c>
      <c r="T108" s="24"/>
      <c r="U108" s="24"/>
      <c r="V108" s="3"/>
      <c r="W108" s="25" t="s">
        <v>6546</v>
      </c>
      <c r="X108" s="25"/>
      <c r="Y108" s="25" t="str">
        <f>IFERROR(VLOOKUP(C_Ope_005[[#This Row],[NOTA 2]],Clientes_Proveedores[[Ruc / Dni]:[Razon Social]],2,0),"")</f>
        <v/>
      </c>
      <c r="Z108" s="25"/>
      <c r="AA108" s="25"/>
      <c r="AB108" s="3" t="str">
        <f>IF(C_Ope_005[[#This Row],[FECHA]]&gt;0,TEXT(C_Ope_005[[#This Row],[FECHA]],"mmmm"),0)</f>
        <v>Febrero</v>
      </c>
    </row>
    <row r="109" spans="2:28" x14ac:dyDescent="0.3">
      <c r="B109" s="2">
        <f>IF(C_Ope_005[[#This Row],[TIPO DE R.]]="R",COUNTIFS($D$4:$D108,"R")+1,"")</f>
        <v>105</v>
      </c>
      <c r="C109" s="19" t="str">
        <f t="shared" si="9"/>
        <v>C_Ope_005</v>
      </c>
      <c r="D109" s="3" t="s">
        <v>1074</v>
      </c>
      <c r="E109" s="14">
        <v>45699</v>
      </c>
      <c r="F109" s="5" t="s">
        <v>7166</v>
      </c>
      <c r="G109" s="5" t="s">
        <v>1079</v>
      </c>
      <c r="H109" s="6"/>
      <c r="I109" s="6"/>
      <c r="J109" s="6"/>
      <c r="K109" s="6"/>
      <c r="L109" s="7" t="s">
        <v>7231</v>
      </c>
      <c r="M109" s="8">
        <v>23004</v>
      </c>
      <c r="N109" s="8" t="str">
        <f t="shared" si="10"/>
        <v>PEN</v>
      </c>
      <c r="O109" s="13"/>
      <c r="P109" s="13">
        <v>24</v>
      </c>
      <c r="Q109" s="3">
        <f t="shared" si="6"/>
        <v>0</v>
      </c>
      <c r="R109" s="3">
        <f t="shared" si="7"/>
        <v>24</v>
      </c>
      <c r="S109" s="3">
        <f t="shared" si="8"/>
        <v>365.99999999999955</v>
      </c>
      <c r="T109" s="24"/>
      <c r="U109" s="24"/>
      <c r="V109" s="3"/>
      <c r="W109" s="25" t="s">
        <v>6546</v>
      </c>
      <c r="X109" s="25"/>
      <c r="Y109" s="25" t="str">
        <f>IFERROR(VLOOKUP(C_Ope_005[[#This Row],[NOTA 2]],Clientes_Proveedores[[Ruc / Dni]:[Razon Social]],2,0),"")</f>
        <v/>
      </c>
      <c r="Z109" s="25"/>
      <c r="AA109" s="25"/>
      <c r="AB109" s="3" t="str">
        <f>IF(C_Ope_005[[#This Row],[FECHA]]&gt;0,TEXT(C_Ope_005[[#This Row],[FECHA]],"mmmm"),0)</f>
        <v>Febrero</v>
      </c>
    </row>
    <row r="110" spans="2:28" x14ac:dyDescent="0.3">
      <c r="B110" s="2">
        <f>IF(C_Ope_005[[#This Row],[TIPO DE R.]]="R",COUNTIFS($D$4:$D109,"R")+1,"")</f>
        <v>106</v>
      </c>
      <c r="C110" s="19" t="str">
        <f t="shared" si="9"/>
        <v>C_Ope_005</v>
      </c>
      <c r="D110" s="3" t="s">
        <v>1074</v>
      </c>
      <c r="E110" s="14">
        <v>45699</v>
      </c>
      <c r="F110" s="5" t="s">
        <v>7166</v>
      </c>
      <c r="G110" s="5" t="s">
        <v>1079</v>
      </c>
      <c r="H110" s="6"/>
      <c r="I110" s="6"/>
      <c r="J110" s="6"/>
      <c r="K110" s="6"/>
      <c r="L110" s="7" t="s">
        <v>7192</v>
      </c>
      <c r="M110" s="8">
        <v>23005</v>
      </c>
      <c r="N110" s="8" t="str">
        <f t="shared" si="10"/>
        <v>PEN</v>
      </c>
      <c r="O110" s="13"/>
      <c r="P110" s="13">
        <v>15</v>
      </c>
      <c r="Q110" s="3">
        <f t="shared" si="6"/>
        <v>0</v>
      </c>
      <c r="R110" s="3">
        <f t="shared" si="7"/>
        <v>15</v>
      </c>
      <c r="S110" s="3">
        <f t="shared" si="8"/>
        <v>350.99999999999955</v>
      </c>
      <c r="T110" s="24"/>
      <c r="U110" s="24"/>
      <c r="V110" s="3"/>
      <c r="W110" s="25" t="s">
        <v>6546</v>
      </c>
      <c r="X110" s="25"/>
      <c r="Y110" s="25" t="str">
        <f>IFERROR(VLOOKUP(C_Ope_005[[#This Row],[NOTA 2]],Clientes_Proveedores[[Ruc / Dni]:[Razon Social]],2,0),"")</f>
        <v/>
      </c>
      <c r="Z110" s="25"/>
      <c r="AA110" s="25"/>
      <c r="AB110" s="3" t="str">
        <f>IF(C_Ope_005[[#This Row],[FECHA]]&gt;0,TEXT(C_Ope_005[[#This Row],[FECHA]],"mmmm"),0)</f>
        <v>Febrero</v>
      </c>
    </row>
    <row r="111" spans="2:28" x14ac:dyDescent="0.3">
      <c r="B111" s="2">
        <f>IF(C_Ope_005[[#This Row],[TIPO DE R.]]="R",COUNTIFS($D$4:$D110,"R")+1,"")</f>
        <v>107</v>
      </c>
      <c r="C111" s="19" t="str">
        <f t="shared" si="9"/>
        <v>C_Ope_005</v>
      </c>
      <c r="D111" s="3" t="s">
        <v>1074</v>
      </c>
      <c r="E111" s="14">
        <v>45700</v>
      </c>
      <c r="F111" s="5" t="s">
        <v>7166</v>
      </c>
      <c r="G111" s="5" t="s">
        <v>1079</v>
      </c>
      <c r="H111" s="6"/>
      <c r="I111" s="6"/>
      <c r="J111" s="6"/>
      <c r="K111" s="6"/>
      <c r="L111" s="7" t="s">
        <v>6897</v>
      </c>
      <c r="M111" s="8">
        <v>23028</v>
      </c>
      <c r="N111" s="8" t="str">
        <f t="shared" si="10"/>
        <v>PEN</v>
      </c>
      <c r="O111" s="13"/>
      <c r="P111" s="13">
        <v>24</v>
      </c>
      <c r="Q111" s="3">
        <f t="shared" si="6"/>
        <v>0</v>
      </c>
      <c r="R111" s="3">
        <f t="shared" si="7"/>
        <v>24</v>
      </c>
      <c r="S111" s="3">
        <f t="shared" si="8"/>
        <v>326.99999999999955</v>
      </c>
      <c r="T111" s="24"/>
      <c r="U111" s="24"/>
      <c r="V111" s="3"/>
      <c r="W111" s="25" t="s">
        <v>6546</v>
      </c>
      <c r="X111" s="25"/>
      <c r="Y111" s="25" t="str">
        <f>IFERROR(VLOOKUP(C_Ope_005[[#This Row],[NOTA 2]],Clientes_Proveedores[[Ruc / Dni]:[Razon Social]],2,0),"")</f>
        <v/>
      </c>
      <c r="Z111" s="25"/>
      <c r="AA111" s="25"/>
      <c r="AB111" s="3" t="str">
        <f>IF(C_Ope_005[[#This Row],[FECHA]]&gt;0,TEXT(C_Ope_005[[#This Row],[FECHA]],"mmmm"),0)</f>
        <v>Febrero</v>
      </c>
    </row>
    <row r="112" spans="2:28" x14ac:dyDescent="0.3">
      <c r="B112" s="2">
        <f>IF(C_Ope_005[[#This Row],[TIPO DE R.]]="R",COUNTIFS($D$4:$D111,"R")+1,"")</f>
        <v>108</v>
      </c>
      <c r="C112" s="19" t="str">
        <f t="shared" si="9"/>
        <v>C_Ope_005</v>
      </c>
      <c r="D112" s="3" t="s">
        <v>1074</v>
      </c>
      <c r="E112" s="14">
        <v>45700</v>
      </c>
      <c r="F112" s="5" t="s">
        <v>7166</v>
      </c>
      <c r="G112" s="5" t="s">
        <v>1079</v>
      </c>
      <c r="H112" s="6"/>
      <c r="I112" s="6"/>
      <c r="J112" s="6"/>
      <c r="K112" s="6"/>
      <c r="L112" s="7" t="s">
        <v>6889</v>
      </c>
      <c r="M112" s="8">
        <v>23029</v>
      </c>
      <c r="N112" s="8" t="str">
        <f t="shared" si="10"/>
        <v>PEN</v>
      </c>
      <c r="O112" s="13"/>
      <c r="P112" s="13">
        <v>30</v>
      </c>
      <c r="Q112" s="3">
        <f t="shared" si="6"/>
        <v>0</v>
      </c>
      <c r="R112" s="3">
        <f t="shared" si="7"/>
        <v>30</v>
      </c>
      <c r="S112" s="3">
        <f t="shared" si="8"/>
        <v>296.99999999999955</v>
      </c>
      <c r="T112" s="24"/>
      <c r="U112" s="24"/>
      <c r="V112" s="3"/>
      <c r="W112" s="25" t="s">
        <v>6546</v>
      </c>
      <c r="X112" s="25"/>
      <c r="Y112" s="25" t="str">
        <f>IFERROR(VLOOKUP(C_Ope_005[[#This Row],[NOTA 2]],Clientes_Proveedores[[Ruc / Dni]:[Razon Social]],2,0),"")</f>
        <v/>
      </c>
      <c r="Z112" s="25"/>
      <c r="AA112" s="25"/>
      <c r="AB112" s="3" t="str">
        <f>IF(C_Ope_005[[#This Row],[FECHA]]&gt;0,TEXT(C_Ope_005[[#This Row],[FECHA]],"mmmm"),0)</f>
        <v>Febrero</v>
      </c>
    </row>
    <row r="113" spans="2:28" x14ac:dyDescent="0.3">
      <c r="B113" s="2">
        <f>IF(C_Ope_005[[#This Row],[TIPO DE R.]]="R",COUNTIFS($D$4:$D112,"R")+1,"")</f>
        <v>109</v>
      </c>
      <c r="C113" s="19" t="str">
        <f t="shared" si="9"/>
        <v>C_Ope_005</v>
      </c>
      <c r="D113" s="3" t="s">
        <v>1074</v>
      </c>
      <c r="E113" s="14">
        <v>45700</v>
      </c>
      <c r="F113" s="5" t="s">
        <v>7166</v>
      </c>
      <c r="G113" s="5" t="s">
        <v>1079</v>
      </c>
      <c r="H113" s="6"/>
      <c r="I113" s="6"/>
      <c r="J113" s="6"/>
      <c r="K113" s="6"/>
      <c r="L113" s="7" t="s">
        <v>6903</v>
      </c>
      <c r="M113" s="8">
        <v>23030</v>
      </c>
      <c r="N113" s="8" t="str">
        <f t="shared" si="10"/>
        <v>PEN</v>
      </c>
      <c r="O113" s="13"/>
      <c r="P113" s="13">
        <v>24</v>
      </c>
      <c r="Q113" s="3">
        <f t="shared" si="6"/>
        <v>0</v>
      </c>
      <c r="R113" s="3">
        <f t="shared" si="7"/>
        <v>24</v>
      </c>
      <c r="S113" s="3">
        <f t="shared" si="8"/>
        <v>272.99999999999955</v>
      </c>
      <c r="T113" s="24"/>
      <c r="U113" s="24"/>
      <c r="V113" s="3"/>
      <c r="W113" s="25" t="s">
        <v>6546</v>
      </c>
      <c r="X113" s="25"/>
      <c r="Y113" s="25" t="str">
        <f>IFERROR(VLOOKUP(C_Ope_005[[#This Row],[NOTA 2]],Clientes_Proveedores[[Ruc / Dni]:[Razon Social]],2,0),"")</f>
        <v/>
      </c>
      <c r="Z113" s="25"/>
      <c r="AA113" s="25"/>
      <c r="AB113" s="3" t="str">
        <f>IF(C_Ope_005[[#This Row],[FECHA]]&gt;0,TEXT(C_Ope_005[[#This Row],[FECHA]],"mmmm"),0)</f>
        <v>Febrero</v>
      </c>
    </row>
    <row r="114" spans="2:28" x14ac:dyDescent="0.3">
      <c r="B114" s="2">
        <f>IF(C_Ope_005[[#This Row],[TIPO DE R.]]="R",COUNTIFS($D$4:$D113,"R")+1,"")</f>
        <v>110</v>
      </c>
      <c r="C114" s="19" t="str">
        <f t="shared" si="9"/>
        <v>C_Ope_005</v>
      </c>
      <c r="D114" s="3" t="s">
        <v>1074</v>
      </c>
      <c r="E114" s="14">
        <v>45700</v>
      </c>
      <c r="F114" s="5" t="s">
        <v>7166</v>
      </c>
      <c r="G114" s="5" t="s">
        <v>1079</v>
      </c>
      <c r="H114" s="6"/>
      <c r="I114" s="6" t="s">
        <v>21</v>
      </c>
      <c r="J114" s="6">
        <v>1</v>
      </c>
      <c r="K114" s="6">
        <v>2045</v>
      </c>
      <c r="L114" s="7" t="s">
        <v>7232</v>
      </c>
      <c r="M114" s="8">
        <v>23031</v>
      </c>
      <c r="N114" s="8" t="str">
        <f t="shared" si="10"/>
        <v>PEN</v>
      </c>
      <c r="O114" s="13"/>
      <c r="P114" s="13">
        <v>100</v>
      </c>
      <c r="Q114" s="3">
        <f t="shared" si="6"/>
        <v>0</v>
      </c>
      <c r="R114" s="3">
        <f t="shared" si="7"/>
        <v>100</v>
      </c>
      <c r="S114" s="3">
        <f t="shared" si="8"/>
        <v>172.99999999999955</v>
      </c>
      <c r="T114" s="24"/>
      <c r="U114" s="24"/>
      <c r="V114" s="3"/>
      <c r="W114" s="25" t="s">
        <v>6546</v>
      </c>
      <c r="X114" s="25"/>
      <c r="Y114" s="25" t="str">
        <f>IFERROR(VLOOKUP(C_Ope_005[[#This Row],[NOTA 2]],Clientes_Proveedores[[Ruc / Dni]:[Razon Social]],2,0),"")</f>
        <v/>
      </c>
      <c r="Z114" s="25"/>
      <c r="AA114" s="25"/>
      <c r="AB114" s="3" t="str">
        <f>IF(C_Ope_005[[#This Row],[FECHA]]&gt;0,TEXT(C_Ope_005[[#This Row],[FECHA]],"mmmm"),0)</f>
        <v>Febrero</v>
      </c>
    </row>
    <row r="115" spans="2:28" x14ac:dyDescent="0.3">
      <c r="B115" s="2">
        <f>IF(C_Ope_005[[#This Row],[TIPO DE R.]]="R",COUNTIFS($D$4:$D114,"R")+1,"")</f>
        <v>111</v>
      </c>
      <c r="C115" s="19" t="str">
        <f t="shared" si="9"/>
        <v>C_Ope_005</v>
      </c>
      <c r="D115" s="3" t="s">
        <v>1074</v>
      </c>
      <c r="E115" s="14">
        <v>45700</v>
      </c>
      <c r="F115" s="5" t="s">
        <v>7166</v>
      </c>
      <c r="G115" s="5" t="s">
        <v>1079</v>
      </c>
      <c r="H115" s="6"/>
      <c r="I115" s="6"/>
      <c r="J115" s="6"/>
      <c r="K115" s="6"/>
      <c r="L115" s="7" t="s">
        <v>7233</v>
      </c>
      <c r="M115" s="8">
        <v>23032</v>
      </c>
      <c r="N115" s="8" t="str">
        <f t="shared" si="10"/>
        <v>PEN</v>
      </c>
      <c r="O115" s="13"/>
      <c r="P115" s="13">
        <v>15</v>
      </c>
      <c r="Q115" s="3">
        <f t="shared" si="6"/>
        <v>0</v>
      </c>
      <c r="R115" s="3">
        <f t="shared" si="7"/>
        <v>15</v>
      </c>
      <c r="S115" s="3">
        <f t="shared" si="8"/>
        <v>157.99999999999955</v>
      </c>
      <c r="T115" s="24"/>
      <c r="U115" s="24"/>
      <c r="V115" s="3"/>
      <c r="W115" s="25" t="s">
        <v>6546</v>
      </c>
      <c r="X115" s="25"/>
      <c r="Y115" s="25" t="str">
        <f>IFERROR(VLOOKUP(C_Ope_005[[#This Row],[NOTA 2]],Clientes_Proveedores[[Ruc / Dni]:[Razon Social]],2,0),"")</f>
        <v/>
      </c>
      <c r="Z115" s="25"/>
      <c r="AA115" s="25"/>
      <c r="AB115" s="3" t="str">
        <f>IF(C_Ope_005[[#This Row],[FECHA]]&gt;0,TEXT(C_Ope_005[[#This Row],[FECHA]],"mmmm"),0)</f>
        <v>Febrero</v>
      </c>
    </row>
    <row r="116" spans="2:28" x14ac:dyDescent="0.3">
      <c r="B116" s="2">
        <f>IF(C_Ope_005[[#This Row],[TIPO DE R.]]="R",COUNTIFS($D$4:$D115,"R")+1,"")</f>
        <v>112</v>
      </c>
      <c r="C116" s="19" t="str">
        <f t="shared" si="9"/>
        <v>C_Ope_005</v>
      </c>
      <c r="D116" s="3" t="s">
        <v>1074</v>
      </c>
      <c r="E116" s="14">
        <v>45701</v>
      </c>
      <c r="F116" s="5" t="s">
        <v>7166</v>
      </c>
      <c r="G116" s="5" t="s">
        <v>1079</v>
      </c>
      <c r="H116" s="6"/>
      <c r="I116" s="6"/>
      <c r="J116" s="6"/>
      <c r="K116" s="6"/>
      <c r="L116" s="7" t="s">
        <v>6897</v>
      </c>
      <c r="M116" s="8">
        <v>23033</v>
      </c>
      <c r="N116" s="8" t="str">
        <f t="shared" si="10"/>
        <v>PEN</v>
      </c>
      <c r="O116" s="13"/>
      <c r="P116" s="13">
        <v>24</v>
      </c>
      <c r="Q116" s="3">
        <f t="shared" si="6"/>
        <v>0</v>
      </c>
      <c r="R116" s="3">
        <f t="shared" si="7"/>
        <v>24</v>
      </c>
      <c r="S116" s="3">
        <f t="shared" si="8"/>
        <v>133.99999999999955</v>
      </c>
      <c r="T116" s="24"/>
      <c r="U116" s="24"/>
      <c r="V116" s="3"/>
      <c r="W116" s="25" t="s">
        <v>6546</v>
      </c>
      <c r="X116" s="25"/>
      <c r="Y116" s="25" t="str">
        <f>IFERROR(VLOOKUP(C_Ope_005[[#This Row],[NOTA 2]],Clientes_Proveedores[[Ruc / Dni]:[Razon Social]],2,0),"")</f>
        <v/>
      </c>
      <c r="Z116" s="25"/>
      <c r="AA116" s="25"/>
      <c r="AB116" s="3" t="str">
        <f>IF(C_Ope_005[[#This Row],[FECHA]]&gt;0,TEXT(C_Ope_005[[#This Row],[FECHA]],"mmmm"),0)</f>
        <v>Febrero</v>
      </c>
    </row>
    <row r="117" spans="2:28" x14ac:dyDescent="0.3">
      <c r="B117" s="2">
        <f>IF(C_Ope_005[[#This Row],[TIPO DE R.]]="R",COUNTIFS($D$4:$D116,"R")+1,"")</f>
        <v>113</v>
      </c>
      <c r="C117" s="19" t="str">
        <f t="shared" si="9"/>
        <v>C_Ope_005</v>
      </c>
      <c r="D117" s="3" t="s">
        <v>1074</v>
      </c>
      <c r="E117" s="14">
        <v>45701</v>
      </c>
      <c r="F117" s="5" t="s">
        <v>7166</v>
      </c>
      <c r="G117" s="5" t="s">
        <v>1079</v>
      </c>
      <c r="H117" s="6"/>
      <c r="I117" s="6"/>
      <c r="J117" s="6"/>
      <c r="K117" s="6"/>
      <c r="L117" s="7" t="s">
        <v>6889</v>
      </c>
      <c r="M117" s="8">
        <v>23034</v>
      </c>
      <c r="N117" s="8" t="str">
        <f t="shared" si="10"/>
        <v>PEN</v>
      </c>
      <c r="O117" s="13"/>
      <c r="P117" s="13">
        <v>30</v>
      </c>
      <c r="Q117" s="3">
        <f t="shared" si="6"/>
        <v>0</v>
      </c>
      <c r="R117" s="3">
        <f t="shared" si="7"/>
        <v>30</v>
      </c>
      <c r="S117" s="3">
        <f t="shared" si="8"/>
        <v>103.99999999999955</v>
      </c>
      <c r="T117" s="24"/>
      <c r="U117" s="24"/>
      <c r="V117" s="3"/>
      <c r="W117" s="25" t="s">
        <v>6546</v>
      </c>
      <c r="X117" s="25"/>
      <c r="Y117" s="25" t="str">
        <f>IFERROR(VLOOKUP(C_Ope_005[[#This Row],[NOTA 2]],Clientes_Proveedores[[Ruc / Dni]:[Razon Social]],2,0),"")</f>
        <v/>
      </c>
      <c r="Z117" s="25"/>
      <c r="AA117" s="25"/>
      <c r="AB117" s="3" t="str">
        <f>IF(C_Ope_005[[#This Row],[FECHA]]&gt;0,TEXT(C_Ope_005[[#This Row],[FECHA]],"mmmm"),0)</f>
        <v>Febrero</v>
      </c>
    </row>
    <row r="118" spans="2:28" x14ac:dyDescent="0.3">
      <c r="B118" s="2">
        <f>IF(C_Ope_005[[#This Row],[TIPO DE R.]]="R",COUNTIFS($D$4:$D117,"R")+1,"")</f>
        <v>114</v>
      </c>
      <c r="C118" s="19" t="str">
        <f t="shared" si="9"/>
        <v>C_Ope_005</v>
      </c>
      <c r="D118" s="3" t="s">
        <v>1074</v>
      </c>
      <c r="E118" s="14">
        <v>45701</v>
      </c>
      <c r="F118" s="5" t="s">
        <v>7166</v>
      </c>
      <c r="G118" s="5" t="s">
        <v>1079</v>
      </c>
      <c r="H118" s="6"/>
      <c r="I118" s="6"/>
      <c r="J118" s="6"/>
      <c r="K118" s="6"/>
      <c r="L118" s="7" t="s">
        <v>7234</v>
      </c>
      <c r="M118" s="8">
        <v>23035</v>
      </c>
      <c r="N118" s="8" t="str">
        <f t="shared" si="10"/>
        <v>PEN</v>
      </c>
      <c r="O118" s="13"/>
      <c r="P118" s="13">
        <v>24</v>
      </c>
      <c r="Q118" s="3">
        <f t="shared" si="6"/>
        <v>0</v>
      </c>
      <c r="R118" s="3">
        <f t="shared" si="7"/>
        <v>24</v>
      </c>
      <c r="S118" s="3">
        <f t="shared" si="8"/>
        <v>79.999999999999545</v>
      </c>
      <c r="T118" s="24"/>
      <c r="U118" s="24"/>
      <c r="V118" s="3"/>
      <c r="W118" s="25" t="s">
        <v>6546</v>
      </c>
      <c r="X118" s="25"/>
      <c r="Y118" s="25" t="str">
        <f>IFERROR(VLOOKUP(C_Ope_005[[#This Row],[NOTA 2]],Clientes_Proveedores[[Ruc / Dni]:[Razon Social]],2,0),"")</f>
        <v/>
      </c>
      <c r="Z118" s="25"/>
      <c r="AA118" s="25"/>
      <c r="AB118" s="3" t="str">
        <f>IF(C_Ope_005[[#This Row],[FECHA]]&gt;0,TEXT(C_Ope_005[[#This Row],[FECHA]],"mmmm"),0)</f>
        <v>Febrero</v>
      </c>
    </row>
    <row r="119" spans="2:28" x14ac:dyDescent="0.3">
      <c r="B119" s="2">
        <f>IF(C_Ope_005[[#This Row],[TIPO DE R.]]="R",COUNTIFS($D$4:$D118,"R")+1,"")</f>
        <v>115</v>
      </c>
      <c r="C119" s="19" t="str">
        <f t="shared" si="9"/>
        <v>C_Ope_005</v>
      </c>
      <c r="D119" s="3" t="s">
        <v>1074</v>
      </c>
      <c r="E119" s="14">
        <v>45701</v>
      </c>
      <c r="F119" s="5" t="s">
        <v>7166</v>
      </c>
      <c r="G119" s="5" t="s">
        <v>1079</v>
      </c>
      <c r="H119" s="6"/>
      <c r="I119" s="6"/>
      <c r="J119" s="6"/>
      <c r="K119" s="6"/>
      <c r="L119" s="7" t="s">
        <v>7235</v>
      </c>
      <c r="M119" s="8">
        <v>23036</v>
      </c>
      <c r="N119" s="8" t="str">
        <f t="shared" si="10"/>
        <v>PEN</v>
      </c>
      <c r="O119" s="13"/>
      <c r="P119" s="13">
        <v>100</v>
      </c>
      <c r="Q119" s="3">
        <f t="shared" si="6"/>
        <v>0</v>
      </c>
      <c r="R119" s="3">
        <f t="shared" si="7"/>
        <v>100</v>
      </c>
      <c r="S119" s="3">
        <f t="shared" si="8"/>
        <v>-20.000000000000455</v>
      </c>
      <c r="T119" s="24"/>
      <c r="U119" s="24"/>
      <c r="V119" s="3"/>
      <c r="W119" s="25" t="s">
        <v>6546</v>
      </c>
      <c r="X119" s="25"/>
      <c r="Y119" s="25" t="str">
        <f>IFERROR(VLOOKUP(C_Ope_005[[#This Row],[NOTA 2]],Clientes_Proveedores[[Ruc / Dni]:[Razon Social]],2,0),"")</f>
        <v/>
      </c>
      <c r="Z119" s="25"/>
      <c r="AA119" s="25"/>
      <c r="AB119" s="3" t="str">
        <f>IF(C_Ope_005[[#This Row],[FECHA]]&gt;0,TEXT(C_Ope_005[[#This Row],[FECHA]],"mmmm"),0)</f>
        <v>Febrero</v>
      </c>
    </row>
    <row r="120" spans="2:28" x14ac:dyDescent="0.3">
      <c r="B120" s="2">
        <f>IF(C_Ope_005[[#This Row],[TIPO DE R.]]="R",COUNTIFS($D$4:$D119,"R")+1,"")</f>
        <v>116</v>
      </c>
      <c r="C120" s="19" t="str">
        <f t="shared" si="9"/>
        <v>C_Ope_005</v>
      </c>
      <c r="D120" s="3" t="s">
        <v>1074</v>
      </c>
      <c r="E120" s="14">
        <v>45701</v>
      </c>
      <c r="F120" s="5" t="s">
        <v>7166</v>
      </c>
      <c r="G120" s="5" t="s">
        <v>1079</v>
      </c>
      <c r="H120" s="6"/>
      <c r="I120" s="6"/>
      <c r="J120" s="6"/>
      <c r="K120" s="6"/>
      <c r="L120" s="7" t="s">
        <v>7236</v>
      </c>
      <c r="M120" s="8">
        <v>23048</v>
      </c>
      <c r="N120" s="8" t="str">
        <f t="shared" si="10"/>
        <v>PEN</v>
      </c>
      <c r="O120" s="13"/>
      <c r="P120" s="13">
        <v>15</v>
      </c>
      <c r="Q120" s="3">
        <f t="shared" si="6"/>
        <v>0</v>
      </c>
      <c r="R120" s="3">
        <f t="shared" si="7"/>
        <v>15</v>
      </c>
      <c r="S120" s="3">
        <f t="shared" si="8"/>
        <v>-35.000000000000455</v>
      </c>
      <c r="T120" s="24"/>
      <c r="U120" s="24"/>
      <c r="V120" s="3"/>
      <c r="W120" s="25" t="s">
        <v>6546</v>
      </c>
      <c r="X120" s="25"/>
      <c r="Y120" s="25" t="str">
        <f>IFERROR(VLOOKUP(C_Ope_005[[#This Row],[NOTA 2]],Clientes_Proveedores[[Ruc / Dni]:[Razon Social]],2,0),"")</f>
        <v/>
      </c>
      <c r="Z120" s="25"/>
      <c r="AA120" s="25"/>
      <c r="AB120" s="3" t="str">
        <f>IF(C_Ope_005[[#This Row],[FECHA]]&gt;0,TEXT(C_Ope_005[[#This Row],[FECHA]],"mmmm"),0)</f>
        <v>Febrero</v>
      </c>
    </row>
    <row r="121" spans="2:28" x14ac:dyDescent="0.3">
      <c r="B121" s="2">
        <f>IF(C_Ope_005[[#This Row],[TIPO DE R.]]="R",COUNTIFS($D$4:$D120,"R")+1,"")</f>
        <v>117</v>
      </c>
      <c r="C121" s="19" t="str">
        <f t="shared" si="9"/>
        <v>C_Ope_005</v>
      </c>
      <c r="D121" s="3" t="s">
        <v>1074</v>
      </c>
      <c r="E121" s="14">
        <v>45702</v>
      </c>
      <c r="F121" s="5" t="s">
        <v>7166</v>
      </c>
      <c r="G121" s="5" t="s">
        <v>1079</v>
      </c>
      <c r="H121" s="6"/>
      <c r="I121" s="6"/>
      <c r="J121" s="6"/>
      <c r="K121" s="6"/>
      <c r="L121" s="7" t="s">
        <v>6897</v>
      </c>
      <c r="M121" s="8">
        <v>23049</v>
      </c>
      <c r="N121" s="8" t="str">
        <f t="shared" si="10"/>
        <v>PEN</v>
      </c>
      <c r="O121" s="13"/>
      <c r="P121" s="13">
        <v>24</v>
      </c>
      <c r="Q121" s="3">
        <f t="shared" si="6"/>
        <v>0</v>
      </c>
      <c r="R121" s="3">
        <f t="shared" si="7"/>
        <v>24</v>
      </c>
      <c r="S121" s="3">
        <f t="shared" si="8"/>
        <v>-59.000000000000455</v>
      </c>
      <c r="T121" s="24"/>
      <c r="U121" s="24"/>
      <c r="V121" s="3"/>
      <c r="W121" s="25" t="s">
        <v>6546</v>
      </c>
      <c r="X121" s="25"/>
      <c r="Y121" s="25" t="str">
        <f>IFERROR(VLOOKUP(C_Ope_005[[#This Row],[NOTA 2]],Clientes_Proveedores[[Ruc / Dni]:[Razon Social]],2,0),"")</f>
        <v/>
      </c>
      <c r="Z121" s="25"/>
      <c r="AA121" s="25"/>
      <c r="AB121" s="3" t="str">
        <f>IF(C_Ope_005[[#This Row],[FECHA]]&gt;0,TEXT(C_Ope_005[[#This Row],[FECHA]],"mmmm"),0)</f>
        <v>Febrero</v>
      </c>
    </row>
    <row r="122" spans="2:28" x14ac:dyDescent="0.3">
      <c r="B122" s="2">
        <f>IF(C_Ope_005[[#This Row],[TIPO DE R.]]="R",COUNTIFS($D$4:$D121,"R")+1,"")</f>
        <v>118</v>
      </c>
      <c r="C122" s="19" t="str">
        <f t="shared" si="9"/>
        <v>C_Ope_005</v>
      </c>
      <c r="D122" s="3" t="s">
        <v>1074</v>
      </c>
      <c r="E122" s="14">
        <v>45702</v>
      </c>
      <c r="F122" s="5" t="s">
        <v>7166</v>
      </c>
      <c r="G122" s="5" t="s">
        <v>1079</v>
      </c>
      <c r="H122" s="6"/>
      <c r="I122" s="6"/>
      <c r="J122" s="6"/>
      <c r="K122" s="6"/>
      <c r="L122" s="7" t="s">
        <v>6889</v>
      </c>
      <c r="M122" s="8">
        <v>23050</v>
      </c>
      <c r="N122" s="8" t="str">
        <f t="shared" si="10"/>
        <v>PEN</v>
      </c>
      <c r="O122" s="13"/>
      <c r="P122" s="13">
        <v>30</v>
      </c>
      <c r="Q122" s="3">
        <f t="shared" si="6"/>
        <v>0</v>
      </c>
      <c r="R122" s="3">
        <f t="shared" si="7"/>
        <v>30</v>
      </c>
      <c r="S122" s="3">
        <f t="shared" si="8"/>
        <v>-89.000000000000455</v>
      </c>
      <c r="T122" s="24"/>
      <c r="U122" s="24"/>
      <c r="V122" s="3"/>
      <c r="W122" s="25" t="s">
        <v>6546</v>
      </c>
      <c r="X122" s="25"/>
      <c r="Y122" s="25" t="str">
        <f>IFERROR(VLOOKUP(C_Ope_005[[#This Row],[NOTA 2]],Clientes_Proveedores[[Ruc / Dni]:[Razon Social]],2,0),"")</f>
        <v/>
      </c>
      <c r="Z122" s="25"/>
      <c r="AA122" s="25"/>
      <c r="AB122" s="3" t="str">
        <f>IF(C_Ope_005[[#This Row],[FECHA]]&gt;0,TEXT(C_Ope_005[[#This Row],[FECHA]],"mmmm"),0)</f>
        <v>Febrero</v>
      </c>
    </row>
    <row r="123" spans="2:28" x14ac:dyDescent="0.3">
      <c r="B123" s="2">
        <f>IF(C_Ope_005[[#This Row],[TIPO DE R.]]="R",COUNTIFS($D$4:$D122,"R")+1,"")</f>
        <v>119</v>
      </c>
      <c r="C123" s="19" t="str">
        <f t="shared" si="9"/>
        <v>C_Ope_005</v>
      </c>
      <c r="D123" s="3" t="s">
        <v>1074</v>
      </c>
      <c r="E123" s="14">
        <v>45702</v>
      </c>
      <c r="F123" s="5" t="s">
        <v>7166</v>
      </c>
      <c r="G123" s="5" t="s">
        <v>1079</v>
      </c>
      <c r="H123" s="6"/>
      <c r="I123" s="6"/>
      <c r="J123" s="6"/>
      <c r="K123" s="6"/>
      <c r="L123" s="7" t="s">
        <v>6903</v>
      </c>
      <c r="M123" s="8">
        <v>23051</v>
      </c>
      <c r="N123" s="8" t="str">
        <f t="shared" si="10"/>
        <v>PEN</v>
      </c>
      <c r="O123" s="13"/>
      <c r="P123" s="13">
        <v>24</v>
      </c>
      <c r="Q123" s="3">
        <f t="shared" si="6"/>
        <v>0</v>
      </c>
      <c r="R123" s="3">
        <f t="shared" si="7"/>
        <v>24</v>
      </c>
      <c r="S123" s="3">
        <f t="shared" si="8"/>
        <v>-113.00000000000045</v>
      </c>
      <c r="T123" s="24"/>
      <c r="U123" s="24"/>
      <c r="V123" s="3"/>
      <c r="W123" s="25" t="s">
        <v>6546</v>
      </c>
      <c r="X123" s="25"/>
      <c r="Y123" s="25" t="str">
        <f>IFERROR(VLOOKUP(C_Ope_005[[#This Row],[NOTA 2]],Clientes_Proveedores[[Ruc / Dni]:[Razon Social]],2,0),"")</f>
        <v/>
      </c>
      <c r="Z123" s="25"/>
      <c r="AA123" s="25"/>
      <c r="AB123" s="3" t="str">
        <f>IF(C_Ope_005[[#This Row],[FECHA]]&gt;0,TEXT(C_Ope_005[[#This Row],[FECHA]],"mmmm"),0)</f>
        <v>Febrero</v>
      </c>
    </row>
    <row r="124" spans="2:28" x14ac:dyDescent="0.3">
      <c r="B124" s="2">
        <f>IF(C_Ope_005[[#This Row],[TIPO DE R.]]="R",COUNTIFS($D$4:$D123,"R")+1,"")</f>
        <v>120</v>
      </c>
      <c r="C124" s="19" t="str">
        <f t="shared" si="9"/>
        <v>C_Ope_005</v>
      </c>
      <c r="D124" s="3" t="s">
        <v>1074</v>
      </c>
      <c r="E124" s="14">
        <v>45702</v>
      </c>
      <c r="F124" s="5" t="s">
        <v>7166</v>
      </c>
      <c r="G124" s="5" t="s">
        <v>1079</v>
      </c>
      <c r="H124" s="6"/>
      <c r="I124" s="6"/>
      <c r="J124" s="6"/>
      <c r="K124" s="6"/>
      <c r="L124" s="7" t="s">
        <v>7237</v>
      </c>
      <c r="M124" s="8">
        <v>23054</v>
      </c>
      <c r="N124" s="8" t="str">
        <f t="shared" si="10"/>
        <v>PEN</v>
      </c>
      <c r="O124" s="13"/>
      <c r="P124" s="13">
        <v>80</v>
      </c>
      <c r="Q124" s="3">
        <f t="shared" si="6"/>
        <v>0</v>
      </c>
      <c r="R124" s="3">
        <f t="shared" si="7"/>
        <v>80</v>
      </c>
      <c r="S124" s="3">
        <f t="shared" si="8"/>
        <v>-193.00000000000045</v>
      </c>
      <c r="T124" s="24"/>
      <c r="U124" s="24"/>
      <c r="V124" s="3"/>
      <c r="W124" s="25" t="s">
        <v>6546</v>
      </c>
      <c r="X124" s="25"/>
      <c r="Y124" s="25" t="str">
        <f>IFERROR(VLOOKUP(C_Ope_005[[#This Row],[NOTA 2]],Clientes_Proveedores[[Ruc / Dni]:[Razon Social]],2,0),"")</f>
        <v/>
      </c>
      <c r="Z124" s="25"/>
      <c r="AA124" s="25"/>
      <c r="AB124" s="3" t="str">
        <f>IF(C_Ope_005[[#This Row],[FECHA]]&gt;0,TEXT(C_Ope_005[[#This Row],[FECHA]],"mmmm"),0)</f>
        <v>Febrero</v>
      </c>
    </row>
    <row r="125" spans="2:28" x14ac:dyDescent="0.3">
      <c r="B125" s="2">
        <f>IF(C_Ope_005[[#This Row],[TIPO DE R.]]="R",COUNTIFS($D$4:$D124,"R")+1,"")</f>
        <v>121</v>
      </c>
      <c r="C125" s="19" t="str">
        <f t="shared" si="9"/>
        <v>C_Ope_005</v>
      </c>
      <c r="D125" s="3" t="s">
        <v>1074</v>
      </c>
      <c r="E125" s="14">
        <v>45702</v>
      </c>
      <c r="F125" s="5" t="s">
        <v>7166</v>
      </c>
      <c r="G125" s="5" t="s">
        <v>1079</v>
      </c>
      <c r="H125" s="6"/>
      <c r="I125" s="6"/>
      <c r="J125" s="6"/>
      <c r="K125" s="6"/>
      <c r="L125" s="7" t="s">
        <v>7238</v>
      </c>
      <c r="M125" s="8">
        <v>23055</v>
      </c>
      <c r="N125" s="8" t="str">
        <f t="shared" si="10"/>
        <v>PEN</v>
      </c>
      <c r="O125" s="13"/>
      <c r="P125" s="13">
        <v>15</v>
      </c>
      <c r="Q125" s="3">
        <f t="shared" si="6"/>
        <v>0</v>
      </c>
      <c r="R125" s="3">
        <f t="shared" si="7"/>
        <v>15</v>
      </c>
      <c r="S125" s="3">
        <f t="shared" si="8"/>
        <v>-208.00000000000045</v>
      </c>
      <c r="T125" s="24"/>
      <c r="U125" s="24"/>
      <c r="V125" s="3"/>
      <c r="W125" s="25" t="s">
        <v>6546</v>
      </c>
      <c r="X125" s="25"/>
      <c r="Y125" s="25" t="str">
        <f>IFERROR(VLOOKUP(C_Ope_005[[#This Row],[NOTA 2]],Clientes_Proveedores[[Ruc / Dni]:[Razon Social]],2,0),"")</f>
        <v/>
      </c>
      <c r="Z125" s="25"/>
      <c r="AA125" s="25"/>
      <c r="AB125" s="3" t="str">
        <f>IF(C_Ope_005[[#This Row],[FECHA]]&gt;0,TEXT(C_Ope_005[[#This Row],[FECHA]],"mmmm"),0)</f>
        <v>Febrero</v>
      </c>
    </row>
    <row r="126" spans="2:28" x14ac:dyDescent="0.3">
      <c r="B126" s="2">
        <f>IF(C_Ope_005[[#This Row],[TIPO DE R.]]="R",COUNTIFS($D$4:$D125,"R")+1,"")</f>
        <v>122</v>
      </c>
      <c r="C126" s="19" t="str">
        <f t="shared" si="9"/>
        <v>C_Ope_005</v>
      </c>
      <c r="D126" s="3" t="s">
        <v>1074</v>
      </c>
      <c r="E126" s="14">
        <v>45703</v>
      </c>
      <c r="F126" s="5" t="s">
        <v>7166</v>
      </c>
      <c r="G126" s="5" t="s">
        <v>1079</v>
      </c>
      <c r="H126" s="6"/>
      <c r="I126" s="6"/>
      <c r="J126" s="6"/>
      <c r="K126" s="6"/>
      <c r="L126" s="7" t="s">
        <v>6897</v>
      </c>
      <c r="M126" s="8">
        <v>23056</v>
      </c>
      <c r="N126" s="8" t="str">
        <f t="shared" si="10"/>
        <v>PEN</v>
      </c>
      <c r="O126" s="13"/>
      <c r="P126" s="13">
        <v>16</v>
      </c>
      <c r="Q126" s="3">
        <f t="shared" si="6"/>
        <v>0</v>
      </c>
      <c r="R126" s="3">
        <f t="shared" si="7"/>
        <v>16</v>
      </c>
      <c r="S126" s="3">
        <f t="shared" si="8"/>
        <v>-224.00000000000045</v>
      </c>
      <c r="T126" s="24"/>
      <c r="U126" s="24"/>
      <c r="V126" s="3"/>
      <c r="W126" s="25" t="s">
        <v>6546</v>
      </c>
      <c r="X126" s="25"/>
      <c r="Y126" s="25" t="str">
        <f>IFERROR(VLOOKUP(C_Ope_005[[#This Row],[NOTA 2]],Clientes_Proveedores[[Ruc / Dni]:[Razon Social]],2,0),"")</f>
        <v/>
      </c>
      <c r="Z126" s="25"/>
      <c r="AA126" s="25"/>
      <c r="AB126" s="3" t="str">
        <f>IF(C_Ope_005[[#This Row],[FECHA]]&gt;0,TEXT(C_Ope_005[[#This Row],[FECHA]],"mmmm"),0)</f>
        <v>Febrero</v>
      </c>
    </row>
    <row r="127" spans="2:28" x14ac:dyDescent="0.3">
      <c r="B127" s="2">
        <f>IF(C_Ope_005[[#This Row],[TIPO DE R.]]="R",COUNTIFS($D$4:$D126,"R")+1,"")</f>
        <v>123</v>
      </c>
      <c r="C127" s="19" t="str">
        <f t="shared" si="9"/>
        <v>C_Ope_005</v>
      </c>
      <c r="D127" s="3" t="s">
        <v>1074</v>
      </c>
      <c r="E127" s="14">
        <v>45703</v>
      </c>
      <c r="F127" s="5" t="s">
        <v>7166</v>
      </c>
      <c r="G127" s="5" t="s">
        <v>1079</v>
      </c>
      <c r="H127" s="6"/>
      <c r="I127" s="6"/>
      <c r="J127" s="6"/>
      <c r="K127" s="6"/>
      <c r="L127" s="7" t="s">
        <v>6889</v>
      </c>
      <c r="M127" s="8">
        <v>23057</v>
      </c>
      <c r="N127" s="8" t="str">
        <f t="shared" si="10"/>
        <v>PEN</v>
      </c>
      <c r="O127" s="13"/>
      <c r="P127" s="13">
        <v>24</v>
      </c>
      <c r="Q127" s="3">
        <f t="shared" si="6"/>
        <v>0</v>
      </c>
      <c r="R127" s="3">
        <f t="shared" si="7"/>
        <v>24</v>
      </c>
      <c r="S127" s="3">
        <f t="shared" si="8"/>
        <v>-248.00000000000045</v>
      </c>
      <c r="T127" s="24"/>
      <c r="U127" s="24"/>
      <c r="V127" s="3"/>
      <c r="W127" s="25" t="s">
        <v>6546</v>
      </c>
      <c r="X127" s="25"/>
      <c r="Y127" s="25" t="str">
        <f>IFERROR(VLOOKUP(C_Ope_005[[#This Row],[NOTA 2]],Clientes_Proveedores[[Ruc / Dni]:[Razon Social]],2,0),"")</f>
        <v/>
      </c>
      <c r="Z127" s="25"/>
      <c r="AA127" s="25"/>
      <c r="AB127" s="3" t="str">
        <f>IF(C_Ope_005[[#This Row],[FECHA]]&gt;0,TEXT(C_Ope_005[[#This Row],[FECHA]],"mmmm"),0)</f>
        <v>Febrero</v>
      </c>
    </row>
    <row r="128" spans="2:28" x14ac:dyDescent="0.3">
      <c r="B128" s="2">
        <f>IF(C_Ope_005[[#This Row],[TIPO DE R.]]="R",COUNTIFS($D$4:$D127,"R")+1,"")</f>
        <v>124</v>
      </c>
      <c r="C128" s="19" t="str">
        <f t="shared" si="9"/>
        <v>C_Ope_005</v>
      </c>
      <c r="D128" s="3" t="s">
        <v>1074</v>
      </c>
      <c r="E128" s="14">
        <v>45703</v>
      </c>
      <c r="F128" s="5" t="s">
        <v>7166</v>
      </c>
      <c r="G128" s="5" t="s">
        <v>1079</v>
      </c>
      <c r="H128" s="6"/>
      <c r="I128" s="6"/>
      <c r="J128" s="6"/>
      <c r="K128" s="6"/>
      <c r="L128" s="7" t="s">
        <v>6903</v>
      </c>
      <c r="M128" s="8">
        <v>23058</v>
      </c>
      <c r="N128" s="8" t="str">
        <f t="shared" si="10"/>
        <v>PEN</v>
      </c>
      <c r="O128" s="13"/>
      <c r="P128" s="13">
        <v>20</v>
      </c>
      <c r="Q128" s="3">
        <f t="shared" si="6"/>
        <v>0</v>
      </c>
      <c r="R128" s="3">
        <f t="shared" si="7"/>
        <v>20</v>
      </c>
      <c r="S128" s="3">
        <f t="shared" si="8"/>
        <v>-268.00000000000045</v>
      </c>
      <c r="T128" s="24"/>
      <c r="U128" s="24"/>
      <c r="V128" s="3"/>
      <c r="W128" s="25" t="s">
        <v>6546</v>
      </c>
      <c r="X128" s="25"/>
      <c r="Y128" s="25" t="str">
        <f>IFERROR(VLOOKUP(C_Ope_005[[#This Row],[NOTA 2]],Clientes_Proveedores[[Ruc / Dni]:[Razon Social]],2,0),"")</f>
        <v/>
      </c>
      <c r="Z128" s="25"/>
      <c r="AA128" s="25"/>
      <c r="AB128" s="3" t="str">
        <f>IF(C_Ope_005[[#This Row],[FECHA]]&gt;0,TEXT(C_Ope_005[[#This Row],[FECHA]],"mmmm"),0)</f>
        <v>Febrero</v>
      </c>
    </row>
    <row r="129" spans="2:28" x14ac:dyDescent="0.3">
      <c r="B129" s="2">
        <f>IF(C_Ope_005[[#This Row],[TIPO DE R.]]="R",COUNTIFS($D$4:$D128,"R")+1,"")</f>
        <v>125</v>
      </c>
      <c r="C129" s="19" t="str">
        <f t="shared" si="9"/>
        <v>C_Ope_005</v>
      </c>
      <c r="D129" s="3" t="s">
        <v>1074</v>
      </c>
      <c r="E129" s="14">
        <v>45703</v>
      </c>
      <c r="F129" s="5" t="s">
        <v>7166</v>
      </c>
      <c r="G129" s="5" t="s">
        <v>1079</v>
      </c>
      <c r="H129" s="6"/>
      <c r="I129" s="6"/>
      <c r="J129" s="6"/>
      <c r="K129" s="6"/>
      <c r="L129" s="7" t="s">
        <v>7237</v>
      </c>
      <c r="M129" s="8">
        <v>23059</v>
      </c>
      <c r="N129" s="8" t="str">
        <f t="shared" si="10"/>
        <v>PEN</v>
      </c>
      <c r="O129" s="13"/>
      <c r="P129" s="13">
        <v>80</v>
      </c>
      <c r="Q129" s="3">
        <f t="shared" si="6"/>
        <v>0</v>
      </c>
      <c r="R129" s="3">
        <f t="shared" si="7"/>
        <v>80</v>
      </c>
      <c r="S129" s="3">
        <f t="shared" si="8"/>
        <v>-348.00000000000045</v>
      </c>
      <c r="T129" s="24"/>
      <c r="U129" s="24"/>
      <c r="V129" s="3"/>
      <c r="W129" s="25" t="s">
        <v>6546</v>
      </c>
      <c r="X129" s="25"/>
      <c r="Y129" s="25" t="str">
        <f>IFERROR(VLOOKUP(C_Ope_005[[#This Row],[NOTA 2]],Clientes_Proveedores[[Ruc / Dni]:[Razon Social]],2,0),"")</f>
        <v/>
      </c>
      <c r="Z129" s="25"/>
      <c r="AA129" s="25"/>
      <c r="AB129" s="3" t="str">
        <f>IF(C_Ope_005[[#This Row],[FECHA]]&gt;0,TEXT(C_Ope_005[[#This Row],[FECHA]],"mmmm"),0)</f>
        <v>Febrero</v>
      </c>
    </row>
    <row r="130" spans="2:28" x14ac:dyDescent="0.3">
      <c r="B130" s="2">
        <f>IF(C_Ope_005[[#This Row],[TIPO DE R.]]="R",COUNTIFS($D$4:$D129,"R")+1,"")</f>
        <v>126</v>
      </c>
      <c r="C130" s="19" t="str">
        <f t="shared" si="9"/>
        <v>C_Ope_005</v>
      </c>
      <c r="D130" s="3" t="s">
        <v>1074</v>
      </c>
      <c r="E130" s="14">
        <v>45703</v>
      </c>
      <c r="F130" s="5" t="s">
        <v>7166</v>
      </c>
      <c r="G130" s="5" t="s">
        <v>1079</v>
      </c>
      <c r="H130" s="6"/>
      <c r="I130" s="6"/>
      <c r="J130" s="6"/>
      <c r="K130" s="6"/>
      <c r="L130" s="7" t="s">
        <v>7238</v>
      </c>
      <c r="M130" s="8">
        <v>23060</v>
      </c>
      <c r="N130" s="8" t="str">
        <f t="shared" si="10"/>
        <v>PEN</v>
      </c>
      <c r="O130" s="13"/>
      <c r="P130" s="13">
        <v>15</v>
      </c>
      <c r="Q130" s="3">
        <f t="shared" si="6"/>
        <v>0</v>
      </c>
      <c r="R130" s="3">
        <f t="shared" si="7"/>
        <v>15</v>
      </c>
      <c r="S130" s="3">
        <f t="shared" si="8"/>
        <v>-363.00000000000045</v>
      </c>
      <c r="T130" s="24"/>
      <c r="U130" s="24"/>
      <c r="V130" s="3"/>
      <c r="W130" s="25" t="s">
        <v>6546</v>
      </c>
      <c r="X130" s="25"/>
      <c r="Y130" s="25" t="str">
        <f>IFERROR(VLOOKUP(C_Ope_005[[#This Row],[NOTA 2]],Clientes_Proveedores[[Ruc / Dni]:[Razon Social]],2,0),"")</f>
        <v/>
      </c>
      <c r="Z130" s="25"/>
      <c r="AA130" s="25"/>
      <c r="AB130" s="3" t="str">
        <f>IF(C_Ope_005[[#This Row],[FECHA]]&gt;0,TEXT(C_Ope_005[[#This Row],[FECHA]],"mmmm"),0)</f>
        <v>Febrero</v>
      </c>
    </row>
    <row r="131" spans="2:28" x14ac:dyDescent="0.3">
      <c r="B131" s="2">
        <f>IF(C_Ope_005[[#This Row],[TIPO DE R.]]="R",COUNTIFS($D$4:$D130,"R")+1,"")</f>
        <v>127</v>
      </c>
      <c r="C131" s="19" t="str">
        <f t="shared" si="9"/>
        <v>C_Ope_005</v>
      </c>
      <c r="D131" s="3" t="s">
        <v>1074</v>
      </c>
      <c r="E131" s="14">
        <v>45704</v>
      </c>
      <c r="F131" s="5" t="s">
        <v>7166</v>
      </c>
      <c r="G131" s="5" t="s">
        <v>1079</v>
      </c>
      <c r="H131" s="6"/>
      <c r="I131" s="6"/>
      <c r="J131" s="6"/>
      <c r="K131" s="6"/>
      <c r="L131" s="7" t="s">
        <v>6897</v>
      </c>
      <c r="M131" s="8">
        <v>23063</v>
      </c>
      <c r="N131" s="8" t="str">
        <f t="shared" si="10"/>
        <v>PEN</v>
      </c>
      <c r="O131" s="13"/>
      <c r="P131" s="13">
        <v>24</v>
      </c>
      <c r="Q131" s="3">
        <f t="shared" si="6"/>
        <v>0</v>
      </c>
      <c r="R131" s="3">
        <f t="shared" si="7"/>
        <v>24</v>
      </c>
      <c r="S131" s="3">
        <f t="shared" si="8"/>
        <v>-387.00000000000045</v>
      </c>
      <c r="T131" s="24"/>
      <c r="U131" s="24"/>
      <c r="V131" s="3"/>
      <c r="W131" s="25" t="s">
        <v>6546</v>
      </c>
      <c r="X131" s="25"/>
      <c r="Y131" s="25" t="str">
        <f>IFERROR(VLOOKUP(C_Ope_005[[#This Row],[NOTA 2]],Clientes_Proveedores[[Ruc / Dni]:[Razon Social]],2,0),"")</f>
        <v/>
      </c>
      <c r="Z131" s="25"/>
      <c r="AA131" s="25"/>
      <c r="AB131" s="3" t="str">
        <f>IF(C_Ope_005[[#This Row],[FECHA]]&gt;0,TEXT(C_Ope_005[[#This Row],[FECHA]],"mmmm"),0)</f>
        <v>Febrero</v>
      </c>
    </row>
    <row r="132" spans="2:28" x14ac:dyDescent="0.3">
      <c r="B132" s="2">
        <f>IF(C_Ope_005[[#This Row],[TIPO DE R.]]="R",COUNTIFS($D$4:$D131,"R")+1,"")</f>
        <v>128</v>
      </c>
      <c r="C132" s="19" t="str">
        <f t="shared" si="9"/>
        <v>C_Ope_005</v>
      </c>
      <c r="D132" s="3" t="s">
        <v>1074</v>
      </c>
      <c r="E132" s="14">
        <v>45704</v>
      </c>
      <c r="F132" s="5" t="s">
        <v>7166</v>
      </c>
      <c r="G132" s="5" t="s">
        <v>1079</v>
      </c>
      <c r="H132" s="6"/>
      <c r="I132" s="6"/>
      <c r="J132" s="6"/>
      <c r="K132" s="6"/>
      <c r="L132" s="7" t="s">
        <v>6889</v>
      </c>
      <c r="M132" s="8">
        <v>23064</v>
      </c>
      <c r="N132" s="8" t="str">
        <f t="shared" si="10"/>
        <v>PEN</v>
      </c>
      <c r="O132" s="13"/>
      <c r="P132" s="13">
        <v>30</v>
      </c>
      <c r="Q132" s="3">
        <f t="shared" si="6"/>
        <v>0</v>
      </c>
      <c r="R132" s="3">
        <f t="shared" si="7"/>
        <v>30</v>
      </c>
      <c r="S132" s="3">
        <f t="shared" si="8"/>
        <v>-417.00000000000045</v>
      </c>
      <c r="T132" s="24"/>
      <c r="U132" s="24"/>
      <c r="V132" s="3"/>
      <c r="W132" s="25" t="s">
        <v>6546</v>
      </c>
      <c r="X132" s="25"/>
      <c r="Y132" s="25" t="str">
        <f>IFERROR(VLOOKUP(C_Ope_005[[#This Row],[NOTA 2]],Clientes_Proveedores[[Ruc / Dni]:[Razon Social]],2,0),"")</f>
        <v/>
      </c>
      <c r="Z132" s="25"/>
      <c r="AA132" s="25"/>
      <c r="AB132" s="3" t="str">
        <f>IF(C_Ope_005[[#This Row],[FECHA]]&gt;0,TEXT(C_Ope_005[[#This Row],[FECHA]],"mmmm"),0)</f>
        <v>Febrero</v>
      </c>
    </row>
    <row r="133" spans="2:28" x14ac:dyDescent="0.3">
      <c r="B133" s="2">
        <f>IF(C_Ope_005[[#This Row],[TIPO DE R.]]="R",COUNTIFS($D$4:$D132,"R")+1,"")</f>
        <v>129</v>
      </c>
      <c r="C133" s="19" t="str">
        <f t="shared" si="9"/>
        <v>C_Ope_005</v>
      </c>
      <c r="D133" s="3" t="s">
        <v>1074</v>
      </c>
      <c r="E133" s="14">
        <v>45705</v>
      </c>
      <c r="F133" s="5" t="s">
        <v>6299</v>
      </c>
      <c r="G133" s="5" t="s">
        <v>1087</v>
      </c>
      <c r="H133" s="6"/>
      <c r="I133" s="6"/>
      <c r="J133" s="6"/>
      <c r="K133" s="6"/>
      <c r="L133" s="7" t="s">
        <v>6302</v>
      </c>
      <c r="M133" s="8">
        <v>23078</v>
      </c>
      <c r="N133" s="8" t="str">
        <f t="shared" si="10"/>
        <v>PEN</v>
      </c>
      <c r="O133" s="13"/>
      <c r="P133" s="13">
        <v>600</v>
      </c>
      <c r="Q133" s="3">
        <f t="shared" ref="Q133:Q196" si="11">+IF(OR($G133="SALDO",$G133="INGRESO"),$P133,0)</f>
        <v>600</v>
      </c>
      <c r="R133" s="3">
        <f t="shared" ref="R133:R196" si="12">+IF($G133="EGRESO",$P133,0)</f>
        <v>0</v>
      </c>
      <c r="S133" s="3">
        <f t="shared" ref="S133:S196" si="13">IFERROR(IF(G133="SALDO",Q133,S132+Q133-R133),0)</f>
        <v>182.99999999999955</v>
      </c>
      <c r="T133" s="24"/>
      <c r="U133" s="24"/>
      <c r="V133" s="3"/>
      <c r="W133" s="25"/>
      <c r="X133" s="25"/>
      <c r="Y133" s="25" t="str">
        <f>IFERROR(VLOOKUP(C_Ope_005[[#This Row],[NOTA 2]],Clientes_Proveedores[[Ruc / Dni]:[Razon Social]],2,0),"")</f>
        <v/>
      </c>
      <c r="Z133" s="25"/>
      <c r="AA133" s="25">
        <f>ROUND(C_Ope_005[[#This Row],[MONTO ]]/1.18,3)</f>
        <v>508.47500000000002</v>
      </c>
      <c r="AB133" s="3" t="str">
        <f>IF(C_Ope_005[[#This Row],[FECHA]]&gt;0,TEXT(C_Ope_005[[#This Row],[FECHA]],"mmmm"),0)</f>
        <v>Febrero</v>
      </c>
    </row>
    <row r="134" spans="2:28" ht="36" x14ac:dyDescent="0.3">
      <c r="B134" s="2">
        <f>IF(C_Ope_005[[#This Row],[TIPO DE R.]]="R",COUNTIFS($D$4:$D133,"R")+1,"")</f>
        <v>130</v>
      </c>
      <c r="C134" s="19" t="str">
        <f t="shared" ref="C134:C197" si="14">"C_Ope_005"</f>
        <v>C_Ope_005</v>
      </c>
      <c r="D134" s="3" t="s">
        <v>1074</v>
      </c>
      <c r="E134" s="14">
        <v>45705</v>
      </c>
      <c r="F134" s="5" t="s">
        <v>7166</v>
      </c>
      <c r="G134" s="5" t="s">
        <v>1079</v>
      </c>
      <c r="H134" s="6"/>
      <c r="I134" s="6" t="s">
        <v>14</v>
      </c>
      <c r="J134" s="6" t="s">
        <v>5245</v>
      </c>
      <c r="K134" s="6">
        <v>1677783</v>
      </c>
      <c r="L134" s="7" t="s">
        <v>7239</v>
      </c>
      <c r="M134" s="8">
        <v>23072</v>
      </c>
      <c r="N134" s="8" t="str">
        <f t="shared" ref="N134:N197" si="15">"PEN"</f>
        <v>PEN</v>
      </c>
      <c r="O134" s="13"/>
      <c r="P134" s="13">
        <v>8</v>
      </c>
      <c r="Q134" s="3">
        <f t="shared" si="11"/>
        <v>0</v>
      </c>
      <c r="R134" s="3">
        <f t="shared" si="12"/>
        <v>8</v>
      </c>
      <c r="S134" s="3">
        <f t="shared" si="13"/>
        <v>174.99999999999955</v>
      </c>
      <c r="T134" s="24"/>
      <c r="U134" s="24"/>
      <c r="V134" s="3"/>
      <c r="W134" s="25" t="s">
        <v>6546</v>
      </c>
      <c r="X134" s="25"/>
      <c r="Y134" s="25" t="str">
        <f>IFERROR(VLOOKUP(C_Ope_005[[#This Row],[NOTA 2]],Clientes_Proveedores[[Ruc / Dni]:[Razon Social]],2,0),"")</f>
        <v/>
      </c>
      <c r="Z134" s="25"/>
      <c r="AA134" s="25"/>
      <c r="AB134" s="3" t="str">
        <f>IF(C_Ope_005[[#This Row],[FECHA]]&gt;0,TEXT(C_Ope_005[[#This Row],[FECHA]],"mmmm"),0)</f>
        <v>Febrero</v>
      </c>
    </row>
    <row r="135" spans="2:28" ht="36" x14ac:dyDescent="0.3">
      <c r="B135" s="2">
        <f>IF(C_Ope_005[[#This Row],[TIPO DE R.]]="R",COUNTIFS($D$4:$D134,"R")+1,"")</f>
        <v>131</v>
      </c>
      <c r="C135" s="19" t="str">
        <f t="shared" si="14"/>
        <v>C_Ope_005</v>
      </c>
      <c r="D135" s="3" t="s">
        <v>1074</v>
      </c>
      <c r="E135" s="14">
        <v>45705</v>
      </c>
      <c r="F135" s="5" t="s">
        <v>7166</v>
      </c>
      <c r="G135" s="5" t="s">
        <v>1079</v>
      </c>
      <c r="H135" s="6"/>
      <c r="I135" s="6" t="s">
        <v>14</v>
      </c>
      <c r="J135" s="6" t="s">
        <v>5244</v>
      </c>
      <c r="K135" s="6">
        <v>1658565</v>
      </c>
      <c r="L135" s="7" t="s">
        <v>7239</v>
      </c>
      <c r="M135" s="8">
        <v>23073</v>
      </c>
      <c r="N135" s="8" t="str">
        <f t="shared" si="15"/>
        <v>PEN</v>
      </c>
      <c r="O135" s="13"/>
      <c r="P135" s="13">
        <v>8</v>
      </c>
      <c r="Q135" s="3">
        <f t="shared" si="11"/>
        <v>0</v>
      </c>
      <c r="R135" s="3">
        <f t="shared" si="12"/>
        <v>8</v>
      </c>
      <c r="S135" s="3">
        <f t="shared" si="13"/>
        <v>166.99999999999955</v>
      </c>
      <c r="T135" s="24"/>
      <c r="U135" s="24"/>
      <c r="V135" s="3"/>
      <c r="W135" s="25" t="s">
        <v>6546</v>
      </c>
      <c r="X135" s="25"/>
      <c r="Y135" s="25" t="str">
        <f>IFERROR(VLOOKUP(C_Ope_005[[#This Row],[NOTA 2]],Clientes_Proveedores[[Ruc / Dni]:[Razon Social]],2,0),"")</f>
        <v/>
      </c>
      <c r="Z135" s="25"/>
      <c r="AA135" s="25"/>
      <c r="AB135" s="3" t="str">
        <f>IF(C_Ope_005[[#This Row],[FECHA]]&gt;0,TEXT(C_Ope_005[[#This Row],[FECHA]],"mmmm"),0)</f>
        <v>Febrero</v>
      </c>
    </row>
    <row r="136" spans="2:28" ht="24" x14ac:dyDescent="0.3">
      <c r="B136" s="2">
        <f>IF(C_Ope_005[[#This Row],[TIPO DE R.]]="R",COUNTIFS($D$4:$D135,"R")+1,"")</f>
        <v>132</v>
      </c>
      <c r="C136" s="19" t="str">
        <f t="shared" si="14"/>
        <v>C_Ope_005</v>
      </c>
      <c r="D136" s="3" t="s">
        <v>1074</v>
      </c>
      <c r="E136" s="14">
        <v>45707</v>
      </c>
      <c r="F136" s="5" t="s">
        <v>7166</v>
      </c>
      <c r="G136" s="5" t="s">
        <v>1079</v>
      </c>
      <c r="H136" s="6"/>
      <c r="I136" s="6" t="s">
        <v>14</v>
      </c>
      <c r="J136" s="6" t="s">
        <v>5244</v>
      </c>
      <c r="K136" s="6">
        <v>1660398</v>
      </c>
      <c r="L136" s="7" t="s">
        <v>7240</v>
      </c>
      <c r="M136" s="8">
        <v>23097</v>
      </c>
      <c r="N136" s="8" t="str">
        <f t="shared" si="15"/>
        <v>PEN</v>
      </c>
      <c r="O136" s="13"/>
      <c r="P136" s="13">
        <v>8</v>
      </c>
      <c r="Q136" s="3">
        <f t="shared" si="11"/>
        <v>0</v>
      </c>
      <c r="R136" s="3">
        <f t="shared" si="12"/>
        <v>8</v>
      </c>
      <c r="S136" s="3">
        <f t="shared" si="13"/>
        <v>158.99999999999955</v>
      </c>
      <c r="T136" s="24"/>
      <c r="U136" s="24"/>
      <c r="V136" s="3"/>
      <c r="W136" s="25" t="s">
        <v>6546</v>
      </c>
      <c r="X136" s="25"/>
      <c r="Y136" s="25" t="str">
        <f>IFERROR(VLOOKUP(C_Ope_005[[#This Row],[NOTA 2]],Clientes_Proveedores[[Ruc / Dni]:[Razon Social]],2,0),"")</f>
        <v/>
      </c>
      <c r="Z136" s="25"/>
      <c r="AA136" s="25"/>
      <c r="AB136" s="3" t="str">
        <f>IF(C_Ope_005[[#This Row],[FECHA]]&gt;0,TEXT(C_Ope_005[[#This Row],[FECHA]],"mmmm"),0)</f>
        <v>Febrero</v>
      </c>
    </row>
    <row r="137" spans="2:28" ht="24" x14ac:dyDescent="0.3">
      <c r="B137" s="2">
        <f>IF(C_Ope_005[[#This Row],[TIPO DE R.]]="R",COUNTIFS($D$4:$D136,"R")+1,"")</f>
        <v>133</v>
      </c>
      <c r="C137" s="19" t="str">
        <f t="shared" si="14"/>
        <v>C_Ope_005</v>
      </c>
      <c r="D137" s="3" t="s">
        <v>1074</v>
      </c>
      <c r="E137" s="14">
        <v>45705</v>
      </c>
      <c r="F137" s="5" t="s">
        <v>7166</v>
      </c>
      <c r="G137" s="5" t="s">
        <v>1079</v>
      </c>
      <c r="H137" s="6"/>
      <c r="I137" s="6" t="s">
        <v>14</v>
      </c>
      <c r="J137" s="6" t="s">
        <v>1097</v>
      </c>
      <c r="K137" s="6">
        <v>15657</v>
      </c>
      <c r="L137" s="7" t="s">
        <v>7241</v>
      </c>
      <c r="M137" s="8">
        <v>23074</v>
      </c>
      <c r="N137" s="8" t="str">
        <f t="shared" si="15"/>
        <v>PEN</v>
      </c>
      <c r="O137" s="13"/>
      <c r="P137" s="13">
        <v>20</v>
      </c>
      <c r="Q137" s="3">
        <f t="shared" si="11"/>
        <v>0</v>
      </c>
      <c r="R137" s="3">
        <f t="shared" si="12"/>
        <v>20</v>
      </c>
      <c r="S137" s="3">
        <f t="shared" si="13"/>
        <v>138.99999999999955</v>
      </c>
      <c r="T137" s="24"/>
      <c r="U137" s="24"/>
      <c r="V137" s="3"/>
      <c r="W137" s="25" t="s">
        <v>6546</v>
      </c>
      <c r="X137" s="25"/>
      <c r="Y137" s="25" t="str">
        <f>IFERROR(VLOOKUP(C_Ope_005[[#This Row],[NOTA 2]],Clientes_Proveedores[[Ruc / Dni]:[Razon Social]],2,0),"")</f>
        <v/>
      </c>
      <c r="Z137" s="25"/>
      <c r="AA137" s="25"/>
      <c r="AB137" s="3" t="str">
        <f>IF(C_Ope_005[[#This Row],[FECHA]]&gt;0,TEXT(C_Ope_005[[#This Row],[FECHA]],"mmmm"),0)</f>
        <v>Febrero</v>
      </c>
    </row>
    <row r="138" spans="2:28" ht="24" x14ac:dyDescent="0.3">
      <c r="B138" s="2">
        <f>IF(C_Ope_005[[#This Row],[TIPO DE R.]]="R",COUNTIFS($D$4:$D137,"R")+1,"")</f>
        <v>134</v>
      </c>
      <c r="C138" s="19" t="str">
        <f t="shared" si="14"/>
        <v>C_Ope_005</v>
      </c>
      <c r="D138" s="3" t="s">
        <v>1074</v>
      </c>
      <c r="E138" s="14">
        <v>45705</v>
      </c>
      <c r="F138" s="5" t="s">
        <v>7166</v>
      </c>
      <c r="G138" s="5" t="s">
        <v>1079</v>
      </c>
      <c r="H138" s="6"/>
      <c r="I138" s="6" t="s">
        <v>14</v>
      </c>
      <c r="J138" s="6" t="s">
        <v>1097</v>
      </c>
      <c r="K138" s="6">
        <v>15659</v>
      </c>
      <c r="L138" s="7" t="s">
        <v>7242</v>
      </c>
      <c r="M138" s="8">
        <v>23075</v>
      </c>
      <c r="N138" s="8" t="str">
        <f t="shared" si="15"/>
        <v>PEN</v>
      </c>
      <c r="O138" s="13"/>
      <c r="P138" s="13">
        <v>20</v>
      </c>
      <c r="Q138" s="3">
        <f t="shared" si="11"/>
        <v>0</v>
      </c>
      <c r="R138" s="3">
        <f t="shared" si="12"/>
        <v>20</v>
      </c>
      <c r="S138" s="3">
        <f t="shared" si="13"/>
        <v>118.99999999999955</v>
      </c>
      <c r="T138" s="24"/>
      <c r="U138" s="24"/>
      <c r="V138" s="3"/>
      <c r="W138" s="25" t="s">
        <v>6546</v>
      </c>
      <c r="X138" s="25"/>
      <c r="Y138" s="25" t="str">
        <f>IFERROR(VLOOKUP(C_Ope_005[[#This Row],[NOTA 2]],Clientes_Proveedores[[Ruc / Dni]:[Razon Social]],2,0),"")</f>
        <v/>
      </c>
      <c r="Z138" s="25"/>
      <c r="AA138" s="25"/>
      <c r="AB138" s="3" t="str">
        <f>IF(C_Ope_005[[#This Row],[FECHA]]&gt;0,TEXT(C_Ope_005[[#This Row],[FECHA]],"mmmm"),0)</f>
        <v>Febrero</v>
      </c>
    </row>
    <row r="139" spans="2:28" x14ac:dyDescent="0.3">
      <c r="B139" s="2">
        <f>IF(C_Ope_005[[#This Row],[TIPO DE R.]]="R",COUNTIFS($D$4:$D138,"R")+1,"")</f>
        <v>135</v>
      </c>
      <c r="C139" s="19" t="str">
        <f t="shared" si="14"/>
        <v>C_Ope_005</v>
      </c>
      <c r="D139" s="3" t="s">
        <v>1074</v>
      </c>
      <c r="E139" s="14">
        <v>45706</v>
      </c>
      <c r="F139" s="5" t="s">
        <v>7166</v>
      </c>
      <c r="G139" s="5" t="s">
        <v>1079</v>
      </c>
      <c r="H139" s="6"/>
      <c r="I139" s="6" t="s">
        <v>14</v>
      </c>
      <c r="J139" s="6" t="s">
        <v>1088</v>
      </c>
      <c r="K139" s="6">
        <v>33901</v>
      </c>
      <c r="L139" s="7" t="s">
        <v>7243</v>
      </c>
      <c r="M139" s="8">
        <v>23079</v>
      </c>
      <c r="N139" s="8" t="str">
        <f t="shared" si="15"/>
        <v>PEN</v>
      </c>
      <c r="O139" s="13"/>
      <c r="P139" s="13">
        <v>10</v>
      </c>
      <c r="Q139" s="3">
        <f t="shared" si="11"/>
        <v>0</v>
      </c>
      <c r="R139" s="3">
        <f t="shared" si="12"/>
        <v>10</v>
      </c>
      <c r="S139" s="3">
        <f t="shared" si="13"/>
        <v>108.99999999999955</v>
      </c>
      <c r="T139" s="24"/>
      <c r="U139" s="24"/>
      <c r="V139" s="3"/>
      <c r="W139" s="25" t="s">
        <v>6546</v>
      </c>
      <c r="X139" s="25"/>
      <c r="Y139" s="25" t="str">
        <f>IFERROR(VLOOKUP(C_Ope_005[[#This Row],[NOTA 2]],Clientes_Proveedores[[Ruc / Dni]:[Razon Social]],2,0),"")</f>
        <v/>
      </c>
      <c r="Z139" s="25"/>
      <c r="AA139" s="25"/>
      <c r="AB139" s="3" t="str">
        <f>IF(C_Ope_005[[#This Row],[FECHA]]&gt;0,TEXT(C_Ope_005[[#This Row],[FECHA]],"mmmm"),0)</f>
        <v>Febrero</v>
      </c>
    </row>
    <row r="140" spans="2:28" x14ac:dyDescent="0.3">
      <c r="B140" s="2">
        <f>IF(C_Ope_005[[#This Row],[TIPO DE R.]]="R",COUNTIFS($D$4:$D139,"R")+1,"")</f>
        <v>136</v>
      </c>
      <c r="C140" s="19" t="str">
        <f t="shared" si="14"/>
        <v>C_Ope_005</v>
      </c>
      <c r="D140" s="3" t="s">
        <v>1074</v>
      </c>
      <c r="E140" s="14">
        <v>45707</v>
      </c>
      <c r="F140" s="5" t="s">
        <v>7166</v>
      </c>
      <c r="G140" s="5" t="s">
        <v>1079</v>
      </c>
      <c r="H140" s="6"/>
      <c r="I140" s="6" t="s">
        <v>14</v>
      </c>
      <c r="J140" s="6" t="s">
        <v>1088</v>
      </c>
      <c r="K140" s="6">
        <v>33911</v>
      </c>
      <c r="L140" s="7" t="s">
        <v>6598</v>
      </c>
      <c r="M140" s="8">
        <v>23098</v>
      </c>
      <c r="N140" s="8" t="str">
        <f t="shared" si="15"/>
        <v>PEN</v>
      </c>
      <c r="O140" s="13"/>
      <c r="P140" s="13">
        <v>10</v>
      </c>
      <c r="Q140" s="3">
        <f t="shared" si="11"/>
        <v>0</v>
      </c>
      <c r="R140" s="3">
        <f t="shared" si="12"/>
        <v>10</v>
      </c>
      <c r="S140" s="3">
        <f t="shared" si="13"/>
        <v>98.999999999999545</v>
      </c>
      <c r="T140" s="24"/>
      <c r="U140" s="24"/>
      <c r="V140" s="3"/>
      <c r="W140" s="25" t="s">
        <v>6546</v>
      </c>
      <c r="X140" s="25"/>
      <c r="Y140" s="25" t="str">
        <f>IFERROR(VLOOKUP(C_Ope_005[[#This Row],[NOTA 2]],Clientes_Proveedores[[Ruc / Dni]:[Razon Social]],2,0),"")</f>
        <v/>
      </c>
      <c r="Z140" s="25"/>
      <c r="AA140" s="25"/>
      <c r="AB140" s="3" t="str">
        <f>IF(C_Ope_005[[#This Row],[FECHA]]&gt;0,TEXT(C_Ope_005[[#This Row],[FECHA]],"mmmm"),0)</f>
        <v>Febrero</v>
      </c>
    </row>
    <row r="141" spans="2:28" x14ac:dyDescent="0.3">
      <c r="B141" s="2">
        <f>IF(C_Ope_005[[#This Row],[TIPO DE R.]]="R",COUNTIFS($D$4:$D140,"R")+1,"")</f>
        <v>137</v>
      </c>
      <c r="C141" s="19" t="str">
        <f t="shared" si="14"/>
        <v>C_Ope_005</v>
      </c>
      <c r="D141" s="3" t="s">
        <v>1074</v>
      </c>
      <c r="E141" s="14">
        <v>45708</v>
      </c>
      <c r="F141" s="5" t="s">
        <v>7166</v>
      </c>
      <c r="G141" s="5" t="s">
        <v>1079</v>
      </c>
      <c r="H141" s="6"/>
      <c r="I141" s="6" t="s">
        <v>14</v>
      </c>
      <c r="J141" s="6" t="s">
        <v>1088</v>
      </c>
      <c r="K141" s="6">
        <v>33917</v>
      </c>
      <c r="L141" s="7" t="s">
        <v>7243</v>
      </c>
      <c r="M141" s="8">
        <v>23103</v>
      </c>
      <c r="N141" s="8" t="str">
        <f t="shared" si="15"/>
        <v>PEN</v>
      </c>
      <c r="O141" s="13"/>
      <c r="P141" s="13">
        <v>10</v>
      </c>
      <c r="Q141" s="3">
        <f t="shared" si="11"/>
        <v>0</v>
      </c>
      <c r="R141" s="3">
        <f t="shared" si="12"/>
        <v>10</v>
      </c>
      <c r="S141" s="3">
        <f t="shared" si="13"/>
        <v>88.999999999999545</v>
      </c>
      <c r="T141" s="24"/>
      <c r="U141" s="24"/>
      <c r="V141" s="3"/>
      <c r="W141" s="25" t="s">
        <v>6546</v>
      </c>
      <c r="X141" s="25"/>
      <c r="Y141" s="25" t="str">
        <f>IFERROR(VLOOKUP(C_Ope_005[[#This Row],[NOTA 2]],Clientes_Proveedores[[Ruc / Dni]:[Razon Social]],2,0),"")</f>
        <v/>
      </c>
      <c r="Z141" s="25"/>
      <c r="AA141" s="25"/>
      <c r="AB141" s="3" t="str">
        <f>IF(C_Ope_005[[#This Row],[FECHA]]&gt;0,TEXT(C_Ope_005[[#This Row],[FECHA]],"mmmm"),0)</f>
        <v>Febrero</v>
      </c>
    </row>
    <row r="142" spans="2:28" x14ac:dyDescent="0.3">
      <c r="B142" s="2">
        <f>IF(C_Ope_005[[#This Row],[TIPO DE R.]]="R",COUNTIFS($D$4:$D141,"R")+1,"")</f>
        <v>138</v>
      </c>
      <c r="C142" s="19" t="str">
        <f t="shared" si="14"/>
        <v>C_Ope_005</v>
      </c>
      <c r="D142" s="3" t="s">
        <v>1074</v>
      </c>
      <c r="E142" s="14">
        <v>45708</v>
      </c>
      <c r="F142" s="5" t="s">
        <v>7166</v>
      </c>
      <c r="G142" s="5" t="s">
        <v>1079</v>
      </c>
      <c r="H142" s="6"/>
      <c r="I142" s="6" t="s">
        <v>14</v>
      </c>
      <c r="J142" s="6" t="s">
        <v>1088</v>
      </c>
      <c r="K142" s="6">
        <v>33923</v>
      </c>
      <c r="L142" s="7" t="s">
        <v>7244</v>
      </c>
      <c r="M142" s="8">
        <v>23104</v>
      </c>
      <c r="N142" s="8" t="str">
        <f t="shared" si="15"/>
        <v>PEN</v>
      </c>
      <c r="O142" s="13"/>
      <c r="P142" s="13">
        <v>10</v>
      </c>
      <c r="Q142" s="3">
        <f t="shared" si="11"/>
        <v>0</v>
      </c>
      <c r="R142" s="3">
        <f t="shared" si="12"/>
        <v>10</v>
      </c>
      <c r="S142" s="3">
        <f t="shared" si="13"/>
        <v>78.999999999999545</v>
      </c>
      <c r="T142" s="24"/>
      <c r="U142" s="24"/>
      <c r="V142" s="3"/>
      <c r="W142" s="25" t="s">
        <v>6546</v>
      </c>
      <c r="X142" s="25"/>
      <c r="Y142" s="25" t="str">
        <f>IFERROR(VLOOKUP(C_Ope_005[[#This Row],[NOTA 2]],Clientes_Proveedores[[Ruc / Dni]:[Razon Social]],2,0),"")</f>
        <v/>
      </c>
      <c r="Z142" s="25"/>
      <c r="AA142" s="25"/>
      <c r="AB142" s="3" t="str">
        <f>IF(C_Ope_005[[#This Row],[FECHA]]&gt;0,TEXT(C_Ope_005[[#This Row],[FECHA]],"mmmm"),0)</f>
        <v>Febrero</v>
      </c>
    </row>
    <row r="143" spans="2:28" x14ac:dyDescent="0.3">
      <c r="B143" s="2">
        <f>IF(C_Ope_005[[#This Row],[TIPO DE R.]]="R",COUNTIFS($D$4:$D142,"R")+1,"")</f>
        <v>139</v>
      </c>
      <c r="C143" s="19" t="str">
        <f t="shared" si="14"/>
        <v>C_Ope_005</v>
      </c>
      <c r="D143" s="3" t="s">
        <v>1074</v>
      </c>
      <c r="E143" s="14">
        <v>45709</v>
      </c>
      <c r="F143" s="5" t="s">
        <v>7166</v>
      </c>
      <c r="G143" s="5" t="s">
        <v>1079</v>
      </c>
      <c r="H143" s="6"/>
      <c r="I143" s="6" t="s">
        <v>14</v>
      </c>
      <c r="J143" s="6" t="s">
        <v>1088</v>
      </c>
      <c r="K143" s="6">
        <v>33934</v>
      </c>
      <c r="L143" s="7" t="s">
        <v>6598</v>
      </c>
      <c r="M143" s="8">
        <v>23112</v>
      </c>
      <c r="N143" s="8" t="str">
        <f t="shared" si="15"/>
        <v>PEN</v>
      </c>
      <c r="O143" s="13"/>
      <c r="P143" s="13">
        <v>10</v>
      </c>
      <c r="Q143" s="3">
        <f t="shared" si="11"/>
        <v>0</v>
      </c>
      <c r="R143" s="3">
        <f t="shared" si="12"/>
        <v>10</v>
      </c>
      <c r="S143" s="3">
        <f t="shared" si="13"/>
        <v>68.999999999999545</v>
      </c>
      <c r="T143" s="24"/>
      <c r="U143" s="24"/>
      <c r="V143" s="3"/>
      <c r="W143" s="25" t="s">
        <v>6546</v>
      </c>
      <c r="X143" s="25"/>
      <c r="Y143" s="25" t="str">
        <f>IFERROR(VLOOKUP(C_Ope_005[[#This Row],[NOTA 2]],Clientes_Proveedores[[Ruc / Dni]:[Razon Social]],2,0),"")</f>
        <v/>
      </c>
      <c r="Z143" s="25"/>
      <c r="AA143" s="25"/>
      <c r="AB143" s="3" t="str">
        <f>IF(C_Ope_005[[#This Row],[FECHA]]&gt;0,TEXT(C_Ope_005[[#This Row],[FECHA]],"mmmm"),0)</f>
        <v>Febrero</v>
      </c>
    </row>
    <row r="144" spans="2:28" x14ac:dyDescent="0.3">
      <c r="B144" s="2">
        <f>IF(C_Ope_005[[#This Row],[TIPO DE R.]]="R",COUNTIFS($D$4:$D143,"R")+1,"")</f>
        <v>140</v>
      </c>
      <c r="C144" s="19" t="str">
        <f t="shared" si="14"/>
        <v>C_Ope_005</v>
      </c>
      <c r="D144" s="3" t="s">
        <v>1074</v>
      </c>
      <c r="E144" s="14">
        <v>45709</v>
      </c>
      <c r="F144" s="5" t="s">
        <v>7166</v>
      </c>
      <c r="G144" s="5" t="s">
        <v>1079</v>
      </c>
      <c r="H144" s="6"/>
      <c r="I144" s="6" t="s">
        <v>14</v>
      </c>
      <c r="J144" s="6" t="s">
        <v>1088</v>
      </c>
      <c r="K144" s="6">
        <v>33935</v>
      </c>
      <c r="L144" s="7" t="s">
        <v>7245</v>
      </c>
      <c r="M144" s="8">
        <v>23113</v>
      </c>
      <c r="N144" s="8" t="str">
        <f t="shared" si="15"/>
        <v>PEN</v>
      </c>
      <c r="O144" s="13"/>
      <c r="P144" s="13">
        <v>10</v>
      </c>
      <c r="Q144" s="3">
        <f t="shared" si="11"/>
        <v>0</v>
      </c>
      <c r="R144" s="3">
        <f t="shared" si="12"/>
        <v>10</v>
      </c>
      <c r="S144" s="3">
        <f t="shared" si="13"/>
        <v>58.999999999999545</v>
      </c>
      <c r="T144" s="24"/>
      <c r="U144" s="24"/>
      <c r="V144" s="3"/>
      <c r="W144" s="25" t="s">
        <v>6546</v>
      </c>
      <c r="X144" s="25"/>
      <c r="Y144" s="25" t="str">
        <f>IFERROR(VLOOKUP(C_Ope_005[[#This Row],[NOTA 2]],Clientes_Proveedores[[Ruc / Dni]:[Razon Social]],2,0),"")</f>
        <v/>
      </c>
      <c r="Z144" s="25"/>
      <c r="AA144" s="25"/>
      <c r="AB144" s="3" t="str">
        <f>IF(C_Ope_005[[#This Row],[FECHA]]&gt;0,TEXT(C_Ope_005[[#This Row],[FECHA]],"mmmm"),0)</f>
        <v>Febrero</v>
      </c>
    </row>
    <row r="145" spans="2:28" x14ac:dyDescent="0.3">
      <c r="B145" s="2">
        <f>IF(C_Ope_005[[#This Row],[TIPO DE R.]]="R",COUNTIFS($D$4:$D144,"R")+1,"")</f>
        <v>141</v>
      </c>
      <c r="C145" s="19" t="str">
        <f t="shared" si="14"/>
        <v>C_Ope_005</v>
      </c>
      <c r="D145" s="3" t="s">
        <v>1074</v>
      </c>
      <c r="E145" s="14">
        <v>45705</v>
      </c>
      <c r="F145" s="5" t="s">
        <v>7166</v>
      </c>
      <c r="G145" s="5" t="s">
        <v>1079</v>
      </c>
      <c r="H145" s="6"/>
      <c r="I145" s="6" t="s">
        <v>14</v>
      </c>
      <c r="J145" s="6" t="s">
        <v>1119</v>
      </c>
      <c r="K145" s="6">
        <v>1544</v>
      </c>
      <c r="L145" s="7" t="s">
        <v>6565</v>
      </c>
      <c r="M145" s="8">
        <v>23076</v>
      </c>
      <c r="N145" s="8" t="str">
        <f t="shared" si="15"/>
        <v>PEN</v>
      </c>
      <c r="O145" s="13"/>
      <c r="P145" s="13">
        <v>35</v>
      </c>
      <c r="Q145" s="3">
        <f t="shared" si="11"/>
        <v>0</v>
      </c>
      <c r="R145" s="3">
        <f t="shared" si="12"/>
        <v>35</v>
      </c>
      <c r="S145" s="3">
        <f t="shared" si="13"/>
        <v>23.999999999999545</v>
      </c>
      <c r="T145" s="24"/>
      <c r="U145" s="24"/>
      <c r="V145" s="3"/>
      <c r="W145" s="25" t="s">
        <v>6546</v>
      </c>
      <c r="X145" s="25"/>
      <c r="Y145" s="25" t="str">
        <f>IFERROR(VLOOKUP(C_Ope_005[[#This Row],[NOTA 2]],Clientes_Proveedores[[Ruc / Dni]:[Razon Social]],2,0),"")</f>
        <v/>
      </c>
      <c r="Z145" s="25"/>
      <c r="AA145" s="25"/>
      <c r="AB145" s="3" t="str">
        <f>IF(C_Ope_005[[#This Row],[FECHA]]&gt;0,TEXT(C_Ope_005[[#This Row],[FECHA]],"mmmm"),0)</f>
        <v>Febrero</v>
      </c>
    </row>
    <row r="146" spans="2:28" x14ac:dyDescent="0.3">
      <c r="B146" s="2">
        <f>IF(C_Ope_005[[#This Row],[TIPO DE R.]]="R",COUNTIFS($D$4:$D145,"R")+1,"")</f>
        <v>142</v>
      </c>
      <c r="C146" s="19" t="str">
        <f t="shared" si="14"/>
        <v>C_Ope_005</v>
      </c>
      <c r="D146" s="3" t="s">
        <v>1074</v>
      </c>
      <c r="E146" s="14">
        <v>45712</v>
      </c>
      <c r="F146" s="5" t="s">
        <v>6299</v>
      </c>
      <c r="G146" s="5" t="s">
        <v>1087</v>
      </c>
      <c r="H146" s="6"/>
      <c r="I146" s="6"/>
      <c r="J146" s="6"/>
      <c r="K146" s="6"/>
      <c r="L146" s="7" t="s">
        <v>6302</v>
      </c>
      <c r="M146" s="8">
        <v>23179</v>
      </c>
      <c r="N146" s="8" t="str">
        <f t="shared" si="15"/>
        <v>PEN</v>
      </c>
      <c r="O146" s="13"/>
      <c r="P146" s="13">
        <v>180</v>
      </c>
      <c r="Q146" s="3">
        <f t="shared" si="11"/>
        <v>180</v>
      </c>
      <c r="R146" s="3">
        <f t="shared" si="12"/>
        <v>0</v>
      </c>
      <c r="S146" s="3">
        <f t="shared" si="13"/>
        <v>203.99999999999955</v>
      </c>
      <c r="T146" s="24"/>
      <c r="U146" s="24"/>
      <c r="V146" s="3"/>
      <c r="W146" s="25"/>
      <c r="X146" s="25"/>
      <c r="Y146" s="25" t="str">
        <f>IFERROR(VLOOKUP(C_Ope_005[[#This Row],[NOTA 2]],Clientes_Proveedores[[Ruc / Dni]:[Razon Social]],2,0),"")</f>
        <v/>
      </c>
      <c r="Z146" s="25"/>
      <c r="AA146" s="25">
        <f>ROUND(C_Ope_005[[#This Row],[MONTO ]]/1.18,3)</f>
        <v>152.542</v>
      </c>
      <c r="AB146" s="3" t="str">
        <f>IF(C_Ope_005[[#This Row],[FECHA]]&gt;0,TEXT(C_Ope_005[[#This Row],[FECHA]],"mmmm"),0)</f>
        <v>Febrero</v>
      </c>
    </row>
    <row r="147" spans="2:28" ht="24" x14ac:dyDescent="0.3">
      <c r="B147" s="2">
        <f>IF(C_Ope_005[[#This Row],[TIPO DE R.]]="R",COUNTIFS($D$4:$D146,"R")+1,"")</f>
        <v>143</v>
      </c>
      <c r="C147" s="19" t="str">
        <f t="shared" si="14"/>
        <v>C_Ope_005</v>
      </c>
      <c r="D147" s="3" t="s">
        <v>1074</v>
      </c>
      <c r="E147" s="14">
        <v>45714</v>
      </c>
      <c r="F147" s="5" t="s">
        <v>7166</v>
      </c>
      <c r="G147" s="5" t="s">
        <v>1079</v>
      </c>
      <c r="H147" s="6"/>
      <c r="I147" s="6" t="s">
        <v>14</v>
      </c>
      <c r="J147" s="6" t="s">
        <v>5244</v>
      </c>
      <c r="K147" s="6">
        <v>1665939</v>
      </c>
      <c r="L147" s="7" t="s">
        <v>7246</v>
      </c>
      <c r="M147" s="8">
        <v>23206</v>
      </c>
      <c r="N147" s="8" t="str">
        <f t="shared" si="15"/>
        <v>PEN</v>
      </c>
      <c r="O147" s="13"/>
      <c r="P147" s="13">
        <v>8</v>
      </c>
      <c r="Q147" s="3">
        <f t="shared" si="11"/>
        <v>0</v>
      </c>
      <c r="R147" s="3">
        <f t="shared" si="12"/>
        <v>8</v>
      </c>
      <c r="S147" s="3">
        <f t="shared" si="13"/>
        <v>195.99999999999955</v>
      </c>
      <c r="T147" s="24"/>
      <c r="U147" s="24"/>
      <c r="V147" s="3"/>
      <c r="W147" s="25" t="s">
        <v>6546</v>
      </c>
      <c r="X147" s="25"/>
      <c r="Y147" s="25" t="str">
        <f>IFERROR(VLOOKUP(C_Ope_005[[#This Row],[NOTA 2]],Clientes_Proveedores[[Ruc / Dni]:[Razon Social]],2,0),"")</f>
        <v/>
      </c>
      <c r="Z147" s="25"/>
      <c r="AA147" s="25"/>
      <c r="AB147" s="3" t="str">
        <f>IF(C_Ope_005[[#This Row],[FECHA]]&gt;0,TEXT(C_Ope_005[[#This Row],[FECHA]],"mmmm"),0)</f>
        <v>Febrero</v>
      </c>
    </row>
    <row r="148" spans="2:28" ht="24" x14ac:dyDescent="0.3">
      <c r="B148" s="2">
        <f>IF(C_Ope_005[[#This Row],[TIPO DE R.]]="R",COUNTIFS($D$4:$D147,"R")+1,"")</f>
        <v>144</v>
      </c>
      <c r="C148" s="19" t="str">
        <f t="shared" si="14"/>
        <v>C_Ope_005</v>
      </c>
      <c r="D148" s="3" t="s">
        <v>1074</v>
      </c>
      <c r="E148" s="14">
        <v>45716</v>
      </c>
      <c r="F148" s="5" t="s">
        <v>7166</v>
      </c>
      <c r="G148" s="5" t="s">
        <v>1079</v>
      </c>
      <c r="H148" s="6"/>
      <c r="I148" s="6" t="s">
        <v>14</v>
      </c>
      <c r="J148" s="6" t="s">
        <v>5243</v>
      </c>
      <c r="K148" s="6">
        <v>2248752</v>
      </c>
      <c r="L148" s="7" t="s">
        <v>7247</v>
      </c>
      <c r="M148" s="8">
        <v>23258</v>
      </c>
      <c r="N148" s="8" t="str">
        <f t="shared" si="15"/>
        <v>PEN</v>
      </c>
      <c r="O148" s="13"/>
      <c r="P148" s="13">
        <v>8</v>
      </c>
      <c r="Q148" s="3">
        <f t="shared" si="11"/>
        <v>0</v>
      </c>
      <c r="R148" s="3">
        <f t="shared" si="12"/>
        <v>8</v>
      </c>
      <c r="S148" s="3">
        <f t="shared" si="13"/>
        <v>187.99999999999955</v>
      </c>
      <c r="T148" s="24"/>
      <c r="U148" s="24"/>
      <c r="V148" s="3"/>
      <c r="W148" s="25" t="s">
        <v>6546</v>
      </c>
      <c r="X148" s="25"/>
      <c r="Y148" s="25" t="str">
        <f>IFERROR(VLOOKUP(C_Ope_005[[#This Row],[NOTA 2]],Clientes_Proveedores[[Ruc / Dni]:[Razon Social]],2,0),"")</f>
        <v/>
      </c>
      <c r="Z148" s="25"/>
      <c r="AA148" s="25"/>
      <c r="AB148" s="3" t="str">
        <f>IF(C_Ope_005[[#This Row],[FECHA]]&gt;0,TEXT(C_Ope_005[[#This Row],[FECHA]],"mmmm"),0)</f>
        <v>Febrero</v>
      </c>
    </row>
    <row r="149" spans="2:28" ht="24" x14ac:dyDescent="0.3">
      <c r="B149" s="2">
        <f>IF(C_Ope_005[[#This Row],[TIPO DE R.]]="R",COUNTIFS($D$4:$D148,"R")+1,"")</f>
        <v>145</v>
      </c>
      <c r="C149" s="19" t="str">
        <f t="shared" si="14"/>
        <v>C_Ope_005</v>
      </c>
      <c r="D149" s="3" t="s">
        <v>1074</v>
      </c>
      <c r="E149" s="14">
        <v>45716</v>
      </c>
      <c r="F149" s="5" t="s">
        <v>7166</v>
      </c>
      <c r="G149" s="5" t="s">
        <v>1079</v>
      </c>
      <c r="H149" s="6"/>
      <c r="I149" s="6" t="s">
        <v>14</v>
      </c>
      <c r="J149" s="6" t="s">
        <v>5242</v>
      </c>
      <c r="K149" s="6">
        <v>1975197</v>
      </c>
      <c r="L149" s="7" t="s">
        <v>7247</v>
      </c>
      <c r="M149" s="8">
        <v>23259</v>
      </c>
      <c r="N149" s="8" t="str">
        <f t="shared" si="15"/>
        <v>PEN</v>
      </c>
      <c r="O149" s="13"/>
      <c r="P149" s="13">
        <v>8</v>
      </c>
      <c r="Q149" s="3">
        <f t="shared" si="11"/>
        <v>0</v>
      </c>
      <c r="R149" s="3">
        <f t="shared" si="12"/>
        <v>8</v>
      </c>
      <c r="S149" s="3">
        <f t="shared" si="13"/>
        <v>179.99999999999955</v>
      </c>
      <c r="T149" s="24"/>
      <c r="U149" s="24"/>
      <c r="V149" s="3"/>
      <c r="W149" s="25" t="s">
        <v>6546</v>
      </c>
      <c r="X149" s="25"/>
      <c r="Y149" s="25" t="str">
        <f>IFERROR(VLOOKUP(C_Ope_005[[#This Row],[NOTA 2]],Clientes_Proveedores[[Ruc / Dni]:[Razon Social]],2,0),"")</f>
        <v/>
      </c>
      <c r="Z149" s="25"/>
      <c r="AA149" s="25"/>
      <c r="AB149" s="3" t="str">
        <f>IF(C_Ope_005[[#This Row],[FECHA]]&gt;0,TEXT(C_Ope_005[[#This Row],[FECHA]],"mmmm"),0)</f>
        <v>Febrero</v>
      </c>
    </row>
    <row r="150" spans="2:28" x14ac:dyDescent="0.3">
      <c r="B150" s="2">
        <f>IF(C_Ope_005[[#This Row],[TIPO DE R.]]="R",COUNTIFS($D$4:$D149,"R")+1,"")</f>
        <v>146</v>
      </c>
      <c r="C150" s="19" t="str">
        <f t="shared" si="14"/>
        <v>C_Ope_005</v>
      </c>
      <c r="D150" s="3" t="s">
        <v>1074</v>
      </c>
      <c r="E150" s="14">
        <v>45712</v>
      </c>
      <c r="F150" s="5" t="s">
        <v>7166</v>
      </c>
      <c r="G150" s="5" t="s">
        <v>1079</v>
      </c>
      <c r="H150" s="6"/>
      <c r="I150" s="6" t="s">
        <v>14</v>
      </c>
      <c r="J150" s="6" t="s">
        <v>1088</v>
      </c>
      <c r="K150" s="6">
        <v>33958</v>
      </c>
      <c r="L150" s="7" t="s">
        <v>7248</v>
      </c>
      <c r="M150" s="8">
        <v>23180</v>
      </c>
      <c r="N150" s="8" t="str">
        <f t="shared" si="15"/>
        <v>PEN</v>
      </c>
      <c r="O150" s="13"/>
      <c r="P150" s="13">
        <v>10</v>
      </c>
      <c r="Q150" s="3">
        <f t="shared" si="11"/>
        <v>0</v>
      </c>
      <c r="R150" s="3">
        <f t="shared" si="12"/>
        <v>10</v>
      </c>
      <c r="S150" s="3">
        <f t="shared" si="13"/>
        <v>169.99999999999955</v>
      </c>
      <c r="T150" s="24"/>
      <c r="U150" s="24"/>
      <c r="V150" s="3"/>
      <c r="W150" s="25" t="s">
        <v>6546</v>
      </c>
      <c r="X150" s="25"/>
      <c r="Y150" s="25" t="str">
        <f>IFERROR(VLOOKUP(C_Ope_005[[#This Row],[NOTA 2]],Clientes_Proveedores[[Ruc / Dni]:[Razon Social]],2,0),"")</f>
        <v/>
      </c>
      <c r="Z150" s="25"/>
      <c r="AA150" s="25"/>
      <c r="AB150" s="3" t="str">
        <f>IF(C_Ope_005[[#This Row],[FECHA]]&gt;0,TEXT(C_Ope_005[[#This Row],[FECHA]],"mmmm"),0)</f>
        <v>Febrero</v>
      </c>
    </row>
    <row r="151" spans="2:28" x14ac:dyDescent="0.3">
      <c r="B151" s="2">
        <f>IF(C_Ope_005[[#This Row],[TIPO DE R.]]="R",COUNTIFS($D$4:$D150,"R")+1,"")</f>
        <v>147</v>
      </c>
      <c r="C151" s="19" t="str">
        <f t="shared" si="14"/>
        <v>C_Ope_005</v>
      </c>
      <c r="D151" s="3" t="s">
        <v>1074</v>
      </c>
      <c r="E151" s="14">
        <v>45713</v>
      </c>
      <c r="F151" s="5" t="s">
        <v>7166</v>
      </c>
      <c r="G151" s="5" t="s">
        <v>1079</v>
      </c>
      <c r="H151" s="6"/>
      <c r="I151" s="6" t="s">
        <v>14</v>
      </c>
      <c r="J151" s="6" t="s">
        <v>1088</v>
      </c>
      <c r="K151" s="6">
        <v>33967</v>
      </c>
      <c r="L151" s="7" t="s">
        <v>7249</v>
      </c>
      <c r="M151" s="8">
        <v>23194</v>
      </c>
      <c r="N151" s="8" t="str">
        <f t="shared" si="15"/>
        <v>PEN</v>
      </c>
      <c r="O151" s="13"/>
      <c r="P151" s="13">
        <v>10</v>
      </c>
      <c r="Q151" s="3">
        <f t="shared" si="11"/>
        <v>0</v>
      </c>
      <c r="R151" s="3">
        <f t="shared" si="12"/>
        <v>10</v>
      </c>
      <c r="S151" s="3">
        <f t="shared" si="13"/>
        <v>159.99999999999955</v>
      </c>
      <c r="T151" s="24"/>
      <c r="U151" s="24"/>
      <c r="V151" s="3"/>
      <c r="W151" s="25" t="s">
        <v>6541</v>
      </c>
      <c r="X151" s="25"/>
      <c r="Y151" s="25" t="str">
        <f>IFERROR(VLOOKUP(C_Ope_005[[#This Row],[NOTA 2]],Clientes_Proveedores[[Ruc / Dni]:[Razon Social]],2,0),"")</f>
        <v/>
      </c>
      <c r="Z151" s="25"/>
      <c r="AA151" s="25"/>
      <c r="AB151" s="3" t="str">
        <f>IF(C_Ope_005[[#This Row],[FECHA]]&gt;0,TEXT(C_Ope_005[[#This Row],[FECHA]],"mmmm"),0)</f>
        <v>Febrero</v>
      </c>
    </row>
    <row r="152" spans="2:28" x14ac:dyDescent="0.3">
      <c r="B152" s="2">
        <f>IF(C_Ope_005[[#This Row],[TIPO DE R.]]="R",COUNTIFS($D$4:$D151,"R")+1,"")</f>
        <v>148</v>
      </c>
      <c r="C152" s="19" t="str">
        <f t="shared" si="14"/>
        <v>C_Ope_005</v>
      </c>
      <c r="D152" s="3" t="s">
        <v>1074</v>
      </c>
      <c r="E152" s="14">
        <v>45716</v>
      </c>
      <c r="F152" s="5" t="s">
        <v>7166</v>
      </c>
      <c r="G152" s="5" t="s">
        <v>1079</v>
      </c>
      <c r="H152" s="6"/>
      <c r="I152" s="6" t="s">
        <v>14</v>
      </c>
      <c r="J152" s="6" t="s">
        <v>1088</v>
      </c>
      <c r="K152" s="6">
        <v>34009</v>
      </c>
      <c r="L152" s="7" t="s">
        <v>6598</v>
      </c>
      <c r="M152" s="8">
        <v>23260</v>
      </c>
      <c r="N152" s="8" t="str">
        <f t="shared" si="15"/>
        <v>PEN</v>
      </c>
      <c r="O152" s="13"/>
      <c r="P152" s="13">
        <v>10</v>
      </c>
      <c r="Q152" s="3">
        <f t="shared" si="11"/>
        <v>0</v>
      </c>
      <c r="R152" s="3">
        <f t="shared" si="12"/>
        <v>10</v>
      </c>
      <c r="S152" s="3">
        <f t="shared" si="13"/>
        <v>149.99999999999955</v>
      </c>
      <c r="T152" s="24"/>
      <c r="U152" s="24"/>
      <c r="V152" s="3"/>
      <c r="W152" s="25" t="s">
        <v>6546</v>
      </c>
      <c r="X152" s="25"/>
      <c r="Y152" s="25" t="str">
        <f>IFERROR(VLOOKUP(C_Ope_005[[#This Row],[NOTA 2]],Clientes_Proveedores[[Ruc / Dni]:[Razon Social]],2,0),"")</f>
        <v/>
      </c>
      <c r="Z152" s="25"/>
      <c r="AA152" s="25"/>
      <c r="AB152" s="3" t="str">
        <f>IF(C_Ope_005[[#This Row],[FECHA]]&gt;0,TEXT(C_Ope_005[[#This Row],[FECHA]],"mmmm"),0)</f>
        <v>Febrero</v>
      </c>
    </row>
    <row r="153" spans="2:28" ht="24" x14ac:dyDescent="0.3">
      <c r="B153" s="2">
        <f>IF(C_Ope_005[[#This Row],[TIPO DE R.]]="R",COUNTIFS($D$4:$D152,"R")+1,"")</f>
        <v>149</v>
      </c>
      <c r="C153" s="19" t="str">
        <f t="shared" si="14"/>
        <v>C_Ope_005</v>
      </c>
      <c r="D153" s="3" t="s">
        <v>1074</v>
      </c>
      <c r="E153" s="14">
        <v>45716</v>
      </c>
      <c r="F153" s="5" t="s">
        <v>7166</v>
      </c>
      <c r="G153" s="5" t="s">
        <v>1079</v>
      </c>
      <c r="H153" s="6"/>
      <c r="I153" s="6" t="s">
        <v>14</v>
      </c>
      <c r="J153" s="6" t="s">
        <v>1097</v>
      </c>
      <c r="K153" s="6">
        <v>15765</v>
      </c>
      <c r="L153" s="7" t="s">
        <v>7250</v>
      </c>
      <c r="M153" s="8">
        <v>23261</v>
      </c>
      <c r="N153" s="8" t="str">
        <f t="shared" si="15"/>
        <v>PEN</v>
      </c>
      <c r="O153" s="13"/>
      <c r="P153" s="13">
        <v>20</v>
      </c>
      <c r="Q153" s="3">
        <f t="shared" si="11"/>
        <v>0</v>
      </c>
      <c r="R153" s="3">
        <f t="shared" si="12"/>
        <v>20</v>
      </c>
      <c r="S153" s="3">
        <f t="shared" si="13"/>
        <v>129.99999999999955</v>
      </c>
      <c r="T153" s="24"/>
      <c r="U153" s="24"/>
      <c r="V153" s="3"/>
      <c r="W153" s="25" t="s">
        <v>6546</v>
      </c>
      <c r="X153" s="25"/>
      <c r="Y153" s="25" t="str">
        <f>IFERROR(VLOOKUP(C_Ope_005[[#This Row],[NOTA 2]],Clientes_Proveedores[[Ruc / Dni]:[Razon Social]],2,0),"")</f>
        <v/>
      </c>
      <c r="Z153" s="25"/>
      <c r="AA153" s="25"/>
      <c r="AB153" s="3" t="str">
        <f>IF(C_Ope_005[[#This Row],[FECHA]]&gt;0,TEXT(C_Ope_005[[#This Row],[FECHA]],"mmmm"),0)</f>
        <v>Febrero</v>
      </c>
    </row>
    <row r="154" spans="2:28" x14ac:dyDescent="0.3">
      <c r="B154" s="2">
        <f>IF(C_Ope_005[[#This Row],[TIPO DE R.]]="R",COUNTIFS($D$4:$D153,"R")+1,"")</f>
        <v>150</v>
      </c>
      <c r="C154" s="19" t="str">
        <f t="shared" si="14"/>
        <v>C_Ope_005</v>
      </c>
      <c r="D154" s="3" t="s">
        <v>1074</v>
      </c>
      <c r="E154" s="14">
        <v>45714</v>
      </c>
      <c r="F154" s="5" t="s">
        <v>7166</v>
      </c>
      <c r="G154" s="5" t="s">
        <v>1079</v>
      </c>
      <c r="H154" s="6"/>
      <c r="I154" s="6" t="s">
        <v>14</v>
      </c>
      <c r="J154" s="6" t="s">
        <v>1119</v>
      </c>
      <c r="K154" s="6">
        <v>16590</v>
      </c>
      <c r="L154" s="7" t="s">
        <v>6565</v>
      </c>
      <c r="M154" s="8">
        <v>23213</v>
      </c>
      <c r="N154" s="8" t="str">
        <f t="shared" si="15"/>
        <v>PEN</v>
      </c>
      <c r="O154" s="13"/>
      <c r="P154" s="13">
        <v>25</v>
      </c>
      <c r="Q154" s="3">
        <f t="shared" si="11"/>
        <v>0</v>
      </c>
      <c r="R154" s="3">
        <f t="shared" si="12"/>
        <v>25</v>
      </c>
      <c r="S154" s="3">
        <f t="shared" si="13"/>
        <v>104.99999999999955</v>
      </c>
      <c r="T154" s="24"/>
      <c r="U154" s="24"/>
      <c r="V154" s="3"/>
      <c r="W154" s="25" t="s">
        <v>6546</v>
      </c>
      <c r="X154" s="25"/>
      <c r="Y154" s="25" t="str">
        <f>IFERROR(VLOOKUP(C_Ope_005[[#This Row],[NOTA 2]],Clientes_Proveedores[[Ruc / Dni]:[Razon Social]],2,0),"")</f>
        <v/>
      </c>
      <c r="Z154" s="25"/>
      <c r="AA154" s="25"/>
      <c r="AB154" s="3" t="str">
        <f>IF(C_Ope_005[[#This Row],[FECHA]]&gt;0,TEXT(C_Ope_005[[#This Row],[FECHA]],"mmmm"),0)</f>
        <v>Febrero</v>
      </c>
    </row>
    <row r="155" spans="2:28" x14ac:dyDescent="0.3">
      <c r="B155" s="2">
        <f>IF(C_Ope_005[[#This Row],[TIPO DE R.]]="R",COUNTIFS($D$4:$D154,"R")+1,"")</f>
        <v>151</v>
      </c>
      <c r="C155" s="19" t="str">
        <f t="shared" si="14"/>
        <v>C_Ope_005</v>
      </c>
      <c r="D155" s="3" t="s">
        <v>1074</v>
      </c>
      <c r="E155" s="14">
        <v>45720</v>
      </c>
      <c r="F155" s="5" t="s">
        <v>6299</v>
      </c>
      <c r="G155" s="5" t="s">
        <v>1087</v>
      </c>
      <c r="H155" s="6"/>
      <c r="I155" s="6"/>
      <c r="J155" s="6"/>
      <c r="K155" s="6"/>
      <c r="L155" s="7" t="s">
        <v>6302</v>
      </c>
      <c r="M155" s="8">
        <v>23298</v>
      </c>
      <c r="N155" s="8" t="str">
        <f t="shared" si="15"/>
        <v>PEN</v>
      </c>
      <c r="O155" s="13"/>
      <c r="P155" s="13">
        <v>100</v>
      </c>
      <c r="Q155" s="3">
        <f t="shared" si="11"/>
        <v>100</v>
      </c>
      <c r="R155" s="3">
        <f t="shared" si="12"/>
        <v>0</v>
      </c>
      <c r="S155" s="3">
        <f t="shared" si="13"/>
        <v>204.99999999999955</v>
      </c>
      <c r="T155" s="24"/>
      <c r="U155" s="24"/>
      <c r="V155" s="3"/>
      <c r="W155" s="25"/>
      <c r="X155" s="25"/>
      <c r="Y155" s="25" t="str">
        <f>IFERROR(VLOOKUP(C_Ope_005[[#This Row],[NOTA 2]],Clientes_Proveedores[[Ruc / Dni]:[Razon Social]],2,0),"")</f>
        <v/>
      </c>
      <c r="Z155" s="25"/>
      <c r="AA155" s="25">
        <f>ROUND(C_Ope_005[[#This Row],[MONTO ]]/1.18,3)</f>
        <v>84.745999999999995</v>
      </c>
      <c r="AB155" s="3" t="str">
        <f>IF(C_Ope_005[[#This Row],[FECHA]]&gt;0,TEXT(C_Ope_005[[#This Row],[FECHA]],"mmmm"),0)</f>
        <v>Marzo</v>
      </c>
    </row>
    <row r="156" spans="2:28" ht="24" x14ac:dyDescent="0.3">
      <c r="B156" s="2">
        <f>IF(C_Ope_005[[#This Row],[TIPO DE R.]]="R",COUNTIFS($D$4:$D155,"R")+1,"")</f>
        <v>152</v>
      </c>
      <c r="C156" s="19" t="str">
        <f t="shared" si="14"/>
        <v>C_Ope_005</v>
      </c>
      <c r="D156" s="3" t="s">
        <v>1074</v>
      </c>
      <c r="E156" s="14">
        <v>45720</v>
      </c>
      <c r="F156" s="5" t="s">
        <v>7166</v>
      </c>
      <c r="G156" s="5" t="s">
        <v>1079</v>
      </c>
      <c r="H156" s="6"/>
      <c r="I156" s="6" t="s">
        <v>14</v>
      </c>
      <c r="J156" s="6" t="s">
        <v>5243</v>
      </c>
      <c r="K156" s="6">
        <v>2253303</v>
      </c>
      <c r="L156" s="7" t="s">
        <v>7251</v>
      </c>
      <c r="M156" s="8">
        <v>23294</v>
      </c>
      <c r="N156" s="8" t="str">
        <f t="shared" si="15"/>
        <v>PEN</v>
      </c>
      <c r="O156" s="13"/>
      <c r="P156" s="13">
        <v>8</v>
      </c>
      <c r="Q156" s="3">
        <f t="shared" si="11"/>
        <v>0</v>
      </c>
      <c r="R156" s="3">
        <f t="shared" si="12"/>
        <v>8</v>
      </c>
      <c r="S156" s="3">
        <f t="shared" si="13"/>
        <v>196.99999999999955</v>
      </c>
      <c r="T156" s="24"/>
      <c r="U156" s="24"/>
      <c r="V156" s="3"/>
      <c r="W156" s="25" t="s">
        <v>6630</v>
      </c>
      <c r="X156" s="25"/>
      <c r="Y156" s="25" t="str">
        <f>IFERROR(VLOOKUP(C_Ope_005[[#This Row],[NOTA 2]],Clientes_Proveedores[[Ruc / Dni]:[Razon Social]],2,0),"")</f>
        <v/>
      </c>
      <c r="Z156" s="25"/>
      <c r="AA156" s="25"/>
      <c r="AB156" s="3" t="str">
        <f>IF(C_Ope_005[[#This Row],[FECHA]]&gt;0,TEXT(C_Ope_005[[#This Row],[FECHA]],"mmmm"),0)</f>
        <v>Marzo</v>
      </c>
    </row>
    <row r="157" spans="2:28" ht="24" x14ac:dyDescent="0.3">
      <c r="B157" s="2">
        <f>IF(C_Ope_005[[#This Row],[TIPO DE R.]]="R",COUNTIFS($D$4:$D156,"R")+1,"")</f>
        <v>153</v>
      </c>
      <c r="C157" s="19" t="str">
        <f t="shared" si="14"/>
        <v>C_Ope_005</v>
      </c>
      <c r="D157" s="3" t="s">
        <v>1074</v>
      </c>
      <c r="E157" s="14">
        <v>45720</v>
      </c>
      <c r="F157" s="5" t="s">
        <v>7166</v>
      </c>
      <c r="G157" s="5" t="s">
        <v>1079</v>
      </c>
      <c r="H157" s="6"/>
      <c r="I157" s="6" t="s">
        <v>14</v>
      </c>
      <c r="J157" s="6" t="s">
        <v>5245</v>
      </c>
      <c r="K157" s="6">
        <v>1690426</v>
      </c>
      <c r="L157" s="7" t="s">
        <v>7251</v>
      </c>
      <c r="M157" s="8">
        <v>23295</v>
      </c>
      <c r="N157" s="8" t="str">
        <f t="shared" si="15"/>
        <v>PEN</v>
      </c>
      <c r="O157" s="13"/>
      <c r="P157" s="13">
        <v>8</v>
      </c>
      <c r="Q157" s="3">
        <f t="shared" si="11"/>
        <v>0</v>
      </c>
      <c r="R157" s="3">
        <f t="shared" si="12"/>
        <v>8</v>
      </c>
      <c r="S157" s="3">
        <f t="shared" si="13"/>
        <v>188.99999999999955</v>
      </c>
      <c r="T157" s="24"/>
      <c r="U157" s="24"/>
      <c r="V157" s="3"/>
      <c r="W157" s="25" t="s">
        <v>6630</v>
      </c>
      <c r="X157" s="25"/>
      <c r="Y157" s="25" t="str">
        <f>IFERROR(VLOOKUP(C_Ope_005[[#This Row],[NOTA 2]],Clientes_Proveedores[[Ruc / Dni]:[Razon Social]],2,0),"")</f>
        <v/>
      </c>
      <c r="Z157" s="25"/>
      <c r="AA157" s="25"/>
      <c r="AB157" s="3" t="str">
        <f>IF(C_Ope_005[[#This Row],[FECHA]]&gt;0,TEXT(C_Ope_005[[#This Row],[FECHA]],"mmmm"),0)</f>
        <v>Marzo</v>
      </c>
    </row>
    <row r="158" spans="2:28" ht="24" x14ac:dyDescent="0.3">
      <c r="B158" s="2">
        <f>IF(C_Ope_005[[#This Row],[TIPO DE R.]]="R",COUNTIFS($D$4:$D157,"R")+1,"")</f>
        <v>154</v>
      </c>
      <c r="C158" s="19" t="str">
        <f t="shared" si="14"/>
        <v>C_Ope_005</v>
      </c>
      <c r="D158" s="3" t="s">
        <v>1074</v>
      </c>
      <c r="E158" s="14">
        <v>45721</v>
      </c>
      <c r="F158" s="5" t="s">
        <v>7166</v>
      </c>
      <c r="G158" s="5" t="s">
        <v>1079</v>
      </c>
      <c r="H158" s="6"/>
      <c r="I158" s="6" t="s">
        <v>14</v>
      </c>
      <c r="J158" s="6" t="s">
        <v>5244</v>
      </c>
      <c r="K158" s="6">
        <v>1671894</v>
      </c>
      <c r="L158" s="7" t="s">
        <v>7252</v>
      </c>
      <c r="M158" s="8">
        <v>23309</v>
      </c>
      <c r="N158" s="8" t="str">
        <f t="shared" si="15"/>
        <v>PEN</v>
      </c>
      <c r="O158" s="13"/>
      <c r="P158" s="13">
        <v>8</v>
      </c>
      <c r="Q158" s="3">
        <f t="shared" si="11"/>
        <v>0</v>
      </c>
      <c r="R158" s="3">
        <f t="shared" si="12"/>
        <v>8</v>
      </c>
      <c r="S158" s="3">
        <f t="shared" si="13"/>
        <v>180.99999999999955</v>
      </c>
      <c r="T158" s="24"/>
      <c r="U158" s="24"/>
      <c r="V158" s="3"/>
      <c r="W158" s="25" t="s">
        <v>6546</v>
      </c>
      <c r="X158" s="25"/>
      <c r="Y158" s="25" t="str">
        <f>IFERROR(VLOOKUP(C_Ope_005[[#This Row],[NOTA 2]],Clientes_Proveedores[[Ruc / Dni]:[Razon Social]],2,0),"")</f>
        <v/>
      </c>
      <c r="Z158" s="25"/>
      <c r="AA158" s="25"/>
      <c r="AB158" s="3" t="str">
        <f>IF(C_Ope_005[[#This Row],[FECHA]]&gt;0,TEXT(C_Ope_005[[#This Row],[FECHA]],"mmmm"),0)</f>
        <v>Marzo</v>
      </c>
    </row>
    <row r="159" spans="2:28" ht="24" x14ac:dyDescent="0.3">
      <c r="B159" s="2">
        <f>IF(C_Ope_005[[#This Row],[TIPO DE R.]]="R",COUNTIFS($D$4:$D158,"R")+1,"")</f>
        <v>155</v>
      </c>
      <c r="C159" s="19" t="str">
        <f t="shared" si="14"/>
        <v>C_Ope_005</v>
      </c>
      <c r="D159" s="3" t="s">
        <v>1074</v>
      </c>
      <c r="E159" s="14">
        <v>45721</v>
      </c>
      <c r="F159" s="5" t="s">
        <v>7166</v>
      </c>
      <c r="G159" s="5" t="s">
        <v>1079</v>
      </c>
      <c r="H159" s="6"/>
      <c r="I159" s="6" t="s">
        <v>14</v>
      </c>
      <c r="J159" s="6" t="s">
        <v>5245</v>
      </c>
      <c r="K159" s="6">
        <v>1691347</v>
      </c>
      <c r="L159" s="7" t="s">
        <v>7252</v>
      </c>
      <c r="M159" s="8">
        <v>23310</v>
      </c>
      <c r="N159" s="8" t="str">
        <f t="shared" si="15"/>
        <v>PEN</v>
      </c>
      <c r="O159" s="13"/>
      <c r="P159" s="13">
        <v>8</v>
      </c>
      <c r="Q159" s="3">
        <f t="shared" si="11"/>
        <v>0</v>
      </c>
      <c r="R159" s="3">
        <f t="shared" si="12"/>
        <v>8</v>
      </c>
      <c r="S159" s="3">
        <f t="shared" si="13"/>
        <v>172.99999999999955</v>
      </c>
      <c r="T159" s="24"/>
      <c r="U159" s="24"/>
      <c r="V159" s="3"/>
      <c r="W159" s="25" t="s">
        <v>6546</v>
      </c>
      <c r="X159" s="25"/>
      <c r="Y159" s="25" t="str">
        <f>IFERROR(VLOOKUP(C_Ope_005[[#This Row],[NOTA 2]],Clientes_Proveedores[[Ruc / Dni]:[Razon Social]],2,0),"")</f>
        <v/>
      </c>
      <c r="Z159" s="25"/>
      <c r="AA159" s="25"/>
      <c r="AB159" s="3" t="str">
        <f>IF(C_Ope_005[[#This Row],[FECHA]]&gt;0,TEXT(C_Ope_005[[#This Row],[FECHA]],"mmmm"),0)</f>
        <v>Marzo</v>
      </c>
    </row>
    <row r="160" spans="2:28" ht="24" x14ac:dyDescent="0.3">
      <c r="B160" s="2">
        <f>IF(C_Ope_005[[#This Row],[TIPO DE R.]]="R",COUNTIFS($D$4:$D159,"R")+1,"")</f>
        <v>156</v>
      </c>
      <c r="C160" s="19" t="str">
        <f t="shared" si="14"/>
        <v>C_Ope_005</v>
      </c>
      <c r="D160" s="3" t="s">
        <v>1074</v>
      </c>
      <c r="E160" s="14">
        <v>45722</v>
      </c>
      <c r="F160" s="5" t="s">
        <v>7166</v>
      </c>
      <c r="G160" s="5" t="s">
        <v>1079</v>
      </c>
      <c r="H160" s="6"/>
      <c r="I160" s="6" t="s">
        <v>14</v>
      </c>
      <c r="J160" s="6" t="s">
        <v>5243</v>
      </c>
      <c r="K160" s="6">
        <v>2255852</v>
      </c>
      <c r="L160" s="7" t="s">
        <v>6608</v>
      </c>
      <c r="M160" s="8">
        <v>23311</v>
      </c>
      <c r="N160" s="8" t="str">
        <f t="shared" si="15"/>
        <v>PEN</v>
      </c>
      <c r="O160" s="13"/>
      <c r="P160" s="13">
        <v>8</v>
      </c>
      <c r="Q160" s="3">
        <f t="shared" si="11"/>
        <v>0</v>
      </c>
      <c r="R160" s="3">
        <f t="shared" si="12"/>
        <v>8</v>
      </c>
      <c r="S160" s="3">
        <f t="shared" si="13"/>
        <v>164.99999999999955</v>
      </c>
      <c r="T160" s="24"/>
      <c r="U160" s="24"/>
      <c r="V160" s="3"/>
      <c r="W160" s="25" t="s">
        <v>6546</v>
      </c>
      <c r="X160" s="25"/>
      <c r="Y160" s="25" t="str">
        <f>IFERROR(VLOOKUP(C_Ope_005[[#This Row],[NOTA 2]],Clientes_Proveedores[[Ruc / Dni]:[Razon Social]],2,0),"")</f>
        <v/>
      </c>
      <c r="Z160" s="25"/>
      <c r="AA160" s="25"/>
      <c r="AB160" s="3" t="str">
        <f>IF(C_Ope_005[[#This Row],[FECHA]]&gt;0,TEXT(C_Ope_005[[#This Row],[FECHA]],"mmmm"),0)</f>
        <v>Marzo</v>
      </c>
    </row>
    <row r="161" spans="2:28" ht="24" x14ac:dyDescent="0.3">
      <c r="B161" s="2">
        <f>IF(C_Ope_005[[#This Row],[TIPO DE R.]]="R",COUNTIFS($D$4:$D160,"R")+1,"")</f>
        <v>157</v>
      </c>
      <c r="C161" s="19" t="str">
        <f t="shared" si="14"/>
        <v>C_Ope_005</v>
      </c>
      <c r="D161" s="3" t="s">
        <v>1074</v>
      </c>
      <c r="E161" s="14">
        <v>45723</v>
      </c>
      <c r="F161" s="5" t="s">
        <v>7166</v>
      </c>
      <c r="G161" s="5" t="s">
        <v>1079</v>
      </c>
      <c r="H161" s="6"/>
      <c r="I161" s="6" t="s">
        <v>14</v>
      </c>
      <c r="J161" s="6" t="s">
        <v>5243</v>
      </c>
      <c r="K161" s="6">
        <v>2256953</v>
      </c>
      <c r="L161" s="7" t="s">
        <v>6637</v>
      </c>
      <c r="M161" s="8">
        <v>23324</v>
      </c>
      <c r="N161" s="8" t="str">
        <f t="shared" si="15"/>
        <v>PEN</v>
      </c>
      <c r="O161" s="13"/>
      <c r="P161" s="13">
        <v>8</v>
      </c>
      <c r="Q161" s="3">
        <f t="shared" si="11"/>
        <v>0</v>
      </c>
      <c r="R161" s="3">
        <f t="shared" si="12"/>
        <v>8</v>
      </c>
      <c r="S161" s="3">
        <f t="shared" si="13"/>
        <v>156.99999999999955</v>
      </c>
      <c r="T161" s="24"/>
      <c r="U161" s="24"/>
      <c r="V161" s="3"/>
      <c r="W161" s="25" t="s">
        <v>6546</v>
      </c>
      <c r="X161" s="25"/>
      <c r="Y161" s="25" t="str">
        <f>IFERROR(VLOOKUP(C_Ope_005[[#This Row],[NOTA 2]],Clientes_Proveedores[[Ruc / Dni]:[Razon Social]],2,0),"")</f>
        <v/>
      </c>
      <c r="Z161" s="25"/>
      <c r="AA161" s="25"/>
      <c r="AB161" s="3" t="str">
        <f>IF(C_Ope_005[[#This Row],[FECHA]]&gt;0,TEXT(C_Ope_005[[#This Row],[FECHA]],"mmmm"),0)</f>
        <v>Marzo</v>
      </c>
    </row>
    <row r="162" spans="2:28" ht="24" x14ac:dyDescent="0.3">
      <c r="B162" s="2">
        <f>IF(C_Ope_005[[#This Row],[TIPO DE R.]]="R",COUNTIFS($D$4:$D161,"R")+1,"")</f>
        <v>158</v>
      </c>
      <c r="C162" s="19" t="str">
        <f t="shared" si="14"/>
        <v>C_Ope_005</v>
      </c>
      <c r="D162" s="3" t="s">
        <v>1074</v>
      </c>
      <c r="E162" s="14">
        <v>45723</v>
      </c>
      <c r="F162" s="5" t="s">
        <v>7166</v>
      </c>
      <c r="G162" s="5" t="s">
        <v>1079</v>
      </c>
      <c r="H162" s="6"/>
      <c r="I162" s="6" t="s">
        <v>14</v>
      </c>
      <c r="J162" s="6" t="s">
        <v>5245</v>
      </c>
      <c r="K162" s="6">
        <v>1692994</v>
      </c>
      <c r="L162" s="7" t="s">
        <v>6637</v>
      </c>
      <c r="M162" s="8">
        <v>23345</v>
      </c>
      <c r="N162" s="8" t="str">
        <f t="shared" si="15"/>
        <v>PEN</v>
      </c>
      <c r="O162" s="13"/>
      <c r="P162" s="13">
        <v>8</v>
      </c>
      <c r="Q162" s="3">
        <f t="shared" si="11"/>
        <v>0</v>
      </c>
      <c r="R162" s="3">
        <f t="shared" si="12"/>
        <v>8</v>
      </c>
      <c r="S162" s="3">
        <f t="shared" si="13"/>
        <v>148.99999999999955</v>
      </c>
      <c r="T162" s="24"/>
      <c r="U162" s="24"/>
      <c r="V162" s="3"/>
      <c r="W162" s="25" t="s">
        <v>6546</v>
      </c>
      <c r="X162" s="25"/>
      <c r="Y162" s="25" t="str">
        <f>IFERROR(VLOOKUP(C_Ope_005[[#This Row],[NOTA 2]],Clientes_Proveedores[[Ruc / Dni]:[Razon Social]],2,0),"")</f>
        <v/>
      </c>
      <c r="Z162" s="25"/>
      <c r="AA162" s="25"/>
      <c r="AB162" s="3" t="str">
        <f>IF(C_Ope_005[[#This Row],[FECHA]]&gt;0,TEXT(C_Ope_005[[#This Row],[FECHA]],"mmmm"),0)</f>
        <v>Marzo</v>
      </c>
    </row>
    <row r="163" spans="2:28" x14ac:dyDescent="0.3">
      <c r="B163" s="2">
        <f>IF(C_Ope_005[[#This Row],[TIPO DE R.]]="R",COUNTIFS($D$4:$D162,"R")+1,"")</f>
        <v>159</v>
      </c>
      <c r="C163" s="19" t="str">
        <f t="shared" si="14"/>
        <v>C_Ope_005</v>
      </c>
      <c r="D163" s="3" t="s">
        <v>1074</v>
      </c>
      <c r="E163" s="14">
        <v>45719</v>
      </c>
      <c r="F163" s="5" t="s">
        <v>7166</v>
      </c>
      <c r="G163" s="5" t="s">
        <v>1079</v>
      </c>
      <c r="H163" s="6"/>
      <c r="I163" s="6" t="s">
        <v>14</v>
      </c>
      <c r="J163" s="6" t="s">
        <v>1148</v>
      </c>
      <c r="K163" s="6">
        <v>128908</v>
      </c>
      <c r="L163" s="7" t="s">
        <v>7253</v>
      </c>
      <c r="M163" s="8">
        <v>23291</v>
      </c>
      <c r="N163" s="8" t="str">
        <f t="shared" si="15"/>
        <v>PEN</v>
      </c>
      <c r="O163" s="13"/>
      <c r="P163" s="13">
        <v>10</v>
      </c>
      <c r="Q163" s="3">
        <f t="shared" si="11"/>
        <v>0</v>
      </c>
      <c r="R163" s="3">
        <f t="shared" si="12"/>
        <v>10</v>
      </c>
      <c r="S163" s="3">
        <f t="shared" si="13"/>
        <v>138.99999999999955</v>
      </c>
      <c r="T163" s="24"/>
      <c r="U163" s="24"/>
      <c r="V163" s="3"/>
      <c r="W163" s="25" t="s">
        <v>6546</v>
      </c>
      <c r="X163" s="25"/>
      <c r="Y163" s="25" t="str">
        <f>IFERROR(VLOOKUP(C_Ope_005[[#This Row],[NOTA 2]],Clientes_Proveedores[[Ruc / Dni]:[Razon Social]],2,0),"")</f>
        <v/>
      </c>
      <c r="Z163" s="25"/>
      <c r="AA163" s="25"/>
      <c r="AB163" s="3" t="str">
        <f>IF(C_Ope_005[[#This Row],[FECHA]]&gt;0,TEXT(C_Ope_005[[#This Row],[FECHA]],"mmmm"),0)</f>
        <v>Marzo</v>
      </c>
    </row>
    <row r="164" spans="2:28" x14ac:dyDescent="0.3">
      <c r="B164" s="2">
        <f>IF(C_Ope_005[[#This Row],[TIPO DE R.]]="R",COUNTIFS($D$4:$D163,"R")+1,"")</f>
        <v>160</v>
      </c>
      <c r="C164" s="19" t="str">
        <f t="shared" si="14"/>
        <v>C_Ope_005</v>
      </c>
      <c r="D164" s="3" t="s">
        <v>1074</v>
      </c>
      <c r="E164" s="14">
        <v>45719</v>
      </c>
      <c r="F164" s="5" t="s">
        <v>7166</v>
      </c>
      <c r="G164" s="5" t="s">
        <v>1079</v>
      </c>
      <c r="H164" s="6"/>
      <c r="I164" s="6" t="s">
        <v>14</v>
      </c>
      <c r="J164" s="6" t="s">
        <v>1148</v>
      </c>
      <c r="K164" s="6">
        <v>128922</v>
      </c>
      <c r="L164" s="7" t="s">
        <v>7254</v>
      </c>
      <c r="M164" s="8">
        <v>23292</v>
      </c>
      <c r="N164" s="8" t="str">
        <f t="shared" si="15"/>
        <v>PEN</v>
      </c>
      <c r="O164" s="13"/>
      <c r="P164" s="13">
        <v>10</v>
      </c>
      <c r="Q164" s="3">
        <f t="shared" si="11"/>
        <v>0</v>
      </c>
      <c r="R164" s="3">
        <f t="shared" si="12"/>
        <v>10</v>
      </c>
      <c r="S164" s="3">
        <f t="shared" si="13"/>
        <v>128.99999999999955</v>
      </c>
      <c r="T164" s="24"/>
      <c r="U164" s="24"/>
      <c r="V164" s="3"/>
      <c r="W164" s="25" t="s">
        <v>6546</v>
      </c>
      <c r="X164" s="25"/>
      <c r="Y164" s="25" t="str">
        <f>IFERROR(VLOOKUP(C_Ope_005[[#This Row],[NOTA 2]],Clientes_Proveedores[[Ruc / Dni]:[Razon Social]],2,0),"")</f>
        <v/>
      </c>
      <c r="Z164" s="25"/>
      <c r="AA164" s="25"/>
      <c r="AB164" s="3" t="str">
        <f>IF(C_Ope_005[[#This Row],[FECHA]]&gt;0,TEXT(C_Ope_005[[#This Row],[FECHA]],"mmmm"),0)</f>
        <v>Marzo</v>
      </c>
    </row>
    <row r="165" spans="2:28" x14ac:dyDescent="0.3">
      <c r="B165" s="2">
        <f>IF(C_Ope_005[[#This Row],[TIPO DE R.]]="R",COUNTIFS($D$4:$D164,"R")+1,"")</f>
        <v>161</v>
      </c>
      <c r="C165" s="19" t="str">
        <f t="shared" si="14"/>
        <v>C_Ope_005</v>
      </c>
      <c r="D165" s="3" t="s">
        <v>1074</v>
      </c>
      <c r="E165" s="14">
        <v>45719</v>
      </c>
      <c r="F165" s="5" t="s">
        <v>7166</v>
      </c>
      <c r="G165" s="5" t="s">
        <v>1079</v>
      </c>
      <c r="H165" s="6"/>
      <c r="I165" s="6" t="s">
        <v>14</v>
      </c>
      <c r="J165" s="6" t="s">
        <v>1148</v>
      </c>
      <c r="K165" s="6">
        <v>128923</v>
      </c>
      <c r="L165" s="7" t="s">
        <v>7255</v>
      </c>
      <c r="M165" s="8">
        <v>23293</v>
      </c>
      <c r="N165" s="8" t="str">
        <f t="shared" si="15"/>
        <v>PEN</v>
      </c>
      <c r="O165" s="13"/>
      <c r="P165" s="13">
        <v>10</v>
      </c>
      <c r="Q165" s="3">
        <f t="shared" si="11"/>
        <v>0</v>
      </c>
      <c r="R165" s="3">
        <f t="shared" si="12"/>
        <v>10</v>
      </c>
      <c r="S165" s="3">
        <f t="shared" si="13"/>
        <v>118.99999999999955</v>
      </c>
      <c r="T165" s="24"/>
      <c r="U165" s="24"/>
      <c r="V165" s="3"/>
      <c r="W165" s="25" t="s">
        <v>6546</v>
      </c>
      <c r="X165" s="25"/>
      <c r="Y165" s="25" t="str">
        <f>IFERROR(VLOOKUP(C_Ope_005[[#This Row],[NOTA 2]],Clientes_Proveedores[[Ruc / Dni]:[Razon Social]],2,0),"")</f>
        <v/>
      </c>
      <c r="Z165" s="25"/>
      <c r="AA165" s="25"/>
      <c r="AB165" s="3" t="str">
        <f>IF(C_Ope_005[[#This Row],[FECHA]]&gt;0,TEXT(C_Ope_005[[#This Row],[FECHA]],"mmmm"),0)</f>
        <v>Marzo</v>
      </c>
    </row>
    <row r="166" spans="2:28" x14ac:dyDescent="0.3">
      <c r="B166" s="2">
        <f>IF(C_Ope_005[[#This Row],[TIPO DE R.]]="R",COUNTIFS($D$4:$D165,"R")+1,"")</f>
        <v>162</v>
      </c>
      <c r="C166" s="19" t="str">
        <f t="shared" si="14"/>
        <v>C_Ope_005</v>
      </c>
      <c r="D166" s="3" t="s">
        <v>1074</v>
      </c>
      <c r="E166" s="14">
        <v>45723</v>
      </c>
      <c r="F166" s="5" t="s">
        <v>7166</v>
      </c>
      <c r="G166" s="5" t="s">
        <v>1079</v>
      </c>
      <c r="H166" s="6"/>
      <c r="I166" s="6" t="s">
        <v>14</v>
      </c>
      <c r="J166" s="6" t="s">
        <v>1088</v>
      </c>
      <c r="K166" s="6">
        <v>34061</v>
      </c>
      <c r="L166" s="7" t="s">
        <v>7256</v>
      </c>
      <c r="M166" s="8">
        <v>23323</v>
      </c>
      <c r="N166" s="8" t="str">
        <f t="shared" si="15"/>
        <v>PEN</v>
      </c>
      <c r="O166" s="13"/>
      <c r="P166" s="13">
        <v>10</v>
      </c>
      <c r="Q166" s="3">
        <f t="shared" si="11"/>
        <v>0</v>
      </c>
      <c r="R166" s="3">
        <f t="shared" si="12"/>
        <v>10</v>
      </c>
      <c r="S166" s="3">
        <f t="shared" si="13"/>
        <v>108.99999999999955</v>
      </c>
      <c r="T166" s="24"/>
      <c r="U166" s="24"/>
      <c r="V166" s="3"/>
      <c r="W166" s="25" t="s">
        <v>6546</v>
      </c>
      <c r="X166" s="25"/>
      <c r="Y166" s="25" t="str">
        <f>IFERROR(VLOOKUP(C_Ope_005[[#This Row],[NOTA 2]],Clientes_Proveedores[[Ruc / Dni]:[Razon Social]],2,0),"")</f>
        <v/>
      </c>
      <c r="Z166" s="25"/>
      <c r="AA166" s="25"/>
      <c r="AB166" s="3" t="str">
        <f>IF(C_Ope_005[[#This Row],[FECHA]]&gt;0,TEXT(C_Ope_005[[#This Row],[FECHA]],"mmmm"),0)</f>
        <v>Marzo</v>
      </c>
    </row>
    <row r="167" spans="2:28" x14ac:dyDescent="0.3">
      <c r="B167" s="2">
        <f>IF(C_Ope_005[[#This Row],[TIPO DE R.]]="R",COUNTIFS($D$4:$D166,"R")+1,"")</f>
        <v>163</v>
      </c>
      <c r="C167" s="19" t="str">
        <f t="shared" si="14"/>
        <v>C_Ope_005</v>
      </c>
      <c r="D167" s="3" t="s">
        <v>1074</v>
      </c>
      <c r="E167" s="14">
        <v>45727</v>
      </c>
      <c r="F167" s="5" t="s">
        <v>6299</v>
      </c>
      <c r="G167" s="5" t="s">
        <v>1087</v>
      </c>
      <c r="H167" s="6"/>
      <c r="I167" s="6"/>
      <c r="J167" s="6"/>
      <c r="K167" s="6"/>
      <c r="L167" s="7" t="s">
        <v>6302</v>
      </c>
      <c r="M167" s="8">
        <v>23380</v>
      </c>
      <c r="N167" s="8" t="str">
        <f t="shared" si="15"/>
        <v>PEN</v>
      </c>
      <c r="O167" s="13"/>
      <c r="P167" s="13">
        <v>100</v>
      </c>
      <c r="Q167" s="3">
        <f t="shared" si="11"/>
        <v>100</v>
      </c>
      <c r="R167" s="3">
        <f t="shared" si="12"/>
        <v>0</v>
      </c>
      <c r="S167" s="3">
        <f t="shared" si="13"/>
        <v>208.99999999999955</v>
      </c>
      <c r="T167" s="24"/>
      <c r="U167" s="24"/>
      <c r="V167" s="3"/>
      <c r="W167" s="25"/>
      <c r="X167" s="25"/>
      <c r="Y167" s="25" t="str">
        <f>IFERROR(VLOOKUP(C_Ope_005[[#This Row],[NOTA 2]],Clientes_Proveedores[[Ruc / Dni]:[Razon Social]],2,0),"")</f>
        <v/>
      </c>
      <c r="Z167" s="25"/>
      <c r="AA167" s="25">
        <f>ROUND(C_Ope_005[[#This Row],[MONTO ]]/1.18,3)</f>
        <v>84.745999999999995</v>
      </c>
      <c r="AB167" s="3" t="str">
        <f>IF(C_Ope_005[[#This Row],[FECHA]]&gt;0,TEXT(C_Ope_005[[#This Row],[FECHA]],"mmmm"),0)</f>
        <v>Marzo</v>
      </c>
    </row>
    <row r="168" spans="2:28" ht="36" x14ac:dyDescent="0.3">
      <c r="B168" s="2">
        <f>IF(C_Ope_005[[#This Row],[TIPO DE R.]]="R",COUNTIFS($D$4:$D167,"R")+1,"")</f>
        <v>164</v>
      </c>
      <c r="C168" s="19" t="str">
        <f t="shared" si="14"/>
        <v>C_Ope_005</v>
      </c>
      <c r="D168" s="3" t="s">
        <v>1074</v>
      </c>
      <c r="E168" s="14">
        <v>45726</v>
      </c>
      <c r="F168" s="5" t="s">
        <v>7166</v>
      </c>
      <c r="G168" s="5" t="s">
        <v>1079</v>
      </c>
      <c r="H168" s="6"/>
      <c r="I168" s="6" t="s">
        <v>14</v>
      </c>
      <c r="J168" s="6" t="s">
        <v>5244</v>
      </c>
      <c r="K168" s="6">
        <v>1675736</v>
      </c>
      <c r="L168" s="7" t="s">
        <v>7257</v>
      </c>
      <c r="M168" s="8">
        <v>23359</v>
      </c>
      <c r="N168" s="8" t="str">
        <f t="shared" si="15"/>
        <v>PEN</v>
      </c>
      <c r="O168" s="13"/>
      <c r="P168" s="13">
        <v>8</v>
      </c>
      <c r="Q168" s="3">
        <f t="shared" si="11"/>
        <v>0</v>
      </c>
      <c r="R168" s="3">
        <f t="shared" si="12"/>
        <v>8</v>
      </c>
      <c r="S168" s="3">
        <f t="shared" si="13"/>
        <v>200.99999999999955</v>
      </c>
      <c r="T168" s="24"/>
      <c r="U168" s="24"/>
      <c r="V168" s="3"/>
      <c r="W168" s="25" t="s">
        <v>6546</v>
      </c>
      <c r="X168" s="25"/>
      <c r="Y168" s="25" t="str">
        <f>IFERROR(VLOOKUP(C_Ope_005[[#This Row],[NOTA 2]],Clientes_Proveedores[[Ruc / Dni]:[Razon Social]],2,0),"")</f>
        <v/>
      </c>
      <c r="Z168" s="25"/>
      <c r="AA168" s="25"/>
      <c r="AB168" s="3" t="str">
        <f>IF(C_Ope_005[[#This Row],[FECHA]]&gt;0,TEXT(C_Ope_005[[#This Row],[FECHA]],"mmmm"),0)</f>
        <v>Marzo</v>
      </c>
    </row>
    <row r="169" spans="2:28" ht="36" x14ac:dyDescent="0.3">
      <c r="B169" s="2">
        <f>IF(C_Ope_005[[#This Row],[TIPO DE R.]]="R",COUNTIFS($D$4:$D168,"R")+1,"")</f>
        <v>165</v>
      </c>
      <c r="C169" s="19" t="str">
        <f t="shared" si="14"/>
        <v>C_Ope_005</v>
      </c>
      <c r="D169" s="3" t="s">
        <v>1074</v>
      </c>
      <c r="E169" s="14">
        <v>45726</v>
      </c>
      <c r="F169" s="5" t="s">
        <v>7166</v>
      </c>
      <c r="G169" s="5" t="s">
        <v>1079</v>
      </c>
      <c r="H169" s="6"/>
      <c r="I169" s="6" t="s">
        <v>14</v>
      </c>
      <c r="J169" s="6" t="s">
        <v>5245</v>
      </c>
      <c r="K169" s="6">
        <v>1695451</v>
      </c>
      <c r="L169" s="7" t="s">
        <v>7257</v>
      </c>
      <c r="M169" s="8">
        <v>23360</v>
      </c>
      <c r="N169" s="8" t="str">
        <f t="shared" si="15"/>
        <v>PEN</v>
      </c>
      <c r="O169" s="13"/>
      <c r="P169" s="13">
        <v>8</v>
      </c>
      <c r="Q169" s="3">
        <f t="shared" si="11"/>
        <v>0</v>
      </c>
      <c r="R169" s="3">
        <f t="shared" si="12"/>
        <v>8</v>
      </c>
      <c r="S169" s="3">
        <f t="shared" si="13"/>
        <v>192.99999999999955</v>
      </c>
      <c r="T169" s="24"/>
      <c r="U169" s="24"/>
      <c r="V169" s="3"/>
      <c r="W169" s="25" t="s">
        <v>6546</v>
      </c>
      <c r="X169" s="25"/>
      <c r="Y169" s="25" t="str">
        <f>IFERROR(VLOOKUP(C_Ope_005[[#This Row],[NOTA 2]],Clientes_Proveedores[[Ruc / Dni]:[Razon Social]],2,0),"")</f>
        <v/>
      </c>
      <c r="Z169" s="25"/>
      <c r="AA169" s="25"/>
      <c r="AB169" s="3" t="str">
        <f>IF(C_Ope_005[[#This Row],[FECHA]]&gt;0,TEXT(C_Ope_005[[#This Row],[FECHA]],"mmmm"),0)</f>
        <v>Marzo</v>
      </c>
    </row>
    <row r="170" spans="2:28" ht="24" x14ac:dyDescent="0.3">
      <c r="B170" s="2">
        <f>IF(C_Ope_005[[#This Row],[TIPO DE R.]]="R",COUNTIFS($D$4:$D169,"R")+1,"")</f>
        <v>166</v>
      </c>
      <c r="C170" s="19" t="str">
        <f t="shared" si="14"/>
        <v>C_Ope_005</v>
      </c>
      <c r="D170" s="3" t="s">
        <v>1074</v>
      </c>
      <c r="E170" s="14">
        <v>45729</v>
      </c>
      <c r="F170" s="5" t="s">
        <v>7166</v>
      </c>
      <c r="G170" s="5" t="s">
        <v>1079</v>
      </c>
      <c r="H170" s="6"/>
      <c r="I170" s="6" t="s">
        <v>14</v>
      </c>
      <c r="J170" s="6" t="s">
        <v>5244</v>
      </c>
      <c r="K170" s="6">
        <v>1678436</v>
      </c>
      <c r="L170" s="7" t="s">
        <v>7258</v>
      </c>
      <c r="M170" s="8">
        <v>23427</v>
      </c>
      <c r="N170" s="8" t="str">
        <f t="shared" si="15"/>
        <v>PEN</v>
      </c>
      <c r="O170" s="13"/>
      <c r="P170" s="13">
        <v>8</v>
      </c>
      <c r="Q170" s="3">
        <f t="shared" si="11"/>
        <v>0</v>
      </c>
      <c r="R170" s="3">
        <f t="shared" si="12"/>
        <v>8</v>
      </c>
      <c r="S170" s="3">
        <f t="shared" si="13"/>
        <v>184.99999999999955</v>
      </c>
      <c r="T170" s="24"/>
      <c r="U170" s="24"/>
      <c r="V170" s="3"/>
      <c r="W170" s="25" t="s">
        <v>6546</v>
      </c>
      <c r="X170" s="25"/>
      <c r="Y170" s="25" t="str">
        <f>IFERROR(VLOOKUP(C_Ope_005[[#This Row],[NOTA 2]],Clientes_Proveedores[[Ruc / Dni]:[Razon Social]],2,0),"")</f>
        <v/>
      </c>
      <c r="Z170" s="25"/>
      <c r="AA170" s="25"/>
      <c r="AB170" s="3" t="str">
        <f>IF(C_Ope_005[[#This Row],[FECHA]]&gt;0,TEXT(C_Ope_005[[#This Row],[FECHA]],"mmmm"),0)</f>
        <v>Marzo</v>
      </c>
    </row>
    <row r="171" spans="2:28" ht="24" x14ac:dyDescent="0.3">
      <c r="B171" s="2">
        <f>IF(C_Ope_005[[#This Row],[TIPO DE R.]]="R",COUNTIFS($D$4:$D170,"R")+1,"")</f>
        <v>167</v>
      </c>
      <c r="C171" s="19" t="str">
        <f t="shared" si="14"/>
        <v>C_Ope_005</v>
      </c>
      <c r="D171" s="3" t="s">
        <v>1074</v>
      </c>
      <c r="E171" s="14">
        <v>45729</v>
      </c>
      <c r="F171" s="5" t="s">
        <v>7166</v>
      </c>
      <c r="G171" s="5" t="s">
        <v>1079</v>
      </c>
      <c r="H171" s="6"/>
      <c r="I171" s="6" t="s">
        <v>14</v>
      </c>
      <c r="J171" s="6" t="s">
        <v>5242</v>
      </c>
      <c r="K171" s="6">
        <v>1988749</v>
      </c>
      <c r="L171" s="7" t="s">
        <v>7258</v>
      </c>
      <c r="M171" s="8">
        <v>23428</v>
      </c>
      <c r="N171" s="8" t="str">
        <f t="shared" si="15"/>
        <v>PEN</v>
      </c>
      <c r="O171" s="13"/>
      <c r="P171" s="13">
        <v>8</v>
      </c>
      <c r="Q171" s="3">
        <f t="shared" si="11"/>
        <v>0</v>
      </c>
      <c r="R171" s="3">
        <f t="shared" si="12"/>
        <v>8</v>
      </c>
      <c r="S171" s="3">
        <f t="shared" si="13"/>
        <v>176.99999999999955</v>
      </c>
      <c r="T171" s="24"/>
      <c r="U171" s="24"/>
      <c r="V171" s="3"/>
      <c r="W171" s="25" t="s">
        <v>6546</v>
      </c>
      <c r="X171" s="25"/>
      <c r="Y171" s="25" t="str">
        <f>IFERROR(VLOOKUP(C_Ope_005[[#This Row],[NOTA 2]],Clientes_Proveedores[[Ruc / Dni]:[Razon Social]],2,0),"")</f>
        <v/>
      </c>
      <c r="Z171" s="25"/>
      <c r="AA171" s="25"/>
      <c r="AB171" s="3" t="str">
        <f>IF(C_Ope_005[[#This Row],[FECHA]]&gt;0,TEXT(C_Ope_005[[#This Row],[FECHA]],"mmmm"),0)</f>
        <v>Marzo</v>
      </c>
    </row>
    <row r="172" spans="2:28" ht="24" x14ac:dyDescent="0.3">
      <c r="B172" s="2">
        <f>IF(C_Ope_005[[#This Row],[TIPO DE R.]]="R",COUNTIFS($D$4:$D171,"R")+1,"")</f>
        <v>168</v>
      </c>
      <c r="C172" s="19" t="str">
        <f t="shared" si="14"/>
        <v>C_Ope_005</v>
      </c>
      <c r="D172" s="3" t="s">
        <v>1074</v>
      </c>
      <c r="E172" s="14">
        <v>45730</v>
      </c>
      <c r="F172" s="5" t="s">
        <v>7166</v>
      </c>
      <c r="G172" s="5" t="s">
        <v>1079</v>
      </c>
      <c r="H172" s="6"/>
      <c r="I172" s="6" t="s">
        <v>14</v>
      </c>
      <c r="J172" s="6" t="s">
        <v>5245</v>
      </c>
      <c r="K172" s="6">
        <v>1698842</v>
      </c>
      <c r="L172" s="7" t="s">
        <v>7259</v>
      </c>
      <c r="M172" s="8">
        <v>23438</v>
      </c>
      <c r="N172" s="8" t="str">
        <f t="shared" si="15"/>
        <v>PEN</v>
      </c>
      <c r="O172" s="13"/>
      <c r="P172" s="13">
        <v>8</v>
      </c>
      <c r="Q172" s="3">
        <f t="shared" si="11"/>
        <v>0</v>
      </c>
      <c r="R172" s="3">
        <f t="shared" si="12"/>
        <v>8</v>
      </c>
      <c r="S172" s="3">
        <f t="shared" si="13"/>
        <v>168.99999999999955</v>
      </c>
      <c r="T172" s="24"/>
      <c r="U172" s="24"/>
      <c r="V172" s="3"/>
      <c r="W172" s="25" t="s">
        <v>6546</v>
      </c>
      <c r="X172" s="25"/>
      <c r="Y172" s="25" t="str">
        <f>IFERROR(VLOOKUP(C_Ope_005[[#This Row],[NOTA 2]],Clientes_Proveedores[[Ruc / Dni]:[Razon Social]],2,0),"")</f>
        <v/>
      </c>
      <c r="Z172" s="25"/>
      <c r="AA172" s="25"/>
      <c r="AB172" s="3" t="str">
        <f>IF(C_Ope_005[[#This Row],[FECHA]]&gt;0,TEXT(C_Ope_005[[#This Row],[FECHA]],"mmmm"),0)</f>
        <v>Marzo</v>
      </c>
    </row>
    <row r="173" spans="2:28" ht="24" x14ac:dyDescent="0.3">
      <c r="B173" s="2">
        <f>IF(C_Ope_005[[#This Row],[TIPO DE R.]]="R",COUNTIFS($D$4:$D172,"R")+1,"")</f>
        <v>169</v>
      </c>
      <c r="C173" s="19" t="str">
        <f t="shared" si="14"/>
        <v>C_Ope_005</v>
      </c>
      <c r="D173" s="3" t="s">
        <v>1074</v>
      </c>
      <c r="E173" s="14">
        <v>45730</v>
      </c>
      <c r="F173" s="5" t="s">
        <v>7166</v>
      </c>
      <c r="G173" s="5" t="s">
        <v>1079</v>
      </c>
      <c r="H173" s="6"/>
      <c r="I173" s="6" t="s">
        <v>14</v>
      </c>
      <c r="J173" s="6" t="s">
        <v>5243</v>
      </c>
      <c r="K173" s="6">
        <v>2264909</v>
      </c>
      <c r="L173" s="7" t="s">
        <v>7259</v>
      </c>
      <c r="M173" s="8">
        <v>23439</v>
      </c>
      <c r="N173" s="8" t="str">
        <f t="shared" si="15"/>
        <v>PEN</v>
      </c>
      <c r="O173" s="13"/>
      <c r="P173" s="13">
        <v>8</v>
      </c>
      <c r="Q173" s="3">
        <f t="shared" si="11"/>
        <v>0</v>
      </c>
      <c r="R173" s="3">
        <f t="shared" si="12"/>
        <v>8</v>
      </c>
      <c r="S173" s="3">
        <f t="shared" si="13"/>
        <v>160.99999999999955</v>
      </c>
      <c r="T173" s="24"/>
      <c r="U173" s="24"/>
      <c r="V173" s="3"/>
      <c r="W173" s="25" t="s">
        <v>6546</v>
      </c>
      <c r="X173" s="25"/>
      <c r="Y173" s="25" t="str">
        <f>IFERROR(VLOOKUP(C_Ope_005[[#This Row],[NOTA 2]],Clientes_Proveedores[[Ruc / Dni]:[Razon Social]],2,0),"")</f>
        <v/>
      </c>
      <c r="Z173" s="25"/>
      <c r="AA173" s="25"/>
      <c r="AB173" s="3" t="str">
        <f>IF(C_Ope_005[[#This Row],[FECHA]]&gt;0,TEXT(C_Ope_005[[#This Row],[FECHA]],"mmmm"),0)</f>
        <v>Marzo</v>
      </c>
    </row>
    <row r="174" spans="2:28" x14ac:dyDescent="0.3">
      <c r="B174" s="2">
        <f>IF(C_Ope_005[[#This Row],[TIPO DE R.]]="R",COUNTIFS($D$4:$D173,"R")+1,"")</f>
        <v>170</v>
      </c>
      <c r="C174" s="19" t="str">
        <f t="shared" si="14"/>
        <v>C_Ope_005</v>
      </c>
      <c r="D174" s="3" t="s">
        <v>1074</v>
      </c>
      <c r="E174" s="14">
        <v>45727</v>
      </c>
      <c r="F174" s="5" t="s">
        <v>7166</v>
      </c>
      <c r="G174" s="5" t="s">
        <v>1079</v>
      </c>
      <c r="H174" s="6"/>
      <c r="I174" s="6" t="s">
        <v>14</v>
      </c>
      <c r="J174" s="6" t="s">
        <v>1148</v>
      </c>
      <c r="K174" s="6">
        <v>129223</v>
      </c>
      <c r="L174" s="7" t="s">
        <v>7260</v>
      </c>
      <c r="M174" s="8">
        <v>23382</v>
      </c>
      <c r="N174" s="8" t="str">
        <f t="shared" si="15"/>
        <v>PEN</v>
      </c>
      <c r="O174" s="13"/>
      <c r="P174" s="13">
        <v>10</v>
      </c>
      <c r="Q174" s="3">
        <f t="shared" si="11"/>
        <v>0</v>
      </c>
      <c r="R174" s="3">
        <f t="shared" si="12"/>
        <v>10</v>
      </c>
      <c r="S174" s="3">
        <f t="shared" si="13"/>
        <v>150.99999999999955</v>
      </c>
      <c r="T174" s="24"/>
      <c r="U174" s="24"/>
      <c r="V174" s="3"/>
      <c r="W174" s="25" t="s">
        <v>6546</v>
      </c>
      <c r="X174" s="25"/>
      <c r="Y174" s="25" t="str">
        <f>IFERROR(VLOOKUP(C_Ope_005[[#This Row],[NOTA 2]],Clientes_Proveedores[[Ruc / Dni]:[Razon Social]],2,0),"")</f>
        <v/>
      </c>
      <c r="Z174" s="25"/>
      <c r="AA174" s="25"/>
      <c r="AB174" s="3" t="str">
        <f>IF(C_Ope_005[[#This Row],[FECHA]]&gt;0,TEXT(C_Ope_005[[#This Row],[FECHA]],"mmmm"),0)</f>
        <v>Marzo</v>
      </c>
    </row>
    <row r="175" spans="2:28" x14ac:dyDescent="0.3">
      <c r="B175" s="2">
        <f>IF(C_Ope_005[[#This Row],[TIPO DE R.]]="R",COUNTIFS($D$4:$D174,"R")+1,"")</f>
        <v>171</v>
      </c>
      <c r="C175" s="19" t="str">
        <f t="shared" si="14"/>
        <v>C_Ope_005</v>
      </c>
      <c r="D175" s="3" t="s">
        <v>1074</v>
      </c>
      <c r="E175" s="14">
        <v>45727</v>
      </c>
      <c r="F175" s="5" t="s">
        <v>7166</v>
      </c>
      <c r="G175" s="5" t="s">
        <v>1079</v>
      </c>
      <c r="H175" s="6"/>
      <c r="I175" s="6" t="s">
        <v>14</v>
      </c>
      <c r="J175" s="6" t="s">
        <v>1148</v>
      </c>
      <c r="K175" s="6">
        <v>129230</v>
      </c>
      <c r="L175" s="7" t="s">
        <v>7260</v>
      </c>
      <c r="M175" s="8">
        <v>23383</v>
      </c>
      <c r="N175" s="8" t="str">
        <f t="shared" si="15"/>
        <v>PEN</v>
      </c>
      <c r="O175" s="13"/>
      <c r="P175" s="13">
        <v>10</v>
      </c>
      <c r="Q175" s="3">
        <f t="shared" si="11"/>
        <v>0</v>
      </c>
      <c r="R175" s="3">
        <f t="shared" si="12"/>
        <v>10</v>
      </c>
      <c r="S175" s="3">
        <f t="shared" si="13"/>
        <v>140.99999999999955</v>
      </c>
      <c r="T175" s="24"/>
      <c r="U175" s="24"/>
      <c r="V175" s="3"/>
      <c r="W175" s="25" t="s">
        <v>6546</v>
      </c>
      <c r="X175" s="25"/>
      <c r="Y175" s="25" t="str">
        <f>IFERROR(VLOOKUP(C_Ope_005[[#This Row],[NOTA 2]],Clientes_Proveedores[[Ruc / Dni]:[Razon Social]],2,0),"")</f>
        <v/>
      </c>
      <c r="Z175" s="25"/>
      <c r="AA175" s="25"/>
      <c r="AB175" s="3" t="str">
        <f>IF(C_Ope_005[[#This Row],[FECHA]]&gt;0,TEXT(C_Ope_005[[#This Row],[FECHA]],"mmmm"),0)</f>
        <v>Marzo</v>
      </c>
    </row>
    <row r="176" spans="2:28" x14ac:dyDescent="0.3">
      <c r="B176" s="2">
        <f>IF(C_Ope_005[[#This Row],[TIPO DE R.]]="R",COUNTIFS($D$4:$D175,"R")+1,"")</f>
        <v>172</v>
      </c>
      <c r="C176" s="19" t="str">
        <f t="shared" si="14"/>
        <v>C_Ope_005</v>
      </c>
      <c r="D176" s="3" t="s">
        <v>1074</v>
      </c>
      <c r="E176" s="14">
        <v>45727</v>
      </c>
      <c r="F176" s="5" t="s">
        <v>7166</v>
      </c>
      <c r="G176" s="5" t="s">
        <v>1079</v>
      </c>
      <c r="H176" s="6"/>
      <c r="I176" s="6" t="s">
        <v>14</v>
      </c>
      <c r="J176" s="6" t="s">
        <v>1148</v>
      </c>
      <c r="K176" s="6">
        <v>129232</v>
      </c>
      <c r="L176" s="7" t="s">
        <v>7260</v>
      </c>
      <c r="M176" s="8">
        <v>23384</v>
      </c>
      <c r="N176" s="8" t="str">
        <f t="shared" si="15"/>
        <v>PEN</v>
      </c>
      <c r="O176" s="13"/>
      <c r="P176" s="13">
        <v>10</v>
      </c>
      <c r="Q176" s="3">
        <f t="shared" si="11"/>
        <v>0</v>
      </c>
      <c r="R176" s="3">
        <f t="shared" si="12"/>
        <v>10</v>
      </c>
      <c r="S176" s="3">
        <f t="shared" si="13"/>
        <v>130.99999999999955</v>
      </c>
      <c r="T176" s="24"/>
      <c r="U176" s="24"/>
      <c r="V176" s="3"/>
      <c r="W176" s="25" t="s">
        <v>6546</v>
      </c>
      <c r="X176" s="25"/>
      <c r="Y176" s="25" t="str">
        <f>IFERROR(VLOOKUP(C_Ope_005[[#This Row],[NOTA 2]],Clientes_Proveedores[[Ruc / Dni]:[Razon Social]],2,0),"")</f>
        <v/>
      </c>
      <c r="Z176" s="25"/>
      <c r="AA176" s="25"/>
      <c r="AB176" s="3" t="str">
        <f>IF(C_Ope_005[[#This Row],[FECHA]]&gt;0,TEXT(C_Ope_005[[#This Row],[FECHA]],"mmmm"),0)</f>
        <v>Marzo</v>
      </c>
    </row>
    <row r="177" spans="2:28" x14ac:dyDescent="0.3">
      <c r="B177" s="2">
        <f>IF(C_Ope_005[[#This Row],[TIPO DE R.]]="R",COUNTIFS($D$4:$D176,"R")+1,"")</f>
        <v>173</v>
      </c>
      <c r="C177" s="19" t="str">
        <f t="shared" si="14"/>
        <v>C_Ope_005</v>
      </c>
      <c r="D177" s="3" t="s">
        <v>1074</v>
      </c>
      <c r="E177" s="14">
        <v>45727</v>
      </c>
      <c r="F177" s="5" t="s">
        <v>7166</v>
      </c>
      <c r="G177" s="5" t="s">
        <v>1079</v>
      </c>
      <c r="H177" s="6"/>
      <c r="I177" s="6" t="s">
        <v>14</v>
      </c>
      <c r="J177" s="6" t="s">
        <v>1088</v>
      </c>
      <c r="K177" s="6">
        <v>34088</v>
      </c>
      <c r="L177" s="7" t="s">
        <v>7256</v>
      </c>
      <c r="M177" s="8">
        <v>23402</v>
      </c>
      <c r="N177" s="8" t="str">
        <f t="shared" si="15"/>
        <v>PEN</v>
      </c>
      <c r="O177" s="13"/>
      <c r="P177" s="13">
        <v>10</v>
      </c>
      <c r="Q177" s="3">
        <f t="shared" si="11"/>
        <v>0</v>
      </c>
      <c r="R177" s="3">
        <f t="shared" si="12"/>
        <v>10</v>
      </c>
      <c r="S177" s="3">
        <f t="shared" si="13"/>
        <v>120.99999999999955</v>
      </c>
      <c r="T177" s="24"/>
      <c r="U177" s="24"/>
      <c r="V177" s="3"/>
      <c r="W177" s="25" t="s">
        <v>6546</v>
      </c>
      <c r="X177" s="25"/>
      <c r="Y177" s="25" t="str">
        <f>IFERROR(VLOOKUP(C_Ope_005[[#This Row],[NOTA 2]],Clientes_Proveedores[[Ruc / Dni]:[Razon Social]],2,0),"")</f>
        <v/>
      </c>
      <c r="Z177" s="25"/>
      <c r="AA177" s="25"/>
      <c r="AB177" s="3" t="str">
        <f>IF(C_Ope_005[[#This Row],[FECHA]]&gt;0,TEXT(C_Ope_005[[#This Row],[FECHA]],"mmmm"),0)</f>
        <v>Marzo</v>
      </c>
    </row>
    <row r="178" spans="2:28" x14ac:dyDescent="0.3">
      <c r="B178" s="2">
        <f>IF(C_Ope_005[[#This Row],[TIPO DE R.]]="R",COUNTIFS($D$4:$D177,"R")+1,"")</f>
        <v>174</v>
      </c>
      <c r="C178" s="19" t="str">
        <f t="shared" si="14"/>
        <v>C_Ope_005</v>
      </c>
      <c r="D178" s="3" t="s">
        <v>1074</v>
      </c>
      <c r="E178" s="14">
        <v>45728</v>
      </c>
      <c r="F178" s="5" t="s">
        <v>7166</v>
      </c>
      <c r="G178" s="5" t="s">
        <v>1079</v>
      </c>
      <c r="H178" s="6"/>
      <c r="I178" s="6" t="s">
        <v>14</v>
      </c>
      <c r="J178" s="6" t="s">
        <v>1148</v>
      </c>
      <c r="K178" s="6">
        <v>129249</v>
      </c>
      <c r="L178" s="7" t="s">
        <v>7261</v>
      </c>
      <c r="M178" s="8">
        <v>23401</v>
      </c>
      <c r="N178" s="8" t="str">
        <f t="shared" si="15"/>
        <v>PEN</v>
      </c>
      <c r="O178" s="13"/>
      <c r="P178" s="13">
        <v>10</v>
      </c>
      <c r="Q178" s="3">
        <f t="shared" si="11"/>
        <v>0</v>
      </c>
      <c r="R178" s="3">
        <f t="shared" si="12"/>
        <v>10</v>
      </c>
      <c r="S178" s="3">
        <f t="shared" si="13"/>
        <v>110.99999999999955</v>
      </c>
      <c r="T178" s="24"/>
      <c r="U178" s="24"/>
      <c r="V178" s="3"/>
      <c r="W178" s="25" t="s">
        <v>6546</v>
      </c>
      <c r="X178" s="25"/>
      <c r="Y178" s="25" t="str">
        <f>IFERROR(VLOOKUP(C_Ope_005[[#This Row],[NOTA 2]],Clientes_Proveedores[[Ruc / Dni]:[Razon Social]],2,0),"")</f>
        <v/>
      </c>
      <c r="Z178" s="25"/>
      <c r="AA178" s="25"/>
      <c r="AB178" s="3" t="str">
        <f>IF(C_Ope_005[[#This Row],[FECHA]]&gt;0,TEXT(C_Ope_005[[#This Row],[FECHA]],"mmmm"),0)</f>
        <v>Marzo</v>
      </c>
    </row>
    <row r="179" spans="2:28" x14ac:dyDescent="0.3">
      <c r="B179" s="2">
        <f>IF(C_Ope_005[[#This Row],[TIPO DE R.]]="R",COUNTIFS($D$4:$D178,"R")+1,"")</f>
        <v>175</v>
      </c>
      <c r="C179" s="19" t="str">
        <f t="shared" si="14"/>
        <v>C_Ope_005</v>
      </c>
      <c r="D179" s="3" t="s">
        <v>1074</v>
      </c>
      <c r="E179" s="14">
        <v>45730</v>
      </c>
      <c r="F179" s="5" t="s">
        <v>7166</v>
      </c>
      <c r="G179" s="5" t="s">
        <v>1079</v>
      </c>
      <c r="H179" s="6"/>
      <c r="I179" s="6" t="s">
        <v>14</v>
      </c>
      <c r="J179" s="6" t="s">
        <v>1088</v>
      </c>
      <c r="K179" s="6">
        <v>34119</v>
      </c>
      <c r="L179" s="7" t="s">
        <v>7256</v>
      </c>
      <c r="M179" s="8">
        <v>23440</v>
      </c>
      <c r="N179" s="8" t="str">
        <f t="shared" si="15"/>
        <v>PEN</v>
      </c>
      <c r="O179" s="13"/>
      <c r="P179" s="13">
        <v>10</v>
      </c>
      <c r="Q179" s="3">
        <f t="shared" si="11"/>
        <v>0</v>
      </c>
      <c r="R179" s="3">
        <f t="shared" si="12"/>
        <v>10</v>
      </c>
      <c r="S179" s="3">
        <f t="shared" si="13"/>
        <v>100.99999999999955</v>
      </c>
      <c r="T179" s="24"/>
      <c r="U179" s="24"/>
      <c r="V179" s="3"/>
      <c r="W179" s="25" t="s">
        <v>6546</v>
      </c>
      <c r="X179" s="25"/>
      <c r="Y179" s="25" t="str">
        <f>IFERROR(VLOOKUP(C_Ope_005[[#This Row],[NOTA 2]],Clientes_Proveedores[[Ruc / Dni]:[Razon Social]],2,0),"")</f>
        <v/>
      </c>
      <c r="Z179" s="25"/>
      <c r="AA179" s="25"/>
      <c r="AB179" s="3" t="str">
        <f>IF(C_Ope_005[[#This Row],[FECHA]]&gt;0,TEXT(C_Ope_005[[#This Row],[FECHA]],"mmmm"),0)</f>
        <v>Marzo</v>
      </c>
    </row>
    <row r="180" spans="2:28" x14ac:dyDescent="0.3">
      <c r="B180" s="2">
        <f>IF(C_Ope_005[[#This Row],[TIPO DE R.]]="R",COUNTIFS($D$4:$D179,"R")+1,"")</f>
        <v>176</v>
      </c>
      <c r="C180" s="19" t="str">
        <f t="shared" si="14"/>
        <v>C_Ope_005</v>
      </c>
      <c r="D180" s="3" t="s">
        <v>1074</v>
      </c>
      <c r="E180" s="14">
        <v>45734</v>
      </c>
      <c r="F180" s="5" t="s">
        <v>6299</v>
      </c>
      <c r="G180" s="5" t="s">
        <v>1087</v>
      </c>
      <c r="H180" s="6"/>
      <c r="I180" s="6"/>
      <c r="J180" s="6"/>
      <c r="K180" s="6"/>
      <c r="L180" s="7" t="s">
        <v>6302</v>
      </c>
      <c r="M180" s="8">
        <v>23485</v>
      </c>
      <c r="N180" s="8" t="str">
        <f t="shared" si="15"/>
        <v>PEN</v>
      </c>
      <c r="O180" s="13"/>
      <c r="P180" s="13">
        <v>100</v>
      </c>
      <c r="Q180" s="3">
        <f t="shared" si="11"/>
        <v>100</v>
      </c>
      <c r="R180" s="3">
        <f t="shared" si="12"/>
        <v>0</v>
      </c>
      <c r="S180" s="3">
        <f t="shared" si="13"/>
        <v>200.99999999999955</v>
      </c>
      <c r="T180" s="24"/>
      <c r="U180" s="24"/>
      <c r="V180" s="3"/>
      <c r="W180" s="25"/>
      <c r="X180" s="25"/>
      <c r="Y180" s="25" t="str">
        <f>IFERROR(VLOOKUP(C_Ope_005[[#This Row],[NOTA 2]],Clientes_Proveedores[[Ruc / Dni]:[Razon Social]],2,0),"")</f>
        <v/>
      </c>
      <c r="Z180" s="25"/>
      <c r="AA180" s="25">
        <f>ROUND(C_Ope_005[[#This Row],[MONTO ]]/1.18,3)</f>
        <v>84.745999999999995</v>
      </c>
      <c r="AB180" s="3" t="str">
        <f>IF(C_Ope_005[[#This Row],[FECHA]]&gt;0,TEXT(C_Ope_005[[#This Row],[FECHA]],"mmmm"),0)</f>
        <v>Marzo</v>
      </c>
    </row>
    <row r="181" spans="2:28" ht="24" x14ac:dyDescent="0.3">
      <c r="B181" s="2">
        <f>IF(C_Ope_005[[#This Row],[TIPO DE R.]]="R",COUNTIFS($D$4:$D180,"R")+1,"")</f>
        <v>177</v>
      </c>
      <c r="C181" s="19" t="str">
        <f t="shared" si="14"/>
        <v>C_Ope_005</v>
      </c>
      <c r="D181" s="3" t="s">
        <v>1074</v>
      </c>
      <c r="E181" s="14">
        <v>45733</v>
      </c>
      <c r="F181" s="5" t="s">
        <v>7166</v>
      </c>
      <c r="G181" s="5" t="s">
        <v>1079</v>
      </c>
      <c r="H181" s="6"/>
      <c r="I181" s="6" t="s">
        <v>14</v>
      </c>
      <c r="J181" s="6" t="s">
        <v>5244</v>
      </c>
      <c r="K181" s="6">
        <v>1681825</v>
      </c>
      <c r="L181" s="7" t="s">
        <v>7262</v>
      </c>
      <c r="M181" s="8">
        <v>23480</v>
      </c>
      <c r="N181" s="8" t="str">
        <f t="shared" si="15"/>
        <v>PEN</v>
      </c>
      <c r="O181" s="13"/>
      <c r="P181" s="13">
        <v>8</v>
      </c>
      <c r="Q181" s="3">
        <f t="shared" si="11"/>
        <v>0</v>
      </c>
      <c r="R181" s="3">
        <f t="shared" si="12"/>
        <v>8</v>
      </c>
      <c r="S181" s="3">
        <f t="shared" si="13"/>
        <v>192.99999999999955</v>
      </c>
      <c r="T181" s="24"/>
      <c r="U181" s="24"/>
      <c r="V181" s="3"/>
      <c r="W181" s="25" t="s">
        <v>6546</v>
      </c>
      <c r="X181" s="25"/>
      <c r="Y181" s="25" t="str">
        <f>IFERROR(VLOOKUP(C_Ope_005[[#This Row],[NOTA 2]],Clientes_Proveedores[[Ruc / Dni]:[Razon Social]],2,0),"")</f>
        <v/>
      </c>
      <c r="Z181" s="25"/>
      <c r="AA181" s="25"/>
      <c r="AB181" s="3" t="str">
        <f>IF(C_Ope_005[[#This Row],[FECHA]]&gt;0,TEXT(C_Ope_005[[#This Row],[FECHA]],"mmmm"),0)</f>
        <v>Marzo</v>
      </c>
    </row>
    <row r="182" spans="2:28" ht="24" x14ac:dyDescent="0.3">
      <c r="B182" s="2">
        <f>IF(C_Ope_005[[#This Row],[TIPO DE R.]]="R",COUNTIFS($D$4:$D181,"R")+1,"")</f>
        <v>178</v>
      </c>
      <c r="C182" s="19" t="str">
        <f t="shared" si="14"/>
        <v>C_Ope_005</v>
      </c>
      <c r="D182" s="3" t="s">
        <v>1074</v>
      </c>
      <c r="E182" s="14">
        <v>45733</v>
      </c>
      <c r="F182" s="5" t="s">
        <v>7166</v>
      </c>
      <c r="G182" s="5" t="s">
        <v>1079</v>
      </c>
      <c r="H182" s="6"/>
      <c r="I182" s="6" t="s">
        <v>14</v>
      </c>
      <c r="J182" s="6" t="s">
        <v>5242</v>
      </c>
      <c r="K182" s="6">
        <v>1993065</v>
      </c>
      <c r="L182" s="7" t="s">
        <v>7262</v>
      </c>
      <c r="M182" s="8">
        <v>23481</v>
      </c>
      <c r="N182" s="8" t="str">
        <f t="shared" si="15"/>
        <v>PEN</v>
      </c>
      <c r="O182" s="13"/>
      <c r="P182" s="13">
        <v>8</v>
      </c>
      <c r="Q182" s="3">
        <f t="shared" si="11"/>
        <v>0</v>
      </c>
      <c r="R182" s="3">
        <f t="shared" si="12"/>
        <v>8</v>
      </c>
      <c r="S182" s="3">
        <f t="shared" si="13"/>
        <v>184.99999999999955</v>
      </c>
      <c r="T182" s="24"/>
      <c r="U182" s="24"/>
      <c r="V182" s="3"/>
      <c r="W182" s="25" t="s">
        <v>6546</v>
      </c>
      <c r="X182" s="25"/>
      <c r="Y182" s="25" t="str">
        <f>IFERROR(VLOOKUP(C_Ope_005[[#This Row],[NOTA 2]],Clientes_Proveedores[[Ruc / Dni]:[Razon Social]],2,0),"")</f>
        <v/>
      </c>
      <c r="Z182" s="25"/>
      <c r="AA182" s="25"/>
      <c r="AB182" s="3" t="str">
        <f>IF(C_Ope_005[[#This Row],[FECHA]]&gt;0,TEXT(C_Ope_005[[#This Row],[FECHA]],"mmmm"),0)</f>
        <v>Marzo</v>
      </c>
    </row>
    <row r="183" spans="2:28" x14ac:dyDescent="0.3">
      <c r="B183" s="2">
        <f>IF(C_Ope_005[[#This Row],[TIPO DE R.]]="R",COUNTIFS($D$4:$D182,"R")+1,"")</f>
        <v>179</v>
      </c>
      <c r="C183" s="19" t="str">
        <f t="shared" si="14"/>
        <v>C_Ope_005</v>
      </c>
      <c r="D183" s="3" t="s">
        <v>1074</v>
      </c>
      <c r="E183" s="14">
        <v>45735</v>
      </c>
      <c r="F183" s="5" t="s">
        <v>7166</v>
      </c>
      <c r="G183" s="5" t="s">
        <v>1079</v>
      </c>
      <c r="H183" s="6"/>
      <c r="I183" s="6" t="s">
        <v>14</v>
      </c>
      <c r="J183" s="6" t="s">
        <v>6556</v>
      </c>
      <c r="K183" s="6">
        <v>459985</v>
      </c>
      <c r="L183" s="7" t="s">
        <v>6629</v>
      </c>
      <c r="M183" s="8">
        <v>23507</v>
      </c>
      <c r="N183" s="8" t="str">
        <f t="shared" si="15"/>
        <v>PEN</v>
      </c>
      <c r="O183" s="13"/>
      <c r="P183" s="13">
        <v>8</v>
      </c>
      <c r="Q183" s="3">
        <f t="shared" si="11"/>
        <v>0</v>
      </c>
      <c r="R183" s="3">
        <f t="shared" si="12"/>
        <v>8</v>
      </c>
      <c r="S183" s="3">
        <f t="shared" si="13"/>
        <v>176.99999999999955</v>
      </c>
      <c r="T183" s="24"/>
      <c r="U183" s="24"/>
      <c r="V183" s="3"/>
      <c r="W183" s="25" t="s">
        <v>6630</v>
      </c>
      <c r="X183" s="25"/>
      <c r="Y183" s="25" t="str">
        <f>IFERROR(VLOOKUP(C_Ope_005[[#This Row],[NOTA 2]],Clientes_Proveedores[[Ruc / Dni]:[Razon Social]],2,0),"")</f>
        <v/>
      </c>
      <c r="Z183" s="25"/>
      <c r="AA183" s="25"/>
      <c r="AB183" s="3" t="str">
        <f>IF(C_Ope_005[[#This Row],[FECHA]]&gt;0,TEXT(C_Ope_005[[#This Row],[FECHA]],"mmmm"),0)</f>
        <v>Marzo</v>
      </c>
    </row>
    <row r="184" spans="2:28" x14ac:dyDescent="0.3">
      <c r="B184" s="2">
        <f>IF(C_Ope_005[[#This Row],[TIPO DE R.]]="R",COUNTIFS($D$4:$D183,"R")+1,"")</f>
        <v>180</v>
      </c>
      <c r="C184" s="19" t="str">
        <f t="shared" si="14"/>
        <v>C_Ope_005</v>
      </c>
      <c r="D184" s="3" t="s">
        <v>1074</v>
      </c>
      <c r="E184" s="14">
        <v>45735</v>
      </c>
      <c r="F184" s="5" t="s">
        <v>7166</v>
      </c>
      <c r="G184" s="5" t="s">
        <v>1079</v>
      </c>
      <c r="H184" s="6"/>
      <c r="I184" s="6" t="s">
        <v>14</v>
      </c>
      <c r="J184" s="6" t="s">
        <v>5243</v>
      </c>
      <c r="K184" s="6">
        <v>2270257</v>
      </c>
      <c r="L184" s="7" t="s">
        <v>7263</v>
      </c>
      <c r="M184" s="8">
        <v>23508</v>
      </c>
      <c r="N184" s="8" t="str">
        <f t="shared" si="15"/>
        <v>PEN</v>
      </c>
      <c r="O184" s="13"/>
      <c r="P184" s="13">
        <v>8</v>
      </c>
      <c r="Q184" s="3">
        <f t="shared" si="11"/>
        <v>0</v>
      </c>
      <c r="R184" s="3">
        <f t="shared" si="12"/>
        <v>8</v>
      </c>
      <c r="S184" s="3">
        <f t="shared" si="13"/>
        <v>168.99999999999955</v>
      </c>
      <c r="T184" s="24"/>
      <c r="U184" s="24"/>
      <c r="V184" s="3"/>
      <c r="W184" s="25" t="s">
        <v>6630</v>
      </c>
      <c r="X184" s="25"/>
      <c r="Y184" s="25" t="str">
        <f>IFERROR(VLOOKUP(C_Ope_005[[#This Row],[NOTA 2]],Clientes_Proveedores[[Ruc / Dni]:[Razon Social]],2,0),"")</f>
        <v/>
      </c>
      <c r="Z184" s="25"/>
      <c r="AA184" s="25"/>
      <c r="AB184" s="3" t="str">
        <f>IF(C_Ope_005[[#This Row],[FECHA]]&gt;0,TEXT(C_Ope_005[[#This Row],[FECHA]],"mmmm"),0)</f>
        <v>Marzo</v>
      </c>
    </row>
    <row r="185" spans="2:28" x14ac:dyDescent="0.3">
      <c r="B185" s="2">
        <f>IF(C_Ope_005[[#This Row],[TIPO DE R.]]="R",COUNTIFS($D$4:$D184,"R")+1,"")</f>
        <v>181</v>
      </c>
      <c r="C185" s="19" t="str">
        <f t="shared" si="14"/>
        <v>C_Ope_005</v>
      </c>
      <c r="D185" s="3" t="s">
        <v>1074</v>
      </c>
      <c r="E185" s="14">
        <v>45735</v>
      </c>
      <c r="F185" s="5" t="s">
        <v>7166</v>
      </c>
      <c r="G185" s="5" t="s">
        <v>1079</v>
      </c>
      <c r="H185" s="6"/>
      <c r="I185" s="6" t="s">
        <v>14</v>
      </c>
      <c r="J185" s="6" t="s">
        <v>5280</v>
      </c>
      <c r="K185" s="6">
        <v>1023389</v>
      </c>
      <c r="L185" s="7" t="s">
        <v>6629</v>
      </c>
      <c r="M185" s="8">
        <v>23509</v>
      </c>
      <c r="N185" s="8" t="str">
        <f t="shared" si="15"/>
        <v>PEN</v>
      </c>
      <c r="O185" s="13"/>
      <c r="P185" s="13">
        <v>8</v>
      </c>
      <c r="Q185" s="3">
        <f t="shared" si="11"/>
        <v>0</v>
      </c>
      <c r="R185" s="3">
        <f t="shared" si="12"/>
        <v>8</v>
      </c>
      <c r="S185" s="3">
        <f t="shared" si="13"/>
        <v>160.99999999999955</v>
      </c>
      <c r="T185" s="24"/>
      <c r="U185" s="24"/>
      <c r="V185" s="3"/>
      <c r="W185" s="25" t="s">
        <v>6630</v>
      </c>
      <c r="X185" s="25"/>
      <c r="Y185" s="25" t="str">
        <f>IFERROR(VLOOKUP(C_Ope_005[[#This Row],[NOTA 2]],Clientes_Proveedores[[Ruc / Dni]:[Razon Social]],2,0),"")</f>
        <v/>
      </c>
      <c r="Z185" s="25"/>
      <c r="AA185" s="25"/>
      <c r="AB185" s="3" t="str">
        <f>IF(C_Ope_005[[#This Row],[FECHA]]&gt;0,TEXT(C_Ope_005[[#This Row],[FECHA]],"mmmm"),0)</f>
        <v>Marzo</v>
      </c>
    </row>
    <row r="186" spans="2:28" ht="24" x14ac:dyDescent="0.3">
      <c r="B186" s="2">
        <f>IF(C_Ope_005[[#This Row],[TIPO DE R.]]="R",COUNTIFS($D$4:$D185,"R")+1,"")</f>
        <v>182</v>
      </c>
      <c r="C186" s="19" t="str">
        <f t="shared" si="14"/>
        <v>C_Ope_005</v>
      </c>
      <c r="D186" s="3" t="s">
        <v>1074</v>
      </c>
      <c r="E186" s="14">
        <v>45735</v>
      </c>
      <c r="F186" s="5" t="s">
        <v>7166</v>
      </c>
      <c r="G186" s="5" t="s">
        <v>1079</v>
      </c>
      <c r="H186" s="6"/>
      <c r="I186" s="6" t="s">
        <v>14</v>
      </c>
      <c r="J186" s="6" t="s">
        <v>5242</v>
      </c>
      <c r="K186" s="6">
        <v>1995056</v>
      </c>
      <c r="L186" s="7" t="s">
        <v>6570</v>
      </c>
      <c r="M186" s="8">
        <v>23516</v>
      </c>
      <c r="N186" s="8" t="str">
        <f t="shared" si="15"/>
        <v>PEN</v>
      </c>
      <c r="O186" s="13"/>
      <c r="P186" s="13">
        <v>8</v>
      </c>
      <c r="Q186" s="3">
        <f t="shared" si="11"/>
        <v>0</v>
      </c>
      <c r="R186" s="3">
        <f t="shared" si="12"/>
        <v>8</v>
      </c>
      <c r="S186" s="3">
        <f t="shared" si="13"/>
        <v>152.99999999999955</v>
      </c>
      <c r="T186" s="24"/>
      <c r="U186" s="24"/>
      <c r="V186" s="3"/>
      <c r="W186" s="25" t="s">
        <v>6546</v>
      </c>
      <c r="X186" s="25"/>
      <c r="Y186" s="25" t="str">
        <f>IFERROR(VLOOKUP(C_Ope_005[[#This Row],[NOTA 2]],Clientes_Proveedores[[Ruc / Dni]:[Razon Social]],2,0),"")</f>
        <v/>
      </c>
      <c r="Z186" s="25"/>
      <c r="AA186" s="25"/>
      <c r="AB186" s="3" t="str">
        <f>IF(C_Ope_005[[#This Row],[FECHA]]&gt;0,TEXT(C_Ope_005[[#This Row],[FECHA]],"mmmm"),0)</f>
        <v>Marzo</v>
      </c>
    </row>
    <row r="187" spans="2:28" ht="24" x14ac:dyDescent="0.3">
      <c r="B187" s="2">
        <f>IF(C_Ope_005[[#This Row],[TIPO DE R.]]="R",COUNTIFS($D$4:$D186,"R")+1,"")</f>
        <v>183</v>
      </c>
      <c r="C187" s="19" t="str">
        <f t="shared" si="14"/>
        <v>C_Ope_005</v>
      </c>
      <c r="D187" s="3" t="s">
        <v>1074</v>
      </c>
      <c r="E187" s="14">
        <v>45737</v>
      </c>
      <c r="F187" s="5" t="s">
        <v>7166</v>
      </c>
      <c r="G187" s="5" t="s">
        <v>1079</v>
      </c>
      <c r="H187" s="6"/>
      <c r="I187" s="6" t="s">
        <v>14</v>
      </c>
      <c r="J187" s="6" t="s">
        <v>5244</v>
      </c>
      <c r="K187" s="6">
        <v>1685489</v>
      </c>
      <c r="L187" s="7" t="s">
        <v>6570</v>
      </c>
      <c r="M187" s="8">
        <v>23558</v>
      </c>
      <c r="N187" s="8" t="str">
        <f t="shared" si="15"/>
        <v>PEN</v>
      </c>
      <c r="O187" s="13"/>
      <c r="P187" s="13">
        <v>8</v>
      </c>
      <c r="Q187" s="3">
        <f t="shared" si="11"/>
        <v>0</v>
      </c>
      <c r="R187" s="3">
        <f t="shared" si="12"/>
        <v>8</v>
      </c>
      <c r="S187" s="3">
        <f t="shared" si="13"/>
        <v>144.99999999999955</v>
      </c>
      <c r="T187" s="24"/>
      <c r="U187" s="24"/>
      <c r="V187" s="3"/>
      <c r="W187" s="25" t="s">
        <v>6541</v>
      </c>
      <c r="X187" s="25"/>
      <c r="Y187" s="25" t="str">
        <f>IFERROR(VLOOKUP(C_Ope_005[[#This Row],[NOTA 2]],Clientes_Proveedores[[Ruc / Dni]:[Razon Social]],2,0),"")</f>
        <v/>
      </c>
      <c r="Z187" s="25"/>
      <c r="AA187" s="25"/>
      <c r="AB187" s="3" t="str">
        <f>IF(C_Ope_005[[#This Row],[FECHA]]&gt;0,TEXT(C_Ope_005[[#This Row],[FECHA]],"mmmm"),0)</f>
        <v>Marzo</v>
      </c>
    </row>
    <row r="188" spans="2:28" ht="24" x14ac:dyDescent="0.3">
      <c r="B188" s="2">
        <f>IF(C_Ope_005[[#This Row],[TIPO DE R.]]="R",COUNTIFS($D$4:$D187,"R")+1,"")</f>
        <v>184</v>
      </c>
      <c r="C188" s="19" t="str">
        <f t="shared" si="14"/>
        <v>C_Ope_005</v>
      </c>
      <c r="D188" s="3" t="s">
        <v>1074</v>
      </c>
      <c r="E188" s="14">
        <v>45737</v>
      </c>
      <c r="F188" s="5" t="s">
        <v>7166</v>
      </c>
      <c r="G188" s="5" t="s">
        <v>1079</v>
      </c>
      <c r="H188" s="6"/>
      <c r="I188" s="6" t="s">
        <v>14</v>
      </c>
      <c r="J188" s="6" t="s">
        <v>5242</v>
      </c>
      <c r="K188" s="6">
        <v>1997062</v>
      </c>
      <c r="L188" s="7" t="s">
        <v>6570</v>
      </c>
      <c r="M188" s="8">
        <v>23559</v>
      </c>
      <c r="N188" s="8" t="str">
        <f t="shared" si="15"/>
        <v>PEN</v>
      </c>
      <c r="O188" s="13"/>
      <c r="P188" s="13">
        <v>8</v>
      </c>
      <c r="Q188" s="3">
        <f t="shared" si="11"/>
        <v>0</v>
      </c>
      <c r="R188" s="3">
        <f t="shared" si="12"/>
        <v>8</v>
      </c>
      <c r="S188" s="3">
        <f t="shared" si="13"/>
        <v>136.99999999999955</v>
      </c>
      <c r="T188" s="24"/>
      <c r="U188" s="24"/>
      <c r="V188" s="3"/>
      <c r="W188" s="25" t="s">
        <v>6541</v>
      </c>
      <c r="X188" s="25"/>
      <c r="Y188" s="25" t="str">
        <f>IFERROR(VLOOKUP(C_Ope_005[[#This Row],[NOTA 2]],Clientes_Proveedores[[Ruc / Dni]:[Razon Social]],2,0),"")</f>
        <v/>
      </c>
      <c r="Z188" s="25"/>
      <c r="AA188" s="25"/>
      <c r="AB188" s="3" t="str">
        <f>IF(C_Ope_005[[#This Row],[FECHA]]&gt;0,TEXT(C_Ope_005[[#This Row],[FECHA]],"mmmm"),0)</f>
        <v>Marzo</v>
      </c>
    </row>
    <row r="189" spans="2:28" x14ac:dyDescent="0.3">
      <c r="B189" s="2">
        <f>IF(C_Ope_005[[#This Row],[TIPO DE R.]]="R",COUNTIFS($D$4:$D188,"R")+1,"")</f>
        <v>185</v>
      </c>
      <c r="C189" s="19" t="str">
        <f t="shared" si="14"/>
        <v>C_Ope_005</v>
      </c>
      <c r="D189" s="3" t="s">
        <v>1074</v>
      </c>
      <c r="E189" s="14">
        <v>45735</v>
      </c>
      <c r="F189" s="5" t="s">
        <v>7166</v>
      </c>
      <c r="G189" s="5" t="s">
        <v>1079</v>
      </c>
      <c r="H189" s="6"/>
      <c r="I189" s="6" t="s">
        <v>14</v>
      </c>
      <c r="J189" s="6" t="s">
        <v>1119</v>
      </c>
      <c r="K189" s="6">
        <v>17118</v>
      </c>
      <c r="L189" s="7" t="s">
        <v>6633</v>
      </c>
      <c r="M189" s="8">
        <v>23510</v>
      </c>
      <c r="N189" s="8" t="str">
        <f t="shared" si="15"/>
        <v>PEN</v>
      </c>
      <c r="O189" s="13"/>
      <c r="P189" s="13">
        <v>11</v>
      </c>
      <c r="Q189" s="3">
        <f t="shared" si="11"/>
        <v>0</v>
      </c>
      <c r="R189" s="3">
        <f t="shared" si="12"/>
        <v>11</v>
      </c>
      <c r="S189" s="3">
        <f t="shared" si="13"/>
        <v>125.99999999999955</v>
      </c>
      <c r="T189" s="24"/>
      <c r="U189" s="24"/>
      <c r="V189" s="3"/>
      <c r="W189" s="25" t="s">
        <v>6630</v>
      </c>
      <c r="X189" s="25"/>
      <c r="Y189" s="25" t="str">
        <f>IFERROR(VLOOKUP(C_Ope_005[[#This Row],[NOTA 2]],Clientes_Proveedores[[Ruc / Dni]:[Razon Social]],2,0),"")</f>
        <v/>
      </c>
      <c r="Z189" s="25"/>
      <c r="AA189" s="25"/>
      <c r="AB189" s="3" t="str">
        <f>IF(C_Ope_005[[#This Row],[FECHA]]&gt;0,TEXT(C_Ope_005[[#This Row],[FECHA]],"mmmm"),0)</f>
        <v>Marzo</v>
      </c>
    </row>
    <row r="190" spans="2:28" x14ac:dyDescent="0.3">
      <c r="B190" s="2">
        <f>IF(C_Ope_005[[#This Row],[TIPO DE R.]]="R",COUNTIFS($D$4:$D189,"R")+1,"")</f>
        <v>186</v>
      </c>
      <c r="C190" s="19" t="str">
        <f t="shared" si="14"/>
        <v>C_Ope_005</v>
      </c>
      <c r="D190" s="3" t="s">
        <v>1074</v>
      </c>
      <c r="E190" s="14">
        <v>45736</v>
      </c>
      <c r="F190" s="5" t="s">
        <v>7166</v>
      </c>
      <c r="G190" s="5" t="s">
        <v>1079</v>
      </c>
      <c r="H190" s="6"/>
      <c r="I190" s="6" t="s">
        <v>14</v>
      </c>
      <c r="J190" s="6" t="s">
        <v>6561</v>
      </c>
      <c r="K190" s="6">
        <v>267</v>
      </c>
      <c r="L190" s="7" t="s">
        <v>7264</v>
      </c>
      <c r="M190" s="8">
        <v>23533</v>
      </c>
      <c r="N190" s="8" t="str">
        <f t="shared" si="15"/>
        <v>PEN</v>
      </c>
      <c r="O190" s="13"/>
      <c r="P190" s="13">
        <v>10</v>
      </c>
      <c r="Q190" s="3">
        <f t="shared" si="11"/>
        <v>0</v>
      </c>
      <c r="R190" s="3">
        <f t="shared" si="12"/>
        <v>10</v>
      </c>
      <c r="S190" s="3">
        <f t="shared" si="13"/>
        <v>115.99999999999955</v>
      </c>
      <c r="T190" s="24"/>
      <c r="U190" s="24"/>
      <c r="V190" s="3"/>
      <c r="W190" s="25" t="s">
        <v>6546</v>
      </c>
      <c r="X190" s="25"/>
      <c r="Y190" s="25" t="str">
        <f>IFERROR(VLOOKUP(C_Ope_005[[#This Row],[NOTA 2]],Clientes_Proveedores[[Ruc / Dni]:[Razon Social]],2,0),"")</f>
        <v/>
      </c>
      <c r="Z190" s="25"/>
      <c r="AA190" s="25"/>
      <c r="AB190" s="3" t="str">
        <f>IF(C_Ope_005[[#This Row],[FECHA]]&gt;0,TEXT(C_Ope_005[[#This Row],[FECHA]],"mmmm"),0)</f>
        <v>Marzo</v>
      </c>
    </row>
    <row r="191" spans="2:28" x14ac:dyDescent="0.3">
      <c r="B191" s="2">
        <f>IF(C_Ope_005[[#This Row],[TIPO DE R.]]="R",COUNTIFS($D$4:$D190,"R")+1,"")</f>
        <v>187</v>
      </c>
      <c r="C191" s="19" t="str">
        <f t="shared" si="14"/>
        <v>C_Ope_005</v>
      </c>
      <c r="D191" s="3" t="s">
        <v>1074</v>
      </c>
      <c r="E191" s="14">
        <v>45736</v>
      </c>
      <c r="F191" s="5" t="s">
        <v>7166</v>
      </c>
      <c r="G191" s="5" t="s">
        <v>1079</v>
      </c>
      <c r="H191" s="6"/>
      <c r="I191" s="6" t="s">
        <v>14</v>
      </c>
      <c r="J191" s="6" t="s">
        <v>6561</v>
      </c>
      <c r="K191" s="6">
        <v>275</v>
      </c>
      <c r="L191" s="7" t="s">
        <v>7265</v>
      </c>
      <c r="M191" s="8">
        <v>23534</v>
      </c>
      <c r="N191" s="8" t="str">
        <f t="shared" si="15"/>
        <v>PEN</v>
      </c>
      <c r="O191" s="13"/>
      <c r="P191" s="13">
        <v>10</v>
      </c>
      <c r="Q191" s="3">
        <f t="shared" si="11"/>
        <v>0</v>
      </c>
      <c r="R191" s="3">
        <f t="shared" si="12"/>
        <v>10</v>
      </c>
      <c r="S191" s="3">
        <f t="shared" si="13"/>
        <v>105.99999999999955</v>
      </c>
      <c r="T191" s="24"/>
      <c r="U191" s="24"/>
      <c r="V191" s="3"/>
      <c r="W191" s="25" t="s">
        <v>6546</v>
      </c>
      <c r="X191" s="25"/>
      <c r="Y191" s="25" t="str">
        <f>IFERROR(VLOOKUP(C_Ope_005[[#This Row],[NOTA 2]],Clientes_Proveedores[[Ruc / Dni]:[Razon Social]],2,0),"")</f>
        <v/>
      </c>
      <c r="Z191" s="25"/>
      <c r="AA191" s="25"/>
      <c r="AB191" s="3" t="str">
        <f>IF(C_Ope_005[[#This Row],[FECHA]]&gt;0,TEXT(C_Ope_005[[#This Row],[FECHA]],"mmmm"),0)</f>
        <v>Marzo</v>
      </c>
    </row>
    <row r="192" spans="2:28" x14ac:dyDescent="0.3">
      <c r="B192" s="2">
        <f>IF(C_Ope_005[[#This Row],[TIPO DE R.]]="R",COUNTIFS($D$4:$D191,"R")+1,"")</f>
        <v>188</v>
      </c>
      <c r="C192" s="19" t="str">
        <f t="shared" si="14"/>
        <v>C_Ope_005</v>
      </c>
      <c r="D192" s="3" t="s">
        <v>1074</v>
      </c>
      <c r="E192" s="14">
        <v>45734</v>
      </c>
      <c r="F192" s="5" t="s">
        <v>7166</v>
      </c>
      <c r="G192" s="5" t="s">
        <v>1079</v>
      </c>
      <c r="H192" s="6"/>
      <c r="I192" s="6" t="s">
        <v>14</v>
      </c>
      <c r="J192" s="6" t="s">
        <v>1119</v>
      </c>
      <c r="K192" s="6">
        <v>16867</v>
      </c>
      <c r="L192" s="7" t="s">
        <v>7205</v>
      </c>
      <c r="M192" s="8">
        <v>23486</v>
      </c>
      <c r="N192" s="8" t="str">
        <f t="shared" si="15"/>
        <v>PEN</v>
      </c>
      <c r="O192" s="13"/>
      <c r="P192" s="13">
        <v>25</v>
      </c>
      <c r="Q192" s="3">
        <f t="shared" si="11"/>
        <v>0</v>
      </c>
      <c r="R192" s="3">
        <f t="shared" si="12"/>
        <v>25</v>
      </c>
      <c r="S192" s="3">
        <f t="shared" si="13"/>
        <v>80.999999999999545</v>
      </c>
      <c r="T192" s="24"/>
      <c r="U192" s="24"/>
      <c r="V192" s="3"/>
      <c r="W192" s="25" t="s">
        <v>6546</v>
      </c>
      <c r="X192" s="25"/>
      <c r="Y192" s="25" t="str">
        <f>IFERROR(VLOOKUP(C_Ope_005[[#This Row],[NOTA 2]],Clientes_Proveedores[[Ruc / Dni]:[Razon Social]],2,0),"")</f>
        <v/>
      </c>
      <c r="Z192" s="25"/>
      <c r="AA192" s="25"/>
      <c r="AB192" s="3" t="str">
        <f>IF(C_Ope_005[[#This Row],[FECHA]]&gt;0,TEXT(C_Ope_005[[#This Row],[FECHA]],"mmmm"),0)</f>
        <v>Marzo</v>
      </c>
    </row>
    <row r="193" spans="2:28" x14ac:dyDescent="0.3">
      <c r="B193" s="2">
        <f>IF(C_Ope_005[[#This Row],[TIPO DE R.]]="R",COUNTIFS($D$4:$D192,"R")+1,"")</f>
        <v>189</v>
      </c>
      <c r="C193" s="19" t="str">
        <f t="shared" si="14"/>
        <v>C_Ope_005</v>
      </c>
      <c r="D193" s="3" t="s">
        <v>1074</v>
      </c>
      <c r="E193" s="14">
        <v>45737</v>
      </c>
      <c r="F193" s="5" t="s">
        <v>7166</v>
      </c>
      <c r="G193" s="5" t="s">
        <v>1079</v>
      </c>
      <c r="H193" s="6"/>
      <c r="I193" s="6" t="s">
        <v>14</v>
      </c>
      <c r="J193" s="6" t="s">
        <v>1119</v>
      </c>
      <c r="K193" s="6">
        <v>16916</v>
      </c>
      <c r="L193" s="7" t="s">
        <v>7205</v>
      </c>
      <c r="M193" s="8">
        <v>23560</v>
      </c>
      <c r="N193" s="8" t="str">
        <f t="shared" si="15"/>
        <v>PEN</v>
      </c>
      <c r="O193" s="13"/>
      <c r="P193" s="13">
        <v>25</v>
      </c>
      <c r="Q193" s="3">
        <f t="shared" si="11"/>
        <v>0</v>
      </c>
      <c r="R193" s="3">
        <f t="shared" si="12"/>
        <v>25</v>
      </c>
      <c r="S193" s="3">
        <f t="shared" si="13"/>
        <v>55.999999999999545</v>
      </c>
      <c r="T193" s="24"/>
      <c r="U193" s="24"/>
      <c r="V193" s="3"/>
      <c r="W193" s="25" t="s">
        <v>6541</v>
      </c>
      <c r="X193" s="25"/>
      <c r="Y193" s="25" t="str">
        <f>IFERROR(VLOOKUP(C_Ope_005[[#This Row],[NOTA 2]],Clientes_Proveedores[[Ruc / Dni]:[Razon Social]],2,0),"")</f>
        <v/>
      </c>
      <c r="Z193" s="25"/>
      <c r="AA193" s="25"/>
      <c r="AB193" s="3" t="str">
        <f>IF(C_Ope_005[[#This Row],[FECHA]]&gt;0,TEXT(C_Ope_005[[#This Row],[FECHA]],"mmmm"),0)</f>
        <v>Marzo</v>
      </c>
    </row>
    <row r="194" spans="2:28" x14ac:dyDescent="0.3">
      <c r="B194" s="2">
        <f>IF(C_Ope_005[[#This Row],[TIPO DE R.]]="R",COUNTIFS($D$4:$D193,"R")+1,"")</f>
        <v>190</v>
      </c>
      <c r="C194" s="19" t="str">
        <f t="shared" si="14"/>
        <v>C_Ope_005</v>
      </c>
      <c r="D194" s="3" t="s">
        <v>1074</v>
      </c>
      <c r="E194" s="14">
        <v>45740</v>
      </c>
      <c r="F194" s="5" t="s">
        <v>6299</v>
      </c>
      <c r="G194" s="5" t="s">
        <v>1087</v>
      </c>
      <c r="H194" s="6"/>
      <c r="I194" s="6"/>
      <c r="J194" s="6"/>
      <c r="K194" s="6"/>
      <c r="L194" s="7" t="s">
        <v>6302</v>
      </c>
      <c r="M194" s="8">
        <v>23587</v>
      </c>
      <c r="N194" s="8" t="str">
        <f t="shared" si="15"/>
        <v>PEN</v>
      </c>
      <c r="O194" s="13"/>
      <c r="P194" s="13">
        <v>150</v>
      </c>
      <c r="Q194" s="3">
        <f t="shared" si="11"/>
        <v>150</v>
      </c>
      <c r="R194" s="3">
        <f t="shared" si="12"/>
        <v>0</v>
      </c>
      <c r="S194" s="3">
        <f t="shared" si="13"/>
        <v>205.99999999999955</v>
      </c>
      <c r="T194" s="24"/>
      <c r="U194" s="24"/>
      <c r="V194" s="3"/>
      <c r="W194" s="25"/>
      <c r="X194" s="25"/>
      <c r="Y194" s="25" t="str">
        <f>IFERROR(VLOOKUP(C_Ope_005[[#This Row],[NOTA 2]],Clientes_Proveedores[[Ruc / Dni]:[Razon Social]],2,0),"")</f>
        <v/>
      </c>
      <c r="Z194" s="25"/>
      <c r="AA194" s="25">
        <f>ROUND(C_Ope_005[[#This Row],[MONTO ]]/1.18,3)</f>
        <v>127.119</v>
      </c>
      <c r="AB194" s="3" t="str">
        <f>IF(C_Ope_005[[#This Row],[FECHA]]&gt;0,TEXT(C_Ope_005[[#This Row],[FECHA]],"mmmm"),0)</f>
        <v>Marzo</v>
      </c>
    </row>
    <row r="195" spans="2:28" x14ac:dyDescent="0.3">
      <c r="B195" s="2">
        <f>IF(C_Ope_005[[#This Row],[TIPO DE R.]]="R",COUNTIFS($D$4:$D194,"R")+1,"")</f>
        <v>191</v>
      </c>
      <c r="C195" s="19" t="str">
        <f t="shared" si="14"/>
        <v>C_Ope_005</v>
      </c>
      <c r="D195" s="3" t="s">
        <v>1074</v>
      </c>
      <c r="E195" s="14">
        <v>45742</v>
      </c>
      <c r="F195" s="5" t="s">
        <v>6299</v>
      </c>
      <c r="G195" s="5" t="s">
        <v>1087</v>
      </c>
      <c r="H195" s="6"/>
      <c r="I195" s="6"/>
      <c r="J195" s="6"/>
      <c r="K195" s="6"/>
      <c r="L195" s="7" t="s">
        <v>7196</v>
      </c>
      <c r="M195" s="8">
        <v>23607</v>
      </c>
      <c r="N195" s="8" t="str">
        <f t="shared" si="15"/>
        <v>PEN</v>
      </c>
      <c r="O195" s="13"/>
      <c r="P195" s="13">
        <v>300</v>
      </c>
      <c r="Q195" s="3">
        <f t="shared" si="11"/>
        <v>300</v>
      </c>
      <c r="R195" s="3">
        <f t="shared" si="12"/>
        <v>0</v>
      </c>
      <c r="S195" s="3">
        <f t="shared" si="13"/>
        <v>505.99999999999955</v>
      </c>
      <c r="T195" s="24"/>
      <c r="U195" s="24"/>
      <c r="V195" s="3"/>
      <c r="W195" s="25"/>
      <c r="X195" s="25"/>
      <c r="Y195" s="25" t="str">
        <f>IFERROR(VLOOKUP(C_Ope_005[[#This Row],[NOTA 2]],Clientes_Proveedores[[Ruc / Dni]:[Razon Social]],2,0),"")</f>
        <v/>
      </c>
      <c r="Z195" s="25"/>
      <c r="AA195" s="25">
        <f>ROUND(C_Ope_005[[#This Row],[MONTO ]]/1.18,3)</f>
        <v>254.23699999999999</v>
      </c>
      <c r="AB195" s="3" t="str">
        <f>IF(C_Ope_005[[#This Row],[FECHA]]&gt;0,TEXT(C_Ope_005[[#This Row],[FECHA]],"mmmm"),0)</f>
        <v>Marzo</v>
      </c>
    </row>
    <row r="196" spans="2:28" ht="24" x14ac:dyDescent="0.3">
      <c r="B196" s="2">
        <f>IF(C_Ope_005[[#This Row],[TIPO DE R.]]="R",COUNTIFS($D$4:$D195,"R")+1,"")</f>
        <v>192</v>
      </c>
      <c r="C196" s="19" t="str">
        <f t="shared" si="14"/>
        <v>C_Ope_005</v>
      </c>
      <c r="D196" s="3" t="s">
        <v>1074</v>
      </c>
      <c r="E196" s="14">
        <v>45740</v>
      </c>
      <c r="F196" s="5" t="s">
        <v>7166</v>
      </c>
      <c r="G196" s="5" t="s">
        <v>1079</v>
      </c>
      <c r="H196" s="6"/>
      <c r="I196" s="6" t="s">
        <v>14</v>
      </c>
      <c r="J196" s="6" t="s">
        <v>5244</v>
      </c>
      <c r="K196" s="6">
        <v>1687665</v>
      </c>
      <c r="L196" s="7" t="s">
        <v>7266</v>
      </c>
      <c r="M196" s="8">
        <v>23589</v>
      </c>
      <c r="N196" s="8" t="str">
        <f t="shared" si="15"/>
        <v>PEN</v>
      </c>
      <c r="O196" s="13"/>
      <c r="P196" s="13">
        <v>8</v>
      </c>
      <c r="Q196" s="3">
        <f t="shared" si="11"/>
        <v>0</v>
      </c>
      <c r="R196" s="3">
        <f t="shared" si="12"/>
        <v>8</v>
      </c>
      <c r="S196" s="3">
        <f t="shared" si="13"/>
        <v>497.99999999999955</v>
      </c>
      <c r="T196" s="24"/>
      <c r="U196" s="24"/>
      <c r="V196" s="3"/>
      <c r="W196" s="25" t="s">
        <v>6546</v>
      </c>
      <c r="X196" s="25"/>
      <c r="Y196" s="25" t="str">
        <f>IFERROR(VLOOKUP(C_Ope_005[[#This Row],[NOTA 2]],Clientes_Proveedores[[Ruc / Dni]:[Razon Social]],2,0),"")</f>
        <v/>
      </c>
      <c r="Z196" s="25"/>
      <c r="AA196" s="25"/>
      <c r="AB196" s="3" t="str">
        <f>IF(C_Ope_005[[#This Row],[FECHA]]&gt;0,TEXT(C_Ope_005[[#This Row],[FECHA]],"mmmm"),0)</f>
        <v>Marzo</v>
      </c>
    </row>
    <row r="197" spans="2:28" ht="24" x14ac:dyDescent="0.3">
      <c r="B197" s="2">
        <f>IF(C_Ope_005[[#This Row],[TIPO DE R.]]="R",COUNTIFS($D$4:$D196,"R")+1,"")</f>
        <v>193</v>
      </c>
      <c r="C197" s="19" t="str">
        <f t="shared" si="14"/>
        <v>C_Ope_005</v>
      </c>
      <c r="D197" s="3" t="s">
        <v>1074</v>
      </c>
      <c r="E197" s="14">
        <v>45740</v>
      </c>
      <c r="F197" s="5" t="s">
        <v>7166</v>
      </c>
      <c r="G197" s="5" t="s">
        <v>1079</v>
      </c>
      <c r="H197" s="6"/>
      <c r="I197" s="6" t="s">
        <v>14</v>
      </c>
      <c r="J197" s="6" t="s">
        <v>5245</v>
      </c>
      <c r="K197" s="6">
        <v>1707429</v>
      </c>
      <c r="L197" s="7" t="s">
        <v>7266</v>
      </c>
      <c r="M197" s="8">
        <v>23590</v>
      </c>
      <c r="N197" s="8" t="str">
        <f t="shared" si="15"/>
        <v>PEN</v>
      </c>
      <c r="O197" s="13"/>
      <c r="P197" s="13">
        <v>8</v>
      </c>
      <c r="Q197" s="3">
        <f t="shared" ref="Q197:Q260" si="16">+IF(OR($G197="SALDO",$G197="INGRESO"),$P197,0)</f>
        <v>0</v>
      </c>
      <c r="R197" s="3">
        <f t="shared" ref="R197:R260" si="17">+IF($G197="EGRESO",$P197,0)</f>
        <v>8</v>
      </c>
      <c r="S197" s="3">
        <f t="shared" ref="S197:S260" si="18">IFERROR(IF(G197="SALDO",Q197,S196+Q197-R197),0)</f>
        <v>489.99999999999955</v>
      </c>
      <c r="T197" s="24"/>
      <c r="U197" s="24"/>
      <c r="V197" s="3"/>
      <c r="W197" s="25" t="s">
        <v>6546</v>
      </c>
      <c r="X197" s="25"/>
      <c r="Y197" s="25" t="str">
        <f>IFERROR(VLOOKUP(C_Ope_005[[#This Row],[NOTA 2]],Clientes_Proveedores[[Ruc / Dni]:[Razon Social]],2,0),"")</f>
        <v/>
      </c>
      <c r="Z197" s="25"/>
      <c r="AA197" s="25"/>
      <c r="AB197" s="3" t="str">
        <f>IF(C_Ope_005[[#This Row],[FECHA]]&gt;0,TEXT(C_Ope_005[[#This Row],[FECHA]],"mmmm"),0)</f>
        <v>Marzo</v>
      </c>
    </row>
    <row r="198" spans="2:28" ht="24" x14ac:dyDescent="0.3">
      <c r="B198" s="2">
        <f>IF(C_Ope_005[[#This Row],[TIPO DE R.]]="R",COUNTIFS($D$4:$D197,"R")+1,"")</f>
        <v>194</v>
      </c>
      <c r="C198" s="19" t="str">
        <f t="shared" ref="C198:C261" si="19">"C_Ope_005"</f>
        <v>C_Ope_005</v>
      </c>
      <c r="D198" s="3" t="s">
        <v>1074</v>
      </c>
      <c r="E198" s="14">
        <v>45741</v>
      </c>
      <c r="F198" s="5" t="s">
        <v>7166</v>
      </c>
      <c r="G198" s="5" t="s">
        <v>1079</v>
      </c>
      <c r="H198" s="6"/>
      <c r="I198" s="6" t="s">
        <v>14</v>
      </c>
      <c r="J198" s="6" t="s">
        <v>5244</v>
      </c>
      <c r="K198" s="6">
        <v>1688761</v>
      </c>
      <c r="L198" s="7" t="s">
        <v>6540</v>
      </c>
      <c r="M198" s="8">
        <v>23591</v>
      </c>
      <c r="N198" s="8" t="str">
        <f t="shared" ref="N198:N261" si="20">"PEN"</f>
        <v>PEN</v>
      </c>
      <c r="O198" s="13"/>
      <c r="P198" s="13">
        <v>8</v>
      </c>
      <c r="Q198" s="3">
        <f t="shared" si="16"/>
        <v>0</v>
      </c>
      <c r="R198" s="3">
        <f t="shared" si="17"/>
        <v>8</v>
      </c>
      <c r="S198" s="3">
        <f t="shared" si="18"/>
        <v>481.99999999999955</v>
      </c>
      <c r="T198" s="24"/>
      <c r="U198" s="24"/>
      <c r="V198" s="3"/>
      <c r="W198" s="25" t="s">
        <v>6546</v>
      </c>
      <c r="X198" s="25"/>
      <c r="Y198" s="25" t="str">
        <f>IFERROR(VLOOKUP(C_Ope_005[[#This Row],[NOTA 2]],Clientes_Proveedores[[Ruc / Dni]:[Razon Social]],2,0),"")</f>
        <v/>
      </c>
      <c r="Z198" s="25"/>
      <c r="AA198" s="25"/>
      <c r="AB198" s="3" t="str">
        <f>IF(C_Ope_005[[#This Row],[FECHA]]&gt;0,TEXT(C_Ope_005[[#This Row],[FECHA]],"mmmm"),0)</f>
        <v>Marzo</v>
      </c>
    </row>
    <row r="199" spans="2:28" ht="24" x14ac:dyDescent="0.3">
      <c r="B199" s="2">
        <f>IF(C_Ope_005[[#This Row],[TIPO DE R.]]="R",COUNTIFS($D$4:$D198,"R")+1,"")</f>
        <v>195</v>
      </c>
      <c r="C199" s="19" t="str">
        <f t="shared" si="19"/>
        <v>C_Ope_005</v>
      </c>
      <c r="D199" s="3" t="s">
        <v>1074</v>
      </c>
      <c r="E199" s="14">
        <v>45741</v>
      </c>
      <c r="F199" s="5" t="s">
        <v>7166</v>
      </c>
      <c r="G199" s="5" t="s">
        <v>1079</v>
      </c>
      <c r="H199" s="6"/>
      <c r="I199" s="6" t="s">
        <v>14</v>
      </c>
      <c r="J199" s="6" t="s">
        <v>5245</v>
      </c>
      <c r="K199" s="6">
        <v>1708507</v>
      </c>
      <c r="L199" s="7" t="s">
        <v>6540</v>
      </c>
      <c r="M199" s="8">
        <v>23592</v>
      </c>
      <c r="N199" s="8" t="str">
        <f t="shared" si="20"/>
        <v>PEN</v>
      </c>
      <c r="O199" s="13"/>
      <c r="P199" s="13">
        <v>8</v>
      </c>
      <c r="Q199" s="3">
        <f t="shared" si="16"/>
        <v>0</v>
      </c>
      <c r="R199" s="3">
        <f t="shared" si="17"/>
        <v>8</v>
      </c>
      <c r="S199" s="3">
        <f t="shared" si="18"/>
        <v>473.99999999999955</v>
      </c>
      <c r="T199" s="24"/>
      <c r="U199" s="24"/>
      <c r="V199" s="3"/>
      <c r="W199" s="25" t="s">
        <v>6546</v>
      </c>
      <c r="X199" s="25"/>
      <c r="Y199" s="25" t="str">
        <f>IFERROR(VLOOKUP(C_Ope_005[[#This Row],[NOTA 2]],Clientes_Proveedores[[Ruc / Dni]:[Razon Social]],2,0),"")</f>
        <v/>
      </c>
      <c r="Z199" s="25"/>
      <c r="AA199" s="25"/>
      <c r="AB199" s="3" t="str">
        <f>IF(C_Ope_005[[#This Row],[FECHA]]&gt;0,TEXT(C_Ope_005[[#This Row],[FECHA]],"mmmm"),0)</f>
        <v>Marzo</v>
      </c>
    </row>
    <row r="200" spans="2:28" ht="24" x14ac:dyDescent="0.3">
      <c r="B200" s="2">
        <f>IF(C_Ope_005[[#This Row],[TIPO DE R.]]="R",COUNTIFS($D$4:$D199,"R")+1,"")</f>
        <v>196</v>
      </c>
      <c r="C200" s="19" t="str">
        <f t="shared" si="19"/>
        <v>C_Ope_005</v>
      </c>
      <c r="D200" s="3" t="s">
        <v>1074</v>
      </c>
      <c r="E200" s="14">
        <v>45741</v>
      </c>
      <c r="F200" s="5" t="s">
        <v>7166</v>
      </c>
      <c r="G200" s="5" t="s">
        <v>1079</v>
      </c>
      <c r="H200" s="6"/>
      <c r="I200" s="6" t="s">
        <v>14</v>
      </c>
      <c r="J200" s="6" t="s">
        <v>6556</v>
      </c>
      <c r="K200" s="6">
        <v>461623</v>
      </c>
      <c r="L200" s="7" t="s">
        <v>6542</v>
      </c>
      <c r="M200" s="8">
        <v>23593</v>
      </c>
      <c r="N200" s="8" t="str">
        <f t="shared" si="20"/>
        <v>PEN</v>
      </c>
      <c r="O200" s="13"/>
      <c r="P200" s="13">
        <v>8</v>
      </c>
      <c r="Q200" s="3">
        <f t="shared" si="16"/>
        <v>0</v>
      </c>
      <c r="R200" s="3">
        <f t="shared" si="17"/>
        <v>8</v>
      </c>
      <c r="S200" s="3">
        <f t="shared" si="18"/>
        <v>465.99999999999955</v>
      </c>
      <c r="T200" s="24"/>
      <c r="U200" s="24"/>
      <c r="V200" s="3"/>
      <c r="W200" s="25" t="s">
        <v>6546</v>
      </c>
      <c r="X200" s="25"/>
      <c r="Y200" s="25" t="str">
        <f>IFERROR(VLOOKUP(C_Ope_005[[#This Row],[NOTA 2]],Clientes_Proveedores[[Ruc / Dni]:[Razon Social]],2,0),"")</f>
        <v/>
      </c>
      <c r="Z200" s="25"/>
      <c r="AA200" s="25"/>
      <c r="AB200" s="3" t="str">
        <f>IF(C_Ope_005[[#This Row],[FECHA]]&gt;0,TEXT(C_Ope_005[[#This Row],[FECHA]],"mmmm"),0)</f>
        <v>Marzo</v>
      </c>
    </row>
    <row r="201" spans="2:28" ht="24" x14ac:dyDescent="0.3">
      <c r="B201" s="2">
        <f>IF(C_Ope_005[[#This Row],[TIPO DE R.]]="R",COUNTIFS($D$4:$D200,"R")+1,"")</f>
        <v>197</v>
      </c>
      <c r="C201" s="19" t="str">
        <f t="shared" si="19"/>
        <v>C_Ope_005</v>
      </c>
      <c r="D201" s="3" t="s">
        <v>1074</v>
      </c>
      <c r="E201" s="14">
        <v>45741</v>
      </c>
      <c r="F201" s="5" t="s">
        <v>7166</v>
      </c>
      <c r="G201" s="5" t="s">
        <v>1079</v>
      </c>
      <c r="H201" s="6"/>
      <c r="I201" s="6" t="s">
        <v>14</v>
      </c>
      <c r="J201" s="6" t="s">
        <v>5280</v>
      </c>
      <c r="K201" s="6">
        <v>1027438</v>
      </c>
      <c r="L201" s="7" t="s">
        <v>6542</v>
      </c>
      <c r="M201" s="8">
        <v>23594</v>
      </c>
      <c r="N201" s="8" t="str">
        <f t="shared" si="20"/>
        <v>PEN</v>
      </c>
      <c r="O201" s="13"/>
      <c r="P201" s="13">
        <v>8</v>
      </c>
      <c r="Q201" s="3">
        <f t="shared" si="16"/>
        <v>0</v>
      </c>
      <c r="R201" s="3">
        <f t="shared" si="17"/>
        <v>8</v>
      </c>
      <c r="S201" s="3">
        <f t="shared" si="18"/>
        <v>457.99999999999955</v>
      </c>
      <c r="T201" s="24"/>
      <c r="U201" s="24"/>
      <c r="V201" s="3"/>
      <c r="W201" s="25" t="s">
        <v>6546</v>
      </c>
      <c r="X201" s="25"/>
      <c r="Y201" s="25" t="str">
        <f>IFERROR(VLOOKUP(C_Ope_005[[#This Row],[NOTA 2]],Clientes_Proveedores[[Ruc / Dni]:[Razon Social]],2,0),"")</f>
        <v/>
      </c>
      <c r="Z201" s="25"/>
      <c r="AA201" s="25"/>
      <c r="AB201" s="3" t="str">
        <f>IF(C_Ope_005[[#This Row],[FECHA]]&gt;0,TEXT(C_Ope_005[[#This Row],[FECHA]],"mmmm"),0)</f>
        <v>Marzo</v>
      </c>
    </row>
    <row r="202" spans="2:28" ht="24" x14ac:dyDescent="0.3">
      <c r="B202" s="2">
        <f>IF(C_Ope_005[[#This Row],[TIPO DE R.]]="R",COUNTIFS($D$4:$D201,"R")+1,"")</f>
        <v>198</v>
      </c>
      <c r="C202" s="19" t="str">
        <f t="shared" si="19"/>
        <v>C_Ope_005</v>
      </c>
      <c r="D202" s="3" t="s">
        <v>1074</v>
      </c>
      <c r="E202" s="14">
        <v>45742</v>
      </c>
      <c r="F202" s="5" t="s">
        <v>7166</v>
      </c>
      <c r="G202" s="5" t="s">
        <v>1079</v>
      </c>
      <c r="H202" s="6"/>
      <c r="I202" s="6" t="s">
        <v>14</v>
      </c>
      <c r="J202" s="6" t="s">
        <v>5244</v>
      </c>
      <c r="K202" s="6">
        <v>1689602</v>
      </c>
      <c r="L202" s="7" t="s">
        <v>7267</v>
      </c>
      <c r="M202" s="8">
        <v>23608</v>
      </c>
      <c r="N202" s="8" t="str">
        <f t="shared" si="20"/>
        <v>PEN</v>
      </c>
      <c r="O202" s="13"/>
      <c r="P202" s="13">
        <v>8</v>
      </c>
      <c r="Q202" s="3">
        <f t="shared" si="16"/>
        <v>0</v>
      </c>
      <c r="R202" s="3">
        <f t="shared" si="17"/>
        <v>8</v>
      </c>
      <c r="S202" s="3">
        <f t="shared" si="18"/>
        <v>449.99999999999955</v>
      </c>
      <c r="T202" s="24"/>
      <c r="U202" s="24"/>
      <c r="V202" s="3"/>
      <c r="W202" s="25" t="s">
        <v>6546</v>
      </c>
      <c r="X202" s="25"/>
      <c r="Y202" s="25" t="str">
        <f>IFERROR(VLOOKUP(C_Ope_005[[#This Row],[NOTA 2]],Clientes_Proveedores[[Ruc / Dni]:[Razon Social]],2,0),"")</f>
        <v/>
      </c>
      <c r="Z202" s="25"/>
      <c r="AA202" s="25"/>
      <c r="AB202" s="3" t="str">
        <f>IF(C_Ope_005[[#This Row],[FECHA]]&gt;0,TEXT(C_Ope_005[[#This Row],[FECHA]],"mmmm"),0)</f>
        <v>Marzo</v>
      </c>
    </row>
    <row r="203" spans="2:28" ht="24" x14ac:dyDescent="0.3">
      <c r="B203" s="2">
        <f>IF(C_Ope_005[[#This Row],[TIPO DE R.]]="R",COUNTIFS($D$4:$D202,"R")+1,"")</f>
        <v>199</v>
      </c>
      <c r="C203" s="19" t="str">
        <f t="shared" si="19"/>
        <v>C_Ope_005</v>
      </c>
      <c r="D203" s="3" t="s">
        <v>1074</v>
      </c>
      <c r="E203" s="14">
        <v>45742</v>
      </c>
      <c r="F203" s="5" t="s">
        <v>7166</v>
      </c>
      <c r="G203" s="5" t="s">
        <v>1079</v>
      </c>
      <c r="H203" s="6"/>
      <c r="I203" s="6" t="s">
        <v>14</v>
      </c>
      <c r="J203" s="6" t="s">
        <v>5245</v>
      </c>
      <c r="K203" s="6">
        <v>1709305</v>
      </c>
      <c r="L203" s="7" t="s">
        <v>7267</v>
      </c>
      <c r="M203" s="8">
        <v>23609</v>
      </c>
      <c r="N203" s="8" t="str">
        <f t="shared" si="20"/>
        <v>PEN</v>
      </c>
      <c r="O203" s="13"/>
      <c r="P203" s="13">
        <v>8</v>
      </c>
      <c r="Q203" s="3">
        <f t="shared" si="16"/>
        <v>0</v>
      </c>
      <c r="R203" s="3">
        <f t="shared" si="17"/>
        <v>8</v>
      </c>
      <c r="S203" s="3">
        <f t="shared" si="18"/>
        <v>441.99999999999955</v>
      </c>
      <c r="T203" s="24"/>
      <c r="U203" s="24"/>
      <c r="V203" s="3"/>
      <c r="W203" s="25" t="s">
        <v>6546</v>
      </c>
      <c r="X203" s="25"/>
      <c r="Y203" s="25" t="str">
        <f>IFERROR(VLOOKUP(C_Ope_005[[#This Row],[NOTA 2]],Clientes_Proveedores[[Ruc / Dni]:[Razon Social]],2,0),"")</f>
        <v/>
      </c>
      <c r="Z203" s="25"/>
      <c r="AA203" s="25"/>
      <c r="AB203" s="3" t="str">
        <f>IF(C_Ope_005[[#This Row],[FECHA]]&gt;0,TEXT(C_Ope_005[[#This Row],[FECHA]],"mmmm"),0)</f>
        <v>Marzo</v>
      </c>
    </row>
    <row r="204" spans="2:28" ht="24" x14ac:dyDescent="0.3">
      <c r="B204" s="2">
        <f>IF(C_Ope_005[[#This Row],[TIPO DE R.]]="R",COUNTIFS($D$4:$D203,"R")+1,"")</f>
        <v>200</v>
      </c>
      <c r="C204" s="19" t="str">
        <f t="shared" si="19"/>
        <v>C_Ope_005</v>
      </c>
      <c r="D204" s="3" t="s">
        <v>1074</v>
      </c>
      <c r="E204" s="14">
        <v>45743</v>
      </c>
      <c r="F204" s="5" t="s">
        <v>7166</v>
      </c>
      <c r="G204" s="5" t="s">
        <v>1079</v>
      </c>
      <c r="H204" s="6"/>
      <c r="I204" s="6" t="s">
        <v>14</v>
      </c>
      <c r="J204" s="6" t="s">
        <v>7188</v>
      </c>
      <c r="K204" s="6">
        <v>1787074</v>
      </c>
      <c r="L204" s="7" t="s">
        <v>7199</v>
      </c>
      <c r="M204" s="8">
        <v>23652</v>
      </c>
      <c r="N204" s="8" t="str">
        <f t="shared" si="20"/>
        <v>PEN</v>
      </c>
      <c r="O204" s="13"/>
      <c r="P204" s="13">
        <v>7.7</v>
      </c>
      <c r="Q204" s="3">
        <f t="shared" si="16"/>
        <v>0</v>
      </c>
      <c r="R204" s="3">
        <f t="shared" si="17"/>
        <v>7.7</v>
      </c>
      <c r="S204" s="3">
        <f t="shared" si="18"/>
        <v>434.29999999999956</v>
      </c>
      <c r="T204" s="24"/>
      <c r="U204" s="24"/>
      <c r="V204" s="3"/>
      <c r="W204" s="25" t="s">
        <v>6546</v>
      </c>
      <c r="X204" s="25"/>
      <c r="Y204" s="25" t="str">
        <f>IFERROR(VLOOKUP(C_Ope_005[[#This Row],[NOTA 2]],Clientes_Proveedores[[Ruc / Dni]:[Razon Social]],2,0),"")</f>
        <v/>
      </c>
      <c r="Z204" s="25"/>
      <c r="AA204" s="25"/>
      <c r="AB204" s="3" t="str">
        <f>IF(C_Ope_005[[#This Row],[FECHA]]&gt;0,TEXT(C_Ope_005[[#This Row],[FECHA]],"mmmm"),0)</f>
        <v>Marzo</v>
      </c>
    </row>
    <row r="205" spans="2:28" ht="24" x14ac:dyDescent="0.3">
      <c r="B205" s="2">
        <f>IF(C_Ope_005[[#This Row],[TIPO DE R.]]="R",COUNTIFS($D$4:$D204,"R")+1,"")</f>
        <v>201</v>
      </c>
      <c r="C205" s="19" t="str">
        <f t="shared" si="19"/>
        <v>C_Ope_005</v>
      </c>
      <c r="D205" s="3" t="s">
        <v>1074</v>
      </c>
      <c r="E205" s="14">
        <v>45743</v>
      </c>
      <c r="F205" s="5" t="s">
        <v>7166</v>
      </c>
      <c r="G205" s="5" t="s">
        <v>1079</v>
      </c>
      <c r="H205" s="6"/>
      <c r="I205" s="6" t="s">
        <v>14</v>
      </c>
      <c r="J205" s="6" t="s">
        <v>7226</v>
      </c>
      <c r="K205" s="6">
        <v>422216</v>
      </c>
      <c r="L205" s="7" t="s">
        <v>7199</v>
      </c>
      <c r="M205" s="8">
        <v>23653</v>
      </c>
      <c r="N205" s="8" t="str">
        <f t="shared" si="20"/>
        <v>PEN</v>
      </c>
      <c r="O205" s="13"/>
      <c r="P205" s="13">
        <v>7.7</v>
      </c>
      <c r="Q205" s="3">
        <f t="shared" si="16"/>
        <v>0</v>
      </c>
      <c r="R205" s="3">
        <f t="shared" si="17"/>
        <v>7.7</v>
      </c>
      <c r="S205" s="3">
        <f t="shared" si="18"/>
        <v>426.59999999999957</v>
      </c>
      <c r="T205" s="24"/>
      <c r="U205" s="24"/>
      <c r="V205" s="3"/>
      <c r="W205" s="25" t="s">
        <v>6546</v>
      </c>
      <c r="X205" s="25"/>
      <c r="Y205" s="25" t="str">
        <f>IFERROR(VLOOKUP(C_Ope_005[[#This Row],[NOTA 2]],Clientes_Proveedores[[Ruc / Dni]:[Razon Social]],2,0),"")</f>
        <v/>
      </c>
      <c r="Z205" s="25"/>
      <c r="AA205" s="25"/>
      <c r="AB205" s="3" t="str">
        <f>IF(C_Ope_005[[#This Row],[FECHA]]&gt;0,TEXT(C_Ope_005[[#This Row],[FECHA]],"mmmm"),0)</f>
        <v>Marzo</v>
      </c>
    </row>
    <row r="206" spans="2:28" ht="24" x14ac:dyDescent="0.3">
      <c r="B206" s="2">
        <f>IF(C_Ope_005[[#This Row],[TIPO DE R.]]="R",COUNTIFS($D$4:$D205,"R")+1,"")</f>
        <v>202</v>
      </c>
      <c r="C206" s="19" t="str">
        <f t="shared" si="19"/>
        <v>C_Ope_005</v>
      </c>
      <c r="D206" s="3" t="s">
        <v>1074</v>
      </c>
      <c r="E206" s="14">
        <v>45744</v>
      </c>
      <c r="F206" s="5" t="s">
        <v>7166</v>
      </c>
      <c r="G206" s="5" t="s">
        <v>1079</v>
      </c>
      <c r="H206" s="6"/>
      <c r="I206" s="6" t="s">
        <v>14</v>
      </c>
      <c r="J206" s="6" t="s">
        <v>5245</v>
      </c>
      <c r="K206" s="6">
        <v>1711133</v>
      </c>
      <c r="L206" s="7" t="s">
        <v>6570</v>
      </c>
      <c r="M206" s="8">
        <v>23657</v>
      </c>
      <c r="N206" s="8" t="str">
        <f t="shared" si="20"/>
        <v>PEN</v>
      </c>
      <c r="O206" s="13"/>
      <c r="P206" s="13">
        <v>8</v>
      </c>
      <c r="Q206" s="3">
        <f t="shared" si="16"/>
        <v>0</v>
      </c>
      <c r="R206" s="3">
        <f t="shared" si="17"/>
        <v>8</v>
      </c>
      <c r="S206" s="3">
        <f t="shared" si="18"/>
        <v>418.59999999999957</v>
      </c>
      <c r="T206" s="24"/>
      <c r="U206" s="24"/>
      <c r="V206" s="3"/>
      <c r="W206" s="25" t="s">
        <v>6546</v>
      </c>
      <c r="X206" s="25"/>
      <c r="Y206" s="25" t="str">
        <f>IFERROR(VLOOKUP(C_Ope_005[[#This Row],[NOTA 2]],Clientes_Proveedores[[Ruc / Dni]:[Razon Social]],2,0),"")</f>
        <v/>
      </c>
      <c r="Z206" s="25"/>
      <c r="AA206" s="25"/>
      <c r="AB206" s="3" t="str">
        <f>IF(C_Ope_005[[#This Row],[FECHA]]&gt;0,TEXT(C_Ope_005[[#This Row],[FECHA]],"mmmm"),0)</f>
        <v>Marzo</v>
      </c>
    </row>
    <row r="207" spans="2:28" ht="24" x14ac:dyDescent="0.3">
      <c r="B207" s="2">
        <f>IF(C_Ope_005[[#This Row],[TIPO DE R.]]="R",COUNTIFS($D$4:$D206,"R")+1,"")</f>
        <v>203</v>
      </c>
      <c r="C207" s="19" t="str">
        <f t="shared" si="19"/>
        <v>C_Ope_005</v>
      </c>
      <c r="D207" s="3" t="s">
        <v>1074</v>
      </c>
      <c r="E207" s="14">
        <v>45744</v>
      </c>
      <c r="F207" s="5" t="s">
        <v>7166</v>
      </c>
      <c r="G207" s="5" t="s">
        <v>1079</v>
      </c>
      <c r="H207" s="6"/>
      <c r="I207" s="6" t="s">
        <v>14</v>
      </c>
      <c r="J207" s="6" t="s">
        <v>5243</v>
      </c>
      <c r="K207" s="6">
        <v>2280676</v>
      </c>
      <c r="L207" s="7" t="s">
        <v>6570</v>
      </c>
      <c r="M207" s="8">
        <v>23658</v>
      </c>
      <c r="N207" s="8" t="str">
        <f t="shared" si="20"/>
        <v>PEN</v>
      </c>
      <c r="O207" s="13"/>
      <c r="P207" s="13">
        <v>8</v>
      </c>
      <c r="Q207" s="3">
        <f t="shared" si="16"/>
        <v>0</v>
      </c>
      <c r="R207" s="3">
        <f t="shared" si="17"/>
        <v>8</v>
      </c>
      <c r="S207" s="3">
        <f t="shared" si="18"/>
        <v>410.59999999999957</v>
      </c>
      <c r="T207" s="24"/>
      <c r="U207" s="24"/>
      <c r="V207" s="3"/>
      <c r="W207" s="25" t="s">
        <v>6546</v>
      </c>
      <c r="X207" s="25"/>
      <c r="Y207" s="25" t="str">
        <f>IFERROR(VLOOKUP(C_Ope_005[[#This Row],[NOTA 2]],Clientes_Proveedores[[Ruc / Dni]:[Razon Social]],2,0),"")</f>
        <v/>
      </c>
      <c r="Z207" s="25"/>
      <c r="AA207" s="25"/>
      <c r="AB207" s="3" t="str">
        <f>IF(C_Ope_005[[#This Row],[FECHA]]&gt;0,TEXT(C_Ope_005[[#This Row],[FECHA]],"mmmm"),0)</f>
        <v>Marzo</v>
      </c>
    </row>
    <row r="208" spans="2:28" ht="24" x14ac:dyDescent="0.3">
      <c r="B208" s="2">
        <f>IF(C_Ope_005[[#This Row],[TIPO DE R.]]="R",COUNTIFS($D$4:$D207,"R")+1,"")</f>
        <v>204</v>
      </c>
      <c r="C208" s="19" t="str">
        <f t="shared" si="19"/>
        <v>C_Ope_005</v>
      </c>
      <c r="D208" s="3" t="s">
        <v>1074</v>
      </c>
      <c r="E208" s="14">
        <v>45747</v>
      </c>
      <c r="F208" s="5" t="s">
        <v>7166</v>
      </c>
      <c r="G208" s="5" t="s">
        <v>1079</v>
      </c>
      <c r="H208" s="6"/>
      <c r="I208" s="6" t="s">
        <v>14</v>
      </c>
      <c r="J208" s="6" t="s">
        <v>5244</v>
      </c>
      <c r="K208" s="6">
        <v>1693828</v>
      </c>
      <c r="L208" s="7" t="s">
        <v>7268</v>
      </c>
      <c r="M208" s="8">
        <v>23694</v>
      </c>
      <c r="N208" s="8" t="str">
        <f t="shared" si="20"/>
        <v>PEN</v>
      </c>
      <c r="O208" s="13"/>
      <c r="P208" s="13">
        <v>8</v>
      </c>
      <c r="Q208" s="3">
        <f t="shared" si="16"/>
        <v>0</v>
      </c>
      <c r="R208" s="3">
        <f t="shared" si="17"/>
        <v>8</v>
      </c>
      <c r="S208" s="3">
        <f t="shared" si="18"/>
        <v>402.59999999999957</v>
      </c>
      <c r="T208" s="24"/>
      <c r="U208" s="24"/>
      <c r="V208" s="3"/>
      <c r="W208" s="25" t="s">
        <v>6546</v>
      </c>
      <c r="X208" s="25"/>
      <c r="Y208" s="25" t="str">
        <f>IFERROR(VLOOKUP(C_Ope_005[[#This Row],[NOTA 2]],Clientes_Proveedores[[Ruc / Dni]:[Razon Social]],2,0),"")</f>
        <v/>
      </c>
      <c r="Z208" s="25"/>
      <c r="AA208" s="25"/>
      <c r="AB208" s="3" t="str">
        <f>IF(C_Ope_005[[#This Row],[FECHA]]&gt;0,TEXT(C_Ope_005[[#This Row],[FECHA]],"mmmm"),0)</f>
        <v>Marzo</v>
      </c>
    </row>
    <row r="209" spans="2:28" ht="24" x14ac:dyDescent="0.3">
      <c r="B209" s="2">
        <f>IF(C_Ope_005[[#This Row],[TIPO DE R.]]="R",COUNTIFS($D$4:$D208,"R")+1,"")</f>
        <v>205</v>
      </c>
      <c r="C209" s="19" t="str">
        <f t="shared" si="19"/>
        <v>C_Ope_005</v>
      </c>
      <c r="D209" s="3" t="s">
        <v>1074</v>
      </c>
      <c r="E209" s="14">
        <v>45747</v>
      </c>
      <c r="F209" s="5" t="s">
        <v>7166</v>
      </c>
      <c r="G209" s="5" t="s">
        <v>1079</v>
      </c>
      <c r="H209" s="6"/>
      <c r="I209" s="6" t="s">
        <v>14</v>
      </c>
      <c r="J209" s="6" t="s">
        <v>5245</v>
      </c>
      <c r="K209" s="6">
        <v>1713617</v>
      </c>
      <c r="L209" s="7" t="s">
        <v>7268</v>
      </c>
      <c r="M209" s="8">
        <v>23695</v>
      </c>
      <c r="N209" s="8" t="str">
        <f t="shared" si="20"/>
        <v>PEN</v>
      </c>
      <c r="O209" s="13"/>
      <c r="P209" s="13">
        <v>8</v>
      </c>
      <c r="Q209" s="3">
        <f t="shared" si="16"/>
        <v>0</v>
      </c>
      <c r="R209" s="3">
        <f t="shared" si="17"/>
        <v>8</v>
      </c>
      <c r="S209" s="3">
        <f t="shared" si="18"/>
        <v>394.59999999999957</v>
      </c>
      <c r="T209" s="24"/>
      <c r="U209" s="24"/>
      <c r="V209" s="3"/>
      <c r="W209" s="25" t="s">
        <v>6546</v>
      </c>
      <c r="X209" s="25"/>
      <c r="Y209" s="25" t="str">
        <f>IFERROR(VLOOKUP(C_Ope_005[[#This Row],[NOTA 2]],Clientes_Proveedores[[Ruc / Dni]:[Razon Social]],2,0),"")</f>
        <v/>
      </c>
      <c r="Z209" s="25"/>
      <c r="AA209" s="25"/>
      <c r="AB209" s="3" t="str">
        <f>IF(C_Ope_005[[#This Row],[FECHA]]&gt;0,TEXT(C_Ope_005[[#This Row],[FECHA]],"mmmm"),0)</f>
        <v>Marzo</v>
      </c>
    </row>
    <row r="210" spans="2:28" x14ac:dyDescent="0.3">
      <c r="B210" s="2">
        <f>IF(C_Ope_005[[#This Row],[TIPO DE R.]]="R",COUNTIFS($D$4:$D209,"R")+1,"")</f>
        <v>206</v>
      </c>
      <c r="C210" s="19" t="str">
        <f t="shared" si="19"/>
        <v>C_Ope_005</v>
      </c>
      <c r="D210" s="3" t="s">
        <v>1074</v>
      </c>
      <c r="E210" s="14">
        <v>45741</v>
      </c>
      <c r="F210" s="5" t="s">
        <v>7166</v>
      </c>
      <c r="G210" s="5" t="s">
        <v>1079</v>
      </c>
      <c r="H210" s="6"/>
      <c r="I210" s="6" t="s">
        <v>14</v>
      </c>
      <c r="J210" s="6" t="s">
        <v>1088</v>
      </c>
      <c r="K210" s="6">
        <v>34190</v>
      </c>
      <c r="L210" s="7" t="s">
        <v>7269</v>
      </c>
      <c r="M210" s="8">
        <v>23595</v>
      </c>
      <c r="N210" s="8" t="str">
        <f t="shared" si="20"/>
        <v>PEN</v>
      </c>
      <c r="O210" s="13"/>
      <c r="P210" s="13">
        <v>10</v>
      </c>
      <c r="Q210" s="3">
        <f t="shared" si="16"/>
        <v>0</v>
      </c>
      <c r="R210" s="3">
        <f t="shared" si="17"/>
        <v>10</v>
      </c>
      <c r="S210" s="3">
        <f t="shared" si="18"/>
        <v>384.59999999999957</v>
      </c>
      <c r="T210" s="24"/>
      <c r="U210" s="24"/>
      <c r="V210" s="3"/>
      <c r="W210" s="25" t="s">
        <v>6546</v>
      </c>
      <c r="X210" s="25"/>
      <c r="Y210" s="25" t="str">
        <f>IFERROR(VLOOKUP(C_Ope_005[[#This Row],[NOTA 2]],Clientes_Proveedores[[Ruc / Dni]:[Razon Social]],2,0),"")</f>
        <v/>
      </c>
      <c r="Z210" s="25"/>
      <c r="AA210" s="25"/>
      <c r="AB210" s="3" t="str">
        <f>IF(C_Ope_005[[#This Row],[FECHA]]&gt;0,TEXT(C_Ope_005[[#This Row],[FECHA]],"mmmm"),0)</f>
        <v>Marzo</v>
      </c>
    </row>
    <row r="211" spans="2:28" ht="24" x14ac:dyDescent="0.3">
      <c r="B211" s="2">
        <f>IF(C_Ope_005[[#This Row],[TIPO DE R.]]="R",COUNTIFS($D$4:$D210,"R")+1,"")</f>
        <v>207</v>
      </c>
      <c r="C211" s="19" t="str">
        <f t="shared" si="19"/>
        <v>C_Ope_005</v>
      </c>
      <c r="D211" s="3" t="s">
        <v>1074</v>
      </c>
      <c r="E211" s="14">
        <v>45741</v>
      </c>
      <c r="F211" s="5" t="s">
        <v>7166</v>
      </c>
      <c r="G211" s="5" t="s">
        <v>1079</v>
      </c>
      <c r="H211" s="6"/>
      <c r="I211" s="6" t="s">
        <v>14</v>
      </c>
      <c r="J211" s="6" t="s">
        <v>1119</v>
      </c>
      <c r="K211" s="6">
        <v>17155</v>
      </c>
      <c r="L211" s="7" t="s">
        <v>6547</v>
      </c>
      <c r="M211" s="8">
        <v>23596</v>
      </c>
      <c r="N211" s="8" t="str">
        <f t="shared" si="20"/>
        <v>PEN</v>
      </c>
      <c r="O211" s="13"/>
      <c r="P211" s="13">
        <v>11</v>
      </c>
      <c r="Q211" s="3">
        <f t="shared" si="16"/>
        <v>0</v>
      </c>
      <c r="R211" s="3">
        <f t="shared" si="17"/>
        <v>11</v>
      </c>
      <c r="S211" s="3">
        <f t="shared" si="18"/>
        <v>373.59999999999957</v>
      </c>
      <c r="T211" s="24"/>
      <c r="U211" s="24"/>
      <c r="V211" s="3"/>
      <c r="W211" s="25" t="s">
        <v>6546</v>
      </c>
      <c r="X211" s="25"/>
      <c r="Y211" s="25" t="str">
        <f>IFERROR(VLOOKUP(C_Ope_005[[#This Row],[NOTA 2]],Clientes_Proveedores[[Ruc / Dni]:[Razon Social]],2,0),"")</f>
        <v/>
      </c>
      <c r="Z211" s="25"/>
      <c r="AA211" s="25"/>
      <c r="AB211" s="3" t="str">
        <f>IF(C_Ope_005[[#This Row],[FECHA]]&gt;0,TEXT(C_Ope_005[[#This Row],[FECHA]],"mmmm"),0)</f>
        <v>Marzo</v>
      </c>
    </row>
    <row r="212" spans="2:28" ht="24" x14ac:dyDescent="0.3">
      <c r="B212" s="2">
        <f>IF(C_Ope_005[[#This Row],[TIPO DE R.]]="R",COUNTIFS($D$4:$D211,"R")+1,"")</f>
        <v>208</v>
      </c>
      <c r="C212" s="19" t="str">
        <f t="shared" si="19"/>
        <v>C_Ope_005</v>
      </c>
      <c r="D212" s="3" t="s">
        <v>1074</v>
      </c>
      <c r="E212" s="14">
        <v>45744</v>
      </c>
      <c r="F212" s="5" t="s">
        <v>7166</v>
      </c>
      <c r="G212" s="5" t="s">
        <v>1079</v>
      </c>
      <c r="H212" s="6"/>
      <c r="I212" s="6" t="s">
        <v>14</v>
      </c>
      <c r="J212" s="6" t="s">
        <v>1097</v>
      </c>
      <c r="K212" s="6">
        <v>15972</v>
      </c>
      <c r="L212" s="7" t="s">
        <v>7270</v>
      </c>
      <c r="M212" s="8">
        <v>23660</v>
      </c>
      <c r="N212" s="8" t="str">
        <f t="shared" si="20"/>
        <v>PEN</v>
      </c>
      <c r="O212" s="13"/>
      <c r="P212" s="13">
        <v>20</v>
      </c>
      <c r="Q212" s="3">
        <f t="shared" si="16"/>
        <v>0</v>
      </c>
      <c r="R212" s="3">
        <f t="shared" si="17"/>
        <v>20</v>
      </c>
      <c r="S212" s="3">
        <f t="shared" si="18"/>
        <v>353.59999999999957</v>
      </c>
      <c r="T212" s="24"/>
      <c r="U212" s="24"/>
      <c r="V212" s="3"/>
      <c r="W212" s="25" t="s">
        <v>6546</v>
      </c>
      <c r="X212" s="25"/>
      <c r="Y212" s="25" t="str">
        <f>IFERROR(VLOOKUP(C_Ope_005[[#This Row],[NOTA 2]],Clientes_Proveedores[[Ruc / Dni]:[Razon Social]],2,0),"")</f>
        <v/>
      </c>
      <c r="Z212" s="25"/>
      <c r="AA212" s="25"/>
      <c r="AB212" s="3" t="str">
        <f>IF(C_Ope_005[[#This Row],[FECHA]]&gt;0,TEXT(C_Ope_005[[#This Row],[FECHA]],"mmmm"),0)</f>
        <v>Marzo</v>
      </c>
    </row>
    <row r="213" spans="2:28" x14ac:dyDescent="0.3">
      <c r="B213" s="2">
        <f>IF(C_Ope_005[[#This Row],[TIPO DE R.]]="R",COUNTIFS($D$4:$D212,"R")+1,"")</f>
        <v>209</v>
      </c>
      <c r="C213" s="19" t="str">
        <f t="shared" si="19"/>
        <v>C_Ope_005</v>
      </c>
      <c r="D213" s="3" t="s">
        <v>1074</v>
      </c>
      <c r="E213" s="14">
        <v>45747</v>
      </c>
      <c r="F213" s="5" t="s">
        <v>7166</v>
      </c>
      <c r="G213" s="5" t="s">
        <v>1079</v>
      </c>
      <c r="H213" s="6"/>
      <c r="I213" s="6" t="s">
        <v>14</v>
      </c>
      <c r="J213" s="6" t="s">
        <v>1088</v>
      </c>
      <c r="K213" s="6">
        <v>34232</v>
      </c>
      <c r="L213" s="7" t="s">
        <v>7269</v>
      </c>
      <c r="M213" s="8">
        <v>23696</v>
      </c>
      <c r="N213" s="8" t="str">
        <f t="shared" si="20"/>
        <v>PEN</v>
      </c>
      <c r="O213" s="13"/>
      <c r="P213" s="13">
        <v>10</v>
      </c>
      <c r="Q213" s="3">
        <f t="shared" si="16"/>
        <v>0</v>
      </c>
      <c r="R213" s="3">
        <f t="shared" si="17"/>
        <v>10</v>
      </c>
      <c r="S213" s="3">
        <f t="shared" si="18"/>
        <v>343.59999999999957</v>
      </c>
      <c r="T213" s="24"/>
      <c r="U213" s="24"/>
      <c r="V213" s="3"/>
      <c r="W213" s="25" t="s">
        <v>6546</v>
      </c>
      <c r="X213" s="25"/>
      <c r="Y213" s="25" t="str">
        <f>IFERROR(VLOOKUP(C_Ope_005[[#This Row],[NOTA 2]],Clientes_Proveedores[[Ruc / Dni]:[Razon Social]],2,0),"")</f>
        <v/>
      </c>
      <c r="Z213" s="25"/>
      <c r="AA213" s="25"/>
      <c r="AB213" s="3" t="str">
        <f>IF(C_Ope_005[[#This Row],[FECHA]]&gt;0,TEXT(C_Ope_005[[#This Row],[FECHA]],"mmmm"),0)</f>
        <v>Marzo</v>
      </c>
    </row>
    <row r="214" spans="2:28" x14ac:dyDescent="0.3">
      <c r="B214" s="2">
        <f>IF(C_Ope_005[[#This Row],[TIPO DE R.]]="R",COUNTIFS($D$4:$D213,"R")+1,"")</f>
        <v>210</v>
      </c>
      <c r="C214" s="19" t="str">
        <f t="shared" si="19"/>
        <v>C_Ope_005</v>
      </c>
      <c r="D214" s="3" t="s">
        <v>1074</v>
      </c>
      <c r="E214" s="14">
        <v>45743</v>
      </c>
      <c r="F214" s="5" t="s">
        <v>7166</v>
      </c>
      <c r="G214" s="5" t="s">
        <v>1079</v>
      </c>
      <c r="H214" s="6"/>
      <c r="I214" s="6"/>
      <c r="J214" s="6" t="s">
        <v>6893</v>
      </c>
      <c r="K214" s="6"/>
      <c r="L214" s="7" t="s">
        <v>7206</v>
      </c>
      <c r="M214" s="8">
        <v>23654</v>
      </c>
      <c r="N214" s="8" t="str">
        <f t="shared" si="20"/>
        <v>PEN</v>
      </c>
      <c r="O214" s="13"/>
      <c r="P214" s="13">
        <v>24</v>
      </c>
      <c r="Q214" s="3">
        <f t="shared" si="16"/>
        <v>0</v>
      </c>
      <c r="R214" s="3">
        <f t="shared" si="17"/>
        <v>24</v>
      </c>
      <c r="S214" s="3">
        <f t="shared" si="18"/>
        <v>319.59999999999957</v>
      </c>
      <c r="T214" s="24"/>
      <c r="U214" s="24"/>
      <c r="V214" s="3"/>
      <c r="W214" s="25" t="s">
        <v>6546</v>
      </c>
      <c r="X214" s="25"/>
      <c r="Y214" s="25" t="str">
        <f>IFERROR(VLOOKUP(C_Ope_005[[#This Row],[NOTA 2]],Clientes_Proveedores[[Ruc / Dni]:[Razon Social]],2,0),"")</f>
        <v/>
      </c>
      <c r="Z214" s="25"/>
      <c r="AA214" s="25"/>
      <c r="AB214" s="3" t="str">
        <f>IF(C_Ope_005[[#This Row],[FECHA]]&gt;0,TEXT(C_Ope_005[[#This Row],[FECHA]],"mmmm"),0)</f>
        <v>Marzo</v>
      </c>
    </row>
    <row r="215" spans="2:28" x14ac:dyDescent="0.3">
      <c r="B215" s="2">
        <f>IF(C_Ope_005[[#This Row],[TIPO DE R.]]="R",COUNTIFS($D$4:$D214,"R")+1,"")</f>
        <v>211</v>
      </c>
      <c r="C215" s="19" t="str">
        <f t="shared" si="19"/>
        <v>C_Ope_005</v>
      </c>
      <c r="D215" s="3" t="s">
        <v>1074</v>
      </c>
      <c r="E215" s="14">
        <v>45743</v>
      </c>
      <c r="F215" s="5" t="s">
        <v>7166</v>
      </c>
      <c r="G215" s="5" t="s">
        <v>1079</v>
      </c>
      <c r="H215" s="6"/>
      <c r="I215" s="6"/>
      <c r="J215" s="6" t="s">
        <v>6893</v>
      </c>
      <c r="K215" s="6"/>
      <c r="L215" s="7" t="s">
        <v>7207</v>
      </c>
      <c r="M215" s="8">
        <v>23655</v>
      </c>
      <c r="N215" s="8" t="str">
        <f t="shared" si="20"/>
        <v>PEN</v>
      </c>
      <c r="O215" s="13"/>
      <c r="P215" s="13">
        <v>30</v>
      </c>
      <c r="Q215" s="3">
        <f t="shared" si="16"/>
        <v>0</v>
      </c>
      <c r="R215" s="3">
        <f t="shared" si="17"/>
        <v>30</v>
      </c>
      <c r="S215" s="3">
        <f t="shared" si="18"/>
        <v>289.59999999999957</v>
      </c>
      <c r="T215" s="24"/>
      <c r="U215" s="24"/>
      <c r="V215" s="3"/>
      <c r="W215" s="25" t="s">
        <v>6546</v>
      </c>
      <c r="X215" s="25"/>
      <c r="Y215" s="25" t="str">
        <f>IFERROR(VLOOKUP(C_Ope_005[[#This Row],[NOTA 2]],Clientes_Proveedores[[Ruc / Dni]:[Razon Social]],2,0),"")</f>
        <v/>
      </c>
      <c r="Z215" s="25"/>
      <c r="AA215" s="25"/>
      <c r="AB215" s="3" t="str">
        <f>IF(C_Ope_005[[#This Row],[FECHA]]&gt;0,TEXT(C_Ope_005[[#This Row],[FECHA]],"mmmm"),0)</f>
        <v>Marzo</v>
      </c>
    </row>
    <row r="216" spans="2:28" x14ac:dyDescent="0.3">
      <c r="B216" s="2">
        <f>IF(C_Ope_005[[#This Row],[TIPO DE R.]]="R",COUNTIFS($D$4:$D215,"R")+1,"")</f>
        <v>212</v>
      </c>
      <c r="C216" s="19" t="str">
        <f t="shared" si="19"/>
        <v>C_Ope_005</v>
      </c>
      <c r="D216" s="3" t="s">
        <v>1074</v>
      </c>
      <c r="E216" s="14">
        <v>45743</v>
      </c>
      <c r="F216" s="5" t="s">
        <v>7166</v>
      </c>
      <c r="G216" s="5" t="s">
        <v>1079</v>
      </c>
      <c r="H216" s="6"/>
      <c r="I216" s="6"/>
      <c r="J216" s="6" t="s">
        <v>6893</v>
      </c>
      <c r="K216" s="6"/>
      <c r="L216" s="7" t="s">
        <v>7271</v>
      </c>
      <c r="M216" s="8">
        <v>23656</v>
      </c>
      <c r="N216" s="8" t="str">
        <f t="shared" si="20"/>
        <v>PEN</v>
      </c>
      <c r="O216" s="13"/>
      <c r="P216" s="13">
        <v>24</v>
      </c>
      <c r="Q216" s="3">
        <f t="shared" si="16"/>
        <v>0</v>
      </c>
      <c r="R216" s="3">
        <f t="shared" si="17"/>
        <v>24</v>
      </c>
      <c r="S216" s="3">
        <f t="shared" si="18"/>
        <v>265.59999999999957</v>
      </c>
      <c r="T216" s="24"/>
      <c r="U216" s="24"/>
      <c r="V216" s="3"/>
      <c r="W216" s="25" t="s">
        <v>6546</v>
      </c>
      <c r="X216" s="25"/>
      <c r="Y216" s="25" t="str">
        <f>IFERROR(VLOOKUP(C_Ope_005[[#This Row],[NOTA 2]],Clientes_Proveedores[[Ruc / Dni]:[Razon Social]],2,0),"")</f>
        <v/>
      </c>
      <c r="Z216" s="25"/>
      <c r="AA216" s="25"/>
      <c r="AB216" s="3" t="str">
        <f>IF(C_Ope_005[[#This Row],[FECHA]]&gt;0,TEXT(C_Ope_005[[#This Row],[FECHA]],"mmmm"),0)</f>
        <v>Marzo</v>
      </c>
    </row>
    <row r="217" spans="2:28" x14ac:dyDescent="0.3">
      <c r="B217" s="2">
        <f>IF(C_Ope_005[[#This Row],[TIPO DE R.]]="R",COUNTIFS($D$4:$D216,"R")+1,"")</f>
        <v>213</v>
      </c>
      <c r="C217" s="19" t="str">
        <f t="shared" si="19"/>
        <v>C_Ope_005</v>
      </c>
      <c r="D217" s="3" t="s">
        <v>1074</v>
      </c>
      <c r="E217" s="14">
        <v>45744</v>
      </c>
      <c r="F217" s="5" t="s">
        <v>7166</v>
      </c>
      <c r="G217" s="5" t="s">
        <v>1079</v>
      </c>
      <c r="H217" s="6"/>
      <c r="I217" s="6" t="s">
        <v>14</v>
      </c>
      <c r="J217" s="6" t="s">
        <v>1119</v>
      </c>
      <c r="K217" s="6">
        <v>17017</v>
      </c>
      <c r="L217" s="7" t="s">
        <v>7272</v>
      </c>
      <c r="M217" s="8">
        <v>23659</v>
      </c>
      <c r="N217" s="8" t="str">
        <f t="shared" si="20"/>
        <v>PEN</v>
      </c>
      <c r="O217" s="13"/>
      <c r="P217" s="13">
        <v>25</v>
      </c>
      <c r="Q217" s="3">
        <f t="shared" si="16"/>
        <v>0</v>
      </c>
      <c r="R217" s="3">
        <f t="shared" si="17"/>
        <v>25</v>
      </c>
      <c r="S217" s="3">
        <f t="shared" si="18"/>
        <v>240.59999999999957</v>
      </c>
      <c r="T217" s="24"/>
      <c r="U217" s="24"/>
      <c r="V217" s="3"/>
      <c r="W217" s="25" t="s">
        <v>6546</v>
      </c>
      <c r="X217" s="25"/>
      <c r="Y217" s="25" t="str">
        <f>IFERROR(VLOOKUP(C_Ope_005[[#This Row],[NOTA 2]],Clientes_Proveedores[[Ruc / Dni]:[Razon Social]],2,0),"")</f>
        <v/>
      </c>
      <c r="Z217" s="25"/>
      <c r="AA217" s="25"/>
      <c r="AB217" s="3" t="str">
        <f>IF(C_Ope_005[[#This Row],[FECHA]]&gt;0,TEXT(C_Ope_005[[#This Row],[FECHA]],"mmmm"),0)</f>
        <v>Marzo</v>
      </c>
    </row>
    <row r="218" spans="2:28" ht="24" x14ac:dyDescent="0.3">
      <c r="B218" s="2">
        <f>IF(C_Ope_005[[#This Row],[TIPO DE R.]]="R",COUNTIFS($D$4:$D217,"R")+1,"")</f>
        <v>214</v>
      </c>
      <c r="C218" s="19" t="str">
        <f t="shared" si="19"/>
        <v>C_Ope_005</v>
      </c>
      <c r="D218" s="3" t="s">
        <v>1074</v>
      </c>
      <c r="E218" s="14">
        <v>45749</v>
      </c>
      <c r="F218" s="5" t="s">
        <v>7166</v>
      </c>
      <c r="G218" s="5" t="s">
        <v>1079</v>
      </c>
      <c r="H218" s="6"/>
      <c r="I218" s="6" t="s">
        <v>14</v>
      </c>
      <c r="J218" s="6" t="s">
        <v>5244</v>
      </c>
      <c r="K218" s="6">
        <v>1695685</v>
      </c>
      <c r="L218" s="7" t="s">
        <v>6637</v>
      </c>
      <c r="M218" s="8">
        <v>23728</v>
      </c>
      <c r="N218" s="8" t="str">
        <f t="shared" si="20"/>
        <v>PEN</v>
      </c>
      <c r="O218" s="13"/>
      <c r="P218" s="13">
        <v>8</v>
      </c>
      <c r="Q218" s="3">
        <f t="shared" si="16"/>
        <v>0</v>
      </c>
      <c r="R218" s="3">
        <f t="shared" si="17"/>
        <v>8</v>
      </c>
      <c r="S218" s="3">
        <f t="shared" si="18"/>
        <v>232.59999999999957</v>
      </c>
      <c r="T218" s="24"/>
      <c r="U218" s="24"/>
      <c r="V218" s="3"/>
      <c r="W218" s="25" t="s">
        <v>6546</v>
      </c>
      <c r="X218" s="25"/>
      <c r="Y218" s="25" t="str">
        <f>IFERROR(VLOOKUP(C_Ope_005[[#This Row],[NOTA 2]],Clientes_Proveedores[[Ruc / Dni]:[Razon Social]],2,0),"")</f>
        <v/>
      </c>
      <c r="Z218" s="25"/>
      <c r="AA218" s="25"/>
      <c r="AB218" s="3" t="str">
        <f>IF(C_Ope_005[[#This Row],[FECHA]]&gt;0,TEXT(C_Ope_005[[#This Row],[FECHA]],"mmmm"),0)</f>
        <v>Abril</v>
      </c>
    </row>
    <row r="219" spans="2:28" ht="24" x14ac:dyDescent="0.3">
      <c r="B219" s="2">
        <f>IF(C_Ope_005[[#This Row],[TIPO DE R.]]="R",COUNTIFS($D$4:$D218,"R")+1,"")</f>
        <v>215</v>
      </c>
      <c r="C219" s="19" t="str">
        <f t="shared" si="19"/>
        <v>C_Ope_005</v>
      </c>
      <c r="D219" s="3" t="s">
        <v>1074</v>
      </c>
      <c r="E219" s="14">
        <v>45749</v>
      </c>
      <c r="F219" s="5" t="s">
        <v>7166</v>
      </c>
      <c r="G219" s="5" t="s">
        <v>1079</v>
      </c>
      <c r="H219" s="6"/>
      <c r="I219" s="6" t="s">
        <v>14</v>
      </c>
      <c r="J219" s="6" t="s">
        <v>5245</v>
      </c>
      <c r="K219" s="6">
        <v>1715367</v>
      </c>
      <c r="L219" s="7" t="s">
        <v>6637</v>
      </c>
      <c r="M219" s="8">
        <v>23729</v>
      </c>
      <c r="N219" s="8" t="str">
        <f t="shared" si="20"/>
        <v>PEN</v>
      </c>
      <c r="O219" s="13"/>
      <c r="P219" s="13">
        <v>8</v>
      </c>
      <c r="Q219" s="3">
        <f t="shared" si="16"/>
        <v>0</v>
      </c>
      <c r="R219" s="3">
        <f t="shared" si="17"/>
        <v>8</v>
      </c>
      <c r="S219" s="3">
        <f t="shared" si="18"/>
        <v>224.59999999999957</v>
      </c>
      <c r="T219" s="24"/>
      <c r="U219" s="24"/>
      <c r="V219" s="3"/>
      <c r="W219" s="25" t="s">
        <v>6546</v>
      </c>
      <c r="X219" s="25"/>
      <c r="Y219" s="25" t="str">
        <f>IFERROR(VLOOKUP(C_Ope_005[[#This Row],[NOTA 2]],Clientes_Proveedores[[Ruc / Dni]:[Razon Social]],2,0),"")</f>
        <v/>
      </c>
      <c r="Z219" s="25"/>
      <c r="AA219" s="25"/>
      <c r="AB219" s="3" t="str">
        <f>IF(C_Ope_005[[#This Row],[FECHA]]&gt;0,TEXT(C_Ope_005[[#This Row],[FECHA]],"mmmm"),0)</f>
        <v>Abril</v>
      </c>
    </row>
    <row r="220" spans="2:28" x14ac:dyDescent="0.3">
      <c r="B220" s="2">
        <f>IF(C_Ope_005[[#This Row],[TIPO DE R.]]="R",COUNTIFS($D$4:$D219,"R")+1,"")</f>
        <v>216</v>
      </c>
      <c r="C220" s="19" t="str">
        <f t="shared" si="19"/>
        <v>C_Ope_005</v>
      </c>
      <c r="D220" s="3" t="s">
        <v>1074</v>
      </c>
      <c r="E220" s="14">
        <v>45751</v>
      </c>
      <c r="F220" s="5" t="s">
        <v>7166</v>
      </c>
      <c r="G220" s="5" t="s">
        <v>1079</v>
      </c>
      <c r="H220" s="6"/>
      <c r="I220" s="6" t="s">
        <v>14</v>
      </c>
      <c r="J220" s="6" t="s">
        <v>5242</v>
      </c>
      <c r="K220" s="6">
        <v>2011190</v>
      </c>
      <c r="L220" s="7" t="s">
        <v>7273</v>
      </c>
      <c r="M220" s="8">
        <v>23750</v>
      </c>
      <c r="N220" s="8" t="str">
        <f t="shared" si="20"/>
        <v>PEN</v>
      </c>
      <c r="O220" s="13"/>
      <c r="P220" s="13">
        <v>8</v>
      </c>
      <c r="Q220" s="3">
        <f t="shared" si="16"/>
        <v>0</v>
      </c>
      <c r="R220" s="3">
        <f t="shared" si="17"/>
        <v>8</v>
      </c>
      <c r="S220" s="3">
        <f t="shared" si="18"/>
        <v>216.59999999999957</v>
      </c>
      <c r="T220" s="24"/>
      <c r="U220" s="24"/>
      <c r="V220" s="3"/>
      <c r="W220" s="25" t="s">
        <v>6546</v>
      </c>
      <c r="X220" s="25"/>
      <c r="Y220" s="25" t="str">
        <f>IFERROR(VLOOKUP(C_Ope_005[[#This Row],[NOTA 2]],Clientes_Proveedores[[Ruc / Dni]:[Razon Social]],2,0),"")</f>
        <v/>
      </c>
      <c r="Z220" s="25"/>
      <c r="AA220" s="25"/>
      <c r="AB220" s="3" t="str">
        <f>IF(C_Ope_005[[#This Row],[FECHA]]&gt;0,TEXT(C_Ope_005[[#This Row],[FECHA]],"mmmm"),0)</f>
        <v>Abril</v>
      </c>
    </row>
    <row r="221" spans="2:28" x14ac:dyDescent="0.3">
      <c r="B221" s="2">
        <f>IF(C_Ope_005[[#This Row],[TIPO DE R.]]="R",COUNTIFS($D$4:$D220,"R")+1,"")</f>
        <v>217</v>
      </c>
      <c r="C221" s="19" t="str">
        <f t="shared" si="19"/>
        <v>C_Ope_005</v>
      </c>
      <c r="D221" s="3" t="s">
        <v>1074</v>
      </c>
      <c r="E221" s="14">
        <v>45751</v>
      </c>
      <c r="F221" s="5" t="s">
        <v>7166</v>
      </c>
      <c r="G221" s="5" t="s">
        <v>1079</v>
      </c>
      <c r="H221" s="6"/>
      <c r="I221" s="6" t="s">
        <v>14</v>
      </c>
      <c r="J221" s="6" t="s">
        <v>5243</v>
      </c>
      <c r="K221" s="6">
        <v>2288160</v>
      </c>
      <c r="L221" s="7" t="s">
        <v>7273</v>
      </c>
      <c r="M221" s="8">
        <v>23751</v>
      </c>
      <c r="N221" s="8" t="str">
        <f t="shared" si="20"/>
        <v>PEN</v>
      </c>
      <c r="O221" s="13"/>
      <c r="P221" s="13">
        <v>8</v>
      </c>
      <c r="Q221" s="3">
        <f t="shared" si="16"/>
        <v>0</v>
      </c>
      <c r="R221" s="3">
        <f t="shared" si="17"/>
        <v>8</v>
      </c>
      <c r="S221" s="3">
        <f t="shared" si="18"/>
        <v>208.59999999999957</v>
      </c>
      <c r="T221" s="24"/>
      <c r="U221" s="24"/>
      <c r="V221" s="3"/>
      <c r="W221" s="25" t="s">
        <v>6546</v>
      </c>
      <c r="X221" s="25"/>
      <c r="Y221" s="25" t="str">
        <f>IFERROR(VLOOKUP(C_Ope_005[[#This Row],[NOTA 2]],Clientes_Proveedores[[Ruc / Dni]:[Razon Social]],2,0),"")</f>
        <v/>
      </c>
      <c r="Z221" s="25"/>
      <c r="AA221" s="25"/>
      <c r="AB221" s="3" t="str">
        <f>IF(C_Ope_005[[#This Row],[FECHA]]&gt;0,TEXT(C_Ope_005[[#This Row],[FECHA]],"mmmm"),0)</f>
        <v>Abril</v>
      </c>
    </row>
    <row r="222" spans="2:28" x14ac:dyDescent="0.3">
      <c r="B222" s="2">
        <f>IF(C_Ope_005[[#This Row],[TIPO DE R.]]="R",COUNTIFS($D$4:$D221,"R")+1,"")</f>
        <v>218</v>
      </c>
      <c r="C222" s="19" t="str">
        <f t="shared" si="19"/>
        <v>C_Ope_005</v>
      </c>
      <c r="D222" s="3" t="s">
        <v>1074</v>
      </c>
      <c r="E222" s="14">
        <v>45749</v>
      </c>
      <c r="F222" s="5" t="s">
        <v>7166</v>
      </c>
      <c r="G222" s="5" t="s">
        <v>1079</v>
      </c>
      <c r="H222" s="6"/>
      <c r="I222" s="6" t="s">
        <v>14</v>
      </c>
      <c r="J222" s="6" t="s">
        <v>1088</v>
      </c>
      <c r="K222" s="6">
        <v>34248</v>
      </c>
      <c r="L222" s="7" t="s">
        <v>7256</v>
      </c>
      <c r="M222" s="8">
        <v>23730</v>
      </c>
      <c r="N222" s="8" t="str">
        <f t="shared" si="20"/>
        <v>PEN</v>
      </c>
      <c r="O222" s="13"/>
      <c r="P222" s="13">
        <v>10</v>
      </c>
      <c r="Q222" s="3">
        <f t="shared" si="16"/>
        <v>0</v>
      </c>
      <c r="R222" s="3">
        <f t="shared" si="17"/>
        <v>10</v>
      </c>
      <c r="S222" s="3">
        <f t="shared" si="18"/>
        <v>198.59999999999957</v>
      </c>
      <c r="T222" s="24"/>
      <c r="U222" s="24"/>
      <c r="V222" s="3"/>
      <c r="W222" s="25" t="s">
        <v>6546</v>
      </c>
      <c r="X222" s="25"/>
      <c r="Y222" s="25" t="str">
        <f>IFERROR(VLOOKUP(C_Ope_005[[#This Row],[NOTA 2]],Clientes_Proveedores[[Ruc / Dni]:[Razon Social]],2,0),"")</f>
        <v/>
      </c>
      <c r="Z222" s="25"/>
      <c r="AA222" s="25"/>
      <c r="AB222" s="3" t="str">
        <f>IF(C_Ope_005[[#This Row],[FECHA]]&gt;0,TEXT(C_Ope_005[[#This Row],[FECHA]],"mmmm"),0)</f>
        <v>Abril</v>
      </c>
    </row>
    <row r="223" spans="2:28" x14ac:dyDescent="0.3">
      <c r="B223" s="2">
        <f>IF(C_Ope_005[[#This Row],[TIPO DE R.]]="R",COUNTIFS($D$4:$D222,"R")+1,"")</f>
        <v>219</v>
      </c>
      <c r="C223" s="19" t="str">
        <f t="shared" si="19"/>
        <v>C_Ope_005</v>
      </c>
      <c r="D223" s="3" t="s">
        <v>1074</v>
      </c>
      <c r="E223" s="14">
        <v>45751</v>
      </c>
      <c r="F223" s="5" t="s">
        <v>7166</v>
      </c>
      <c r="G223" s="5" t="s">
        <v>1079</v>
      </c>
      <c r="H223" s="6"/>
      <c r="I223" s="6" t="s">
        <v>14</v>
      </c>
      <c r="J223" s="6" t="s">
        <v>1088</v>
      </c>
      <c r="K223" s="6">
        <v>34269</v>
      </c>
      <c r="L223" s="7" t="s">
        <v>7256</v>
      </c>
      <c r="M223" s="8">
        <v>23752</v>
      </c>
      <c r="N223" s="8" t="str">
        <f t="shared" si="20"/>
        <v>PEN</v>
      </c>
      <c r="O223" s="13"/>
      <c r="P223" s="13">
        <v>10</v>
      </c>
      <c r="Q223" s="3">
        <f t="shared" si="16"/>
        <v>0</v>
      </c>
      <c r="R223" s="3">
        <f t="shared" si="17"/>
        <v>10</v>
      </c>
      <c r="S223" s="3">
        <f t="shared" si="18"/>
        <v>188.59999999999957</v>
      </c>
      <c r="T223" s="24"/>
      <c r="U223" s="24"/>
      <c r="V223" s="3"/>
      <c r="W223" s="25" t="s">
        <v>6546</v>
      </c>
      <c r="X223" s="25"/>
      <c r="Y223" s="25" t="str">
        <f>IFERROR(VLOOKUP(C_Ope_005[[#This Row],[NOTA 2]],Clientes_Proveedores[[Ruc / Dni]:[Razon Social]],2,0),"")</f>
        <v/>
      </c>
      <c r="Z223" s="25"/>
      <c r="AA223" s="25"/>
      <c r="AB223" s="3" t="str">
        <f>IF(C_Ope_005[[#This Row],[FECHA]]&gt;0,TEXT(C_Ope_005[[#This Row],[FECHA]],"mmmm"),0)</f>
        <v>Abril</v>
      </c>
    </row>
    <row r="224" spans="2:28" x14ac:dyDescent="0.3">
      <c r="B224" s="2">
        <f>IF(C_Ope_005[[#This Row],[TIPO DE R.]]="R",COUNTIFS($D$4:$D223,"R")+1,"")</f>
        <v>220</v>
      </c>
      <c r="C224" s="19" t="str">
        <f t="shared" si="19"/>
        <v>C_Ope_005</v>
      </c>
      <c r="D224" s="3" t="s">
        <v>1074</v>
      </c>
      <c r="E224" s="14">
        <v>45755</v>
      </c>
      <c r="F224" s="5" t="s">
        <v>6299</v>
      </c>
      <c r="G224" s="5" t="s">
        <v>1087</v>
      </c>
      <c r="H224" s="6"/>
      <c r="I224" s="6"/>
      <c r="J224" s="6"/>
      <c r="K224" s="6"/>
      <c r="L224" s="7" t="s">
        <v>6302</v>
      </c>
      <c r="M224" s="8">
        <v>23775</v>
      </c>
      <c r="N224" s="8" t="str">
        <f t="shared" si="20"/>
        <v>PEN</v>
      </c>
      <c r="O224" s="13"/>
      <c r="P224" s="13">
        <v>20</v>
      </c>
      <c r="Q224" s="3">
        <f t="shared" si="16"/>
        <v>20</v>
      </c>
      <c r="R224" s="3">
        <f t="shared" si="17"/>
        <v>0</v>
      </c>
      <c r="S224" s="3">
        <f t="shared" si="18"/>
        <v>208.59999999999957</v>
      </c>
      <c r="T224" s="24"/>
      <c r="U224" s="24"/>
      <c r="V224" s="3"/>
      <c r="W224" s="25"/>
      <c r="X224" s="25"/>
      <c r="Y224" s="25" t="str">
        <f>IFERROR(VLOOKUP(C_Ope_005[[#This Row],[NOTA 2]],Clientes_Proveedores[[Ruc / Dni]:[Razon Social]],2,0),"")</f>
        <v/>
      </c>
      <c r="Z224" s="25"/>
      <c r="AA224" s="25">
        <f>ROUND(C_Ope_005[[#This Row],[MONTO ]]/1.18,3)</f>
        <v>16.949000000000002</v>
      </c>
      <c r="AB224" s="3" t="str">
        <f>IF(C_Ope_005[[#This Row],[FECHA]]&gt;0,TEXT(C_Ope_005[[#This Row],[FECHA]],"mmmm"),0)</f>
        <v>Abril</v>
      </c>
    </row>
    <row r="225" spans="2:28" x14ac:dyDescent="0.3">
      <c r="B225" s="2">
        <f>IF(C_Ope_005[[#This Row],[TIPO DE R.]]="R",COUNTIFS($D$4:$D224,"R")+1,"")</f>
        <v>221</v>
      </c>
      <c r="C225" s="19" t="str">
        <f t="shared" si="19"/>
        <v>C_Ope_005</v>
      </c>
      <c r="D225" s="3" t="s">
        <v>1074</v>
      </c>
      <c r="E225" s="14">
        <v>45756</v>
      </c>
      <c r="F225" s="5" t="s">
        <v>6299</v>
      </c>
      <c r="G225" s="5" t="s">
        <v>1087</v>
      </c>
      <c r="H225" s="6"/>
      <c r="I225" s="6"/>
      <c r="J225" s="6"/>
      <c r="K225" s="6"/>
      <c r="L225" s="7" t="s">
        <v>7196</v>
      </c>
      <c r="M225" s="8">
        <v>23798</v>
      </c>
      <c r="N225" s="8" t="str">
        <f t="shared" si="20"/>
        <v>PEN</v>
      </c>
      <c r="O225" s="13"/>
      <c r="P225" s="13">
        <v>300</v>
      </c>
      <c r="Q225" s="3">
        <f t="shared" si="16"/>
        <v>300</v>
      </c>
      <c r="R225" s="3">
        <f t="shared" si="17"/>
        <v>0</v>
      </c>
      <c r="S225" s="3">
        <f t="shared" si="18"/>
        <v>508.59999999999957</v>
      </c>
      <c r="T225" s="24"/>
      <c r="U225" s="24"/>
      <c r="V225" s="3"/>
      <c r="W225" s="25"/>
      <c r="X225" s="25"/>
      <c r="Y225" s="25" t="str">
        <f>IFERROR(VLOOKUP(C_Ope_005[[#This Row],[NOTA 2]],Clientes_Proveedores[[Ruc / Dni]:[Razon Social]],2,0),"")</f>
        <v/>
      </c>
      <c r="Z225" s="25"/>
      <c r="AA225" s="25">
        <f>ROUND(C_Ope_005[[#This Row],[MONTO ]]/1.18,3)</f>
        <v>254.23699999999999</v>
      </c>
      <c r="AB225" s="3" t="str">
        <f>IF(C_Ope_005[[#This Row],[FECHA]]&gt;0,TEXT(C_Ope_005[[#This Row],[FECHA]],"mmmm"),0)</f>
        <v>Abril</v>
      </c>
    </row>
    <row r="226" spans="2:28" ht="24" x14ac:dyDescent="0.3">
      <c r="B226" s="2">
        <f>IF(C_Ope_005[[#This Row],[TIPO DE R.]]="R",COUNTIFS($D$4:$D225,"R")+1,"")</f>
        <v>222</v>
      </c>
      <c r="C226" s="19" t="str">
        <f t="shared" si="19"/>
        <v>C_Ope_005</v>
      </c>
      <c r="D226" s="3" t="s">
        <v>1074</v>
      </c>
      <c r="E226" s="14">
        <v>45754</v>
      </c>
      <c r="F226" s="5" t="s">
        <v>7166</v>
      </c>
      <c r="G226" s="5" t="s">
        <v>1079</v>
      </c>
      <c r="H226" s="6"/>
      <c r="I226" s="6" t="s">
        <v>14</v>
      </c>
      <c r="J226" s="6" t="s">
        <v>5243</v>
      </c>
      <c r="K226" s="6">
        <v>2291085</v>
      </c>
      <c r="L226" s="7" t="s">
        <v>7274</v>
      </c>
      <c r="M226" s="8">
        <v>23778</v>
      </c>
      <c r="N226" s="8" t="str">
        <f t="shared" si="20"/>
        <v>PEN</v>
      </c>
      <c r="O226" s="13"/>
      <c r="P226" s="13">
        <v>5</v>
      </c>
      <c r="Q226" s="3">
        <f t="shared" si="16"/>
        <v>0</v>
      </c>
      <c r="R226" s="3">
        <f t="shared" si="17"/>
        <v>5</v>
      </c>
      <c r="S226" s="3">
        <f t="shared" si="18"/>
        <v>503.59999999999957</v>
      </c>
      <c r="T226" s="24"/>
      <c r="U226" s="24"/>
      <c r="V226" s="3"/>
      <c r="W226" s="25" t="s">
        <v>6541</v>
      </c>
      <c r="X226" s="25"/>
      <c r="Y226" s="25" t="str">
        <f>IFERROR(VLOOKUP(C_Ope_005[[#This Row],[NOTA 2]],Clientes_Proveedores[[Ruc / Dni]:[Razon Social]],2,0),"")</f>
        <v/>
      </c>
      <c r="Z226" s="25"/>
      <c r="AA226" s="25"/>
      <c r="AB226" s="3" t="str">
        <f>IF(C_Ope_005[[#This Row],[FECHA]]&gt;0,TEXT(C_Ope_005[[#This Row],[FECHA]],"mmmm"),0)</f>
        <v>Abril</v>
      </c>
    </row>
    <row r="227" spans="2:28" ht="24" x14ac:dyDescent="0.3">
      <c r="B227" s="2">
        <f>IF(C_Ope_005[[#This Row],[TIPO DE R.]]="R",COUNTIFS($D$4:$D226,"R")+1,"")</f>
        <v>223</v>
      </c>
      <c r="C227" s="19" t="str">
        <f t="shared" si="19"/>
        <v>C_Ope_005</v>
      </c>
      <c r="D227" s="3" t="s">
        <v>1074</v>
      </c>
      <c r="E227" s="14">
        <v>45754</v>
      </c>
      <c r="F227" s="5" t="s">
        <v>7166</v>
      </c>
      <c r="G227" s="5" t="s">
        <v>1079</v>
      </c>
      <c r="H227" s="6"/>
      <c r="I227" s="6" t="s">
        <v>14</v>
      </c>
      <c r="J227" s="6" t="s">
        <v>5245</v>
      </c>
      <c r="K227" s="6">
        <v>1719508</v>
      </c>
      <c r="L227" s="7" t="s">
        <v>7274</v>
      </c>
      <c r="M227" s="8">
        <v>23779</v>
      </c>
      <c r="N227" s="8" t="str">
        <f t="shared" si="20"/>
        <v>PEN</v>
      </c>
      <c r="O227" s="13"/>
      <c r="P227" s="13">
        <v>5</v>
      </c>
      <c r="Q227" s="3">
        <f t="shared" si="16"/>
        <v>0</v>
      </c>
      <c r="R227" s="3">
        <f t="shared" si="17"/>
        <v>5</v>
      </c>
      <c r="S227" s="3">
        <f t="shared" si="18"/>
        <v>498.59999999999957</v>
      </c>
      <c r="T227" s="24"/>
      <c r="U227" s="24"/>
      <c r="V227" s="3"/>
      <c r="W227" s="25" t="s">
        <v>6541</v>
      </c>
      <c r="X227" s="25"/>
      <c r="Y227" s="25" t="str">
        <f>IFERROR(VLOOKUP(C_Ope_005[[#This Row],[NOTA 2]],Clientes_Proveedores[[Ruc / Dni]:[Razon Social]],2,0),"")</f>
        <v/>
      </c>
      <c r="Z227" s="25"/>
      <c r="AA227" s="25"/>
      <c r="AB227" s="3" t="str">
        <f>IF(C_Ope_005[[#This Row],[FECHA]]&gt;0,TEXT(C_Ope_005[[#This Row],[FECHA]],"mmmm"),0)</f>
        <v>Abril</v>
      </c>
    </row>
    <row r="228" spans="2:28" ht="24" x14ac:dyDescent="0.3">
      <c r="B228" s="2">
        <f>IF(C_Ope_005[[#This Row],[TIPO DE R.]]="R",COUNTIFS($D$4:$D227,"R")+1,"")</f>
        <v>224</v>
      </c>
      <c r="C228" s="19" t="str">
        <f t="shared" si="19"/>
        <v>C_Ope_005</v>
      </c>
      <c r="D228" s="3" t="s">
        <v>1074</v>
      </c>
      <c r="E228" s="14">
        <v>45755</v>
      </c>
      <c r="F228" s="5" t="s">
        <v>7166</v>
      </c>
      <c r="G228" s="5" t="s">
        <v>1079</v>
      </c>
      <c r="H228" s="6"/>
      <c r="I228" s="6" t="s">
        <v>14</v>
      </c>
      <c r="J228" s="6" t="s">
        <v>5244</v>
      </c>
      <c r="K228" s="6">
        <v>1700459</v>
      </c>
      <c r="L228" s="7" t="s">
        <v>7275</v>
      </c>
      <c r="M228" s="8">
        <v>23777</v>
      </c>
      <c r="N228" s="8" t="str">
        <f t="shared" si="20"/>
        <v>PEN</v>
      </c>
      <c r="O228" s="13"/>
      <c r="P228" s="13">
        <v>8</v>
      </c>
      <c r="Q228" s="3">
        <f t="shared" si="16"/>
        <v>0</v>
      </c>
      <c r="R228" s="3">
        <f t="shared" si="17"/>
        <v>8</v>
      </c>
      <c r="S228" s="3">
        <f t="shared" si="18"/>
        <v>490.59999999999957</v>
      </c>
      <c r="T228" s="24"/>
      <c r="U228" s="24"/>
      <c r="V228" s="3"/>
      <c r="W228" s="25" t="s">
        <v>6546</v>
      </c>
      <c r="X228" s="25"/>
      <c r="Y228" s="25" t="str">
        <f>IFERROR(VLOOKUP(C_Ope_005[[#This Row],[NOTA 2]],Clientes_Proveedores[[Ruc / Dni]:[Razon Social]],2,0),"")</f>
        <v/>
      </c>
      <c r="Z228" s="25"/>
      <c r="AA228" s="25"/>
      <c r="AB228" s="3" t="str">
        <f>IF(C_Ope_005[[#This Row],[FECHA]]&gt;0,TEXT(C_Ope_005[[#This Row],[FECHA]],"mmmm"),0)</f>
        <v>Abril</v>
      </c>
    </row>
    <row r="229" spans="2:28" ht="24" x14ac:dyDescent="0.3">
      <c r="B229" s="2">
        <f>IF(C_Ope_005[[#This Row],[TIPO DE R.]]="R",COUNTIFS($D$4:$D228,"R")+1,"")</f>
        <v>225</v>
      </c>
      <c r="C229" s="19" t="str">
        <f t="shared" si="19"/>
        <v>C_Ope_005</v>
      </c>
      <c r="D229" s="3" t="s">
        <v>1074</v>
      </c>
      <c r="E229" s="14">
        <v>45755</v>
      </c>
      <c r="F229" s="5" t="s">
        <v>7166</v>
      </c>
      <c r="G229" s="5" t="s">
        <v>1079</v>
      </c>
      <c r="H229" s="6"/>
      <c r="I229" s="6" t="s">
        <v>14</v>
      </c>
      <c r="J229" s="6" t="s">
        <v>5245</v>
      </c>
      <c r="K229" s="6">
        <v>1720239</v>
      </c>
      <c r="L229" s="7" t="s">
        <v>7275</v>
      </c>
      <c r="M229" s="8">
        <v>23786</v>
      </c>
      <c r="N229" s="8" t="str">
        <f t="shared" si="20"/>
        <v>PEN</v>
      </c>
      <c r="O229" s="13"/>
      <c r="P229" s="13">
        <v>8</v>
      </c>
      <c r="Q229" s="3">
        <f t="shared" si="16"/>
        <v>0</v>
      </c>
      <c r="R229" s="3">
        <f t="shared" si="17"/>
        <v>8</v>
      </c>
      <c r="S229" s="3">
        <f t="shared" si="18"/>
        <v>482.59999999999957</v>
      </c>
      <c r="T229" s="24"/>
      <c r="U229" s="24"/>
      <c r="V229" s="3"/>
      <c r="W229" s="25" t="s">
        <v>6546</v>
      </c>
      <c r="X229" s="25"/>
      <c r="Y229" s="25" t="str">
        <f>IFERROR(VLOOKUP(C_Ope_005[[#This Row],[NOTA 2]],Clientes_Proveedores[[Ruc / Dni]:[Razon Social]],2,0),"")</f>
        <v/>
      </c>
      <c r="Z229" s="25"/>
      <c r="AA229" s="25"/>
      <c r="AB229" s="3" t="str">
        <f>IF(C_Ope_005[[#This Row],[FECHA]]&gt;0,TEXT(C_Ope_005[[#This Row],[FECHA]],"mmmm"),0)</f>
        <v>Abril</v>
      </c>
    </row>
    <row r="230" spans="2:28" ht="24" x14ac:dyDescent="0.3">
      <c r="B230" s="2">
        <f>IF(C_Ope_005[[#This Row],[TIPO DE R.]]="R",COUNTIFS($D$4:$D229,"R")+1,"")</f>
        <v>226</v>
      </c>
      <c r="C230" s="19" t="str">
        <f t="shared" si="19"/>
        <v>C_Ope_005</v>
      </c>
      <c r="D230" s="3" t="s">
        <v>1074</v>
      </c>
      <c r="E230" s="14">
        <v>45757</v>
      </c>
      <c r="F230" s="5" t="s">
        <v>7166</v>
      </c>
      <c r="G230" s="5" t="s">
        <v>1079</v>
      </c>
      <c r="H230" s="6"/>
      <c r="I230" s="6"/>
      <c r="J230" s="6"/>
      <c r="K230" s="6" t="s">
        <v>7276</v>
      </c>
      <c r="L230" s="7" t="s">
        <v>7277</v>
      </c>
      <c r="M230" s="8">
        <v>23812</v>
      </c>
      <c r="N230" s="8" t="str">
        <f t="shared" si="20"/>
        <v>PEN</v>
      </c>
      <c r="O230" s="13"/>
      <c r="P230" s="13">
        <v>13</v>
      </c>
      <c r="Q230" s="3">
        <f t="shared" si="16"/>
        <v>0</v>
      </c>
      <c r="R230" s="3">
        <f t="shared" si="17"/>
        <v>13</v>
      </c>
      <c r="S230" s="3">
        <f t="shared" si="18"/>
        <v>469.59999999999957</v>
      </c>
      <c r="T230" s="24"/>
      <c r="U230" s="24"/>
      <c r="V230" s="3"/>
      <c r="W230" s="25" t="s">
        <v>6546</v>
      </c>
      <c r="X230" s="25"/>
      <c r="Y230" s="25" t="str">
        <f>IFERROR(VLOOKUP(C_Ope_005[[#This Row],[NOTA 2]],Clientes_Proveedores[[Ruc / Dni]:[Razon Social]],2,0),"")</f>
        <v/>
      </c>
      <c r="Z230" s="25"/>
      <c r="AA230" s="25"/>
      <c r="AB230" s="3" t="str">
        <f>IF(C_Ope_005[[#This Row],[FECHA]]&gt;0,TEXT(C_Ope_005[[#This Row],[FECHA]],"mmmm"),0)</f>
        <v>Abril</v>
      </c>
    </row>
    <row r="231" spans="2:28" ht="24" x14ac:dyDescent="0.3">
      <c r="B231" s="2">
        <f>IF(C_Ope_005[[#This Row],[TIPO DE R.]]="R",COUNTIFS($D$4:$D230,"R")+1,"")</f>
        <v>227</v>
      </c>
      <c r="C231" s="19" t="str">
        <f t="shared" si="19"/>
        <v>C_Ope_005</v>
      </c>
      <c r="D231" s="3" t="s">
        <v>1074</v>
      </c>
      <c r="E231" s="14">
        <v>45757</v>
      </c>
      <c r="F231" s="5" t="s">
        <v>7166</v>
      </c>
      <c r="G231" s="5" t="s">
        <v>1079</v>
      </c>
      <c r="H231" s="6"/>
      <c r="I231" s="6" t="s">
        <v>14</v>
      </c>
      <c r="J231" s="6" t="s">
        <v>7183</v>
      </c>
      <c r="K231" s="6">
        <v>1753432</v>
      </c>
      <c r="L231" s="7" t="s">
        <v>7278</v>
      </c>
      <c r="M231" s="8">
        <v>23813</v>
      </c>
      <c r="N231" s="8" t="str">
        <f t="shared" si="20"/>
        <v>PEN</v>
      </c>
      <c r="O231" s="13"/>
      <c r="P231" s="13">
        <v>7.7</v>
      </c>
      <c r="Q231" s="3">
        <f t="shared" si="16"/>
        <v>0</v>
      </c>
      <c r="R231" s="3">
        <f t="shared" si="17"/>
        <v>7.7</v>
      </c>
      <c r="S231" s="3">
        <f t="shared" si="18"/>
        <v>461.89999999999958</v>
      </c>
      <c r="T231" s="24"/>
      <c r="U231" s="24"/>
      <c r="V231" s="3"/>
      <c r="W231" s="25" t="s">
        <v>6546</v>
      </c>
      <c r="X231" s="25"/>
      <c r="Y231" s="25" t="str">
        <f>IFERROR(VLOOKUP(C_Ope_005[[#This Row],[NOTA 2]],Clientes_Proveedores[[Ruc / Dni]:[Razon Social]],2,0),"")</f>
        <v/>
      </c>
      <c r="Z231" s="25"/>
      <c r="AA231" s="25"/>
      <c r="AB231" s="3" t="str">
        <f>IF(C_Ope_005[[#This Row],[FECHA]]&gt;0,TEXT(C_Ope_005[[#This Row],[FECHA]],"mmmm"),0)</f>
        <v>Abril</v>
      </c>
    </row>
    <row r="232" spans="2:28" ht="24" x14ac:dyDescent="0.3">
      <c r="B232" s="2">
        <f>IF(C_Ope_005[[#This Row],[TIPO DE R.]]="R",COUNTIFS($D$4:$D231,"R")+1,"")</f>
        <v>228</v>
      </c>
      <c r="C232" s="19" t="str">
        <f t="shared" si="19"/>
        <v>C_Ope_005</v>
      </c>
      <c r="D232" s="3" t="s">
        <v>1074</v>
      </c>
      <c r="E232" s="14">
        <v>45757</v>
      </c>
      <c r="F232" s="5" t="s">
        <v>7166</v>
      </c>
      <c r="G232" s="5" t="s">
        <v>1079</v>
      </c>
      <c r="H232" s="6"/>
      <c r="I232" s="6" t="s">
        <v>14</v>
      </c>
      <c r="J232" s="6" t="s">
        <v>7185</v>
      </c>
      <c r="K232" s="6">
        <v>1046081</v>
      </c>
      <c r="L232" s="7" t="s">
        <v>7279</v>
      </c>
      <c r="M232" s="8">
        <v>23814</v>
      </c>
      <c r="N232" s="8" t="str">
        <f t="shared" si="20"/>
        <v>PEN</v>
      </c>
      <c r="O232" s="13"/>
      <c r="P232" s="13">
        <v>7.7</v>
      </c>
      <c r="Q232" s="3">
        <f t="shared" si="16"/>
        <v>0</v>
      </c>
      <c r="R232" s="3">
        <f t="shared" si="17"/>
        <v>7.7</v>
      </c>
      <c r="S232" s="3">
        <f t="shared" si="18"/>
        <v>454.19999999999959</v>
      </c>
      <c r="T232" s="24"/>
      <c r="U232" s="24"/>
      <c r="V232" s="3"/>
      <c r="W232" s="25" t="s">
        <v>6546</v>
      </c>
      <c r="X232" s="25"/>
      <c r="Y232" s="25" t="str">
        <f>IFERROR(VLOOKUP(C_Ope_005[[#This Row],[NOTA 2]],Clientes_Proveedores[[Ruc / Dni]:[Razon Social]],2,0),"")</f>
        <v/>
      </c>
      <c r="Z232" s="25"/>
      <c r="AA232" s="25"/>
      <c r="AB232" s="3" t="str">
        <f>IF(C_Ope_005[[#This Row],[FECHA]]&gt;0,TEXT(C_Ope_005[[#This Row],[FECHA]],"mmmm"),0)</f>
        <v>Abril</v>
      </c>
    </row>
    <row r="233" spans="2:28" ht="24" x14ac:dyDescent="0.3">
      <c r="B233" s="2">
        <f>IF(C_Ope_005[[#This Row],[TIPO DE R.]]="R",COUNTIFS($D$4:$D232,"R")+1,"")</f>
        <v>229</v>
      </c>
      <c r="C233" s="19" t="str">
        <f t="shared" si="19"/>
        <v>C_Ope_005</v>
      </c>
      <c r="D233" s="3" t="s">
        <v>1074</v>
      </c>
      <c r="E233" s="14">
        <v>45757</v>
      </c>
      <c r="F233" s="5" t="s">
        <v>7166</v>
      </c>
      <c r="G233" s="5" t="s">
        <v>1079</v>
      </c>
      <c r="H233" s="6"/>
      <c r="I233" s="6" t="s">
        <v>14</v>
      </c>
      <c r="J233" s="6" t="s">
        <v>7187</v>
      </c>
      <c r="K233" s="6">
        <v>1082945</v>
      </c>
      <c r="L233" s="7" t="s">
        <v>7279</v>
      </c>
      <c r="M233" s="8">
        <v>23815</v>
      </c>
      <c r="N233" s="8" t="str">
        <f t="shared" si="20"/>
        <v>PEN</v>
      </c>
      <c r="O233" s="13"/>
      <c r="P233" s="13">
        <v>7.7</v>
      </c>
      <c r="Q233" s="3">
        <f t="shared" si="16"/>
        <v>0</v>
      </c>
      <c r="R233" s="3">
        <f t="shared" si="17"/>
        <v>7.7</v>
      </c>
      <c r="S233" s="3">
        <f t="shared" si="18"/>
        <v>446.4999999999996</v>
      </c>
      <c r="T233" s="24"/>
      <c r="U233" s="24"/>
      <c r="V233" s="3"/>
      <c r="W233" s="25" t="s">
        <v>6546</v>
      </c>
      <c r="X233" s="25"/>
      <c r="Y233" s="25" t="str">
        <f>IFERROR(VLOOKUP(C_Ope_005[[#This Row],[NOTA 2]],Clientes_Proveedores[[Ruc / Dni]:[Razon Social]],2,0),"")</f>
        <v/>
      </c>
      <c r="Z233" s="25"/>
      <c r="AA233" s="25"/>
      <c r="AB233" s="3" t="str">
        <f>IF(C_Ope_005[[#This Row],[FECHA]]&gt;0,TEXT(C_Ope_005[[#This Row],[FECHA]],"mmmm"),0)</f>
        <v>Abril</v>
      </c>
    </row>
    <row r="234" spans="2:28" ht="24" x14ac:dyDescent="0.3">
      <c r="B234" s="2">
        <f>IF(C_Ope_005[[#This Row],[TIPO DE R.]]="R",COUNTIFS($D$4:$D233,"R")+1,"")</f>
        <v>230</v>
      </c>
      <c r="C234" s="19" t="str">
        <f t="shared" si="19"/>
        <v>C_Ope_005</v>
      </c>
      <c r="D234" s="3" t="s">
        <v>1074</v>
      </c>
      <c r="E234" s="14">
        <v>45758</v>
      </c>
      <c r="F234" s="5" t="s">
        <v>7166</v>
      </c>
      <c r="G234" s="5" t="s">
        <v>1079</v>
      </c>
      <c r="H234" s="6"/>
      <c r="I234" s="6" t="s">
        <v>14</v>
      </c>
      <c r="J234" s="6" t="s">
        <v>7188</v>
      </c>
      <c r="K234" s="6">
        <v>1798231</v>
      </c>
      <c r="L234" s="7" t="s">
        <v>7278</v>
      </c>
      <c r="M234" s="8">
        <v>23833</v>
      </c>
      <c r="N234" s="8" t="str">
        <f t="shared" si="20"/>
        <v>PEN</v>
      </c>
      <c r="O234" s="13"/>
      <c r="P234" s="13">
        <v>3.9</v>
      </c>
      <c r="Q234" s="3">
        <f t="shared" si="16"/>
        <v>0</v>
      </c>
      <c r="R234" s="3">
        <f t="shared" si="17"/>
        <v>3.9</v>
      </c>
      <c r="S234" s="3">
        <f t="shared" si="18"/>
        <v>442.59999999999962</v>
      </c>
      <c r="T234" s="24"/>
      <c r="U234" s="24"/>
      <c r="V234" s="3"/>
      <c r="W234" s="25" t="s">
        <v>6546</v>
      </c>
      <c r="X234" s="25"/>
      <c r="Y234" s="25" t="str">
        <f>IFERROR(VLOOKUP(C_Ope_005[[#This Row],[NOTA 2]],Clientes_Proveedores[[Ruc / Dni]:[Razon Social]],2,0),"")</f>
        <v/>
      </c>
      <c r="Z234" s="25"/>
      <c r="AA234" s="25"/>
      <c r="AB234" s="3" t="str">
        <f>IF(C_Ope_005[[#This Row],[FECHA]]&gt;0,TEXT(C_Ope_005[[#This Row],[FECHA]],"mmmm"),0)</f>
        <v>Abril</v>
      </c>
    </row>
    <row r="235" spans="2:28" ht="24" x14ac:dyDescent="0.3">
      <c r="B235" s="2">
        <f>IF(C_Ope_005[[#This Row],[TIPO DE R.]]="R",COUNTIFS($D$4:$D234,"R")+1,"")</f>
        <v>231</v>
      </c>
      <c r="C235" s="19" t="str">
        <f t="shared" si="19"/>
        <v>C_Ope_005</v>
      </c>
      <c r="D235" s="3" t="s">
        <v>1074</v>
      </c>
      <c r="E235" s="14">
        <v>45758</v>
      </c>
      <c r="F235" s="5" t="s">
        <v>7166</v>
      </c>
      <c r="G235" s="5" t="s">
        <v>1079</v>
      </c>
      <c r="H235" s="6"/>
      <c r="I235" s="6" t="s">
        <v>14</v>
      </c>
      <c r="J235" s="6" t="s">
        <v>5244</v>
      </c>
      <c r="K235" s="6">
        <v>1703266</v>
      </c>
      <c r="L235" s="7" t="s">
        <v>6601</v>
      </c>
      <c r="M235" s="8">
        <v>23834</v>
      </c>
      <c r="N235" s="8" t="str">
        <f t="shared" si="20"/>
        <v>PEN</v>
      </c>
      <c r="O235" s="13"/>
      <c r="P235" s="13">
        <v>8</v>
      </c>
      <c r="Q235" s="3">
        <f t="shared" si="16"/>
        <v>0</v>
      </c>
      <c r="R235" s="3">
        <f t="shared" si="17"/>
        <v>8</v>
      </c>
      <c r="S235" s="3">
        <f t="shared" si="18"/>
        <v>434.59999999999962</v>
      </c>
      <c r="T235" s="24"/>
      <c r="U235" s="24"/>
      <c r="V235" s="3"/>
      <c r="W235" s="25" t="s">
        <v>6546</v>
      </c>
      <c r="X235" s="25"/>
      <c r="Y235" s="25" t="str">
        <f>IFERROR(VLOOKUP(C_Ope_005[[#This Row],[NOTA 2]],Clientes_Proveedores[[Ruc / Dni]:[Razon Social]],2,0),"")</f>
        <v/>
      </c>
      <c r="Z235" s="25"/>
      <c r="AA235" s="25"/>
      <c r="AB235" s="3" t="str">
        <f>IF(C_Ope_005[[#This Row],[FECHA]]&gt;0,TEXT(C_Ope_005[[#This Row],[FECHA]],"mmmm"),0)</f>
        <v>Abril</v>
      </c>
    </row>
    <row r="236" spans="2:28" ht="24" x14ac:dyDescent="0.3">
      <c r="B236" s="2">
        <f>IF(C_Ope_005[[#This Row],[TIPO DE R.]]="R",COUNTIFS($D$4:$D235,"R")+1,"")</f>
        <v>232</v>
      </c>
      <c r="C236" s="19" t="str">
        <f t="shared" si="19"/>
        <v>C_Ope_005</v>
      </c>
      <c r="D236" s="3" t="s">
        <v>1074</v>
      </c>
      <c r="E236" s="14">
        <v>45758</v>
      </c>
      <c r="F236" s="5" t="s">
        <v>7166</v>
      </c>
      <c r="G236" s="5" t="s">
        <v>1079</v>
      </c>
      <c r="H236" s="6"/>
      <c r="I236" s="6" t="s">
        <v>14</v>
      </c>
      <c r="J236" s="6" t="s">
        <v>5242</v>
      </c>
      <c r="K236" s="6">
        <v>2018081</v>
      </c>
      <c r="L236" s="7" t="s">
        <v>6601</v>
      </c>
      <c r="M236" s="8">
        <v>23835</v>
      </c>
      <c r="N236" s="8" t="str">
        <f t="shared" si="20"/>
        <v>PEN</v>
      </c>
      <c r="O236" s="13"/>
      <c r="P236" s="13">
        <v>8</v>
      </c>
      <c r="Q236" s="3">
        <f t="shared" si="16"/>
        <v>0</v>
      </c>
      <c r="R236" s="3">
        <f t="shared" si="17"/>
        <v>8</v>
      </c>
      <c r="S236" s="3">
        <f t="shared" si="18"/>
        <v>426.59999999999962</v>
      </c>
      <c r="T236" s="24"/>
      <c r="U236" s="24"/>
      <c r="V236" s="3"/>
      <c r="W236" s="25" t="s">
        <v>6546</v>
      </c>
      <c r="X236" s="25"/>
      <c r="Y236" s="25" t="str">
        <f>IFERROR(VLOOKUP(C_Ope_005[[#This Row],[NOTA 2]],Clientes_Proveedores[[Ruc / Dni]:[Razon Social]],2,0),"")</f>
        <v/>
      </c>
      <c r="Z236" s="25"/>
      <c r="AA236" s="25"/>
      <c r="AB236" s="3" t="str">
        <f>IF(C_Ope_005[[#This Row],[FECHA]]&gt;0,TEXT(C_Ope_005[[#This Row],[FECHA]],"mmmm"),0)</f>
        <v>Abril</v>
      </c>
    </row>
    <row r="237" spans="2:28" x14ac:dyDescent="0.3">
      <c r="B237" s="2">
        <f>IF(C_Ope_005[[#This Row],[TIPO DE R.]]="R",COUNTIFS($D$4:$D236,"R")+1,"")</f>
        <v>233</v>
      </c>
      <c r="C237" s="19" t="str">
        <f t="shared" si="19"/>
        <v>C_Ope_005</v>
      </c>
      <c r="D237" s="3" t="s">
        <v>1074</v>
      </c>
      <c r="E237" s="14">
        <v>45755</v>
      </c>
      <c r="F237" s="5" t="s">
        <v>7166</v>
      </c>
      <c r="G237" s="5" t="s">
        <v>1079</v>
      </c>
      <c r="H237" s="6"/>
      <c r="I237" s="6" t="s">
        <v>14</v>
      </c>
      <c r="J237" s="6" t="s">
        <v>1097</v>
      </c>
      <c r="K237" s="6">
        <v>16073</v>
      </c>
      <c r="L237" s="7" t="s">
        <v>7280</v>
      </c>
      <c r="M237" s="8">
        <v>23776</v>
      </c>
      <c r="N237" s="8" t="str">
        <f t="shared" si="20"/>
        <v>PEN</v>
      </c>
      <c r="O237" s="13"/>
      <c r="P237" s="13">
        <v>20</v>
      </c>
      <c r="Q237" s="3">
        <f t="shared" si="16"/>
        <v>0</v>
      </c>
      <c r="R237" s="3">
        <f t="shared" si="17"/>
        <v>20</v>
      </c>
      <c r="S237" s="3">
        <f t="shared" si="18"/>
        <v>406.59999999999962</v>
      </c>
      <c r="T237" s="24"/>
      <c r="U237" s="24"/>
      <c r="V237" s="3"/>
      <c r="W237" s="25" t="s">
        <v>6546</v>
      </c>
      <c r="X237" s="25"/>
      <c r="Y237" s="25" t="str">
        <f>IFERROR(VLOOKUP(C_Ope_005[[#This Row],[NOTA 2]],Clientes_Proveedores[[Ruc / Dni]:[Razon Social]],2,0),"")</f>
        <v/>
      </c>
      <c r="Z237" s="25"/>
      <c r="AA237" s="25"/>
      <c r="AB237" s="3" t="str">
        <f>IF(C_Ope_005[[#This Row],[FECHA]]&gt;0,TEXT(C_Ope_005[[#This Row],[FECHA]],"mmmm"),0)</f>
        <v>Abril</v>
      </c>
    </row>
    <row r="238" spans="2:28" x14ac:dyDescent="0.3">
      <c r="B238" s="2">
        <f>IF(C_Ope_005[[#This Row],[TIPO DE R.]]="R",COUNTIFS($D$4:$D237,"R")+1,"")</f>
        <v>234</v>
      </c>
      <c r="C238" s="19" t="str">
        <f t="shared" si="19"/>
        <v>C_Ope_005</v>
      </c>
      <c r="D238" s="3" t="s">
        <v>1074</v>
      </c>
      <c r="E238" s="14">
        <v>45755</v>
      </c>
      <c r="F238" s="5" t="s">
        <v>7166</v>
      </c>
      <c r="G238" s="5" t="s">
        <v>1079</v>
      </c>
      <c r="H238" s="6"/>
      <c r="I238" s="6" t="s">
        <v>14</v>
      </c>
      <c r="J238" s="6" t="s">
        <v>1097</v>
      </c>
      <c r="K238" s="6">
        <v>16076</v>
      </c>
      <c r="L238" s="7" t="s">
        <v>7281</v>
      </c>
      <c r="M238" s="8">
        <v>23787</v>
      </c>
      <c r="N238" s="8" t="str">
        <f t="shared" si="20"/>
        <v>PEN</v>
      </c>
      <c r="O238" s="13"/>
      <c r="P238" s="13">
        <v>20</v>
      </c>
      <c r="Q238" s="3">
        <f t="shared" si="16"/>
        <v>0</v>
      </c>
      <c r="R238" s="3">
        <f t="shared" si="17"/>
        <v>20</v>
      </c>
      <c r="S238" s="3">
        <f t="shared" si="18"/>
        <v>386.59999999999962</v>
      </c>
      <c r="T238" s="24"/>
      <c r="U238" s="24"/>
      <c r="V238" s="3"/>
      <c r="W238" s="25" t="s">
        <v>6546</v>
      </c>
      <c r="X238" s="25"/>
      <c r="Y238" s="25" t="str">
        <f>IFERROR(VLOOKUP(C_Ope_005[[#This Row],[NOTA 2]],Clientes_Proveedores[[Ruc / Dni]:[Razon Social]],2,0),"")</f>
        <v/>
      </c>
      <c r="Z238" s="25"/>
      <c r="AA238" s="25"/>
      <c r="AB238" s="3" t="str">
        <f>IF(C_Ope_005[[#This Row],[FECHA]]&gt;0,TEXT(C_Ope_005[[#This Row],[FECHA]],"mmmm"),0)</f>
        <v>Abril</v>
      </c>
    </row>
    <row r="239" spans="2:28" ht="24" x14ac:dyDescent="0.3">
      <c r="B239" s="2">
        <f>IF(C_Ope_005[[#This Row],[TIPO DE R.]]="R",COUNTIFS($D$4:$D238,"R")+1,"")</f>
        <v>235</v>
      </c>
      <c r="C239" s="19" t="str">
        <f t="shared" si="19"/>
        <v>C_Ope_005</v>
      </c>
      <c r="D239" s="3" t="s">
        <v>1074</v>
      </c>
      <c r="E239" s="14">
        <v>45758</v>
      </c>
      <c r="F239" s="5" t="s">
        <v>7166</v>
      </c>
      <c r="G239" s="5" t="s">
        <v>1079</v>
      </c>
      <c r="H239" s="6"/>
      <c r="I239" s="6" t="s">
        <v>14</v>
      </c>
      <c r="J239" s="6" t="s">
        <v>1097</v>
      </c>
      <c r="K239" s="6">
        <v>16097</v>
      </c>
      <c r="L239" s="7" t="s">
        <v>7282</v>
      </c>
      <c r="M239" s="8">
        <v>23836</v>
      </c>
      <c r="N239" s="8" t="str">
        <f t="shared" si="20"/>
        <v>PEN</v>
      </c>
      <c r="O239" s="13"/>
      <c r="P239" s="13">
        <v>20</v>
      </c>
      <c r="Q239" s="3">
        <f t="shared" si="16"/>
        <v>0</v>
      </c>
      <c r="R239" s="3">
        <f t="shared" si="17"/>
        <v>20</v>
      </c>
      <c r="S239" s="3">
        <f t="shared" si="18"/>
        <v>366.59999999999962</v>
      </c>
      <c r="T239" s="24"/>
      <c r="U239" s="24"/>
      <c r="V239" s="3"/>
      <c r="W239" s="25" t="s">
        <v>6546</v>
      </c>
      <c r="X239" s="25"/>
      <c r="Y239" s="25" t="str">
        <f>IFERROR(VLOOKUP(C_Ope_005[[#This Row],[NOTA 2]],Clientes_Proveedores[[Ruc / Dni]:[Razon Social]],2,0),"")</f>
        <v/>
      </c>
      <c r="Z239" s="25"/>
      <c r="AA239" s="25"/>
      <c r="AB239" s="3" t="str">
        <f>IF(C_Ope_005[[#This Row],[FECHA]]&gt;0,TEXT(C_Ope_005[[#This Row],[FECHA]],"mmmm"),0)</f>
        <v>Abril</v>
      </c>
    </row>
    <row r="240" spans="2:28" x14ac:dyDescent="0.3">
      <c r="B240" s="2">
        <f>IF(C_Ope_005[[#This Row],[TIPO DE R.]]="R",COUNTIFS($D$4:$D239,"R")+1,"")</f>
        <v>236</v>
      </c>
      <c r="C240" s="19" t="str">
        <f t="shared" si="19"/>
        <v>C_Ope_005</v>
      </c>
      <c r="D240" s="3" t="s">
        <v>1074</v>
      </c>
      <c r="E240" s="14">
        <v>45756</v>
      </c>
      <c r="F240" s="5" t="s">
        <v>7166</v>
      </c>
      <c r="G240" s="5" t="s">
        <v>1079</v>
      </c>
      <c r="H240" s="6"/>
      <c r="I240" s="6" t="s">
        <v>14</v>
      </c>
      <c r="J240" s="6" t="s">
        <v>1119</v>
      </c>
      <c r="K240" s="6">
        <v>17207</v>
      </c>
      <c r="L240" s="7" t="s">
        <v>6565</v>
      </c>
      <c r="M240" s="8">
        <v>23796</v>
      </c>
      <c r="N240" s="8" t="str">
        <f t="shared" si="20"/>
        <v>PEN</v>
      </c>
      <c r="O240" s="13"/>
      <c r="P240" s="13">
        <v>25</v>
      </c>
      <c r="Q240" s="3">
        <f t="shared" si="16"/>
        <v>0</v>
      </c>
      <c r="R240" s="3">
        <f t="shared" si="17"/>
        <v>25</v>
      </c>
      <c r="S240" s="3">
        <f t="shared" si="18"/>
        <v>341.59999999999962</v>
      </c>
      <c r="T240" s="24"/>
      <c r="U240" s="24"/>
      <c r="V240" s="3"/>
      <c r="W240" s="25" t="s">
        <v>6541</v>
      </c>
      <c r="X240" s="25"/>
      <c r="Y240" s="25" t="str">
        <f>IFERROR(VLOOKUP(C_Ope_005[[#This Row],[NOTA 2]],Clientes_Proveedores[[Ruc / Dni]:[Razon Social]],2,0),"")</f>
        <v/>
      </c>
      <c r="Z240" s="25"/>
      <c r="AA240" s="25"/>
      <c r="AB240" s="3" t="str">
        <f>IF(C_Ope_005[[#This Row],[FECHA]]&gt;0,TEXT(C_Ope_005[[#This Row],[FECHA]],"mmmm"),0)</f>
        <v>Abril</v>
      </c>
    </row>
    <row r="241" spans="2:28" x14ac:dyDescent="0.3">
      <c r="B241" s="2">
        <f>IF(C_Ope_005[[#This Row],[TIPO DE R.]]="R",COUNTIFS($D$4:$D240,"R")+1,"")</f>
        <v>237</v>
      </c>
      <c r="C241" s="19" t="str">
        <f t="shared" si="19"/>
        <v>C_Ope_005</v>
      </c>
      <c r="D241" s="3" t="s">
        <v>1074</v>
      </c>
      <c r="E241" s="14">
        <v>45756</v>
      </c>
      <c r="F241" s="5" t="s">
        <v>7166</v>
      </c>
      <c r="G241" s="5" t="s">
        <v>1079</v>
      </c>
      <c r="H241" s="6"/>
      <c r="I241" s="6" t="s">
        <v>14</v>
      </c>
      <c r="J241" s="6" t="s">
        <v>1119</v>
      </c>
      <c r="K241" s="6">
        <v>17217</v>
      </c>
      <c r="L241" s="7" t="s">
        <v>6565</v>
      </c>
      <c r="M241" s="8">
        <v>23797</v>
      </c>
      <c r="N241" s="8" t="str">
        <f t="shared" si="20"/>
        <v>PEN</v>
      </c>
      <c r="O241" s="13"/>
      <c r="P241" s="13">
        <v>25</v>
      </c>
      <c r="Q241" s="3">
        <f t="shared" si="16"/>
        <v>0</v>
      </c>
      <c r="R241" s="3">
        <f t="shared" si="17"/>
        <v>25</v>
      </c>
      <c r="S241" s="3">
        <f t="shared" si="18"/>
        <v>316.59999999999962</v>
      </c>
      <c r="T241" s="24"/>
      <c r="U241" s="24"/>
      <c r="V241" s="3"/>
      <c r="W241" s="25" t="s">
        <v>6546</v>
      </c>
      <c r="X241" s="25"/>
      <c r="Y241" s="25" t="str">
        <f>IFERROR(VLOOKUP(C_Ope_005[[#This Row],[NOTA 2]],Clientes_Proveedores[[Ruc / Dni]:[Razon Social]],2,0),"")</f>
        <v/>
      </c>
      <c r="Z241" s="25"/>
      <c r="AA241" s="25"/>
      <c r="AB241" s="3" t="str">
        <f>IF(C_Ope_005[[#This Row],[FECHA]]&gt;0,TEXT(C_Ope_005[[#This Row],[FECHA]],"mmmm"),0)</f>
        <v>Abril</v>
      </c>
    </row>
    <row r="242" spans="2:28" x14ac:dyDescent="0.3">
      <c r="B242" s="2">
        <f>IF(C_Ope_005[[#This Row],[TIPO DE R.]]="R",COUNTIFS($D$4:$D241,"R")+1,"")</f>
        <v>238</v>
      </c>
      <c r="C242" s="19" t="str">
        <f t="shared" si="19"/>
        <v>C_Ope_005</v>
      </c>
      <c r="D242" s="3" t="s">
        <v>1074</v>
      </c>
      <c r="E242" s="14">
        <v>45757</v>
      </c>
      <c r="F242" s="5" t="s">
        <v>7166</v>
      </c>
      <c r="G242" s="5" t="s">
        <v>1079</v>
      </c>
      <c r="H242" s="6"/>
      <c r="I242" s="6" t="s">
        <v>21</v>
      </c>
      <c r="J242" s="6">
        <v>1</v>
      </c>
      <c r="K242" s="6">
        <v>136</v>
      </c>
      <c r="L242" s="7" t="s">
        <v>7230</v>
      </c>
      <c r="M242" s="8">
        <v>23816</v>
      </c>
      <c r="N242" s="8" t="str">
        <f t="shared" si="20"/>
        <v>PEN</v>
      </c>
      <c r="O242" s="13"/>
      <c r="P242" s="13">
        <v>100</v>
      </c>
      <c r="Q242" s="3">
        <f t="shared" si="16"/>
        <v>0</v>
      </c>
      <c r="R242" s="3">
        <f t="shared" si="17"/>
        <v>100</v>
      </c>
      <c r="S242" s="3">
        <f t="shared" si="18"/>
        <v>216.59999999999962</v>
      </c>
      <c r="T242" s="24"/>
      <c r="U242" s="24"/>
      <c r="V242" s="3"/>
      <c r="W242" s="25" t="s">
        <v>6546</v>
      </c>
      <c r="X242" s="25"/>
      <c r="Y242" s="25" t="str">
        <f>IFERROR(VLOOKUP(C_Ope_005[[#This Row],[NOTA 2]],Clientes_Proveedores[[Ruc / Dni]:[Razon Social]],2,0),"")</f>
        <v/>
      </c>
      <c r="Z242" s="25"/>
      <c r="AA242" s="25"/>
      <c r="AB242" s="3" t="str">
        <f>IF(C_Ope_005[[#This Row],[FECHA]]&gt;0,TEXT(C_Ope_005[[#This Row],[FECHA]],"mmmm"),0)</f>
        <v>Abril</v>
      </c>
    </row>
    <row r="243" spans="2:28" x14ac:dyDescent="0.3">
      <c r="B243" s="2">
        <f>IF(C_Ope_005[[#This Row],[TIPO DE R.]]="R",COUNTIFS($D$4:$D242,"R")+1,"")</f>
        <v>239</v>
      </c>
      <c r="C243" s="19" t="str">
        <f t="shared" si="19"/>
        <v>C_Ope_005</v>
      </c>
      <c r="D243" s="3" t="s">
        <v>1074</v>
      </c>
      <c r="E243" s="14">
        <v>45757</v>
      </c>
      <c r="F243" s="5" t="s">
        <v>7166</v>
      </c>
      <c r="G243" s="5" t="s">
        <v>1079</v>
      </c>
      <c r="H243" s="6"/>
      <c r="I243" s="6"/>
      <c r="J243" s="6"/>
      <c r="K243" s="6"/>
      <c r="L243" s="7" t="s">
        <v>6897</v>
      </c>
      <c r="M243" s="8">
        <v>23817</v>
      </c>
      <c r="N243" s="8" t="str">
        <f t="shared" si="20"/>
        <v>PEN</v>
      </c>
      <c r="O243" s="13"/>
      <c r="P243" s="13">
        <v>24</v>
      </c>
      <c r="Q243" s="3">
        <f t="shared" si="16"/>
        <v>0</v>
      </c>
      <c r="R243" s="3">
        <f t="shared" si="17"/>
        <v>24</v>
      </c>
      <c r="S243" s="3">
        <f t="shared" si="18"/>
        <v>192.59999999999962</v>
      </c>
      <c r="T243" s="24"/>
      <c r="U243" s="24"/>
      <c r="V243" s="3"/>
      <c r="W243" s="25" t="s">
        <v>6546</v>
      </c>
      <c r="X243" s="25"/>
      <c r="Y243" s="25" t="str">
        <f>IFERROR(VLOOKUP(C_Ope_005[[#This Row],[NOTA 2]],Clientes_Proveedores[[Ruc / Dni]:[Razon Social]],2,0),"")</f>
        <v/>
      </c>
      <c r="Z243" s="25"/>
      <c r="AA243" s="25"/>
      <c r="AB243" s="3" t="str">
        <f>IF(C_Ope_005[[#This Row],[FECHA]]&gt;0,TEXT(C_Ope_005[[#This Row],[FECHA]],"mmmm"),0)</f>
        <v>Abril</v>
      </c>
    </row>
    <row r="244" spans="2:28" x14ac:dyDescent="0.3">
      <c r="B244" s="2">
        <f>IF(C_Ope_005[[#This Row],[TIPO DE R.]]="R",COUNTIFS($D$4:$D243,"R")+1,"")</f>
        <v>240</v>
      </c>
      <c r="C244" s="19" t="str">
        <f t="shared" si="19"/>
        <v>C_Ope_005</v>
      </c>
      <c r="D244" s="3" t="s">
        <v>1074</v>
      </c>
      <c r="E244" s="14">
        <v>45757</v>
      </c>
      <c r="F244" s="5" t="s">
        <v>7166</v>
      </c>
      <c r="G244" s="5" t="s">
        <v>1079</v>
      </c>
      <c r="H244" s="6"/>
      <c r="I244" s="6"/>
      <c r="J244" s="6"/>
      <c r="K244" s="6"/>
      <c r="L244" s="7" t="s">
        <v>6889</v>
      </c>
      <c r="M244" s="8">
        <v>23818</v>
      </c>
      <c r="N244" s="8" t="str">
        <f t="shared" si="20"/>
        <v>PEN</v>
      </c>
      <c r="O244" s="13"/>
      <c r="P244" s="13">
        <v>30</v>
      </c>
      <c r="Q244" s="3">
        <f t="shared" si="16"/>
        <v>0</v>
      </c>
      <c r="R244" s="3">
        <f t="shared" si="17"/>
        <v>30</v>
      </c>
      <c r="S244" s="3">
        <f t="shared" si="18"/>
        <v>162.59999999999962</v>
      </c>
      <c r="T244" s="24"/>
      <c r="U244" s="24"/>
      <c r="V244" s="3"/>
      <c r="W244" s="25" t="s">
        <v>6546</v>
      </c>
      <c r="X244" s="25"/>
      <c r="Y244" s="25" t="str">
        <f>IFERROR(VLOOKUP(C_Ope_005[[#This Row],[NOTA 2]],Clientes_Proveedores[[Ruc / Dni]:[Razon Social]],2,0),"")</f>
        <v/>
      </c>
      <c r="Z244" s="25"/>
      <c r="AA244" s="25"/>
      <c r="AB244" s="3" t="str">
        <f>IF(C_Ope_005[[#This Row],[FECHA]]&gt;0,TEXT(C_Ope_005[[#This Row],[FECHA]],"mmmm"),0)</f>
        <v>Abril</v>
      </c>
    </row>
    <row r="245" spans="2:28" x14ac:dyDescent="0.3">
      <c r="B245" s="2">
        <f>IF(C_Ope_005[[#This Row],[TIPO DE R.]]="R",COUNTIFS($D$4:$D244,"R")+1,"")</f>
        <v>241</v>
      </c>
      <c r="C245" s="19" t="str">
        <f t="shared" si="19"/>
        <v>C_Ope_005</v>
      </c>
      <c r="D245" s="3" t="s">
        <v>1074</v>
      </c>
      <c r="E245" s="14">
        <v>45757</v>
      </c>
      <c r="F245" s="5" t="s">
        <v>7166</v>
      </c>
      <c r="G245" s="5" t="s">
        <v>1079</v>
      </c>
      <c r="H245" s="6"/>
      <c r="I245" s="6"/>
      <c r="J245" s="6"/>
      <c r="K245" s="6"/>
      <c r="L245" s="7" t="s">
        <v>6903</v>
      </c>
      <c r="M245" s="8">
        <v>23819</v>
      </c>
      <c r="N245" s="8" t="str">
        <f t="shared" si="20"/>
        <v>PEN</v>
      </c>
      <c r="O245" s="13"/>
      <c r="P245" s="13">
        <v>24</v>
      </c>
      <c r="Q245" s="3">
        <f t="shared" si="16"/>
        <v>0</v>
      </c>
      <c r="R245" s="3">
        <f t="shared" si="17"/>
        <v>24</v>
      </c>
      <c r="S245" s="3">
        <f t="shared" si="18"/>
        <v>138.59999999999962</v>
      </c>
      <c r="T245" s="24"/>
      <c r="U245" s="24"/>
      <c r="V245" s="3"/>
      <c r="W245" s="25" t="s">
        <v>6546</v>
      </c>
      <c r="X245" s="25"/>
      <c r="Y245" s="25" t="str">
        <f>IFERROR(VLOOKUP(C_Ope_005[[#This Row],[NOTA 2]],Clientes_Proveedores[[Ruc / Dni]:[Razon Social]],2,0),"")</f>
        <v/>
      </c>
      <c r="Z245" s="25"/>
      <c r="AA245" s="25"/>
      <c r="AB245" s="3" t="str">
        <f>IF(C_Ope_005[[#This Row],[FECHA]]&gt;0,TEXT(C_Ope_005[[#This Row],[FECHA]],"mmmm"),0)</f>
        <v>Abril</v>
      </c>
    </row>
    <row r="246" spans="2:28" x14ac:dyDescent="0.3">
      <c r="B246" s="2">
        <f>IF(C_Ope_005[[#This Row],[TIPO DE R.]]="R",COUNTIFS($D$4:$D245,"R")+1,"")</f>
        <v>242</v>
      </c>
      <c r="C246" s="19" t="str">
        <f t="shared" si="19"/>
        <v>C_Ope_005</v>
      </c>
      <c r="D246" s="3" t="s">
        <v>1074</v>
      </c>
      <c r="E246" s="14">
        <v>45757</v>
      </c>
      <c r="F246" s="5" t="s">
        <v>7166</v>
      </c>
      <c r="G246" s="5" t="s">
        <v>1079</v>
      </c>
      <c r="H246" s="6"/>
      <c r="I246" s="6"/>
      <c r="J246" s="6"/>
      <c r="K246" s="6"/>
      <c r="L246" s="7" t="s">
        <v>7192</v>
      </c>
      <c r="M246" s="8">
        <v>23820</v>
      </c>
      <c r="N246" s="8" t="str">
        <f t="shared" si="20"/>
        <v>PEN</v>
      </c>
      <c r="O246" s="13"/>
      <c r="P246" s="13">
        <v>15</v>
      </c>
      <c r="Q246" s="3">
        <f t="shared" si="16"/>
        <v>0</v>
      </c>
      <c r="R246" s="3">
        <f t="shared" si="17"/>
        <v>15</v>
      </c>
      <c r="S246" s="3">
        <f t="shared" si="18"/>
        <v>123.59999999999962</v>
      </c>
      <c r="T246" s="24"/>
      <c r="U246" s="24"/>
      <c r="V246" s="3"/>
      <c r="W246" s="25" t="s">
        <v>6546</v>
      </c>
      <c r="X246" s="25"/>
      <c r="Y246" s="25" t="str">
        <f>IFERROR(VLOOKUP(C_Ope_005[[#This Row],[NOTA 2]],Clientes_Proveedores[[Ruc / Dni]:[Razon Social]],2,0),"")</f>
        <v/>
      </c>
      <c r="Z246" s="25"/>
      <c r="AA246" s="25"/>
      <c r="AB246" s="3" t="str">
        <f>IF(C_Ope_005[[#This Row],[FECHA]]&gt;0,TEXT(C_Ope_005[[#This Row],[FECHA]],"mmmm"),0)</f>
        <v>Abril</v>
      </c>
    </row>
    <row r="247" spans="2:28" x14ac:dyDescent="0.3">
      <c r="B247" s="2">
        <f>IF(C_Ope_005[[#This Row],[TIPO DE R.]]="R",COUNTIFS($D$4:$D246,"R")+1,"")</f>
        <v>243</v>
      </c>
      <c r="C247" s="19" t="str">
        <f t="shared" si="19"/>
        <v>C_Ope_005</v>
      </c>
      <c r="D247" s="3" t="s">
        <v>1074</v>
      </c>
      <c r="E247" s="14">
        <v>45758</v>
      </c>
      <c r="F247" s="5" t="s">
        <v>7166</v>
      </c>
      <c r="G247" s="5" t="s">
        <v>1079</v>
      </c>
      <c r="H247" s="6"/>
      <c r="I247" s="6"/>
      <c r="J247" s="6"/>
      <c r="K247" s="6"/>
      <c r="L247" s="7" t="s">
        <v>6897</v>
      </c>
      <c r="M247" s="8">
        <v>23837</v>
      </c>
      <c r="N247" s="8" t="str">
        <f t="shared" si="20"/>
        <v>PEN</v>
      </c>
      <c r="O247" s="13"/>
      <c r="P247" s="13">
        <v>24</v>
      </c>
      <c r="Q247" s="3">
        <f t="shared" si="16"/>
        <v>0</v>
      </c>
      <c r="R247" s="3">
        <f t="shared" si="17"/>
        <v>24</v>
      </c>
      <c r="S247" s="3">
        <f t="shared" si="18"/>
        <v>99.599999999999625</v>
      </c>
      <c r="T247" s="24"/>
      <c r="U247" s="24"/>
      <c r="V247" s="3"/>
      <c r="W247" s="25" t="s">
        <v>6546</v>
      </c>
      <c r="X247" s="25"/>
      <c r="Y247" s="25" t="str">
        <f>IFERROR(VLOOKUP(C_Ope_005[[#This Row],[NOTA 2]],Clientes_Proveedores[[Ruc / Dni]:[Razon Social]],2,0),"")</f>
        <v/>
      </c>
      <c r="Z247" s="25"/>
      <c r="AA247" s="25"/>
      <c r="AB247" s="3" t="str">
        <f>IF(C_Ope_005[[#This Row],[FECHA]]&gt;0,TEXT(C_Ope_005[[#This Row],[FECHA]],"mmmm"),0)</f>
        <v>Abril</v>
      </c>
    </row>
    <row r="248" spans="2:28" x14ac:dyDescent="0.3">
      <c r="B248" s="2">
        <f>IF(C_Ope_005[[#This Row],[TIPO DE R.]]="R",COUNTIFS($D$4:$D247,"R")+1,"")</f>
        <v>244</v>
      </c>
      <c r="C248" s="19" t="str">
        <f t="shared" si="19"/>
        <v>C_Ope_005</v>
      </c>
      <c r="D248" s="3" t="s">
        <v>1074</v>
      </c>
      <c r="E248" s="14">
        <v>45761</v>
      </c>
      <c r="F248" s="5" t="s">
        <v>6299</v>
      </c>
      <c r="G248" s="5" t="s">
        <v>1087</v>
      </c>
      <c r="H248" s="6"/>
      <c r="I248" s="6"/>
      <c r="J248" s="6"/>
      <c r="K248" s="6"/>
      <c r="L248" s="7" t="s">
        <v>6302</v>
      </c>
      <c r="M248" s="8">
        <v>23852</v>
      </c>
      <c r="N248" s="8" t="str">
        <f t="shared" si="20"/>
        <v>PEN</v>
      </c>
      <c r="O248" s="13"/>
      <c r="P248" s="13">
        <v>100</v>
      </c>
      <c r="Q248" s="3">
        <f t="shared" si="16"/>
        <v>100</v>
      </c>
      <c r="R248" s="3">
        <f t="shared" si="17"/>
        <v>0</v>
      </c>
      <c r="S248" s="3">
        <f t="shared" si="18"/>
        <v>199.59999999999962</v>
      </c>
      <c r="T248" s="24"/>
      <c r="U248" s="24"/>
      <c r="V248" s="3"/>
      <c r="W248" s="25"/>
      <c r="X248" s="25"/>
      <c r="Y248" s="25" t="str">
        <f>IFERROR(VLOOKUP(C_Ope_005[[#This Row],[NOTA 2]],Clientes_Proveedores[[Ruc / Dni]:[Razon Social]],2,0),"")</f>
        <v/>
      </c>
      <c r="Z248" s="25"/>
      <c r="AA248" s="25">
        <f>ROUND(C_Ope_005[[#This Row],[MONTO ]]/1.18,3)</f>
        <v>84.745999999999995</v>
      </c>
      <c r="AB248" s="3" t="str">
        <f>IF(C_Ope_005[[#This Row],[FECHA]]&gt;0,TEXT(C_Ope_005[[#This Row],[FECHA]],"mmmm"),0)</f>
        <v>Abril</v>
      </c>
    </row>
    <row r="249" spans="2:28" x14ac:dyDescent="0.3">
      <c r="B249" s="2">
        <f>IF(C_Ope_005[[#This Row],[TIPO DE R.]]="R",COUNTIFS($D$4:$D248,"R")+1,"")</f>
        <v>245</v>
      </c>
      <c r="C249" s="19" t="str">
        <f t="shared" si="19"/>
        <v>C_Ope_005</v>
      </c>
      <c r="D249" s="3" t="s">
        <v>1074</v>
      </c>
      <c r="E249" s="14">
        <v>45761</v>
      </c>
      <c r="F249" s="5" t="s">
        <v>7166</v>
      </c>
      <c r="G249" s="5" t="s">
        <v>1079</v>
      </c>
      <c r="H249" s="6"/>
      <c r="I249" s="6" t="s">
        <v>14</v>
      </c>
      <c r="J249" s="6" t="s">
        <v>5244</v>
      </c>
      <c r="K249" s="6">
        <v>1705601</v>
      </c>
      <c r="L249" s="7" t="s">
        <v>7283</v>
      </c>
      <c r="M249" s="8">
        <v>23853</v>
      </c>
      <c r="N249" s="8" t="str">
        <f t="shared" si="20"/>
        <v>PEN</v>
      </c>
      <c r="O249" s="13"/>
      <c r="P249" s="13">
        <v>8</v>
      </c>
      <c r="Q249" s="3">
        <f t="shared" si="16"/>
        <v>0</v>
      </c>
      <c r="R249" s="3">
        <f t="shared" si="17"/>
        <v>8</v>
      </c>
      <c r="S249" s="3">
        <f t="shared" si="18"/>
        <v>191.59999999999962</v>
      </c>
      <c r="T249" s="24"/>
      <c r="U249" s="24"/>
      <c r="V249" s="3"/>
      <c r="W249" s="25" t="s">
        <v>6546</v>
      </c>
      <c r="X249" s="25"/>
      <c r="Y249" s="25" t="str">
        <f>IFERROR(VLOOKUP(C_Ope_005[[#This Row],[NOTA 2]],Clientes_Proveedores[[Ruc / Dni]:[Razon Social]],2,0),"")</f>
        <v/>
      </c>
      <c r="Z249" s="25"/>
      <c r="AA249" s="25"/>
      <c r="AB249" s="3" t="str">
        <f>IF(C_Ope_005[[#This Row],[FECHA]]&gt;0,TEXT(C_Ope_005[[#This Row],[FECHA]],"mmmm"),0)</f>
        <v>Abril</v>
      </c>
    </row>
    <row r="250" spans="2:28" x14ac:dyDescent="0.3">
      <c r="B250" s="2">
        <f>IF(C_Ope_005[[#This Row],[TIPO DE R.]]="R",COUNTIFS($D$4:$D249,"R")+1,"")</f>
        <v>246</v>
      </c>
      <c r="C250" s="19" t="str">
        <f t="shared" si="19"/>
        <v>C_Ope_005</v>
      </c>
      <c r="D250" s="3" t="s">
        <v>1074</v>
      </c>
      <c r="E250" s="14">
        <v>45761</v>
      </c>
      <c r="F250" s="5" t="s">
        <v>7166</v>
      </c>
      <c r="G250" s="5" t="s">
        <v>1079</v>
      </c>
      <c r="H250" s="6"/>
      <c r="I250" s="6" t="s">
        <v>14</v>
      </c>
      <c r="J250" s="6" t="s">
        <v>5242</v>
      </c>
      <c r="K250" s="6">
        <v>2021063</v>
      </c>
      <c r="L250" s="7" t="s">
        <v>7283</v>
      </c>
      <c r="M250" s="8">
        <v>23854</v>
      </c>
      <c r="N250" s="8" t="str">
        <f t="shared" si="20"/>
        <v>PEN</v>
      </c>
      <c r="O250" s="13"/>
      <c r="P250" s="13">
        <v>8</v>
      </c>
      <c r="Q250" s="3">
        <f t="shared" si="16"/>
        <v>0</v>
      </c>
      <c r="R250" s="3">
        <f t="shared" si="17"/>
        <v>8</v>
      </c>
      <c r="S250" s="3">
        <f t="shared" si="18"/>
        <v>183.59999999999962</v>
      </c>
      <c r="T250" s="24"/>
      <c r="U250" s="24"/>
      <c r="V250" s="3"/>
      <c r="W250" s="25" t="s">
        <v>6546</v>
      </c>
      <c r="X250" s="25"/>
      <c r="Y250" s="25" t="str">
        <f>IFERROR(VLOOKUP(C_Ope_005[[#This Row],[NOTA 2]],Clientes_Proveedores[[Ruc / Dni]:[Razon Social]],2,0),"")</f>
        <v/>
      </c>
      <c r="Z250" s="25"/>
      <c r="AA250" s="25"/>
      <c r="AB250" s="3" t="str">
        <f>IF(C_Ope_005[[#This Row],[FECHA]]&gt;0,TEXT(C_Ope_005[[#This Row],[FECHA]],"mmmm"),0)</f>
        <v>Abril</v>
      </c>
    </row>
    <row r="251" spans="2:28" x14ac:dyDescent="0.3">
      <c r="B251" s="2">
        <f>IF(C_Ope_005[[#This Row],[TIPO DE R.]]="R",COUNTIFS($D$4:$D250,"R")+1,"")</f>
        <v>247</v>
      </c>
      <c r="C251" s="19" t="str">
        <f t="shared" si="19"/>
        <v>C_Ope_005</v>
      </c>
      <c r="D251" s="3" t="s">
        <v>1074</v>
      </c>
      <c r="E251" s="14">
        <v>45762</v>
      </c>
      <c r="F251" s="5" t="s">
        <v>7166</v>
      </c>
      <c r="G251" s="5" t="s">
        <v>1079</v>
      </c>
      <c r="H251" s="6"/>
      <c r="I251" s="6" t="s">
        <v>14</v>
      </c>
      <c r="J251" s="6" t="s">
        <v>5242</v>
      </c>
      <c r="K251" s="6">
        <v>2021699</v>
      </c>
      <c r="L251" s="7" t="s">
        <v>6833</v>
      </c>
      <c r="M251" s="8">
        <v>23877</v>
      </c>
      <c r="N251" s="8" t="str">
        <f t="shared" si="20"/>
        <v>PEN</v>
      </c>
      <c r="O251" s="13"/>
      <c r="P251" s="13">
        <v>8</v>
      </c>
      <c r="Q251" s="3">
        <f t="shared" si="16"/>
        <v>0</v>
      </c>
      <c r="R251" s="3">
        <f t="shared" si="17"/>
        <v>8</v>
      </c>
      <c r="S251" s="3">
        <f t="shared" si="18"/>
        <v>175.59999999999962</v>
      </c>
      <c r="T251" s="24"/>
      <c r="U251" s="24"/>
      <c r="V251" s="3"/>
      <c r="W251" s="25" t="s">
        <v>6630</v>
      </c>
      <c r="X251" s="25"/>
      <c r="Y251" s="25" t="str">
        <f>IFERROR(VLOOKUP(C_Ope_005[[#This Row],[NOTA 2]],Clientes_Proveedores[[Ruc / Dni]:[Razon Social]],2,0),"")</f>
        <v/>
      </c>
      <c r="Z251" s="25"/>
      <c r="AA251" s="25"/>
      <c r="AB251" s="3" t="str">
        <f>IF(C_Ope_005[[#This Row],[FECHA]]&gt;0,TEXT(C_Ope_005[[#This Row],[FECHA]],"mmmm"),0)</f>
        <v>Abril</v>
      </c>
    </row>
    <row r="252" spans="2:28" x14ac:dyDescent="0.3">
      <c r="B252" s="2">
        <f>IF(C_Ope_005[[#This Row],[TIPO DE R.]]="R",COUNTIFS($D$4:$D251,"R")+1,"")</f>
        <v>248</v>
      </c>
      <c r="C252" s="19" t="str">
        <f t="shared" si="19"/>
        <v>C_Ope_005</v>
      </c>
      <c r="D252" s="3" t="s">
        <v>1074</v>
      </c>
      <c r="E252" s="14">
        <v>45762</v>
      </c>
      <c r="F252" s="5" t="s">
        <v>7166</v>
      </c>
      <c r="G252" s="5" t="s">
        <v>1079</v>
      </c>
      <c r="H252" s="6"/>
      <c r="I252" s="6" t="s">
        <v>14</v>
      </c>
      <c r="J252" s="6" t="s">
        <v>5244</v>
      </c>
      <c r="K252" s="6">
        <v>1706663</v>
      </c>
      <c r="L252" s="7" t="s">
        <v>6833</v>
      </c>
      <c r="M252" s="8">
        <v>23878</v>
      </c>
      <c r="N252" s="8" t="str">
        <f t="shared" si="20"/>
        <v>PEN</v>
      </c>
      <c r="O252" s="13"/>
      <c r="P252" s="13">
        <v>8</v>
      </c>
      <c r="Q252" s="3">
        <f t="shared" si="16"/>
        <v>0</v>
      </c>
      <c r="R252" s="3">
        <f t="shared" si="17"/>
        <v>8</v>
      </c>
      <c r="S252" s="3">
        <f t="shared" si="18"/>
        <v>167.59999999999962</v>
      </c>
      <c r="T252" s="24"/>
      <c r="U252" s="24"/>
      <c r="V252" s="3"/>
      <c r="W252" s="25" t="s">
        <v>6630</v>
      </c>
      <c r="X252" s="25"/>
      <c r="Y252" s="25" t="str">
        <f>IFERROR(VLOOKUP(C_Ope_005[[#This Row],[NOTA 2]],Clientes_Proveedores[[Ruc / Dni]:[Razon Social]],2,0),"")</f>
        <v/>
      </c>
      <c r="Z252" s="25"/>
      <c r="AA252" s="25"/>
      <c r="AB252" s="3" t="str">
        <f>IF(C_Ope_005[[#This Row],[FECHA]]&gt;0,TEXT(C_Ope_005[[#This Row],[FECHA]],"mmmm"),0)</f>
        <v>Abril</v>
      </c>
    </row>
    <row r="253" spans="2:28" x14ac:dyDescent="0.3">
      <c r="B253" s="2">
        <f>IF(C_Ope_005[[#This Row],[TIPO DE R.]]="R",COUNTIFS($D$4:$D252,"R")+1,"")</f>
        <v>249</v>
      </c>
      <c r="C253" s="19" t="str">
        <f t="shared" si="19"/>
        <v>C_Ope_005</v>
      </c>
      <c r="D253" s="3" t="s">
        <v>1074</v>
      </c>
      <c r="E253" s="14">
        <v>45762</v>
      </c>
      <c r="F253" s="5" t="s">
        <v>7166</v>
      </c>
      <c r="G253" s="5" t="s">
        <v>1079</v>
      </c>
      <c r="H253" s="6"/>
      <c r="I253" s="6" t="s">
        <v>14</v>
      </c>
      <c r="J253" s="6" t="s">
        <v>5242</v>
      </c>
      <c r="K253" s="6">
        <v>2021994</v>
      </c>
      <c r="L253" s="7" t="s">
        <v>6833</v>
      </c>
      <c r="M253" s="8">
        <v>23879</v>
      </c>
      <c r="N253" s="8" t="str">
        <f t="shared" si="20"/>
        <v>PEN</v>
      </c>
      <c r="O253" s="13"/>
      <c r="P253" s="13">
        <v>8</v>
      </c>
      <c r="Q253" s="3">
        <f t="shared" si="16"/>
        <v>0</v>
      </c>
      <c r="R253" s="3">
        <f t="shared" si="17"/>
        <v>8</v>
      </c>
      <c r="S253" s="3">
        <f t="shared" si="18"/>
        <v>159.59999999999962</v>
      </c>
      <c r="T253" s="24"/>
      <c r="U253" s="24"/>
      <c r="V253" s="3"/>
      <c r="W253" s="25" t="s">
        <v>6630</v>
      </c>
      <c r="X253" s="25"/>
      <c r="Y253" s="25" t="str">
        <f>IFERROR(VLOOKUP(C_Ope_005[[#This Row],[NOTA 2]],Clientes_Proveedores[[Ruc / Dni]:[Razon Social]],2,0),"")</f>
        <v/>
      </c>
      <c r="Z253" s="25"/>
      <c r="AA253" s="25"/>
      <c r="AB253" s="3" t="str">
        <f>IF(C_Ope_005[[#This Row],[FECHA]]&gt;0,TEXT(C_Ope_005[[#This Row],[FECHA]],"mmmm"),0)</f>
        <v>Abril</v>
      </c>
    </row>
    <row r="254" spans="2:28" ht="24" x14ac:dyDescent="0.3">
      <c r="B254" s="2">
        <f>IF(C_Ope_005[[#This Row],[TIPO DE R.]]="R",COUNTIFS($D$4:$D253,"R")+1,"")</f>
        <v>250</v>
      </c>
      <c r="C254" s="19" t="str">
        <f t="shared" si="19"/>
        <v>C_Ope_005</v>
      </c>
      <c r="D254" s="3" t="s">
        <v>1074</v>
      </c>
      <c r="E254" s="14">
        <v>45763</v>
      </c>
      <c r="F254" s="5" t="s">
        <v>7166</v>
      </c>
      <c r="G254" s="5" t="s">
        <v>1079</v>
      </c>
      <c r="H254" s="6"/>
      <c r="I254" s="6" t="s">
        <v>14</v>
      </c>
      <c r="J254" s="6" t="s">
        <v>5243</v>
      </c>
      <c r="K254" s="6">
        <v>2301467</v>
      </c>
      <c r="L254" s="7" t="s">
        <v>6608</v>
      </c>
      <c r="M254" s="8">
        <v>23907</v>
      </c>
      <c r="N254" s="8" t="str">
        <f t="shared" si="20"/>
        <v>PEN</v>
      </c>
      <c r="O254" s="13"/>
      <c r="P254" s="13">
        <v>8</v>
      </c>
      <c r="Q254" s="3">
        <f t="shared" si="16"/>
        <v>0</v>
      </c>
      <c r="R254" s="3">
        <f t="shared" si="17"/>
        <v>8</v>
      </c>
      <c r="S254" s="3">
        <f t="shared" si="18"/>
        <v>151.59999999999962</v>
      </c>
      <c r="T254" s="24"/>
      <c r="U254" s="24"/>
      <c r="V254" s="3"/>
      <c r="W254" s="25" t="s">
        <v>6546</v>
      </c>
      <c r="X254" s="25"/>
      <c r="Y254" s="25" t="str">
        <f>IFERROR(VLOOKUP(C_Ope_005[[#This Row],[NOTA 2]],Clientes_Proveedores[[Ruc / Dni]:[Razon Social]],2,0),"")</f>
        <v/>
      </c>
      <c r="Z254" s="25"/>
      <c r="AA254" s="25"/>
      <c r="AB254" s="3" t="str">
        <f>IF(C_Ope_005[[#This Row],[FECHA]]&gt;0,TEXT(C_Ope_005[[#This Row],[FECHA]],"mmmm"),0)</f>
        <v>Abril</v>
      </c>
    </row>
    <row r="255" spans="2:28" ht="24" x14ac:dyDescent="0.3">
      <c r="B255" s="2">
        <f>IF(C_Ope_005[[#This Row],[TIPO DE R.]]="R",COUNTIFS($D$4:$D254,"R")+1,"")</f>
        <v>251</v>
      </c>
      <c r="C255" s="19" t="str">
        <f t="shared" si="19"/>
        <v>C_Ope_005</v>
      </c>
      <c r="D255" s="3" t="s">
        <v>1074</v>
      </c>
      <c r="E255" s="14">
        <v>45763</v>
      </c>
      <c r="F255" s="5" t="s">
        <v>7166</v>
      </c>
      <c r="G255" s="5" t="s">
        <v>1079</v>
      </c>
      <c r="H255" s="6"/>
      <c r="I255" s="6" t="s">
        <v>14</v>
      </c>
      <c r="J255" s="6" t="s">
        <v>5245</v>
      </c>
      <c r="K255" s="6">
        <v>1727238</v>
      </c>
      <c r="L255" s="7" t="s">
        <v>6608</v>
      </c>
      <c r="M255" s="8">
        <v>23908</v>
      </c>
      <c r="N255" s="8" t="str">
        <f t="shared" si="20"/>
        <v>PEN</v>
      </c>
      <c r="O255" s="13"/>
      <c r="P255" s="13">
        <v>8</v>
      </c>
      <c r="Q255" s="3">
        <f t="shared" si="16"/>
        <v>0</v>
      </c>
      <c r="R255" s="3">
        <f t="shared" si="17"/>
        <v>8</v>
      </c>
      <c r="S255" s="3">
        <f t="shared" si="18"/>
        <v>143.59999999999962</v>
      </c>
      <c r="T255" s="24"/>
      <c r="U255" s="24"/>
      <c r="V255" s="3"/>
      <c r="W255" s="25" t="s">
        <v>6546</v>
      </c>
      <c r="X255" s="25"/>
      <c r="Y255" s="25" t="str">
        <f>IFERROR(VLOOKUP(C_Ope_005[[#This Row],[NOTA 2]],Clientes_Proveedores[[Ruc / Dni]:[Razon Social]],2,0),"")</f>
        <v/>
      </c>
      <c r="Z255" s="25"/>
      <c r="AA255" s="25"/>
      <c r="AB255" s="3" t="str">
        <f>IF(C_Ope_005[[#This Row],[FECHA]]&gt;0,TEXT(C_Ope_005[[#This Row],[FECHA]],"mmmm"),0)</f>
        <v>Abril</v>
      </c>
    </row>
    <row r="256" spans="2:28" x14ac:dyDescent="0.3">
      <c r="B256" s="2">
        <f>IF(C_Ope_005[[#This Row],[TIPO DE R.]]="R",COUNTIFS($D$4:$D255,"R")+1,"")</f>
        <v>252</v>
      </c>
      <c r="C256" s="19" t="str">
        <f t="shared" si="19"/>
        <v>C_Ope_005</v>
      </c>
      <c r="D256" s="3" t="s">
        <v>1074</v>
      </c>
      <c r="E256" s="14">
        <v>45761</v>
      </c>
      <c r="F256" s="5" t="s">
        <v>7166</v>
      </c>
      <c r="G256" s="5" t="s">
        <v>1079</v>
      </c>
      <c r="H256" s="6"/>
      <c r="I256" s="6" t="s">
        <v>14</v>
      </c>
      <c r="J256" s="6" t="s">
        <v>1088</v>
      </c>
      <c r="K256" s="6">
        <v>34348</v>
      </c>
      <c r="L256" s="7" t="s">
        <v>7256</v>
      </c>
      <c r="M256" s="8">
        <v>23855</v>
      </c>
      <c r="N256" s="8" t="str">
        <f t="shared" si="20"/>
        <v>PEN</v>
      </c>
      <c r="O256" s="13"/>
      <c r="P256" s="13">
        <v>10</v>
      </c>
      <c r="Q256" s="3">
        <f t="shared" si="16"/>
        <v>0</v>
      </c>
      <c r="R256" s="3">
        <f t="shared" si="17"/>
        <v>10</v>
      </c>
      <c r="S256" s="3">
        <f t="shared" si="18"/>
        <v>133.59999999999962</v>
      </c>
      <c r="T256" s="24"/>
      <c r="U256" s="24"/>
      <c r="V256" s="3"/>
      <c r="W256" s="25" t="s">
        <v>6546</v>
      </c>
      <c r="X256" s="25"/>
      <c r="Y256" s="25" t="str">
        <f>IFERROR(VLOOKUP(C_Ope_005[[#This Row],[NOTA 2]],Clientes_Proveedores[[Ruc / Dni]:[Razon Social]],2,0),"")</f>
        <v/>
      </c>
      <c r="Z256" s="25"/>
      <c r="AA256" s="25"/>
      <c r="AB256" s="3" t="str">
        <f>IF(C_Ope_005[[#This Row],[FECHA]]&gt;0,TEXT(C_Ope_005[[#This Row],[FECHA]],"mmmm"),0)</f>
        <v>Abril</v>
      </c>
    </row>
    <row r="257" spans="2:28" x14ac:dyDescent="0.3">
      <c r="B257" s="2">
        <f>IF(C_Ope_005[[#This Row],[TIPO DE R.]]="R",COUNTIFS($D$4:$D256,"R")+1,"")</f>
        <v>253</v>
      </c>
      <c r="C257" s="19" t="str">
        <f t="shared" si="19"/>
        <v>C_Ope_005</v>
      </c>
      <c r="D257" s="3" t="s">
        <v>1074</v>
      </c>
      <c r="E257" s="14">
        <v>45763</v>
      </c>
      <c r="F257" s="5" t="s">
        <v>7166</v>
      </c>
      <c r="G257" s="5" t="s">
        <v>1079</v>
      </c>
      <c r="H257" s="6"/>
      <c r="I257" s="6" t="s">
        <v>14</v>
      </c>
      <c r="J257" s="6" t="s">
        <v>1088</v>
      </c>
      <c r="K257" s="6">
        <v>34373</v>
      </c>
      <c r="L257" s="7" t="s">
        <v>7256</v>
      </c>
      <c r="M257" s="8">
        <v>23909</v>
      </c>
      <c r="N257" s="8" t="str">
        <f t="shared" si="20"/>
        <v>PEN</v>
      </c>
      <c r="O257" s="13"/>
      <c r="P257" s="13">
        <v>10</v>
      </c>
      <c r="Q257" s="3">
        <f t="shared" si="16"/>
        <v>0</v>
      </c>
      <c r="R257" s="3">
        <f t="shared" si="17"/>
        <v>10</v>
      </c>
      <c r="S257" s="3">
        <f t="shared" si="18"/>
        <v>123.59999999999962</v>
      </c>
      <c r="T257" s="24"/>
      <c r="U257" s="24"/>
      <c r="V257" s="3"/>
      <c r="W257" s="25" t="s">
        <v>6546</v>
      </c>
      <c r="X257" s="25"/>
      <c r="Y257" s="25" t="str">
        <f>IFERROR(VLOOKUP(C_Ope_005[[#This Row],[NOTA 2]],Clientes_Proveedores[[Ruc / Dni]:[Razon Social]],2,0),"")</f>
        <v/>
      </c>
      <c r="Z257" s="25"/>
      <c r="AA257" s="25"/>
      <c r="AB257" s="3" t="str">
        <f>IF(C_Ope_005[[#This Row],[FECHA]]&gt;0,TEXT(C_Ope_005[[#This Row],[FECHA]],"mmmm"),0)</f>
        <v>Abril</v>
      </c>
    </row>
    <row r="258" spans="2:28" x14ac:dyDescent="0.3">
      <c r="B258" s="2">
        <f>IF(C_Ope_005[[#This Row],[TIPO DE R.]]="R",COUNTIFS($D$4:$D257,"R")+1,"")</f>
        <v>254</v>
      </c>
      <c r="C258" s="19" t="str">
        <f t="shared" si="19"/>
        <v>C_Ope_005</v>
      </c>
      <c r="D258" s="3" t="s">
        <v>1074</v>
      </c>
      <c r="E258" s="14">
        <v>45769</v>
      </c>
      <c r="F258" s="5" t="s">
        <v>6299</v>
      </c>
      <c r="G258" s="5" t="s">
        <v>1087</v>
      </c>
      <c r="H258" s="6"/>
      <c r="I258" s="6"/>
      <c r="J258" s="6"/>
      <c r="K258" s="6"/>
      <c r="L258" s="7" t="s">
        <v>6302</v>
      </c>
      <c r="M258" s="8">
        <v>23948</v>
      </c>
      <c r="N258" s="8" t="str">
        <f t="shared" si="20"/>
        <v>PEN</v>
      </c>
      <c r="O258" s="13"/>
      <c r="P258" s="13">
        <v>80</v>
      </c>
      <c r="Q258" s="3">
        <f t="shared" si="16"/>
        <v>80</v>
      </c>
      <c r="R258" s="3">
        <f t="shared" si="17"/>
        <v>0</v>
      </c>
      <c r="S258" s="3">
        <f t="shared" si="18"/>
        <v>203.59999999999962</v>
      </c>
      <c r="T258" s="24"/>
      <c r="U258" s="24"/>
      <c r="V258" s="3"/>
      <c r="W258" s="25"/>
      <c r="X258" s="25"/>
      <c r="Y258" s="25" t="str">
        <f>IFERROR(VLOOKUP(C_Ope_005[[#This Row],[NOTA 2]],Clientes_Proveedores[[Ruc / Dni]:[Razon Social]],2,0),"")</f>
        <v/>
      </c>
      <c r="Z258" s="25"/>
      <c r="AA258" s="25">
        <f>ROUND(C_Ope_005[[#This Row],[MONTO ]]/1.18,3)</f>
        <v>67.796999999999997</v>
      </c>
      <c r="AB258" s="3" t="str">
        <f>IF(C_Ope_005[[#This Row],[FECHA]]&gt;0,TEXT(C_Ope_005[[#This Row],[FECHA]],"mmmm"),0)</f>
        <v>Abril</v>
      </c>
    </row>
    <row r="259" spans="2:28" x14ac:dyDescent="0.3">
      <c r="B259" s="2">
        <f>IF(C_Ope_005[[#This Row],[TIPO DE R.]]="R",COUNTIFS($D$4:$D258,"R")+1,"")</f>
        <v>255</v>
      </c>
      <c r="C259" s="19" t="str">
        <f t="shared" si="19"/>
        <v>C_Ope_005</v>
      </c>
      <c r="D259" s="3" t="s">
        <v>1074</v>
      </c>
      <c r="E259" s="14">
        <v>45772</v>
      </c>
      <c r="F259" s="5" t="s">
        <v>6299</v>
      </c>
      <c r="G259" s="5" t="s">
        <v>1087</v>
      </c>
      <c r="H259" s="6"/>
      <c r="I259" s="6"/>
      <c r="J259" s="6"/>
      <c r="K259" s="6"/>
      <c r="L259" s="7" t="s">
        <v>7180</v>
      </c>
      <c r="M259" s="8">
        <v>23995</v>
      </c>
      <c r="N259" s="8" t="str">
        <f t="shared" si="20"/>
        <v>PEN</v>
      </c>
      <c r="O259" s="13"/>
      <c r="P259" s="13">
        <v>600</v>
      </c>
      <c r="Q259" s="3">
        <f t="shared" si="16"/>
        <v>600</v>
      </c>
      <c r="R259" s="3">
        <f t="shared" si="17"/>
        <v>0</v>
      </c>
      <c r="S259" s="3">
        <f t="shared" si="18"/>
        <v>803.59999999999968</v>
      </c>
      <c r="T259" s="24"/>
      <c r="U259" s="24"/>
      <c r="V259" s="3"/>
      <c r="W259" s="25"/>
      <c r="X259" s="25"/>
      <c r="Y259" s="25" t="str">
        <f>IFERROR(VLOOKUP(C_Ope_005[[#This Row],[NOTA 2]],Clientes_Proveedores[[Ruc / Dni]:[Razon Social]],2,0),"")</f>
        <v/>
      </c>
      <c r="Z259" s="25"/>
      <c r="AA259" s="25">
        <f>ROUND(C_Ope_005[[#This Row],[MONTO ]]/1.18,3)</f>
        <v>508.47500000000002</v>
      </c>
      <c r="AB259" s="3" t="str">
        <f>IF(C_Ope_005[[#This Row],[FECHA]]&gt;0,TEXT(C_Ope_005[[#This Row],[FECHA]],"mmmm"),0)</f>
        <v>Abril</v>
      </c>
    </row>
    <row r="260" spans="2:28" ht="24" x14ac:dyDescent="0.3">
      <c r="B260" s="2">
        <f>IF(C_Ope_005[[#This Row],[TIPO DE R.]]="R",COUNTIFS($D$4:$D259,"R")+1,"")</f>
        <v>256</v>
      </c>
      <c r="C260" s="19" t="str">
        <f t="shared" si="19"/>
        <v>C_Ope_005</v>
      </c>
      <c r="D260" s="3" t="s">
        <v>1074</v>
      </c>
      <c r="E260" s="14">
        <v>45768</v>
      </c>
      <c r="F260" s="5" t="s">
        <v>7166</v>
      </c>
      <c r="G260" s="5" t="s">
        <v>1079</v>
      </c>
      <c r="H260" s="6"/>
      <c r="I260" s="6" t="s">
        <v>14</v>
      </c>
      <c r="J260" s="6" t="s">
        <v>5245</v>
      </c>
      <c r="K260" s="6">
        <v>1730831</v>
      </c>
      <c r="L260" s="7" t="s">
        <v>7284</v>
      </c>
      <c r="M260" s="8">
        <v>23942</v>
      </c>
      <c r="N260" s="8" t="str">
        <f t="shared" si="20"/>
        <v>PEN</v>
      </c>
      <c r="O260" s="13"/>
      <c r="P260" s="13">
        <v>5</v>
      </c>
      <c r="Q260" s="3">
        <f t="shared" si="16"/>
        <v>0</v>
      </c>
      <c r="R260" s="3">
        <f t="shared" si="17"/>
        <v>5</v>
      </c>
      <c r="S260" s="3">
        <f t="shared" si="18"/>
        <v>798.59999999999968</v>
      </c>
      <c r="T260" s="24"/>
      <c r="U260" s="24"/>
      <c r="V260" s="3"/>
      <c r="W260" s="25" t="s">
        <v>6541</v>
      </c>
      <c r="X260" s="25"/>
      <c r="Y260" s="25" t="str">
        <f>IFERROR(VLOOKUP(C_Ope_005[[#This Row],[NOTA 2]],Clientes_Proveedores[[Ruc / Dni]:[Razon Social]],2,0),"")</f>
        <v/>
      </c>
      <c r="Z260" s="25"/>
      <c r="AA260" s="25"/>
      <c r="AB260" s="3" t="str">
        <f>IF(C_Ope_005[[#This Row],[FECHA]]&gt;0,TEXT(C_Ope_005[[#This Row],[FECHA]],"mmmm"),0)</f>
        <v>Abril</v>
      </c>
    </row>
    <row r="261" spans="2:28" ht="24" x14ac:dyDescent="0.3">
      <c r="B261" s="2">
        <f>IF(C_Ope_005[[#This Row],[TIPO DE R.]]="R",COUNTIFS($D$4:$D260,"R")+1,"")</f>
        <v>257</v>
      </c>
      <c r="C261" s="19" t="str">
        <f t="shared" si="19"/>
        <v>C_Ope_005</v>
      </c>
      <c r="D261" s="3" t="s">
        <v>1074</v>
      </c>
      <c r="E261" s="14">
        <v>45768</v>
      </c>
      <c r="F261" s="5" t="s">
        <v>7166</v>
      </c>
      <c r="G261" s="5" t="s">
        <v>1079</v>
      </c>
      <c r="H261" s="6"/>
      <c r="I261" s="6" t="s">
        <v>14</v>
      </c>
      <c r="J261" s="6" t="s">
        <v>5244</v>
      </c>
      <c r="K261" s="6">
        <v>1710828</v>
      </c>
      <c r="L261" s="7" t="s">
        <v>7284</v>
      </c>
      <c r="M261" s="8">
        <v>23943</v>
      </c>
      <c r="N261" s="8" t="str">
        <f t="shared" si="20"/>
        <v>PEN</v>
      </c>
      <c r="O261" s="13"/>
      <c r="P261" s="13">
        <v>5</v>
      </c>
      <c r="Q261" s="3">
        <f t="shared" ref="Q261:Q324" si="21">+IF(OR($G261="SALDO",$G261="INGRESO"),$P261,0)</f>
        <v>0</v>
      </c>
      <c r="R261" s="3">
        <f t="shared" ref="R261:R324" si="22">+IF($G261="EGRESO",$P261,0)</f>
        <v>5</v>
      </c>
      <c r="S261" s="3">
        <f t="shared" ref="S261:S324" si="23">IFERROR(IF(G261="SALDO",Q261,S260+Q261-R261),0)</f>
        <v>793.59999999999968</v>
      </c>
      <c r="T261" s="24"/>
      <c r="U261" s="24"/>
      <c r="V261" s="3"/>
      <c r="W261" s="25" t="s">
        <v>6541</v>
      </c>
      <c r="X261" s="25"/>
      <c r="Y261" s="25" t="str">
        <f>IFERROR(VLOOKUP(C_Ope_005[[#This Row],[NOTA 2]],Clientes_Proveedores[[Ruc / Dni]:[Razon Social]],2,0),"")</f>
        <v/>
      </c>
      <c r="Z261" s="25"/>
      <c r="AA261" s="25"/>
      <c r="AB261" s="3" t="str">
        <f>IF(C_Ope_005[[#This Row],[FECHA]]&gt;0,TEXT(C_Ope_005[[#This Row],[FECHA]],"mmmm"),0)</f>
        <v>Abril</v>
      </c>
    </row>
    <row r="262" spans="2:28" ht="36" x14ac:dyDescent="0.3">
      <c r="B262" s="2">
        <f>IF(C_Ope_005[[#This Row],[TIPO DE R.]]="R",COUNTIFS($D$4:$D261,"R")+1,"")</f>
        <v>258</v>
      </c>
      <c r="C262" s="19" t="str">
        <f t="shared" ref="C262:C325" si="24">"C_Ope_005"</f>
        <v>C_Ope_005</v>
      </c>
      <c r="D262" s="3" t="s">
        <v>1074</v>
      </c>
      <c r="E262" s="14">
        <v>45770</v>
      </c>
      <c r="F262" s="5" t="s">
        <v>7166</v>
      </c>
      <c r="G262" s="5" t="s">
        <v>1079</v>
      </c>
      <c r="H262" s="6"/>
      <c r="I262" s="6" t="s">
        <v>14</v>
      </c>
      <c r="J262" s="6" t="s">
        <v>5245</v>
      </c>
      <c r="K262" s="6">
        <v>1732581</v>
      </c>
      <c r="L262" s="7" t="s">
        <v>7285</v>
      </c>
      <c r="M262" s="8">
        <v>23974</v>
      </c>
      <c r="N262" s="8" t="str">
        <f t="shared" ref="N262:N325" si="25">"PEN"</f>
        <v>PEN</v>
      </c>
      <c r="O262" s="13"/>
      <c r="P262" s="13">
        <v>8</v>
      </c>
      <c r="Q262" s="3">
        <f t="shared" si="21"/>
        <v>0</v>
      </c>
      <c r="R262" s="3">
        <f t="shared" si="22"/>
        <v>8</v>
      </c>
      <c r="S262" s="3">
        <f t="shared" si="23"/>
        <v>785.59999999999968</v>
      </c>
      <c r="T262" s="24"/>
      <c r="U262" s="24"/>
      <c r="V262" s="3"/>
      <c r="W262" s="25" t="s">
        <v>6546</v>
      </c>
      <c r="X262" s="25"/>
      <c r="Y262" s="25" t="str">
        <f>IFERROR(VLOOKUP(C_Ope_005[[#This Row],[NOTA 2]],Clientes_Proveedores[[Ruc / Dni]:[Razon Social]],2,0),"")</f>
        <v/>
      </c>
      <c r="Z262" s="25"/>
      <c r="AA262" s="25"/>
      <c r="AB262" s="3" t="str">
        <f>IF(C_Ope_005[[#This Row],[FECHA]]&gt;0,TEXT(C_Ope_005[[#This Row],[FECHA]],"mmmm"),0)</f>
        <v>Abril</v>
      </c>
    </row>
    <row r="263" spans="2:28" ht="36" x14ac:dyDescent="0.3">
      <c r="B263" s="2">
        <f>IF(C_Ope_005[[#This Row],[TIPO DE R.]]="R",COUNTIFS($D$4:$D262,"R")+1,"")</f>
        <v>259</v>
      </c>
      <c r="C263" s="19" t="str">
        <f t="shared" si="24"/>
        <v>C_Ope_005</v>
      </c>
      <c r="D263" s="3" t="s">
        <v>1074</v>
      </c>
      <c r="E263" s="14">
        <v>45770</v>
      </c>
      <c r="F263" s="5" t="s">
        <v>7166</v>
      </c>
      <c r="G263" s="5" t="s">
        <v>1079</v>
      </c>
      <c r="H263" s="6"/>
      <c r="I263" s="6" t="s">
        <v>14</v>
      </c>
      <c r="J263" s="6" t="s">
        <v>5244</v>
      </c>
      <c r="K263" s="6">
        <v>1712647</v>
      </c>
      <c r="L263" s="7" t="s">
        <v>7285</v>
      </c>
      <c r="M263" s="8">
        <v>23975</v>
      </c>
      <c r="N263" s="8" t="str">
        <f t="shared" si="25"/>
        <v>PEN</v>
      </c>
      <c r="O263" s="13"/>
      <c r="P263" s="13">
        <v>8</v>
      </c>
      <c r="Q263" s="3">
        <f t="shared" si="21"/>
        <v>0</v>
      </c>
      <c r="R263" s="3">
        <f t="shared" si="22"/>
        <v>8</v>
      </c>
      <c r="S263" s="3">
        <f t="shared" si="23"/>
        <v>777.59999999999968</v>
      </c>
      <c r="T263" s="24"/>
      <c r="U263" s="24"/>
      <c r="V263" s="3"/>
      <c r="W263" s="25" t="s">
        <v>6546</v>
      </c>
      <c r="X263" s="25"/>
      <c r="Y263" s="25" t="str">
        <f>IFERROR(VLOOKUP(C_Ope_005[[#This Row],[NOTA 2]],Clientes_Proveedores[[Ruc / Dni]:[Razon Social]],2,0),"")</f>
        <v/>
      </c>
      <c r="Z263" s="25"/>
      <c r="AA263" s="25"/>
      <c r="AB263" s="3" t="str">
        <f>IF(C_Ope_005[[#This Row],[FECHA]]&gt;0,TEXT(C_Ope_005[[#This Row],[FECHA]],"mmmm"),0)</f>
        <v>Abril</v>
      </c>
    </row>
    <row r="264" spans="2:28" ht="36" x14ac:dyDescent="0.3">
      <c r="B264" s="2">
        <f>IF(C_Ope_005[[#This Row],[TIPO DE R.]]="R",COUNTIFS($D$4:$D263,"R")+1,"")</f>
        <v>260</v>
      </c>
      <c r="C264" s="19" t="str">
        <f t="shared" si="24"/>
        <v>C_Ope_005</v>
      </c>
      <c r="D264" s="3" t="s">
        <v>1074</v>
      </c>
      <c r="E264" s="14">
        <v>45772</v>
      </c>
      <c r="F264" s="5" t="s">
        <v>7166</v>
      </c>
      <c r="G264" s="5" t="s">
        <v>1079</v>
      </c>
      <c r="H264" s="6"/>
      <c r="I264" s="6" t="s">
        <v>14</v>
      </c>
      <c r="J264" s="6" t="s">
        <v>5243</v>
      </c>
      <c r="K264" s="6">
        <v>2310754</v>
      </c>
      <c r="L264" s="7" t="s">
        <v>7286</v>
      </c>
      <c r="M264" s="8">
        <v>23986</v>
      </c>
      <c r="N264" s="8" t="str">
        <f t="shared" si="25"/>
        <v>PEN</v>
      </c>
      <c r="O264" s="13"/>
      <c r="P264" s="13">
        <v>8</v>
      </c>
      <c r="Q264" s="3">
        <f t="shared" si="21"/>
        <v>0</v>
      </c>
      <c r="R264" s="3">
        <f t="shared" si="22"/>
        <v>8</v>
      </c>
      <c r="S264" s="3">
        <f t="shared" si="23"/>
        <v>769.59999999999968</v>
      </c>
      <c r="T264" s="24"/>
      <c r="U264" s="24"/>
      <c r="V264" s="3"/>
      <c r="W264" s="25" t="s">
        <v>6630</v>
      </c>
      <c r="X264" s="25"/>
      <c r="Y264" s="25" t="str">
        <f>IFERROR(VLOOKUP(C_Ope_005[[#This Row],[NOTA 2]],Clientes_Proveedores[[Ruc / Dni]:[Razon Social]],2,0),"")</f>
        <v/>
      </c>
      <c r="Z264" s="25"/>
      <c r="AA264" s="25"/>
      <c r="AB264" s="3" t="str">
        <f>IF(C_Ope_005[[#This Row],[FECHA]]&gt;0,TEXT(C_Ope_005[[#This Row],[FECHA]],"mmmm"),0)</f>
        <v>Abril</v>
      </c>
    </row>
    <row r="265" spans="2:28" x14ac:dyDescent="0.3">
      <c r="B265" s="2">
        <f>IF(C_Ope_005[[#This Row],[TIPO DE R.]]="R",COUNTIFS($D$4:$D264,"R")+1,"")</f>
        <v>261</v>
      </c>
      <c r="C265" s="19" t="str">
        <f t="shared" si="24"/>
        <v>C_Ope_005</v>
      </c>
      <c r="D265" s="3" t="s">
        <v>1074</v>
      </c>
      <c r="E265" s="14">
        <v>45772</v>
      </c>
      <c r="F265" s="5" t="s">
        <v>7166</v>
      </c>
      <c r="G265" s="5" t="s">
        <v>1079</v>
      </c>
      <c r="H265" s="6"/>
      <c r="I265" s="6" t="s">
        <v>14</v>
      </c>
      <c r="J265" s="6" t="s">
        <v>5281</v>
      </c>
      <c r="K265" s="6">
        <v>958206</v>
      </c>
      <c r="L265" s="7" t="s">
        <v>6629</v>
      </c>
      <c r="M265" s="8">
        <v>23987</v>
      </c>
      <c r="N265" s="8" t="str">
        <f t="shared" si="25"/>
        <v>PEN</v>
      </c>
      <c r="O265" s="13"/>
      <c r="P265" s="13">
        <v>8</v>
      </c>
      <c r="Q265" s="3">
        <f t="shared" si="21"/>
        <v>0</v>
      </c>
      <c r="R265" s="3">
        <f t="shared" si="22"/>
        <v>8</v>
      </c>
      <c r="S265" s="3">
        <f t="shared" si="23"/>
        <v>761.59999999999968</v>
      </c>
      <c r="T265" s="24"/>
      <c r="U265" s="24"/>
      <c r="V265" s="3"/>
      <c r="W265" s="25" t="s">
        <v>6630</v>
      </c>
      <c r="X265" s="25"/>
      <c r="Y265" s="25" t="str">
        <f>IFERROR(VLOOKUP(C_Ope_005[[#This Row],[NOTA 2]],Clientes_Proveedores[[Ruc / Dni]:[Razon Social]],2,0),"")</f>
        <v/>
      </c>
      <c r="Z265" s="25"/>
      <c r="AA265" s="25"/>
      <c r="AB265" s="3" t="str">
        <f>IF(C_Ope_005[[#This Row],[FECHA]]&gt;0,TEXT(C_Ope_005[[#This Row],[FECHA]],"mmmm"),0)</f>
        <v>Abril</v>
      </c>
    </row>
    <row r="266" spans="2:28" ht="36" x14ac:dyDescent="0.3">
      <c r="B266" s="2">
        <f>IF(C_Ope_005[[#This Row],[TIPO DE R.]]="R",COUNTIFS($D$4:$D265,"R")+1,"")</f>
        <v>262</v>
      </c>
      <c r="C266" s="19" t="str">
        <f t="shared" si="24"/>
        <v>C_Ope_005</v>
      </c>
      <c r="D266" s="3" t="s">
        <v>1074</v>
      </c>
      <c r="E266" s="14">
        <v>45772</v>
      </c>
      <c r="F266" s="5" t="s">
        <v>7166</v>
      </c>
      <c r="G266" s="5" t="s">
        <v>1079</v>
      </c>
      <c r="H266" s="6"/>
      <c r="I266" s="6" t="s">
        <v>14</v>
      </c>
      <c r="J266" s="6" t="s">
        <v>5245</v>
      </c>
      <c r="K266" s="6">
        <v>1734536</v>
      </c>
      <c r="L266" s="7" t="s">
        <v>7286</v>
      </c>
      <c r="M266" s="8">
        <v>23993</v>
      </c>
      <c r="N266" s="8" t="str">
        <f t="shared" si="25"/>
        <v>PEN</v>
      </c>
      <c r="O266" s="13"/>
      <c r="P266" s="13">
        <v>8</v>
      </c>
      <c r="Q266" s="3">
        <f t="shared" si="21"/>
        <v>0</v>
      </c>
      <c r="R266" s="3">
        <f t="shared" si="22"/>
        <v>8</v>
      </c>
      <c r="S266" s="3">
        <f t="shared" si="23"/>
        <v>753.59999999999968</v>
      </c>
      <c r="T266" s="24"/>
      <c r="U266" s="24"/>
      <c r="V266" s="3"/>
      <c r="W266" s="25" t="s">
        <v>6630</v>
      </c>
      <c r="X266" s="25"/>
      <c r="Y266" s="25" t="str">
        <f>IFERROR(VLOOKUP(C_Ope_005[[#This Row],[NOTA 2]],Clientes_Proveedores[[Ruc / Dni]:[Razon Social]],2,0),"")</f>
        <v/>
      </c>
      <c r="Z266" s="25"/>
      <c r="AA266" s="25"/>
      <c r="AB266" s="3" t="str">
        <f>IF(C_Ope_005[[#This Row],[FECHA]]&gt;0,TEXT(C_Ope_005[[#This Row],[FECHA]],"mmmm"),0)</f>
        <v>Abril</v>
      </c>
    </row>
    <row r="267" spans="2:28" x14ac:dyDescent="0.3">
      <c r="B267" s="2">
        <f>IF(C_Ope_005[[#This Row],[TIPO DE R.]]="R",COUNTIFS($D$4:$D266,"R")+1,"")</f>
        <v>263</v>
      </c>
      <c r="C267" s="19" t="str">
        <f t="shared" si="24"/>
        <v>C_Ope_005</v>
      </c>
      <c r="D267" s="3" t="s">
        <v>1074</v>
      </c>
      <c r="E267" s="14">
        <v>45772</v>
      </c>
      <c r="F267" s="5" t="s">
        <v>7166</v>
      </c>
      <c r="G267" s="5" t="s">
        <v>1079</v>
      </c>
      <c r="H267" s="6"/>
      <c r="I267" s="6" t="s">
        <v>14</v>
      </c>
      <c r="J267" s="6" t="s">
        <v>5280</v>
      </c>
      <c r="K267" s="6">
        <v>1044397</v>
      </c>
      <c r="L267" s="7" t="s">
        <v>6629</v>
      </c>
      <c r="M267" s="8">
        <v>23994</v>
      </c>
      <c r="N267" s="8" t="str">
        <f t="shared" si="25"/>
        <v>PEN</v>
      </c>
      <c r="O267" s="13"/>
      <c r="P267" s="13">
        <v>8</v>
      </c>
      <c r="Q267" s="3">
        <f t="shared" si="21"/>
        <v>0</v>
      </c>
      <c r="R267" s="3">
        <f t="shared" si="22"/>
        <v>8</v>
      </c>
      <c r="S267" s="3">
        <f t="shared" si="23"/>
        <v>745.59999999999968</v>
      </c>
      <c r="T267" s="24"/>
      <c r="U267" s="24"/>
      <c r="V267" s="3"/>
      <c r="W267" s="25" t="s">
        <v>6630</v>
      </c>
      <c r="X267" s="25"/>
      <c r="Y267" s="25" t="str">
        <f>IFERROR(VLOOKUP(C_Ope_005[[#This Row],[NOTA 2]],Clientes_Proveedores[[Ruc / Dni]:[Razon Social]],2,0),"")</f>
        <v/>
      </c>
      <c r="Z267" s="25"/>
      <c r="AA267" s="25"/>
      <c r="AB267" s="3" t="str">
        <f>IF(C_Ope_005[[#This Row],[FECHA]]&gt;0,TEXT(C_Ope_005[[#This Row],[FECHA]],"mmmm"),0)</f>
        <v>Abril</v>
      </c>
    </row>
    <row r="268" spans="2:28" x14ac:dyDescent="0.3">
      <c r="B268" s="2">
        <f>IF(C_Ope_005[[#This Row],[TIPO DE R.]]="R",COUNTIFS($D$4:$D267,"R")+1,"")</f>
        <v>264</v>
      </c>
      <c r="C268" s="19" t="str">
        <f t="shared" si="24"/>
        <v>C_Ope_005</v>
      </c>
      <c r="D268" s="3" t="s">
        <v>1074</v>
      </c>
      <c r="E268" s="14">
        <v>45768</v>
      </c>
      <c r="F268" s="5" t="s">
        <v>7166</v>
      </c>
      <c r="G268" s="5" t="s">
        <v>1079</v>
      </c>
      <c r="H268" s="6"/>
      <c r="I268" s="6" t="s">
        <v>14</v>
      </c>
      <c r="J268" s="6" t="s">
        <v>1088</v>
      </c>
      <c r="K268" s="6">
        <v>34407</v>
      </c>
      <c r="L268" s="7" t="s">
        <v>7256</v>
      </c>
      <c r="M268" s="8">
        <v>23944</v>
      </c>
      <c r="N268" s="8" t="str">
        <f t="shared" si="25"/>
        <v>PEN</v>
      </c>
      <c r="O268" s="13"/>
      <c r="P268" s="13">
        <v>10</v>
      </c>
      <c r="Q268" s="3">
        <f t="shared" si="21"/>
        <v>0</v>
      </c>
      <c r="R268" s="3">
        <f t="shared" si="22"/>
        <v>10</v>
      </c>
      <c r="S268" s="3">
        <f t="shared" si="23"/>
        <v>735.59999999999968</v>
      </c>
      <c r="T268" s="24"/>
      <c r="U268" s="24"/>
      <c r="V268" s="3"/>
      <c r="W268" s="25" t="s">
        <v>6541</v>
      </c>
      <c r="X268" s="25"/>
      <c r="Y268" s="25" t="str">
        <f>IFERROR(VLOOKUP(C_Ope_005[[#This Row],[NOTA 2]],Clientes_Proveedores[[Ruc / Dni]:[Razon Social]],2,0),"")</f>
        <v/>
      </c>
      <c r="Z268" s="25"/>
      <c r="AA268" s="25"/>
      <c r="AB268" s="3" t="str">
        <f>IF(C_Ope_005[[#This Row],[FECHA]]&gt;0,TEXT(C_Ope_005[[#This Row],[FECHA]],"mmmm"),0)</f>
        <v>Abril</v>
      </c>
    </row>
    <row r="269" spans="2:28" x14ac:dyDescent="0.3">
      <c r="B269" s="2">
        <f>IF(C_Ope_005[[#This Row],[TIPO DE R.]]="R",COUNTIFS($D$4:$D268,"R")+1,"")</f>
        <v>265</v>
      </c>
      <c r="C269" s="19" t="str">
        <f t="shared" si="24"/>
        <v>C_Ope_005</v>
      </c>
      <c r="D269" s="3" t="s">
        <v>1074</v>
      </c>
      <c r="E269" s="14">
        <v>45770</v>
      </c>
      <c r="F269" s="5" t="s">
        <v>7166</v>
      </c>
      <c r="G269" s="5" t="s">
        <v>1079</v>
      </c>
      <c r="H269" s="6"/>
      <c r="I269" s="6" t="s">
        <v>14</v>
      </c>
      <c r="J269" s="6" t="s">
        <v>1088</v>
      </c>
      <c r="K269" s="6">
        <v>34433</v>
      </c>
      <c r="L269" s="7" t="s">
        <v>7256</v>
      </c>
      <c r="M269" s="8">
        <v>23976</v>
      </c>
      <c r="N269" s="8" t="str">
        <f t="shared" si="25"/>
        <v>PEN</v>
      </c>
      <c r="O269" s="13"/>
      <c r="P269" s="13">
        <v>10</v>
      </c>
      <c r="Q269" s="3">
        <f t="shared" si="21"/>
        <v>0</v>
      </c>
      <c r="R269" s="3">
        <f t="shared" si="22"/>
        <v>10</v>
      </c>
      <c r="S269" s="3">
        <f t="shared" si="23"/>
        <v>725.59999999999968</v>
      </c>
      <c r="T269" s="24"/>
      <c r="U269" s="24"/>
      <c r="V269" s="3"/>
      <c r="W269" s="25" t="s">
        <v>6546</v>
      </c>
      <c r="X269" s="25"/>
      <c r="Y269" s="25" t="str">
        <f>IFERROR(VLOOKUP(C_Ope_005[[#This Row],[NOTA 2]],Clientes_Proveedores[[Ruc / Dni]:[Razon Social]],2,0),"")</f>
        <v/>
      </c>
      <c r="Z269" s="25"/>
      <c r="AA269" s="25"/>
      <c r="AB269" s="3" t="str">
        <f>IF(C_Ope_005[[#This Row],[FECHA]]&gt;0,TEXT(C_Ope_005[[#This Row],[FECHA]],"mmmm"),0)</f>
        <v>Abril</v>
      </c>
    </row>
    <row r="270" spans="2:28" ht="24" x14ac:dyDescent="0.3">
      <c r="B270" s="2">
        <f>IF(C_Ope_005[[#This Row],[TIPO DE R.]]="R",COUNTIFS($D$4:$D269,"R")+1,"")</f>
        <v>266</v>
      </c>
      <c r="C270" s="19" t="str">
        <f t="shared" si="24"/>
        <v>C_Ope_005</v>
      </c>
      <c r="D270" s="3" t="s">
        <v>1074</v>
      </c>
      <c r="E270" s="14">
        <v>45770</v>
      </c>
      <c r="F270" s="5" t="s">
        <v>7166</v>
      </c>
      <c r="G270" s="5" t="s">
        <v>1079</v>
      </c>
      <c r="H270" s="6"/>
      <c r="I270" s="6" t="s">
        <v>14</v>
      </c>
      <c r="J270" s="6" t="s">
        <v>1097</v>
      </c>
      <c r="K270" s="6">
        <v>16188</v>
      </c>
      <c r="L270" s="7" t="s">
        <v>7287</v>
      </c>
      <c r="M270" s="8">
        <v>23977</v>
      </c>
      <c r="N270" s="8" t="str">
        <f t="shared" si="25"/>
        <v>PEN</v>
      </c>
      <c r="O270" s="13"/>
      <c r="P270" s="13">
        <v>20</v>
      </c>
      <c r="Q270" s="3">
        <f t="shared" si="21"/>
        <v>0</v>
      </c>
      <c r="R270" s="3">
        <f t="shared" si="22"/>
        <v>20</v>
      </c>
      <c r="S270" s="3">
        <f t="shared" si="23"/>
        <v>705.59999999999968</v>
      </c>
      <c r="T270" s="24"/>
      <c r="U270" s="24"/>
      <c r="V270" s="3"/>
      <c r="W270" s="25" t="s">
        <v>6546</v>
      </c>
      <c r="X270" s="25"/>
      <c r="Y270" s="25" t="str">
        <f>IFERROR(VLOOKUP(C_Ope_005[[#This Row],[NOTA 2]],Clientes_Proveedores[[Ruc / Dni]:[Razon Social]],2,0),"")</f>
        <v/>
      </c>
      <c r="Z270" s="25"/>
      <c r="AA270" s="25"/>
      <c r="AB270" s="3" t="str">
        <f>IF(C_Ope_005[[#This Row],[FECHA]]&gt;0,TEXT(C_Ope_005[[#This Row],[FECHA]],"mmmm"),0)</f>
        <v>Abril</v>
      </c>
    </row>
    <row r="271" spans="2:28" x14ac:dyDescent="0.3">
      <c r="B271" s="2">
        <f>IF(C_Ope_005[[#This Row],[TIPO DE R.]]="R",COUNTIFS($D$4:$D270,"R")+1,"")</f>
        <v>267</v>
      </c>
      <c r="C271" s="19" t="str">
        <f t="shared" si="24"/>
        <v>C_Ope_005</v>
      </c>
      <c r="D271" s="3" t="s">
        <v>1074</v>
      </c>
      <c r="E271" s="14">
        <v>45771</v>
      </c>
      <c r="F271" s="5" t="s">
        <v>7166</v>
      </c>
      <c r="G271" s="5" t="s">
        <v>1079</v>
      </c>
      <c r="H271" s="6"/>
      <c r="I271" s="6" t="s">
        <v>14</v>
      </c>
      <c r="J271" s="6" t="s">
        <v>6561</v>
      </c>
      <c r="K271" s="6">
        <v>601</v>
      </c>
      <c r="L271" s="7" t="s">
        <v>6603</v>
      </c>
      <c r="M271" s="8">
        <v>23982</v>
      </c>
      <c r="N271" s="8" t="str">
        <f t="shared" si="25"/>
        <v>PEN</v>
      </c>
      <c r="O271" s="13"/>
      <c r="P271" s="13">
        <v>10</v>
      </c>
      <c r="Q271" s="3">
        <f t="shared" si="21"/>
        <v>0</v>
      </c>
      <c r="R271" s="3">
        <f t="shared" si="22"/>
        <v>10</v>
      </c>
      <c r="S271" s="3">
        <f t="shared" si="23"/>
        <v>695.59999999999968</v>
      </c>
      <c r="T271" s="24"/>
      <c r="U271" s="24"/>
      <c r="V271" s="3"/>
      <c r="W271" s="25" t="s">
        <v>6546</v>
      </c>
      <c r="X271" s="25"/>
      <c r="Y271" s="25" t="str">
        <f>IFERROR(VLOOKUP(C_Ope_005[[#This Row],[NOTA 2]],Clientes_Proveedores[[Ruc / Dni]:[Razon Social]],2,0),"")</f>
        <v/>
      </c>
      <c r="Z271" s="25"/>
      <c r="AA271" s="25"/>
      <c r="AB271" s="3" t="str">
        <f>IF(C_Ope_005[[#This Row],[FECHA]]&gt;0,TEXT(C_Ope_005[[#This Row],[FECHA]],"mmmm"),0)</f>
        <v>Abril</v>
      </c>
    </row>
    <row r="272" spans="2:28" x14ac:dyDescent="0.3">
      <c r="B272" s="2">
        <f>IF(C_Ope_005[[#This Row],[TIPO DE R.]]="R",COUNTIFS($D$4:$D271,"R")+1,"")</f>
        <v>268</v>
      </c>
      <c r="C272" s="19" t="str">
        <f t="shared" si="24"/>
        <v>C_Ope_005</v>
      </c>
      <c r="D272" s="3" t="s">
        <v>1074</v>
      </c>
      <c r="E272" s="14">
        <v>45771</v>
      </c>
      <c r="F272" s="5" t="s">
        <v>7166</v>
      </c>
      <c r="G272" s="5" t="s">
        <v>1079</v>
      </c>
      <c r="H272" s="6"/>
      <c r="I272" s="6" t="s">
        <v>14</v>
      </c>
      <c r="J272" s="6" t="s">
        <v>6561</v>
      </c>
      <c r="K272" s="6">
        <v>603</v>
      </c>
      <c r="L272" s="7" t="s">
        <v>6603</v>
      </c>
      <c r="M272" s="8">
        <v>23983</v>
      </c>
      <c r="N272" s="8" t="str">
        <f t="shared" si="25"/>
        <v>PEN</v>
      </c>
      <c r="O272" s="13"/>
      <c r="P272" s="13">
        <v>10</v>
      </c>
      <c r="Q272" s="3">
        <f t="shared" si="21"/>
        <v>0</v>
      </c>
      <c r="R272" s="3">
        <f t="shared" si="22"/>
        <v>10</v>
      </c>
      <c r="S272" s="3">
        <f t="shared" si="23"/>
        <v>685.59999999999968</v>
      </c>
      <c r="T272" s="24"/>
      <c r="U272" s="24"/>
      <c r="V272" s="3"/>
      <c r="W272" s="25" t="s">
        <v>6546</v>
      </c>
      <c r="X272" s="25"/>
      <c r="Y272" s="25" t="str">
        <f>IFERROR(VLOOKUP(C_Ope_005[[#This Row],[NOTA 2]],Clientes_Proveedores[[Ruc / Dni]:[Razon Social]],2,0),"")</f>
        <v/>
      </c>
      <c r="Z272" s="25"/>
      <c r="AA272" s="25"/>
      <c r="AB272" s="3" t="str">
        <f>IF(C_Ope_005[[#This Row],[FECHA]]&gt;0,TEXT(C_Ope_005[[#This Row],[FECHA]],"mmmm"),0)</f>
        <v>Abril</v>
      </c>
    </row>
    <row r="273" spans="2:28" x14ac:dyDescent="0.3">
      <c r="B273" s="2">
        <f>IF(C_Ope_005[[#This Row],[TIPO DE R.]]="R",COUNTIFS($D$4:$D272,"R")+1,"")</f>
        <v>269</v>
      </c>
      <c r="C273" s="19" t="str">
        <f t="shared" si="24"/>
        <v>C_Ope_005</v>
      </c>
      <c r="D273" s="3" t="s">
        <v>1074</v>
      </c>
      <c r="E273" s="14">
        <v>45771</v>
      </c>
      <c r="F273" s="5" t="s">
        <v>7166</v>
      </c>
      <c r="G273" s="5" t="s">
        <v>1079</v>
      </c>
      <c r="H273" s="6"/>
      <c r="I273" s="6" t="s">
        <v>14</v>
      </c>
      <c r="J273" s="6" t="s">
        <v>6561</v>
      </c>
      <c r="K273" s="6">
        <v>604</v>
      </c>
      <c r="L273" s="7" t="s">
        <v>7288</v>
      </c>
      <c r="M273" s="8">
        <v>23984</v>
      </c>
      <c r="N273" s="8" t="str">
        <f t="shared" si="25"/>
        <v>PEN</v>
      </c>
      <c r="O273" s="13"/>
      <c r="P273" s="13">
        <v>10</v>
      </c>
      <c r="Q273" s="3">
        <f t="shared" si="21"/>
        <v>0</v>
      </c>
      <c r="R273" s="3">
        <f t="shared" si="22"/>
        <v>10</v>
      </c>
      <c r="S273" s="3">
        <f t="shared" si="23"/>
        <v>675.59999999999968</v>
      </c>
      <c r="T273" s="24"/>
      <c r="U273" s="24"/>
      <c r="V273" s="3"/>
      <c r="W273" s="25" t="s">
        <v>6546</v>
      </c>
      <c r="X273" s="25"/>
      <c r="Y273" s="25" t="str">
        <f>IFERROR(VLOOKUP(C_Ope_005[[#This Row],[NOTA 2]],Clientes_Proveedores[[Ruc / Dni]:[Razon Social]],2,0),"")</f>
        <v/>
      </c>
      <c r="Z273" s="25"/>
      <c r="AA273" s="25"/>
      <c r="AB273" s="3" t="str">
        <f>IF(C_Ope_005[[#This Row],[FECHA]]&gt;0,TEXT(C_Ope_005[[#This Row],[FECHA]],"mmmm"),0)</f>
        <v>Abril</v>
      </c>
    </row>
    <row r="274" spans="2:28" x14ac:dyDescent="0.3">
      <c r="B274" s="2">
        <f>IF(C_Ope_005[[#This Row],[TIPO DE R.]]="R",COUNTIFS($D$4:$D273,"R")+1,"")</f>
        <v>270</v>
      </c>
      <c r="C274" s="19" t="str">
        <f t="shared" si="24"/>
        <v>C_Ope_005</v>
      </c>
      <c r="D274" s="3" t="s">
        <v>1074</v>
      </c>
      <c r="E274" s="14">
        <v>45772</v>
      </c>
      <c r="F274" s="5" t="s">
        <v>7166</v>
      </c>
      <c r="G274" s="5" t="s">
        <v>1079</v>
      </c>
      <c r="H274" s="6"/>
      <c r="I274" s="6" t="s">
        <v>14</v>
      </c>
      <c r="J274" s="6" t="s">
        <v>1119</v>
      </c>
      <c r="K274" s="6">
        <v>17369</v>
      </c>
      <c r="L274" s="7" t="s">
        <v>6633</v>
      </c>
      <c r="M274" s="8">
        <v>23988</v>
      </c>
      <c r="N274" s="8" t="str">
        <f t="shared" si="25"/>
        <v>PEN</v>
      </c>
      <c r="O274" s="13"/>
      <c r="P274" s="13">
        <v>11</v>
      </c>
      <c r="Q274" s="3">
        <f t="shared" si="21"/>
        <v>0</v>
      </c>
      <c r="R274" s="3">
        <f t="shared" si="22"/>
        <v>11</v>
      </c>
      <c r="S274" s="3">
        <f t="shared" si="23"/>
        <v>664.59999999999968</v>
      </c>
      <c r="T274" s="24"/>
      <c r="U274" s="24"/>
      <c r="V274" s="3"/>
      <c r="W274" s="25" t="s">
        <v>6630</v>
      </c>
      <c r="X274" s="25"/>
      <c r="Y274" s="25" t="str">
        <f>IFERROR(VLOOKUP(C_Ope_005[[#This Row],[NOTA 2]],Clientes_Proveedores[[Ruc / Dni]:[Razon Social]],2,0),"")</f>
        <v/>
      </c>
      <c r="Z274" s="25"/>
      <c r="AA274" s="25"/>
      <c r="AB274" s="3" t="str">
        <f>IF(C_Ope_005[[#This Row],[FECHA]]&gt;0,TEXT(C_Ope_005[[#This Row],[FECHA]],"mmmm"),0)</f>
        <v>Abril</v>
      </c>
    </row>
    <row r="275" spans="2:28" x14ac:dyDescent="0.3">
      <c r="B275" s="2">
        <f>IF(C_Ope_005[[#This Row],[TIPO DE R.]]="R",COUNTIFS($D$4:$D274,"R")+1,"")</f>
        <v>271</v>
      </c>
      <c r="C275" s="19" t="str">
        <f t="shared" si="24"/>
        <v>C_Ope_005</v>
      </c>
      <c r="D275" s="3" t="s">
        <v>1074</v>
      </c>
      <c r="E275" s="14">
        <v>45769</v>
      </c>
      <c r="F275" s="5" t="s">
        <v>7166</v>
      </c>
      <c r="G275" s="5" t="s">
        <v>1079</v>
      </c>
      <c r="H275" s="6"/>
      <c r="I275" s="6" t="s">
        <v>14</v>
      </c>
      <c r="J275" s="6" t="s">
        <v>1119</v>
      </c>
      <c r="K275" s="6">
        <v>17387</v>
      </c>
      <c r="L275" s="7" t="s">
        <v>7272</v>
      </c>
      <c r="M275" s="8">
        <v>23966</v>
      </c>
      <c r="N275" s="8" t="str">
        <f t="shared" si="25"/>
        <v>PEN</v>
      </c>
      <c r="O275" s="13"/>
      <c r="P275" s="13">
        <v>25</v>
      </c>
      <c r="Q275" s="3">
        <f t="shared" si="21"/>
        <v>0</v>
      </c>
      <c r="R275" s="3">
        <f t="shared" si="22"/>
        <v>25</v>
      </c>
      <c r="S275" s="3">
        <f t="shared" si="23"/>
        <v>639.59999999999968</v>
      </c>
      <c r="T275" s="24"/>
      <c r="U275" s="24"/>
      <c r="V275" s="3"/>
      <c r="W275" s="25" t="s">
        <v>6546</v>
      </c>
      <c r="X275" s="25"/>
      <c r="Y275" s="25" t="str">
        <f>IFERROR(VLOOKUP(C_Ope_005[[#This Row],[NOTA 2]],Clientes_Proveedores[[Ruc / Dni]:[Razon Social]],2,0),"")</f>
        <v/>
      </c>
      <c r="Z275" s="25"/>
      <c r="AA275" s="25"/>
      <c r="AB275" s="3" t="str">
        <f>IF(C_Ope_005[[#This Row],[FECHA]]&gt;0,TEXT(C_Ope_005[[#This Row],[FECHA]],"mmmm"),0)</f>
        <v>Abril</v>
      </c>
    </row>
    <row r="276" spans="2:28" x14ac:dyDescent="0.3">
      <c r="B276" s="2">
        <f>IF(C_Ope_005[[#This Row],[TIPO DE R.]]="R",COUNTIFS($D$4:$D275,"R")+1,"")</f>
        <v>272</v>
      </c>
      <c r="C276" s="19" t="str">
        <f t="shared" si="24"/>
        <v>C_Ope_005</v>
      </c>
      <c r="D276" s="3" t="s">
        <v>1074</v>
      </c>
      <c r="E276" s="14">
        <v>45777</v>
      </c>
      <c r="F276" s="5" t="s">
        <v>6299</v>
      </c>
      <c r="G276" s="5" t="s">
        <v>1087</v>
      </c>
      <c r="H276" s="6"/>
      <c r="I276" s="6"/>
      <c r="J276" s="6"/>
      <c r="K276" s="6"/>
      <c r="L276" s="7" t="s">
        <v>6302</v>
      </c>
      <c r="M276" s="8">
        <v>24090</v>
      </c>
      <c r="N276" s="8" t="str">
        <f t="shared" si="25"/>
        <v>PEN</v>
      </c>
      <c r="O276" s="13"/>
      <c r="P276" s="13">
        <v>500</v>
      </c>
      <c r="Q276" s="3">
        <f t="shared" si="21"/>
        <v>500</v>
      </c>
      <c r="R276" s="3">
        <f t="shared" si="22"/>
        <v>0</v>
      </c>
      <c r="S276" s="3">
        <f t="shared" si="23"/>
        <v>1139.5999999999997</v>
      </c>
      <c r="T276" s="24"/>
      <c r="U276" s="24"/>
      <c r="V276" s="3"/>
      <c r="W276" s="25"/>
      <c r="X276" s="25"/>
      <c r="Y276" s="25" t="str">
        <f>IFERROR(VLOOKUP(C_Ope_005[[#This Row],[NOTA 2]],Clientes_Proveedores[[Ruc / Dni]:[Razon Social]],2,0),"")</f>
        <v/>
      </c>
      <c r="Z276" s="25"/>
      <c r="AA276" s="25">
        <f>ROUND(C_Ope_005[[#This Row],[MONTO ]]/1.18,3)</f>
        <v>423.72899999999998</v>
      </c>
      <c r="AB276" s="3" t="str">
        <f>IF(C_Ope_005[[#This Row],[FECHA]]&gt;0,TEXT(C_Ope_005[[#This Row],[FECHA]],"mmmm"),0)</f>
        <v>Abril</v>
      </c>
    </row>
    <row r="277" spans="2:28" x14ac:dyDescent="0.3">
      <c r="B277" s="2">
        <f>IF(C_Ope_005[[#This Row],[TIPO DE R.]]="R",COUNTIFS($D$4:$D276,"R")+1,"")</f>
        <v>273</v>
      </c>
      <c r="C277" s="19" t="str">
        <f t="shared" si="24"/>
        <v>C_Ope_005</v>
      </c>
      <c r="D277" s="3" t="s">
        <v>1074</v>
      </c>
      <c r="E277" s="14">
        <v>45775</v>
      </c>
      <c r="F277" s="5" t="s">
        <v>7166</v>
      </c>
      <c r="G277" s="5" t="s">
        <v>1079</v>
      </c>
      <c r="H277" s="6"/>
      <c r="I277" s="6" t="s">
        <v>14</v>
      </c>
      <c r="J277" s="6" t="s">
        <v>1119</v>
      </c>
      <c r="K277" s="6">
        <v>45054</v>
      </c>
      <c r="L277" s="7" t="s">
        <v>7289</v>
      </c>
      <c r="M277" s="8">
        <v>24032</v>
      </c>
      <c r="N277" s="8" t="str">
        <f t="shared" si="25"/>
        <v>PEN</v>
      </c>
      <c r="O277" s="13"/>
      <c r="P277" s="13">
        <v>150</v>
      </c>
      <c r="Q277" s="3">
        <f t="shared" si="21"/>
        <v>0</v>
      </c>
      <c r="R277" s="3">
        <f t="shared" si="22"/>
        <v>150</v>
      </c>
      <c r="S277" s="3">
        <f t="shared" si="23"/>
        <v>989.59999999999968</v>
      </c>
      <c r="T277" s="24"/>
      <c r="U277" s="24"/>
      <c r="V277" s="3"/>
      <c r="W277" s="25" t="s">
        <v>6546</v>
      </c>
      <c r="X277" s="25"/>
      <c r="Y277" s="25" t="str">
        <f>IFERROR(VLOOKUP(C_Ope_005[[#This Row],[NOTA 2]],Clientes_Proveedores[[Ruc / Dni]:[Razon Social]],2,0),"")</f>
        <v/>
      </c>
      <c r="Z277" s="25"/>
      <c r="AA277" s="25"/>
      <c r="AB277" s="3" t="str">
        <f>IF(C_Ope_005[[#This Row],[FECHA]]&gt;0,TEXT(C_Ope_005[[#This Row],[FECHA]],"mmmm"),0)</f>
        <v>Abril</v>
      </c>
    </row>
    <row r="278" spans="2:28" ht="24" x14ac:dyDescent="0.3">
      <c r="B278" s="2">
        <f>IF(C_Ope_005[[#This Row],[TIPO DE R.]]="R",COUNTIFS($D$4:$D277,"R")+1,"")</f>
        <v>274</v>
      </c>
      <c r="C278" s="19" t="str">
        <f t="shared" si="24"/>
        <v>C_Ope_005</v>
      </c>
      <c r="D278" s="3" t="s">
        <v>1074</v>
      </c>
      <c r="E278" s="14">
        <v>45774</v>
      </c>
      <c r="F278" s="5" t="s">
        <v>7166</v>
      </c>
      <c r="G278" s="5" t="s">
        <v>1079</v>
      </c>
      <c r="H278" s="6"/>
      <c r="I278" s="6" t="s">
        <v>14</v>
      </c>
      <c r="J278" s="6" t="s">
        <v>7183</v>
      </c>
      <c r="K278" s="6">
        <v>1767469</v>
      </c>
      <c r="L278" s="7" t="s">
        <v>7290</v>
      </c>
      <c r="M278" s="8">
        <v>24024</v>
      </c>
      <c r="N278" s="8" t="str">
        <f t="shared" si="25"/>
        <v>PEN</v>
      </c>
      <c r="O278" s="13"/>
      <c r="P278" s="13">
        <v>7.7</v>
      </c>
      <c r="Q278" s="3">
        <f t="shared" si="21"/>
        <v>0</v>
      </c>
      <c r="R278" s="3">
        <f t="shared" si="22"/>
        <v>7.7</v>
      </c>
      <c r="S278" s="3">
        <f t="shared" si="23"/>
        <v>981.89999999999964</v>
      </c>
      <c r="T278" s="24"/>
      <c r="U278" s="24"/>
      <c r="V278" s="3"/>
      <c r="W278" s="25" t="s">
        <v>6546</v>
      </c>
      <c r="X278" s="25"/>
      <c r="Y278" s="25" t="str">
        <f>IFERROR(VLOOKUP(C_Ope_005[[#This Row],[NOTA 2]],Clientes_Proveedores[[Ruc / Dni]:[Razon Social]],2,0),"")</f>
        <v/>
      </c>
      <c r="Z278" s="25"/>
      <c r="AA278" s="25"/>
      <c r="AB278" s="3" t="str">
        <f>IF(C_Ope_005[[#This Row],[FECHA]]&gt;0,TEXT(C_Ope_005[[#This Row],[FECHA]],"mmmm"),0)</f>
        <v>Abril</v>
      </c>
    </row>
    <row r="279" spans="2:28" ht="24" x14ac:dyDescent="0.3">
      <c r="B279" s="2">
        <f>IF(C_Ope_005[[#This Row],[TIPO DE R.]]="R",COUNTIFS($D$4:$D278,"R")+1,"")</f>
        <v>275</v>
      </c>
      <c r="C279" s="19" t="str">
        <f t="shared" si="24"/>
        <v>C_Ope_005</v>
      </c>
      <c r="D279" s="3" t="s">
        <v>1074</v>
      </c>
      <c r="E279" s="14">
        <v>45775</v>
      </c>
      <c r="F279" s="5" t="s">
        <v>7166</v>
      </c>
      <c r="G279" s="5" t="s">
        <v>1079</v>
      </c>
      <c r="H279" s="6"/>
      <c r="I279" s="6" t="s">
        <v>14</v>
      </c>
      <c r="J279" s="6" t="s">
        <v>7185</v>
      </c>
      <c r="K279" s="6">
        <v>610420</v>
      </c>
      <c r="L279" s="7" t="s">
        <v>7291</v>
      </c>
      <c r="M279" s="8">
        <v>24030</v>
      </c>
      <c r="N279" s="8" t="str">
        <f t="shared" si="25"/>
        <v>PEN</v>
      </c>
      <c r="O279" s="13"/>
      <c r="P279" s="13">
        <v>7.7</v>
      </c>
      <c r="Q279" s="3">
        <f t="shared" si="21"/>
        <v>0</v>
      </c>
      <c r="R279" s="3">
        <f t="shared" si="22"/>
        <v>7.7</v>
      </c>
      <c r="S279" s="3">
        <f t="shared" si="23"/>
        <v>974.19999999999959</v>
      </c>
      <c r="T279" s="24"/>
      <c r="U279" s="24"/>
      <c r="V279" s="3"/>
      <c r="W279" s="25" t="s">
        <v>6546</v>
      </c>
      <c r="X279" s="25"/>
      <c r="Y279" s="25" t="str">
        <f>IFERROR(VLOOKUP(C_Ope_005[[#This Row],[NOTA 2]],Clientes_Proveedores[[Ruc / Dni]:[Razon Social]],2,0),"")</f>
        <v/>
      </c>
      <c r="Z279" s="25"/>
      <c r="AA279" s="25"/>
      <c r="AB279" s="3" t="str">
        <f>IF(C_Ope_005[[#This Row],[FECHA]]&gt;0,TEXT(C_Ope_005[[#This Row],[FECHA]],"mmmm"),0)</f>
        <v>Abril</v>
      </c>
    </row>
    <row r="280" spans="2:28" ht="24" x14ac:dyDescent="0.3">
      <c r="B280" s="2">
        <f>IF(C_Ope_005[[#This Row],[TIPO DE R.]]="R",COUNTIFS($D$4:$D279,"R")+1,"")</f>
        <v>276</v>
      </c>
      <c r="C280" s="19" t="str">
        <f t="shared" si="24"/>
        <v>C_Ope_005</v>
      </c>
      <c r="D280" s="3" t="s">
        <v>1074</v>
      </c>
      <c r="E280" s="14">
        <v>45775</v>
      </c>
      <c r="F280" s="5" t="s">
        <v>7166</v>
      </c>
      <c r="G280" s="5" t="s">
        <v>1079</v>
      </c>
      <c r="H280" s="6"/>
      <c r="I280" s="6" t="s">
        <v>14</v>
      </c>
      <c r="J280" s="6" t="s">
        <v>7187</v>
      </c>
      <c r="K280" s="6">
        <v>620230</v>
      </c>
      <c r="L280" s="7" t="s">
        <v>7291</v>
      </c>
      <c r="M280" s="8">
        <v>24031</v>
      </c>
      <c r="N280" s="8" t="str">
        <f t="shared" si="25"/>
        <v>PEN</v>
      </c>
      <c r="O280" s="13"/>
      <c r="P280" s="13">
        <v>7.7</v>
      </c>
      <c r="Q280" s="3">
        <f t="shared" si="21"/>
        <v>0</v>
      </c>
      <c r="R280" s="3">
        <f t="shared" si="22"/>
        <v>7.7</v>
      </c>
      <c r="S280" s="3">
        <f t="shared" si="23"/>
        <v>966.49999999999955</v>
      </c>
      <c r="T280" s="24"/>
      <c r="U280" s="24"/>
      <c r="V280" s="3"/>
      <c r="W280" s="25" t="s">
        <v>6546</v>
      </c>
      <c r="X280" s="25"/>
      <c r="Y280" s="25" t="str">
        <f>IFERROR(VLOOKUP(C_Ope_005[[#This Row],[NOTA 2]],Clientes_Proveedores[[Ruc / Dni]:[Razon Social]],2,0),"")</f>
        <v/>
      </c>
      <c r="Z280" s="25"/>
      <c r="AA280" s="25"/>
      <c r="AB280" s="3" t="str">
        <f>IF(C_Ope_005[[#This Row],[FECHA]]&gt;0,TEXT(C_Ope_005[[#This Row],[FECHA]],"mmmm"),0)</f>
        <v>Abril</v>
      </c>
    </row>
    <row r="281" spans="2:28" ht="24" x14ac:dyDescent="0.3">
      <c r="B281" s="2">
        <f>IF(C_Ope_005[[#This Row],[TIPO DE R.]]="R",COUNTIFS($D$4:$D280,"R")+1,"")</f>
        <v>277</v>
      </c>
      <c r="C281" s="19" t="str">
        <f t="shared" si="24"/>
        <v>C_Ope_005</v>
      </c>
      <c r="D281" s="3" t="s">
        <v>1074</v>
      </c>
      <c r="E281" s="14">
        <v>45777</v>
      </c>
      <c r="F281" s="5" t="s">
        <v>7166</v>
      </c>
      <c r="G281" s="5" t="s">
        <v>1079</v>
      </c>
      <c r="H281" s="6"/>
      <c r="I281" s="6" t="s">
        <v>14</v>
      </c>
      <c r="J281" s="6" t="s">
        <v>7188</v>
      </c>
      <c r="K281" s="6">
        <v>1814341</v>
      </c>
      <c r="L281" s="7" t="s">
        <v>7290</v>
      </c>
      <c r="M281" s="8">
        <v>24071</v>
      </c>
      <c r="N281" s="8" t="str">
        <f t="shared" si="25"/>
        <v>PEN</v>
      </c>
      <c r="O281" s="13"/>
      <c r="P281" s="13">
        <v>7.7</v>
      </c>
      <c r="Q281" s="3">
        <f t="shared" si="21"/>
        <v>0</v>
      </c>
      <c r="R281" s="3">
        <f t="shared" si="22"/>
        <v>7.7</v>
      </c>
      <c r="S281" s="3">
        <f t="shared" si="23"/>
        <v>958.7999999999995</v>
      </c>
      <c r="T281" s="24"/>
      <c r="U281" s="24"/>
      <c r="V281" s="3"/>
      <c r="W281" s="25" t="s">
        <v>6546</v>
      </c>
      <c r="X281" s="25"/>
      <c r="Y281" s="25" t="str">
        <f>IFERROR(VLOOKUP(C_Ope_005[[#This Row],[NOTA 2]],Clientes_Proveedores[[Ruc / Dni]:[Razon Social]],2,0),"")</f>
        <v/>
      </c>
      <c r="Z281" s="25"/>
      <c r="AA281" s="25"/>
      <c r="AB281" s="3" t="str">
        <f>IF(C_Ope_005[[#This Row],[FECHA]]&gt;0,TEXT(C_Ope_005[[#This Row],[FECHA]],"mmmm"),0)</f>
        <v>Abril</v>
      </c>
    </row>
    <row r="282" spans="2:28" ht="24" x14ac:dyDescent="0.3">
      <c r="B282" s="2">
        <f>IF(C_Ope_005[[#This Row],[TIPO DE R.]]="R",COUNTIFS($D$4:$D281,"R")+1,"")</f>
        <v>278</v>
      </c>
      <c r="C282" s="19" t="str">
        <f t="shared" si="24"/>
        <v>C_Ope_005</v>
      </c>
      <c r="D282" s="3" t="s">
        <v>1074</v>
      </c>
      <c r="E282" s="14">
        <v>45777</v>
      </c>
      <c r="F282" s="5" t="s">
        <v>7166</v>
      </c>
      <c r="G282" s="5" t="s">
        <v>1079</v>
      </c>
      <c r="H282" s="6"/>
      <c r="I282" s="6" t="s">
        <v>14</v>
      </c>
      <c r="J282" s="6" t="s">
        <v>5243</v>
      </c>
      <c r="K282" s="6">
        <v>2316155</v>
      </c>
      <c r="L282" s="7" t="s">
        <v>7292</v>
      </c>
      <c r="M282" s="8">
        <v>24072</v>
      </c>
      <c r="N282" s="8" t="str">
        <f t="shared" si="25"/>
        <v>PEN</v>
      </c>
      <c r="O282" s="13"/>
      <c r="P282" s="13">
        <v>8</v>
      </c>
      <c r="Q282" s="3">
        <f t="shared" si="21"/>
        <v>0</v>
      </c>
      <c r="R282" s="3">
        <f t="shared" si="22"/>
        <v>8</v>
      </c>
      <c r="S282" s="3">
        <f t="shared" si="23"/>
        <v>950.7999999999995</v>
      </c>
      <c r="T282" s="24"/>
      <c r="U282" s="24"/>
      <c r="V282" s="3"/>
      <c r="W282" s="25" t="s">
        <v>6546</v>
      </c>
      <c r="X282" s="25"/>
      <c r="Y282" s="25" t="str">
        <f>IFERROR(VLOOKUP(C_Ope_005[[#This Row],[NOTA 2]],Clientes_Proveedores[[Ruc / Dni]:[Razon Social]],2,0),"")</f>
        <v/>
      </c>
      <c r="Z282" s="25"/>
      <c r="AA282" s="25"/>
      <c r="AB282" s="3" t="str">
        <f>IF(C_Ope_005[[#This Row],[FECHA]]&gt;0,TEXT(C_Ope_005[[#This Row],[FECHA]],"mmmm"),0)</f>
        <v>Abril</v>
      </c>
    </row>
    <row r="283" spans="2:28" ht="24" x14ac:dyDescent="0.3">
      <c r="B283" s="2">
        <f>IF(C_Ope_005[[#This Row],[TIPO DE R.]]="R",COUNTIFS($D$4:$D282,"R")+1,"")</f>
        <v>279</v>
      </c>
      <c r="C283" s="19" t="str">
        <f t="shared" si="24"/>
        <v>C_Ope_005</v>
      </c>
      <c r="D283" s="3" t="s">
        <v>1074</v>
      </c>
      <c r="E283" s="14">
        <v>45777</v>
      </c>
      <c r="F283" s="5" t="s">
        <v>7166</v>
      </c>
      <c r="G283" s="5" t="s">
        <v>1079</v>
      </c>
      <c r="H283" s="6"/>
      <c r="I283" s="6" t="s">
        <v>14</v>
      </c>
      <c r="J283" s="6" t="s">
        <v>5242</v>
      </c>
      <c r="K283" s="6">
        <v>2036633</v>
      </c>
      <c r="L283" s="7" t="s">
        <v>7292</v>
      </c>
      <c r="M283" s="8">
        <v>24073</v>
      </c>
      <c r="N283" s="8" t="str">
        <f t="shared" si="25"/>
        <v>PEN</v>
      </c>
      <c r="O283" s="13"/>
      <c r="P283" s="13">
        <v>8</v>
      </c>
      <c r="Q283" s="3">
        <f t="shared" si="21"/>
        <v>0</v>
      </c>
      <c r="R283" s="3">
        <f t="shared" si="22"/>
        <v>8</v>
      </c>
      <c r="S283" s="3">
        <f t="shared" si="23"/>
        <v>942.7999999999995</v>
      </c>
      <c r="T283" s="24"/>
      <c r="U283" s="24"/>
      <c r="V283" s="3"/>
      <c r="W283" s="25" t="s">
        <v>6546</v>
      </c>
      <c r="X283" s="25"/>
      <c r="Y283" s="25" t="str">
        <f>IFERROR(VLOOKUP(C_Ope_005[[#This Row],[NOTA 2]],Clientes_Proveedores[[Ruc / Dni]:[Razon Social]],2,0),"")</f>
        <v/>
      </c>
      <c r="Z283" s="25"/>
      <c r="AA283" s="25"/>
      <c r="AB283" s="3" t="str">
        <f>IF(C_Ope_005[[#This Row],[FECHA]]&gt;0,TEXT(C_Ope_005[[#This Row],[FECHA]],"mmmm"),0)</f>
        <v>Abril</v>
      </c>
    </row>
    <row r="284" spans="2:28" x14ac:dyDescent="0.3">
      <c r="B284" s="2">
        <f>IF(C_Ope_005[[#This Row],[TIPO DE R.]]="R",COUNTIFS($D$4:$D283,"R")+1,"")</f>
        <v>280</v>
      </c>
      <c r="C284" s="19" t="str">
        <f t="shared" si="24"/>
        <v>C_Ope_005</v>
      </c>
      <c r="D284" s="3" t="s">
        <v>1074</v>
      </c>
      <c r="E284" s="14">
        <v>45774</v>
      </c>
      <c r="F284" s="5" t="s">
        <v>7166</v>
      </c>
      <c r="G284" s="5" t="s">
        <v>1079</v>
      </c>
      <c r="H284" s="6"/>
      <c r="I284" s="6"/>
      <c r="J284" s="6"/>
      <c r="K284" s="6"/>
      <c r="L284" s="7" t="s">
        <v>6897</v>
      </c>
      <c r="M284" s="8">
        <v>24025</v>
      </c>
      <c r="N284" s="8" t="str">
        <f t="shared" si="25"/>
        <v>PEN</v>
      </c>
      <c r="O284" s="13"/>
      <c r="P284" s="13">
        <v>24</v>
      </c>
      <c r="Q284" s="3">
        <f t="shared" si="21"/>
        <v>0</v>
      </c>
      <c r="R284" s="3">
        <f t="shared" si="22"/>
        <v>24</v>
      </c>
      <c r="S284" s="3">
        <f t="shared" si="23"/>
        <v>918.7999999999995</v>
      </c>
      <c r="T284" s="24"/>
      <c r="U284" s="24"/>
      <c r="V284" s="3"/>
      <c r="W284" s="25" t="s">
        <v>6546</v>
      </c>
      <c r="X284" s="25"/>
      <c r="Y284" s="25" t="str">
        <f>IFERROR(VLOOKUP(C_Ope_005[[#This Row],[NOTA 2]],Clientes_Proveedores[[Ruc / Dni]:[Razon Social]],2,0),"")</f>
        <v/>
      </c>
      <c r="Z284" s="25"/>
      <c r="AA284" s="25"/>
      <c r="AB284" s="3" t="str">
        <f>IF(C_Ope_005[[#This Row],[FECHA]]&gt;0,TEXT(C_Ope_005[[#This Row],[FECHA]],"mmmm"),0)</f>
        <v>Abril</v>
      </c>
    </row>
    <row r="285" spans="2:28" x14ac:dyDescent="0.3">
      <c r="B285" s="2">
        <f>IF(C_Ope_005[[#This Row],[TIPO DE R.]]="R",COUNTIFS($D$4:$D284,"R")+1,"")</f>
        <v>281</v>
      </c>
      <c r="C285" s="19" t="str">
        <f t="shared" si="24"/>
        <v>C_Ope_005</v>
      </c>
      <c r="D285" s="3" t="s">
        <v>1074</v>
      </c>
      <c r="E285" s="14">
        <v>45774</v>
      </c>
      <c r="F285" s="5" t="s">
        <v>7166</v>
      </c>
      <c r="G285" s="5" t="s">
        <v>1079</v>
      </c>
      <c r="H285" s="6"/>
      <c r="I285" s="6"/>
      <c r="J285" s="6"/>
      <c r="K285" s="6"/>
      <c r="L285" s="7" t="s">
        <v>6889</v>
      </c>
      <c r="M285" s="8">
        <v>24026</v>
      </c>
      <c r="N285" s="8" t="str">
        <f t="shared" si="25"/>
        <v>PEN</v>
      </c>
      <c r="O285" s="13"/>
      <c r="P285" s="13">
        <v>30</v>
      </c>
      <c r="Q285" s="3">
        <f t="shared" si="21"/>
        <v>0</v>
      </c>
      <c r="R285" s="3">
        <f t="shared" si="22"/>
        <v>30</v>
      </c>
      <c r="S285" s="3">
        <f t="shared" si="23"/>
        <v>888.7999999999995</v>
      </c>
      <c r="T285" s="24"/>
      <c r="U285" s="24"/>
      <c r="V285" s="3"/>
      <c r="W285" s="25" t="s">
        <v>6546</v>
      </c>
      <c r="X285" s="25"/>
      <c r="Y285" s="25" t="str">
        <f>IFERROR(VLOOKUP(C_Ope_005[[#This Row],[NOTA 2]],Clientes_Proveedores[[Ruc / Dni]:[Razon Social]],2,0),"")</f>
        <v/>
      </c>
      <c r="Z285" s="25"/>
      <c r="AA285" s="25"/>
      <c r="AB285" s="3" t="str">
        <f>IF(C_Ope_005[[#This Row],[FECHA]]&gt;0,TEXT(C_Ope_005[[#This Row],[FECHA]],"mmmm"),0)</f>
        <v>Abril</v>
      </c>
    </row>
    <row r="286" spans="2:28" x14ac:dyDescent="0.3">
      <c r="B286" s="2">
        <f>IF(C_Ope_005[[#This Row],[TIPO DE R.]]="R",COUNTIFS($D$4:$D285,"R")+1,"")</f>
        <v>282</v>
      </c>
      <c r="C286" s="19" t="str">
        <f t="shared" si="24"/>
        <v>C_Ope_005</v>
      </c>
      <c r="D286" s="3" t="s">
        <v>1074</v>
      </c>
      <c r="E286" s="14">
        <v>45774</v>
      </c>
      <c r="F286" s="5" t="s">
        <v>7166</v>
      </c>
      <c r="G286" s="5" t="s">
        <v>1079</v>
      </c>
      <c r="H286" s="6"/>
      <c r="I286" s="6"/>
      <c r="J286" s="6"/>
      <c r="K286" s="6"/>
      <c r="L286" s="7" t="s">
        <v>6903</v>
      </c>
      <c r="M286" s="8">
        <v>24027</v>
      </c>
      <c r="N286" s="8" t="str">
        <f t="shared" si="25"/>
        <v>PEN</v>
      </c>
      <c r="O286" s="13"/>
      <c r="P286" s="13">
        <v>24</v>
      </c>
      <c r="Q286" s="3">
        <f t="shared" si="21"/>
        <v>0</v>
      </c>
      <c r="R286" s="3">
        <f t="shared" si="22"/>
        <v>24</v>
      </c>
      <c r="S286" s="3">
        <f t="shared" si="23"/>
        <v>864.7999999999995</v>
      </c>
      <c r="T286" s="24"/>
      <c r="U286" s="24"/>
      <c r="V286" s="3"/>
      <c r="W286" s="25" t="s">
        <v>6546</v>
      </c>
      <c r="X286" s="25"/>
      <c r="Y286" s="25" t="str">
        <f>IFERROR(VLOOKUP(C_Ope_005[[#This Row],[NOTA 2]],Clientes_Proveedores[[Ruc / Dni]:[Razon Social]],2,0),"")</f>
        <v/>
      </c>
      <c r="Z286" s="25"/>
      <c r="AA286" s="25"/>
      <c r="AB286" s="3" t="str">
        <f>IF(C_Ope_005[[#This Row],[FECHA]]&gt;0,TEXT(C_Ope_005[[#This Row],[FECHA]],"mmmm"),0)</f>
        <v>Abril</v>
      </c>
    </row>
    <row r="287" spans="2:28" x14ac:dyDescent="0.3">
      <c r="B287" s="2">
        <f>IF(C_Ope_005[[#This Row],[TIPO DE R.]]="R",COUNTIFS($D$4:$D286,"R")+1,"")</f>
        <v>283</v>
      </c>
      <c r="C287" s="19" t="str">
        <f t="shared" si="24"/>
        <v>C_Ope_005</v>
      </c>
      <c r="D287" s="3" t="s">
        <v>1074</v>
      </c>
      <c r="E287" s="14">
        <v>45774</v>
      </c>
      <c r="F287" s="5" t="s">
        <v>7166</v>
      </c>
      <c r="G287" s="5" t="s">
        <v>1079</v>
      </c>
      <c r="H287" s="6"/>
      <c r="I287" s="6"/>
      <c r="J287" s="6"/>
      <c r="K287" s="6"/>
      <c r="L287" s="7" t="s">
        <v>7293</v>
      </c>
      <c r="M287" s="8">
        <v>24028</v>
      </c>
      <c r="N287" s="8" t="str">
        <f t="shared" si="25"/>
        <v>PEN</v>
      </c>
      <c r="O287" s="13"/>
      <c r="P287" s="13">
        <v>100</v>
      </c>
      <c r="Q287" s="3">
        <f t="shared" si="21"/>
        <v>0</v>
      </c>
      <c r="R287" s="3">
        <f t="shared" si="22"/>
        <v>100</v>
      </c>
      <c r="S287" s="3">
        <f t="shared" si="23"/>
        <v>764.7999999999995</v>
      </c>
      <c r="T287" s="24"/>
      <c r="U287" s="24"/>
      <c r="V287" s="3"/>
      <c r="W287" s="25" t="s">
        <v>6546</v>
      </c>
      <c r="X287" s="25"/>
      <c r="Y287" s="25" t="str">
        <f>IFERROR(VLOOKUP(C_Ope_005[[#This Row],[NOTA 2]],Clientes_Proveedores[[Ruc / Dni]:[Razon Social]],2,0),"")</f>
        <v/>
      </c>
      <c r="Z287" s="25"/>
      <c r="AA287" s="25"/>
      <c r="AB287" s="3" t="str">
        <f>IF(C_Ope_005[[#This Row],[FECHA]]&gt;0,TEXT(C_Ope_005[[#This Row],[FECHA]],"mmmm"),0)</f>
        <v>Abril</v>
      </c>
    </row>
    <row r="288" spans="2:28" x14ac:dyDescent="0.3">
      <c r="B288" s="2">
        <f>IF(C_Ope_005[[#This Row],[TIPO DE R.]]="R",COUNTIFS($D$4:$D287,"R")+1,"")</f>
        <v>284</v>
      </c>
      <c r="C288" s="19" t="str">
        <f t="shared" si="24"/>
        <v>C_Ope_005</v>
      </c>
      <c r="D288" s="3" t="s">
        <v>1074</v>
      </c>
      <c r="E288" s="14">
        <v>45774</v>
      </c>
      <c r="F288" s="5" t="s">
        <v>7166</v>
      </c>
      <c r="G288" s="5" t="s">
        <v>1079</v>
      </c>
      <c r="H288" s="6"/>
      <c r="I288" s="6"/>
      <c r="J288" s="6"/>
      <c r="K288" s="6"/>
      <c r="L288" s="7" t="s">
        <v>7294</v>
      </c>
      <c r="M288" s="8">
        <v>24029</v>
      </c>
      <c r="N288" s="8" t="str">
        <f t="shared" si="25"/>
        <v>PEN</v>
      </c>
      <c r="O288" s="13"/>
      <c r="P288" s="13">
        <v>15</v>
      </c>
      <c r="Q288" s="3">
        <f t="shared" si="21"/>
        <v>0</v>
      </c>
      <c r="R288" s="3">
        <f t="shared" si="22"/>
        <v>15</v>
      </c>
      <c r="S288" s="3">
        <f t="shared" si="23"/>
        <v>749.7999999999995</v>
      </c>
      <c r="T288" s="24"/>
      <c r="U288" s="24"/>
      <c r="V288" s="3"/>
      <c r="W288" s="25" t="s">
        <v>6546</v>
      </c>
      <c r="X288" s="25"/>
      <c r="Y288" s="25" t="str">
        <f>IFERROR(VLOOKUP(C_Ope_005[[#This Row],[NOTA 2]],Clientes_Proveedores[[Ruc / Dni]:[Razon Social]],2,0),"")</f>
        <v/>
      </c>
      <c r="Z288" s="25"/>
      <c r="AA288" s="25"/>
      <c r="AB288" s="3" t="str">
        <f>IF(C_Ope_005[[#This Row],[FECHA]]&gt;0,TEXT(C_Ope_005[[#This Row],[FECHA]],"mmmm"),0)</f>
        <v>Abril</v>
      </c>
    </row>
    <row r="289" spans="2:28" x14ac:dyDescent="0.3">
      <c r="B289" s="2">
        <f>IF(C_Ope_005[[#This Row],[TIPO DE R.]]="R",COUNTIFS($D$4:$D288,"R")+1,"")</f>
        <v>285</v>
      </c>
      <c r="C289" s="19" t="str">
        <f t="shared" si="24"/>
        <v>C_Ope_005</v>
      </c>
      <c r="D289" s="3" t="s">
        <v>1074</v>
      </c>
      <c r="E289" s="14">
        <v>45775</v>
      </c>
      <c r="F289" s="5" t="s">
        <v>7166</v>
      </c>
      <c r="G289" s="5" t="s">
        <v>1079</v>
      </c>
      <c r="H289" s="6"/>
      <c r="I289" s="6"/>
      <c r="J289" s="6"/>
      <c r="K289" s="6"/>
      <c r="L289" s="7" t="s">
        <v>6897</v>
      </c>
      <c r="M289" s="8">
        <v>24033</v>
      </c>
      <c r="N289" s="8" t="str">
        <f t="shared" si="25"/>
        <v>PEN</v>
      </c>
      <c r="O289" s="13"/>
      <c r="P289" s="13">
        <v>24</v>
      </c>
      <c r="Q289" s="3">
        <f t="shared" si="21"/>
        <v>0</v>
      </c>
      <c r="R289" s="3">
        <f t="shared" si="22"/>
        <v>24</v>
      </c>
      <c r="S289" s="3">
        <f t="shared" si="23"/>
        <v>725.7999999999995</v>
      </c>
      <c r="T289" s="24"/>
      <c r="U289" s="24"/>
      <c r="V289" s="3"/>
      <c r="W289" s="25" t="s">
        <v>6546</v>
      </c>
      <c r="X289" s="25"/>
      <c r="Y289" s="25" t="str">
        <f>IFERROR(VLOOKUP(C_Ope_005[[#This Row],[NOTA 2]],Clientes_Proveedores[[Ruc / Dni]:[Razon Social]],2,0),"")</f>
        <v/>
      </c>
      <c r="Z289" s="25"/>
      <c r="AA289" s="25"/>
      <c r="AB289" s="3" t="str">
        <f>IF(C_Ope_005[[#This Row],[FECHA]]&gt;0,TEXT(C_Ope_005[[#This Row],[FECHA]],"mmmm"),0)</f>
        <v>Abril</v>
      </c>
    </row>
    <row r="290" spans="2:28" x14ac:dyDescent="0.3">
      <c r="B290" s="2">
        <f>IF(C_Ope_005[[#This Row],[TIPO DE R.]]="R",COUNTIFS($D$4:$D289,"R")+1,"")</f>
        <v>286</v>
      </c>
      <c r="C290" s="19" t="str">
        <f t="shared" si="24"/>
        <v>C_Ope_005</v>
      </c>
      <c r="D290" s="3" t="s">
        <v>1074</v>
      </c>
      <c r="E290" s="14">
        <v>45775</v>
      </c>
      <c r="F290" s="5" t="s">
        <v>7166</v>
      </c>
      <c r="G290" s="5" t="s">
        <v>1079</v>
      </c>
      <c r="H290" s="6"/>
      <c r="I290" s="6"/>
      <c r="J290" s="6"/>
      <c r="K290" s="6"/>
      <c r="L290" s="7" t="s">
        <v>6889</v>
      </c>
      <c r="M290" s="8">
        <v>24034</v>
      </c>
      <c r="N290" s="8" t="str">
        <f t="shared" si="25"/>
        <v>PEN</v>
      </c>
      <c r="O290" s="13"/>
      <c r="P290" s="13">
        <v>30</v>
      </c>
      <c r="Q290" s="3">
        <f t="shared" si="21"/>
        <v>0</v>
      </c>
      <c r="R290" s="3">
        <f t="shared" si="22"/>
        <v>30</v>
      </c>
      <c r="S290" s="3">
        <f t="shared" si="23"/>
        <v>695.7999999999995</v>
      </c>
      <c r="T290" s="24"/>
      <c r="U290" s="24"/>
      <c r="V290" s="3"/>
      <c r="W290" s="25" t="s">
        <v>6546</v>
      </c>
      <c r="X290" s="25"/>
      <c r="Y290" s="25" t="str">
        <f>IFERROR(VLOOKUP(C_Ope_005[[#This Row],[NOTA 2]],Clientes_Proveedores[[Ruc / Dni]:[Razon Social]],2,0),"")</f>
        <v/>
      </c>
      <c r="Z290" s="25"/>
      <c r="AA290" s="25"/>
      <c r="AB290" s="3" t="str">
        <f>IF(C_Ope_005[[#This Row],[FECHA]]&gt;0,TEXT(C_Ope_005[[#This Row],[FECHA]],"mmmm"),0)</f>
        <v>Abril</v>
      </c>
    </row>
    <row r="291" spans="2:28" x14ac:dyDescent="0.3">
      <c r="B291" s="2">
        <f>IF(C_Ope_005[[#This Row],[TIPO DE R.]]="R",COUNTIFS($D$4:$D290,"R")+1,"")</f>
        <v>287</v>
      </c>
      <c r="C291" s="19" t="str">
        <f t="shared" si="24"/>
        <v>C_Ope_005</v>
      </c>
      <c r="D291" s="3" t="s">
        <v>1074</v>
      </c>
      <c r="E291" s="14">
        <v>45775</v>
      </c>
      <c r="F291" s="5" t="s">
        <v>7166</v>
      </c>
      <c r="G291" s="5" t="s">
        <v>1079</v>
      </c>
      <c r="H291" s="6"/>
      <c r="I291" s="6"/>
      <c r="J291" s="6"/>
      <c r="K291" s="6"/>
      <c r="L291" s="7" t="s">
        <v>7295</v>
      </c>
      <c r="M291" s="8">
        <v>24035</v>
      </c>
      <c r="N291" s="8" t="str">
        <f t="shared" si="25"/>
        <v>PEN</v>
      </c>
      <c r="O291" s="13"/>
      <c r="P291" s="13">
        <v>24</v>
      </c>
      <c r="Q291" s="3">
        <f t="shared" si="21"/>
        <v>0</v>
      </c>
      <c r="R291" s="3">
        <f t="shared" si="22"/>
        <v>24</v>
      </c>
      <c r="S291" s="3">
        <f t="shared" si="23"/>
        <v>671.7999999999995</v>
      </c>
      <c r="T291" s="24"/>
      <c r="U291" s="24"/>
      <c r="V291" s="3"/>
      <c r="W291" s="25" t="s">
        <v>6546</v>
      </c>
      <c r="X291" s="25"/>
      <c r="Y291" s="25" t="str">
        <f>IFERROR(VLOOKUP(C_Ope_005[[#This Row],[NOTA 2]],Clientes_Proveedores[[Ruc / Dni]:[Razon Social]],2,0),"")</f>
        <v/>
      </c>
      <c r="Z291" s="25"/>
      <c r="AA291" s="25"/>
      <c r="AB291" s="3" t="str">
        <f>IF(C_Ope_005[[#This Row],[FECHA]]&gt;0,TEXT(C_Ope_005[[#This Row],[FECHA]],"mmmm"),0)</f>
        <v>Abril</v>
      </c>
    </row>
    <row r="292" spans="2:28" x14ac:dyDescent="0.3">
      <c r="B292" s="2">
        <f>IF(C_Ope_005[[#This Row],[TIPO DE R.]]="R",COUNTIFS($D$4:$D291,"R")+1,"")</f>
        <v>288</v>
      </c>
      <c r="C292" s="19" t="str">
        <f t="shared" si="24"/>
        <v>C_Ope_005</v>
      </c>
      <c r="D292" s="3" t="s">
        <v>1074</v>
      </c>
      <c r="E292" s="14">
        <v>45775</v>
      </c>
      <c r="F292" s="5" t="s">
        <v>7166</v>
      </c>
      <c r="G292" s="5" t="s">
        <v>1079</v>
      </c>
      <c r="H292" s="6"/>
      <c r="I292" s="6"/>
      <c r="J292" s="6"/>
      <c r="K292" s="6"/>
      <c r="L292" s="7" t="s">
        <v>7296</v>
      </c>
      <c r="M292" s="8">
        <v>24036</v>
      </c>
      <c r="N292" s="8" t="str">
        <f t="shared" si="25"/>
        <v>PEN</v>
      </c>
      <c r="O292" s="13"/>
      <c r="P292" s="13">
        <v>15</v>
      </c>
      <c r="Q292" s="3">
        <f t="shared" si="21"/>
        <v>0</v>
      </c>
      <c r="R292" s="3">
        <f t="shared" si="22"/>
        <v>15</v>
      </c>
      <c r="S292" s="3">
        <f t="shared" si="23"/>
        <v>656.7999999999995</v>
      </c>
      <c r="T292" s="24"/>
      <c r="U292" s="24"/>
      <c r="V292" s="3"/>
      <c r="W292" s="25" t="s">
        <v>6546</v>
      </c>
      <c r="X292" s="25"/>
      <c r="Y292" s="25" t="str">
        <f>IFERROR(VLOOKUP(C_Ope_005[[#This Row],[NOTA 2]],Clientes_Proveedores[[Ruc / Dni]:[Razon Social]],2,0),"")</f>
        <v/>
      </c>
      <c r="Z292" s="25"/>
      <c r="AA292" s="25"/>
      <c r="AB292" s="3" t="str">
        <f>IF(C_Ope_005[[#This Row],[FECHA]]&gt;0,TEXT(C_Ope_005[[#This Row],[FECHA]],"mmmm"),0)</f>
        <v>Abril</v>
      </c>
    </row>
    <row r="293" spans="2:28" x14ac:dyDescent="0.3">
      <c r="B293" s="2">
        <f>IF(C_Ope_005[[#This Row],[TIPO DE R.]]="R",COUNTIFS($D$4:$D292,"R")+1,"")</f>
        <v>289</v>
      </c>
      <c r="C293" s="19" t="str">
        <f t="shared" si="24"/>
        <v>C_Ope_005</v>
      </c>
      <c r="D293" s="3" t="s">
        <v>1074</v>
      </c>
      <c r="E293" s="14">
        <v>45775</v>
      </c>
      <c r="F293" s="5" t="s">
        <v>7166</v>
      </c>
      <c r="G293" s="5" t="s">
        <v>1079</v>
      </c>
      <c r="H293" s="6"/>
      <c r="I293" s="6" t="s">
        <v>14</v>
      </c>
      <c r="J293" s="6" t="s">
        <v>1121</v>
      </c>
      <c r="K293" s="6">
        <v>296</v>
      </c>
      <c r="L293" s="7" t="s">
        <v>7297</v>
      </c>
      <c r="M293" s="8">
        <v>24064</v>
      </c>
      <c r="N293" s="8" t="str">
        <f t="shared" si="25"/>
        <v>PEN</v>
      </c>
      <c r="O293" s="13"/>
      <c r="P293" s="13">
        <v>100</v>
      </c>
      <c r="Q293" s="3">
        <f t="shared" si="21"/>
        <v>0</v>
      </c>
      <c r="R293" s="3">
        <f t="shared" si="22"/>
        <v>100</v>
      </c>
      <c r="S293" s="3">
        <f t="shared" si="23"/>
        <v>556.7999999999995</v>
      </c>
      <c r="T293" s="24"/>
      <c r="U293" s="24"/>
      <c r="V293" s="3"/>
      <c r="W293" s="25" t="s">
        <v>6546</v>
      </c>
      <c r="X293" s="25"/>
      <c r="Y293" s="25" t="str">
        <f>IFERROR(VLOOKUP(C_Ope_005[[#This Row],[NOTA 2]],Clientes_Proveedores[[Ruc / Dni]:[Razon Social]],2,0),"")</f>
        <v/>
      </c>
      <c r="Z293" s="25"/>
      <c r="AA293" s="25"/>
      <c r="AB293" s="3" t="str">
        <f>IF(C_Ope_005[[#This Row],[FECHA]]&gt;0,TEXT(C_Ope_005[[#This Row],[FECHA]],"mmmm"),0)</f>
        <v>Abril</v>
      </c>
    </row>
    <row r="294" spans="2:28" x14ac:dyDescent="0.3">
      <c r="B294" s="2">
        <f>IF(C_Ope_005[[#This Row],[TIPO DE R.]]="R",COUNTIFS($D$4:$D293,"R")+1,"")</f>
        <v>290</v>
      </c>
      <c r="C294" s="19" t="str">
        <f t="shared" si="24"/>
        <v>C_Ope_005</v>
      </c>
      <c r="D294" s="3" t="s">
        <v>1074</v>
      </c>
      <c r="E294" s="14">
        <v>45776</v>
      </c>
      <c r="F294" s="5" t="s">
        <v>7166</v>
      </c>
      <c r="G294" s="5" t="s">
        <v>1079</v>
      </c>
      <c r="H294" s="6"/>
      <c r="I294" s="6"/>
      <c r="J294" s="6"/>
      <c r="K294" s="6"/>
      <c r="L294" s="7" t="s">
        <v>6897</v>
      </c>
      <c r="M294" s="8">
        <v>24065</v>
      </c>
      <c r="N294" s="8" t="str">
        <f t="shared" si="25"/>
        <v>PEN</v>
      </c>
      <c r="O294" s="13"/>
      <c r="P294" s="13">
        <v>24</v>
      </c>
      <c r="Q294" s="3">
        <f t="shared" si="21"/>
        <v>0</v>
      </c>
      <c r="R294" s="3">
        <f t="shared" si="22"/>
        <v>24</v>
      </c>
      <c r="S294" s="3">
        <f t="shared" si="23"/>
        <v>532.7999999999995</v>
      </c>
      <c r="T294" s="24"/>
      <c r="U294" s="24"/>
      <c r="V294" s="3"/>
      <c r="W294" s="25" t="s">
        <v>6546</v>
      </c>
      <c r="X294" s="25"/>
      <c r="Y294" s="25" t="str">
        <f>IFERROR(VLOOKUP(C_Ope_005[[#This Row],[NOTA 2]],Clientes_Proveedores[[Ruc / Dni]:[Razon Social]],2,0),"")</f>
        <v/>
      </c>
      <c r="Z294" s="25"/>
      <c r="AA294" s="25"/>
      <c r="AB294" s="3" t="str">
        <f>IF(C_Ope_005[[#This Row],[FECHA]]&gt;0,TEXT(C_Ope_005[[#This Row],[FECHA]],"mmmm"),0)</f>
        <v>Abril</v>
      </c>
    </row>
    <row r="295" spans="2:28" x14ac:dyDescent="0.3">
      <c r="B295" s="2">
        <f>IF(C_Ope_005[[#This Row],[TIPO DE R.]]="R",COUNTIFS($D$4:$D294,"R")+1,"")</f>
        <v>291</v>
      </c>
      <c r="C295" s="19" t="str">
        <f t="shared" si="24"/>
        <v>C_Ope_005</v>
      </c>
      <c r="D295" s="3" t="s">
        <v>1074</v>
      </c>
      <c r="E295" s="14">
        <v>45776</v>
      </c>
      <c r="F295" s="5" t="s">
        <v>7166</v>
      </c>
      <c r="G295" s="5" t="s">
        <v>1079</v>
      </c>
      <c r="H295" s="6"/>
      <c r="I295" s="6"/>
      <c r="J295" s="6"/>
      <c r="K295" s="6"/>
      <c r="L295" s="7" t="s">
        <v>6889</v>
      </c>
      <c r="M295" s="8">
        <v>24066</v>
      </c>
      <c r="N295" s="8" t="str">
        <f t="shared" si="25"/>
        <v>PEN</v>
      </c>
      <c r="O295" s="13"/>
      <c r="P295" s="13">
        <v>30</v>
      </c>
      <c r="Q295" s="3">
        <f t="shared" si="21"/>
        <v>0</v>
      </c>
      <c r="R295" s="3">
        <f t="shared" si="22"/>
        <v>30</v>
      </c>
      <c r="S295" s="3">
        <f t="shared" si="23"/>
        <v>502.7999999999995</v>
      </c>
      <c r="T295" s="24"/>
      <c r="U295" s="24"/>
      <c r="V295" s="3"/>
      <c r="W295" s="25" t="s">
        <v>6546</v>
      </c>
      <c r="X295" s="25"/>
      <c r="Y295" s="25" t="str">
        <f>IFERROR(VLOOKUP(C_Ope_005[[#This Row],[NOTA 2]],Clientes_Proveedores[[Ruc / Dni]:[Razon Social]],2,0),"")</f>
        <v/>
      </c>
      <c r="Z295" s="25"/>
      <c r="AA295" s="25"/>
      <c r="AB295" s="3" t="str">
        <f>IF(C_Ope_005[[#This Row],[FECHA]]&gt;0,TEXT(C_Ope_005[[#This Row],[FECHA]],"mmmm"),0)</f>
        <v>Abril</v>
      </c>
    </row>
    <row r="296" spans="2:28" x14ac:dyDescent="0.3">
      <c r="B296" s="2">
        <f>IF(C_Ope_005[[#This Row],[TIPO DE R.]]="R",COUNTIFS($D$4:$D295,"R")+1,"")</f>
        <v>292</v>
      </c>
      <c r="C296" s="19" t="str">
        <f t="shared" si="24"/>
        <v>C_Ope_005</v>
      </c>
      <c r="D296" s="3" t="s">
        <v>1074</v>
      </c>
      <c r="E296" s="14">
        <v>45776</v>
      </c>
      <c r="F296" s="5" t="s">
        <v>7166</v>
      </c>
      <c r="G296" s="5" t="s">
        <v>1079</v>
      </c>
      <c r="H296" s="6"/>
      <c r="I296" s="6"/>
      <c r="J296" s="6"/>
      <c r="K296" s="6"/>
      <c r="L296" s="7" t="s">
        <v>6903</v>
      </c>
      <c r="M296" s="8">
        <v>24067</v>
      </c>
      <c r="N296" s="8" t="str">
        <f t="shared" si="25"/>
        <v>PEN</v>
      </c>
      <c r="O296" s="13"/>
      <c r="P296" s="13">
        <v>24</v>
      </c>
      <c r="Q296" s="3">
        <f t="shared" si="21"/>
        <v>0</v>
      </c>
      <c r="R296" s="3">
        <f t="shared" si="22"/>
        <v>24</v>
      </c>
      <c r="S296" s="3">
        <f t="shared" si="23"/>
        <v>478.7999999999995</v>
      </c>
      <c r="T296" s="24"/>
      <c r="U296" s="24"/>
      <c r="V296" s="3"/>
      <c r="W296" s="25" t="s">
        <v>6546</v>
      </c>
      <c r="X296" s="25"/>
      <c r="Y296" s="25" t="str">
        <f>IFERROR(VLOOKUP(C_Ope_005[[#This Row],[NOTA 2]],Clientes_Proveedores[[Ruc / Dni]:[Razon Social]],2,0),"")</f>
        <v/>
      </c>
      <c r="Z296" s="25"/>
      <c r="AA296" s="25"/>
      <c r="AB296" s="3" t="str">
        <f>IF(C_Ope_005[[#This Row],[FECHA]]&gt;0,TEXT(C_Ope_005[[#This Row],[FECHA]],"mmmm"),0)</f>
        <v>Abril</v>
      </c>
    </row>
    <row r="297" spans="2:28" x14ac:dyDescent="0.3">
      <c r="B297" s="2">
        <f>IF(C_Ope_005[[#This Row],[TIPO DE R.]]="R",COUNTIFS($D$4:$D296,"R")+1,"")</f>
        <v>293</v>
      </c>
      <c r="C297" s="19" t="str">
        <f t="shared" si="24"/>
        <v>C_Ope_005</v>
      </c>
      <c r="D297" s="3" t="s">
        <v>1074</v>
      </c>
      <c r="E297" s="14">
        <v>45776</v>
      </c>
      <c r="F297" s="5" t="s">
        <v>7166</v>
      </c>
      <c r="G297" s="5" t="s">
        <v>1079</v>
      </c>
      <c r="H297" s="6"/>
      <c r="I297" s="6" t="s">
        <v>21</v>
      </c>
      <c r="J297" s="6">
        <v>1</v>
      </c>
      <c r="K297" s="6">
        <v>150</v>
      </c>
      <c r="L297" s="7" t="s">
        <v>7230</v>
      </c>
      <c r="M297" s="8">
        <v>24068</v>
      </c>
      <c r="N297" s="8" t="str">
        <f t="shared" si="25"/>
        <v>PEN</v>
      </c>
      <c r="O297" s="13"/>
      <c r="P297" s="13">
        <v>100</v>
      </c>
      <c r="Q297" s="3">
        <f t="shared" si="21"/>
        <v>0</v>
      </c>
      <c r="R297" s="3">
        <f t="shared" si="22"/>
        <v>100</v>
      </c>
      <c r="S297" s="3">
        <f t="shared" si="23"/>
        <v>378.7999999999995</v>
      </c>
      <c r="T297" s="24"/>
      <c r="U297" s="24"/>
      <c r="V297" s="3"/>
      <c r="W297" s="25" t="s">
        <v>6546</v>
      </c>
      <c r="X297" s="25"/>
      <c r="Y297" s="25" t="str">
        <f>IFERROR(VLOOKUP(C_Ope_005[[#This Row],[NOTA 2]],Clientes_Proveedores[[Ruc / Dni]:[Razon Social]],2,0),"")</f>
        <v/>
      </c>
      <c r="Z297" s="25"/>
      <c r="AA297" s="25"/>
      <c r="AB297" s="3" t="str">
        <f>IF(C_Ope_005[[#This Row],[FECHA]]&gt;0,TEXT(C_Ope_005[[#This Row],[FECHA]],"mmmm"),0)</f>
        <v>Abril</v>
      </c>
    </row>
    <row r="298" spans="2:28" x14ac:dyDescent="0.3">
      <c r="B298" s="2">
        <f>IF(C_Ope_005[[#This Row],[TIPO DE R.]]="R",COUNTIFS($D$4:$D297,"R")+1,"")</f>
        <v>294</v>
      </c>
      <c r="C298" s="19" t="str">
        <f t="shared" si="24"/>
        <v>C_Ope_005</v>
      </c>
      <c r="D298" s="3" t="s">
        <v>1074</v>
      </c>
      <c r="E298" s="14">
        <v>45776</v>
      </c>
      <c r="F298" s="5" t="s">
        <v>7166</v>
      </c>
      <c r="G298" s="5" t="s">
        <v>1079</v>
      </c>
      <c r="H298" s="6"/>
      <c r="I298" s="6"/>
      <c r="J298" s="6"/>
      <c r="K298" s="6"/>
      <c r="L298" s="7" t="s">
        <v>7192</v>
      </c>
      <c r="M298" s="8">
        <v>24069</v>
      </c>
      <c r="N298" s="8" t="str">
        <f t="shared" si="25"/>
        <v>PEN</v>
      </c>
      <c r="O298" s="13"/>
      <c r="P298" s="13">
        <v>15</v>
      </c>
      <c r="Q298" s="3">
        <f t="shared" si="21"/>
        <v>0</v>
      </c>
      <c r="R298" s="3">
        <f t="shared" si="22"/>
        <v>15</v>
      </c>
      <c r="S298" s="3">
        <f t="shared" si="23"/>
        <v>363.7999999999995</v>
      </c>
      <c r="T298" s="24"/>
      <c r="U298" s="24"/>
      <c r="V298" s="3"/>
      <c r="W298" s="25" t="s">
        <v>6546</v>
      </c>
      <c r="X298" s="25"/>
      <c r="Y298" s="25" t="str">
        <f>IFERROR(VLOOKUP(C_Ope_005[[#This Row],[NOTA 2]],Clientes_Proveedores[[Ruc / Dni]:[Razon Social]],2,0),"")</f>
        <v/>
      </c>
      <c r="Z298" s="25"/>
      <c r="AA298" s="25"/>
      <c r="AB298" s="3" t="str">
        <f>IF(C_Ope_005[[#This Row],[FECHA]]&gt;0,TEXT(C_Ope_005[[#This Row],[FECHA]],"mmmm"),0)</f>
        <v>Abril</v>
      </c>
    </row>
    <row r="299" spans="2:28" x14ac:dyDescent="0.3">
      <c r="B299" s="2">
        <f>IF(C_Ope_005[[#This Row],[TIPO DE R.]]="R",COUNTIFS($D$4:$D298,"R")+1,"")</f>
        <v>295</v>
      </c>
      <c r="C299" s="19" t="str">
        <f t="shared" si="24"/>
        <v>C_Ope_005</v>
      </c>
      <c r="D299" s="3" t="s">
        <v>1074</v>
      </c>
      <c r="E299" s="14">
        <v>45777</v>
      </c>
      <c r="F299" s="5" t="s">
        <v>7166</v>
      </c>
      <c r="G299" s="5" t="s">
        <v>1079</v>
      </c>
      <c r="H299" s="6"/>
      <c r="I299" s="6"/>
      <c r="J299" s="6"/>
      <c r="K299" s="6"/>
      <c r="L299" s="7" t="s">
        <v>6897</v>
      </c>
      <c r="M299" s="8">
        <v>24074</v>
      </c>
      <c r="N299" s="8" t="str">
        <f t="shared" si="25"/>
        <v>PEN</v>
      </c>
      <c r="O299" s="13"/>
      <c r="P299" s="13">
        <v>24</v>
      </c>
      <c r="Q299" s="3">
        <f t="shared" si="21"/>
        <v>0</v>
      </c>
      <c r="R299" s="3">
        <f t="shared" si="22"/>
        <v>24</v>
      </c>
      <c r="S299" s="3">
        <f t="shared" si="23"/>
        <v>339.7999999999995</v>
      </c>
      <c r="T299" s="24"/>
      <c r="U299" s="24"/>
      <c r="V299" s="3"/>
      <c r="W299" s="25" t="s">
        <v>6546</v>
      </c>
      <c r="X299" s="25"/>
      <c r="Y299" s="25" t="str">
        <f>IFERROR(VLOOKUP(C_Ope_005[[#This Row],[NOTA 2]],Clientes_Proveedores[[Ruc / Dni]:[Razon Social]],2,0),"")</f>
        <v/>
      </c>
      <c r="Z299" s="25"/>
      <c r="AA299" s="25"/>
      <c r="AB299" s="3" t="str">
        <f>IF(C_Ope_005[[#This Row],[FECHA]]&gt;0,TEXT(C_Ope_005[[#This Row],[FECHA]],"mmmm"),0)</f>
        <v>Abril</v>
      </c>
    </row>
    <row r="300" spans="2:28" x14ac:dyDescent="0.3">
      <c r="B300" s="2">
        <f>IF(C_Ope_005[[#This Row],[TIPO DE R.]]="R",COUNTIFS($D$4:$D299,"R")+1,"")</f>
        <v>296</v>
      </c>
      <c r="C300" s="19" t="str">
        <f t="shared" si="24"/>
        <v>C_Ope_005</v>
      </c>
      <c r="D300" s="3" t="s">
        <v>1074</v>
      </c>
      <c r="E300" s="14">
        <v>45777</v>
      </c>
      <c r="F300" s="5" t="s">
        <v>7166</v>
      </c>
      <c r="G300" s="5" t="s">
        <v>1079</v>
      </c>
      <c r="H300" s="6"/>
      <c r="I300" s="6" t="s">
        <v>14</v>
      </c>
      <c r="J300" s="6" t="s">
        <v>1119</v>
      </c>
      <c r="K300" s="6">
        <v>17507</v>
      </c>
      <c r="L300" s="7" t="s">
        <v>6565</v>
      </c>
      <c r="M300" s="8">
        <v>24075</v>
      </c>
      <c r="N300" s="8" t="str">
        <f t="shared" si="25"/>
        <v>PEN</v>
      </c>
      <c r="O300" s="13"/>
      <c r="P300" s="13">
        <v>25</v>
      </c>
      <c r="Q300" s="3">
        <f t="shared" si="21"/>
        <v>0</v>
      </c>
      <c r="R300" s="3">
        <f t="shared" si="22"/>
        <v>25</v>
      </c>
      <c r="S300" s="3">
        <f t="shared" si="23"/>
        <v>314.7999999999995</v>
      </c>
      <c r="T300" s="24"/>
      <c r="U300" s="24"/>
      <c r="V300" s="3"/>
      <c r="W300" s="25" t="s">
        <v>6546</v>
      </c>
      <c r="X300" s="25"/>
      <c r="Y300" s="25" t="str">
        <f>IFERROR(VLOOKUP(C_Ope_005[[#This Row],[NOTA 2]],Clientes_Proveedores[[Ruc / Dni]:[Razon Social]],2,0),"")</f>
        <v/>
      </c>
      <c r="Z300" s="25"/>
      <c r="AA300" s="25"/>
      <c r="AB300" s="3" t="str">
        <f>IF(C_Ope_005[[#This Row],[FECHA]]&gt;0,TEXT(C_Ope_005[[#This Row],[FECHA]],"mmmm"),0)</f>
        <v>Abril</v>
      </c>
    </row>
    <row r="301" spans="2:28" ht="24" x14ac:dyDescent="0.3">
      <c r="B301" s="2">
        <f>IF(C_Ope_005[[#This Row],[TIPO DE R.]]="R",COUNTIFS($D$4:$D300,"R")+1,"")</f>
        <v>297</v>
      </c>
      <c r="C301" s="19" t="str">
        <f t="shared" si="24"/>
        <v>C_Ope_005</v>
      </c>
      <c r="D301" s="3" t="s">
        <v>1074</v>
      </c>
      <c r="E301" s="14">
        <v>45810</v>
      </c>
      <c r="F301" s="5" t="s">
        <v>7166</v>
      </c>
      <c r="G301" s="5" t="s">
        <v>1079</v>
      </c>
      <c r="H301" s="6"/>
      <c r="I301" s="6" t="s">
        <v>14</v>
      </c>
      <c r="J301" s="6" t="s">
        <v>5243</v>
      </c>
      <c r="K301" s="6">
        <v>2352384</v>
      </c>
      <c r="L301" s="7" t="s">
        <v>7298</v>
      </c>
      <c r="M301" s="8">
        <v>24409</v>
      </c>
      <c r="N301" s="8" t="str">
        <f t="shared" si="25"/>
        <v>PEN</v>
      </c>
      <c r="O301" s="13"/>
      <c r="P301" s="13">
        <v>8</v>
      </c>
      <c r="Q301" s="3">
        <f t="shared" si="21"/>
        <v>0</v>
      </c>
      <c r="R301" s="3">
        <f t="shared" si="22"/>
        <v>8</v>
      </c>
      <c r="S301" s="3">
        <f t="shared" si="23"/>
        <v>306.7999999999995</v>
      </c>
      <c r="T301" s="24"/>
      <c r="U301" s="24"/>
      <c r="V301" s="3"/>
      <c r="W301" s="25" t="s">
        <v>6541</v>
      </c>
      <c r="X301" s="25"/>
      <c r="Y301" s="25" t="str">
        <f>IFERROR(VLOOKUP(C_Ope_005[[#This Row],[NOTA 2]],Clientes_Proveedores[[Ruc / Dni]:[Razon Social]],2,0),"")</f>
        <v/>
      </c>
      <c r="Z301" s="25"/>
      <c r="AA301" s="25"/>
      <c r="AB301" s="3" t="str">
        <f>IF(C_Ope_005[[#This Row],[FECHA]]&gt;0,TEXT(C_Ope_005[[#This Row],[FECHA]],"mmmm"),0)</f>
        <v>Junio</v>
      </c>
    </row>
    <row r="302" spans="2:28" ht="24" x14ac:dyDescent="0.3">
      <c r="B302" s="2">
        <f>IF(C_Ope_005[[#This Row],[TIPO DE R.]]="R",COUNTIFS($D$4:$D301,"R")+1,"")</f>
        <v>298</v>
      </c>
      <c r="C302" s="19" t="str">
        <f t="shared" si="24"/>
        <v>C_Ope_005</v>
      </c>
      <c r="D302" s="3" t="s">
        <v>1074</v>
      </c>
      <c r="E302" s="14">
        <v>45810</v>
      </c>
      <c r="F302" s="5" t="s">
        <v>7166</v>
      </c>
      <c r="G302" s="5" t="s">
        <v>1079</v>
      </c>
      <c r="H302" s="6"/>
      <c r="I302" s="6" t="s">
        <v>14</v>
      </c>
      <c r="J302" s="6" t="s">
        <v>7299</v>
      </c>
      <c r="K302" s="6">
        <v>2069543</v>
      </c>
      <c r="L302" s="7" t="s">
        <v>7298</v>
      </c>
      <c r="M302" s="8">
        <v>24410</v>
      </c>
      <c r="N302" s="8" t="str">
        <f t="shared" si="25"/>
        <v>PEN</v>
      </c>
      <c r="O302" s="13"/>
      <c r="P302" s="13">
        <v>8</v>
      </c>
      <c r="Q302" s="3">
        <f t="shared" si="21"/>
        <v>0</v>
      </c>
      <c r="R302" s="3">
        <f t="shared" si="22"/>
        <v>8</v>
      </c>
      <c r="S302" s="3">
        <f t="shared" si="23"/>
        <v>298.7999999999995</v>
      </c>
      <c r="T302" s="24"/>
      <c r="U302" s="24"/>
      <c r="V302" s="3"/>
      <c r="W302" s="25" t="s">
        <v>6541</v>
      </c>
      <c r="X302" s="25"/>
      <c r="Y302" s="25" t="str">
        <f>IFERROR(VLOOKUP(C_Ope_005[[#This Row],[NOTA 2]],Clientes_Proveedores[[Ruc / Dni]:[Razon Social]],2,0),"")</f>
        <v/>
      </c>
      <c r="Z302" s="25"/>
      <c r="AA302" s="25"/>
      <c r="AB302" s="3" t="str">
        <f>IF(C_Ope_005[[#This Row],[FECHA]]&gt;0,TEXT(C_Ope_005[[#This Row],[FECHA]],"mmmm"),0)</f>
        <v>Junio</v>
      </c>
    </row>
    <row r="303" spans="2:28" ht="24" x14ac:dyDescent="0.3">
      <c r="B303" s="2">
        <f>IF(C_Ope_005[[#This Row],[TIPO DE R.]]="R",COUNTIFS($D$4:$D302,"R")+1,"")</f>
        <v>299</v>
      </c>
      <c r="C303" s="19" t="str">
        <f t="shared" si="24"/>
        <v>C_Ope_005</v>
      </c>
      <c r="D303" s="3" t="s">
        <v>1074</v>
      </c>
      <c r="E303" s="14">
        <v>45810</v>
      </c>
      <c r="F303" s="5" t="s">
        <v>7166</v>
      </c>
      <c r="G303" s="5" t="s">
        <v>1079</v>
      </c>
      <c r="H303" s="6"/>
      <c r="I303" s="6" t="s">
        <v>14</v>
      </c>
      <c r="J303" s="6" t="s">
        <v>6556</v>
      </c>
      <c r="K303" s="6">
        <v>477859</v>
      </c>
      <c r="L303" s="7" t="s">
        <v>7300</v>
      </c>
      <c r="M303" s="8">
        <v>24411</v>
      </c>
      <c r="N303" s="8" t="str">
        <f t="shared" si="25"/>
        <v>PEN</v>
      </c>
      <c r="O303" s="13"/>
      <c r="P303" s="13">
        <v>8</v>
      </c>
      <c r="Q303" s="3">
        <f t="shared" si="21"/>
        <v>0</v>
      </c>
      <c r="R303" s="3">
        <f t="shared" si="22"/>
        <v>8</v>
      </c>
      <c r="S303" s="3">
        <f t="shared" si="23"/>
        <v>290.7999999999995</v>
      </c>
      <c r="T303" s="24"/>
      <c r="U303" s="24"/>
      <c r="V303" s="3"/>
      <c r="W303" s="25" t="s">
        <v>6541</v>
      </c>
      <c r="X303" s="25"/>
      <c r="Y303" s="25" t="str">
        <f>IFERROR(VLOOKUP(C_Ope_005[[#This Row],[NOTA 2]],Clientes_Proveedores[[Ruc / Dni]:[Razon Social]],2,0),"")</f>
        <v/>
      </c>
      <c r="Z303" s="25"/>
      <c r="AA303" s="25"/>
      <c r="AB303" s="3" t="str">
        <f>IF(C_Ope_005[[#This Row],[FECHA]]&gt;0,TEXT(C_Ope_005[[#This Row],[FECHA]],"mmmm"),0)</f>
        <v>Junio</v>
      </c>
    </row>
    <row r="304" spans="2:28" ht="24" x14ac:dyDescent="0.3">
      <c r="B304" s="2">
        <f>IF(C_Ope_005[[#This Row],[TIPO DE R.]]="R",COUNTIFS($D$4:$D303,"R")+1,"")</f>
        <v>300</v>
      </c>
      <c r="C304" s="19" t="str">
        <f t="shared" si="24"/>
        <v>C_Ope_005</v>
      </c>
      <c r="D304" s="3" t="s">
        <v>1074</v>
      </c>
      <c r="E304" s="14">
        <v>45810</v>
      </c>
      <c r="F304" s="5" t="s">
        <v>7166</v>
      </c>
      <c r="G304" s="5" t="s">
        <v>1079</v>
      </c>
      <c r="H304" s="6"/>
      <c r="I304" s="6" t="s">
        <v>14</v>
      </c>
      <c r="J304" s="6" t="s">
        <v>6559</v>
      </c>
      <c r="K304" s="6">
        <v>386548</v>
      </c>
      <c r="L304" s="7" t="s">
        <v>7300</v>
      </c>
      <c r="M304" s="8">
        <v>24412</v>
      </c>
      <c r="N304" s="8" t="str">
        <f t="shared" si="25"/>
        <v>PEN</v>
      </c>
      <c r="O304" s="13"/>
      <c r="P304" s="13">
        <v>8</v>
      </c>
      <c r="Q304" s="3">
        <f t="shared" si="21"/>
        <v>0</v>
      </c>
      <c r="R304" s="3">
        <f t="shared" si="22"/>
        <v>8</v>
      </c>
      <c r="S304" s="3">
        <f t="shared" si="23"/>
        <v>282.7999999999995</v>
      </c>
      <c r="T304" s="24"/>
      <c r="U304" s="24"/>
      <c r="V304" s="3"/>
      <c r="W304" s="25" t="s">
        <v>6541</v>
      </c>
      <c r="X304" s="25"/>
      <c r="Y304" s="25" t="str">
        <f>IFERROR(VLOOKUP(C_Ope_005[[#This Row],[NOTA 2]],Clientes_Proveedores[[Ruc / Dni]:[Razon Social]],2,0),"")</f>
        <v/>
      </c>
      <c r="Z304" s="25"/>
      <c r="AA304" s="25"/>
      <c r="AB304" s="3" t="str">
        <f>IF(C_Ope_005[[#This Row],[FECHA]]&gt;0,TEXT(C_Ope_005[[#This Row],[FECHA]],"mmmm"),0)</f>
        <v>Junio</v>
      </c>
    </row>
    <row r="305" spans="2:28" ht="24" x14ac:dyDescent="0.3">
      <c r="B305" s="2">
        <f>IF(C_Ope_005[[#This Row],[TIPO DE R.]]="R",COUNTIFS($D$4:$D304,"R")+1,"")</f>
        <v>301</v>
      </c>
      <c r="C305" s="19" t="str">
        <f t="shared" si="24"/>
        <v>C_Ope_005</v>
      </c>
      <c r="D305" s="3" t="s">
        <v>1074</v>
      </c>
      <c r="E305" s="14">
        <v>45810</v>
      </c>
      <c r="F305" s="5" t="s">
        <v>7166</v>
      </c>
      <c r="G305" s="5" t="s">
        <v>1079</v>
      </c>
      <c r="H305" s="6"/>
      <c r="I305" s="6" t="s">
        <v>14</v>
      </c>
      <c r="J305" s="6" t="s">
        <v>1119</v>
      </c>
      <c r="K305" s="6">
        <v>17645</v>
      </c>
      <c r="L305" s="7" t="s">
        <v>7301</v>
      </c>
      <c r="M305" s="8">
        <v>24413</v>
      </c>
      <c r="N305" s="8" t="str">
        <f t="shared" si="25"/>
        <v>PEN</v>
      </c>
      <c r="O305" s="13"/>
      <c r="P305" s="13">
        <v>22</v>
      </c>
      <c r="Q305" s="3">
        <f t="shared" si="21"/>
        <v>0</v>
      </c>
      <c r="R305" s="3">
        <f t="shared" si="22"/>
        <v>22</v>
      </c>
      <c r="S305" s="3">
        <f t="shared" si="23"/>
        <v>260.7999999999995</v>
      </c>
      <c r="T305" s="24"/>
      <c r="U305" s="24"/>
      <c r="V305" s="3"/>
      <c r="W305" s="25" t="s">
        <v>6541</v>
      </c>
      <c r="X305" s="25"/>
      <c r="Y305" s="25" t="str">
        <f>IFERROR(VLOOKUP(C_Ope_005[[#This Row],[NOTA 2]],Clientes_Proveedores[[Ruc / Dni]:[Razon Social]],2,0),"")</f>
        <v/>
      </c>
      <c r="Z305" s="25"/>
      <c r="AA305" s="25"/>
      <c r="AB305" s="3" t="str">
        <f>IF(C_Ope_005[[#This Row],[FECHA]]&gt;0,TEXT(C_Ope_005[[#This Row],[FECHA]],"mmmm"),0)</f>
        <v>Junio</v>
      </c>
    </row>
    <row r="306" spans="2:28" x14ac:dyDescent="0.3">
      <c r="B306" s="2">
        <f>IF(C_Ope_005[[#This Row],[TIPO DE R.]]="R",COUNTIFS($D$4:$D305,"R")+1,"")</f>
        <v>302</v>
      </c>
      <c r="C306" s="19" t="str">
        <f t="shared" si="24"/>
        <v>C_Ope_005</v>
      </c>
      <c r="D306" s="3" t="s">
        <v>1074</v>
      </c>
      <c r="E306" s="14">
        <v>45811</v>
      </c>
      <c r="F306" s="5" t="s">
        <v>7166</v>
      </c>
      <c r="G306" s="5" t="s">
        <v>1079</v>
      </c>
      <c r="H306" s="6"/>
      <c r="I306" s="6" t="s">
        <v>14</v>
      </c>
      <c r="J306" s="6" t="s">
        <v>6561</v>
      </c>
      <c r="K306" s="6">
        <v>1161</v>
      </c>
      <c r="L306" s="7" t="s">
        <v>7302</v>
      </c>
      <c r="M306" s="8">
        <v>24429</v>
      </c>
      <c r="N306" s="8" t="str">
        <f t="shared" si="25"/>
        <v>PEN</v>
      </c>
      <c r="O306" s="13"/>
      <c r="P306" s="13">
        <v>10</v>
      </c>
      <c r="Q306" s="3">
        <f t="shared" si="21"/>
        <v>0</v>
      </c>
      <c r="R306" s="3">
        <f t="shared" si="22"/>
        <v>10</v>
      </c>
      <c r="S306" s="3">
        <f t="shared" si="23"/>
        <v>250.7999999999995</v>
      </c>
      <c r="T306" s="24"/>
      <c r="U306" s="24"/>
      <c r="V306" s="3"/>
      <c r="W306" s="25" t="s">
        <v>6546</v>
      </c>
      <c r="X306" s="25"/>
      <c r="Y306" s="25" t="str">
        <f>IFERROR(VLOOKUP(C_Ope_005[[#This Row],[NOTA 2]],Clientes_Proveedores[[Ruc / Dni]:[Razon Social]],2,0),"")</f>
        <v/>
      </c>
      <c r="Z306" s="25"/>
      <c r="AA306" s="25"/>
      <c r="AB306" s="3" t="str">
        <f>IF(C_Ope_005[[#This Row],[FECHA]]&gt;0,TEXT(C_Ope_005[[#This Row],[FECHA]],"mmmm"),0)</f>
        <v>Junio</v>
      </c>
    </row>
    <row r="307" spans="2:28" ht="24" x14ac:dyDescent="0.3">
      <c r="B307" s="2">
        <f>IF(C_Ope_005[[#This Row],[TIPO DE R.]]="R",COUNTIFS($D$4:$D306,"R")+1,"")</f>
        <v>303</v>
      </c>
      <c r="C307" s="19" t="str">
        <f t="shared" si="24"/>
        <v>C_Ope_005</v>
      </c>
      <c r="D307" s="3" t="s">
        <v>1074</v>
      </c>
      <c r="E307" s="14">
        <v>45812</v>
      </c>
      <c r="F307" s="5" t="s">
        <v>7166</v>
      </c>
      <c r="G307" s="5" t="s">
        <v>1079</v>
      </c>
      <c r="H307" s="6"/>
      <c r="I307" s="6" t="s">
        <v>14</v>
      </c>
      <c r="J307" s="6" t="s">
        <v>1088</v>
      </c>
      <c r="K307" s="6">
        <v>34832</v>
      </c>
      <c r="L307" s="7" t="s">
        <v>7303</v>
      </c>
      <c r="M307" s="8">
        <v>24447</v>
      </c>
      <c r="N307" s="8" t="str">
        <f t="shared" si="25"/>
        <v>PEN</v>
      </c>
      <c r="O307" s="13"/>
      <c r="P307" s="13">
        <v>10</v>
      </c>
      <c r="Q307" s="3">
        <f t="shared" si="21"/>
        <v>0</v>
      </c>
      <c r="R307" s="3">
        <f t="shared" si="22"/>
        <v>10</v>
      </c>
      <c r="S307" s="3">
        <f t="shared" si="23"/>
        <v>240.7999999999995</v>
      </c>
      <c r="T307" s="24"/>
      <c r="U307" s="24"/>
      <c r="V307" s="3"/>
      <c r="W307" s="25" t="s">
        <v>6541</v>
      </c>
      <c r="X307" s="25"/>
      <c r="Y307" s="25" t="str">
        <f>IFERROR(VLOOKUP(C_Ope_005[[#This Row],[NOTA 2]],Clientes_Proveedores[[Ruc / Dni]:[Razon Social]],2,0),"")</f>
        <v/>
      </c>
      <c r="Z307" s="25"/>
      <c r="AA307" s="25"/>
      <c r="AB307" s="3" t="str">
        <f>IF(C_Ope_005[[#This Row],[FECHA]]&gt;0,TEXT(C_Ope_005[[#This Row],[FECHA]],"mmmm"),0)</f>
        <v>Junio</v>
      </c>
    </row>
    <row r="308" spans="2:28" x14ac:dyDescent="0.3">
      <c r="B308" s="2">
        <f>IF(C_Ope_005[[#This Row],[TIPO DE R.]]="R",COUNTIFS($D$4:$D307,"R")+1,"")</f>
        <v>304</v>
      </c>
      <c r="C308" s="19" t="str">
        <f t="shared" si="24"/>
        <v>C_Ope_005</v>
      </c>
      <c r="D308" s="3" t="s">
        <v>1074</v>
      </c>
      <c r="E308" s="14">
        <v>45812</v>
      </c>
      <c r="F308" s="5" t="s">
        <v>7166</v>
      </c>
      <c r="G308" s="5" t="s">
        <v>1079</v>
      </c>
      <c r="H308" s="6"/>
      <c r="I308" s="6" t="s">
        <v>14</v>
      </c>
      <c r="J308" s="6" t="s">
        <v>1119</v>
      </c>
      <c r="K308" s="6">
        <v>18027</v>
      </c>
      <c r="L308" s="7" t="s">
        <v>7304</v>
      </c>
      <c r="M308" s="8">
        <v>24448</v>
      </c>
      <c r="N308" s="8" t="str">
        <f t="shared" si="25"/>
        <v>PEN</v>
      </c>
      <c r="O308" s="13"/>
      <c r="P308" s="13">
        <v>25</v>
      </c>
      <c r="Q308" s="3">
        <f t="shared" si="21"/>
        <v>0</v>
      </c>
      <c r="R308" s="3">
        <f t="shared" si="22"/>
        <v>25</v>
      </c>
      <c r="S308" s="3">
        <f t="shared" si="23"/>
        <v>215.7999999999995</v>
      </c>
      <c r="T308" s="24"/>
      <c r="U308" s="24"/>
      <c r="V308" s="3"/>
      <c r="W308" s="25" t="s">
        <v>6541</v>
      </c>
      <c r="X308" s="25"/>
      <c r="Y308" s="25" t="str">
        <f>IFERROR(VLOOKUP(C_Ope_005[[#This Row],[NOTA 2]],Clientes_Proveedores[[Ruc / Dni]:[Razon Social]],2,0),"")</f>
        <v/>
      </c>
      <c r="Z308" s="25"/>
      <c r="AA308" s="25"/>
      <c r="AB308" s="3" t="str">
        <f>IF(C_Ope_005[[#This Row],[FECHA]]&gt;0,TEXT(C_Ope_005[[#This Row],[FECHA]],"mmmm"),0)</f>
        <v>Junio</v>
      </c>
    </row>
    <row r="309" spans="2:28" ht="24" x14ac:dyDescent="0.3">
      <c r="B309" s="2">
        <f>IF(C_Ope_005[[#This Row],[TIPO DE R.]]="R",COUNTIFS($D$4:$D308,"R")+1,"")</f>
        <v>305</v>
      </c>
      <c r="C309" s="19" t="str">
        <f t="shared" si="24"/>
        <v>C_Ope_005</v>
      </c>
      <c r="D309" s="3" t="s">
        <v>1074</v>
      </c>
      <c r="E309" s="14">
        <v>45819</v>
      </c>
      <c r="F309" s="5" t="s">
        <v>7166</v>
      </c>
      <c r="G309" s="5" t="s">
        <v>1079</v>
      </c>
      <c r="H309" s="6"/>
      <c r="I309" s="6" t="s">
        <v>14</v>
      </c>
      <c r="J309" s="6" t="s">
        <v>5244</v>
      </c>
      <c r="K309" s="6">
        <v>1755714</v>
      </c>
      <c r="L309" s="7" t="s">
        <v>7305</v>
      </c>
      <c r="M309" s="8">
        <v>24546</v>
      </c>
      <c r="N309" s="8" t="str">
        <f t="shared" si="25"/>
        <v>PEN</v>
      </c>
      <c r="O309" s="13"/>
      <c r="P309" s="13">
        <v>8</v>
      </c>
      <c r="Q309" s="3">
        <f t="shared" si="21"/>
        <v>0</v>
      </c>
      <c r="R309" s="3">
        <f t="shared" si="22"/>
        <v>8</v>
      </c>
      <c r="S309" s="3">
        <f t="shared" si="23"/>
        <v>207.7999999999995</v>
      </c>
      <c r="T309" s="24"/>
      <c r="U309" s="24"/>
      <c r="V309" s="3"/>
      <c r="W309" s="25" t="s">
        <v>6541</v>
      </c>
      <c r="X309" s="25"/>
      <c r="Y309" s="25" t="str">
        <f>IFERROR(VLOOKUP(C_Ope_005[[#This Row],[NOTA 2]],Clientes_Proveedores[[Ruc / Dni]:[Razon Social]],2,0),"")</f>
        <v/>
      </c>
      <c r="Z309" s="25"/>
      <c r="AA309" s="25"/>
      <c r="AB309" s="3" t="str">
        <f>IF(C_Ope_005[[#This Row],[FECHA]]&gt;0,TEXT(C_Ope_005[[#This Row],[FECHA]],"mmmm"),0)</f>
        <v>Junio</v>
      </c>
    </row>
    <row r="310" spans="2:28" ht="24" x14ac:dyDescent="0.3">
      <c r="B310" s="2">
        <f>IF(C_Ope_005[[#This Row],[TIPO DE R.]]="R",COUNTIFS($D$4:$D309,"R")+1,"")</f>
        <v>306</v>
      </c>
      <c r="C310" s="19" t="str">
        <f t="shared" si="24"/>
        <v>C_Ope_005</v>
      </c>
      <c r="D310" s="3" t="s">
        <v>1074</v>
      </c>
      <c r="E310" s="14">
        <v>45819</v>
      </c>
      <c r="F310" s="5" t="s">
        <v>7166</v>
      </c>
      <c r="G310" s="5" t="s">
        <v>1079</v>
      </c>
      <c r="H310" s="6"/>
      <c r="I310" s="6" t="s">
        <v>14</v>
      </c>
      <c r="J310" s="6" t="s">
        <v>5245</v>
      </c>
      <c r="K310" s="6">
        <v>1775595</v>
      </c>
      <c r="L310" s="7" t="s">
        <v>7305</v>
      </c>
      <c r="M310" s="8">
        <v>24547</v>
      </c>
      <c r="N310" s="8" t="str">
        <f t="shared" si="25"/>
        <v>PEN</v>
      </c>
      <c r="O310" s="13"/>
      <c r="P310" s="13">
        <v>8</v>
      </c>
      <c r="Q310" s="3">
        <f t="shared" si="21"/>
        <v>0</v>
      </c>
      <c r="R310" s="3">
        <f t="shared" si="22"/>
        <v>8</v>
      </c>
      <c r="S310" s="3">
        <f t="shared" si="23"/>
        <v>199.7999999999995</v>
      </c>
      <c r="T310" s="24"/>
      <c r="U310" s="24"/>
      <c r="V310" s="3"/>
      <c r="W310" s="25" t="s">
        <v>6541</v>
      </c>
      <c r="X310" s="25"/>
      <c r="Y310" s="25" t="str">
        <f>IFERROR(VLOOKUP(C_Ope_005[[#This Row],[NOTA 2]],Clientes_Proveedores[[Ruc / Dni]:[Razon Social]],2,0),"")</f>
        <v/>
      </c>
      <c r="Z310" s="25"/>
      <c r="AA310" s="25"/>
      <c r="AB310" s="3" t="str">
        <f>IF(C_Ope_005[[#This Row],[FECHA]]&gt;0,TEXT(C_Ope_005[[#This Row],[FECHA]],"mmmm"),0)</f>
        <v>Junio</v>
      </c>
    </row>
    <row r="311" spans="2:28" ht="24" x14ac:dyDescent="0.3">
      <c r="B311" s="2">
        <f>IF(C_Ope_005[[#This Row],[TIPO DE R.]]="R",COUNTIFS($D$4:$D310,"R")+1,"")</f>
        <v>307</v>
      </c>
      <c r="C311" s="19" t="str">
        <f t="shared" si="24"/>
        <v>C_Ope_005</v>
      </c>
      <c r="D311" s="3" t="s">
        <v>1074</v>
      </c>
      <c r="E311" s="14">
        <v>45820</v>
      </c>
      <c r="F311" s="5" t="s">
        <v>7166</v>
      </c>
      <c r="G311" s="5" t="s">
        <v>1079</v>
      </c>
      <c r="H311" s="6"/>
      <c r="I311" s="6" t="s">
        <v>14</v>
      </c>
      <c r="J311" s="6" t="s">
        <v>5245</v>
      </c>
      <c r="K311" s="6">
        <v>1776609</v>
      </c>
      <c r="L311" s="7" t="s">
        <v>6609</v>
      </c>
      <c r="M311" s="8">
        <v>24554</v>
      </c>
      <c r="N311" s="8" t="str">
        <f t="shared" si="25"/>
        <v>PEN</v>
      </c>
      <c r="O311" s="13"/>
      <c r="P311" s="13">
        <v>8</v>
      </c>
      <c r="Q311" s="3">
        <f t="shared" si="21"/>
        <v>0</v>
      </c>
      <c r="R311" s="3">
        <f t="shared" si="22"/>
        <v>8</v>
      </c>
      <c r="S311" s="3">
        <f t="shared" si="23"/>
        <v>191.7999999999995</v>
      </c>
      <c r="T311" s="24"/>
      <c r="U311" s="24"/>
      <c r="V311" s="3"/>
      <c r="W311" s="25" t="s">
        <v>6546</v>
      </c>
      <c r="X311" s="25"/>
      <c r="Y311" s="25" t="str">
        <f>IFERROR(VLOOKUP(C_Ope_005[[#This Row],[NOTA 2]],Clientes_Proveedores[[Ruc / Dni]:[Razon Social]],2,0),"")</f>
        <v/>
      </c>
      <c r="Z311" s="25"/>
      <c r="AA311" s="25"/>
      <c r="AB311" s="3" t="str">
        <f>IF(C_Ope_005[[#This Row],[FECHA]]&gt;0,TEXT(C_Ope_005[[#This Row],[FECHA]],"mmmm"),0)</f>
        <v>Junio</v>
      </c>
    </row>
    <row r="312" spans="2:28" ht="24" x14ac:dyDescent="0.3">
      <c r="B312" s="2">
        <f>IF(C_Ope_005[[#This Row],[TIPO DE R.]]="R",COUNTIFS($D$4:$D311,"R")+1,"")</f>
        <v>308</v>
      </c>
      <c r="C312" s="19" t="str">
        <f t="shared" si="24"/>
        <v>C_Ope_005</v>
      </c>
      <c r="D312" s="3" t="s">
        <v>1074</v>
      </c>
      <c r="E312" s="14">
        <v>45820</v>
      </c>
      <c r="F312" s="5" t="s">
        <v>7166</v>
      </c>
      <c r="G312" s="5" t="s">
        <v>1079</v>
      </c>
      <c r="H312" s="6"/>
      <c r="I312" s="6" t="s">
        <v>14</v>
      </c>
      <c r="J312" s="6" t="s">
        <v>5244</v>
      </c>
      <c r="K312" s="6">
        <v>1756803</v>
      </c>
      <c r="L312" s="7" t="s">
        <v>6609</v>
      </c>
      <c r="M312" s="8">
        <v>24555</v>
      </c>
      <c r="N312" s="8" t="str">
        <f t="shared" si="25"/>
        <v>PEN</v>
      </c>
      <c r="O312" s="13"/>
      <c r="P312" s="13">
        <v>8</v>
      </c>
      <c r="Q312" s="3">
        <f t="shared" si="21"/>
        <v>0</v>
      </c>
      <c r="R312" s="3">
        <f t="shared" si="22"/>
        <v>8</v>
      </c>
      <c r="S312" s="3">
        <f t="shared" si="23"/>
        <v>183.7999999999995</v>
      </c>
      <c r="T312" s="24"/>
      <c r="U312" s="24"/>
      <c r="V312" s="3"/>
      <c r="W312" s="25" t="s">
        <v>6546</v>
      </c>
      <c r="X312" s="25"/>
      <c r="Y312" s="25" t="str">
        <f>IFERROR(VLOOKUP(C_Ope_005[[#This Row],[NOTA 2]],Clientes_Proveedores[[Ruc / Dni]:[Razon Social]],2,0),"")</f>
        <v/>
      </c>
      <c r="Z312" s="25"/>
      <c r="AA312" s="25"/>
      <c r="AB312" s="3" t="str">
        <f>IF(C_Ope_005[[#This Row],[FECHA]]&gt;0,TEXT(C_Ope_005[[#This Row],[FECHA]],"mmmm"),0)</f>
        <v>Junio</v>
      </c>
    </row>
    <row r="313" spans="2:28" ht="24" x14ac:dyDescent="0.3">
      <c r="B313" s="2">
        <f>IF(C_Ope_005[[#This Row],[TIPO DE R.]]="R",COUNTIFS($D$4:$D312,"R")+1,"")</f>
        <v>309</v>
      </c>
      <c r="C313" s="19" t="str">
        <f t="shared" si="24"/>
        <v>C_Ope_005</v>
      </c>
      <c r="D313" s="3" t="s">
        <v>1074</v>
      </c>
      <c r="E313" s="14">
        <v>45821</v>
      </c>
      <c r="F313" s="5" t="s">
        <v>7166</v>
      </c>
      <c r="G313" s="5" t="s">
        <v>1079</v>
      </c>
      <c r="H313" s="6"/>
      <c r="I313" s="6" t="s">
        <v>14</v>
      </c>
      <c r="J313" s="6" t="s">
        <v>5244</v>
      </c>
      <c r="K313" s="6">
        <v>1757810</v>
      </c>
      <c r="L313" s="7" t="s">
        <v>6591</v>
      </c>
      <c r="M313" s="8">
        <v>24574</v>
      </c>
      <c r="N313" s="8" t="str">
        <f t="shared" si="25"/>
        <v>PEN</v>
      </c>
      <c r="O313" s="13"/>
      <c r="P313" s="13">
        <v>8</v>
      </c>
      <c r="Q313" s="3">
        <f t="shared" si="21"/>
        <v>0</v>
      </c>
      <c r="R313" s="3">
        <f t="shared" si="22"/>
        <v>8</v>
      </c>
      <c r="S313" s="3">
        <f t="shared" si="23"/>
        <v>175.7999999999995</v>
      </c>
      <c r="T313" s="24"/>
      <c r="U313" s="24"/>
      <c r="V313" s="3"/>
      <c r="W313" s="25" t="s">
        <v>6541</v>
      </c>
      <c r="X313" s="25"/>
      <c r="Y313" s="25" t="str">
        <f>IFERROR(VLOOKUP(C_Ope_005[[#This Row],[NOTA 2]],Clientes_Proveedores[[Ruc / Dni]:[Razon Social]],2,0),"")</f>
        <v/>
      </c>
      <c r="Z313" s="25"/>
      <c r="AA313" s="25"/>
      <c r="AB313" s="3" t="str">
        <f>IF(C_Ope_005[[#This Row],[FECHA]]&gt;0,TEXT(C_Ope_005[[#This Row],[FECHA]],"mmmm"),0)</f>
        <v>Junio</v>
      </c>
    </row>
    <row r="314" spans="2:28" ht="24" x14ac:dyDescent="0.3">
      <c r="B314" s="2">
        <f>IF(C_Ope_005[[#This Row],[TIPO DE R.]]="R",COUNTIFS($D$4:$D313,"R")+1,"")</f>
        <v>310</v>
      </c>
      <c r="C314" s="19" t="str">
        <f t="shared" si="24"/>
        <v>C_Ope_005</v>
      </c>
      <c r="D314" s="3" t="s">
        <v>1074</v>
      </c>
      <c r="E314" s="14">
        <v>45821</v>
      </c>
      <c r="F314" s="5" t="s">
        <v>7166</v>
      </c>
      <c r="G314" s="5" t="s">
        <v>1079</v>
      </c>
      <c r="H314" s="6"/>
      <c r="I314" s="6" t="s">
        <v>14</v>
      </c>
      <c r="J314" s="6" t="s">
        <v>5242</v>
      </c>
      <c r="K314" s="6">
        <v>2081057</v>
      </c>
      <c r="L314" s="7" t="s">
        <v>6591</v>
      </c>
      <c r="M314" s="8">
        <v>24575</v>
      </c>
      <c r="N314" s="8" t="str">
        <f t="shared" si="25"/>
        <v>PEN</v>
      </c>
      <c r="O314" s="13"/>
      <c r="P314" s="13">
        <v>8</v>
      </c>
      <c r="Q314" s="3">
        <f t="shared" si="21"/>
        <v>0</v>
      </c>
      <c r="R314" s="3">
        <f t="shared" si="22"/>
        <v>8</v>
      </c>
      <c r="S314" s="3">
        <f t="shared" si="23"/>
        <v>167.7999999999995</v>
      </c>
      <c r="T314" s="24"/>
      <c r="U314" s="24"/>
      <c r="V314" s="3"/>
      <c r="W314" s="25" t="s">
        <v>6541</v>
      </c>
      <c r="X314" s="25"/>
      <c r="Y314" s="25" t="str">
        <f>IFERROR(VLOOKUP(C_Ope_005[[#This Row],[NOTA 2]],Clientes_Proveedores[[Ruc / Dni]:[Razon Social]],2,0),"")</f>
        <v/>
      </c>
      <c r="Z314" s="25"/>
      <c r="AA314" s="25"/>
      <c r="AB314" s="3" t="str">
        <f>IF(C_Ope_005[[#This Row],[FECHA]]&gt;0,TEXT(C_Ope_005[[#This Row],[FECHA]],"mmmm"),0)</f>
        <v>Junio</v>
      </c>
    </row>
    <row r="315" spans="2:28" ht="24" x14ac:dyDescent="0.3">
      <c r="B315" s="2">
        <f>IF(C_Ope_005[[#This Row],[TIPO DE R.]]="R",COUNTIFS($D$4:$D314,"R")+1,"")</f>
        <v>311</v>
      </c>
      <c r="C315" s="19" t="str">
        <f t="shared" si="24"/>
        <v>C_Ope_005</v>
      </c>
      <c r="D315" s="3" t="s">
        <v>1074</v>
      </c>
      <c r="E315" s="14">
        <v>45819</v>
      </c>
      <c r="F315" s="5" t="s">
        <v>7166</v>
      </c>
      <c r="G315" s="5" t="s">
        <v>1079</v>
      </c>
      <c r="H315" s="6"/>
      <c r="I315" s="6" t="s">
        <v>14</v>
      </c>
      <c r="J315" s="6" t="s">
        <v>1097</v>
      </c>
      <c r="K315" s="6">
        <v>16628</v>
      </c>
      <c r="L315" s="7" t="s">
        <v>7306</v>
      </c>
      <c r="M315" s="8">
        <v>24548</v>
      </c>
      <c r="N315" s="8" t="str">
        <f t="shared" si="25"/>
        <v>PEN</v>
      </c>
      <c r="O315" s="13"/>
      <c r="P315" s="13">
        <v>20</v>
      </c>
      <c r="Q315" s="3">
        <f t="shared" si="21"/>
        <v>0</v>
      </c>
      <c r="R315" s="3">
        <f t="shared" si="22"/>
        <v>20</v>
      </c>
      <c r="S315" s="3">
        <f t="shared" si="23"/>
        <v>147.7999999999995</v>
      </c>
      <c r="T315" s="24"/>
      <c r="U315" s="24"/>
      <c r="V315" s="3"/>
      <c r="W315" s="25" t="s">
        <v>6541</v>
      </c>
      <c r="X315" s="25"/>
      <c r="Y315" s="25" t="str">
        <f>IFERROR(VLOOKUP(C_Ope_005[[#This Row],[NOTA 2]],Clientes_Proveedores[[Ruc / Dni]:[Razon Social]],2,0),"")</f>
        <v/>
      </c>
      <c r="Z315" s="25"/>
      <c r="AA315" s="25"/>
      <c r="AB315" s="3" t="str">
        <f>IF(C_Ope_005[[#This Row],[FECHA]]&gt;0,TEXT(C_Ope_005[[#This Row],[FECHA]],"mmmm"),0)</f>
        <v>Junio</v>
      </c>
    </row>
    <row r="316" spans="2:28" x14ac:dyDescent="0.3">
      <c r="B316" s="2">
        <f>IF(C_Ope_005[[#This Row],[TIPO DE R.]]="R",COUNTIFS($D$4:$D315,"R")+1,"")</f>
        <v>312</v>
      </c>
      <c r="C316" s="19" t="str">
        <f t="shared" si="24"/>
        <v>C_Ope_005</v>
      </c>
      <c r="D316" s="3" t="s">
        <v>1074</v>
      </c>
      <c r="E316" s="14">
        <v>45820</v>
      </c>
      <c r="F316" s="5" t="s">
        <v>7166</v>
      </c>
      <c r="G316" s="5" t="s">
        <v>1079</v>
      </c>
      <c r="H316" s="6"/>
      <c r="I316" s="6" t="s">
        <v>14</v>
      </c>
      <c r="J316" s="6" t="s">
        <v>1097</v>
      </c>
      <c r="K316" s="6">
        <v>16634</v>
      </c>
      <c r="L316" s="7" t="s">
        <v>7307</v>
      </c>
      <c r="M316" s="8">
        <v>24556</v>
      </c>
      <c r="N316" s="8" t="str">
        <f t="shared" si="25"/>
        <v>PEN</v>
      </c>
      <c r="O316" s="13"/>
      <c r="P316" s="13">
        <v>20</v>
      </c>
      <c r="Q316" s="3">
        <f t="shared" si="21"/>
        <v>0</v>
      </c>
      <c r="R316" s="3">
        <f t="shared" si="22"/>
        <v>20</v>
      </c>
      <c r="S316" s="3">
        <f t="shared" si="23"/>
        <v>127.7999999999995</v>
      </c>
      <c r="T316" s="24"/>
      <c r="U316" s="24"/>
      <c r="V316" s="3"/>
      <c r="W316" s="25" t="s">
        <v>6546</v>
      </c>
      <c r="X316" s="25"/>
      <c r="Y316" s="25" t="str">
        <f>IFERROR(VLOOKUP(C_Ope_005[[#This Row],[NOTA 2]],Clientes_Proveedores[[Ruc / Dni]:[Razon Social]],2,0),"")</f>
        <v/>
      </c>
      <c r="Z316" s="25"/>
      <c r="AA316" s="25"/>
      <c r="AB316" s="3" t="str">
        <f>IF(C_Ope_005[[#This Row],[FECHA]]&gt;0,TEXT(C_Ope_005[[#This Row],[FECHA]],"mmmm"),0)</f>
        <v>Junio</v>
      </c>
    </row>
    <row r="317" spans="2:28" x14ac:dyDescent="0.3">
      <c r="B317" s="2">
        <f>IF(C_Ope_005[[#This Row],[TIPO DE R.]]="R",COUNTIFS($D$4:$D316,"R")+1,"")</f>
        <v>313</v>
      </c>
      <c r="C317" s="19" t="str">
        <f t="shared" si="24"/>
        <v>C_Ope_005</v>
      </c>
      <c r="D317" s="3" t="s">
        <v>1074</v>
      </c>
      <c r="E317" s="14">
        <v>45826</v>
      </c>
      <c r="F317" s="5" t="s">
        <v>6299</v>
      </c>
      <c r="G317" s="5" t="s">
        <v>1087</v>
      </c>
      <c r="H317" s="6"/>
      <c r="I317" s="6"/>
      <c r="J317" s="6"/>
      <c r="K317" s="6"/>
      <c r="L317" s="7" t="s">
        <v>6302</v>
      </c>
      <c r="M317" s="8">
        <v>24641</v>
      </c>
      <c r="N317" s="8" t="str">
        <f t="shared" si="25"/>
        <v>PEN</v>
      </c>
      <c r="O317" s="13"/>
      <c r="P317" s="13">
        <v>70</v>
      </c>
      <c r="Q317" s="3">
        <f t="shared" si="21"/>
        <v>70</v>
      </c>
      <c r="R317" s="3">
        <f t="shared" si="22"/>
        <v>0</v>
      </c>
      <c r="S317" s="3">
        <f t="shared" si="23"/>
        <v>197.7999999999995</v>
      </c>
      <c r="T317" s="24"/>
      <c r="U317" s="24"/>
      <c r="V317" s="3"/>
      <c r="W317" s="25"/>
      <c r="X317" s="25"/>
      <c r="Y317" s="25" t="str">
        <f>IFERROR(VLOOKUP(C_Ope_005[[#This Row],[NOTA 2]],Clientes_Proveedores[[Ruc / Dni]:[Razon Social]],2,0),"")</f>
        <v/>
      </c>
      <c r="Z317" s="25"/>
      <c r="AA317" s="25">
        <f>ROUND(C_Ope_005[[#This Row],[MONTO ]]/1.18,3)</f>
        <v>59.322000000000003</v>
      </c>
      <c r="AB317" s="3" t="str">
        <f>IF(C_Ope_005[[#This Row],[FECHA]]&gt;0,TEXT(C_Ope_005[[#This Row],[FECHA]],"mmmm"),0)</f>
        <v>Junio</v>
      </c>
    </row>
    <row r="318" spans="2:28" x14ac:dyDescent="0.3">
      <c r="B318" s="2">
        <f>IF(C_Ope_005[[#This Row],[TIPO DE R.]]="R",COUNTIFS($D$4:$D317,"R")+1,"")</f>
        <v>314</v>
      </c>
      <c r="C318" s="19" t="str">
        <f t="shared" si="24"/>
        <v>C_Ope_005</v>
      </c>
      <c r="D318" s="3" t="s">
        <v>1074</v>
      </c>
      <c r="E318" s="14">
        <v>45828</v>
      </c>
      <c r="F318" s="5" t="s">
        <v>6299</v>
      </c>
      <c r="G318" s="5" t="s">
        <v>1087</v>
      </c>
      <c r="H318" s="6"/>
      <c r="I318" s="6"/>
      <c r="J318" s="6"/>
      <c r="K318" s="6"/>
      <c r="L318" s="7" t="s">
        <v>6420</v>
      </c>
      <c r="M318" s="8">
        <v>24642</v>
      </c>
      <c r="N318" s="8" t="str">
        <f t="shared" si="25"/>
        <v>PEN</v>
      </c>
      <c r="O318" s="13"/>
      <c r="P318" s="13">
        <v>800</v>
      </c>
      <c r="Q318" s="3">
        <f t="shared" si="21"/>
        <v>800</v>
      </c>
      <c r="R318" s="3">
        <f t="shared" si="22"/>
        <v>0</v>
      </c>
      <c r="S318" s="3">
        <f t="shared" si="23"/>
        <v>997.7999999999995</v>
      </c>
      <c r="T318" s="24"/>
      <c r="U318" s="24"/>
      <c r="V318" s="3"/>
      <c r="W318" s="25"/>
      <c r="X318" s="25"/>
      <c r="Y318" s="25" t="str">
        <f>IFERROR(VLOOKUP(C_Ope_005[[#This Row],[NOTA 2]],Clientes_Proveedores[[Ruc / Dni]:[Razon Social]],2,0),"")</f>
        <v/>
      </c>
      <c r="Z318" s="25"/>
      <c r="AA318" s="25">
        <f>ROUND(C_Ope_005[[#This Row],[MONTO ]]/1.18,3)</f>
        <v>677.96600000000001</v>
      </c>
      <c r="AB318" s="3" t="str">
        <f>IF(C_Ope_005[[#This Row],[FECHA]]&gt;0,TEXT(C_Ope_005[[#This Row],[FECHA]],"mmmm"),0)</f>
        <v>Junio</v>
      </c>
    </row>
    <row r="319" spans="2:28" ht="24" x14ac:dyDescent="0.3">
      <c r="B319" s="2">
        <f>IF(C_Ope_005[[#This Row],[TIPO DE R.]]="R",COUNTIFS($D$4:$D318,"R")+1,"")</f>
        <v>315</v>
      </c>
      <c r="C319" s="19" t="str">
        <f t="shared" si="24"/>
        <v>C_Ope_005</v>
      </c>
      <c r="D319" s="3" t="s">
        <v>1074</v>
      </c>
      <c r="E319" s="14">
        <v>45825</v>
      </c>
      <c r="F319" s="5" t="s">
        <v>7166</v>
      </c>
      <c r="G319" s="5" t="s">
        <v>1079</v>
      </c>
      <c r="H319" s="6"/>
      <c r="I319" s="6" t="s">
        <v>14</v>
      </c>
      <c r="J319" s="6" t="s">
        <v>5281</v>
      </c>
      <c r="K319" s="6">
        <v>984491</v>
      </c>
      <c r="L319" s="7" t="s">
        <v>7071</v>
      </c>
      <c r="M319" s="8">
        <v>24592</v>
      </c>
      <c r="N319" s="8" t="str">
        <f t="shared" si="25"/>
        <v>PEN</v>
      </c>
      <c r="O319" s="13"/>
      <c r="P319" s="13">
        <v>8</v>
      </c>
      <c r="Q319" s="3">
        <f t="shared" si="21"/>
        <v>0</v>
      </c>
      <c r="R319" s="3">
        <f t="shared" si="22"/>
        <v>8</v>
      </c>
      <c r="S319" s="3">
        <f t="shared" si="23"/>
        <v>989.7999999999995</v>
      </c>
      <c r="T319" s="24"/>
      <c r="U319" s="24"/>
      <c r="V319" s="3"/>
      <c r="W319" s="25" t="s">
        <v>6541</v>
      </c>
      <c r="X319" s="25"/>
      <c r="Y319" s="25" t="str">
        <f>IFERROR(VLOOKUP(C_Ope_005[[#This Row],[NOTA 2]],Clientes_Proveedores[[Ruc / Dni]:[Razon Social]],2,0),"")</f>
        <v/>
      </c>
      <c r="Z319" s="25"/>
      <c r="AA319" s="25"/>
      <c r="AB319" s="3" t="str">
        <f>IF(C_Ope_005[[#This Row],[FECHA]]&gt;0,TEXT(C_Ope_005[[#This Row],[FECHA]],"mmmm"),0)</f>
        <v>Junio</v>
      </c>
    </row>
    <row r="320" spans="2:28" ht="24" x14ac:dyDescent="0.3">
      <c r="B320" s="2">
        <f>IF(C_Ope_005[[#This Row],[TIPO DE R.]]="R",COUNTIFS($D$4:$D319,"R")+1,"")</f>
        <v>316</v>
      </c>
      <c r="C320" s="19" t="str">
        <f t="shared" si="24"/>
        <v>C_Ope_005</v>
      </c>
      <c r="D320" s="3" t="s">
        <v>1074</v>
      </c>
      <c r="E320" s="14">
        <v>45825</v>
      </c>
      <c r="F320" s="5" t="s">
        <v>7166</v>
      </c>
      <c r="G320" s="5" t="s">
        <v>1079</v>
      </c>
      <c r="H320" s="6"/>
      <c r="I320" s="6" t="s">
        <v>14</v>
      </c>
      <c r="J320" s="6" t="s">
        <v>5280</v>
      </c>
      <c r="K320" s="6">
        <v>1075039</v>
      </c>
      <c r="L320" s="7" t="s">
        <v>7071</v>
      </c>
      <c r="M320" s="8">
        <v>24593</v>
      </c>
      <c r="N320" s="8" t="str">
        <f t="shared" si="25"/>
        <v>PEN</v>
      </c>
      <c r="O320" s="13"/>
      <c r="P320" s="13">
        <v>8</v>
      </c>
      <c r="Q320" s="3">
        <f t="shared" si="21"/>
        <v>0</v>
      </c>
      <c r="R320" s="3">
        <f t="shared" si="22"/>
        <v>8</v>
      </c>
      <c r="S320" s="3">
        <f t="shared" si="23"/>
        <v>981.7999999999995</v>
      </c>
      <c r="T320" s="24"/>
      <c r="U320" s="24"/>
      <c r="V320" s="3"/>
      <c r="W320" s="25" t="s">
        <v>6541</v>
      </c>
      <c r="X320" s="25"/>
      <c r="Y320" s="25" t="str">
        <f>IFERROR(VLOOKUP(C_Ope_005[[#This Row],[NOTA 2]],Clientes_Proveedores[[Ruc / Dni]:[Razon Social]],2,0),"")</f>
        <v/>
      </c>
      <c r="Z320" s="25"/>
      <c r="AA320" s="25"/>
      <c r="AB320" s="3" t="str">
        <f>IF(C_Ope_005[[#This Row],[FECHA]]&gt;0,TEXT(C_Ope_005[[#This Row],[FECHA]],"mmmm"),0)</f>
        <v>Junio</v>
      </c>
    </row>
    <row r="321" spans="2:28" ht="24" x14ac:dyDescent="0.3">
      <c r="B321" s="2">
        <f>IF(C_Ope_005[[#This Row],[TIPO DE R.]]="R",COUNTIFS($D$4:$D320,"R")+1,"")</f>
        <v>317</v>
      </c>
      <c r="C321" s="19" t="str">
        <f t="shared" si="24"/>
        <v>C_Ope_005</v>
      </c>
      <c r="D321" s="3" t="s">
        <v>1074</v>
      </c>
      <c r="E321" s="14">
        <v>45825</v>
      </c>
      <c r="F321" s="5" t="s">
        <v>7166</v>
      </c>
      <c r="G321" s="5" t="s">
        <v>1079</v>
      </c>
      <c r="H321" s="6"/>
      <c r="I321" s="6" t="s">
        <v>14</v>
      </c>
      <c r="J321" s="6" t="s">
        <v>5243</v>
      </c>
      <c r="K321" s="6">
        <v>2369380</v>
      </c>
      <c r="L321" s="7" t="s">
        <v>7308</v>
      </c>
      <c r="M321" s="8">
        <v>24594</v>
      </c>
      <c r="N321" s="8" t="str">
        <f t="shared" si="25"/>
        <v>PEN</v>
      </c>
      <c r="O321" s="13"/>
      <c r="P321" s="13">
        <v>8</v>
      </c>
      <c r="Q321" s="3">
        <f t="shared" si="21"/>
        <v>0</v>
      </c>
      <c r="R321" s="3">
        <f t="shared" si="22"/>
        <v>8</v>
      </c>
      <c r="S321" s="3">
        <f t="shared" si="23"/>
        <v>973.7999999999995</v>
      </c>
      <c r="T321" s="24"/>
      <c r="U321" s="24"/>
      <c r="V321" s="3"/>
      <c r="W321" s="25" t="s">
        <v>6541</v>
      </c>
      <c r="X321" s="25"/>
      <c r="Y321" s="25" t="str">
        <f>IFERROR(VLOOKUP(C_Ope_005[[#This Row],[NOTA 2]],Clientes_Proveedores[[Ruc / Dni]:[Razon Social]],2,0),"")</f>
        <v/>
      </c>
      <c r="Z321" s="25"/>
      <c r="AA321" s="25"/>
      <c r="AB321" s="3" t="str">
        <f>IF(C_Ope_005[[#This Row],[FECHA]]&gt;0,TEXT(C_Ope_005[[#This Row],[FECHA]],"mmmm"),0)</f>
        <v>Junio</v>
      </c>
    </row>
    <row r="322" spans="2:28" ht="24" x14ac:dyDescent="0.3">
      <c r="B322" s="2">
        <f>IF(C_Ope_005[[#This Row],[TIPO DE R.]]="R",COUNTIFS($D$4:$D321,"R")+1,"")</f>
        <v>318</v>
      </c>
      <c r="C322" s="19" t="str">
        <f t="shared" si="24"/>
        <v>C_Ope_005</v>
      </c>
      <c r="D322" s="3" t="s">
        <v>1074</v>
      </c>
      <c r="E322" s="14">
        <v>45825</v>
      </c>
      <c r="F322" s="5" t="s">
        <v>7166</v>
      </c>
      <c r="G322" s="5" t="s">
        <v>1079</v>
      </c>
      <c r="H322" s="6"/>
      <c r="I322" s="6" t="s">
        <v>14</v>
      </c>
      <c r="J322" s="6" t="s">
        <v>5245</v>
      </c>
      <c r="K322" s="6">
        <v>1781167</v>
      </c>
      <c r="L322" s="7" t="s">
        <v>7308</v>
      </c>
      <c r="M322" s="8">
        <v>24596</v>
      </c>
      <c r="N322" s="8" t="str">
        <f t="shared" si="25"/>
        <v>PEN</v>
      </c>
      <c r="O322" s="13"/>
      <c r="P322" s="13">
        <v>8</v>
      </c>
      <c r="Q322" s="3">
        <f t="shared" si="21"/>
        <v>0</v>
      </c>
      <c r="R322" s="3">
        <f t="shared" si="22"/>
        <v>8</v>
      </c>
      <c r="S322" s="3">
        <f t="shared" si="23"/>
        <v>965.7999999999995</v>
      </c>
      <c r="T322" s="24"/>
      <c r="U322" s="24"/>
      <c r="V322" s="3"/>
      <c r="W322" s="25" t="s">
        <v>6541</v>
      </c>
      <c r="X322" s="25"/>
      <c r="Y322" s="25" t="str">
        <f>IFERROR(VLOOKUP(C_Ope_005[[#This Row],[NOTA 2]],Clientes_Proveedores[[Ruc / Dni]:[Razon Social]],2,0),"")</f>
        <v/>
      </c>
      <c r="Z322" s="25"/>
      <c r="AA322" s="25"/>
      <c r="AB322" s="3" t="str">
        <f>IF(C_Ope_005[[#This Row],[FECHA]]&gt;0,TEXT(C_Ope_005[[#This Row],[FECHA]],"mmmm"),0)</f>
        <v>Junio</v>
      </c>
    </row>
    <row r="323" spans="2:28" ht="24" x14ac:dyDescent="0.3">
      <c r="B323" s="2">
        <f>IF(C_Ope_005[[#This Row],[TIPO DE R.]]="R",COUNTIFS($D$4:$D322,"R")+1,"")</f>
        <v>319</v>
      </c>
      <c r="C323" s="19" t="str">
        <f t="shared" si="24"/>
        <v>C_Ope_005</v>
      </c>
      <c r="D323" s="3" t="s">
        <v>1074</v>
      </c>
      <c r="E323" s="14">
        <v>45827</v>
      </c>
      <c r="F323" s="5" t="s">
        <v>7166</v>
      </c>
      <c r="G323" s="5" t="s">
        <v>1079</v>
      </c>
      <c r="H323" s="6"/>
      <c r="I323" s="6" t="s">
        <v>14</v>
      </c>
      <c r="J323" s="6" t="s">
        <v>5244</v>
      </c>
      <c r="K323" s="6">
        <v>1763337</v>
      </c>
      <c r="L323" s="7" t="s">
        <v>7309</v>
      </c>
      <c r="M323" s="8">
        <v>24615</v>
      </c>
      <c r="N323" s="8" t="str">
        <f t="shared" si="25"/>
        <v>PEN</v>
      </c>
      <c r="O323" s="13"/>
      <c r="P323" s="13">
        <v>8</v>
      </c>
      <c r="Q323" s="3">
        <f t="shared" si="21"/>
        <v>0</v>
      </c>
      <c r="R323" s="3">
        <f t="shared" si="22"/>
        <v>8</v>
      </c>
      <c r="S323" s="3">
        <f t="shared" si="23"/>
        <v>957.7999999999995</v>
      </c>
      <c r="T323" s="24"/>
      <c r="U323" s="24"/>
      <c r="V323" s="3"/>
      <c r="W323" s="25" t="s">
        <v>6541</v>
      </c>
      <c r="X323" s="25"/>
      <c r="Y323" s="25" t="str">
        <f>IFERROR(VLOOKUP(C_Ope_005[[#This Row],[NOTA 2]],Clientes_Proveedores[[Ruc / Dni]:[Razon Social]],2,0),"")</f>
        <v/>
      </c>
      <c r="Z323" s="25"/>
      <c r="AA323" s="25"/>
      <c r="AB323" s="3" t="str">
        <f>IF(C_Ope_005[[#This Row],[FECHA]]&gt;0,TEXT(C_Ope_005[[#This Row],[FECHA]],"mmmm"),0)</f>
        <v>Junio</v>
      </c>
    </row>
    <row r="324" spans="2:28" ht="24" x14ac:dyDescent="0.3">
      <c r="B324" s="2">
        <f>IF(C_Ope_005[[#This Row],[TIPO DE R.]]="R",COUNTIFS($D$4:$D323,"R")+1,"")</f>
        <v>320</v>
      </c>
      <c r="C324" s="19" t="str">
        <f t="shared" si="24"/>
        <v>C_Ope_005</v>
      </c>
      <c r="D324" s="3" t="s">
        <v>1074</v>
      </c>
      <c r="E324" s="14">
        <v>45827</v>
      </c>
      <c r="F324" s="5" t="s">
        <v>7166</v>
      </c>
      <c r="G324" s="5" t="s">
        <v>1079</v>
      </c>
      <c r="H324" s="6"/>
      <c r="I324" s="6" t="s">
        <v>14</v>
      </c>
      <c r="J324" s="6" t="s">
        <v>5242</v>
      </c>
      <c r="K324" s="6">
        <v>2087356</v>
      </c>
      <c r="L324" s="7" t="s">
        <v>7309</v>
      </c>
      <c r="M324" s="8">
        <v>24616</v>
      </c>
      <c r="N324" s="8" t="str">
        <f t="shared" si="25"/>
        <v>PEN</v>
      </c>
      <c r="O324" s="13"/>
      <c r="P324" s="13">
        <v>8</v>
      </c>
      <c r="Q324" s="3">
        <f t="shared" si="21"/>
        <v>0</v>
      </c>
      <c r="R324" s="3">
        <f t="shared" si="22"/>
        <v>8</v>
      </c>
      <c r="S324" s="3">
        <f t="shared" si="23"/>
        <v>949.7999999999995</v>
      </c>
      <c r="T324" s="24"/>
      <c r="U324" s="24"/>
      <c r="V324" s="3"/>
      <c r="W324" s="25" t="s">
        <v>6541</v>
      </c>
      <c r="X324" s="25"/>
      <c r="Y324" s="25" t="str">
        <f>IFERROR(VLOOKUP(C_Ope_005[[#This Row],[NOTA 2]],Clientes_Proveedores[[Ruc / Dni]:[Razon Social]],2,0),"")</f>
        <v/>
      </c>
      <c r="Z324" s="25"/>
      <c r="AA324" s="25"/>
      <c r="AB324" s="3" t="str">
        <f>IF(C_Ope_005[[#This Row],[FECHA]]&gt;0,TEXT(C_Ope_005[[#This Row],[FECHA]],"mmmm"),0)</f>
        <v>Junio</v>
      </c>
    </row>
    <row r="325" spans="2:28" ht="36" x14ac:dyDescent="0.3">
      <c r="B325" s="2">
        <f>IF(C_Ope_005[[#This Row],[TIPO DE R.]]="R",COUNTIFS($D$4:$D324,"R")+1,"")</f>
        <v>321</v>
      </c>
      <c r="C325" s="19" t="str">
        <f t="shared" si="24"/>
        <v>C_Ope_005</v>
      </c>
      <c r="D325" s="3" t="s">
        <v>1074</v>
      </c>
      <c r="E325" s="14">
        <v>45828</v>
      </c>
      <c r="F325" s="5" t="s">
        <v>7166</v>
      </c>
      <c r="G325" s="5" t="s">
        <v>1079</v>
      </c>
      <c r="H325" s="6"/>
      <c r="I325" s="6" t="s">
        <v>14</v>
      </c>
      <c r="J325" s="6" t="s">
        <v>5243</v>
      </c>
      <c r="K325" s="6">
        <v>2373153</v>
      </c>
      <c r="L325" s="7" t="s">
        <v>7310</v>
      </c>
      <c r="M325" s="8">
        <v>24638</v>
      </c>
      <c r="N325" s="8" t="str">
        <f t="shared" si="25"/>
        <v>PEN</v>
      </c>
      <c r="O325" s="13"/>
      <c r="P325" s="13">
        <v>8</v>
      </c>
      <c r="Q325" s="3">
        <f t="shared" ref="Q325:Q364" si="26">+IF(OR($G325="SALDO",$G325="INGRESO"),$P325,0)</f>
        <v>0</v>
      </c>
      <c r="R325" s="3">
        <f t="shared" ref="R325:R364" si="27">+IF($G325="EGRESO",$P325,0)</f>
        <v>8</v>
      </c>
      <c r="S325" s="3">
        <f t="shared" ref="S325:S388" si="28">IFERROR(IF(G325="SALDO",Q325,S324+Q325-R325),0)</f>
        <v>941.7999999999995</v>
      </c>
      <c r="T325" s="24"/>
      <c r="U325" s="24"/>
      <c r="V325" s="3"/>
      <c r="W325" s="25" t="s">
        <v>6541</v>
      </c>
      <c r="X325" s="25"/>
      <c r="Y325" s="25" t="str">
        <f>IFERROR(VLOOKUP(C_Ope_005[[#This Row],[NOTA 2]],Clientes_Proveedores[[Ruc / Dni]:[Razon Social]],2,0),"")</f>
        <v/>
      </c>
      <c r="Z325" s="25"/>
      <c r="AA325" s="25"/>
      <c r="AB325" s="3" t="str">
        <f>IF(C_Ope_005[[#This Row],[FECHA]]&gt;0,TEXT(C_Ope_005[[#This Row],[FECHA]],"mmmm"),0)</f>
        <v>Junio</v>
      </c>
    </row>
    <row r="326" spans="2:28" x14ac:dyDescent="0.3">
      <c r="B326" s="2">
        <f>IF(C_Ope_005[[#This Row],[TIPO DE R.]]="R",COUNTIFS($D$4:$D325,"R")+1,"")</f>
        <v>322</v>
      </c>
      <c r="C326" s="19" t="str">
        <f t="shared" ref="C326:C355" si="29">"C_Ope_005"</f>
        <v>C_Ope_005</v>
      </c>
      <c r="D326" s="3" t="s">
        <v>1074</v>
      </c>
      <c r="E326" s="14">
        <v>45824</v>
      </c>
      <c r="F326" s="5" t="s">
        <v>7166</v>
      </c>
      <c r="G326" s="5" t="s">
        <v>1079</v>
      </c>
      <c r="H326" s="6"/>
      <c r="I326" s="6" t="s">
        <v>14</v>
      </c>
      <c r="J326" s="6" t="s">
        <v>1088</v>
      </c>
      <c r="K326" s="6">
        <v>34921</v>
      </c>
      <c r="L326" s="7" t="s">
        <v>7311</v>
      </c>
      <c r="M326" s="8">
        <v>24586</v>
      </c>
      <c r="N326" s="8" t="str">
        <f t="shared" ref="N326:N355" si="30">"PEN"</f>
        <v>PEN</v>
      </c>
      <c r="O326" s="13"/>
      <c r="P326" s="13">
        <v>10</v>
      </c>
      <c r="Q326" s="3">
        <f t="shared" si="26"/>
        <v>0</v>
      </c>
      <c r="R326" s="3">
        <f t="shared" si="27"/>
        <v>10</v>
      </c>
      <c r="S326" s="3">
        <f t="shared" si="28"/>
        <v>931.7999999999995</v>
      </c>
      <c r="T326" s="24"/>
      <c r="U326" s="24"/>
      <c r="V326" s="3"/>
      <c r="W326" s="25" t="s">
        <v>6541</v>
      </c>
      <c r="X326" s="25"/>
      <c r="Y326" s="25" t="str">
        <f>IFERROR(VLOOKUP(C_Ope_005[[#This Row],[NOTA 2]],Clientes_Proveedores[[Ruc / Dni]:[Razon Social]],2,0),"")</f>
        <v/>
      </c>
      <c r="Z326" s="25"/>
      <c r="AA326" s="25"/>
      <c r="AB326" s="3" t="str">
        <f>IF(C_Ope_005[[#This Row],[FECHA]]&gt;0,TEXT(C_Ope_005[[#This Row],[FECHA]],"mmmm"),0)</f>
        <v>Junio</v>
      </c>
    </row>
    <row r="327" spans="2:28" x14ac:dyDescent="0.3">
      <c r="B327" s="2">
        <f>IF(C_Ope_005[[#This Row],[TIPO DE R.]]="R",COUNTIFS($D$4:$D326,"R")+1,"")</f>
        <v>323</v>
      </c>
      <c r="C327" s="19" t="str">
        <f t="shared" si="29"/>
        <v>C_Ope_005</v>
      </c>
      <c r="D327" s="3" t="s">
        <v>1074</v>
      </c>
      <c r="E327" s="14">
        <v>45827</v>
      </c>
      <c r="F327" s="5" t="s">
        <v>7166</v>
      </c>
      <c r="G327" s="5" t="s">
        <v>1079</v>
      </c>
      <c r="H327" s="6"/>
      <c r="I327" s="6" t="s">
        <v>14</v>
      </c>
      <c r="J327" s="6" t="s">
        <v>1148</v>
      </c>
      <c r="K327" s="6">
        <v>133208</v>
      </c>
      <c r="L327" s="7" t="s">
        <v>7254</v>
      </c>
      <c r="M327" s="8">
        <v>24617</v>
      </c>
      <c r="N327" s="8" t="str">
        <f t="shared" si="30"/>
        <v>PEN</v>
      </c>
      <c r="O327" s="13"/>
      <c r="P327" s="13">
        <v>10</v>
      </c>
      <c r="Q327" s="3">
        <f t="shared" si="26"/>
        <v>0</v>
      </c>
      <c r="R327" s="3">
        <f t="shared" si="27"/>
        <v>10</v>
      </c>
      <c r="S327" s="3">
        <f t="shared" si="28"/>
        <v>921.7999999999995</v>
      </c>
      <c r="T327" s="24"/>
      <c r="U327" s="24"/>
      <c r="V327" s="3"/>
      <c r="W327" s="25" t="s">
        <v>6541</v>
      </c>
      <c r="X327" s="25"/>
      <c r="Y327" s="25" t="str">
        <f>IFERROR(VLOOKUP(C_Ope_005[[#This Row],[NOTA 2]],Clientes_Proveedores[[Ruc / Dni]:[Razon Social]],2,0),"")</f>
        <v/>
      </c>
      <c r="Z327" s="25"/>
      <c r="AA327" s="25"/>
      <c r="AB327" s="3" t="str">
        <f>IF(C_Ope_005[[#This Row],[FECHA]]&gt;0,TEXT(C_Ope_005[[#This Row],[FECHA]],"mmmm"),0)</f>
        <v>Junio</v>
      </c>
    </row>
    <row r="328" spans="2:28" x14ac:dyDescent="0.3">
      <c r="B328" s="2">
        <f>IF(C_Ope_005[[#This Row],[TIPO DE R.]]="R",COUNTIFS($D$4:$D327,"R")+1,"")</f>
        <v>324</v>
      </c>
      <c r="C328" s="19" t="str">
        <f t="shared" si="29"/>
        <v>C_Ope_005</v>
      </c>
      <c r="D328" s="3" t="s">
        <v>1074</v>
      </c>
      <c r="E328" s="14">
        <v>45827</v>
      </c>
      <c r="F328" s="5" t="s">
        <v>7166</v>
      </c>
      <c r="G328" s="5" t="s">
        <v>1079</v>
      </c>
      <c r="H328" s="6"/>
      <c r="I328" s="6" t="s">
        <v>14</v>
      </c>
      <c r="J328" s="6" t="s">
        <v>1097</v>
      </c>
      <c r="K328" s="6">
        <v>16708</v>
      </c>
      <c r="L328" s="7" t="s">
        <v>7312</v>
      </c>
      <c r="M328" s="8">
        <v>24618</v>
      </c>
      <c r="N328" s="8" t="str">
        <f t="shared" si="30"/>
        <v>PEN</v>
      </c>
      <c r="O328" s="13"/>
      <c r="P328" s="13">
        <v>20</v>
      </c>
      <c r="Q328" s="3">
        <f t="shared" si="26"/>
        <v>0</v>
      </c>
      <c r="R328" s="3">
        <f t="shared" si="27"/>
        <v>20</v>
      </c>
      <c r="S328" s="3">
        <f t="shared" si="28"/>
        <v>901.7999999999995</v>
      </c>
      <c r="T328" s="24"/>
      <c r="U328" s="24"/>
      <c r="V328" s="3"/>
      <c r="W328" s="25" t="s">
        <v>6541</v>
      </c>
      <c r="X328" s="25"/>
      <c r="Y328" s="25" t="str">
        <f>IFERROR(VLOOKUP(C_Ope_005[[#This Row],[NOTA 2]],Clientes_Proveedores[[Ruc / Dni]:[Razon Social]],2,0),"")</f>
        <v/>
      </c>
      <c r="Z328" s="25"/>
      <c r="AA328" s="25"/>
      <c r="AB328" s="3" t="str">
        <f>IF(C_Ope_005[[#This Row],[FECHA]]&gt;0,TEXT(C_Ope_005[[#This Row],[FECHA]],"mmmm"),0)</f>
        <v>Junio</v>
      </c>
    </row>
    <row r="329" spans="2:28" ht="24" x14ac:dyDescent="0.3">
      <c r="B329" s="2">
        <f>IF(C_Ope_005[[#This Row],[TIPO DE R.]]="R",COUNTIFS($D$4:$D328,"R")+1,"")</f>
        <v>325</v>
      </c>
      <c r="C329" s="19" t="str">
        <f t="shared" si="29"/>
        <v>C_Ope_005</v>
      </c>
      <c r="D329" s="3" t="s">
        <v>1074</v>
      </c>
      <c r="E329" s="14">
        <v>45828</v>
      </c>
      <c r="F329" s="5" t="s">
        <v>7166</v>
      </c>
      <c r="G329" s="5" t="s">
        <v>1079</v>
      </c>
      <c r="H329" s="6"/>
      <c r="I329" s="6" t="s">
        <v>14</v>
      </c>
      <c r="J329" s="6" t="s">
        <v>1097</v>
      </c>
      <c r="K329" s="6">
        <v>16711</v>
      </c>
      <c r="L329" s="7" t="s">
        <v>7313</v>
      </c>
      <c r="M329" s="8">
        <v>24639</v>
      </c>
      <c r="N329" s="8" t="str">
        <f t="shared" si="30"/>
        <v>PEN</v>
      </c>
      <c r="O329" s="13"/>
      <c r="P329" s="13">
        <v>20</v>
      </c>
      <c r="Q329" s="3">
        <f t="shared" si="26"/>
        <v>0</v>
      </c>
      <c r="R329" s="3">
        <f t="shared" si="27"/>
        <v>20</v>
      </c>
      <c r="S329" s="3">
        <f t="shared" si="28"/>
        <v>881.7999999999995</v>
      </c>
      <c r="T329" s="24"/>
      <c r="U329" s="24"/>
      <c r="V329" s="3"/>
      <c r="W329" s="25" t="s">
        <v>6541</v>
      </c>
      <c r="X329" s="25"/>
      <c r="Y329" s="25" t="str">
        <f>IFERROR(VLOOKUP(C_Ope_005[[#This Row],[NOTA 2]],Clientes_Proveedores[[Ruc / Dni]:[Razon Social]],2,0),"")</f>
        <v/>
      </c>
      <c r="Z329" s="25"/>
      <c r="AA329" s="25"/>
      <c r="AB329" s="3" t="str">
        <f>IF(C_Ope_005[[#This Row],[FECHA]]&gt;0,TEXT(C_Ope_005[[#This Row],[FECHA]],"mmmm"),0)</f>
        <v>Junio</v>
      </c>
    </row>
    <row r="330" spans="2:28" x14ac:dyDescent="0.3">
      <c r="B330" s="2">
        <f>IF(C_Ope_005[[#This Row],[TIPO DE R.]]="R",COUNTIFS($D$4:$D329,"R")+1,"")</f>
        <v>326</v>
      </c>
      <c r="C330" s="19" t="str">
        <f t="shared" si="29"/>
        <v>C_Ope_005</v>
      </c>
      <c r="D330" s="3" t="s">
        <v>1074</v>
      </c>
      <c r="E330" s="14">
        <v>45832</v>
      </c>
      <c r="F330" s="5" t="s">
        <v>7166</v>
      </c>
      <c r="G330" s="5" t="s">
        <v>1079</v>
      </c>
      <c r="H330" s="6"/>
      <c r="I330" s="6" t="s">
        <v>14</v>
      </c>
      <c r="J330" s="6" t="s">
        <v>1119</v>
      </c>
      <c r="K330" s="6">
        <v>46261</v>
      </c>
      <c r="L330" s="7" t="s">
        <v>7314</v>
      </c>
      <c r="M330" s="8">
        <v>24678</v>
      </c>
      <c r="N330" s="8" t="str">
        <f t="shared" si="30"/>
        <v>PEN</v>
      </c>
      <c r="O330" s="13"/>
      <c r="P330" s="13">
        <v>150</v>
      </c>
      <c r="Q330" s="3">
        <f t="shared" si="26"/>
        <v>0</v>
      </c>
      <c r="R330" s="3">
        <f t="shared" si="27"/>
        <v>150</v>
      </c>
      <c r="S330" s="3">
        <f t="shared" si="28"/>
        <v>731.7999999999995</v>
      </c>
      <c r="T330" s="24"/>
      <c r="U330" s="24"/>
      <c r="V330" s="3"/>
      <c r="W330" s="25" t="s">
        <v>6546</v>
      </c>
      <c r="X330" s="25"/>
      <c r="Y330" s="25" t="str">
        <f>IFERROR(VLOOKUP(C_Ope_005[[#This Row],[NOTA 2]],Clientes_Proveedores[[Ruc / Dni]:[Razon Social]],2,0),"")</f>
        <v/>
      </c>
      <c r="Z330" s="25"/>
      <c r="AA330" s="25"/>
      <c r="AB330" s="3" t="str">
        <f>IF(C_Ope_005[[#This Row],[FECHA]]&gt;0,TEXT(C_Ope_005[[#This Row],[FECHA]],"mmmm"),0)</f>
        <v>Junio</v>
      </c>
    </row>
    <row r="331" spans="2:28" ht="24" x14ac:dyDescent="0.3">
      <c r="B331" s="2">
        <f>IF(C_Ope_005[[#This Row],[TIPO DE R.]]="R",COUNTIFS($D$4:$D330,"R")+1,"")</f>
        <v>327</v>
      </c>
      <c r="C331" s="19" t="str">
        <f t="shared" si="29"/>
        <v>C_Ope_005</v>
      </c>
      <c r="D331" s="3" t="s">
        <v>1074</v>
      </c>
      <c r="E331" s="14">
        <v>45831</v>
      </c>
      <c r="F331" s="5" t="s">
        <v>7166</v>
      </c>
      <c r="G331" s="5" t="s">
        <v>1079</v>
      </c>
      <c r="H331" s="6"/>
      <c r="I331" s="6" t="s">
        <v>14</v>
      </c>
      <c r="J331" s="6" t="s">
        <v>7226</v>
      </c>
      <c r="K331" s="6">
        <v>441658</v>
      </c>
      <c r="L331" s="7" t="s">
        <v>7290</v>
      </c>
      <c r="M331" s="8">
        <v>24665</v>
      </c>
      <c r="N331" s="8" t="str">
        <f t="shared" si="30"/>
        <v>PEN</v>
      </c>
      <c r="O331" s="13"/>
      <c r="P331" s="13">
        <v>7.7</v>
      </c>
      <c r="Q331" s="3">
        <f t="shared" si="26"/>
        <v>0</v>
      </c>
      <c r="R331" s="3">
        <f t="shared" si="27"/>
        <v>7.7</v>
      </c>
      <c r="S331" s="3">
        <f t="shared" si="28"/>
        <v>724.09999999999945</v>
      </c>
      <c r="T331" s="24"/>
      <c r="U331" s="24"/>
      <c r="V331" s="3"/>
      <c r="W331" s="25" t="s">
        <v>6546</v>
      </c>
      <c r="X331" s="25"/>
      <c r="Y331" s="25" t="str">
        <f>IFERROR(VLOOKUP(C_Ope_005[[#This Row],[NOTA 2]],Clientes_Proveedores[[Ruc / Dni]:[Razon Social]],2,0),"")</f>
        <v/>
      </c>
      <c r="Z331" s="25"/>
      <c r="AA331" s="25"/>
      <c r="AB331" s="3" t="str">
        <f>IF(C_Ope_005[[#This Row],[FECHA]]&gt;0,TEXT(C_Ope_005[[#This Row],[FECHA]],"mmmm"),0)</f>
        <v>Junio</v>
      </c>
    </row>
    <row r="332" spans="2:28" ht="24" x14ac:dyDescent="0.3">
      <c r="B332" s="2">
        <f>IF(C_Ope_005[[#This Row],[TIPO DE R.]]="R",COUNTIFS($D$4:$D331,"R")+1,"")</f>
        <v>328</v>
      </c>
      <c r="C332" s="19" t="str">
        <f t="shared" si="29"/>
        <v>C_Ope_005</v>
      </c>
      <c r="D332" s="3" t="s">
        <v>1074</v>
      </c>
      <c r="E332" s="14">
        <v>45832</v>
      </c>
      <c r="F332" s="5" t="s">
        <v>7166</v>
      </c>
      <c r="G332" s="5" t="s">
        <v>1079</v>
      </c>
      <c r="H332" s="6"/>
      <c r="I332" s="6" t="s">
        <v>14</v>
      </c>
      <c r="J332" s="6" t="s">
        <v>7185</v>
      </c>
      <c r="K332" s="6">
        <v>628839</v>
      </c>
      <c r="L332" s="7" t="s">
        <v>7291</v>
      </c>
      <c r="M332" s="8">
        <v>24671</v>
      </c>
      <c r="N332" s="8" t="str">
        <f t="shared" si="30"/>
        <v>PEN</v>
      </c>
      <c r="O332" s="13"/>
      <c r="P332" s="13">
        <v>7.7</v>
      </c>
      <c r="Q332" s="3">
        <f t="shared" si="26"/>
        <v>0</v>
      </c>
      <c r="R332" s="3">
        <f t="shared" si="27"/>
        <v>7.7</v>
      </c>
      <c r="S332" s="3">
        <f t="shared" si="28"/>
        <v>716.39999999999941</v>
      </c>
      <c r="T332" s="24"/>
      <c r="U332" s="24"/>
      <c r="V332" s="3"/>
      <c r="W332" s="25" t="s">
        <v>6546</v>
      </c>
      <c r="X332" s="25"/>
      <c r="Y332" s="25" t="str">
        <f>IFERROR(VLOOKUP(C_Ope_005[[#This Row],[NOTA 2]],Clientes_Proveedores[[Ruc / Dni]:[Razon Social]],2,0),"")</f>
        <v/>
      </c>
      <c r="Z332" s="25"/>
      <c r="AA332" s="25"/>
      <c r="AB332" s="3" t="str">
        <f>IF(C_Ope_005[[#This Row],[FECHA]]&gt;0,TEXT(C_Ope_005[[#This Row],[FECHA]],"mmmm"),0)</f>
        <v>Junio</v>
      </c>
    </row>
    <row r="333" spans="2:28" ht="24" x14ac:dyDescent="0.3">
      <c r="B333" s="2">
        <f>IF(C_Ope_005[[#This Row],[TIPO DE R.]]="R",COUNTIFS($D$4:$D332,"R")+1,"")</f>
        <v>329</v>
      </c>
      <c r="C333" s="19" t="str">
        <f t="shared" si="29"/>
        <v>C_Ope_005</v>
      </c>
      <c r="D333" s="3" t="s">
        <v>1074</v>
      </c>
      <c r="E333" s="14">
        <v>45832</v>
      </c>
      <c r="F333" s="5" t="s">
        <v>7166</v>
      </c>
      <c r="G333" s="5" t="s">
        <v>1079</v>
      </c>
      <c r="H333" s="6"/>
      <c r="I333" s="6" t="s">
        <v>14</v>
      </c>
      <c r="J333" s="6" t="s">
        <v>7187</v>
      </c>
      <c r="K333" s="6">
        <v>639832</v>
      </c>
      <c r="L333" s="7" t="s">
        <v>7315</v>
      </c>
      <c r="M333" s="8">
        <v>24672</v>
      </c>
      <c r="N333" s="8" t="str">
        <f t="shared" si="30"/>
        <v>PEN</v>
      </c>
      <c r="O333" s="13"/>
      <c r="P333" s="13">
        <v>7.7</v>
      </c>
      <c r="Q333" s="3">
        <f t="shared" si="26"/>
        <v>0</v>
      </c>
      <c r="R333" s="3">
        <f t="shared" si="27"/>
        <v>7.7</v>
      </c>
      <c r="S333" s="3">
        <f t="shared" si="28"/>
        <v>708.69999999999936</v>
      </c>
      <c r="T333" s="24"/>
      <c r="U333" s="24"/>
      <c r="V333" s="3"/>
      <c r="W333" s="25" t="s">
        <v>6546</v>
      </c>
      <c r="X333" s="25"/>
      <c r="Y333" s="25" t="str">
        <f>IFERROR(VLOOKUP(C_Ope_005[[#This Row],[NOTA 2]],Clientes_Proveedores[[Ruc / Dni]:[Razon Social]],2,0),"")</f>
        <v/>
      </c>
      <c r="Z333" s="25"/>
      <c r="AA333" s="25"/>
      <c r="AB333" s="3" t="str">
        <f>IF(C_Ope_005[[#This Row],[FECHA]]&gt;0,TEXT(C_Ope_005[[#This Row],[FECHA]],"mmmm"),0)</f>
        <v>Junio</v>
      </c>
    </row>
    <row r="334" spans="2:28" ht="24" x14ac:dyDescent="0.3">
      <c r="B334" s="2">
        <f>IF(C_Ope_005[[#This Row],[TIPO DE R.]]="R",COUNTIFS($D$4:$D333,"R")+1,"")</f>
        <v>330</v>
      </c>
      <c r="C334" s="19" t="str">
        <f t="shared" si="29"/>
        <v>C_Ope_005</v>
      </c>
      <c r="D334" s="3" t="s">
        <v>1074</v>
      </c>
      <c r="E334" s="14">
        <v>45834</v>
      </c>
      <c r="F334" s="5" t="s">
        <v>7166</v>
      </c>
      <c r="G334" s="5" t="s">
        <v>1079</v>
      </c>
      <c r="H334" s="6"/>
      <c r="I334" s="6" t="s">
        <v>14</v>
      </c>
      <c r="J334" s="6" t="s">
        <v>7188</v>
      </c>
      <c r="K334" s="6">
        <v>1869371</v>
      </c>
      <c r="L334" s="7" t="s">
        <v>7290</v>
      </c>
      <c r="M334" s="8">
        <v>24718</v>
      </c>
      <c r="N334" s="8" t="str">
        <f t="shared" si="30"/>
        <v>PEN</v>
      </c>
      <c r="O334" s="13"/>
      <c r="P334" s="13">
        <v>7.7</v>
      </c>
      <c r="Q334" s="3">
        <f t="shared" si="26"/>
        <v>0</v>
      </c>
      <c r="R334" s="3">
        <f t="shared" si="27"/>
        <v>7.7</v>
      </c>
      <c r="S334" s="3">
        <f t="shared" si="28"/>
        <v>700.99999999999932</v>
      </c>
      <c r="T334" s="24"/>
      <c r="U334" s="24"/>
      <c r="V334" s="3"/>
      <c r="W334" s="25" t="s">
        <v>6546</v>
      </c>
      <c r="X334" s="25"/>
      <c r="Y334" s="25" t="str">
        <f>IFERROR(VLOOKUP(C_Ope_005[[#This Row],[NOTA 2]],Clientes_Proveedores[[Ruc / Dni]:[Razon Social]],2,0),"")</f>
        <v/>
      </c>
      <c r="Z334" s="25"/>
      <c r="AA334" s="25"/>
      <c r="AB334" s="3" t="str">
        <f>IF(C_Ope_005[[#This Row],[FECHA]]&gt;0,TEXT(C_Ope_005[[#This Row],[FECHA]],"mmmm"),0)</f>
        <v>Junio</v>
      </c>
    </row>
    <row r="335" spans="2:28" ht="36" x14ac:dyDescent="0.3">
      <c r="B335" s="2">
        <f>IF(C_Ope_005[[#This Row],[TIPO DE R.]]="R",COUNTIFS($D$4:$D334,"R")+1,"")</f>
        <v>331</v>
      </c>
      <c r="C335" s="19" t="str">
        <f t="shared" si="29"/>
        <v>C_Ope_005</v>
      </c>
      <c r="D335" s="3" t="s">
        <v>1074</v>
      </c>
      <c r="E335" s="14">
        <v>45834</v>
      </c>
      <c r="F335" s="5" t="s">
        <v>7166</v>
      </c>
      <c r="G335" s="5" t="s">
        <v>1079</v>
      </c>
      <c r="H335" s="6"/>
      <c r="I335" s="6" t="s">
        <v>14</v>
      </c>
      <c r="J335" s="6" t="s">
        <v>5243</v>
      </c>
      <c r="K335" s="6">
        <v>2380327</v>
      </c>
      <c r="L335" s="7" t="s">
        <v>7316</v>
      </c>
      <c r="M335" s="8">
        <v>24719</v>
      </c>
      <c r="N335" s="8" t="str">
        <f t="shared" si="30"/>
        <v>PEN</v>
      </c>
      <c r="O335" s="13"/>
      <c r="P335" s="13">
        <v>8</v>
      </c>
      <c r="Q335" s="3">
        <f t="shared" si="26"/>
        <v>0</v>
      </c>
      <c r="R335" s="3">
        <f t="shared" si="27"/>
        <v>8</v>
      </c>
      <c r="S335" s="3">
        <f t="shared" si="28"/>
        <v>692.99999999999932</v>
      </c>
      <c r="T335" s="24"/>
      <c r="U335" s="24"/>
      <c r="V335" s="3"/>
      <c r="W335" s="25" t="s">
        <v>6546</v>
      </c>
      <c r="X335" s="25"/>
      <c r="Y335" s="25" t="str">
        <f>IFERROR(VLOOKUP(C_Ope_005[[#This Row],[NOTA 2]],Clientes_Proveedores[[Ruc / Dni]:[Razon Social]],2,0),"")</f>
        <v/>
      </c>
      <c r="Z335" s="25"/>
      <c r="AA335" s="25"/>
      <c r="AB335" s="3" t="str">
        <f>IF(C_Ope_005[[#This Row],[FECHA]]&gt;0,TEXT(C_Ope_005[[#This Row],[FECHA]],"mmmm"),0)</f>
        <v>Junio</v>
      </c>
    </row>
    <row r="336" spans="2:28" ht="24" x14ac:dyDescent="0.3">
      <c r="B336" s="2">
        <f>IF(C_Ope_005[[#This Row],[TIPO DE R.]]="R",COUNTIFS($D$4:$D335,"R")+1,"")</f>
        <v>332</v>
      </c>
      <c r="C336" s="19" t="str">
        <f t="shared" si="29"/>
        <v>C_Ope_005</v>
      </c>
      <c r="D336" s="3" t="s">
        <v>1074</v>
      </c>
      <c r="E336" s="14">
        <v>45835</v>
      </c>
      <c r="F336" s="5" t="s">
        <v>7166</v>
      </c>
      <c r="G336" s="5" t="s">
        <v>1079</v>
      </c>
      <c r="H336" s="6"/>
      <c r="I336" s="6" t="s">
        <v>14</v>
      </c>
      <c r="J336" s="6" t="s">
        <v>5244</v>
      </c>
      <c r="K336" s="6">
        <v>1770457</v>
      </c>
      <c r="L336" s="7" t="s">
        <v>7317</v>
      </c>
      <c r="M336" s="8">
        <v>24729</v>
      </c>
      <c r="N336" s="8" t="str">
        <f t="shared" si="30"/>
        <v>PEN</v>
      </c>
      <c r="O336" s="13"/>
      <c r="P336" s="13">
        <v>8</v>
      </c>
      <c r="Q336" s="3">
        <f t="shared" si="26"/>
        <v>0</v>
      </c>
      <c r="R336" s="3">
        <f t="shared" si="27"/>
        <v>8</v>
      </c>
      <c r="S336" s="3">
        <f t="shared" si="28"/>
        <v>684.99999999999932</v>
      </c>
      <c r="T336" s="24"/>
      <c r="U336" s="24"/>
      <c r="V336" s="3"/>
      <c r="W336" s="25" t="s">
        <v>6541</v>
      </c>
      <c r="X336" s="25"/>
      <c r="Y336" s="25" t="str">
        <f>IFERROR(VLOOKUP(C_Ope_005[[#This Row],[NOTA 2]],Clientes_Proveedores[[Ruc / Dni]:[Razon Social]],2,0),"")</f>
        <v/>
      </c>
      <c r="Z336" s="25"/>
      <c r="AA336" s="25"/>
      <c r="AB336" s="3" t="str">
        <f>IF(C_Ope_005[[#This Row],[FECHA]]&gt;0,TEXT(C_Ope_005[[#This Row],[FECHA]],"mmmm"),0)</f>
        <v>Junio</v>
      </c>
    </row>
    <row r="337" spans="2:28" ht="24" x14ac:dyDescent="0.3">
      <c r="B337" s="2">
        <f>IF(C_Ope_005[[#This Row],[TIPO DE R.]]="R",COUNTIFS($D$4:$D336,"R")+1,"")</f>
        <v>333</v>
      </c>
      <c r="C337" s="19" t="str">
        <f t="shared" si="29"/>
        <v>C_Ope_005</v>
      </c>
      <c r="D337" s="3" t="s">
        <v>1074</v>
      </c>
      <c r="E337" s="14">
        <v>45838</v>
      </c>
      <c r="F337" s="5" t="s">
        <v>7166</v>
      </c>
      <c r="G337" s="5" t="s">
        <v>1079</v>
      </c>
      <c r="H337" s="6"/>
      <c r="I337" s="6" t="s">
        <v>14</v>
      </c>
      <c r="J337" s="6" t="s">
        <v>5244</v>
      </c>
      <c r="K337" s="6">
        <v>1772957</v>
      </c>
      <c r="L337" s="7" t="s">
        <v>7318</v>
      </c>
      <c r="M337" s="8">
        <v>24752</v>
      </c>
      <c r="N337" s="8" t="str">
        <f t="shared" si="30"/>
        <v>PEN</v>
      </c>
      <c r="O337" s="13"/>
      <c r="P337" s="13">
        <v>8</v>
      </c>
      <c r="Q337" s="3">
        <f t="shared" si="26"/>
        <v>0</v>
      </c>
      <c r="R337" s="3">
        <f t="shared" si="27"/>
        <v>8</v>
      </c>
      <c r="S337" s="3">
        <f t="shared" si="28"/>
        <v>676.99999999999932</v>
      </c>
      <c r="T337" s="24"/>
      <c r="U337" s="24"/>
      <c r="V337" s="3"/>
      <c r="W337" s="25" t="s">
        <v>6546</v>
      </c>
      <c r="X337" s="25"/>
      <c r="Y337" s="25" t="str">
        <f>IFERROR(VLOOKUP(C_Ope_005[[#This Row],[NOTA 2]],Clientes_Proveedores[[Ruc / Dni]:[Razon Social]],2,0),"")</f>
        <v/>
      </c>
      <c r="Z337" s="25"/>
      <c r="AA337" s="25"/>
      <c r="AB337" s="3" t="str">
        <f>IF(C_Ope_005[[#This Row],[FECHA]]&gt;0,TEXT(C_Ope_005[[#This Row],[FECHA]],"mmmm"),0)</f>
        <v>Junio</v>
      </c>
    </row>
    <row r="338" spans="2:28" x14ac:dyDescent="0.3">
      <c r="B338" s="2">
        <f>IF(C_Ope_005[[#This Row],[TIPO DE R.]]="R",COUNTIFS($D$4:$D337,"R")+1,"")</f>
        <v>334</v>
      </c>
      <c r="C338" s="19" t="str">
        <f t="shared" si="29"/>
        <v>C_Ope_005</v>
      </c>
      <c r="D338" s="3" t="s">
        <v>1074</v>
      </c>
      <c r="E338" s="14">
        <v>45835</v>
      </c>
      <c r="F338" s="5" t="s">
        <v>7166</v>
      </c>
      <c r="G338" s="5" t="s">
        <v>1079</v>
      </c>
      <c r="H338" s="6"/>
      <c r="I338" s="6" t="s">
        <v>14</v>
      </c>
      <c r="J338" s="6" t="s">
        <v>1148</v>
      </c>
      <c r="K338" s="6">
        <v>133518</v>
      </c>
      <c r="L338" s="7" t="s">
        <v>7319</v>
      </c>
      <c r="M338" s="8">
        <v>24730</v>
      </c>
      <c r="N338" s="8" t="str">
        <f t="shared" si="30"/>
        <v>PEN</v>
      </c>
      <c r="O338" s="13"/>
      <c r="P338" s="13">
        <v>10</v>
      </c>
      <c r="Q338" s="3">
        <f t="shared" si="26"/>
        <v>0</v>
      </c>
      <c r="R338" s="3">
        <f t="shared" si="27"/>
        <v>10</v>
      </c>
      <c r="S338" s="3">
        <f t="shared" si="28"/>
        <v>666.99999999999932</v>
      </c>
      <c r="T338" s="24"/>
      <c r="U338" s="24"/>
      <c r="V338" s="3"/>
      <c r="W338" s="25" t="s">
        <v>6541</v>
      </c>
      <c r="X338" s="25"/>
      <c r="Y338" s="25" t="str">
        <f>IFERROR(VLOOKUP(C_Ope_005[[#This Row],[NOTA 2]],Clientes_Proveedores[[Ruc / Dni]:[Razon Social]],2,0),"")</f>
        <v/>
      </c>
      <c r="Z338" s="25"/>
      <c r="AA338" s="25"/>
      <c r="AB338" s="3" t="str">
        <f>IF(C_Ope_005[[#This Row],[FECHA]]&gt;0,TEXT(C_Ope_005[[#This Row],[FECHA]],"mmmm"),0)</f>
        <v>Junio</v>
      </c>
    </row>
    <row r="339" spans="2:28" x14ac:dyDescent="0.3">
      <c r="B339" s="2">
        <f>IF(C_Ope_005[[#This Row],[TIPO DE R.]]="R",COUNTIFS($D$4:$D338,"R")+1,"")</f>
        <v>335</v>
      </c>
      <c r="C339" s="19" t="str">
        <f t="shared" si="29"/>
        <v>C_Ope_005</v>
      </c>
      <c r="D339" s="3" t="s">
        <v>1074</v>
      </c>
      <c r="E339" s="14">
        <v>45831</v>
      </c>
      <c r="F339" s="5" t="s">
        <v>7166</v>
      </c>
      <c r="G339" s="5" t="s">
        <v>1079</v>
      </c>
      <c r="H339" s="6"/>
      <c r="I339" s="6"/>
      <c r="J339" s="6"/>
      <c r="K339" s="6"/>
      <c r="L339" s="7" t="s">
        <v>6897</v>
      </c>
      <c r="M339" s="8">
        <v>24666</v>
      </c>
      <c r="N339" s="8" t="str">
        <f t="shared" si="30"/>
        <v>PEN</v>
      </c>
      <c r="O339" s="13"/>
      <c r="P339" s="13">
        <v>24</v>
      </c>
      <c r="Q339" s="3">
        <f t="shared" si="26"/>
        <v>0</v>
      </c>
      <c r="R339" s="3">
        <f t="shared" si="27"/>
        <v>24</v>
      </c>
      <c r="S339" s="3">
        <f t="shared" si="28"/>
        <v>642.99999999999932</v>
      </c>
      <c r="T339" s="24"/>
      <c r="U339" s="24"/>
      <c r="V339" s="3"/>
      <c r="W339" s="25" t="s">
        <v>6546</v>
      </c>
      <c r="X339" s="25"/>
      <c r="Y339" s="25" t="str">
        <f>IFERROR(VLOOKUP(C_Ope_005[[#This Row],[NOTA 2]],Clientes_Proveedores[[Ruc / Dni]:[Razon Social]],2,0),"")</f>
        <v/>
      </c>
      <c r="Z339" s="25"/>
      <c r="AA339" s="25"/>
      <c r="AB339" s="3" t="str">
        <f>IF(C_Ope_005[[#This Row],[FECHA]]&gt;0,TEXT(C_Ope_005[[#This Row],[FECHA]],"mmmm"),0)</f>
        <v>Junio</v>
      </c>
    </row>
    <row r="340" spans="2:28" x14ac:dyDescent="0.3">
      <c r="B340" s="2">
        <f>IF(C_Ope_005[[#This Row],[TIPO DE R.]]="R",COUNTIFS($D$4:$D339,"R")+1,"")</f>
        <v>336</v>
      </c>
      <c r="C340" s="19" t="str">
        <f t="shared" si="29"/>
        <v>C_Ope_005</v>
      </c>
      <c r="D340" s="3" t="s">
        <v>1074</v>
      </c>
      <c r="E340" s="14">
        <v>45831</v>
      </c>
      <c r="F340" s="5" t="s">
        <v>7166</v>
      </c>
      <c r="G340" s="5" t="s">
        <v>1079</v>
      </c>
      <c r="H340" s="6"/>
      <c r="I340" s="6"/>
      <c r="J340" s="6"/>
      <c r="K340" s="6"/>
      <c r="L340" s="7" t="s">
        <v>6889</v>
      </c>
      <c r="M340" s="8">
        <v>24667</v>
      </c>
      <c r="N340" s="8" t="str">
        <f t="shared" si="30"/>
        <v>PEN</v>
      </c>
      <c r="O340" s="13"/>
      <c r="P340" s="13">
        <v>30</v>
      </c>
      <c r="Q340" s="3">
        <f t="shared" si="26"/>
        <v>0</v>
      </c>
      <c r="R340" s="3">
        <f t="shared" si="27"/>
        <v>30</v>
      </c>
      <c r="S340" s="3">
        <f t="shared" si="28"/>
        <v>612.99999999999932</v>
      </c>
      <c r="T340" s="24"/>
      <c r="U340" s="24"/>
      <c r="V340" s="3"/>
      <c r="W340" s="25" t="s">
        <v>6546</v>
      </c>
      <c r="X340" s="25"/>
      <c r="Y340" s="25" t="str">
        <f>IFERROR(VLOOKUP(C_Ope_005[[#This Row],[NOTA 2]],Clientes_Proveedores[[Ruc / Dni]:[Razon Social]],2,0),"")</f>
        <v/>
      </c>
      <c r="Z340" s="25"/>
      <c r="AA340" s="25"/>
      <c r="AB340" s="3" t="str">
        <f>IF(C_Ope_005[[#This Row],[FECHA]]&gt;0,TEXT(C_Ope_005[[#This Row],[FECHA]],"mmmm"),0)</f>
        <v>Junio</v>
      </c>
    </row>
    <row r="341" spans="2:28" x14ac:dyDescent="0.3">
      <c r="B341" s="2">
        <f>IF(C_Ope_005[[#This Row],[TIPO DE R.]]="R",COUNTIFS($D$4:$D340,"R")+1,"")</f>
        <v>337</v>
      </c>
      <c r="C341" s="19" t="str">
        <f t="shared" si="29"/>
        <v>C_Ope_005</v>
      </c>
      <c r="D341" s="3" t="s">
        <v>1074</v>
      </c>
      <c r="E341" s="14">
        <v>45831</v>
      </c>
      <c r="F341" s="5" t="s">
        <v>7166</v>
      </c>
      <c r="G341" s="5" t="s">
        <v>1079</v>
      </c>
      <c r="H341" s="6"/>
      <c r="I341" s="6"/>
      <c r="J341" s="6"/>
      <c r="K341" s="6"/>
      <c r="L341" s="7" t="s">
        <v>6903</v>
      </c>
      <c r="M341" s="8">
        <v>24668</v>
      </c>
      <c r="N341" s="8" t="str">
        <f t="shared" si="30"/>
        <v>PEN</v>
      </c>
      <c r="O341" s="13"/>
      <c r="P341" s="13">
        <v>24</v>
      </c>
      <c r="Q341" s="3">
        <f t="shared" si="26"/>
        <v>0</v>
      </c>
      <c r="R341" s="3">
        <f t="shared" si="27"/>
        <v>24</v>
      </c>
      <c r="S341" s="3">
        <f t="shared" si="28"/>
        <v>588.99999999999932</v>
      </c>
      <c r="T341" s="24"/>
      <c r="U341" s="24"/>
      <c r="V341" s="3"/>
      <c r="W341" s="25" t="s">
        <v>6546</v>
      </c>
      <c r="X341" s="25"/>
      <c r="Y341" s="25" t="str">
        <f>IFERROR(VLOOKUP(C_Ope_005[[#This Row],[NOTA 2]],Clientes_Proveedores[[Ruc / Dni]:[Razon Social]],2,0),"")</f>
        <v/>
      </c>
      <c r="Z341" s="25"/>
      <c r="AA341" s="25"/>
      <c r="AB341" s="3" t="str">
        <f>IF(C_Ope_005[[#This Row],[FECHA]]&gt;0,TEXT(C_Ope_005[[#This Row],[FECHA]],"mmmm"),0)</f>
        <v>Junio</v>
      </c>
    </row>
    <row r="342" spans="2:28" x14ac:dyDescent="0.3">
      <c r="B342" s="2">
        <f>IF(C_Ope_005[[#This Row],[TIPO DE R.]]="R",COUNTIFS($D$4:$D341,"R")+1,"")</f>
        <v>338</v>
      </c>
      <c r="C342" s="19" t="str">
        <f t="shared" si="29"/>
        <v>C_Ope_005</v>
      </c>
      <c r="D342" s="3" t="s">
        <v>1074</v>
      </c>
      <c r="E342" s="14">
        <v>45831</v>
      </c>
      <c r="F342" s="5" t="s">
        <v>7166</v>
      </c>
      <c r="G342" s="5" t="s">
        <v>1079</v>
      </c>
      <c r="H342" s="6"/>
      <c r="I342" s="6"/>
      <c r="J342" s="6"/>
      <c r="K342" s="6"/>
      <c r="L342" s="7" t="s">
        <v>7320</v>
      </c>
      <c r="M342" s="8">
        <v>24669</v>
      </c>
      <c r="N342" s="8" t="str">
        <f t="shared" si="30"/>
        <v>PEN</v>
      </c>
      <c r="O342" s="13"/>
      <c r="P342" s="13">
        <v>100</v>
      </c>
      <c r="Q342" s="3">
        <f t="shared" si="26"/>
        <v>0</v>
      </c>
      <c r="R342" s="3">
        <f t="shared" si="27"/>
        <v>100</v>
      </c>
      <c r="S342" s="3">
        <f t="shared" si="28"/>
        <v>488.99999999999932</v>
      </c>
      <c r="T342" s="24"/>
      <c r="U342" s="24"/>
      <c r="V342" s="3"/>
      <c r="W342" s="25" t="s">
        <v>6546</v>
      </c>
      <c r="X342" s="25"/>
      <c r="Y342" s="25" t="str">
        <f>IFERROR(VLOOKUP(C_Ope_005[[#This Row],[NOTA 2]],Clientes_Proveedores[[Ruc / Dni]:[Razon Social]],2,0),"")</f>
        <v/>
      </c>
      <c r="Z342" s="25"/>
      <c r="AA342" s="25"/>
      <c r="AB342" s="3" t="str">
        <f>IF(C_Ope_005[[#This Row],[FECHA]]&gt;0,TEXT(C_Ope_005[[#This Row],[FECHA]],"mmmm"),0)</f>
        <v>Junio</v>
      </c>
    </row>
    <row r="343" spans="2:28" x14ac:dyDescent="0.3">
      <c r="B343" s="2">
        <f>IF(C_Ope_005[[#This Row],[TIPO DE R.]]="R",COUNTIFS($D$4:$D342,"R")+1,"")</f>
        <v>339</v>
      </c>
      <c r="C343" s="19" t="str">
        <f t="shared" si="29"/>
        <v>C_Ope_005</v>
      </c>
      <c r="D343" s="3" t="s">
        <v>1074</v>
      </c>
      <c r="E343" s="14">
        <v>45831</v>
      </c>
      <c r="F343" s="5" t="s">
        <v>7166</v>
      </c>
      <c r="G343" s="5" t="s">
        <v>1079</v>
      </c>
      <c r="H343" s="6"/>
      <c r="I343" s="6"/>
      <c r="J343" s="6"/>
      <c r="K343" s="6"/>
      <c r="L343" s="7" t="s">
        <v>7321</v>
      </c>
      <c r="M343" s="8">
        <v>24670</v>
      </c>
      <c r="N343" s="8" t="str">
        <f t="shared" si="30"/>
        <v>PEN</v>
      </c>
      <c r="O343" s="13"/>
      <c r="P343" s="13">
        <v>15</v>
      </c>
      <c r="Q343" s="3">
        <f t="shared" si="26"/>
        <v>0</v>
      </c>
      <c r="R343" s="3">
        <f t="shared" si="27"/>
        <v>15</v>
      </c>
      <c r="S343" s="3">
        <f t="shared" si="28"/>
        <v>473.99999999999932</v>
      </c>
      <c r="T343" s="24"/>
      <c r="U343" s="24"/>
      <c r="V343" s="3"/>
      <c r="W343" s="25" t="s">
        <v>6546</v>
      </c>
      <c r="X343" s="25"/>
      <c r="Y343" s="25" t="str">
        <f>IFERROR(VLOOKUP(C_Ope_005[[#This Row],[NOTA 2]],Clientes_Proveedores[[Ruc / Dni]:[Razon Social]],2,0),"")</f>
        <v/>
      </c>
      <c r="Z343" s="25"/>
      <c r="AA343" s="25"/>
      <c r="AB343" s="3" t="str">
        <f>IF(C_Ope_005[[#This Row],[FECHA]]&gt;0,TEXT(C_Ope_005[[#This Row],[FECHA]],"mmmm"),0)</f>
        <v>Junio</v>
      </c>
    </row>
    <row r="344" spans="2:28" x14ac:dyDescent="0.3">
      <c r="B344" s="2">
        <f>IF(C_Ope_005[[#This Row],[TIPO DE R.]]="R",COUNTIFS($D$4:$D343,"R")+1,"")</f>
        <v>340</v>
      </c>
      <c r="C344" s="19" t="str">
        <f t="shared" si="29"/>
        <v>C_Ope_005</v>
      </c>
      <c r="D344" s="3" t="s">
        <v>1074</v>
      </c>
      <c r="E344" s="14">
        <v>45832</v>
      </c>
      <c r="F344" s="5" t="s">
        <v>7166</v>
      </c>
      <c r="G344" s="5" t="s">
        <v>1079</v>
      </c>
      <c r="H344" s="6"/>
      <c r="I344" s="6"/>
      <c r="J344" s="6"/>
      <c r="K344" s="6"/>
      <c r="L344" s="7" t="s">
        <v>6897</v>
      </c>
      <c r="M344" s="8">
        <v>24673</v>
      </c>
      <c r="N344" s="8" t="str">
        <f t="shared" si="30"/>
        <v>PEN</v>
      </c>
      <c r="O344" s="13"/>
      <c r="P344" s="13">
        <v>24</v>
      </c>
      <c r="Q344" s="3">
        <f t="shared" si="26"/>
        <v>0</v>
      </c>
      <c r="R344" s="3">
        <f t="shared" si="27"/>
        <v>24</v>
      </c>
      <c r="S344" s="3">
        <f t="shared" si="28"/>
        <v>449.99999999999932</v>
      </c>
      <c r="T344" s="24"/>
      <c r="U344" s="24"/>
      <c r="V344" s="3"/>
      <c r="W344" s="25" t="s">
        <v>6546</v>
      </c>
      <c r="X344" s="25"/>
      <c r="Y344" s="25" t="str">
        <f>IFERROR(VLOOKUP(C_Ope_005[[#This Row],[NOTA 2]],Clientes_Proveedores[[Ruc / Dni]:[Razon Social]],2,0),"")</f>
        <v/>
      </c>
      <c r="Z344" s="25"/>
      <c r="AA344" s="25"/>
      <c r="AB344" s="3" t="str">
        <f>IF(C_Ope_005[[#This Row],[FECHA]]&gt;0,TEXT(C_Ope_005[[#This Row],[FECHA]],"mmmm"),0)</f>
        <v>Junio</v>
      </c>
    </row>
    <row r="345" spans="2:28" x14ac:dyDescent="0.3">
      <c r="B345" s="2">
        <f>IF(C_Ope_005[[#This Row],[TIPO DE R.]]="R",COUNTIFS($D$4:$D344,"R")+1,"")</f>
        <v>341</v>
      </c>
      <c r="C345" s="19" t="str">
        <f t="shared" si="29"/>
        <v>C_Ope_005</v>
      </c>
      <c r="D345" s="3" t="s">
        <v>1074</v>
      </c>
      <c r="E345" s="14">
        <v>45832</v>
      </c>
      <c r="F345" s="5" t="s">
        <v>7166</v>
      </c>
      <c r="G345" s="5" t="s">
        <v>1079</v>
      </c>
      <c r="H345" s="6"/>
      <c r="I345" s="6"/>
      <c r="J345" s="6"/>
      <c r="K345" s="6"/>
      <c r="L345" s="7" t="s">
        <v>6889</v>
      </c>
      <c r="M345" s="8">
        <v>24674</v>
      </c>
      <c r="N345" s="8" t="str">
        <f t="shared" si="30"/>
        <v>PEN</v>
      </c>
      <c r="O345" s="13"/>
      <c r="P345" s="13">
        <v>30</v>
      </c>
      <c r="Q345" s="3">
        <f t="shared" si="26"/>
        <v>0</v>
      </c>
      <c r="R345" s="3">
        <f t="shared" si="27"/>
        <v>30</v>
      </c>
      <c r="S345" s="3">
        <f t="shared" si="28"/>
        <v>419.99999999999932</v>
      </c>
      <c r="T345" s="24"/>
      <c r="U345" s="24"/>
      <c r="V345" s="3"/>
      <c r="W345" s="25" t="s">
        <v>6546</v>
      </c>
      <c r="X345" s="25"/>
      <c r="Y345" s="25" t="str">
        <f>IFERROR(VLOOKUP(C_Ope_005[[#This Row],[NOTA 2]],Clientes_Proveedores[[Ruc / Dni]:[Razon Social]],2,0),"")</f>
        <v/>
      </c>
      <c r="Z345" s="25"/>
      <c r="AA345" s="25"/>
      <c r="AB345" s="3" t="str">
        <f>IF(C_Ope_005[[#This Row],[FECHA]]&gt;0,TEXT(C_Ope_005[[#This Row],[FECHA]],"mmmm"),0)</f>
        <v>Junio</v>
      </c>
    </row>
    <row r="346" spans="2:28" x14ac:dyDescent="0.3">
      <c r="B346" s="2">
        <f>IF(C_Ope_005[[#This Row],[TIPO DE R.]]="R",COUNTIFS($D$4:$D345,"R")+1,"")</f>
        <v>342</v>
      </c>
      <c r="C346" s="19" t="str">
        <f t="shared" si="29"/>
        <v>C_Ope_005</v>
      </c>
      <c r="D346" s="3" t="s">
        <v>1074</v>
      </c>
      <c r="E346" s="14">
        <v>45832</v>
      </c>
      <c r="F346" s="5" t="s">
        <v>7166</v>
      </c>
      <c r="G346" s="5" t="s">
        <v>1079</v>
      </c>
      <c r="H346" s="6"/>
      <c r="I346" s="6"/>
      <c r="J346" s="6"/>
      <c r="K346" s="6"/>
      <c r="L346" s="7" t="s">
        <v>6903</v>
      </c>
      <c r="M346" s="8">
        <v>24675</v>
      </c>
      <c r="N346" s="8" t="str">
        <f t="shared" si="30"/>
        <v>PEN</v>
      </c>
      <c r="O346" s="13"/>
      <c r="P346" s="13">
        <v>24</v>
      </c>
      <c r="Q346" s="3">
        <f t="shared" si="26"/>
        <v>0</v>
      </c>
      <c r="R346" s="3">
        <f t="shared" si="27"/>
        <v>24</v>
      </c>
      <c r="S346" s="3">
        <f t="shared" si="28"/>
        <v>395.99999999999932</v>
      </c>
      <c r="T346" s="24"/>
      <c r="U346" s="24"/>
      <c r="V346" s="3"/>
      <c r="W346" s="25" t="s">
        <v>6546</v>
      </c>
      <c r="X346" s="25"/>
      <c r="Y346" s="25" t="str">
        <f>IFERROR(VLOOKUP(C_Ope_005[[#This Row],[NOTA 2]],Clientes_Proveedores[[Ruc / Dni]:[Razon Social]],2,0),"")</f>
        <v/>
      </c>
      <c r="Z346" s="25"/>
      <c r="AA346" s="25"/>
      <c r="AB346" s="3" t="str">
        <f>IF(C_Ope_005[[#This Row],[FECHA]]&gt;0,TEXT(C_Ope_005[[#This Row],[FECHA]],"mmmm"),0)</f>
        <v>Junio</v>
      </c>
    </row>
    <row r="347" spans="2:28" x14ac:dyDescent="0.3">
      <c r="B347" s="2">
        <f>IF(C_Ope_005[[#This Row],[TIPO DE R.]]="R",COUNTIFS($D$4:$D346,"R")+1,"")</f>
        <v>343</v>
      </c>
      <c r="C347" s="19" t="str">
        <f t="shared" si="29"/>
        <v>C_Ope_005</v>
      </c>
      <c r="D347" s="3" t="s">
        <v>1074</v>
      </c>
      <c r="E347" s="14">
        <v>45832</v>
      </c>
      <c r="F347" s="5" t="s">
        <v>7166</v>
      </c>
      <c r="G347" s="5" t="s">
        <v>1079</v>
      </c>
      <c r="H347" s="6"/>
      <c r="I347" s="6" t="s">
        <v>14</v>
      </c>
      <c r="J347" s="6" t="s">
        <v>1429</v>
      </c>
      <c r="K347" s="6">
        <v>312</v>
      </c>
      <c r="L347" s="7" t="s">
        <v>7322</v>
      </c>
      <c r="M347" s="8">
        <v>24676</v>
      </c>
      <c r="N347" s="8" t="str">
        <f t="shared" si="30"/>
        <v>PEN</v>
      </c>
      <c r="O347" s="13"/>
      <c r="P347" s="13">
        <v>100</v>
      </c>
      <c r="Q347" s="3">
        <f t="shared" si="26"/>
        <v>0</v>
      </c>
      <c r="R347" s="3">
        <f t="shared" si="27"/>
        <v>100</v>
      </c>
      <c r="S347" s="3">
        <f t="shared" si="28"/>
        <v>295.99999999999932</v>
      </c>
      <c r="T347" s="24"/>
      <c r="U347" s="24"/>
      <c r="V347" s="3"/>
      <c r="W347" s="25" t="s">
        <v>6546</v>
      </c>
      <c r="X347" s="25"/>
      <c r="Y347" s="25" t="str">
        <f>IFERROR(VLOOKUP(C_Ope_005[[#This Row],[NOTA 2]],Clientes_Proveedores[[Ruc / Dni]:[Razon Social]],2,0),"")</f>
        <v/>
      </c>
      <c r="Z347" s="25"/>
      <c r="AA347" s="25"/>
      <c r="AB347" s="3" t="str">
        <f>IF(C_Ope_005[[#This Row],[FECHA]]&gt;0,TEXT(C_Ope_005[[#This Row],[FECHA]],"mmmm"),0)</f>
        <v>Junio</v>
      </c>
    </row>
    <row r="348" spans="2:28" x14ac:dyDescent="0.3">
      <c r="B348" s="2">
        <f>IF(C_Ope_005[[#This Row],[TIPO DE R.]]="R",COUNTIFS($D$4:$D347,"R")+1,"")</f>
        <v>344</v>
      </c>
      <c r="C348" s="19" t="str">
        <f t="shared" si="29"/>
        <v>C_Ope_005</v>
      </c>
      <c r="D348" s="3" t="s">
        <v>1074</v>
      </c>
      <c r="E348" s="14">
        <v>45832</v>
      </c>
      <c r="F348" s="5" t="s">
        <v>7166</v>
      </c>
      <c r="G348" s="5" t="s">
        <v>1079</v>
      </c>
      <c r="H348" s="6"/>
      <c r="I348" s="6"/>
      <c r="J348" s="6"/>
      <c r="K348" s="6"/>
      <c r="L348" s="7" t="s">
        <v>7323</v>
      </c>
      <c r="M348" s="8">
        <v>24677</v>
      </c>
      <c r="N348" s="8" t="str">
        <f t="shared" si="30"/>
        <v>PEN</v>
      </c>
      <c r="O348" s="13"/>
      <c r="P348" s="13">
        <v>15</v>
      </c>
      <c r="Q348" s="3">
        <f t="shared" si="26"/>
        <v>0</v>
      </c>
      <c r="R348" s="3">
        <f t="shared" si="27"/>
        <v>15</v>
      </c>
      <c r="S348" s="3">
        <f t="shared" si="28"/>
        <v>280.99999999999932</v>
      </c>
      <c r="T348" s="24"/>
      <c r="U348" s="24"/>
      <c r="V348" s="3"/>
      <c r="W348" s="25" t="s">
        <v>6546</v>
      </c>
      <c r="X348" s="25"/>
      <c r="Y348" s="25" t="str">
        <f>IFERROR(VLOOKUP(C_Ope_005[[#This Row],[NOTA 2]],Clientes_Proveedores[[Ruc / Dni]:[Razon Social]],2,0),"")</f>
        <v/>
      </c>
      <c r="Z348" s="25"/>
      <c r="AA348" s="25"/>
      <c r="AB348" s="3" t="str">
        <f>IF(C_Ope_005[[#This Row],[FECHA]]&gt;0,TEXT(C_Ope_005[[#This Row],[FECHA]],"mmmm"),0)</f>
        <v>Junio</v>
      </c>
    </row>
    <row r="349" spans="2:28" x14ac:dyDescent="0.3">
      <c r="B349" s="2">
        <f>IF(C_Ope_005[[#This Row],[TIPO DE R.]]="R",COUNTIFS($D$4:$D348,"R")+1,"")</f>
        <v>345</v>
      </c>
      <c r="C349" s="19" t="str">
        <f t="shared" si="29"/>
        <v>C_Ope_005</v>
      </c>
      <c r="D349" s="3" t="s">
        <v>1074</v>
      </c>
      <c r="E349" s="14">
        <v>45833</v>
      </c>
      <c r="F349" s="5" t="s">
        <v>7166</v>
      </c>
      <c r="G349" s="5" t="s">
        <v>1079</v>
      </c>
      <c r="H349" s="6"/>
      <c r="I349" s="6"/>
      <c r="J349" s="6"/>
      <c r="K349" s="6"/>
      <c r="L349" s="7" t="s">
        <v>6897</v>
      </c>
      <c r="M349" s="8">
        <v>24694</v>
      </c>
      <c r="N349" s="8" t="str">
        <f t="shared" si="30"/>
        <v>PEN</v>
      </c>
      <c r="O349" s="13"/>
      <c r="P349" s="13">
        <v>24</v>
      </c>
      <c r="Q349" s="3">
        <f t="shared" si="26"/>
        <v>0</v>
      </c>
      <c r="R349" s="3">
        <f t="shared" si="27"/>
        <v>24</v>
      </c>
      <c r="S349" s="3">
        <f t="shared" si="28"/>
        <v>256.99999999999932</v>
      </c>
      <c r="T349" s="24"/>
      <c r="U349" s="24"/>
      <c r="V349" s="3"/>
      <c r="W349" s="25" t="s">
        <v>6546</v>
      </c>
      <c r="X349" s="25"/>
      <c r="Y349" s="25" t="str">
        <f>IFERROR(VLOOKUP(C_Ope_005[[#This Row],[NOTA 2]],Clientes_Proveedores[[Ruc / Dni]:[Razon Social]],2,0),"")</f>
        <v/>
      </c>
      <c r="Z349" s="25"/>
      <c r="AA349" s="25"/>
      <c r="AB349" s="3" t="str">
        <f>IF(C_Ope_005[[#This Row],[FECHA]]&gt;0,TEXT(C_Ope_005[[#This Row],[FECHA]],"mmmm"),0)</f>
        <v>Junio</v>
      </c>
    </row>
    <row r="350" spans="2:28" x14ac:dyDescent="0.3">
      <c r="B350" s="2">
        <f>IF(C_Ope_005[[#This Row],[TIPO DE R.]]="R",COUNTIFS($D$4:$D349,"R")+1,"")</f>
        <v>346</v>
      </c>
      <c r="C350" s="19" t="str">
        <f t="shared" si="29"/>
        <v>C_Ope_005</v>
      </c>
      <c r="D350" s="3" t="s">
        <v>1074</v>
      </c>
      <c r="E350" s="14">
        <v>45833</v>
      </c>
      <c r="F350" s="5" t="s">
        <v>7166</v>
      </c>
      <c r="G350" s="5" t="s">
        <v>1079</v>
      </c>
      <c r="H350" s="6"/>
      <c r="I350" s="6"/>
      <c r="J350" s="6"/>
      <c r="K350" s="6"/>
      <c r="L350" s="7" t="s">
        <v>6889</v>
      </c>
      <c r="M350" s="8">
        <v>24695</v>
      </c>
      <c r="N350" s="8" t="str">
        <f t="shared" si="30"/>
        <v>PEN</v>
      </c>
      <c r="O350" s="13"/>
      <c r="P350" s="13">
        <v>30</v>
      </c>
      <c r="Q350" s="3">
        <f t="shared" si="26"/>
        <v>0</v>
      </c>
      <c r="R350" s="3">
        <f t="shared" si="27"/>
        <v>30</v>
      </c>
      <c r="S350" s="3">
        <f t="shared" si="28"/>
        <v>226.99999999999932</v>
      </c>
      <c r="T350" s="24"/>
      <c r="U350" s="24"/>
      <c r="V350" s="3"/>
      <c r="W350" s="25" t="s">
        <v>6546</v>
      </c>
      <c r="X350" s="25"/>
      <c r="Y350" s="25" t="str">
        <f>IFERROR(VLOOKUP(C_Ope_005[[#This Row],[NOTA 2]],Clientes_Proveedores[[Ruc / Dni]:[Razon Social]],2,0),"")</f>
        <v/>
      </c>
      <c r="Z350" s="25"/>
      <c r="AA350" s="25"/>
      <c r="AB350" s="3" t="str">
        <f>IF(C_Ope_005[[#This Row],[FECHA]]&gt;0,TEXT(C_Ope_005[[#This Row],[FECHA]],"mmmm"),0)</f>
        <v>Junio</v>
      </c>
    </row>
    <row r="351" spans="2:28" x14ac:dyDescent="0.3">
      <c r="B351" s="2">
        <f>IF(C_Ope_005[[#This Row],[TIPO DE R.]]="R",COUNTIFS($D$4:$D350,"R")+1,"")</f>
        <v>347</v>
      </c>
      <c r="C351" s="19" t="str">
        <f t="shared" si="29"/>
        <v>C_Ope_005</v>
      </c>
      <c r="D351" s="3" t="s">
        <v>1074</v>
      </c>
      <c r="E351" s="14">
        <v>45833</v>
      </c>
      <c r="F351" s="5" t="s">
        <v>7166</v>
      </c>
      <c r="G351" s="5" t="s">
        <v>1079</v>
      </c>
      <c r="H351" s="6"/>
      <c r="I351" s="6"/>
      <c r="J351" s="6"/>
      <c r="K351" s="6"/>
      <c r="L351" s="7" t="s">
        <v>6903</v>
      </c>
      <c r="M351" s="8">
        <v>24696</v>
      </c>
      <c r="N351" s="8" t="str">
        <f t="shared" si="30"/>
        <v>PEN</v>
      </c>
      <c r="O351" s="13"/>
      <c r="P351" s="13">
        <v>24</v>
      </c>
      <c r="Q351" s="3">
        <f t="shared" si="26"/>
        <v>0</v>
      </c>
      <c r="R351" s="3">
        <f t="shared" si="27"/>
        <v>24</v>
      </c>
      <c r="S351" s="3">
        <f t="shared" si="28"/>
        <v>202.99999999999932</v>
      </c>
      <c r="T351" s="24"/>
      <c r="U351" s="24"/>
      <c r="V351" s="3"/>
      <c r="W351" s="25" t="s">
        <v>6546</v>
      </c>
      <c r="X351" s="25"/>
      <c r="Y351" s="25" t="str">
        <f>IFERROR(VLOOKUP(C_Ope_005[[#This Row],[NOTA 2]],Clientes_Proveedores[[Ruc / Dni]:[Razon Social]],2,0),"")</f>
        <v/>
      </c>
      <c r="Z351" s="25"/>
      <c r="AA351" s="25"/>
      <c r="AB351" s="3" t="str">
        <f>IF(C_Ope_005[[#This Row],[FECHA]]&gt;0,TEXT(C_Ope_005[[#This Row],[FECHA]],"mmmm"),0)</f>
        <v>Junio</v>
      </c>
    </row>
    <row r="352" spans="2:28" x14ac:dyDescent="0.3">
      <c r="B352" s="2">
        <f>IF(C_Ope_005[[#This Row],[TIPO DE R.]]="R",COUNTIFS($D$4:$D351,"R")+1,"")</f>
        <v>348</v>
      </c>
      <c r="C352" s="19" t="str">
        <f t="shared" si="29"/>
        <v>C_Ope_005</v>
      </c>
      <c r="D352" s="3" t="s">
        <v>1074</v>
      </c>
      <c r="E352" s="14">
        <v>45833</v>
      </c>
      <c r="F352" s="5" t="s">
        <v>7166</v>
      </c>
      <c r="G352" s="5" t="s">
        <v>1079</v>
      </c>
      <c r="H352" s="6"/>
      <c r="I352" s="6"/>
      <c r="J352" s="6"/>
      <c r="K352" s="6"/>
      <c r="L352" s="7" t="s">
        <v>7192</v>
      </c>
      <c r="M352" s="8">
        <v>24697</v>
      </c>
      <c r="N352" s="8" t="str">
        <f t="shared" si="30"/>
        <v>PEN</v>
      </c>
      <c r="O352" s="13"/>
      <c r="P352" s="13">
        <v>15</v>
      </c>
      <c r="Q352" s="3">
        <f t="shared" si="26"/>
        <v>0</v>
      </c>
      <c r="R352" s="3">
        <f t="shared" si="27"/>
        <v>15</v>
      </c>
      <c r="S352" s="3">
        <f t="shared" si="28"/>
        <v>187.99999999999932</v>
      </c>
      <c r="T352" s="24"/>
      <c r="U352" s="24"/>
      <c r="V352" s="3"/>
      <c r="W352" s="25" t="s">
        <v>6546</v>
      </c>
      <c r="X352" s="25"/>
      <c r="Y352" s="25" t="str">
        <f>IFERROR(VLOOKUP(C_Ope_005[[#This Row],[NOTA 2]],Clientes_Proveedores[[Ruc / Dni]:[Razon Social]],2,0),"")</f>
        <v/>
      </c>
      <c r="Z352" s="25"/>
      <c r="AA352" s="25"/>
      <c r="AB352" s="3" t="str">
        <f>IF(C_Ope_005[[#This Row],[FECHA]]&gt;0,TEXT(C_Ope_005[[#This Row],[FECHA]],"mmmm"),0)</f>
        <v>Junio</v>
      </c>
    </row>
    <row r="353" spans="2:28" x14ac:dyDescent="0.3">
      <c r="B353" s="2">
        <f>IF(C_Ope_005[[#This Row],[TIPO DE R.]]="R",COUNTIFS($D$4:$D352,"R")+1,"")</f>
        <v>349</v>
      </c>
      <c r="C353" s="19" t="str">
        <f t="shared" si="29"/>
        <v>C_Ope_005</v>
      </c>
      <c r="D353" s="3" t="s">
        <v>1074</v>
      </c>
      <c r="E353" s="14">
        <v>45833</v>
      </c>
      <c r="F353" s="5" t="s">
        <v>7166</v>
      </c>
      <c r="G353" s="5" t="s">
        <v>1079</v>
      </c>
      <c r="H353" s="6"/>
      <c r="I353" s="6" t="s">
        <v>21</v>
      </c>
      <c r="J353" s="6">
        <v>1</v>
      </c>
      <c r="K353" s="6">
        <v>223</v>
      </c>
      <c r="L353" s="7" t="s">
        <v>7230</v>
      </c>
      <c r="M353" s="8">
        <v>24698</v>
      </c>
      <c r="N353" s="8" t="str">
        <f t="shared" si="30"/>
        <v>PEN</v>
      </c>
      <c r="O353" s="13"/>
      <c r="P353" s="13">
        <v>100</v>
      </c>
      <c r="Q353" s="3">
        <f t="shared" si="26"/>
        <v>0</v>
      </c>
      <c r="R353" s="3">
        <f t="shared" si="27"/>
        <v>100</v>
      </c>
      <c r="S353" s="3">
        <f t="shared" si="28"/>
        <v>87.999999999999318</v>
      </c>
      <c r="T353" s="24"/>
      <c r="U353" s="24"/>
      <c r="V353" s="3"/>
      <c r="W353" s="25" t="s">
        <v>6546</v>
      </c>
      <c r="X353" s="25"/>
      <c r="Y353" s="25" t="str">
        <f>IFERROR(VLOOKUP(C_Ope_005[[#This Row],[NOTA 2]],Clientes_Proveedores[[Ruc / Dni]:[Razon Social]],2,0),"")</f>
        <v/>
      </c>
      <c r="Z353" s="25"/>
      <c r="AA353" s="25"/>
      <c r="AB353" s="3" t="str">
        <f>IF(C_Ope_005[[#This Row],[FECHA]]&gt;0,TEXT(C_Ope_005[[#This Row],[FECHA]],"mmmm"),0)</f>
        <v>Junio</v>
      </c>
    </row>
    <row r="354" spans="2:28" x14ac:dyDescent="0.3">
      <c r="B354" s="2">
        <f>IF(C_Ope_005[[#This Row],[TIPO DE R.]]="R",COUNTIFS($D$4:$D353,"R")+1,"")</f>
        <v>350</v>
      </c>
      <c r="C354" s="19" t="str">
        <f t="shared" si="29"/>
        <v>C_Ope_005</v>
      </c>
      <c r="D354" s="3" t="s">
        <v>1074</v>
      </c>
      <c r="E354" s="14">
        <v>45834</v>
      </c>
      <c r="F354" s="5" t="s">
        <v>7166</v>
      </c>
      <c r="G354" s="5" t="s">
        <v>1079</v>
      </c>
      <c r="H354" s="6"/>
      <c r="I354" s="6"/>
      <c r="J354" s="6"/>
      <c r="K354" s="6"/>
      <c r="L354" s="7" t="s">
        <v>6897</v>
      </c>
      <c r="M354" s="8">
        <v>24720</v>
      </c>
      <c r="N354" s="8" t="str">
        <f t="shared" si="30"/>
        <v>PEN</v>
      </c>
      <c r="O354" s="13"/>
      <c r="P354" s="13">
        <v>24</v>
      </c>
      <c r="Q354" s="3">
        <f t="shared" si="26"/>
        <v>0</v>
      </c>
      <c r="R354" s="3">
        <f t="shared" si="27"/>
        <v>24</v>
      </c>
      <c r="S354" s="3">
        <f t="shared" si="28"/>
        <v>63.999999999999318</v>
      </c>
      <c r="T354" s="24"/>
      <c r="U354" s="24"/>
      <c r="V354" s="3"/>
      <c r="W354" s="25" t="s">
        <v>6546</v>
      </c>
      <c r="X354" s="25"/>
      <c r="Y354" s="25" t="str">
        <f>IFERROR(VLOOKUP(C_Ope_005[[#This Row],[NOTA 2]],Clientes_Proveedores[[Ruc / Dni]:[Razon Social]],2,0),"")</f>
        <v/>
      </c>
      <c r="Z354" s="25"/>
      <c r="AA354" s="25"/>
      <c r="AB354" s="3" t="str">
        <f>IF(C_Ope_005[[#This Row],[FECHA]]&gt;0,TEXT(C_Ope_005[[#This Row],[FECHA]],"mmmm"),0)</f>
        <v>Junio</v>
      </c>
    </row>
    <row r="355" spans="2:28" x14ac:dyDescent="0.3">
      <c r="B355" s="2">
        <f>IF(C_Ope_005[[#This Row],[TIPO DE R.]]="R",COUNTIFS($D$4:$D354,"R")+1,"")</f>
        <v>351</v>
      </c>
      <c r="C355" s="19" t="str">
        <f t="shared" si="29"/>
        <v>C_Ope_005</v>
      </c>
      <c r="D355" s="3" t="s">
        <v>1074</v>
      </c>
      <c r="E355" s="14">
        <v>45839</v>
      </c>
      <c r="F355" s="5" t="s">
        <v>6299</v>
      </c>
      <c r="G355" s="5" t="s">
        <v>1087</v>
      </c>
      <c r="H355" s="6"/>
      <c r="I355" s="6"/>
      <c r="J355" s="6"/>
      <c r="K355" s="6"/>
      <c r="L355" s="7" t="s">
        <v>6302</v>
      </c>
      <c r="M355" s="8">
        <v>24773</v>
      </c>
      <c r="N355" s="8" t="str">
        <f t="shared" si="30"/>
        <v>PEN</v>
      </c>
      <c r="O355" s="13"/>
      <c r="P355" s="13">
        <v>140</v>
      </c>
      <c r="Q355" s="3">
        <f t="shared" si="26"/>
        <v>140</v>
      </c>
      <c r="R355" s="3">
        <f t="shared" si="27"/>
        <v>0</v>
      </c>
      <c r="S355" s="3">
        <f t="shared" si="28"/>
        <v>203.99999999999932</v>
      </c>
      <c r="T355" s="24"/>
      <c r="U355" s="24"/>
      <c r="V355" s="3"/>
      <c r="W355" s="25"/>
      <c r="X355" s="25"/>
      <c r="Y355" s="25" t="str">
        <f>IFERROR(VLOOKUP(C_Ope_005[[#This Row],[NOTA 2]],Clientes_Proveedores[[Ruc / Dni]:[Razon Social]],2,0),"")</f>
        <v/>
      </c>
      <c r="Z355" s="25"/>
      <c r="AA355" s="25">
        <f>ROUND(C_Ope_005[[#This Row],[MONTO ]]/1.18,3)</f>
        <v>118.64400000000001</v>
      </c>
      <c r="AB355" s="3" t="str">
        <f>IF(C_Ope_005[[#This Row],[FECHA]]&gt;0,TEXT(C_Ope_005[[#This Row],[FECHA]],"mmmm"),0)</f>
        <v>Julio</v>
      </c>
    </row>
    <row r="356" spans="2:28" ht="24" x14ac:dyDescent="0.3">
      <c r="B356" s="2">
        <f>IF(C_Ope_005[[#This Row],[TIPO DE R.]]="R",COUNTIFS($D$4:$D355,"R")+1,"")</f>
        <v>352</v>
      </c>
      <c r="C356" s="19" t="str">
        <f t="shared" ref="C356:C357" si="31">"C_Ope_005"</f>
        <v>C_Ope_005</v>
      </c>
      <c r="D356" s="3" t="s">
        <v>1074</v>
      </c>
      <c r="E356" s="14">
        <v>45839</v>
      </c>
      <c r="F356" s="5" t="s">
        <v>7166</v>
      </c>
      <c r="G356" s="5" t="s">
        <v>1079</v>
      </c>
      <c r="H356" s="6" t="s">
        <v>919</v>
      </c>
      <c r="I356" s="6" t="s">
        <v>14</v>
      </c>
      <c r="J356" s="6" t="s">
        <v>5245</v>
      </c>
      <c r="K356" s="6">
        <v>1794177</v>
      </c>
      <c r="L356" s="7" t="s">
        <v>7324</v>
      </c>
      <c r="M356" s="8">
        <v>24770</v>
      </c>
      <c r="N356" s="8" t="str">
        <f t="shared" ref="N356:N357" si="32">"PEN"</f>
        <v>PEN</v>
      </c>
      <c r="O356" s="13"/>
      <c r="P356" s="13">
        <v>8</v>
      </c>
      <c r="Q356" s="3">
        <f t="shared" si="26"/>
        <v>0</v>
      </c>
      <c r="R356" s="3">
        <f t="shared" si="27"/>
        <v>8</v>
      </c>
      <c r="S356" s="3">
        <f t="shared" si="28"/>
        <v>195.99999999999932</v>
      </c>
      <c r="T356" s="24" t="s">
        <v>1081</v>
      </c>
      <c r="U356" s="24"/>
      <c r="V356" s="3"/>
      <c r="W356" s="25" t="s">
        <v>6546</v>
      </c>
      <c r="X356" s="25">
        <v>20517252558</v>
      </c>
      <c r="Y356" s="25" t="str">
        <f>IFERROR(VLOOKUP(C_Ope_005[[#This Row],[NOTA 2]],Clientes_Proveedores[[Ruc / Dni]:[Razon Social]],2,0),"")</f>
        <v>COVISUR S.A.</v>
      </c>
      <c r="Z356" s="25"/>
      <c r="AA356" s="25"/>
      <c r="AB356" s="3" t="str">
        <f>IF(C_Ope_005[[#This Row],[FECHA]]&gt;0,TEXT(C_Ope_005[[#This Row],[FECHA]],"mmmm"),0)</f>
        <v>Julio</v>
      </c>
    </row>
    <row r="357" spans="2:28" ht="24" x14ac:dyDescent="0.3">
      <c r="B357" s="2">
        <f>IF(C_Ope_005[[#This Row],[TIPO DE R.]]="R",COUNTIFS($D$4:$D356,"R")+1,"")</f>
        <v>353</v>
      </c>
      <c r="C357" s="19" t="str">
        <f t="shared" si="31"/>
        <v>C_Ope_005</v>
      </c>
      <c r="D357" s="3" t="s">
        <v>1074</v>
      </c>
      <c r="E357" s="14">
        <v>45839</v>
      </c>
      <c r="F357" s="5" t="s">
        <v>7166</v>
      </c>
      <c r="G357" s="5" t="s">
        <v>1079</v>
      </c>
      <c r="H357" s="6" t="s">
        <v>919</v>
      </c>
      <c r="I357" s="6" t="s">
        <v>14</v>
      </c>
      <c r="J357" s="6" t="s">
        <v>5243</v>
      </c>
      <c r="K357" s="6">
        <v>2385778</v>
      </c>
      <c r="L357" s="7" t="s">
        <v>7324</v>
      </c>
      <c r="M357" s="8">
        <v>24771</v>
      </c>
      <c r="N357" s="8" t="str">
        <f t="shared" si="32"/>
        <v>PEN</v>
      </c>
      <c r="O357" s="13"/>
      <c r="P357" s="13">
        <v>8</v>
      </c>
      <c r="Q357" s="3">
        <f t="shared" si="26"/>
        <v>0</v>
      </c>
      <c r="R357" s="3">
        <f t="shared" si="27"/>
        <v>8</v>
      </c>
      <c r="S357" s="3">
        <f t="shared" si="28"/>
        <v>187.99999999999932</v>
      </c>
      <c r="T357" s="24" t="s">
        <v>1081</v>
      </c>
      <c r="U357" s="24"/>
      <c r="V357" s="3"/>
      <c r="W357" s="25" t="s">
        <v>6546</v>
      </c>
      <c r="X357" s="25">
        <v>20517252558</v>
      </c>
      <c r="Y357" s="25" t="str">
        <f>IFERROR(VLOOKUP(C_Ope_005[[#This Row],[NOTA 2]],Clientes_Proveedores[[Ruc / Dni]:[Razon Social]],2,0),"")</f>
        <v>COVISUR S.A.</v>
      </c>
      <c r="Z357" s="25"/>
      <c r="AA357" s="25"/>
      <c r="AB357" s="3" t="str">
        <f>IF(C_Ope_005[[#This Row],[FECHA]]&gt;0,TEXT(C_Ope_005[[#This Row],[FECHA]],"mmmm"),0)</f>
        <v>Julio</v>
      </c>
    </row>
    <row r="358" spans="2:28" ht="36" x14ac:dyDescent="0.3">
      <c r="B358" s="2">
        <f>IF(C_Ope_005[[#This Row],[TIPO DE R.]]="R",COUNTIFS($D$4:$D357,"R")+1,"")</f>
        <v>354</v>
      </c>
      <c r="C358" s="19" t="str">
        <f>"C_Ope_005"</f>
        <v>C_Ope_005</v>
      </c>
      <c r="D358" s="3" t="s">
        <v>1074</v>
      </c>
      <c r="E358" s="14">
        <v>45839</v>
      </c>
      <c r="F358" s="5" t="s">
        <v>7166</v>
      </c>
      <c r="G358" s="5" t="s">
        <v>1079</v>
      </c>
      <c r="H358" s="6" t="s">
        <v>624</v>
      </c>
      <c r="I358" s="6" t="s">
        <v>14</v>
      </c>
      <c r="J358" s="6" t="s">
        <v>1097</v>
      </c>
      <c r="K358" s="6">
        <v>16850</v>
      </c>
      <c r="L358" s="7" t="s">
        <v>7325</v>
      </c>
      <c r="M358" s="8">
        <v>24772</v>
      </c>
      <c r="N358" s="8" t="str">
        <f>"PEN"</f>
        <v>PEN</v>
      </c>
      <c r="O358" s="13"/>
      <c r="P358" s="13">
        <v>20</v>
      </c>
      <c r="Q358" s="3">
        <f t="shared" si="26"/>
        <v>0</v>
      </c>
      <c r="R358" s="3">
        <f t="shared" si="27"/>
        <v>20</v>
      </c>
      <c r="S358" s="3">
        <f t="shared" si="28"/>
        <v>167.99999999999932</v>
      </c>
      <c r="T358" s="24" t="s">
        <v>1081</v>
      </c>
      <c r="U358" s="24"/>
      <c r="V358" s="3"/>
      <c r="W358" s="25" t="s">
        <v>6546</v>
      </c>
      <c r="X358" s="25">
        <v>20259858934</v>
      </c>
      <c r="Y358" s="25" t="str">
        <f>IFERROR(VLOOKUP(C_Ope_005[[#This Row],[NOTA 2]],Clientes_Proveedores[[Ruc / Dni]:[Razon Social]],2,0),"")</f>
        <v>COMERCIALIZACION Y SERVICIOS EL EDEN S.A.C.</v>
      </c>
      <c r="Z358" s="25"/>
      <c r="AA358" s="25"/>
      <c r="AB358" s="3" t="str">
        <f>IF(C_Ope_005[[#This Row],[FECHA]]&gt;0,TEXT(C_Ope_005[[#This Row],[FECHA]],"mmmm"),0)</f>
        <v>Julio</v>
      </c>
    </row>
    <row r="359" spans="2:28" x14ac:dyDescent="0.3">
      <c r="B359" s="2">
        <f>IF(C_Ope_005[[#This Row],[TIPO DE R.]]="R",COUNTIFS($D$4:$D358,"R")+1,"")</f>
        <v>355</v>
      </c>
      <c r="C359" s="19" t="str">
        <f t="shared" ref="C359:C360" si="33">"C_Ope_005"</f>
        <v>C_Ope_005</v>
      </c>
      <c r="D359" s="3" t="s">
        <v>1074</v>
      </c>
      <c r="E359" s="14">
        <v>45840</v>
      </c>
      <c r="F359" s="5" t="s">
        <v>7166</v>
      </c>
      <c r="G359" s="5" t="s">
        <v>1079</v>
      </c>
      <c r="H359" s="6" t="s">
        <v>919</v>
      </c>
      <c r="I359" s="6" t="s">
        <v>14</v>
      </c>
      <c r="J359" s="6" t="s">
        <v>5245</v>
      </c>
      <c r="K359" s="6">
        <v>1794858</v>
      </c>
      <c r="L359" s="7" t="s">
        <v>7326</v>
      </c>
      <c r="M359" s="8">
        <v>24783</v>
      </c>
      <c r="N359" s="8" t="str">
        <f t="shared" ref="N359:N360" si="34">"PEN"</f>
        <v>PEN</v>
      </c>
      <c r="O359" s="13"/>
      <c r="P359" s="13">
        <v>8</v>
      </c>
      <c r="Q359" s="3">
        <f t="shared" si="26"/>
        <v>0</v>
      </c>
      <c r="R359" s="3">
        <f t="shared" si="27"/>
        <v>8</v>
      </c>
      <c r="S359" s="3">
        <f t="shared" si="28"/>
        <v>159.99999999999932</v>
      </c>
      <c r="T359" s="24" t="s">
        <v>1081</v>
      </c>
      <c r="U359" s="24"/>
      <c r="V359" s="3"/>
      <c r="W359" s="25" t="s">
        <v>6546</v>
      </c>
      <c r="X359" s="25">
        <v>20517252558</v>
      </c>
      <c r="Y359" s="25" t="str">
        <f>IFERROR(VLOOKUP(C_Ope_005[[#This Row],[NOTA 2]],Clientes_Proveedores[[Ruc / Dni]:[Razon Social]],2,0),"")</f>
        <v>COVISUR S.A.</v>
      </c>
      <c r="Z359" s="25"/>
      <c r="AA359" s="25"/>
      <c r="AB359" s="3" t="str">
        <f>IF(C_Ope_005[[#This Row],[FECHA]]&gt;0,TEXT(C_Ope_005[[#This Row],[FECHA]],"mmmm"),0)</f>
        <v>Julio</v>
      </c>
    </row>
    <row r="360" spans="2:28" x14ac:dyDescent="0.3">
      <c r="B360" s="2">
        <f>IF(C_Ope_005[[#This Row],[TIPO DE R.]]="R",COUNTIFS($D$4:$D359,"R")+1,"")</f>
        <v>356</v>
      </c>
      <c r="C360" s="19" t="str">
        <f t="shared" si="33"/>
        <v>C_Ope_005</v>
      </c>
      <c r="D360" s="3" t="s">
        <v>1074</v>
      </c>
      <c r="E360" s="14">
        <v>45840</v>
      </c>
      <c r="F360" s="5" t="s">
        <v>7166</v>
      </c>
      <c r="G360" s="5" t="s">
        <v>1079</v>
      </c>
      <c r="H360" s="6" t="s">
        <v>919</v>
      </c>
      <c r="I360" s="6" t="s">
        <v>14</v>
      </c>
      <c r="J360" s="6" t="s">
        <v>5244</v>
      </c>
      <c r="K360" s="6">
        <v>1774908</v>
      </c>
      <c r="L360" s="7" t="s">
        <v>7326</v>
      </c>
      <c r="M360" s="8">
        <v>24784</v>
      </c>
      <c r="N360" s="8" t="str">
        <f t="shared" si="34"/>
        <v>PEN</v>
      </c>
      <c r="O360" s="13"/>
      <c r="P360" s="13">
        <v>8</v>
      </c>
      <c r="Q360" s="3">
        <f t="shared" si="26"/>
        <v>0</v>
      </c>
      <c r="R360" s="3">
        <f t="shared" si="27"/>
        <v>8</v>
      </c>
      <c r="S360" s="3">
        <f t="shared" si="28"/>
        <v>151.99999999999932</v>
      </c>
      <c r="T360" s="24" t="s">
        <v>1081</v>
      </c>
      <c r="U360" s="24"/>
      <c r="V360" s="3"/>
      <c r="W360" s="25" t="s">
        <v>6546</v>
      </c>
      <c r="X360" s="25">
        <v>20517252558</v>
      </c>
      <c r="Y360" s="25" t="str">
        <f>IFERROR(VLOOKUP(C_Ope_005[[#This Row],[NOTA 2]],Clientes_Proveedores[[Ruc / Dni]:[Razon Social]],2,0),"")</f>
        <v>COVISUR S.A.</v>
      </c>
      <c r="Z360" s="25"/>
      <c r="AA360" s="25"/>
      <c r="AB360" s="3" t="str">
        <f>IF(C_Ope_005[[#This Row],[FECHA]]&gt;0,TEXT(C_Ope_005[[#This Row],[FECHA]],"mmmm"),0)</f>
        <v>Julio</v>
      </c>
    </row>
    <row r="361" spans="2:28" ht="24" x14ac:dyDescent="0.3">
      <c r="B361" s="2">
        <f>IF(C_Ope_005[[#This Row],[TIPO DE R.]]="R",COUNTIFS($D$4:$D360,"R")+1,"")</f>
        <v>357</v>
      </c>
      <c r="C361" s="19" t="str">
        <f t="shared" ref="C361:C363" si="35">"C_Ope_005"</f>
        <v>C_Ope_005</v>
      </c>
      <c r="D361" s="3" t="s">
        <v>1074</v>
      </c>
      <c r="E361" s="14">
        <v>45841</v>
      </c>
      <c r="F361" s="5" t="s">
        <v>7166</v>
      </c>
      <c r="G361" s="5" t="s">
        <v>1079</v>
      </c>
      <c r="H361" s="6" t="s">
        <v>939</v>
      </c>
      <c r="I361" s="6" t="s">
        <v>14</v>
      </c>
      <c r="J361" s="6" t="s">
        <v>6561</v>
      </c>
      <c r="K361" s="6">
        <v>1609</v>
      </c>
      <c r="L361" s="7" t="s">
        <v>7327</v>
      </c>
      <c r="M361" s="8">
        <v>24787</v>
      </c>
      <c r="N361" s="8" t="str">
        <f t="shared" ref="N361:N363" si="36">"PEN"</f>
        <v>PEN</v>
      </c>
      <c r="O361" s="13"/>
      <c r="P361" s="13">
        <v>20</v>
      </c>
      <c r="Q361" s="3">
        <f t="shared" si="26"/>
        <v>0</v>
      </c>
      <c r="R361" s="3">
        <f t="shared" si="27"/>
        <v>20</v>
      </c>
      <c r="S361" s="3">
        <f t="shared" si="28"/>
        <v>131.99999999999932</v>
      </c>
      <c r="T361" s="24" t="s">
        <v>1081</v>
      </c>
      <c r="U361" s="24"/>
      <c r="V361" s="3"/>
      <c r="W361" s="25" t="s">
        <v>6546</v>
      </c>
      <c r="X361" s="25">
        <v>20612112500</v>
      </c>
      <c r="Y361" s="25" t="str">
        <f>IFERROR(VLOOKUP(C_Ope_005[[#This Row],[NOTA 2]],Clientes_Proveedores[[Ruc / Dni]:[Razon Social]],2,0),"")</f>
        <v>RECICLADORA LAS LOMAS E.I.R.L.</v>
      </c>
      <c r="Z361" s="25"/>
      <c r="AA361" s="25"/>
      <c r="AB361" s="3" t="str">
        <f>IF(C_Ope_005[[#This Row],[FECHA]]&gt;0,TEXT(C_Ope_005[[#This Row],[FECHA]],"mmmm"),0)</f>
        <v>Julio</v>
      </c>
    </row>
    <row r="362" spans="2:28" ht="36" x14ac:dyDescent="0.3">
      <c r="B362" s="2">
        <f>IF(C_Ope_005[[#This Row],[TIPO DE R.]]="R",COUNTIFS($D$4:$D361,"R")+1,"")</f>
        <v>358</v>
      </c>
      <c r="C362" s="19" t="str">
        <f t="shared" si="35"/>
        <v>C_Ope_005</v>
      </c>
      <c r="D362" s="3" t="s">
        <v>1074</v>
      </c>
      <c r="E362" s="14">
        <v>45846</v>
      </c>
      <c r="F362" s="5" t="s">
        <v>7166</v>
      </c>
      <c r="G362" s="5" t="s">
        <v>1079</v>
      </c>
      <c r="H362" s="6" t="s">
        <v>170</v>
      </c>
      <c r="I362" s="6" t="s">
        <v>14</v>
      </c>
      <c r="J362" s="6" t="s">
        <v>1148</v>
      </c>
      <c r="K362" s="6">
        <v>133955</v>
      </c>
      <c r="L362" s="7" t="s">
        <v>7328</v>
      </c>
      <c r="M362" s="8">
        <v>24836</v>
      </c>
      <c r="N362" s="8" t="str">
        <f t="shared" si="36"/>
        <v>PEN</v>
      </c>
      <c r="O362" s="13"/>
      <c r="P362" s="13">
        <v>10</v>
      </c>
      <c r="Q362" s="3">
        <f t="shared" si="26"/>
        <v>0</v>
      </c>
      <c r="R362" s="3">
        <f t="shared" si="27"/>
        <v>10</v>
      </c>
      <c r="S362" s="3">
        <f t="shared" si="28"/>
        <v>121.99999999999932</v>
      </c>
      <c r="T362" s="24" t="s">
        <v>1081</v>
      </c>
      <c r="U362" s="24"/>
      <c r="V362" s="3"/>
      <c r="W362" s="25" t="s">
        <v>6546</v>
      </c>
      <c r="X362" s="25">
        <v>20124952850</v>
      </c>
      <c r="Y362" s="25" t="str">
        <f>IFERROR(VLOOKUP(C_Ope_005[[#This Row],[NOTA 2]],Clientes_Proveedores[[Ruc / Dni]:[Razon Social]],2,0),"")</f>
        <v>ALIMENTOS Y SERVICIOS AGROPECUARIOS SRL.</v>
      </c>
      <c r="Z362" s="25"/>
      <c r="AA362" s="25"/>
      <c r="AB362" s="3" t="str">
        <f>IF(C_Ope_005[[#This Row],[FECHA]]&gt;0,TEXT(C_Ope_005[[#This Row],[FECHA]],"mmmm"),0)</f>
        <v>Julio</v>
      </c>
    </row>
    <row r="363" spans="2:28" ht="36" x14ac:dyDescent="0.3">
      <c r="B363" s="2">
        <f>IF(C_Ope_005[[#This Row],[TIPO DE R.]]="R",COUNTIFS($D$4:$D362,"R")+1,"")</f>
        <v>359</v>
      </c>
      <c r="C363" s="19" t="str">
        <f t="shared" si="35"/>
        <v>C_Ope_005</v>
      </c>
      <c r="D363" s="3" t="s">
        <v>1074</v>
      </c>
      <c r="E363" s="14">
        <v>45846</v>
      </c>
      <c r="F363" s="5" t="s">
        <v>7166</v>
      </c>
      <c r="G363" s="5" t="s">
        <v>1079</v>
      </c>
      <c r="H363" s="6" t="s">
        <v>624</v>
      </c>
      <c r="I363" s="6" t="s">
        <v>14</v>
      </c>
      <c r="J363" s="6" t="s">
        <v>1088</v>
      </c>
      <c r="K363" s="6">
        <v>35098</v>
      </c>
      <c r="L363" s="7" t="s">
        <v>7329</v>
      </c>
      <c r="M363" s="8">
        <v>24837</v>
      </c>
      <c r="N363" s="8" t="str">
        <f t="shared" si="36"/>
        <v>PEN</v>
      </c>
      <c r="O363" s="13"/>
      <c r="P363" s="13">
        <v>10</v>
      </c>
      <c r="Q363" s="3">
        <f t="shared" si="26"/>
        <v>0</v>
      </c>
      <c r="R363" s="3">
        <f t="shared" si="27"/>
        <v>10</v>
      </c>
      <c r="S363" s="3">
        <f t="shared" si="28"/>
        <v>111.99999999999932</v>
      </c>
      <c r="T363" s="24" t="s">
        <v>1081</v>
      </c>
      <c r="U363" s="24"/>
      <c r="V363" s="3"/>
      <c r="W363" s="25" t="s">
        <v>6546</v>
      </c>
      <c r="X363" s="25">
        <v>20259858934</v>
      </c>
      <c r="Y363" s="25" t="str">
        <f>IFERROR(VLOOKUP(C_Ope_005[[#This Row],[NOTA 2]],Clientes_Proveedores[[Ruc / Dni]:[Razon Social]],2,0),"")</f>
        <v>COMERCIALIZACION Y SERVICIOS EL EDEN S.A.C.</v>
      </c>
      <c r="Z363" s="25"/>
      <c r="AA363" s="25"/>
      <c r="AB363" s="3" t="str">
        <f>IF(C_Ope_005[[#This Row],[FECHA]]&gt;0,TEXT(C_Ope_005[[#This Row],[FECHA]],"mmmm"),0)</f>
        <v>Julio</v>
      </c>
    </row>
    <row r="364" spans="2:28" ht="24" x14ac:dyDescent="0.3">
      <c r="B364" s="2">
        <f>IF(C_Ope_005[[#This Row],[TIPO DE R.]]="R",COUNTIFS($D$4:$D363,"R")+1,"")</f>
        <v>360</v>
      </c>
      <c r="C364" s="19" t="str">
        <f t="shared" ref="C364:C369" si="37">"C_Ope_005"</f>
        <v>C_Ope_005</v>
      </c>
      <c r="D364" s="3" t="s">
        <v>1074</v>
      </c>
      <c r="E364" s="14">
        <v>45849</v>
      </c>
      <c r="F364" s="5" t="s">
        <v>7166</v>
      </c>
      <c r="G364" s="5" t="s">
        <v>1079</v>
      </c>
      <c r="H364" s="6" t="s">
        <v>940</v>
      </c>
      <c r="I364" s="6" t="s">
        <v>14</v>
      </c>
      <c r="J364" s="6" t="s">
        <v>1119</v>
      </c>
      <c r="K364" s="6">
        <v>18688</v>
      </c>
      <c r="L364" s="7" t="s">
        <v>7330</v>
      </c>
      <c r="M364" s="8">
        <v>24877</v>
      </c>
      <c r="N364" s="8" t="str">
        <f t="shared" ref="N364:N369" si="38">"PEN"</f>
        <v>PEN</v>
      </c>
      <c r="O364" s="13"/>
      <c r="P364" s="13">
        <v>25</v>
      </c>
      <c r="Q364" s="3">
        <f t="shared" si="26"/>
        <v>0</v>
      </c>
      <c r="R364" s="3">
        <f t="shared" si="27"/>
        <v>25</v>
      </c>
      <c r="S364" s="3">
        <f t="shared" si="28"/>
        <v>86.999999999999318</v>
      </c>
      <c r="T364" s="24" t="s">
        <v>1081</v>
      </c>
      <c r="U364" s="24"/>
      <c r="V364" s="3"/>
      <c r="W364" s="25" t="s">
        <v>6546</v>
      </c>
      <c r="X364" s="25">
        <v>10705628331</v>
      </c>
      <c r="Y364" s="25" t="str">
        <f>IFERROR(VLOOKUP(C_Ope_005[[#This Row],[NOTA 2]],Clientes_Proveedores[[Ruc / Dni]:[Razon Social]],2,0),"")</f>
        <v>LARICO APAZA NANCY ROSSMARY</v>
      </c>
      <c r="Z364" s="25"/>
      <c r="AA364" s="25"/>
      <c r="AB364" s="3" t="str">
        <f>IF(C_Ope_005[[#This Row],[FECHA]]&gt;0,TEXT(C_Ope_005[[#This Row],[FECHA]],"mmmm"),0)</f>
        <v>Julio</v>
      </c>
    </row>
    <row r="365" spans="2:28" ht="24" x14ac:dyDescent="0.3">
      <c r="B365" s="2">
        <f>IF(C_Ope_005[[#This Row],[TIPO DE R.]]="R",COUNTIFS($D$4:$D364,"R")+1,"")</f>
        <v>361</v>
      </c>
      <c r="C365" s="19" t="str">
        <f t="shared" si="37"/>
        <v>C_Ope_005</v>
      </c>
      <c r="D365" s="3" t="s">
        <v>1074</v>
      </c>
      <c r="E365" s="14">
        <v>45854</v>
      </c>
      <c r="F365" s="5" t="s">
        <v>7166</v>
      </c>
      <c r="G365" s="5" t="s">
        <v>1079</v>
      </c>
      <c r="H365" s="6" t="s">
        <v>919</v>
      </c>
      <c r="I365" s="6" t="s">
        <v>14</v>
      </c>
      <c r="J365" s="6" t="s">
        <v>5244</v>
      </c>
      <c r="K365" s="6">
        <v>2785575</v>
      </c>
      <c r="L365" s="7" t="s">
        <v>7331</v>
      </c>
      <c r="M365" s="8">
        <v>24931</v>
      </c>
      <c r="N365" s="8" t="str">
        <f t="shared" si="38"/>
        <v>PEN</v>
      </c>
      <c r="O365" s="13"/>
      <c r="P365" s="13">
        <v>8</v>
      </c>
      <c r="Q365" s="3">
        <f>+IF(OR($G365="SALDO",$G365="INGRESO"),$P365,0)</f>
        <v>0</v>
      </c>
      <c r="R365" s="3">
        <f>+IF($G365="EGRESO",$P365,0)</f>
        <v>8</v>
      </c>
      <c r="S365" s="3">
        <f t="shared" si="28"/>
        <v>78.999999999999318</v>
      </c>
      <c r="T365" s="24" t="s">
        <v>1081</v>
      </c>
      <c r="U365" s="24"/>
      <c r="V365" s="3"/>
      <c r="W365" s="25" t="s">
        <v>6546</v>
      </c>
      <c r="X365" s="25">
        <v>20517252558</v>
      </c>
      <c r="Y365" s="25" t="str">
        <f>IFERROR(VLOOKUP(C_Ope_005[[#This Row],[NOTA 2]],Clientes_Proveedores[[Ruc / Dni]:[Razon Social]],2,0),"")</f>
        <v>COVISUR S.A.</v>
      </c>
      <c r="Z365" s="25" t="s">
        <v>6677</v>
      </c>
      <c r="AA365" s="25"/>
      <c r="AB365" s="3" t="str">
        <f>IF(C_Ope_005[[#This Row],[FECHA]]&gt;0,TEXT(C_Ope_005[[#This Row],[FECHA]],"mmmm"),0)</f>
        <v>Julio</v>
      </c>
    </row>
    <row r="366" spans="2:28" ht="24" x14ac:dyDescent="0.3">
      <c r="B366" s="2">
        <f>IF(C_Ope_005[[#This Row],[TIPO DE R.]]="R",COUNTIFS($D$4:$D365,"R")+1,"")</f>
        <v>362</v>
      </c>
      <c r="C366" s="19" t="str">
        <f t="shared" si="37"/>
        <v>C_Ope_005</v>
      </c>
      <c r="D366" s="3" t="s">
        <v>1074</v>
      </c>
      <c r="E366" s="14">
        <v>45854</v>
      </c>
      <c r="F366" s="5" t="s">
        <v>7166</v>
      </c>
      <c r="G366" s="5" t="s">
        <v>1079</v>
      </c>
      <c r="H366" s="6" t="s">
        <v>919</v>
      </c>
      <c r="I366" s="6" t="s">
        <v>14</v>
      </c>
      <c r="J366" s="6" t="s">
        <v>5242</v>
      </c>
      <c r="K366" s="6">
        <v>2112983</v>
      </c>
      <c r="L366" s="7" t="s">
        <v>7332</v>
      </c>
      <c r="M366" s="8">
        <v>24932</v>
      </c>
      <c r="N366" s="8" t="str">
        <f t="shared" si="38"/>
        <v>PEN</v>
      </c>
      <c r="O366" s="13"/>
      <c r="P366" s="13">
        <v>8</v>
      </c>
      <c r="Q366" s="3">
        <f>+IF(OR($G366="SALDO",$G366="INGRESO"),$P366,0)</f>
        <v>0</v>
      </c>
      <c r="R366" s="3">
        <f>+IF($G366="EGRESO",$P366,0)</f>
        <v>8</v>
      </c>
      <c r="S366" s="3">
        <f t="shared" si="28"/>
        <v>70.999999999999318</v>
      </c>
      <c r="T366" s="24" t="s">
        <v>1081</v>
      </c>
      <c r="U366" s="24"/>
      <c r="V366" s="3"/>
      <c r="W366" s="25" t="s">
        <v>6630</v>
      </c>
      <c r="X366" s="25">
        <v>20517252558</v>
      </c>
      <c r="Y366" s="25" t="str">
        <f>IFERROR(VLOOKUP(C_Ope_005[[#This Row],[NOTA 2]],Clientes_Proveedores[[Ruc / Dni]:[Razon Social]],2,0),"")</f>
        <v>COVISUR S.A.</v>
      </c>
      <c r="Z366" s="25" t="s">
        <v>6677</v>
      </c>
      <c r="AA366" s="25"/>
      <c r="AB366" s="3" t="str">
        <f>IF(C_Ope_005[[#This Row],[FECHA]]&gt;0,TEXT(C_Ope_005[[#This Row],[FECHA]],"mmmm"),0)</f>
        <v>Julio</v>
      </c>
    </row>
    <row r="367" spans="2:28" ht="36" x14ac:dyDescent="0.3">
      <c r="B367" s="2">
        <f>IF(C_Ope_005[[#This Row],[TIPO DE R.]]="R",COUNTIFS($D$4:$D366,"R")+1,"")</f>
        <v>363</v>
      </c>
      <c r="C367" s="19" t="str">
        <f t="shared" si="37"/>
        <v>C_Ope_005</v>
      </c>
      <c r="D367" s="3" t="s">
        <v>1074</v>
      </c>
      <c r="E367" s="14">
        <v>45854</v>
      </c>
      <c r="F367" s="5" t="s">
        <v>7166</v>
      </c>
      <c r="G367" s="5" t="s">
        <v>1079</v>
      </c>
      <c r="H367" s="6" t="s">
        <v>624</v>
      </c>
      <c r="I367" s="6" t="s">
        <v>14</v>
      </c>
      <c r="J367" s="6" t="s">
        <v>1097</v>
      </c>
      <c r="K367" s="6">
        <v>16998</v>
      </c>
      <c r="L367" s="7" t="s">
        <v>7333</v>
      </c>
      <c r="M367" s="8">
        <v>24933</v>
      </c>
      <c r="N367" s="8" t="str">
        <f t="shared" si="38"/>
        <v>PEN</v>
      </c>
      <c r="O367" s="13"/>
      <c r="P367" s="13">
        <v>20</v>
      </c>
      <c r="Q367" s="3">
        <f>+IF(OR($G367="SALDO",$G367="INGRESO"),$P367,0)</f>
        <v>0</v>
      </c>
      <c r="R367" s="3">
        <f>+IF($G367="EGRESO",$P367,0)</f>
        <v>20</v>
      </c>
      <c r="S367" s="3">
        <f t="shared" si="28"/>
        <v>50.999999999999318</v>
      </c>
      <c r="T367" s="24" t="s">
        <v>1081</v>
      </c>
      <c r="U367" s="24"/>
      <c r="V367" s="3"/>
      <c r="W367" s="25" t="s">
        <v>6630</v>
      </c>
      <c r="X367" s="25">
        <v>20259858934</v>
      </c>
      <c r="Y367" s="25" t="str">
        <f>IFERROR(VLOOKUP(C_Ope_005[[#This Row],[NOTA 2]],Clientes_Proveedores[[Ruc / Dni]:[Razon Social]],2,0),"")</f>
        <v>COMERCIALIZACION Y SERVICIOS EL EDEN S.A.C.</v>
      </c>
      <c r="Z367" s="25" t="s">
        <v>6677</v>
      </c>
      <c r="AA367" s="25"/>
      <c r="AB367" s="3" t="str">
        <f>IF(C_Ope_005[[#This Row],[FECHA]]&gt;0,TEXT(C_Ope_005[[#This Row],[FECHA]],"mmmm"),0)</f>
        <v>Julio</v>
      </c>
    </row>
    <row r="368" spans="2:28" ht="36" x14ac:dyDescent="0.3">
      <c r="B368" s="2">
        <f>IF(C_Ope_005[[#This Row],[TIPO DE R.]]="R",COUNTIFS($D$4:$D367,"R")+1,"")</f>
        <v>364</v>
      </c>
      <c r="C368" s="19" t="str">
        <f t="shared" si="37"/>
        <v>C_Ope_005</v>
      </c>
      <c r="D368" s="3" t="s">
        <v>1074</v>
      </c>
      <c r="E368" s="14">
        <v>45855</v>
      </c>
      <c r="F368" s="5" t="s">
        <v>7166</v>
      </c>
      <c r="G368" s="5" t="s">
        <v>1079</v>
      </c>
      <c r="H368" s="6" t="s">
        <v>624</v>
      </c>
      <c r="I368" s="6" t="s">
        <v>14</v>
      </c>
      <c r="J368" s="6" t="s">
        <v>1088</v>
      </c>
      <c r="K368" s="6">
        <v>35166</v>
      </c>
      <c r="L368" s="7" t="s">
        <v>7334</v>
      </c>
      <c r="M368" s="8">
        <v>24934</v>
      </c>
      <c r="N368" s="8" t="str">
        <f t="shared" si="38"/>
        <v>PEN</v>
      </c>
      <c r="O368" s="13"/>
      <c r="P368" s="13">
        <v>10</v>
      </c>
      <c r="Q368" s="3">
        <f>+IF(OR($G368="SALDO",$G368="INGRESO"),$P368,0)</f>
        <v>0</v>
      </c>
      <c r="R368" s="3">
        <f>+IF($G368="EGRESO",$P368,0)</f>
        <v>10</v>
      </c>
      <c r="S368" s="3">
        <f t="shared" si="28"/>
        <v>40.999999999999318</v>
      </c>
      <c r="T368" s="24" t="s">
        <v>1081</v>
      </c>
      <c r="U368" s="24"/>
      <c r="V368" s="3"/>
      <c r="W368" s="25" t="s">
        <v>6546</v>
      </c>
      <c r="X368" s="25">
        <v>20259858934</v>
      </c>
      <c r="Y368" s="25" t="str">
        <f>IFERROR(VLOOKUP(C_Ope_005[[#This Row],[NOTA 2]],Clientes_Proveedores[[Ruc / Dni]:[Razon Social]],2,0),"")</f>
        <v>COMERCIALIZACION Y SERVICIOS EL EDEN S.A.C.</v>
      </c>
      <c r="Z368" s="25" t="s">
        <v>4972</v>
      </c>
      <c r="AA368" s="25"/>
      <c r="AB368" s="3" t="str">
        <f>IF(C_Ope_005[[#This Row],[FECHA]]&gt;0,TEXT(C_Ope_005[[#This Row],[FECHA]],"mmmm"),0)</f>
        <v>Julio</v>
      </c>
    </row>
    <row r="369" spans="2:28" x14ac:dyDescent="0.3">
      <c r="B369" s="22">
        <f>IF(C_Ope_005[[#This Row],[TIPO DE R.]]="R",COUNTIFS($D$4:$D368,"R")+1,"")</f>
        <v>365</v>
      </c>
      <c r="C369" s="87" t="str">
        <f t="shared" si="37"/>
        <v>C_Ope_005</v>
      </c>
      <c r="D369" s="52" t="s">
        <v>1074</v>
      </c>
      <c r="E369" s="88">
        <v>45860</v>
      </c>
      <c r="F369" s="89" t="s">
        <v>6298</v>
      </c>
      <c r="G369" s="89" t="s">
        <v>1087</v>
      </c>
      <c r="H369" s="61"/>
      <c r="I369" s="61"/>
      <c r="J369" s="61"/>
      <c r="K369" s="61"/>
      <c r="L369" s="21" t="s">
        <v>7335</v>
      </c>
      <c r="M369" s="90">
        <v>25028</v>
      </c>
      <c r="N369" s="90" t="str">
        <f t="shared" si="38"/>
        <v>PEN</v>
      </c>
      <c r="O369" s="52"/>
      <c r="P369" s="52">
        <v>800</v>
      </c>
      <c r="Q369" s="52">
        <f>+IF(OR($G369="SALDO",$G369="INGRESO"),$P369,0)</f>
        <v>800</v>
      </c>
      <c r="R369" s="52">
        <f>+IF($G369="EGRESO",$P369,0)</f>
        <v>0</v>
      </c>
      <c r="S369" s="52">
        <f t="shared" si="28"/>
        <v>840.99999999999932</v>
      </c>
      <c r="T369" s="91"/>
      <c r="U369" s="91"/>
      <c r="V369" s="52"/>
      <c r="W369" s="92"/>
      <c r="X369" s="92"/>
      <c r="Y369" s="92" t="str">
        <f>IFERROR(VLOOKUP(C_Ope_005[[#This Row],[NOTA 2]],Clientes_Proveedores[[Ruc / Dni]:[Razon Social]],2,0),"")</f>
        <v/>
      </c>
      <c r="Z369" s="92"/>
      <c r="AA369" s="92">
        <f>ROUND(C_Ope_005[[#This Row],[MONTO ]]/1.18,3)</f>
        <v>677.96600000000001</v>
      </c>
      <c r="AB369" s="52" t="str">
        <f>IF(C_Ope_005[[#This Row],[FECHA]]&gt;0,TEXT(C_Ope_005[[#This Row],[FECHA]],"mmmm"),0)</f>
        <v>Julio</v>
      </c>
    </row>
    <row r="370" spans="2:28" ht="24" x14ac:dyDescent="0.3">
      <c r="B370" s="2">
        <f>IF(C_Ope_005[[#This Row],[TIPO DE R.]]="R",COUNTIFS($D$4:$D369,"R")+1,"")</f>
        <v>366</v>
      </c>
      <c r="C370" s="19" t="str">
        <f t="shared" ref="C370:C400" si="39">"C_Ope_005"</f>
        <v>C_Ope_005</v>
      </c>
      <c r="D370" s="3" t="s">
        <v>1074</v>
      </c>
      <c r="E370" s="14">
        <v>45859</v>
      </c>
      <c r="F370" s="5" t="s">
        <v>7166</v>
      </c>
      <c r="G370" s="5" t="s">
        <v>1079</v>
      </c>
      <c r="H370" s="6" t="s">
        <v>939</v>
      </c>
      <c r="I370" s="6" t="s">
        <v>14</v>
      </c>
      <c r="J370" s="6" t="s">
        <v>6561</v>
      </c>
      <c r="K370" s="6">
        <v>1815</v>
      </c>
      <c r="L370" s="7" t="s">
        <v>7336</v>
      </c>
      <c r="M370" s="8">
        <v>24990</v>
      </c>
      <c r="N370" s="8" t="str">
        <f t="shared" ref="N370:N400" si="40">"PEN"</f>
        <v>PEN</v>
      </c>
      <c r="O370" s="13"/>
      <c r="P370" s="13">
        <v>10</v>
      </c>
      <c r="Q370" s="3">
        <f t="shared" ref="Q370:Q400" si="41">+IF(OR($G370="SALDO",$G370="INGRESO"),$P370,0)</f>
        <v>0</v>
      </c>
      <c r="R370" s="3">
        <f t="shared" ref="R370:R400" si="42">+IF($G370="EGRESO",$P370,0)</f>
        <v>10</v>
      </c>
      <c r="S370" s="3">
        <f t="shared" si="28"/>
        <v>830.99999999999932</v>
      </c>
      <c r="T370" s="24" t="s">
        <v>1081</v>
      </c>
      <c r="U370" s="24"/>
      <c r="V370" s="3"/>
      <c r="W370" s="25" t="s">
        <v>6546</v>
      </c>
      <c r="X370" s="25">
        <v>20612112500</v>
      </c>
      <c r="Y370" s="25" t="str">
        <f>IFERROR(VLOOKUP(C_Ope_005[[#This Row],[NOTA 2]],Clientes_Proveedores[[Ruc / Dni]:[Razon Social]],2,0),"")</f>
        <v>RECICLADORA LAS LOMAS E.I.R.L.</v>
      </c>
      <c r="Z370" s="25" t="s">
        <v>4972</v>
      </c>
      <c r="AA370" s="25"/>
      <c r="AB370" s="3" t="str">
        <f>IF(C_Ope_005[[#This Row],[FECHA]]&gt;0,TEXT(C_Ope_005[[#This Row],[FECHA]],"mmmm"),0)</f>
        <v>Julio</v>
      </c>
    </row>
    <row r="371" spans="2:28" ht="24" x14ac:dyDescent="0.3">
      <c r="B371" s="2">
        <f>IF(C_Ope_005[[#This Row],[TIPO DE R.]]="R",COUNTIFS($D$4:$D370,"R")+1,"")</f>
        <v>367</v>
      </c>
      <c r="C371" s="19" t="str">
        <f t="shared" si="39"/>
        <v>C_Ope_005</v>
      </c>
      <c r="D371" s="3" t="s">
        <v>1074</v>
      </c>
      <c r="E371" s="14">
        <v>45859</v>
      </c>
      <c r="F371" s="5" t="s">
        <v>7166</v>
      </c>
      <c r="G371" s="5" t="s">
        <v>1079</v>
      </c>
      <c r="H371" s="6" t="s">
        <v>939</v>
      </c>
      <c r="I371" s="6" t="s">
        <v>14</v>
      </c>
      <c r="J371" s="6" t="s">
        <v>6561</v>
      </c>
      <c r="K371" s="6">
        <v>1810</v>
      </c>
      <c r="L371" s="7" t="s">
        <v>7337</v>
      </c>
      <c r="M371" s="8">
        <v>24991</v>
      </c>
      <c r="N371" s="8" t="str">
        <f t="shared" si="40"/>
        <v>PEN</v>
      </c>
      <c r="O371" s="13"/>
      <c r="P371" s="13">
        <v>10</v>
      </c>
      <c r="Q371" s="3">
        <f t="shared" si="41"/>
        <v>0</v>
      </c>
      <c r="R371" s="3">
        <f t="shared" si="42"/>
        <v>10</v>
      </c>
      <c r="S371" s="3">
        <f t="shared" si="28"/>
        <v>820.99999999999932</v>
      </c>
      <c r="T371" s="24" t="s">
        <v>1081</v>
      </c>
      <c r="U371" s="24"/>
      <c r="V371" s="3"/>
      <c r="W371" s="25" t="s">
        <v>6546</v>
      </c>
      <c r="X371" s="25">
        <v>20612112500</v>
      </c>
      <c r="Y371" s="25" t="str">
        <f>IFERROR(VLOOKUP(C_Ope_005[[#This Row],[NOTA 2]],Clientes_Proveedores[[Ruc / Dni]:[Razon Social]],2,0),"")</f>
        <v>RECICLADORA LAS LOMAS E.I.R.L.</v>
      </c>
      <c r="Z371" s="25" t="s">
        <v>4972</v>
      </c>
      <c r="AA371" s="25"/>
      <c r="AB371" s="3" t="str">
        <f>IF(C_Ope_005[[#This Row],[FECHA]]&gt;0,TEXT(C_Ope_005[[#This Row],[FECHA]],"mmmm"),0)</f>
        <v>Julio</v>
      </c>
    </row>
    <row r="372" spans="2:28" ht="24" x14ac:dyDescent="0.3">
      <c r="B372" s="2">
        <f>IF(C_Ope_005[[#This Row],[TIPO DE R.]]="R",COUNTIFS($D$4:$D371,"R")+1,"")</f>
        <v>368</v>
      </c>
      <c r="C372" s="19" t="str">
        <f t="shared" si="39"/>
        <v>C_Ope_005</v>
      </c>
      <c r="D372" s="3" t="s">
        <v>1074</v>
      </c>
      <c r="E372" s="14">
        <v>45860</v>
      </c>
      <c r="F372" s="5" t="s">
        <v>7166</v>
      </c>
      <c r="G372" s="5" t="s">
        <v>1079</v>
      </c>
      <c r="H372" s="6" t="s">
        <v>919</v>
      </c>
      <c r="I372" s="6" t="s">
        <v>14</v>
      </c>
      <c r="J372" s="6" t="s">
        <v>7183</v>
      </c>
      <c r="K372" s="6">
        <v>1847697</v>
      </c>
      <c r="L372" s="7" t="s">
        <v>7338</v>
      </c>
      <c r="M372" s="8">
        <v>25005</v>
      </c>
      <c r="N372" s="8" t="str">
        <f t="shared" si="40"/>
        <v>PEN</v>
      </c>
      <c r="O372" s="13"/>
      <c r="P372" s="13">
        <v>7.7</v>
      </c>
      <c r="Q372" s="3">
        <f t="shared" si="41"/>
        <v>0</v>
      </c>
      <c r="R372" s="3">
        <f t="shared" si="42"/>
        <v>7.7</v>
      </c>
      <c r="S372" s="3">
        <f t="shared" si="28"/>
        <v>813.29999999999927</v>
      </c>
      <c r="T372" s="24" t="s">
        <v>1081</v>
      </c>
      <c r="U372" s="24"/>
      <c r="V372" s="3"/>
      <c r="W372" s="25" t="s">
        <v>6546</v>
      </c>
      <c r="X372" s="25">
        <v>20517252558</v>
      </c>
      <c r="Y372" s="25" t="str">
        <f>IFERROR(VLOOKUP(C_Ope_005[[#This Row],[NOTA 2]],Clientes_Proveedores[[Ruc / Dni]:[Razon Social]],2,0),"")</f>
        <v>COVISUR S.A.</v>
      </c>
      <c r="Z372" s="25" t="s">
        <v>6677</v>
      </c>
      <c r="AA372" s="25"/>
      <c r="AB372" s="3" t="str">
        <f>IF(C_Ope_005[[#This Row],[FECHA]]&gt;0,TEXT(C_Ope_005[[#This Row],[FECHA]],"mmmm"),0)</f>
        <v>Julio</v>
      </c>
    </row>
    <row r="373" spans="2:28" x14ac:dyDescent="0.3">
      <c r="B373" s="2">
        <f>IF(C_Ope_005[[#This Row],[TIPO DE R.]]="R",COUNTIFS($D$4:$D372,"R")+1,"")</f>
        <v>369</v>
      </c>
      <c r="C373" s="19" t="str">
        <f t="shared" si="39"/>
        <v>C_Ope_005</v>
      </c>
      <c r="D373" s="3" t="s">
        <v>1074</v>
      </c>
      <c r="E373" s="14">
        <v>45860</v>
      </c>
      <c r="F373" s="5" t="s">
        <v>7166</v>
      </c>
      <c r="G373" s="5" t="s">
        <v>1079</v>
      </c>
      <c r="H373" s="6" t="s">
        <v>950</v>
      </c>
      <c r="I373" s="6" t="s">
        <v>70</v>
      </c>
      <c r="J373" s="6"/>
      <c r="K373" s="6">
        <v>25006</v>
      </c>
      <c r="L373" s="7" t="s">
        <v>7339</v>
      </c>
      <c r="M373" s="8">
        <v>25006</v>
      </c>
      <c r="N373" s="8" t="str">
        <f t="shared" si="40"/>
        <v>PEN</v>
      </c>
      <c r="O373" s="13"/>
      <c r="P373" s="13">
        <v>24</v>
      </c>
      <c r="Q373" s="3">
        <f t="shared" si="41"/>
        <v>0</v>
      </c>
      <c r="R373" s="3">
        <f t="shared" si="42"/>
        <v>24</v>
      </c>
      <c r="S373" s="3">
        <f t="shared" si="28"/>
        <v>789.29999999999927</v>
      </c>
      <c r="T373" s="24" t="s">
        <v>1081</v>
      </c>
      <c r="U373" s="24"/>
      <c r="V373" s="3"/>
      <c r="W373" s="25" t="s">
        <v>6546</v>
      </c>
      <c r="X373" s="25"/>
      <c r="Y373" s="25" t="str">
        <f>IFERROR(VLOOKUP(C_Ope_005[[#This Row],[NOTA 2]],Clientes_Proveedores[[Ruc / Dni]:[Razon Social]],2,0),"")</f>
        <v/>
      </c>
      <c r="Z373" s="25"/>
      <c r="AA373" s="25"/>
      <c r="AB373" s="3" t="str">
        <f>IF(C_Ope_005[[#This Row],[FECHA]]&gt;0,TEXT(C_Ope_005[[#This Row],[FECHA]],"mmmm"),0)</f>
        <v>Julio</v>
      </c>
    </row>
    <row r="374" spans="2:28" x14ac:dyDescent="0.3">
      <c r="B374" s="2">
        <f>IF(C_Ope_005[[#This Row],[TIPO DE R.]]="R",COUNTIFS($D$4:$D373,"R")+1,"")</f>
        <v>370</v>
      </c>
      <c r="C374" s="19" t="str">
        <f t="shared" si="39"/>
        <v>C_Ope_005</v>
      </c>
      <c r="D374" s="3" t="s">
        <v>1074</v>
      </c>
      <c r="E374" s="14">
        <v>45860</v>
      </c>
      <c r="F374" s="5" t="s">
        <v>7166</v>
      </c>
      <c r="G374" s="5" t="s">
        <v>1079</v>
      </c>
      <c r="H374" s="6" t="s">
        <v>950</v>
      </c>
      <c r="I374" s="6" t="s">
        <v>70</v>
      </c>
      <c r="J374" s="6"/>
      <c r="K374" s="6">
        <v>25007</v>
      </c>
      <c r="L374" s="7" t="s">
        <v>7340</v>
      </c>
      <c r="M374" s="8">
        <v>25007</v>
      </c>
      <c r="N374" s="8" t="str">
        <f t="shared" si="40"/>
        <v>PEN</v>
      </c>
      <c r="O374" s="13"/>
      <c r="P374" s="13">
        <v>100</v>
      </c>
      <c r="Q374" s="3">
        <f t="shared" si="41"/>
        <v>0</v>
      </c>
      <c r="R374" s="3">
        <f t="shared" si="42"/>
        <v>100</v>
      </c>
      <c r="S374" s="3">
        <f t="shared" si="28"/>
        <v>689.29999999999927</v>
      </c>
      <c r="T374" s="24" t="s">
        <v>1081</v>
      </c>
      <c r="U374" s="24"/>
      <c r="V374" s="3"/>
      <c r="W374" s="25" t="s">
        <v>6546</v>
      </c>
      <c r="X374" s="25"/>
      <c r="Y374" s="25" t="str">
        <f>IFERROR(VLOOKUP(C_Ope_005[[#This Row],[NOTA 2]],Clientes_Proveedores[[Ruc / Dni]:[Razon Social]],2,0),"")</f>
        <v/>
      </c>
      <c r="Z374" s="25"/>
      <c r="AA374" s="25"/>
      <c r="AB374" s="3" t="str">
        <f>IF(C_Ope_005[[#This Row],[FECHA]]&gt;0,TEXT(C_Ope_005[[#This Row],[FECHA]],"mmmm"),0)</f>
        <v>Julio</v>
      </c>
    </row>
    <row r="375" spans="2:28" x14ac:dyDescent="0.3">
      <c r="B375" s="2">
        <f>IF(C_Ope_005[[#This Row],[TIPO DE R.]]="R",COUNTIFS($D$4:$D374,"R")+1,"")</f>
        <v>371</v>
      </c>
      <c r="C375" s="19" t="str">
        <f t="shared" si="39"/>
        <v>C_Ope_005</v>
      </c>
      <c r="D375" s="3" t="s">
        <v>1074</v>
      </c>
      <c r="E375" s="14">
        <v>45860</v>
      </c>
      <c r="F375" s="5" t="s">
        <v>7166</v>
      </c>
      <c r="G375" s="5" t="s">
        <v>1079</v>
      </c>
      <c r="H375" s="6" t="s">
        <v>950</v>
      </c>
      <c r="I375" s="6" t="s">
        <v>70</v>
      </c>
      <c r="J375" s="6"/>
      <c r="K375" s="6">
        <v>25008</v>
      </c>
      <c r="L375" s="7" t="s">
        <v>7341</v>
      </c>
      <c r="M375" s="8">
        <v>25008</v>
      </c>
      <c r="N375" s="8" t="str">
        <f t="shared" si="40"/>
        <v>PEN</v>
      </c>
      <c r="O375" s="13"/>
      <c r="P375" s="13">
        <v>15</v>
      </c>
      <c r="Q375" s="3">
        <f t="shared" si="41"/>
        <v>0</v>
      </c>
      <c r="R375" s="3">
        <f t="shared" si="42"/>
        <v>15</v>
      </c>
      <c r="S375" s="3">
        <f t="shared" si="28"/>
        <v>674.29999999999927</v>
      </c>
      <c r="T375" s="24" t="s">
        <v>1081</v>
      </c>
      <c r="U375" s="24"/>
      <c r="V375" s="3"/>
      <c r="W375" s="25" t="s">
        <v>6546</v>
      </c>
      <c r="X375" s="25"/>
      <c r="Y375" s="25" t="str">
        <f>IFERROR(VLOOKUP(C_Ope_005[[#This Row],[NOTA 2]],Clientes_Proveedores[[Ruc / Dni]:[Razon Social]],2,0),"")</f>
        <v/>
      </c>
      <c r="Z375" s="25"/>
      <c r="AA375" s="25"/>
      <c r="AB375" s="3" t="str">
        <f>IF(C_Ope_005[[#This Row],[FECHA]]&gt;0,TEXT(C_Ope_005[[#This Row],[FECHA]],"mmmm"),0)</f>
        <v>Julio</v>
      </c>
    </row>
    <row r="376" spans="2:28" ht="24" x14ac:dyDescent="0.3">
      <c r="B376" s="2">
        <f>IF(C_Ope_005[[#This Row],[TIPO DE R.]]="R",COUNTIFS($D$4:$D375,"R")+1,"")</f>
        <v>372</v>
      </c>
      <c r="C376" s="19" t="str">
        <f t="shared" si="39"/>
        <v>C_Ope_005</v>
      </c>
      <c r="D376" s="3" t="s">
        <v>1074</v>
      </c>
      <c r="E376" s="14">
        <v>45861</v>
      </c>
      <c r="F376" s="5" t="s">
        <v>7166</v>
      </c>
      <c r="G376" s="5" t="s">
        <v>1079</v>
      </c>
      <c r="H376" s="6" t="s">
        <v>977</v>
      </c>
      <c r="I376" s="6" t="s">
        <v>14</v>
      </c>
      <c r="J376" s="6" t="s">
        <v>7185</v>
      </c>
      <c r="K376" s="6">
        <v>638711</v>
      </c>
      <c r="L376" s="7" t="s">
        <v>7342</v>
      </c>
      <c r="M376" s="8">
        <v>25020</v>
      </c>
      <c r="N376" s="8" t="str">
        <f t="shared" si="40"/>
        <v>PEN</v>
      </c>
      <c r="O376" s="13"/>
      <c r="P376" s="13">
        <v>7.7</v>
      </c>
      <c r="Q376" s="3">
        <f t="shared" si="41"/>
        <v>0</v>
      </c>
      <c r="R376" s="3">
        <f t="shared" si="42"/>
        <v>7.7</v>
      </c>
      <c r="S376" s="3">
        <f t="shared" si="28"/>
        <v>666.59999999999923</v>
      </c>
      <c r="T376" s="24" t="s">
        <v>1081</v>
      </c>
      <c r="U376" s="24"/>
      <c r="V376" s="3"/>
      <c r="W376" s="25" t="s">
        <v>6546</v>
      </c>
      <c r="X376" s="25">
        <v>20517216241</v>
      </c>
      <c r="Y376" s="25" t="str">
        <f>IFERROR(VLOOKUP(C_Ope_005[[#This Row],[NOTA 2]],Clientes_Proveedores[[Ruc / Dni]:[Razon Social]],2,0),"")</f>
        <v>CARRETERA ANDINA DEL SUR S.A.C.</v>
      </c>
      <c r="Z376" s="25" t="s">
        <v>7343</v>
      </c>
      <c r="AA376" s="25"/>
      <c r="AB376" s="3" t="str">
        <f>IF(C_Ope_005[[#This Row],[FECHA]]&gt;0,TEXT(C_Ope_005[[#This Row],[FECHA]],"mmmm"),0)</f>
        <v>Julio</v>
      </c>
    </row>
    <row r="377" spans="2:28" x14ac:dyDescent="0.3">
      <c r="B377" s="2">
        <f>IF(C_Ope_005[[#This Row],[TIPO DE R.]]="R",COUNTIFS($D$4:$D376,"R")+1,"")</f>
        <v>373</v>
      </c>
      <c r="C377" s="19" t="str">
        <f t="shared" si="39"/>
        <v>C_Ope_005</v>
      </c>
      <c r="D377" s="3" t="s">
        <v>1074</v>
      </c>
      <c r="E377" s="14">
        <v>45861</v>
      </c>
      <c r="F377" s="5" t="s">
        <v>7166</v>
      </c>
      <c r="G377" s="5" t="s">
        <v>1079</v>
      </c>
      <c r="H377" s="6" t="s">
        <v>950</v>
      </c>
      <c r="I377" s="6" t="s">
        <v>70</v>
      </c>
      <c r="J377" s="6"/>
      <c r="K377" s="6">
        <v>25021</v>
      </c>
      <c r="L377" s="7" t="s">
        <v>7344</v>
      </c>
      <c r="M377" s="8">
        <v>25021</v>
      </c>
      <c r="N377" s="8" t="str">
        <f t="shared" si="40"/>
        <v>PEN</v>
      </c>
      <c r="O377" s="13"/>
      <c r="P377" s="13">
        <v>24</v>
      </c>
      <c r="Q377" s="3">
        <f t="shared" si="41"/>
        <v>0</v>
      </c>
      <c r="R377" s="3">
        <f t="shared" si="42"/>
        <v>24</v>
      </c>
      <c r="S377" s="3">
        <f t="shared" si="28"/>
        <v>642.59999999999923</v>
      </c>
      <c r="T377" s="24" t="s">
        <v>1081</v>
      </c>
      <c r="U377" s="24"/>
      <c r="V377" s="3"/>
      <c r="W377" s="25" t="s">
        <v>6546</v>
      </c>
      <c r="X377" s="25"/>
      <c r="Y377" s="25" t="str">
        <f>IFERROR(VLOOKUP(C_Ope_005[[#This Row],[NOTA 2]],Clientes_Proveedores[[Ruc / Dni]:[Razon Social]],2,0),"")</f>
        <v/>
      </c>
      <c r="Z377" s="25"/>
      <c r="AA377" s="25"/>
      <c r="AB377" s="3" t="str">
        <f>IF(C_Ope_005[[#This Row],[FECHA]]&gt;0,TEXT(C_Ope_005[[#This Row],[FECHA]],"mmmm"),0)</f>
        <v>Julio</v>
      </c>
    </row>
    <row r="378" spans="2:28" x14ac:dyDescent="0.3">
      <c r="B378" s="2">
        <f>IF(C_Ope_005[[#This Row],[TIPO DE R.]]="R",COUNTIFS($D$4:$D377,"R")+1,"")</f>
        <v>374</v>
      </c>
      <c r="C378" s="19" t="str">
        <f t="shared" si="39"/>
        <v>C_Ope_005</v>
      </c>
      <c r="D378" s="3" t="s">
        <v>1074</v>
      </c>
      <c r="E378" s="14">
        <v>45861</v>
      </c>
      <c r="F378" s="5" t="s">
        <v>7166</v>
      </c>
      <c r="G378" s="5" t="s">
        <v>1079</v>
      </c>
      <c r="H378" s="6" t="s">
        <v>950</v>
      </c>
      <c r="I378" s="6" t="s">
        <v>70</v>
      </c>
      <c r="J378" s="6"/>
      <c r="K378" s="6">
        <v>25022</v>
      </c>
      <c r="L378" s="7" t="s">
        <v>7345</v>
      </c>
      <c r="M378" s="8">
        <v>25022</v>
      </c>
      <c r="N378" s="8" t="str">
        <f t="shared" si="40"/>
        <v>PEN</v>
      </c>
      <c r="O378" s="13"/>
      <c r="P378" s="13">
        <v>30</v>
      </c>
      <c r="Q378" s="3">
        <f t="shared" si="41"/>
        <v>0</v>
      </c>
      <c r="R378" s="3">
        <f t="shared" si="42"/>
        <v>30</v>
      </c>
      <c r="S378" s="3">
        <f t="shared" si="28"/>
        <v>612.59999999999923</v>
      </c>
      <c r="T378" s="24" t="s">
        <v>1081</v>
      </c>
      <c r="U378" s="24"/>
      <c r="V378" s="3"/>
      <c r="W378" s="25" t="s">
        <v>6546</v>
      </c>
      <c r="X378" s="25"/>
      <c r="Y378" s="25" t="str">
        <f>IFERROR(VLOOKUP(C_Ope_005[[#This Row],[NOTA 2]],Clientes_Proveedores[[Ruc / Dni]:[Razon Social]],2,0),"")</f>
        <v/>
      </c>
      <c r="Z378" s="25"/>
      <c r="AA378" s="25"/>
      <c r="AB378" s="3" t="str">
        <f>IF(C_Ope_005[[#This Row],[FECHA]]&gt;0,TEXT(C_Ope_005[[#This Row],[FECHA]],"mmmm"),0)</f>
        <v>Julio</v>
      </c>
    </row>
    <row r="379" spans="2:28" x14ac:dyDescent="0.3">
      <c r="B379" s="2">
        <f>IF(C_Ope_005[[#This Row],[TIPO DE R.]]="R",COUNTIFS($D$4:$D378,"R")+1,"")</f>
        <v>375</v>
      </c>
      <c r="C379" s="19" t="str">
        <f t="shared" si="39"/>
        <v>C_Ope_005</v>
      </c>
      <c r="D379" s="3" t="s">
        <v>1074</v>
      </c>
      <c r="E379" s="14">
        <v>45861</v>
      </c>
      <c r="F379" s="5" t="s">
        <v>7166</v>
      </c>
      <c r="G379" s="5" t="s">
        <v>1079</v>
      </c>
      <c r="H379" s="6" t="s">
        <v>950</v>
      </c>
      <c r="I379" s="6" t="s">
        <v>70</v>
      </c>
      <c r="J379" s="6"/>
      <c r="K379" s="6">
        <v>25023</v>
      </c>
      <c r="L379" s="7" t="s">
        <v>7346</v>
      </c>
      <c r="M379" s="8">
        <v>25023</v>
      </c>
      <c r="N379" s="8" t="str">
        <f t="shared" si="40"/>
        <v>PEN</v>
      </c>
      <c r="O379" s="13"/>
      <c r="P379" s="13">
        <v>24</v>
      </c>
      <c r="Q379" s="3">
        <f t="shared" si="41"/>
        <v>0</v>
      </c>
      <c r="R379" s="3">
        <f t="shared" si="42"/>
        <v>24</v>
      </c>
      <c r="S379" s="3">
        <f t="shared" si="28"/>
        <v>588.59999999999923</v>
      </c>
      <c r="T379" s="24" t="s">
        <v>1081</v>
      </c>
      <c r="U379" s="24"/>
      <c r="V379" s="3"/>
      <c r="W379" s="25" t="s">
        <v>6546</v>
      </c>
      <c r="X379" s="25"/>
      <c r="Y379" s="25" t="str">
        <f>IFERROR(VLOOKUP(C_Ope_005[[#This Row],[NOTA 2]],Clientes_Proveedores[[Ruc / Dni]:[Razon Social]],2,0),"")</f>
        <v/>
      </c>
      <c r="Z379" s="25"/>
      <c r="AA379" s="25"/>
      <c r="AB379" s="3" t="str">
        <f>IF(C_Ope_005[[#This Row],[FECHA]]&gt;0,TEXT(C_Ope_005[[#This Row],[FECHA]],"mmmm"),0)</f>
        <v>Julio</v>
      </c>
    </row>
    <row r="380" spans="2:28" ht="24" x14ac:dyDescent="0.3">
      <c r="B380" s="2">
        <f>IF(C_Ope_005[[#This Row],[TIPO DE R.]]="R",COUNTIFS($D$4:$D379,"R")+1,"")</f>
        <v>376</v>
      </c>
      <c r="C380" s="19" t="str">
        <f t="shared" si="39"/>
        <v>C_Ope_005</v>
      </c>
      <c r="D380" s="3" t="s">
        <v>1074</v>
      </c>
      <c r="E380" s="14">
        <v>45861</v>
      </c>
      <c r="F380" s="5" t="s">
        <v>7166</v>
      </c>
      <c r="G380" s="5" t="s">
        <v>1079</v>
      </c>
      <c r="H380" s="6" t="s">
        <v>978</v>
      </c>
      <c r="I380" s="6" t="s">
        <v>21</v>
      </c>
      <c r="J380" s="6">
        <v>1</v>
      </c>
      <c r="K380" s="6">
        <v>2365</v>
      </c>
      <c r="L380" s="7" t="s">
        <v>7347</v>
      </c>
      <c r="M380" s="8">
        <v>25024</v>
      </c>
      <c r="N380" s="8" t="str">
        <f t="shared" si="40"/>
        <v>PEN</v>
      </c>
      <c r="O380" s="13"/>
      <c r="P380" s="13">
        <v>100</v>
      </c>
      <c r="Q380" s="3">
        <f t="shared" si="41"/>
        <v>0</v>
      </c>
      <c r="R380" s="3">
        <f t="shared" si="42"/>
        <v>100</v>
      </c>
      <c r="S380" s="3">
        <f t="shared" si="28"/>
        <v>488.59999999999923</v>
      </c>
      <c r="T380" s="24" t="s">
        <v>1081</v>
      </c>
      <c r="U380" s="24"/>
      <c r="V380" s="3"/>
      <c r="W380" s="25" t="s">
        <v>6546</v>
      </c>
      <c r="X380" s="25">
        <v>10089085042</v>
      </c>
      <c r="Y380" s="25" t="str">
        <f>IFERROR(VLOOKUP(C_Ope_005[[#This Row],[NOTA 2]],Clientes_Proveedores[[Ruc / Dni]:[Razon Social]],2,0),"")</f>
        <v>GUEVARA PEREZ MARIA</v>
      </c>
      <c r="Z380" s="25" t="s">
        <v>6699</v>
      </c>
      <c r="AA380" s="25"/>
      <c r="AB380" s="3" t="str">
        <f>IF(C_Ope_005[[#This Row],[FECHA]]&gt;0,TEXT(C_Ope_005[[#This Row],[FECHA]],"mmmm"),0)</f>
        <v>Julio</v>
      </c>
    </row>
    <row r="381" spans="2:28" x14ac:dyDescent="0.3">
      <c r="B381" s="2">
        <f>IF(C_Ope_005[[#This Row],[TIPO DE R.]]="R",COUNTIFS($D$4:$D380,"R")+1,"")</f>
        <v>377</v>
      </c>
      <c r="C381" s="19" t="str">
        <f t="shared" si="39"/>
        <v>C_Ope_005</v>
      </c>
      <c r="D381" s="3" t="s">
        <v>1074</v>
      </c>
      <c r="E381" s="14">
        <v>45861</v>
      </c>
      <c r="F381" s="5" t="s">
        <v>7166</v>
      </c>
      <c r="G381" s="5" t="s">
        <v>1079</v>
      </c>
      <c r="H381" s="6" t="s">
        <v>950</v>
      </c>
      <c r="I381" s="6" t="s">
        <v>70</v>
      </c>
      <c r="J381" s="6"/>
      <c r="K381" s="6">
        <v>25025</v>
      </c>
      <c r="L381" s="7" t="s">
        <v>7348</v>
      </c>
      <c r="M381" s="8">
        <v>25025</v>
      </c>
      <c r="N381" s="8" t="str">
        <f t="shared" si="40"/>
        <v>PEN</v>
      </c>
      <c r="O381" s="13"/>
      <c r="P381" s="13">
        <v>15</v>
      </c>
      <c r="Q381" s="3">
        <f t="shared" si="41"/>
        <v>0</v>
      </c>
      <c r="R381" s="3">
        <f t="shared" si="42"/>
        <v>15</v>
      </c>
      <c r="S381" s="3">
        <f t="shared" si="28"/>
        <v>473.59999999999923</v>
      </c>
      <c r="T381" s="24" t="s">
        <v>1081</v>
      </c>
      <c r="U381" s="24"/>
      <c r="V381" s="3"/>
      <c r="W381" s="25" t="s">
        <v>6546</v>
      </c>
      <c r="X381" s="25"/>
      <c r="Y381" s="25" t="str">
        <f>IFERROR(VLOOKUP(C_Ope_005[[#This Row],[NOTA 2]],Clientes_Proveedores[[Ruc / Dni]:[Razon Social]],2,0),"")</f>
        <v/>
      </c>
      <c r="Z381" s="25"/>
      <c r="AA381" s="25"/>
      <c r="AB381" s="3" t="str">
        <f>IF(C_Ope_005[[#This Row],[FECHA]]&gt;0,TEXT(C_Ope_005[[#This Row],[FECHA]],"mmmm"),0)</f>
        <v>Julio</v>
      </c>
    </row>
    <row r="382" spans="2:28" ht="24" x14ac:dyDescent="0.3">
      <c r="B382" s="2">
        <f>IF(C_Ope_005[[#This Row],[TIPO DE R.]]="R",COUNTIFS($D$4:$D381,"R")+1,"")</f>
        <v>378</v>
      </c>
      <c r="C382" s="19" t="str">
        <f t="shared" si="39"/>
        <v>C_Ope_005</v>
      </c>
      <c r="D382" s="3" t="s">
        <v>1074</v>
      </c>
      <c r="E382" s="14">
        <v>45862</v>
      </c>
      <c r="F382" s="5" t="s">
        <v>7166</v>
      </c>
      <c r="G382" s="5" t="s">
        <v>1079</v>
      </c>
      <c r="H382" s="6" t="s">
        <v>977</v>
      </c>
      <c r="I382" s="6" t="s">
        <v>14</v>
      </c>
      <c r="J382" s="6" t="s">
        <v>7187</v>
      </c>
      <c r="K382" s="6">
        <v>650702</v>
      </c>
      <c r="L382" s="7" t="s">
        <v>7342</v>
      </c>
      <c r="M382" s="8">
        <v>25027</v>
      </c>
      <c r="N382" s="8" t="str">
        <f t="shared" si="40"/>
        <v>PEN</v>
      </c>
      <c r="O382" s="13"/>
      <c r="P382" s="13">
        <v>7.7</v>
      </c>
      <c r="Q382" s="3">
        <f t="shared" si="41"/>
        <v>0</v>
      </c>
      <c r="R382" s="3">
        <f t="shared" si="42"/>
        <v>7.7</v>
      </c>
      <c r="S382" s="3">
        <f t="shared" si="28"/>
        <v>465.89999999999924</v>
      </c>
      <c r="T382" s="24" t="s">
        <v>1081</v>
      </c>
      <c r="U382" s="24"/>
      <c r="V382" s="3"/>
      <c r="W382" s="25" t="s">
        <v>6546</v>
      </c>
      <c r="X382" s="25">
        <v>20517216241</v>
      </c>
      <c r="Y382" s="25" t="str">
        <f>IFERROR(VLOOKUP(C_Ope_005[[#This Row],[NOTA 2]],Clientes_Proveedores[[Ruc / Dni]:[Razon Social]],2,0),"")</f>
        <v>CARRETERA ANDINA DEL SUR S.A.C.</v>
      </c>
      <c r="Z382" s="25" t="s">
        <v>6677</v>
      </c>
      <c r="AA382" s="25"/>
      <c r="AB382" s="3" t="str">
        <f>IF(C_Ope_005[[#This Row],[FECHA]]&gt;0,TEXT(C_Ope_005[[#This Row],[FECHA]],"mmmm"),0)</f>
        <v>Julio</v>
      </c>
    </row>
    <row r="383" spans="2:28" x14ac:dyDescent="0.3">
      <c r="B383" s="2">
        <f>IF(C_Ope_005[[#This Row],[TIPO DE R.]]="R",COUNTIFS($D$4:$D382,"R")+1,"")</f>
        <v>379</v>
      </c>
      <c r="C383" s="19" t="str">
        <f t="shared" si="39"/>
        <v>C_Ope_005</v>
      </c>
      <c r="D383" s="3" t="s">
        <v>1074</v>
      </c>
      <c r="E383" s="14">
        <v>45862</v>
      </c>
      <c r="F383" s="5" t="s">
        <v>7166</v>
      </c>
      <c r="G383" s="5" t="s">
        <v>1079</v>
      </c>
      <c r="H383" s="6" t="s">
        <v>950</v>
      </c>
      <c r="I383" s="6" t="s">
        <v>70</v>
      </c>
      <c r="J383" s="6"/>
      <c r="K383" s="6">
        <v>25030</v>
      </c>
      <c r="L383" s="7" t="s">
        <v>7349</v>
      </c>
      <c r="M383" s="8">
        <v>25030</v>
      </c>
      <c r="N383" s="8" t="str">
        <f t="shared" si="40"/>
        <v>PEN</v>
      </c>
      <c r="O383" s="13"/>
      <c r="P383" s="13">
        <v>15</v>
      </c>
      <c r="Q383" s="3">
        <f t="shared" si="41"/>
        <v>0</v>
      </c>
      <c r="R383" s="3">
        <f t="shared" si="42"/>
        <v>15</v>
      </c>
      <c r="S383" s="3">
        <f t="shared" si="28"/>
        <v>450.89999999999924</v>
      </c>
      <c r="T383" s="24" t="s">
        <v>1081</v>
      </c>
      <c r="U383" s="24"/>
      <c r="V383" s="3"/>
      <c r="W383" s="25" t="s">
        <v>6546</v>
      </c>
      <c r="X383" s="25"/>
      <c r="Y383" s="25" t="str">
        <f>IFERROR(VLOOKUP(C_Ope_005[[#This Row],[NOTA 2]],Clientes_Proveedores[[Ruc / Dni]:[Razon Social]],2,0),"")</f>
        <v/>
      </c>
      <c r="Z383" s="25"/>
      <c r="AA383" s="25"/>
      <c r="AB383" s="3" t="str">
        <f>IF(C_Ope_005[[#This Row],[FECHA]]&gt;0,TEXT(C_Ope_005[[#This Row],[FECHA]],"mmmm"),0)</f>
        <v>Julio</v>
      </c>
    </row>
    <row r="384" spans="2:28" x14ac:dyDescent="0.3">
      <c r="B384" s="2">
        <f>IF(C_Ope_005[[#This Row],[TIPO DE R.]]="R",COUNTIFS($D$4:$D383,"R")+1,"")</f>
        <v>380</v>
      </c>
      <c r="C384" s="19" t="str">
        <f t="shared" si="39"/>
        <v>C_Ope_005</v>
      </c>
      <c r="D384" s="3" t="s">
        <v>1074</v>
      </c>
      <c r="E384" s="14">
        <v>45862</v>
      </c>
      <c r="F384" s="5" t="s">
        <v>7166</v>
      </c>
      <c r="G384" s="5" t="s">
        <v>1079</v>
      </c>
      <c r="H384" s="6" t="s">
        <v>950</v>
      </c>
      <c r="I384" s="6" t="s">
        <v>70</v>
      </c>
      <c r="J384" s="6"/>
      <c r="K384" s="6">
        <v>25031</v>
      </c>
      <c r="L384" s="7" t="s">
        <v>7350</v>
      </c>
      <c r="M384" s="8">
        <v>25031</v>
      </c>
      <c r="N384" s="8" t="str">
        <f t="shared" si="40"/>
        <v>PEN</v>
      </c>
      <c r="O384" s="13"/>
      <c r="P384" s="13">
        <v>24</v>
      </c>
      <c r="Q384" s="3">
        <f t="shared" si="41"/>
        <v>0</v>
      </c>
      <c r="R384" s="3">
        <f t="shared" si="42"/>
        <v>24</v>
      </c>
      <c r="S384" s="3">
        <f t="shared" si="28"/>
        <v>426.89999999999924</v>
      </c>
      <c r="T384" s="24" t="s">
        <v>1081</v>
      </c>
      <c r="U384" s="24"/>
      <c r="V384" s="3"/>
      <c r="W384" s="25" t="s">
        <v>6546</v>
      </c>
      <c r="X384" s="25"/>
      <c r="Y384" s="25" t="str">
        <f>IFERROR(VLOOKUP(C_Ope_005[[#This Row],[NOTA 2]],Clientes_Proveedores[[Ruc / Dni]:[Razon Social]],2,0),"")</f>
        <v/>
      </c>
      <c r="Z384" s="25"/>
      <c r="AA384" s="25"/>
      <c r="AB384" s="3" t="str">
        <f>IF(C_Ope_005[[#This Row],[FECHA]]&gt;0,TEXT(C_Ope_005[[#This Row],[FECHA]],"mmmm"),0)</f>
        <v>Julio</v>
      </c>
    </row>
    <row r="385" spans="2:28" x14ac:dyDescent="0.3">
      <c r="B385" s="2">
        <f>IF(C_Ope_005[[#This Row],[TIPO DE R.]]="R",COUNTIFS($D$4:$D384,"R")+1,"")</f>
        <v>381</v>
      </c>
      <c r="C385" s="19" t="str">
        <f t="shared" si="39"/>
        <v>C_Ope_005</v>
      </c>
      <c r="D385" s="3" t="s">
        <v>1074</v>
      </c>
      <c r="E385" s="14">
        <v>45862</v>
      </c>
      <c r="F385" s="5" t="s">
        <v>7166</v>
      </c>
      <c r="G385" s="5" t="s">
        <v>1079</v>
      </c>
      <c r="H385" s="6" t="s">
        <v>950</v>
      </c>
      <c r="I385" s="6" t="s">
        <v>70</v>
      </c>
      <c r="J385" s="6"/>
      <c r="K385" s="6">
        <v>25032</v>
      </c>
      <c r="L385" s="7" t="s">
        <v>7345</v>
      </c>
      <c r="M385" s="8">
        <v>25032</v>
      </c>
      <c r="N385" s="8" t="str">
        <f t="shared" si="40"/>
        <v>PEN</v>
      </c>
      <c r="O385" s="13"/>
      <c r="P385" s="13">
        <v>30</v>
      </c>
      <c r="Q385" s="3">
        <f t="shared" si="41"/>
        <v>0</v>
      </c>
      <c r="R385" s="3">
        <f t="shared" si="42"/>
        <v>30</v>
      </c>
      <c r="S385" s="3">
        <f t="shared" si="28"/>
        <v>396.89999999999924</v>
      </c>
      <c r="T385" s="24" t="s">
        <v>1081</v>
      </c>
      <c r="U385" s="24"/>
      <c r="V385" s="3"/>
      <c r="W385" s="25" t="s">
        <v>6546</v>
      </c>
      <c r="X385" s="25"/>
      <c r="Y385" s="25" t="str">
        <f>IFERROR(VLOOKUP(C_Ope_005[[#This Row],[NOTA 2]],Clientes_Proveedores[[Ruc / Dni]:[Razon Social]],2,0),"")</f>
        <v/>
      </c>
      <c r="Z385" s="25"/>
      <c r="AA385" s="25"/>
      <c r="AB385" s="3" t="str">
        <f>IF(C_Ope_005[[#This Row],[FECHA]]&gt;0,TEXT(C_Ope_005[[#This Row],[FECHA]],"mmmm"),0)</f>
        <v>Julio</v>
      </c>
    </row>
    <row r="386" spans="2:28" x14ac:dyDescent="0.3">
      <c r="B386" s="2">
        <f>IF(C_Ope_005[[#This Row],[TIPO DE R.]]="R",COUNTIFS($D$4:$D385,"R")+1,"")</f>
        <v>382</v>
      </c>
      <c r="C386" s="19" t="str">
        <f t="shared" si="39"/>
        <v>C_Ope_005</v>
      </c>
      <c r="D386" s="3" t="s">
        <v>1074</v>
      </c>
      <c r="E386" s="14">
        <v>45862</v>
      </c>
      <c r="F386" s="5" t="s">
        <v>7166</v>
      </c>
      <c r="G386" s="5" t="s">
        <v>1079</v>
      </c>
      <c r="H386" s="6" t="s">
        <v>950</v>
      </c>
      <c r="I386" s="6" t="s">
        <v>70</v>
      </c>
      <c r="J386" s="6"/>
      <c r="K386" s="6">
        <v>25033</v>
      </c>
      <c r="L386" s="7" t="s">
        <v>7351</v>
      </c>
      <c r="M386" s="8">
        <v>25033</v>
      </c>
      <c r="N386" s="8" t="str">
        <f t="shared" si="40"/>
        <v>PEN</v>
      </c>
      <c r="O386" s="13"/>
      <c r="P386" s="13">
        <v>24</v>
      </c>
      <c r="Q386" s="3">
        <f t="shared" si="41"/>
        <v>0</v>
      </c>
      <c r="R386" s="3">
        <f t="shared" si="42"/>
        <v>24</v>
      </c>
      <c r="S386" s="3">
        <f t="shared" si="28"/>
        <v>372.89999999999924</v>
      </c>
      <c r="T386" s="24" t="s">
        <v>1081</v>
      </c>
      <c r="U386" s="24"/>
      <c r="V386" s="3"/>
      <c r="W386" s="25" t="s">
        <v>6546</v>
      </c>
      <c r="X386" s="25"/>
      <c r="Y386" s="25" t="str">
        <f>IFERROR(VLOOKUP(C_Ope_005[[#This Row],[NOTA 2]],Clientes_Proveedores[[Ruc / Dni]:[Razon Social]],2,0),"")</f>
        <v/>
      </c>
      <c r="Z386" s="25"/>
      <c r="AA386" s="25"/>
      <c r="AB386" s="3" t="str">
        <f>IF(C_Ope_005[[#This Row],[FECHA]]&gt;0,TEXT(C_Ope_005[[#This Row],[FECHA]],"mmmm"),0)</f>
        <v>Julio</v>
      </c>
    </row>
    <row r="387" spans="2:28" ht="24" x14ac:dyDescent="0.3">
      <c r="B387" s="2">
        <f>IF(C_Ope_005[[#This Row],[TIPO DE R.]]="R",COUNTIFS($D$4:$D386,"R")+1,"")</f>
        <v>383</v>
      </c>
      <c r="C387" s="19" t="str">
        <f>"C_Ope_005"</f>
        <v>C_Ope_005</v>
      </c>
      <c r="D387" s="3" t="s">
        <v>1074</v>
      </c>
      <c r="E387" s="14">
        <v>45862</v>
      </c>
      <c r="F387" s="5" t="s">
        <v>7166</v>
      </c>
      <c r="G387" s="5" t="s">
        <v>1079</v>
      </c>
      <c r="H387" s="6" t="s">
        <v>1004</v>
      </c>
      <c r="I387" s="6" t="s">
        <v>14</v>
      </c>
      <c r="J387" s="6" t="s">
        <v>1119</v>
      </c>
      <c r="K387" s="6">
        <v>46930</v>
      </c>
      <c r="L387" s="7" t="s">
        <v>7912</v>
      </c>
      <c r="M387" s="8">
        <v>25028</v>
      </c>
      <c r="N387" s="8" t="str">
        <f>"PEN"</f>
        <v>PEN</v>
      </c>
      <c r="O387" s="13"/>
      <c r="P387" s="13">
        <v>150</v>
      </c>
      <c r="Q387" s="3">
        <f>+IF(OR($G387="SALDO",$G387="INGRESO"),$P387,0)</f>
        <v>0</v>
      </c>
      <c r="R387" s="3">
        <f>+IF($G387="EGRESO",$P387,0)</f>
        <v>150</v>
      </c>
      <c r="S387" s="3">
        <f t="shared" si="28"/>
        <v>222.89999999999924</v>
      </c>
      <c r="T387" s="24" t="s">
        <v>1081</v>
      </c>
      <c r="U387" s="24"/>
      <c r="V387" s="3"/>
      <c r="W387" s="25" t="s">
        <v>6546</v>
      </c>
      <c r="X387" s="25">
        <v>20485592556</v>
      </c>
      <c r="Y387" s="25" t="str">
        <f>IFERROR(VLOOKUP(C_Ope_005[[#This Row],[NOTA 2]],Clientes_Proveedores[[Ruc / Dni]:[Razon Social]],2,0),"")</f>
        <v>SERVICENTRO SANTA MARTHA E.I.R.LTDA.</v>
      </c>
      <c r="Z387" s="25" t="s">
        <v>3268</v>
      </c>
      <c r="AA387" s="25"/>
      <c r="AB387" s="3" t="str">
        <f>IF(C_Ope_005[[#This Row],[FECHA]]&gt;0,TEXT(C_Ope_005[[#This Row],[FECHA]],"mmmm"),0)</f>
        <v>Julio</v>
      </c>
    </row>
    <row r="388" spans="2:28" ht="24" x14ac:dyDescent="0.3">
      <c r="B388" s="2">
        <f>IF(C_Ope_005[[#This Row],[TIPO DE R.]]="R",COUNTIFS($D$4:$D387,"R")+1,"")</f>
        <v>384</v>
      </c>
      <c r="C388" s="19" t="str">
        <f t="shared" si="39"/>
        <v>C_Ope_005</v>
      </c>
      <c r="D388" s="3" t="s">
        <v>1074</v>
      </c>
      <c r="E388" s="14">
        <v>45863</v>
      </c>
      <c r="F388" s="5" t="s">
        <v>7166</v>
      </c>
      <c r="G388" s="5" t="s">
        <v>1079</v>
      </c>
      <c r="H388" s="6" t="s">
        <v>919</v>
      </c>
      <c r="I388" s="6" t="s">
        <v>14</v>
      </c>
      <c r="J388" s="6" t="s">
        <v>7188</v>
      </c>
      <c r="K388" s="6">
        <v>1897259</v>
      </c>
      <c r="L388" s="7" t="s">
        <v>7338</v>
      </c>
      <c r="M388" s="8">
        <v>25036</v>
      </c>
      <c r="N388" s="8" t="str">
        <f t="shared" si="40"/>
        <v>PEN</v>
      </c>
      <c r="O388" s="13"/>
      <c r="P388" s="13">
        <v>7.7</v>
      </c>
      <c r="Q388" s="3">
        <f t="shared" si="41"/>
        <v>0</v>
      </c>
      <c r="R388" s="3">
        <f t="shared" si="42"/>
        <v>7.7</v>
      </c>
      <c r="S388" s="3">
        <f t="shared" si="28"/>
        <v>215.19999999999925</v>
      </c>
      <c r="T388" s="24" t="s">
        <v>1081</v>
      </c>
      <c r="U388" s="24"/>
      <c r="V388" s="3"/>
      <c r="W388" s="25" t="s">
        <v>6546</v>
      </c>
      <c r="X388" s="25">
        <v>20517252558</v>
      </c>
      <c r="Y388" s="25" t="str">
        <f>IFERROR(VLOOKUP(C_Ope_005[[#This Row],[NOTA 2]],Clientes_Proveedores[[Ruc / Dni]:[Razon Social]],2,0),"")</f>
        <v>COVISUR S.A.</v>
      </c>
      <c r="Z388" s="25" t="s">
        <v>6677</v>
      </c>
      <c r="AA388" s="25"/>
      <c r="AB388" s="3" t="str">
        <f>IF(C_Ope_005[[#This Row],[FECHA]]&gt;0,TEXT(C_Ope_005[[#This Row],[FECHA]],"mmmm"),0)</f>
        <v>Julio</v>
      </c>
    </row>
    <row r="389" spans="2:28" x14ac:dyDescent="0.3">
      <c r="B389" s="2">
        <f>IF(C_Ope_005[[#This Row],[TIPO DE R.]]="R",COUNTIFS($D$4:$D388,"R")+1,"")</f>
        <v>385</v>
      </c>
      <c r="C389" s="19" t="str">
        <f t="shared" si="39"/>
        <v>C_Ope_005</v>
      </c>
      <c r="D389" s="3" t="s">
        <v>1074</v>
      </c>
      <c r="E389" s="14">
        <v>45863</v>
      </c>
      <c r="F389" s="5" t="s">
        <v>7166</v>
      </c>
      <c r="G389" s="5" t="s">
        <v>1079</v>
      </c>
      <c r="H389" s="6" t="s">
        <v>950</v>
      </c>
      <c r="I389" s="6" t="s">
        <v>70</v>
      </c>
      <c r="J389" s="6"/>
      <c r="K389" s="6">
        <v>25029</v>
      </c>
      <c r="L389" s="7" t="s">
        <v>7352</v>
      </c>
      <c r="M389" s="8">
        <v>25029</v>
      </c>
      <c r="N389" s="8" t="str">
        <f t="shared" si="40"/>
        <v>PEN</v>
      </c>
      <c r="O389" s="13"/>
      <c r="P389" s="13">
        <v>100</v>
      </c>
      <c r="Q389" s="3">
        <f t="shared" si="41"/>
        <v>0</v>
      </c>
      <c r="R389" s="3">
        <f t="shared" si="42"/>
        <v>100</v>
      </c>
      <c r="S389" s="3">
        <f t="shared" ref="S389:S443" si="43">IFERROR(IF(G389="SALDO",Q389,S388+Q389-R389),0)</f>
        <v>115.19999999999925</v>
      </c>
      <c r="T389" s="24" t="s">
        <v>1081</v>
      </c>
      <c r="U389" s="24"/>
      <c r="V389" s="3"/>
      <c r="W389" s="25" t="s">
        <v>6546</v>
      </c>
      <c r="X389" s="25"/>
      <c r="Y389" s="25" t="str">
        <f>IFERROR(VLOOKUP(C_Ope_005[[#This Row],[NOTA 2]],Clientes_Proveedores[[Ruc / Dni]:[Razon Social]],2,0),"")</f>
        <v/>
      </c>
      <c r="Z389" s="25"/>
      <c r="AA389" s="25"/>
      <c r="AB389" s="3" t="str">
        <f>IF(C_Ope_005[[#This Row],[FECHA]]&gt;0,TEXT(C_Ope_005[[#This Row],[FECHA]],"mmmm"),0)</f>
        <v>Julio</v>
      </c>
    </row>
    <row r="390" spans="2:28" x14ac:dyDescent="0.3">
      <c r="B390" s="2">
        <f>IF(C_Ope_005[[#This Row],[TIPO DE R.]]="R",COUNTIFS($D$4:$D389,"R")+1,"")</f>
        <v>386</v>
      </c>
      <c r="C390" s="19" t="str">
        <f t="shared" si="39"/>
        <v>C_Ope_005</v>
      </c>
      <c r="D390" s="3" t="s">
        <v>1074</v>
      </c>
      <c r="E390" s="14">
        <v>45863</v>
      </c>
      <c r="F390" s="5" t="s">
        <v>7166</v>
      </c>
      <c r="G390" s="5" t="s">
        <v>1079</v>
      </c>
      <c r="H390" s="6" t="s">
        <v>950</v>
      </c>
      <c r="I390" s="6" t="s">
        <v>70</v>
      </c>
      <c r="J390" s="6"/>
      <c r="K390" s="6">
        <v>25034</v>
      </c>
      <c r="L390" s="7" t="s">
        <v>7350</v>
      </c>
      <c r="M390" s="8">
        <v>25034</v>
      </c>
      <c r="N390" s="8" t="str">
        <f t="shared" si="40"/>
        <v>PEN</v>
      </c>
      <c r="O390" s="13"/>
      <c r="P390" s="13">
        <v>24</v>
      </c>
      <c r="Q390" s="3">
        <f t="shared" si="41"/>
        <v>0</v>
      </c>
      <c r="R390" s="3">
        <f t="shared" si="42"/>
        <v>24</v>
      </c>
      <c r="S390" s="3">
        <f t="shared" si="43"/>
        <v>91.19999999999925</v>
      </c>
      <c r="T390" s="24" t="s">
        <v>1081</v>
      </c>
      <c r="U390" s="24"/>
      <c r="V390" s="3"/>
      <c r="W390" s="25" t="s">
        <v>6546</v>
      </c>
      <c r="X390" s="25"/>
      <c r="Y390" s="25" t="str">
        <f>IFERROR(VLOOKUP(C_Ope_005[[#This Row],[NOTA 2]],Clientes_Proveedores[[Ruc / Dni]:[Razon Social]],2,0),"")</f>
        <v/>
      </c>
      <c r="Z390" s="25"/>
      <c r="AA390" s="25"/>
      <c r="AB390" s="3" t="str">
        <f>IF(C_Ope_005[[#This Row],[FECHA]]&gt;0,TEXT(C_Ope_005[[#This Row],[FECHA]],"mmmm"),0)</f>
        <v>Julio</v>
      </c>
    </row>
    <row r="391" spans="2:28" x14ac:dyDescent="0.3">
      <c r="B391" s="2">
        <f>IF(C_Ope_005[[#This Row],[TIPO DE R.]]="R",COUNTIFS($D$4:$D390,"R")+1,"")</f>
        <v>387</v>
      </c>
      <c r="C391" s="19" t="str">
        <f t="shared" si="39"/>
        <v>C_Ope_005</v>
      </c>
      <c r="D391" s="3" t="s">
        <v>1074</v>
      </c>
      <c r="E391" s="14">
        <v>45863</v>
      </c>
      <c r="F391" s="5" t="s">
        <v>7166</v>
      </c>
      <c r="G391" s="5" t="s">
        <v>1079</v>
      </c>
      <c r="H391" s="6" t="s">
        <v>950</v>
      </c>
      <c r="I391" s="6" t="s">
        <v>70</v>
      </c>
      <c r="J391" s="6"/>
      <c r="K391" s="6">
        <v>25035</v>
      </c>
      <c r="L391" s="7" t="s">
        <v>7353</v>
      </c>
      <c r="M391" s="8">
        <v>25035</v>
      </c>
      <c r="N391" s="8" t="str">
        <f t="shared" si="40"/>
        <v>PEN</v>
      </c>
      <c r="O391" s="13"/>
      <c r="P391" s="13">
        <v>30</v>
      </c>
      <c r="Q391" s="3">
        <f t="shared" si="41"/>
        <v>0</v>
      </c>
      <c r="R391" s="3">
        <f t="shared" si="42"/>
        <v>30</v>
      </c>
      <c r="S391" s="3">
        <f t="shared" si="43"/>
        <v>61.19999999999925</v>
      </c>
      <c r="T391" s="24" t="s">
        <v>1081</v>
      </c>
      <c r="U391" s="24"/>
      <c r="V391" s="3"/>
      <c r="W391" s="25" t="s">
        <v>6546</v>
      </c>
      <c r="X391" s="25"/>
      <c r="Y391" s="25" t="str">
        <f>IFERROR(VLOOKUP(C_Ope_005[[#This Row],[NOTA 2]],Clientes_Proveedores[[Ruc / Dni]:[Razon Social]],2,0),"")</f>
        <v/>
      </c>
      <c r="Z391" s="25"/>
      <c r="AA391" s="25"/>
      <c r="AB391" s="3" t="str">
        <f>IF(C_Ope_005[[#This Row],[FECHA]]&gt;0,TEXT(C_Ope_005[[#This Row],[FECHA]],"mmmm"),0)</f>
        <v>Julio</v>
      </c>
    </row>
    <row r="392" spans="2:28" x14ac:dyDescent="0.3">
      <c r="B392" s="2">
        <f>IF(C_Ope_005[[#This Row],[TIPO DE R.]]="R",COUNTIFS($D$4:$D391,"R")+1,"")</f>
        <v>388</v>
      </c>
      <c r="C392" s="19" t="str">
        <f t="shared" si="39"/>
        <v>C_Ope_005</v>
      </c>
      <c r="D392" s="3" t="s">
        <v>1074</v>
      </c>
      <c r="E392" s="14">
        <v>45868</v>
      </c>
      <c r="F392" s="5" t="s">
        <v>6298</v>
      </c>
      <c r="G392" s="5" t="s">
        <v>1087</v>
      </c>
      <c r="H392" s="6"/>
      <c r="I392" s="6"/>
      <c r="J392" s="6"/>
      <c r="K392" s="6"/>
      <c r="L392" s="7" t="s">
        <v>7113</v>
      </c>
      <c r="M392" s="8">
        <v>25051</v>
      </c>
      <c r="N392" s="8" t="str">
        <f t="shared" si="40"/>
        <v>PEN</v>
      </c>
      <c r="O392" s="13"/>
      <c r="P392" s="13">
        <v>200</v>
      </c>
      <c r="Q392" s="3">
        <f t="shared" si="41"/>
        <v>200</v>
      </c>
      <c r="R392" s="3">
        <f t="shared" si="42"/>
        <v>0</v>
      </c>
      <c r="S392" s="3">
        <f t="shared" si="43"/>
        <v>261.19999999999925</v>
      </c>
      <c r="T392" s="24"/>
      <c r="U392" s="24"/>
      <c r="V392" s="3"/>
      <c r="W392" s="25"/>
      <c r="X392" s="25"/>
      <c r="Y392" s="25" t="str">
        <f>IFERROR(VLOOKUP(C_Ope_005[[#This Row],[NOTA 2]],Clientes_Proveedores[[Ruc / Dni]:[Razon Social]],2,0),"")</f>
        <v/>
      </c>
      <c r="Z392" s="25"/>
      <c r="AA392" s="25">
        <f>ROUND(C_Ope_005[[#This Row],[MONTO ]]/1.18,3)</f>
        <v>169.49199999999999</v>
      </c>
      <c r="AB392" s="3" t="str">
        <f>IF(C_Ope_005[[#This Row],[FECHA]]&gt;0,TEXT(C_Ope_005[[#This Row],[FECHA]],"mmmm"),0)</f>
        <v>Julio</v>
      </c>
    </row>
    <row r="393" spans="2:28" ht="24" x14ac:dyDescent="0.3">
      <c r="B393" s="2">
        <f>IF(C_Ope_005[[#This Row],[TIPO DE R.]]="R",COUNTIFS($D$4:$D392,"R")+1,"")</f>
        <v>389</v>
      </c>
      <c r="C393" s="19" t="str">
        <f t="shared" si="39"/>
        <v>C_Ope_005</v>
      </c>
      <c r="D393" s="3" t="s">
        <v>1074</v>
      </c>
      <c r="E393" s="14">
        <v>45868</v>
      </c>
      <c r="F393" s="5" t="s">
        <v>7166</v>
      </c>
      <c r="G393" s="5" t="s">
        <v>1079</v>
      </c>
      <c r="H393" s="6" t="s">
        <v>919</v>
      </c>
      <c r="I393" s="6" t="s">
        <v>14</v>
      </c>
      <c r="J393" s="6" t="s">
        <v>5244</v>
      </c>
      <c r="K393" s="6">
        <v>1797918</v>
      </c>
      <c r="L393" s="7" t="s">
        <v>7354</v>
      </c>
      <c r="M393" s="8">
        <v>25053</v>
      </c>
      <c r="N393" s="8" t="str">
        <f t="shared" si="40"/>
        <v>PEN</v>
      </c>
      <c r="O393" s="13"/>
      <c r="P393" s="13">
        <v>8</v>
      </c>
      <c r="Q393" s="3">
        <f t="shared" si="41"/>
        <v>0</v>
      </c>
      <c r="R393" s="3">
        <f t="shared" si="42"/>
        <v>8</v>
      </c>
      <c r="S393" s="3">
        <f t="shared" si="43"/>
        <v>253.19999999999925</v>
      </c>
      <c r="T393" s="24" t="s">
        <v>1081</v>
      </c>
      <c r="U393" s="24"/>
      <c r="V393" s="3"/>
      <c r="W393" s="25" t="s">
        <v>6546</v>
      </c>
      <c r="X393" s="25">
        <v>20517252558</v>
      </c>
      <c r="Y393" s="25" t="str">
        <f>IFERROR(VLOOKUP(C_Ope_005[[#This Row],[NOTA 2]],Clientes_Proveedores[[Ruc / Dni]:[Razon Social]],2,0),"")</f>
        <v>COVISUR S.A.</v>
      </c>
      <c r="Z393" s="25" t="s">
        <v>6677</v>
      </c>
      <c r="AA393" s="25"/>
      <c r="AB393" s="3" t="str">
        <f>IF(C_Ope_005[[#This Row],[FECHA]]&gt;0,TEXT(C_Ope_005[[#This Row],[FECHA]],"mmmm"),0)</f>
        <v>Julio</v>
      </c>
    </row>
    <row r="394" spans="2:28" ht="24" x14ac:dyDescent="0.3">
      <c r="B394" s="2">
        <f>IF(C_Ope_005[[#This Row],[TIPO DE R.]]="R",COUNTIFS($D$4:$D393,"R")+1,"")</f>
        <v>390</v>
      </c>
      <c r="C394" s="19" t="str">
        <f t="shared" si="39"/>
        <v>C_Ope_005</v>
      </c>
      <c r="D394" s="3" t="s">
        <v>1074</v>
      </c>
      <c r="E394" s="14">
        <v>45868</v>
      </c>
      <c r="F394" s="5" t="s">
        <v>7166</v>
      </c>
      <c r="G394" s="5" t="s">
        <v>1079</v>
      </c>
      <c r="H394" s="6" t="s">
        <v>919</v>
      </c>
      <c r="I394" s="6" t="s">
        <v>14</v>
      </c>
      <c r="J394" s="6" t="s">
        <v>5245</v>
      </c>
      <c r="K394" s="6">
        <v>1818299</v>
      </c>
      <c r="L394" s="7" t="s">
        <v>7354</v>
      </c>
      <c r="M394" s="8">
        <v>25054</v>
      </c>
      <c r="N394" s="8" t="str">
        <f t="shared" si="40"/>
        <v>PEN</v>
      </c>
      <c r="O394" s="13"/>
      <c r="P394" s="13">
        <v>8</v>
      </c>
      <c r="Q394" s="3">
        <f t="shared" si="41"/>
        <v>0</v>
      </c>
      <c r="R394" s="3">
        <f t="shared" si="42"/>
        <v>8</v>
      </c>
      <c r="S394" s="3">
        <f t="shared" si="43"/>
        <v>245.19999999999925</v>
      </c>
      <c r="T394" s="24" t="s">
        <v>1081</v>
      </c>
      <c r="U394" s="24"/>
      <c r="V394" s="3"/>
      <c r="W394" s="25" t="s">
        <v>6546</v>
      </c>
      <c r="X394" s="25">
        <v>20517252558</v>
      </c>
      <c r="Y394" s="25" t="str">
        <f>IFERROR(VLOOKUP(C_Ope_005[[#This Row],[NOTA 2]],Clientes_Proveedores[[Ruc / Dni]:[Razon Social]],2,0),"")</f>
        <v>COVISUR S.A.</v>
      </c>
      <c r="Z394" s="25" t="s">
        <v>6677</v>
      </c>
      <c r="AA394" s="25"/>
      <c r="AB394" s="3" t="str">
        <f>IF(C_Ope_005[[#This Row],[FECHA]]&gt;0,TEXT(C_Ope_005[[#This Row],[FECHA]],"mmmm"),0)</f>
        <v>Julio</v>
      </c>
    </row>
    <row r="395" spans="2:28" ht="36" x14ac:dyDescent="0.3">
      <c r="B395" s="2">
        <f>IF(C_Ope_005[[#This Row],[TIPO DE R.]]="R",COUNTIFS($D$4:$D394,"R")+1,"")</f>
        <v>391</v>
      </c>
      <c r="C395" s="19" t="str">
        <f t="shared" si="39"/>
        <v>C_Ope_005</v>
      </c>
      <c r="D395" s="3" t="s">
        <v>1074</v>
      </c>
      <c r="E395" s="14">
        <v>45869</v>
      </c>
      <c r="F395" s="5" t="s">
        <v>7166</v>
      </c>
      <c r="G395" s="5" t="s">
        <v>1079</v>
      </c>
      <c r="H395" s="6" t="s">
        <v>624</v>
      </c>
      <c r="I395" s="6" t="s">
        <v>14</v>
      </c>
      <c r="J395" s="6" t="s">
        <v>1088</v>
      </c>
      <c r="K395" s="6">
        <v>35252</v>
      </c>
      <c r="L395" s="7" t="s">
        <v>7355</v>
      </c>
      <c r="M395" s="8">
        <v>25055</v>
      </c>
      <c r="N395" s="8" t="str">
        <f t="shared" si="40"/>
        <v>PEN</v>
      </c>
      <c r="O395" s="13"/>
      <c r="P395" s="13">
        <v>10</v>
      </c>
      <c r="Q395" s="3">
        <f t="shared" si="41"/>
        <v>0</v>
      </c>
      <c r="R395" s="3">
        <f t="shared" si="42"/>
        <v>10</v>
      </c>
      <c r="S395" s="3">
        <f t="shared" si="43"/>
        <v>235.19999999999925</v>
      </c>
      <c r="T395" s="24" t="s">
        <v>1081</v>
      </c>
      <c r="U395" s="24"/>
      <c r="V395" s="3"/>
      <c r="W395" s="25" t="s">
        <v>6546</v>
      </c>
      <c r="X395" s="25">
        <v>20259858934</v>
      </c>
      <c r="Y395" s="25" t="str">
        <f>IFERROR(VLOOKUP(C_Ope_005[[#This Row],[NOTA 2]],Clientes_Proveedores[[Ruc / Dni]:[Razon Social]],2,0),"")</f>
        <v>COMERCIALIZACION Y SERVICIOS EL EDEN S.A.C.</v>
      </c>
      <c r="Z395" s="25" t="s">
        <v>4972</v>
      </c>
      <c r="AA395" s="25"/>
      <c r="AB395" s="3" t="str">
        <f>IF(C_Ope_005[[#This Row],[FECHA]]&gt;0,TEXT(C_Ope_005[[#This Row],[FECHA]],"mmmm"),0)</f>
        <v>Julio</v>
      </c>
    </row>
    <row r="396" spans="2:28" ht="36" x14ac:dyDescent="0.3">
      <c r="B396" s="2">
        <f>IF(C_Ope_005[[#This Row],[TIPO DE R.]]="R",COUNTIFS($D$4:$D395,"R")+1,"")</f>
        <v>392</v>
      </c>
      <c r="C396" s="19" t="str">
        <f t="shared" si="39"/>
        <v>C_Ope_005</v>
      </c>
      <c r="D396" s="3" t="s">
        <v>1074</v>
      </c>
      <c r="E396" s="14">
        <v>45869</v>
      </c>
      <c r="F396" s="5" t="s">
        <v>7166</v>
      </c>
      <c r="G396" s="5" t="s">
        <v>1079</v>
      </c>
      <c r="H396" s="6" t="s">
        <v>624</v>
      </c>
      <c r="I396" s="6" t="s">
        <v>14</v>
      </c>
      <c r="J396" s="6" t="s">
        <v>1088</v>
      </c>
      <c r="K396" s="6">
        <v>35254</v>
      </c>
      <c r="L396" s="7" t="s">
        <v>7356</v>
      </c>
      <c r="M396" s="8">
        <v>25056</v>
      </c>
      <c r="N396" s="8" t="str">
        <f t="shared" si="40"/>
        <v>PEN</v>
      </c>
      <c r="O396" s="13"/>
      <c r="P396" s="13">
        <v>10</v>
      </c>
      <c r="Q396" s="3">
        <f t="shared" si="41"/>
        <v>0</v>
      </c>
      <c r="R396" s="3">
        <f t="shared" si="42"/>
        <v>10</v>
      </c>
      <c r="S396" s="3">
        <f t="shared" si="43"/>
        <v>225.19999999999925</v>
      </c>
      <c r="T396" s="24" t="s">
        <v>1081</v>
      </c>
      <c r="U396" s="24"/>
      <c r="V396" s="3"/>
      <c r="W396" s="25" t="s">
        <v>6546</v>
      </c>
      <c r="X396" s="25">
        <v>20259858934</v>
      </c>
      <c r="Y396" s="25" t="str">
        <f>IFERROR(VLOOKUP(C_Ope_005[[#This Row],[NOTA 2]],Clientes_Proveedores[[Ruc / Dni]:[Razon Social]],2,0),"")</f>
        <v>COMERCIALIZACION Y SERVICIOS EL EDEN S.A.C.</v>
      </c>
      <c r="Z396" s="25" t="s">
        <v>4972</v>
      </c>
      <c r="AA396" s="25"/>
      <c r="AB396" s="3" t="str">
        <f>IF(C_Ope_005[[#This Row],[FECHA]]&gt;0,TEXT(C_Ope_005[[#This Row],[FECHA]],"mmmm"),0)</f>
        <v>Julio</v>
      </c>
    </row>
    <row r="397" spans="2:28" ht="24" x14ac:dyDescent="0.3">
      <c r="B397" s="2">
        <f>IF(C_Ope_005[[#This Row],[TIPO DE R.]]="R",COUNTIFS($D$4:$D396,"R")+1,"")</f>
        <v>393</v>
      </c>
      <c r="C397" s="19" t="str">
        <f t="shared" si="39"/>
        <v>C_Ope_005</v>
      </c>
      <c r="D397" s="3" t="s">
        <v>1074</v>
      </c>
      <c r="E397" s="14">
        <v>45869</v>
      </c>
      <c r="F397" s="5" t="s">
        <v>7166</v>
      </c>
      <c r="G397" s="5" t="s">
        <v>1079</v>
      </c>
      <c r="H397" s="6" t="s">
        <v>940</v>
      </c>
      <c r="I397" s="6" t="s">
        <v>14</v>
      </c>
      <c r="J397" s="6" t="s">
        <v>1119</v>
      </c>
      <c r="K397" s="6">
        <v>18989</v>
      </c>
      <c r="L397" s="7" t="s">
        <v>7272</v>
      </c>
      <c r="M397" s="8">
        <v>25057</v>
      </c>
      <c r="N397" s="8" t="str">
        <f t="shared" si="40"/>
        <v>PEN</v>
      </c>
      <c r="O397" s="13"/>
      <c r="P397" s="13">
        <v>25</v>
      </c>
      <c r="Q397" s="3">
        <f t="shared" si="41"/>
        <v>0</v>
      </c>
      <c r="R397" s="3">
        <f t="shared" si="42"/>
        <v>25</v>
      </c>
      <c r="S397" s="3">
        <f t="shared" si="43"/>
        <v>200.19999999999925</v>
      </c>
      <c r="T397" s="24" t="s">
        <v>1081</v>
      </c>
      <c r="U397" s="24"/>
      <c r="V397" s="3"/>
      <c r="W397" s="25" t="s">
        <v>6546</v>
      </c>
      <c r="X397" s="25">
        <v>10705628331</v>
      </c>
      <c r="Y397" s="25" t="str">
        <f>IFERROR(VLOOKUP(C_Ope_005[[#This Row],[NOTA 2]],Clientes_Proveedores[[Ruc / Dni]:[Razon Social]],2,0),"")</f>
        <v>LARICO APAZA NANCY ROSSMARY</v>
      </c>
      <c r="Z397" s="25" t="s">
        <v>6727</v>
      </c>
      <c r="AA397" s="25"/>
      <c r="AB397" s="3" t="str">
        <f>IF(C_Ope_005[[#This Row],[FECHA]]&gt;0,TEXT(C_Ope_005[[#This Row],[FECHA]],"mmmm"),0)</f>
        <v>Julio</v>
      </c>
    </row>
    <row r="398" spans="2:28" ht="24" x14ac:dyDescent="0.3">
      <c r="B398" s="2">
        <f>IF(C_Ope_005[[#This Row],[TIPO DE R.]]="R",COUNTIFS($D$4:$D397,"R")+1,"")</f>
        <v>394</v>
      </c>
      <c r="C398" s="19" t="str">
        <f t="shared" si="39"/>
        <v>C_Ope_005</v>
      </c>
      <c r="D398" s="3" t="s">
        <v>1074</v>
      </c>
      <c r="E398" s="14">
        <v>45870</v>
      </c>
      <c r="F398" s="5" t="s">
        <v>7166</v>
      </c>
      <c r="G398" s="5" t="s">
        <v>1079</v>
      </c>
      <c r="H398" s="6" t="s">
        <v>919</v>
      </c>
      <c r="I398" s="6" t="s">
        <v>14</v>
      </c>
      <c r="J398" s="6" t="s">
        <v>5245</v>
      </c>
      <c r="K398" s="6">
        <v>1820298</v>
      </c>
      <c r="L398" s="7" t="s">
        <v>7357</v>
      </c>
      <c r="M398" s="8">
        <v>25058</v>
      </c>
      <c r="N398" s="8" t="str">
        <f t="shared" si="40"/>
        <v>PEN</v>
      </c>
      <c r="O398" s="13"/>
      <c r="P398" s="13">
        <v>8</v>
      </c>
      <c r="Q398" s="3">
        <f t="shared" si="41"/>
        <v>0</v>
      </c>
      <c r="R398" s="3">
        <f t="shared" si="42"/>
        <v>8</v>
      </c>
      <c r="S398" s="3">
        <f t="shared" si="43"/>
        <v>192.19999999999925</v>
      </c>
      <c r="T398" s="24" t="s">
        <v>1081</v>
      </c>
      <c r="U398" s="24"/>
      <c r="V398" s="3"/>
      <c r="W398" s="25" t="s">
        <v>6541</v>
      </c>
      <c r="X398" s="25">
        <v>20517252558</v>
      </c>
      <c r="Y398" s="25" t="str">
        <f>IFERROR(VLOOKUP(C_Ope_005[[#This Row],[NOTA 2]],Clientes_Proveedores[[Ruc / Dni]:[Razon Social]],2,0),"")</f>
        <v>COVISUR S.A.</v>
      </c>
      <c r="Z398" s="25" t="s">
        <v>6677</v>
      </c>
      <c r="AA398" s="25"/>
      <c r="AB398" s="3" t="str">
        <f>IF(C_Ope_005[[#This Row],[FECHA]]&gt;0,TEXT(C_Ope_005[[#This Row],[FECHA]],"mmmm"),0)</f>
        <v>Agosto</v>
      </c>
    </row>
    <row r="399" spans="2:28" ht="24" x14ac:dyDescent="0.3">
      <c r="B399" s="2">
        <f>IF(C_Ope_005[[#This Row],[TIPO DE R.]]="R",COUNTIFS($D$4:$D398,"R")+1,"")</f>
        <v>395</v>
      </c>
      <c r="C399" s="19" t="str">
        <f t="shared" si="39"/>
        <v>C_Ope_005</v>
      </c>
      <c r="D399" s="3" t="s">
        <v>1074</v>
      </c>
      <c r="E399" s="14">
        <v>45870</v>
      </c>
      <c r="F399" s="5" t="s">
        <v>7166</v>
      </c>
      <c r="G399" s="5" t="s">
        <v>1079</v>
      </c>
      <c r="H399" s="6" t="s">
        <v>919</v>
      </c>
      <c r="I399" s="6" t="s">
        <v>14</v>
      </c>
      <c r="J399" s="6" t="s">
        <v>5244</v>
      </c>
      <c r="K399" s="6">
        <v>1799815</v>
      </c>
      <c r="L399" s="7" t="s">
        <v>7357</v>
      </c>
      <c r="M399" s="8">
        <v>25059</v>
      </c>
      <c r="N399" s="8" t="str">
        <f t="shared" si="40"/>
        <v>PEN</v>
      </c>
      <c r="O399" s="13"/>
      <c r="P399" s="13">
        <v>8</v>
      </c>
      <c r="Q399" s="3">
        <f t="shared" si="41"/>
        <v>0</v>
      </c>
      <c r="R399" s="3">
        <f t="shared" si="42"/>
        <v>8</v>
      </c>
      <c r="S399" s="3">
        <f t="shared" si="43"/>
        <v>184.19999999999925</v>
      </c>
      <c r="T399" s="24" t="s">
        <v>1081</v>
      </c>
      <c r="U399" s="24"/>
      <c r="V399" s="3"/>
      <c r="W399" s="25" t="s">
        <v>6541</v>
      </c>
      <c r="X399" s="25">
        <v>20517252558</v>
      </c>
      <c r="Y399" s="25" t="str">
        <f>IFERROR(VLOOKUP(C_Ope_005[[#This Row],[NOTA 2]],Clientes_Proveedores[[Ruc / Dni]:[Razon Social]],2,0),"")</f>
        <v>COVISUR S.A.</v>
      </c>
      <c r="Z399" s="25" t="s">
        <v>6677</v>
      </c>
      <c r="AA399" s="25"/>
      <c r="AB399" s="3" t="str">
        <f>IF(C_Ope_005[[#This Row],[FECHA]]&gt;0,TEXT(C_Ope_005[[#This Row],[FECHA]],"mmmm"),0)</f>
        <v>Agosto</v>
      </c>
    </row>
    <row r="400" spans="2:28" ht="36" x14ac:dyDescent="0.3">
      <c r="B400" s="2">
        <f>IF(C_Ope_005[[#This Row],[TIPO DE R.]]="R",COUNTIFS($D$4:$D399,"R")+1,"")</f>
        <v>396</v>
      </c>
      <c r="C400" s="19" t="str">
        <f t="shared" si="39"/>
        <v>C_Ope_005</v>
      </c>
      <c r="D400" s="3" t="s">
        <v>1074</v>
      </c>
      <c r="E400" s="14">
        <v>45870</v>
      </c>
      <c r="F400" s="5" t="s">
        <v>7166</v>
      </c>
      <c r="G400" s="5" t="s">
        <v>1079</v>
      </c>
      <c r="H400" s="6" t="s">
        <v>624</v>
      </c>
      <c r="I400" s="6" t="s">
        <v>14</v>
      </c>
      <c r="J400" s="6" t="s">
        <v>1097</v>
      </c>
      <c r="K400" s="6">
        <v>17169</v>
      </c>
      <c r="L400" s="7" t="s">
        <v>7358</v>
      </c>
      <c r="M400" s="8">
        <v>25060</v>
      </c>
      <c r="N400" s="8" t="str">
        <f t="shared" si="40"/>
        <v>PEN</v>
      </c>
      <c r="O400" s="13"/>
      <c r="P400" s="13">
        <v>20</v>
      </c>
      <c r="Q400" s="3">
        <f t="shared" si="41"/>
        <v>0</v>
      </c>
      <c r="R400" s="3">
        <f t="shared" si="42"/>
        <v>20</v>
      </c>
      <c r="S400" s="3">
        <f t="shared" si="43"/>
        <v>164.19999999999925</v>
      </c>
      <c r="T400" s="24" t="s">
        <v>1081</v>
      </c>
      <c r="U400" s="24"/>
      <c r="V400" s="3"/>
      <c r="W400" s="25" t="s">
        <v>6541</v>
      </c>
      <c r="X400" s="25">
        <v>20259858934</v>
      </c>
      <c r="Y400" s="25" t="str">
        <f>IFERROR(VLOOKUP(C_Ope_005[[#This Row],[NOTA 2]],Clientes_Proveedores[[Ruc / Dni]:[Razon Social]],2,0),"")</f>
        <v>COMERCIALIZACION Y SERVICIOS EL EDEN S.A.C.</v>
      </c>
      <c r="Z400" s="25" t="s">
        <v>4972</v>
      </c>
      <c r="AA400" s="25"/>
      <c r="AB400" s="3" t="str">
        <f>IF(C_Ope_005[[#This Row],[FECHA]]&gt;0,TEXT(C_Ope_005[[#This Row],[FECHA]],"mmmm"),0)</f>
        <v>Agosto</v>
      </c>
    </row>
    <row r="401" spans="2:28" x14ac:dyDescent="0.3">
      <c r="B401" s="2">
        <f>IF(C_Ope_005[[#This Row],[TIPO DE R.]]="R",COUNTIFS($D$4:$D400,"R")+1,"")</f>
        <v>397</v>
      </c>
      <c r="C401" s="19" t="str">
        <f t="shared" ref="C401:C411" si="44">"C_Ope_005"</f>
        <v>C_Ope_005</v>
      </c>
      <c r="D401" s="3" t="s">
        <v>1074</v>
      </c>
      <c r="E401" s="14">
        <v>45873</v>
      </c>
      <c r="F401" s="5" t="s">
        <v>7166</v>
      </c>
      <c r="G401" s="5" t="s">
        <v>1079</v>
      </c>
      <c r="H401" s="6" t="s">
        <v>919</v>
      </c>
      <c r="I401" s="6" t="s">
        <v>14</v>
      </c>
      <c r="J401" s="6" t="s">
        <v>5243</v>
      </c>
      <c r="K401" s="6">
        <v>2422144</v>
      </c>
      <c r="L401" s="7" t="s">
        <v>7359</v>
      </c>
      <c r="M401" s="8">
        <v>25080</v>
      </c>
      <c r="N401" s="8" t="str">
        <f t="shared" ref="N401:N411" si="45">"PEN"</f>
        <v>PEN</v>
      </c>
      <c r="O401" s="13"/>
      <c r="P401" s="13">
        <v>8</v>
      </c>
      <c r="Q401" s="3">
        <f t="shared" ref="Q401:Q411" si="46">+IF(OR($G401="SALDO",$G401="INGRESO"),$P401,0)</f>
        <v>0</v>
      </c>
      <c r="R401" s="3">
        <f t="shared" ref="R401:R411" si="47">+IF($G401="EGRESO",$P401,0)</f>
        <v>8</v>
      </c>
      <c r="S401" s="3">
        <f t="shared" si="43"/>
        <v>156.19999999999925</v>
      </c>
      <c r="T401" s="24" t="s">
        <v>1081</v>
      </c>
      <c r="U401" s="24"/>
      <c r="V401" s="3"/>
      <c r="W401" s="25" t="s">
        <v>6541</v>
      </c>
      <c r="X401" s="25">
        <v>20517252558</v>
      </c>
      <c r="Y401" s="25" t="str">
        <f>IFERROR(VLOOKUP(C_Ope_005[[#This Row],[NOTA 2]],Clientes_Proveedores[[Ruc / Dni]:[Razon Social]],2,0),"")</f>
        <v>COVISUR S.A.</v>
      </c>
      <c r="Z401" s="25" t="s">
        <v>6677</v>
      </c>
      <c r="AA401" s="25"/>
      <c r="AB401" s="3" t="str">
        <f>IF(C_Ope_005[[#This Row],[FECHA]]&gt;0,TEXT(C_Ope_005[[#This Row],[FECHA]],"mmmm"),0)</f>
        <v>Agosto</v>
      </c>
    </row>
    <row r="402" spans="2:28" x14ac:dyDescent="0.3">
      <c r="B402" s="2">
        <f>IF(C_Ope_005[[#This Row],[TIPO DE R.]]="R",COUNTIFS($D$4:$D401,"R")+1,"")</f>
        <v>398</v>
      </c>
      <c r="C402" s="19" t="str">
        <f t="shared" si="44"/>
        <v>C_Ope_005</v>
      </c>
      <c r="D402" s="3" t="s">
        <v>1074</v>
      </c>
      <c r="E402" s="14">
        <v>45873</v>
      </c>
      <c r="F402" s="5" t="s">
        <v>7166</v>
      </c>
      <c r="G402" s="5" t="s">
        <v>1079</v>
      </c>
      <c r="H402" s="6" t="s">
        <v>919</v>
      </c>
      <c r="I402" s="6" t="s">
        <v>14</v>
      </c>
      <c r="J402" s="6" t="s">
        <v>5242</v>
      </c>
      <c r="K402" s="6">
        <v>2133768</v>
      </c>
      <c r="L402" s="7" t="s">
        <v>7360</v>
      </c>
      <c r="M402" s="8">
        <v>25082</v>
      </c>
      <c r="N402" s="8" t="str">
        <f t="shared" si="45"/>
        <v>PEN</v>
      </c>
      <c r="O402" s="13"/>
      <c r="P402" s="13">
        <v>8</v>
      </c>
      <c r="Q402" s="3">
        <f t="shared" si="46"/>
        <v>0</v>
      </c>
      <c r="R402" s="3">
        <f t="shared" si="47"/>
        <v>8</v>
      </c>
      <c r="S402" s="3">
        <f t="shared" si="43"/>
        <v>148.19999999999925</v>
      </c>
      <c r="T402" s="24" t="s">
        <v>1081</v>
      </c>
      <c r="U402" s="24"/>
      <c r="V402" s="3"/>
      <c r="W402" s="25" t="s">
        <v>6541</v>
      </c>
      <c r="X402" s="25">
        <v>20517252558</v>
      </c>
      <c r="Y402" s="25" t="str">
        <f>IFERROR(VLOOKUP(C_Ope_005[[#This Row],[NOTA 2]],Clientes_Proveedores[[Ruc / Dni]:[Razon Social]],2,0),"")</f>
        <v>COVISUR S.A.</v>
      </c>
      <c r="Z402" s="25" t="s">
        <v>6677</v>
      </c>
      <c r="AA402" s="25"/>
      <c r="AB402" s="3" t="str">
        <f>IF(C_Ope_005[[#This Row],[FECHA]]&gt;0,TEXT(C_Ope_005[[#This Row],[FECHA]],"mmmm"),0)</f>
        <v>Agosto</v>
      </c>
    </row>
    <row r="403" spans="2:28" ht="36" x14ac:dyDescent="0.3">
      <c r="B403" s="2">
        <f>IF(C_Ope_005[[#This Row],[TIPO DE R.]]="R",COUNTIFS($D$4:$D402,"R")+1,"")</f>
        <v>399</v>
      </c>
      <c r="C403" s="19" t="str">
        <f t="shared" si="44"/>
        <v>C_Ope_005</v>
      </c>
      <c r="D403" s="3" t="s">
        <v>1074</v>
      </c>
      <c r="E403" s="14">
        <v>45873</v>
      </c>
      <c r="F403" s="5" t="s">
        <v>7166</v>
      </c>
      <c r="G403" s="5" t="s">
        <v>1079</v>
      </c>
      <c r="H403" s="6" t="s">
        <v>170</v>
      </c>
      <c r="I403" s="6" t="s">
        <v>14</v>
      </c>
      <c r="J403" s="6" t="s">
        <v>1148</v>
      </c>
      <c r="K403" s="6">
        <v>135037</v>
      </c>
      <c r="L403" s="7" t="s">
        <v>7361</v>
      </c>
      <c r="M403" s="8">
        <v>25083</v>
      </c>
      <c r="N403" s="8" t="str">
        <f t="shared" si="45"/>
        <v>PEN</v>
      </c>
      <c r="O403" s="13"/>
      <c r="P403" s="13">
        <v>10</v>
      </c>
      <c r="Q403" s="3">
        <f t="shared" si="46"/>
        <v>0</v>
      </c>
      <c r="R403" s="3">
        <f t="shared" si="47"/>
        <v>10</v>
      </c>
      <c r="S403" s="3">
        <f t="shared" si="43"/>
        <v>138.19999999999925</v>
      </c>
      <c r="T403" s="24" t="s">
        <v>1081</v>
      </c>
      <c r="U403" s="24"/>
      <c r="V403" s="3"/>
      <c r="W403" s="25" t="s">
        <v>6541</v>
      </c>
      <c r="X403" s="25">
        <v>20124952850</v>
      </c>
      <c r="Y403" s="25" t="str">
        <f>IFERROR(VLOOKUP(C_Ope_005[[#This Row],[NOTA 2]],Clientes_Proveedores[[Ruc / Dni]:[Razon Social]],2,0),"")</f>
        <v>ALIMENTOS Y SERVICIOS AGROPECUARIOS SRL.</v>
      </c>
      <c r="Z403" s="25" t="s">
        <v>4972</v>
      </c>
      <c r="AA403" s="25"/>
      <c r="AB403" s="3" t="str">
        <f>IF(C_Ope_005[[#This Row],[FECHA]]&gt;0,TEXT(C_Ope_005[[#This Row],[FECHA]],"mmmm"),0)</f>
        <v>Agosto</v>
      </c>
    </row>
    <row r="404" spans="2:28" x14ac:dyDescent="0.3">
      <c r="B404" s="2">
        <f>IF(C_Ope_005[[#This Row],[TIPO DE R.]]="R",COUNTIFS($D$4:$D403,"R")+1,"")</f>
        <v>400</v>
      </c>
      <c r="C404" s="19" t="str">
        <f t="shared" si="44"/>
        <v>C_Ope_005</v>
      </c>
      <c r="D404" s="3" t="s">
        <v>1074</v>
      </c>
      <c r="E404" s="14">
        <v>45874</v>
      </c>
      <c r="F404" s="5" t="s">
        <v>7166</v>
      </c>
      <c r="G404" s="5" t="s">
        <v>1079</v>
      </c>
      <c r="H404" s="6" t="s">
        <v>919</v>
      </c>
      <c r="I404" s="6" t="s">
        <v>14</v>
      </c>
      <c r="J404" s="6" t="s">
        <v>5244</v>
      </c>
      <c r="K404" s="6">
        <v>1803532</v>
      </c>
      <c r="L404" s="7" t="s">
        <v>7362</v>
      </c>
      <c r="M404" s="8">
        <v>25096</v>
      </c>
      <c r="N404" s="8" t="str">
        <f t="shared" si="45"/>
        <v>PEN</v>
      </c>
      <c r="O404" s="13"/>
      <c r="P404" s="13">
        <v>8</v>
      </c>
      <c r="Q404" s="3">
        <f t="shared" si="46"/>
        <v>0</v>
      </c>
      <c r="R404" s="3">
        <f t="shared" si="47"/>
        <v>8</v>
      </c>
      <c r="S404" s="3">
        <f t="shared" si="43"/>
        <v>130.19999999999925</v>
      </c>
      <c r="T404" s="24" t="s">
        <v>1081</v>
      </c>
      <c r="U404" s="24"/>
      <c r="V404" s="3"/>
      <c r="W404" s="25" t="s">
        <v>6541</v>
      </c>
      <c r="X404" s="25">
        <v>20517252558</v>
      </c>
      <c r="Y404" s="25" t="str">
        <f>IFERROR(VLOOKUP(C_Ope_005[[#This Row],[NOTA 2]],Clientes_Proveedores[[Ruc / Dni]:[Razon Social]],2,0),"")</f>
        <v>COVISUR S.A.</v>
      </c>
      <c r="Z404" s="25" t="s">
        <v>6677</v>
      </c>
      <c r="AA404" s="25"/>
      <c r="AB404" s="3" t="str">
        <f>IF(C_Ope_005[[#This Row],[FECHA]]&gt;0,TEXT(C_Ope_005[[#This Row],[FECHA]],"mmmm"),0)</f>
        <v>Agosto</v>
      </c>
    </row>
    <row r="405" spans="2:28" x14ac:dyDescent="0.3">
      <c r="B405" s="2">
        <f>IF(C_Ope_005[[#This Row],[TIPO DE R.]]="R",COUNTIFS($D$4:$D404,"R")+1,"")</f>
        <v>401</v>
      </c>
      <c r="C405" s="19" t="str">
        <f t="shared" si="44"/>
        <v>C_Ope_005</v>
      </c>
      <c r="D405" s="3" t="s">
        <v>1074</v>
      </c>
      <c r="E405" s="14">
        <v>45874</v>
      </c>
      <c r="F405" s="5" t="s">
        <v>7166</v>
      </c>
      <c r="G405" s="5" t="s">
        <v>1079</v>
      </c>
      <c r="H405" s="6" t="s">
        <v>919</v>
      </c>
      <c r="I405" s="6" t="s">
        <v>14</v>
      </c>
      <c r="J405" s="6" t="s">
        <v>5242</v>
      </c>
      <c r="K405" s="6">
        <v>2134731</v>
      </c>
      <c r="L405" s="7" t="s">
        <v>7362</v>
      </c>
      <c r="M405" s="8">
        <v>25097</v>
      </c>
      <c r="N405" s="8" t="str">
        <f t="shared" si="45"/>
        <v>PEN</v>
      </c>
      <c r="O405" s="13"/>
      <c r="P405" s="13">
        <v>8</v>
      </c>
      <c r="Q405" s="3">
        <f t="shared" si="46"/>
        <v>0</v>
      </c>
      <c r="R405" s="3">
        <f t="shared" si="47"/>
        <v>8</v>
      </c>
      <c r="S405" s="3">
        <f t="shared" si="43"/>
        <v>122.19999999999925</v>
      </c>
      <c r="T405" s="24" t="s">
        <v>1081</v>
      </c>
      <c r="U405" s="24"/>
      <c r="V405" s="3"/>
      <c r="W405" s="25" t="s">
        <v>6541</v>
      </c>
      <c r="X405" s="25">
        <v>20517252558</v>
      </c>
      <c r="Y405" s="25" t="str">
        <f>IFERROR(VLOOKUP(C_Ope_005[[#This Row],[NOTA 2]],Clientes_Proveedores[[Ruc / Dni]:[Razon Social]],2,0),"")</f>
        <v>COVISUR S.A.</v>
      </c>
      <c r="Z405" s="25" t="s">
        <v>6677</v>
      </c>
      <c r="AA405" s="25"/>
      <c r="AB405" s="3" t="str">
        <f>IF(C_Ope_005[[#This Row],[FECHA]]&gt;0,TEXT(C_Ope_005[[#This Row],[FECHA]],"mmmm"),0)</f>
        <v>Agosto</v>
      </c>
    </row>
    <row r="406" spans="2:28" ht="36" x14ac:dyDescent="0.3">
      <c r="B406" s="2">
        <f>IF(C_Ope_005[[#This Row],[TIPO DE R.]]="R",COUNTIFS($D$4:$D405,"R")+1,"")</f>
        <v>402</v>
      </c>
      <c r="C406" s="19" t="str">
        <f t="shared" si="44"/>
        <v>C_Ope_005</v>
      </c>
      <c r="D406" s="3" t="s">
        <v>1074</v>
      </c>
      <c r="E406" s="14">
        <v>45874</v>
      </c>
      <c r="F406" s="5" t="s">
        <v>7166</v>
      </c>
      <c r="G406" s="5" t="s">
        <v>1079</v>
      </c>
      <c r="H406" s="6" t="s">
        <v>624</v>
      </c>
      <c r="I406" s="6" t="s">
        <v>14</v>
      </c>
      <c r="J406" s="6" t="s">
        <v>1088</v>
      </c>
      <c r="K406" s="6">
        <v>35294</v>
      </c>
      <c r="L406" s="7" t="s">
        <v>7363</v>
      </c>
      <c r="M406" s="8">
        <v>25098</v>
      </c>
      <c r="N406" s="8" t="str">
        <f t="shared" si="45"/>
        <v>PEN</v>
      </c>
      <c r="O406" s="13"/>
      <c r="P406" s="13">
        <v>10</v>
      </c>
      <c r="Q406" s="3">
        <f t="shared" si="46"/>
        <v>0</v>
      </c>
      <c r="R406" s="3">
        <f t="shared" si="47"/>
        <v>10</v>
      </c>
      <c r="S406" s="3">
        <f t="shared" si="43"/>
        <v>112.19999999999925</v>
      </c>
      <c r="T406" s="24" t="s">
        <v>1081</v>
      </c>
      <c r="U406" s="24"/>
      <c r="V406" s="3"/>
      <c r="W406" s="25" t="s">
        <v>6541</v>
      </c>
      <c r="X406" s="25">
        <v>20259858934</v>
      </c>
      <c r="Y406" s="25" t="str">
        <f>IFERROR(VLOOKUP(C_Ope_005[[#This Row],[NOTA 2]],Clientes_Proveedores[[Ruc / Dni]:[Razon Social]],2,0),"")</f>
        <v>COMERCIALIZACION Y SERVICIOS EL EDEN S.A.C.</v>
      </c>
      <c r="Z406" s="25" t="s">
        <v>4972</v>
      </c>
      <c r="AA406" s="25"/>
      <c r="AB406" s="3" t="str">
        <f>IF(C_Ope_005[[#This Row],[FECHA]]&gt;0,TEXT(C_Ope_005[[#This Row],[FECHA]],"mmmm"),0)</f>
        <v>Agosto</v>
      </c>
    </row>
    <row r="407" spans="2:28" ht="36" x14ac:dyDescent="0.3">
      <c r="B407" s="2">
        <f>IF(C_Ope_005[[#This Row],[TIPO DE R.]]="R",COUNTIFS($D$4:$D406,"R")+1,"")</f>
        <v>403</v>
      </c>
      <c r="C407" s="19" t="str">
        <f t="shared" si="44"/>
        <v>C_Ope_005</v>
      </c>
      <c r="D407" s="3" t="s">
        <v>1074</v>
      </c>
      <c r="E407" s="14">
        <v>45874</v>
      </c>
      <c r="F407" s="5" t="s">
        <v>7166</v>
      </c>
      <c r="G407" s="5" t="s">
        <v>1079</v>
      </c>
      <c r="H407" s="6" t="s">
        <v>624</v>
      </c>
      <c r="I407" s="6" t="s">
        <v>14</v>
      </c>
      <c r="J407" s="6" t="s">
        <v>1088</v>
      </c>
      <c r="K407" s="6">
        <v>35295</v>
      </c>
      <c r="L407" s="7" t="s">
        <v>7364</v>
      </c>
      <c r="M407" s="8">
        <v>25099</v>
      </c>
      <c r="N407" s="8" t="str">
        <f t="shared" si="45"/>
        <v>PEN</v>
      </c>
      <c r="O407" s="13"/>
      <c r="P407" s="13">
        <v>10</v>
      </c>
      <c r="Q407" s="3">
        <f t="shared" si="46"/>
        <v>0</v>
      </c>
      <c r="R407" s="3">
        <f t="shared" si="47"/>
        <v>10</v>
      </c>
      <c r="S407" s="3">
        <f t="shared" si="43"/>
        <v>102.19999999999925</v>
      </c>
      <c r="T407" s="24" t="s">
        <v>1081</v>
      </c>
      <c r="U407" s="24"/>
      <c r="V407" s="3"/>
      <c r="W407" s="25" t="s">
        <v>6541</v>
      </c>
      <c r="X407" s="25">
        <v>20259858934</v>
      </c>
      <c r="Y407" s="25" t="str">
        <f>IFERROR(VLOOKUP(C_Ope_005[[#This Row],[NOTA 2]],Clientes_Proveedores[[Ruc / Dni]:[Razon Social]],2,0),"")</f>
        <v>COMERCIALIZACION Y SERVICIOS EL EDEN S.A.C.</v>
      </c>
      <c r="Z407" s="25" t="s">
        <v>4972</v>
      </c>
      <c r="AA407" s="25"/>
      <c r="AB407" s="3" t="str">
        <f>IF(C_Ope_005[[#This Row],[FECHA]]&gt;0,TEXT(C_Ope_005[[#This Row],[FECHA]],"mmmm"),0)</f>
        <v>Agosto</v>
      </c>
    </row>
    <row r="408" spans="2:28" x14ac:dyDescent="0.3">
      <c r="B408" s="2">
        <f>IF(C_Ope_005[[#This Row],[TIPO DE R.]]="R",COUNTIFS($D$4:$D407,"R")+1,"")</f>
        <v>404</v>
      </c>
      <c r="C408" s="19" t="str">
        <f t="shared" si="44"/>
        <v>C_Ope_005</v>
      </c>
      <c r="D408" s="3" t="s">
        <v>1074</v>
      </c>
      <c r="E408" s="14">
        <v>45876</v>
      </c>
      <c r="F408" s="5" t="s">
        <v>7166</v>
      </c>
      <c r="G408" s="5" t="s">
        <v>1079</v>
      </c>
      <c r="H408" s="6" t="s">
        <v>919</v>
      </c>
      <c r="I408" s="6" t="s">
        <v>14</v>
      </c>
      <c r="J408" s="6" t="s">
        <v>5244</v>
      </c>
      <c r="K408" s="6">
        <v>1805058</v>
      </c>
      <c r="L408" s="7" t="s">
        <v>7365</v>
      </c>
      <c r="M408" s="8">
        <v>25104</v>
      </c>
      <c r="N408" s="8" t="str">
        <f t="shared" si="45"/>
        <v>PEN</v>
      </c>
      <c r="O408" s="13"/>
      <c r="P408" s="13">
        <v>8</v>
      </c>
      <c r="Q408" s="3">
        <f t="shared" si="46"/>
        <v>0</v>
      </c>
      <c r="R408" s="3">
        <f t="shared" si="47"/>
        <v>8</v>
      </c>
      <c r="S408" s="3">
        <f t="shared" si="43"/>
        <v>94.19999999999925</v>
      </c>
      <c r="T408" s="24" t="s">
        <v>1081</v>
      </c>
      <c r="U408" s="24"/>
      <c r="V408" s="3"/>
      <c r="W408" s="25" t="s">
        <v>6630</v>
      </c>
      <c r="X408" s="25">
        <v>20517252558</v>
      </c>
      <c r="Y408" s="25" t="str">
        <f>IFERROR(VLOOKUP(C_Ope_005[[#This Row],[NOTA 2]],Clientes_Proveedores[[Ruc / Dni]:[Razon Social]],2,0),"")</f>
        <v>COVISUR S.A.</v>
      </c>
      <c r="Z408" s="25" t="s">
        <v>6677</v>
      </c>
      <c r="AA408" s="25"/>
      <c r="AB408" s="3" t="str">
        <f>IF(C_Ope_005[[#This Row],[FECHA]]&gt;0,TEXT(C_Ope_005[[#This Row],[FECHA]],"mmmm"),0)</f>
        <v>Agosto</v>
      </c>
    </row>
    <row r="409" spans="2:28" x14ac:dyDescent="0.3">
      <c r="B409" s="2">
        <f>IF(C_Ope_005[[#This Row],[TIPO DE R.]]="R",COUNTIFS($D$4:$D408,"R")+1,"")</f>
        <v>405</v>
      </c>
      <c r="C409" s="19" t="str">
        <f t="shared" si="44"/>
        <v>C_Ope_005</v>
      </c>
      <c r="D409" s="3" t="s">
        <v>1074</v>
      </c>
      <c r="E409" s="14">
        <v>45876</v>
      </c>
      <c r="F409" s="5" t="s">
        <v>7166</v>
      </c>
      <c r="G409" s="5" t="s">
        <v>1079</v>
      </c>
      <c r="H409" s="6" t="s">
        <v>919</v>
      </c>
      <c r="I409" s="6" t="s">
        <v>14</v>
      </c>
      <c r="J409" s="6" t="s">
        <v>5245</v>
      </c>
      <c r="K409" s="6">
        <v>1825546</v>
      </c>
      <c r="L409" s="7" t="s">
        <v>7365</v>
      </c>
      <c r="M409" s="8">
        <v>25105</v>
      </c>
      <c r="N409" s="8" t="str">
        <f t="shared" si="45"/>
        <v>PEN</v>
      </c>
      <c r="O409" s="13"/>
      <c r="P409" s="13">
        <v>8</v>
      </c>
      <c r="Q409" s="3">
        <f t="shared" si="46"/>
        <v>0</v>
      </c>
      <c r="R409" s="3">
        <f t="shared" si="47"/>
        <v>8</v>
      </c>
      <c r="S409" s="3">
        <f t="shared" si="43"/>
        <v>86.19999999999925</v>
      </c>
      <c r="T409" s="24" t="s">
        <v>1081</v>
      </c>
      <c r="U409" s="24"/>
      <c r="V409" s="3"/>
      <c r="W409" s="25" t="s">
        <v>6630</v>
      </c>
      <c r="X409" s="25">
        <v>20517252558</v>
      </c>
      <c r="Y409" s="25" t="str">
        <f>IFERROR(VLOOKUP(C_Ope_005[[#This Row],[NOTA 2]],Clientes_Proveedores[[Ruc / Dni]:[Razon Social]],2,0),"")</f>
        <v>COVISUR S.A.</v>
      </c>
      <c r="Z409" s="25" t="s">
        <v>6677</v>
      </c>
      <c r="AA409" s="25"/>
      <c r="AB409" s="3" t="str">
        <f>IF(C_Ope_005[[#This Row],[FECHA]]&gt;0,TEXT(C_Ope_005[[#This Row],[FECHA]],"mmmm"),0)</f>
        <v>Agosto</v>
      </c>
    </row>
    <row r="410" spans="2:28" x14ac:dyDescent="0.3">
      <c r="B410" s="2">
        <f>IF(C_Ope_005[[#This Row],[TIPO DE R.]]="R",COUNTIFS($D$4:$D409,"R")+1,"")</f>
        <v>406</v>
      </c>
      <c r="C410" s="19" t="str">
        <f t="shared" si="44"/>
        <v>C_Ope_005</v>
      </c>
      <c r="D410" s="3" t="s">
        <v>1074</v>
      </c>
      <c r="E410" s="14">
        <v>45877</v>
      </c>
      <c r="F410" s="5" t="s">
        <v>7166</v>
      </c>
      <c r="G410" s="5" t="s">
        <v>1079</v>
      </c>
      <c r="H410" s="6" t="s">
        <v>919</v>
      </c>
      <c r="I410" s="6" t="s">
        <v>14</v>
      </c>
      <c r="J410" s="6" t="s">
        <v>5244</v>
      </c>
      <c r="K410" s="6">
        <v>1806246</v>
      </c>
      <c r="L410" s="7" t="s">
        <v>7366</v>
      </c>
      <c r="M410" s="8">
        <v>25113</v>
      </c>
      <c r="N410" s="8" t="str">
        <f t="shared" si="45"/>
        <v>PEN</v>
      </c>
      <c r="O410" s="13"/>
      <c r="P410" s="13">
        <v>8</v>
      </c>
      <c r="Q410" s="3">
        <f t="shared" si="46"/>
        <v>0</v>
      </c>
      <c r="R410" s="3">
        <f t="shared" si="47"/>
        <v>8</v>
      </c>
      <c r="S410" s="3">
        <f t="shared" si="43"/>
        <v>78.19999999999925</v>
      </c>
      <c r="T410" s="24" t="s">
        <v>1081</v>
      </c>
      <c r="U410" s="24"/>
      <c r="V410" s="3"/>
      <c r="W410" s="25" t="s">
        <v>6630</v>
      </c>
      <c r="X410" s="25">
        <v>20517252558</v>
      </c>
      <c r="Y410" s="25" t="str">
        <f>IFERROR(VLOOKUP(C_Ope_005[[#This Row],[NOTA 2]],Clientes_Proveedores[[Ruc / Dni]:[Razon Social]],2,0),"")</f>
        <v>COVISUR S.A.</v>
      </c>
      <c r="Z410" s="25" t="s">
        <v>6677</v>
      </c>
      <c r="AA410" s="25"/>
      <c r="AB410" s="3" t="str">
        <f>IF(C_Ope_005[[#This Row],[FECHA]]&gt;0,TEXT(C_Ope_005[[#This Row],[FECHA]],"mmmm"),0)</f>
        <v>Agosto</v>
      </c>
    </row>
    <row r="411" spans="2:28" x14ac:dyDescent="0.3">
      <c r="B411" s="2">
        <f>IF(C_Ope_005[[#This Row],[TIPO DE R.]]="R",COUNTIFS($D$4:$D410,"R")+1,"")</f>
        <v>407</v>
      </c>
      <c r="C411" s="19" t="str">
        <f t="shared" si="44"/>
        <v>C_Ope_005</v>
      </c>
      <c r="D411" s="3" t="s">
        <v>1074</v>
      </c>
      <c r="E411" s="14">
        <v>45877</v>
      </c>
      <c r="F411" s="5" t="s">
        <v>7166</v>
      </c>
      <c r="G411" s="5" t="s">
        <v>1079</v>
      </c>
      <c r="H411" s="6" t="s">
        <v>919</v>
      </c>
      <c r="I411" s="6" t="s">
        <v>14</v>
      </c>
      <c r="J411" s="6" t="s">
        <v>5245</v>
      </c>
      <c r="K411" s="6">
        <v>1826615</v>
      </c>
      <c r="L411" s="7" t="s">
        <v>7366</v>
      </c>
      <c r="M411" s="8">
        <v>25114</v>
      </c>
      <c r="N411" s="8" t="str">
        <f t="shared" si="45"/>
        <v>PEN</v>
      </c>
      <c r="O411" s="13"/>
      <c r="P411" s="13">
        <v>8</v>
      </c>
      <c r="Q411" s="3">
        <f t="shared" si="46"/>
        <v>0</v>
      </c>
      <c r="R411" s="3">
        <f t="shared" si="47"/>
        <v>8</v>
      </c>
      <c r="S411" s="3">
        <f t="shared" si="43"/>
        <v>70.19999999999925</v>
      </c>
      <c r="T411" s="24" t="s">
        <v>1081</v>
      </c>
      <c r="U411" s="24"/>
      <c r="V411" s="3"/>
      <c r="W411" s="25" t="s">
        <v>6630</v>
      </c>
      <c r="X411" s="25">
        <v>20517252558</v>
      </c>
      <c r="Y411" s="25" t="str">
        <f>IFERROR(VLOOKUP(C_Ope_005[[#This Row],[NOTA 2]],Clientes_Proveedores[[Ruc / Dni]:[Razon Social]],2,0),"")</f>
        <v>COVISUR S.A.</v>
      </c>
      <c r="Z411" s="25" t="s">
        <v>6677</v>
      </c>
      <c r="AA411" s="25"/>
      <c r="AB411" s="3" t="str">
        <f>IF(C_Ope_005[[#This Row],[FECHA]]&gt;0,TEXT(C_Ope_005[[#This Row],[FECHA]],"mmmm"),0)</f>
        <v>Agosto</v>
      </c>
    </row>
    <row r="412" spans="2:28" ht="24" x14ac:dyDescent="0.3">
      <c r="B412" s="2">
        <f>IF(C_Ope_005[[#This Row],[TIPO DE R.]]="R",COUNTIFS($D$4:$D411,"R")+1,"")</f>
        <v>408</v>
      </c>
      <c r="C412" s="19" t="str">
        <f t="shared" ref="C412:C420" si="48">"C_Ope_005"</f>
        <v>C_Ope_005</v>
      </c>
      <c r="D412" s="3" t="s">
        <v>1074</v>
      </c>
      <c r="E412" s="14">
        <v>45880</v>
      </c>
      <c r="F412" s="5" t="s">
        <v>7166</v>
      </c>
      <c r="G412" s="5" t="s">
        <v>1079</v>
      </c>
      <c r="H412" s="6" t="s">
        <v>919</v>
      </c>
      <c r="I412" s="6" t="s">
        <v>14</v>
      </c>
      <c r="J412" s="6" t="s">
        <v>5243</v>
      </c>
      <c r="K412" s="6">
        <v>2430798</v>
      </c>
      <c r="L412" s="7" t="s">
        <v>7367</v>
      </c>
      <c r="M412" s="8">
        <v>25123</v>
      </c>
      <c r="N412" s="8" t="str">
        <f t="shared" ref="N412:N420" si="49">"PEN"</f>
        <v>PEN</v>
      </c>
      <c r="O412" s="13"/>
      <c r="P412" s="13">
        <v>8</v>
      </c>
      <c r="Q412" s="3">
        <f t="shared" ref="Q412:Q420" si="50">+IF(OR($G412="SALDO",$G412="INGRESO"),$P412,0)</f>
        <v>0</v>
      </c>
      <c r="R412" s="3">
        <f t="shared" ref="R412:R420" si="51">+IF($G412="EGRESO",$P412,0)</f>
        <v>8</v>
      </c>
      <c r="S412" s="3">
        <f t="shared" si="43"/>
        <v>62.19999999999925</v>
      </c>
      <c r="T412" s="24" t="s">
        <v>1081</v>
      </c>
      <c r="U412" s="24"/>
      <c r="V412" s="3"/>
      <c r="W412" s="25" t="s">
        <v>6630</v>
      </c>
      <c r="X412" s="25">
        <v>20517252558</v>
      </c>
      <c r="Y412" s="25" t="str">
        <f>IFERROR(VLOOKUP(C_Ope_005[[#This Row],[NOTA 2]],Clientes_Proveedores[[Ruc / Dni]:[Razon Social]],2,0),"")</f>
        <v>COVISUR S.A.</v>
      </c>
      <c r="Z412" s="25" t="s">
        <v>6677</v>
      </c>
      <c r="AA412" s="25"/>
      <c r="AB412" s="3" t="str">
        <f>IF(C_Ope_005[[#This Row],[FECHA]]&gt;0,TEXT(C_Ope_005[[#This Row],[FECHA]],"mmmm"),0)</f>
        <v>Agosto</v>
      </c>
    </row>
    <row r="413" spans="2:28" ht="24" x14ac:dyDescent="0.3">
      <c r="B413" s="2">
        <f>IF(C_Ope_005[[#This Row],[TIPO DE R.]]="R",COUNTIFS($D$4:$D412,"R")+1,"")</f>
        <v>409</v>
      </c>
      <c r="C413" s="19" t="str">
        <f t="shared" si="48"/>
        <v>C_Ope_005</v>
      </c>
      <c r="D413" s="3" t="s">
        <v>1074</v>
      </c>
      <c r="E413" s="14">
        <v>45880</v>
      </c>
      <c r="F413" s="5" t="s">
        <v>7166</v>
      </c>
      <c r="G413" s="5" t="s">
        <v>1079</v>
      </c>
      <c r="H413" s="6" t="s">
        <v>919</v>
      </c>
      <c r="I413" s="6" t="s">
        <v>14</v>
      </c>
      <c r="J413" s="6" t="s">
        <v>5242</v>
      </c>
      <c r="K413" s="6">
        <v>2141309</v>
      </c>
      <c r="L413" s="7" t="s">
        <v>7367</v>
      </c>
      <c r="M413" s="8">
        <v>25124</v>
      </c>
      <c r="N413" s="8" t="str">
        <f t="shared" si="49"/>
        <v>PEN</v>
      </c>
      <c r="O413" s="13"/>
      <c r="P413" s="13">
        <v>8</v>
      </c>
      <c r="Q413" s="3">
        <f t="shared" si="50"/>
        <v>0</v>
      </c>
      <c r="R413" s="3">
        <f t="shared" si="51"/>
        <v>8</v>
      </c>
      <c r="S413" s="3">
        <f t="shared" si="43"/>
        <v>54.19999999999925</v>
      </c>
      <c r="T413" s="24" t="s">
        <v>1081</v>
      </c>
      <c r="U413" s="24"/>
      <c r="V413" s="3"/>
      <c r="W413" s="25" t="s">
        <v>6630</v>
      </c>
      <c r="X413" s="25">
        <v>20517252558</v>
      </c>
      <c r="Y413" s="25" t="str">
        <f>IFERROR(VLOOKUP(C_Ope_005[[#This Row],[NOTA 2]],Clientes_Proveedores[[Ruc / Dni]:[Razon Social]],2,0),"")</f>
        <v>COVISUR S.A.</v>
      </c>
      <c r="Z413" s="25" t="s">
        <v>6677</v>
      </c>
      <c r="AA413" s="25"/>
      <c r="AB413" s="3" t="str">
        <f>IF(C_Ope_005[[#This Row],[FECHA]]&gt;0,TEXT(C_Ope_005[[#This Row],[FECHA]],"mmmm"),0)</f>
        <v>Agosto</v>
      </c>
    </row>
    <row r="414" spans="2:28" ht="36" x14ac:dyDescent="0.3">
      <c r="B414" s="2">
        <f>IF(C_Ope_005[[#This Row],[TIPO DE R.]]="R",COUNTIFS($D$4:$D413,"R")+1,"")</f>
        <v>410</v>
      </c>
      <c r="C414" s="19" t="str">
        <f t="shared" si="48"/>
        <v>C_Ope_005</v>
      </c>
      <c r="D414" s="3" t="s">
        <v>1074</v>
      </c>
      <c r="E414" s="14">
        <v>45880</v>
      </c>
      <c r="F414" s="5" t="s">
        <v>7166</v>
      </c>
      <c r="G414" s="5" t="s">
        <v>1079</v>
      </c>
      <c r="H414" s="6" t="s">
        <v>624</v>
      </c>
      <c r="I414" s="6" t="s">
        <v>14</v>
      </c>
      <c r="J414" s="6" t="s">
        <v>1097</v>
      </c>
      <c r="K414" s="6">
        <v>17300</v>
      </c>
      <c r="L414" s="7" t="s">
        <v>7368</v>
      </c>
      <c r="M414" s="8">
        <v>25125</v>
      </c>
      <c r="N414" s="8" t="str">
        <f t="shared" si="49"/>
        <v>PEN</v>
      </c>
      <c r="O414" s="13"/>
      <c r="P414" s="13">
        <v>20</v>
      </c>
      <c r="Q414" s="3">
        <f t="shared" si="50"/>
        <v>0</v>
      </c>
      <c r="R414" s="3">
        <f t="shared" si="51"/>
        <v>20</v>
      </c>
      <c r="S414" s="3">
        <f t="shared" si="43"/>
        <v>34.19999999999925</v>
      </c>
      <c r="T414" s="24" t="s">
        <v>1081</v>
      </c>
      <c r="U414" s="24"/>
      <c r="V414" s="3"/>
      <c r="W414" s="25" t="s">
        <v>6630</v>
      </c>
      <c r="X414" s="25">
        <v>20259858934</v>
      </c>
      <c r="Y414" s="25" t="str">
        <f>IFERROR(VLOOKUP(C_Ope_005[[#This Row],[NOTA 2]],Clientes_Proveedores[[Ruc / Dni]:[Razon Social]],2,0),"")</f>
        <v>COMERCIALIZACION Y SERVICIOS EL EDEN S.A.C.</v>
      </c>
      <c r="Z414" s="25" t="s">
        <v>4972</v>
      </c>
      <c r="AA414" s="25"/>
      <c r="AB414" s="3" t="str">
        <f>IF(C_Ope_005[[#This Row],[FECHA]]&gt;0,TEXT(C_Ope_005[[#This Row],[FECHA]],"mmmm"),0)</f>
        <v>Agosto</v>
      </c>
    </row>
    <row r="415" spans="2:28" ht="24" x14ac:dyDescent="0.3">
      <c r="B415" s="2">
        <f>IF(C_Ope_005[[#This Row],[TIPO DE R.]]="R",COUNTIFS($D$4:$D414,"R")+1,"")</f>
        <v>411</v>
      </c>
      <c r="C415" s="19" t="str">
        <f t="shared" si="48"/>
        <v>C_Ope_005</v>
      </c>
      <c r="D415" s="3" t="s">
        <v>1074</v>
      </c>
      <c r="E415" s="14">
        <v>45881</v>
      </c>
      <c r="F415" s="5" t="s">
        <v>7166</v>
      </c>
      <c r="G415" s="5" t="s">
        <v>1079</v>
      </c>
      <c r="H415" s="6" t="s">
        <v>919</v>
      </c>
      <c r="I415" s="6" t="s">
        <v>14</v>
      </c>
      <c r="J415" s="6" t="s">
        <v>5244</v>
      </c>
      <c r="K415" s="6">
        <v>1809759</v>
      </c>
      <c r="L415" s="7" t="s">
        <v>7369</v>
      </c>
      <c r="M415" s="8">
        <v>25143</v>
      </c>
      <c r="N415" s="8" t="str">
        <f t="shared" si="49"/>
        <v>PEN</v>
      </c>
      <c r="O415" s="13"/>
      <c r="P415" s="13">
        <v>8</v>
      </c>
      <c r="Q415" s="3">
        <f t="shared" si="50"/>
        <v>0</v>
      </c>
      <c r="R415" s="3">
        <f t="shared" si="51"/>
        <v>8</v>
      </c>
      <c r="S415" s="3">
        <f t="shared" si="43"/>
        <v>26.19999999999925</v>
      </c>
      <c r="T415" s="24" t="s">
        <v>1081</v>
      </c>
      <c r="U415" s="24"/>
      <c r="V415" s="3"/>
      <c r="W415" s="25" t="s">
        <v>6541</v>
      </c>
      <c r="X415" s="25">
        <v>20517252558</v>
      </c>
      <c r="Y415" s="25" t="str">
        <f>IFERROR(VLOOKUP(C_Ope_005[[#This Row],[NOTA 2]],Clientes_Proveedores[[Ruc / Dni]:[Razon Social]],2,0),"")</f>
        <v>COVISUR S.A.</v>
      </c>
      <c r="Z415" s="25" t="s">
        <v>6677</v>
      </c>
      <c r="AA415" s="25"/>
      <c r="AB415" s="3" t="str">
        <f>IF(C_Ope_005[[#This Row],[FECHA]]&gt;0,TEXT(C_Ope_005[[#This Row],[FECHA]],"mmmm"),0)</f>
        <v>Agosto</v>
      </c>
    </row>
    <row r="416" spans="2:28" ht="24" x14ac:dyDescent="0.3">
      <c r="B416" s="2">
        <f>IF(C_Ope_005[[#This Row],[TIPO DE R.]]="R",COUNTIFS($D$4:$D415,"R")+1,"")</f>
        <v>412</v>
      </c>
      <c r="C416" s="19" t="str">
        <f t="shared" si="48"/>
        <v>C_Ope_005</v>
      </c>
      <c r="D416" s="3" t="s">
        <v>1074</v>
      </c>
      <c r="E416" s="14">
        <v>45881</v>
      </c>
      <c r="F416" s="5" t="s">
        <v>7166</v>
      </c>
      <c r="G416" s="5" t="s">
        <v>1079</v>
      </c>
      <c r="H416" s="6" t="s">
        <v>919</v>
      </c>
      <c r="I416" s="6" t="s">
        <v>14</v>
      </c>
      <c r="J416" s="6" t="s">
        <v>5242</v>
      </c>
      <c r="K416" s="6">
        <v>2142323</v>
      </c>
      <c r="L416" s="7" t="s">
        <v>7369</v>
      </c>
      <c r="M416" s="8">
        <v>25144</v>
      </c>
      <c r="N416" s="8" t="str">
        <f t="shared" si="49"/>
        <v>PEN</v>
      </c>
      <c r="O416" s="13"/>
      <c r="P416" s="13">
        <v>8</v>
      </c>
      <c r="Q416" s="3">
        <f t="shared" si="50"/>
        <v>0</v>
      </c>
      <c r="R416" s="3">
        <f t="shared" si="51"/>
        <v>8</v>
      </c>
      <c r="S416" s="3">
        <f t="shared" si="43"/>
        <v>18.19999999999925</v>
      </c>
      <c r="T416" s="24" t="s">
        <v>1081</v>
      </c>
      <c r="U416" s="24"/>
      <c r="V416" s="3"/>
      <c r="W416" s="25" t="s">
        <v>6541</v>
      </c>
      <c r="X416" s="25">
        <v>20517252558</v>
      </c>
      <c r="Y416" s="25" t="str">
        <f>IFERROR(VLOOKUP(C_Ope_005[[#This Row],[NOTA 2]],Clientes_Proveedores[[Ruc / Dni]:[Razon Social]],2,0),"")</f>
        <v>COVISUR S.A.</v>
      </c>
      <c r="Z416" s="25" t="s">
        <v>6677</v>
      </c>
      <c r="AA416" s="25"/>
      <c r="AB416" s="3" t="str">
        <f>IF(C_Ope_005[[#This Row],[FECHA]]&gt;0,TEXT(C_Ope_005[[#This Row],[FECHA]],"mmmm"),0)</f>
        <v>Agosto</v>
      </c>
    </row>
    <row r="417" spans="2:28" ht="24" x14ac:dyDescent="0.3">
      <c r="B417" s="2">
        <f>IF(C_Ope_005[[#This Row],[TIPO DE R.]]="R",COUNTIFS($D$4:$D416,"R")+1,"")</f>
        <v>413</v>
      </c>
      <c r="C417" s="19" t="str">
        <f t="shared" si="48"/>
        <v>C_Ope_005</v>
      </c>
      <c r="D417" s="3" t="s">
        <v>1074</v>
      </c>
      <c r="E417" s="14">
        <v>45881</v>
      </c>
      <c r="F417" s="5" t="s">
        <v>7166</v>
      </c>
      <c r="G417" s="5" t="s">
        <v>1079</v>
      </c>
      <c r="H417" s="6" t="s">
        <v>940</v>
      </c>
      <c r="I417" s="6" t="s">
        <v>14</v>
      </c>
      <c r="J417" s="6" t="s">
        <v>1119</v>
      </c>
      <c r="K417" s="6">
        <v>19179</v>
      </c>
      <c r="L417" s="7" t="s">
        <v>7272</v>
      </c>
      <c r="M417" s="8">
        <v>25142</v>
      </c>
      <c r="N417" s="8" t="str">
        <f t="shared" si="49"/>
        <v>PEN</v>
      </c>
      <c r="O417" s="13"/>
      <c r="P417" s="13">
        <v>25</v>
      </c>
      <c r="Q417" s="3">
        <f t="shared" si="50"/>
        <v>0</v>
      </c>
      <c r="R417" s="3">
        <f t="shared" si="51"/>
        <v>25</v>
      </c>
      <c r="S417" s="3">
        <f t="shared" si="43"/>
        <v>-6.8000000000007503</v>
      </c>
      <c r="T417" s="24" t="s">
        <v>1081</v>
      </c>
      <c r="U417" s="24"/>
      <c r="V417" s="3"/>
      <c r="W417" s="25" t="s">
        <v>6541</v>
      </c>
      <c r="X417" s="25">
        <v>10705628331</v>
      </c>
      <c r="Y417" s="25" t="str">
        <f>IFERROR(VLOOKUP(C_Ope_005[[#This Row],[NOTA 2]],Clientes_Proveedores[[Ruc / Dni]:[Razon Social]],2,0),"")</f>
        <v>LARICO APAZA NANCY ROSSMARY</v>
      </c>
      <c r="Z417" s="25" t="s">
        <v>6727</v>
      </c>
      <c r="AA417" s="25"/>
      <c r="AB417" s="3" t="str">
        <f>IF(C_Ope_005[[#This Row],[FECHA]]&gt;0,TEXT(C_Ope_005[[#This Row],[FECHA]],"mmmm"),0)</f>
        <v>Agosto</v>
      </c>
    </row>
    <row r="418" spans="2:28" x14ac:dyDescent="0.3">
      <c r="B418" s="2">
        <f>IF(C_Ope_005[[#This Row],[TIPO DE R.]]="R",COUNTIFS($D$4:$D417,"R")+1,"")</f>
        <v>414</v>
      </c>
      <c r="C418" s="19" t="str">
        <f>"C_Ope_005"</f>
        <v>C_Ope_005</v>
      </c>
      <c r="D418" s="3" t="s">
        <v>1074</v>
      </c>
      <c r="E418" s="14">
        <v>45882</v>
      </c>
      <c r="F418" s="5" t="s">
        <v>6298</v>
      </c>
      <c r="G418" s="5" t="s">
        <v>1087</v>
      </c>
      <c r="H418" s="6"/>
      <c r="I418" s="6"/>
      <c r="J418" s="6"/>
      <c r="K418" s="6"/>
      <c r="L418" s="7" t="s">
        <v>7113</v>
      </c>
      <c r="M418" s="8">
        <v>25157</v>
      </c>
      <c r="N418" s="8" t="str">
        <f>"PEN"</f>
        <v>PEN</v>
      </c>
      <c r="O418" s="13"/>
      <c r="P418" s="13">
        <v>200</v>
      </c>
      <c r="Q418" s="3">
        <f>+IF(OR($G418="SALDO",$G418="INGRESO"),$P418,0)</f>
        <v>200</v>
      </c>
      <c r="R418" s="3">
        <f>+IF($G418="EGRESO",$P418,0)</f>
        <v>0</v>
      </c>
      <c r="S418" s="3">
        <f t="shared" si="43"/>
        <v>193.19999999999925</v>
      </c>
      <c r="T418" s="24"/>
      <c r="U418" s="24"/>
      <c r="V418" s="3"/>
      <c r="W418" s="25"/>
      <c r="X418" s="25"/>
      <c r="Y418" s="25" t="str">
        <f>IFERROR(VLOOKUP(C_Ope_005[[#This Row],[NOTA 2]],Clientes_Proveedores[[Ruc / Dni]:[Razon Social]],2,0),"")</f>
        <v/>
      </c>
      <c r="Z418" s="25"/>
      <c r="AA418" s="25">
        <f>ROUND(C_Ope_005[[#This Row],[MONTO ]]/1.18,3)</f>
        <v>169.49199999999999</v>
      </c>
      <c r="AB418" s="3" t="str">
        <f>IF(C_Ope_005[[#This Row],[FECHA]]&gt;0,TEXT(C_Ope_005[[#This Row],[FECHA]],"mmmm"),0)</f>
        <v>Agosto</v>
      </c>
    </row>
    <row r="419" spans="2:28" ht="24" x14ac:dyDescent="0.3">
      <c r="B419" s="2">
        <f>IF(C_Ope_005[[#This Row],[TIPO DE R.]]="R",COUNTIFS($D$4:$D418,"R")+1,"")</f>
        <v>415</v>
      </c>
      <c r="C419" s="19" t="str">
        <f t="shared" si="48"/>
        <v>C_Ope_005</v>
      </c>
      <c r="D419" s="3" t="s">
        <v>1074</v>
      </c>
      <c r="E419" s="14">
        <v>45882</v>
      </c>
      <c r="F419" s="5" t="s">
        <v>7166</v>
      </c>
      <c r="G419" s="5" t="s">
        <v>1079</v>
      </c>
      <c r="H419" s="6" t="s">
        <v>919</v>
      </c>
      <c r="I419" s="6" t="s">
        <v>14</v>
      </c>
      <c r="J419" s="6" t="s">
        <v>5243</v>
      </c>
      <c r="K419" s="6">
        <v>2433420</v>
      </c>
      <c r="L419" s="7" t="s">
        <v>7370</v>
      </c>
      <c r="M419" s="8">
        <v>25152</v>
      </c>
      <c r="N419" s="8" t="str">
        <f t="shared" si="49"/>
        <v>PEN</v>
      </c>
      <c r="O419" s="13"/>
      <c r="P419" s="13">
        <v>8</v>
      </c>
      <c r="Q419" s="3">
        <f t="shared" si="50"/>
        <v>0</v>
      </c>
      <c r="R419" s="3">
        <f t="shared" si="51"/>
        <v>8</v>
      </c>
      <c r="S419" s="3">
        <f t="shared" si="43"/>
        <v>185.19999999999925</v>
      </c>
      <c r="T419" s="24" t="s">
        <v>1081</v>
      </c>
      <c r="U419" s="24"/>
      <c r="V419" s="3"/>
      <c r="W419" s="25" t="s">
        <v>6541</v>
      </c>
      <c r="X419" s="25">
        <v>20517252558</v>
      </c>
      <c r="Y419" s="25" t="str">
        <f>IFERROR(VLOOKUP(C_Ope_005[[#This Row],[NOTA 2]],Clientes_Proveedores[[Ruc / Dni]:[Razon Social]],2,0),"")</f>
        <v>COVISUR S.A.</v>
      </c>
      <c r="Z419" s="25" t="s">
        <v>6677</v>
      </c>
      <c r="AA419" s="25"/>
      <c r="AB419" s="3" t="str">
        <f>IF(C_Ope_005[[#This Row],[FECHA]]&gt;0,TEXT(C_Ope_005[[#This Row],[FECHA]],"mmmm"),0)</f>
        <v>Agosto</v>
      </c>
    </row>
    <row r="420" spans="2:28" ht="24" x14ac:dyDescent="0.3">
      <c r="B420" s="2">
        <f>IF(C_Ope_005[[#This Row],[TIPO DE R.]]="R",COUNTIFS($D$4:$D419,"R")+1,"")</f>
        <v>416</v>
      </c>
      <c r="C420" s="19" t="str">
        <f t="shared" si="48"/>
        <v>C_Ope_005</v>
      </c>
      <c r="D420" s="3" t="s">
        <v>1074</v>
      </c>
      <c r="E420" s="14">
        <v>45882</v>
      </c>
      <c r="F420" s="5" t="s">
        <v>7166</v>
      </c>
      <c r="G420" s="5" t="s">
        <v>1079</v>
      </c>
      <c r="H420" s="6" t="s">
        <v>919</v>
      </c>
      <c r="I420" s="6" t="s">
        <v>14</v>
      </c>
      <c r="J420" s="6" t="s">
        <v>5242</v>
      </c>
      <c r="K420" s="6">
        <v>2143326</v>
      </c>
      <c r="L420" s="7" t="s">
        <v>7370</v>
      </c>
      <c r="M420" s="8">
        <v>25153</v>
      </c>
      <c r="N420" s="8" t="str">
        <f t="shared" si="49"/>
        <v>PEN</v>
      </c>
      <c r="O420" s="13"/>
      <c r="P420" s="13">
        <v>8</v>
      </c>
      <c r="Q420" s="3">
        <f t="shared" si="50"/>
        <v>0</v>
      </c>
      <c r="R420" s="3">
        <f t="shared" si="51"/>
        <v>8</v>
      </c>
      <c r="S420" s="3">
        <f t="shared" si="43"/>
        <v>177.19999999999925</v>
      </c>
      <c r="T420" s="24" t="s">
        <v>1081</v>
      </c>
      <c r="U420" s="24"/>
      <c r="V420" s="3"/>
      <c r="W420" s="25" t="s">
        <v>6541</v>
      </c>
      <c r="X420" s="25">
        <v>20517252558</v>
      </c>
      <c r="Y420" s="25" t="str">
        <f>IFERROR(VLOOKUP(C_Ope_005[[#This Row],[NOTA 2]],Clientes_Proveedores[[Ruc / Dni]:[Razon Social]],2,0),"")</f>
        <v>COVISUR S.A.</v>
      </c>
      <c r="Z420" s="25" t="s">
        <v>6677</v>
      </c>
      <c r="AA420" s="25"/>
      <c r="AB420" s="3" t="str">
        <f>IF(C_Ope_005[[#This Row],[FECHA]]&gt;0,TEXT(C_Ope_005[[#This Row],[FECHA]],"mmmm"),0)</f>
        <v>Agosto</v>
      </c>
    </row>
    <row r="421" spans="2:28" x14ac:dyDescent="0.3">
      <c r="B421" s="2">
        <f>IF(C_Ope_005[[#This Row],[TIPO DE R.]]="R",COUNTIFS($D$4:$D420,"R")+1,"")</f>
        <v>417</v>
      </c>
      <c r="C421" s="19" t="str">
        <f t="shared" ref="C421:C443" si="52">"C_Ope_005"</f>
        <v>C_Ope_005</v>
      </c>
      <c r="D421" s="3" t="s">
        <v>1074</v>
      </c>
      <c r="E421" s="14">
        <v>45887</v>
      </c>
      <c r="F421" s="5" t="s">
        <v>7166</v>
      </c>
      <c r="G421" s="5" t="s">
        <v>1079</v>
      </c>
      <c r="H421" s="6" t="s">
        <v>919</v>
      </c>
      <c r="I421" s="6" t="s">
        <v>14</v>
      </c>
      <c r="J421" s="6" t="s">
        <v>5243</v>
      </c>
      <c r="K421" s="6">
        <v>2439201</v>
      </c>
      <c r="L421" s="7" t="s">
        <v>7914</v>
      </c>
      <c r="M421" s="8">
        <v>25172</v>
      </c>
      <c r="N421" s="8" t="str">
        <f t="shared" ref="N421:N443" si="53">"PEN"</f>
        <v>PEN</v>
      </c>
      <c r="O421" s="13"/>
      <c r="P421" s="13">
        <v>8</v>
      </c>
      <c r="Q421" s="3">
        <f t="shared" ref="Q421:Q443" si="54">+IF(OR($G421="SALDO",$G421="INGRESO"),$P421,0)</f>
        <v>0</v>
      </c>
      <c r="R421" s="3">
        <f t="shared" ref="R421:R443" si="55">+IF($G421="EGRESO",$P421,0)</f>
        <v>8</v>
      </c>
      <c r="S421" s="3">
        <f t="shared" si="43"/>
        <v>169.19999999999925</v>
      </c>
      <c r="T421" s="24" t="s">
        <v>1081</v>
      </c>
      <c r="U421" s="24"/>
      <c r="V421" s="3"/>
      <c r="W421" s="25" t="s">
        <v>6630</v>
      </c>
      <c r="X421" s="25">
        <v>20517252558</v>
      </c>
      <c r="Y421" s="25" t="str">
        <f>IFERROR(VLOOKUP(C_Ope_005[[#This Row],[NOTA 2]],Clientes_Proveedores[[Ruc / Dni]:[Razon Social]],2,0),"")</f>
        <v>COVISUR S.A.</v>
      </c>
      <c r="Z421" s="25" t="s">
        <v>6677</v>
      </c>
      <c r="AA421" s="25"/>
      <c r="AB421" s="3" t="str">
        <f>IF(C_Ope_005[[#This Row],[FECHA]]&gt;0,TEXT(C_Ope_005[[#This Row],[FECHA]],"mmmm"),0)</f>
        <v>Agosto</v>
      </c>
    </row>
    <row r="422" spans="2:28" ht="36" x14ac:dyDescent="0.3">
      <c r="B422" s="2">
        <f>IF(C_Ope_005[[#This Row],[TIPO DE R.]]="R",COUNTIFS($D$4:$D421,"R")+1,"")</f>
        <v>418</v>
      </c>
      <c r="C422" s="19" t="str">
        <f t="shared" si="52"/>
        <v>C_Ope_005</v>
      </c>
      <c r="D422" s="3" t="s">
        <v>1074</v>
      </c>
      <c r="E422" s="14">
        <v>45887</v>
      </c>
      <c r="F422" s="5" t="s">
        <v>7166</v>
      </c>
      <c r="G422" s="5" t="s">
        <v>1079</v>
      </c>
      <c r="H422" s="6" t="s">
        <v>624</v>
      </c>
      <c r="I422" s="6" t="s">
        <v>14</v>
      </c>
      <c r="J422" s="6" t="s">
        <v>1097</v>
      </c>
      <c r="K422" s="6">
        <v>17386</v>
      </c>
      <c r="L422" s="7" t="s">
        <v>7929</v>
      </c>
      <c r="M422" s="8">
        <v>25173</v>
      </c>
      <c r="N422" s="8" t="str">
        <f t="shared" si="53"/>
        <v>PEN</v>
      </c>
      <c r="O422" s="13"/>
      <c r="P422" s="13">
        <v>20</v>
      </c>
      <c r="Q422" s="3">
        <f t="shared" si="54"/>
        <v>0</v>
      </c>
      <c r="R422" s="3">
        <f t="shared" si="55"/>
        <v>20</v>
      </c>
      <c r="S422" s="3">
        <f t="shared" si="43"/>
        <v>149.19999999999925</v>
      </c>
      <c r="T422" s="24" t="s">
        <v>1081</v>
      </c>
      <c r="U422" s="24"/>
      <c r="V422" s="3"/>
      <c r="W422" s="25" t="s">
        <v>6630</v>
      </c>
      <c r="X422" s="25">
        <v>20259858934</v>
      </c>
      <c r="Y422" s="25" t="str">
        <f>IFERROR(VLOOKUP(C_Ope_005[[#This Row],[NOTA 2]],Clientes_Proveedores[[Ruc / Dni]:[Razon Social]],2,0),"")</f>
        <v>COMERCIALIZACION Y SERVICIOS EL EDEN S.A.C.</v>
      </c>
      <c r="Z422" s="25" t="s">
        <v>4972</v>
      </c>
      <c r="AA422" s="25"/>
      <c r="AB422" s="3" t="str">
        <f>IF(C_Ope_005[[#This Row],[FECHA]]&gt;0,TEXT(C_Ope_005[[#This Row],[FECHA]],"mmmm"),0)</f>
        <v>Agosto</v>
      </c>
    </row>
    <row r="423" spans="2:28" x14ac:dyDescent="0.3">
      <c r="B423" s="2">
        <f>IF(C_Ope_005[[#This Row],[TIPO DE R.]]="R",COUNTIFS($D$4:$D422,"R")+1,"")</f>
        <v>419</v>
      </c>
      <c r="C423" s="19" t="str">
        <f>"C_Ope_005"</f>
        <v>C_Ope_005</v>
      </c>
      <c r="D423" s="3" t="s">
        <v>1074</v>
      </c>
      <c r="E423" s="14">
        <v>45887</v>
      </c>
      <c r="F423" s="5" t="s">
        <v>6298</v>
      </c>
      <c r="G423" s="5" t="s">
        <v>1087</v>
      </c>
      <c r="H423" s="6"/>
      <c r="I423" s="6"/>
      <c r="J423" s="6"/>
      <c r="K423" s="6"/>
      <c r="L423" s="7" t="s">
        <v>7113</v>
      </c>
      <c r="M423" s="8">
        <v>25182</v>
      </c>
      <c r="N423" s="8" t="str">
        <f>"PEN"</f>
        <v>PEN</v>
      </c>
      <c r="O423" s="13"/>
      <c r="P423" s="13">
        <v>700</v>
      </c>
      <c r="Q423" s="3">
        <f>+IF(OR($G423="SALDO",$G423="INGRESO"),$P423,0)</f>
        <v>700</v>
      </c>
      <c r="R423" s="3">
        <f>+IF($G423="EGRESO",$P423,0)</f>
        <v>0</v>
      </c>
      <c r="S423" s="3">
        <f t="shared" si="43"/>
        <v>849.19999999999925</v>
      </c>
      <c r="T423" s="24"/>
      <c r="U423" s="24"/>
      <c r="V423" s="3"/>
      <c r="W423" s="25"/>
      <c r="X423" s="25"/>
      <c r="Y423" s="25" t="str">
        <f>IFERROR(VLOOKUP(C_Ope_005[[#This Row],[NOTA 2]],Clientes_Proveedores[[Ruc / Dni]:[Razon Social]],2,0),"")</f>
        <v/>
      </c>
      <c r="Z423" s="25"/>
      <c r="AA423" s="25">
        <f>ROUND(C_Ope_005[[#This Row],[MONTO ]]/1.18,3)</f>
        <v>593.22</v>
      </c>
      <c r="AB423" s="3" t="str">
        <f>IF(C_Ope_005[[#This Row],[FECHA]]&gt;0,TEXT(C_Ope_005[[#This Row],[FECHA]],"mmmm"),0)</f>
        <v>Agosto</v>
      </c>
    </row>
    <row r="424" spans="2:28" x14ac:dyDescent="0.3">
      <c r="B424" s="2">
        <f>IF(C_Ope_005[[#This Row],[TIPO DE R.]]="R",COUNTIFS($D$4:$D423,"R")+1,"")</f>
        <v>420</v>
      </c>
      <c r="C424" s="19" t="str">
        <f t="shared" si="52"/>
        <v>C_Ope_005</v>
      </c>
      <c r="D424" s="3" t="s">
        <v>1074</v>
      </c>
      <c r="E424" s="14">
        <v>45888</v>
      </c>
      <c r="F424" s="5" t="s">
        <v>7166</v>
      </c>
      <c r="G424" s="5" t="s">
        <v>1079</v>
      </c>
      <c r="H424" s="6" t="s">
        <v>919</v>
      </c>
      <c r="I424" s="6" t="s">
        <v>14</v>
      </c>
      <c r="J424" s="6" t="s">
        <v>5245</v>
      </c>
      <c r="K424" s="6">
        <v>1836826</v>
      </c>
      <c r="L424" s="7" t="s">
        <v>7915</v>
      </c>
      <c r="M424" s="8">
        <v>25195</v>
      </c>
      <c r="N424" s="8" t="str">
        <f t="shared" si="53"/>
        <v>PEN</v>
      </c>
      <c r="O424" s="13"/>
      <c r="P424" s="13">
        <v>8</v>
      </c>
      <c r="Q424" s="3">
        <f t="shared" si="54"/>
        <v>0</v>
      </c>
      <c r="R424" s="3">
        <f t="shared" si="55"/>
        <v>8</v>
      </c>
      <c r="S424" s="3">
        <f t="shared" si="43"/>
        <v>841.19999999999925</v>
      </c>
      <c r="T424" s="24" t="s">
        <v>1081</v>
      </c>
      <c r="U424" s="24"/>
      <c r="V424" s="3"/>
      <c r="W424" s="25" t="s">
        <v>6546</v>
      </c>
      <c r="X424" s="25">
        <v>20517252558</v>
      </c>
      <c r="Y424" s="25" t="str">
        <f>IFERROR(VLOOKUP(C_Ope_005[[#This Row],[NOTA 2]],Clientes_Proveedores[[Ruc / Dni]:[Razon Social]],2,0),"")</f>
        <v>COVISUR S.A.</v>
      </c>
      <c r="Z424" s="25" t="s">
        <v>6677</v>
      </c>
      <c r="AA424" s="25"/>
      <c r="AB424" s="3" t="str">
        <f>IF(C_Ope_005[[#This Row],[FECHA]]&gt;0,TEXT(C_Ope_005[[#This Row],[FECHA]],"mmmm"),0)</f>
        <v>Agosto</v>
      </c>
    </row>
    <row r="425" spans="2:28" x14ac:dyDescent="0.3">
      <c r="B425" s="2">
        <f>IF(C_Ope_005[[#This Row],[TIPO DE R.]]="R",COUNTIFS($D$4:$D424,"R")+1,"")</f>
        <v>421</v>
      </c>
      <c r="C425" s="19" t="str">
        <f t="shared" si="52"/>
        <v>C_Ope_005</v>
      </c>
      <c r="D425" s="3" t="s">
        <v>1074</v>
      </c>
      <c r="E425" s="14">
        <v>45888</v>
      </c>
      <c r="F425" s="5" t="s">
        <v>7166</v>
      </c>
      <c r="G425" s="5" t="s">
        <v>1079</v>
      </c>
      <c r="H425" s="6" t="s">
        <v>919</v>
      </c>
      <c r="I425" s="6" t="s">
        <v>14</v>
      </c>
      <c r="J425" s="6" t="s">
        <v>5243</v>
      </c>
      <c r="K425" s="6">
        <v>2440612</v>
      </c>
      <c r="L425" s="7" t="s">
        <v>7915</v>
      </c>
      <c r="M425" s="8">
        <v>25196</v>
      </c>
      <c r="N425" s="8" t="str">
        <f t="shared" si="53"/>
        <v>PEN</v>
      </c>
      <c r="O425" s="13"/>
      <c r="P425" s="13">
        <v>8</v>
      </c>
      <c r="Q425" s="3">
        <f t="shared" si="54"/>
        <v>0</v>
      </c>
      <c r="R425" s="3">
        <f t="shared" si="55"/>
        <v>8</v>
      </c>
      <c r="S425" s="3">
        <f t="shared" si="43"/>
        <v>833.19999999999925</v>
      </c>
      <c r="T425" s="24" t="s">
        <v>1081</v>
      </c>
      <c r="U425" s="24"/>
      <c r="V425" s="3"/>
      <c r="W425" s="25" t="s">
        <v>6546</v>
      </c>
      <c r="X425" s="25">
        <v>20517252558</v>
      </c>
      <c r="Y425" s="25" t="str">
        <f>IFERROR(VLOOKUP(C_Ope_005[[#This Row],[NOTA 2]],Clientes_Proveedores[[Ruc / Dni]:[Razon Social]],2,0),"")</f>
        <v>COVISUR S.A.</v>
      </c>
      <c r="Z425" s="25" t="s">
        <v>6677</v>
      </c>
      <c r="AA425" s="25"/>
      <c r="AB425" s="3" t="str">
        <f>IF(C_Ope_005[[#This Row],[FECHA]]&gt;0,TEXT(C_Ope_005[[#This Row],[FECHA]],"mmmm"),0)</f>
        <v>Agosto</v>
      </c>
    </row>
    <row r="426" spans="2:28" ht="24" x14ac:dyDescent="0.3">
      <c r="B426" s="2">
        <f>IF(C_Ope_005[[#This Row],[TIPO DE R.]]="R",COUNTIFS($D$4:$D425,"R")+1,"")</f>
        <v>422</v>
      </c>
      <c r="C426" s="19" t="str">
        <f t="shared" si="52"/>
        <v>C_Ope_005</v>
      </c>
      <c r="D426" s="3" t="s">
        <v>1074</v>
      </c>
      <c r="E426" s="14">
        <v>45888</v>
      </c>
      <c r="F426" s="5" t="s">
        <v>7166</v>
      </c>
      <c r="G426" s="5" t="s">
        <v>1079</v>
      </c>
      <c r="H426" s="6" t="s">
        <v>919</v>
      </c>
      <c r="I426" s="6" t="s">
        <v>14</v>
      </c>
      <c r="J426" s="6" t="s">
        <v>7226</v>
      </c>
      <c r="K426" s="6">
        <v>455379</v>
      </c>
      <c r="L426" s="7" t="s">
        <v>7916</v>
      </c>
      <c r="M426" s="8">
        <v>25197</v>
      </c>
      <c r="N426" s="8" t="str">
        <f t="shared" si="53"/>
        <v>PEN</v>
      </c>
      <c r="O426" s="13"/>
      <c r="P426" s="13">
        <v>7.7</v>
      </c>
      <c r="Q426" s="3">
        <f t="shared" si="54"/>
        <v>0</v>
      </c>
      <c r="R426" s="3">
        <f t="shared" si="55"/>
        <v>7.7</v>
      </c>
      <c r="S426" s="3">
        <f t="shared" si="43"/>
        <v>825.4999999999992</v>
      </c>
      <c r="T426" s="24" t="s">
        <v>1081</v>
      </c>
      <c r="U426" s="24"/>
      <c r="V426" s="3"/>
      <c r="W426" s="25" t="s">
        <v>6546</v>
      </c>
      <c r="X426" s="25">
        <v>20517252558</v>
      </c>
      <c r="Y426" s="25" t="str">
        <f>IFERROR(VLOOKUP(C_Ope_005[[#This Row],[NOTA 2]],Clientes_Proveedores[[Ruc / Dni]:[Razon Social]],2,0),"")</f>
        <v>COVISUR S.A.</v>
      </c>
      <c r="Z426" s="25" t="s">
        <v>6677</v>
      </c>
      <c r="AA426" s="25"/>
      <c r="AB426" s="3" t="str">
        <f>IF(C_Ope_005[[#This Row],[FECHA]]&gt;0,TEXT(C_Ope_005[[#This Row],[FECHA]],"mmmm"),0)</f>
        <v>Agosto</v>
      </c>
    </row>
    <row r="427" spans="2:28" ht="24" x14ac:dyDescent="0.3">
      <c r="B427" s="2">
        <f>IF(C_Ope_005[[#This Row],[TIPO DE R.]]="R",COUNTIFS($D$4:$D426,"R")+1,"")</f>
        <v>423</v>
      </c>
      <c r="C427" s="19" t="str">
        <f t="shared" si="52"/>
        <v>C_Ope_005</v>
      </c>
      <c r="D427" s="3" t="s">
        <v>1074</v>
      </c>
      <c r="E427" s="14">
        <v>45888</v>
      </c>
      <c r="F427" s="5" t="s">
        <v>7166</v>
      </c>
      <c r="G427" s="5" t="s">
        <v>1079</v>
      </c>
      <c r="H427" s="6" t="s">
        <v>950</v>
      </c>
      <c r="I427" s="6" t="s">
        <v>70</v>
      </c>
      <c r="J427" s="6"/>
      <c r="K427" s="8">
        <v>25198</v>
      </c>
      <c r="L427" s="7" t="s">
        <v>7917</v>
      </c>
      <c r="M427" s="8">
        <v>25198</v>
      </c>
      <c r="N427" s="8" t="str">
        <f t="shared" si="53"/>
        <v>PEN</v>
      </c>
      <c r="O427" s="13"/>
      <c r="P427" s="13">
        <v>24</v>
      </c>
      <c r="Q427" s="3">
        <f t="shared" si="54"/>
        <v>0</v>
      </c>
      <c r="R427" s="3">
        <f t="shared" si="55"/>
        <v>24</v>
      </c>
      <c r="S427" s="3">
        <f t="shared" si="43"/>
        <v>801.4999999999992</v>
      </c>
      <c r="T427" s="24" t="s">
        <v>1081</v>
      </c>
      <c r="U427" s="24"/>
      <c r="V427" s="3"/>
      <c r="W427" s="25" t="s">
        <v>6546</v>
      </c>
      <c r="X427" s="25"/>
      <c r="Y427" s="25" t="str">
        <f>IFERROR(VLOOKUP(C_Ope_005[[#This Row],[NOTA 2]],Clientes_Proveedores[[Ruc / Dni]:[Razon Social]],2,0),"")</f>
        <v/>
      </c>
      <c r="Z427" s="25" t="s">
        <v>7493</v>
      </c>
      <c r="AA427" s="25"/>
      <c r="AB427" s="3" t="str">
        <f>IF(C_Ope_005[[#This Row],[FECHA]]&gt;0,TEXT(C_Ope_005[[#This Row],[FECHA]],"mmmm"),0)</f>
        <v>Agosto</v>
      </c>
    </row>
    <row r="428" spans="2:28" ht="24" x14ac:dyDescent="0.3">
      <c r="B428" s="2">
        <f>IF(C_Ope_005[[#This Row],[TIPO DE R.]]="R",COUNTIFS($D$4:$D427,"R")+1,"")</f>
        <v>424</v>
      </c>
      <c r="C428" s="19" t="str">
        <f t="shared" si="52"/>
        <v>C_Ope_005</v>
      </c>
      <c r="D428" s="3" t="s">
        <v>1074</v>
      </c>
      <c r="E428" s="14">
        <v>45888</v>
      </c>
      <c r="F428" s="5" t="s">
        <v>7166</v>
      </c>
      <c r="G428" s="5" t="s">
        <v>1079</v>
      </c>
      <c r="H428" s="6" t="s">
        <v>950</v>
      </c>
      <c r="I428" s="6" t="s">
        <v>70</v>
      </c>
      <c r="J428" s="6"/>
      <c r="K428" s="8">
        <v>25199</v>
      </c>
      <c r="L428" s="7" t="s">
        <v>7918</v>
      </c>
      <c r="M428" s="8">
        <v>25199</v>
      </c>
      <c r="N428" s="8" t="str">
        <f t="shared" si="53"/>
        <v>PEN</v>
      </c>
      <c r="O428" s="13"/>
      <c r="P428" s="13">
        <v>100</v>
      </c>
      <c r="Q428" s="3">
        <f t="shared" si="54"/>
        <v>0</v>
      </c>
      <c r="R428" s="3">
        <f t="shared" si="55"/>
        <v>100</v>
      </c>
      <c r="S428" s="3">
        <f t="shared" si="43"/>
        <v>701.4999999999992</v>
      </c>
      <c r="T428" s="24" t="s">
        <v>1081</v>
      </c>
      <c r="U428" s="24"/>
      <c r="V428" s="3"/>
      <c r="W428" s="25" t="s">
        <v>6546</v>
      </c>
      <c r="X428" s="25"/>
      <c r="Y428" s="25" t="str">
        <f>IFERROR(VLOOKUP(C_Ope_005[[#This Row],[NOTA 2]],Clientes_Proveedores[[Ruc / Dni]:[Razon Social]],2,0),"")</f>
        <v/>
      </c>
      <c r="Z428" s="25" t="s">
        <v>6699</v>
      </c>
      <c r="AA428" s="25"/>
      <c r="AB428" s="3" t="str">
        <f>IF(C_Ope_005[[#This Row],[FECHA]]&gt;0,TEXT(C_Ope_005[[#This Row],[FECHA]],"mmmm"),0)</f>
        <v>Agosto</v>
      </c>
    </row>
    <row r="429" spans="2:28" ht="24" x14ac:dyDescent="0.3">
      <c r="B429" s="2">
        <f>IF(C_Ope_005[[#This Row],[TIPO DE R.]]="R",COUNTIFS($D$4:$D428,"R")+1,"")</f>
        <v>425</v>
      </c>
      <c r="C429" s="19" t="str">
        <f t="shared" si="52"/>
        <v>C_Ope_005</v>
      </c>
      <c r="D429" s="3" t="s">
        <v>1074</v>
      </c>
      <c r="E429" s="14">
        <v>45889</v>
      </c>
      <c r="F429" s="5" t="s">
        <v>7166</v>
      </c>
      <c r="G429" s="5" t="s">
        <v>1079</v>
      </c>
      <c r="H429" s="6" t="s">
        <v>977</v>
      </c>
      <c r="I429" s="6" t="s">
        <v>14</v>
      </c>
      <c r="J429" s="6" t="s">
        <v>7185</v>
      </c>
      <c r="K429" s="6">
        <v>648281</v>
      </c>
      <c r="L429" s="7" t="s">
        <v>7919</v>
      </c>
      <c r="M429" s="8">
        <v>25217</v>
      </c>
      <c r="N429" s="8" t="str">
        <f t="shared" si="53"/>
        <v>PEN</v>
      </c>
      <c r="O429" s="13"/>
      <c r="P429" s="13">
        <v>7.7</v>
      </c>
      <c r="Q429" s="3">
        <f t="shared" si="54"/>
        <v>0</v>
      </c>
      <c r="R429" s="3">
        <f t="shared" si="55"/>
        <v>7.7</v>
      </c>
      <c r="S429" s="3">
        <f t="shared" si="43"/>
        <v>693.79999999999916</v>
      </c>
      <c r="T429" s="24" t="s">
        <v>1081</v>
      </c>
      <c r="U429" s="24"/>
      <c r="V429" s="3"/>
      <c r="W429" s="25" t="s">
        <v>6546</v>
      </c>
      <c r="X429" s="25">
        <v>20517216241</v>
      </c>
      <c r="Y429" s="25" t="str">
        <f>IFERROR(VLOOKUP(C_Ope_005[[#This Row],[NOTA 2]],Clientes_Proveedores[[Ruc / Dni]:[Razon Social]],2,0),"")</f>
        <v>CARRETERA ANDINA DEL SUR S.A.C.</v>
      </c>
      <c r="Z429" s="25" t="s">
        <v>6677</v>
      </c>
      <c r="AA429" s="25"/>
      <c r="AB429" s="3" t="str">
        <f>IF(C_Ope_005[[#This Row],[FECHA]]&gt;0,TEXT(C_Ope_005[[#This Row],[FECHA]],"mmmm"),0)</f>
        <v>Agosto</v>
      </c>
    </row>
    <row r="430" spans="2:28" ht="24" x14ac:dyDescent="0.3">
      <c r="B430" s="2">
        <f>IF(C_Ope_005[[#This Row],[TIPO DE R.]]="R",COUNTIFS($D$4:$D429,"R")+1,"")</f>
        <v>426</v>
      </c>
      <c r="C430" s="19" t="str">
        <f t="shared" si="52"/>
        <v>C_Ope_005</v>
      </c>
      <c r="D430" s="3" t="s">
        <v>1074</v>
      </c>
      <c r="E430" s="14">
        <v>45889</v>
      </c>
      <c r="F430" s="5" t="s">
        <v>7166</v>
      </c>
      <c r="G430" s="5" t="s">
        <v>1079</v>
      </c>
      <c r="H430" s="6" t="s">
        <v>950</v>
      </c>
      <c r="I430" s="6" t="s">
        <v>70</v>
      </c>
      <c r="J430" s="6"/>
      <c r="K430" s="8">
        <v>25212</v>
      </c>
      <c r="L430" s="7" t="s">
        <v>7920</v>
      </c>
      <c r="M430" s="8">
        <v>25212</v>
      </c>
      <c r="N430" s="8" t="str">
        <f t="shared" si="53"/>
        <v>PEN</v>
      </c>
      <c r="O430" s="13"/>
      <c r="P430" s="13">
        <v>24</v>
      </c>
      <c r="Q430" s="3">
        <f t="shared" si="54"/>
        <v>0</v>
      </c>
      <c r="R430" s="3">
        <f t="shared" si="55"/>
        <v>24</v>
      </c>
      <c r="S430" s="3">
        <f t="shared" si="43"/>
        <v>669.79999999999916</v>
      </c>
      <c r="T430" s="24" t="s">
        <v>1081</v>
      </c>
      <c r="U430" s="24"/>
      <c r="V430" s="3"/>
      <c r="W430" s="25" t="s">
        <v>6546</v>
      </c>
      <c r="X430" s="25"/>
      <c r="Y430" s="25" t="str">
        <f>IFERROR(VLOOKUP(C_Ope_005[[#This Row],[NOTA 2]],Clientes_Proveedores[[Ruc / Dni]:[Razon Social]],2,0),"")</f>
        <v/>
      </c>
      <c r="Z430" s="25" t="s">
        <v>7493</v>
      </c>
      <c r="AA430" s="25"/>
      <c r="AB430" s="3" t="str">
        <f>IF(C_Ope_005[[#This Row],[FECHA]]&gt;0,TEXT(C_Ope_005[[#This Row],[FECHA]],"mmmm"),0)</f>
        <v>Agosto</v>
      </c>
    </row>
    <row r="431" spans="2:28" ht="24" x14ac:dyDescent="0.3">
      <c r="B431" s="2">
        <f>IF(C_Ope_005[[#This Row],[TIPO DE R.]]="R",COUNTIFS($D$4:$D430,"R")+1,"")</f>
        <v>427</v>
      </c>
      <c r="C431" s="19" t="str">
        <f t="shared" si="52"/>
        <v>C_Ope_005</v>
      </c>
      <c r="D431" s="3" t="s">
        <v>1074</v>
      </c>
      <c r="E431" s="14">
        <v>45889</v>
      </c>
      <c r="F431" s="5" t="s">
        <v>7166</v>
      </c>
      <c r="G431" s="5" t="s">
        <v>1079</v>
      </c>
      <c r="H431" s="6" t="s">
        <v>950</v>
      </c>
      <c r="I431" s="6" t="s">
        <v>70</v>
      </c>
      <c r="J431" s="6"/>
      <c r="K431" s="8">
        <v>25213</v>
      </c>
      <c r="L431" s="7" t="s">
        <v>7921</v>
      </c>
      <c r="M431" s="8">
        <v>25213</v>
      </c>
      <c r="N431" s="8" t="str">
        <f t="shared" si="53"/>
        <v>PEN</v>
      </c>
      <c r="O431" s="13"/>
      <c r="P431" s="13">
        <v>30</v>
      </c>
      <c r="Q431" s="3">
        <f t="shared" si="54"/>
        <v>0</v>
      </c>
      <c r="R431" s="3">
        <f t="shared" si="55"/>
        <v>30</v>
      </c>
      <c r="S431" s="3">
        <f t="shared" si="43"/>
        <v>639.79999999999916</v>
      </c>
      <c r="T431" s="24" t="s">
        <v>1081</v>
      </c>
      <c r="U431" s="24"/>
      <c r="V431" s="3"/>
      <c r="W431" s="25" t="s">
        <v>6546</v>
      </c>
      <c r="X431" s="25"/>
      <c r="Y431" s="25" t="str">
        <f>IFERROR(VLOOKUP(C_Ope_005[[#This Row],[NOTA 2]],Clientes_Proveedores[[Ruc / Dni]:[Razon Social]],2,0),"")</f>
        <v/>
      </c>
      <c r="Z431" s="25" t="s">
        <v>7493</v>
      </c>
      <c r="AA431" s="25"/>
      <c r="AB431" s="3" t="str">
        <f>IF(C_Ope_005[[#This Row],[FECHA]]&gt;0,TEXT(C_Ope_005[[#This Row],[FECHA]],"mmmm"),0)</f>
        <v>Agosto</v>
      </c>
    </row>
    <row r="432" spans="2:28" ht="24" x14ac:dyDescent="0.3">
      <c r="B432" s="2">
        <f>IF(C_Ope_005[[#This Row],[TIPO DE R.]]="R",COUNTIFS($D$4:$D431,"R")+1,"")</f>
        <v>428</v>
      </c>
      <c r="C432" s="19" t="str">
        <f t="shared" si="52"/>
        <v>C_Ope_005</v>
      </c>
      <c r="D432" s="3" t="s">
        <v>1074</v>
      </c>
      <c r="E432" s="14">
        <v>45889</v>
      </c>
      <c r="F432" s="5" t="s">
        <v>7166</v>
      </c>
      <c r="G432" s="5" t="s">
        <v>1079</v>
      </c>
      <c r="H432" s="6" t="s">
        <v>950</v>
      </c>
      <c r="I432" s="6" t="s">
        <v>70</v>
      </c>
      <c r="J432" s="6"/>
      <c r="K432" s="8">
        <v>25214</v>
      </c>
      <c r="L432" s="7" t="s">
        <v>7917</v>
      </c>
      <c r="M432" s="8">
        <v>25214</v>
      </c>
      <c r="N432" s="8" t="str">
        <f t="shared" si="53"/>
        <v>PEN</v>
      </c>
      <c r="O432" s="13"/>
      <c r="P432" s="13">
        <v>24</v>
      </c>
      <c r="Q432" s="3">
        <f t="shared" si="54"/>
        <v>0</v>
      </c>
      <c r="R432" s="3">
        <f t="shared" si="55"/>
        <v>24</v>
      </c>
      <c r="S432" s="3">
        <f t="shared" si="43"/>
        <v>615.79999999999916</v>
      </c>
      <c r="T432" s="24" t="s">
        <v>1081</v>
      </c>
      <c r="U432" s="24"/>
      <c r="V432" s="3"/>
      <c r="W432" s="25" t="s">
        <v>6546</v>
      </c>
      <c r="X432" s="25"/>
      <c r="Y432" s="25" t="str">
        <f>IFERROR(VLOOKUP(C_Ope_005[[#This Row],[NOTA 2]],Clientes_Proveedores[[Ruc / Dni]:[Razon Social]],2,0),"")</f>
        <v/>
      </c>
      <c r="Z432" s="25" t="s">
        <v>7493</v>
      </c>
      <c r="AA432" s="25"/>
      <c r="AB432" s="3" t="str">
        <f>IF(C_Ope_005[[#This Row],[FECHA]]&gt;0,TEXT(C_Ope_005[[#This Row],[FECHA]],"mmmm"),0)</f>
        <v>Agosto</v>
      </c>
    </row>
    <row r="433" spans="2:28" ht="24" x14ac:dyDescent="0.3">
      <c r="B433" s="2">
        <f>IF(C_Ope_005[[#This Row],[TIPO DE R.]]="R",COUNTIFS($D$4:$D432,"R")+1,"")</f>
        <v>429</v>
      </c>
      <c r="C433" s="19" t="str">
        <f t="shared" si="52"/>
        <v>C_Ope_005</v>
      </c>
      <c r="D433" s="3" t="s">
        <v>1074</v>
      </c>
      <c r="E433" s="14">
        <v>45889</v>
      </c>
      <c r="F433" s="5" t="s">
        <v>7166</v>
      </c>
      <c r="G433" s="5" t="s">
        <v>1079</v>
      </c>
      <c r="H433" s="6" t="s">
        <v>950</v>
      </c>
      <c r="I433" s="6" t="s">
        <v>70</v>
      </c>
      <c r="J433" s="6"/>
      <c r="K433" s="8">
        <v>25215</v>
      </c>
      <c r="L433" s="7" t="s">
        <v>7922</v>
      </c>
      <c r="M433" s="8">
        <v>25215</v>
      </c>
      <c r="N433" s="8" t="str">
        <f t="shared" si="53"/>
        <v>PEN</v>
      </c>
      <c r="O433" s="13"/>
      <c r="P433" s="13">
        <v>100</v>
      </c>
      <c r="Q433" s="3">
        <f t="shared" si="54"/>
        <v>0</v>
      </c>
      <c r="R433" s="3">
        <f t="shared" si="55"/>
        <v>100</v>
      </c>
      <c r="S433" s="3">
        <f t="shared" si="43"/>
        <v>515.79999999999916</v>
      </c>
      <c r="T433" s="24" t="s">
        <v>1081</v>
      </c>
      <c r="U433" s="24"/>
      <c r="V433" s="3"/>
      <c r="W433" s="25" t="s">
        <v>6546</v>
      </c>
      <c r="X433" s="25"/>
      <c r="Y433" s="25" t="str">
        <f>IFERROR(VLOOKUP(C_Ope_005[[#This Row],[NOTA 2]],Clientes_Proveedores[[Ruc / Dni]:[Razon Social]],2,0),"")</f>
        <v/>
      </c>
      <c r="Z433" s="25" t="s">
        <v>6699</v>
      </c>
      <c r="AA433" s="25"/>
      <c r="AB433" s="3" t="str">
        <f>IF(C_Ope_005[[#This Row],[FECHA]]&gt;0,TEXT(C_Ope_005[[#This Row],[FECHA]],"mmmm"),0)</f>
        <v>Agosto</v>
      </c>
    </row>
    <row r="434" spans="2:28" x14ac:dyDescent="0.3">
      <c r="B434" s="2">
        <f>IF(C_Ope_005[[#This Row],[TIPO DE R.]]="R",COUNTIFS($D$4:$D433,"R")+1,"")</f>
        <v>430</v>
      </c>
      <c r="C434" s="19" t="str">
        <f t="shared" si="52"/>
        <v>C_Ope_005</v>
      </c>
      <c r="D434" s="3" t="s">
        <v>1074</v>
      </c>
      <c r="E434" s="14">
        <v>45889</v>
      </c>
      <c r="F434" s="5" t="s">
        <v>7166</v>
      </c>
      <c r="G434" s="5" t="s">
        <v>1079</v>
      </c>
      <c r="H434" s="6" t="s">
        <v>950</v>
      </c>
      <c r="I434" s="6" t="s">
        <v>70</v>
      </c>
      <c r="J434" s="6"/>
      <c r="K434" s="8">
        <v>25216</v>
      </c>
      <c r="L434" s="7" t="s">
        <v>7923</v>
      </c>
      <c r="M434" s="8">
        <v>25216</v>
      </c>
      <c r="N434" s="8" t="str">
        <f t="shared" si="53"/>
        <v>PEN</v>
      </c>
      <c r="O434" s="13"/>
      <c r="P434" s="13">
        <v>15</v>
      </c>
      <c r="Q434" s="3">
        <f t="shared" si="54"/>
        <v>0</v>
      </c>
      <c r="R434" s="3">
        <f t="shared" si="55"/>
        <v>15</v>
      </c>
      <c r="S434" s="3">
        <f t="shared" si="43"/>
        <v>500.79999999999916</v>
      </c>
      <c r="T434" s="24" t="s">
        <v>1081</v>
      </c>
      <c r="U434" s="24"/>
      <c r="V434" s="3"/>
      <c r="W434" s="25" t="s">
        <v>6546</v>
      </c>
      <c r="X434" s="25"/>
      <c r="Y434" s="25" t="str">
        <f>IFERROR(VLOOKUP(C_Ope_005[[#This Row],[NOTA 2]],Clientes_Proveedores[[Ruc / Dni]:[Razon Social]],2,0),"")</f>
        <v/>
      </c>
      <c r="Z434" s="25" t="s">
        <v>7400</v>
      </c>
      <c r="AA434" s="25"/>
      <c r="AB434" s="3" t="str">
        <f>IF(C_Ope_005[[#This Row],[FECHA]]&gt;0,TEXT(C_Ope_005[[#This Row],[FECHA]],"mmmm"),0)</f>
        <v>Agosto</v>
      </c>
    </row>
    <row r="435" spans="2:28" ht="24" x14ac:dyDescent="0.3">
      <c r="B435" s="2">
        <f>IF(C_Ope_005[[#This Row],[TIPO DE R.]]="R",COUNTIFS($D$4:$D434,"R")+1,"")</f>
        <v>431</v>
      </c>
      <c r="C435" s="19" t="str">
        <f t="shared" si="52"/>
        <v>C_Ope_005</v>
      </c>
      <c r="D435" s="3" t="s">
        <v>1074</v>
      </c>
      <c r="E435" s="14">
        <v>45890</v>
      </c>
      <c r="F435" s="5" t="s">
        <v>7166</v>
      </c>
      <c r="G435" s="5" t="s">
        <v>1079</v>
      </c>
      <c r="H435" s="6" t="s">
        <v>977</v>
      </c>
      <c r="I435" s="6" t="s">
        <v>14</v>
      </c>
      <c r="J435" s="6" t="s">
        <v>7187</v>
      </c>
      <c r="K435" s="6">
        <v>660838</v>
      </c>
      <c r="L435" s="7" t="s">
        <v>7919</v>
      </c>
      <c r="M435" s="8">
        <v>25244</v>
      </c>
      <c r="N435" s="8" t="str">
        <f t="shared" si="53"/>
        <v>PEN</v>
      </c>
      <c r="O435" s="13"/>
      <c r="P435" s="13">
        <v>7.7</v>
      </c>
      <c r="Q435" s="3">
        <f t="shared" si="54"/>
        <v>0</v>
      </c>
      <c r="R435" s="3">
        <f t="shared" si="55"/>
        <v>7.7</v>
      </c>
      <c r="S435" s="3">
        <f t="shared" si="43"/>
        <v>493.09999999999917</v>
      </c>
      <c r="T435" s="24" t="s">
        <v>1081</v>
      </c>
      <c r="U435" s="24"/>
      <c r="V435" s="3"/>
      <c r="W435" s="25" t="s">
        <v>6546</v>
      </c>
      <c r="X435" s="25">
        <v>20517216241</v>
      </c>
      <c r="Y435" s="25" t="str">
        <f>IFERROR(VLOOKUP(C_Ope_005[[#This Row],[NOTA 2]],Clientes_Proveedores[[Ruc / Dni]:[Razon Social]],2,0),"")</f>
        <v>CARRETERA ANDINA DEL SUR S.A.C.</v>
      </c>
      <c r="Z435" s="25" t="s">
        <v>6677</v>
      </c>
      <c r="AA435" s="25"/>
      <c r="AB435" s="3" t="str">
        <f>IF(C_Ope_005[[#This Row],[FECHA]]&gt;0,TEXT(C_Ope_005[[#This Row],[FECHA]],"mmmm"),0)</f>
        <v>Agosto</v>
      </c>
    </row>
    <row r="436" spans="2:28" ht="24" x14ac:dyDescent="0.3">
      <c r="B436" s="2">
        <f>IF(C_Ope_005[[#This Row],[TIPO DE R.]]="R",COUNTIFS($D$4:$D435,"R")+1,"")</f>
        <v>432</v>
      </c>
      <c r="C436" s="19" t="str">
        <f t="shared" si="52"/>
        <v>C_Ope_005</v>
      </c>
      <c r="D436" s="3" t="s">
        <v>1074</v>
      </c>
      <c r="E436" s="14">
        <v>45890</v>
      </c>
      <c r="F436" s="5" t="s">
        <v>7166</v>
      </c>
      <c r="G436" s="5" t="s">
        <v>1079</v>
      </c>
      <c r="H436" s="6" t="s">
        <v>7937</v>
      </c>
      <c r="I436" s="6" t="s">
        <v>21</v>
      </c>
      <c r="J436" s="6">
        <v>1</v>
      </c>
      <c r="K436" s="6">
        <v>3329</v>
      </c>
      <c r="L436" s="7" t="s">
        <v>7924</v>
      </c>
      <c r="M436" s="8">
        <v>25245</v>
      </c>
      <c r="N436" s="8" t="str">
        <f t="shared" si="53"/>
        <v>PEN</v>
      </c>
      <c r="O436" s="13"/>
      <c r="P436" s="13">
        <v>100</v>
      </c>
      <c r="Q436" s="3">
        <f t="shared" si="54"/>
        <v>0</v>
      </c>
      <c r="R436" s="3">
        <f t="shared" si="55"/>
        <v>100</v>
      </c>
      <c r="S436" s="3">
        <f t="shared" si="43"/>
        <v>393.09999999999917</v>
      </c>
      <c r="T436" s="24" t="s">
        <v>1081</v>
      </c>
      <c r="U436" s="24"/>
      <c r="V436" s="3"/>
      <c r="W436" s="25" t="s">
        <v>6546</v>
      </c>
      <c r="X436" s="25">
        <v>10478277046</v>
      </c>
      <c r="Y436" s="25" t="str">
        <f>IFERROR(VLOOKUP(C_Ope_005[[#This Row],[NOTA 2]],Clientes_Proveedores[[Ruc / Dni]:[Razon Social]],2,0),"")</f>
        <v>MENDOZA SANCHEZ DEYSI</v>
      </c>
      <c r="Z436" s="25" t="s">
        <v>6699</v>
      </c>
      <c r="AA436" s="25"/>
      <c r="AB436" s="3" t="str">
        <f>IF(C_Ope_005[[#This Row],[FECHA]]&gt;0,TEXT(C_Ope_005[[#This Row],[FECHA]],"mmmm"),0)</f>
        <v>Agosto</v>
      </c>
    </row>
    <row r="437" spans="2:28" ht="24" x14ac:dyDescent="0.3">
      <c r="B437" s="2">
        <f>IF(C_Ope_005[[#This Row],[TIPO DE R.]]="R",COUNTIFS($D$4:$D436,"R")+1,"")</f>
        <v>433</v>
      </c>
      <c r="C437" s="19" t="str">
        <f t="shared" si="52"/>
        <v>C_Ope_005</v>
      </c>
      <c r="D437" s="3" t="s">
        <v>1074</v>
      </c>
      <c r="E437" s="14">
        <v>45890</v>
      </c>
      <c r="F437" s="5" t="s">
        <v>7166</v>
      </c>
      <c r="G437" s="5" t="s">
        <v>1079</v>
      </c>
      <c r="H437" s="6" t="s">
        <v>950</v>
      </c>
      <c r="I437" s="6" t="s">
        <v>70</v>
      </c>
      <c r="J437" s="6"/>
      <c r="K437" s="8">
        <v>25247</v>
      </c>
      <c r="L437" s="7" t="s">
        <v>7925</v>
      </c>
      <c r="M437" s="8">
        <v>25247</v>
      </c>
      <c r="N437" s="8" t="str">
        <f t="shared" si="53"/>
        <v>PEN</v>
      </c>
      <c r="O437" s="13"/>
      <c r="P437" s="13">
        <v>24</v>
      </c>
      <c r="Q437" s="3">
        <f t="shared" si="54"/>
        <v>0</v>
      </c>
      <c r="R437" s="3">
        <f t="shared" si="55"/>
        <v>24</v>
      </c>
      <c r="S437" s="3">
        <f t="shared" si="43"/>
        <v>369.09999999999917</v>
      </c>
      <c r="T437" s="24" t="s">
        <v>1081</v>
      </c>
      <c r="U437" s="24"/>
      <c r="V437" s="3"/>
      <c r="W437" s="25" t="s">
        <v>6546</v>
      </c>
      <c r="X437" s="25"/>
      <c r="Y437" s="25" t="str">
        <f>IFERROR(VLOOKUP(C_Ope_005[[#This Row],[NOTA 2]],Clientes_Proveedores[[Ruc / Dni]:[Razon Social]],2,0),"")</f>
        <v/>
      </c>
      <c r="Z437" s="25" t="s">
        <v>7493</v>
      </c>
      <c r="AA437" s="25"/>
      <c r="AB437" s="3" t="str">
        <f>IF(C_Ope_005[[#This Row],[FECHA]]&gt;0,TEXT(C_Ope_005[[#This Row],[FECHA]],"mmmm"),0)</f>
        <v>Agosto</v>
      </c>
    </row>
    <row r="438" spans="2:28" ht="24" x14ac:dyDescent="0.3">
      <c r="B438" s="2">
        <f>IF(C_Ope_005[[#This Row],[TIPO DE R.]]="R",COUNTIFS($D$4:$D437,"R")+1,"")</f>
        <v>434</v>
      </c>
      <c r="C438" s="19" t="str">
        <f t="shared" si="52"/>
        <v>C_Ope_005</v>
      </c>
      <c r="D438" s="3" t="s">
        <v>1074</v>
      </c>
      <c r="E438" s="14">
        <v>45890</v>
      </c>
      <c r="F438" s="5" t="s">
        <v>7166</v>
      </c>
      <c r="G438" s="5" t="s">
        <v>1079</v>
      </c>
      <c r="H438" s="6" t="s">
        <v>950</v>
      </c>
      <c r="I438" s="6" t="s">
        <v>70</v>
      </c>
      <c r="J438" s="6"/>
      <c r="K438" s="8">
        <v>25248</v>
      </c>
      <c r="L438" s="7" t="s">
        <v>7926</v>
      </c>
      <c r="M438" s="8">
        <v>25248</v>
      </c>
      <c r="N438" s="8" t="str">
        <f t="shared" si="53"/>
        <v>PEN</v>
      </c>
      <c r="O438" s="13"/>
      <c r="P438" s="13">
        <v>30</v>
      </c>
      <c r="Q438" s="3">
        <f t="shared" si="54"/>
        <v>0</v>
      </c>
      <c r="R438" s="3">
        <f t="shared" si="55"/>
        <v>30</v>
      </c>
      <c r="S438" s="3">
        <f t="shared" si="43"/>
        <v>339.09999999999917</v>
      </c>
      <c r="T438" s="24" t="s">
        <v>1081</v>
      </c>
      <c r="U438" s="24"/>
      <c r="V438" s="3"/>
      <c r="W438" s="25" t="s">
        <v>6546</v>
      </c>
      <c r="X438" s="25"/>
      <c r="Y438" s="25" t="str">
        <f>IFERROR(VLOOKUP(C_Ope_005[[#This Row],[NOTA 2]],Clientes_Proveedores[[Ruc / Dni]:[Razon Social]],2,0),"")</f>
        <v/>
      </c>
      <c r="Z438" s="25" t="s">
        <v>7493</v>
      </c>
      <c r="AA438" s="25"/>
      <c r="AB438" s="3" t="str">
        <f>IF(C_Ope_005[[#This Row],[FECHA]]&gt;0,TEXT(C_Ope_005[[#This Row],[FECHA]],"mmmm"),0)</f>
        <v>Agosto</v>
      </c>
    </row>
    <row r="439" spans="2:28" ht="24" x14ac:dyDescent="0.3">
      <c r="B439" s="2">
        <f>IF(C_Ope_005[[#This Row],[TIPO DE R.]]="R",COUNTIFS($D$4:$D438,"R")+1,"")</f>
        <v>435</v>
      </c>
      <c r="C439" s="19" t="str">
        <f t="shared" si="52"/>
        <v>C_Ope_005</v>
      </c>
      <c r="D439" s="3" t="s">
        <v>1074</v>
      </c>
      <c r="E439" s="14">
        <v>45890</v>
      </c>
      <c r="F439" s="5" t="s">
        <v>7166</v>
      </c>
      <c r="G439" s="5" t="s">
        <v>1079</v>
      </c>
      <c r="H439" s="6" t="s">
        <v>950</v>
      </c>
      <c r="I439" s="6" t="s">
        <v>70</v>
      </c>
      <c r="J439" s="6"/>
      <c r="K439" s="8">
        <v>25249</v>
      </c>
      <c r="L439" s="7" t="s">
        <v>7927</v>
      </c>
      <c r="M439" s="8">
        <v>25249</v>
      </c>
      <c r="N439" s="8" t="str">
        <f t="shared" si="53"/>
        <v>PEN</v>
      </c>
      <c r="O439" s="13"/>
      <c r="P439" s="13">
        <v>24</v>
      </c>
      <c r="Q439" s="3">
        <f t="shared" si="54"/>
        <v>0</v>
      </c>
      <c r="R439" s="3">
        <f t="shared" si="55"/>
        <v>24</v>
      </c>
      <c r="S439" s="3">
        <f t="shared" si="43"/>
        <v>315.09999999999917</v>
      </c>
      <c r="T439" s="24" t="s">
        <v>1081</v>
      </c>
      <c r="U439" s="24"/>
      <c r="V439" s="3"/>
      <c r="W439" s="25" t="s">
        <v>6546</v>
      </c>
      <c r="X439" s="25"/>
      <c r="Y439" s="25" t="str">
        <f>IFERROR(VLOOKUP(C_Ope_005[[#This Row],[NOTA 2]],Clientes_Proveedores[[Ruc / Dni]:[Razon Social]],2,0),"")</f>
        <v/>
      </c>
      <c r="Z439" s="25" t="s">
        <v>7493</v>
      </c>
      <c r="AA439" s="25"/>
      <c r="AB439" s="3" t="str">
        <f>IF(C_Ope_005[[#This Row],[FECHA]]&gt;0,TEXT(C_Ope_005[[#This Row],[FECHA]],"mmmm"),0)</f>
        <v>Agosto</v>
      </c>
    </row>
    <row r="440" spans="2:28" ht="24" x14ac:dyDescent="0.3">
      <c r="B440" s="2">
        <f>IF(C_Ope_005[[#This Row],[TIPO DE R.]]="R",COUNTIFS($D$4:$D439,"R")+1,"")</f>
        <v>436</v>
      </c>
      <c r="C440" s="19" t="str">
        <f t="shared" si="52"/>
        <v>C_Ope_005</v>
      </c>
      <c r="D440" s="3" t="s">
        <v>1074</v>
      </c>
      <c r="E440" s="14">
        <v>45890</v>
      </c>
      <c r="F440" s="5" t="s">
        <v>7166</v>
      </c>
      <c r="G440" s="5" t="s">
        <v>1079</v>
      </c>
      <c r="H440" s="6" t="s">
        <v>1004</v>
      </c>
      <c r="I440" s="6" t="s">
        <v>14</v>
      </c>
      <c r="J440" s="6" t="s">
        <v>1119</v>
      </c>
      <c r="K440" s="6">
        <v>47606</v>
      </c>
      <c r="L440" s="7" t="s">
        <v>7224</v>
      </c>
      <c r="M440" s="8">
        <v>25243</v>
      </c>
      <c r="N440" s="8" t="str">
        <f t="shared" si="53"/>
        <v>PEN</v>
      </c>
      <c r="O440" s="13"/>
      <c r="P440" s="13">
        <v>150</v>
      </c>
      <c r="Q440" s="3">
        <f t="shared" si="54"/>
        <v>0</v>
      </c>
      <c r="R440" s="3">
        <f t="shared" si="55"/>
        <v>150</v>
      </c>
      <c r="S440" s="3">
        <f t="shared" si="43"/>
        <v>165.09999999999917</v>
      </c>
      <c r="T440" s="24" t="s">
        <v>1081</v>
      </c>
      <c r="U440" s="24"/>
      <c r="V440" s="3"/>
      <c r="W440" s="25" t="s">
        <v>6546</v>
      </c>
      <c r="X440" s="25">
        <v>20485592556</v>
      </c>
      <c r="Y440" s="25" t="str">
        <f>IFERROR(VLOOKUP(C_Ope_005[[#This Row],[NOTA 2]],Clientes_Proveedores[[Ruc / Dni]:[Razon Social]],2,0),"")</f>
        <v>SERVICENTRO SANTA MARTHA E.I.R.LTDA.</v>
      </c>
      <c r="Z440" s="25" t="s">
        <v>3268</v>
      </c>
      <c r="AA440" s="25"/>
      <c r="AB440" s="3" t="str">
        <f>IF(C_Ope_005[[#This Row],[FECHA]]&gt;0,TEXT(C_Ope_005[[#This Row],[FECHA]],"mmmm"),0)</f>
        <v>Agosto</v>
      </c>
    </row>
    <row r="441" spans="2:28" ht="24" x14ac:dyDescent="0.3">
      <c r="B441" s="2">
        <f>IF(C_Ope_005[[#This Row],[TIPO DE R.]]="R",COUNTIFS($D$4:$D440,"R")+1,"")</f>
        <v>437</v>
      </c>
      <c r="C441" s="19" t="str">
        <f t="shared" si="52"/>
        <v>C_Ope_005</v>
      </c>
      <c r="D441" s="3" t="s">
        <v>1074</v>
      </c>
      <c r="E441" s="14">
        <v>45891</v>
      </c>
      <c r="F441" s="5" t="s">
        <v>7166</v>
      </c>
      <c r="G441" s="5" t="s">
        <v>1079</v>
      </c>
      <c r="H441" s="6" t="s">
        <v>919</v>
      </c>
      <c r="I441" s="6" t="s">
        <v>14</v>
      </c>
      <c r="J441" s="6" t="s">
        <v>7188</v>
      </c>
      <c r="K441" s="6">
        <v>1926619</v>
      </c>
      <c r="L441" s="7" t="s">
        <v>7916</v>
      </c>
      <c r="M441" s="8">
        <v>25250</v>
      </c>
      <c r="N441" s="8" t="str">
        <f t="shared" si="53"/>
        <v>PEN</v>
      </c>
      <c r="O441" s="13"/>
      <c r="P441" s="13">
        <v>7.7</v>
      </c>
      <c r="Q441" s="3">
        <f t="shared" si="54"/>
        <v>0</v>
      </c>
      <c r="R441" s="3">
        <f t="shared" si="55"/>
        <v>7.7</v>
      </c>
      <c r="S441" s="3">
        <f t="shared" si="43"/>
        <v>157.39999999999918</v>
      </c>
      <c r="T441" s="24" t="s">
        <v>1081</v>
      </c>
      <c r="U441" s="24"/>
      <c r="V441" s="3"/>
      <c r="W441" s="25" t="s">
        <v>6546</v>
      </c>
      <c r="X441" s="25">
        <v>20517252558</v>
      </c>
      <c r="Y441" s="25" t="str">
        <f>IFERROR(VLOOKUP(C_Ope_005[[#This Row],[NOTA 2]],Clientes_Proveedores[[Ruc / Dni]:[Razon Social]],2,0),"")</f>
        <v>COVISUR S.A.</v>
      </c>
      <c r="Z441" s="25" t="s">
        <v>6677</v>
      </c>
      <c r="AA441" s="25"/>
      <c r="AB441" s="3" t="str">
        <f>IF(C_Ope_005[[#This Row],[FECHA]]&gt;0,TEXT(C_Ope_005[[#This Row],[FECHA]],"mmmm"),0)</f>
        <v>Agosto</v>
      </c>
    </row>
    <row r="442" spans="2:28" ht="24" x14ac:dyDescent="0.3">
      <c r="B442" s="2">
        <f>IF(C_Ope_005[[#This Row],[TIPO DE R.]]="R",COUNTIFS($D$4:$D441,"R")+1,"")</f>
        <v>438</v>
      </c>
      <c r="C442" s="19" t="str">
        <f t="shared" si="52"/>
        <v>C_Ope_005</v>
      </c>
      <c r="D442" s="3" t="s">
        <v>1074</v>
      </c>
      <c r="E442" s="14">
        <v>45891</v>
      </c>
      <c r="F442" s="5" t="s">
        <v>7166</v>
      </c>
      <c r="G442" s="5" t="s">
        <v>1079</v>
      </c>
      <c r="H442" s="6" t="s">
        <v>950</v>
      </c>
      <c r="I442" s="6" t="s">
        <v>70</v>
      </c>
      <c r="J442" s="6"/>
      <c r="K442" s="8">
        <v>25251</v>
      </c>
      <c r="L442" s="7" t="s">
        <v>7925</v>
      </c>
      <c r="M442" s="8">
        <v>25251</v>
      </c>
      <c r="N442" s="8" t="str">
        <f t="shared" si="53"/>
        <v>PEN</v>
      </c>
      <c r="O442" s="13"/>
      <c r="P442" s="13">
        <v>24</v>
      </c>
      <c r="Q442" s="3">
        <f t="shared" si="54"/>
        <v>0</v>
      </c>
      <c r="R442" s="3">
        <f t="shared" si="55"/>
        <v>24</v>
      </c>
      <c r="S442" s="3">
        <f t="shared" si="43"/>
        <v>133.39999999999918</v>
      </c>
      <c r="T442" s="24" t="s">
        <v>1081</v>
      </c>
      <c r="U442" s="24"/>
      <c r="V442" s="3"/>
      <c r="W442" s="25" t="s">
        <v>6546</v>
      </c>
      <c r="X442" s="25"/>
      <c r="Y442" s="25" t="str">
        <f>IFERROR(VLOOKUP(C_Ope_005[[#This Row],[NOTA 2]],Clientes_Proveedores[[Ruc / Dni]:[Razon Social]],2,0),"")</f>
        <v/>
      </c>
      <c r="Z442" s="25" t="s">
        <v>7493</v>
      </c>
      <c r="AA442" s="25"/>
      <c r="AB442" s="3" t="str">
        <f>IF(C_Ope_005[[#This Row],[FECHA]]&gt;0,TEXT(C_Ope_005[[#This Row],[FECHA]],"mmmm"),0)</f>
        <v>Agosto</v>
      </c>
    </row>
    <row r="443" spans="2:28" ht="24" x14ac:dyDescent="0.3">
      <c r="B443" s="2">
        <f>IF(C_Ope_005[[#This Row],[TIPO DE R.]]="R",COUNTIFS($D$4:$D442,"R")+1,"")</f>
        <v>439</v>
      </c>
      <c r="C443" s="19" t="str">
        <f t="shared" si="52"/>
        <v>C_Ope_005</v>
      </c>
      <c r="D443" s="3" t="s">
        <v>1074</v>
      </c>
      <c r="E443" s="14">
        <v>45891</v>
      </c>
      <c r="F443" s="5" t="s">
        <v>7166</v>
      </c>
      <c r="G443" s="5" t="s">
        <v>1079</v>
      </c>
      <c r="H443" s="6" t="s">
        <v>950</v>
      </c>
      <c r="I443" s="6" t="s">
        <v>70</v>
      </c>
      <c r="J443" s="6"/>
      <c r="K443" s="8">
        <v>25252</v>
      </c>
      <c r="L443" s="7" t="s">
        <v>7928</v>
      </c>
      <c r="M443" s="8">
        <v>25252</v>
      </c>
      <c r="N443" s="8" t="str">
        <f t="shared" si="53"/>
        <v>PEN</v>
      </c>
      <c r="O443" s="13"/>
      <c r="P443" s="13">
        <v>30</v>
      </c>
      <c r="Q443" s="3">
        <f t="shared" si="54"/>
        <v>0</v>
      </c>
      <c r="R443" s="3">
        <f t="shared" si="55"/>
        <v>30</v>
      </c>
      <c r="S443" s="3">
        <f t="shared" si="43"/>
        <v>103.39999999999918</v>
      </c>
      <c r="T443" s="24" t="s">
        <v>1081</v>
      </c>
      <c r="U443" s="24"/>
      <c r="V443" s="3"/>
      <c r="W443" s="25" t="s">
        <v>6546</v>
      </c>
      <c r="X443" s="25"/>
      <c r="Y443" s="25" t="str">
        <f>IFERROR(VLOOKUP(C_Ope_005[[#This Row],[NOTA 2]],Clientes_Proveedores[[Ruc / Dni]:[Razon Social]],2,0),"")</f>
        <v/>
      </c>
      <c r="Z443" s="25" t="s">
        <v>7493</v>
      </c>
      <c r="AA443" s="25"/>
      <c r="AB443" s="3" t="str">
        <f>IF(C_Ope_005[[#This Row],[FECHA]]&gt;0,TEXT(C_Ope_005[[#This Row],[FECHA]],"mmmm"),0)</f>
        <v>Agosto</v>
      </c>
    </row>
    <row r="444" spans="2:28" x14ac:dyDescent="0.3">
      <c r="B444" s="195">
        <f>IF(C_Ope_005[[#This Row],[TIPO DE R.]]="R",COUNTIFS($D$4:$D443,"R")+1,"")</f>
        <v>440</v>
      </c>
      <c r="C444" s="19" t="str">
        <f>"C_Ope_005"</f>
        <v>C_Ope_005</v>
      </c>
      <c r="D444" s="3" t="s">
        <v>1074</v>
      </c>
      <c r="E444" s="196">
        <v>45891</v>
      </c>
      <c r="F444" s="197" t="s">
        <v>7166</v>
      </c>
      <c r="G444" s="197" t="s">
        <v>1079</v>
      </c>
      <c r="H444" s="6" t="s">
        <v>950</v>
      </c>
      <c r="I444" s="6" t="s">
        <v>70</v>
      </c>
      <c r="J444" s="6"/>
      <c r="K444" s="6">
        <v>25246</v>
      </c>
      <c r="L444" s="198" t="s">
        <v>7941</v>
      </c>
      <c r="M444" s="199">
        <v>25246</v>
      </c>
      <c r="N444" s="199" t="str">
        <f>"PEN"</f>
        <v>PEN</v>
      </c>
      <c r="O444" s="13"/>
      <c r="P444" s="200">
        <v>15</v>
      </c>
      <c r="Q444" s="201">
        <f>+IF(OR($G444="SALDO",$G444="INGRESO"),$P444,0)</f>
        <v>0</v>
      </c>
      <c r="R444" s="201">
        <f>+IF($G444="EGRESO",$P444,0)</f>
        <v>15</v>
      </c>
      <c r="S444" s="201">
        <f>IFERROR(IF(G444="SALDO",Q444,S443+Q444-R444),0)</f>
        <v>88.399999999999181</v>
      </c>
      <c r="T444" s="202" t="s">
        <v>1081</v>
      </c>
      <c r="U444" s="202"/>
      <c r="V444" s="201"/>
      <c r="W444" s="25" t="s">
        <v>6546</v>
      </c>
      <c r="X444" s="25"/>
      <c r="Y444" s="25" t="str">
        <f>IFERROR(VLOOKUP(C_Ope_005[[#This Row],[NOTA 2]],Clientes_Proveedores[[Ruc / Dni]:[Razon Social]],2,0),"")</f>
        <v/>
      </c>
      <c r="Z444" s="25" t="s">
        <v>7400</v>
      </c>
      <c r="AA444" s="25"/>
      <c r="AB444" s="201" t="str">
        <f>IF(C_Ope_005[[#This Row],[FECHA]]&gt;0,TEXT(C_Ope_005[[#This Row],[FECHA]],"mmmm"),0)</f>
        <v>Agosto</v>
      </c>
    </row>
    <row r="454" spans="2:4" x14ac:dyDescent="0.3">
      <c r="B454" s="97" t="s">
        <v>7100</v>
      </c>
      <c r="C454" s="98"/>
      <c r="D454" s="96" t="s">
        <v>899</v>
      </c>
    </row>
  </sheetData>
  <mergeCells count="1">
    <mergeCell ref="B2:AB2"/>
  </mergeCells>
  <conditionalFormatting sqref="B454:D454">
    <cfRule type="expression" dxfId="25" priority="1">
      <formula>$T454="OK"</formula>
    </cfRule>
  </conditionalFormatting>
  <conditionalFormatting sqref="B5:AB356 B357:S358 U357:AB360 T357:T364 B359:C360 E359:S360 D359:D363">
    <cfRule type="expression" dxfId="24" priority="257">
      <formula>$U5="OK"</formula>
    </cfRule>
    <cfRule type="expression" dxfId="23" priority="258">
      <formula>$D5="D"</formula>
    </cfRule>
  </conditionalFormatting>
  <conditionalFormatting sqref="B5:AB444">
    <cfRule type="expression" dxfId="22" priority="277">
      <formula>$T5="OK"</formula>
    </cfRule>
  </conditionalFormatting>
  <conditionalFormatting sqref="F369:G369">
    <cfRule type="expression" dxfId="21" priority="4">
      <formula>$U369="OK"</formula>
    </cfRule>
    <cfRule type="expression" dxfId="20" priority="5">
      <formula>$D369="D"</formula>
    </cfRule>
  </conditionalFormatting>
  <conditionalFormatting sqref="L369">
    <cfRule type="expression" dxfId="19" priority="2">
      <formula>$U369="OK"</formula>
    </cfRule>
    <cfRule type="expression" dxfId="18" priority="3">
      <formula>$D369="D"</formula>
    </cfRule>
  </conditionalFormatting>
  <dataValidations count="4">
    <dataValidation type="list" allowBlank="1" showInputMessage="1" showErrorMessage="1" sqref="I5:I444" xr:uid="{F51C2306-EFB5-4DCB-B1A2-139BCDB2A0F3}">
      <formula1>Documentos</formula1>
    </dataValidation>
    <dataValidation type="list" allowBlank="1" showInputMessage="1" showErrorMessage="1" sqref="G5:G444" xr:uid="{81D3A757-36B7-4D54-AE44-1F081286029C}">
      <formula1>"SALDO,INGRESO,EGRESO"</formula1>
    </dataValidation>
    <dataValidation type="list" allowBlank="1" showInputMessage="1" showErrorMessage="1" sqref="D5:D444" xr:uid="{F2F5D48E-0E56-4567-8582-73D08104CD50}">
      <formula1>"R,D"</formula1>
    </dataValidation>
    <dataValidation type="list" allowBlank="1" showInputMessage="1" showErrorMessage="1" sqref="H5:H444" xr:uid="{8FE50B4D-5882-4669-9108-23B9692B024A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3" fitToHeight="0" orientation="landscape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2696-395D-6548-93A2-7499A394A909}">
  <sheetPr codeName="Hoja15">
    <tabColor rgb="FFFFC000"/>
    <pageSetUpPr fitToPage="1"/>
  </sheetPr>
  <dimension ref="B2:AB235"/>
  <sheetViews>
    <sheetView showGridLines="0" topLeftCell="A220" zoomScaleNormal="100" zoomScaleSheetLayoutView="100" workbookViewId="0">
      <selection activeCell="G236" sqref="G236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5.44140625" bestFit="1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bestFit="1" customWidth="1"/>
    <col min="23" max="27" width="15.88671875" customWidth="1" outlineLevel="1"/>
    <col min="28" max="28" width="12.88671875" customWidth="1" outlineLevel="1"/>
  </cols>
  <sheetData>
    <row r="2" spans="2:28" ht="23.4" x14ac:dyDescent="0.3">
      <c r="B2" s="263" t="s">
        <v>7371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2">
        <f>IF(C_Ope_006[[#This Row],[TIPO DE R.]]="R",COUNTIFS($D$4:$D4,"R")+1,"")</f>
        <v>1</v>
      </c>
      <c r="C5" s="19" t="str">
        <f>"C_Ope_006"</f>
        <v>C_Ope_006</v>
      </c>
      <c r="D5" s="3" t="s">
        <v>1074</v>
      </c>
      <c r="E5" s="4">
        <v>45714</v>
      </c>
      <c r="F5" s="5" t="s">
        <v>6299</v>
      </c>
      <c r="G5" s="6" t="s">
        <v>1064</v>
      </c>
      <c r="H5" s="6"/>
      <c r="I5" s="6"/>
      <c r="J5" s="6"/>
      <c r="K5" s="6"/>
      <c r="L5" s="7" t="s">
        <v>6302</v>
      </c>
      <c r="M5" s="8">
        <v>23207</v>
      </c>
      <c r="N5" s="8" t="str">
        <f t="shared" ref="N5" si="0">"PEN"</f>
        <v>PEN</v>
      </c>
      <c r="O5" s="13"/>
      <c r="P5" s="9">
        <v>200</v>
      </c>
      <c r="Q5" s="9">
        <f t="shared" ref="Q5:Q36" si="1">+IF(OR($G5="SALDO",$G5="INGRESO"),$P5,0)</f>
        <v>200</v>
      </c>
      <c r="R5" s="9">
        <f t="shared" ref="R5:R36" si="2">+IF($G5="EGRESO",$P5,0)</f>
        <v>0</v>
      </c>
      <c r="S5" s="9">
        <f t="shared" ref="S5:S36" si="3">IFERROR(IF(G5="SALDO",Q5,S4+Q5-R5),0)</f>
        <v>200</v>
      </c>
      <c r="T5" s="24"/>
      <c r="U5" s="24"/>
      <c r="V5" s="15"/>
      <c r="W5" s="25"/>
      <c r="X5" s="25"/>
      <c r="Y5" s="25" t="str">
        <f>IFERROR(VLOOKUP(C_Ope_006[[#This Row],[NOTA 2]],Clientes_Proveedores[[Ruc / Dni]:[Razon Social]],2,0),"")</f>
        <v/>
      </c>
      <c r="Z5" s="25"/>
      <c r="AA5" s="15"/>
      <c r="AB5" s="3" t="str">
        <f>IF(C_Ope_006[[#This Row],[FECHA]]&gt;0,TEXT(C_Ope_006[[#This Row],[FECHA]],"mmmm"),0)</f>
        <v>Febrero</v>
      </c>
    </row>
    <row r="6" spans="2:28" x14ac:dyDescent="0.3">
      <c r="B6" s="2">
        <f>IF(C_Ope_006[[#This Row],[TIPO DE R.]]="R",COUNTIFS($D$4:$D5,"R")+1,"")</f>
        <v>2</v>
      </c>
      <c r="C6" s="19" t="str">
        <f t="shared" ref="C6:C37" si="4">"C_Ope_006"</f>
        <v>C_Ope_006</v>
      </c>
      <c r="D6" s="3" t="s">
        <v>1074</v>
      </c>
      <c r="E6" s="14">
        <v>45714</v>
      </c>
      <c r="F6" s="5" t="s">
        <v>7372</v>
      </c>
      <c r="G6" s="5" t="s">
        <v>1079</v>
      </c>
      <c r="H6" s="6"/>
      <c r="I6" s="6" t="s">
        <v>14</v>
      </c>
      <c r="J6" s="6" t="s">
        <v>5245</v>
      </c>
      <c r="K6" s="6">
        <v>1685015</v>
      </c>
      <c r="L6" s="7" t="s">
        <v>7373</v>
      </c>
      <c r="M6" s="8">
        <v>23208</v>
      </c>
      <c r="N6" s="8" t="str">
        <f t="shared" ref="N6:N37" si="5">"PEN"</f>
        <v>PEN</v>
      </c>
      <c r="O6" s="13"/>
      <c r="P6" s="13">
        <v>12</v>
      </c>
      <c r="Q6" s="3">
        <f t="shared" si="1"/>
        <v>0</v>
      </c>
      <c r="R6" s="3">
        <f t="shared" si="2"/>
        <v>12</v>
      </c>
      <c r="S6" s="3">
        <f t="shared" si="3"/>
        <v>188</v>
      </c>
      <c r="T6" s="24"/>
      <c r="U6" s="24"/>
      <c r="V6" s="3"/>
      <c r="W6" s="25" t="s">
        <v>6747</v>
      </c>
      <c r="X6" s="25"/>
      <c r="Y6" s="25" t="str">
        <f>IFERROR(VLOOKUP(C_Ope_006[[#This Row],[NOTA 2]],Clientes_Proveedores[[Ruc / Dni]:[Razon Social]],2,0),"")</f>
        <v/>
      </c>
      <c r="Z6" s="25"/>
      <c r="AA6" s="15"/>
      <c r="AB6" s="3" t="str">
        <f>IF(C_Ope_006[[#This Row],[FECHA]]&gt;0,TEXT(C_Ope_006[[#This Row],[FECHA]],"mmmm"),0)</f>
        <v>Febrero</v>
      </c>
    </row>
    <row r="7" spans="2:28" x14ac:dyDescent="0.3">
      <c r="B7" s="2">
        <f>IF(C_Ope_006[[#This Row],[TIPO DE R.]]="R",COUNTIFS($D$4:$D6,"R")+1,"")</f>
        <v>3</v>
      </c>
      <c r="C7" s="19" t="str">
        <f t="shared" si="4"/>
        <v>C_Ope_006</v>
      </c>
      <c r="D7" s="3" t="s">
        <v>1074</v>
      </c>
      <c r="E7" s="14">
        <v>45715</v>
      </c>
      <c r="F7" s="5" t="s">
        <v>7372</v>
      </c>
      <c r="G7" s="5" t="s">
        <v>1079</v>
      </c>
      <c r="H7" s="6"/>
      <c r="I7" s="6" t="s">
        <v>14</v>
      </c>
      <c r="J7" s="6" t="s">
        <v>5243</v>
      </c>
      <c r="K7" s="6">
        <v>2247282</v>
      </c>
      <c r="L7" s="7" t="s">
        <v>7374</v>
      </c>
      <c r="M7" s="8">
        <v>23225</v>
      </c>
      <c r="N7" s="8" t="str">
        <f t="shared" si="5"/>
        <v>PEN</v>
      </c>
      <c r="O7" s="13"/>
      <c r="P7" s="13">
        <v>12</v>
      </c>
      <c r="Q7" s="3">
        <f t="shared" si="1"/>
        <v>0</v>
      </c>
      <c r="R7" s="3">
        <f t="shared" si="2"/>
        <v>12</v>
      </c>
      <c r="S7" s="3">
        <f t="shared" si="3"/>
        <v>176</v>
      </c>
      <c r="T7" s="24"/>
      <c r="U7" s="24"/>
      <c r="V7" s="3"/>
      <c r="W7" s="25" t="s">
        <v>6747</v>
      </c>
      <c r="X7" s="25"/>
      <c r="Y7" s="25" t="str">
        <f>IFERROR(VLOOKUP(C_Ope_006[[#This Row],[NOTA 2]],Clientes_Proveedores[[Ruc / Dni]:[Razon Social]],2,0),"")</f>
        <v/>
      </c>
      <c r="Z7" s="25"/>
      <c r="AA7" s="15"/>
      <c r="AB7" s="3" t="str">
        <f>IF(C_Ope_006[[#This Row],[FECHA]]&gt;0,TEXT(C_Ope_006[[#This Row],[FECHA]],"mmmm"),0)</f>
        <v>Febrero</v>
      </c>
    </row>
    <row r="8" spans="2:28" x14ac:dyDescent="0.3">
      <c r="B8" s="2">
        <f>IF(C_Ope_006[[#This Row],[TIPO DE R.]]="R",COUNTIFS($D$4:$D7,"R")+1,"")</f>
        <v>4</v>
      </c>
      <c r="C8" s="19" t="str">
        <f t="shared" si="4"/>
        <v>C_Ope_006</v>
      </c>
      <c r="D8" s="3" t="s">
        <v>1074</v>
      </c>
      <c r="E8" s="14">
        <v>45715</v>
      </c>
      <c r="F8" s="5" t="s">
        <v>7372</v>
      </c>
      <c r="G8" s="5" t="s">
        <v>1079</v>
      </c>
      <c r="H8" s="6"/>
      <c r="I8" s="6" t="s">
        <v>14</v>
      </c>
      <c r="J8" s="6" t="s">
        <v>5242</v>
      </c>
      <c r="K8" s="6">
        <v>1974082</v>
      </c>
      <c r="L8" s="7" t="s">
        <v>7374</v>
      </c>
      <c r="M8" s="8">
        <v>23230</v>
      </c>
      <c r="N8" s="8" t="str">
        <f t="shared" si="5"/>
        <v>PEN</v>
      </c>
      <c r="O8" s="13"/>
      <c r="P8" s="13">
        <v>12</v>
      </c>
      <c r="Q8" s="3">
        <f t="shared" si="1"/>
        <v>0</v>
      </c>
      <c r="R8" s="3">
        <f t="shared" si="2"/>
        <v>12</v>
      </c>
      <c r="S8" s="3">
        <f t="shared" si="3"/>
        <v>164</v>
      </c>
      <c r="T8" s="24"/>
      <c r="U8" s="24"/>
      <c r="V8" s="3"/>
      <c r="W8" s="25" t="s">
        <v>6747</v>
      </c>
      <c r="X8" s="25"/>
      <c r="Y8" s="25" t="str">
        <f>IFERROR(VLOOKUP(C_Ope_006[[#This Row],[NOTA 2]],Clientes_Proveedores[[Ruc / Dni]:[Razon Social]],2,0),"")</f>
        <v/>
      </c>
      <c r="Z8" s="25"/>
      <c r="AA8" s="15"/>
      <c r="AB8" s="3" t="str">
        <f>IF(C_Ope_006[[#This Row],[FECHA]]&gt;0,TEXT(C_Ope_006[[#This Row],[FECHA]],"mmmm"),0)</f>
        <v>Febrero</v>
      </c>
    </row>
    <row r="9" spans="2:28" ht="24" x14ac:dyDescent="0.3">
      <c r="B9" s="2">
        <f>IF(C_Ope_006[[#This Row],[TIPO DE R.]]="R",COUNTIFS($D$4:$D8,"R")+1,"")</f>
        <v>5</v>
      </c>
      <c r="C9" s="19" t="str">
        <f t="shared" si="4"/>
        <v>C_Ope_006</v>
      </c>
      <c r="D9" s="3" t="s">
        <v>1074</v>
      </c>
      <c r="E9" s="14">
        <v>45716</v>
      </c>
      <c r="F9" s="5" t="s">
        <v>7372</v>
      </c>
      <c r="G9" s="5" t="s">
        <v>1079</v>
      </c>
      <c r="H9" s="6"/>
      <c r="I9" s="6" t="s">
        <v>14</v>
      </c>
      <c r="J9" s="6" t="s">
        <v>5243</v>
      </c>
      <c r="K9" s="6">
        <v>2248711</v>
      </c>
      <c r="L9" s="7" t="s">
        <v>7375</v>
      </c>
      <c r="M9" s="8">
        <v>23238</v>
      </c>
      <c r="N9" s="8" t="str">
        <f t="shared" si="5"/>
        <v>PEN</v>
      </c>
      <c r="O9" s="13"/>
      <c r="P9" s="13">
        <v>12</v>
      </c>
      <c r="Q9" s="3">
        <f t="shared" si="1"/>
        <v>0</v>
      </c>
      <c r="R9" s="3">
        <f t="shared" si="2"/>
        <v>12</v>
      </c>
      <c r="S9" s="3">
        <f t="shared" si="3"/>
        <v>152</v>
      </c>
      <c r="T9" s="24"/>
      <c r="U9" s="24"/>
      <c r="V9" s="3"/>
      <c r="W9" s="25" t="s">
        <v>6747</v>
      </c>
      <c r="X9" s="25"/>
      <c r="Y9" s="25" t="str">
        <f>IFERROR(VLOOKUP(C_Ope_006[[#This Row],[NOTA 2]],Clientes_Proveedores[[Ruc / Dni]:[Razon Social]],2,0),"")</f>
        <v/>
      </c>
      <c r="Z9" s="25"/>
      <c r="AA9" s="15"/>
      <c r="AB9" s="3" t="str">
        <f>IF(C_Ope_006[[#This Row],[FECHA]]&gt;0,TEXT(C_Ope_006[[#This Row],[FECHA]],"mmmm"),0)</f>
        <v>Febrero</v>
      </c>
    </row>
    <row r="10" spans="2:28" ht="24" x14ac:dyDescent="0.3">
      <c r="B10" s="2">
        <f>IF(C_Ope_006[[#This Row],[TIPO DE R.]]="R",COUNTIFS($D$4:$D9,"R")+1,"")</f>
        <v>6</v>
      </c>
      <c r="C10" s="19" t="str">
        <f t="shared" si="4"/>
        <v>C_Ope_006</v>
      </c>
      <c r="D10" s="3" t="s">
        <v>1074</v>
      </c>
      <c r="E10" s="14">
        <v>45716</v>
      </c>
      <c r="F10" s="5" t="s">
        <v>7372</v>
      </c>
      <c r="G10" s="5" t="s">
        <v>1079</v>
      </c>
      <c r="H10" s="6"/>
      <c r="I10" s="6" t="s">
        <v>14</v>
      </c>
      <c r="J10" s="6" t="s">
        <v>5245</v>
      </c>
      <c r="K10" s="6">
        <v>1687109</v>
      </c>
      <c r="L10" s="7" t="s">
        <v>7375</v>
      </c>
      <c r="M10" s="8">
        <v>23255</v>
      </c>
      <c r="N10" s="8" t="str">
        <f t="shared" si="5"/>
        <v>PEN</v>
      </c>
      <c r="O10" s="13"/>
      <c r="P10" s="13">
        <v>12</v>
      </c>
      <c r="Q10" s="3">
        <f t="shared" si="1"/>
        <v>0</v>
      </c>
      <c r="R10" s="3">
        <f t="shared" si="2"/>
        <v>12</v>
      </c>
      <c r="S10" s="3">
        <f t="shared" si="3"/>
        <v>140</v>
      </c>
      <c r="T10" s="24"/>
      <c r="U10" s="24"/>
      <c r="V10" s="3"/>
      <c r="W10" s="25" t="s">
        <v>6747</v>
      </c>
      <c r="X10" s="25"/>
      <c r="Y10" s="25" t="str">
        <f>IFERROR(VLOOKUP(C_Ope_006[[#This Row],[NOTA 2]],Clientes_Proveedores[[Ruc / Dni]:[Razon Social]],2,0),"")</f>
        <v/>
      </c>
      <c r="Z10" s="25"/>
      <c r="AA10" s="15"/>
      <c r="AB10" s="3" t="str">
        <f>IF(C_Ope_006[[#This Row],[FECHA]]&gt;0,TEXT(C_Ope_006[[#This Row],[FECHA]],"mmmm"),0)</f>
        <v>Febrero</v>
      </c>
    </row>
    <row r="11" spans="2:28" x14ac:dyDescent="0.3">
      <c r="B11" s="2">
        <f>IF(C_Ope_006[[#This Row],[TIPO DE R.]]="R",COUNTIFS($D$4:$D10,"R")+1,"")</f>
        <v>7</v>
      </c>
      <c r="C11" s="19" t="str">
        <f t="shared" si="4"/>
        <v>C_Ope_006</v>
      </c>
      <c r="D11" s="3" t="s">
        <v>1074</v>
      </c>
      <c r="E11" s="14">
        <v>45714</v>
      </c>
      <c r="F11" s="5" t="s">
        <v>7372</v>
      </c>
      <c r="G11" s="5" t="s">
        <v>1079</v>
      </c>
      <c r="H11" s="6"/>
      <c r="I11" s="6" t="s">
        <v>14</v>
      </c>
      <c r="J11" s="6" t="s">
        <v>1148</v>
      </c>
      <c r="K11" s="6">
        <v>128715</v>
      </c>
      <c r="L11" s="7" t="s">
        <v>7376</v>
      </c>
      <c r="M11" s="8">
        <v>23209</v>
      </c>
      <c r="N11" s="8" t="str">
        <f t="shared" si="5"/>
        <v>PEN</v>
      </c>
      <c r="O11" s="13"/>
      <c r="P11" s="13">
        <v>10</v>
      </c>
      <c r="Q11" s="3">
        <f t="shared" si="1"/>
        <v>0</v>
      </c>
      <c r="R11" s="3">
        <f t="shared" si="2"/>
        <v>10</v>
      </c>
      <c r="S11" s="3">
        <f t="shared" si="3"/>
        <v>130</v>
      </c>
      <c r="T11" s="24"/>
      <c r="U11" s="24"/>
      <c r="V11" s="3"/>
      <c r="W11" s="25" t="s">
        <v>6747</v>
      </c>
      <c r="X11" s="25"/>
      <c r="Y11" s="25" t="str">
        <f>IFERROR(VLOOKUP(C_Ope_006[[#This Row],[NOTA 2]],Clientes_Proveedores[[Ruc / Dni]:[Razon Social]],2,0),"")</f>
        <v/>
      </c>
      <c r="Z11" s="25"/>
      <c r="AA11" s="15"/>
      <c r="AB11" s="3" t="str">
        <f>IF(C_Ope_006[[#This Row],[FECHA]]&gt;0,TEXT(C_Ope_006[[#This Row],[FECHA]],"mmmm"),0)</f>
        <v>Febrero</v>
      </c>
    </row>
    <row r="12" spans="2:28" x14ac:dyDescent="0.3">
      <c r="B12" s="2">
        <f>IF(C_Ope_006[[#This Row],[TIPO DE R.]]="R",COUNTIFS($D$4:$D11,"R")+1,"")</f>
        <v>8</v>
      </c>
      <c r="C12" s="19" t="str">
        <f t="shared" si="4"/>
        <v>C_Ope_006</v>
      </c>
      <c r="D12" s="3" t="s">
        <v>1074</v>
      </c>
      <c r="E12" s="14">
        <v>45715</v>
      </c>
      <c r="F12" s="5" t="s">
        <v>7372</v>
      </c>
      <c r="G12" s="5" t="s">
        <v>1079</v>
      </c>
      <c r="H12" s="6"/>
      <c r="I12" s="6" t="s">
        <v>14</v>
      </c>
      <c r="J12" s="6" t="s">
        <v>1429</v>
      </c>
      <c r="K12" s="6">
        <v>16023</v>
      </c>
      <c r="L12" s="7" t="s">
        <v>7377</v>
      </c>
      <c r="M12" s="8">
        <v>23228</v>
      </c>
      <c r="N12" s="8" t="str">
        <f t="shared" si="5"/>
        <v>PEN</v>
      </c>
      <c r="O12" s="13"/>
      <c r="P12" s="13">
        <v>12</v>
      </c>
      <c r="Q12" s="3">
        <f t="shared" si="1"/>
        <v>0</v>
      </c>
      <c r="R12" s="3">
        <f t="shared" si="2"/>
        <v>12</v>
      </c>
      <c r="S12" s="3">
        <f t="shared" si="3"/>
        <v>118</v>
      </c>
      <c r="T12" s="24"/>
      <c r="U12" s="24"/>
      <c r="V12" s="3"/>
      <c r="W12" s="25" t="s">
        <v>6747</v>
      </c>
      <c r="X12" s="25"/>
      <c r="Y12" s="25" t="str">
        <f>IFERROR(VLOOKUP(C_Ope_006[[#This Row],[NOTA 2]],Clientes_Proveedores[[Ruc / Dni]:[Razon Social]],2,0),"")</f>
        <v/>
      </c>
      <c r="Z12" s="25"/>
      <c r="AA12" s="15"/>
      <c r="AB12" s="3" t="str">
        <f>IF(C_Ope_006[[#This Row],[FECHA]]&gt;0,TEXT(C_Ope_006[[#This Row],[FECHA]],"mmmm"),0)</f>
        <v>Febrero</v>
      </c>
    </row>
    <row r="13" spans="2:28" ht="24" x14ac:dyDescent="0.3">
      <c r="B13" s="2">
        <f>IF(C_Ope_006[[#This Row],[TIPO DE R.]]="R",COUNTIFS($D$4:$D12,"R")+1,"")</f>
        <v>9</v>
      </c>
      <c r="C13" s="19" t="str">
        <f t="shared" si="4"/>
        <v>C_Ope_006</v>
      </c>
      <c r="D13" s="3" t="s">
        <v>1074</v>
      </c>
      <c r="E13" s="14">
        <v>45716</v>
      </c>
      <c r="F13" s="5" t="s">
        <v>7372</v>
      </c>
      <c r="G13" s="5" t="s">
        <v>1079</v>
      </c>
      <c r="H13" s="6"/>
      <c r="I13" s="6" t="s">
        <v>14</v>
      </c>
      <c r="J13" s="6" t="s">
        <v>1097</v>
      </c>
      <c r="K13" s="6">
        <v>15760</v>
      </c>
      <c r="L13" s="7" t="s">
        <v>7378</v>
      </c>
      <c r="M13" s="8">
        <v>23239</v>
      </c>
      <c r="N13" s="8" t="str">
        <f t="shared" si="5"/>
        <v>PEN</v>
      </c>
      <c r="O13" s="13"/>
      <c r="P13" s="13">
        <v>20</v>
      </c>
      <c r="Q13" s="3">
        <f t="shared" si="1"/>
        <v>0</v>
      </c>
      <c r="R13" s="3">
        <f t="shared" si="2"/>
        <v>20</v>
      </c>
      <c r="S13" s="3">
        <f t="shared" si="3"/>
        <v>98</v>
      </c>
      <c r="T13" s="24"/>
      <c r="U13" s="24"/>
      <c r="V13" s="3"/>
      <c r="W13" s="25" t="s">
        <v>6747</v>
      </c>
      <c r="X13" s="25"/>
      <c r="Y13" s="25" t="str">
        <f>IFERROR(VLOOKUP(C_Ope_006[[#This Row],[NOTA 2]],Clientes_Proveedores[[Ruc / Dni]:[Razon Social]],2,0),"")</f>
        <v/>
      </c>
      <c r="Z13" s="25"/>
      <c r="AA13" s="15"/>
      <c r="AB13" s="3" t="str">
        <f>IF(C_Ope_006[[#This Row],[FECHA]]&gt;0,TEXT(C_Ope_006[[#This Row],[FECHA]],"mmmm"),0)</f>
        <v>Febrero</v>
      </c>
    </row>
    <row r="14" spans="2:28" x14ac:dyDescent="0.3">
      <c r="B14" s="2">
        <f>IF(C_Ope_006[[#This Row],[TIPO DE R.]]="R",COUNTIFS($D$4:$D13,"R")+1,"")</f>
        <v>10</v>
      </c>
      <c r="C14" s="19" t="str">
        <f t="shared" si="4"/>
        <v>C_Ope_006</v>
      </c>
      <c r="D14" s="3" t="s">
        <v>1074</v>
      </c>
      <c r="E14" s="14">
        <v>45720</v>
      </c>
      <c r="F14" s="5"/>
      <c r="G14" s="5" t="s">
        <v>1087</v>
      </c>
      <c r="H14" s="6"/>
      <c r="I14" s="6"/>
      <c r="J14" s="6"/>
      <c r="K14" s="6"/>
      <c r="L14" s="7" t="s">
        <v>7113</v>
      </c>
      <c r="M14" s="8">
        <v>23349</v>
      </c>
      <c r="N14" s="8" t="str">
        <f t="shared" si="5"/>
        <v>PEN</v>
      </c>
      <c r="O14" s="13"/>
      <c r="P14" s="13">
        <v>100</v>
      </c>
      <c r="Q14" s="3">
        <f t="shared" si="1"/>
        <v>100</v>
      </c>
      <c r="R14" s="3">
        <f t="shared" si="2"/>
        <v>0</v>
      </c>
      <c r="S14" s="3">
        <f t="shared" si="3"/>
        <v>198</v>
      </c>
      <c r="T14" s="24"/>
      <c r="U14" s="24"/>
      <c r="V14" s="3"/>
      <c r="W14" s="25"/>
      <c r="X14" s="25"/>
      <c r="Y14" s="25" t="str">
        <f>IFERROR(VLOOKUP(C_Ope_006[[#This Row],[NOTA 2]],Clientes_Proveedores[[Ruc / Dni]:[Razon Social]],2,0),"")</f>
        <v/>
      </c>
      <c r="Z14" s="25"/>
      <c r="AA14" s="15"/>
      <c r="AB14" s="3" t="str">
        <f>IF(C_Ope_006[[#This Row],[FECHA]]&gt;0,TEXT(C_Ope_006[[#This Row],[FECHA]],"mmmm"),0)</f>
        <v>Marzo</v>
      </c>
    </row>
    <row r="15" spans="2:28" x14ac:dyDescent="0.3">
      <c r="B15" s="2">
        <f>IF(C_Ope_006[[#This Row],[TIPO DE R.]]="R",COUNTIFS($D$4:$D14,"R")+1,"")</f>
        <v>11</v>
      </c>
      <c r="C15" s="19" t="str">
        <f t="shared" si="4"/>
        <v>C_Ope_006</v>
      </c>
      <c r="D15" s="3" t="s">
        <v>1074</v>
      </c>
      <c r="E15" s="14">
        <v>45719</v>
      </c>
      <c r="F15" s="5" t="s">
        <v>7372</v>
      </c>
      <c r="G15" s="5" t="s">
        <v>1079</v>
      </c>
      <c r="H15" s="6"/>
      <c r="I15" s="6" t="s">
        <v>14</v>
      </c>
      <c r="J15" s="6" t="s">
        <v>5243</v>
      </c>
      <c r="K15" s="6">
        <v>2252084</v>
      </c>
      <c r="L15" s="7" t="s">
        <v>7379</v>
      </c>
      <c r="M15" s="8">
        <v>23273</v>
      </c>
      <c r="N15" s="8" t="str">
        <f t="shared" si="5"/>
        <v>PEN</v>
      </c>
      <c r="O15" s="13"/>
      <c r="P15" s="13">
        <v>12</v>
      </c>
      <c r="Q15" s="3">
        <f t="shared" si="1"/>
        <v>0</v>
      </c>
      <c r="R15" s="3">
        <f t="shared" si="2"/>
        <v>12</v>
      </c>
      <c r="S15" s="3">
        <f t="shared" si="3"/>
        <v>186</v>
      </c>
      <c r="T15" s="24"/>
      <c r="U15" s="24"/>
      <c r="V15" s="3"/>
      <c r="W15" s="25" t="s">
        <v>6747</v>
      </c>
      <c r="X15" s="25"/>
      <c r="Y15" s="25" t="str">
        <f>IFERROR(VLOOKUP(C_Ope_006[[#This Row],[NOTA 2]],Clientes_Proveedores[[Ruc / Dni]:[Razon Social]],2,0),"")</f>
        <v/>
      </c>
      <c r="Z15" s="25"/>
      <c r="AA15" s="15"/>
      <c r="AB15" s="3" t="str">
        <f>IF(C_Ope_006[[#This Row],[FECHA]]&gt;0,TEXT(C_Ope_006[[#This Row],[FECHA]],"mmmm"),0)</f>
        <v>Marzo</v>
      </c>
    </row>
    <row r="16" spans="2:28" x14ac:dyDescent="0.3">
      <c r="B16" s="2">
        <f>IF(C_Ope_006[[#This Row],[TIPO DE R.]]="R",COUNTIFS($D$4:$D15,"R")+1,"")</f>
        <v>12</v>
      </c>
      <c r="C16" s="19" t="str">
        <f t="shared" si="4"/>
        <v>C_Ope_006</v>
      </c>
      <c r="D16" s="3" t="s">
        <v>1074</v>
      </c>
      <c r="E16" s="14">
        <v>45719</v>
      </c>
      <c r="F16" s="5" t="s">
        <v>7372</v>
      </c>
      <c r="G16" s="5" t="s">
        <v>1079</v>
      </c>
      <c r="H16" s="6"/>
      <c r="I16" s="6" t="s">
        <v>14</v>
      </c>
      <c r="J16" s="6" t="s">
        <v>5242</v>
      </c>
      <c r="K16" s="6">
        <v>1978557</v>
      </c>
      <c r="L16" s="7" t="s">
        <v>7379</v>
      </c>
      <c r="M16" s="8">
        <v>23280</v>
      </c>
      <c r="N16" s="8" t="str">
        <f t="shared" si="5"/>
        <v>PEN</v>
      </c>
      <c r="O16" s="13"/>
      <c r="P16" s="13">
        <v>12</v>
      </c>
      <c r="Q16" s="3">
        <f t="shared" si="1"/>
        <v>0</v>
      </c>
      <c r="R16" s="3">
        <f t="shared" si="2"/>
        <v>12</v>
      </c>
      <c r="S16" s="3">
        <f t="shared" si="3"/>
        <v>174</v>
      </c>
      <c r="T16" s="24"/>
      <c r="U16" s="24"/>
      <c r="V16" s="3"/>
      <c r="W16" s="25" t="s">
        <v>6747</v>
      </c>
      <c r="X16" s="25"/>
      <c r="Y16" s="25" t="str">
        <f>IFERROR(VLOOKUP(C_Ope_006[[#This Row],[NOTA 2]],Clientes_Proveedores[[Ruc / Dni]:[Razon Social]],2,0),"")</f>
        <v/>
      </c>
      <c r="Z16" s="25"/>
      <c r="AA16" s="15"/>
      <c r="AB16" s="3" t="str">
        <f>IF(C_Ope_006[[#This Row],[FECHA]]&gt;0,TEXT(C_Ope_006[[#This Row],[FECHA]],"mmmm"),0)</f>
        <v>Marzo</v>
      </c>
    </row>
    <row r="17" spans="2:28" x14ac:dyDescent="0.3">
      <c r="B17" s="2">
        <f>IF(C_Ope_006[[#This Row],[TIPO DE R.]]="R",COUNTIFS($D$4:$D16,"R")+1,"")</f>
        <v>13</v>
      </c>
      <c r="C17" s="19" t="str">
        <f t="shared" si="4"/>
        <v>C_Ope_006</v>
      </c>
      <c r="D17" s="3" t="s">
        <v>1074</v>
      </c>
      <c r="E17" s="14">
        <v>45719</v>
      </c>
      <c r="F17" s="5" t="s">
        <v>7372</v>
      </c>
      <c r="G17" s="5" t="s">
        <v>1079</v>
      </c>
      <c r="H17" s="6"/>
      <c r="I17" s="6" t="s">
        <v>14</v>
      </c>
      <c r="J17" s="6" t="s">
        <v>5242</v>
      </c>
      <c r="K17" s="6">
        <v>1978557</v>
      </c>
      <c r="L17" s="7" t="s">
        <v>7379</v>
      </c>
      <c r="M17" s="8">
        <v>23281</v>
      </c>
      <c r="N17" s="8" t="str">
        <f t="shared" si="5"/>
        <v>PEN</v>
      </c>
      <c r="O17" s="13"/>
      <c r="P17" s="13">
        <v>0</v>
      </c>
      <c r="Q17" s="3">
        <f t="shared" si="1"/>
        <v>0</v>
      </c>
      <c r="R17" s="3">
        <f t="shared" si="2"/>
        <v>0</v>
      </c>
      <c r="S17" s="3">
        <f t="shared" si="3"/>
        <v>174</v>
      </c>
      <c r="T17" s="24"/>
      <c r="U17" s="24"/>
      <c r="V17" s="3"/>
      <c r="W17" s="25" t="s">
        <v>6747</v>
      </c>
      <c r="X17" s="25"/>
      <c r="Y17" s="25" t="str">
        <f>IFERROR(VLOOKUP(C_Ope_006[[#This Row],[NOTA 2]],Clientes_Proveedores[[Ruc / Dni]:[Razon Social]],2,0),"")</f>
        <v/>
      </c>
      <c r="Z17" s="25"/>
      <c r="AA17" s="15"/>
      <c r="AB17" s="3" t="str">
        <f>IF(C_Ope_006[[#This Row],[FECHA]]&gt;0,TEXT(C_Ope_006[[#This Row],[FECHA]],"mmmm"),0)</f>
        <v>Marzo</v>
      </c>
    </row>
    <row r="18" spans="2:28" ht="24" x14ac:dyDescent="0.3">
      <c r="B18" s="2">
        <f>IF(C_Ope_006[[#This Row],[TIPO DE R.]]="R",COUNTIFS($D$4:$D17,"R")+1,"")</f>
        <v>14</v>
      </c>
      <c r="C18" s="19" t="str">
        <f t="shared" si="4"/>
        <v>C_Ope_006</v>
      </c>
      <c r="D18" s="3" t="s">
        <v>1074</v>
      </c>
      <c r="E18" s="14">
        <v>45720</v>
      </c>
      <c r="F18" s="5" t="s">
        <v>7372</v>
      </c>
      <c r="G18" s="5" t="s">
        <v>1079</v>
      </c>
      <c r="H18" s="6"/>
      <c r="I18" s="6" t="s">
        <v>14</v>
      </c>
      <c r="J18" s="6" t="s">
        <v>5243</v>
      </c>
      <c r="K18" s="6">
        <v>2253215</v>
      </c>
      <c r="L18" s="7" t="s">
        <v>7380</v>
      </c>
      <c r="M18" s="8">
        <v>23282</v>
      </c>
      <c r="N18" s="8" t="str">
        <f t="shared" si="5"/>
        <v>PEN</v>
      </c>
      <c r="O18" s="13"/>
      <c r="P18" s="13">
        <v>12</v>
      </c>
      <c r="Q18" s="3">
        <f t="shared" si="1"/>
        <v>0</v>
      </c>
      <c r="R18" s="3">
        <f t="shared" si="2"/>
        <v>12</v>
      </c>
      <c r="S18" s="3">
        <f t="shared" si="3"/>
        <v>162</v>
      </c>
      <c r="T18" s="24"/>
      <c r="U18" s="24"/>
      <c r="V18" s="3"/>
      <c r="W18" s="25" t="s">
        <v>6747</v>
      </c>
      <c r="X18" s="25"/>
      <c r="Y18" s="25" t="str">
        <f>IFERROR(VLOOKUP(C_Ope_006[[#This Row],[NOTA 2]],Clientes_Proveedores[[Ruc / Dni]:[Razon Social]],2,0),"")</f>
        <v/>
      </c>
      <c r="Z18" s="25"/>
      <c r="AA18" s="15"/>
      <c r="AB18" s="3" t="str">
        <f>IF(C_Ope_006[[#This Row],[FECHA]]&gt;0,TEXT(C_Ope_006[[#This Row],[FECHA]],"mmmm"),0)</f>
        <v>Marzo</v>
      </c>
    </row>
    <row r="19" spans="2:28" ht="24" x14ac:dyDescent="0.3">
      <c r="B19" s="2">
        <f>IF(C_Ope_006[[#This Row],[TIPO DE R.]]="R",COUNTIFS($D$4:$D18,"R")+1,"")</f>
        <v>15</v>
      </c>
      <c r="C19" s="19" t="str">
        <f t="shared" si="4"/>
        <v>C_Ope_006</v>
      </c>
      <c r="D19" s="3" t="s">
        <v>1074</v>
      </c>
      <c r="E19" s="14">
        <v>45720</v>
      </c>
      <c r="F19" s="5" t="s">
        <v>7372</v>
      </c>
      <c r="G19" s="5" t="s">
        <v>1079</v>
      </c>
      <c r="H19" s="6"/>
      <c r="I19" s="6" t="s">
        <v>14</v>
      </c>
      <c r="J19" s="6" t="s">
        <v>5245</v>
      </c>
      <c r="K19" s="6">
        <v>1690542</v>
      </c>
      <c r="L19" s="7" t="s">
        <v>7380</v>
      </c>
      <c r="M19" s="8">
        <v>23290</v>
      </c>
      <c r="N19" s="8" t="str">
        <f t="shared" si="5"/>
        <v>PEN</v>
      </c>
      <c r="O19" s="13"/>
      <c r="P19" s="13">
        <v>12</v>
      </c>
      <c r="Q19" s="3">
        <f t="shared" si="1"/>
        <v>0</v>
      </c>
      <c r="R19" s="3">
        <f t="shared" si="2"/>
        <v>12</v>
      </c>
      <c r="S19" s="3">
        <f t="shared" si="3"/>
        <v>150</v>
      </c>
      <c r="T19" s="24"/>
      <c r="U19" s="24"/>
      <c r="V19" s="3"/>
      <c r="W19" s="25" t="s">
        <v>6747</v>
      </c>
      <c r="X19" s="25"/>
      <c r="Y19" s="25" t="str">
        <f>IFERROR(VLOOKUP(C_Ope_006[[#This Row],[NOTA 2]],Clientes_Proveedores[[Ruc / Dni]:[Razon Social]],2,0),"")</f>
        <v/>
      </c>
      <c r="Z19" s="25"/>
      <c r="AA19" s="15"/>
      <c r="AB19" s="3" t="str">
        <f>IF(C_Ope_006[[#This Row],[FECHA]]&gt;0,TEXT(C_Ope_006[[#This Row],[FECHA]],"mmmm"),0)</f>
        <v>Marzo</v>
      </c>
    </row>
    <row r="20" spans="2:28" x14ac:dyDescent="0.3">
      <c r="B20" s="2">
        <f>IF(C_Ope_006[[#This Row],[TIPO DE R.]]="R",COUNTIFS($D$4:$D19,"R")+1,"")</f>
        <v>16</v>
      </c>
      <c r="C20" s="19" t="str">
        <f t="shared" si="4"/>
        <v>C_Ope_006</v>
      </c>
      <c r="D20" s="3" t="s">
        <v>1074</v>
      </c>
      <c r="E20" s="14">
        <v>45719</v>
      </c>
      <c r="F20" s="5" t="s">
        <v>7372</v>
      </c>
      <c r="G20" s="5" t="s">
        <v>1079</v>
      </c>
      <c r="H20" s="6"/>
      <c r="I20" s="6" t="s">
        <v>14</v>
      </c>
      <c r="J20" s="6" t="s">
        <v>1097</v>
      </c>
      <c r="K20" s="6">
        <v>15779</v>
      </c>
      <c r="L20" s="7" t="s">
        <v>7381</v>
      </c>
      <c r="M20" s="8">
        <v>23279</v>
      </c>
      <c r="N20" s="8" t="str">
        <f t="shared" si="5"/>
        <v>PEN</v>
      </c>
      <c r="O20" s="13"/>
      <c r="P20" s="13">
        <v>20</v>
      </c>
      <c r="Q20" s="3">
        <f t="shared" si="1"/>
        <v>0</v>
      </c>
      <c r="R20" s="3">
        <f t="shared" si="2"/>
        <v>20</v>
      </c>
      <c r="S20" s="3">
        <f t="shared" si="3"/>
        <v>130</v>
      </c>
      <c r="T20" s="24"/>
      <c r="U20" s="24"/>
      <c r="V20" s="3"/>
      <c r="W20" s="25" t="s">
        <v>6747</v>
      </c>
      <c r="X20" s="25"/>
      <c r="Y20" s="25" t="str">
        <f>IFERROR(VLOOKUP(C_Ope_006[[#This Row],[NOTA 2]],Clientes_Proveedores[[Ruc / Dni]:[Razon Social]],2,0),"")</f>
        <v/>
      </c>
      <c r="Z20" s="25"/>
      <c r="AA20" s="15"/>
      <c r="AB20" s="3" t="str">
        <f>IF(C_Ope_006[[#This Row],[FECHA]]&gt;0,TEXT(C_Ope_006[[#This Row],[FECHA]],"mmmm"),0)</f>
        <v>Marzo</v>
      </c>
    </row>
    <row r="21" spans="2:28" x14ac:dyDescent="0.3">
      <c r="B21" s="2">
        <f>IF(C_Ope_006[[#This Row],[TIPO DE R.]]="R",COUNTIFS($D$4:$D20,"R")+1,"")</f>
        <v>17</v>
      </c>
      <c r="C21" s="19" t="str">
        <f t="shared" si="4"/>
        <v>C_Ope_006</v>
      </c>
      <c r="D21" s="3" t="s">
        <v>1074</v>
      </c>
      <c r="E21" s="14">
        <v>45720</v>
      </c>
      <c r="F21" s="5" t="s">
        <v>7372</v>
      </c>
      <c r="G21" s="5" t="s">
        <v>1079</v>
      </c>
      <c r="H21" s="6"/>
      <c r="I21" s="6" t="s">
        <v>14</v>
      </c>
      <c r="J21" s="6" t="s">
        <v>1429</v>
      </c>
      <c r="K21" s="6">
        <v>16043</v>
      </c>
      <c r="L21" s="7" t="s">
        <v>7382</v>
      </c>
      <c r="M21" s="8">
        <v>23287</v>
      </c>
      <c r="N21" s="8" t="str">
        <f t="shared" si="5"/>
        <v>PEN</v>
      </c>
      <c r="O21" s="13"/>
      <c r="P21" s="13">
        <v>36</v>
      </c>
      <c r="Q21" s="3">
        <f t="shared" si="1"/>
        <v>0</v>
      </c>
      <c r="R21" s="3">
        <f t="shared" si="2"/>
        <v>36</v>
      </c>
      <c r="S21" s="3">
        <f t="shared" si="3"/>
        <v>94</v>
      </c>
      <c r="T21" s="24"/>
      <c r="U21" s="24"/>
      <c r="V21" s="3"/>
      <c r="W21" s="25" t="s">
        <v>6747</v>
      </c>
      <c r="X21" s="25"/>
      <c r="Y21" s="25" t="str">
        <f>IFERROR(VLOOKUP(C_Ope_006[[#This Row],[NOTA 2]],Clientes_Proveedores[[Ruc / Dni]:[Razon Social]],2,0),"")</f>
        <v/>
      </c>
      <c r="Z21" s="25"/>
      <c r="AA21" s="15"/>
      <c r="AB21" s="3" t="str">
        <f>IF(C_Ope_006[[#This Row],[FECHA]]&gt;0,TEXT(C_Ope_006[[#This Row],[FECHA]],"mmmm"),0)</f>
        <v>Marzo</v>
      </c>
    </row>
    <row r="22" spans="2:28" x14ac:dyDescent="0.3">
      <c r="B22" s="2">
        <f>IF(C_Ope_006[[#This Row],[TIPO DE R.]]="R",COUNTIFS($D$4:$D21,"R")+1,"")</f>
        <v>18</v>
      </c>
      <c r="C22" s="19" t="str">
        <f t="shared" si="4"/>
        <v>C_Ope_006</v>
      </c>
      <c r="D22" s="3" t="s">
        <v>1074</v>
      </c>
      <c r="E22" s="14">
        <v>45727</v>
      </c>
      <c r="F22" s="5"/>
      <c r="G22" s="5" t="s">
        <v>1087</v>
      </c>
      <c r="H22" s="6"/>
      <c r="I22" s="6"/>
      <c r="J22" s="6"/>
      <c r="K22" s="6"/>
      <c r="L22" s="7" t="s">
        <v>7113</v>
      </c>
      <c r="M22" s="8">
        <v>23437</v>
      </c>
      <c r="N22" s="8" t="str">
        <f t="shared" si="5"/>
        <v>PEN</v>
      </c>
      <c r="O22" s="13"/>
      <c r="P22" s="13">
        <v>110</v>
      </c>
      <c r="Q22" s="3">
        <f t="shared" si="1"/>
        <v>110</v>
      </c>
      <c r="R22" s="3">
        <f t="shared" si="2"/>
        <v>0</v>
      </c>
      <c r="S22" s="3">
        <f t="shared" si="3"/>
        <v>204</v>
      </c>
      <c r="T22" s="24"/>
      <c r="U22" s="24"/>
      <c r="V22" s="3"/>
      <c r="W22" s="25"/>
      <c r="X22" s="25"/>
      <c r="Y22" s="25" t="str">
        <f>IFERROR(VLOOKUP(C_Ope_006[[#This Row],[NOTA 2]],Clientes_Proveedores[[Ruc / Dni]:[Razon Social]],2,0),"")</f>
        <v/>
      </c>
      <c r="Z22" s="25"/>
      <c r="AA22" s="15"/>
      <c r="AB22" s="3" t="str">
        <f>IF(C_Ope_006[[#This Row],[FECHA]]&gt;0,TEXT(C_Ope_006[[#This Row],[FECHA]],"mmmm"),0)</f>
        <v>Marzo</v>
      </c>
    </row>
    <row r="23" spans="2:28" ht="24" x14ac:dyDescent="0.3">
      <c r="B23" s="2">
        <f>IF(C_Ope_006[[#This Row],[TIPO DE R.]]="R",COUNTIFS($D$4:$D22,"R")+1,"")</f>
        <v>19</v>
      </c>
      <c r="C23" s="19" t="str">
        <f t="shared" si="4"/>
        <v>C_Ope_006</v>
      </c>
      <c r="D23" s="3" t="s">
        <v>1074</v>
      </c>
      <c r="E23" s="14">
        <v>45726</v>
      </c>
      <c r="F23" s="5" t="s">
        <v>7372</v>
      </c>
      <c r="G23" s="5" t="s">
        <v>1079</v>
      </c>
      <c r="H23" s="6"/>
      <c r="I23" s="6" t="s">
        <v>14</v>
      </c>
      <c r="J23" s="6" t="s">
        <v>5243</v>
      </c>
      <c r="K23" s="6">
        <v>2259801</v>
      </c>
      <c r="L23" s="7" t="s">
        <v>7383</v>
      </c>
      <c r="M23" s="8">
        <v>23348</v>
      </c>
      <c r="N23" s="8" t="str">
        <f t="shared" si="5"/>
        <v>PEN</v>
      </c>
      <c r="O23" s="13"/>
      <c r="P23" s="13">
        <v>12</v>
      </c>
      <c r="Q23" s="3">
        <f t="shared" si="1"/>
        <v>0</v>
      </c>
      <c r="R23" s="3">
        <f t="shared" si="2"/>
        <v>12</v>
      </c>
      <c r="S23" s="3">
        <f t="shared" si="3"/>
        <v>192</v>
      </c>
      <c r="T23" s="24"/>
      <c r="U23" s="24"/>
      <c r="V23" s="3"/>
      <c r="W23" s="25" t="s">
        <v>6747</v>
      </c>
      <c r="X23" s="25"/>
      <c r="Y23" s="25" t="str">
        <f>IFERROR(VLOOKUP(C_Ope_006[[#This Row],[NOTA 2]],Clientes_Proveedores[[Ruc / Dni]:[Razon Social]],2,0),"")</f>
        <v/>
      </c>
      <c r="Z23" s="25"/>
      <c r="AA23" s="15"/>
      <c r="AB23" s="3" t="str">
        <f>IF(C_Ope_006[[#This Row],[FECHA]]&gt;0,TEXT(C_Ope_006[[#This Row],[FECHA]],"mmmm"),0)</f>
        <v>Marzo</v>
      </c>
    </row>
    <row r="24" spans="2:28" ht="24" x14ac:dyDescent="0.3">
      <c r="B24" s="2">
        <f>IF(C_Ope_006[[#This Row],[TIPO DE R.]]="R",COUNTIFS($D$4:$D23,"R")+1,"")</f>
        <v>20</v>
      </c>
      <c r="C24" s="19" t="str">
        <f t="shared" si="4"/>
        <v>C_Ope_006</v>
      </c>
      <c r="D24" s="3" t="s">
        <v>1074</v>
      </c>
      <c r="E24" s="14">
        <v>45726</v>
      </c>
      <c r="F24" s="5" t="s">
        <v>7372</v>
      </c>
      <c r="G24" s="5" t="s">
        <v>1079</v>
      </c>
      <c r="H24" s="6"/>
      <c r="I24" s="6" t="s">
        <v>14</v>
      </c>
      <c r="J24" s="6" t="s">
        <v>5242</v>
      </c>
      <c r="K24" s="6">
        <v>1985795</v>
      </c>
      <c r="L24" s="7" t="s">
        <v>7383</v>
      </c>
      <c r="M24" s="8">
        <v>23356</v>
      </c>
      <c r="N24" s="8" t="str">
        <f t="shared" si="5"/>
        <v>PEN</v>
      </c>
      <c r="O24" s="13"/>
      <c r="P24" s="13">
        <v>12</v>
      </c>
      <c r="Q24" s="3">
        <f t="shared" si="1"/>
        <v>0</v>
      </c>
      <c r="R24" s="3">
        <f t="shared" si="2"/>
        <v>12</v>
      </c>
      <c r="S24" s="3">
        <f t="shared" si="3"/>
        <v>180</v>
      </c>
      <c r="T24" s="24"/>
      <c r="U24" s="24"/>
      <c r="V24" s="3"/>
      <c r="W24" s="25" t="s">
        <v>6747</v>
      </c>
      <c r="X24" s="25"/>
      <c r="Y24" s="25" t="str">
        <f>IFERROR(VLOOKUP(C_Ope_006[[#This Row],[NOTA 2]],Clientes_Proveedores[[Ruc / Dni]:[Razon Social]],2,0),"")</f>
        <v/>
      </c>
      <c r="Z24" s="25"/>
      <c r="AA24" s="15"/>
      <c r="AB24" s="3" t="str">
        <f>IF(C_Ope_006[[#This Row],[FECHA]]&gt;0,TEXT(C_Ope_006[[#This Row],[FECHA]],"mmmm"),0)</f>
        <v>Marzo</v>
      </c>
    </row>
    <row r="25" spans="2:28" ht="24" x14ac:dyDescent="0.3">
      <c r="B25" s="2">
        <f>IF(C_Ope_006[[#This Row],[TIPO DE R.]]="R",COUNTIFS($D$4:$D24,"R")+1,"")</f>
        <v>21</v>
      </c>
      <c r="C25" s="19" t="str">
        <f t="shared" si="4"/>
        <v>C_Ope_006</v>
      </c>
      <c r="D25" s="3" t="s">
        <v>1074</v>
      </c>
      <c r="E25" s="14">
        <v>45728</v>
      </c>
      <c r="F25" s="5" t="s">
        <v>7372</v>
      </c>
      <c r="G25" s="5" t="s">
        <v>1079</v>
      </c>
      <c r="H25" s="6"/>
      <c r="I25" s="6" t="s">
        <v>14</v>
      </c>
      <c r="J25" s="6" t="s">
        <v>5243</v>
      </c>
      <c r="K25" s="6">
        <v>2262729</v>
      </c>
      <c r="L25" s="7" t="s">
        <v>7384</v>
      </c>
      <c r="M25" s="8">
        <v>23397</v>
      </c>
      <c r="N25" s="8" t="str">
        <f t="shared" si="5"/>
        <v>PEN</v>
      </c>
      <c r="O25" s="13"/>
      <c r="P25" s="13">
        <v>12</v>
      </c>
      <c r="Q25" s="3">
        <f t="shared" si="1"/>
        <v>0</v>
      </c>
      <c r="R25" s="3">
        <f t="shared" si="2"/>
        <v>12</v>
      </c>
      <c r="S25" s="3">
        <f t="shared" si="3"/>
        <v>168</v>
      </c>
      <c r="T25" s="24"/>
      <c r="U25" s="24"/>
      <c r="V25" s="3"/>
      <c r="W25" s="25" t="s">
        <v>6747</v>
      </c>
      <c r="X25" s="25"/>
      <c r="Y25" s="25" t="str">
        <f>IFERROR(VLOOKUP(C_Ope_006[[#This Row],[NOTA 2]],Clientes_Proveedores[[Ruc / Dni]:[Razon Social]],2,0),"")</f>
        <v/>
      </c>
      <c r="Z25" s="25"/>
      <c r="AA25" s="15"/>
      <c r="AB25" s="3" t="str">
        <f>IF(C_Ope_006[[#This Row],[FECHA]]&gt;0,TEXT(C_Ope_006[[#This Row],[FECHA]],"mmmm"),0)</f>
        <v>Marzo</v>
      </c>
    </row>
    <row r="26" spans="2:28" ht="24" x14ac:dyDescent="0.3">
      <c r="B26" s="2">
        <f>IF(C_Ope_006[[#This Row],[TIPO DE R.]]="R",COUNTIFS($D$4:$D25,"R")+1,"")</f>
        <v>22</v>
      </c>
      <c r="C26" s="19" t="str">
        <f t="shared" si="4"/>
        <v>C_Ope_006</v>
      </c>
      <c r="D26" s="3" t="s">
        <v>1074</v>
      </c>
      <c r="E26" s="14">
        <v>45728</v>
      </c>
      <c r="F26" s="5" t="s">
        <v>7372</v>
      </c>
      <c r="G26" s="5" t="s">
        <v>1079</v>
      </c>
      <c r="H26" s="6"/>
      <c r="I26" s="6" t="s">
        <v>14</v>
      </c>
      <c r="J26" s="6" t="s">
        <v>5245</v>
      </c>
      <c r="K26" s="6">
        <v>1696969</v>
      </c>
      <c r="L26" s="7" t="s">
        <v>7384</v>
      </c>
      <c r="M26" s="8">
        <v>23398</v>
      </c>
      <c r="N26" s="8" t="str">
        <f t="shared" si="5"/>
        <v>PEN</v>
      </c>
      <c r="O26" s="13"/>
      <c r="P26" s="13">
        <v>12</v>
      </c>
      <c r="Q26" s="3">
        <f t="shared" si="1"/>
        <v>0</v>
      </c>
      <c r="R26" s="3">
        <f t="shared" si="2"/>
        <v>12</v>
      </c>
      <c r="S26" s="3">
        <f t="shared" si="3"/>
        <v>156</v>
      </c>
      <c r="T26" s="24"/>
      <c r="U26" s="24"/>
      <c r="V26" s="3"/>
      <c r="W26" s="25" t="s">
        <v>6747</v>
      </c>
      <c r="X26" s="25"/>
      <c r="Y26" s="25" t="str">
        <f>IFERROR(VLOOKUP(C_Ope_006[[#This Row],[NOTA 2]],Clientes_Proveedores[[Ruc / Dni]:[Razon Social]],2,0),"")</f>
        <v/>
      </c>
      <c r="Z26" s="25"/>
      <c r="AA26" s="15"/>
      <c r="AB26" s="3" t="str">
        <f>IF(C_Ope_006[[#This Row],[FECHA]]&gt;0,TEXT(C_Ope_006[[#This Row],[FECHA]],"mmmm"),0)</f>
        <v>Marzo</v>
      </c>
    </row>
    <row r="27" spans="2:28" ht="24" x14ac:dyDescent="0.3">
      <c r="B27" s="2">
        <f>IF(C_Ope_006[[#This Row],[TIPO DE R.]]="R",COUNTIFS($D$4:$D26,"R")+1,"")</f>
        <v>23</v>
      </c>
      <c r="C27" s="19" t="str">
        <f t="shared" si="4"/>
        <v>C_Ope_006</v>
      </c>
      <c r="D27" s="3" t="s">
        <v>1074</v>
      </c>
      <c r="E27" s="14">
        <v>45730</v>
      </c>
      <c r="F27" s="5" t="s">
        <v>7372</v>
      </c>
      <c r="G27" s="5" t="s">
        <v>1079</v>
      </c>
      <c r="H27" s="6"/>
      <c r="I27" s="6" t="s">
        <v>14</v>
      </c>
      <c r="J27" s="6" t="s">
        <v>5243</v>
      </c>
      <c r="K27" s="6">
        <v>2265076</v>
      </c>
      <c r="L27" s="7" t="s">
        <v>7385</v>
      </c>
      <c r="M27" s="8">
        <v>23436</v>
      </c>
      <c r="N27" s="8" t="str">
        <f t="shared" si="5"/>
        <v>PEN</v>
      </c>
      <c r="O27" s="13"/>
      <c r="P27" s="13">
        <v>12</v>
      </c>
      <c r="Q27" s="3">
        <f t="shared" si="1"/>
        <v>0</v>
      </c>
      <c r="R27" s="3">
        <f t="shared" si="2"/>
        <v>12</v>
      </c>
      <c r="S27" s="3">
        <f t="shared" si="3"/>
        <v>144</v>
      </c>
      <c r="T27" s="24"/>
      <c r="U27" s="24"/>
      <c r="V27" s="3"/>
      <c r="W27" s="25" t="s">
        <v>6747</v>
      </c>
      <c r="X27" s="25"/>
      <c r="Y27" s="25" t="str">
        <f>IFERROR(VLOOKUP(C_Ope_006[[#This Row],[NOTA 2]],Clientes_Proveedores[[Ruc / Dni]:[Razon Social]],2,0),"")</f>
        <v/>
      </c>
      <c r="Z27" s="25"/>
      <c r="AA27" s="15"/>
      <c r="AB27" s="3" t="str">
        <f>IF(C_Ope_006[[#This Row],[FECHA]]&gt;0,TEXT(C_Ope_006[[#This Row],[FECHA]],"mmmm"),0)</f>
        <v>Marzo</v>
      </c>
    </row>
    <row r="28" spans="2:28" ht="24" x14ac:dyDescent="0.3">
      <c r="B28" s="2">
        <f>IF(C_Ope_006[[#This Row],[TIPO DE R.]]="R",COUNTIFS($D$4:$D27,"R")+1,"")</f>
        <v>24</v>
      </c>
      <c r="C28" s="19" t="str">
        <f t="shared" si="4"/>
        <v>C_Ope_006</v>
      </c>
      <c r="D28" s="3" t="s">
        <v>1074</v>
      </c>
      <c r="E28" s="14">
        <v>45726</v>
      </c>
      <c r="F28" s="5" t="s">
        <v>7372</v>
      </c>
      <c r="G28" s="5" t="s">
        <v>1079</v>
      </c>
      <c r="H28" s="6"/>
      <c r="I28" s="6" t="s">
        <v>14</v>
      </c>
      <c r="J28" s="6" t="s">
        <v>1429</v>
      </c>
      <c r="K28" s="6">
        <v>16063</v>
      </c>
      <c r="L28" s="7" t="s">
        <v>7386</v>
      </c>
      <c r="M28" s="8">
        <v>23350</v>
      </c>
      <c r="N28" s="8" t="str">
        <f t="shared" si="5"/>
        <v>PEN</v>
      </c>
      <c r="O28" s="13"/>
      <c r="P28" s="13">
        <v>12</v>
      </c>
      <c r="Q28" s="3">
        <f t="shared" si="1"/>
        <v>0</v>
      </c>
      <c r="R28" s="3">
        <f t="shared" si="2"/>
        <v>12</v>
      </c>
      <c r="S28" s="3">
        <f t="shared" si="3"/>
        <v>132</v>
      </c>
      <c r="T28" s="24"/>
      <c r="U28" s="24"/>
      <c r="V28" s="3"/>
      <c r="W28" s="25" t="s">
        <v>6747</v>
      </c>
      <c r="X28" s="25"/>
      <c r="Y28" s="25" t="str">
        <f>IFERROR(VLOOKUP(C_Ope_006[[#This Row],[NOTA 2]],Clientes_Proveedores[[Ruc / Dni]:[Razon Social]],2,0),"")</f>
        <v/>
      </c>
      <c r="Z28" s="25"/>
      <c r="AA28" s="15"/>
      <c r="AB28" s="3" t="str">
        <f>IF(C_Ope_006[[#This Row],[FECHA]]&gt;0,TEXT(C_Ope_006[[#This Row],[FECHA]],"mmmm"),0)</f>
        <v>Marzo</v>
      </c>
    </row>
    <row r="29" spans="2:28" ht="24" x14ac:dyDescent="0.3">
      <c r="B29" s="2">
        <f>IF(C_Ope_006[[#This Row],[TIPO DE R.]]="R",COUNTIFS($D$4:$D28,"R")+1,"")</f>
        <v>25</v>
      </c>
      <c r="C29" s="19" t="str">
        <f t="shared" si="4"/>
        <v>C_Ope_006</v>
      </c>
      <c r="D29" s="3" t="s">
        <v>1074</v>
      </c>
      <c r="E29" s="14">
        <v>45728</v>
      </c>
      <c r="F29" s="5" t="s">
        <v>7372</v>
      </c>
      <c r="G29" s="5" t="s">
        <v>1079</v>
      </c>
      <c r="H29" s="6"/>
      <c r="I29" s="6" t="s">
        <v>14</v>
      </c>
      <c r="J29" s="6" t="s">
        <v>1088</v>
      </c>
      <c r="K29" s="6">
        <v>34096</v>
      </c>
      <c r="L29" s="7" t="s">
        <v>7387</v>
      </c>
      <c r="M29" s="8">
        <v>23389</v>
      </c>
      <c r="N29" s="8" t="str">
        <f t="shared" si="5"/>
        <v>PEN</v>
      </c>
      <c r="O29" s="13"/>
      <c r="P29" s="13">
        <v>10</v>
      </c>
      <c r="Q29" s="3">
        <f t="shared" si="1"/>
        <v>0</v>
      </c>
      <c r="R29" s="3">
        <f t="shared" si="2"/>
        <v>10</v>
      </c>
      <c r="S29" s="3">
        <f t="shared" si="3"/>
        <v>122</v>
      </c>
      <c r="T29" s="24"/>
      <c r="U29" s="24"/>
      <c r="V29" s="3"/>
      <c r="W29" s="25" t="s">
        <v>6747</v>
      </c>
      <c r="X29" s="25"/>
      <c r="Y29" s="25" t="str">
        <f>IFERROR(VLOOKUP(C_Ope_006[[#This Row],[NOTA 2]],Clientes_Proveedores[[Ruc / Dni]:[Razon Social]],2,0),"")</f>
        <v/>
      </c>
      <c r="Z29" s="25"/>
      <c r="AA29" s="15"/>
      <c r="AB29" s="3" t="str">
        <f>IF(C_Ope_006[[#This Row],[FECHA]]&gt;0,TEXT(C_Ope_006[[#This Row],[FECHA]],"mmmm"),0)</f>
        <v>Marzo</v>
      </c>
    </row>
    <row r="30" spans="2:28" x14ac:dyDescent="0.3">
      <c r="B30" s="2">
        <f>IF(C_Ope_006[[#This Row],[TIPO DE R.]]="R",COUNTIFS($D$4:$D29,"R")+1,"")</f>
        <v>26</v>
      </c>
      <c r="C30" s="19" t="str">
        <f t="shared" si="4"/>
        <v>C_Ope_006</v>
      </c>
      <c r="D30" s="3" t="s">
        <v>1074</v>
      </c>
      <c r="E30" s="14">
        <v>45729</v>
      </c>
      <c r="F30" s="5" t="s">
        <v>7372</v>
      </c>
      <c r="G30" s="5" t="s">
        <v>1079</v>
      </c>
      <c r="H30" s="6"/>
      <c r="I30" s="6" t="s">
        <v>14</v>
      </c>
      <c r="J30" s="6" t="s">
        <v>1088</v>
      </c>
      <c r="K30" s="6">
        <v>34108</v>
      </c>
      <c r="L30" s="7" t="s">
        <v>7388</v>
      </c>
      <c r="M30" s="8">
        <v>23425</v>
      </c>
      <c r="N30" s="8" t="str">
        <f t="shared" si="5"/>
        <v>PEN</v>
      </c>
      <c r="O30" s="13"/>
      <c r="P30" s="13">
        <v>10</v>
      </c>
      <c r="Q30" s="3">
        <f t="shared" si="1"/>
        <v>0</v>
      </c>
      <c r="R30" s="3">
        <f t="shared" si="2"/>
        <v>10</v>
      </c>
      <c r="S30" s="3">
        <f t="shared" si="3"/>
        <v>112</v>
      </c>
      <c r="T30" s="24"/>
      <c r="U30" s="24"/>
      <c r="V30" s="3"/>
      <c r="W30" s="25" t="s">
        <v>6747</v>
      </c>
      <c r="X30" s="25"/>
      <c r="Y30" s="25" t="str">
        <f>IFERROR(VLOOKUP(C_Ope_006[[#This Row],[NOTA 2]],Clientes_Proveedores[[Ruc / Dni]:[Razon Social]],2,0),"")</f>
        <v/>
      </c>
      <c r="Z30" s="25"/>
      <c r="AA30" s="15"/>
      <c r="AB30" s="3" t="str">
        <f>IF(C_Ope_006[[#This Row],[FECHA]]&gt;0,TEXT(C_Ope_006[[#This Row],[FECHA]],"mmmm"),0)</f>
        <v>Marzo</v>
      </c>
    </row>
    <row r="31" spans="2:28" x14ac:dyDescent="0.3">
      <c r="B31" s="2">
        <f>IF(C_Ope_006[[#This Row],[TIPO DE R.]]="R",COUNTIFS($D$4:$D30,"R")+1,"")</f>
        <v>27</v>
      </c>
      <c r="C31" s="19" t="str">
        <f t="shared" si="4"/>
        <v>C_Ope_006</v>
      </c>
      <c r="D31" s="3" t="s">
        <v>1074</v>
      </c>
      <c r="E31" s="14">
        <v>45729</v>
      </c>
      <c r="F31" s="5" t="s">
        <v>7372</v>
      </c>
      <c r="G31" s="5" t="s">
        <v>1079</v>
      </c>
      <c r="H31" s="6"/>
      <c r="I31" s="6" t="s">
        <v>14</v>
      </c>
      <c r="J31" s="6" t="s">
        <v>1119</v>
      </c>
      <c r="K31" s="6">
        <v>16817</v>
      </c>
      <c r="L31" s="7" t="s">
        <v>6565</v>
      </c>
      <c r="M31" s="8">
        <v>23433</v>
      </c>
      <c r="N31" s="8" t="str">
        <f t="shared" si="5"/>
        <v>PEN</v>
      </c>
      <c r="O31" s="13"/>
      <c r="P31" s="13">
        <v>30</v>
      </c>
      <c r="Q31" s="3">
        <f t="shared" si="1"/>
        <v>0</v>
      </c>
      <c r="R31" s="3">
        <f t="shared" si="2"/>
        <v>30</v>
      </c>
      <c r="S31" s="3">
        <f t="shared" si="3"/>
        <v>82</v>
      </c>
      <c r="T31" s="24"/>
      <c r="U31" s="24"/>
      <c r="V31" s="3"/>
      <c r="W31" s="25" t="s">
        <v>6747</v>
      </c>
      <c r="X31" s="25"/>
      <c r="Y31" s="25" t="str">
        <f>IFERROR(VLOOKUP(C_Ope_006[[#This Row],[NOTA 2]],Clientes_Proveedores[[Ruc / Dni]:[Razon Social]],2,0),"")</f>
        <v/>
      </c>
      <c r="Z31" s="25"/>
      <c r="AA31" s="15"/>
      <c r="AB31" s="3" t="str">
        <f>IF(C_Ope_006[[#This Row],[FECHA]]&gt;0,TEXT(C_Ope_006[[#This Row],[FECHA]],"mmmm"),0)</f>
        <v>Marzo</v>
      </c>
    </row>
    <row r="32" spans="2:28" x14ac:dyDescent="0.3">
      <c r="B32" s="2">
        <f>IF(C_Ope_006[[#This Row],[TIPO DE R.]]="R",COUNTIFS($D$4:$D31,"R")+1,"")</f>
        <v>28</v>
      </c>
      <c r="C32" s="19" t="str">
        <f t="shared" si="4"/>
        <v>C_Ope_006</v>
      </c>
      <c r="D32" s="3" t="s">
        <v>1074</v>
      </c>
      <c r="E32" s="14">
        <v>45734</v>
      </c>
      <c r="F32" s="5"/>
      <c r="G32" s="5" t="s">
        <v>1087</v>
      </c>
      <c r="H32" s="6"/>
      <c r="I32" s="6"/>
      <c r="J32" s="6"/>
      <c r="K32" s="6"/>
      <c r="L32" s="7" t="s">
        <v>7113</v>
      </c>
      <c r="M32" s="8">
        <v>23478</v>
      </c>
      <c r="N32" s="8" t="str">
        <f t="shared" si="5"/>
        <v>PEN</v>
      </c>
      <c r="O32" s="13"/>
      <c r="P32" s="13">
        <v>120</v>
      </c>
      <c r="Q32" s="3">
        <f t="shared" si="1"/>
        <v>120</v>
      </c>
      <c r="R32" s="3">
        <f t="shared" si="2"/>
        <v>0</v>
      </c>
      <c r="S32" s="3">
        <f t="shared" si="3"/>
        <v>202</v>
      </c>
      <c r="T32" s="24"/>
      <c r="U32" s="24"/>
      <c r="V32" s="3"/>
      <c r="W32" s="25"/>
      <c r="X32" s="25"/>
      <c r="Y32" s="25" t="str">
        <f>IFERROR(VLOOKUP(C_Ope_006[[#This Row],[NOTA 2]],Clientes_Proveedores[[Ruc / Dni]:[Razon Social]],2,0),"")</f>
        <v/>
      </c>
      <c r="Z32" s="25"/>
      <c r="AA32" s="15"/>
      <c r="AB32" s="3" t="str">
        <f>IF(C_Ope_006[[#This Row],[FECHA]]&gt;0,TEXT(C_Ope_006[[#This Row],[FECHA]],"mmmm"),0)</f>
        <v>Marzo</v>
      </c>
    </row>
    <row r="33" spans="2:28" x14ac:dyDescent="0.3">
      <c r="B33" s="2">
        <f>IF(C_Ope_006[[#This Row],[TIPO DE R.]]="R",COUNTIFS($D$4:$D32,"R")+1,"")</f>
        <v>29</v>
      </c>
      <c r="C33" s="19" t="str">
        <f t="shared" si="4"/>
        <v>C_Ope_006</v>
      </c>
      <c r="D33" s="3" t="s">
        <v>1074</v>
      </c>
      <c r="E33" s="14">
        <v>45735</v>
      </c>
      <c r="F33" s="5"/>
      <c r="G33" s="5" t="s">
        <v>1087</v>
      </c>
      <c r="H33" s="6"/>
      <c r="I33" s="6"/>
      <c r="J33" s="6"/>
      <c r="K33" s="6"/>
      <c r="L33" s="7" t="s">
        <v>6392</v>
      </c>
      <c r="M33" s="8">
        <v>23501</v>
      </c>
      <c r="N33" s="8" t="str">
        <f t="shared" si="5"/>
        <v>PEN</v>
      </c>
      <c r="O33" s="13"/>
      <c r="P33" s="13">
        <v>400</v>
      </c>
      <c r="Q33" s="3">
        <f t="shared" si="1"/>
        <v>400</v>
      </c>
      <c r="R33" s="3">
        <f t="shared" si="2"/>
        <v>0</v>
      </c>
      <c r="S33" s="3">
        <f t="shared" si="3"/>
        <v>602</v>
      </c>
      <c r="T33" s="24"/>
      <c r="U33" s="24"/>
      <c r="V33" s="3"/>
      <c r="W33" s="25"/>
      <c r="X33" s="25"/>
      <c r="Y33" s="25" t="str">
        <f>IFERROR(VLOOKUP(C_Ope_006[[#This Row],[NOTA 2]],Clientes_Proveedores[[Ruc / Dni]:[Razon Social]],2,0),"")</f>
        <v/>
      </c>
      <c r="Z33" s="25"/>
      <c r="AA33" s="15"/>
      <c r="AB33" s="3" t="str">
        <f>IF(C_Ope_006[[#This Row],[FECHA]]&gt;0,TEXT(C_Ope_006[[#This Row],[FECHA]],"mmmm"),0)</f>
        <v>Marzo</v>
      </c>
    </row>
    <row r="34" spans="2:28" x14ac:dyDescent="0.3">
      <c r="B34" s="2">
        <f>IF(C_Ope_006[[#This Row],[TIPO DE R.]]="R",COUNTIFS($D$4:$D33,"R")+1,"")</f>
        <v>30</v>
      </c>
      <c r="C34" s="19" t="str">
        <f t="shared" si="4"/>
        <v>C_Ope_006</v>
      </c>
      <c r="D34" s="3" t="s">
        <v>1074</v>
      </c>
      <c r="E34" s="14">
        <v>45737</v>
      </c>
      <c r="F34" s="5"/>
      <c r="G34" s="5" t="s">
        <v>1087</v>
      </c>
      <c r="H34" s="6"/>
      <c r="I34" s="6"/>
      <c r="J34" s="6"/>
      <c r="K34" s="6"/>
      <c r="L34" s="7" t="s">
        <v>6392</v>
      </c>
      <c r="M34" s="8">
        <v>23553</v>
      </c>
      <c r="N34" s="8" t="str">
        <f t="shared" si="5"/>
        <v>PEN</v>
      </c>
      <c r="O34" s="13"/>
      <c r="P34" s="13">
        <v>100</v>
      </c>
      <c r="Q34" s="3">
        <f t="shared" si="1"/>
        <v>100</v>
      </c>
      <c r="R34" s="3">
        <f t="shared" si="2"/>
        <v>0</v>
      </c>
      <c r="S34" s="3">
        <f t="shared" si="3"/>
        <v>702</v>
      </c>
      <c r="T34" s="24"/>
      <c r="U34" s="24"/>
      <c r="V34" s="3"/>
      <c r="W34" s="25"/>
      <c r="X34" s="25"/>
      <c r="Y34" s="25" t="str">
        <f>IFERROR(VLOOKUP(C_Ope_006[[#This Row],[NOTA 2]],Clientes_Proveedores[[Ruc / Dni]:[Razon Social]],2,0),"")</f>
        <v/>
      </c>
      <c r="Z34" s="25"/>
      <c r="AA34" s="15"/>
      <c r="AB34" s="3" t="str">
        <f>IF(C_Ope_006[[#This Row],[FECHA]]&gt;0,TEXT(C_Ope_006[[#This Row],[FECHA]],"mmmm"),0)</f>
        <v>Marzo</v>
      </c>
    </row>
    <row r="35" spans="2:28" ht="24" x14ac:dyDescent="0.3">
      <c r="B35" s="2">
        <f>IF(C_Ope_006[[#This Row],[TIPO DE R.]]="R",COUNTIFS($D$4:$D34,"R")+1,"")</f>
        <v>31</v>
      </c>
      <c r="C35" s="19" t="str">
        <f t="shared" si="4"/>
        <v>C_Ope_006</v>
      </c>
      <c r="D35" s="3" t="s">
        <v>1074</v>
      </c>
      <c r="E35" s="14">
        <v>45734</v>
      </c>
      <c r="F35" s="5" t="s">
        <v>7372</v>
      </c>
      <c r="G35" s="5" t="s">
        <v>1079</v>
      </c>
      <c r="H35" s="6"/>
      <c r="I35" s="6" t="s">
        <v>14</v>
      </c>
      <c r="J35" s="6" t="s">
        <v>5244</v>
      </c>
      <c r="K35" s="6">
        <v>1682776</v>
      </c>
      <c r="L35" s="7" t="s">
        <v>7389</v>
      </c>
      <c r="M35" s="8">
        <v>23493</v>
      </c>
      <c r="N35" s="8" t="str">
        <f t="shared" si="5"/>
        <v>PEN</v>
      </c>
      <c r="O35" s="13"/>
      <c r="P35" s="13">
        <v>12</v>
      </c>
      <c r="Q35" s="3">
        <f t="shared" si="1"/>
        <v>0</v>
      </c>
      <c r="R35" s="3">
        <f t="shared" si="2"/>
        <v>12</v>
      </c>
      <c r="S35" s="3">
        <f t="shared" si="3"/>
        <v>690</v>
      </c>
      <c r="T35" s="24"/>
      <c r="U35" s="24"/>
      <c r="V35" s="3"/>
      <c r="W35" s="25" t="s">
        <v>6747</v>
      </c>
      <c r="X35" s="25"/>
      <c r="Y35" s="25" t="str">
        <f>IFERROR(VLOOKUP(C_Ope_006[[#This Row],[NOTA 2]],Clientes_Proveedores[[Ruc / Dni]:[Razon Social]],2,0),"")</f>
        <v/>
      </c>
      <c r="Z35" s="25"/>
      <c r="AA35" s="15"/>
      <c r="AB35" s="3" t="str">
        <f>IF(C_Ope_006[[#This Row],[FECHA]]&gt;0,TEXT(C_Ope_006[[#This Row],[FECHA]],"mmmm"),0)</f>
        <v>Marzo</v>
      </c>
    </row>
    <row r="36" spans="2:28" ht="24" x14ac:dyDescent="0.3">
      <c r="B36" s="2">
        <f>IF(C_Ope_006[[#This Row],[TIPO DE R.]]="R",COUNTIFS($D$4:$D35,"R")+1,"")</f>
        <v>32</v>
      </c>
      <c r="C36" s="19" t="str">
        <f t="shared" si="4"/>
        <v>C_Ope_006</v>
      </c>
      <c r="D36" s="3" t="s">
        <v>1074</v>
      </c>
      <c r="E36" s="14">
        <v>45734</v>
      </c>
      <c r="F36" s="5" t="s">
        <v>7372</v>
      </c>
      <c r="G36" s="5" t="s">
        <v>1079</v>
      </c>
      <c r="H36" s="6"/>
      <c r="I36" s="6" t="s">
        <v>14</v>
      </c>
      <c r="J36" s="6" t="s">
        <v>5245</v>
      </c>
      <c r="K36" s="6">
        <v>1702048</v>
      </c>
      <c r="L36" s="7" t="s">
        <v>7389</v>
      </c>
      <c r="M36" s="8">
        <v>23494</v>
      </c>
      <c r="N36" s="8" t="str">
        <f t="shared" si="5"/>
        <v>PEN</v>
      </c>
      <c r="O36" s="13"/>
      <c r="P36" s="13">
        <v>12</v>
      </c>
      <c r="Q36" s="3">
        <f t="shared" si="1"/>
        <v>0</v>
      </c>
      <c r="R36" s="3">
        <f t="shared" si="2"/>
        <v>12</v>
      </c>
      <c r="S36" s="3">
        <f t="shared" si="3"/>
        <v>678</v>
      </c>
      <c r="T36" s="24"/>
      <c r="U36" s="24"/>
      <c r="V36" s="3"/>
      <c r="W36" s="25" t="s">
        <v>6747</v>
      </c>
      <c r="X36" s="25"/>
      <c r="Y36" s="25" t="str">
        <f>IFERROR(VLOOKUP(C_Ope_006[[#This Row],[NOTA 2]],Clientes_Proveedores[[Ruc / Dni]:[Razon Social]],2,0),"")</f>
        <v/>
      </c>
      <c r="Z36" s="25"/>
      <c r="AA36" s="15"/>
      <c r="AB36" s="3" t="str">
        <f>IF(C_Ope_006[[#This Row],[FECHA]]&gt;0,TEXT(C_Ope_006[[#This Row],[FECHA]],"mmmm"),0)</f>
        <v>Marzo</v>
      </c>
    </row>
    <row r="37" spans="2:28" x14ac:dyDescent="0.3">
      <c r="B37" s="2">
        <f>IF(C_Ope_006[[#This Row],[TIPO DE R.]]="R",COUNTIFS($D$4:$D36,"R")+1,"")</f>
        <v>33</v>
      </c>
      <c r="C37" s="19" t="str">
        <f t="shared" si="4"/>
        <v>C_Ope_006</v>
      </c>
      <c r="D37" s="3" t="s">
        <v>1074</v>
      </c>
      <c r="E37" s="14">
        <v>45735</v>
      </c>
      <c r="F37" s="5" t="s">
        <v>7372</v>
      </c>
      <c r="G37" s="5" t="s">
        <v>1079</v>
      </c>
      <c r="H37" s="6"/>
      <c r="I37" s="6" t="s">
        <v>14</v>
      </c>
      <c r="J37" s="6" t="s">
        <v>5243</v>
      </c>
      <c r="K37" s="6">
        <v>2270712</v>
      </c>
      <c r="L37" s="7" t="s">
        <v>7390</v>
      </c>
      <c r="M37" s="8">
        <v>23517</v>
      </c>
      <c r="N37" s="8" t="str">
        <f t="shared" si="5"/>
        <v>PEN</v>
      </c>
      <c r="O37" s="13"/>
      <c r="P37" s="13">
        <v>12</v>
      </c>
      <c r="Q37" s="3">
        <f t="shared" ref="Q37:Q68" si="6">+IF(OR($G37="SALDO",$G37="INGRESO"),$P37,0)</f>
        <v>0</v>
      </c>
      <c r="R37" s="3">
        <f t="shared" ref="R37:R68" si="7">+IF($G37="EGRESO",$P37,0)</f>
        <v>12</v>
      </c>
      <c r="S37" s="3">
        <f t="shared" ref="S37:S68" si="8">IFERROR(IF(G37="SALDO",Q37,S36+Q37-R37),0)</f>
        <v>666</v>
      </c>
      <c r="T37" s="24"/>
      <c r="U37" s="24"/>
      <c r="V37" s="3"/>
      <c r="W37" s="25" t="s">
        <v>6747</v>
      </c>
      <c r="X37" s="25"/>
      <c r="Y37" s="25" t="str">
        <f>IFERROR(VLOOKUP(C_Ope_006[[#This Row],[NOTA 2]],Clientes_Proveedores[[Ruc / Dni]:[Razon Social]],2,0),"")</f>
        <v/>
      </c>
      <c r="Z37" s="25"/>
      <c r="AA37" s="15"/>
      <c r="AB37" s="3" t="str">
        <f>IF(C_Ope_006[[#This Row],[FECHA]]&gt;0,TEXT(C_Ope_006[[#This Row],[FECHA]],"mmmm"),0)</f>
        <v>Marzo</v>
      </c>
    </row>
    <row r="38" spans="2:28" x14ac:dyDescent="0.3">
      <c r="B38" s="2">
        <f>IF(C_Ope_006[[#This Row],[TIPO DE R.]]="R",COUNTIFS($D$4:$D37,"R")+1,"")</f>
        <v>34</v>
      </c>
      <c r="C38" s="19" t="str">
        <f t="shared" ref="C38:C69" si="9">"C_Ope_006"</f>
        <v>C_Ope_006</v>
      </c>
      <c r="D38" s="3" t="s">
        <v>1074</v>
      </c>
      <c r="E38" s="14">
        <v>45735</v>
      </c>
      <c r="F38" s="5" t="s">
        <v>7372</v>
      </c>
      <c r="G38" s="5" t="s">
        <v>1079</v>
      </c>
      <c r="H38" s="6"/>
      <c r="I38" s="6" t="s">
        <v>14</v>
      </c>
      <c r="J38" s="6" t="s">
        <v>5245</v>
      </c>
      <c r="K38" s="6">
        <v>1702885</v>
      </c>
      <c r="L38" s="7" t="s">
        <v>7263</v>
      </c>
      <c r="M38" s="8">
        <v>23518</v>
      </c>
      <c r="N38" s="8" t="str">
        <f t="shared" ref="N38:N69" si="10">"PEN"</f>
        <v>PEN</v>
      </c>
      <c r="O38" s="13"/>
      <c r="P38" s="13">
        <v>8</v>
      </c>
      <c r="Q38" s="3">
        <f t="shared" si="6"/>
        <v>0</v>
      </c>
      <c r="R38" s="3">
        <f t="shared" si="7"/>
        <v>8</v>
      </c>
      <c r="S38" s="3">
        <f t="shared" si="8"/>
        <v>658</v>
      </c>
      <c r="T38" s="24"/>
      <c r="U38" s="24"/>
      <c r="V38" s="3"/>
      <c r="W38" s="25" t="s">
        <v>6630</v>
      </c>
      <c r="X38" s="25"/>
      <c r="Y38" s="25" t="str">
        <f>IFERROR(VLOOKUP(C_Ope_006[[#This Row],[NOTA 2]],Clientes_Proveedores[[Ruc / Dni]:[Razon Social]],2,0),"")</f>
        <v/>
      </c>
      <c r="Z38" s="25"/>
      <c r="AA38" s="15"/>
      <c r="AB38" s="3" t="str">
        <f>IF(C_Ope_006[[#This Row],[FECHA]]&gt;0,TEXT(C_Ope_006[[#This Row],[FECHA]],"mmmm"),0)</f>
        <v>Marzo</v>
      </c>
    </row>
    <row r="39" spans="2:28" ht="24" x14ac:dyDescent="0.3">
      <c r="B39" s="2">
        <f>IF(C_Ope_006[[#This Row],[TIPO DE R.]]="R",COUNTIFS($D$4:$D38,"R")+1,"")</f>
        <v>35</v>
      </c>
      <c r="C39" s="19" t="str">
        <f t="shared" si="9"/>
        <v>C_Ope_006</v>
      </c>
      <c r="D39" s="3" t="s">
        <v>1074</v>
      </c>
      <c r="E39" s="14">
        <v>45735</v>
      </c>
      <c r="F39" s="5" t="s">
        <v>7372</v>
      </c>
      <c r="G39" s="5" t="s">
        <v>1079</v>
      </c>
      <c r="H39" s="6"/>
      <c r="I39" s="6" t="s">
        <v>14</v>
      </c>
      <c r="J39" s="6" t="s">
        <v>7226</v>
      </c>
      <c r="K39" s="6">
        <v>420720</v>
      </c>
      <c r="L39" s="7" t="s">
        <v>7391</v>
      </c>
      <c r="M39" s="8">
        <v>23528</v>
      </c>
      <c r="N39" s="8" t="str">
        <f t="shared" si="10"/>
        <v>PEN</v>
      </c>
      <c r="O39" s="13"/>
      <c r="P39" s="13">
        <v>7.7</v>
      </c>
      <c r="Q39" s="3">
        <f t="shared" si="6"/>
        <v>0</v>
      </c>
      <c r="R39" s="3">
        <f t="shared" si="7"/>
        <v>7.7</v>
      </c>
      <c r="S39" s="3">
        <f t="shared" si="8"/>
        <v>650.29999999999995</v>
      </c>
      <c r="T39" s="24"/>
      <c r="U39" s="24"/>
      <c r="V39" s="3"/>
      <c r="W39" s="25" t="s">
        <v>6630</v>
      </c>
      <c r="X39" s="25"/>
      <c r="Y39" s="25" t="str">
        <f>IFERROR(VLOOKUP(C_Ope_006[[#This Row],[NOTA 2]],Clientes_Proveedores[[Ruc / Dni]:[Razon Social]],2,0),"")</f>
        <v/>
      </c>
      <c r="Z39" s="25"/>
      <c r="AA39" s="15"/>
      <c r="AB39" s="3" t="str">
        <f>IF(C_Ope_006[[#This Row],[FECHA]]&gt;0,TEXT(C_Ope_006[[#This Row],[FECHA]],"mmmm"),0)</f>
        <v>Marzo</v>
      </c>
    </row>
    <row r="40" spans="2:28" ht="36" x14ac:dyDescent="0.3">
      <c r="B40" s="2">
        <f>IF(C_Ope_006[[#This Row],[TIPO DE R.]]="R",COUNTIFS($D$4:$D39,"R")+1,"")</f>
        <v>36</v>
      </c>
      <c r="C40" s="19" t="str">
        <f t="shared" si="9"/>
        <v>C_Ope_006</v>
      </c>
      <c r="D40" s="3" t="s">
        <v>1074</v>
      </c>
      <c r="E40" s="14">
        <v>45736</v>
      </c>
      <c r="F40" s="5" t="s">
        <v>7372</v>
      </c>
      <c r="G40" s="5" t="s">
        <v>1079</v>
      </c>
      <c r="H40" s="6"/>
      <c r="I40" s="6" t="s">
        <v>14</v>
      </c>
      <c r="J40" s="6" t="s">
        <v>7187</v>
      </c>
      <c r="K40" s="6">
        <v>1074406</v>
      </c>
      <c r="L40" s="7" t="s">
        <v>7392</v>
      </c>
      <c r="M40" s="8">
        <v>23529</v>
      </c>
      <c r="N40" s="8" t="str">
        <f t="shared" si="10"/>
        <v>PEN</v>
      </c>
      <c r="O40" s="13"/>
      <c r="P40" s="13">
        <v>7.7</v>
      </c>
      <c r="Q40" s="3">
        <f t="shared" si="6"/>
        <v>0</v>
      </c>
      <c r="R40" s="3">
        <f t="shared" si="7"/>
        <v>7.7</v>
      </c>
      <c r="S40" s="3">
        <f t="shared" si="8"/>
        <v>642.59999999999991</v>
      </c>
      <c r="T40" s="24"/>
      <c r="U40" s="24"/>
      <c r="V40" s="3"/>
      <c r="W40" s="25" t="s">
        <v>6630</v>
      </c>
      <c r="X40" s="25"/>
      <c r="Y40" s="25" t="str">
        <f>IFERROR(VLOOKUP(C_Ope_006[[#This Row],[NOTA 2]],Clientes_Proveedores[[Ruc / Dni]:[Razon Social]],2,0),"")</f>
        <v/>
      </c>
      <c r="Z40" s="25"/>
      <c r="AA40" s="15"/>
      <c r="AB40" s="3" t="str">
        <f>IF(C_Ope_006[[#This Row],[FECHA]]&gt;0,TEXT(C_Ope_006[[#This Row],[FECHA]],"mmmm"),0)</f>
        <v>Marzo</v>
      </c>
    </row>
    <row r="41" spans="2:28" ht="36" x14ac:dyDescent="0.3">
      <c r="B41" s="2">
        <f>IF(C_Ope_006[[#This Row],[TIPO DE R.]]="R",COUNTIFS($D$4:$D40,"R")+1,"")</f>
        <v>37</v>
      </c>
      <c r="C41" s="19" t="str">
        <f t="shared" si="9"/>
        <v>C_Ope_006</v>
      </c>
      <c r="D41" s="3" t="s">
        <v>1074</v>
      </c>
      <c r="E41" s="14">
        <v>45737</v>
      </c>
      <c r="F41" s="5" t="s">
        <v>7372</v>
      </c>
      <c r="G41" s="5" t="s">
        <v>1079</v>
      </c>
      <c r="H41" s="6"/>
      <c r="I41" s="6" t="s">
        <v>14</v>
      </c>
      <c r="J41" s="6" t="s">
        <v>7185</v>
      </c>
      <c r="K41" s="6">
        <v>1037724</v>
      </c>
      <c r="L41" s="7" t="s">
        <v>7392</v>
      </c>
      <c r="M41" s="8">
        <v>23542</v>
      </c>
      <c r="N41" s="8" t="str">
        <f t="shared" si="10"/>
        <v>PEN</v>
      </c>
      <c r="O41" s="13"/>
      <c r="P41" s="13">
        <v>7.7</v>
      </c>
      <c r="Q41" s="3">
        <f t="shared" si="6"/>
        <v>0</v>
      </c>
      <c r="R41" s="3">
        <f t="shared" si="7"/>
        <v>7.7</v>
      </c>
      <c r="S41" s="3">
        <f t="shared" si="8"/>
        <v>634.89999999999986</v>
      </c>
      <c r="T41" s="24"/>
      <c r="U41" s="24"/>
      <c r="V41" s="3"/>
      <c r="W41" s="25" t="s">
        <v>6630</v>
      </c>
      <c r="X41" s="25"/>
      <c r="Y41" s="25" t="str">
        <f>IFERROR(VLOOKUP(C_Ope_006[[#This Row],[NOTA 2]],Clientes_Proveedores[[Ruc / Dni]:[Razon Social]],2,0),"")</f>
        <v/>
      </c>
      <c r="Z41" s="25"/>
      <c r="AA41" s="15"/>
      <c r="AB41" s="3" t="str">
        <f>IF(C_Ope_006[[#This Row],[FECHA]]&gt;0,TEXT(C_Ope_006[[#This Row],[FECHA]],"mmmm"),0)</f>
        <v>Marzo</v>
      </c>
    </row>
    <row r="42" spans="2:28" ht="24" x14ac:dyDescent="0.3">
      <c r="B42" s="2">
        <f>IF(C_Ope_006[[#This Row],[TIPO DE R.]]="R",COUNTIFS($D$4:$D41,"R")+1,"")</f>
        <v>38</v>
      </c>
      <c r="C42" s="19" t="str">
        <f t="shared" si="9"/>
        <v>C_Ope_006</v>
      </c>
      <c r="D42" s="3" t="s">
        <v>1074</v>
      </c>
      <c r="E42" s="14">
        <v>45737</v>
      </c>
      <c r="F42" s="5" t="s">
        <v>7372</v>
      </c>
      <c r="G42" s="5" t="s">
        <v>1079</v>
      </c>
      <c r="H42" s="6"/>
      <c r="I42" s="6" t="s">
        <v>14</v>
      </c>
      <c r="J42" s="6" t="s">
        <v>7188</v>
      </c>
      <c r="K42" s="6">
        <v>1781764</v>
      </c>
      <c r="L42" s="7" t="s">
        <v>7393</v>
      </c>
      <c r="M42" s="8">
        <v>23551</v>
      </c>
      <c r="N42" s="8" t="str">
        <f t="shared" si="10"/>
        <v>PEN</v>
      </c>
      <c r="O42" s="13"/>
      <c r="P42" s="13">
        <v>7.7</v>
      </c>
      <c r="Q42" s="3">
        <f t="shared" si="6"/>
        <v>0</v>
      </c>
      <c r="R42" s="3">
        <f t="shared" si="7"/>
        <v>7.7</v>
      </c>
      <c r="S42" s="3">
        <f t="shared" si="8"/>
        <v>627.19999999999982</v>
      </c>
      <c r="T42" s="24"/>
      <c r="U42" s="24"/>
      <c r="V42" s="3"/>
      <c r="W42" s="25" t="s">
        <v>6630</v>
      </c>
      <c r="X42" s="25"/>
      <c r="Y42" s="25" t="str">
        <f>IFERROR(VLOOKUP(C_Ope_006[[#This Row],[NOTA 2]],Clientes_Proveedores[[Ruc / Dni]:[Razon Social]],2,0),"")</f>
        <v/>
      </c>
      <c r="Z42" s="25"/>
      <c r="AA42" s="15"/>
      <c r="AB42" s="3" t="str">
        <f>IF(C_Ope_006[[#This Row],[FECHA]]&gt;0,TEXT(C_Ope_006[[#This Row],[FECHA]],"mmmm"),0)</f>
        <v>Marzo</v>
      </c>
    </row>
    <row r="43" spans="2:28" ht="24" x14ac:dyDescent="0.3">
      <c r="B43" s="2">
        <f>IF(C_Ope_006[[#This Row],[TIPO DE R.]]="R",COUNTIFS($D$4:$D42,"R")+1,"")</f>
        <v>39</v>
      </c>
      <c r="C43" s="19" t="str">
        <f t="shared" si="9"/>
        <v>C_Ope_006</v>
      </c>
      <c r="D43" s="3" t="s">
        <v>1074</v>
      </c>
      <c r="E43" s="14">
        <v>45733</v>
      </c>
      <c r="F43" s="5" t="s">
        <v>7372</v>
      </c>
      <c r="G43" s="5" t="s">
        <v>1079</v>
      </c>
      <c r="H43" s="6"/>
      <c r="I43" s="6" t="s">
        <v>14</v>
      </c>
      <c r="J43" s="6" t="s">
        <v>1088</v>
      </c>
      <c r="K43" s="6">
        <v>34132</v>
      </c>
      <c r="L43" s="7" t="s">
        <v>7394</v>
      </c>
      <c r="M43" s="8">
        <v>23444</v>
      </c>
      <c r="N43" s="8" t="str">
        <f t="shared" si="10"/>
        <v>PEN</v>
      </c>
      <c r="O43" s="13"/>
      <c r="P43" s="13">
        <v>10</v>
      </c>
      <c r="Q43" s="3">
        <f t="shared" si="6"/>
        <v>0</v>
      </c>
      <c r="R43" s="3">
        <f t="shared" si="7"/>
        <v>10</v>
      </c>
      <c r="S43" s="3">
        <f t="shared" si="8"/>
        <v>617.19999999999982</v>
      </c>
      <c r="T43" s="24"/>
      <c r="U43" s="24"/>
      <c r="V43" s="3"/>
      <c r="W43" s="25" t="s">
        <v>6747</v>
      </c>
      <c r="X43" s="25"/>
      <c r="Y43" s="25" t="str">
        <f>IFERROR(VLOOKUP(C_Ope_006[[#This Row],[NOTA 2]],Clientes_Proveedores[[Ruc / Dni]:[Razon Social]],2,0),"")</f>
        <v/>
      </c>
      <c r="Z43" s="25"/>
      <c r="AA43" s="15"/>
      <c r="AB43" s="3" t="str">
        <f>IF(C_Ope_006[[#This Row],[FECHA]]&gt;0,TEXT(C_Ope_006[[#This Row],[FECHA]],"mmmm"),0)</f>
        <v>Marzo</v>
      </c>
    </row>
    <row r="44" spans="2:28" ht="24" x14ac:dyDescent="0.3">
      <c r="B44" s="2">
        <f>IF(C_Ope_006[[#This Row],[TIPO DE R.]]="R",COUNTIFS($D$4:$D43,"R")+1,"")</f>
        <v>40</v>
      </c>
      <c r="C44" s="19" t="str">
        <f t="shared" si="9"/>
        <v>C_Ope_006</v>
      </c>
      <c r="D44" s="3" t="s">
        <v>1074</v>
      </c>
      <c r="E44" s="14">
        <v>45734</v>
      </c>
      <c r="F44" s="5" t="s">
        <v>7372</v>
      </c>
      <c r="G44" s="5" t="s">
        <v>1079</v>
      </c>
      <c r="H44" s="6"/>
      <c r="I44" s="6" t="s">
        <v>14</v>
      </c>
      <c r="J44" s="6" t="s">
        <v>1148</v>
      </c>
      <c r="K44" s="6">
        <v>129469</v>
      </c>
      <c r="L44" s="7" t="s">
        <v>7395</v>
      </c>
      <c r="M44" s="8">
        <v>23470</v>
      </c>
      <c r="N44" s="8" t="str">
        <f t="shared" si="10"/>
        <v>PEN</v>
      </c>
      <c r="O44" s="13"/>
      <c r="P44" s="13">
        <v>10</v>
      </c>
      <c r="Q44" s="3">
        <f t="shared" si="6"/>
        <v>0</v>
      </c>
      <c r="R44" s="3">
        <f t="shared" si="7"/>
        <v>10</v>
      </c>
      <c r="S44" s="3">
        <f t="shared" si="8"/>
        <v>607.19999999999982</v>
      </c>
      <c r="T44" s="24"/>
      <c r="U44" s="24"/>
      <c r="V44" s="3"/>
      <c r="W44" s="25" t="s">
        <v>6747</v>
      </c>
      <c r="X44" s="25"/>
      <c r="Y44" s="25" t="str">
        <f>IFERROR(VLOOKUP(C_Ope_006[[#This Row],[NOTA 2]],Clientes_Proveedores[[Ruc / Dni]:[Razon Social]],2,0),"")</f>
        <v/>
      </c>
      <c r="Z44" s="25"/>
      <c r="AA44" s="15"/>
      <c r="AB44" s="3" t="str">
        <f>IF(C_Ope_006[[#This Row],[FECHA]]&gt;0,TEXT(C_Ope_006[[#This Row],[FECHA]],"mmmm"),0)</f>
        <v>Marzo</v>
      </c>
    </row>
    <row r="45" spans="2:28" ht="24" x14ac:dyDescent="0.3">
      <c r="B45" s="2">
        <f>IF(C_Ope_006[[#This Row],[TIPO DE R.]]="R",COUNTIFS($D$4:$D44,"R")+1,"")</f>
        <v>41</v>
      </c>
      <c r="C45" s="19" t="str">
        <f t="shared" si="9"/>
        <v>C_Ope_006</v>
      </c>
      <c r="D45" s="3" t="s">
        <v>1074</v>
      </c>
      <c r="E45" s="14">
        <v>45735</v>
      </c>
      <c r="F45" s="5" t="s">
        <v>7372</v>
      </c>
      <c r="G45" s="5" t="s">
        <v>1079</v>
      </c>
      <c r="H45" s="6"/>
      <c r="I45" s="6" t="s">
        <v>14</v>
      </c>
      <c r="J45" s="6" t="s">
        <v>1148</v>
      </c>
      <c r="K45" s="6">
        <v>129507</v>
      </c>
      <c r="L45" s="7" t="s">
        <v>7396</v>
      </c>
      <c r="M45" s="8">
        <v>23504</v>
      </c>
      <c r="N45" s="8" t="str">
        <f t="shared" si="10"/>
        <v>PEN</v>
      </c>
      <c r="O45" s="13"/>
      <c r="P45" s="13">
        <v>10</v>
      </c>
      <c r="Q45" s="3">
        <f t="shared" si="6"/>
        <v>0</v>
      </c>
      <c r="R45" s="3">
        <f t="shared" si="7"/>
        <v>10</v>
      </c>
      <c r="S45" s="3">
        <f t="shared" si="8"/>
        <v>597.19999999999982</v>
      </c>
      <c r="T45" s="24"/>
      <c r="U45" s="24"/>
      <c r="V45" s="3"/>
      <c r="W45" s="25" t="s">
        <v>6747</v>
      </c>
      <c r="X45" s="25"/>
      <c r="Y45" s="25" t="str">
        <f>IFERROR(VLOOKUP(C_Ope_006[[#This Row],[NOTA 2]],Clientes_Proveedores[[Ruc / Dni]:[Razon Social]],2,0),"")</f>
        <v/>
      </c>
      <c r="Z45" s="25"/>
      <c r="AA45" s="15"/>
      <c r="AB45" s="3" t="str">
        <f>IF(C_Ope_006[[#This Row],[FECHA]]&gt;0,TEXT(C_Ope_006[[#This Row],[FECHA]],"mmmm"),0)</f>
        <v>Marzo</v>
      </c>
    </row>
    <row r="46" spans="2:28" ht="24" x14ac:dyDescent="0.3">
      <c r="B46" s="2">
        <f>IF(C_Ope_006[[#This Row],[TIPO DE R.]]="R",COUNTIFS($D$4:$D45,"R")+1,"")</f>
        <v>42</v>
      </c>
      <c r="C46" s="19" t="str">
        <f t="shared" si="9"/>
        <v>C_Ope_006</v>
      </c>
      <c r="D46" s="3" t="s">
        <v>1074</v>
      </c>
      <c r="E46" s="14">
        <v>45735</v>
      </c>
      <c r="F46" s="5" t="s">
        <v>7372</v>
      </c>
      <c r="G46" s="5" t="s">
        <v>1079</v>
      </c>
      <c r="H46" s="6"/>
      <c r="I46" s="6" t="s">
        <v>14</v>
      </c>
      <c r="J46" s="6" t="s">
        <v>1148</v>
      </c>
      <c r="K46" s="6">
        <v>129510</v>
      </c>
      <c r="L46" s="7" t="s">
        <v>7396</v>
      </c>
      <c r="M46" s="8">
        <v>23505</v>
      </c>
      <c r="N46" s="8" t="str">
        <f t="shared" si="10"/>
        <v>PEN</v>
      </c>
      <c r="O46" s="13"/>
      <c r="P46" s="13">
        <v>10</v>
      </c>
      <c r="Q46" s="3">
        <f t="shared" si="6"/>
        <v>0</v>
      </c>
      <c r="R46" s="3">
        <f t="shared" si="7"/>
        <v>10</v>
      </c>
      <c r="S46" s="3">
        <f t="shared" si="8"/>
        <v>587.19999999999982</v>
      </c>
      <c r="T46" s="24"/>
      <c r="U46" s="24"/>
      <c r="V46" s="3"/>
      <c r="W46" s="25" t="s">
        <v>6747</v>
      </c>
      <c r="X46" s="25"/>
      <c r="Y46" s="25" t="str">
        <f>IFERROR(VLOOKUP(C_Ope_006[[#This Row],[NOTA 2]],Clientes_Proveedores[[Ruc / Dni]:[Razon Social]],2,0),"")</f>
        <v/>
      </c>
      <c r="Z46" s="25"/>
      <c r="AA46" s="15"/>
      <c r="AB46" s="3" t="str">
        <f>IF(C_Ope_006[[#This Row],[FECHA]]&gt;0,TEXT(C_Ope_006[[#This Row],[FECHA]],"mmmm"),0)</f>
        <v>Marzo</v>
      </c>
    </row>
    <row r="47" spans="2:28" ht="24" x14ac:dyDescent="0.3">
      <c r="B47" s="2">
        <f>IF(C_Ope_006[[#This Row],[TIPO DE R.]]="R",COUNTIFS($D$4:$D46,"R")+1,"")</f>
        <v>43</v>
      </c>
      <c r="C47" s="19" t="str">
        <f t="shared" si="9"/>
        <v>C_Ope_006</v>
      </c>
      <c r="D47" s="3" t="s">
        <v>1074</v>
      </c>
      <c r="E47" s="14">
        <v>45737</v>
      </c>
      <c r="F47" s="5" t="s">
        <v>7372</v>
      </c>
      <c r="G47" s="5" t="s">
        <v>1079</v>
      </c>
      <c r="H47" s="6"/>
      <c r="I47" s="6" t="s">
        <v>14</v>
      </c>
      <c r="J47" s="6" t="s">
        <v>1148</v>
      </c>
      <c r="K47" s="6">
        <v>129599</v>
      </c>
      <c r="L47" s="7" t="s">
        <v>7397</v>
      </c>
      <c r="M47" s="8">
        <v>23552</v>
      </c>
      <c r="N47" s="8" t="str">
        <f t="shared" si="10"/>
        <v>PEN</v>
      </c>
      <c r="O47" s="13"/>
      <c r="P47" s="13">
        <v>10</v>
      </c>
      <c r="Q47" s="3">
        <f t="shared" si="6"/>
        <v>0</v>
      </c>
      <c r="R47" s="3">
        <f t="shared" si="7"/>
        <v>10</v>
      </c>
      <c r="S47" s="3">
        <f t="shared" si="8"/>
        <v>577.19999999999982</v>
      </c>
      <c r="T47" s="24"/>
      <c r="U47" s="24"/>
      <c r="V47" s="3"/>
      <c r="W47" s="25" t="s">
        <v>6630</v>
      </c>
      <c r="X47" s="25"/>
      <c r="Y47" s="25" t="str">
        <f>IFERROR(VLOOKUP(C_Ope_006[[#This Row],[NOTA 2]],Clientes_Proveedores[[Ruc / Dni]:[Razon Social]],2,0),"")</f>
        <v/>
      </c>
      <c r="Z47" s="25"/>
      <c r="AA47" s="15"/>
      <c r="AB47" s="3" t="str">
        <f>IF(C_Ope_006[[#This Row],[FECHA]]&gt;0,TEXT(C_Ope_006[[#This Row],[FECHA]],"mmmm"),0)</f>
        <v>Marzo</v>
      </c>
    </row>
    <row r="48" spans="2:28" ht="24" x14ac:dyDescent="0.3">
      <c r="B48" s="2">
        <f>IF(C_Ope_006[[#This Row],[TIPO DE R.]]="R",COUNTIFS($D$4:$D47,"R")+1,"")</f>
        <v>44</v>
      </c>
      <c r="C48" s="19" t="str">
        <f t="shared" si="9"/>
        <v>C_Ope_006</v>
      </c>
      <c r="D48" s="3" t="s">
        <v>1074</v>
      </c>
      <c r="E48" s="14">
        <v>45737</v>
      </c>
      <c r="F48" s="5" t="s">
        <v>7372</v>
      </c>
      <c r="G48" s="5" t="s">
        <v>1079</v>
      </c>
      <c r="H48" s="6"/>
      <c r="I48" s="6" t="s">
        <v>14</v>
      </c>
      <c r="J48" s="6" t="s">
        <v>1148</v>
      </c>
      <c r="K48" s="6">
        <v>129603</v>
      </c>
      <c r="L48" s="7" t="s">
        <v>7397</v>
      </c>
      <c r="M48" s="8">
        <v>23556</v>
      </c>
      <c r="N48" s="8" t="str">
        <f t="shared" si="10"/>
        <v>PEN</v>
      </c>
      <c r="O48" s="13"/>
      <c r="P48" s="13">
        <v>10</v>
      </c>
      <c r="Q48" s="3">
        <f t="shared" si="6"/>
        <v>0</v>
      </c>
      <c r="R48" s="3">
        <f t="shared" si="7"/>
        <v>10</v>
      </c>
      <c r="S48" s="3">
        <f t="shared" si="8"/>
        <v>567.19999999999982</v>
      </c>
      <c r="T48" s="24"/>
      <c r="U48" s="24"/>
      <c r="V48" s="3"/>
      <c r="W48" s="25" t="s">
        <v>6630</v>
      </c>
      <c r="X48" s="25"/>
      <c r="Y48" s="25" t="str">
        <f>IFERROR(VLOOKUP(C_Ope_006[[#This Row],[NOTA 2]],Clientes_Proveedores[[Ruc / Dni]:[Razon Social]],2,0),"")</f>
        <v/>
      </c>
      <c r="Z48" s="25"/>
      <c r="AA48" s="15"/>
      <c r="AB48" s="3" t="str">
        <f>IF(C_Ope_006[[#This Row],[FECHA]]&gt;0,TEXT(C_Ope_006[[#This Row],[FECHA]],"mmmm"),0)</f>
        <v>Marzo</v>
      </c>
    </row>
    <row r="49" spans="2:28" x14ac:dyDescent="0.3">
      <c r="B49" s="2">
        <f>IF(C_Ope_006[[#This Row],[TIPO DE R.]]="R",COUNTIFS($D$4:$D48,"R")+1,"")</f>
        <v>45</v>
      </c>
      <c r="C49" s="19" t="str">
        <f t="shared" si="9"/>
        <v>C_Ope_006</v>
      </c>
      <c r="D49" s="3" t="s">
        <v>1074</v>
      </c>
      <c r="E49" s="14">
        <v>45735</v>
      </c>
      <c r="F49" s="5" t="s">
        <v>7372</v>
      </c>
      <c r="G49" s="5" t="s">
        <v>1079</v>
      </c>
      <c r="H49" s="6"/>
      <c r="I49" s="6"/>
      <c r="J49" s="6"/>
      <c r="K49" s="6"/>
      <c r="L49" s="7" t="s">
        <v>7398</v>
      </c>
      <c r="M49" s="8">
        <v>23520</v>
      </c>
      <c r="N49" s="8" t="str">
        <f t="shared" si="10"/>
        <v>PEN</v>
      </c>
      <c r="O49" s="13"/>
      <c r="P49" s="13">
        <v>36</v>
      </c>
      <c r="Q49" s="3">
        <f t="shared" si="6"/>
        <v>0</v>
      </c>
      <c r="R49" s="3">
        <f t="shared" si="7"/>
        <v>36</v>
      </c>
      <c r="S49" s="3">
        <f t="shared" si="8"/>
        <v>531.19999999999982</v>
      </c>
      <c r="T49" s="24"/>
      <c r="U49" s="24"/>
      <c r="V49" s="3"/>
      <c r="W49" s="25" t="s">
        <v>6630</v>
      </c>
      <c r="X49" s="25"/>
      <c r="Y49" s="25" t="str">
        <f>IFERROR(VLOOKUP(C_Ope_006[[#This Row],[NOTA 2]],Clientes_Proveedores[[Ruc / Dni]:[Razon Social]],2,0),"")</f>
        <v/>
      </c>
      <c r="Z49" s="25"/>
      <c r="AA49" s="15"/>
      <c r="AB49" s="3" t="str">
        <f>IF(C_Ope_006[[#This Row],[FECHA]]&gt;0,TEXT(C_Ope_006[[#This Row],[FECHA]],"mmmm"),0)</f>
        <v>Marzo</v>
      </c>
    </row>
    <row r="50" spans="2:28" x14ac:dyDescent="0.3">
      <c r="B50" s="2">
        <f>IF(C_Ope_006[[#This Row],[TIPO DE R.]]="R",COUNTIFS($D$4:$D49,"R")+1,"")</f>
        <v>46</v>
      </c>
      <c r="C50" s="19" t="str">
        <f t="shared" si="9"/>
        <v>C_Ope_006</v>
      </c>
      <c r="D50" s="3" t="s">
        <v>1074</v>
      </c>
      <c r="E50" s="14">
        <v>45735</v>
      </c>
      <c r="F50" s="5" t="s">
        <v>7372</v>
      </c>
      <c r="G50" s="5" t="s">
        <v>1079</v>
      </c>
      <c r="H50" s="6"/>
      <c r="I50" s="6" t="s">
        <v>21</v>
      </c>
      <c r="J50" s="6">
        <v>1</v>
      </c>
      <c r="K50" s="6">
        <v>122</v>
      </c>
      <c r="L50" s="7" t="s">
        <v>7399</v>
      </c>
      <c r="M50" s="8">
        <v>23521</v>
      </c>
      <c r="N50" s="8" t="str">
        <f t="shared" si="10"/>
        <v>PEN</v>
      </c>
      <c r="O50" s="13"/>
      <c r="P50" s="13">
        <v>150</v>
      </c>
      <c r="Q50" s="3">
        <f t="shared" si="6"/>
        <v>0</v>
      </c>
      <c r="R50" s="3">
        <f t="shared" si="7"/>
        <v>150</v>
      </c>
      <c r="S50" s="3">
        <f t="shared" si="8"/>
        <v>381.19999999999982</v>
      </c>
      <c r="T50" s="24"/>
      <c r="U50" s="24"/>
      <c r="V50" s="3"/>
      <c r="W50" s="25" t="s">
        <v>6630</v>
      </c>
      <c r="X50" s="25"/>
      <c r="Y50" s="25" t="str">
        <f>IFERROR(VLOOKUP(C_Ope_006[[#This Row],[NOTA 2]],Clientes_Proveedores[[Ruc / Dni]:[Razon Social]],2,0),"")</f>
        <v/>
      </c>
      <c r="Z50" s="25"/>
      <c r="AA50" s="15"/>
      <c r="AB50" s="3" t="str">
        <f>IF(C_Ope_006[[#This Row],[FECHA]]&gt;0,TEXT(C_Ope_006[[#This Row],[FECHA]],"mmmm"),0)</f>
        <v>Marzo</v>
      </c>
    </row>
    <row r="51" spans="2:28" x14ac:dyDescent="0.3">
      <c r="B51" s="2">
        <f>IF(C_Ope_006[[#This Row],[TIPO DE R.]]="R",COUNTIFS($D$4:$D50,"R")+1,"")</f>
        <v>47</v>
      </c>
      <c r="C51" s="19" t="str">
        <f t="shared" si="9"/>
        <v>C_Ope_006</v>
      </c>
      <c r="D51" s="3" t="s">
        <v>1074</v>
      </c>
      <c r="E51" s="14">
        <v>45735</v>
      </c>
      <c r="F51" s="5" t="s">
        <v>7372</v>
      </c>
      <c r="G51" s="5" t="s">
        <v>1079</v>
      </c>
      <c r="H51" s="6"/>
      <c r="I51" s="6"/>
      <c r="J51" s="6"/>
      <c r="K51" s="6"/>
      <c r="L51" s="7" t="s">
        <v>7400</v>
      </c>
      <c r="M51" s="8">
        <v>23522</v>
      </c>
      <c r="N51" s="8" t="str">
        <f t="shared" si="10"/>
        <v>PEN</v>
      </c>
      <c r="O51" s="13"/>
      <c r="P51" s="13">
        <v>10</v>
      </c>
      <c r="Q51" s="3">
        <f t="shared" si="6"/>
        <v>0</v>
      </c>
      <c r="R51" s="3">
        <f t="shared" si="7"/>
        <v>10</v>
      </c>
      <c r="S51" s="3">
        <f t="shared" si="8"/>
        <v>371.19999999999982</v>
      </c>
      <c r="T51" s="24"/>
      <c r="U51" s="24"/>
      <c r="V51" s="3"/>
      <c r="W51" s="25" t="s">
        <v>6630</v>
      </c>
      <c r="X51" s="25"/>
      <c r="Y51" s="25" t="str">
        <f>IFERROR(VLOOKUP(C_Ope_006[[#This Row],[NOTA 2]],Clientes_Proveedores[[Ruc / Dni]:[Razon Social]],2,0),"")</f>
        <v/>
      </c>
      <c r="Z51" s="25"/>
      <c r="AA51" s="15"/>
      <c r="AB51" s="3" t="str">
        <f>IF(C_Ope_006[[#This Row],[FECHA]]&gt;0,TEXT(C_Ope_006[[#This Row],[FECHA]],"mmmm"),0)</f>
        <v>Marzo</v>
      </c>
    </row>
    <row r="52" spans="2:28" x14ac:dyDescent="0.3">
      <c r="B52" s="2">
        <f>IF(C_Ope_006[[#This Row],[TIPO DE R.]]="R",COUNTIFS($D$4:$D51,"R")+1,"")</f>
        <v>48</v>
      </c>
      <c r="C52" s="19" t="str">
        <f t="shared" si="9"/>
        <v>C_Ope_006</v>
      </c>
      <c r="D52" s="3" t="s">
        <v>1074</v>
      </c>
      <c r="E52" s="14">
        <v>45736</v>
      </c>
      <c r="F52" s="5" t="s">
        <v>7372</v>
      </c>
      <c r="G52" s="5" t="s">
        <v>1079</v>
      </c>
      <c r="H52" s="6"/>
      <c r="I52" s="6"/>
      <c r="J52" s="6"/>
      <c r="K52" s="6"/>
      <c r="L52" s="7" t="s">
        <v>7401</v>
      </c>
      <c r="M52" s="8">
        <v>23535</v>
      </c>
      <c r="N52" s="8" t="str">
        <f t="shared" si="10"/>
        <v>PEN</v>
      </c>
      <c r="O52" s="13"/>
      <c r="P52" s="13">
        <v>36</v>
      </c>
      <c r="Q52" s="3">
        <f t="shared" si="6"/>
        <v>0</v>
      </c>
      <c r="R52" s="3">
        <f t="shared" si="7"/>
        <v>36</v>
      </c>
      <c r="S52" s="3">
        <f t="shared" si="8"/>
        <v>335.19999999999982</v>
      </c>
      <c r="T52" s="24"/>
      <c r="U52" s="24"/>
      <c r="V52" s="3"/>
      <c r="W52" s="25" t="s">
        <v>6630</v>
      </c>
      <c r="X52" s="25"/>
      <c r="Y52" s="25" t="str">
        <f>IFERROR(VLOOKUP(C_Ope_006[[#This Row],[NOTA 2]],Clientes_Proveedores[[Ruc / Dni]:[Razon Social]],2,0),"")</f>
        <v/>
      </c>
      <c r="Z52" s="25"/>
      <c r="AA52" s="15"/>
      <c r="AB52" s="3" t="str">
        <f>IF(C_Ope_006[[#This Row],[FECHA]]&gt;0,TEXT(C_Ope_006[[#This Row],[FECHA]],"mmmm"),0)</f>
        <v>Marzo</v>
      </c>
    </row>
    <row r="53" spans="2:28" x14ac:dyDescent="0.3">
      <c r="B53" s="2">
        <f>IF(C_Ope_006[[#This Row],[TIPO DE R.]]="R",COUNTIFS($D$4:$D52,"R")+1,"")</f>
        <v>49</v>
      </c>
      <c r="C53" s="19" t="str">
        <f t="shared" si="9"/>
        <v>C_Ope_006</v>
      </c>
      <c r="D53" s="3" t="s">
        <v>1074</v>
      </c>
      <c r="E53" s="14">
        <v>45736</v>
      </c>
      <c r="F53" s="5" t="s">
        <v>7372</v>
      </c>
      <c r="G53" s="5" t="s">
        <v>1079</v>
      </c>
      <c r="H53" s="6"/>
      <c r="I53" s="6"/>
      <c r="J53" s="6"/>
      <c r="K53" s="6"/>
      <c r="L53" s="7" t="s">
        <v>7402</v>
      </c>
      <c r="M53" s="8">
        <v>23536</v>
      </c>
      <c r="N53" s="8" t="str">
        <f t="shared" si="10"/>
        <v>PEN</v>
      </c>
      <c r="O53" s="13"/>
      <c r="P53" s="13">
        <v>45</v>
      </c>
      <c r="Q53" s="3">
        <f t="shared" si="6"/>
        <v>0</v>
      </c>
      <c r="R53" s="3">
        <f t="shared" si="7"/>
        <v>45</v>
      </c>
      <c r="S53" s="3">
        <f t="shared" si="8"/>
        <v>290.19999999999982</v>
      </c>
      <c r="T53" s="24"/>
      <c r="U53" s="24"/>
      <c r="V53" s="3"/>
      <c r="W53" s="25" t="s">
        <v>6630</v>
      </c>
      <c r="X53" s="25"/>
      <c r="Y53" s="25" t="str">
        <f>IFERROR(VLOOKUP(C_Ope_006[[#This Row],[NOTA 2]],Clientes_Proveedores[[Ruc / Dni]:[Razon Social]],2,0),"")</f>
        <v/>
      </c>
      <c r="Z53" s="25"/>
      <c r="AA53" s="15"/>
      <c r="AB53" s="3" t="str">
        <f>IF(C_Ope_006[[#This Row],[FECHA]]&gt;0,TEXT(C_Ope_006[[#This Row],[FECHA]],"mmmm"),0)</f>
        <v>Marzo</v>
      </c>
    </row>
    <row r="54" spans="2:28" x14ac:dyDescent="0.3">
      <c r="B54" s="2">
        <f>IF(C_Ope_006[[#This Row],[TIPO DE R.]]="R",COUNTIFS($D$4:$D53,"R")+1,"")</f>
        <v>50</v>
      </c>
      <c r="C54" s="19" t="str">
        <f t="shared" si="9"/>
        <v>C_Ope_006</v>
      </c>
      <c r="D54" s="3" t="s">
        <v>1074</v>
      </c>
      <c r="E54" s="14">
        <v>45736</v>
      </c>
      <c r="F54" s="5" t="s">
        <v>7372</v>
      </c>
      <c r="G54" s="5" t="s">
        <v>1079</v>
      </c>
      <c r="H54" s="6"/>
      <c r="I54" s="6"/>
      <c r="J54" s="6"/>
      <c r="K54" s="6"/>
      <c r="L54" s="7" t="s">
        <v>7398</v>
      </c>
      <c r="M54" s="8">
        <v>23537</v>
      </c>
      <c r="N54" s="8" t="str">
        <f t="shared" si="10"/>
        <v>PEN</v>
      </c>
      <c r="O54" s="13"/>
      <c r="P54" s="13">
        <v>36</v>
      </c>
      <c r="Q54" s="3">
        <f t="shared" si="6"/>
        <v>0</v>
      </c>
      <c r="R54" s="3">
        <f t="shared" si="7"/>
        <v>36</v>
      </c>
      <c r="S54" s="3">
        <f t="shared" si="8"/>
        <v>254.19999999999982</v>
      </c>
      <c r="T54" s="24"/>
      <c r="U54" s="24"/>
      <c r="V54" s="3"/>
      <c r="W54" s="25" t="s">
        <v>6630</v>
      </c>
      <c r="X54" s="25"/>
      <c r="Y54" s="25" t="str">
        <f>IFERROR(VLOOKUP(C_Ope_006[[#This Row],[NOTA 2]],Clientes_Proveedores[[Ruc / Dni]:[Razon Social]],2,0),"")</f>
        <v/>
      </c>
      <c r="Z54" s="25"/>
      <c r="AA54" s="15"/>
      <c r="AB54" s="3" t="str">
        <f>IF(C_Ope_006[[#This Row],[FECHA]]&gt;0,TEXT(C_Ope_006[[#This Row],[FECHA]],"mmmm"),0)</f>
        <v>Marzo</v>
      </c>
    </row>
    <row r="55" spans="2:28" x14ac:dyDescent="0.3">
      <c r="B55" s="2">
        <f>IF(C_Ope_006[[#This Row],[TIPO DE R.]]="R",COUNTIFS($D$4:$D54,"R")+1,"")</f>
        <v>51</v>
      </c>
      <c r="C55" s="19" t="str">
        <f t="shared" si="9"/>
        <v>C_Ope_006</v>
      </c>
      <c r="D55" s="3" t="s">
        <v>1074</v>
      </c>
      <c r="E55" s="14">
        <v>45736</v>
      </c>
      <c r="F55" s="5" t="s">
        <v>7372</v>
      </c>
      <c r="G55" s="5" t="s">
        <v>1079</v>
      </c>
      <c r="H55" s="6"/>
      <c r="I55" s="6"/>
      <c r="J55" s="6"/>
      <c r="K55" s="6"/>
      <c r="L55" s="7" t="s">
        <v>7403</v>
      </c>
      <c r="M55" s="8">
        <v>23540</v>
      </c>
      <c r="N55" s="8" t="str">
        <f t="shared" si="10"/>
        <v>PEN</v>
      </c>
      <c r="O55" s="13"/>
      <c r="P55" s="13">
        <v>150</v>
      </c>
      <c r="Q55" s="3">
        <f t="shared" si="6"/>
        <v>0</v>
      </c>
      <c r="R55" s="3">
        <f t="shared" si="7"/>
        <v>150</v>
      </c>
      <c r="S55" s="3">
        <f t="shared" si="8"/>
        <v>104.19999999999982</v>
      </c>
      <c r="T55" s="24"/>
      <c r="U55" s="24"/>
      <c r="V55" s="3"/>
      <c r="W55" s="25" t="s">
        <v>6630</v>
      </c>
      <c r="X55" s="25"/>
      <c r="Y55" s="25" t="str">
        <f>IFERROR(VLOOKUP(C_Ope_006[[#This Row],[NOTA 2]],Clientes_Proveedores[[Ruc / Dni]:[Razon Social]],2,0),"")</f>
        <v/>
      </c>
      <c r="Z55" s="25"/>
      <c r="AA55" s="15"/>
      <c r="AB55" s="3" t="str">
        <f>IF(C_Ope_006[[#This Row],[FECHA]]&gt;0,TEXT(C_Ope_006[[#This Row],[FECHA]],"mmmm"),0)</f>
        <v>Marzo</v>
      </c>
    </row>
    <row r="56" spans="2:28" x14ac:dyDescent="0.3">
      <c r="B56" s="2">
        <f>IF(C_Ope_006[[#This Row],[TIPO DE R.]]="R",COUNTIFS($D$4:$D55,"R")+1,"")</f>
        <v>52</v>
      </c>
      <c r="C56" s="19" t="str">
        <f t="shared" si="9"/>
        <v>C_Ope_006</v>
      </c>
      <c r="D56" s="3" t="s">
        <v>1074</v>
      </c>
      <c r="E56" s="14">
        <v>45737</v>
      </c>
      <c r="F56" s="5" t="s">
        <v>7372</v>
      </c>
      <c r="G56" s="5" t="s">
        <v>1079</v>
      </c>
      <c r="H56" s="6"/>
      <c r="I56" s="6"/>
      <c r="J56" s="6"/>
      <c r="K56" s="6"/>
      <c r="L56" s="7" t="s">
        <v>7401</v>
      </c>
      <c r="M56" s="8">
        <v>23541</v>
      </c>
      <c r="N56" s="8" t="str">
        <f t="shared" si="10"/>
        <v>PEN</v>
      </c>
      <c r="O56" s="13"/>
      <c r="P56" s="13">
        <v>36</v>
      </c>
      <c r="Q56" s="3">
        <f t="shared" si="6"/>
        <v>0</v>
      </c>
      <c r="R56" s="3">
        <f t="shared" si="7"/>
        <v>36</v>
      </c>
      <c r="S56" s="3">
        <f t="shared" si="8"/>
        <v>68.199999999999818</v>
      </c>
      <c r="T56" s="24"/>
      <c r="U56" s="24"/>
      <c r="V56" s="3"/>
      <c r="W56" s="25" t="s">
        <v>6630</v>
      </c>
      <c r="X56" s="25"/>
      <c r="Y56" s="25" t="str">
        <f>IFERROR(VLOOKUP(C_Ope_006[[#This Row],[NOTA 2]],Clientes_Proveedores[[Ruc / Dni]:[Razon Social]],2,0),"")</f>
        <v/>
      </c>
      <c r="Z56" s="25"/>
      <c r="AA56" s="15"/>
      <c r="AB56" s="3" t="str">
        <f>IF(C_Ope_006[[#This Row],[FECHA]]&gt;0,TEXT(C_Ope_006[[#This Row],[FECHA]],"mmmm"),0)</f>
        <v>Marzo</v>
      </c>
    </row>
    <row r="57" spans="2:28" x14ac:dyDescent="0.3">
      <c r="B57" s="2">
        <f>IF(C_Ope_006[[#This Row],[TIPO DE R.]]="R",COUNTIFS($D$4:$D56,"R")+1,"")</f>
        <v>53</v>
      </c>
      <c r="C57" s="19" t="str">
        <f t="shared" si="9"/>
        <v>C_Ope_006</v>
      </c>
      <c r="D57" s="3" t="s">
        <v>1074</v>
      </c>
      <c r="E57" s="14">
        <v>45737</v>
      </c>
      <c r="F57" s="5" t="s">
        <v>7372</v>
      </c>
      <c r="G57" s="5" t="s">
        <v>1079</v>
      </c>
      <c r="H57" s="6"/>
      <c r="I57" s="6" t="s">
        <v>21</v>
      </c>
      <c r="J57" s="6">
        <v>1</v>
      </c>
      <c r="K57" s="6">
        <v>1112</v>
      </c>
      <c r="L57" s="7" t="s">
        <v>7404</v>
      </c>
      <c r="M57" s="8">
        <v>23550</v>
      </c>
      <c r="N57" s="8" t="str">
        <f t="shared" si="10"/>
        <v>PEN</v>
      </c>
      <c r="O57" s="13"/>
      <c r="P57" s="13">
        <v>45</v>
      </c>
      <c r="Q57" s="3">
        <f t="shared" si="6"/>
        <v>0</v>
      </c>
      <c r="R57" s="3">
        <f t="shared" si="7"/>
        <v>45</v>
      </c>
      <c r="S57" s="3">
        <f t="shared" si="8"/>
        <v>23.199999999999818</v>
      </c>
      <c r="T57" s="24"/>
      <c r="U57" s="24"/>
      <c r="V57" s="3"/>
      <c r="W57" s="25" t="s">
        <v>6630</v>
      </c>
      <c r="X57" s="25"/>
      <c r="Y57" s="25" t="str">
        <f>IFERROR(VLOOKUP(C_Ope_006[[#This Row],[NOTA 2]],Clientes_Proveedores[[Ruc / Dni]:[Razon Social]],2,0),"")</f>
        <v/>
      </c>
      <c r="Z57" s="25"/>
      <c r="AA57" s="15"/>
      <c r="AB57" s="3" t="str">
        <f>IF(C_Ope_006[[#This Row],[FECHA]]&gt;0,TEXT(C_Ope_006[[#This Row],[FECHA]],"mmmm"),0)</f>
        <v>Marzo</v>
      </c>
    </row>
    <row r="58" spans="2:28" x14ac:dyDescent="0.3">
      <c r="B58" s="2">
        <f>IF(C_Ope_006[[#This Row],[TIPO DE R.]]="R",COUNTIFS($D$4:$D57,"R")+1,"")</f>
        <v>54</v>
      </c>
      <c r="C58" s="19" t="str">
        <f t="shared" si="9"/>
        <v>C_Ope_006</v>
      </c>
      <c r="D58" s="3" t="s">
        <v>1074</v>
      </c>
      <c r="E58" s="14">
        <v>45740</v>
      </c>
      <c r="F58" s="5"/>
      <c r="G58" s="5" t="s">
        <v>1087</v>
      </c>
      <c r="H58" s="6"/>
      <c r="I58" s="6"/>
      <c r="J58" s="6"/>
      <c r="K58" s="6"/>
      <c r="L58" s="7" t="s">
        <v>7113</v>
      </c>
      <c r="M58" s="8">
        <v>23575</v>
      </c>
      <c r="N58" s="8" t="str">
        <f t="shared" si="10"/>
        <v>PEN</v>
      </c>
      <c r="O58" s="13"/>
      <c r="P58" s="13">
        <v>220</v>
      </c>
      <c r="Q58" s="3">
        <f t="shared" si="6"/>
        <v>220</v>
      </c>
      <c r="R58" s="3">
        <f t="shared" si="7"/>
        <v>0</v>
      </c>
      <c r="S58" s="3">
        <f t="shared" si="8"/>
        <v>243.19999999999982</v>
      </c>
      <c r="T58" s="24"/>
      <c r="U58" s="24"/>
      <c r="V58" s="3"/>
      <c r="W58" s="25"/>
      <c r="X58" s="25"/>
      <c r="Y58" s="25" t="str">
        <f>IFERROR(VLOOKUP(C_Ope_006[[#This Row],[NOTA 2]],Clientes_Proveedores[[Ruc / Dni]:[Razon Social]],2,0),"")</f>
        <v/>
      </c>
      <c r="Z58" s="25"/>
      <c r="AA58" s="15"/>
      <c r="AB58" s="3" t="str">
        <f>IF(C_Ope_006[[#This Row],[FECHA]]&gt;0,TEXT(C_Ope_006[[#This Row],[FECHA]],"mmmm"),0)</f>
        <v>Marzo</v>
      </c>
    </row>
    <row r="59" spans="2:28" ht="24" x14ac:dyDescent="0.3">
      <c r="B59" s="2">
        <f>IF(C_Ope_006[[#This Row],[TIPO DE R.]]="R",COUNTIFS($D$4:$D58,"R")+1,"")</f>
        <v>55</v>
      </c>
      <c r="C59" s="19" t="str">
        <f t="shared" si="9"/>
        <v>C_Ope_006</v>
      </c>
      <c r="D59" s="3" t="s">
        <v>1074</v>
      </c>
      <c r="E59" s="14">
        <v>45740</v>
      </c>
      <c r="F59" s="5" t="s">
        <v>7372</v>
      </c>
      <c r="G59" s="5" t="s">
        <v>1079</v>
      </c>
      <c r="H59" s="6"/>
      <c r="I59" s="6" t="s">
        <v>14</v>
      </c>
      <c r="J59" s="6" t="s">
        <v>5243</v>
      </c>
      <c r="K59" s="6">
        <v>2275687</v>
      </c>
      <c r="L59" s="7" t="s">
        <v>6806</v>
      </c>
      <c r="M59" s="8">
        <v>23561</v>
      </c>
      <c r="N59" s="8" t="str">
        <f t="shared" si="10"/>
        <v>PEN</v>
      </c>
      <c r="O59" s="13"/>
      <c r="P59" s="13">
        <v>12</v>
      </c>
      <c r="Q59" s="3">
        <f t="shared" si="6"/>
        <v>0</v>
      </c>
      <c r="R59" s="3">
        <f t="shared" si="7"/>
        <v>12</v>
      </c>
      <c r="S59" s="3">
        <f t="shared" si="8"/>
        <v>231.19999999999982</v>
      </c>
      <c r="T59" s="24"/>
      <c r="U59" s="24"/>
      <c r="V59" s="3"/>
      <c r="W59" s="25" t="s">
        <v>6747</v>
      </c>
      <c r="X59" s="25"/>
      <c r="Y59" s="25" t="str">
        <f>IFERROR(VLOOKUP(C_Ope_006[[#This Row],[NOTA 2]],Clientes_Proveedores[[Ruc / Dni]:[Razon Social]],2,0),"")</f>
        <v/>
      </c>
      <c r="Z59" s="25"/>
      <c r="AA59" s="15"/>
      <c r="AB59" s="3" t="str">
        <f>IF(C_Ope_006[[#This Row],[FECHA]]&gt;0,TEXT(C_Ope_006[[#This Row],[FECHA]],"mmmm"),0)</f>
        <v>Marzo</v>
      </c>
    </row>
    <row r="60" spans="2:28" ht="24" x14ac:dyDescent="0.3">
      <c r="B60" s="2">
        <f>IF(C_Ope_006[[#This Row],[TIPO DE R.]]="R",COUNTIFS($D$4:$D59,"R")+1,"")</f>
        <v>56</v>
      </c>
      <c r="C60" s="19" t="str">
        <f t="shared" si="9"/>
        <v>C_Ope_006</v>
      </c>
      <c r="D60" s="3" t="s">
        <v>1074</v>
      </c>
      <c r="E60" s="14">
        <v>45740</v>
      </c>
      <c r="F60" s="5" t="s">
        <v>7372</v>
      </c>
      <c r="G60" s="5" t="s">
        <v>1079</v>
      </c>
      <c r="H60" s="6"/>
      <c r="I60" s="6" t="s">
        <v>14</v>
      </c>
      <c r="J60" s="6" t="s">
        <v>5245</v>
      </c>
      <c r="K60" s="6">
        <v>1707471</v>
      </c>
      <c r="L60" s="7" t="s">
        <v>6806</v>
      </c>
      <c r="M60" s="8">
        <v>23579</v>
      </c>
      <c r="N60" s="8" t="str">
        <f t="shared" si="10"/>
        <v>PEN</v>
      </c>
      <c r="O60" s="13"/>
      <c r="P60" s="13">
        <v>12</v>
      </c>
      <c r="Q60" s="3">
        <f t="shared" si="6"/>
        <v>0</v>
      </c>
      <c r="R60" s="3">
        <f t="shared" si="7"/>
        <v>12</v>
      </c>
      <c r="S60" s="3">
        <f t="shared" si="8"/>
        <v>219.19999999999982</v>
      </c>
      <c r="T60" s="24"/>
      <c r="U60" s="24"/>
      <c r="V60" s="3"/>
      <c r="W60" s="25" t="s">
        <v>6747</v>
      </c>
      <c r="X60" s="25"/>
      <c r="Y60" s="25" t="str">
        <f>IFERROR(VLOOKUP(C_Ope_006[[#This Row],[NOTA 2]],Clientes_Proveedores[[Ruc / Dni]:[Razon Social]],2,0),"")</f>
        <v/>
      </c>
      <c r="Z60" s="25"/>
      <c r="AA60" s="15"/>
      <c r="AB60" s="3" t="str">
        <f>IF(C_Ope_006[[#This Row],[FECHA]]&gt;0,TEXT(C_Ope_006[[#This Row],[FECHA]],"mmmm"),0)</f>
        <v>Marzo</v>
      </c>
    </row>
    <row r="61" spans="2:28" ht="24" x14ac:dyDescent="0.3">
      <c r="B61" s="2">
        <f>IF(C_Ope_006[[#This Row],[TIPO DE R.]]="R",COUNTIFS($D$4:$D60,"R")+1,"")</f>
        <v>57</v>
      </c>
      <c r="C61" s="19" t="str">
        <f t="shared" si="9"/>
        <v>C_Ope_006</v>
      </c>
      <c r="D61" s="3" t="s">
        <v>1074</v>
      </c>
      <c r="E61" s="14">
        <v>45742</v>
      </c>
      <c r="F61" s="5" t="s">
        <v>7372</v>
      </c>
      <c r="G61" s="5" t="s">
        <v>1079</v>
      </c>
      <c r="H61" s="6"/>
      <c r="I61" s="6" t="s">
        <v>14</v>
      </c>
      <c r="J61" s="6" t="s">
        <v>5244</v>
      </c>
      <c r="K61" s="6">
        <v>1689693</v>
      </c>
      <c r="L61" s="7" t="s">
        <v>6607</v>
      </c>
      <c r="M61" s="8">
        <v>23604</v>
      </c>
      <c r="N61" s="8" t="str">
        <f t="shared" si="10"/>
        <v>PEN</v>
      </c>
      <c r="O61" s="13"/>
      <c r="P61" s="13">
        <v>12</v>
      </c>
      <c r="Q61" s="3">
        <f t="shared" si="6"/>
        <v>0</v>
      </c>
      <c r="R61" s="3">
        <f t="shared" si="7"/>
        <v>12</v>
      </c>
      <c r="S61" s="3">
        <f t="shared" si="8"/>
        <v>207.19999999999982</v>
      </c>
      <c r="T61" s="24"/>
      <c r="U61" s="24"/>
      <c r="V61" s="3"/>
      <c r="W61" s="25" t="s">
        <v>6747</v>
      </c>
      <c r="X61" s="25"/>
      <c r="Y61" s="25" t="str">
        <f>IFERROR(VLOOKUP(C_Ope_006[[#This Row],[NOTA 2]],Clientes_Proveedores[[Ruc / Dni]:[Razon Social]],2,0),"")</f>
        <v/>
      </c>
      <c r="Z61" s="25"/>
      <c r="AA61" s="15"/>
      <c r="AB61" s="3" t="str">
        <f>IF(C_Ope_006[[#This Row],[FECHA]]&gt;0,TEXT(C_Ope_006[[#This Row],[FECHA]],"mmmm"),0)</f>
        <v>Marzo</v>
      </c>
    </row>
    <row r="62" spans="2:28" ht="24" x14ac:dyDescent="0.3">
      <c r="B62" s="2">
        <f>IF(C_Ope_006[[#This Row],[TIPO DE R.]]="R",COUNTIFS($D$4:$D61,"R")+1,"")</f>
        <v>58</v>
      </c>
      <c r="C62" s="19" t="str">
        <f t="shared" si="9"/>
        <v>C_Ope_006</v>
      </c>
      <c r="D62" s="3" t="s">
        <v>1074</v>
      </c>
      <c r="E62" s="14">
        <v>45742</v>
      </c>
      <c r="F62" s="5" t="s">
        <v>7372</v>
      </c>
      <c r="G62" s="5" t="s">
        <v>1079</v>
      </c>
      <c r="H62" s="6"/>
      <c r="I62" s="6" t="s">
        <v>14</v>
      </c>
      <c r="J62" s="6" t="s">
        <v>5242</v>
      </c>
      <c r="K62" s="6">
        <v>2002184</v>
      </c>
      <c r="L62" s="7" t="s">
        <v>6607</v>
      </c>
      <c r="M62" s="8">
        <v>23605</v>
      </c>
      <c r="N62" s="8" t="str">
        <f t="shared" si="10"/>
        <v>PEN</v>
      </c>
      <c r="O62" s="13"/>
      <c r="P62" s="13">
        <v>12</v>
      </c>
      <c r="Q62" s="3">
        <f t="shared" si="6"/>
        <v>0</v>
      </c>
      <c r="R62" s="3">
        <f t="shared" si="7"/>
        <v>12</v>
      </c>
      <c r="S62" s="3">
        <f t="shared" si="8"/>
        <v>195.19999999999982</v>
      </c>
      <c r="T62" s="24"/>
      <c r="U62" s="24"/>
      <c r="V62" s="3"/>
      <c r="W62" s="25" t="s">
        <v>6747</v>
      </c>
      <c r="X62" s="25"/>
      <c r="Y62" s="25" t="str">
        <f>IFERROR(VLOOKUP(C_Ope_006[[#This Row],[NOTA 2]],Clientes_Proveedores[[Ruc / Dni]:[Razon Social]],2,0),"")</f>
        <v/>
      </c>
      <c r="Z62" s="25"/>
      <c r="AA62" s="15"/>
      <c r="AB62" s="3" t="str">
        <f>IF(C_Ope_006[[#This Row],[FECHA]]&gt;0,TEXT(C_Ope_006[[#This Row],[FECHA]],"mmmm"),0)</f>
        <v>Marzo</v>
      </c>
    </row>
    <row r="63" spans="2:28" ht="24" x14ac:dyDescent="0.3">
      <c r="B63" s="2">
        <f>IF(C_Ope_006[[#This Row],[TIPO DE R.]]="R",COUNTIFS($D$4:$D62,"R")+1,"")</f>
        <v>59</v>
      </c>
      <c r="C63" s="19" t="str">
        <f t="shared" si="9"/>
        <v>C_Ope_006</v>
      </c>
      <c r="D63" s="3" t="s">
        <v>1074</v>
      </c>
      <c r="E63" s="14">
        <v>45744</v>
      </c>
      <c r="F63" s="5" t="s">
        <v>7372</v>
      </c>
      <c r="G63" s="5" t="s">
        <v>1079</v>
      </c>
      <c r="H63" s="6"/>
      <c r="I63" s="6" t="s">
        <v>14</v>
      </c>
      <c r="J63" s="6" t="s">
        <v>5243</v>
      </c>
      <c r="K63" s="6">
        <v>2280617</v>
      </c>
      <c r="L63" s="7" t="s">
        <v>7405</v>
      </c>
      <c r="M63" s="8">
        <v>23617</v>
      </c>
      <c r="N63" s="8" t="str">
        <f t="shared" si="10"/>
        <v>PEN</v>
      </c>
      <c r="O63" s="13"/>
      <c r="P63" s="13">
        <v>12</v>
      </c>
      <c r="Q63" s="3">
        <f t="shared" si="6"/>
        <v>0</v>
      </c>
      <c r="R63" s="3">
        <f t="shared" si="7"/>
        <v>12</v>
      </c>
      <c r="S63" s="3">
        <f t="shared" si="8"/>
        <v>183.19999999999982</v>
      </c>
      <c r="T63" s="24"/>
      <c r="U63" s="24"/>
      <c r="V63" s="3"/>
      <c r="W63" s="25" t="s">
        <v>6747</v>
      </c>
      <c r="X63" s="25"/>
      <c r="Y63" s="25" t="str">
        <f>IFERROR(VLOOKUP(C_Ope_006[[#This Row],[NOTA 2]],Clientes_Proveedores[[Ruc / Dni]:[Razon Social]],2,0),"")</f>
        <v/>
      </c>
      <c r="Z63" s="25"/>
      <c r="AA63" s="15"/>
      <c r="AB63" s="3" t="str">
        <f>IF(C_Ope_006[[#This Row],[FECHA]]&gt;0,TEXT(C_Ope_006[[#This Row],[FECHA]],"mmmm"),0)</f>
        <v>Marzo</v>
      </c>
    </row>
    <row r="64" spans="2:28" ht="24" x14ac:dyDescent="0.3">
      <c r="B64" s="2">
        <f>IF(C_Ope_006[[#This Row],[TIPO DE R.]]="R",COUNTIFS($D$4:$D63,"R")+1,"")</f>
        <v>60</v>
      </c>
      <c r="C64" s="19" t="str">
        <f t="shared" si="9"/>
        <v>C_Ope_006</v>
      </c>
      <c r="D64" s="3" t="s">
        <v>1074</v>
      </c>
      <c r="E64" s="14">
        <v>45744</v>
      </c>
      <c r="F64" s="5" t="s">
        <v>7372</v>
      </c>
      <c r="G64" s="5" t="s">
        <v>1079</v>
      </c>
      <c r="H64" s="6"/>
      <c r="I64" s="6" t="s">
        <v>14</v>
      </c>
      <c r="J64" s="6" t="s">
        <v>5245</v>
      </c>
      <c r="K64" s="6">
        <v>1710907</v>
      </c>
      <c r="L64" s="7" t="s">
        <v>7405</v>
      </c>
      <c r="M64" s="8">
        <v>23618</v>
      </c>
      <c r="N64" s="8" t="str">
        <f t="shared" si="10"/>
        <v>PEN</v>
      </c>
      <c r="O64" s="13"/>
      <c r="P64" s="13">
        <v>12</v>
      </c>
      <c r="Q64" s="3">
        <f t="shared" si="6"/>
        <v>0</v>
      </c>
      <c r="R64" s="3">
        <f t="shared" si="7"/>
        <v>12</v>
      </c>
      <c r="S64" s="3">
        <f t="shared" si="8"/>
        <v>171.19999999999982</v>
      </c>
      <c r="T64" s="24"/>
      <c r="U64" s="24"/>
      <c r="V64" s="3"/>
      <c r="W64" s="25" t="s">
        <v>6747</v>
      </c>
      <c r="X64" s="25"/>
      <c r="Y64" s="25" t="str">
        <f>IFERROR(VLOOKUP(C_Ope_006[[#This Row],[NOTA 2]],Clientes_Proveedores[[Ruc / Dni]:[Razon Social]],2,0),"")</f>
        <v/>
      </c>
      <c r="Z64" s="25"/>
      <c r="AA64" s="15"/>
      <c r="AB64" s="3" t="str">
        <f>IF(C_Ope_006[[#This Row],[FECHA]]&gt;0,TEXT(C_Ope_006[[#This Row],[FECHA]],"mmmm"),0)</f>
        <v>Marzo</v>
      </c>
    </row>
    <row r="65" spans="2:28" ht="24" x14ac:dyDescent="0.3">
      <c r="B65" s="2">
        <f>IF(C_Ope_006[[#This Row],[TIPO DE R.]]="R",COUNTIFS($D$4:$D64,"R")+1,"")</f>
        <v>61</v>
      </c>
      <c r="C65" s="19" t="str">
        <f t="shared" si="9"/>
        <v>C_Ope_006</v>
      </c>
      <c r="D65" s="3" t="s">
        <v>1074</v>
      </c>
      <c r="E65" s="14">
        <v>45744</v>
      </c>
      <c r="F65" s="5" t="s">
        <v>7372</v>
      </c>
      <c r="G65" s="5" t="s">
        <v>1079</v>
      </c>
      <c r="H65" s="6"/>
      <c r="I65" s="6" t="s">
        <v>14</v>
      </c>
      <c r="J65" s="6" t="s">
        <v>5244</v>
      </c>
      <c r="K65" s="6">
        <v>1691673</v>
      </c>
      <c r="L65" s="7" t="s">
        <v>7406</v>
      </c>
      <c r="M65" s="8">
        <v>23619</v>
      </c>
      <c r="N65" s="8" t="str">
        <f t="shared" si="10"/>
        <v>PEN</v>
      </c>
      <c r="O65" s="13"/>
      <c r="P65" s="13">
        <v>12</v>
      </c>
      <c r="Q65" s="3">
        <f t="shared" si="6"/>
        <v>0</v>
      </c>
      <c r="R65" s="3">
        <f t="shared" si="7"/>
        <v>12</v>
      </c>
      <c r="S65" s="3">
        <f t="shared" si="8"/>
        <v>159.19999999999982</v>
      </c>
      <c r="T65" s="24"/>
      <c r="U65" s="24"/>
      <c r="V65" s="3"/>
      <c r="W65" s="25" t="s">
        <v>6747</v>
      </c>
      <c r="X65" s="25"/>
      <c r="Y65" s="25" t="str">
        <f>IFERROR(VLOOKUP(C_Ope_006[[#This Row],[NOTA 2]],Clientes_Proveedores[[Ruc / Dni]:[Razon Social]],2,0),"")</f>
        <v/>
      </c>
      <c r="Z65" s="25"/>
      <c r="AA65" s="15"/>
      <c r="AB65" s="3" t="str">
        <f>IF(C_Ope_006[[#This Row],[FECHA]]&gt;0,TEXT(C_Ope_006[[#This Row],[FECHA]],"mmmm"),0)</f>
        <v>Marzo</v>
      </c>
    </row>
    <row r="66" spans="2:28" ht="24" x14ac:dyDescent="0.3">
      <c r="B66" s="2">
        <f>IF(C_Ope_006[[#This Row],[TIPO DE R.]]="R",COUNTIFS($D$4:$D65,"R")+1,"")</f>
        <v>62</v>
      </c>
      <c r="C66" s="19" t="str">
        <f t="shared" si="9"/>
        <v>C_Ope_006</v>
      </c>
      <c r="D66" s="3" t="s">
        <v>1074</v>
      </c>
      <c r="E66" s="14">
        <v>45744</v>
      </c>
      <c r="F66" s="5" t="s">
        <v>7372</v>
      </c>
      <c r="G66" s="5" t="s">
        <v>1079</v>
      </c>
      <c r="H66" s="6"/>
      <c r="I66" s="6" t="s">
        <v>14</v>
      </c>
      <c r="J66" s="6" t="s">
        <v>5245</v>
      </c>
      <c r="K66" s="6">
        <v>1711238</v>
      </c>
      <c r="L66" s="7" t="s">
        <v>7406</v>
      </c>
      <c r="M66" s="8">
        <v>23648</v>
      </c>
      <c r="N66" s="8" t="str">
        <f t="shared" si="10"/>
        <v>PEN</v>
      </c>
      <c r="O66" s="13"/>
      <c r="P66" s="13">
        <v>12</v>
      </c>
      <c r="Q66" s="3">
        <f t="shared" si="6"/>
        <v>0</v>
      </c>
      <c r="R66" s="3">
        <f t="shared" si="7"/>
        <v>12</v>
      </c>
      <c r="S66" s="3">
        <f t="shared" si="8"/>
        <v>147.19999999999982</v>
      </c>
      <c r="T66" s="24"/>
      <c r="U66" s="24"/>
      <c r="V66" s="3"/>
      <c r="W66" s="25" t="s">
        <v>6747</v>
      </c>
      <c r="X66" s="25"/>
      <c r="Y66" s="25" t="str">
        <f>IFERROR(VLOOKUP(C_Ope_006[[#This Row],[NOTA 2]],Clientes_Proveedores[[Ruc / Dni]:[Razon Social]],2,0),"")</f>
        <v/>
      </c>
      <c r="Z66" s="25"/>
      <c r="AA66" s="15"/>
      <c r="AB66" s="3" t="str">
        <f>IF(C_Ope_006[[#This Row],[FECHA]]&gt;0,TEXT(C_Ope_006[[#This Row],[FECHA]],"mmmm"),0)</f>
        <v>Marzo</v>
      </c>
    </row>
    <row r="67" spans="2:28" ht="24" x14ac:dyDescent="0.3">
      <c r="B67" s="2">
        <f>IF(C_Ope_006[[#This Row],[TIPO DE R.]]="R",COUNTIFS($D$4:$D66,"R")+1,"")</f>
        <v>63</v>
      </c>
      <c r="C67" s="19" t="str">
        <f t="shared" si="9"/>
        <v>C_Ope_006</v>
      </c>
      <c r="D67" s="3" t="s">
        <v>1074</v>
      </c>
      <c r="E67" s="14">
        <v>45747</v>
      </c>
      <c r="F67" s="5" t="s">
        <v>7372</v>
      </c>
      <c r="G67" s="5" t="s">
        <v>1079</v>
      </c>
      <c r="H67" s="6"/>
      <c r="I67" s="6" t="s">
        <v>14</v>
      </c>
      <c r="J67" s="6" t="s">
        <v>5243</v>
      </c>
      <c r="K67" s="6">
        <v>2283495</v>
      </c>
      <c r="L67" s="7" t="s">
        <v>6806</v>
      </c>
      <c r="M67" s="8">
        <v>23690</v>
      </c>
      <c r="N67" s="8" t="str">
        <f t="shared" si="10"/>
        <v>PEN</v>
      </c>
      <c r="O67" s="13"/>
      <c r="P67" s="13">
        <v>12</v>
      </c>
      <c r="Q67" s="3">
        <f t="shared" si="6"/>
        <v>0</v>
      </c>
      <c r="R67" s="3">
        <f t="shared" si="7"/>
        <v>12</v>
      </c>
      <c r="S67" s="3">
        <f t="shared" si="8"/>
        <v>135.19999999999982</v>
      </c>
      <c r="T67" s="24"/>
      <c r="U67" s="24"/>
      <c r="V67" s="3"/>
      <c r="W67" s="25" t="s">
        <v>6747</v>
      </c>
      <c r="X67" s="25"/>
      <c r="Y67" s="25" t="str">
        <f>IFERROR(VLOOKUP(C_Ope_006[[#This Row],[NOTA 2]],Clientes_Proveedores[[Ruc / Dni]:[Razon Social]],2,0),"")</f>
        <v/>
      </c>
      <c r="Z67" s="25"/>
      <c r="AA67" s="15"/>
      <c r="AB67" s="3" t="str">
        <f>IF(C_Ope_006[[#This Row],[FECHA]]&gt;0,TEXT(C_Ope_006[[#This Row],[FECHA]],"mmmm"),0)</f>
        <v>Marzo</v>
      </c>
    </row>
    <row r="68" spans="2:28" ht="24" x14ac:dyDescent="0.3">
      <c r="B68" s="2">
        <f>IF(C_Ope_006[[#This Row],[TIPO DE R.]]="R",COUNTIFS($D$4:$D67,"R")+1,"")</f>
        <v>64</v>
      </c>
      <c r="C68" s="19" t="str">
        <f t="shared" si="9"/>
        <v>C_Ope_006</v>
      </c>
      <c r="D68" s="3" t="s">
        <v>1074</v>
      </c>
      <c r="E68" s="14">
        <v>45747</v>
      </c>
      <c r="F68" s="5" t="s">
        <v>7372</v>
      </c>
      <c r="G68" s="5" t="s">
        <v>1079</v>
      </c>
      <c r="H68" s="6"/>
      <c r="I68" s="6" t="s">
        <v>14</v>
      </c>
      <c r="J68" s="6" t="s">
        <v>5245</v>
      </c>
      <c r="K68" s="6">
        <v>1713762</v>
      </c>
      <c r="L68" s="7" t="s">
        <v>6806</v>
      </c>
      <c r="M68" s="8">
        <v>23691</v>
      </c>
      <c r="N68" s="8" t="str">
        <f t="shared" si="10"/>
        <v>PEN</v>
      </c>
      <c r="O68" s="13"/>
      <c r="P68" s="13">
        <v>12</v>
      </c>
      <c r="Q68" s="3">
        <f t="shared" si="6"/>
        <v>0</v>
      </c>
      <c r="R68" s="3">
        <f t="shared" si="7"/>
        <v>12</v>
      </c>
      <c r="S68" s="3">
        <f t="shared" si="8"/>
        <v>123.19999999999982</v>
      </c>
      <c r="T68" s="24"/>
      <c r="U68" s="24"/>
      <c r="V68" s="3"/>
      <c r="W68" s="25" t="s">
        <v>6747</v>
      </c>
      <c r="X68" s="25"/>
      <c r="Y68" s="25" t="str">
        <f>IFERROR(VLOOKUP(C_Ope_006[[#This Row],[NOTA 2]],Clientes_Proveedores[[Ruc / Dni]:[Razon Social]],2,0),"")</f>
        <v/>
      </c>
      <c r="Z68" s="25"/>
      <c r="AA68" s="15"/>
      <c r="AB68" s="3" t="str">
        <f>IF(C_Ope_006[[#This Row],[FECHA]]&gt;0,TEXT(C_Ope_006[[#This Row],[FECHA]],"mmmm"),0)</f>
        <v>Marzo</v>
      </c>
    </row>
    <row r="69" spans="2:28" x14ac:dyDescent="0.3">
      <c r="B69" s="2">
        <f>IF(C_Ope_006[[#This Row],[TIPO DE R.]]="R",COUNTIFS($D$4:$D68,"R")+1,"")</f>
        <v>65</v>
      </c>
      <c r="C69" s="19" t="str">
        <f t="shared" si="9"/>
        <v>C_Ope_006</v>
      </c>
      <c r="D69" s="3" t="s">
        <v>1074</v>
      </c>
      <c r="E69" s="14">
        <v>45740</v>
      </c>
      <c r="F69" s="5" t="s">
        <v>7372</v>
      </c>
      <c r="G69" s="5" t="s">
        <v>1079</v>
      </c>
      <c r="H69" s="6"/>
      <c r="I69" s="6" t="s">
        <v>14</v>
      </c>
      <c r="J69" s="6" t="s">
        <v>1429</v>
      </c>
      <c r="K69" s="6">
        <v>16118</v>
      </c>
      <c r="L69" s="7" t="s">
        <v>7407</v>
      </c>
      <c r="M69" s="8">
        <v>23564</v>
      </c>
      <c r="N69" s="8" t="str">
        <f t="shared" si="10"/>
        <v>PEN</v>
      </c>
      <c r="O69" s="13"/>
      <c r="P69" s="13">
        <v>12</v>
      </c>
      <c r="Q69" s="3">
        <f t="shared" ref="Q69:Q100" si="11">+IF(OR($G69="SALDO",$G69="INGRESO"),$P69,0)</f>
        <v>0</v>
      </c>
      <c r="R69" s="3">
        <f t="shared" ref="R69:R100" si="12">+IF($G69="EGRESO",$P69,0)</f>
        <v>12</v>
      </c>
      <c r="S69" s="3">
        <f t="shared" ref="S69:S100" si="13">IFERROR(IF(G69="SALDO",Q69,S68+Q69-R69),0)</f>
        <v>111.19999999999982</v>
      </c>
      <c r="T69" s="24"/>
      <c r="U69" s="24"/>
      <c r="V69" s="3"/>
      <c r="W69" s="25" t="s">
        <v>6747</v>
      </c>
      <c r="X69" s="25"/>
      <c r="Y69" s="25" t="str">
        <f>IFERROR(VLOOKUP(C_Ope_006[[#This Row],[NOTA 2]],Clientes_Proveedores[[Ruc / Dni]:[Razon Social]],2,0),"")</f>
        <v/>
      </c>
      <c r="Z69" s="25"/>
      <c r="AA69" s="15"/>
      <c r="AB69" s="3" t="str">
        <f>IF(C_Ope_006[[#This Row],[FECHA]]&gt;0,TEXT(C_Ope_006[[#This Row],[FECHA]],"mmmm"),0)</f>
        <v>Marzo</v>
      </c>
    </row>
    <row r="70" spans="2:28" x14ac:dyDescent="0.3">
      <c r="B70" s="2">
        <f>IF(C_Ope_006[[#This Row],[TIPO DE R.]]="R",COUNTIFS($D$4:$D69,"R")+1,"")</f>
        <v>66</v>
      </c>
      <c r="C70" s="19" t="str">
        <f t="shared" ref="C70:C101" si="14">"C_Ope_006"</f>
        <v>C_Ope_006</v>
      </c>
      <c r="D70" s="3" t="s">
        <v>1074</v>
      </c>
      <c r="E70" s="14">
        <v>45740</v>
      </c>
      <c r="F70" s="5" t="s">
        <v>7372</v>
      </c>
      <c r="G70" s="5" t="s">
        <v>1079</v>
      </c>
      <c r="H70" s="6"/>
      <c r="I70" s="6" t="s">
        <v>14</v>
      </c>
      <c r="J70" s="6" t="s">
        <v>1429</v>
      </c>
      <c r="K70" s="6">
        <v>16121</v>
      </c>
      <c r="L70" s="7" t="s">
        <v>7407</v>
      </c>
      <c r="M70" s="8">
        <v>23565</v>
      </c>
      <c r="N70" s="8" t="str">
        <f t="shared" ref="N70:N101" si="15">"PEN"</f>
        <v>PEN</v>
      </c>
      <c r="O70" s="13"/>
      <c r="P70" s="13">
        <v>12</v>
      </c>
      <c r="Q70" s="3">
        <f t="shared" si="11"/>
        <v>0</v>
      </c>
      <c r="R70" s="3">
        <f t="shared" si="12"/>
        <v>12</v>
      </c>
      <c r="S70" s="3">
        <f t="shared" si="13"/>
        <v>99.199999999999818</v>
      </c>
      <c r="T70" s="24"/>
      <c r="U70" s="24"/>
      <c r="V70" s="3"/>
      <c r="W70" s="25" t="s">
        <v>6747</v>
      </c>
      <c r="X70" s="25"/>
      <c r="Y70" s="25" t="str">
        <f>IFERROR(VLOOKUP(C_Ope_006[[#This Row],[NOTA 2]],Clientes_Proveedores[[Ruc / Dni]:[Razon Social]],2,0),"")</f>
        <v/>
      </c>
      <c r="Z70" s="25"/>
      <c r="AA70" s="15"/>
      <c r="AB70" s="3" t="str">
        <f>IF(C_Ope_006[[#This Row],[FECHA]]&gt;0,TEXT(C_Ope_006[[#This Row],[FECHA]],"mmmm"),0)</f>
        <v>Marzo</v>
      </c>
    </row>
    <row r="71" spans="2:28" x14ac:dyDescent="0.3">
      <c r="B71" s="2">
        <f>IF(C_Ope_006[[#This Row],[TIPO DE R.]]="R",COUNTIFS($D$4:$D70,"R")+1,"")</f>
        <v>67</v>
      </c>
      <c r="C71" s="19" t="str">
        <f t="shared" si="14"/>
        <v>C_Ope_006</v>
      </c>
      <c r="D71" s="3" t="s">
        <v>1074</v>
      </c>
      <c r="E71" s="14">
        <v>45741</v>
      </c>
      <c r="F71" s="5" t="s">
        <v>7372</v>
      </c>
      <c r="G71" s="5" t="s">
        <v>1079</v>
      </c>
      <c r="H71" s="6"/>
      <c r="I71" s="6" t="s">
        <v>14</v>
      </c>
      <c r="J71" s="6" t="s">
        <v>1148</v>
      </c>
      <c r="K71" s="6">
        <v>129718</v>
      </c>
      <c r="L71" s="7" t="s">
        <v>7408</v>
      </c>
      <c r="M71" s="8">
        <v>23581</v>
      </c>
      <c r="N71" s="8" t="str">
        <f t="shared" si="15"/>
        <v>PEN</v>
      </c>
      <c r="O71" s="13"/>
      <c r="P71" s="13">
        <v>10</v>
      </c>
      <c r="Q71" s="3">
        <f t="shared" si="11"/>
        <v>0</v>
      </c>
      <c r="R71" s="3">
        <f t="shared" si="12"/>
        <v>10</v>
      </c>
      <c r="S71" s="3">
        <f t="shared" si="13"/>
        <v>89.199999999999818</v>
      </c>
      <c r="T71" s="24"/>
      <c r="U71" s="24"/>
      <c r="V71" s="3"/>
      <c r="W71" s="25" t="s">
        <v>6747</v>
      </c>
      <c r="X71" s="25"/>
      <c r="Y71" s="25" t="str">
        <f>IFERROR(VLOOKUP(C_Ope_006[[#This Row],[NOTA 2]],Clientes_Proveedores[[Ruc / Dni]:[Razon Social]],2,0),"")</f>
        <v/>
      </c>
      <c r="Z71" s="25"/>
      <c r="AA71" s="15"/>
      <c r="AB71" s="3" t="str">
        <f>IF(C_Ope_006[[#This Row],[FECHA]]&gt;0,TEXT(C_Ope_006[[#This Row],[FECHA]],"mmmm"),0)</f>
        <v>Marzo</v>
      </c>
    </row>
    <row r="72" spans="2:28" x14ac:dyDescent="0.3">
      <c r="B72" s="2">
        <f>IF(C_Ope_006[[#This Row],[TIPO DE R.]]="R",COUNTIFS($D$4:$D71,"R")+1,"")</f>
        <v>68</v>
      </c>
      <c r="C72" s="19" t="str">
        <f t="shared" si="14"/>
        <v>C_Ope_006</v>
      </c>
      <c r="D72" s="3" t="s">
        <v>1074</v>
      </c>
      <c r="E72" s="14">
        <v>45747</v>
      </c>
      <c r="F72" s="5" t="s">
        <v>7372</v>
      </c>
      <c r="G72" s="5" t="s">
        <v>1079</v>
      </c>
      <c r="H72" s="6"/>
      <c r="I72" s="6" t="s">
        <v>14</v>
      </c>
      <c r="J72" s="6" t="s">
        <v>1429</v>
      </c>
      <c r="K72" s="6">
        <v>16161</v>
      </c>
      <c r="L72" s="7" t="s">
        <v>7407</v>
      </c>
      <c r="M72" s="8">
        <v>23692</v>
      </c>
      <c r="N72" s="8" t="str">
        <f t="shared" si="15"/>
        <v>PEN</v>
      </c>
      <c r="O72" s="13"/>
      <c r="P72" s="13">
        <v>36</v>
      </c>
      <c r="Q72" s="3">
        <f t="shared" si="11"/>
        <v>0</v>
      </c>
      <c r="R72" s="3">
        <f t="shared" si="12"/>
        <v>36</v>
      </c>
      <c r="S72" s="3">
        <f t="shared" si="13"/>
        <v>53.199999999999818</v>
      </c>
      <c r="T72" s="24"/>
      <c r="U72" s="24"/>
      <c r="V72" s="3"/>
      <c r="W72" s="25" t="s">
        <v>6747</v>
      </c>
      <c r="X72" s="25"/>
      <c r="Y72" s="25" t="str">
        <f>IFERROR(VLOOKUP(C_Ope_006[[#This Row],[NOTA 2]],Clientes_Proveedores[[Ruc / Dni]:[Razon Social]],2,0),"")</f>
        <v/>
      </c>
      <c r="Z72" s="25"/>
      <c r="AA72" s="15"/>
      <c r="AB72" s="3" t="str">
        <f>IF(C_Ope_006[[#This Row],[FECHA]]&gt;0,TEXT(C_Ope_006[[#This Row],[FECHA]],"mmmm"),0)</f>
        <v>Marzo</v>
      </c>
    </row>
    <row r="73" spans="2:28" x14ac:dyDescent="0.3">
      <c r="B73" s="2">
        <f>IF(C_Ope_006[[#This Row],[TIPO DE R.]]="R",COUNTIFS($D$4:$D72,"R")+1,"")</f>
        <v>69</v>
      </c>
      <c r="C73" s="19" t="str">
        <f t="shared" si="14"/>
        <v>C_Ope_006</v>
      </c>
      <c r="D73" s="3" t="s">
        <v>1074</v>
      </c>
      <c r="E73" s="14">
        <v>45748</v>
      </c>
      <c r="F73" s="5"/>
      <c r="G73" s="5" t="s">
        <v>1087</v>
      </c>
      <c r="H73" s="6"/>
      <c r="I73" s="6"/>
      <c r="J73" s="6"/>
      <c r="K73" s="6"/>
      <c r="L73" s="7" t="s">
        <v>7113</v>
      </c>
      <c r="M73" s="8">
        <v>23700</v>
      </c>
      <c r="N73" s="8" t="str">
        <f t="shared" si="15"/>
        <v>PEN</v>
      </c>
      <c r="O73" s="13"/>
      <c r="P73" s="13">
        <v>150</v>
      </c>
      <c r="Q73" s="3">
        <f t="shared" si="11"/>
        <v>150</v>
      </c>
      <c r="R73" s="3">
        <f t="shared" si="12"/>
        <v>0</v>
      </c>
      <c r="S73" s="3">
        <f t="shared" si="13"/>
        <v>203.19999999999982</v>
      </c>
      <c r="T73" s="24"/>
      <c r="U73" s="24"/>
      <c r="V73" s="3"/>
      <c r="W73" s="25"/>
      <c r="X73" s="25"/>
      <c r="Y73" s="25" t="str">
        <f>IFERROR(VLOOKUP(C_Ope_006[[#This Row],[NOTA 2]],Clientes_Proveedores[[Ruc / Dni]:[Razon Social]],2,0),"")</f>
        <v/>
      </c>
      <c r="Z73" s="25"/>
      <c r="AA73" s="15"/>
      <c r="AB73" s="3" t="str">
        <f>IF(C_Ope_006[[#This Row],[FECHA]]&gt;0,TEXT(C_Ope_006[[#This Row],[FECHA]],"mmmm"),0)</f>
        <v>Abril</v>
      </c>
    </row>
    <row r="74" spans="2:28" ht="24" x14ac:dyDescent="0.3">
      <c r="B74" s="2">
        <f>IF(C_Ope_006[[#This Row],[TIPO DE R.]]="R",COUNTIFS($D$4:$D73,"R")+1,"")</f>
        <v>70</v>
      </c>
      <c r="C74" s="19" t="str">
        <f t="shared" si="14"/>
        <v>C_Ope_006</v>
      </c>
      <c r="D74" s="3" t="s">
        <v>1074</v>
      </c>
      <c r="E74" s="14">
        <v>45751</v>
      </c>
      <c r="F74" s="5" t="s">
        <v>7372</v>
      </c>
      <c r="G74" s="5" t="s">
        <v>1079</v>
      </c>
      <c r="H74" s="6"/>
      <c r="I74" s="6" t="s">
        <v>14</v>
      </c>
      <c r="J74" s="6" t="s">
        <v>5243</v>
      </c>
      <c r="K74" s="6">
        <v>2287950</v>
      </c>
      <c r="L74" s="7" t="s">
        <v>7409</v>
      </c>
      <c r="M74" s="8">
        <v>23742</v>
      </c>
      <c r="N74" s="8" t="str">
        <f t="shared" si="15"/>
        <v>PEN</v>
      </c>
      <c r="O74" s="13"/>
      <c r="P74" s="13">
        <v>12</v>
      </c>
      <c r="Q74" s="3">
        <f t="shared" si="11"/>
        <v>0</v>
      </c>
      <c r="R74" s="3">
        <f t="shared" si="12"/>
        <v>12</v>
      </c>
      <c r="S74" s="3">
        <f t="shared" si="13"/>
        <v>191.19999999999982</v>
      </c>
      <c r="T74" s="24"/>
      <c r="U74" s="24"/>
      <c r="V74" s="3"/>
      <c r="W74" s="25" t="s">
        <v>6747</v>
      </c>
      <c r="X74" s="25"/>
      <c r="Y74" s="25" t="str">
        <f>IFERROR(VLOOKUP(C_Ope_006[[#This Row],[NOTA 2]],Clientes_Proveedores[[Ruc / Dni]:[Razon Social]],2,0),"")</f>
        <v/>
      </c>
      <c r="Z74" s="25"/>
      <c r="AA74" s="15"/>
      <c r="AB74" s="3" t="str">
        <f>IF(C_Ope_006[[#This Row],[FECHA]]&gt;0,TEXT(C_Ope_006[[#This Row],[FECHA]],"mmmm"),0)</f>
        <v>Abril</v>
      </c>
    </row>
    <row r="75" spans="2:28" ht="24" x14ac:dyDescent="0.3">
      <c r="B75" s="2">
        <f>IF(C_Ope_006[[#This Row],[TIPO DE R.]]="R",COUNTIFS($D$4:$D74,"R")+1,"")</f>
        <v>71</v>
      </c>
      <c r="C75" s="19" t="str">
        <f t="shared" si="14"/>
        <v>C_Ope_006</v>
      </c>
      <c r="D75" s="3" t="s">
        <v>1074</v>
      </c>
      <c r="E75" s="14">
        <v>45751</v>
      </c>
      <c r="F75" s="5" t="s">
        <v>7372</v>
      </c>
      <c r="G75" s="5" t="s">
        <v>1079</v>
      </c>
      <c r="H75" s="6"/>
      <c r="I75" s="6" t="s">
        <v>14</v>
      </c>
      <c r="J75" s="6" t="s">
        <v>5242</v>
      </c>
      <c r="K75" s="6">
        <v>2010901</v>
      </c>
      <c r="L75" s="7" t="s">
        <v>7409</v>
      </c>
      <c r="M75" s="8">
        <v>23743</v>
      </c>
      <c r="N75" s="8" t="str">
        <f t="shared" si="15"/>
        <v>PEN</v>
      </c>
      <c r="O75" s="13"/>
      <c r="P75" s="13">
        <v>12</v>
      </c>
      <c r="Q75" s="3">
        <f t="shared" si="11"/>
        <v>0</v>
      </c>
      <c r="R75" s="3">
        <f t="shared" si="12"/>
        <v>12</v>
      </c>
      <c r="S75" s="3">
        <f t="shared" si="13"/>
        <v>179.19999999999982</v>
      </c>
      <c r="T75" s="24"/>
      <c r="U75" s="24"/>
      <c r="V75" s="3"/>
      <c r="W75" s="25" t="s">
        <v>6747</v>
      </c>
      <c r="X75" s="25"/>
      <c r="Y75" s="25" t="str">
        <f>IFERROR(VLOOKUP(C_Ope_006[[#This Row],[NOTA 2]],Clientes_Proveedores[[Ruc / Dni]:[Razon Social]],2,0),"")</f>
        <v/>
      </c>
      <c r="Z75" s="25"/>
      <c r="AA75" s="15"/>
      <c r="AB75" s="3" t="str">
        <f>IF(C_Ope_006[[#This Row],[FECHA]]&gt;0,TEXT(C_Ope_006[[#This Row],[FECHA]],"mmmm"),0)</f>
        <v>Abril</v>
      </c>
    </row>
    <row r="76" spans="2:28" x14ac:dyDescent="0.3">
      <c r="B76" s="2">
        <f>IF(C_Ope_006[[#This Row],[TIPO DE R.]]="R",COUNTIFS($D$4:$D75,"R")+1,"")</f>
        <v>72</v>
      </c>
      <c r="C76" s="19" t="str">
        <f t="shared" si="14"/>
        <v>C_Ope_006</v>
      </c>
      <c r="D76" s="3" t="s">
        <v>1074</v>
      </c>
      <c r="E76" s="14">
        <v>45755</v>
      </c>
      <c r="F76" s="5"/>
      <c r="G76" s="5" t="s">
        <v>1087</v>
      </c>
      <c r="H76" s="6"/>
      <c r="I76" s="6"/>
      <c r="J76" s="6"/>
      <c r="K76" s="6"/>
      <c r="L76" s="7" t="s">
        <v>7113</v>
      </c>
      <c r="M76" s="8">
        <v>23768</v>
      </c>
      <c r="N76" s="8" t="str">
        <f t="shared" si="15"/>
        <v>PEN</v>
      </c>
      <c r="O76" s="13"/>
      <c r="P76" s="13">
        <v>20</v>
      </c>
      <c r="Q76" s="3">
        <f t="shared" si="11"/>
        <v>20</v>
      </c>
      <c r="R76" s="3">
        <f t="shared" si="12"/>
        <v>0</v>
      </c>
      <c r="S76" s="3">
        <f t="shared" si="13"/>
        <v>199.19999999999982</v>
      </c>
      <c r="T76" s="24"/>
      <c r="U76" s="24"/>
      <c r="V76" s="3"/>
      <c r="W76" s="25"/>
      <c r="X76" s="25"/>
      <c r="Y76" s="25" t="str">
        <f>IFERROR(VLOOKUP(C_Ope_006[[#This Row],[NOTA 2]],Clientes_Proveedores[[Ruc / Dni]:[Razon Social]],2,0),"")</f>
        <v/>
      </c>
      <c r="Z76" s="25"/>
      <c r="AA76" s="15"/>
      <c r="AB76" s="3" t="str">
        <f>IF(C_Ope_006[[#This Row],[FECHA]]&gt;0,TEXT(C_Ope_006[[#This Row],[FECHA]],"mmmm"),0)</f>
        <v>Abril</v>
      </c>
    </row>
    <row r="77" spans="2:28" ht="24" x14ac:dyDescent="0.3">
      <c r="B77" s="2">
        <f>IF(C_Ope_006[[#This Row],[TIPO DE R.]]="R",COUNTIFS($D$4:$D76,"R")+1,"")</f>
        <v>73</v>
      </c>
      <c r="C77" s="19" t="str">
        <f t="shared" si="14"/>
        <v>C_Ope_006</v>
      </c>
      <c r="D77" s="3" t="s">
        <v>1074</v>
      </c>
      <c r="E77" s="14">
        <v>45755</v>
      </c>
      <c r="F77" s="5" t="s">
        <v>7372</v>
      </c>
      <c r="G77" s="5" t="s">
        <v>1079</v>
      </c>
      <c r="H77" s="6"/>
      <c r="I77" s="6" t="s">
        <v>14</v>
      </c>
      <c r="J77" s="6" t="s">
        <v>5244</v>
      </c>
      <c r="K77" s="6">
        <v>1700247</v>
      </c>
      <c r="L77" s="7" t="s">
        <v>7410</v>
      </c>
      <c r="M77" s="8">
        <v>23770</v>
      </c>
      <c r="N77" s="8" t="str">
        <f t="shared" si="15"/>
        <v>PEN</v>
      </c>
      <c r="O77" s="13"/>
      <c r="P77" s="13">
        <v>12</v>
      </c>
      <c r="Q77" s="3">
        <f t="shared" si="11"/>
        <v>0</v>
      </c>
      <c r="R77" s="3">
        <f t="shared" si="12"/>
        <v>12</v>
      </c>
      <c r="S77" s="3">
        <f t="shared" si="13"/>
        <v>187.19999999999982</v>
      </c>
      <c r="T77" s="24"/>
      <c r="U77" s="24"/>
      <c r="V77" s="3"/>
      <c r="W77" s="25" t="s">
        <v>6747</v>
      </c>
      <c r="X77" s="25"/>
      <c r="Y77" s="25" t="str">
        <f>IFERROR(VLOOKUP(C_Ope_006[[#This Row],[NOTA 2]],Clientes_Proveedores[[Ruc / Dni]:[Razon Social]],2,0),"")</f>
        <v/>
      </c>
      <c r="Z77" s="25"/>
      <c r="AA77" s="15"/>
      <c r="AB77" s="3" t="str">
        <f>IF(C_Ope_006[[#This Row],[FECHA]]&gt;0,TEXT(C_Ope_006[[#This Row],[FECHA]],"mmmm"),0)</f>
        <v>Abril</v>
      </c>
    </row>
    <row r="78" spans="2:28" ht="24" x14ac:dyDescent="0.3">
      <c r="B78" s="2">
        <f>IF(C_Ope_006[[#This Row],[TIPO DE R.]]="R",COUNTIFS($D$4:$D77,"R")+1,"")</f>
        <v>74</v>
      </c>
      <c r="C78" s="19" t="str">
        <f t="shared" si="14"/>
        <v>C_Ope_006</v>
      </c>
      <c r="D78" s="3" t="s">
        <v>1074</v>
      </c>
      <c r="E78" s="14">
        <v>45755</v>
      </c>
      <c r="F78" s="5" t="s">
        <v>7372</v>
      </c>
      <c r="G78" s="5" t="s">
        <v>1079</v>
      </c>
      <c r="H78" s="6"/>
      <c r="I78" s="6" t="s">
        <v>14</v>
      </c>
      <c r="J78" s="6" t="s">
        <v>5245</v>
      </c>
      <c r="K78" s="6">
        <v>1719895</v>
      </c>
      <c r="L78" s="7" t="s">
        <v>7410</v>
      </c>
      <c r="M78" s="8">
        <v>23771</v>
      </c>
      <c r="N78" s="8" t="str">
        <f t="shared" si="15"/>
        <v>PEN</v>
      </c>
      <c r="O78" s="13"/>
      <c r="P78" s="13">
        <v>12</v>
      </c>
      <c r="Q78" s="3">
        <f t="shared" si="11"/>
        <v>0</v>
      </c>
      <c r="R78" s="3">
        <f t="shared" si="12"/>
        <v>12</v>
      </c>
      <c r="S78" s="3">
        <f t="shared" si="13"/>
        <v>175.19999999999982</v>
      </c>
      <c r="T78" s="24"/>
      <c r="U78" s="24"/>
      <c r="V78" s="3"/>
      <c r="W78" s="25" t="s">
        <v>6747</v>
      </c>
      <c r="X78" s="25"/>
      <c r="Y78" s="25" t="str">
        <f>IFERROR(VLOOKUP(C_Ope_006[[#This Row],[NOTA 2]],Clientes_Proveedores[[Ruc / Dni]:[Razon Social]],2,0),"")</f>
        <v/>
      </c>
      <c r="Z78" s="25"/>
      <c r="AA78" s="15"/>
      <c r="AB78" s="3" t="str">
        <f>IF(C_Ope_006[[#This Row],[FECHA]]&gt;0,TEXT(C_Ope_006[[#This Row],[FECHA]],"mmmm"),0)</f>
        <v>Abril</v>
      </c>
    </row>
    <row r="79" spans="2:28" ht="24" x14ac:dyDescent="0.3">
      <c r="B79" s="2">
        <f>IF(C_Ope_006[[#This Row],[TIPO DE R.]]="R",COUNTIFS($D$4:$D78,"R")+1,"")</f>
        <v>75</v>
      </c>
      <c r="C79" s="19" t="str">
        <f t="shared" si="14"/>
        <v>C_Ope_006</v>
      </c>
      <c r="D79" s="3" t="s">
        <v>1074</v>
      </c>
      <c r="E79" s="14">
        <v>45756</v>
      </c>
      <c r="F79" s="5" t="s">
        <v>7372</v>
      </c>
      <c r="G79" s="5" t="s">
        <v>1079</v>
      </c>
      <c r="H79" s="6"/>
      <c r="I79" s="6" t="s">
        <v>14</v>
      </c>
      <c r="J79" s="6" t="s">
        <v>5243</v>
      </c>
      <c r="K79" s="6">
        <v>2293250</v>
      </c>
      <c r="L79" s="7" t="s">
        <v>6607</v>
      </c>
      <c r="M79" s="8">
        <v>23792</v>
      </c>
      <c r="N79" s="8" t="str">
        <f t="shared" si="15"/>
        <v>PEN</v>
      </c>
      <c r="O79" s="13"/>
      <c r="P79" s="13">
        <v>12</v>
      </c>
      <c r="Q79" s="3">
        <f t="shared" si="11"/>
        <v>0</v>
      </c>
      <c r="R79" s="3">
        <f t="shared" si="12"/>
        <v>12</v>
      </c>
      <c r="S79" s="3">
        <f t="shared" si="13"/>
        <v>163.19999999999982</v>
      </c>
      <c r="T79" s="24"/>
      <c r="U79" s="24"/>
      <c r="V79" s="3"/>
      <c r="W79" s="25" t="s">
        <v>6747</v>
      </c>
      <c r="X79" s="25"/>
      <c r="Y79" s="25" t="str">
        <f>IFERROR(VLOOKUP(C_Ope_006[[#This Row],[NOTA 2]],Clientes_Proveedores[[Ruc / Dni]:[Razon Social]],2,0),"")</f>
        <v/>
      </c>
      <c r="Z79" s="25"/>
      <c r="AA79" s="15"/>
      <c r="AB79" s="3" t="str">
        <f>IF(C_Ope_006[[#This Row],[FECHA]]&gt;0,TEXT(C_Ope_006[[#This Row],[FECHA]],"mmmm"),0)</f>
        <v>Abril</v>
      </c>
    </row>
    <row r="80" spans="2:28" ht="24" x14ac:dyDescent="0.3">
      <c r="B80" s="2">
        <f>IF(C_Ope_006[[#This Row],[TIPO DE R.]]="R",COUNTIFS($D$4:$D79,"R")+1,"")</f>
        <v>76</v>
      </c>
      <c r="C80" s="19" t="str">
        <f t="shared" si="14"/>
        <v>C_Ope_006</v>
      </c>
      <c r="D80" s="3" t="s">
        <v>1074</v>
      </c>
      <c r="E80" s="14">
        <v>45756</v>
      </c>
      <c r="F80" s="5" t="s">
        <v>7372</v>
      </c>
      <c r="G80" s="5" t="s">
        <v>1079</v>
      </c>
      <c r="H80" s="6"/>
      <c r="I80" s="6" t="s">
        <v>14</v>
      </c>
      <c r="J80" s="6" t="s">
        <v>5245</v>
      </c>
      <c r="K80" s="6">
        <v>1721163</v>
      </c>
      <c r="L80" s="7" t="s">
        <v>7411</v>
      </c>
      <c r="M80" s="8">
        <v>23793</v>
      </c>
      <c r="N80" s="8" t="str">
        <f t="shared" si="15"/>
        <v>PEN</v>
      </c>
      <c r="O80" s="13"/>
      <c r="P80" s="13">
        <v>8</v>
      </c>
      <c r="Q80" s="3">
        <f t="shared" si="11"/>
        <v>0</v>
      </c>
      <c r="R80" s="3">
        <f t="shared" si="12"/>
        <v>8</v>
      </c>
      <c r="S80" s="3">
        <f t="shared" si="13"/>
        <v>155.19999999999982</v>
      </c>
      <c r="T80" s="24"/>
      <c r="U80" s="24"/>
      <c r="V80" s="3"/>
      <c r="W80" s="25" t="s">
        <v>6630</v>
      </c>
      <c r="X80" s="25"/>
      <c r="Y80" s="25" t="str">
        <f>IFERROR(VLOOKUP(C_Ope_006[[#This Row],[NOTA 2]],Clientes_Proveedores[[Ruc / Dni]:[Razon Social]],2,0),"")</f>
        <v/>
      </c>
      <c r="Z80" s="25"/>
      <c r="AA80" s="15"/>
      <c r="AB80" s="3" t="str">
        <f>IF(C_Ope_006[[#This Row],[FECHA]]&gt;0,TEXT(C_Ope_006[[#This Row],[FECHA]],"mmmm"),0)</f>
        <v>Abril</v>
      </c>
    </row>
    <row r="81" spans="2:28" ht="24" x14ac:dyDescent="0.3">
      <c r="B81" s="2">
        <f>IF(C_Ope_006[[#This Row],[TIPO DE R.]]="R",COUNTIFS($D$4:$D80,"R")+1,"")</f>
        <v>77</v>
      </c>
      <c r="C81" s="19" t="str">
        <f t="shared" si="14"/>
        <v>C_Ope_006</v>
      </c>
      <c r="D81" s="3" t="s">
        <v>1074</v>
      </c>
      <c r="E81" s="14">
        <v>45756</v>
      </c>
      <c r="F81" s="5" t="s">
        <v>7372</v>
      </c>
      <c r="G81" s="5" t="s">
        <v>1079</v>
      </c>
      <c r="H81" s="6"/>
      <c r="I81" s="6" t="s">
        <v>14</v>
      </c>
      <c r="J81" s="6" t="s">
        <v>1097</v>
      </c>
      <c r="K81" s="6">
        <v>16079</v>
      </c>
      <c r="L81" s="7" t="s">
        <v>7412</v>
      </c>
      <c r="M81" s="8">
        <v>23794</v>
      </c>
      <c r="N81" s="8" t="str">
        <f t="shared" si="15"/>
        <v>PEN</v>
      </c>
      <c r="O81" s="13"/>
      <c r="P81" s="13">
        <v>20</v>
      </c>
      <c r="Q81" s="3">
        <f t="shared" si="11"/>
        <v>0</v>
      </c>
      <c r="R81" s="3">
        <f t="shared" si="12"/>
        <v>20</v>
      </c>
      <c r="S81" s="3">
        <f t="shared" si="13"/>
        <v>135.19999999999982</v>
      </c>
      <c r="T81" s="24"/>
      <c r="U81" s="24"/>
      <c r="V81" s="3"/>
      <c r="W81" s="25" t="s">
        <v>6747</v>
      </c>
      <c r="X81" s="25"/>
      <c r="Y81" s="25" t="str">
        <f>IFERROR(VLOOKUP(C_Ope_006[[#This Row],[NOTA 2]],Clientes_Proveedores[[Ruc / Dni]:[Razon Social]],2,0),"")</f>
        <v/>
      </c>
      <c r="Z81" s="25"/>
      <c r="AA81" s="15"/>
      <c r="AB81" s="3" t="str">
        <f>IF(C_Ope_006[[#This Row],[FECHA]]&gt;0,TEXT(C_Ope_006[[#This Row],[FECHA]],"mmmm"),0)</f>
        <v>Abril</v>
      </c>
    </row>
    <row r="82" spans="2:28" ht="24" x14ac:dyDescent="0.3">
      <c r="B82" s="2">
        <f>IF(C_Ope_006[[#This Row],[TIPO DE R.]]="R",COUNTIFS($D$4:$D81,"R")+1,"")</f>
        <v>78</v>
      </c>
      <c r="C82" s="19" t="str">
        <f t="shared" si="14"/>
        <v>C_Ope_006</v>
      </c>
      <c r="D82" s="3" t="s">
        <v>1074</v>
      </c>
      <c r="E82" s="14">
        <v>45758</v>
      </c>
      <c r="F82" s="5" t="s">
        <v>7372</v>
      </c>
      <c r="G82" s="5" t="s">
        <v>1079</v>
      </c>
      <c r="H82" s="6"/>
      <c r="I82" s="6" t="s">
        <v>14</v>
      </c>
      <c r="J82" s="6" t="s">
        <v>1148</v>
      </c>
      <c r="K82" s="6">
        <v>130524</v>
      </c>
      <c r="L82" s="7" t="s">
        <v>7413</v>
      </c>
      <c r="M82" s="8">
        <v>23823</v>
      </c>
      <c r="N82" s="8" t="str">
        <f t="shared" si="15"/>
        <v>PEN</v>
      </c>
      <c r="O82" s="13"/>
      <c r="P82" s="13">
        <v>10</v>
      </c>
      <c r="Q82" s="3">
        <f t="shared" si="11"/>
        <v>0</v>
      </c>
      <c r="R82" s="3">
        <f t="shared" si="12"/>
        <v>10</v>
      </c>
      <c r="S82" s="3">
        <f t="shared" si="13"/>
        <v>125.19999999999982</v>
      </c>
      <c r="T82" s="24"/>
      <c r="U82" s="24"/>
      <c r="V82" s="3"/>
      <c r="W82" s="25" t="s">
        <v>6813</v>
      </c>
      <c r="X82" s="25"/>
      <c r="Y82" s="25" t="str">
        <f>IFERROR(VLOOKUP(C_Ope_006[[#This Row],[NOTA 2]],Clientes_Proveedores[[Ruc / Dni]:[Razon Social]],2,0),"")</f>
        <v/>
      </c>
      <c r="Z82" s="25"/>
      <c r="AA82" s="15"/>
      <c r="AB82" s="3" t="str">
        <f>IF(C_Ope_006[[#This Row],[FECHA]]&gt;0,TEXT(C_Ope_006[[#This Row],[FECHA]],"mmmm"),0)</f>
        <v>Abril</v>
      </c>
    </row>
    <row r="83" spans="2:28" x14ac:dyDescent="0.3">
      <c r="B83" s="2">
        <f>IF(C_Ope_006[[#This Row],[TIPO DE R.]]="R",COUNTIFS($D$4:$D82,"R")+1,"")</f>
        <v>79</v>
      </c>
      <c r="C83" s="19" t="str">
        <f t="shared" si="14"/>
        <v>C_Ope_006</v>
      </c>
      <c r="D83" s="3" t="s">
        <v>1074</v>
      </c>
      <c r="E83" s="14">
        <v>45758</v>
      </c>
      <c r="F83" s="5" t="s">
        <v>7372</v>
      </c>
      <c r="G83" s="5" t="s">
        <v>1079</v>
      </c>
      <c r="H83" s="6"/>
      <c r="I83" s="6" t="s">
        <v>14</v>
      </c>
      <c r="J83" s="6" t="s">
        <v>1119</v>
      </c>
      <c r="K83" s="6">
        <v>17251</v>
      </c>
      <c r="L83" s="7" t="s">
        <v>6565</v>
      </c>
      <c r="M83" s="8">
        <v>23827</v>
      </c>
      <c r="N83" s="8" t="str">
        <f t="shared" si="15"/>
        <v>PEN</v>
      </c>
      <c r="O83" s="13"/>
      <c r="P83" s="13">
        <v>25</v>
      </c>
      <c r="Q83" s="3">
        <f t="shared" si="11"/>
        <v>0</v>
      </c>
      <c r="R83" s="3">
        <f t="shared" si="12"/>
        <v>25</v>
      </c>
      <c r="S83" s="3">
        <f t="shared" si="13"/>
        <v>100.19999999999982</v>
      </c>
      <c r="T83" s="24"/>
      <c r="U83" s="24"/>
      <c r="V83" s="3"/>
      <c r="W83" s="25" t="s">
        <v>6541</v>
      </c>
      <c r="X83" s="25"/>
      <c r="Y83" s="25" t="str">
        <f>IFERROR(VLOOKUP(C_Ope_006[[#This Row],[NOTA 2]],Clientes_Proveedores[[Ruc / Dni]:[Razon Social]],2,0),"")</f>
        <v/>
      </c>
      <c r="Z83" s="25"/>
      <c r="AA83" s="15"/>
      <c r="AB83" s="3" t="str">
        <f>IF(C_Ope_006[[#This Row],[FECHA]]&gt;0,TEXT(C_Ope_006[[#This Row],[FECHA]],"mmmm"),0)</f>
        <v>Abril</v>
      </c>
    </row>
    <row r="84" spans="2:28" x14ac:dyDescent="0.3">
      <c r="B84" s="2">
        <f>IF(C_Ope_006[[#This Row],[TIPO DE R.]]="R",COUNTIFS($D$4:$D83,"R")+1,"")</f>
        <v>80</v>
      </c>
      <c r="C84" s="19" t="str">
        <f t="shared" si="14"/>
        <v>C_Ope_006</v>
      </c>
      <c r="D84" s="3" t="s">
        <v>1074</v>
      </c>
      <c r="E84" s="14">
        <v>45761</v>
      </c>
      <c r="F84" s="5"/>
      <c r="G84" s="5" t="s">
        <v>1087</v>
      </c>
      <c r="H84" s="6"/>
      <c r="I84" s="6"/>
      <c r="J84" s="6"/>
      <c r="K84" s="6"/>
      <c r="L84" s="7" t="s">
        <v>7113</v>
      </c>
      <c r="M84" s="8">
        <v>23851</v>
      </c>
      <c r="N84" s="8" t="str">
        <f t="shared" si="15"/>
        <v>PEN</v>
      </c>
      <c r="O84" s="13"/>
      <c r="P84" s="13">
        <v>100</v>
      </c>
      <c r="Q84" s="3">
        <f t="shared" si="11"/>
        <v>100</v>
      </c>
      <c r="R84" s="3">
        <f t="shared" si="12"/>
        <v>0</v>
      </c>
      <c r="S84" s="3">
        <f t="shared" si="13"/>
        <v>200.19999999999982</v>
      </c>
      <c r="T84" s="24"/>
      <c r="U84" s="24"/>
      <c r="V84" s="3"/>
      <c r="W84" s="25"/>
      <c r="X84" s="25"/>
      <c r="Y84" s="25" t="str">
        <f>IFERROR(VLOOKUP(C_Ope_006[[#This Row],[NOTA 2]],Clientes_Proveedores[[Ruc / Dni]:[Razon Social]],2,0),"")</f>
        <v/>
      </c>
      <c r="Z84" s="25"/>
      <c r="AA84" s="15"/>
      <c r="AB84" s="3" t="str">
        <f>IF(C_Ope_006[[#This Row],[FECHA]]&gt;0,TEXT(C_Ope_006[[#This Row],[FECHA]],"mmmm"),0)</f>
        <v>Abril</v>
      </c>
    </row>
    <row r="85" spans="2:28" ht="24" x14ac:dyDescent="0.3">
      <c r="B85" s="2">
        <f>IF(C_Ope_006[[#This Row],[TIPO DE R.]]="R",COUNTIFS($D$4:$D84,"R")+1,"")</f>
        <v>81</v>
      </c>
      <c r="C85" s="19" t="str">
        <f t="shared" si="14"/>
        <v>C_Ope_006</v>
      </c>
      <c r="D85" s="3" t="s">
        <v>1074</v>
      </c>
      <c r="E85" s="14">
        <v>45761</v>
      </c>
      <c r="F85" s="5" t="s">
        <v>7372</v>
      </c>
      <c r="G85" s="5" t="s">
        <v>1079</v>
      </c>
      <c r="H85" s="6"/>
      <c r="I85" s="6" t="s">
        <v>14</v>
      </c>
      <c r="J85" s="6" t="s">
        <v>5244</v>
      </c>
      <c r="K85" s="6">
        <v>1705477</v>
      </c>
      <c r="L85" s="7" t="s">
        <v>7414</v>
      </c>
      <c r="M85" s="8">
        <v>23850</v>
      </c>
      <c r="N85" s="8" t="str">
        <f t="shared" si="15"/>
        <v>PEN</v>
      </c>
      <c r="O85" s="13"/>
      <c r="P85" s="13">
        <v>8</v>
      </c>
      <c r="Q85" s="3">
        <f t="shared" si="11"/>
        <v>0</v>
      </c>
      <c r="R85" s="3">
        <f t="shared" si="12"/>
        <v>8</v>
      </c>
      <c r="S85" s="3">
        <f t="shared" si="13"/>
        <v>192.19999999999982</v>
      </c>
      <c r="T85" s="24"/>
      <c r="U85" s="24"/>
      <c r="V85" s="3"/>
      <c r="W85" s="25" t="s">
        <v>6630</v>
      </c>
      <c r="X85" s="25"/>
      <c r="Y85" s="25" t="str">
        <f>IFERROR(VLOOKUP(C_Ope_006[[#This Row],[NOTA 2]],Clientes_Proveedores[[Ruc / Dni]:[Razon Social]],2,0),"")</f>
        <v/>
      </c>
      <c r="Z85" s="25"/>
      <c r="AA85" s="15"/>
      <c r="AB85" s="3" t="str">
        <f>IF(C_Ope_006[[#This Row],[FECHA]]&gt;0,TEXT(C_Ope_006[[#This Row],[FECHA]],"mmmm"),0)</f>
        <v>Abril</v>
      </c>
    </row>
    <row r="86" spans="2:28" ht="48" x14ac:dyDescent="0.3">
      <c r="B86" s="2">
        <f>IF(C_Ope_006[[#This Row],[TIPO DE R.]]="R",COUNTIFS($D$4:$D85,"R")+1,"")</f>
        <v>82</v>
      </c>
      <c r="C86" s="19" t="str">
        <f t="shared" si="14"/>
        <v>C_Ope_006</v>
      </c>
      <c r="D86" s="3" t="s">
        <v>1074</v>
      </c>
      <c r="E86" s="14">
        <v>45763</v>
      </c>
      <c r="F86" s="5" t="s">
        <v>7372</v>
      </c>
      <c r="G86" s="5" t="s">
        <v>1079</v>
      </c>
      <c r="H86" s="6"/>
      <c r="I86" s="6" t="s">
        <v>14</v>
      </c>
      <c r="J86" s="6" t="s">
        <v>5243</v>
      </c>
      <c r="K86" s="6">
        <v>2301084</v>
      </c>
      <c r="L86" s="7" t="s">
        <v>7415</v>
      </c>
      <c r="M86" s="8">
        <v>23892</v>
      </c>
      <c r="N86" s="8" t="str">
        <f t="shared" si="15"/>
        <v>PEN</v>
      </c>
      <c r="O86" s="13"/>
      <c r="P86" s="13">
        <v>8</v>
      </c>
      <c r="Q86" s="3">
        <f t="shared" si="11"/>
        <v>0</v>
      </c>
      <c r="R86" s="3">
        <f t="shared" si="12"/>
        <v>8</v>
      </c>
      <c r="S86" s="3">
        <f t="shared" si="13"/>
        <v>184.19999999999982</v>
      </c>
      <c r="T86" s="24"/>
      <c r="U86" s="24"/>
      <c r="V86" s="3"/>
      <c r="W86" s="25" t="s">
        <v>6630</v>
      </c>
      <c r="X86" s="25"/>
      <c r="Y86" s="25" t="str">
        <f>IFERROR(VLOOKUP(C_Ope_006[[#This Row],[NOTA 2]],Clientes_Proveedores[[Ruc / Dni]:[Razon Social]],2,0),"")</f>
        <v/>
      </c>
      <c r="Z86" s="25"/>
      <c r="AA86" s="15"/>
      <c r="AB86" s="3" t="str">
        <f>IF(C_Ope_006[[#This Row],[FECHA]]&gt;0,TEXT(C_Ope_006[[#This Row],[FECHA]],"mmmm"),0)</f>
        <v>Abril</v>
      </c>
    </row>
    <row r="87" spans="2:28" ht="48" x14ac:dyDescent="0.3">
      <c r="B87" s="2">
        <f>IF(C_Ope_006[[#This Row],[TIPO DE R.]]="R",COUNTIFS($D$4:$D86,"R")+1,"")</f>
        <v>83</v>
      </c>
      <c r="C87" s="19" t="str">
        <f t="shared" si="14"/>
        <v>C_Ope_006</v>
      </c>
      <c r="D87" s="3" t="s">
        <v>1074</v>
      </c>
      <c r="E87" s="14">
        <v>45763</v>
      </c>
      <c r="F87" s="5" t="s">
        <v>7372</v>
      </c>
      <c r="G87" s="5" t="s">
        <v>1079</v>
      </c>
      <c r="H87" s="6"/>
      <c r="I87" s="6" t="s">
        <v>14</v>
      </c>
      <c r="J87" s="6" t="s">
        <v>5242</v>
      </c>
      <c r="K87" s="6">
        <v>2023404</v>
      </c>
      <c r="L87" s="7" t="s">
        <v>7415</v>
      </c>
      <c r="M87" s="8">
        <v>23910</v>
      </c>
      <c r="N87" s="8" t="str">
        <f t="shared" si="15"/>
        <v>PEN</v>
      </c>
      <c r="O87" s="13"/>
      <c r="P87" s="13">
        <v>8</v>
      </c>
      <c r="Q87" s="3">
        <f t="shared" si="11"/>
        <v>0</v>
      </c>
      <c r="R87" s="3">
        <f t="shared" si="12"/>
        <v>8</v>
      </c>
      <c r="S87" s="3">
        <f t="shared" si="13"/>
        <v>176.19999999999982</v>
      </c>
      <c r="T87" s="24"/>
      <c r="U87" s="24"/>
      <c r="V87" s="3"/>
      <c r="W87" s="25" t="s">
        <v>6630</v>
      </c>
      <c r="X87" s="25"/>
      <c r="Y87" s="25" t="str">
        <f>IFERROR(VLOOKUP(C_Ope_006[[#This Row],[NOTA 2]],Clientes_Proveedores[[Ruc / Dni]:[Razon Social]],2,0),"")</f>
        <v/>
      </c>
      <c r="Z87" s="25"/>
      <c r="AA87" s="15"/>
      <c r="AB87" s="3" t="str">
        <f>IF(C_Ope_006[[#This Row],[FECHA]]&gt;0,TEXT(C_Ope_006[[#This Row],[FECHA]],"mmmm"),0)</f>
        <v>Abril</v>
      </c>
    </row>
    <row r="88" spans="2:28" x14ac:dyDescent="0.3">
      <c r="B88" s="2">
        <f>IF(C_Ope_006[[#This Row],[TIPO DE R.]]="R",COUNTIFS($D$4:$D87,"R")+1,"")</f>
        <v>84</v>
      </c>
      <c r="C88" s="19" t="str">
        <f t="shared" si="14"/>
        <v>C_Ope_006</v>
      </c>
      <c r="D88" s="3" t="s">
        <v>1074</v>
      </c>
      <c r="E88" s="14">
        <v>45769</v>
      </c>
      <c r="F88" s="5"/>
      <c r="G88" s="5" t="s">
        <v>1087</v>
      </c>
      <c r="H88" s="6"/>
      <c r="I88" s="6"/>
      <c r="J88" s="6"/>
      <c r="K88" s="6"/>
      <c r="L88" s="7" t="s">
        <v>7113</v>
      </c>
      <c r="M88" s="8">
        <v>23949</v>
      </c>
      <c r="N88" s="8" t="str">
        <f t="shared" si="15"/>
        <v>PEN</v>
      </c>
      <c r="O88" s="13"/>
      <c r="P88" s="13">
        <v>25</v>
      </c>
      <c r="Q88" s="3">
        <f t="shared" si="11"/>
        <v>25</v>
      </c>
      <c r="R88" s="3">
        <f t="shared" si="12"/>
        <v>0</v>
      </c>
      <c r="S88" s="3">
        <f t="shared" si="13"/>
        <v>201.19999999999982</v>
      </c>
      <c r="T88" s="24"/>
      <c r="U88" s="24"/>
      <c r="V88" s="3"/>
      <c r="W88" s="25"/>
      <c r="X88" s="25"/>
      <c r="Y88" s="25" t="str">
        <f>IFERROR(VLOOKUP(C_Ope_006[[#This Row],[NOTA 2]],Clientes_Proveedores[[Ruc / Dni]:[Razon Social]],2,0),"")</f>
        <v/>
      </c>
      <c r="Z88" s="25"/>
      <c r="AA88" s="15"/>
      <c r="AB88" s="3" t="str">
        <f>IF(C_Ope_006[[#This Row],[FECHA]]&gt;0,TEXT(C_Ope_006[[#This Row],[FECHA]],"mmmm"),0)</f>
        <v>Abril</v>
      </c>
    </row>
    <row r="89" spans="2:28" x14ac:dyDescent="0.3">
      <c r="B89" s="2">
        <f>IF(C_Ope_006[[#This Row],[TIPO DE R.]]="R",COUNTIFS($D$4:$D88,"R")+1,"")</f>
        <v>85</v>
      </c>
      <c r="C89" s="19" t="str">
        <f t="shared" si="14"/>
        <v>C_Ope_006</v>
      </c>
      <c r="D89" s="3" t="s">
        <v>1074</v>
      </c>
      <c r="E89" s="14">
        <v>45769</v>
      </c>
      <c r="F89" s="5" t="s">
        <v>7372</v>
      </c>
      <c r="G89" s="5" t="s">
        <v>1079</v>
      </c>
      <c r="H89" s="6"/>
      <c r="I89" s="6" t="s">
        <v>14</v>
      </c>
      <c r="J89" s="6" t="s">
        <v>5242</v>
      </c>
      <c r="K89" s="6">
        <v>2028468</v>
      </c>
      <c r="L89" s="7" t="s">
        <v>7416</v>
      </c>
      <c r="M89" s="8">
        <v>23951</v>
      </c>
      <c r="N89" s="8" t="str">
        <f t="shared" si="15"/>
        <v>PEN</v>
      </c>
      <c r="O89" s="13"/>
      <c r="P89" s="13">
        <v>12</v>
      </c>
      <c r="Q89" s="3">
        <f t="shared" si="11"/>
        <v>0</v>
      </c>
      <c r="R89" s="3">
        <f t="shared" si="12"/>
        <v>12</v>
      </c>
      <c r="S89" s="3">
        <f t="shared" si="13"/>
        <v>189.19999999999982</v>
      </c>
      <c r="T89" s="24"/>
      <c r="U89" s="24"/>
      <c r="V89" s="3"/>
      <c r="W89" s="25" t="s">
        <v>6747</v>
      </c>
      <c r="X89" s="25"/>
      <c r="Y89" s="25" t="str">
        <f>IFERROR(VLOOKUP(C_Ope_006[[#This Row],[NOTA 2]],Clientes_Proveedores[[Ruc / Dni]:[Razon Social]],2,0),"")</f>
        <v/>
      </c>
      <c r="Z89" s="25"/>
      <c r="AA89" s="15"/>
      <c r="AB89" s="3" t="str">
        <f>IF(C_Ope_006[[#This Row],[FECHA]]&gt;0,TEXT(C_Ope_006[[#This Row],[FECHA]],"mmmm"),0)</f>
        <v>Abril</v>
      </c>
    </row>
    <row r="90" spans="2:28" ht="24" x14ac:dyDescent="0.3">
      <c r="B90" s="2">
        <f>IF(C_Ope_006[[#This Row],[TIPO DE R.]]="R",COUNTIFS($D$4:$D89,"R")+1,"")</f>
        <v>86</v>
      </c>
      <c r="C90" s="19" t="str">
        <f t="shared" si="14"/>
        <v>C_Ope_006</v>
      </c>
      <c r="D90" s="3" t="s">
        <v>1074</v>
      </c>
      <c r="E90" s="14">
        <v>45771</v>
      </c>
      <c r="F90" s="5" t="s">
        <v>7372</v>
      </c>
      <c r="G90" s="5" t="s">
        <v>1079</v>
      </c>
      <c r="H90" s="6"/>
      <c r="I90" s="6" t="s">
        <v>14</v>
      </c>
      <c r="J90" s="6" t="s">
        <v>5244</v>
      </c>
      <c r="K90" s="6">
        <v>1713461</v>
      </c>
      <c r="L90" s="7" t="s">
        <v>7417</v>
      </c>
      <c r="M90" s="8">
        <v>23997</v>
      </c>
      <c r="N90" s="8" t="str">
        <f t="shared" si="15"/>
        <v>PEN</v>
      </c>
      <c r="O90" s="13"/>
      <c r="P90" s="13">
        <v>12</v>
      </c>
      <c r="Q90" s="3">
        <f t="shared" si="11"/>
        <v>0</v>
      </c>
      <c r="R90" s="3">
        <f t="shared" si="12"/>
        <v>12</v>
      </c>
      <c r="S90" s="3">
        <f t="shared" si="13"/>
        <v>177.19999999999982</v>
      </c>
      <c r="T90" s="24"/>
      <c r="U90" s="24"/>
      <c r="V90" s="3"/>
      <c r="W90" s="25" t="s">
        <v>6747</v>
      </c>
      <c r="X90" s="25"/>
      <c r="Y90" s="25" t="str">
        <f>IFERROR(VLOOKUP(C_Ope_006[[#This Row],[NOTA 2]],Clientes_Proveedores[[Ruc / Dni]:[Razon Social]],2,0),"")</f>
        <v/>
      </c>
      <c r="Z90" s="25"/>
      <c r="AA90" s="15"/>
      <c r="AB90" s="3" t="str">
        <f>IF(C_Ope_006[[#This Row],[FECHA]]&gt;0,TEXT(C_Ope_006[[#This Row],[FECHA]],"mmmm"),0)</f>
        <v>Abril</v>
      </c>
    </row>
    <row r="91" spans="2:28" ht="24" x14ac:dyDescent="0.3">
      <c r="B91" s="2">
        <f>IF(C_Ope_006[[#This Row],[TIPO DE R.]]="R",COUNTIFS($D$4:$D90,"R")+1,"")</f>
        <v>87</v>
      </c>
      <c r="C91" s="19" t="str">
        <f t="shared" si="14"/>
        <v>C_Ope_006</v>
      </c>
      <c r="D91" s="3" t="s">
        <v>1074</v>
      </c>
      <c r="E91" s="14">
        <v>45771</v>
      </c>
      <c r="F91" s="5" t="s">
        <v>7372</v>
      </c>
      <c r="G91" s="5" t="s">
        <v>1079</v>
      </c>
      <c r="H91" s="6"/>
      <c r="I91" s="6" t="s">
        <v>14</v>
      </c>
      <c r="J91" s="6" t="s">
        <v>5242</v>
      </c>
      <c r="K91" s="6">
        <v>2030785</v>
      </c>
      <c r="L91" s="7" t="s">
        <v>7417</v>
      </c>
      <c r="M91" s="8">
        <v>23998</v>
      </c>
      <c r="N91" s="8" t="str">
        <f t="shared" si="15"/>
        <v>PEN</v>
      </c>
      <c r="O91" s="13"/>
      <c r="P91" s="13">
        <v>12</v>
      </c>
      <c r="Q91" s="3">
        <f t="shared" si="11"/>
        <v>0</v>
      </c>
      <c r="R91" s="3">
        <f t="shared" si="12"/>
        <v>12</v>
      </c>
      <c r="S91" s="3">
        <f t="shared" si="13"/>
        <v>165.19999999999982</v>
      </c>
      <c r="T91" s="24"/>
      <c r="U91" s="24"/>
      <c r="V91" s="3"/>
      <c r="W91" s="25" t="s">
        <v>6747</v>
      </c>
      <c r="X91" s="25"/>
      <c r="Y91" s="25" t="str">
        <f>IFERROR(VLOOKUP(C_Ope_006[[#This Row],[NOTA 2]],Clientes_Proveedores[[Ruc / Dni]:[Razon Social]],2,0),"")</f>
        <v/>
      </c>
      <c r="Z91" s="25"/>
      <c r="AA91" s="15"/>
      <c r="AB91" s="3" t="str">
        <f>IF(C_Ope_006[[#This Row],[FECHA]]&gt;0,TEXT(C_Ope_006[[#This Row],[FECHA]],"mmmm"),0)</f>
        <v>Abril</v>
      </c>
    </row>
    <row r="92" spans="2:28" x14ac:dyDescent="0.3">
      <c r="B92" s="2">
        <f>IF(C_Ope_006[[#This Row],[TIPO DE R.]]="R",COUNTIFS($D$4:$D91,"R")+1,"")</f>
        <v>88</v>
      </c>
      <c r="C92" s="19" t="str">
        <f t="shared" si="14"/>
        <v>C_Ope_006</v>
      </c>
      <c r="D92" s="3" t="s">
        <v>1074</v>
      </c>
      <c r="E92" s="14">
        <v>45770</v>
      </c>
      <c r="F92" s="5" t="s">
        <v>7372</v>
      </c>
      <c r="G92" s="5" t="s">
        <v>1079</v>
      </c>
      <c r="H92" s="6"/>
      <c r="I92" s="6" t="s">
        <v>14</v>
      </c>
      <c r="J92" s="6" t="s">
        <v>1148</v>
      </c>
      <c r="K92" s="6">
        <v>131015</v>
      </c>
      <c r="L92" s="7" t="s">
        <v>7418</v>
      </c>
      <c r="M92" s="8">
        <v>23970</v>
      </c>
      <c r="N92" s="8" t="str">
        <f t="shared" si="15"/>
        <v>PEN</v>
      </c>
      <c r="O92" s="13"/>
      <c r="P92" s="13">
        <v>10</v>
      </c>
      <c r="Q92" s="3">
        <f t="shared" si="11"/>
        <v>0</v>
      </c>
      <c r="R92" s="3">
        <f t="shared" si="12"/>
        <v>10</v>
      </c>
      <c r="S92" s="3">
        <f t="shared" si="13"/>
        <v>155.19999999999982</v>
      </c>
      <c r="T92" s="24"/>
      <c r="U92" s="24"/>
      <c r="V92" s="3"/>
      <c r="W92" s="25" t="s">
        <v>6747</v>
      </c>
      <c r="X92" s="25"/>
      <c r="Y92" s="25" t="str">
        <f>IFERROR(VLOOKUP(C_Ope_006[[#This Row],[NOTA 2]],Clientes_Proveedores[[Ruc / Dni]:[Razon Social]],2,0),"")</f>
        <v/>
      </c>
      <c r="Z92" s="25"/>
      <c r="AA92" s="15"/>
      <c r="AB92" s="3" t="str">
        <f>IF(C_Ope_006[[#This Row],[FECHA]]&gt;0,TEXT(C_Ope_006[[#This Row],[FECHA]],"mmmm"),0)</f>
        <v>Abril</v>
      </c>
    </row>
    <row r="93" spans="2:28" x14ac:dyDescent="0.3">
      <c r="B93" s="2">
        <f>IF(C_Ope_006[[#This Row],[TIPO DE R.]]="R",COUNTIFS($D$4:$D92,"R")+1,"")</f>
        <v>89</v>
      </c>
      <c r="C93" s="19" t="str">
        <f t="shared" si="14"/>
        <v>C_Ope_006</v>
      </c>
      <c r="D93" s="3" t="s">
        <v>1074</v>
      </c>
      <c r="E93" s="14">
        <v>45770</v>
      </c>
      <c r="F93" s="5" t="s">
        <v>7372</v>
      </c>
      <c r="G93" s="5" t="s">
        <v>1079</v>
      </c>
      <c r="H93" s="6"/>
      <c r="I93" s="6" t="s">
        <v>14</v>
      </c>
      <c r="J93" s="6" t="s">
        <v>1148</v>
      </c>
      <c r="K93" s="6">
        <v>131024</v>
      </c>
      <c r="L93" s="7" t="s">
        <v>7418</v>
      </c>
      <c r="M93" s="8">
        <v>23971</v>
      </c>
      <c r="N93" s="8" t="str">
        <f t="shared" si="15"/>
        <v>PEN</v>
      </c>
      <c r="O93" s="13"/>
      <c r="P93" s="13">
        <v>10</v>
      </c>
      <c r="Q93" s="3">
        <f t="shared" si="11"/>
        <v>0</v>
      </c>
      <c r="R93" s="3">
        <f t="shared" si="12"/>
        <v>10</v>
      </c>
      <c r="S93" s="3">
        <f t="shared" si="13"/>
        <v>145.19999999999982</v>
      </c>
      <c r="T93" s="24"/>
      <c r="U93" s="24"/>
      <c r="V93" s="3"/>
      <c r="W93" s="25" t="s">
        <v>6747</v>
      </c>
      <c r="X93" s="25"/>
      <c r="Y93" s="25" t="str">
        <f>IFERROR(VLOOKUP(C_Ope_006[[#This Row],[NOTA 2]],Clientes_Proveedores[[Ruc / Dni]:[Razon Social]],2,0),"")</f>
        <v/>
      </c>
      <c r="Z93" s="25"/>
      <c r="AA93" s="15"/>
      <c r="AB93" s="3" t="str">
        <f>IF(C_Ope_006[[#This Row],[FECHA]]&gt;0,TEXT(C_Ope_006[[#This Row],[FECHA]],"mmmm"),0)</f>
        <v>Abril</v>
      </c>
    </row>
    <row r="94" spans="2:28" x14ac:dyDescent="0.3">
      <c r="B94" s="2">
        <f>IF(C_Ope_006[[#This Row],[TIPO DE R.]]="R",COUNTIFS($D$4:$D93,"R")+1,"")</f>
        <v>90</v>
      </c>
      <c r="C94" s="19" t="str">
        <f t="shared" si="14"/>
        <v>C_Ope_006</v>
      </c>
      <c r="D94" s="3" t="s">
        <v>1074</v>
      </c>
      <c r="E94" s="14">
        <v>45770</v>
      </c>
      <c r="F94" s="5" t="s">
        <v>7372</v>
      </c>
      <c r="G94" s="5" t="s">
        <v>1079</v>
      </c>
      <c r="H94" s="6"/>
      <c r="I94" s="6" t="s">
        <v>14</v>
      </c>
      <c r="J94" s="6" t="s">
        <v>1148</v>
      </c>
      <c r="K94" s="6">
        <v>131025</v>
      </c>
      <c r="L94" s="7" t="s">
        <v>7418</v>
      </c>
      <c r="M94" s="8">
        <v>23972</v>
      </c>
      <c r="N94" s="8" t="str">
        <f t="shared" si="15"/>
        <v>PEN</v>
      </c>
      <c r="O94" s="13"/>
      <c r="P94" s="13">
        <v>10</v>
      </c>
      <c r="Q94" s="3">
        <f t="shared" si="11"/>
        <v>0</v>
      </c>
      <c r="R94" s="3">
        <f t="shared" si="12"/>
        <v>10</v>
      </c>
      <c r="S94" s="3">
        <f t="shared" si="13"/>
        <v>135.19999999999982</v>
      </c>
      <c r="T94" s="24"/>
      <c r="U94" s="24"/>
      <c r="V94" s="3"/>
      <c r="W94" s="25" t="s">
        <v>6747</v>
      </c>
      <c r="X94" s="25"/>
      <c r="Y94" s="25" t="str">
        <f>IFERROR(VLOOKUP(C_Ope_006[[#This Row],[NOTA 2]],Clientes_Proveedores[[Ruc / Dni]:[Razon Social]],2,0),"")</f>
        <v/>
      </c>
      <c r="Z94" s="25"/>
      <c r="AA94" s="15"/>
      <c r="AB94" s="3" t="str">
        <f>IF(C_Ope_006[[#This Row],[FECHA]]&gt;0,TEXT(C_Ope_006[[#This Row],[FECHA]],"mmmm"),0)</f>
        <v>Abril</v>
      </c>
    </row>
    <row r="95" spans="2:28" x14ac:dyDescent="0.3">
      <c r="B95" s="2">
        <f>IF(C_Ope_006[[#This Row],[TIPO DE R.]]="R",COUNTIFS($D$4:$D94,"R")+1,"")</f>
        <v>91</v>
      </c>
      <c r="C95" s="19" t="str">
        <f t="shared" si="14"/>
        <v>C_Ope_006</v>
      </c>
      <c r="D95" s="3" t="s">
        <v>1074</v>
      </c>
      <c r="E95" s="14">
        <v>45770</v>
      </c>
      <c r="F95" s="5" t="s">
        <v>7372</v>
      </c>
      <c r="G95" s="5" t="s">
        <v>1079</v>
      </c>
      <c r="H95" s="6"/>
      <c r="I95" s="6" t="s">
        <v>14</v>
      </c>
      <c r="J95" s="6" t="s">
        <v>1148</v>
      </c>
      <c r="K95" s="6">
        <v>131027</v>
      </c>
      <c r="L95" s="7" t="s">
        <v>7418</v>
      </c>
      <c r="M95" s="8">
        <v>23973</v>
      </c>
      <c r="N95" s="8" t="str">
        <f t="shared" si="15"/>
        <v>PEN</v>
      </c>
      <c r="O95" s="13"/>
      <c r="P95" s="13">
        <v>10</v>
      </c>
      <c r="Q95" s="3">
        <f t="shared" si="11"/>
        <v>0</v>
      </c>
      <c r="R95" s="3">
        <f t="shared" si="12"/>
        <v>10</v>
      </c>
      <c r="S95" s="3">
        <f t="shared" si="13"/>
        <v>125.19999999999982</v>
      </c>
      <c r="T95" s="24"/>
      <c r="U95" s="24"/>
      <c r="V95" s="3"/>
      <c r="W95" s="25" t="s">
        <v>6747</v>
      </c>
      <c r="X95" s="25"/>
      <c r="Y95" s="25" t="str">
        <f>IFERROR(VLOOKUP(C_Ope_006[[#This Row],[NOTA 2]],Clientes_Proveedores[[Ruc / Dni]:[Razon Social]],2,0),"")</f>
        <v/>
      </c>
      <c r="Z95" s="25"/>
      <c r="AA95" s="15"/>
      <c r="AB95" s="3" t="str">
        <f>IF(C_Ope_006[[#This Row],[FECHA]]&gt;0,TEXT(C_Ope_006[[#This Row],[FECHA]],"mmmm"),0)</f>
        <v>Abril</v>
      </c>
    </row>
    <row r="96" spans="2:28" x14ac:dyDescent="0.3">
      <c r="B96" s="2">
        <f>IF(C_Ope_006[[#This Row],[TIPO DE R.]]="R",COUNTIFS($D$4:$D95,"R")+1,"")</f>
        <v>92</v>
      </c>
      <c r="C96" s="19" t="str">
        <f t="shared" si="14"/>
        <v>C_Ope_006</v>
      </c>
      <c r="D96" s="3" t="s">
        <v>1074</v>
      </c>
      <c r="E96" s="14">
        <v>45775</v>
      </c>
      <c r="F96" s="5"/>
      <c r="G96" s="5" t="s">
        <v>1087</v>
      </c>
      <c r="H96" s="6"/>
      <c r="I96" s="6"/>
      <c r="J96" s="6"/>
      <c r="K96" s="6"/>
      <c r="L96" s="7" t="s">
        <v>7113</v>
      </c>
      <c r="M96" s="8">
        <v>24051</v>
      </c>
      <c r="N96" s="8" t="str">
        <f t="shared" si="15"/>
        <v>PEN</v>
      </c>
      <c r="O96" s="13"/>
      <c r="P96" s="13">
        <v>80</v>
      </c>
      <c r="Q96" s="3">
        <f t="shared" si="11"/>
        <v>80</v>
      </c>
      <c r="R96" s="3">
        <f t="shared" si="12"/>
        <v>0</v>
      </c>
      <c r="S96" s="3">
        <f t="shared" si="13"/>
        <v>205.19999999999982</v>
      </c>
      <c r="T96" s="24"/>
      <c r="U96" s="24"/>
      <c r="V96" s="3"/>
      <c r="W96" s="25"/>
      <c r="X96" s="25"/>
      <c r="Y96" s="25" t="str">
        <f>IFERROR(VLOOKUP(C_Ope_006[[#This Row],[NOTA 2]],Clientes_Proveedores[[Ruc / Dni]:[Razon Social]],2,0),"")</f>
        <v/>
      </c>
      <c r="Z96" s="25"/>
      <c r="AA96" s="15"/>
      <c r="AB96" s="3" t="str">
        <f>IF(C_Ope_006[[#This Row],[FECHA]]&gt;0,TEXT(C_Ope_006[[#This Row],[FECHA]],"mmmm"),0)</f>
        <v>Abril</v>
      </c>
    </row>
    <row r="97" spans="2:28" x14ac:dyDescent="0.3">
      <c r="B97" s="2">
        <f>IF(C_Ope_006[[#This Row],[TIPO DE R.]]="R",COUNTIFS($D$4:$D96,"R")+1,"")</f>
        <v>93</v>
      </c>
      <c r="C97" s="19" t="str">
        <f t="shared" si="14"/>
        <v>C_Ope_006</v>
      </c>
      <c r="D97" s="3" t="s">
        <v>1074</v>
      </c>
      <c r="E97" s="14">
        <v>45777</v>
      </c>
      <c r="F97" s="5"/>
      <c r="G97" s="5" t="s">
        <v>1087</v>
      </c>
      <c r="H97" s="6"/>
      <c r="I97" s="6"/>
      <c r="J97" s="6"/>
      <c r="K97" s="6"/>
      <c r="L97" s="7" t="s">
        <v>7113</v>
      </c>
      <c r="M97" s="8">
        <v>24077</v>
      </c>
      <c r="N97" s="8" t="str">
        <f t="shared" si="15"/>
        <v>PEN</v>
      </c>
      <c r="O97" s="13"/>
      <c r="P97" s="13">
        <v>400</v>
      </c>
      <c r="Q97" s="3">
        <f t="shared" si="11"/>
        <v>400</v>
      </c>
      <c r="R97" s="3">
        <f t="shared" si="12"/>
        <v>0</v>
      </c>
      <c r="S97" s="3">
        <f t="shared" si="13"/>
        <v>605.19999999999982</v>
      </c>
      <c r="T97" s="24"/>
      <c r="U97" s="24"/>
      <c r="V97" s="3"/>
      <c r="W97" s="25"/>
      <c r="X97" s="25"/>
      <c r="Y97" s="25" t="str">
        <f>IFERROR(VLOOKUP(C_Ope_006[[#This Row],[NOTA 2]],Clientes_Proveedores[[Ruc / Dni]:[Razon Social]],2,0),"")</f>
        <v/>
      </c>
      <c r="Z97" s="25"/>
      <c r="AA97" s="15"/>
      <c r="AB97" s="3" t="str">
        <f>IF(C_Ope_006[[#This Row],[FECHA]]&gt;0,TEXT(C_Ope_006[[#This Row],[FECHA]],"mmmm"),0)</f>
        <v>Abril</v>
      </c>
    </row>
    <row r="98" spans="2:28" ht="24" x14ac:dyDescent="0.3">
      <c r="B98" s="2">
        <f>IF(C_Ope_006[[#This Row],[TIPO DE R.]]="R",COUNTIFS($D$4:$D97,"R")+1,"")</f>
        <v>94</v>
      </c>
      <c r="C98" s="19" t="str">
        <f t="shared" si="14"/>
        <v>C_Ope_006</v>
      </c>
      <c r="D98" s="3" t="s">
        <v>1074</v>
      </c>
      <c r="E98" s="14">
        <v>45775</v>
      </c>
      <c r="F98" s="5" t="s">
        <v>7372</v>
      </c>
      <c r="G98" s="5" t="s">
        <v>1079</v>
      </c>
      <c r="H98" s="6"/>
      <c r="I98" s="6" t="s">
        <v>14</v>
      </c>
      <c r="J98" s="6" t="s">
        <v>5243</v>
      </c>
      <c r="K98" s="6">
        <v>2314020</v>
      </c>
      <c r="L98" s="7" t="s">
        <v>7409</v>
      </c>
      <c r="M98" s="8">
        <v>24014</v>
      </c>
      <c r="N98" s="8" t="str">
        <f t="shared" si="15"/>
        <v>PEN</v>
      </c>
      <c r="O98" s="13"/>
      <c r="P98" s="13">
        <v>12</v>
      </c>
      <c r="Q98" s="3">
        <f t="shared" si="11"/>
        <v>0</v>
      </c>
      <c r="R98" s="3">
        <f t="shared" si="12"/>
        <v>12</v>
      </c>
      <c r="S98" s="3">
        <f t="shared" si="13"/>
        <v>593.19999999999982</v>
      </c>
      <c r="T98" s="24"/>
      <c r="U98" s="24"/>
      <c r="V98" s="3"/>
      <c r="W98" s="25" t="s">
        <v>6747</v>
      </c>
      <c r="X98" s="25"/>
      <c r="Y98" s="25" t="str">
        <f>IFERROR(VLOOKUP(C_Ope_006[[#This Row],[NOTA 2]],Clientes_Proveedores[[Ruc / Dni]:[Razon Social]],2,0),"")</f>
        <v/>
      </c>
      <c r="Z98" s="25"/>
      <c r="AA98" s="15"/>
      <c r="AB98" s="3" t="str">
        <f>IF(C_Ope_006[[#This Row],[FECHA]]&gt;0,TEXT(C_Ope_006[[#This Row],[FECHA]],"mmmm"),0)</f>
        <v>Abril</v>
      </c>
    </row>
    <row r="99" spans="2:28" ht="24" x14ac:dyDescent="0.3">
      <c r="B99" s="2">
        <f>IF(C_Ope_006[[#This Row],[TIPO DE R.]]="R",COUNTIFS($D$4:$D98,"R")+1,"")</f>
        <v>95</v>
      </c>
      <c r="C99" s="19" t="str">
        <f t="shared" si="14"/>
        <v>C_Ope_006</v>
      </c>
      <c r="D99" s="3" t="s">
        <v>1074</v>
      </c>
      <c r="E99" s="14">
        <v>45775</v>
      </c>
      <c r="F99" s="5" t="s">
        <v>7372</v>
      </c>
      <c r="G99" s="5" t="s">
        <v>1079</v>
      </c>
      <c r="H99" s="6"/>
      <c r="I99" s="6" t="s">
        <v>14</v>
      </c>
      <c r="J99" s="6" t="s">
        <v>5242</v>
      </c>
      <c r="K99" s="6">
        <v>2034620</v>
      </c>
      <c r="L99" s="7" t="s">
        <v>7409</v>
      </c>
      <c r="M99" s="8">
        <v>24015</v>
      </c>
      <c r="N99" s="8" t="str">
        <f t="shared" si="15"/>
        <v>PEN</v>
      </c>
      <c r="O99" s="13"/>
      <c r="P99" s="13">
        <v>12</v>
      </c>
      <c r="Q99" s="3">
        <f t="shared" si="11"/>
        <v>0</v>
      </c>
      <c r="R99" s="3">
        <f t="shared" si="12"/>
        <v>12</v>
      </c>
      <c r="S99" s="3">
        <f t="shared" si="13"/>
        <v>581.19999999999982</v>
      </c>
      <c r="T99" s="24"/>
      <c r="U99" s="24"/>
      <c r="V99" s="3"/>
      <c r="W99" s="25" t="s">
        <v>6747</v>
      </c>
      <c r="X99" s="25"/>
      <c r="Y99" s="25" t="str">
        <f>IFERROR(VLOOKUP(C_Ope_006[[#This Row],[NOTA 2]],Clientes_Proveedores[[Ruc / Dni]:[Razon Social]],2,0),"")</f>
        <v/>
      </c>
      <c r="Z99" s="25"/>
      <c r="AA99" s="15"/>
      <c r="AB99" s="3" t="str">
        <f>IF(C_Ope_006[[#This Row],[FECHA]]&gt;0,TEXT(C_Ope_006[[#This Row],[FECHA]],"mmmm"),0)</f>
        <v>Abril</v>
      </c>
    </row>
    <row r="100" spans="2:28" ht="24" x14ac:dyDescent="0.3">
      <c r="B100" s="2">
        <f>IF(C_Ope_006[[#This Row],[TIPO DE R.]]="R",COUNTIFS($D$4:$D99,"R")+1,"")</f>
        <v>96</v>
      </c>
      <c r="C100" s="19" t="str">
        <f t="shared" si="14"/>
        <v>C_Ope_006</v>
      </c>
      <c r="D100" s="3" t="s">
        <v>1074</v>
      </c>
      <c r="E100" s="14">
        <v>45775</v>
      </c>
      <c r="F100" s="5" t="s">
        <v>7372</v>
      </c>
      <c r="G100" s="5" t="s">
        <v>1079</v>
      </c>
      <c r="H100" s="6"/>
      <c r="I100" s="6" t="s">
        <v>14</v>
      </c>
      <c r="J100" s="6" t="s">
        <v>1088</v>
      </c>
      <c r="K100" s="6">
        <v>34493</v>
      </c>
      <c r="L100" s="7" t="s">
        <v>7419</v>
      </c>
      <c r="M100" s="8">
        <v>24013</v>
      </c>
      <c r="N100" s="8" t="str">
        <f t="shared" si="15"/>
        <v>PEN</v>
      </c>
      <c r="O100" s="13"/>
      <c r="P100" s="13">
        <v>10</v>
      </c>
      <c r="Q100" s="3">
        <f t="shared" si="11"/>
        <v>0</v>
      </c>
      <c r="R100" s="3">
        <f t="shared" si="12"/>
        <v>10</v>
      </c>
      <c r="S100" s="3">
        <f t="shared" si="13"/>
        <v>571.19999999999982</v>
      </c>
      <c r="T100" s="24"/>
      <c r="U100" s="24"/>
      <c r="V100" s="3"/>
      <c r="W100" s="25" t="s">
        <v>6747</v>
      </c>
      <c r="X100" s="25"/>
      <c r="Y100" s="25" t="str">
        <f>IFERROR(VLOOKUP(C_Ope_006[[#This Row],[NOTA 2]],Clientes_Proveedores[[Ruc / Dni]:[Razon Social]],2,0),"")</f>
        <v/>
      </c>
      <c r="Z100" s="25"/>
      <c r="AA100" s="15"/>
      <c r="AB100" s="3" t="str">
        <f>IF(C_Ope_006[[#This Row],[FECHA]]&gt;0,TEXT(C_Ope_006[[#This Row],[FECHA]],"mmmm"),0)</f>
        <v>Abril</v>
      </c>
    </row>
    <row r="101" spans="2:28" x14ac:dyDescent="0.3">
      <c r="B101" s="2">
        <f>IF(C_Ope_006[[#This Row],[TIPO DE R.]]="R",COUNTIFS($D$4:$D100,"R")+1,"")</f>
        <v>97</v>
      </c>
      <c r="C101" s="19" t="str">
        <f t="shared" si="14"/>
        <v>C_Ope_006</v>
      </c>
      <c r="D101" s="3" t="s">
        <v>1074</v>
      </c>
      <c r="E101" s="14">
        <v>45776</v>
      </c>
      <c r="F101" s="5" t="s">
        <v>7372</v>
      </c>
      <c r="G101" s="5" t="s">
        <v>1079</v>
      </c>
      <c r="H101" s="6"/>
      <c r="I101" s="6" t="s">
        <v>14</v>
      </c>
      <c r="J101" s="6" t="s">
        <v>6561</v>
      </c>
      <c r="K101" s="6">
        <v>652</v>
      </c>
      <c r="L101" s="7" t="s">
        <v>7420</v>
      </c>
      <c r="M101" s="8">
        <v>24060</v>
      </c>
      <c r="N101" s="8" t="str">
        <f t="shared" si="15"/>
        <v>PEN</v>
      </c>
      <c r="O101" s="13"/>
      <c r="P101" s="13">
        <v>10</v>
      </c>
      <c r="Q101" s="3">
        <f t="shared" ref="Q101:Q132" si="16">+IF(OR($G101="SALDO",$G101="INGRESO"),$P101,0)</f>
        <v>0</v>
      </c>
      <c r="R101" s="3">
        <f t="shared" ref="R101:R132" si="17">+IF($G101="EGRESO",$P101,0)</f>
        <v>10</v>
      </c>
      <c r="S101" s="3">
        <f t="shared" ref="S101:S132" si="18">IFERROR(IF(G101="SALDO",Q101,S100+Q101-R101),0)</f>
        <v>561.19999999999982</v>
      </c>
      <c r="T101" s="24"/>
      <c r="U101" s="24"/>
      <c r="V101" s="3"/>
      <c r="W101" s="25" t="s">
        <v>6747</v>
      </c>
      <c r="X101" s="25"/>
      <c r="Y101" s="25" t="str">
        <f>IFERROR(VLOOKUP(C_Ope_006[[#This Row],[NOTA 2]],Clientes_Proveedores[[Ruc / Dni]:[Razon Social]],2,0),"")</f>
        <v/>
      </c>
      <c r="Z101" s="25"/>
      <c r="AA101" s="15"/>
      <c r="AB101" s="3" t="str">
        <f>IF(C_Ope_006[[#This Row],[FECHA]]&gt;0,TEXT(C_Ope_006[[#This Row],[FECHA]],"mmmm"),0)</f>
        <v>Abril</v>
      </c>
    </row>
    <row r="102" spans="2:28" ht="24" x14ac:dyDescent="0.3">
      <c r="B102" s="2">
        <f>IF(C_Ope_006[[#This Row],[TIPO DE R.]]="R",COUNTIFS($D$4:$D101,"R")+1,"")</f>
        <v>98</v>
      </c>
      <c r="C102" s="19" t="str">
        <f t="shared" ref="C102:C133" si="19">"C_Ope_006"</f>
        <v>C_Ope_006</v>
      </c>
      <c r="D102" s="3" t="s">
        <v>1074</v>
      </c>
      <c r="E102" s="14">
        <v>45779</v>
      </c>
      <c r="F102" s="5" t="s">
        <v>7372</v>
      </c>
      <c r="G102" s="5" t="s">
        <v>1079</v>
      </c>
      <c r="H102" s="6"/>
      <c r="I102" s="6" t="s">
        <v>14</v>
      </c>
      <c r="J102" s="6" t="s">
        <v>5244</v>
      </c>
      <c r="K102" s="6">
        <v>1720145</v>
      </c>
      <c r="L102" s="7" t="s">
        <v>7421</v>
      </c>
      <c r="M102" s="8">
        <v>24089</v>
      </c>
      <c r="N102" s="8" t="str">
        <f t="shared" ref="N102:N133" si="20">"PEN"</f>
        <v>PEN</v>
      </c>
      <c r="O102" s="13"/>
      <c r="P102" s="13">
        <v>12</v>
      </c>
      <c r="Q102" s="3">
        <f t="shared" si="16"/>
        <v>0</v>
      </c>
      <c r="R102" s="3">
        <f t="shared" si="17"/>
        <v>12</v>
      </c>
      <c r="S102" s="3">
        <f t="shared" si="18"/>
        <v>549.19999999999982</v>
      </c>
      <c r="T102" s="24"/>
      <c r="U102" s="24"/>
      <c r="V102" s="3"/>
      <c r="W102" s="25" t="s">
        <v>6747</v>
      </c>
      <c r="X102" s="25"/>
      <c r="Y102" s="25" t="str">
        <f>IFERROR(VLOOKUP(C_Ope_006[[#This Row],[NOTA 2]],Clientes_Proveedores[[Ruc / Dni]:[Razon Social]],2,0),"")</f>
        <v/>
      </c>
      <c r="Z102" s="25"/>
      <c r="AA102" s="15"/>
      <c r="AB102" s="3" t="str">
        <f>IF(C_Ope_006[[#This Row],[FECHA]]&gt;0,TEXT(C_Ope_006[[#This Row],[FECHA]],"mmmm"),0)</f>
        <v>Mayo</v>
      </c>
    </row>
    <row r="103" spans="2:28" ht="24" x14ac:dyDescent="0.3">
      <c r="B103" s="2">
        <f>IF(C_Ope_006[[#This Row],[TIPO DE R.]]="R",COUNTIFS($D$4:$D102,"R")+1,"")</f>
        <v>99</v>
      </c>
      <c r="C103" s="19" t="str">
        <f t="shared" si="19"/>
        <v>C_Ope_006</v>
      </c>
      <c r="D103" s="3" t="s">
        <v>1074</v>
      </c>
      <c r="E103" s="14">
        <v>45782</v>
      </c>
      <c r="F103" s="5" t="s">
        <v>7372</v>
      </c>
      <c r="G103" s="5" t="s">
        <v>1079</v>
      </c>
      <c r="H103" s="6"/>
      <c r="I103" s="6" t="s">
        <v>14</v>
      </c>
      <c r="J103" s="6" t="s">
        <v>5243</v>
      </c>
      <c r="K103" s="6">
        <v>2320861</v>
      </c>
      <c r="L103" s="7" t="s">
        <v>6608</v>
      </c>
      <c r="M103" s="8">
        <v>24091</v>
      </c>
      <c r="N103" s="8" t="str">
        <f t="shared" si="20"/>
        <v>PEN</v>
      </c>
      <c r="O103" s="13"/>
      <c r="P103" s="13">
        <v>12</v>
      </c>
      <c r="Q103" s="3">
        <f t="shared" si="16"/>
        <v>0</v>
      </c>
      <c r="R103" s="3">
        <f t="shared" si="17"/>
        <v>12</v>
      </c>
      <c r="S103" s="3">
        <f t="shared" si="18"/>
        <v>537.19999999999982</v>
      </c>
      <c r="T103" s="24"/>
      <c r="U103" s="24"/>
      <c r="V103" s="3"/>
      <c r="W103" s="25" t="s">
        <v>6747</v>
      </c>
      <c r="X103" s="25"/>
      <c r="Y103" s="25" t="str">
        <f>IFERROR(VLOOKUP(C_Ope_006[[#This Row],[NOTA 2]],Clientes_Proveedores[[Ruc / Dni]:[Razon Social]],2,0),"")</f>
        <v/>
      </c>
      <c r="Z103" s="25"/>
      <c r="AA103" s="15"/>
      <c r="AB103" s="3" t="str">
        <f>IF(C_Ope_006[[#This Row],[FECHA]]&gt;0,TEXT(C_Ope_006[[#This Row],[FECHA]],"mmmm"),0)</f>
        <v>Mayo</v>
      </c>
    </row>
    <row r="104" spans="2:28" ht="24" x14ac:dyDescent="0.3">
      <c r="B104" s="2">
        <f>IF(C_Ope_006[[#This Row],[TIPO DE R.]]="R",COUNTIFS($D$4:$D103,"R")+1,"")</f>
        <v>100</v>
      </c>
      <c r="C104" s="19" t="str">
        <f t="shared" si="19"/>
        <v>C_Ope_006</v>
      </c>
      <c r="D104" s="3" t="s">
        <v>1074</v>
      </c>
      <c r="E104" s="14">
        <v>45782</v>
      </c>
      <c r="F104" s="5" t="s">
        <v>7372</v>
      </c>
      <c r="G104" s="5" t="s">
        <v>1079</v>
      </c>
      <c r="H104" s="6"/>
      <c r="I104" s="6" t="s">
        <v>14</v>
      </c>
      <c r="J104" s="6" t="s">
        <v>5242</v>
      </c>
      <c r="K104" s="6">
        <v>2041370</v>
      </c>
      <c r="L104" s="7" t="s">
        <v>6608</v>
      </c>
      <c r="M104" s="8">
        <v>24112</v>
      </c>
      <c r="N104" s="8" t="str">
        <f t="shared" si="20"/>
        <v>PEN</v>
      </c>
      <c r="O104" s="13"/>
      <c r="P104" s="13">
        <v>12</v>
      </c>
      <c r="Q104" s="3">
        <f t="shared" si="16"/>
        <v>0</v>
      </c>
      <c r="R104" s="3">
        <f t="shared" si="17"/>
        <v>12</v>
      </c>
      <c r="S104" s="3">
        <f t="shared" si="18"/>
        <v>525.19999999999982</v>
      </c>
      <c r="T104" s="24"/>
      <c r="U104" s="24"/>
      <c r="V104" s="3"/>
      <c r="W104" s="25" t="s">
        <v>6747</v>
      </c>
      <c r="X104" s="25"/>
      <c r="Y104" s="25" t="str">
        <f>IFERROR(VLOOKUP(C_Ope_006[[#This Row],[NOTA 2]],Clientes_Proveedores[[Ruc / Dni]:[Razon Social]],2,0),"")</f>
        <v/>
      </c>
      <c r="Z104" s="25"/>
      <c r="AA104" s="15"/>
      <c r="AB104" s="3" t="str">
        <f>IF(C_Ope_006[[#This Row],[FECHA]]&gt;0,TEXT(C_Ope_006[[#This Row],[FECHA]],"mmmm"),0)</f>
        <v>Mayo</v>
      </c>
    </row>
    <row r="105" spans="2:28" ht="24" x14ac:dyDescent="0.3">
      <c r="B105" s="2">
        <f>IF(C_Ope_006[[#This Row],[TIPO DE R.]]="R",COUNTIFS($D$4:$D104,"R")+1,"")</f>
        <v>101</v>
      </c>
      <c r="C105" s="19" t="str">
        <f t="shared" si="19"/>
        <v>C_Ope_006</v>
      </c>
      <c r="D105" s="3" t="s">
        <v>1074</v>
      </c>
      <c r="E105" s="14">
        <v>45784</v>
      </c>
      <c r="F105" s="5" t="s">
        <v>7372</v>
      </c>
      <c r="G105" s="5" t="s">
        <v>1079</v>
      </c>
      <c r="H105" s="6"/>
      <c r="I105" s="6" t="s">
        <v>14</v>
      </c>
      <c r="J105" s="6" t="s">
        <v>5244</v>
      </c>
      <c r="K105" s="6">
        <v>1724338</v>
      </c>
      <c r="L105" s="7" t="s">
        <v>7422</v>
      </c>
      <c r="M105" s="8">
        <v>24136</v>
      </c>
      <c r="N105" s="8" t="str">
        <f t="shared" si="20"/>
        <v>PEN</v>
      </c>
      <c r="O105" s="13"/>
      <c r="P105" s="13">
        <v>12</v>
      </c>
      <c r="Q105" s="3">
        <f t="shared" si="16"/>
        <v>0</v>
      </c>
      <c r="R105" s="3">
        <f t="shared" si="17"/>
        <v>12</v>
      </c>
      <c r="S105" s="3">
        <f t="shared" si="18"/>
        <v>513.19999999999982</v>
      </c>
      <c r="T105" s="24"/>
      <c r="U105" s="24"/>
      <c r="V105" s="3"/>
      <c r="W105" s="25" t="s">
        <v>6747</v>
      </c>
      <c r="X105" s="25"/>
      <c r="Y105" s="25" t="str">
        <f>IFERROR(VLOOKUP(C_Ope_006[[#This Row],[NOTA 2]],Clientes_Proveedores[[Ruc / Dni]:[Razon Social]],2,0),"")</f>
        <v/>
      </c>
      <c r="Z105" s="25"/>
      <c r="AA105" s="15"/>
      <c r="AB105" s="3" t="str">
        <f>IF(C_Ope_006[[#This Row],[FECHA]]&gt;0,TEXT(C_Ope_006[[#This Row],[FECHA]],"mmmm"),0)</f>
        <v>Mayo</v>
      </c>
    </row>
    <row r="106" spans="2:28" ht="24" x14ac:dyDescent="0.3">
      <c r="B106" s="2">
        <f>IF(C_Ope_006[[#This Row],[TIPO DE R.]]="R",COUNTIFS($D$4:$D105,"R")+1,"")</f>
        <v>102</v>
      </c>
      <c r="C106" s="19" t="str">
        <f t="shared" si="19"/>
        <v>C_Ope_006</v>
      </c>
      <c r="D106" s="3" t="s">
        <v>1074</v>
      </c>
      <c r="E106" s="14">
        <v>45784</v>
      </c>
      <c r="F106" s="5" t="s">
        <v>7372</v>
      </c>
      <c r="G106" s="5" t="s">
        <v>1079</v>
      </c>
      <c r="H106" s="6"/>
      <c r="I106" s="6" t="s">
        <v>14</v>
      </c>
      <c r="J106" s="6" t="s">
        <v>5245</v>
      </c>
      <c r="K106" s="6">
        <v>1743458</v>
      </c>
      <c r="L106" s="7" t="s">
        <v>7422</v>
      </c>
      <c r="M106" s="8">
        <v>24137</v>
      </c>
      <c r="N106" s="8" t="str">
        <f t="shared" si="20"/>
        <v>PEN</v>
      </c>
      <c r="O106" s="13"/>
      <c r="P106" s="13">
        <v>12</v>
      </c>
      <c r="Q106" s="3">
        <f t="shared" si="16"/>
        <v>0</v>
      </c>
      <c r="R106" s="3">
        <f t="shared" si="17"/>
        <v>12</v>
      </c>
      <c r="S106" s="3">
        <f t="shared" si="18"/>
        <v>501.19999999999982</v>
      </c>
      <c r="T106" s="24"/>
      <c r="U106" s="24"/>
      <c r="V106" s="3"/>
      <c r="W106" s="25" t="s">
        <v>6747</v>
      </c>
      <c r="X106" s="25"/>
      <c r="Y106" s="25" t="str">
        <f>IFERROR(VLOOKUP(C_Ope_006[[#This Row],[NOTA 2]],Clientes_Proveedores[[Ruc / Dni]:[Razon Social]],2,0),"")</f>
        <v/>
      </c>
      <c r="Z106" s="25"/>
      <c r="AA106" s="15"/>
      <c r="AB106" s="3" t="str">
        <f>IF(C_Ope_006[[#This Row],[FECHA]]&gt;0,TEXT(C_Ope_006[[#This Row],[FECHA]],"mmmm"),0)</f>
        <v>Mayo</v>
      </c>
    </row>
    <row r="107" spans="2:28" ht="24" x14ac:dyDescent="0.3">
      <c r="B107" s="2">
        <f>IF(C_Ope_006[[#This Row],[TIPO DE R.]]="R",COUNTIFS($D$4:$D106,"R")+1,"")</f>
        <v>103</v>
      </c>
      <c r="C107" s="19" t="str">
        <f t="shared" si="19"/>
        <v>C_Ope_006</v>
      </c>
      <c r="D107" s="3" t="s">
        <v>1074</v>
      </c>
      <c r="E107" s="14">
        <v>45784</v>
      </c>
      <c r="F107" s="5" t="s">
        <v>7372</v>
      </c>
      <c r="G107" s="5" t="s">
        <v>1079</v>
      </c>
      <c r="H107" s="6"/>
      <c r="I107" s="6" t="s">
        <v>14</v>
      </c>
      <c r="J107" s="6" t="s">
        <v>5243</v>
      </c>
      <c r="K107" s="6">
        <v>2323860</v>
      </c>
      <c r="L107" s="7" t="s">
        <v>6608</v>
      </c>
      <c r="M107" s="8">
        <v>24138</v>
      </c>
      <c r="N107" s="8" t="str">
        <f t="shared" si="20"/>
        <v>PEN</v>
      </c>
      <c r="O107" s="13"/>
      <c r="P107" s="13">
        <v>12</v>
      </c>
      <c r="Q107" s="3">
        <f t="shared" si="16"/>
        <v>0</v>
      </c>
      <c r="R107" s="3">
        <f t="shared" si="17"/>
        <v>12</v>
      </c>
      <c r="S107" s="3">
        <f t="shared" si="18"/>
        <v>489.19999999999982</v>
      </c>
      <c r="T107" s="24"/>
      <c r="U107" s="24"/>
      <c r="V107" s="3"/>
      <c r="W107" s="25" t="s">
        <v>6747</v>
      </c>
      <c r="X107" s="25"/>
      <c r="Y107" s="25" t="str">
        <f>IFERROR(VLOOKUP(C_Ope_006[[#This Row],[NOTA 2]],Clientes_Proveedores[[Ruc / Dni]:[Razon Social]],2,0),"")</f>
        <v/>
      </c>
      <c r="Z107" s="25"/>
      <c r="AA107" s="15"/>
      <c r="AB107" s="3" t="str">
        <f>IF(C_Ope_006[[#This Row],[FECHA]]&gt;0,TEXT(C_Ope_006[[#This Row],[FECHA]],"mmmm"),0)</f>
        <v>Mayo</v>
      </c>
    </row>
    <row r="108" spans="2:28" ht="24" x14ac:dyDescent="0.3">
      <c r="B108" s="2">
        <f>IF(C_Ope_006[[#This Row],[TIPO DE R.]]="R",COUNTIFS($D$4:$D107,"R")+1,"")</f>
        <v>104</v>
      </c>
      <c r="C108" s="19" t="str">
        <f t="shared" si="19"/>
        <v>C_Ope_006</v>
      </c>
      <c r="D108" s="3" t="s">
        <v>1074</v>
      </c>
      <c r="E108" s="14">
        <v>45785</v>
      </c>
      <c r="F108" s="5" t="s">
        <v>7372</v>
      </c>
      <c r="G108" s="5" t="s">
        <v>1079</v>
      </c>
      <c r="H108" s="6"/>
      <c r="I108" s="6" t="s">
        <v>14</v>
      </c>
      <c r="J108" s="6" t="s">
        <v>5242</v>
      </c>
      <c r="K108" s="6">
        <v>2044689</v>
      </c>
      <c r="L108" s="7" t="s">
        <v>7423</v>
      </c>
      <c r="M108" s="8">
        <v>24139</v>
      </c>
      <c r="N108" s="8" t="str">
        <f t="shared" si="20"/>
        <v>PEN</v>
      </c>
      <c r="O108" s="13"/>
      <c r="P108" s="13">
        <v>12</v>
      </c>
      <c r="Q108" s="3">
        <f t="shared" si="16"/>
        <v>0</v>
      </c>
      <c r="R108" s="3">
        <f t="shared" si="17"/>
        <v>12</v>
      </c>
      <c r="S108" s="3">
        <f t="shared" si="18"/>
        <v>477.19999999999982</v>
      </c>
      <c r="T108" s="24"/>
      <c r="U108" s="24"/>
      <c r="V108" s="3"/>
      <c r="W108" s="25" t="s">
        <v>6747</v>
      </c>
      <c r="X108" s="25"/>
      <c r="Y108" s="25" t="str">
        <f>IFERROR(VLOOKUP(C_Ope_006[[#This Row],[NOTA 2]],Clientes_Proveedores[[Ruc / Dni]:[Razon Social]],2,0),"")</f>
        <v/>
      </c>
      <c r="Z108" s="25"/>
      <c r="AA108" s="15"/>
      <c r="AB108" s="3" t="str">
        <f>IF(C_Ope_006[[#This Row],[FECHA]]&gt;0,TEXT(C_Ope_006[[#This Row],[FECHA]],"mmmm"),0)</f>
        <v>Mayo</v>
      </c>
    </row>
    <row r="109" spans="2:28" ht="24" x14ac:dyDescent="0.3">
      <c r="B109" s="2">
        <f>IF(C_Ope_006[[#This Row],[TIPO DE R.]]="R",COUNTIFS($D$4:$D108,"R")+1,"")</f>
        <v>105</v>
      </c>
      <c r="C109" s="19" t="str">
        <f t="shared" si="19"/>
        <v>C_Ope_006</v>
      </c>
      <c r="D109" s="3" t="s">
        <v>1074</v>
      </c>
      <c r="E109" s="14">
        <v>45786</v>
      </c>
      <c r="F109" s="5" t="s">
        <v>7372</v>
      </c>
      <c r="G109" s="5" t="s">
        <v>1079</v>
      </c>
      <c r="H109" s="6"/>
      <c r="I109" s="6" t="s">
        <v>14</v>
      </c>
      <c r="J109" s="6" t="s">
        <v>5244</v>
      </c>
      <c r="K109" s="6">
        <v>1726482</v>
      </c>
      <c r="L109" s="7" t="s">
        <v>7424</v>
      </c>
      <c r="M109" s="8">
        <v>24154</v>
      </c>
      <c r="N109" s="8" t="str">
        <f t="shared" si="20"/>
        <v>PEN</v>
      </c>
      <c r="O109" s="13"/>
      <c r="P109" s="13">
        <v>12</v>
      </c>
      <c r="Q109" s="3">
        <f t="shared" si="16"/>
        <v>0</v>
      </c>
      <c r="R109" s="3">
        <f t="shared" si="17"/>
        <v>12</v>
      </c>
      <c r="S109" s="3">
        <f t="shared" si="18"/>
        <v>465.19999999999982</v>
      </c>
      <c r="T109" s="24"/>
      <c r="U109" s="24"/>
      <c r="V109" s="3"/>
      <c r="W109" s="25" t="s">
        <v>6747</v>
      </c>
      <c r="X109" s="25"/>
      <c r="Y109" s="25" t="str">
        <f>IFERROR(VLOOKUP(C_Ope_006[[#This Row],[NOTA 2]],Clientes_Proveedores[[Ruc / Dni]:[Razon Social]],2,0),"")</f>
        <v/>
      </c>
      <c r="Z109" s="25"/>
      <c r="AA109" s="15"/>
      <c r="AB109" s="3" t="str">
        <f>IF(C_Ope_006[[#This Row],[FECHA]]&gt;0,TEXT(C_Ope_006[[#This Row],[FECHA]],"mmmm"),0)</f>
        <v>Mayo</v>
      </c>
    </row>
    <row r="110" spans="2:28" ht="24" x14ac:dyDescent="0.3">
      <c r="B110" s="2">
        <f>IF(C_Ope_006[[#This Row],[TIPO DE R.]]="R",COUNTIFS($D$4:$D109,"R")+1,"")</f>
        <v>106</v>
      </c>
      <c r="C110" s="19" t="str">
        <f t="shared" si="19"/>
        <v>C_Ope_006</v>
      </c>
      <c r="D110" s="3" t="s">
        <v>1074</v>
      </c>
      <c r="E110" s="14">
        <v>45786</v>
      </c>
      <c r="F110" s="5" t="s">
        <v>7372</v>
      </c>
      <c r="G110" s="5" t="s">
        <v>1079</v>
      </c>
      <c r="H110" s="6"/>
      <c r="I110" s="6" t="s">
        <v>14</v>
      </c>
      <c r="J110" s="6" t="s">
        <v>5242</v>
      </c>
      <c r="K110" s="6">
        <v>2045741</v>
      </c>
      <c r="L110" s="7" t="s">
        <v>7424</v>
      </c>
      <c r="M110" s="8">
        <v>24158</v>
      </c>
      <c r="N110" s="8" t="str">
        <f t="shared" si="20"/>
        <v>PEN</v>
      </c>
      <c r="O110" s="13"/>
      <c r="P110" s="13">
        <v>12</v>
      </c>
      <c r="Q110" s="3">
        <f t="shared" si="16"/>
        <v>0</v>
      </c>
      <c r="R110" s="3">
        <f t="shared" si="17"/>
        <v>12</v>
      </c>
      <c r="S110" s="3">
        <f t="shared" si="18"/>
        <v>453.19999999999982</v>
      </c>
      <c r="T110" s="24"/>
      <c r="U110" s="24"/>
      <c r="V110" s="3"/>
      <c r="W110" s="25" t="s">
        <v>6747</v>
      </c>
      <c r="X110" s="25"/>
      <c r="Y110" s="25" t="str">
        <f>IFERROR(VLOOKUP(C_Ope_006[[#This Row],[NOTA 2]],Clientes_Proveedores[[Ruc / Dni]:[Razon Social]],2,0),"")</f>
        <v/>
      </c>
      <c r="Z110" s="25"/>
      <c r="AA110" s="15"/>
      <c r="AB110" s="3" t="str">
        <f>IF(C_Ope_006[[#This Row],[FECHA]]&gt;0,TEXT(C_Ope_006[[#This Row],[FECHA]],"mmmm"),0)</f>
        <v>Mayo</v>
      </c>
    </row>
    <row r="111" spans="2:28" ht="24" x14ac:dyDescent="0.3">
      <c r="B111" s="2">
        <f>IF(C_Ope_006[[#This Row],[TIPO DE R.]]="R",COUNTIFS($D$4:$D110,"R")+1,"")</f>
        <v>107</v>
      </c>
      <c r="C111" s="19" t="str">
        <f t="shared" si="19"/>
        <v>C_Ope_006</v>
      </c>
      <c r="D111" s="3" t="s">
        <v>1074</v>
      </c>
      <c r="E111" s="14">
        <v>45782</v>
      </c>
      <c r="F111" s="5" t="s">
        <v>7372</v>
      </c>
      <c r="G111" s="5" t="s">
        <v>1079</v>
      </c>
      <c r="H111" s="6"/>
      <c r="I111" s="6" t="s">
        <v>14</v>
      </c>
      <c r="J111" s="6" t="s">
        <v>1097</v>
      </c>
      <c r="K111" s="6">
        <v>16303</v>
      </c>
      <c r="L111" s="7" t="s">
        <v>7425</v>
      </c>
      <c r="M111" s="8">
        <v>24092</v>
      </c>
      <c r="N111" s="8" t="str">
        <f t="shared" si="20"/>
        <v>PEN</v>
      </c>
      <c r="O111" s="13"/>
      <c r="P111" s="13">
        <v>20</v>
      </c>
      <c r="Q111" s="3">
        <f t="shared" si="16"/>
        <v>0</v>
      </c>
      <c r="R111" s="3">
        <f t="shared" si="17"/>
        <v>20</v>
      </c>
      <c r="S111" s="3">
        <f t="shared" si="18"/>
        <v>433.19999999999982</v>
      </c>
      <c r="T111" s="24"/>
      <c r="U111" s="24"/>
      <c r="V111" s="3"/>
      <c r="W111" s="25" t="s">
        <v>6747</v>
      </c>
      <c r="X111" s="25"/>
      <c r="Y111" s="25" t="str">
        <f>IFERROR(VLOOKUP(C_Ope_006[[#This Row],[NOTA 2]],Clientes_Proveedores[[Ruc / Dni]:[Razon Social]],2,0),"")</f>
        <v/>
      </c>
      <c r="Z111" s="25"/>
      <c r="AA111" s="15"/>
      <c r="AB111" s="3" t="str">
        <f>IF(C_Ope_006[[#This Row],[FECHA]]&gt;0,TEXT(C_Ope_006[[#This Row],[FECHA]],"mmmm"),0)</f>
        <v>Mayo</v>
      </c>
    </row>
    <row r="112" spans="2:28" ht="24" x14ac:dyDescent="0.3">
      <c r="B112" s="2">
        <f>IF(C_Ope_006[[#This Row],[TIPO DE R.]]="R",COUNTIFS($D$4:$D111,"R")+1,"")</f>
        <v>108</v>
      </c>
      <c r="C112" s="19" t="str">
        <f t="shared" si="19"/>
        <v>C_Ope_006</v>
      </c>
      <c r="D112" s="3" t="s">
        <v>1074</v>
      </c>
      <c r="E112" s="14">
        <v>45786</v>
      </c>
      <c r="F112" s="5" t="s">
        <v>7372</v>
      </c>
      <c r="G112" s="5" t="s">
        <v>1079</v>
      </c>
      <c r="H112" s="6"/>
      <c r="I112" s="6" t="s">
        <v>14</v>
      </c>
      <c r="J112" s="6" t="s">
        <v>1148</v>
      </c>
      <c r="K112" s="6">
        <v>131674</v>
      </c>
      <c r="L112" s="7" t="s">
        <v>7426</v>
      </c>
      <c r="M112" s="8">
        <v>24155</v>
      </c>
      <c r="N112" s="8" t="str">
        <f t="shared" si="20"/>
        <v>PEN</v>
      </c>
      <c r="O112" s="13"/>
      <c r="P112" s="13">
        <v>10</v>
      </c>
      <c r="Q112" s="3">
        <f t="shared" si="16"/>
        <v>0</v>
      </c>
      <c r="R112" s="3">
        <f t="shared" si="17"/>
        <v>10</v>
      </c>
      <c r="S112" s="3">
        <f t="shared" si="18"/>
        <v>423.19999999999982</v>
      </c>
      <c r="T112" s="24"/>
      <c r="U112" s="24"/>
      <c r="V112" s="3"/>
      <c r="W112" s="25" t="s">
        <v>6747</v>
      </c>
      <c r="X112" s="25"/>
      <c r="Y112" s="25" t="str">
        <f>IFERROR(VLOOKUP(C_Ope_006[[#This Row],[NOTA 2]],Clientes_Proveedores[[Ruc / Dni]:[Razon Social]],2,0),"")</f>
        <v/>
      </c>
      <c r="Z112" s="25"/>
      <c r="AA112" s="15"/>
      <c r="AB112" s="3" t="str">
        <f>IF(C_Ope_006[[#This Row],[FECHA]]&gt;0,TEXT(C_Ope_006[[#This Row],[FECHA]],"mmmm"),0)</f>
        <v>Mayo</v>
      </c>
    </row>
    <row r="113" spans="2:28" x14ac:dyDescent="0.3">
      <c r="B113" s="2">
        <f>IF(C_Ope_006[[#This Row],[TIPO DE R.]]="R",COUNTIFS($D$4:$D112,"R")+1,"")</f>
        <v>109</v>
      </c>
      <c r="C113" s="19" t="str">
        <f t="shared" si="19"/>
        <v>C_Ope_006</v>
      </c>
      <c r="D113" s="3" t="s">
        <v>1074</v>
      </c>
      <c r="E113" s="14">
        <v>45791</v>
      </c>
      <c r="F113" s="5"/>
      <c r="G113" s="5" t="s">
        <v>1087</v>
      </c>
      <c r="H113" s="6"/>
      <c r="I113" s="6"/>
      <c r="J113" s="6"/>
      <c r="K113" s="6"/>
      <c r="L113" s="7" t="s">
        <v>7113</v>
      </c>
      <c r="M113" s="8">
        <v>24210</v>
      </c>
      <c r="N113" s="8" t="str">
        <f t="shared" si="20"/>
        <v>PEN</v>
      </c>
      <c r="O113" s="13"/>
      <c r="P113" s="13">
        <v>300</v>
      </c>
      <c r="Q113" s="3">
        <f t="shared" si="16"/>
        <v>300</v>
      </c>
      <c r="R113" s="3">
        <f t="shared" si="17"/>
        <v>0</v>
      </c>
      <c r="S113" s="3">
        <f t="shared" si="18"/>
        <v>723.19999999999982</v>
      </c>
      <c r="T113" s="24"/>
      <c r="U113" s="24"/>
      <c r="V113" s="3"/>
      <c r="W113" s="25"/>
      <c r="X113" s="25"/>
      <c r="Y113" s="25" t="str">
        <f>IFERROR(VLOOKUP(C_Ope_006[[#This Row],[NOTA 2]],Clientes_Proveedores[[Ruc / Dni]:[Razon Social]],2,0),"")</f>
        <v/>
      </c>
      <c r="Z113" s="25"/>
      <c r="AA113" s="15"/>
      <c r="AB113" s="3" t="str">
        <f>IF(C_Ope_006[[#This Row],[FECHA]]&gt;0,TEXT(C_Ope_006[[#This Row],[FECHA]],"mmmm"),0)</f>
        <v>Mayo</v>
      </c>
    </row>
    <row r="114" spans="2:28" ht="24" x14ac:dyDescent="0.3">
      <c r="B114" s="2">
        <f>IF(C_Ope_006[[#This Row],[TIPO DE R.]]="R",COUNTIFS($D$4:$D113,"R")+1,"")</f>
        <v>110</v>
      </c>
      <c r="C114" s="19" t="str">
        <f t="shared" si="19"/>
        <v>C_Ope_006</v>
      </c>
      <c r="D114" s="3" t="s">
        <v>1074</v>
      </c>
      <c r="E114" s="14">
        <v>45789</v>
      </c>
      <c r="F114" s="5" t="s">
        <v>7372</v>
      </c>
      <c r="G114" s="5" t="s">
        <v>1079</v>
      </c>
      <c r="H114" s="6"/>
      <c r="I114" s="6" t="s">
        <v>14</v>
      </c>
      <c r="J114" s="6" t="s">
        <v>5244</v>
      </c>
      <c r="K114" s="6">
        <v>1728769</v>
      </c>
      <c r="L114" s="7" t="s">
        <v>7427</v>
      </c>
      <c r="M114" s="8">
        <v>24189</v>
      </c>
      <c r="N114" s="8" t="str">
        <f t="shared" si="20"/>
        <v>PEN</v>
      </c>
      <c r="O114" s="13"/>
      <c r="P114" s="13">
        <v>12</v>
      </c>
      <c r="Q114" s="3">
        <f t="shared" si="16"/>
        <v>0</v>
      </c>
      <c r="R114" s="3">
        <f t="shared" si="17"/>
        <v>12</v>
      </c>
      <c r="S114" s="3">
        <f t="shared" si="18"/>
        <v>711.19999999999982</v>
      </c>
      <c r="T114" s="24"/>
      <c r="U114" s="24"/>
      <c r="V114" s="3"/>
      <c r="W114" s="25" t="s">
        <v>6747</v>
      </c>
      <c r="X114" s="25"/>
      <c r="Y114" s="25" t="str">
        <f>IFERROR(VLOOKUP(C_Ope_006[[#This Row],[NOTA 2]],Clientes_Proveedores[[Ruc / Dni]:[Razon Social]],2,0),"")</f>
        <v/>
      </c>
      <c r="Z114" s="25"/>
      <c r="AA114" s="15"/>
      <c r="AB114" s="3" t="str">
        <f>IF(C_Ope_006[[#This Row],[FECHA]]&gt;0,TEXT(C_Ope_006[[#This Row],[FECHA]],"mmmm"),0)</f>
        <v>Mayo</v>
      </c>
    </row>
    <row r="115" spans="2:28" ht="24" x14ac:dyDescent="0.3">
      <c r="B115" s="2">
        <f>IF(C_Ope_006[[#This Row],[TIPO DE R.]]="R",COUNTIFS($D$4:$D114,"R")+1,"")</f>
        <v>111</v>
      </c>
      <c r="C115" s="19" t="str">
        <f t="shared" si="19"/>
        <v>C_Ope_006</v>
      </c>
      <c r="D115" s="3" t="s">
        <v>1074</v>
      </c>
      <c r="E115" s="14">
        <v>45789</v>
      </c>
      <c r="F115" s="5" t="s">
        <v>7372</v>
      </c>
      <c r="G115" s="5" t="s">
        <v>1079</v>
      </c>
      <c r="H115" s="6"/>
      <c r="I115" s="6" t="s">
        <v>14</v>
      </c>
      <c r="J115" s="6" t="s">
        <v>5242</v>
      </c>
      <c r="K115" s="6">
        <v>2048238</v>
      </c>
      <c r="L115" s="7" t="s">
        <v>7427</v>
      </c>
      <c r="M115" s="8">
        <v>24190</v>
      </c>
      <c r="N115" s="8" t="str">
        <f t="shared" si="20"/>
        <v>PEN</v>
      </c>
      <c r="O115" s="13"/>
      <c r="P115" s="13">
        <v>12</v>
      </c>
      <c r="Q115" s="3">
        <f t="shared" si="16"/>
        <v>0</v>
      </c>
      <c r="R115" s="3">
        <f t="shared" si="17"/>
        <v>12</v>
      </c>
      <c r="S115" s="3">
        <f t="shared" si="18"/>
        <v>699.19999999999982</v>
      </c>
      <c r="T115" s="24"/>
      <c r="U115" s="24"/>
      <c r="V115" s="3"/>
      <c r="W115" s="25" t="s">
        <v>6747</v>
      </c>
      <c r="X115" s="25"/>
      <c r="Y115" s="25" t="str">
        <f>IFERROR(VLOOKUP(C_Ope_006[[#This Row],[NOTA 2]],Clientes_Proveedores[[Ruc / Dni]:[Razon Social]],2,0),"")</f>
        <v/>
      </c>
      <c r="Z115" s="25"/>
      <c r="AA115" s="15"/>
      <c r="AB115" s="3" t="str">
        <f>IF(C_Ope_006[[#This Row],[FECHA]]&gt;0,TEXT(C_Ope_006[[#This Row],[FECHA]],"mmmm"),0)</f>
        <v>Mayo</v>
      </c>
    </row>
    <row r="116" spans="2:28" ht="24" x14ac:dyDescent="0.3">
      <c r="B116" s="2">
        <f>IF(C_Ope_006[[#This Row],[TIPO DE R.]]="R",COUNTIFS($D$4:$D115,"R")+1,"")</f>
        <v>112</v>
      </c>
      <c r="C116" s="19" t="str">
        <f t="shared" si="19"/>
        <v>C_Ope_006</v>
      </c>
      <c r="D116" s="3" t="s">
        <v>1074</v>
      </c>
      <c r="E116" s="14">
        <v>45789</v>
      </c>
      <c r="F116" s="5" t="s">
        <v>7372</v>
      </c>
      <c r="G116" s="5" t="s">
        <v>1079</v>
      </c>
      <c r="H116" s="6"/>
      <c r="I116" s="6" t="s">
        <v>14</v>
      </c>
      <c r="J116" s="6" t="s">
        <v>1148</v>
      </c>
      <c r="K116" s="6">
        <v>131786</v>
      </c>
      <c r="L116" s="7" t="s">
        <v>7428</v>
      </c>
      <c r="M116" s="8">
        <v>24191</v>
      </c>
      <c r="N116" s="8" t="str">
        <f t="shared" si="20"/>
        <v>PEN</v>
      </c>
      <c r="O116" s="13"/>
      <c r="P116" s="13">
        <v>10</v>
      </c>
      <c r="Q116" s="3">
        <f t="shared" si="16"/>
        <v>0</v>
      </c>
      <c r="R116" s="3">
        <f t="shared" si="17"/>
        <v>10</v>
      </c>
      <c r="S116" s="3">
        <f t="shared" si="18"/>
        <v>689.19999999999982</v>
      </c>
      <c r="T116" s="24"/>
      <c r="U116" s="24"/>
      <c r="V116" s="3"/>
      <c r="W116" s="25" t="s">
        <v>6747</v>
      </c>
      <c r="X116" s="25"/>
      <c r="Y116" s="25" t="str">
        <f>IFERROR(VLOOKUP(C_Ope_006[[#This Row],[NOTA 2]],Clientes_Proveedores[[Ruc / Dni]:[Razon Social]],2,0),"")</f>
        <v/>
      </c>
      <c r="Z116" s="25"/>
      <c r="AA116" s="15"/>
      <c r="AB116" s="3" t="str">
        <f>IF(C_Ope_006[[#This Row],[FECHA]]&gt;0,TEXT(C_Ope_006[[#This Row],[FECHA]],"mmmm"),0)</f>
        <v>Mayo</v>
      </c>
    </row>
    <row r="117" spans="2:28" x14ac:dyDescent="0.3">
      <c r="B117" s="2">
        <f>IF(C_Ope_006[[#This Row],[TIPO DE R.]]="R",COUNTIFS($D$4:$D116,"R")+1,"")</f>
        <v>113</v>
      </c>
      <c r="C117" s="19" t="str">
        <f t="shared" si="19"/>
        <v>C_Ope_006</v>
      </c>
      <c r="D117" s="3" t="s">
        <v>1074</v>
      </c>
      <c r="E117" s="14">
        <v>45790</v>
      </c>
      <c r="F117" s="5" t="s">
        <v>7372</v>
      </c>
      <c r="G117" s="5" t="s">
        <v>1079</v>
      </c>
      <c r="H117" s="6"/>
      <c r="I117" s="6" t="s">
        <v>14</v>
      </c>
      <c r="J117" s="6" t="s">
        <v>1119</v>
      </c>
      <c r="K117" s="6">
        <v>17678</v>
      </c>
      <c r="L117" s="7" t="s">
        <v>6565</v>
      </c>
      <c r="M117" s="8">
        <v>24198</v>
      </c>
      <c r="N117" s="8" t="str">
        <f t="shared" si="20"/>
        <v>PEN</v>
      </c>
      <c r="O117" s="13"/>
      <c r="P117" s="13">
        <v>35</v>
      </c>
      <c r="Q117" s="3">
        <f t="shared" si="16"/>
        <v>0</v>
      </c>
      <c r="R117" s="3">
        <f t="shared" si="17"/>
        <v>35</v>
      </c>
      <c r="S117" s="3">
        <f t="shared" si="18"/>
        <v>654.19999999999982</v>
      </c>
      <c r="T117" s="24"/>
      <c r="U117" s="24"/>
      <c r="V117" s="3"/>
      <c r="W117" s="25" t="s">
        <v>6747</v>
      </c>
      <c r="X117" s="25"/>
      <c r="Y117" s="25" t="str">
        <f>IFERROR(VLOOKUP(C_Ope_006[[#This Row],[NOTA 2]],Clientes_Proveedores[[Ruc / Dni]:[Razon Social]],2,0),"")</f>
        <v/>
      </c>
      <c r="Z117" s="25"/>
      <c r="AA117" s="15"/>
      <c r="AB117" s="3" t="str">
        <f>IF(C_Ope_006[[#This Row],[FECHA]]&gt;0,TEXT(C_Ope_006[[#This Row],[FECHA]],"mmmm"),0)</f>
        <v>Mayo</v>
      </c>
    </row>
    <row r="118" spans="2:28" x14ac:dyDescent="0.3">
      <c r="B118" s="2">
        <f>IF(C_Ope_006[[#This Row],[TIPO DE R.]]="R",COUNTIFS($D$4:$D117,"R")+1,"")</f>
        <v>114</v>
      </c>
      <c r="C118" s="19" t="str">
        <f t="shared" si="19"/>
        <v>C_Ope_006</v>
      </c>
      <c r="D118" s="3" t="s">
        <v>1074</v>
      </c>
      <c r="E118" s="14">
        <v>45793</v>
      </c>
      <c r="F118" s="5" t="s">
        <v>7372</v>
      </c>
      <c r="G118" s="5" t="s">
        <v>1079</v>
      </c>
      <c r="H118" s="6"/>
      <c r="I118" s="6" t="s">
        <v>14</v>
      </c>
      <c r="J118" s="6" t="s">
        <v>1119</v>
      </c>
      <c r="K118" s="6">
        <v>17747</v>
      </c>
      <c r="L118" s="7" t="s">
        <v>6565</v>
      </c>
      <c r="M118" s="8">
        <v>24211</v>
      </c>
      <c r="N118" s="8" t="str">
        <f t="shared" si="20"/>
        <v>PEN</v>
      </c>
      <c r="O118" s="13"/>
      <c r="P118" s="13">
        <v>35</v>
      </c>
      <c r="Q118" s="3">
        <f t="shared" si="16"/>
        <v>0</v>
      </c>
      <c r="R118" s="3">
        <f t="shared" si="17"/>
        <v>35</v>
      </c>
      <c r="S118" s="3">
        <f t="shared" si="18"/>
        <v>619.19999999999982</v>
      </c>
      <c r="T118" s="24"/>
      <c r="U118" s="24"/>
      <c r="V118" s="3"/>
      <c r="W118" s="25" t="s">
        <v>6747</v>
      </c>
      <c r="X118" s="25"/>
      <c r="Y118" s="25" t="str">
        <f>IFERROR(VLOOKUP(C_Ope_006[[#This Row],[NOTA 2]],Clientes_Proveedores[[Ruc / Dni]:[Razon Social]],2,0),"")</f>
        <v/>
      </c>
      <c r="Z118" s="25"/>
      <c r="AA118" s="15"/>
      <c r="AB118" s="3" t="str">
        <f>IF(C_Ope_006[[#This Row],[FECHA]]&gt;0,TEXT(C_Ope_006[[#This Row],[FECHA]],"mmmm"),0)</f>
        <v>Mayo</v>
      </c>
    </row>
    <row r="119" spans="2:28" ht="24" x14ac:dyDescent="0.3">
      <c r="B119" s="2">
        <f>IF(C_Ope_006[[#This Row],[TIPO DE R.]]="R",COUNTIFS($D$4:$D118,"R")+1,"")</f>
        <v>115</v>
      </c>
      <c r="C119" s="19" t="str">
        <f t="shared" si="19"/>
        <v>C_Ope_006</v>
      </c>
      <c r="D119" s="3" t="s">
        <v>1074</v>
      </c>
      <c r="E119" s="14">
        <v>45796</v>
      </c>
      <c r="F119" s="5" t="s">
        <v>7372</v>
      </c>
      <c r="G119" s="5" t="s">
        <v>1079</v>
      </c>
      <c r="H119" s="6"/>
      <c r="I119" s="6" t="s">
        <v>14</v>
      </c>
      <c r="J119" s="6" t="s">
        <v>5244</v>
      </c>
      <c r="K119" s="6">
        <v>1734548</v>
      </c>
      <c r="L119" s="7" t="s">
        <v>7429</v>
      </c>
      <c r="M119" s="8">
        <v>24217</v>
      </c>
      <c r="N119" s="8" t="str">
        <f t="shared" si="20"/>
        <v>PEN</v>
      </c>
      <c r="O119" s="13"/>
      <c r="P119" s="13">
        <v>12</v>
      </c>
      <c r="Q119" s="3">
        <f t="shared" si="16"/>
        <v>0</v>
      </c>
      <c r="R119" s="3">
        <f t="shared" si="17"/>
        <v>12</v>
      </c>
      <c r="S119" s="3">
        <f t="shared" si="18"/>
        <v>607.19999999999982</v>
      </c>
      <c r="T119" s="24"/>
      <c r="U119" s="24"/>
      <c r="V119" s="3"/>
      <c r="W119" s="25" t="s">
        <v>6747</v>
      </c>
      <c r="X119" s="25"/>
      <c r="Y119" s="25" t="str">
        <f>IFERROR(VLOOKUP(C_Ope_006[[#This Row],[NOTA 2]],Clientes_Proveedores[[Ruc / Dni]:[Razon Social]],2,0),"")</f>
        <v/>
      </c>
      <c r="Z119" s="25"/>
      <c r="AA119" s="15"/>
      <c r="AB119" s="3" t="str">
        <f>IF(C_Ope_006[[#This Row],[FECHA]]&gt;0,TEXT(C_Ope_006[[#This Row],[FECHA]],"mmmm"),0)</f>
        <v>Mayo</v>
      </c>
    </row>
    <row r="120" spans="2:28" ht="24" x14ac:dyDescent="0.3">
      <c r="B120" s="2">
        <f>IF(C_Ope_006[[#This Row],[TIPO DE R.]]="R",COUNTIFS($D$4:$D119,"R")+1,"")</f>
        <v>116</v>
      </c>
      <c r="C120" s="19" t="str">
        <f t="shared" si="19"/>
        <v>C_Ope_006</v>
      </c>
      <c r="D120" s="3" t="s">
        <v>1074</v>
      </c>
      <c r="E120" s="14">
        <v>45796</v>
      </c>
      <c r="F120" s="5" t="s">
        <v>7372</v>
      </c>
      <c r="G120" s="5" t="s">
        <v>1079</v>
      </c>
      <c r="H120" s="6"/>
      <c r="I120" s="6" t="s">
        <v>14</v>
      </c>
      <c r="J120" s="6" t="s">
        <v>5245</v>
      </c>
      <c r="K120" s="6">
        <v>1754716</v>
      </c>
      <c r="L120" s="7" t="s">
        <v>7429</v>
      </c>
      <c r="M120" s="8">
        <v>24222</v>
      </c>
      <c r="N120" s="8" t="str">
        <f t="shared" si="20"/>
        <v>PEN</v>
      </c>
      <c r="O120" s="13"/>
      <c r="P120" s="13">
        <v>12</v>
      </c>
      <c r="Q120" s="3">
        <f t="shared" si="16"/>
        <v>0</v>
      </c>
      <c r="R120" s="3">
        <f t="shared" si="17"/>
        <v>12</v>
      </c>
      <c r="S120" s="3">
        <f t="shared" si="18"/>
        <v>595.19999999999982</v>
      </c>
      <c r="T120" s="24"/>
      <c r="U120" s="24"/>
      <c r="V120" s="3"/>
      <c r="W120" s="25" t="s">
        <v>6747</v>
      </c>
      <c r="X120" s="25"/>
      <c r="Y120" s="25" t="str">
        <f>IFERROR(VLOOKUP(C_Ope_006[[#This Row],[NOTA 2]],Clientes_Proveedores[[Ruc / Dni]:[Razon Social]],2,0),"")</f>
        <v/>
      </c>
      <c r="Z120" s="25"/>
      <c r="AA120" s="15"/>
      <c r="AB120" s="3" t="str">
        <f>IF(C_Ope_006[[#This Row],[FECHA]]&gt;0,TEXT(C_Ope_006[[#This Row],[FECHA]],"mmmm"),0)</f>
        <v>Mayo</v>
      </c>
    </row>
    <row r="121" spans="2:28" ht="24" x14ac:dyDescent="0.3">
      <c r="B121" s="2">
        <f>IF(C_Ope_006[[#This Row],[TIPO DE R.]]="R",COUNTIFS($D$4:$D120,"R")+1,"")</f>
        <v>117</v>
      </c>
      <c r="C121" s="19" t="str">
        <f t="shared" si="19"/>
        <v>C_Ope_006</v>
      </c>
      <c r="D121" s="3" t="s">
        <v>1074</v>
      </c>
      <c r="E121" s="14">
        <v>45798</v>
      </c>
      <c r="F121" s="5" t="s">
        <v>7372</v>
      </c>
      <c r="G121" s="5" t="s">
        <v>1079</v>
      </c>
      <c r="H121" s="6"/>
      <c r="I121" s="6" t="s">
        <v>14</v>
      </c>
      <c r="J121" s="6" t="s">
        <v>5243</v>
      </c>
      <c r="K121" s="6">
        <v>2339088</v>
      </c>
      <c r="L121" s="7" t="s">
        <v>6608</v>
      </c>
      <c r="M121" s="8">
        <v>24243</v>
      </c>
      <c r="N121" s="8" t="str">
        <f t="shared" si="20"/>
        <v>PEN</v>
      </c>
      <c r="O121" s="13"/>
      <c r="P121" s="13">
        <v>12</v>
      </c>
      <c r="Q121" s="3">
        <f t="shared" si="16"/>
        <v>0</v>
      </c>
      <c r="R121" s="3">
        <f t="shared" si="17"/>
        <v>12</v>
      </c>
      <c r="S121" s="3">
        <f t="shared" si="18"/>
        <v>583.19999999999982</v>
      </c>
      <c r="T121" s="24"/>
      <c r="U121" s="24"/>
      <c r="V121" s="3"/>
      <c r="W121" s="25" t="s">
        <v>6747</v>
      </c>
      <c r="X121" s="25"/>
      <c r="Y121" s="25" t="str">
        <f>IFERROR(VLOOKUP(C_Ope_006[[#This Row],[NOTA 2]],Clientes_Proveedores[[Ruc / Dni]:[Razon Social]],2,0),"")</f>
        <v/>
      </c>
      <c r="Z121" s="25"/>
      <c r="AA121" s="15"/>
      <c r="AB121" s="3" t="str">
        <f>IF(C_Ope_006[[#This Row],[FECHA]]&gt;0,TEXT(C_Ope_006[[#This Row],[FECHA]],"mmmm"),0)</f>
        <v>Mayo</v>
      </c>
    </row>
    <row r="122" spans="2:28" ht="24" x14ac:dyDescent="0.3">
      <c r="B122" s="2">
        <f>IF(C_Ope_006[[#This Row],[TIPO DE R.]]="R",COUNTIFS($D$4:$D121,"R")+1,"")</f>
        <v>118</v>
      </c>
      <c r="C122" s="19" t="str">
        <f t="shared" si="19"/>
        <v>C_Ope_006</v>
      </c>
      <c r="D122" s="3" t="s">
        <v>1074</v>
      </c>
      <c r="E122" s="14">
        <v>45798</v>
      </c>
      <c r="F122" s="5" t="s">
        <v>7372</v>
      </c>
      <c r="G122" s="5" t="s">
        <v>1079</v>
      </c>
      <c r="H122" s="6"/>
      <c r="I122" s="6" t="s">
        <v>14</v>
      </c>
      <c r="J122" s="6" t="s">
        <v>5245</v>
      </c>
      <c r="K122" s="6">
        <v>1756360</v>
      </c>
      <c r="L122" s="7" t="s">
        <v>6608</v>
      </c>
      <c r="M122" s="8">
        <v>24247</v>
      </c>
      <c r="N122" s="8" t="str">
        <f t="shared" si="20"/>
        <v>PEN</v>
      </c>
      <c r="O122" s="13"/>
      <c r="P122" s="13">
        <v>12</v>
      </c>
      <c r="Q122" s="3">
        <f t="shared" si="16"/>
        <v>0</v>
      </c>
      <c r="R122" s="3">
        <f t="shared" si="17"/>
        <v>12</v>
      </c>
      <c r="S122" s="3">
        <f t="shared" si="18"/>
        <v>571.19999999999982</v>
      </c>
      <c r="T122" s="24"/>
      <c r="U122" s="24"/>
      <c r="V122" s="3"/>
      <c r="W122" s="25" t="s">
        <v>6747</v>
      </c>
      <c r="X122" s="25"/>
      <c r="Y122" s="25" t="str">
        <f>IFERROR(VLOOKUP(C_Ope_006[[#This Row],[NOTA 2]],Clientes_Proveedores[[Ruc / Dni]:[Razon Social]],2,0),"")</f>
        <v/>
      </c>
      <c r="Z122" s="25"/>
      <c r="AA122" s="15"/>
      <c r="AB122" s="3" t="str">
        <f>IF(C_Ope_006[[#This Row],[FECHA]]&gt;0,TEXT(C_Ope_006[[#This Row],[FECHA]],"mmmm"),0)</f>
        <v>Mayo</v>
      </c>
    </row>
    <row r="123" spans="2:28" ht="24" x14ac:dyDescent="0.3">
      <c r="B123" s="2">
        <f>IF(C_Ope_006[[#This Row],[TIPO DE R.]]="R",COUNTIFS($D$4:$D122,"R")+1,"")</f>
        <v>119</v>
      </c>
      <c r="C123" s="19" t="str">
        <f t="shared" si="19"/>
        <v>C_Ope_006</v>
      </c>
      <c r="D123" s="3" t="s">
        <v>1074</v>
      </c>
      <c r="E123" s="14">
        <v>45799</v>
      </c>
      <c r="F123" s="5" t="s">
        <v>7372</v>
      </c>
      <c r="G123" s="5" t="s">
        <v>1079</v>
      </c>
      <c r="H123" s="6"/>
      <c r="I123" s="6" t="s">
        <v>14</v>
      </c>
      <c r="J123" s="6" t="s">
        <v>5243</v>
      </c>
      <c r="K123" s="6">
        <v>2340205</v>
      </c>
      <c r="L123" s="7" t="s">
        <v>6968</v>
      </c>
      <c r="M123" s="8">
        <v>24276</v>
      </c>
      <c r="N123" s="8" t="str">
        <f t="shared" si="20"/>
        <v>PEN</v>
      </c>
      <c r="O123" s="13"/>
      <c r="P123" s="13">
        <v>12</v>
      </c>
      <c r="Q123" s="3">
        <f t="shared" si="16"/>
        <v>0</v>
      </c>
      <c r="R123" s="3">
        <f t="shared" si="17"/>
        <v>12</v>
      </c>
      <c r="S123" s="3">
        <f t="shared" si="18"/>
        <v>559.19999999999982</v>
      </c>
      <c r="T123" s="24"/>
      <c r="U123" s="24"/>
      <c r="V123" s="3"/>
      <c r="W123" s="25" t="s">
        <v>6747</v>
      </c>
      <c r="X123" s="25"/>
      <c r="Y123" s="25" t="str">
        <f>IFERROR(VLOOKUP(C_Ope_006[[#This Row],[NOTA 2]],Clientes_Proveedores[[Ruc / Dni]:[Razon Social]],2,0),"")</f>
        <v/>
      </c>
      <c r="Z123" s="25"/>
      <c r="AA123" s="15"/>
      <c r="AB123" s="3" t="str">
        <f>IF(C_Ope_006[[#This Row],[FECHA]]&gt;0,TEXT(C_Ope_006[[#This Row],[FECHA]],"mmmm"),0)</f>
        <v>Mayo</v>
      </c>
    </row>
    <row r="124" spans="2:28" ht="24" x14ac:dyDescent="0.3">
      <c r="B124" s="2">
        <f>IF(C_Ope_006[[#This Row],[TIPO DE R.]]="R",COUNTIFS($D$4:$D123,"R")+1,"")</f>
        <v>120</v>
      </c>
      <c r="C124" s="19" t="str">
        <f t="shared" si="19"/>
        <v>C_Ope_006</v>
      </c>
      <c r="D124" s="3" t="s">
        <v>1074</v>
      </c>
      <c r="E124" s="14">
        <v>45799</v>
      </c>
      <c r="F124" s="5" t="s">
        <v>7372</v>
      </c>
      <c r="G124" s="5" t="s">
        <v>1079</v>
      </c>
      <c r="H124" s="6"/>
      <c r="I124" s="6" t="s">
        <v>14</v>
      </c>
      <c r="J124" s="6" t="s">
        <v>5242</v>
      </c>
      <c r="K124" s="6">
        <v>2057847</v>
      </c>
      <c r="L124" s="7" t="s">
        <v>6968</v>
      </c>
      <c r="M124" s="8">
        <v>24277</v>
      </c>
      <c r="N124" s="8" t="str">
        <f t="shared" si="20"/>
        <v>PEN</v>
      </c>
      <c r="O124" s="13"/>
      <c r="P124" s="13">
        <v>12</v>
      </c>
      <c r="Q124" s="3">
        <f t="shared" si="16"/>
        <v>0</v>
      </c>
      <c r="R124" s="3">
        <f t="shared" si="17"/>
        <v>12</v>
      </c>
      <c r="S124" s="3">
        <f t="shared" si="18"/>
        <v>547.19999999999982</v>
      </c>
      <c r="T124" s="24"/>
      <c r="U124" s="24"/>
      <c r="V124" s="3"/>
      <c r="W124" s="25" t="s">
        <v>6747</v>
      </c>
      <c r="X124" s="25"/>
      <c r="Y124" s="25" t="str">
        <f>IFERROR(VLOOKUP(C_Ope_006[[#This Row],[NOTA 2]],Clientes_Proveedores[[Ruc / Dni]:[Razon Social]],2,0),"")</f>
        <v/>
      </c>
      <c r="Z124" s="25"/>
      <c r="AA124" s="15"/>
      <c r="AB124" s="3" t="str">
        <f>IF(C_Ope_006[[#This Row],[FECHA]]&gt;0,TEXT(C_Ope_006[[#This Row],[FECHA]],"mmmm"),0)</f>
        <v>Mayo</v>
      </c>
    </row>
    <row r="125" spans="2:28" ht="24" x14ac:dyDescent="0.3">
      <c r="B125" s="2">
        <f>IF(C_Ope_006[[#This Row],[TIPO DE R.]]="R",COUNTIFS($D$4:$D124,"R")+1,"")</f>
        <v>121</v>
      </c>
      <c r="C125" s="19" t="str">
        <f t="shared" si="19"/>
        <v>C_Ope_006</v>
      </c>
      <c r="D125" s="3" t="s">
        <v>1074</v>
      </c>
      <c r="E125" s="14">
        <v>45799</v>
      </c>
      <c r="F125" s="5" t="s">
        <v>7372</v>
      </c>
      <c r="G125" s="5" t="s">
        <v>1079</v>
      </c>
      <c r="H125" s="6"/>
      <c r="I125" s="6" t="s">
        <v>14</v>
      </c>
      <c r="J125" s="6" t="s">
        <v>5243</v>
      </c>
      <c r="K125" s="6">
        <v>2340482</v>
      </c>
      <c r="L125" s="7" t="s">
        <v>7430</v>
      </c>
      <c r="M125" s="8">
        <v>24281</v>
      </c>
      <c r="N125" s="8" t="str">
        <f t="shared" si="20"/>
        <v>PEN</v>
      </c>
      <c r="O125" s="13"/>
      <c r="P125" s="13">
        <v>12</v>
      </c>
      <c r="Q125" s="3">
        <f t="shared" si="16"/>
        <v>0</v>
      </c>
      <c r="R125" s="3">
        <f t="shared" si="17"/>
        <v>12</v>
      </c>
      <c r="S125" s="3">
        <f t="shared" si="18"/>
        <v>535.19999999999982</v>
      </c>
      <c r="T125" s="24"/>
      <c r="U125" s="24"/>
      <c r="V125" s="3"/>
      <c r="W125" s="25" t="s">
        <v>6747</v>
      </c>
      <c r="X125" s="25"/>
      <c r="Y125" s="25" t="str">
        <f>IFERROR(VLOOKUP(C_Ope_006[[#This Row],[NOTA 2]],Clientes_Proveedores[[Ruc / Dni]:[Razon Social]],2,0),"")</f>
        <v/>
      </c>
      <c r="Z125" s="25"/>
      <c r="AA125" s="15"/>
      <c r="AB125" s="3" t="str">
        <f>IF(C_Ope_006[[#This Row],[FECHA]]&gt;0,TEXT(C_Ope_006[[#This Row],[FECHA]],"mmmm"),0)</f>
        <v>Mayo</v>
      </c>
    </row>
    <row r="126" spans="2:28" ht="24" x14ac:dyDescent="0.3">
      <c r="B126" s="2">
        <f>IF(C_Ope_006[[#This Row],[TIPO DE R.]]="R",COUNTIFS($D$4:$D125,"R")+1,"")</f>
        <v>122</v>
      </c>
      <c r="C126" s="19" t="str">
        <f t="shared" si="19"/>
        <v>C_Ope_006</v>
      </c>
      <c r="D126" s="3" t="s">
        <v>1074</v>
      </c>
      <c r="E126" s="14">
        <v>45799</v>
      </c>
      <c r="F126" s="5" t="s">
        <v>7372</v>
      </c>
      <c r="G126" s="5" t="s">
        <v>1079</v>
      </c>
      <c r="H126" s="6"/>
      <c r="I126" s="6" t="s">
        <v>14</v>
      </c>
      <c r="J126" s="6" t="s">
        <v>6690</v>
      </c>
      <c r="K126" s="6">
        <v>756463</v>
      </c>
      <c r="L126" s="7" t="s">
        <v>7431</v>
      </c>
      <c r="M126" s="8">
        <v>24282</v>
      </c>
      <c r="N126" s="8" t="str">
        <f t="shared" si="20"/>
        <v>PEN</v>
      </c>
      <c r="O126" s="13"/>
      <c r="P126" s="13">
        <v>23.6</v>
      </c>
      <c r="Q126" s="3">
        <f t="shared" si="16"/>
        <v>0</v>
      </c>
      <c r="R126" s="3">
        <f t="shared" si="17"/>
        <v>23.6</v>
      </c>
      <c r="S126" s="3">
        <f t="shared" si="18"/>
        <v>511.5999999999998</v>
      </c>
      <c r="T126" s="24"/>
      <c r="U126" s="24"/>
      <c r="V126" s="3"/>
      <c r="W126" s="25" t="s">
        <v>6747</v>
      </c>
      <c r="X126" s="25"/>
      <c r="Y126" s="25" t="str">
        <f>IFERROR(VLOOKUP(C_Ope_006[[#This Row],[NOTA 2]],Clientes_Proveedores[[Ruc / Dni]:[Razon Social]],2,0),"")</f>
        <v/>
      </c>
      <c r="Z126" s="25"/>
      <c r="AA126" s="15"/>
      <c r="AB126" s="3" t="str">
        <f>IF(C_Ope_006[[#This Row],[FECHA]]&gt;0,TEXT(C_Ope_006[[#This Row],[FECHA]],"mmmm"),0)</f>
        <v>Mayo</v>
      </c>
    </row>
    <row r="127" spans="2:28" ht="24" x14ac:dyDescent="0.3">
      <c r="B127" s="2">
        <f>IF(C_Ope_006[[#This Row],[TIPO DE R.]]="R",COUNTIFS($D$4:$D126,"R")+1,"")</f>
        <v>123</v>
      </c>
      <c r="C127" s="19" t="str">
        <f t="shared" si="19"/>
        <v>C_Ope_006</v>
      </c>
      <c r="D127" s="3" t="s">
        <v>1074</v>
      </c>
      <c r="E127" s="14">
        <v>45799</v>
      </c>
      <c r="F127" s="5" t="s">
        <v>7372</v>
      </c>
      <c r="G127" s="5" t="s">
        <v>1079</v>
      </c>
      <c r="H127" s="6"/>
      <c r="I127" s="6" t="s">
        <v>14</v>
      </c>
      <c r="J127" s="6" t="s">
        <v>3128</v>
      </c>
      <c r="K127" s="6">
        <v>902639</v>
      </c>
      <c r="L127" s="7" t="s">
        <v>7432</v>
      </c>
      <c r="M127" s="8">
        <v>24283</v>
      </c>
      <c r="N127" s="8" t="str">
        <f t="shared" si="20"/>
        <v>PEN</v>
      </c>
      <c r="O127" s="13"/>
      <c r="P127" s="13">
        <v>23.6</v>
      </c>
      <c r="Q127" s="3">
        <f t="shared" si="16"/>
        <v>0</v>
      </c>
      <c r="R127" s="3">
        <f t="shared" si="17"/>
        <v>23.6</v>
      </c>
      <c r="S127" s="3">
        <f t="shared" si="18"/>
        <v>487.99999999999977</v>
      </c>
      <c r="T127" s="24"/>
      <c r="U127" s="24"/>
      <c r="V127" s="3"/>
      <c r="W127" s="25" t="s">
        <v>6747</v>
      </c>
      <c r="X127" s="25"/>
      <c r="Y127" s="25" t="str">
        <f>IFERROR(VLOOKUP(C_Ope_006[[#This Row],[NOTA 2]],Clientes_Proveedores[[Ruc / Dni]:[Razon Social]],2,0),"")</f>
        <v/>
      </c>
      <c r="Z127" s="25"/>
      <c r="AA127" s="15"/>
      <c r="AB127" s="3" t="str">
        <f>IF(C_Ope_006[[#This Row],[FECHA]]&gt;0,TEXT(C_Ope_006[[#This Row],[FECHA]],"mmmm"),0)</f>
        <v>Mayo</v>
      </c>
    </row>
    <row r="128" spans="2:28" ht="24" x14ac:dyDescent="0.3">
      <c r="B128" s="2">
        <f>IF(C_Ope_006[[#This Row],[TIPO DE R.]]="R",COUNTIFS($D$4:$D127,"R")+1,"")</f>
        <v>124</v>
      </c>
      <c r="C128" s="19" t="str">
        <f t="shared" si="19"/>
        <v>C_Ope_006</v>
      </c>
      <c r="D128" s="3" t="s">
        <v>1074</v>
      </c>
      <c r="E128" s="14">
        <v>45799</v>
      </c>
      <c r="F128" s="5" t="s">
        <v>7372</v>
      </c>
      <c r="G128" s="5" t="s">
        <v>1079</v>
      </c>
      <c r="H128" s="6"/>
      <c r="I128" s="6" t="s">
        <v>14</v>
      </c>
      <c r="J128" s="6" t="s">
        <v>6561</v>
      </c>
      <c r="K128" s="6">
        <v>709118</v>
      </c>
      <c r="L128" s="7" t="s">
        <v>7433</v>
      </c>
      <c r="M128" s="8">
        <v>24284</v>
      </c>
      <c r="N128" s="8" t="str">
        <f t="shared" si="20"/>
        <v>PEN</v>
      </c>
      <c r="O128" s="13"/>
      <c r="P128" s="13">
        <v>23.6</v>
      </c>
      <c r="Q128" s="3">
        <f t="shared" si="16"/>
        <v>0</v>
      </c>
      <c r="R128" s="3">
        <f t="shared" si="17"/>
        <v>23.6</v>
      </c>
      <c r="S128" s="3">
        <f t="shared" si="18"/>
        <v>464.39999999999975</v>
      </c>
      <c r="T128" s="24"/>
      <c r="U128" s="24"/>
      <c r="V128" s="3"/>
      <c r="W128" s="25" t="s">
        <v>6747</v>
      </c>
      <c r="X128" s="25"/>
      <c r="Y128" s="25" t="str">
        <f>IFERROR(VLOOKUP(C_Ope_006[[#This Row],[NOTA 2]],Clientes_Proveedores[[Ruc / Dni]:[Razon Social]],2,0),"")</f>
        <v/>
      </c>
      <c r="Z128" s="25"/>
      <c r="AA128" s="15"/>
      <c r="AB128" s="3" t="str">
        <f>IF(C_Ope_006[[#This Row],[FECHA]]&gt;0,TEXT(C_Ope_006[[#This Row],[FECHA]],"mmmm"),0)</f>
        <v>Mayo</v>
      </c>
    </row>
    <row r="129" spans="2:28" ht="24" x14ac:dyDescent="0.3">
      <c r="B129" s="2">
        <f>IF(C_Ope_006[[#This Row],[TIPO DE R.]]="R",COUNTIFS($D$4:$D128,"R")+1,"")</f>
        <v>125</v>
      </c>
      <c r="C129" s="19" t="str">
        <f t="shared" si="19"/>
        <v>C_Ope_006</v>
      </c>
      <c r="D129" s="3" t="s">
        <v>1074</v>
      </c>
      <c r="E129" s="14">
        <v>45800</v>
      </c>
      <c r="F129" s="5" t="s">
        <v>7372</v>
      </c>
      <c r="G129" s="5" t="s">
        <v>1079</v>
      </c>
      <c r="H129" s="6"/>
      <c r="I129" s="6" t="s">
        <v>14</v>
      </c>
      <c r="J129" s="6" t="s">
        <v>7434</v>
      </c>
      <c r="K129" s="6">
        <v>479760</v>
      </c>
      <c r="L129" s="7" t="s">
        <v>7433</v>
      </c>
      <c r="M129" s="8">
        <v>24298</v>
      </c>
      <c r="N129" s="8" t="str">
        <f t="shared" si="20"/>
        <v>PEN</v>
      </c>
      <c r="O129" s="13"/>
      <c r="P129" s="13">
        <v>23.6</v>
      </c>
      <c r="Q129" s="3">
        <f t="shared" si="16"/>
        <v>0</v>
      </c>
      <c r="R129" s="3">
        <f t="shared" si="17"/>
        <v>23.6</v>
      </c>
      <c r="S129" s="3">
        <f t="shared" si="18"/>
        <v>440.79999999999973</v>
      </c>
      <c r="T129" s="24"/>
      <c r="U129" s="24"/>
      <c r="V129" s="3"/>
      <c r="W129" s="25" t="s">
        <v>6747</v>
      </c>
      <c r="X129" s="25"/>
      <c r="Y129" s="25" t="str">
        <f>IFERROR(VLOOKUP(C_Ope_006[[#This Row],[NOTA 2]],Clientes_Proveedores[[Ruc / Dni]:[Razon Social]],2,0),"")</f>
        <v/>
      </c>
      <c r="Z129" s="25"/>
      <c r="AA129" s="15"/>
      <c r="AB129" s="3" t="str">
        <f>IF(C_Ope_006[[#This Row],[FECHA]]&gt;0,TEXT(C_Ope_006[[#This Row],[FECHA]],"mmmm"),0)</f>
        <v>Mayo</v>
      </c>
    </row>
    <row r="130" spans="2:28" ht="24" x14ac:dyDescent="0.3">
      <c r="B130" s="2">
        <f>IF(C_Ope_006[[#This Row],[TIPO DE R.]]="R",COUNTIFS($D$4:$D129,"R")+1,"")</f>
        <v>126</v>
      </c>
      <c r="C130" s="19" t="str">
        <f t="shared" si="19"/>
        <v>C_Ope_006</v>
      </c>
      <c r="D130" s="3" t="s">
        <v>1074</v>
      </c>
      <c r="E130" s="14">
        <v>45800</v>
      </c>
      <c r="F130" s="5" t="s">
        <v>7372</v>
      </c>
      <c r="G130" s="5" t="s">
        <v>1079</v>
      </c>
      <c r="H130" s="6"/>
      <c r="I130" s="6" t="s">
        <v>14</v>
      </c>
      <c r="J130" s="6" t="s">
        <v>1148</v>
      </c>
      <c r="K130" s="6">
        <v>654843</v>
      </c>
      <c r="L130" s="7" t="s">
        <v>7432</v>
      </c>
      <c r="M130" s="8">
        <v>24300</v>
      </c>
      <c r="N130" s="8" t="str">
        <f t="shared" si="20"/>
        <v>PEN</v>
      </c>
      <c r="O130" s="13"/>
      <c r="P130" s="13">
        <v>23.6</v>
      </c>
      <c r="Q130" s="3">
        <f t="shared" si="16"/>
        <v>0</v>
      </c>
      <c r="R130" s="3">
        <f t="shared" si="17"/>
        <v>23.6</v>
      </c>
      <c r="S130" s="3">
        <f t="shared" si="18"/>
        <v>417.1999999999997</v>
      </c>
      <c r="T130" s="24"/>
      <c r="U130" s="24"/>
      <c r="V130" s="3"/>
      <c r="W130" s="25" t="s">
        <v>6747</v>
      </c>
      <c r="X130" s="25"/>
      <c r="Y130" s="25" t="str">
        <f>IFERROR(VLOOKUP(C_Ope_006[[#This Row],[NOTA 2]],Clientes_Proveedores[[Ruc / Dni]:[Razon Social]],2,0),"")</f>
        <v/>
      </c>
      <c r="Z130" s="25"/>
      <c r="AA130" s="15"/>
      <c r="AB130" s="3" t="str">
        <f>IF(C_Ope_006[[#This Row],[FECHA]]&gt;0,TEXT(C_Ope_006[[#This Row],[FECHA]],"mmmm"),0)</f>
        <v>Mayo</v>
      </c>
    </row>
    <row r="131" spans="2:28" ht="24" x14ac:dyDescent="0.3">
      <c r="B131" s="2">
        <f>IF(C_Ope_006[[#This Row],[TIPO DE R.]]="R",COUNTIFS($D$4:$D130,"R")+1,"")</f>
        <v>127</v>
      </c>
      <c r="C131" s="19" t="str">
        <f t="shared" si="19"/>
        <v>C_Ope_006</v>
      </c>
      <c r="D131" s="3" t="s">
        <v>1074</v>
      </c>
      <c r="E131" s="14">
        <v>45800</v>
      </c>
      <c r="F131" s="5" t="s">
        <v>7372</v>
      </c>
      <c r="G131" s="5" t="s">
        <v>1079</v>
      </c>
      <c r="H131" s="6"/>
      <c r="I131" s="6" t="s">
        <v>14</v>
      </c>
      <c r="J131" s="6" t="s">
        <v>7435</v>
      </c>
      <c r="K131" s="6">
        <v>533145</v>
      </c>
      <c r="L131" s="7" t="s">
        <v>7431</v>
      </c>
      <c r="M131" s="8">
        <v>24301</v>
      </c>
      <c r="N131" s="8" t="str">
        <f t="shared" si="20"/>
        <v>PEN</v>
      </c>
      <c r="O131" s="13"/>
      <c r="P131" s="13">
        <v>23.6</v>
      </c>
      <c r="Q131" s="3">
        <f t="shared" si="16"/>
        <v>0</v>
      </c>
      <c r="R131" s="3">
        <f t="shared" si="17"/>
        <v>23.6</v>
      </c>
      <c r="S131" s="3">
        <f t="shared" si="18"/>
        <v>393.59999999999968</v>
      </c>
      <c r="T131" s="24"/>
      <c r="U131" s="24"/>
      <c r="V131" s="3"/>
      <c r="W131" s="25" t="s">
        <v>6747</v>
      </c>
      <c r="X131" s="25"/>
      <c r="Y131" s="25" t="str">
        <f>IFERROR(VLOOKUP(C_Ope_006[[#This Row],[NOTA 2]],Clientes_Proveedores[[Ruc / Dni]:[Razon Social]],2,0),"")</f>
        <v/>
      </c>
      <c r="Z131" s="25"/>
      <c r="AA131" s="15"/>
      <c r="AB131" s="3" t="str">
        <f>IF(C_Ope_006[[#This Row],[FECHA]]&gt;0,TEXT(C_Ope_006[[#This Row],[FECHA]],"mmmm"),0)</f>
        <v>Mayo</v>
      </c>
    </row>
    <row r="132" spans="2:28" ht="24" x14ac:dyDescent="0.3">
      <c r="B132" s="2">
        <f>IF(C_Ope_006[[#This Row],[TIPO DE R.]]="R",COUNTIFS($D$4:$D131,"R")+1,"")</f>
        <v>128</v>
      </c>
      <c r="C132" s="19" t="str">
        <f t="shared" si="19"/>
        <v>C_Ope_006</v>
      </c>
      <c r="D132" s="3" t="s">
        <v>1074</v>
      </c>
      <c r="E132" s="14">
        <v>45800</v>
      </c>
      <c r="F132" s="5" t="s">
        <v>7372</v>
      </c>
      <c r="G132" s="5" t="s">
        <v>1079</v>
      </c>
      <c r="H132" s="6"/>
      <c r="I132" s="6" t="s">
        <v>14</v>
      </c>
      <c r="J132" s="6" t="s">
        <v>5242</v>
      </c>
      <c r="K132" s="6">
        <v>2059259</v>
      </c>
      <c r="L132" s="7" t="s">
        <v>7430</v>
      </c>
      <c r="M132" s="8">
        <v>24302</v>
      </c>
      <c r="N132" s="8" t="str">
        <f t="shared" si="20"/>
        <v>PEN</v>
      </c>
      <c r="O132" s="13"/>
      <c r="P132" s="13">
        <v>12</v>
      </c>
      <c r="Q132" s="3">
        <f t="shared" si="16"/>
        <v>0</v>
      </c>
      <c r="R132" s="3">
        <f t="shared" si="17"/>
        <v>12</v>
      </c>
      <c r="S132" s="3">
        <f t="shared" si="18"/>
        <v>381.59999999999968</v>
      </c>
      <c r="T132" s="24"/>
      <c r="U132" s="24"/>
      <c r="V132" s="3"/>
      <c r="W132" s="25" t="s">
        <v>6747</v>
      </c>
      <c r="X132" s="25"/>
      <c r="Y132" s="25" t="str">
        <f>IFERROR(VLOOKUP(C_Ope_006[[#This Row],[NOTA 2]],Clientes_Proveedores[[Ruc / Dni]:[Razon Social]],2,0),"")</f>
        <v/>
      </c>
      <c r="Z132" s="25"/>
      <c r="AA132" s="15"/>
      <c r="AB132" s="3" t="str">
        <f>IF(C_Ope_006[[#This Row],[FECHA]]&gt;0,TEXT(C_Ope_006[[#This Row],[FECHA]],"mmmm"),0)</f>
        <v>Mayo</v>
      </c>
    </row>
    <row r="133" spans="2:28" ht="24" x14ac:dyDescent="0.3">
      <c r="B133" s="2">
        <f>IF(C_Ope_006[[#This Row],[TIPO DE R.]]="R",COUNTIFS($D$4:$D132,"R")+1,"")</f>
        <v>129</v>
      </c>
      <c r="C133" s="19" t="str">
        <f t="shared" si="19"/>
        <v>C_Ope_006</v>
      </c>
      <c r="D133" s="3" t="s">
        <v>1074</v>
      </c>
      <c r="E133" s="14">
        <v>45796</v>
      </c>
      <c r="F133" s="5" t="s">
        <v>7372</v>
      </c>
      <c r="G133" s="5" t="s">
        <v>1079</v>
      </c>
      <c r="H133" s="6"/>
      <c r="I133" s="6" t="s">
        <v>14</v>
      </c>
      <c r="J133" s="6" t="s">
        <v>1429</v>
      </c>
      <c r="K133" s="6">
        <v>16403</v>
      </c>
      <c r="L133" s="7" t="s">
        <v>7436</v>
      </c>
      <c r="M133" s="8">
        <v>24218</v>
      </c>
      <c r="N133" s="8" t="str">
        <f t="shared" si="20"/>
        <v>PEN</v>
      </c>
      <c r="O133" s="13"/>
      <c r="P133" s="13">
        <v>12</v>
      </c>
      <c r="Q133" s="3">
        <f t="shared" ref="Q133:Q164" si="21">+IF(OR($G133="SALDO",$G133="INGRESO"),$P133,0)</f>
        <v>0</v>
      </c>
      <c r="R133" s="3">
        <f t="shared" ref="R133:R164" si="22">+IF($G133="EGRESO",$P133,0)</f>
        <v>12</v>
      </c>
      <c r="S133" s="3">
        <f t="shared" ref="S133:S164" si="23">IFERROR(IF(G133="SALDO",Q133,S132+Q133-R133),0)</f>
        <v>369.59999999999968</v>
      </c>
      <c r="T133" s="24"/>
      <c r="U133" s="24"/>
      <c r="V133" s="3"/>
      <c r="W133" s="25" t="s">
        <v>6747</v>
      </c>
      <c r="X133" s="25"/>
      <c r="Y133" s="25" t="str">
        <f>IFERROR(VLOOKUP(C_Ope_006[[#This Row],[NOTA 2]],Clientes_Proveedores[[Ruc / Dni]:[Razon Social]],2,0),"")</f>
        <v/>
      </c>
      <c r="Z133" s="25"/>
      <c r="AA133" s="15"/>
      <c r="AB133" s="3" t="str">
        <f>IF(C_Ope_006[[#This Row],[FECHA]]&gt;0,TEXT(C_Ope_006[[#This Row],[FECHA]],"mmmm"),0)</f>
        <v>Mayo</v>
      </c>
    </row>
    <row r="134" spans="2:28" x14ac:dyDescent="0.3">
      <c r="B134" s="2">
        <f>IF(C_Ope_006[[#This Row],[TIPO DE R.]]="R",COUNTIFS($D$4:$D133,"R")+1,"")</f>
        <v>130</v>
      </c>
      <c r="C134" s="19" t="str">
        <f t="shared" ref="C134:C165" si="24">"C_Ope_006"</f>
        <v>C_Ope_006</v>
      </c>
      <c r="D134" s="3" t="s">
        <v>1074</v>
      </c>
      <c r="E134" s="14">
        <v>45799</v>
      </c>
      <c r="F134" s="5" t="s">
        <v>7372</v>
      </c>
      <c r="G134" s="5" t="s">
        <v>1079</v>
      </c>
      <c r="H134" s="6"/>
      <c r="I134" s="6"/>
      <c r="J134" s="6"/>
      <c r="K134" s="6"/>
      <c r="L134" s="7" t="s">
        <v>7398</v>
      </c>
      <c r="M134" s="8">
        <v>24285</v>
      </c>
      <c r="N134" s="8" t="str">
        <f t="shared" ref="N134:N165" si="25">"PEN"</f>
        <v>PEN</v>
      </c>
      <c r="O134" s="13"/>
      <c r="P134" s="13">
        <v>36</v>
      </c>
      <c r="Q134" s="3">
        <f t="shared" si="21"/>
        <v>0</v>
      </c>
      <c r="R134" s="3">
        <f t="shared" si="22"/>
        <v>36</v>
      </c>
      <c r="S134" s="3">
        <f t="shared" si="23"/>
        <v>333.59999999999968</v>
      </c>
      <c r="T134" s="24"/>
      <c r="U134" s="24"/>
      <c r="V134" s="3"/>
      <c r="W134" s="25" t="s">
        <v>6747</v>
      </c>
      <c r="X134" s="25"/>
      <c r="Y134" s="25" t="str">
        <f>IFERROR(VLOOKUP(C_Ope_006[[#This Row],[NOTA 2]],Clientes_Proveedores[[Ruc / Dni]:[Razon Social]],2,0),"")</f>
        <v/>
      </c>
      <c r="Z134" s="25"/>
      <c r="AA134" s="15"/>
      <c r="AB134" s="3" t="str">
        <f>IF(C_Ope_006[[#This Row],[FECHA]]&gt;0,TEXT(C_Ope_006[[#This Row],[FECHA]],"mmmm"),0)</f>
        <v>Mayo</v>
      </c>
    </row>
    <row r="135" spans="2:28" x14ac:dyDescent="0.3">
      <c r="B135" s="2">
        <f>IF(C_Ope_006[[#This Row],[TIPO DE R.]]="R",COUNTIFS($D$4:$D134,"R")+1,"")</f>
        <v>131</v>
      </c>
      <c r="C135" s="19" t="str">
        <f t="shared" si="24"/>
        <v>C_Ope_006</v>
      </c>
      <c r="D135" s="3" t="s">
        <v>1074</v>
      </c>
      <c r="E135" s="14">
        <v>45799</v>
      </c>
      <c r="F135" s="5" t="s">
        <v>7372</v>
      </c>
      <c r="G135" s="5" t="s">
        <v>1079</v>
      </c>
      <c r="H135" s="6"/>
      <c r="I135" s="6" t="s">
        <v>14</v>
      </c>
      <c r="J135" s="6" t="s">
        <v>1121</v>
      </c>
      <c r="K135" s="6">
        <v>15</v>
      </c>
      <c r="L135" s="7" t="s">
        <v>7437</v>
      </c>
      <c r="M135" s="8">
        <v>24287</v>
      </c>
      <c r="N135" s="8" t="str">
        <f t="shared" si="25"/>
        <v>PEN</v>
      </c>
      <c r="O135" s="13"/>
      <c r="P135" s="13">
        <v>150</v>
      </c>
      <c r="Q135" s="3">
        <f t="shared" si="21"/>
        <v>0</v>
      </c>
      <c r="R135" s="3">
        <f t="shared" si="22"/>
        <v>150</v>
      </c>
      <c r="S135" s="3">
        <f t="shared" si="23"/>
        <v>183.59999999999968</v>
      </c>
      <c r="T135" s="24"/>
      <c r="U135" s="24"/>
      <c r="V135" s="3"/>
      <c r="W135" s="25" t="s">
        <v>6747</v>
      </c>
      <c r="X135" s="25"/>
      <c r="Y135" s="25" t="str">
        <f>IFERROR(VLOOKUP(C_Ope_006[[#This Row],[NOTA 2]],Clientes_Proveedores[[Ruc / Dni]:[Razon Social]],2,0),"")</f>
        <v/>
      </c>
      <c r="Z135" s="25"/>
      <c r="AA135" s="15"/>
      <c r="AB135" s="3" t="str">
        <f>IF(C_Ope_006[[#This Row],[FECHA]]&gt;0,TEXT(C_Ope_006[[#This Row],[FECHA]],"mmmm"),0)</f>
        <v>Mayo</v>
      </c>
    </row>
    <row r="136" spans="2:28" x14ac:dyDescent="0.3">
      <c r="B136" s="2">
        <f>IF(C_Ope_006[[#This Row],[TIPO DE R.]]="R",COUNTIFS($D$4:$D135,"R")+1,"")</f>
        <v>132</v>
      </c>
      <c r="C136" s="19" t="str">
        <f t="shared" si="24"/>
        <v>C_Ope_006</v>
      </c>
      <c r="D136" s="3" t="s">
        <v>1074</v>
      </c>
      <c r="E136" s="14">
        <v>45799</v>
      </c>
      <c r="F136" s="5" t="s">
        <v>7372</v>
      </c>
      <c r="G136" s="5" t="s">
        <v>1079</v>
      </c>
      <c r="H136" s="6"/>
      <c r="I136" s="6"/>
      <c r="J136" s="6"/>
      <c r="K136" s="6"/>
      <c r="L136" s="7" t="s">
        <v>7438</v>
      </c>
      <c r="M136" s="8">
        <v>24288</v>
      </c>
      <c r="N136" s="8" t="str">
        <f t="shared" si="25"/>
        <v>PEN</v>
      </c>
      <c r="O136" s="13"/>
      <c r="P136" s="13">
        <v>15</v>
      </c>
      <c r="Q136" s="3">
        <f t="shared" si="21"/>
        <v>0</v>
      </c>
      <c r="R136" s="3">
        <f t="shared" si="22"/>
        <v>15</v>
      </c>
      <c r="S136" s="3">
        <f t="shared" si="23"/>
        <v>168.59999999999968</v>
      </c>
      <c r="T136" s="24"/>
      <c r="U136" s="24"/>
      <c r="V136" s="3"/>
      <c r="W136" s="25" t="s">
        <v>6747</v>
      </c>
      <c r="X136" s="25"/>
      <c r="Y136" s="25" t="str">
        <f>IFERROR(VLOOKUP(C_Ope_006[[#This Row],[NOTA 2]],Clientes_Proveedores[[Ruc / Dni]:[Razon Social]],2,0),"")</f>
        <v/>
      </c>
      <c r="Z136" s="25"/>
      <c r="AA136" s="15"/>
      <c r="AB136" s="3" t="str">
        <f>IF(C_Ope_006[[#This Row],[FECHA]]&gt;0,TEXT(C_Ope_006[[#This Row],[FECHA]],"mmmm"),0)</f>
        <v>Mayo</v>
      </c>
    </row>
    <row r="137" spans="2:28" x14ac:dyDescent="0.3">
      <c r="B137" s="2">
        <f>IF(C_Ope_006[[#This Row],[TIPO DE R.]]="R",COUNTIFS($D$4:$D136,"R")+1,"")</f>
        <v>133</v>
      </c>
      <c r="C137" s="19" t="str">
        <f t="shared" si="24"/>
        <v>C_Ope_006</v>
      </c>
      <c r="D137" s="3" t="s">
        <v>1074</v>
      </c>
      <c r="E137" s="14">
        <v>45800</v>
      </c>
      <c r="F137" s="5" t="s">
        <v>7372</v>
      </c>
      <c r="G137" s="5" t="s">
        <v>1079</v>
      </c>
      <c r="H137" s="6"/>
      <c r="I137" s="6"/>
      <c r="J137" s="6"/>
      <c r="K137" s="6"/>
      <c r="L137" s="7" t="s">
        <v>7401</v>
      </c>
      <c r="M137" s="8">
        <v>24289</v>
      </c>
      <c r="N137" s="8" t="str">
        <f t="shared" si="25"/>
        <v>PEN</v>
      </c>
      <c r="O137" s="13"/>
      <c r="P137" s="13">
        <v>36</v>
      </c>
      <c r="Q137" s="3">
        <f t="shared" si="21"/>
        <v>0</v>
      </c>
      <c r="R137" s="3">
        <f t="shared" si="22"/>
        <v>36</v>
      </c>
      <c r="S137" s="3">
        <f t="shared" si="23"/>
        <v>132.59999999999968</v>
      </c>
      <c r="T137" s="24"/>
      <c r="U137" s="24"/>
      <c r="V137" s="3"/>
      <c r="W137" s="25" t="s">
        <v>6747</v>
      </c>
      <c r="X137" s="25"/>
      <c r="Y137" s="25" t="str">
        <f>IFERROR(VLOOKUP(C_Ope_006[[#This Row],[NOTA 2]],Clientes_Proveedores[[Ruc / Dni]:[Razon Social]],2,0),"")</f>
        <v/>
      </c>
      <c r="Z137" s="25"/>
      <c r="AA137" s="15"/>
      <c r="AB137" s="3" t="str">
        <f>IF(C_Ope_006[[#This Row],[FECHA]]&gt;0,TEXT(C_Ope_006[[#This Row],[FECHA]],"mmmm"),0)</f>
        <v>Mayo</v>
      </c>
    </row>
    <row r="138" spans="2:28" x14ac:dyDescent="0.3">
      <c r="B138" s="2">
        <f>IF(C_Ope_006[[#This Row],[TIPO DE R.]]="R",COUNTIFS($D$4:$D137,"R")+1,"")</f>
        <v>134</v>
      </c>
      <c r="C138" s="19" t="str">
        <f t="shared" si="24"/>
        <v>C_Ope_006</v>
      </c>
      <c r="D138" s="3" t="s">
        <v>1074</v>
      </c>
      <c r="E138" s="14">
        <v>45800</v>
      </c>
      <c r="F138" s="5" t="s">
        <v>7372</v>
      </c>
      <c r="G138" s="5" t="s">
        <v>1079</v>
      </c>
      <c r="H138" s="6"/>
      <c r="I138" s="6" t="s">
        <v>21</v>
      </c>
      <c r="J138" s="6">
        <v>1</v>
      </c>
      <c r="K138" s="6">
        <v>36275</v>
      </c>
      <c r="L138" s="7" t="s">
        <v>7402</v>
      </c>
      <c r="M138" s="8">
        <v>24299</v>
      </c>
      <c r="N138" s="8" t="str">
        <f t="shared" si="25"/>
        <v>PEN</v>
      </c>
      <c r="O138" s="13"/>
      <c r="P138" s="13">
        <v>45</v>
      </c>
      <c r="Q138" s="3">
        <f t="shared" si="21"/>
        <v>0</v>
      </c>
      <c r="R138" s="3">
        <f t="shared" si="22"/>
        <v>45</v>
      </c>
      <c r="S138" s="3">
        <f t="shared" si="23"/>
        <v>87.599999999999682</v>
      </c>
      <c r="T138" s="24"/>
      <c r="U138" s="24"/>
      <c r="V138" s="3"/>
      <c r="W138" s="25" t="s">
        <v>6747</v>
      </c>
      <c r="X138" s="25"/>
      <c r="Y138" s="25" t="str">
        <f>IFERROR(VLOOKUP(C_Ope_006[[#This Row],[NOTA 2]],Clientes_Proveedores[[Ruc / Dni]:[Razon Social]],2,0),"")</f>
        <v/>
      </c>
      <c r="Z138" s="25"/>
      <c r="AA138" s="15"/>
      <c r="AB138" s="3" t="str">
        <f>IF(C_Ope_006[[#This Row],[FECHA]]&gt;0,TEXT(C_Ope_006[[#This Row],[FECHA]],"mmmm"),0)</f>
        <v>Mayo</v>
      </c>
    </row>
    <row r="139" spans="2:28" x14ac:dyDescent="0.3">
      <c r="B139" s="2">
        <f>IF(C_Ope_006[[#This Row],[TIPO DE R.]]="R",COUNTIFS($D$4:$D138,"R")+1,"")</f>
        <v>135</v>
      </c>
      <c r="C139" s="19" t="str">
        <f t="shared" si="24"/>
        <v>C_Ope_006</v>
      </c>
      <c r="D139" s="3" t="s">
        <v>1074</v>
      </c>
      <c r="E139" s="14">
        <v>45807</v>
      </c>
      <c r="F139" s="5"/>
      <c r="G139" s="5" t="s">
        <v>1087</v>
      </c>
      <c r="H139" s="6"/>
      <c r="I139" s="6"/>
      <c r="J139" s="6"/>
      <c r="K139" s="6"/>
      <c r="L139" s="7" t="s">
        <v>7113</v>
      </c>
      <c r="M139" s="8">
        <v>24399</v>
      </c>
      <c r="N139" s="8" t="str">
        <f t="shared" si="25"/>
        <v>PEN</v>
      </c>
      <c r="O139" s="13"/>
      <c r="P139" s="13">
        <v>150</v>
      </c>
      <c r="Q139" s="3">
        <f t="shared" si="21"/>
        <v>150</v>
      </c>
      <c r="R139" s="3">
        <f t="shared" si="22"/>
        <v>0</v>
      </c>
      <c r="S139" s="3">
        <f t="shared" si="23"/>
        <v>237.59999999999968</v>
      </c>
      <c r="T139" s="24"/>
      <c r="U139" s="24"/>
      <c r="V139" s="3"/>
      <c r="W139" s="25"/>
      <c r="X139" s="25"/>
      <c r="Y139" s="25" t="str">
        <f>IFERROR(VLOOKUP(C_Ope_006[[#This Row],[NOTA 2]],Clientes_Proveedores[[Ruc / Dni]:[Razon Social]],2,0),"")</f>
        <v/>
      </c>
      <c r="Z139" s="25"/>
      <c r="AA139" s="15"/>
      <c r="AB139" s="3" t="str">
        <f>IF(C_Ope_006[[#This Row],[FECHA]]&gt;0,TEXT(C_Ope_006[[#This Row],[FECHA]],"mmmm"),0)</f>
        <v>Mayo</v>
      </c>
    </row>
    <row r="140" spans="2:28" ht="24" x14ac:dyDescent="0.3">
      <c r="B140" s="2">
        <f>IF(C_Ope_006[[#This Row],[TIPO DE R.]]="R",COUNTIFS($D$4:$D139,"R")+1,"")</f>
        <v>136</v>
      </c>
      <c r="C140" s="19" t="str">
        <f t="shared" si="24"/>
        <v>C_Ope_006</v>
      </c>
      <c r="D140" s="3" t="s">
        <v>1074</v>
      </c>
      <c r="E140" s="14">
        <v>45805</v>
      </c>
      <c r="F140" s="5" t="s">
        <v>7372</v>
      </c>
      <c r="G140" s="5" t="s">
        <v>1079</v>
      </c>
      <c r="H140" s="6"/>
      <c r="I140" s="6" t="s">
        <v>14</v>
      </c>
      <c r="J140" s="6" t="s">
        <v>5243</v>
      </c>
      <c r="K140" s="6">
        <v>2346792</v>
      </c>
      <c r="L140" s="7" t="s">
        <v>7439</v>
      </c>
      <c r="M140" s="8">
        <v>24340</v>
      </c>
      <c r="N140" s="8" t="str">
        <f t="shared" si="25"/>
        <v>PEN</v>
      </c>
      <c r="O140" s="13"/>
      <c r="P140" s="13">
        <v>8</v>
      </c>
      <c r="Q140" s="3">
        <f t="shared" si="21"/>
        <v>0</v>
      </c>
      <c r="R140" s="3">
        <f t="shared" si="22"/>
        <v>8</v>
      </c>
      <c r="S140" s="3">
        <f t="shared" si="23"/>
        <v>229.59999999999968</v>
      </c>
      <c r="T140" s="24"/>
      <c r="U140" s="24"/>
      <c r="V140" s="3"/>
      <c r="W140" s="25" t="s">
        <v>6630</v>
      </c>
      <c r="X140" s="25"/>
      <c r="Y140" s="25" t="str">
        <f>IFERROR(VLOOKUP(C_Ope_006[[#This Row],[NOTA 2]],Clientes_Proveedores[[Ruc / Dni]:[Razon Social]],2,0),"")</f>
        <v/>
      </c>
      <c r="Z140" s="25"/>
      <c r="AA140" s="15"/>
      <c r="AB140" s="3" t="str">
        <f>IF(C_Ope_006[[#This Row],[FECHA]]&gt;0,TEXT(C_Ope_006[[#This Row],[FECHA]],"mmmm"),0)</f>
        <v>Mayo</v>
      </c>
    </row>
    <row r="141" spans="2:28" ht="24" x14ac:dyDescent="0.3">
      <c r="B141" s="2">
        <f>IF(C_Ope_006[[#This Row],[TIPO DE R.]]="R",COUNTIFS($D$4:$D140,"R")+1,"")</f>
        <v>137</v>
      </c>
      <c r="C141" s="19" t="str">
        <f t="shared" si="24"/>
        <v>C_Ope_006</v>
      </c>
      <c r="D141" s="3" t="s">
        <v>1074</v>
      </c>
      <c r="E141" s="14">
        <v>45805</v>
      </c>
      <c r="F141" s="5" t="s">
        <v>7372</v>
      </c>
      <c r="G141" s="5" t="s">
        <v>1079</v>
      </c>
      <c r="H141" s="6"/>
      <c r="I141" s="6" t="s">
        <v>14</v>
      </c>
      <c r="J141" s="6" t="s">
        <v>5245</v>
      </c>
      <c r="K141" s="6">
        <v>1762760</v>
      </c>
      <c r="L141" s="7" t="s">
        <v>7439</v>
      </c>
      <c r="M141" s="8">
        <v>24341</v>
      </c>
      <c r="N141" s="8" t="str">
        <f t="shared" si="25"/>
        <v>PEN</v>
      </c>
      <c r="O141" s="13"/>
      <c r="P141" s="13">
        <v>8</v>
      </c>
      <c r="Q141" s="3">
        <f t="shared" si="21"/>
        <v>0</v>
      </c>
      <c r="R141" s="3">
        <f t="shared" si="22"/>
        <v>8</v>
      </c>
      <c r="S141" s="3">
        <f t="shared" si="23"/>
        <v>221.59999999999968</v>
      </c>
      <c r="T141" s="24"/>
      <c r="U141" s="24"/>
      <c r="V141" s="3"/>
      <c r="W141" s="25" t="s">
        <v>6630</v>
      </c>
      <c r="X141" s="25"/>
      <c r="Y141" s="25" t="str">
        <f>IFERROR(VLOOKUP(C_Ope_006[[#This Row],[NOTA 2]],Clientes_Proveedores[[Ruc / Dni]:[Razon Social]],2,0),"")</f>
        <v/>
      </c>
      <c r="Z141" s="25"/>
      <c r="AA141" s="15"/>
      <c r="AB141" s="3" t="str">
        <f>IF(C_Ope_006[[#This Row],[FECHA]]&gt;0,TEXT(C_Ope_006[[#This Row],[FECHA]],"mmmm"),0)</f>
        <v>Mayo</v>
      </c>
    </row>
    <row r="142" spans="2:28" ht="24" x14ac:dyDescent="0.3">
      <c r="B142" s="2">
        <f>IF(C_Ope_006[[#This Row],[TIPO DE R.]]="R",COUNTIFS($D$4:$D141,"R")+1,"")</f>
        <v>138</v>
      </c>
      <c r="C142" s="19" t="str">
        <f t="shared" si="24"/>
        <v>C_Ope_006</v>
      </c>
      <c r="D142" s="3" t="s">
        <v>1074</v>
      </c>
      <c r="E142" s="14">
        <v>45806</v>
      </c>
      <c r="F142" s="5" t="s">
        <v>7372</v>
      </c>
      <c r="G142" s="5" t="s">
        <v>1079</v>
      </c>
      <c r="H142" s="6"/>
      <c r="I142" s="6" t="s">
        <v>14</v>
      </c>
      <c r="J142" s="6" t="s">
        <v>5244</v>
      </c>
      <c r="K142" s="6">
        <v>1744110</v>
      </c>
      <c r="L142" s="7" t="s">
        <v>7427</v>
      </c>
      <c r="M142" s="8">
        <v>24347</v>
      </c>
      <c r="N142" s="8" t="str">
        <f t="shared" si="25"/>
        <v>PEN</v>
      </c>
      <c r="O142" s="13"/>
      <c r="P142" s="13">
        <v>8</v>
      </c>
      <c r="Q142" s="3">
        <f t="shared" si="21"/>
        <v>0</v>
      </c>
      <c r="R142" s="3">
        <f t="shared" si="22"/>
        <v>8</v>
      </c>
      <c r="S142" s="3">
        <f t="shared" si="23"/>
        <v>213.59999999999968</v>
      </c>
      <c r="T142" s="24"/>
      <c r="U142" s="24"/>
      <c r="V142" s="3"/>
      <c r="W142" s="25" t="s">
        <v>6630</v>
      </c>
      <c r="X142" s="25"/>
      <c r="Y142" s="25" t="str">
        <f>IFERROR(VLOOKUP(C_Ope_006[[#This Row],[NOTA 2]],Clientes_Proveedores[[Ruc / Dni]:[Razon Social]],2,0),"")</f>
        <v/>
      </c>
      <c r="Z142" s="25"/>
      <c r="AA142" s="15"/>
      <c r="AB142" s="3" t="str">
        <f>IF(C_Ope_006[[#This Row],[FECHA]]&gt;0,TEXT(C_Ope_006[[#This Row],[FECHA]],"mmmm"),0)</f>
        <v>Mayo</v>
      </c>
    </row>
    <row r="143" spans="2:28" ht="24" x14ac:dyDescent="0.3">
      <c r="B143" s="2">
        <f>IF(C_Ope_006[[#This Row],[TIPO DE R.]]="R",COUNTIFS($D$4:$D142,"R")+1,"")</f>
        <v>139</v>
      </c>
      <c r="C143" s="19" t="str">
        <f t="shared" si="24"/>
        <v>C_Ope_006</v>
      </c>
      <c r="D143" s="3" t="s">
        <v>1074</v>
      </c>
      <c r="E143" s="14">
        <v>45806</v>
      </c>
      <c r="F143" s="5" t="s">
        <v>7372</v>
      </c>
      <c r="G143" s="5" t="s">
        <v>1079</v>
      </c>
      <c r="H143" s="6"/>
      <c r="I143" s="6" t="s">
        <v>14</v>
      </c>
      <c r="J143" s="6" t="s">
        <v>5245</v>
      </c>
      <c r="K143" s="6">
        <v>1763758</v>
      </c>
      <c r="L143" s="7" t="s">
        <v>7427</v>
      </c>
      <c r="M143" s="8">
        <v>24348</v>
      </c>
      <c r="N143" s="8" t="str">
        <f t="shared" si="25"/>
        <v>PEN</v>
      </c>
      <c r="O143" s="13"/>
      <c r="P143" s="13">
        <v>8</v>
      </c>
      <c r="Q143" s="3">
        <f t="shared" si="21"/>
        <v>0</v>
      </c>
      <c r="R143" s="3">
        <f t="shared" si="22"/>
        <v>8</v>
      </c>
      <c r="S143" s="3">
        <f t="shared" si="23"/>
        <v>205.59999999999968</v>
      </c>
      <c r="T143" s="24"/>
      <c r="U143" s="24"/>
      <c r="V143" s="3"/>
      <c r="W143" s="25" t="s">
        <v>6630</v>
      </c>
      <c r="X143" s="25"/>
      <c r="Y143" s="25" t="str">
        <f>IFERROR(VLOOKUP(C_Ope_006[[#This Row],[NOTA 2]],Clientes_Proveedores[[Ruc / Dni]:[Razon Social]],2,0),"")</f>
        <v/>
      </c>
      <c r="Z143" s="25"/>
      <c r="AA143" s="15"/>
      <c r="AB143" s="3" t="str">
        <f>IF(C_Ope_006[[#This Row],[FECHA]]&gt;0,TEXT(C_Ope_006[[#This Row],[FECHA]],"mmmm"),0)</f>
        <v>Mayo</v>
      </c>
    </row>
    <row r="144" spans="2:28" ht="24" x14ac:dyDescent="0.3">
      <c r="B144" s="2">
        <f>IF(C_Ope_006[[#This Row],[TIPO DE R.]]="R",COUNTIFS($D$4:$D143,"R")+1,"")</f>
        <v>140</v>
      </c>
      <c r="C144" s="19" t="str">
        <f t="shared" si="24"/>
        <v>C_Ope_006</v>
      </c>
      <c r="D144" s="3" t="s">
        <v>1074</v>
      </c>
      <c r="E144" s="14">
        <v>45812</v>
      </c>
      <c r="F144" s="5" t="s">
        <v>7372</v>
      </c>
      <c r="G144" s="5" t="s">
        <v>1079</v>
      </c>
      <c r="H144" s="6"/>
      <c r="I144" s="6" t="s">
        <v>14</v>
      </c>
      <c r="J144" s="6" t="s">
        <v>5244</v>
      </c>
      <c r="K144" s="6">
        <v>1749519</v>
      </c>
      <c r="L144" s="7" t="s">
        <v>7440</v>
      </c>
      <c r="M144" s="8">
        <v>24443</v>
      </c>
      <c r="N144" s="8" t="str">
        <f t="shared" si="25"/>
        <v>PEN</v>
      </c>
      <c r="O144" s="13"/>
      <c r="P144" s="13">
        <v>12</v>
      </c>
      <c r="Q144" s="3">
        <f t="shared" si="21"/>
        <v>0</v>
      </c>
      <c r="R144" s="3">
        <f t="shared" si="22"/>
        <v>12</v>
      </c>
      <c r="S144" s="3">
        <f t="shared" si="23"/>
        <v>193.59999999999968</v>
      </c>
      <c r="T144" s="24"/>
      <c r="U144" s="24"/>
      <c r="V144" s="3"/>
      <c r="W144" s="25" t="s">
        <v>6747</v>
      </c>
      <c r="X144" s="25"/>
      <c r="Y144" s="25" t="str">
        <f>IFERROR(VLOOKUP(C_Ope_006[[#This Row],[NOTA 2]],Clientes_Proveedores[[Ruc / Dni]:[Razon Social]],2,0),"")</f>
        <v/>
      </c>
      <c r="Z144" s="25"/>
      <c r="AA144" s="15"/>
      <c r="AB144" s="3" t="str">
        <f>IF(C_Ope_006[[#This Row],[FECHA]]&gt;0,TEXT(C_Ope_006[[#This Row],[FECHA]],"mmmm"),0)</f>
        <v>Junio</v>
      </c>
    </row>
    <row r="145" spans="2:28" ht="24" x14ac:dyDescent="0.3">
      <c r="B145" s="2">
        <f>IF(C_Ope_006[[#This Row],[TIPO DE R.]]="R",COUNTIFS($D$4:$D144,"R")+1,"")</f>
        <v>141</v>
      </c>
      <c r="C145" s="19" t="str">
        <f t="shared" si="24"/>
        <v>C_Ope_006</v>
      </c>
      <c r="D145" s="3" t="s">
        <v>1074</v>
      </c>
      <c r="E145" s="14">
        <v>45812</v>
      </c>
      <c r="F145" s="5" t="s">
        <v>7372</v>
      </c>
      <c r="G145" s="5" t="s">
        <v>1079</v>
      </c>
      <c r="H145" s="6"/>
      <c r="I145" s="6" t="s">
        <v>14</v>
      </c>
      <c r="J145" s="6" t="s">
        <v>5242</v>
      </c>
      <c r="K145" s="6">
        <v>2071359</v>
      </c>
      <c r="L145" s="7" t="s">
        <v>7441</v>
      </c>
      <c r="M145" s="8">
        <v>24444</v>
      </c>
      <c r="N145" s="8" t="str">
        <f t="shared" si="25"/>
        <v>PEN</v>
      </c>
      <c r="O145" s="13"/>
      <c r="P145" s="13">
        <v>8</v>
      </c>
      <c r="Q145" s="3">
        <f t="shared" si="21"/>
        <v>0</v>
      </c>
      <c r="R145" s="3">
        <f t="shared" si="22"/>
        <v>8</v>
      </c>
      <c r="S145" s="3">
        <f t="shared" si="23"/>
        <v>185.59999999999968</v>
      </c>
      <c r="T145" s="24"/>
      <c r="U145" s="24"/>
      <c r="V145" s="3"/>
      <c r="W145" s="25" t="s">
        <v>6630</v>
      </c>
      <c r="X145" s="25"/>
      <c r="Y145" s="25" t="str">
        <f>IFERROR(VLOOKUP(C_Ope_006[[#This Row],[NOTA 2]],Clientes_Proveedores[[Ruc / Dni]:[Razon Social]],2,0),"")</f>
        <v/>
      </c>
      <c r="Z145" s="25"/>
      <c r="AA145" s="15"/>
      <c r="AB145" s="3" t="str">
        <f>IF(C_Ope_006[[#This Row],[FECHA]]&gt;0,TEXT(C_Ope_006[[#This Row],[FECHA]],"mmmm"),0)</f>
        <v>Junio</v>
      </c>
    </row>
    <row r="146" spans="2:28" ht="24" x14ac:dyDescent="0.3">
      <c r="B146" s="2">
        <f>IF(C_Ope_006[[#This Row],[TIPO DE R.]]="R",COUNTIFS($D$4:$D145,"R")+1,"")</f>
        <v>142</v>
      </c>
      <c r="C146" s="19" t="str">
        <f t="shared" si="24"/>
        <v>C_Ope_006</v>
      </c>
      <c r="D146" s="3" t="s">
        <v>1074</v>
      </c>
      <c r="E146" s="14">
        <v>45814</v>
      </c>
      <c r="F146" s="5" t="s">
        <v>7372</v>
      </c>
      <c r="G146" s="5" t="s">
        <v>1079</v>
      </c>
      <c r="H146" s="6"/>
      <c r="I146" s="6" t="s">
        <v>14</v>
      </c>
      <c r="J146" s="6" t="s">
        <v>5243</v>
      </c>
      <c r="K146" s="6">
        <v>2357240</v>
      </c>
      <c r="L146" s="7" t="s">
        <v>6608</v>
      </c>
      <c r="M146" s="8">
        <v>24470</v>
      </c>
      <c r="N146" s="8" t="str">
        <f t="shared" si="25"/>
        <v>PEN</v>
      </c>
      <c r="O146" s="13"/>
      <c r="P146" s="13">
        <v>8</v>
      </c>
      <c r="Q146" s="3">
        <f t="shared" si="21"/>
        <v>0</v>
      </c>
      <c r="R146" s="3">
        <f t="shared" si="22"/>
        <v>8</v>
      </c>
      <c r="S146" s="3">
        <f t="shared" si="23"/>
        <v>177.59999999999968</v>
      </c>
      <c r="T146" s="24"/>
      <c r="U146" s="24"/>
      <c r="V146" s="3"/>
      <c r="W146" s="25" t="s">
        <v>6813</v>
      </c>
      <c r="X146" s="25"/>
      <c r="Y146" s="25" t="str">
        <f>IFERROR(VLOOKUP(C_Ope_006[[#This Row],[NOTA 2]],Clientes_Proveedores[[Ruc / Dni]:[Razon Social]],2,0),"")</f>
        <v/>
      </c>
      <c r="Z146" s="25"/>
      <c r="AA146" s="15"/>
      <c r="AB146" s="3" t="str">
        <f>IF(C_Ope_006[[#This Row],[FECHA]]&gt;0,TEXT(C_Ope_006[[#This Row],[FECHA]],"mmmm"),0)</f>
        <v>Junio</v>
      </c>
    </row>
    <row r="147" spans="2:28" ht="24" x14ac:dyDescent="0.3">
      <c r="B147" s="2">
        <f>IF(C_Ope_006[[#This Row],[TIPO DE R.]]="R",COUNTIFS($D$4:$D146,"R")+1,"")</f>
        <v>143</v>
      </c>
      <c r="C147" s="19" t="str">
        <f t="shared" si="24"/>
        <v>C_Ope_006</v>
      </c>
      <c r="D147" s="3" t="s">
        <v>1074</v>
      </c>
      <c r="E147" s="14">
        <v>45811</v>
      </c>
      <c r="F147" s="5" t="s">
        <v>7372</v>
      </c>
      <c r="G147" s="5" t="s">
        <v>1079</v>
      </c>
      <c r="H147" s="6"/>
      <c r="I147" s="6" t="s">
        <v>14</v>
      </c>
      <c r="J147" s="6" t="s">
        <v>1088</v>
      </c>
      <c r="K147" s="6">
        <v>34819</v>
      </c>
      <c r="L147" s="7" t="s">
        <v>7442</v>
      </c>
      <c r="M147" s="8">
        <v>24421</v>
      </c>
      <c r="N147" s="8" t="str">
        <f t="shared" si="25"/>
        <v>PEN</v>
      </c>
      <c r="O147" s="13"/>
      <c r="P147" s="13">
        <v>10</v>
      </c>
      <c r="Q147" s="3">
        <f t="shared" si="21"/>
        <v>0</v>
      </c>
      <c r="R147" s="3">
        <f t="shared" si="22"/>
        <v>10</v>
      </c>
      <c r="S147" s="3">
        <f t="shared" si="23"/>
        <v>167.59999999999968</v>
      </c>
      <c r="T147" s="24"/>
      <c r="U147" s="24"/>
      <c r="V147" s="3"/>
      <c r="W147" s="25" t="s">
        <v>6747</v>
      </c>
      <c r="X147" s="25"/>
      <c r="Y147" s="25" t="str">
        <f>IFERROR(VLOOKUP(C_Ope_006[[#This Row],[NOTA 2]],Clientes_Proveedores[[Ruc / Dni]:[Razon Social]],2,0),"")</f>
        <v/>
      </c>
      <c r="Z147" s="25"/>
      <c r="AA147" s="15"/>
      <c r="AB147" s="3" t="str">
        <f>IF(C_Ope_006[[#This Row],[FECHA]]&gt;0,TEXT(C_Ope_006[[#This Row],[FECHA]],"mmmm"),0)</f>
        <v>Junio</v>
      </c>
    </row>
    <row r="148" spans="2:28" ht="24" x14ac:dyDescent="0.3">
      <c r="B148" s="2">
        <f>IF(C_Ope_006[[#This Row],[TIPO DE R.]]="R",COUNTIFS($D$4:$D147,"R")+1,"")</f>
        <v>144</v>
      </c>
      <c r="C148" s="19" t="str">
        <f t="shared" si="24"/>
        <v>C_Ope_006</v>
      </c>
      <c r="D148" s="3" t="s">
        <v>1074</v>
      </c>
      <c r="E148" s="14">
        <v>45814</v>
      </c>
      <c r="F148" s="5" t="s">
        <v>7372</v>
      </c>
      <c r="G148" s="5" t="s">
        <v>1079</v>
      </c>
      <c r="H148" s="6"/>
      <c r="I148" s="6" t="s">
        <v>14</v>
      </c>
      <c r="J148" s="6" t="s">
        <v>1088</v>
      </c>
      <c r="K148" s="6">
        <v>34843</v>
      </c>
      <c r="L148" s="7" t="s">
        <v>7443</v>
      </c>
      <c r="M148" s="8">
        <v>24469</v>
      </c>
      <c r="N148" s="8" t="str">
        <f t="shared" si="25"/>
        <v>PEN</v>
      </c>
      <c r="O148" s="13"/>
      <c r="P148" s="13">
        <v>10</v>
      </c>
      <c r="Q148" s="3">
        <f t="shared" si="21"/>
        <v>0</v>
      </c>
      <c r="R148" s="3">
        <f t="shared" si="22"/>
        <v>10</v>
      </c>
      <c r="S148" s="3">
        <f t="shared" si="23"/>
        <v>157.59999999999968</v>
      </c>
      <c r="T148" s="24"/>
      <c r="U148" s="24"/>
      <c r="V148" s="3"/>
      <c r="W148" s="25" t="s">
        <v>6813</v>
      </c>
      <c r="X148" s="25"/>
      <c r="Y148" s="25" t="str">
        <f>IFERROR(VLOOKUP(C_Ope_006[[#This Row],[NOTA 2]],Clientes_Proveedores[[Ruc / Dni]:[Razon Social]],2,0),"")</f>
        <v/>
      </c>
      <c r="Z148" s="25"/>
      <c r="AA148" s="15"/>
      <c r="AB148" s="3" t="str">
        <f>IF(C_Ope_006[[#This Row],[FECHA]]&gt;0,TEXT(C_Ope_006[[#This Row],[FECHA]],"mmmm"),0)</f>
        <v>Junio</v>
      </c>
    </row>
    <row r="149" spans="2:28" x14ac:dyDescent="0.3">
      <c r="B149" s="2">
        <f>IF(C_Ope_006[[#This Row],[TIPO DE R.]]="R",COUNTIFS($D$4:$D148,"R")+1,"")</f>
        <v>145</v>
      </c>
      <c r="C149" s="19" t="str">
        <f t="shared" si="24"/>
        <v>C_Ope_006</v>
      </c>
      <c r="D149" s="3" t="s">
        <v>1074</v>
      </c>
      <c r="E149" s="14">
        <v>45817</v>
      </c>
      <c r="F149" s="5"/>
      <c r="G149" s="5" t="s">
        <v>1087</v>
      </c>
      <c r="H149" s="6"/>
      <c r="I149" s="6"/>
      <c r="J149" s="6"/>
      <c r="K149" s="6"/>
      <c r="L149" s="7" t="s">
        <v>7113</v>
      </c>
      <c r="M149" s="8">
        <v>24522</v>
      </c>
      <c r="N149" s="8" t="str">
        <f t="shared" si="25"/>
        <v>PEN</v>
      </c>
      <c r="O149" s="13"/>
      <c r="P149" s="13">
        <v>40</v>
      </c>
      <c r="Q149" s="3">
        <f t="shared" si="21"/>
        <v>40</v>
      </c>
      <c r="R149" s="3">
        <f t="shared" si="22"/>
        <v>0</v>
      </c>
      <c r="S149" s="3">
        <f t="shared" si="23"/>
        <v>197.59999999999968</v>
      </c>
      <c r="T149" s="24"/>
      <c r="U149" s="24"/>
      <c r="V149" s="3"/>
      <c r="W149" s="25"/>
      <c r="X149" s="25"/>
      <c r="Y149" s="25" t="str">
        <f>IFERROR(VLOOKUP(C_Ope_006[[#This Row],[NOTA 2]],Clientes_Proveedores[[Ruc / Dni]:[Razon Social]],2,0),"")</f>
        <v/>
      </c>
      <c r="Z149" s="25"/>
      <c r="AA149" s="15"/>
      <c r="AB149" s="3" t="str">
        <f>IF(C_Ope_006[[#This Row],[FECHA]]&gt;0,TEXT(C_Ope_006[[#This Row],[FECHA]],"mmmm"),0)</f>
        <v>Junio</v>
      </c>
    </row>
    <row r="150" spans="2:28" x14ac:dyDescent="0.3">
      <c r="B150" s="2">
        <f>IF(C_Ope_006[[#This Row],[TIPO DE R.]]="R",COUNTIFS($D$4:$D149,"R")+1,"")</f>
        <v>146</v>
      </c>
      <c r="C150" s="19" t="str">
        <f t="shared" si="24"/>
        <v>C_Ope_006</v>
      </c>
      <c r="D150" s="3" t="s">
        <v>1074</v>
      </c>
      <c r="E150" s="14">
        <v>45820</v>
      </c>
      <c r="F150" s="5" t="s">
        <v>7372</v>
      </c>
      <c r="G150" s="5" t="s">
        <v>1079</v>
      </c>
      <c r="H150" s="6"/>
      <c r="I150" s="6" t="s">
        <v>14</v>
      </c>
      <c r="J150" s="6" t="s">
        <v>5244</v>
      </c>
      <c r="K150" s="6">
        <v>1756688</v>
      </c>
      <c r="L150" s="7" t="s">
        <v>7444</v>
      </c>
      <c r="M150" s="8">
        <v>24551</v>
      </c>
      <c r="N150" s="8" t="str">
        <f t="shared" si="25"/>
        <v>PEN</v>
      </c>
      <c r="O150" s="13"/>
      <c r="P150" s="13">
        <v>12</v>
      </c>
      <c r="Q150" s="3">
        <f t="shared" si="21"/>
        <v>0</v>
      </c>
      <c r="R150" s="3">
        <f t="shared" si="22"/>
        <v>12</v>
      </c>
      <c r="S150" s="3">
        <f t="shared" si="23"/>
        <v>185.59999999999968</v>
      </c>
      <c r="T150" s="24"/>
      <c r="U150" s="24"/>
      <c r="V150" s="3"/>
      <c r="W150" s="25" t="s">
        <v>6747</v>
      </c>
      <c r="X150" s="25"/>
      <c r="Y150" s="25" t="str">
        <f>IFERROR(VLOOKUP(C_Ope_006[[#This Row],[NOTA 2]],Clientes_Proveedores[[Ruc / Dni]:[Razon Social]],2,0),"")</f>
        <v/>
      </c>
      <c r="Z150" s="25"/>
      <c r="AA150" s="15"/>
      <c r="AB150" s="3" t="str">
        <f>IF(C_Ope_006[[#This Row],[FECHA]]&gt;0,TEXT(C_Ope_006[[#This Row],[FECHA]],"mmmm"),0)</f>
        <v>Junio</v>
      </c>
    </row>
    <row r="151" spans="2:28" x14ac:dyDescent="0.3">
      <c r="B151" s="2">
        <f>IF(C_Ope_006[[#This Row],[TIPO DE R.]]="R",COUNTIFS($D$4:$D150,"R")+1,"")</f>
        <v>147</v>
      </c>
      <c r="C151" s="19" t="str">
        <f t="shared" si="24"/>
        <v>C_Ope_006</v>
      </c>
      <c r="D151" s="3" t="s">
        <v>1074</v>
      </c>
      <c r="E151" s="14">
        <v>45820</v>
      </c>
      <c r="F151" s="5" t="s">
        <v>7372</v>
      </c>
      <c r="G151" s="5" t="s">
        <v>1079</v>
      </c>
      <c r="H151" s="6"/>
      <c r="I151" s="6" t="s">
        <v>14</v>
      </c>
      <c r="J151" s="6" t="s">
        <v>5281</v>
      </c>
      <c r="K151" s="6">
        <v>981933</v>
      </c>
      <c r="L151" s="7" t="s">
        <v>7445</v>
      </c>
      <c r="M151" s="8">
        <v>24552</v>
      </c>
      <c r="N151" s="8" t="str">
        <f t="shared" si="25"/>
        <v>PEN</v>
      </c>
      <c r="O151" s="13"/>
      <c r="P151" s="13">
        <v>12</v>
      </c>
      <c r="Q151" s="3">
        <f t="shared" si="21"/>
        <v>0</v>
      </c>
      <c r="R151" s="3">
        <f t="shared" si="22"/>
        <v>12</v>
      </c>
      <c r="S151" s="3">
        <f t="shared" si="23"/>
        <v>173.59999999999968</v>
      </c>
      <c r="T151" s="24"/>
      <c r="U151" s="24"/>
      <c r="V151" s="3"/>
      <c r="W151" s="25" t="s">
        <v>6747</v>
      </c>
      <c r="X151" s="25"/>
      <c r="Y151" s="25" t="str">
        <f>IFERROR(VLOOKUP(C_Ope_006[[#This Row],[NOTA 2]],Clientes_Proveedores[[Ruc / Dni]:[Razon Social]],2,0),"")</f>
        <v/>
      </c>
      <c r="Z151" s="25"/>
      <c r="AA151" s="15"/>
      <c r="AB151" s="3" t="str">
        <f>IF(C_Ope_006[[#This Row],[FECHA]]&gt;0,TEXT(C_Ope_006[[#This Row],[FECHA]],"mmmm"),0)</f>
        <v>Junio</v>
      </c>
    </row>
    <row r="152" spans="2:28" x14ac:dyDescent="0.3">
      <c r="B152" s="2">
        <f>IF(C_Ope_006[[#This Row],[TIPO DE R.]]="R",COUNTIFS($D$4:$D151,"R")+1,"")</f>
        <v>148</v>
      </c>
      <c r="C152" s="19" t="str">
        <f t="shared" si="24"/>
        <v>C_Ope_006</v>
      </c>
      <c r="D152" s="3" t="s">
        <v>1074</v>
      </c>
      <c r="E152" s="14">
        <v>45820</v>
      </c>
      <c r="F152" s="5" t="s">
        <v>7372</v>
      </c>
      <c r="G152" s="5" t="s">
        <v>1079</v>
      </c>
      <c r="H152" s="6"/>
      <c r="I152" s="6" t="s">
        <v>14</v>
      </c>
      <c r="J152" s="6" t="s">
        <v>5280</v>
      </c>
      <c r="K152" s="6">
        <v>1072069</v>
      </c>
      <c r="L152" s="7" t="s">
        <v>7445</v>
      </c>
      <c r="M152" s="8">
        <v>24553</v>
      </c>
      <c r="N152" s="8" t="str">
        <f t="shared" si="25"/>
        <v>PEN</v>
      </c>
      <c r="O152" s="13"/>
      <c r="P152" s="13">
        <v>12</v>
      </c>
      <c r="Q152" s="3">
        <f t="shared" si="21"/>
        <v>0</v>
      </c>
      <c r="R152" s="3">
        <f t="shared" si="22"/>
        <v>12</v>
      </c>
      <c r="S152" s="3">
        <f t="shared" si="23"/>
        <v>161.59999999999968</v>
      </c>
      <c r="T152" s="24"/>
      <c r="U152" s="24"/>
      <c r="V152" s="3"/>
      <c r="W152" s="25" t="s">
        <v>6747</v>
      </c>
      <c r="X152" s="25"/>
      <c r="Y152" s="25" t="str">
        <f>IFERROR(VLOOKUP(C_Ope_006[[#This Row],[NOTA 2]],Clientes_Proveedores[[Ruc / Dni]:[Razon Social]],2,0),"")</f>
        <v/>
      </c>
      <c r="Z152" s="25"/>
      <c r="AA152" s="15"/>
      <c r="AB152" s="3" t="str">
        <f>IF(C_Ope_006[[#This Row],[FECHA]]&gt;0,TEXT(C_Ope_006[[#This Row],[FECHA]],"mmmm"),0)</f>
        <v>Junio</v>
      </c>
    </row>
    <row r="153" spans="2:28" x14ac:dyDescent="0.3">
      <c r="B153" s="2">
        <f>IF(C_Ope_006[[#This Row],[TIPO DE R.]]="R",COUNTIFS($D$4:$D152,"R")+1,"")</f>
        <v>149</v>
      </c>
      <c r="C153" s="19" t="str">
        <f t="shared" si="24"/>
        <v>C_Ope_006</v>
      </c>
      <c r="D153" s="3" t="s">
        <v>1074</v>
      </c>
      <c r="E153" s="14">
        <v>45826</v>
      </c>
      <c r="F153" s="5"/>
      <c r="G153" s="5" t="s">
        <v>1087</v>
      </c>
      <c r="H153" s="6"/>
      <c r="I153" s="6"/>
      <c r="J153" s="6"/>
      <c r="K153" s="6"/>
      <c r="L153" s="7" t="s">
        <v>7113</v>
      </c>
      <c r="M153" s="8">
        <v>24598</v>
      </c>
      <c r="N153" s="8" t="str">
        <f t="shared" si="25"/>
        <v>PEN</v>
      </c>
      <c r="O153" s="13"/>
      <c r="P153" s="13">
        <v>40</v>
      </c>
      <c r="Q153" s="3">
        <f t="shared" si="21"/>
        <v>40</v>
      </c>
      <c r="R153" s="3">
        <f t="shared" si="22"/>
        <v>0</v>
      </c>
      <c r="S153" s="3">
        <f t="shared" si="23"/>
        <v>201.59999999999968</v>
      </c>
      <c r="T153" s="24"/>
      <c r="U153" s="24"/>
      <c r="V153" s="3"/>
      <c r="W153" s="25"/>
      <c r="X153" s="25"/>
      <c r="Y153" s="25" t="str">
        <f>IFERROR(VLOOKUP(C_Ope_006[[#This Row],[NOTA 2]],Clientes_Proveedores[[Ruc / Dni]:[Razon Social]],2,0),"")</f>
        <v/>
      </c>
      <c r="Z153" s="25"/>
      <c r="AA153" s="15"/>
      <c r="AB153" s="3" t="str">
        <f>IF(C_Ope_006[[#This Row],[FECHA]]&gt;0,TEXT(C_Ope_006[[#This Row],[FECHA]],"mmmm"),0)</f>
        <v>Junio</v>
      </c>
    </row>
    <row r="154" spans="2:28" ht="24" x14ac:dyDescent="0.3">
      <c r="B154" s="2">
        <f>IF(C_Ope_006[[#This Row],[TIPO DE R.]]="R",COUNTIFS($D$4:$D153,"R")+1,"")</f>
        <v>150</v>
      </c>
      <c r="C154" s="19" t="str">
        <f t="shared" si="24"/>
        <v>C_Ope_006</v>
      </c>
      <c r="D154" s="3" t="s">
        <v>1074</v>
      </c>
      <c r="E154" s="14">
        <v>45826</v>
      </c>
      <c r="F154" s="5" t="s">
        <v>7372</v>
      </c>
      <c r="G154" s="5" t="s">
        <v>1079</v>
      </c>
      <c r="H154" s="6"/>
      <c r="I154" s="6" t="s">
        <v>14</v>
      </c>
      <c r="J154" s="6" t="s">
        <v>5243</v>
      </c>
      <c r="K154" s="6">
        <v>2370644</v>
      </c>
      <c r="L154" s="7" t="s">
        <v>7446</v>
      </c>
      <c r="M154" s="8">
        <v>24599</v>
      </c>
      <c r="N154" s="8" t="str">
        <f t="shared" si="25"/>
        <v>PEN</v>
      </c>
      <c r="O154" s="13"/>
      <c r="P154" s="13">
        <v>12</v>
      </c>
      <c r="Q154" s="3">
        <f t="shared" si="21"/>
        <v>0</v>
      </c>
      <c r="R154" s="3">
        <f t="shared" si="22"/>
        <v>12</v>
      </c>
      <c r="S154" s="3">
        <f t="shared" si="23"/>
        <v>189.59999999999968</v>
      </c>
      <c r="T154" s="24"/>
      <c r="U154" s="24"/>
      <c r="V154" s="3"/>
      <c r="W154" s="25" t="s">
        <v>6747</v>
      </c>
      <c r="X154" s="25"/>
      <c r="Y154" s="25" t="str">
        <f>IFERROR(VLOOKUP(C_Ope_006[[#This Row],[NOTA 2]],Clientes_Proveedores[[Ruc / Dni]:[Razon Social]],2,0),"")</f>
        <v/>
      </c>
      <c r="Z154" s="25"/>
      <c r="AA154" s="15"/>
      <c r="AB154" s="3" t="str">
        <f>IF(C_Ope_006[[#This Row],[FECHA]]&gt;0,TEXT(C_Ope_006[[#This Row],[FECHA]],"mmmm"),0)</f>
        <v>Junio</v>
      </c>
    </row>
    <row r="155" spans="2:28" ht="24" x14ac:dyDescent="0.3">
      <c r="B155" s="2">
        <f>IF(C_Ope_006[[#This Row],[TIPO DE R.]]="R",COUNTIFS($D$4:$D154,"R")+1,"")</f>
        <v>151</v>
      </c>
      <c r="C155" s="19" t="str">
        <f t="shared" si="24"/>
        <v>C_Ope_006</v>
      </c>
      <c r="D155" s="3" t="s">
        <v>1074</v>
      </c>
      <c r="E155" s="14">
        <v>45826</v>
      </c>
      <c r="F155" s="5" t="s">
        <v>7372</v>
      </c>
      <c r="G155" s="5" t="s">
        <v>1079</v>
      </c>
      <c r="H155" s="6"/>
      <c r="I155" s="6" t="s">
        <v>14</v>
      </c>
      <c r="J155" s="6" t="s">
        <v>5242</v>
      </c>
      <c r="K155" s="6">
        <v>2086038</v>
      </c>
      <c r="L155" s="7" t="s">
        <v>7446</v>
      </c>
      <c r="M155" s="8">
        <v>24600</v>
      </c>
      <c r="N155" s="8" t="str">
        <f t="shared" si="25"/>
        <v>PEN</v>
      </c>
      <c r="O155" s="13"/>
      <c r="P155" s="13">
        <v>12</v>
      </c>
      <c r="Q155" s="3">
        <f t="shared" si="21"/>
        <v>0</v>
      </c>
      <c r="R155" s="3">
        <f t="shared" si="22"/>
        <v>12</v>
      </c>
      <c r="S155" s="3">
        <f t="shared" si="23"/>
        <v>177.59999999999968</v>
      </c>
      <c r="T155" s="24"/>
      <c r="U155" s="24"/>
      <c r="V155" s="3"/>
      <c r="W155" s="25" t="s">
        <v>6747</v>
      </c>
      <c r="X155" s="25"/>
      <c r="Y155" s="25" t="str">
        <f>IFERROR(VLOOKUP(C_Ope_006[[#This Row],[NOTA 2]],Clientes_Proveedores[[Ruc / Dni]:[Razon Social]],2,0),"")</f>
        <v/>
      </c>
      <c r="Z155" s="25"/>
      <c r="AA155" s="15"/>
      <c r="AB155" s="3" t="str">
        <f>IF(C_Ope_006[[#This Row],[FECHA]]&gt;0,TEXT(C_Ope_006[[#This Row],[FECHA]],"mmmm"),0)</f>
        <v>Junio</v>
      </c>
    </row>
    <row r="156" spans="2:28" ht="24" x14ac:dyDescent="0.3">
      <c r="B156" s="2">
        <f>IF(C_Ope_006[[#This Row],[TIPO DE R.]]="R",COUNTIFS($D$4:$D155,"R")+1,"")</f>
        <v>152</v>
      </c>
      <c r="C156" s="19" t="str">
        <f t="shared" si="24"/>
        <v>C_Ope_006</v>
      </c>
      <c r="D156" s="3" t="s">
        <v>1074</v>
      </c>
      <c r="E156" s="14">
        <v>45828</v>
      </c>
      <c r="F156" s="5" t="s">
        <v>7372</v>
      </c>
      <c r="G156" s="5" t="s">
        <v>1079</v>
      </c>
      <c r="H156" s="6"/>
      <c r="I156" s="6" t="s">
        <v>14</v>
      </c>
      <c r="J156" s="6" t="s">
        <v>5243</v>
      </c>
      <c r="K156" s="6">
        <v>2373219</v>
      </c>
      <c r="L156" s="7" t="s">
        <v>7447</v>
      </c>
      <c r="M156" s="8">
        <v>24626</v>
      </c>
      <c r="N156" s="8" t="str">
        <f t="shared" si="25"/>
        <v>PEN</v>
      </c>
      <c r="O156" s="13"/>
      <c r="P156" s="13">
        <v>12</v>
      </c>
      <c r="Q156" s="3">
        <f t="shared" si="21"/>
        <v>0</v>
      </c>
      <c r="R156" s="3">
        <f t="shared" si="22"/>
        <v>12</v>
      </c>
      <c r="S156" s="3">
        <f t="shared" si="23"/>
        <v>165.59999999999968</v>
      </c>
      <c r="T156" s="24"/>
      <c r="U156" s="24"/>
      <c r="V156" s="3"/>
      <c r="W156" s="25" t="s">
        <v>6747</v>
      </c>
      <c r="X156" s="25"/>
      <c r="Y156" s="25" t="str">
        <f>IFERROR(VLOOKUP(C_Ope_006[[#This Row],[NOTA 2]],Clientes_Proveedores[[Ruc / Dni]:[Razon Social]],2,0),"")</f>
        <v/>
      </c>
      <c r="Z156" s="25"/>
      <c r="AA156" s="15"/>
      <c r="AB156" s="3" t="str">
        <f>IF(C_Ope_006[[#This Row],[FECHA]]&gt;0,TEXT(C_Ope_006[[#This Row],[FECHA]],"mmmm"),0)</f>
        <v>Junio</v>
      </c>
    </row>
    <row r="157" spans="2:28" ht="24" x14ac:dyDescent="0.3">
      <c r="B157" s="2">
        <f>IF(C_Ope_006[[#This Row],[TIPO DE R.]]="R",COUNTIFS($D$4:$D156,"R")+1,"")</f>
        <v>153</v>
      </c>
      <c r="C157" s="19" t="str">
        <f t="shared" si="24"/>
        <v>C_Ope_006</v>
      </c>
      <c r="D157" s="3" t="s">
        <v>1074</v>
      </c>
      <c r="E157" s="14">
        <v>45828</v>
      </c>
      <c r="F157" s="5" t="s">
        <v>7372</v>
      </c>
      <c r="G157" s="5" t="s">
        <v>1079</v>
      </c>
      <c r="H157" s="6"/>
      <c r="I157" s="6" t="s">
        <v>14</v>
      </c>
      <c r="J157" s="6" t="s">
        <v>5245</v>
      </c>
      <c r="K157" s="6">
        <v>1784117</v>
      </c>
      <c r="L157" s="7" t="s">
        <v>7447</v>
      </c>
      <c r="M157" s="8">
        <v>24627</v>
      </c>
      <c r="N157" s="8" t="str">
        <f t="shared" si="25"/>
        <v>PEN</v>
      </c>
      <c r="O157" s="13"/>
      <c r="P157" s="13">
        <v>12</v>
      </c>
      <c r="Q157" s="3">
        <f t="shared" si="21"/>
        <v>0</v>
      </c>
      <c r="R157" s="3">
        <f t="shared" si="22"/>
        <v>12</v>
      </c>
      <c r="S157" s="3">
        <f t="shared" si="23"/>
        <v>153.59999999999968</v>
      </c>
      <c r="T157" s="24"/>
      <c r="U157" s="24"/>
      <c r="V157" s="3"/>
      <c r="W157" s="25" t="s">
        <v>6747</v>
      </c>
      <c r="X157" s="25"/>
      <c r="Y157" s="25" t="str">
        <f>IFERROR(VLOOKUP(C_Ope_006[[#This Row],[NOTA 2]],Clientes_Proveedores[[Ruc / Dni]:[Razon Social]],2,0),"")</f>
        <v/>
      </c>
      <c r="Z157" s="25"/>
      <c r="AA157" s="15"/>
      <c r="AB157" s="3" t="str">
        <f>IF(C_Ope_006[[#This Row],[FECHA]]&gt;0,TEXT(C_Ope_006[[#This Row],[FECHA]],"mmmm"),0)</f>
        <v>Junio</v>
      </c>
    </row>
    <row r="158" spans="2:28" x14ac:dyDescent="0.3">
      <c r="B158" s="2">
        <f>IF(C_Ope_006[[#This Row],[TIPO DE R.]]="R",COUNTIFS($D$4:$D157,"R")+1,"")</f>
        <v>154</v>
      </c>
      <c r="C158" s="19" t="str">
        <f t="shared" si="24"/>
        <v>C_Ope_006</v>
      </c>
      <c r="D158" s="3" t="s">
        <v>1074</v>
      </c>
      <c r="E158" s="14">
        <v>45827</v>
      </c>
      <c r="F158" s="5" t="s">
        <v>7372</v>
      </c>
      <c r="G158" s="5" t="s">
        <v>1079</v>
      </c>
      <c r="H158" s="6"/>
      <c r="I158" s="6" t="s">
        <v>14</v>
      </c>
      <c r="J158" s="6" t="s">
        <v>1088</v>
      </c>
      <c r="K158" s="6">
        <v>34951</v>
      </c>
      <c r="L158" s="7" t="s">
        <v>7448</v>
      </c>
      <c r="M158" s="8">
        <v>24612</v>
      </c>
      <c r="N158" s="8" t="str">
        <f t="shared" si="25"/>
        <v>PEN</v>
      </c>
      <c r="O158" s="13"/>
      <c r="P158" s="13">
        <v>10</v>
      </c>
      <c r="Q158" s="3">
        <f t="shared" si="21"/>
        <v>0</v>
      </c>
      <c r="R158" s="3">
        <f t="shared" si="22"/>
        <v>10</v>
      </c>
      <c r="S158" s="3">
        <f t="shared" si="23"/>
        <v>143.59999999999968</v>
      </c>
      <c r="T158" s="24"/>
      <c r="U158" s="24"/>
      <c r="V158" s="3"/>
      <c r="W158" s="25" t="s">
        <v>6747</v>
      </c>
      <c r="X158" s="25"/>
      <c r="Y158" s="25" t="str">
        <f>IFERROR(VLOOKUP(C_Ope_006[[#This Row],[NOTA 2]],Clientes_Proveedores[[Ruc / Dni]:[Razon Social]],2,0),"")</f>
        <v/>
      </c>
      <c r="Z158" s="25"/>
      <c r="AA158" s="15"/>
      <c r="AB158" s="3" t="str">
        <f>IF(C_Ope_006[[#This Row],[FECHA]]&gt;0,TEXT(C_Ope_006[[#This Row],[FECHA]],"mmmm"),0)</f>
        <v>Junio</v>
      </c>
    </row>
    <row r="159" spans="2:28" x14ac:dyDescent="0.3">
      <c r="B159" s="2">
        <f>IF(C_Ope_006[[#This Row],[TIPO DE R.]]="R",COUNTIFS($D$4:$D158,"R")+1,"")</f>
        <v>155</v>
      </c>
      <c r="C159" s="19" t="str">
        <f t="shared" si="24"/>
        <v>C_Ope_006</v>
      </c>
      <c r="D159" s="3" t="s">
        <v>1074</v>
      </c>
      <c r="E159" s="14">
        <v>45827</v>
      </c>
      <c r="F159" s="5" t="s">
        <v>7372</v>
      </c>
      <c r="G159" s="5" t="s">
        <v>1079</v>
      </c>
      <c r="H159" s="6"/>
      <c r="I159" s="6" t="s">
        <v>14</v>
      </c>
      <c r="J159" s="6" t="s">
        <v>1088</v>
      </c>
      <c r="K159" s="6">
        <v>34952</v>
      </c>
      <c r="L159" s="7" t="s">
        <v>7449</v>
      </c>
      <c r="M159" s="8">
        <v>24613</v>
      </c>
      <c r="N159" s="8" t="str">
        <f t="shared" si="25"/>
        <v>PEN</v>
      </c>
      <c r="O159" s="13"/>
      <c r="P159" s="13">
        <v>10</v>
      </c>
      <c r="Q159" s="3">
        <f t="shared" si="21"/>
        <v>0</v>
      </c>
      <c r="R159" s="3">
        <f t="shared" si="22"/>
        <v>10</v>
      </c>
      <c r="S159" s="3">
        <f t="shared" si="23"/>
        <v>133.59999999999968</v>
      </c>
      <c r="T159" s="24"/>
      <c r="U159" s="24"/>
      <c r="V159" s="3"/>
      <c r="W159" s="25" t="s">
        <v>6747</v>
      </c>
      <c r="X159" s="25"/>
      <c r="Y159" s="25" t="str">
        <f>IFERROR(VLOOKUP(C_Ope_006[[#This Row],[NOTA 2]],Clientes_Proveedores[[Ruc / Dni]:[Razon Social]],2,0),"")</f>
        <v/>
      </c>
      <c r="Z159" s="25"/>
      <c r="AA159" s="15"/>
      <c r="AB159" s="3" t="str">
        <f>IF(C_Ope_006[[#This Row],[FECHA]]&gt;0,TEXT(C_Ope_006[[#This Row],[FECHA]],"mmmm"),0)</f>
        <v>Junio</v>
      </c>
    </row>
    <row r="160" spans="2:28" x14ac:dyDescent="0.3">
      <c r="B160" s="2">
        <f>IF(C_Ope_006[[#This Row],[TIPO DE R.]]="R",COUNTIFS($D$4:$D159,"R")+1,"")</f>
        <v>156</v>
      </c>
      <c r="C160" s="19" t="str">
        <f t="shared" si="24"/>
        <v>C_Ope_006</v>
      </c>
      <c r="D160" s="3" t="s">
        <v>1074</v>
      </c>
      <c r="E160" s="14">
        <v>45828</v>
      </c>
      <c r="F160" s="5" t="s">
        <v>7372</v>
      </c>
      <c r="G160" s="5" t="s">
        <v>1079</v>
      </c>
      <c r="H160" s="6"/>
      <c r="I160" s="6" t="s">
        <v>14</v>
      </c>
      <c r="J160" s="6" t="s">
        <v>1119</v>
      </c>
      <c r="K160" s="6">
        <v>18312</v>
      </c>
      <c r="L160" s="7" t="s">
        <v>6565</v>
      </c>
      <c r="M160" s="8">
        <v>24637</v>
      </c>
      <c r="N160" s="8" t="str">
        <f t="shared" si="25"/>
        <v>PEN</v>
      </c>
      <c r="O160" s="13"/>
      <c r="P160" s="13">
        <v>35</v>
      </c>
      <c r="Q160" s="3">
        <f t="shared" si="21"/>
        <v>0</v>
      </c>
      <c r="R160" s="3">
        <f t="shared" si="22"/>
        <v>35</v>
      </c>
      <c r="S160" s="3">
        <f t="shared" si="23"/>
        <v>98.599999999999682</v>
      </c>
      <c r="T160" s="24"/>
      <c r="U160" s="24"/>
      <c r="V160" s="3"/>
      <c r="W160" s="25" t="s">
        <v>6747</v>
      </c>
      <c r="X160" s="25"/>
      <c r="Y160" s="25" t="str">
        <f>IFERROR(VLOOKUP(C_Ope_006[[#This Row],[NOTA 2]],Clientes_Proveedores[[Ruc / Dni]:[Razon Social]],2,0),"")</f>
        <v/>
      </c>
      <c r="Z160" s="25"/>
      <c r="AA160" s="15"/>
      <c r="AB160" s="3" t="str">
        <f>IF(C_Ope_006[[#This Row],[FECHA]]&gt;0,TEXT(C_Ope_006[[#This Row],[FECHA]],"mmmm"),0)</f>
        <v>Junio</v>
      </c>
    </row>
    <row r="161" spans="2:28" x14ac:dyDescent="0.3">
      <c r="B161" s="2">
        <f>IF(C_Ope_006[[#This Row],[TIPO DE R.]]="R",COUNTIFS($D$4:$D160,"R")+1,"")</f>
        <v>157</v>
      </c>
      <c r="C161" s="19" t="str">
        <f t="shared" si="24"/>
        <v>C_Ope_006</v>
      </c>
      <c r="D161" s="3" t="s">
        <v>1074</v>
      </c>
      <c r="E161" s="14">
        <v>45831</v>
      </c>
      <c r="F161" s="5"/>
      <c r="G161" s="5" t="s">
        <v>1087</v>
      </c>
      <c r="H161" s="6"/>
      <c r="I161" s="6"/>
      <c r="J161" s="6"/>
      <c r="K161" s="6"/>
      <c r="L161" s="7" t="s">
        <v>7113</v>
      </c>
      <c r="M161" s="8">
        <v>24650</v>
      </c>
      <c r="N161" s="8" t="str">
        <f t="shared" si="25"/>
        <v>PEN</v>
      </c>
      <c r="O161" s="13"/>
      <c r="P161" s="13">
        <v>100</v>
      </c>
      <c r="Q161" s="3">
        <f t="shared" si="21"/>
        <v>100</v>
      </c>
      <c r="R161" s="3">
        <f t="shared" si="22"/>
        <v>0</v>
      </c>
      <c r="S161" s="3">
        <f t="shared" si="23"/>
        <v>198.59999999999968</v>
      </c>
      <c r="T161" s="24"/>
      <c r="U161" s="24"/>
      <c r="V161" s="3"/>
      <c r="W161" s="25"/>
      <c r="X161" s="25"/>
      <c r="Y161" s="25" t="str">
        <f>IFERROR(VLOOKUP(C_Ope_006[[#This Row],[NOTA 2]],Clientes_Proveedores[[Ruc / Dni]:[Razon Social]],2,0),"")</f>
        <v/>
      </c>
      <c r="Z161" s="25"/>
      <c r="AA161" s="15"/>
      <c r="AB161" s="3" t="str">
        <f>IF(C_Ope_006[[#This Row],[FECHA]]&gt;0,TEXT(C_Ope_006[[#This Row],[FECHA]],"mmmm"),0)</f>
        <v>Junio</v>
      </c>
    </row>
    <row r="162" spans="2:28" ht="24" x14ac:dyDescent="0.3">
      <c r="B162" s="2">
        <f>IF(C_Ope_006[[#This Row],[TIPO DE R.]]="R",COUNTIFS($D$4:$D161,"R")+1,"")</f>
        <v>158</v>
      </c>
      <c r="C162" s="19" t="str">
        <f t="shared" si="24"/>
        <v>C_Ope_006</v>
      </c>
      <c r="D162" s="3" t="s">
        <v>1074</v>
      </c>
      <c r="E162" s="14">
        <v>45833</v>
      </c>
      <c r="F162" s="5" t="s">
        <v>7372</v>
      </c>
      <c r="G162" s="5" t="s">
        <v>1079</v>
      </c>
      <c r="H162" s="6"/>
      <c r="I162" s="6" t="s">
        <v>14</v>
      </c>
      <c r="J162" s="6" t="s">
        <v>5244</v>
      </c>
      <c r="K162" s="6">
        <v>1768712</v>
      </c>
      <c r="L162" s="7" t="s">
        <v>7450</v>
      </c>
      <c r="M162" s="8">
        <v>24700</v>
      </c>
      <c r="N162" s="8" t="str">
        <f t="shared" si="25"/>
        <v>PEN</v>
      </c>
      <c r="O162" s="13"/>
      <c r="P162" s="13">
        <v>12</v>
      </c>
      <c r="Q162" s="3">
        <f t="shared" si="21"/>
        <v>0</v>
      </c>
      <c r="R162" s="3">
        <f t="shared" si="22"/>
        <v>12</v>
      </c>
      <c r="S162" s="3">
        <f t="shared" si="23"/>
        <v>186.59999999999968</v>
      </c>
      <c r="T162" s="24"/>
      <c r="U162" s="24"/>
      <c r="V162" s="3"/>
      <c r="W162" s="25" t="s">
        <v>6747</v>
      </c>
      <c r="X162" s="25"/>
      <c r="Y162" s="25" t="str">
        <f>IFERROR(VLOOKUP(C_Ope_006[[#This Row],[NOTA 2]],Clientes_Proveedores[[Ruc / Dni]:[Razon Social]],2,0),"")</f>
        <v/>
      </c>
      <c r="Z162" s="25"/>
      <c r="AA162" s="15"/>
      <c r="AB162" s="3" t="str">
        <f>IF(C_Ope_006[[#This Row],[FECHA]]&gt;0,TEXT(C_Ope_006[[#This Row],[FECHA]],"mmmm"),0)</f>
        <v>Junio</v>
      </c>
    </row>
    <row r="163" spans="2:28" ht="24" x14ac:dyDescent="0.3">
      <c r="B163" s="2">
        <f>IF(C_Ope_006[[#This Row],[TIPO DE R.]]="R",COUNTIFS($D$4:$D162,"R")+1,"")</f>
        <v>159</v>
      </c>
      <c r="C163" s="19" t="str">
        <f t="shared" si="24"/>
        <v>C_Ope_006</v>
      </c>
      <c r="D163" s="3" t="s">
        <v>1074</v>
      </c>
      <c r="E163" s="14">
        <v>45833</v>
      </c>
      <c r="F163" s="5" t="s">
        <v>7372</v>
      </c>
      <c r="G163" s="5" t="s">
        <v>1079</v>
      </c>
      <c r="H163" s="6"/>
      <c r="I163" s="6" t="s">
        <v>14</v>
      </c>
      <c r="J163" s="6" t="s">
        <v>5245</v>
      </c>
      <c r="K163" s="6">
        <v>1788852</v>
      </c>
      <c r="L163" s="7" t="s">
        <v>7450</v>
      </c>
      <c r="M163" s="8">
        <v>24701</v>
      </c>
      <c r="N163" s="8" t="str">
        <f t="shared" si="25"/>
        <v>PEN</v>
      </c>
      <c r="O163" s="13"/>
      <c r="P163" s="13">
        <v>12</v>
      </c>
      <c r="Q163" s="3">
        <f t="shared" si="21"/>
        <v>0</v>
      </c>
      <c r="R163" s="3">
        <f t="shared" si="22"/>
        <v>12</v>
      </c>
      <c r="S163" s="3">
        <f t="shared" si="23"/>
        <v>174.59999999999968</v>
      </c>
      <c r="T163" s="24"/>
      <c r="U163" s="24"/>
      <c r="V163" s="3"/>
      <c r="W163" s="25" t="s">
        <v>6747</v>
      </c>
      <c r="X163" s="25"/>
      <c r="Y163" s="25" t="str">
        <f>IFERROR(VLOOKUP(C_Ope_006[[#This Row],[NOTA 2]],Clientes_Proveedores[[Ruc / Dni]:[Razon Social]],2,0),"")</f>
        <v/>
      </c>
      <c r="Z163" s="25"/>
      <c r="AA163" s="15"/>
      <c r="AB163" s="3" t="str">
        <f>IF(C_Ope_006[[#This Row],[FECHA]]&gt;0,TEXT(C_Ope_006[[#This Row],[FECHA]],"mmmm"),0)</f>
        <v>Junio</v>
      </c>
    </row>
    <row r="164" spans="2:28" ht="24" x14ac:dyDescent="0.3">
      <c r="B164" s="2">
        <f>IF(C_Ope_006[[#This Row],[TIPO DE R.]]="R",COUNTIFS($D$4:$D163,"R")+1,"")</f>
        <v>160</v>
      </c>
      <c r="C164" s="19" t="str">
        <f t="shared" si="24"/>
        <v>C_Ope_006</v>
      </c>
      <c r="D164" s="3" t="s">
        <v>1074</v>
      </c>
      <c r="E164" s="14">
        <v>45834</v>
      </c>
      <c r="F164" s="5" t="s">
        <v>7372</v>
      </c>
      <c r="G164" s="5" t="s">
        <v>1079</v>
      </c>
      <c r="H164" s="6"/>
      <c r="I164" s="6" t="s">
        <v>14</v>
      </c>
      <c r="J164" s="6" t="s">
        <v>5243</v>
      </c>
      <c r="K164" s="6">
        <v>2380136</v>
      </c>
      <c r="L164" s="7" t="s">
        <v>7451</v>
      </c>
      <c r="M164" s="8">
        <v>24716</v>
      </c>
      <c r="N164" s="8" t="str">
        <f t="shared" si="25"/>
        <v>PEN</v>
      </c>
      <c r="O164" s="13"/>
      <c r="P164" s="13">
        <v>12</v>
      </c>
      <c r="Q164" s="3">
        <f t="shared" si="21"/>
        <v>0</v>
      </c>
      <c r="R164" s="3">
        <f t="shared" si="22"/>
        <v>12</v>
      </c>
      <c r="S164" s="3">
        <f t="shared" si="23"/>
        <v>162.59999999999968</v>
      </c>
      <c r="T164" s="24"/>
      <c r="U164" s="24"/>
      <c r="V164" s="3"/>
      <c r="W164" s="25" t="s">
        <v>6747</v>
      </c>
      <c r="X164" s="25"/>
      <c r="Y164" s="25" t="str">
        <f>IFERROR(VLOOKUP(C_Ope_006[[#This Row],[NOTA 2]],Clientes_Proveedores[[Ruc / Dni]:[Razon Social]],2,0),"")</f>
        <v/>
      </c>
      <c r="Z164" s="25"/>
      <c r="AA164" s="15"/>
      <c r="AB164" s="3" t="str">
        <f>IF(C_Ope_006[[#This Row],[FECHA]]&gt;0,TEXT(C_Ope_006[[#This Row],[FECHA]],"mmmm"),0)</f>
        <v>Junio</v>
      </c>
    </row>
    <row r="165" spans="2:28" ht="24" x14ac:dyDescent="0.3">
      <c r="B165" s="2">
        <f>IF(C_Ope_006[[#This Row],[TIPO DE R.]]="R",COUNTIFS($D$4:$D164,"R")+1,"")</f>
        <v>161</v>
      </c>
      <c r="C165" s="19" t="str">
        <f t="shared" si="24"/>
        <v>C_Ope_006</v>
      </c>
      <c r="D165" s="3" t="s">
        <v>1074</v>
      </c>
      <c r="E165" s="14">
        <v>45834</v>
      </c>
      <c r="F165" s="5" t="s">
        <v>7372</v>
      </c>
      <c r="G165" s="5" t="s">
        <v>1079</v>
      </c>
      <c r="H165" s="6"/>
      <c r="I165" s="6" t="s">
        <v>14</v>
      </c>
      <c r="J165" s="6" t="s">
        <v>5242</v>
      </c>
      <c r="K165" s="6">
        <v>2094639</v>
      </c>
      <c r="L165" s="7" t="s">
        <v>7451</v>
      </c>
      <c r="M165" s="8">
        <v>24721</v>
      </c>
      <c r="N165" s="8" t="str">
        <f t="shared" si="25"/>
        <v>PEN</v>
      </c>
      <c r="O165" s="13"/>
      <c r="P165" s="13">
        <v>12</v>
      </c>
      <c r="Q165" s="3">
        <f t="shared" ref="Q165:Q180" si="26">+IF(OR($G165="SALDO",$G165="INGRESO"),$P165,0)</f>
        <v>0</v>
      </c>
      <c r="R165" s="3">
        <f t="shared" ref="R165:R180" si="27">+IF($G165="EGRESO",$P165,0)</f>
        <v>12</v>
      </c>
      <c r="S165" s="3">
        <f t="shared" ref="S165:S180" si="28">IFERROR(IF(G165="SALDO",Q165,S164+Q165-R165),0)</f>
        <v>150.59999999999968</v>
      </c>
      <c r="T165" s="24"/>
      <c r="U165" s="24"/>
      <c r="V165" s="3"/>
      <c r="W165" s="25" t="s">
        <v>6747</v>
      </c>
      <c r="X165" s="25"/>
      <c r="Y165" s="25" t="str">
        <f>IFERROR(VLOOKUP(C_Ope_006[[#This Row],[NOTA 2]],Clientes_Proveedores[[Ruc / Dni]:[Razon Social]],2,0),"")</f>
        <v/>
      </c>
      <c r="Z165" s="25"/>
      <c r="AA165" s="15"/>
      <c r="AB165" s="3" t="str">
        <f>IF(C_Ope_006[[#This Row],[FECHA]]&gt;0,TEXT(C_Ope_006[[#This Row],[FECHA]],"mmmm"),0)</f>
        <v>Junio</v>
      </c>
    </row>
    <row r="166" spans="2:28" ht="24" x14ac:dyDescent="0.3">
      <c r="B166" s="2">
        <f>IF(C_Ope_006[[#This Row],[TIPO DE R.]]="R",COUNTIFS($D$4:$D165,"R")+1,"")</f>
        <v>162</v>
      </c>
      <c r="C166" s="19" t="str">
        <f t="shared" ref="C166:C171" si="29">"C_Ope_006"</f>
        <v>C_Ope_006</v>
      </c>
      <c r="D166" s="3" t="s">
        <v>1074</v>
      </c>
      <c r="E166" s="14">
        <v>45835</v>
      </c>
      <c r="F166" s="5" t="s">
        <v>7372</v>
      </c>
      <c r="G166" s="5" t="s">
        <v>1079</v>
      </c>
      <c r="H166" s="6"/>
      <c r="I166" s="6" t="s">
        <v>14</v>
      </c>
      <c r="J166" s="6" t="s">
        <v>5243</v>
      </c>
      <c r="K166" s="6">
        <v>2381218</v>
      </c>
      <c r="L166" s="7" t="s">
        <v>6608</v>
      </c>
      <c r="M166" s="8">
        <v>24725</v>
      </c>
      <c r="N166" s="8" t="str">
        <f t="shared" ref="N166:N171" si="30">"PEN"</f>
        <v>PEN</v>
      </c>
      <c r="O166" s="13"/>
      <c r="P166" s="13">
        <v>12</v>
      </c>
      <c r="Q166" s="3">
        <f t="shared" si="26"/>
        <v>0</v>
      </c>
      <c r="R166" s="3">
        <f t="shared" si="27"/>
        <v>12</v>
      </c>
      <c r="S166" s="3">
        <f t="shared" si="28"/>
        <v>138.59999999999968</v>
      </c>
      <c r="T166" s="24"/>
      <c r="U166" s="24"/>
      <c r="V166" s="3"/>
      <c r="W166" s="25" t="s">
        <v>6747</v>
      </c>
      <c r="X166" s="25"/>
      <c r="Y166" s="25" t="str">
        <f>IFERROR(VLOOKUP(C_Ope_006[[#This Row],[NOTA 2]],Clientes_Proveedores[[Ruc / Dni]:[Razon Social]],2,0),"")</f>
        <v/>
      </c>
      <c r="Z166" s="25"/>
      <c r="AA166" s="15"/>
      <c r="AB166" s="3" t="str">
        <f>IF(C_Ope_006[[#This Row],[FECHA]]&gt;0,TEXT(C_Ope_006[[#This Row],[FECHA]],"mmmm"),0)</f>
        <v>Junio</v>
      </c>
    </row>
    <row r="167" spans="2:28" ht="24" x14ac:dyDescent="0.3">
      <c r="B167" s="2">
        <f>IF(C_Ope_006[[#This Row],[TIPO DE R.]]="R",COUNTIFS($D$4:$D166,"R")+1,"")</f>
        <v>163</v>
      </c>
      <c r="C167" s="19" t="str">
        <f t="shared" si="29"/>
        <v>C_Ope_006</v>
      </c>
      <c r="D167" s="3" t="s">
        <v>1074</v>
      </c>
      <c r="E167" s="14">
        <v>45835</v>
      </c>
      <c r="F167" s="5" t="s">
        <v>7372</v>
      </c>
      <c r="G167" s="5" t="s">
        <v>1079</v>
      </c>
      <c r="H167" s="6"/>
      <c r="I167" s="6" t="s">
        <v>14</v>
      </c>
      <c r="J167" s="6" t="s">
        <v>5245</v>
      </c>
      <c r="K167" s="6">
        <v>1790717</v>
      </c>
      <c r="L167" s="7" t="s">
        <v>6608</v>
      </c>
      <c r="M167" s="8">
        <v>24726</v>
      </c>
      <c r="N167" s="8" t="str">
        <f t="shared" si="30"/>
        <v>PEN</v>
      </c>
      <c r="O167" s="13"/>
      <c r="P167" s="13">
        <v>12</v>
      </c>
      <c r="Q167" s="3">
        <f t="shared" si="26"/>
        <v>0</v>
      </c>
      <c r="R167" s="3">
        <f t="shared" si="27"/>
        <v>12</v>
      </c>
      <c r="S167" s="3">
        <f t="shared" si="28"/>
        <v>126.59999999999968</v>
      </c>
      <c r="T167" s="24"/>
      <c r="U167" s="24"/>
      <c r="V167" s="3"/>
      <c r="W167" s="25" t="s">
        <v>6747</v>
      </c>
      <c r="X167" s="25"/>
      <c r="Y167" s="25" t="str">
        <f>IFERROR(VLOOKUP(C_Ope_006[[#This Row],[NOTA 2]],Clientes_Proveedores[[Ruc / Dni]:[Razon Social]],2,0),"")</f>
        <v/>
      </c>
      <c r="Z167" s="25"/>
      <c r="AA167" s="15"/>
      <c r="AB167" s="3" t="str">
        <f>IF(C_Ope_006[[#This Row],[FECHA]]&gt;0,TEXT(C_Ope_006[[#This Row],[FECHA]],"mmmm"),0)</f>
        <v>Junio</v>
      </c>
    </row>
    <row r="168" spans="2:28" ht="24" x14ac:dyDescent="0.3">
      <c r="B168" s="2">
        <f>IF(C_Ope_006[[#This Row],[TIPO DE R.]]="R",COUNTIFS($D$4:$D167,"R")+1,"")</f>
        <v>164</v>
      </c>
      <c r="C168" s="19" t="str">
        <f t="shared" si="29"/>
        <v>C_Ope_006</v>
      </c>
      <c r="D168" s="3" t="s">
        <v>1074</v>
      </c>
      <c r="E168" s="14">
        <v>45838</v>
      </c>
      <c r="F168" s="5" t="s">
        <v>7372</v>
      </c>
      <c r="G168" s="5" t="s">
        <v>1079</v>
      </c>
      <c r="H168" s="6"/>
      <c r="I168" s="6" t="s">
        <v>14</v>
      </c>
      <c r="J168" s="6" t="s">
        <v>5244</v>
      </c>
      <c r="K168" s="6">
        <v>1773178</v>
      </c>
      <c r="L168" s="7" t="s">
        <v>7421</v>
      </c>
      <c r="M168" s="8">
        <v>24754</v>
      </c>
      <c r="N168" s="8" t="str">
        <f t="shared" si="30"/>
        <v>PEN</v>
      </c>
      <c r="O168" s="13"/>
      <c r="P168" s="13">
        <v>12</v>
      </c>
      <c r="Q168" s="3">
        <f t="shared" si="26"/>
        <v>0</v>
      </c>
      <c r="R168" s="3">
        <f t="shared" si="27"/>
        <v>12</v>
      </c>
      <c r="S168" s="3">
        <f t="shared" si="28"/>
        <v>114.59999999999968</v>
      </c>
      <c r="T168" s="24"/>
      <c r="U168" s="24"/>
      <c r="V168" s="3"/>
      <c r="W168" s="25" t="s">
        <v>6747</v>
      </c>
      <c r="X168" s="25"/>
      <c r="Y168" s="25" t="str">
        <f>IFERROR(VLOOKUP(C_Ope_006[[#This Row],[NOTA 2]],Clientes_Proveedores[[Ruc / Dni]:[Razon Social]],2,0),"")</f>
        <v/>
      </c>
      <c r="Z168" s="25"/>
      <c r="AA168" s="15"/>
      <c r="AB168" s="3" t="str">
        <f>IF(C_Ope_006[[#This Row],[FECHA]]&gt;0,TEXT(C_Ope_006[[#This Row],[FECHA]],"mmmm"),0)</f>
        <v>Junio</v>
      </c>
    </row>
    <row r="169" spans="2:28" ht="24" x14ac:dyDescent="0.3">
      <c r="B169" s="2">
        <f>IF(C_Ope_006[[#This Row],[TIPO DE R.]]="R",COUNTIFS($D$4:$D168,"R")+1,"")</f>
        <v>165</v>
      </c>
      <c r="C169" s="19" t="str">
        <f t="shared" si="29"/>
        <v>C_Ope_006</v>
      </c>
      <c r="D169" s="3" t="s">
        <v>1074</v>
      </c>
      <c r="E169" s="14">
        <v>45838</v>
      </c>
      <c r="F169" s="5" t="s">
        <v>7372</v>
      </c>
      <c r="G169" s="5" t="s">
        <v>1079</v>
      </c>
      <c r="H169" s="6"/>
      <c r="I169" s="6" t="s">
        <v>14</v>
      </c>
      <c r="J169" s="6" t="s">
        <v>5245</v>
      </c>
      <c r="K169" s="6">
        <v>1793367</v>
      </c>
      <c r="L169" s="7" t="s">
        <v>7421</v>
      </c>
      <c r="M169" s="8">
        <v>24755</v>
      </c>
      <c r="N169" s="8" t="str">
        <f t="shared" si="30"/>
        <v>PEN</v>
      </c>
      <c r="O169" s="13"/>
      <c r="P169" s="13">
        <v>12</v>
      </c>
      <c r="Q169" s="3">
        <f t="shared" si="26"/>
        <v>0</v>
      </c>
      <c r="R169" s="3">
        <f t="shared" si="27"/>
        <v>12</v>
      </c>
      <c r="S169" s="3">
        <f t="shared" si="28"/>
        <v>102.59999999999968</v>
      </c>
      <c r="T169" s="24"/>
      <c r="U169" s="24"/>
      <c r="V169" s="3"/>
      <c r="W169" s="25" t="s">
        <v>6747</v>
      </c>
      <c r="X169" s="25"/>
      <c r="Y169" s="25" t="str">
        <f>IFERROR(VLOOKUP(C_Ope_006[[#This Row],[NOTA 2]],Clientes_Proveedores[[Ruc / Dni]:[Razon Social]],2,0),"")</f>
        <v/>
      </c>
      <c r="Z169" s="25"/>
      <c r="AA169" s="15"/>
      <c r="AB169" s="3" t="str">
        <f>IF(C_Ope_006[[#This Row],[FECHA]]&gt;0,TEXT(C_Ope_006[[#This Row],[FECHA]],"mmmm"),0)</f>
        <v>Junio</v>
      </c>
    </row>
    <row r="170" spans="2:28" x14ac:dyDescent="0.3">
      <c r="B170" s="2">
        <f>IF(C_Ope_006[[#This Row],[TIPO DE R.]]="R",COUNTIFS($D$4:$D169,"R")+1,"")</f>
        <v>166</v>
      </c>
      <c r="C170" s="19" t="str">
        <f t="shared" si="29"/>
        <v>C_Ope_006</v>
      </c>
      <c r="D170" s="3" t="s">
        <v>1074</v>
      </c>
      <c r="E170" s="14">
        <v>45834</v>
      </c>
      <c r="F170" s="5" t="s">
        <v>7372</v>
      </c>
      <c r="G170" s="5" t="s">
        <v>1079</v>
      </c>
      <c r="H170" s="6"/>
      <c r="I170" s="6" t="s">
        <v>14</v>
      </c>
      <c r="J170" s="6" t="s">
        <v>1429</v>
      </c>
      <c r="K170" s="6">
        <v>16587</v>
      </c>
      <c r="L170" s="7" t="s">
        <v>7452</v>
      </c>
      <c r="M170" s="8">
        <v>24715</v>
      </c>
      <c r="N170" s="8" t="str">
        <f t="shared" si="30"/>
        <v>PEN</v>
      </c>
      <c r="O170" s="13"/>
      <c r="P170" s="13">
        <v>12</v>
      </c>
      <c r="Q170" s="3">
        <f t="shared" si="26"/>
        <v>0</v>
      </c>
      <c r="R170" s="3">
        <f t="shared" si="27"/>
        <v>12</v>
      </c>
      <c r="S170" s="3">
        <f t="shared" si="28"/>
        <v>90.599999999999682</v>
      </c>
      <c r="T170" s="24"/>
      <c r="U170" s="24"/>
      <c r="V170" s="3"/>
      <c r="W170" s="25" t="s">
        <v>6747</v>
      </c>
      <c r="X170" s="25"/>
      <c r="Y170" s="25" t="str">
        <f>IFERROR(VLOOKUP(C_Ope_006[[#This Row],[NOTA 2]],Clientes_Proveedores[[Ruc / Dni]:[Razon Social]],2,0),"")</f>
        <v/>
      </c>
      <c r="Z170" s="25"/>
      <c r="AA170" s="15"/>
      <c r="AB170" s="3" t="str">
        <f>IF(C_Ope_006[[#This Row],[FECHA]]&gt;0,TEXT(C_Ope_006[[#This Row],[FECHA]],"mmmm"),0)</f>
        <v>Junio</v>
      </c>
    </row>
    <row r="171" spans="2:28" x14ac:dyDescent="0.3">
      <c r="B171" s="2">
        <f>IF(C_Ope_006[[#This Row],[TIPO DE R.]]="R",COUNTIFS($D$4:$D170,"R")+1,"")</f>
        <v>167</v>
      </c>
      <c r="C171" s="19" t="str">
        <f t="shared" si="29"/>
        <v>C_Ope_006</v>
      </c>
      <c r="D171" s="3" t="s">
        <v>1074</v>
      </c>
      <c r="E171" s="14">
        <v>45839</v>
      </c>
      <c r="F171" s="5" t="s">
        <v>6299</v>
      </c>
      <c r="G171" s="5" t="s">
        <v>1087</v>
      </c>
      <c r="H171" s="6"/>
      <c r="I171" s="6"/>
      <c r="J171" s="6"/>
      <c r="K171" s="6"/>
      <c r="L171" s="7" t="s">
        <v>7113</v>
      </c>
      <c r="M171" s="8">
        <v>24766</v>
      </c>
      <c r="N171" s="8" t="str">
        <f t="shared" si="30"/>
        <v>PEN</v>
      </c>
      <c r="O171" s="13"/>
      <c r="P171" s="13">
        <v>110</v>
      </c>
      <c r="Q171" s="3">
        <f t="shared" si="26"/>
        <v>110</v>
      </c>
      <c r="R171" s="3">
        <f t="shared" si="27"/>
        <v>0</v>
      </c>
      <c r="S171" s="3">
        <f t="shared" si="28"/>
        <v>200.59999999999968</v>
      </c>
      <c r="T171" s="24"/>
      <c r="U171" s="24"/>
      <c r="V171" s="3"/>
      <c r="W171" s="25"/>
      <c r="X171" s="25"/>
      <c r="Y171" s="25" t="str">
        <f>IFERROR(VLOOKUP(C_Ope_006[[#This Row],[NOTA 2]],Clientes_Proveedores[[Ruc / Dni]:[Razon Social]],2,0),"")</f>
        <v/>
      </c>
      <c r="Z171" s="25"/>
      <c r="AA171" s="15"/>
      <c r="AB171" s="3" t="str">
        <f>IF(C_Ope_006[[#This Row],[FECHA]]&gt;0,TEXT(C_Ope_006[[#This Row],[FECHA]],"mmmm"),0)</f>
        <v>Julio</v>
      </c>
    </row>
    <row r="172" spans="2:28" ht="24" x14ac:dyDescent="0.3">
      <c r="B172" s="2">
        <f>IF(C_Ope_006[[#This Row],[TIPO DE R.]]="R",COUNTIFS($D$4:$D171,"R")+1,"")</f>
        <v>168</v>
      </c>
      <c r="C172" s="19" t="str">
        <f t="shared" ref="C172:C180" si="31">"C_Ope_006"</f>
        <v>C_Ope_006</v>
      </c>
      <c r="D172" s="3" t="s">
        <v>1074</v>
      </c>
      <c r="E172" s="14">
        <v>45840</v>
      </c>
      <c r="F172" s="5" t="s">
        <v>7372</v>
      </c>
      <c r="G172" s="5" t="s">
        <v>1079</v>
      </c>
      <c r="H172" s="6" t="s">
        <v>919</v>
      </c>
      <c r="I172" s="6" t="s">
        <v>14</v>
      </c>
      <c r="J172" s="6" t="s">
        <v>5243</v>
      </c>
      <c r="K172" s="6">
        <v>2386514</v>
      </c>
      <c r="L172" s="7" t="s">
        <v>7453</v>
      </c>
      <c r="M172" s="8">
        <v>24780</v>
      </c>
      <c r="N172" s="8" t="str">
        <f t="shared" ref="N172:N180" si="32">"PEN"</f>
        <v>PEN</v>
      </c>
      <c r="O172" s="13"/>
      <c r="P172" s="13">
        <v>12</v>
      </c>
      <c r="Q172" s="3">
        <f t="shared" si="26"/>
        <v>0</v>
      </c>
      <c r="R172" s="3">
        <f t="shared" si="27"/>
        <v>12</v>
      </c>
      <c r="S172" s="3">
        <f t="shared" si="28"/>
        <v>188.59999999999968</v>
      </c>
      <c r="T172" s="24" t="s">
        <v>1081</v>
      </c>
      <c r="U172" s="24"/>
      <c r="V172" s="3"/>
      <c r="W172" s="25" t="s">
        <v>6747</v>
      </c>
      <c r="X172" s="25">
        <v>20517252558</v>
      </c>
      <c r="Y172" s="25" t="str">
        <f>IFERROR(VLOOKUP(C_Ope_006[[#This Row],[NOTA 2]],Clientes_Proveedores[[Ruc / Dni]:[Razon Social]],2,0),"")</f>
        <v>COVISUR S.A.</v>
      </c>
      <c r="Z172" s="25"/>
      <c r="AA172" s="15"/>
      <c r="AB172" s="3" t="str">
        <f>IF(C_Ope_006[[#This Row],[FECHA]]&gt;0,TEXT(C_Ope_006[[#This Row],[FECHA]],"mmmm"),0)</f>
        <v>Julio</v>
      </c>
    </row>
    <row r="173" spans="2:28" ht="24" x14ac:dyDescent="0.3">
      <c r="B173" s="2">
        <f>IF(C_Ope_006[[#This Row],[TIPO DE R.]]="R",COUNTIFS($D$4:$D172,"R")+1,"")</f>
        <v>169</v>
      </c>
      <c r="C173" s="19" t="str">
        <f t="shared" si="31"/>
        <v>C_Ope_006</v>
      </c>
      <c r="D173" s="3" t="s">
        <v>1074</v>
      </c>
      <c r="E173" s="14">
        <v>45840</v>
      </c>
      <c r="F173" s="5" t="s">
        <v>7372</v>
      </c>
      <c r="G173" s="5" t="s">
        <v>1079</v>
      </c>
      <c r="H173" s="6" t="s">
        <v>919</v>
      </c>
      <c r="I173" s="6" t="s">
        <v>14</v>
      </c>
      <c r="J173" s="6" t="s">
        <v>5242</v>
      </c>
      <c r="K173" s="6">
        <v>2100880</v>
      </c>
      <c r="L173" s="7" t="s">
        <v>7454</v>
      </c>
      <c r="M173" s="8">
        <v>24781</v>
      </c>
      <c r="N173" s="8" t="str">
        <f t="shared" si="32"/>
        <v>PEN</v>
      </c>
      <c r="O173" s="13"/>
      <c r="P173" s="13">
        <v>12</v>
      </c>
      <c r="Q173" s="3">
        <f t="shared" si="26"/>
        <v>0</v>
      </c>
      <c r="R173" s="3">
        <f t="shared" si="27"/>
        <v>12</v>
      </c>
      <c r="S173" s="3">
        <f t="shared" si="28"/>
        <v>176.59999999999968</v>
      </c>
      <c r="T173" s="24" t="s">
        <v>1081</v>
      </c>
      <c r="U173" s="24"/>
      <c r="V173" s="3"/>
      <c r="W173" s="25" t="s">
        <v>6747</v>
      </c>
      <c r="X173" s="25">
        <v>20517252558</v>
      </c>
      <c r="Y173" s="25" t="str">
        <f>IFERROR(VLOOKUP(C_Ope_006[[#This Row],[NOTA 2]],Clientes_Proveedores[[Ruc / Dni]:[Razon Social]],2,0),"")</f>
        <v>COVISUR S.A.</v>
      </c>
      <c r="Z173" s="25"/>
      <c r="AA173" s="15"/>
      <c r="AB173" s="3" t="str">
        <f>IF(C_Ope_006[[#This Row],[FECHA]]&gt;0,TEXT(C_Ope_006[[#This Row],[FECHA]],"mmmm"),0)</f>
        <v>Julio</v>
      </c>
    </row>
    <row r="174" spans="2:28" ht="24" x14ac:dyDescent="0.3">
      <c r="B174" s="2">
        <f>IF(C_Ope_006[[#This Row],[TIPO DE R.]]="R",COUNTIFS($D$4:$D173,"R")+1,"")</f>
        <v>170</v>
      </c>
      <c r="C174" s="19" t="str">
        <f t="shared" si="31"/>
        <v>C_Ope_006</v>
      </c>
      <c r="D174" s="3" t="s">
        <v>1074</v>
      </c>
      <c r="E174" s="14">
        <v>45842</v>
      </c>
      <c r="F174" s="5" t="s">
        <v>7372</v>
      </c>
      <c r="G174" s="5" t="s">
        <v>1079</v>
      </c>
      <c r="H174" s="6" t="s">
        <v>919</v>
      </c>
      <c r="I174" s="6" t="s">
        <v>14</v>
      </c>
      <c r="J174" s="6" t="s">
        <v>5243</v>
      </c>
      <c r="K174" s="6">
        <v>2388697</v>
      </c>
      <c r="L174" s="7" t="s">
        <v>7455</v>
      </c>
      <c r="M174" s="8">
        <v>24797</v>
      </c>
      <c r="N174" s="8" t="str">
        <f t="shared" si="32"/>
        <v>PEN</v>
      </c>
      <c r="O174" s="13"/>
      <c r="P174" s="13">
        <v>12</v>
      </c>
      <c r="Q174" s="3">
        <f t="shared" si="26"/>
        <v>0</v>
      </c>
      <c r="R174" s="3">
        <f t="shared" si="27"/>
        <v>12</v>
      </c>
      <c r="S174" s="3">
        <f t="shared" si="28"/>
        <v>164.59999999999968</v>
      </c>
      <c r="T174" s="24" t="s">
        <v>1081</v>
      </c>
      <c r="U174" s="24"/>
      <c r="V174" s="3"/>
      <c r="W174" s="25" t="s">
        <v>6747</v>
      </c>
      <c r="X174" s="25">
        <v>20517252558</v>
      </c>
      <c r="Y174" s="25" t="str">
        <f>IFERROR(VLOOKUP(C_Ope_006[[#This Row],[NOTA 2]],Clientes_Proveedores[[Ruc / Dni]:[Razon Social]],2,0),"")</f>
        <v>COVISUR S.A.</v>
      </c>
      <c r="Z174" s="25"/>
      <c r="AA174" s="15"/>
      <c r="AB174" s="3" t="str">
        <f>IF(C_Ope_006[[#This Row],[FECHA]]&gt;0,TEXT(C_Ope_006[[#This Row],[FECHA]],"mmmm"),0)</f>
        <v>Julio</v>
      </c>
    </row>
    <row r="175" spans="2:28" ht="24" x14ac:dyDescent="0.3">
      <c r="B175" s="2">
        <f>IF(C_Ope_006[[#This Row],[TIPO DE R.]]="R",COUNTIFS($D$4:$D174,"R")+1,"")</f>
        <v>171</v>
      </c>
      <c r="C175" s="19" t="str">
        <f t="shared" si="31"/>
        <v>C_Ope_006</v>
      </c>
      <c r="D175" s="3" t="s">
        <v>1074</v>
      </c>
      <c r="E175" s="14">
        <v>45842</v>
      </c>
      <c r="F175" s="5" t="s">
        <v>7372</v>
      </c>
      <c r="G175" s="5" t="s">
        <v>1079</v>
      </c>
      <c r="H175" s="6" t="s">
        <v>919</v>
      </c>
      <c r="I175" s="6" t="s">
        <v>14</v>
      </c>
      <c r="J175" s="6" t="s">
        <v>5245</v>
      </c>
      <c r="K175" s="6">
        <v>1796255</v>
      </c>
      <c r="L175" s="7" t="s">
        <v>7456</v>
      </c>
      <c r="M175" s="8">
        <v>24798</v>
      </c>
      <c r="N175" s="8" t="str">
        <f t="shared" si="32"/>
        <v>PEN</v>
      </c>
      <c r="O175" s="13"/>
      <c r="P175" s="13">
        <v>12</v>
      </c>
      <c r="Q175" s="3">
        <f t="shared" si="26"/>
        <v>0</v>
      </c>
      <c r="R175" s="3">
        <f t="shared" si="27"/>
        <v>12</v>
      </c>
      <c r="S175" s="3">
        <f t="shared" si="28"/>
        <v>152.59999999999968</v>
      </c>
      <c r="T175" s="24" t="s">
        <v>1081</v>
      </c>
      <c r="U175" s="24"/>
      <c r="V175" s="3"/>
      <c r="W175" s="25" t="s">
        <v>6747</v>
      </c>
      <c r="X175" s="25">
        <v>20517252558</v>
      </c>
      <c r="Y175" s="25" t="str">
        <f>IFERROR(VLOOKUP(C_Ope_006[[#This Row],[NOTA 2]],Clientes_Proveedores[[Ruc / Dni]:[Razon Social]],2,0),"")</f>
        <v>COVISUR S.A.</v>
      </c>
      <c r="Z175" s="25"/>
      <c r="AA175" s="15"/>
      <c r="AB175" s="3" t="str">
        <f>IF(C_Ope_006[[#This Row],[FECHA]]&gt;0,TEXT(C_Ope_006[[#This Row],[FECHA]],"mmmm"),0)</f>
        <v>Julio</v>
      </c>
    </row>
    <row r="176" spans="2:28" ht="24" x14ac:dyDescent="0.3">
      <c r="B176" s="2">
        <f>IF(C_Ope_006[[#This Row],[TIPO DE R.]]="R",COUNTIFS($D$4:$D175,"R")+1,"")</f>
        <v>172</v>
      </c>
      <c r="C176" s="19" t="str">
        <f t="shared" si="31"/>
        <v>C_Ope_006</v>
      </c>
      <c r="D176" s="3" t="s">
        <v>1074</v>
      </c>
      <c r="E176" s="14">
        <v>45842</v>
      </c>
      <c r="F176" s="5" t="s">
        <v>7372</v>
      </c>
      <c r="G176" s="5" t="s">
        <v>1079</v>
      </c>
      <c r="H176" s="6" t="s">
        <v>919</v>
      </c>
      <c r="I176" s="6" t="s">
        <v>14</v>
      </c>
      <c r="J176" s="6" t="s">
        <v>5242</v>
      </c>
      <c r="K176" s="6">
        <v>2102685</v>
      </c>
      <c r="L176" s="7" t="s">
        <v>7456</v>
      </c>
      <c r="M176" s="8">
        <v>24799</v>
      </c>
      <c r="N176" s="8" t="str">
        <f t="shared" si="32"/>
        <v>PEN</v>
      </c>
      <c r="O176" s="13"/>
      <c r="P176" s="13">
        <v>12</v>
      </c>
      <c r="Q176" s="3">
        <f t="shared" si="26"/>
        <v>0</v>
      </c>
      <c r="R176" s="3">
        <f t="shared" si="27"/>
        <v>12</v>
      </c>
      <c r="S176" s="3">
        <f t="shared" si="28"/>
        <v>140.59999999999968</v>
      </c>
      <c r="T176" s="24" t="s">
        <v>1081</v>
      </c>
      <c r="U176" s="24"/>
      <c r="V176" s="3"/>
      <c r="W176" s="25" t="s">
        <v>6747</v>
      </c>
      <c r="X176" s="25">
        <v>20517252558</v>
      </c>
      <c r="Y176" s="25" t="str">
        <f>IFERROR(VLOOKUP(C_Ope_006[[#This Row],[NOTA 2]],Clientes_Proveedores[[Ruc / Dni]:[Razon Social]],2,0),"")</f>
        <v>COVISUR S.A.</v>
      </c>
      <c r="Z176" s="25"/>
      <c r="AA176" s="15"/>
      <c r="AB176" s="3" t="str">
        <f>IF(C_Ope_006[[#This Row],[FECHA]]&gt;0,TEXT(C_Ope_006[[#This Row],[FECHA]],"mmmm"),0)</f>
        <v>Julio</v>
      </c>
    </row>
    <row r="177" spans="2:28" ht="36" x14ac:dyDescent="0.3">
      <c r="B177" s="2">
        <f>IF(C_Ope_006[[#This Row],[TIPO DE R.]]="R",COUNTIFS($D$4:$D176,"R")+1,"")</f>
        <v>173</v>
      </c>
      <c r="C177" s="19" t="str">
        <f t="shared" si="31"/>
        <v>C_Ope_006</v>
      </c>
      <c r="D177" s="3" t="s">
        <v>1074</v>
      </c>
      <c r="E177" s="14">
        <v>45845</v>
      </c>
      <c r="F177" s="5" t="s">
        <v>7372</v>
      </c>
      <c r="G177" s="5" t="s">
        <v>1079</v>
      </c>
      <c r="H177" s="6" t="s">
        <v>170</v>
      </c>
      <c r="I177" s="6" t="s">
        <v>14</v>
      </c>
      <c r="J177" s="6" t="s">
        <v>1148</v>
      </c>
      <c r="K177" s="6">
        <v>133923</v>
      </c>
      <c r="L177" s="7" t="s">
        <v>7457</v>
      </c>
      <c r="M177" s="8">
        <v>24801</v>
      </c>
      <c r="N177" s="8" t="str">
        <f t="shared" si="32"/>
        <v>PEN</v>
      </c>
      <c r="O177" s="13"/>
      <c r="P177" s="13">
        <v>10</v>
      </c>
      <c r="Q177" s="3">
        <f t="shared" si="26"/>
        <v>0</v>
      </c>
      <c r="R177" s="3">
        <f t="shared" si="27"/>
        <v>10</v>
      </c>
      <c r="S177" s="3">
        <f t="shared" si="28"/>
        <v>130.59999999999968</v>
      </c>
      <c r="T177" s="24" t="s">
        <v>1081</v>
      </c>
      <c r="U177" s="24"/>
      <c r="V177" s="3"/>
      <c r="W177" s="25" t="s">
        <v>6747</v>
      </c>
      <c r="X177" s="25">
        <v>20124952850</v>
      </c>
      <c r="Y177" s="25" t="str">
        <f>IFERROR(VLOOKUP(C_Ope_006[[#This Row],[NOTA 2]],Clientes_Proveedores[[Ruc / Dni]:[Razon Social]],2,0),"")</f>
        <v>ALIMENTOS Y SERVICIOS AGROPECUARIOS SRL.</v>
      </c>
      <c r="Z177" s="25"/>
      <c r="AA177" s="15"/>
      <c r="AB177" s="3" t="str">
        <f>IF(C_Ope_006[[#This Row],[FECHA]]&gt;0,TEXT(C_Ope_006[[#This Row],[FECHA]],"mmmm"),0)</f>
        <v>Julio</v>
      </c>
    </row>
    <row r="178" spans="2:28" ht="36" x14ac:dyDescent="0.3">
      <c r="B178" s="2">
        <f>IF(C_Ope_006[[#This Row],[TIPO DE R.]]="R",COUNTIFS($D$4:$D177,"R")+1,"")</f>
        <v>174</v>
      </c>
      <c r="C178" s="19" t="str">
        <f t="shared" si="31"/>
        <v>C_Ope_006</v>
      </c>
      <c r="D178" s="3" t="s">
        <v>1074</v>
      </c>
      <c r="E178" s="14">
        <v>45847</v>
      </c>
      <c r="F178" s="5" t="s">
        <v>7372</v>
      </c>
      <c r="G178" s="5" t="s">
        <v>1079</v>
      </c>
      <c r="H178" s="6" t="s">
        <v>170</v>
      </c>
      <c r="I178" s="6" t="s">
        <v>14</v>
      </c>
      <c r="J178" s="6" t="s">
        <v>1148</v>
      </c>
      <c r="K178" s="6">
        <v>133999</v>
      </c>
      <c r="L178" s="7" t="s">
        <v>7458</v>
      </c>
      <c r="M178" s="8">
        <v>24833</v>
      </c>
      <c r="N178" s="8" t="str">
        <f t="shared" si="32"/>
        <v>PEN</v>
      </c>
      <c r="O178" s="13"/>
      <c r="P178" s="13">
        <v>10</v>
      </c>
      <c r="Q178" s="3">
        <f t="shared" si="26"/>
        <v>0</v>
      </c>
      <c r="R178" s="3">
        <f t="shared" si="27"/>
        <v>10</v>
      </c>
      <c r="S178" s="3">
        <f t="shared" si="28"/>
        <v>120.59999999999968</v>
      </c>
      <c r="T178" s="24" t="s">
        <v>1081</v>
      </c>
      <c r="U178" s="24"/>
      <c r="V178" s="3"/>
      <c r="W178" s="25" t="s">
        <v>6747</v>
      </c>
      <c r="X178" s="25">
        <v>20124952850</v>
      </c>
      <c r="Y178" s="25" t="str">
        <f>IFERROR(VLOOKUP(C_Ope_006[[#This Row],[NOTA 2]],Clientes_Proveedores[[Ruc / Dni]:[Razon Social]],2,0),"")</f>
        <v>ALIMENTOS Y SERVICIOS AGROPECUARIOS SRL.</v>
      </c>
      <c r="Z178" s="25"/>
      <c r="AA178" s="15"/>
      <c r="AB178" s="3" t="str">
        <f>IF(C_Ope_006[[#This Row],[FECHA]]&gt;0,TEXT(C_Ope_006[[#This Row],[FECHA]],"mmmm"),0)</f>
        <v>Julio</v>
      </c>
    </row>
    <row r="179" spans="2:28" ht="36" x14ac:dyDescent="0.3">
      <c r="B179" s="2">
        <f>IF(C_Ope_006[[#This Row],[TIPO DE R.]]="R",COUNTIFS($D$4:$D178,"R")+1,"")</f>
        <v>175</v>
      </c>
      <c r="C179" s="19" t="str">
        <f t="shared" si="31"/>
        <v>C_Ope_006</v>
      </c>
      <c r="D179" s="3" t="s">
        <v>1074</v>
      </c>
      <c r="E179" s="14">
        <v>45847</v>
      </c>
      <c r="F179" s="5" t="s">
        <v>7372</v>
      </c>
      <c r="G179" s="5" t="s">
        <v>1079</v>
      </c>
      <c r="H179" s="6" t="s">
        <v>170</v>
      </c>
      <c r="I179" s="6" t="s">
        <v>14</v>
      </c>
      <c r="J179" s="6" t="s">
        <v>1148</v>
      </c>
      <c r="K179" s="6">
        <v>134001</v>
      </c>
      <c r="L179" s="7" t="s">
        <v>7459</v>
      </c>
      <c r="M179" s="8">
        <v>24834</v>
      </c>
      <c r="N179" s="8" t="str">
        <f t="shared" si="32"/>
        <v>PEN</v>
      </c>
      <c r="O179" s="13"/>
      <c r="P179" s="13">
        <v>10</v>
      </c>
      <c r="Q179" s="3">
        <f t="shared" si="26"/>
        <v>0</v>
      </c>
      <c r="R179" s="3">
        <f t="shared" si="27"/>
        <v>10</v>
      </c>
      <c r="S179" s="3">
        <f t="shared" si="28"/>
        <v>110.59999999999968</v>
      </c>
      <c r="T179" s="24" t="s">
        <v>1081</v>
      </c>
      <c r="U179" s="24"/>
      <c r="V179" s="3"/>
      <c r="W179" s="25" t="s">
        <v>6747</v>
      </c>
      <c r="X179" s="25">
        <v>20124952850</v>
      </c>
      <c r="Y179" s="25" t="str">
        <f>IFERROR(VLOOKUP(C_Ope_006[[#This Row],[NOTA 2]],Clientes_Proveedores[[Ruc / Dni]:[Razon Social]],2,0),"")</f>
        <v>ALIMENTOS Y SERVICIOS AGROPECUARIOS SRL.</v>
      </c>
      <c r="Z179" s="25"/>
      <c r="AA179" s="15"/>
      <c r="AB179" s="3" t="str">
        <f>IF(C_Ope_006[[#This Row],[FECHA]]&gt;0,TEXT(C_Ope_006[[#This Row],[FECHA]],"mmmm"),0)</f>
        <v>Julio</v>
      </c>
    </row>
    <row r="180" spans="2:28" ht="36" x14ac:dyDescent="0.3">
      <c r="B180" s="2">
        <f>IF(C_Ope_006[[#This Row],[TIPO DE R.]]="R",COUNTIFS($D$4:$D179,"R")+1,"")</f>
        <v>176</v>
      </c>
      <c r="C180" s="19" t="str">
        <f t="shared" si="31"/>
        <v>C_Ope_006</v>
      </c>
      <c r="D180" s="3" t="s">
        <v>1074</v>
      </c>
      <c r="E180" s="14">
        <v>45847</v>
      </c>
      <c r="F180" s="5" t="s">
        <v>7372</v>
      </c>
      <c r="G180" s="5" t="s">
        <v>1079</v>
      </c>
      <c r="H180" s="6" t="s">
        <v>170</v>
      </c>
      <c r="I180" s="6" t="s">
        <v>14</v>
      </c>
      <c r="J180" s="6" t="s">
        <v>1148</v>
      </c>
      <c r="K180" s="6">
        <v>134002</v>
      </c>
      <c r="L180" s="7" t="s">
        <v>7460</v>
      </c>
      <c r="M180" s="8">
        <v>24835</v>
      </c>
      <c r="N180" s="8" t="str">
        <f t="shared" si="32"/>
        <v>PEN</v>
      </c>
      <c r="O180" s="13"/>
      <c r="P180" s="13">
        <v>10</v>
      </c>
      <c r="Q180" s="3">
        <f t="shared" si="26"/>
        <v>0</v>
      </c>
      <c r="R180" s="3">
        <f t="shared" si="27"/>
        <v>10</v>
      </c>
      <c r="S180" s="3">
        <f t="shared" si="28"/>
        <v>100.59999999999968</v>
      </c>
      <c r="T180" s="24" t="s">
        <v>1081</v>
      </c>
      <c r="U180" s="24"/>
      <c r="V180" s="3"/>
      <c r="W180" s="25" t="s">
        <v>6747</v>
      </c>
      <c r="X180" s="25">
        <v>20124952850</v>
      </c>
      <c r="Y180" s="25" t="str">
        <f>IFERROR(VLOOKUP(C_Ope_006[[#This Row],[NOTA 2]],Clientes_Proveedores[[Ruc / Dni]:[Razon Social]],2,0),"")</f>
        <v>ALIMENTOS Y SERVICIOS AGROPECUARIOS SRL.</v>
      </c>
      <c r="Z180" s="25"/>
      <c r="AA180" s="15"/>
      <c r="AB180" s="3" t="str">
        <f>IF(C_Ope_006[[#This Row],[FECHA]]&gt;0,TEXT(C_Ope_006[[#This Row],[FECHA]],"mmmm"),0)</f>
        <v>Julio</v>
      </c>
    </row>
    <row r="181" spans="2:28" x14ac:dyDescent="0.3">
      <c r="B181" s="2">
        <f>IF(C_Ope_006[[#This Row],[TIPO DE R.]]="R",COUNTIFS($D$4:$D180,"R")+1,"")</f>
        <v>177</v>
      </c>
      <c r="C181" s="19" t="str">
        <f t="shared" ref="C181:C182" si="33">"C_Ope_006"</f>
        <v>C_Ope_006</v>
      </c>
      <c r="D181" s="3" t="s">
        <v>1074</v>
      </c>
      <c r="E181" s="14">
        <v>45854</v>
      </c>
      <c r="F181" s="5" t="s">
        <v>1251</v>
      </c>
      <c r="G181" s="5" t="s">
        <v>1087</v>
      </c>
      <c r="H181" s="6"/>
      <c r="I181" s="6"/>
      <c r="J181" s="6"/>
      <c r="K181" s="6"/>
      <c r="L181" s="7" t="s">
        <v>7113</v>
      </c>
      <c r="M181" s="8"/>
      <c r="N181" s="8" t="str">
        <f t="shared" ref="N181:N182" si="34">"PEN"</f>
        <v>PEN</v>
      </c>
      <c r="O181" s="13"/>
      <c r="P181" s="13">
        <v>500</v>
      </c>
      <c r="Q181" s="3">
        <f t="shared" ref="Q181:Q182" si="35">+IF(OR($G181="SALDO",$G181="INGRESO"),$P181,0)</f>
        <v>500</v>
      </c>
      <c r="R181" s="3">
        <f t="shared" ref="R181:R182" si="36">+IF($G181="EGRESO",$P181,0)</f>
        <v>0</v>
      </c>
      <c r="S181" s="3">
        <f t="shared" ref="S181:S182" si="37">IFERROR(IF(G181="SALDO",Q181,S180+Q181-R181),0)</f>
        <v>600.59999999999968</v>
      </c>
      <c r="T181" s="24"/>
      <c r="U181" s="24"/>
      <c r="V181" s="3"/>
      <c r="W181" s="25"/>
      <c r="X181" s="25"/>
      <c r="Y181" s="25" t="str">
        <f>IFERROR(VLOOKUP(C_Ope_006[[#This Row],[NOTA 2]],Clientes_Proveedores[[Ruc / Dni]:[Razon Social]],2,0),"")</f>
        <v/>
      </c>
      <c r="Z181" s="25"/>
      <c r="AA181" s="15"/>
      <c r="AB181" s="3" t="str">
        <f>IF(C_Ope_006[[#This Row],[FECHA]]&gt;0,TEXT(C_Ope_006[[#This Row],[FECHA]],"mmmm"),0)</f>
        <v>Julio</v>
      </c>
    </row>
    <row r="182" spans="2:28" x14ac:dyDescent="0.3">
      <c r="B182" s="2">
        <f>IF(C_Ope_006[[#This Row],[TIPO DE R.]]="R",COUNTIFS($D$4:$D181,"R")+1,"")</f>
        <v>178</v>
      </c>
      <c r="C182" s="19" t="str">
        <f t="shared" si="33"/>
        <v>C_Ope_006</v>
      </c>
      <c r="D182" s="3" t="s">
        <v>1074</v>
      </c>
      <c r="E182" s="14">
        <v>45859</v>
      </c>
      <c r="F182" s="5" t="s">
        <v>1251</v>
      </c>
      <c r="G182" s="5" t="s">
        <v>1087</v>
      </c>
      <c r="H182" s="6"/>
      <c r="I182" s="6"/>
      <c r="J182" s="6"/>
      <c r="K182" s="6"/>
      <c r="L182" s="7" t="s">
        <v>7113</v>
      </c>
      <c r="M182" s="8"/>
      <c r="N182" s="8" t="str">
        <f t="shared" si="34"/>
        <v>PEN</v>
      </c>
      <c r="O182" s="13"/>
      <c r="P182" s="13">
        <v>300</v>
      </c>
      <c r="Q182" s="3">
        <f t="shared" si="35"/>
        <v>300</v>
      </c>
      <c r="R182" s="3">
        <f t="shared" si="36"/>
        <v>0</v>
      </c>
      <c r="S182" s="3">
        <f t="shared" si="37"/>
        <v>900.59999999999968</v>
      </c>
      <c r="T182" s="24"/>
      <c r="U182" s="24"/>
      <c r="V182" s="3"/>
      <c r="W182" s="25"/>
      <c r="X182" s="25"/>
      <c r="Y182" s="25" t="str">
        <f>IFERROR(VLOOKUP(C_Ope_006[[#This Row],[NOTA 2]],Clientes_Proveedores[[Ruc / Dni]:[Razon Social]],2,0),"")</f>
        <v/>
      </c>
      <c r="Z182" s="25"/>
      <c r="AA182" s="15"/>
      <c r="AB182" s="3" t="str">
        <f>IF(C_Ope_006[[#This Row],[FECHA]]&gt;0,TEXT(C_Ope_006[[#This Row],[FECHA]],"mmmm"),0)</f>
        <v>Julio</v>
      </c>
    </row>
    <row r="183" spans="2:28" ht="24" x14ac:dyDescent="0.3">
      <c r="B183" s="2">
        <f>IF(C_Ope_006[[#This Row],[TIPO DE R.]]="R",COUNTIFS($D$4:$D182,"R")+1,"")</f>
        <v>179</v>
      </c>
      <c r="C183" s="19" t="str">
        <f t="shared" ref="C183:C214" si="38">"C_Ope_006"</f>
        <v>C_Ope_006</v>
      </c>
      <c r="D183" s="3" t="s">
        <v>1074</v>
      </c>
      <c r="E183" s="14">
        <v>45848</v>
      </c>
      <c r="F183" s="5" t="s">
        <v>7372</v>
      </c>
      <c r="G183" s="5" t="s">
        <v>1079</v>
      </c>
      <c r="H183" s="6" t="s">
        <v>919</v>
      </c>
      <c r="I183" s="6" t="s">
        <v>14</v>
      </c>
      <c r="J183" s="6" t="s">
        <v>5243</v>
      </c>
      <c r="K183" s="6">
        <v>2393788</v>
      </c>
      <c r="L183" s="7" t="s">
        <v>7461</v>
      </c>
      <c r="M183" s="8">
        <v>24847</v>
      </c>
      <c r="N183" s="8" t="str">
        <f t="shared" ref="N183:N214" si="39">"PEN"</f>
        <v>PEN</v>
      </c>
      <c r="O183" s="13"/>
      <c r="P183" s="13">
        <v>12</v>
      </c>
      <c r="Q183" s="3">
        <f t="shared" ref="Q183:Q214" si="40">+IF(OR($G183="SALDO",$G183="INGRESO"),$P183,0)</f>
        <v>0</v>
      </c>
      <c r="R183" s="3">
        <f t="shared" ref="R183:R214" si="41">+IF($G183="EGRESO",$P183,0)</f>
        <v>12</v>
      </c>
      <c r="S183" s="3">
        <f t="shared" ref="S183:S214" si="42">IFERROR(IF(G183="SALDO",Q183,S182+Q183-R183),0)</f>
        <v>888.59999999999968</v>
      </c>
      <c r="T183" s="24" t="s">
        <v>1081</v>
      </c>
      <c r="U183" s="24"/>
      <c r="V183" s="3"/>
      <c r="W183" s="25" t="s">
        <v>6747</v>
      </c>
      <c r="X183" s="25">
        <v>20517252558</v>
      </c>
      <c r="Y183" s="25" t="str">
        <f>IFERROR(VLOOKUP(C_Ope_006[[#This Row],[NOTA 2]],Clientes_Proveedores[[Ruc / Dni]:[Razon Social]],2,0),"")</f>
        <v>COVISUR S.A.</v>
      </c>
      <c r="Z183" s="25" t="s">
        <v>6677</v>
      </c>
      <c r="AA183" s="15"/>
      <c r="AB183" s="3" t="str">
        <f>IF(C_Ope_006[[#This Row],[FECHA]]&gt;0,TEXT(C_Ope_006[[#This Row],[FECHA]],"mmmm"),0)</f>
        <v>Julio</v>
      </c>
    </row>
    <row r="184" spans="2:28" ht="24" x14ac:dyDescent="0.3">
      <c r="B184" s="2">
        <f>IF(C_Ope_006[[#This Row],[TIPO DE R.]]="R",COUNTIFS($D$4:$D183,"R")+1,"")</f>
        <v>180</v>
      </c>
      <c r="C184" s="19" t="str">
        <f t="shared" si="38"/>
        <v>C_Ope_006</v>
      </c>
      <c r="D184" s="3" t="s">
        <v>1074</v>
      </c>
      <c r="E184" s="14">
        <v>45848</v>
      </c>
      <c r="F184" s="5" t="s">
        <v>7372</v>
      </c>
      <c r="G184" s="5" t="s">
        <v>1079</v>
      </c>
      <c r="H184" s="6" t="s">
        <v>919</v>
      </c>
      <c r="I184" s="6" t="s">
        <v>14</v>
      </c>
      <c r="J184" s="6" t="s">
        <v>5242</v>
      </c>
      <c r="K184" s="6">
        <v>2107451</v>
      </c>
      <c r="L184" s="7" t="s">
        <v>7462</v>
      </c>
      <c r="M184" s="8">
        <v>24852</v>
      </c>
      <c r="N184" s="8" t="str">
        <f t="shared" si="39"/>
        <v>PEN</v>
      </c>
      <c r="O184" s="13"/>
      <c r="P184" s="13">
        <v>12</v>
      </c>
      <c r="Q184" s="3">
        <f t="shared" si="40"/>
        <v>0</v>
      </c>
      <c r="R184" s="3">
        <f t="shared" si="41"/>
        <v>12</v>
      </c>
      <c r="S184" s="3">
        <f t="shared" si="42"/>
        <v>876.59999999999968</v>
      </c>
      <c r="T184" s="24" t="s">
        <v>1081</v>
      </c>
      <c r="U184" s="24"/>
      <c r="V184" s="3"/>
      <c r="W184" s="25" t="s">
        <v>6747</v>
      </c>
      <c r="X184" s="25">
        <v>20517252558</v>
      </c>
      <c r="Y184" s="25" t="str">
        <f>IFERROR(VLOOKUP(C_Ope_006[[#This Row],[NOTA 2]],Clientes_Proveedores[[Ruc / Dni]:[Razon Social]],2,0),"")</f>
        <v>COVISUR S.A.</v>
      </c>
      <c r="Z184" s="25" t="s">
        <v>6677</v>
      </c>
      <c r="AA184" s="15"/>
      <c r="AB184" s="3" t="str">
        <f>IF(C_Ope_006[[#This Row],[FECHA]]&gt;0,TEXT(C_Ope_006[[#This Row],[FECHA]],"mmmm"),0)</f>
        <v>Julio</v>
      </c>
    </row>
    <row r="185" spans="2:28" ht="24" x14ac:dyDescent="0.3">
      <c r="B185" s="2">
        <f>IF(C_Ope_006[[#This Row],[TIPO DE R.]]="R",COUNTIFS($D$4:$D184,"R")+1,"")</f>
        <v>181</v>
      </c>
      <c r="C185" s="19" t="str">
        <f t="shared" si="38"/>
        <v>C_Ope_006</v>
      </c>
      <c r="D185" s="3" t="s">
        <v>1074</v>
      </c>
      <c r="E185" s="14">
        <v>45849</v>
      </c>
      <c r="F185" s="5" t="s">
        <v>7372</v>
      </c>
      <c r="G185" s="5" t="s">
        <v>1079</v>
      </c>
      <c r="H185" s="6" t="s">
        <v>919</v>
      </c>
      <c r="I185" s="6" t="s">
        <v>14</v>
      </c>
      <c r="J185" s="6" t="s">
        <v>5243</v>
      </c>
      <c r="K185" s="6">
        <v>2394591</v>
      </c>
      <c r="L185" s="7" t="s">
        <v>7463</v>
      </c>
      <c r="M185" s="8">
        <v>24867</v>
      </c>
      <c r="N185" s="8" t="str">
        <f t="shared" si="39"/>
        <v>PEN</v>
      </c>
      <c r="O185" s="13"/>
      <c r="P185" s="13">
        <v>12</v>
      </c>
      <c r="Q185" s="3">
        <f t="shared" si="40"/>
        <v>0</v>
      </c>
      <c r="R185" s="3">
        <f t="shared" si="41"/>
        <v>12</v>
      </c>
      <c r="S185" s="3">
        <f t="shared" si="42"/>
        <v>864.59999999999968</v>
      </c>
      <c r="T185" s="24" t="s">
        <v>1081</v>
      </c>
      <c r="U185" s="24"/>
      <c r="V185" s="3"/>
      <c r="W185" s="25" t="s">
        <v>6747</v>
      </c>
      <c r="X185" s="25">
        <v>20517252558</v>
      </c>
      <c r="Y185" s="25" t="str">
        <f>IFERROR(VLOOKUP(C_Ope_006[[#This Row],[NOTA 2]],Clientes_Proveedores[[Ruc / Dni]:[Razon Social]],2,0),"")</f>
        <v>COVISUR S.A.</v>
      </c>
      <c r="Z185" s="25" t="s">
        <v>6677</v>
      </c>
      <c r="AA185" s="15"/>
      <c r="AB185" s="3" t="str">
        <f>IF(C_Ope_006[[#This Row],[FECHA]]&gt;0,TEXT(C_Ope_006[[#This Row],[FECHA]],"mmmm"),0)</f>
        <v>Julio</v>
      </c>
    </row>
    <row r="186" spans="2:28" ht="24" x14ac:dyDescent="0.3">
      <c r="B186" s="2">
        <f>IF(C_Ope_006[[#This Row],[TIPO DE R.]]="R",COUNTIFS($D$4:$D185,"R")+1,"")</f>
        <v>182</v>
      </c>
      <c r="C186" s="19" t="str">
        <f t="shared" si="38"/>
        <v>C_Ope_006</v>
      </c>
      <c r="D186" s="3" t="s">
        <v>1074</v>
      </c>
      <c r="E186" s="14">
        <v>45849</v>
      </c>
      <c r="F186" s="5" t="s">
        <v>7372</v>
      </c>
      <c r="G186" s="5" t="s">
        <v>1079</v>
      </c>
      <c r="H186" s="6" t="s">
        <v>919</v>
      </c>
      <c r="I186" s="6" t="s">
        <v>14</v>
      </c>
      <c r="J186" s="6" t="s">
        <v>5242</v>
      </c>
      <c r="K186" s="6">
        <v>2108235</v>
      </c>
      <c r="L186" s="7" t="s">
        <v>7464</v>
      </c>
      <c r="M186" s="8">
        <v>24879</v>
      </c>
      <c r="N186" s="8" t="str">
        <f t="shared" si="39"/>
        <v>PEN</v>
      </c>
      <c r="O186" s="13"/>
      <c r="P186" s="13">
        <v>12</v>
      </c>
      <c r="Q186" s="3">
        <f t="shared" si="40"/>
        <v>0</v>
      </c>
      <c r="R186" s="3">
        <f t="shared" si="41"/>
        <v>12</v>
      </c>
      <c r="S186" s="3">
        <f t="shared" si="42"/>
        <v>852.59999999999968</v>
      </c>
      <c r="T186" s="24" t="s">
        <v>1081</v>
      </c>
      <c r="U186" s="24"/>
      <c r="V186" s="3"/>
      <c r="W186" s="25" t="s">
        <v>6747</v>
      </c>
      <c r="X186" s="25">
        <v>20517252558</v>
      </c>
      <c r="Y186" s="25" t="str">
        <f>IFERROR(VLOOKUP(C_Ope_006[[#This Row],[NOTA 2]],Clientes_Proveedores[[Ruc / Dni]:[Razon Social]],2,0),"")</f>
        <v>COVISUR S.A.</v>
      </c>
      <c r="Z186" s="25" t="s">
        <v>6677</v>
      </c>
      <c r="AA186" s="15"/>
      <c r="AB186" s="3" t="str">
        <f>IF(C_Ope_006[[#This Row],[FECHA]]&gt;0,TEXT(C_Ope_006[[#This Row],[FECHA]],"mmmm"),0)</f>
        <v>Julio</v>
      </c>
    </row>
    <row r="187" spans="2:28" ht="24" x14ac:dyDescent="0.3">
      <c r="B187" s="2">
        <f>IF(C_Ope_006[[#This Row],[TIPO DE R.]]="R",COUNTIFS($D$4:$D186,"R")+1,"")</f>
        <v>183</v>
      </c>
      <c r="C187" s="19" t="str">
        <f t="shared" si="38"/>
        <v>C_Ope_006</v>
      </c>
      <c r="D187" s="3" t="s">
        <v>1074</v>
      </c>
      <c r="E187" s="14">
        <v>45852</v>
      </c>
      <c r="F187" s="5" t="s">
        <v>7372</v>
      </c>
      <c r="G187" s="5" t="s">
        <v>1079</v>
      </c>
      <c r="H187" s="6" t="s">
        <v>919</v>
      </c>
      <c r="I187" s="6" t="s">
        <v>14</v>
      </c>
      <c r="J187" s="6" t="s">
        <v>5243</v>
      </c>
      <c r="K187" s="6">
        <v>2397176</v>
      </c>
      <c r="L187" s="7" t="s">
        <v>7465</v>
      </c>
      <c r="M187" s="8">
        <v>24885</v>
      </c>
      <c r="N187" s="8" t="str">
        <f t="shared" si="39"/>
        <v>PEN</v>
      </c>
      <c r="O187" s="13"/>
      <c r="P187" s="13">
        <v>12</v>
      </c>
      <c r="Q187" s="3">
        <f t="shared" si="40"/>
        <v>0</v>
      </c>
      <c r="R187" s="3">
        <f t="shared" si="41"/>
        <v>12</v>
      </c>
      <c r="S187" s="3">
        <f t="shared" si="42"/>
        <v>840.59999999999968</v>
      </c>
      <c r="T187" s="24" t="s">
        <v>1081</v>
      </c>
      <c r="U187" s="24"/>
      <c r="V187" s="3"/>
      <c r="W187" s="25" t="s">
        <v>6747</v>
      </c>
      <c r="X187" s="25">
        <v>20517252558</v>
      </c>
      <c r="Y187" s="25" t="str">
        <f>IFERROR(VLOOKUP(C_Ope_006[[#This Row],[NOTA 2]],Clientes_Proveedores[[Ruc / Dni]:[Razon Social]],2,0),"")</f>
        <v>COVISUR S.A.</v>
      </c>
      <c r="Z187" s="25" t="s">
        <v>6677</v>
      </c>
      <c r="AA187" s="15"/>
      <c r="AB187" s="3" t="str">
        <f>IF(C_Ope_006[[#This Row],[FECHA]]&gt;0,TEXT(C_Ope_006[[#This Row],[FECHA]],"mmmm"),0)</f>
        <v>Julio</v>
      </c>
    </row>
    <row r="188" spans="2:28" ht="24" x14ac:dyDescent="0.3">
      <c r="B188" s="2">
        <f>IF(C_Ope_006[[#This Row],[TIPO DE R.]]="R",COUNTIFS($D$4:$D187,"R")+1,"")</f>
        <v>184</v>
      </c>
      <c r="C188" s="19" t="str">
        <f t="shared" si="38"/>
        <v>C_Ope_006</v>
      </c>
      <c r="D188" s="3" t="s">
        <v>1074</v>
      </c>
      <c r="E188" s="14">
        <v>45852</v>
      </c>
      <c r="F188" s="5" t="s">
        <v>7372</v>
      </c>
      <c r="G188" s="5" t="s">
        <v>1079</v>
      </c>
      <c r="H188" s="6" t="s">
        <v>919</v>
      </c>
      <c r="I188" s="6" t="s">
        <v>14</v>
      </c>
      <c r="J188" s="6" t="s">
        <v>5245</v>
      </c>
      <c r="K188" s="6">
        <v>1803253</v>
      </c>
      <c r="L188" s="7" t="s">
        <v>7466</v>
      </c>
      <c r="M188" s="8">
        <v>24886</v>
      </c>
      <c r="N188" s="8" t="str">
        <f t="shared" si="39"/>
        <v>PEN</v>
      </c>
      <c r="O188" s="13"/>
      <c r="P188" s="13">
        <v>12</v>
      </c>
      <c r="Q188" s="3">
        <f t="shared" si="40"/>
        <v>0</v>
      </c>
      <c r="R188" s="3">
        <f t="shared" si="41"/>
        <v>12</v>
      </c>
      <c r="S188" s="3">
        <f t="shared" si="42"/>
        <v>828.59999999999968</v>
      </c>
      <c r="T188" s="24" t="s">
        <v>1081</v>
      </c>
      <c r="U188" s="24"/>
      <c r="V188" s="3"/>
      <c r="W188" s="25" t="s">
        <v>6747</v>
      </c>
      <c r="X188" s="25">
        <v>20517252558</v>
      </c>
      <c r="Y188" s="25" t="str">
        <f>IFERROR(VLOOKUP(C_Ope_006[[#This Row],[NOTA 2]],Clientes_Proveedores[[Ruc / Dni]:[Razon Social]],2,0),"")</f>
        <v>COVISUR S.A.</v>
      </c>
      <c r="Z188" s="25" t="s">
        <v>6677</v>
      </c>
      <c r="AA188" s="15"/>
      <c r="AB188" s="3" t="str">
        <f>IF(C_Ope_006[[#This Row],[FECHA]]&gt;0,TEXT(C_Ope_006[[#This Row],[FECHA]],"mmmm"),0)</f>
        <v>Julio</v>
      </c>
    </row>
    <row r="189" spans="2:28" ht="24" x14ac:dyDescent="0.3">
      <c r="B189" s="2">
        <f>IF(C_Ope_006[[#This Row],[TIPO DE R.]]="R",COUNTIFS($D$4:$D188,"R")+1,"")</f>
        <v>185</v>
      </c>
      <c r="C189" s="19" t="str">
        <f t="shared" si="38"/>
        <v>C_Ope_006</v>
      </c>
      <c r="D189" s="3" t="s">
        <v>1074</v>
      </c>
      <c r="E189" s="14">
        <v>45854</v>
      </c>
      <c r="F189" s="5" t="s">
        <v>7372</v>
      </c>
      <c r="G189" s="5" t="s">
        <v>1079</v>
      </c>
      <c r="H189" s="6" t="s">
        <v>919</v>
      </c>
      <c r="I189" s="6" t="s">
        <v>14</v>
      </c>
      <c r="J189" s="6" t="s">
        <v>5243</v>
      </c>
      <c r="K189" s="6">
        <v>2399592</v>
      </c>
      <c r="L189" s="7" t="s">
        <v>7467</v>
      </c>
      <c r="M189" s="8">
        <v>24898</v>
      </c>
      <c r="N189" s="8" t="str">
        <f t="shared" si="39"/>
        <v>PEN</v>
      </c>
      <c r="O189" s="13"/>
      <c r="P189" s="13">
        <v>12</v>
      </c>
      <c r="Q189" s="3">
        <f t="shared" si="40"/>
        <v>0</v>
      </c>
      <c r="R189" s="3">
        <f t="shared" si="41"/>
        <v>12</v>
      </c>
      <c r="S189" s="3">
        <f t="shared" si="42"/>
        <v>816.59999999999968</v>
      </c>
      <c r="T189" s="24" t="s">
        <v>1081</v>
      </c>
      <c r="U189" s="24"/>
      <c r="V189" s="3"/>
      <c r="W189" s="25" t="s">
        <v>6747</v>
      </c>
      <c r="X189" s="25">
        <v>20517252558</v>
      </c>
      <c r="Y189" s="25" t="str">
        <f>IFERROR(VLOOKUP(C_Ope_006[[#This Row],[NOTA 2]],Clientes_Proveedores[[Ruc / Dni]:[Razon Social]],2,0),"")</f>
        <v>COVISUR S.A.</v>
      </c>
      <c r="Z189" s="25" t="s">
        <v>6677</v>
      </c>
      <c r="AA189" s="15"/>
      <c r="AB189" s="3" t="str">
        <f>IF(C_Ope_006[[#This Row],[FECHA]]&gt;0,TEXT(C_Ope_006[[#This Row],[FECHA]],"mmmm"),0)</f>
        <v>Julio</v>
      </c>
    </row>
    <row r="190" spans="2:28" ht="36" x14ac:dyDescent="0.3">
      <c r="B190" s="2">
        <f>IF(C_Ope_006[[#This Row],[TIPO DE R.]]="R",COUNTIFS($D$4:$D189,"R")+1,"")</f>
        <v>186</v>
      </c>
      <c r="C190" s="19" t="str">
        <f t="shared" si="38"/>
        <v>C_Ope_006</v>
      </c>
      <c r="D190" s="3" t="s">
        <v>1074</v>
      </c>
      <c r="E190" s="14">
        <v>45855</v>
      </c>
      <c r="F190" s="5" t="s">
        <v>7372</v>
      </c>
      <c r="G190" s="5" t="s">
        <v>1079</v>
      </c>
      <c r="H190" s="6" t="s">
        <v>947</v>
      </c>
      <c r="I190" s="6" t="s">
        <v>14</v>
      </c>
      <c r="J190" s="6" t="s">
        <v>6879</v>
      </c>
      <c r="K190" s="6">
        <v>634203</v>
      </c>
      <c r="L190" s="7" t="s">
        <v>7468</v>
      </c>
      <c r="M190" s="8">
        <v>24920</v>
      </c>
      <c r="N190" s="8" t="str">
        <f t="shared" si="39"/>
        <v>PEN</v>
      </c>
      <c r="O190" s="13"/>
      <c r="P190" s="13">
        <v>23.6</v>
      </c>
      <c r="Q190" s="3">
        <f t="shared" si="40"/>
        <v>0</v>
      </c>
      <c r="R190" s="3">
        <f t="shared" si="41"/>
        <v>23.6</v>
      </c>
      <c r="S190" s="3">
        <f t="shared" si="42"/>
        <v>792.99999999999966</v>
      </c>
      <c r="T190" s="24" t="s">
        <v>1081</v>
      </c>
      <c r="U190" s="24"/>
      <c r="V190" s="3"/>
      <c r="W190" s="25" t="s">
        <v>6747</v>
      </c>
      <c r="X190" s="25">
        <v>20550033519</v>
      </c>
      <c r="Y190" s="25" t="str">
        <f>IFERROR(VLOOKUP(C_Ope_006[[#This Row],[NOTA 2]],Clientes_Proveedores[[Ruc / Dni]:[Razon Social]],2,0),"")</f>
        <v>CONCESIONARIA PERUANA DE VIAS-COVINCA S.A.</v>
      </c>
      <c r="Z190" s="25" t="s">
        <v>6677</v>
      </c>
      <c r="AA190" s="15"/>
      <c r="AB190" s="3" t="str">
        <f>IF(C_Ope_006[[#This Row],[FECHA]]&gt;0,TEXT(C_Ope_006[[#This Row],[FECHA]],"mmmm"),0)</f>
        <v>Julio</v>
      </c>
    </row>
    <row r="191" spans="2:28" ht="24" x14ac:dyDescent="0.3">
      <c r="B191" s="2">
        <f>IF(C_Ope_006[[#This Row],[TIPO DE R.]]="R",COUNTIFS($D$4:$D190,"R")+1,"")</f>
        <v>187</v>
      </c>
      <c r="C191" s="19" t="str">
        <f t="shared" si="38"/>
        <v>C_Ope_006</v>
      </c>
      <c r="D191" s="3" t="s">
        <v>1074</v>
      </c>
      <c r="E191" s="14">
        <v>45856</v>
      </c>
      <c r="F191" s="5" t="s">
        <v>7372</v>
      </c>
      <c r="G191" s="5" t="s">
        <v>1079</v>
      </c>
      <c r="H191" s="6" t="s">
        <v>982</v>
      </c>
      <c r="I191" s="6" t="s">
        <v>14</v>
      </c>
      <c r="J191" s="6" t="s">
        <v>6926</v>
      </c>
      <c r="K191" s="6">
        <v>2916277</v>
      </c>
      <c r="L191" s="7" t="s">
        <v>7469</v>
      </c>
      <c r="M191" s="8">
        <v>24929</v>
      </c>
      <c r="N191" s="8" t="str">
        <f t="shared" si="39"/>
        <v>PEN</v>
      </c>
      <c r="O191" s="13"/>
      <c r="P191" s="13">
        <v>58.2</v>
      </c>
      <c r="Q191" s="3">
        <f t="shared" si="40"/>
        <v>0</v>
      </c>
      <c r="R191" s="3">
        <f t="shared" si="41"/>
        <v>58.2</v>
      </c>
      <c r="S191" s="3">
        <f t="shared" si="42"/>
        <v>734.79999999999961</v>
      </c>
      <c r="T191" s="24" t="s">
        <v>1081</v>
      </c>
      <c r="U191" s="24"/>
      <c r="V191" s="3"/>
      <c r="W191" s="25" t="s">
        <v>6747</v>
      </c>
      <c r="X191" s="25">
        <v>20511465061</v>
      </c>
      <c r="Y191" s="25" t="str">
        <f>IFERROR(VLOOKUP(C_Ope_006[[#This Row],[NOTA 2]],Clientes_Proveedores[[Ruc / Dni]:[Razon Social]],2,0),"")</f>
        <v>CONCESIONARIA VIAL DEL PERU S.A</v>
      </c>
      <c r="Z191" s="25" t="s">
        <v>6677</v>
      </c>
      <c r="AA191" s="15"/>
      <c r="AB191" s="3" t="str">
        <f>IF(C_Ope_006[[#This Row],[FECHA]]&gt;0,TEXT(C_Ope_006[[#This Row],[FECHA]],"mmmm"),0)</f>
        <v>Julio</v>
      </c>
    </row>
    <row r="192" spans="2:28" ht="24" x14ac:dyDescent="0.3">
      <c r="B192" s="2">
        <f>IF(C_Ope_006[[#This Row],[TIPO DE R.]]="R",COUNTIFS($D$4:$D191,"R")+1,"")</f>
        <v>188</v>
      </c>
      <c r="C192" s="19" t="str">
        <f t="shared" si="38"/>
        <v>C_Ope_006</v>
      </c>
      <c r="D192" s="3" t="s">
        <v>1074</v>
      </c>
      <c r="E192" s="14">
        <v>45856</v>
      </c>
      <c r="F192" s="5" t="s">
        <v>7372</v>
      </c>
      <c r="G192" s="5" t="s">
        <v>1079</v>
      </c>
      <c r="H192" s="6" t="s">
        <v>920</v>
      </c>
      <c r="I192" s="6" t="s">
        <v>14</v>
      </c>
      <c r="J192" s="6" t="s">
        <v>6985</v>
      </c>
      <c r="K192" s="6">
        <v>3059685</v>
      </c>
      <c r="L192" s="7" t="s">
        <v>7470</v>
      </c>
      <c r="M192" s="8">
        <v>24949</v>
      </c>
      <c r="N192" s="8" t="str">
        <f t="shared" si="39"/>
        <v>PEN</v>
      </c>
      <c r="O192" s="13"/>
      <c r="P192" s="13">
        <v>22.5</v>
      </c>
      <c r="Q192" s="3">
        <f t="shared" si="40"/>
        <v>0</v>
      </c>
      <c r="R192" s="3">
        <f t="shared" si="41"/>
        <v>22.5</v>
      </c>
      <c r="S192" s="3">
        <f t="shared" si="42"/>
        <v>712.29999999999961</v>
      </c>
      <c r="T192" s="24" t="s">
        <v>1081</v>
      </c>
      <c r="U192" s="24"/>
      <c r="V192" s="3"/>
      <c r="W192" s="25" t="s">
        <v>6747</v>
      </c>
      <c r="X192" s="25">
        <v>20550372640</v>
      </c>
      <c r="Y192" s="25" t="str">
        <f>IFERROR(VLOOKUP(C_Ope_006[[#This Row],[NOTA 2]],Clientes_Proveedores[[Ruc / Dni]:[Razon Social]],2,0),"")</f>
        <v>RUTAS DE LIMA S.A.C.</v>
      </c>
      <c r="Z192" s="25" t="s">
        <v>6677</v>
      </c>
      <c r="AA192" s="15"/>
      <c r="AB192" s="3" t="str">
        <f>IF(C_Ope_006[[#This Row],[FECHA]]&gt;0,TEXT(C_Ope_006[[#This Row],[FECHA]],"mmmm"),0)</f>
        <v>Julio</v>
      </c>
    </row>
    <row r="193" spans="2:28" ht="24" x14ac:dyDescent="0.3">
      <c r="B193" s="2">
        <f>IF(C_Ope_006[[#This Row],[TIPO DE R.]]="R",COUNTIFS($D$4:$D192,"R")+1,"")</f>
        <v>189</v>
      </c>
      <c r="C193" s="19" t="str">
        <f t="shared" si="38"/>
        <v>C_Ope_006</v>
      </c>
      <c r="D193" s="3" t="s">
        <v>1074</v>
      </c>
      <c r="E193" s="14">
        <v>45859</v>
      </c>
      <c r="F193" s="5" t="s">
        <v>7372</v>
      </c>
      <c r="G193" s="5" t="s">
        <v>1079</v>
      </c>
      <c r="H193" s="6" t="s">
        <v>920</v>
      </c>
      <c r="I193" s="6" t="s">
        <v>14</v>
      </c>
      <c r="J193" s="6" t="s">
        <v>7115</v>
      </c>
      <c r="K193" s="6">
        <v>1271651</v>
      </c>
      <c r="L193" s="7" t="s">
        <v>7471</v>
      </c>
      <c r="M193" s="8">
        <v>24970</v>
      </c>
      <c r="N193" s="8" t="str">
        <f t="shared" si="39"/>
        <v>PEN</v>
      </c>
      <c r="O193" s="13"/>
      <c r="P193" s="13">
        <v>22.5</v>
      </c>
      <c r="Q193" s="3">
        <f t="shared" si="40"/>
        <v>0</v>
      </c>
      <c r="R193" s="3">
        <f t="shared" si="41"/>
        <v>22.5</v>
      </c>
      <c r="S193" s="3">
        <f t="shared" si="42"/>
        <v>689.79999999999961</v>
      </c>
      <c r="T193" s="24" t="s">
        <v>1081</v>
      </c>
      <c r="U193" s="24"/>
      <c r="V193" s="3"/>
      <c r="W193" s="25" t="s">
        <v>6747</v>
      </c>
      <c r="X193" s="25">
        <v>20550372640</v>
      </c>
      <c r="Y193" s="25" t="str">
        <f>IFERROR(VLOOKUP(C_Ope_006[[#This Row],[NOTA 2]],Clientes_Proveedores[[Ruc / Dni]:[Razon Social]],2,0),"")</f>
        <v>RUTAS DE LIMA S.A.C.</v>
      </c>
      <c r="Z193" s="25" t="s">
        <v>6677</v>
      </c>
      <c r="AA193" s="15"/>
      <c r="AB193" s="3" t="str">
        <f>IF(C_Ope_006[[#This Row],[FECHA]]&gt;0,TEXT(C_Ope_006[[#This Row],[FECHA]],"mmmm"),0)</f>
        <v>Julio</v>
      </c>
    </row>
    <row r="194" spans="2:28" ht="24" x14ac:dyDescent="0.3">
      <c r="B194" s="2">
        <f>IF(C_Ope_006[[#This Row],[TIPO DE R.]]="R",COUNTIFS($D$4:$D193,"R")+1,"")</f>
        <v>190</v>
      </c>
      <c r="C194" s="19" t="str">
        <f t="shared" si="38"/>
        <v>C_Ope_006</v>
      </c>
      <c r="D194" s="3" t="s">
        <v>1074</v>
      </c>
      <c r="E194" s="14">
        <v>45859</v>
      </c>
      <c r="F194" s="5" t="s">
        <v>7372</v>
      </c>
      <c r="G194" s="5" t="s">
        <v>1079</v>
      </c>
      <c r="H194" s="6" t="s">
        <v>982</v>
      </c>
      <c r="I194" s="6" t="s">
        <v>14</v>
      </c>
      <c r="J194" s="6" t="s">
        <v>1120</v>
      </c>
      <c r="K194" s="6">
        <v>3085345</v>
      </c>
      <c r="L194" s="7" t="s">
        <v>7472</v>
      </c>
      <c r="M194" s="8">
        <v>24971</v>
      </c>
      <c r="N194" s="8" t="str">
        <f t="shared" si="39"/>
        <v>PEN</v>
      </c>
      <c r="O194" s="13"/>
      <c r="P194" s="13">
        <v>58.2</v>
      </c>
      <c r="Q194" s="3">
        <f t="shared" si="40"/>
        <v>0</v>
      </c>
      <c r="R194" s="3">
        <f t="shared" si="41"/>
        <v>58.2</v>
      </c>
      <c r="S194" s="3">
        <f t="shared" si="42"/>
        <v>631.59999999999957</v>
      </c>
      <c r="T194" s="24" t="s">
        <v>1081</v>
      </c>
      <c r="U194" s="24"/>
      <c r="V194" s="3"/>
      <c r="W194" s="25" t="s">
        <v>6747</v>
      </c>
      <c r="X194" s="25">
        <v>20511465061</v>
      </c>
      <c r="Y194" s="25" t="str">
        <f>IFERROR(VLOOKUP(C_Ope_006[[#This Row],[NOTA 2]],Clientes_Proveedores[[Ruc / Dni]:[Razon Social]],2,0),"")</f>
        <v>CONCESIONARIA VIAL DEL PERU S.A</v>
      </c>
      <c r="Z194" s="25" t="s">
        <v>6677</v>
      </c>
      <c r="AA194" s="15"/>
      <c r="AB194" s="3" t="str">
        <f>IF(C_Ope_006[[#This Row],[FECHA]]&gt;0,TEXT(C_Ope_006[[#This Row],[FECHA]],"mmmm"),0)</f>
        <v>Julio</v>
      </c>
    </row>
    <row r="195" spans="2:28" ht="24" x14ac:dyDescent="0.3">
      <c r="B195" s="2">
        <f>IF(C_Ope_006[[#This Row],[TIPO DE R.]]="R",COUNTIFS($D$4:$D194,"R")+1,"")</f>
        <v>191</v>
      </c>
      <c r="C195" s="19" t="str">
        <f t="shared" si="38"/>
        <v>C_Ope_006</v>
      </c>
      <c r="D195" s="3" t="s">
        <v>1074</v>
      </c>
      <c r="E195" s="14">
        <v>45859</v>
      </c>
      <c r="F195" s="5" t="s">
        <v>7372</v>
      </c>
      <c r="G195" s="5" t="s">
        <v>1079</v>
      </c>
      <c r="H195" s="6" t="s">
        <v>982</v>
      </c>
      <c r="I195" s="6" t="s">
        <v>14</v>
      </c>
      <c r="J195" s="6" t="s">
        <v>6910</v>
      </c>
      <c r="K195" s="6">
        <v>2551615</v>
      </c>
      <c r="L195" s="7" t="s">
        <v>7473</v>
      </c>
      <c r="M195" s="8">
        <v>24972</v>
      </c>
      <c r="N195" s="8" t="str">
        <f t="shared" si="39"/>
        <v>PEN</v>
      </c>
      <c r="O195" s="13"/>
      <c r="P195" s="13">
        <v>58.2</v>
      </c>
      <c r="Q195" s="3">
        <f t="shared" si="40"/>
        <v>0</v>
      </c>
      <c r="R195" s="3">
        <f t="shared" si="41"/>
        <v>58.2</v>
      </c>
      <c r="S195" s="3">
        <f t="shared" si="42"/>
        <v>573.39999999999952</v>
      </c>
      <c r="T195" s="24" t="s">
        <v>1081</v>
      </c>
      <c r="U195" s="24"/>
      <c r="V195" s="3"/>
      <c r="W195" s="25" t="s">
        <v>6747</v>
      </c>
      <c r="X195" s="25">
        <v>20511465061</v>
      </c>
      <c r="Y195" s="25" t="str">
        <f>IFERROR(VLOOKUP(C_Ope_006[[#This Row],[NOTA 2]],Clientes_Proveedores[[Ruc / Dni]:[Razon Social]],2,0),"")</f>
        <v>CONCESIONARIA VIAL DEL PERU S.A</v>
      </c>
      <c r="Z195" s="25" t="s">
        <v>6677</v>
      </c>
      <c r="AA195" s="15"/>
      <c r="AB195" s="3" t="str">
        <f>IF(C_Ope_006[[#This Row],[FECHA]]&gt;0,TEXT(C_Ope_006[[#This Row],[FECHA]],"mmmm"),0)</f>
        <v>Julio</v>
      </c>
    </row>
    <row r="196" spans="2:28" ht="36" x14ac:dyDescent="0.3">
      <c r="B196" s="2">
        <f>IF(C_Ope_006[[#This Row],[TIPO DE R.]]="R",COUNTIFS($D$4:$D195,"R")+1,"")</f>
        <v>192</v>
      </c>
      <c r="C196" s="19" t="str">
        <f t="shared" si="38"/>
        <v>C_Ope_006</v>
      </c>
      <c r="D196" s="3" t="s">
        <v>1074</v>
      </c>
      <c r="E196" s="14">
        <v>45859</v>
      </c>
      <c r="F196" s="5" t="s">
        <v>7372</v>
      </c>
      <c r="G196" s="5" t="s">
        <v>1079</v>
      </c>
      <c r="H196" s="6" t="s">
        <v>983</v>
      </c>
      <c r="I196" s="6" t="s">
        <v>44</v>
      </c>
      <c r="J196" s="6" t="s">
        <v>7474</v>
      </c>
      <c r="K196" s="6">
        <v>325028960</v>
      </c>
      <c r="L196" s="7" t="s">
        <v>7475</v>
      </c>
      <c r="M196" s="8">
        <v>24984</v>
      </c>
      <c r="N196" s="8" t="str">
        <f t="shared" si="39"/>
        <v>PEN</v>
      </c>
      <c r="O196" s="13"/>
      <c r="P196" s="13">
        <v>19.5</v>
      </c>
      <c r="Q196" s="3">
        <f t="shared" si="40"/>
        <v>0</v>
      </c>
      <c r="R196" s="3">
        <f t="shared" si="41"/>
        <v>19.5</v>
      </c>
      <c r="S196" s="3">
        <f t="shared" si="42"/>
        <v>553.89999999999952</v>
      </c>
      <c r="T196" s="24" t="s">
        <v>1081</v>
      </c>
      <c r="U196" s="24"/>
      <c r="V196" s="3"/>
      <c r="W196" s="25" t="s">
        <v>6747</v>
      </c>
      <c r="X196" s="25">
        <v>20503503639</v>
      </c>
      <c r="Y196" s="25" t="str">
        <f>IFERROR(VLOOKUP(C_Ope_006[[#This Row],[NOTA 2]],Clientes_Proveedores[[Ruc / Dni]:[Razon Social]],2,0),"")</f>
        <v>PROVIAS NACIONAL</v>
      </c>
      <c r="Z196" s="25" t="s">
        <v>6677</v>
      </c>
      <c r="AA196" s="15"/>
      <c r="AB196" s="3" t="str">
        <f>IF(C_Ope_006[[#This Row],[FECHA]]&gt;0,TEXT(C_Ope_006[[#This Row],[FECHA]],"mmmm"),0)</f>
        <v>Julio</v>
      </c>
    </row>
    <row r="197" spans="2:28" ht="36" x14ac:dyDescent="0.3">
      <c r="B197" s="2">
        <f>IF(C_Ope_006[[#This Row],[TIPO DE R.]]="R",COUNTIFS($D$4:$D196,"R")+1,"")</f>
        <v>193</v>
      </c>
      <c r="C197" s="19" t="str">
        <f t="shared" si="38"/>
        <v>C_Ope_006</v>
      </c>
      <c r="D197" s="3" t="s">
        <v>1074</v>
      </c>
      <c r="E197" s="14">
        <v>45859</v>
      </c>
      <c r="F197" s="5" t="s">
        <v>7372</v>
      </c>
      <c r="G197" s="5" t="s">
        <v>1079</v>
      </c>
      <c r="H197" s="6" t="s">
        <v>983</v>
      </c>
      <c r="I197" s="6" t="s">
        <v>44</v>
      </c>
      <c r="J197" s="6" t="s">
        <v>7476</v>
      </c>
      <c r="K197" s="6">
        <v>325041447</v>
      </c>
      <c r="L197" s="7" t="s">
        <v>7477</v>
      </c>
      <c r="M197" s="8">
        <v>24985</v>
      </c>
      <c r="N197" s="8" t="str">
        <f t="shared" si="39"/>
        <v>PEN</v>
      </c>
      <c r="O197" s="13"/>
      <c r="P197" s="13">
        <v>19.5</v>
      </c>
      <c r="Q197" s="3">
        <f t="shared" si="40"/>
        <v>0</v>
      </c>
      <c r="R197" s="3">
        <f t="shared" si="41"/>
        <v>19.5</v>
      </c>
      <c r="S197" s="3">
        <f t="shared" si="42"/>
        <v>534.39999999999952</v>
      </c>
      <c r="T197" s="24" t="s">
        <v>1081</v>
      </c>
      <c r="U197" s="24"/>
      <c r="V197" s="3"/>
      <c r="W197" s="25" t="s">
        <v>6747</v>
      </c>
      <c r="X197" s="25">
        <v>20503503639</v>
      </c>
      <c r="Y197" s="25" t="str">
        <f>IFERROR(VLOOKUP(C_Ope_006[[#This Row],[NOTA 2]],Clientes_Proveedores[[Ruc / Dni]:[Razon Social]],2,0),"")</f>
        <v>PROVIAS NACIONAL</v>
      </c>
      <c r="Z197" s="25" t="s">
        <v>6677</v>
      </c>
      <c r="AA197" s="15"/>
      <c r="AB197" s="3" t="str">
        <f>IF(C_Ope_006[[#This Row],[FECHA]]&gt;0,TEXT(C_Ope_006[[#This Row],[FECHA]],"mmmm"),0)</f>
        <v>Julio</v>
      </c>
    </row>
    <row r="198" spans="2:28" ht="36" x14ac:dyDescent="0.3">
      <c r="B198" s="2">
        <f>IF(C_Ope_006[[#This Row],[TIPO DE R.]]="R",COUNTIFS($D$4:$D197,"R")+1,"")</f>
        <v>194</v>
      </c>
      <c r="C198" s="19" t="str">
        <f t="shared" si="38"/>
        <v>C_Ope_006</v>
      </c>
      <c r="D198" s="3" t="s">
        <v>1074</v>
      </c>
      <c r="E198" s="14">
        <v>45860</v>
      </c>
      <c r="F198" s="5" t="s">
        <v>7372</v>
      </c>
      <c r="G198" s="5" t="s">
        <v>1079</v>
      </c>
      <c r="H198" s="6" t="s">
        <v>983</v>
      </c>
      <c r="I198" s="6" t="s">
        <v>44</v>
      </c>
      <c r="J198" s="6" t="s">
        <v>7478</v>
      </c>
      <c r="K198" s="6">
        <v>325036712</v>
      </c>
      <c r="L198" s="7" t="s">
        <v>7479</v>
      </c>
      <c r="M198" s="8">
        <v>24992</v>
      </c>
      <c r="N198" s="8" t="str">
        <f t="shared" si="39"/>
        <v>PEN</v>
      </c>
      <c r="O198" s="13"/>
      <c r="P198" s="13">
        <v>19.5</v>
      </c>
      <c r="Q198" s="3">
        <f t="shared" si="40"/>
        <v>0</v>
      </c>
      <c r="R198" s="3">
        <f t="shared" si="41"/>
        <v>19.5</v>
      </c>
      <c r="S198" s="3">
        <f t="shared" si="42"/>
        <v>514.89999999999952</v>
      </c>
      <c r="T198" s="24" t="s">
        <v>1081</v>
      </c>
      <c r="U198" s="24"/>
      <c r="V198" s="3"/>
      <c r="W198" s="25" t="s">
        <v>6747</v>
      </c>
      <c r="X198" s="25">
        <v>20503503639</v>
      </c>
      <c r="Y198" s="25" t="str">
        <f>IFERROR(VLOOKUP(C_Ope_006[[#This Row],[NOTA 2]],Clientes_Proveedores[[Ruc / Dni]:[Razon Social]],2,0),"")</f>
        <v>PROVIAS NACIONAL</v>
      </c>
      <c r="Z198" s="25" t="s">
        <v>6677</v>
      </c>
      <c r="AA198" s="15"/>
      <c r="AB198" s="3" t="str">
        <f>IF(C_Ope_006[[#This Row],[FECHA]]&gt;0,TEXT(C_Ope_006[[#This Row],[FECHA]],"mmmm"),0)</f>
        <v>Julio</v>
      </c>
    </row>
    <row r="199" spans="2:28" ht="36" x14ac:dyDescent="0.3">
      <c r="B199" s="2">
        <f>IF(C_Ope_006[[#This Row],[TIPO DE R.]]="R",COUNTIFS($D$4:$D198,"R")+1,"")</f>
        <v>195</v>
      </c>
      <c r="C199" s="19" t="str">
        <f t="shared" si="38"/>
        <v>C_Ope_006</v>
      </c>
      <c r="D199" s="3" t="s">
        <v>1074</v>
      </c>
      <c r="E199" s="14">
        <v>45860</v>
      </c>
      <c r="F199" s="5" t="s">
        <v>7372</v>
      </c>
      <c r="G199" s="5" t="s">
        <v>1079</v>
      </c>
      <c r="H199" s="6" t="s">
        <v>947</v>
      </c>
      <c r="I199" s="6" t="s">
        <v>14</v>
      </c>
      <c r="J199" s="6" t="s">
        <v>2629</v>
      </c>
      <c r="K199" s="6">
        <v>805263</v>
      </c>
      <c r="L199" s="7" t="s">
        <v>7480</v>
      </c>
      <c r="M199" s="8">
        <v>24994</v>
      </c>
      <c r="N199" s="8" t="str">
        <f t="shared" si="39"/>
        <v>PEN</v>
      </c>
      <c r="O199" s="13"/>
      <c r="P199" s="13">
        <v>23.6</v>
      </c>
      <c r="Q199" s="3">
        <f t="shared" si="40"/>
        <v>0</v>
      </c>
      <c r="R199" s="3">
        <f t="shared" si="41"/>
        <v>23.6</v>
      </c>
      <c r="S199" s="3">
        <f t="shared" si="42"/>
        <v>491.2999999999995</v>
      </c>
      <c r="T199" s="24" t="s">
        <v>1081</v>
      </c>
      <c r="U199" s="24"/>
      <c r="V199" s="3"/>
      <c r="W199" s="25" t="s">
        <v>6747</v>
      </c>
      <c r="X199" s="25">
        <v>20550033519</v>
      </c>
      <c r="Y199" s="25" t="str">
        <f>IFERROR(VLOOKUP(C_Ope_006[[#This Row],[NOTA 2]],Clientes_Proveedores[[Ruc / Dni]:[Razon Social]],2,0),"")</f>
        <v>CONCESIONARIA PERUANA DE VIAS-COVINCA S.A.</v>
      </c>
      <c r="Z199" s="25" t="s">
        <v>6677</v>
      </c>
      <c r="AA199" s="15"/>
      <c r="AB199" s="3" t="str">
        <f>IF(C_Ope_006[[#This Row],[FECHA]]&gt;0,TEXT(C_Ope_006[[#This Row],[FECHA]],"mmmm"),0)</f>
        <v>Julio</v>
      </c>
    </row>
    <row r="200" spans="2:28" ht="24" x14ac:dyDescent="0.3">
      <c r="B200" s="2">
        <f>IF(C_Ope_006[[#This Row],[TIPO DE R.]]="R",COUNTIFS($D$4:$D199,"R")+1,"")</f>
        <v>196</v>
      </c>
      <c r="C200" s="19" t="str">
        <f t="shared" si="38"/>
        <v>C_Ope_006</v>
      </c>
      <c r="D200" s="3" t="s">
        <v>1074</v>
      </c>
      <c r="E200" s="14">
        <v>45860</v>
      </c>
      <c r="F200" s="5" t="s">
        <v>7372</v>
      </c>
      <c r="G200" s="5" t="s">
        <v>1079</v>
      </c>
      <c r="H200" s="6" t="s">
        <v>919</v>
      </c>
      <c r="I200" s="6" t="s">
        <v>14</v>
      </c>
      <c r="J200" s="6" t="s">
        <v>5242</v>
      </c>
      <c r="K200" s="6">
        <v>2119405</v>
      </c>
      <c r="L200" s="7" t="s">
        <v>7481</v>
      </c>
      <c r="M200" s="8">
        <v>24995</v>
      </c>
      <c r="N200" s="8" t="str">
        <f t="shared" si="39"/>
        <v>PEN</v>
      </c>
      <c r="O200" s="13"/>
      <c r="P200" s="13">
        <v>12</v>
      </c>
      <c r="Q200" s="3">
        <f t="shared" si="40"/>
        <v>0</v>
      </c>
      <c r="R200" s="3">
        <f t="shared" si="41"/>
        <v>12</v>
      </c>
      <c r="S200" s="3">
        <f t="shared" si="42"/>
        <v>479.2999999999995</v>
      </c>
      <c r="T200" s="24" t="s">
        <v>1081</v>
      </c>
      <c r="U200" s="24"/>
      <c r="V200" s="3"/>
      <c r="W200" s="25" t="s">
        <v>6747</v>
      </c>
      <c r="X200" s="25">
        <v>20517252558</v>
      </c>
      <c r="Y200" s="25" t="str">
        <f>IFERROR(VLOOKUP(C_Ope_006[[#This Row],[NOTA 2]],Clientes_Proveedores[[Ruc / Dni]:[Razon Social]],2,0),"")</f>
        <v>COVISUR S.A.</v>
      </c>
      <c r="Z200" s="25" t="s">
        <v>6677</v>
      </c>
      <c r="AA200" s="15"/>
      <c r="AB200" s="3" t="str">
        <f>IF(C_Ope_006[[#This Row],[FECHA]]&gt;0,TEXT(C_Ope_006[[#This Row],[FECHA]],"mmmm"),0)</f>
        <v>Julio</v>
      </c>
    </row>
    <row r="201" spans="2:28" ht="24" x14ac:dyDescent="0.3">
      <c r="B201" s="2">
        <f>IF(C_Ope_006[[#This Row],[TIPO DE R.]]="R",COUNTIFS($D$4:$D200,"R")+1,"")</f>
        <v>197</v>
      </c>
      <c r="C201" s="19" t="str">
        <f t="shared" si="38"/>
        <v>C_Ope_006</v>
      </c>
      <c r="D201" s="3" t="s">
        <v>1074</v>
      </c>
      <c r="E201" s="14">
        <v>45862</v>
      </c>
      <c r="F201" s="5" t="s">
        <v>7372</v>
      </c>
      <c r="G201" s="5" t="s">
        <v>1079</v>
      </c>
      <c r="H201" s="6" t="s">
        <v>919</v>
      </c>
      <c r="I201" s="6" t="s">
        <v>14</v>
      </c>
      <c r="J201" s="6" t="s">
        <v>5243</v>
      </c>
      <c r="K201" s="6">
        <v>2409485</v>
      </c>
      <c r="L201" s="7" t="s">
        <v>7482</v>
      </c>
      <c r="M201" s="8">
        <v>25010</v>
      </c>
      <c r="N201" s="8" t="str">
        <f t="shared" si="39"/>
        <v>PEN</v>
      </c>
      <c r="O201" s="13"/>
      <c r="P201" s="13">
        <v>12</v>
      </c>
      <c r="Q201" s="3">
        <f t="shared" si="40"/>
        <v>0</v>
      </c>
      <c r="R201" s="3">
        <f t="shared" si="41"/>
        <v>12</v>
      </c>
      <c r="S201" s="3">
        <f t="shared" si="42"/>
        <v>467.2999999999995</v>
      </c>
      <c r="T201" s="24" t="s">
        <v>1081</v>
      </c>
      <c r="U201" s="24"/>
      <c r="V201" s="3"/>
      <c r="W201" s="25" t="s">
        <v>6747</v>
      </c>
      <c r="X201" s="25">
        <v>20517252558</v>
      </c>
      <c r="Y201" s="25" t="str">
        <f>IFERROR(VLOOKUP(C_Ope_006[[#This Row],[NOTA 2]],Clientes_Proveedores[[Ruc / Dni]:[Razon Social]],2,0),"")</f>
        <v>COVISUR S.A.</v>
      </c>
      <c r="Z201" s="25" t="s">
        <v>6677</v>
      </c>
      <c r="AA201" s="15"/>
      <c r="AB201" s="3" t="str">
        <f>IF(C_Ope_006[[#This Row],[FECHA]]&gt;0,TEXT(C_Ope_006[[#This Row],[FECHA]],"mmmm"),0)</f>
        <v>Julio</v>
      </c>
    </row>
    <row r="202" spans="2:28" ht="24" x14ac:dyDescent="0.3">
      <c r="B202" s="2">
        <f>IF(C_Ope_006[[#This Row],[TIPO DE R.]]="R",COUNTIFS($D$4:$D201,"R")+1,"")</f>
        <v>198</v>
      </c>
      <c r="C202" s="19" t="str">
        <f t="shared" si="38"/>
        <v>C_Ope_006</v>
      </c>
      <c r="D202" s="3" t="s">
        <v>1074</v>
      </c>
      <c r="E202" s="14">
        <v>45862</v>
      </c>
      <c r="F202" s="5" t="s">
        <v>7372</v>
      </c>
      <c r="G202" s="5" t="s">
        <v>1079</v>
      </c>
      <c r="H202" s="6" t="s">
        <v>919</v>
      </c>
      <c r="I202" s="6" t="s">
        <v>14</v>
      </c>
      <c r="J202" s="6" t="s">
        <v>5245</v>
      </c>
      <c r="K202" s="6">
        <v>1813101</v>
      </c>
      <c r="L202" s="7" t="s">
        <v>7483</v>
      </c>
      <c r="M202" s="8">
        <v>25011</v>
      </c>
      <c r="N202" s="8" t="str">
        <f t="shared" si="39"/>
        <v>PEN</v>
      </c>
      <c r="O202" s="13"/>
      <c r="P202" s="13">
        <v>12</v>
      </c>
      <c r="Q202" s="3">
        <f t="shared" si="40"/>
        <v>0</v>
      </c>
      <c r="R202" s="3">
        <f t="shared" si="41"/>
        <v>12</v>
      </c>
      <c r="S202" s="3">
        <f t="shared" si="42"/>
        <v>455.2999999999995</v>
      </c>
      <c r="T202" s="24" t="s">
        <v>1081</v>
      </c>
      <c r="U202" s="24"/>
      <c r="V202" s="3"/>
      <c r="W202" s="25" t="s">
        <v>6747</v>
      </c>
      <c r="X202" s="25">
        <v>20517252558</v>
      </c>
      <c r="Y202" s="25" t="str">
        <f>IFERROR(VLOOKUP(C_Ope_006[[#This Row],[NOTA 2]],Clientes_Proveedores[[Ruc / Dni]:[Razon Social]],2,0),"")</f>
        <v>COVISUR S.A.</v>
      </c>
      <c r="Z202" s="25" t="s">
        <v>6677</v>
      </c>
      <c r="AA202" s="15"/>
      <c r="AB202" s="3" t="str">
        <f>IF(C_Ope_006[[#This Row],[FECHA]]&gt;0,TEXT(C_Ope_006[[#This Row],[FECHA]],"mmmm"),0)</f>
        <v>Julio</v>
      </c>
    </row>
    <row r="203" spans="2:28" x14ac:dyDescent="0.3">
      <c r="B203" s="2">
        <f>IF(C_Ope_006[[#This Row],[TIPO DE R.]]="R",COUNTIFS($D$4:$D202,"R")+1,"")</f>
        <v>199</v>
      </c>
      <c r="C203" s="19" t="str">
        <f t="shared" si="38"/>
        <v>C_Ope_006</v>
      </c>
      <c r="D203" s="3" t="s">
        <v>1074</v>
      </c>
      <c r="E203" s="14">
        <v>45863</v>
      </c>
      <c r="F203" s="5" t="s">
        <v>7372</v>
      </c>
      <c r="G203" s="5" t="s">
        <v>1079</v>
      </c>
      <c r="H203" s="6" t="s">
        <v>919</v>
      </c>
      <c r="I203" s="6" t="s">
        <v>14</v>
      </c>
      <c r="J203" s="6" t="s">
        <v>5243</v>
      </c>
      <c r="K203" s="6">
        <v>2410692</v>
      </c>
      <c r="L203" s="7" t="s">
        <v>7484</v>
      </c>
      <c r="M203" s="8">
        <v>25012</v>
      </c>
      <c r="N203" s="8" t="str">
        <f t="shared" si="39"/>
        <v>PEN</v>
      </c>
      <c r="O203" s="13"/>
      <c r="P203" s="13">
        <v>12</v>
      </c>
      <c r="Q203" s="3">
        <f t="shared" si="40"/>
        <v>0</v>
      </c>
      <c r="R203" s="3">
        <f t="shared" si="41"/>
        <v>12</v>
      </c>
      <c r="S203" s="3">
        <f t="shared" si="42"/>
        <v>443.2999999999995</v>
      </c>
      <c r="T203" s="24" t="s">
        <v>1081</v>
      </c>
      <c r="U203" s="24"/>
      <c r="V203" s="3"/>
      <c r="W203" s="25" t="s">
        <v>6747</v>
      </c>
      <c r="X203" s="25">
        <v>20517252558</v>
      </c>
      <c r="Y203" s="25" t="str">
        <f>IFERROR(VLOOKUP(C_Ope_006[[#This Row],[NOTA 2]],Clientes_Proveedores[[Ruc / Dni]:[Razon Social]],2,0),"")</f>
        <v>COVISUR S.A.</v>
      </c>
      <c r="Z203" s="25" t="s">
        <v>6677</v>
      </c>
      <c r="AA203" s="15"/>
      <c r="AB203" s="3" t="str">
        <f>IF(C_Ope_006[[#This Row],[FECHA]]&gt;0,TEXT(C_Ope_006[[#This Row],[FECHA]],"mmmm"),0)</f>
        <v>Julio</v>
      </c>
    </row>
    <row r="204" spans="2:28" x14ac:dyDescent="0.3">
      <c r="B204" s="2">
        <f>IF(C_Ope_006[[#This Row],[TIPO DE R.]]="R",COUNTIFS($D$4:$D203,"R")+1,"")</f>
        <v>200</v>
      </c>
      <c r="C204" s="19" t="str">
        <f t="shared" si="38"/>
        <v>C_Ope_006</v>
      </c>
      <c r="D204" s="3" t="s">
        <v>1074</v>
      </c>
      <c r="E204" s="14">
        <v>45863</v>
      </c>
      <c r="F204" s="5" t="s">
        <v>7372</v>
      </c>
      <c r="G204" s="5" t="s">
        <v>1079</v>
      </c>
      <c r="H204" s="6" t="s">
        <v>919</v>
      </c>
      <c r="I204" s="6" t="s">
        <v>14</v>
      </c>
      <c r="J204" s="6" t="s">
        <v>5245</v>
      </c>
      <c r="K204" s="6">
        <v>1814296</v>
      </c>
      <c r="L204" s="7" t="s">
        <v>7485</v>
      </c>
      <c r="M204" s="8">
        <v>25087</v>
      </c>
      <c r="N204" s="8" t="str">
        <f t="shared" si="39"/>
        <v>PEN</v>
      </c>
      <c r="O204" s="13"/>
      <c r="P204" s="13">
        <v>12</v>
      </c>
      <c r="Q204" s="3">
        <f t="shared" si="40"/>
        <v>0</v>
      </c>
      <c r="R204" s="3">
        <f t="shared" si="41"/>
        <v>12</v>
      </c>
      <c r="S204" s="3">
        <f t="shared" si="42"/>
        <v>431.2999999999995</v>
      </c>
      <c r="T204" s="24" t="s">
        <v>1081</v>
      </c>
      <c r="U204" s="24"/>
      <c r="V204" s="3"/>
      <c r="W204" s="25" t="s">
        <v>6747</v>
      </c>
      <c r="X204" s="25">
        <v>20517252558</v>
      </c>
      <c r="Y204" s="25" t="str">
        <f>IFERROR(VLOOKUP(C_Ope_006[[#This Row],[NOTA 2]],Clientes_Proveedores[[Ruc / Dni]:[Razon Social]],2,0),"")</f>
        <v>COVISUR S.A.</v>
      </c>
      <c r="Z204" s="25" t="s">
        <v>6677</v>
      </c>
      <c r="AA204" s="15"/>
      <c r="AB204" s="3" t="str">
        <f>IF(C_Ope_006[[#This Row],[FECHA]]&gt;0,TEXT(C_Ope_006[[#This Row],[FECHA]],"mmmm"),0)</f>
        <v>Julio</v>
      </c>
    </row>
    <row r="205" spans="2:28" ht="24" x14ac:dyDescent="0.3">
      <c r="B205" s="2">
        <f>IF(C_Ope_006[[#This Row],[TIPO DE R.]]="R",COUNTIFS($D$4:$D204,"R")+1,"")</f>
        <v>201</v>
      </c>
      <c r="C205" s="19" t="str">
        <f t="shared" si="38"/>
        <v>C_Ope_006</v>
      </c>
      <c r="D205" s="3" t="s">
        <v>1074</v>
      </c>
      <c r="E205" s="14">
        <v>45863</v>
      </c>
      <c r="F205" s="5" t="s">
        <v>7372</v>
      </c>
      <c r="G205" s="5" t="s">
        <v>1079</v>
      </c>
      <c r="H205" s="6" t="s">
        <v>919</v>
      </c>
      <c r="I205" s="6" t="s">
        <v>14</v>
      </c>
      <c r="J205" s="6" t="s">
        <v>7486</v>
      </c>
      <c r="K205" s="6">
        <v>2411585</v>
      </c>
      <c r="L205" s="7" t="s">
        <v>7487</v>
      </c>
      <c r="M205" s="8">
        <v>25088</v>
      </c>
      <c r="N205" s="8" t="str">
        <f t="shared" si="39"/>
        <v>PEN</v>
      </c>
      <c r="O205" s="13"/>
      <c r="P205" s="13">
        <v>12</v>
      </c>
      <c r="Q205" s="3">
        <f t="shared" si="40"/>
        <v>0</v>
      </c>
      <c r="R205" s="3">
        <f t="shared" si="41"/>
        <v>12</v>
      </c>
      <c r="S205" s="3">
        <f t="shared" si="42"/>
        <v>419.2999999999995</v>
      </c>
      <c r="T205" s="24" t="s">
        <v>1081</v>
      </c>
      <c r="U205" s="24"/>
      <c r="V205" s="3"/>
      <c r="W205" s="25" t="s">
        <v>6747</v>
      </c>
      <c r="X205" s="25">
        <v>20517252558</v>
      </c>
      <c r="Y205" s="25" t="str">
        <f>IFERROR(VLOOKUP(C_Ope_006[[#This Row],[NOTA 2]],Clientes_Proveedores[[Ruc / Dni]:[Razon Social]],2,0),"")</f>
        <v>COVISUR S.A.</v>
      </c>
      <c r="Z205" s="25" t="s">
        <v>6677</v>
      </c>
      <c r="AA205" s="15"/>
      <c r="AB205" s="3" t="str">
        <f>IF(C_Ope_006[[#This Row],[FECHA]]&gt;0,TEXT(C_Ope_006[[#This Row],[FECHA]],"mmmm"),0)</f>
        <v>Julio</v>
      </c>
    </row>
    <row r="206" spans="2:28" ht="24" x14ac:dyDescent="0.3">
      <c r="B206" s="2">
        <f>IF(C_Ope_006[[#This Row],[TIPO DE R.]]="R",COUNTIFS($D$4:$D205,"R")+1,"")</f>
        <v>202</v>
      </c>
      <c r="C206" s="19" t="str">
        <f t="shared" si="38"/>
        <v>C_Ope_006</v>
      </c>
      <c r="D206" s="3" t="s">
        <v>1074</v>
      </c>
      <c r="E206" s="14">
        <v>45863</v>
      </c>
      <c r="F206" s="5" t="s">
        <v>7372</v>
      </c>
      <c r="G206" s="5" t="s">
        <v>1079</v>
      </c>
      <c r="H206" s="6" t="s">
        <v>919</v>
      </c>
      <c r="I206" s="6" t="s">
        <v>14</v>
      </c>
      <c r="J206" s="6" t="s">
        <v>5242</v>
      </c>
      <c r="K206" s="6">
        <v>2123298</v>
      </c>
      <c r="L206" s="7" t="s">
        <v>7487</v>
      </c>
      <c r="M206" s="8">
        <v>25089</v>
      </c>
      <c r="N206" s="8" t="str">
        <f t="shared" si="39"/>
        <v>PEN</v>
      </c>
      <c r="O206" s="13"/>
      <c r="P206" s="13">
        <v>12</v>
      </c>
      <c r="Q206" s="3">
        <f t="shared" si="40"/>
        <v>0</v>
      </c>
      <c r="R206" s="3">
        <f t="shared" si="41"/>
        <v>12</v>
      </c>
      <c r="S206" s="3">
        <f t="shared" si="42"/>
        <v>407.2999999999995</v>
      </c>
      <c r="T206" s="24" t="s">
        <v>1081</v>
      </c>
      <c r="U206" s="24"/>
      <c r="V206" s="3"/>
      <c r="W206" s="25" t="s">
        <v>6747</v>
      </c>
      <c r="X206" s="25">
        <v>20517252558</v>
      </c>
      <c r="Y206" s="25" t="str">
        <f>IFERROR(VLOOKUP(C_Ope_006[[#This Row],[NOTA 2]],Clientes_Proveedores[[Ruc / Dni]:[Razon Social]],2,0),"")</f>
        <v>COVISUR S.A.</v>
      </c>
      <c r="Z206" s="25" t="s">
        <v>6677</v>
      </c>
      <c r="AA206" s="15"/>
      <c r="AB206" s="3" t="str">
        <f>IF(C_Ope_006[[#This Row],[FECHA]]&gt;0,TEXT(C_Ope_006[[#This Row],[FECHA]],"mmmm"),0)</f>
        <v>Julio</v>
      </c>
    </row>
    <row r="207" spans="2:28" ht="24" x14ac:dyDescent="0.3">
      <c r="B207" s="2">
        <f>IF(C_Ope_006[[#This Row],[TIPO DE R.]]="R",COUNTIFS($D$4:$D206,"R")+1,"")</f>
        <v>203</v>
      </c>
      <c r="C207" s="19" t="str">
        <f t="shared" si="38"/>
        <v>C_Ope_006</v>
      </c>
      <c r="D207" s="3" t="s">
        <v>1074</v>
      </c>
      <c r="E207" s="14">
        <v>45869</v>
      </c>
      <c r="F207" s="5" t="s">
        <v>7372</v>
      </c>
      <c r="G207" s="5" t="s">
        <v>1079</v>
      </c>
      <c r="H207" s="6" t="s">
        <v>919</v>
      </c>
      <c r="I207" s="6" t="s">
        <v>14</v>
      </c>
      <c r="J207" s="6" t="s">
        <v>5242</v>
      </c>
      <c r="K207" s="6">
        <v>2129252</v>
      </c>
      <c r="L207" s="7" t="s">
        <v>7488</v>
      </c>
      <c r="M207" s="8">
        <v>25085</v>
      </c>
      <c r="N207" s="8" t="str">
        <f t="shared" si="39"/>
        <v>PEN</v>
      </c>
      <c r="O207" s="13"/>
      <c r="P207" s="13">
        <v>12</v>
      </c>
      <c r="Q207" s="3">
        <f t="shared" si="40"/>
        <v>0</v>
      </c>
      <c r="R207" s="3">
        <f t="shared" si="41"/>
        <v>12</v>
      </c>
      <c r="S207" s="3">
        <f t="shared" si="42"/>
        <v>395.2999999999995</v>
      </c>
      <c r="T207" s="24" t="s">
        <v>1081</v>
      </c>
      <c r="U207" s="24"/>
      <c r="V207" s="3"/>
      <c r="W207" s="25" t="s">
        <v>6747</v>
      </c>
      <c r="X207" s="25">
        <v>20517252558</v>
      </c>
      <c r="Y207" s="25" t="str">
        <f>IFERROR(VLOOKUP(C_Ope_006[[#This Row],[NOTA 2]],Clientes_Proveedores[[Ruc / Dni]:[Razon Social]],2,0),"")</f>
        <v>COVISUR S.A.</v>
      </c>
      <c r="Z207" s="25" t="s">
        <v>6677</v>
      </c>
      <c r="AA207" s="15"/>
      <c r="AB207" s="3" t="str">
        <f>IF(C_Ope_006[[#This Row],[FECHA]]&gt;0,TEXT(C_Ope_006[[#This Row],[FECHA]],"mmmm"),0)</f>
        <v>Julio</v>
      </c>
    </row>
    <row r="208" spans="2:28" ht="24" x14ac:dyDescent="0.3">
      <c r="B208" s="2">
        <f>IF(C_Ope_006[[#This Row],[TIPO DE R.]]="R",COUNTIFS($D$4:$D207,"R")+1,"")</f>
        <v>204</v>
      </c>
      <c r="C208" s="19" t="str">
        <f t="shared" si="38"/>
        <v>C_Ope_006</v>
      </c>
      <c r="D208" s="3" t="s">
        <v>1074</v>
      </c>
      <c r="E208" s="14">
        <v>45869</v>
      </c>
      <c r="F208" s="5" t="s">
        <v>7372</v>
      </c>
      <c r="G208" s="5" t="s">
        <v>1079</v>
      </c>
      <c r="H208" s="6" t="s">
        <v>919</v>
      </c>
      <c r="I208" s="6" t="s">
        <v>14</v>
      </c>
      <c r="J208" s="6" t="s">
        <v>5243</v>
      </c>
      <c r="K208" s="6">
        <v>2417743</v>
      </c>
      <c r="L208" s="7" t="s">
        <v>7488</v>
      </c>
      <c r="M208" s="8">
        <v>25086</v>
      </c>
      <c r="N208" s="8" t="str">
        <f t="shared" si="39"/>
        <v>PEN</v>
      </c>
      <c r="O208" s="13"/>
      <c r="P208" s="13">
        <v>12</v>
      </c>
      <c r="Q208" s="3">
        <f t="shared" si="40"/>
        <v>0</v>
      </c>
      <c r="R208" s="3">
        <f t="shared" si="41"/>
        <v>12</v>
      </c>
      <c r="S208" s="3">
        <f t="shared" si="42"/>
        <v>383.2999999999995</v>
      </c>
      <c r="T208" s="24" t="s">
        <v>1081</v>
      </c>
      <c r="U208" s="24"/>
      <c r="V208" s="3"/>
      <c r="W208" s="25" t="s">
        <v>6747</v>
      </c>
      <c r="X208" s="25">
        <v>20517252558</v>
      </c>
      <c r="Y208" s="25" t="str">
        <f>IFERROR(VLOOKUP(C_Ope_006[[#This Row],[NOTA 2]],Clientes_Proveedores[[Ruc / Dni]:[Razon Social]],2,0),"")</f>
        <v>COVISUR S.A.</v>
      </c>
      <c r="Z208" s="25" t="s">
        <v>6677</v>
      </c>
      <c r="AA208" s="15"/>
      <c r="AB208" s="3" t="str">
        <f>IF(C_Ope_006[[#This Row],[FECHA]]&gt;0,TEXT(C_Ope_006[[#This Row],[FECHA]],"mmmm"),0)</f>
        <v>Julio</v>
      </c>
    </row>
    <row r="209" spans="2:28" x14ac:dyDescent="0.3">
      <c r="B209" s="2">
        <f>IF(C_Ope_006[[#This Row],[TIPO DE R.]]="R",COUNTIFS($D$4:$D208,"R")+1,"")</f>
        <v>205</v>
      </c>
      <c r="C209" s="19" t="str">
        <f t="shared" si="38"/>
        <v>C_Ope_006</v>
      </c>
      <c r="D209" s="3" t="s">
        <v>1074</v>
      </c>
      <c r="E209" s="14">
        <v>45852</v>
      </c>
      <c r="F209" s="5" t="s">
        <v>7372</v>
      </c>
      <c r="G209" s="5" t="s">
        <v>1079</v>
      </c>
      <c r="H209" s="6" t="s">
        <v>984</v>
      </c>
      <c r="I209" s="6" t="s">
        <v>14</v>
      </c>
      <c r="J209" s="6" t="s">
        <v>1148</v>
      </c>
      <c r="K209" s="6">
        <v>12701</v>
      </c>
      <c r="L209" s="7" t="s">
        <v>7489</v>
      </c>
      <c r="M209" s="8">
        <v>24891</v>
      </c>
      <c r="N209" s="8" t="str">
        <f t="shared" si="39"/>
        <v>PEN</v>
      </c>
      <c r="O209" s="13"/>
      <c r="P209" s="13">
        <v>10</v>
      </c>
      <c r="Q209" s="3">
        <f t="shared" si="40"/>
        <v>0</v>
      </c>
      <c r="R209" s="3">
        <f t="shared" si="41"/>
        <v>10</v>
      </c>
      <c r="S209" s="3">
        <f t="shared" si="42"/>
        <v>373.2999999999995</v>
      </c>
      <c r="T209" s="24"/>
      <c r="U209" s="24"/>
      <c r="V209" s="3"/>
      <c r="W209" s="25" t="s">
        <v>6747</v>
      </c>
      <c r="X209" s="25">
        <v>20606567856</v>
      </c>
      <c r="Y209" s="25" t="str">
        <f>IFERROR(VLOOKUP(C_Ope_006[[#This Row],[NOTA 2]],Clientes_Proveedores[[Ruc / Dni]:[Razon Social]],2,0),"")</f>
        <v>R.E.T. &amp; SAN S.R.L.</v>
      </c>
      <c r="Z209" s="25" t="s">
        <v>4972</v>
      </c>
      <c r="AA209" s="15"/>
      <c r="AB209" s="3" t="str">
        <f>IF(C_Ope_006[[#This Row],[FECHA]]&gt;0,TEXT(C_Ope_006[[#This Row],[FECHA]],"mmmm"),0)</f>
        <v>Julio</v>
      </c>
    </row>
    <row r="210" spans="2:28" ht="24" x14ac:dyDescent="0.3">
      <c r="B210" s="2">
        <f>IF(C_Ope_006[[#This Row],[TIPO DE R.]]="R",COUNTIFS($D$4:$D209,"R")+1,"")</f>
        <v>206</v>
      </c>
      <c r="C210" s="19" t="str">
        <f t="shared" si="38"/>
        <v>C_Ope_006</v>
      </c>
      <c r="D210" s="3" t="s">
        <v>1074</v>
      </c>
      <c r="E210" s="14">
        <v>45859</v>
      </c>
      <c r="F210" s="5" t="s">
        <v>7372</v>
      </c>
      <c r="G210" s="5" t="s">
        <v>1079</v>
      </c>
      <c r="H210" s="6" t="s">
        <v>985</v>
      </c>
      <c r="I210" s="6" t="s">
        <v>14</v>
      </c>
      <c r="J210" s="6" t="s">
        <v>1119</v>
      </c>
      <c r="K210" s="6">
        <v>1584</v>
      </c>
      <c r="L210" s="7" t="s">
        <v>7490</v>
      </c>
      <c r="M210" s="8">
        <v>24969</v>
      </c>
      <c r="N210" s="8" t="str">
        <f t="shared" si="39"/>
        <v>PEN</v>
      </c>
      <c r="O210" s="13"/>
      <c r="P210" s="13">
        <v>11.8</v>
      </c>
      <c r="Q210" s="3">
        <f t="shared" si="40"/>
        <v>0</v>
      </c>
      <c r="R210" s="3">
        <f t="shared" si="41"/>
        <v>11.8</v>
      </c>
      <c r="S210" s="3">
        <f t="shared" si="42"/>
        <v>361.49999999999949</v>
      </c>
      <c r="T210" s="24"/>
      <c r="U210" s="24"/>
      <c r="V210" s="3"/>
      <c r="W210" s="25" t="s">
        <v>6747</v>
      </c>
      <c r="X210" s="25">
        <v>10218062186</v>
      </c>
      <c r="Y210" s="25" t="str">
        <f>IFERROR(VLOOKUP(C_Ope_006[[#This Row],[NOTA 2]],Clientes_Proveedores[[Ruc / Dni]:[Razon Social]],2,0),"")</f>
        <v>YATACO FLORES JUAN DE DIOS</v>
      </c>
      <c r="Z210" s="25" t="s">
        <v>4972</v>
      </c>
      <c r="AA210" s="15"/>
      <c r="AB210" s="3" t="str">
        <f>IF(C_Ope_006[[#This Row],[FECHA]]&gt;0,TEXT(C_Ope_006[[#This Row],[FECHA]],"mmmm"),0)</f>
        <v>Julio</v>
      </c>
    </row>
    <row r="211" spans="2:28" ht="36" x14ac:dyDescent="0.3">
      <c r="B211" s="2">
        <f>IF(C_Ope_006[[#This Row],[TIPO DE R.]]="R",COUNTIFS($D$4:$D210,"R")+1,"")</f>
        <v>207</v>
      </c>
      <c r="C211" s="19" t="str">
        <f t="shared" si="38"/>
        <v>C_Ope_006</v>
      </c>
      <c r="D211" s="3" t="s">
        <v>1074</v>
      </c>
      <c r="E211" s="14">
        <v>45863</v>
      </c>
      <c r="F211" s="5" t="s">
        <v>7372</v>
      </c>
      <c r="G211" s="5" t="s">
        <v>1079</v>
      </c>
      <c r="H211" s="6" t="s">
        <v>624</v>
      </c>
      <c r="I211" s="6" t="s">
        <v>14</v>
      </c>
      <c r="J211" s="6" t="s">
        <v>1097</v>
      </c>
      <c r="K211" s="6">
        <v>17103</v>
      </c>
      <c r="L211" s="7" t="s">
        <v>7491</v>
      </c>
      <c r="M211" s="8">
        <v>25013</v>
      </c>
      <c r="N211" s="8" t="str">
        <f t="shared" si="39"/>
        <v>PEN</v>
      </c>
      <c r="O211" s="13"/>
      <c r="P211" s="13">
        <v>20</v>
      </c>
      <c r="Q211" s="3">
        <f t="shared" si="40"/>
        <v>0</v>
      </c>
      <c r="R211" s="3">
        <f t="shared" si="41"/>
        <v>20</v>
      </c>
      <c r="S211" s="3">
        <f t="shared" si="42"/>
        <v>341.49999999999949</v>
      </c>
      <c r="T211" s="24"/>
      <c r="U211" s="24"/>
      <c r="V211" s="3"/>
      <c r="W211" s="25" t="s">
        <v>6747</v>
      </c>
      <c r="X211" s="25">
        <v>20259858934</v>
      </c>
      <c r="Y211" s="25" t="str">
        <f>IFERROR(VLOOKUP(C_Ope_006[[#This Row],[NOTA 2]],Clientes_Proveedores[[Ruc / Dni]:[Razon Social]],2,0),"")</f>
        <v>COMERCIALIZACION Y SERVICIOS EL EDEN S.A.C.</v>
      </c>
      <c r="Z211" s="25" t="s">
        <v>4972</v>
      </c>
      <c r="AA211" s="15"/>
      <c r="AB211" s="3" t="str">
        <f>IF(C_Ope_006[[#This Row],[FECHA]]&gt;0,TEXT(C_Ope_006[[#This Row],[FECHA]],"mmmm"),0)</f>
        <v>Julio</v>
      </c>
    </row>
    <row r="212" spans="2:28" ht="21" customHeight="1" x14ac:dyDescent="0.3">
      <c r="B212" s="2">
        <f>IF(C_Ope_006[[#This Row],[TIPO DE R.]]="R",COUNTIFS($D$4:$D211,"R")+1,"")</f>
        <v>208</v>
      </c>
      <c r="C212" s="19" t="str">
        <f t="shared" si="38"/>
        <v>C_Ope_006</v>
      </c>
      <c r="D212" s="3" t="s">
        <v>1074</v>
      </c>
      <c r="E212" s="14">
        <v>45855</v>
      </c>
      <c r="F212" s="5" t="s">
        <v>7372</v>
      </c>
      <c r="G212" s="5" t="s">
        <v>1079</v>
      </c>
      <c r="H212" s="6" t="s">
        <v>986</v>
      </c>
      <c r="I212" s="6" t="s">
        <v>21</v>
      </c>
      <c r="J212" s="6">
        <v>200</v>
      </c>
      <c r="K212" s="6">
        <v>499</v>
      </c>
      <c r="L212" s="7" t="s">
        <v>7492</v>
      </c>
      <c r="M212" s="8">
        <v>24921</v>
      </c>
      <c r="N212" s="8" t="str">
        <f t="shared" si="39"/>
        <v>PEN</v>
      </c>
      <c r="O212" s="13"/>
      <c r="P212" s="13">
        <v>12</v>
      </c>
      <c r="Q212" s="3">
        <f t="shared" si="40"/>
        <v>0</v>
      </c>
      <c r="R212" s="3">
        <f t="shared" si="41"/>
        <v>12</v>
      </c>
      <c r="S212" s="3">
        <f t="shared" si="42"/>
        <v>329.49999999999949</v>
      </c>
      <c r="T212" s="24"/>
      <c r="U212" s="24"/>
      <c r="V212" s="3"/>
      <c r="W212" s="25" t="s">
        <v>6747</v>
      </c>
      <c r="X212" s="25">
        <v>10438189560</v>
      </c>
      <c r="Y212" s="25" t="str">
        <f>IFERROR(VLOOKUP(C_Ope_006[[#This Row],[NOTA 2]],Clientes_Proveedores[[Ruc / Dni]:[Razon Social]],2,0),"")</f>
        <v>MOROCCO HUANCA DORIS</v>
      </c>
      <c r="Z212" s="25" t="s">
        <v>7493</v>
      </c>
      <c r="AA212" s="15"/>
      <c r="AB212" s="3" t="str">
        <f>IF(C_Ope_006[[#This Row],[FECHA]]&gt;0,TEXT(C_Ope_006[[#This Row],[FECHA]],"mmmm"),0)</f>
        <v>Julio</v>
      </c>
    </row>
    <row r="213" spans="2:28" x14ac:dyDescent="0.3">
      <c r="B213" s="2">
        <f>IF(C_Ope_006[[#This Row],[TIPO DE R.]]="R",COUNTIFS($D$4:$D212,"R")+1,"")</f>
        <v>209</v>
      </c>
      <c r="C213" s="19" t="str">
        <f t="shared" si="38"/>
        <v>C_Ope_006</v>
      </c>
      <c r="D213" s="3" t="s">
        <v>1074</v>
      </c>
      <c r="E213" s="14">
        <v>45855</v>
      </c>
      <c r="F213" s="5" t="s">
        <v>7372</v>
      </c>
      <c r="G213" s="5" t="s">
        <v>1079</v>
      </c>
      <c r="H213" s="6" t="s">
        <v>950</v>
      </c>
      <c r="I213" s="6" t="s">
        <v>70</v>
      </c>
      <c r="J213" s="6"/>
      <c r="K213" s="6">
        <v>24922</v>
      </c>
      <c r="L213" s="7" t="s">
        <v>7494</v>
      </c>
      <c r="M213" s="8">
        <v>24922</v>
      </c>
      <c r="N213" s="8" t="str">
        <f t="shared" si="39"/>
        <v>PEN</v>
      </c>
      <c r="O213" s="13"/>
      <c r="P213" s="13">
        <v>15</v>
      </c>
      <c r="Q213" s="3">
        <f t="shared" si="40"/>
        <v>0</v>
      </c>
      <c r="R213" s="3">
        <f t="shared" si="41"/>
        <v>15</v>
      </c>
      <c r="S213" s="3">
        <f t="shared" si="42"/>
        <v>314.49999999999949</v>
      </c>
      <c r="T213" s="24"/>
      <c r="U213" s="24"/>
      <c r="V213" s="3"/>
      <c r="W213" s="25" t="s">
        <v>6747</v>
      </c>
      <c r="X213" s="25"/>
      <c r="Y213" s="25" t="str">
        <f>IFERROR(VLOOKUP(C_Ope_006[[#This Row],[NOTA 2]],Clientes_Proveedores[[Ruc / Dni]:[Razon Social]],2,0),"")</f>
        <v/>
      </c>
      <c r="Z213" s="25" t="s">
        <v>7493</v>
      </c>
      <c r="AA213" s="15"/>
      <c r="AB213" s="3" t="str">
        <f>IF(C_Ope_006[[#This Row],[FECHA]]&gt;0,TEXT(C_Ope_006[[#This Row],[FECHA]],"mmmm"),0)</f>
        <v>Julio</v>
      </c>
    </row>
    <row r="214" spans="2:28" x14ac:dyDescent="0.3">
      <c r="B214" s="2">
        <f>IF(C_Ope_006[[#This Row],[TIPO DE R.]]="R",COUNTIFS($D$4:$D213,"R")+1,"")</f>
        <v>210</v>
      </c>
      <c r="C214" s="19" t="str">
        <f t="shared" si="38"/>
        <v>C_Ope_006</v>
      </c>
      <c r="D214" s="3" t="s">
        <v>1074</v>
      </c>
      <c r="E214" s="14">
        <v>45855</v>
      </c>
      <c r="F214" s="5" t="s">
        <v>7372</v>
      </c>
      <c r="G214" s="5" t="s">
        <v>1079</v>
      </c>
      <c r="H214" s="6" t="s">
        <v>950</v>
      </c>
      <c r="I214" s="6" t="s">
        <v>70</v>
      </c>
      <c r="J214" s="6"/>
      <c r="K214" s="6">
        <v>24923</v>
      </c>
      <c r="L214" s="7" t="s">
        <v>7495</v>
      </c>
      <c r="M214" s="8">
        <v>24923</v>
      </c>
      <c r="N214" s="8" t="str">
        <f t="shared" si="39"/>
        <v>PEN</v>
      </c>
      <c r="O214" s="13"/>
      <c r="P214" s="13">
        <v>12</v>
      </c>
      <c r="Q214" s="3">
        <f t="shared" si="40"/>
        <v>0</v>
      </c>
      <c r="R214" s="3">
        <f t="shared" si="41"/>
        <v>12</v>
      </c>
      <c r="S214" s="3">
        <f t="shared" si="42"/>
        <v>302.49999999999949</v>
      </c>
      <c r="T214" s="24"/>
      <c r="U214" s="24"/>
      <c r="V214" s="3"/>
      <c r="W214" s="25" t="s">
        <v>6747</v>
      </c>
      <c r="X214" s="25"/>
      <c r="Y214" s="25" t="str">
        <f>IFERROR(VLOOKUP(C_Ope_006[[#This Row],[NOTA 2]],Clientes_Proveedores[[Ruc / Dni]:[Razon Social]],2,0),"")</f>
        <v/>
      </c>
      <c r="Z214" s="25" t="s">
        <v>7493</v>
      </c>
      <c r="AA214" s="15"/>
      <c r="AB214" s="3" t="str">
        <f>IF(C_Ope_006[[#This Row],[FECHA]]&gt;0,TEXT(C_Ope_006[[#This Row],[FECHA]],"mmmm"),0)</f>
        <v>Julio</v>
      </c>
    </row>
    <row r="215" spans="2:28" x14ac:dyDescent="0.3">
      <c r="B215" s="2">
        <f>IF(C_Ope_006[[#This Row],[TIPO DE R.]]="R",COUNTIFS($D$4:$D214,"R")+1,"")</f>
        <v>211</v>
      </c>
      <c r="C215" s="19" t="str">
        <f t="shared" ref="C215:C233" si="43">"C_Ope_006"</f>
        <v>C_Ope_006</v>
      </c>
      <c r="D215" s="3" t="s">
        <v>1074</v>
      </c>
      <c r="E215" s="14">
        <v>45855</v>
      </c>
      <c r="F215" s="5" t="s">
        <v>7372</v>
      </c>
      <c r="G215" s="5" t="s">
        <v>1079</v>
      </c>
      <c r="H215" s="6" t="s">
        <v>950</v>
      </c>
      <c r="I215" s="6" t="s">
        <v>70</v>
      </c>
      <c r="J215" s="6"/>
      <c r="K215" s="6">
        <v>24924</v>
      </c>
      <c r="L215" s="7" t="s">
        <v>7496</v>
      </c>
      <c r="M215" s="8">
        <v>24924</v>
      </c>
      <c r="N215" s="8" t="str">
        <f t="shared" ref="N215:N233" si="44">"PEN"</f>
        <v>PEN</v>
      </c>
      <c r="O215" s="13"/>
      <c r="P215" s="13">
        <v>50</v>
      </c>
      <c r="Q215" s="3">
        <f t="shared" ref="Q215:Q233" si="45">+IF(OR($G215="SALDO",$G215="INGRESO"),$P215,0)</f>
        <v>0</v>
      </c>
      <c r="R215" s="3">
        <f t="shared" ref="R215:R233" si="46">+IF($G215="EGRESO",$P215,0)</f>
        <v>50</v>
      </c>
      <c r="S215" s="3">
        <f t="shared" ref="S215:S233" si="47">IFERROR(IF(G215="SALDO",Q215,S214+Q215-R215),0)</f>
        <v>252.49999999999949</v>
      </c>
      <c r="T215" s="24"/>
      <c r="U215" s="24"/>
      <c r="V215" s="3"/>
      <c r="W215" s="25" t="s">
        <v>6747</v>
      </c>
      <c r="X215" s="25"/>
      <c r="Y215" s="25" t="str">
        <f>IFERROR(VLOOKUP(C_Ope_006[[#This Row],[NOTA 2]],Clientes_Proveedores[[Ruc / Dni]:[Razon Social]],2,0),"")</f>
        <v/>
      </c>
      <c r="Z215" s="25" t="s">
        <v>6699</v>
      </c>
      <c r="AA215" s="15"/>
      <c r="AB215" s="3" t="str">
        <f>IF(C_Ope_006[[#This Row],[FECHA]]&gt;0,TEXT(C_Ope_006[[#This Row],[FECHA]],"mmmm"),0)</f>
        <v>Julio</v>
      </c>
    </row>
    <row r="216" spans="2:28" x14ac:dyDescent="0.3">
      <c r="B216" s="2">
        <f>IF(C_Ope_006[[#This Row],[TIPO DE R.]]="R",COUNTIFS($D$4:$D215,"R")+1,"")</f>
        <v>212</v>
      </c>
      <c r="C216" s="19" t="str">
        <f t="shared" si="43"/>
        <v>C_Ope_006</v>
      </c>
      <c r="D216" s="3" t="s">
        <v>1074</v>
      </c>
      <c r="E216" s="14">
        <v>45855</v>
      </c>
      <c r="F216" s="5" t="s">
        <v>7372</v>
      </c>
      <c r="G216" s="5" t="s">
        <v>1079</v>
      </c>
      <c r="H216" s="6" t="s">
        <v>950</v>
      </c>
      <c r="I216" s="6" t="s">
        <v>70</v>
      </c>
      <c r="J216" s="6"/>
      <c r="K216" s="6">
        <v>25091</v>
      </c>
      <c r="L216" s="7" t="s">
        <v>7497</v>
      </c>
      <c r="M216" s="8">
        <v>25091</v>
      </c>
      <c r="N216" s="8" t="str">
        <f t="shared" si="44"/>
        <v>PEN</v>
      </c>
      <c r="O216" s="13"/>
      <c r="P216" s="13">
        <v>10</v>
      </c>
      <c r="Q216" s="3">
        <f t="shared" si="45"/>
        <v>0</v>
      </c>
      <c r="R216" s="3">
        <f t="shared" si="46"/>
        <v>10</v>
      </c>
      <c r="S216" s="3">
        <f t="shared" si="47"/>
        <v>242.49999999999949</v>
      </c>
      <c r="T216" s="24"/>
      <c r="U216" s="24"/>
      <c r="V216" s="3"/>
      <c r="W216" s="25" t="s">
        <v>6747</v>
      </c>
      <c r="X216" s="25"/>
      <c r="Y216" s="25" t="str">
        <f>IFERROR(VLOOKUP(C_Ope_006[[#This Row],[NOTA 2]],Clientes_Proveedores[[Ruc / Dni]:[Razon Social]],2,0),"")</f>
        <v/>
      </c>
      <c r="Z216" s="25" t="s">
        <v>7400</v>
      </c>
      <c r="AA216" s="15"/>
      <c r="AB216" s="3" t="str">
        <f>IF(C_Ope_006[[#This Row],[FECHA]]&gt;0,TEXT(C_Ope_006[[#This Row],[FECHA]],"mmmm"),0)</f>
        <v>Julio</v>
      </c>
    </row>
    <row r="217" spans="2:28" x14ac:dyDescent="0.3">
      <c r="B217" s="2">
        <f>IF(C_Ope_006[[#This Row],[TIPO DE R.]]="R",COUNTIFS($D$4:$D216,"R")+1,"")</f>
        <v>213</v>
      </c>
      <c r="C217" s="19" t="str">
        <f t="shared" si="43"/>
        <v>C_Ope_006</v>
      </c>
      <c r="D217" s="3" t="s">
        <v>1074</v>
      </c>
      <c r="E217" s="14">
        <v>45856</v>
      </c>
      <c r="F217" s="5" t="s">
        <v>7372</v>
      </c>
      <c r="G217" s="5" t="s">
        <v>1079</v>
      </c>
      <c r="H217" s="6" t="s">
        <v>950</v>
      </c>
      <c r="I217" s="6" t="s">
        <v>70</v>
      </c>
      <c r="J217" s="6"/>
      <c r="K217" s="6">
        <v>24930</v>
      </c>
      <c r="L217" s="7" t="s">
        <v>7063</v>
      </c>
      <c r="M217" s="8">
        <v>24930</v>
      </c>
      <c r="N217" s="8" t="str">
        <f t="shared" si="44"/>
        <v>PEN</v>
      </c>
      <c r="O217" s="13"/>
      <c r="P217" s="13">
        <v>12</v>
      </c>
      <c r="Q217" s="3">
        <f t="shared" si="45"/>
        <v>0</v>
      </c>
      <c r="R217" s="3">
        <f t="shared" si="46"/>
        <v>12</v>
      </c>
      <c r="S217" s="3">
        <f t="shared" si="47"/>
        <v>230.49999999999949</v>
      </c>
      <c r="T217" s="24"/>
      <c r="U217" s="24"/>
      <c r="V217" s="3"/>
      <c r="W217" s="25" t="s">
        <v>6747</v>
      </c>
      <c r="X217" s="25"/>
      <c r="Y217" s="25" t="str">
        <f>IFERROR(VLOOKUP(C_Ope_006[[#This Row],[NOTA 2]],Clientes_Proveedores[[Ruc / Dni]:[Razon Social]],2,0),"")</f>
        <v/>
      </c>
      <c r="Z217" s="25" t="s">
        <v>7493</v>
      </c>
      <c r="AA217" s="15"/>
      <c r="AB217" s="3" t="str">
        <f>IF(C_Ope_006[[#This Row],[FECHA]]&gt;0,TEXT(C_Ope_006[[#This Row],[FECHA]],"mmmm"),0)</f>
        <v>Julio</v>
      </c>
    </row>
    <row r="218" spans="2:28" x14ac:dyDescent="0.3">
      <c r="B218" s="2">
        <f>IF(C_Ope_006[[#This Row],[TIPO DE R.]]="R",COUNTIFS($D$4:$D217,"R")+1,"")</f>
        <v>214</v>
      </c>
      <c r="C218" s="19" t="str">
        <f t="shared" si="43"/>
        <v>C_Ope_006</v>
      </c>
      <c r="D218" s="3" t="s">
        <v>1074</v>
      </c>
      <c r="E218" s="14">
        <v>45856</v>
      </c>
      <c r="F218" s="5" t="s">
        <v>7372</v>
      </c>
      <c r="G218" s="5" t="s">
        <v>1079</v>
      </c>
      <c r="H218" s="6" t="s">
        <v>950</v>
      </c>
      <c r="I218" s="6" t="s">
        <v>70</v>
      </c>
      <c r="J218" s="6"/>
      <c r="K218" s="6">
        <v>24947</v>
      </c>
      <c r="L218" s="7" t="s">
        <v>7061</v>
      </c>
      <c r="M218" s="8">
        <v>24947</v>
      </c>
      <c r="N218" s="8" t="str">
        <f t="shared" si="44"/>
        <v>PEN</v>
      </c>
      <c r="O218" s="13"/>
      <c r="P218" s="13">
        <v>15</v>
      </c>
      <c r="Q218" s="3">
        <f t="shared" si="45"/>
        <v>0</v>
      </c>
      <c r="R218" s="3">
        <f t="shared" si="46"/>
        <v>15</v>
      </c>
      <c r="S218" s="3">
        <f t="shared" si="47"/>
        <v>215.49999999999949</v>
      </c>
      <c r="T218" s="24"/>
      <c r="U218" s="24"/>
      <c r="V218" s="3"/>
      <c r="W218" s="25" t="s">
        <v>6747</v>
      </c>
      <c r="X218" s="25"/>
      <c r="Y218" s="25" t="str">
        <f>IFERROR(VLOOKUP(C_Ope_006[[#This Row],[NOTA 2]],Clientes_Proveedores[[Ruc / Dni]:[Razon Social]],2,0),"")</f>
        <v/>
      </c>
      <c r="Z218" s="25" t="s">
        <v>7493</v>
      </c>
      <c r="AA218" s="15"/>
      <c r="AB218" s="3" t="str">
        <f>IF(C_Ope_006[[#This Row],[FECHA]]&gt;0,TEXT(C_Ope_006[[#This Row],[FECHA]],"mmmm"),0)</f>
        <v>Julio</v>
      </c>
    </row>
    <row r="219" spans="2:28" x14ac:dyDescent="0.3">
      <c r="B219" s="2">
        <f>IF(C_Ope_006[[#This Row],[TIPO DE R.]]="R",COUNTIFS($D$4:$D218,"R")+1,"")</f>
        <v>215</v>
      </c>
      <c r="C219" s="19" t="str">
        <f t="shared" si="43"/>
        <v>C_Ope_006</v>
      </c>
      <c r="D219" s="3" t="s">
        <v>1074</v>
      </c>
      <c r="E219" s="14">
        <v>45856</v>
      </c>
      <c r="F219" s="5" t="s">
        <v>7372</v>
      </c>
      <c r="G219" s="5" t="s">
        <v>1079</v>
      </c>
      <c r="H219" s="6" t="s">
        <v>950</v>
      </c>
      <c r="I219" s="6" t="s">
        <v>70</v>
      </c>
      <c r="J219" s="6"/>
      <c r="K219" s="6">
        <v>24948</v>
      </c>
      <c r="L219" s="7" t="s">
        <v>7007</v>
      </c>
      <c r="M219" s="8">
        <v>24948</v>
      </c>
      <c r="N219" s="8" t="str">
        <f t="shared" si="44"/>
        <v>PEN</v>
      </c>
      <c r="O219" s="13"/>
      <c r="P219" s="13">
        <v>12</v>
      </c>
      <c r="Q219" s="3">
        <f t="shared" si="45"/>
        <v>0</v>
      </c>
      <c r="R219" s="3">
        <f t="shared" si="46"/>
        <v>12</v>
      </c>
      <c r="S219" s="3">
        <f t="shared" si="47"/>
        <v>203.49999999999949</v>
      </c>
      <c r="T219" s="24"/>
      <c r="U219" s="24"/>
      <c r="V219" s="3"/>
      <c r="W219" s="25" t="s">
        <v>6747</v>
      </c>
      <c r="X219" s="25"/>
      <c r="Y219" s="25" t="str">
        <f>IFERROR(VLOOKUP(C_Ope_006[[#This Row],[NOTA 2]],Clientes_Proveedores[[Ruc / Dni]:[Razon Social]],2,0),"")</f>
        <v/>
      </c>
      <c r="Z219" s="25" t="s">
        <v>7493</v>
      </c>
      <c r="AA219" s="15"/>
      <c r="AB219" s="3" t="str">
        <f>IF(C_Ope_006[[#This Row],[FECHA]]&gt;0,TEXT(C_Ope_006[[#This Row],[FECHA]],"mmmm"),0)</f>
        <v>Julio</v>
      </c>
    </row>
    <row r="220" spans="2:28" ht="24" x14ac:dyDescent="0.3">
      <c r="B220" s="2">
        <f>IF(C_Ope_006[[#This Row],[TIPO DE R.]]="R",COUNTIFS($D$4:$D219,"R")+1,"")</f>
        <v>216</v>
      </c>
      <c r="C220" s="19" t="str">
        <f t="shared" si="43"/>
        <v>C_Ope_006</v>
      </c>
      <c r="D220" s="3" t="s">
        <v>1074</v>
      </c>
      <c r="E220" s="14">
        <v>45856</v>
      </c>
      <c r="F220" s="5" t="s">
        <v>7372</v>
      </c>
      <c r="G220" s="5" t="s">
        <v>1079</v>
      </c>
      <c r="H220" s="6" t="s">
        <v>987</v>
      </c>
      <c r="I220" s="6" t="s">
        <v>21</v>
      </c>
      <c r="J220" s="6">
        <v>1</v>
      </c>
      <c r="K220" s="6">
        <v>60667</v>
      </c>
      <c r="L220" s="7" t="s">
        <v>7498</v>
      </c>
      <c r="M220" s="8">
        <v>24951</v>
      </c>
      <c r="N220" s="8" t="str">
        <f t="shared" si="44"/>
        <v>PEN</v>
      </c>
      <c r="O220" s="13"/>
      <c r="P220" s="13">
        <v>35</v>
      </c>
      <c r="Q220" s="3">
        <f t="shared" si="45"/>
        <v>0</v>
      </c>
      <c r="R220" s="3">
        <f t="shared" si="46"/>
        <v>35</v>
      </c>
      <c r="S220" s="3">
        <f t="shared" si="47"/>
        <v>168.49999999999949</v>
      </c>
      <c r="T220" s="24"/>
      <c r="U220" s="24"/>
      <c r="V220" s="3"/>
      <c r="W220" s="25" t="s">
        <v>6747</v>
      </c>
      <c r="X220" s="25">
        <v>10154270642</v>
      </c>
      <c r="Y220" s="25" t="str">
        <f>IFERROR(VLOOKUP(C_Ope_006[[#This Row],[NOTA 2]],Clientes_Proveedores[[Ruc / Dni]:[Razon Social]],2,0),"")</f>
        <v>HURTADO HUAMAN CARMINA AUDELIA</v>
      </c>
      <c r="Z220" s="25" t="s">
        <v>6727</v>
      </c>
      <c r="AA220" s="15"/>
      <c r="AB220" s="3" t="str">
        <f>IF(C_Ope_006[[#This Row],[FECHA]]&gt;0,TEXT(C_Ope_006[[#This Row],[FECHA]],"mmmm"),0)</f>
        <v>Julio</v>
      </c>
    </row>
    <row r="221" spans="2:28" x14ac:dyDescent="0.3">
      <c r="B221" s="2">
        <f>IF(C_Ope_006[[#This Row],[TIPO DE R.]]="R",COUNTIFS($D$4:$D220,"R")+1,"")</f>
        <v>217</v>
      </c>
      <c r="C221" s="19" t="str">
        <f t="shared" si="43"/>
        <v>C_Ope_006</v>
      </c>
      <c r="D221" s="3" t="s">
        <v>1074</v>
      </c>
      <c r="E221" s="14">
        <v>45857</v>
      </c>
      <c r="F221" s="5" t="s">
        <v>7372</v>
      </c>
      <c r="G221" s="5" t="s">
        <v>1079</v>
      </c>
      <c r="H221" s="6" t="s">
        <v>950</v>
      </c>
      <c r="I221" s="6" t="s">
        <v>70</v>
      </c>
      <c r="J221" s="6"/>
      <c r="K221" s="6">
        <v>24953</v>
      </c>
      <c r="L221" s="7" t="s">
        <v>7499</v>
      </c>
      <c r="M221" s="8">
        <v>24953</v>
      </c>
      <c r="N221" s="8" t="str">
        <f t="shared" si="44"/>
        <v>PEN</v>
      </c>
      <c r="O221" s="13"/>
      <c r="P221" s="13">
        <v>8</v>
      </c>
      <c r="Q221" s="3">
        <f t="shared" si="45"/>
        <v>0</v>
      </c>
      <c r="R221" s="3">
        <f t="shared" si="46"/>
        <v>8</v>
      </c>
      <c r="S221" s="3">
        <f t="shared" si="47"/>
        <v>160.49999999999949</v>
      </c>
      <c r="T221" s="24"/>
      <c r="U221" s="24"/>
      <c r="V221" s="3"/>
      <c r="W221" s="25" t="s">
        <v>6747</v>
      </c>
      <c r="X221" s="25"/>
      <c r="Y221" s="25" t="str">
        <f>IFERROR(VLOOKUP(C_Ope_006[[#This Row],[NOTA 2]],Clientes_Proveedores[[Ruc / Dni]:[Razon Social]],2,0),"")</f>
        <v/>
      </c>
      <c r="Z221" s="25" t="s">
        <v>7493</v>
      </c>
      <c r="AA221" s="15"/>
      <c r="AB221" s="3" t="str">
        <f>IF(C_Ope_006[[#This Row],[FECHA]]&gt;0,TEXT(C_Ope_006[[#This Row],[FECHA]],"mmmm"),0)</f>
        <v>Julio</v>
      </c>
    </row>
    <row r="222" spans="2:28" x14ac:dyDescent="0.3">
      <c r="B222" s="2">
        <f>IF(C_Ope_006[[#This Row],[TIPO DE R.]]="R",COUNTIFS($D$4:$D221,"R")+1,"")</f>
        <v>218</v>
      </c>
      <c r="C222" s="19" t="str">
        <f t="shared" si="43"/>
        <v>C_Ope_006</v>
      </c>
      <c r="D222" s="3" t="s">
        <v>1074</v>
      </c>
      <c r="E222" s="14">
        <v>45857</v>
      </c>
      <c r="F222" s="5" t="s">
        <v>7372</v>
      </c>
      <c r="G222" s="5" t="s">
        <v>1079</v>
      </c>
      <c r="H222" s="6" t="s">
        <v>950</v>
      </c>
      <c r="I222" s="6" t="s">
        <v>70</v>
      </c>
      <c r="J222" s="6"/>
      <c r="K222" s="6">
        <v>24954</v>
      </c>
      <c r="L222" s="7" t="s">
        <v>7014</v>
      </c>
      <c r="M222" s="8">
        <v>24954</v>
      </c>
      <c r="N222" s="8" t="str">
        <f t="shared" si="44"/>
        <v>PEN</v>
      </c>
      <c r="O222" s="13"/>
      <c r="P222" s="13">
        <v>12</v>
      </c>
      <c r="Q222" s="3">
        <f t="shared" si="45"/>
        <v>0</v>
      </c>
      <c r="R222" s="3">
        <f t="shared" si="46"/>
        <v>12</v>
      </c>
      <c r="S222" s="3">
        <f t="shared" si="47"/>
        <v>148.49999999999949</v>
      </c>
      <c r="T222" s="24"/>
      <c r="U222" s="24"/>
      <c r="V222" s="3"/>
      <c r="W222" s="25" t="s">
        <v>6747</v>
      </c>
      <c r="X222" s="25"/>
      <c r="Y222" s="25" t="str">
        <f>IFERROR(VLOOKUP(C_Ope_006[[#This Row],[NOTA 2]],Clientes_Proveedores[[Ruc / Dni]:[Razon Social]],2,0),"")</f>
        <v/>
      </c>
      <c r="Z222" s="25" t="s">
        <v>7493</v>
      </c>
      <c r="AA222" s="15"/>
      <c r="AB222" s="3" t="str">
        <f>IF(C_Ope_006[[#This Row],[FECHA]]&gt;0,TEXT(C_Ope_006[[#This Row],[FECHA]],"mmmm"),0)</f>
        <v>Julio</v>
      </c>
    </row>
    <row r="223" spans="2:28" x14ac:dyDescent="0.3">
      <c r="B223" s="2">
        <f>IF(C_Ope_006[[#This Row],[TIPO DE R.]]="R",COUNTIFS($D$4:$D222,"R")+1,"")</f>
        <v>219</v>
      </c>
      <c r="C223" s="19" t="str">
        <f t="shared" si="43"/>
        <v>C_Ope_006</v>
      </c>
      <c r="D223" s="3" t="s">
        <v>1074</v>
      </c>
      <c r="E223" s="14">
        <v>45857</v>
      </c>
      <c r="F223" s="5" t="s">
        <v>7372</v>
      </c>
      <c r="G223" s="5" t="s">
        <v>1079</v>
      </c>
      <c r="H223" s="6" t="s">
        <v>950</v>
      </c>
      <c r="I223" s="6" t="s">
        <v>70</v>
      </c>
      <c r="J223" s="6"/>
      <c r="K223" s="6">
        <v>24955</v>
      </c>
      <c r="L223" s="7" t="s">
        <v>7064</v>
      </c>
      <c r="M223" s="8">
        <v>24955</v>
      </c>
      <c r="N223" s="8" t="str">
        <f t="shared" si="44"/>
        <v>PEN</v>
      </c>
      <c r="O223" s="13"/>
      <c r="P223" s="13">
        <v>10</v>
      </c>
      <c r="Q223" s="3">
        <f t="shared" si="45"/>
        <v>0</v>
      </c>
      <c r="R223" s="3">
        <f t="shared" si="46"/>
        <v>10</v>
      </c>
      <c r="S223" s="3">
        <f t="shared" si="47"/>
        <v>138.49999999999949</v>
      </c>
      <c r="T223" s="24"/>
      <c r="U223" s="24"/>
      <c r="V223" s="3"/>
      <c r="W223" s="25" t="s">
        <v>6747</v>
      </c>
      <c r="X223" s="25"/>
      <c r="Y223" s="25" t="str">
        <f>IFERROR(VLOOKUP(C_Ope_006[[#This Row],[NOTA 2]],Clientes_Proveedores[[Ruc / Dni]:[Razon Social]],2,0),"")</f>
        <v/>
      </c>
      <c r="Z223" s="25" t="s">
        <v>7493</v>
      </c>
      <c r="AA223" s="15"/>
      <c r="AB223" s="3" t="str">
        <f>IF(C_Ope_006[[#This Row],[FECHA]]&gt;0,TEXT(C_Ope_006[[#This Row],[FECHA]],"mmmm"),0)</f>
        <v>Julio</v>
      </c>
    </row>
    <row r="224" spans="2:28" x14ac:dyDescent="0.3">
      <c r="B224" s="2">
        <f>IF(C_Ope_006[[#This Row],[TIPO DE R.]]="R",COUNTIFS($D$4:$D223,"R")+1,"")</f>
        <v>220</v>
      </c>
      <c r="C224" s="19" t="str">
        <f t="shared" si="43"/>
        <v>C_Ope_006</v>
      </c>
      <c r="D224" s="3" t="s">
        <v>1074</v>
      </c>
      <c r="E224" s="14">
        <v>45858</v>
      </c>
      <c r="F224" s="5" t="s">
        <v>7372</v>
      </c>
      <c r="G224" s="5" t="s">
        <v>1079</v>
      </c>
      <c r="H224" s="6" t="s">
        <v>950</v>
      </c>
      <c r="I224" s="6" t="s">
        <v>70</v>
      </c>
      <c r="J224" s="6"/>
      <c r="K224" s="6">
        <v>24956</v>
      </c>
      <c r="L224" s="7" t="s">
        <v>7499</v>
      </c>
      <c r="M224" s="8">
        <v>24956</v>
      </c>
      <c r="N224" s="8" t="str">
        <f t="shared" si="44"/>
        <v>PEN</v>
      </c>
      <c r="O224" s="13"/>
      <c r="P224" s="13">
        <v>8</v>
      </c>
      <c r="Q224" s="3">
        <f t="shared" si="45"/>
        <v>0</v>
      </c>
      <c r="R224" s="3">
        <f t="shared" si="46"/>
        <v>8</v>
      </c>
      <c r="S224" s="3">
        <f t="shared" si="47"/>
        <v>130.49999999999949</v>
      </c>
      <c r="T224" s="24"/>
      <c r="U224" s="24"/>
      <c r="V224" s="3"/>
      <c r="W224" s="25" t="s">
        <v>6747</v>
      </c>
      <c r="X224" s="25"/>
      <c r="Y224" s="25" t="str">
        <f>IFERROR(VLOOKUP(C_Ope_006[[#This Row],[NOTA 2]],Clientes_Proveedores[[Ruc / Dni]:[Razon Social]],2,0),"")</f>
        <v/>
      </c>
      <c r="Z224" s="25" t="s">
        <v>7493</v>
      </c>
      <c r="AA224" s="15"/>
      <c r="AB224" s="3" t="str">
        <f>IF(C_Ope_006[[#This Row],[FECHA]]&gt;0,TEXT(C_Ope_006[[#This Row],[FECHA]],"mmmm"),0)</f>
        <v>Julio</v>
      </c>
    </row>
    <row r="225" spans="2:28" x14ac:dyDescent="0.3">
      <c r="B225" s="2">
        <f>IF(C_Ope_006[[#This Row],[TIPO DE R.]]="R",COUNTIFS($D$4:$D224,"R")+1,"")</f>
        <v>221</v>
      </c>
      <c r="C225" s="19" t="str">
        <f t="shared" si="43"/>
        <v>C_Ope_006</v>
      </c>
      <c r="D225" s="3" t="s">
        <v>1074</v>
      </c>
      <c r="E225" s="14">
        <v>45858</v>
      </c>
      <c r="F225" s="5" t="s">
        <v>7372</v>
      </c>
      <c r="G225" s="5" t="s">
        <v>1079</v>
      </c>
      <c r="H225" s="6" t="s">
        <v>950</v>
      </c>
      <c r="I225" s="6" t="s">
        <v>70</v>
      </c>
      <c r="J225" s="6"/>
      <c r="K225" s="6">
        <v>24957</v>
      </c>
      <c r="L225" s="7" t="s">
        <v>7014</v>
      </c>
      <c r="M225" s="8">
        <v>24957</v>
      </c>
      <c r="N225" s="8" t="str">
        <f t="shared" si="44"/>
        <v>PEN</v>
      </c>
      <c r="O225" s="13"/>
      <c r="P225" s="13">
        <v>12</v>
      </c>
      <c r="Q225" s="3">
        <f t="shared" si="45"/>
        <v>0</v>
      </c>
      <c r="R225" s="3">
        <f t="shared" si="46"/>
        <v>12</v>
      </c>
      <c r="S225" s="3">
        <f t="shared" si="47"/>
        <v>118.49999999999949</v>
      </c>
      <c r="T225" s="24"/>
      <c r="U225" s="24"/>
      <c r="V225" s="3"/>
      <c r="W225" s="25" t="s">
        <v>6747</v>
      </c>
      <c r="X225" s="25"/>
      <c r="Y225" s="25" t="str">
        <f>IFERROR(VLOOKUP(C_Ope_006[[#This Row],[NOTA 2]],Clientes_Proveedores[[Ruc / Dni]:[Razon Social]],2,0),"")</f>
        <v/>
      </c>
      <c r="Z225" s="25" t="s">
        <v>7493</v>
      </c>
      <c r="AA225" s="15"/>
      <c r="AB225" s="3" t="str">
        <f>IF(C_Ope_006[[#This Row],[FECHA]]&gt;0,TEXT(C_Ope_006[[#This Row],[FECHA]],"mmmm"),0)</f>
        <v>Julio</v>
      </c>
    </row>
    <row r="226" spans="2:28" x14ac:dyDescent="0.3">
      <c r="B226" s="2">
        <f>IF(C_Ope_006[[#This Row],[TIPO DE R.]]="R",COUNTIFS($D$4:$D225,"R")+1,"")</f>
        <v>222</v>
      </c>
      <c r="C226" s="19" t="str">
        <f t="shared" si="43"/>
        <v>C_Ope_006</v>
      </c>
      <c r="D226" s="3" t="s">
        <v>1074</v>
      </c>
      <c r="E226" s="14">
        <v>45858</v>
      </c>
      <c r="F226" s="5" t="s">
        <v>7372</v>
      </c>
      <c r="G226" s="5" t="s">
        <v>1079</v>
      </c>
      <c r="H226" s="6" t="s">
        <v>950</v>
      </c>
      <c r="I226" s="6" t="s">
        <v>70</v>
      </c>
      <c r="J226" s="6"/>
      <c r="K226" s="6">
        <v>24958</v>
      </c>
      <c r="L226" s="7" t="s">
        <v>7064</v>
      </c>
      <c r="M226" s="8">
        <v>24958</v>
      </c>
      <c r="N226" s="8" t="str">
        <f t="shared" si="44"/>
        <v>PEN</v>
      </c>
      <c r="O226" s="13"/>
      <c r="P226" s="13">
        <v>10</v>
      </c>
      <c r="Q226" s="3">
        <f t="shared" si="45"/>
        <v>0</v>
      </c>
      <c r="R226" s="3">
        <f t="shared" si="46"/>
        <v>10</v>
      </c>
      <c r="S226" s="3">
        <f t="shared" si="47"/>
        <v>108.49999999999949</v>
      </c>
      <c r="T226" s="24"/>
      <c r="U226" s="24"/>
      <c r="V226" s="3"/>
      <c r="W226" s="25" t="s">
        <v>6747</v>
      </c>
      <c r="X226" s="25"/>
      <c r="Y226" s="25" t="str">
        <f>IFERROR(VLOOKUP(C_Ope_006[[#This Row],[NOTA 2]],Clientes_Proveedores[[Ruc / Dni]:[Razon Social]],2,0),"")</f>
        <v/>
      </c>
      <c r="Z226" s="25" t="s">
        <v>7493</v>
      </c>
      <c r="AA226" s="15"/>
      <c r="AB226" s="3" t="str">
        <f>IF(C_Ope_006[[#This Row],[FECHA]]&gt;0,TEXT(C_Ope_006[[#This Row],[FECHA]],"mmmm"),0)</f>
        <v>Julio</v>
      </c>
    </row>
    <row r="227" spans="2:28" x14ac:dyDescent="0.3">
      <c r="B227" s="2">
        <f>IF(C_Ope_006[[#This Row],[TIPO DE R.]]="R",COUNTIFS($D$4:$D226,"R")+1,"")</f>
        <v>223</v>
      </c>
      <c r="C227" s="19" t="str">
        <f t="shared" si="43"/>
        <v>C_Ope_006</v>
      </c>
      <c r="D227" s="3" t="s">
        <v>1074</v>
      </c>
      <c r="E227" s="14">
        <v>45859</v>
      </c>
      <c r="F227" s="5" t="s">
        <v>7372</v>
      </c>
      <c r="G227" s="5" t="s">
        <v>1079</v>
      </c>
      <c r="H227" s="6" t="s">
        <v>950</v>
      </c>
      <c r="I227" s="6" t="s">
        <v>70</v>
      </c>
      <c r="J227" s="6"/>
      <c r="K227" s="6">
        <v>24966</v>
      </c>
      <c r="L227" s="7" t="s">
        <v>7500</v>
      </c>
      <c r="M227" s="8">
        <v>24966</v>
      </c>
      <c r="N227" s="8" t="str">
        <f t="shared" si="44"/>
        <v>PEN</v>
      </c>
      <c r="O227" s="13"/>
      <c r="P227" s="13">
        <v>12</v>
      </c>
      <c r="Q227" s="3">
        <f t="shared" si="45"/>
        <v>0</v>
      </c>
      <c r="R227" s="3">
        <f t="shared" si="46"/>
        <v>12</v>
      </c>
      <c r="S227" s="3">
        <f t="shared" si="47"/>
        <v>96.499999999999488</v>
      </c>
      <c r="T227" s="24"/>
      <c r="U227" s="24"/>
      <c r="V227" s="3"/>
      <c r="W227" s="25" t="s">
        <v>6747</v>
      </c>
      <c r="X227" s="25"/>
      <c r="Y227" s="25" t="str">
        <f>IFERROR(VLOOKUP(C_Ope_006[[#This Row],[NOTA 2]],Clientes_Proveedores[[Ruc / Dni]:[Razon Social]],2,0),"")</f>
        <v/>
      </c>
      <c r="Z227" s="25" t="s">
        <v>7493</v>
      </c>
      <c r="AA227" s="15"/>
      <c r="AB227" s="3" t="str">
        <f>IF(C_Ope_006[[#This Row],[FECHA]]&gt;0,TEXT(C_Ope_006[[#This Row],[FECHA]],"mmmm"),0)</f>
        <v>Julio</v>
      </c>
    </row>
    <row r="228" spans="2:28" x14ac:dyDescent="0.3">
      <c r="B228" s="2">
        <f>IF(C_Ope_006[[#This Row],[TIPO DE R.]]="R",COUNTIFS($D$4:$D227,"R")+1,"")</f>
        <v>224</v>
      </c>
      <c r="C228" s="19" t="str">
        <f t="shared" si="43"/>
        <v>C_Ope_006</v>
      </c>
      <c r="D228" s="3" t="s">
        <v>1074</v>
      </c>
      <c r="E228" s="14">
        <v>45859</v>
      </c>
      <c r="F228" s="5" t="s">
        <v>7372</v>
      </c>
      <c r="G228" s="5" t="s">
        <v>1079</v>
      </c>
      <c r="H228" s="6" t="s">
        <v>950</v>
      </c>
      <c r="I228" s="6" t="s">
        <v>70</v>
      </c>
      <c r="J228" s="6"/>
      <c r="K228" s="6">
        <v>24967</v>
      </c>
      <c r="L228" s="7" t="s">
        <v>7501</v>
      </c>
      <c r="M228" s="8">
        <v>24967</v>
      </c>
      <c r="N228" s="8" t="str">
        <f t="shared" si="44"/>
        <v>PEN</v>
      </c>
      <c r="O228" s="13"/>
      <c r="P228" s="13">
        <v>15</v>
      </c>
      <c r="Q228" s="3">
        <f t="shared" si="45"/>
        <v>0</v>
      </c>
      <c r="R228" s="3">
        <f t="shared" si="46"/>
        <v>15</v>
      </c>
      <c r="S228" s="3">
        <f t="shared" si="47"/>
        <v>81.499999999999488</v>
      </c>
      <c r="T228" s="24"/>
      <c r="U228" s="24"/>
      <c r="V228" s="3"/>
      <c r="W228" s="25" t="s">
        <v>6747</v>
      </c>
      <c r="X228" s="25"/>
      <c r="Y228" s="25" t="str">
        <f>IFERROR(VLOOKUP(C_Ope_006[[#This Row],[NOTA 2]],Clientes_Proveedores[[Ruc / Dni]:[Razon Social]],2,0),"")</f>
        <v/>
      </c>
      <c r="Z228" s="25" t="s">
        <v>7493</v>
      </c>
      <c r="AA228" s="15"/>
      <c r="AB228" s="3" t="str">
        <f>IF(C_Ope_006[[#This Row],[FECHA]]&gt;0,TEXT(C_Ope_006[[#This Row],[FECHA]],"mmmm"),0)</f>
        <v>Julio</v>
      </c>
    </row>
    <row r="229" spans="2:28" ht="24" x14ac:dyDescent="0.3">
      <c r="B229" s="2">
        <f>IF(C_Ope_006[[#This Row],[TIPO DE R.]]="R",COUNTIFS($D$4:$D228,"R")+1,"")</f>
        <v>225</v>
      </c>
      <c r="C229" s="19" t="str">
        <f t="shared" si="43"/>
        <v>C_Ope_006</v>
      </c>
      <c r="D229" s="3" t="s">
        <v>1074</v>
      </c>
      <c r="E229" s="14">
        <v>45859</v>
      </c>
      <c r="F229" s="5" t="s">
        <v>7372</v>
      </c>
      <c r="G229" s="5" t="s">
        <v>1079</v>
      </c>
      <c r="H229" s="6" t="s">
        <v>988</v>
      </c>
      <c r="I229" s="6" t="s">
        <v>14</v>
      </c>
      <c r="J229" s="6" t="s">
        <v>1119</v>
      </c>
      <c r="K229" s="6">
        <v>61894</v>
      </c>
      <c r="L229" s="7" t="s">
        <v>7502</v>
      </c>
      <c r="M229" s="8">
        <v>24968</v>
      </c>
      <c r="N229" s="8" t="str">
        <f t="shared" si="44"/>
        <v>PEN</v>
      </c>
      <c r="O229" s="13"/>
      <c r="P229" s="13">
        <v>66</v>
      </c>
      <c r="Q229" s="3">
        <f t="shared" si="45"/>
        <v>0</v>
      </c>
      <c r="R229" s="3">
        <f t="shared" si="46"/>
        <v>66</v>
      </c>
      <c r="S229" s="3">
        <f t="shared" si="47"/>
        <v>15.499999999999488</v>
      </c>
      <c r="T229" s="24"/>
      <c r="U229" s="24"/>
      <c r="V229" s="3"/>
      <c r="W229" s="25" t="s">
        <v>6747</v>
      </c>
      <c r="X229" s="25">
        <v>20552302932</v>
      </c>
      <c r="Y229" s="25" t="str">
        <f>IFERROR(VLOOKUP(C_Ope_006[[#This Row],[NOTA 2]],Clientes_Proveedores[[Ruc / Dni]:[Razon Social]],2,0),"")</f>
        <v>PERUVIAN GROUP FREDAL S.A.C</v>
      </c>
      <c r="Z229" s="25" t="s">
        <v>7400</v>
      </c>
      <c r="AA229" s="15"/>
      <c r="AB229" s="3" t="str">
        <f>IF(C_Ope_006[[#This Row],[FECHA]]&gt;0,TEXT(C_Ope_006[[#This Row],[FECHA]],"mmmm"),0)</f>
        <v>Julio</v>
      </c>
    </row>
    <row r="230" spans="2:28" x14ac:dyDescent="0.3">
      <c r="B230" s="2">
        <f>IF(C_Ope_006[[#This Row],[TIPO DE R.]]="R",COUNTIFS($D$4:$D229,"R")+1,"")</f>
        <v>226</v>
      </c>
      <c r="C230" s="19" t="str">
        <f t="shared" si="43"/>
        <v>C_Ope_006</v>
      </c>
      <c r="D230" s="3" t="s">
        <v>1074</v>
      </c>
      <c r="E230" s="14">
        <v>45859</v>
      </c>
      <c r="F230" s="5" t="s">
        <v>7372</v>
      </c>
      <c r="G230" s="5" t="s">
        <v>1079</v>
      </c>
      <c r="H230" s="6" t="s">
        <v>950</v>
      </c>
      <c r="I230" s="6" t="s">
        <v>70</v>
      </c>
      <c r="J230" s="6"/>
      <c r="K230" s="6">
        <v>24983</v>
      </c>
      <c r="L230" s="7" t="s">
        <v>7503</v>
      </c>
      <c r="M230" s="8">
        <v>24983</v>
      </c>
      <c r="N230" s="8" t="str">
        <f t="shared" si="44"/>
        <v>PEN</v>
      </c>
      <c r="O230" s="13"/>
      <c r="P230" s="13">
        <v>12</v>
      </c>
      <c r="Q230" s="3">
        <f t="shared" si="45"/>
        <v>0</v>
      </c>
      <c r="R230" s="3">
        <f t="shared" si="46"/>
        <v>12</v>
      </c>
      <c r="S230" s="3">
        <f t="shared" si="47"/>
        <v>3.4999999999994884</v>
      </c>
      <c r="T230" s="24"/>
      <c r="U230" s="24"/>
      <c r="V230" s="3"/>
      <c r="W230" s="25" t="s">
        <v>6747</v>
      </c>
      <c r="X230" s="25"/>
      <c r="Y230" s="25" t="str">
        <f>IFERROR(VLOOKUP(C_Ope_006[[#This Row],[NOTA 2]],Clientes_Proveedores[[Ruc / Dni]:[Razon Social]],2,0),"")</f>
        <v/>
      </c>
      <c r="Z230" s="25" t="s">
        <v>7493</v>
      </c>
      <c r="AA230" s="15"/>
      <c r="AB230" s="3" t="str">
        <f>IF(C_Ope_006[[#This Row],[FECHA]]&gt;0,TEXT(C_Ope_006[[#This Row],[FECHA]],"mmmm"),0)</f>
        <v>Julio</v>
      </c>
    </row>
    <row r="231" spans="2:28" x14ac:dyDescent="0.3">
      <c r="B231" s="2">
        <f>IF(C_Ope_006[[#This Row],[TIPO DE R.]]="R",COUNTIFS($D$4:$D230,"R")+1,"")</f>
        <v>227</v>
      </c>
      <c r="C231" s="19" t="str">
        <f t="shared" si="43"/>
        <v>C_Ope_006</v>
      </c>
      <c r="D231" s="3" t="s">
        <v>1074</v>
      </c>
      <c r="E231" s="14">
        <v>45859</v>
      </c>
      <c r="F231" s="5" t="s">
        <v>7372</v>
      </c>
      <c r="G231" s="5" t="s">
        <v>1079</v>
      </c>
      <c r="H231" s="6" t="s">
        <v>950</v>
      </c>
      <c r="I231" s="6" t="s">
        <v>70</v>
      </c>
      <c r="J231" s="6"/>
      <c r="K231" s="6">
        <v>24986</v>
      </c>
      <c r="L231" s="7" t="s">
        <v>7504</v>
      </c>
      <c r="M231" s="8">
        <v>24986</v>
      </c>
      <c r="N231" s="8" t="str">
        <f t="shared" si="44"/>
        <v>PEN</v>
      </c>
      <c r="O231" s="13"/>
      <c r="P231" s="13">
        <v>50</v>
      </c>
      <c r="Q231" s="3">
        <f t="shared" si="45"/>
        <v>0</v>
      </c>
      <c r="R231" s="3">
        <f t="shared" si="46"/>
        <v>50</v>
      </c>
      <c r="S231" s="3">
        <f t="shared" si="47"/>
        <v>-46.500000000000512</v>
      </c>
      <c r="T231" s="24"/>
      <c r="U231" s="24"/>
      <c r="V231" s="3"/>
      <c r="W231" s="25" t="s">
        <v>6747</v>
      </c>
      <c r="X231" s="25"/>
      <c r="Y231" s="25" t="str">
        <f>IFERROR(VLOOKUP(C_Ope_006[[#This Row],[NOTA 2]],Clientes_Proveedores[[Ruc / Dni]:[Razon Social]],2,0),"")</f>
        <v/>
      </c>
      <c r="Z231" s="25" t="s">
        <v>6699</v>
      </c>
      <c r="AA231" s="15"/>
      <c r="AB231" s="3" t="str">
        <f>IF(C_Ope_006[[#This Row],[FECHA]]&gt;0,TEXT(C_Ope_006[[#This Row],[FECHA]],"mmmm"),0)</f>
        <v>Julio</v>
      </c>
    </row>
    <row r="232" spans="2:28" x14ac:dyDescent="0.3">
      <c r="B232" s="2">
        <f>IF(C_Ope_006[[#This Row],[TIPO DE R.]]="R",COUNTIFS($D$4:$D231,"R")+1,"")</f>
        <v>228</v>
      </c>
      <c r="C232" s="19" t="str">
        <f t="shared" si="43"/>
        <v>C_Ope_006</v>
      </c>
      <c r="D232" s="3" t="s">
        <v>1074</v>
      </c>
      <c r="E232" s="14">
        <v>45859</v>
      </c>
      <c r="F232" s="5" t="s">
        <v>7372</v>
      </c>
      <c r="G232" s="5" t="s">
        <v>1079</v>
      </c>
      <c r="H232" s="6" t="s">
        <v>950</v>
      </c>
      <c r="I232" s="6" t="s">
        <v>70</v>
      </c>
      <c r="J232" s="6"/>
      <c r="K232" s="6">
        <v>25092</v>
      </c>
      <c r="L232" s="7" t="s">
        <v>7505</v>
      </c>
      <c r="M232" s="8">
        <v>25092</v>
      </c>
      <c r="N232" s="8" t="str">
        <f t="shared" si="44"/>
        <v>PEN</v>
      </c>
      <c r="O232" s="13"/>
      <c r="P232" s="13">
        <v>10</v>
      </c>
      <c r="Q232" s="3">
        <f t="shared" si="45"/>
        <v>0</v>
      </c>
      <c r="R232" s="3">
        <f t="shared" si="46"/>
        <v>10</v>
      </c>
      <c r="S232" s="3">
        <f>IFERROR(IF(G232="SALDO",Q232,S231+Q232-R232),0)</f>
        <v>-56.500000000000512</v>
      </c>
      <c r="T232" s="24"/>
      <c r="U232" s="24"/>
      <c r="V232" s="3"/>
      <c r="W232" s="25" t="s">
        <v>6747</v>
      </c>
      <c r="X232" s="25"/>
      <c r="Y232" s="25" t="str">
        <f>IFERROR(VLOOKUP(C_Ope_006[[#This Row],[NOTA 2]],Clientes_Proveedores[[Ruc / Dni]:[Razon Social]],2,0),"")</f>
        <v/>
      </c>
      <c r="Z232" s="25" t="s">
        <v>7400</v>
      </c>
      <c r="AA232" s="15"/>
      <c r="AB232" s="3" t="str">
        <f>IF(C_Ope_006[[#This Row],[FECHA]]&gt;0,TEXT(C_Ope_006[[#This Row],[FECHA]],"mmmm"),0)</f>
        <v>Julio</v>
      </c>
    </row>
    <row r="233" spans="2:28" ht="36" x14ac:dyDescent="0.3">
      <c r="B233" s="2">
        <f>IF(C_Ope_006[[#This Row],[TIPO DE R.]]="R",COUNTIFS($D$4:$D232,"R")+1,"")</f>
        <v>229</v>
      </c>
      <c r="C233" s="19" t="str">
        <f t="shared" si="43"/>
        <v>C_Ope_006</v>
      </c>
      <c r="D233" s="3" t="s">
        <v>1074</v>
      </c>
      <c r="E233" s="14">
        <v>45860</v>
      </c>
      <c r="F233" s="5" t="s">
        <v>7372</v>
      </c>
      <c r="G233" s="5" t="s">
        <v>1079</v>
      </c>
      <c r="H233" s="6" t="s">
        <v>989</v>
      </c>
      <c r="I233" s="6" t="s">
        <v>21</v>
      </c>
      <c r="J233" s="6">
        <v>1</v>
      </c>
      <c r="K233" s="6">
        <v>1018</v>
      </c>
      <c r="L233" s="7" t="s">
        <v>7506</v>
      </c>
      <c r="M233" s="8">
        <v>24993</v>
      </c>
      <c r="N233" s="8" t="str">
        <f t="shared" si="44"/>
        <v>PEN</v>
      </c>
      <c r="O233" s="13"/>
      <c r="P233" s="13">
        <v>12</v>
      </c>
      <c r="Q233" s="3">
        <f t="shared" si="45"/>
        <v>0</v>
      </c>
      <c r="R233" s="3">
        <f t="shared" si="46"/>
        <v>12</v>
      </c>
      <c r="S233" s="3">
        <f t="shared" si="47"/>
        <v>-68.500000000000512</v>
      </c>
      <c r="T233" s="24"/>
      <c r="U233" s="24"/>
      <c r="V233" s="3"/>
      <c r="W233" s="25" t="s">
        <v>6747</v>
      </c>
      <c r="X233" s="25">
        <v>10773806239</v>
      </c>
      <c r="Y233" s="25" t="str">
        <f>IFERROR(VLOOKUP(C_Ope_006[[#This Row],[NOTA 2]],Clientes_Proveedores[[Ruc / Dni]:[Razon Social]],2,0),"")</f>
        <v>MENDEZ MAMANI EDUARDO VICTOR GABRIEL</v>
      </c>
      <c r="Z233" s="25" t="s">
        <v>7493</v>
      </c>
      <c r="AA233" s="15"/>
      <c r="AB233" s="3" t="str">
        <f>IF(C_Ope_006[[#This Row],[FECHA]]&gt;0,TEXT(C_Ope_006[[#This Row],[FECHA]],"mmmm"),0)</f>
        <v>Julio</v>
      </c>
    </row>
    <row r="234" spans="2:28" x14ac:dyDescent="0.3">
      <c r="B234" s="2">
        <f>IF(C_Ope_006[[#This Row],[TIPO DE R.]]="R",COUNTIFS($D$4:$D233,"R")+1,"")</f>
        <v>230</v>
      </c>
      <c r="C234" s="19" t="str">
        <f>"C_Ope_006"</f>
        <v>C_Ope_006</v>
      </c>
      <c r="D234" s="3" t="s">
        <v>1074</v>
      </c>
      <c r="E234" s="14">
        <v>45863</v>
      </c>
      <c r="F234" s="5" t="s">
        <v>1251</v>
      </c>
      <c r="G234" s="5" t="s">
        <v>1087</v>
      </c>
      <c r="H234" s="6"/>
      <c r="I234" s="6"/>
      <c r="J234" s="6"/>
      <c r="K234" s="6"/>
      <c r="L234" s="7" t="s">
        <v>7113</v>
      </c>
      <c r="M234" s="8">
        <v>25103</v>
      </c>
      <c r="N234" s="8" t="str">
        <f>"PEN"</f>
        <v>PEN</v>
      </c>
      <c r="O234" s="13"/>
      <c r="P234" s="13">
        <v>200</v>
      </c>
      <c r="Q234" s="3">
        <f>+IF(OR($G234="SALDO",$G234="INGRESO"),$P234,0)</f>
        <v>200</v>
      </c>
      <c r="R234" s="3">
        <f>+IF($G234="EGRESO",$P234,0)</f>
        <v>0</v>
      </c>
      <c r="S234" s="13">
        <f>IFERROR(IF(G234="SALDO",Q234,S233+Q234-R234),0)</f>
        <v>131.49999999999949</v>
      </c>
      <c r="T234" s="24"/>
      <c r="U234" s="24"/>
      <c r="V234" s="3"/>
      <c r="W234" s="25"/>
      <c r="X234" s="25"/>
      <c r="Y234" s="25" t="str">
        <f>IFERROR(VLOOKUP(C_Ope_006[[#This Row],[NOTA 2]],Clientes_Proveedores[[Ruc / Dni]:[Razon Social]],2,0),"")</f>
        <v/>
      </c>
      <c r="Z234" s="25"/>
      <c r="AA234" s="15"/>
      <c r="AB234" s="3" t="str">
        <f>IF(C_Ope_006[[#This Row],[FECHA]]&gt;0,TEXT(C_Ope_006[[#This Row],[FECHA]],"mmmm"),0)</f>
        <v>Julio</v>
      </c>
    </row>
    <row r="235" spans="2:28" x14ac:dyDescent="0.3">
      <c r="B235" s="2">
        <f>IF(C_Ope_006[[#This Row],[TIPO DE R.]]="R",COUNTIFS($D$4:$D234,"R")+1,"")</f>
        <v>231</v>
      </c>
      <c r="C235" s="19" t="str">
        <f>"C_Ope_006"</f>
        <v>C_Ope_006</v>
      </c>
      <c r="D235" s="3" t="s">
        <v>1074</v>
      </c>
      <c r="E235" s="14">
        <v>45876</v>
      </c>
      <c r="F235" s="5" t="s">
        <v>7372</v>
      </c>
      <c r="G235" s="5" t="s">
        <v>1079</v>
      </c>
      <c r="H235" s="6"/>
      <c r="I235" s="6"/>
      <c r="J235" s="6"/>
      <c r="K235" s="6"/>
      <c r="L235" s="7" t="s">
        <v>7507</v>
      </c>
      <c r="M235" s="8">
        <v>25112</v>
      </c>
      <c r="N235" s="8" t="str">
        <f>"PEN"</f>
        <v>PEN</v>
      </c>
      <c r="O235" s="13"/>
      <c r="P235" s="13">
        <v>131.5</v>
      </c>
      <c r="Q235" s="3">
        <f>+IF(OR($G235="SALDO",$G235="INGRESO"),$P235,0)</f>
        <v>0</v>
      </c>
      <c r="R235" s="3">
        <f>+IF($G235="EGRESO",$P235,0)</f>
        <v>131.5</v>
      </c>
      <c r="S235" s="3">
        <f>IFERROR(IF(G235="SALDO",Q235,S234+Q235-R235),0)</f>
        <v>-5.1159076974727213E-13</v>
      </c>
      <c r="T235" s="24"/>
      <c r="U235" s="24"/>
      <c r="V235" s="3"/>
      <c r="W235" s="25"/>
      <c r="X235" s="25"/>
      <c r="Y235" s="25" t="str">
        <f>IFERROR(VLOOKUP(C_Ope_006[[#This Row],[NOTA 2]],Clientes_Proveedores[[Ruc / Dni]:[Razon Social]],2,0),"")</f>
        <v/>
      </c>
      <c r="Z235" s="25"/>
      <c r="AA235" s="15"/>
      <c r="AB235" s="3" t="str">
        <f>IF(C_Ope_006[[#This Row],[FECHA]]&gt;0,TEXT(C_Ope_006[[#This Row],[FECHA]],"mmmm"),0)</f>
        <v>Agosto</v>
      </c>
    </row>
  </sheetData>
  <mergeCells count="1">
    <mergeCell ref="B2:AB2"/>
  </mergeCells>
  <conditionalFormatting sqref="B5:AB235">
    <cfRule type="expression" dxfId="17" priority="273">
      <formula>$U5="OK"</formula>
    </cfRule>
    <cfRule type="expression" dxfId="16" priority="274">
      <formula>$T5="OK"</formula>
    </cfRule>
    <cfRule type="expression" dxfId="15" priority="275">
      <formula>$D5="D"</formula>
    </cfRule>
  </conditionalFormatting>
  <dataValidations count="4">
    <dataValidation type="list" allowBlank="1" showInputMessage="1" showErrorMessage="1" sqref="I5:I235" xr:uid="{F1BC469D-DD09-5040-8CB1-7EC4202F91A9}">
      <formula1>Documentos</formula1>
    </dataValidation>
    <dataValidation type="list" allowBlank="1" showInputMessage="1" showErrorMessage="1" sqref="G5:G235" xr:uid="{CCA184CC-4DF1-414C-A71E-F582B65F4503}">
      <formula1>"SALDO,INGRESO,EGRESO"</formula1>
    </dataValidation>
    <dataValidation type="list" allowBlank="1" showInputMessage="1" showErrorMessage="1" sqref="D5:D235" xr:uid="{E4C00E22-4072-3C48-931B-BD697411C2DB}">
      <formula1>"R,D"</formula1>
    </dataValidation>
    <dataValidation type="list" allowBlank="1" showInputMessage="1" showErrorMessage="1" sqref="H5:H235" xr:uid="{F6F84163-C72D-6243-A66F-A98AFB81C380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3" fitToHeight="0" orientation="landscape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FBB1-88FF-F940-B607-F1D76D7376E6}">
  <sheetPr codeName="Hoja16">
    <tabColor rgb="FF002060"/>
    <pageSetUpPr fitToPage="1"/>
  </sheetPr>
  <dimension ref="B2:AB252"/>
  <sheetViews>
    <sheetView showGridLines="0" topLeftCell="A241" zoomScaleNormal="100" zoomScaleSheetLayoutView="100" workbookViewId="0">
      <selection activeCell="G255" sqref="G255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5.44140625" bestFit="1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bestFit="1" customWidth="1"/>
    <col min="23" max="27" width="15.88671875" customWidth="1" outlineLevel="1"/>
    <col min="28" max="28" width="12.88671875" customWidth="1" outlineLevel="1"/>
  </cols>
  <sheetData>
    <row r="2" spans="2:28" ht="23.4" x14ac:dyDescent="0.3">
      <c r="B2" s="263" t="s">
        <v>7508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2">
        <f>IF(C_Ope_007[[#This Row],[TIPO DE R.]]="R",COUNTIFS($D$4:$D4,"R")+1,"")</f>
        <v>1</v>
      </c>
      <c r="C5" s="19" t="str">
        <f>"C_Ope_007"</f>
        <v>C_Ope_007</v>
      </c>
      <c r="D5" s="3" t="s">
        <v>1074</v>
      </c>
      <c r="E5" s="4">
        <v>45658</v>
      </c>
      <c r="F5" s="5" t="s">
        <v>4314</v>
      </c>
      <c r="G5" s="6" t="s">
        <v>1064</v>
      </c>
      <c r="H5" s="6"/>
      <c r="I5" s="6"/>
      <c r="J5" s="6"/>
      <c r="K5" s="6"/>
      <c r="L5" s="7" t="s">
        <v>1076</v>
      </c>
      <c r="M5" s="8">
        <v>22571</v>
      </c>
      <c r="N5" s="8" t="str">
        <f t="shared" ref="N5" si="0">"PEN"</f>
        <v>PEN</v>
      </c>
      <c r="O5" s="13"/>
      <c r="P5" s="9">
        <v>36</v>
      </c>
      <c r="Q5" s="9">
        <f t="shared" ref="Q5:Q68" si="1">+IF(OR($G5="SALDO",$G5="INGRESO"),$P5,0)</f>
        <v>36</v>
      </c>
      <c r="R5" s="9">
        <f t="shared" ref="R5:R68" si="2">+IF($G5="EGRESO",$P5,0)</f>
        <v>0</v>
      </c>
      <c r="S5" s="9">
        <f t="shared" ref="S5:S68" si="3">IFERROR(IF(G5="SALDO",Q5,S4+Q5-R5),0)</f>
        <v>36</v>
      </c>
      <c r="T5" s="24"/>
      <c r="U5" s="24"/>
      <c r="V5" s="15"/>
      <c r="W5" s="25"/>
      <c r="X5" s="25"/>
      <c r="Y5" s="25" t="str">
        <f>IFERROR(VLOOKUP(C_Ope_007[[#This Row],[NOTA 2]],Clientes_Proveedores[[Ruc / Dni]:[Razon Social]],2,0),"")</f>
        <v/>
      </c>
      <c r="Z5" s="25"/>
      <c r="AA5" s="25"/>
      <c r="AB5" s="3" t="str">
        <f>IF(C_Ope_007[[#This Row],[FECHA]]&gt;0,TEXT(C_Ope_007[[#This Row],[FECHA]],"mmmm"),0)</f>
        <v>Enero</v>
      </c>
    </row>
    <row r="6" spans="2:28" x14ac:dyDescent="0.3">
      <c r="B6" s="2">
        <f>IF(C_Ope_007[[#This Row],[TIPO DE R.]]="R",COUNTIFS($D$4:$D5,"R")+1,"")</f>
        <v>2</v>
      </c>
      <c r="C6" s="19" t="str">
        <f t="shared" ref="C6:C69" si="4">"C_Ope_007"</f>
        <v>C_Ope_007</v>
      </c>
      <c r="D6" s="3" t="s">
        <v>1074</v>
      </c>
      <c r="E6" s="14">
        <v>45665</v>
      </c>
      <c r="F6" s="5" t="s">
        <v>6299</v>
      </c>
      <c r="G6" s="5" t="s">
        <v>1087</v>
      </c>
      <c r="H6" s="6"/>
      <c r="I6" s="6"/>
      <c r="J6" s="6"/>
      <c r="K6" s="6"/>
      <c r="L6" s="7" t="s">
        <v>6302</v>
      </c>
      <c r="M6" s="8">
        <v>22587</v>
      </c>
      <c r="N6" s="8" t="str">
        <f t="shared" ref="N6:N69" si="5">"PEN"</f>
        <v>PEN</v>
      </c>
      <c r="O6" s="13"/>
      <c r="P6" s="13">
        <v>70</v>
      </c>
      <c r="Q6" s="3">
        <f t="shared" si="1"/>
        <v>70</v>
      </c>
      <c r="R6" s="3">
        <f t="shared" si="2"/>
        <v>0</v>
      </c>
      <c r="S6" s="3">
        <f t="shared" si="3"/>
        <v>106</v>
      </c>
      <c r="T6" s="24"/>
      <c r="U6" s="24"/>
      <c r="V6" s="3"/>
      <c r="W6" s="25"/>
      <c r="X6" s="25"/>
      <c r="Y6" s="25" t="str">
        <f>IFERROR(VLOOKUP(C_Ope_007[[#This Row],[NOTA 2]],Clientes_Proveedores[[Ruc / Dni]:[Razon Social]],2,0),"")</f>
        <v/>
      </c>
      <c r="Z6" s="25"/>
      <c r="AA6" s="25"/>
      <c r="AB6" s="3" t="str">
        <f>IF(C_Ope_007[[#This Row],[FECHA]]&gt;0,TEXT(C_Ope_007[[#This Row],[FECHA]],"mmmm"),0)</f>
        <v>Enero</v>
      </c>
    </row>
    <row r="7" spans="2:28" x14ac:dyDescent="0.3">
      <c r="B7" s="2">
        <f>IF(C_Ope_007[[#This Row],[TIPO DE R.]]="R",COUNTIFS($D$4:$D6,"R")+1,"")</f>
        <v>3</v>
      </c>
      <c r="C7" s="19" t="str">
        <f t="shared" si="4"/>
        <v>C_Ope_007</v>
      </c>
      <c r="D7" s="3" t="s">
        <v>1074</v>
      </c>
      <c r="E7" s="14">
        <v>45664</v>
      </c>
      <c r="F7" s="5" t="s">
        <v>4314</v>
      </c>
      <c r="G7" s="5" t="s">
        <v>1079</v>
      </c>
      <c r="H7" s="6"/>
      <c r="I7" s="6" t="s">
        <v>14</v>
      </c>
      <c r="J7" s="6" t="s">
        <v>5243</v>
      </c>
      <c r="K7" s="6">
        <v>2188355</v>
      </c>
      <c r="L7" s="7" t="s">
        <v>7263</v>
      </c>
      <c r="M7" s="8">
        <v>22631</v>
      </c>
      <c r="N7" s="8" t="str">
        <f t="shared" si="5"/>
        <v>PEN</v>
      </c>
      <c r="O7" s="13"/>
      <c r="P7" s="13">
        <v>8</v>
      </c>
      <c r="Q7" s="3">
        <f t="shared" si="1"/>
        <v>0</v>
      </c>
      <c r="R7" s="3">
        <f t="shared" si="2"/>
        <v>8</v>
      </c>
      <c r="S7" s="3">
        <f t="shared" si="3"/>
        <v>98</v>
      </c>
      <c r="T7" s="24"/>
      <c r="U7" s="24"/>
      <c r="V7" s="3"/>
      <c r="W7" s="25" t="s">
        <v>6630</v>
      </c>
      <c r="X7" s="25"/>
      <c r="Y7" s="25" t="str">
        <f>IFERROR(VLOOKUP(C_Ope_007[[#This Row],[NOTA 2]],Clientes_Proveedores[[Ruc / Dni]:[Razon Social]],2,0),"")</f>
        <v/>
      </c>
      <c r="Z7" s="25"/>
      <c r="AA7" s="25"/>
      <c r="AB7" s="3" t="str">
        <f>IF(C_Ope_007[[#This Row],[FECHA]]&gt;0,TEXT(C_Ope_007[[#This Row],[FECHA]],"mmmm"),0)</f>
        <v>Enero</v>
      </c>
    </row>
    <row r="8" spans="2:28" x14ac:dyDescent="0.3">
      <c r="B8" s="2">
        <f>IF(C_Ope_007[[#This Row],[TIPO DE R.]]="R",COUNTIFS($D$4:$D7,"R")+1,"")</f>
        <v>4</v>
      </c>
      <c r="C8" s="19" t="str">
        <f t="shared" si="4"/>
        <v>C_Ope_007</v>
      </c>
      <c r="D8" s="3" t="s">
        <v>1074</v>
      </c>
      <c r="E8" s="14">
        <v>45664</v>
      </c>
      <c r="F8" s="5" t="s">
        <v>4314</v>
      </c>
      <c r="G8" s="5" t="s">
        <v>1079</v>
      </c>
      <c r="H8" s="6"/>
      <c r="I8" s="6" t="s">
        <v>14</v>
      </c>
      <c r="J8" s="6" t="s">
        <v>5281</v>
      </c>
      <c r="K8" s="6">
        <v>902350</v>
      </c>
      <c r="L8" s="7" t="s">
        <v>6629</v>
      </c>
      <c r="M8" s="8">
        <v>22632</v>
      </c>
      <c r="N8" s="8" t="str">
        <f t="shared" si="5"/>
        <v>PEN</v>
      </c>
      <c r="O8" s="13"/>
      <c r="P8" s="13">
        <v>8</v>
      </c>
      <c r="Q8" s="3">
        <f t="shared" si="1"/>
        <v>0</v>
      </c>
      <c r="R8" s="3">
        <f t="shared" si="2"/>
        <v>8</v>
      </c>
      <c r="S8" s="3">
        <f t="shared" si="3"/>
        <v>90</v>
      </c>
      <c r="T8" s="24"/>
      <c r="U8" s="24"/>
      <c r="V8" s="3"/>
      <c r="W8" s="25" t="s">
        <v>6630</v>
      </c>
      <c r="X8" s="25"/>
      <c r="Y8" s="25" t="str">
        <f>IFERROR(VLOOKUP(C_Ope_007[[#This Row],[NOTA 2]],Clientes_Proveedores[[Ruc / Dni]:[Razon Social]],2,0),"")</f>
        <v/>
      </c>
      <c r="Z8" s="25"/>
      <c r="AA8" s="25"/>
      <c r="AB8" s="3" t="str">
        <f>IF(C_Ope_007[[#This Row],[FECHA]]&gt;0,TEXT(C_Ope_007[[#This Row],[FECHA]],"mmmm"),0)</f>
        <v>Enero</v>
      </c>
    </row>
    <row r="9" spans="2:28" x14ac:dyDescent="0.3">
      <c r="B9" s="2">
        <f>IF(C_Ope_007[[#This Row],[TIPO DE R.]]="R",COUNTIFS($D$4:$D8,"R")+1,"")</f>
        <v>5</v>
      </c>
      <c r="C9" s="19" t="str">
        <f t="shared" si="4"/>
        <v>C_Ope_007</v>
      </c>
      <c r="D9" s="3" t="s">
        <v>1074</v>
      </c>
      <c r="E9" s="14">
        <v>45664</v>
      </c>
      <c r="F9" s="5" t="s">
        <v>4314</v>
      </c>
      <c r="G9" s="5" t="s">
        <v>1079</v>
      </c>
      <c r="H9" s="6"/>
      <c r="I9" s="6" t="s">
        <v>14</v>
      </c>
      <c r="J9" s="6" t="s">
        <v>5280</v>
      </c>
      <c r="K9" s="6">
        <v>982828</v>
      </c>
      <c r="L9" s="7" t="s">
        <v>6629</v>
      </c>
      <c r="M9" s="8">
        <v>22633</v>
      </c>
      <c r="N9" s="8" t="str">
        <f t="shared" si="5"/>
        <v>PEN</v>
      </c>
      <c r="O9" s="13"/>
      <c r="P9" s="13">
        <v>8</v>
      </c>
      <c r="Q9" s="3">
        <f t="shared" si="1"/>
        <v>0</v>
      </c>
      <c r="R9" s="3">
        <f t="shared" si="2"/>
        <v>8</v>
      </c>
      <c r="S9" s="3">
        <f t="shared" si="3"/>
        <v>82</v>
      </c>
      <c r="T9" s="24"/>
      <c r="U9" s="24"/>
      <c r="V9" s="3"/>
      <c r="W9" s="25" t="s">
        <v>6630</v>
      </c>
      <c r="X9" s="25"/>
      <c r="Y9" s="25" t="str">
        <f>IFERROR(VLOOKUP(C_Ope_007[[#This Row],[NOTA 2]],Clientes_Proveedores[[Ruc / Dni]:[Razon Social]],2,0),"")</f>
        <v/>
      </c>
      <c r="Z9" s="25"/>
      <c r="AA9" s="25"/>
      <c r="AB9" s="3" t="str">
        <f>IF(C_Ope_007[[#This Row],[FECHA]]&gt;0,TEXT(C_Ope_007[[#This Row],[FECHA]],"mmmm"),0)</f>
        <v>Enero</v>
      </c>
    </row>
    <row r="10" spans="2:28" x14ac:dyDescent="0.3">
      <c r="B10" s="2">
        <f>IF(C_Ope_007[[#This Row],[TIPO DE R.]]="R",COUNTIFS($D$4:$D9,"R")+1,"")</f>
        <v>6</v>
      </c>
      <c r="C10" s="19" t="str">
        <f t="shared" si="4"/>
        <v>C_Ope_007</v>
      </c>
      <c r="D10" s="3" t="s">
        <v>1074</v>
      </c>
      <c r="E10" s="14">
        <v>45664</v>
      </c>
      <c r="F10" s="5" t="s">
        <v>4314</v>
      </c>
      <c r="G10" s="5" t="s">
        <v>1079</v>
      </c>
      <c r="H10" s="6"/>
      <c r="I10" s="6" t="s">
        <v>14</v>
      </c>
      <c r="J10" s="6" t="s">
        <v>5242</v>
      </c>
      <c r="K10" s="6">
        <v>1920098</v>
      </c>
      <c r="L10" s="7" t="s">
        <v>7263</v>
      </c>
      <c r="M10" s="8">
        <v>22634</v>
      </c>
      <c r="N10" s="8" t="str">
        <f t="shared" si="5"/>
        <v>PEN</v>
      </c>
      <c r="O10" s="13"/>
      <c r="P10" s="13">
        <v>8</v>
      </c>
      <c r="Q10" s="3">
        <f t="shared" si="1"/>
        <v>0</v>
      </c>
      <c r="R10" s="3">
        <f t="shared" si="2"/>
        <v>8</v>
      </c>
      <c r="S10" s="3">
        <f t="shared" si="3"/>
        <v>74</v>
      </c>
      <c r="T10" s="24"/>
      <c r="U10" s="24"/>
      <c r="V10" s="3"/>
      <c r="W10" s="25" t="s">
        <v>6630</v>
      </c>
      <c r="X10" s="25"/>
      <c r="Y10" s="25" t="str">
        <f>IFERROR(VLOOKUP(C_Ope_007[[#This Row],[NOTA 2]],Clientes_Proveedores[[Ruc / Dni]:[Razon Social]],2,0),"")</f>
        <v/>
      </c>
      <c r="Z10" s="25"/>
      <c r="AA10" s="25"/>
      <c r="AB10" s="3" t="str">
        <f>IF(C_Ope_007[[#This Row],[FECHA]]&gt;0,TEXT(C_Ope_007[[#This Row],[FECHA]],"mmmm"),0)</f>
        <v>Enero</v>
      </c>
    </row>
    <row r="11" spans="2:28" ht="24" x14ac:dyDescent="0.3">
      <c r="B11" s="2">
        <f>IF(C_Ope_007[[#This Row],[TIPO DE R.]]="R",COUNTIFS($D$4:$D10,"R")+1,"")</f>
        <v>7</v>
      </c>
      <c r="C11" s="19" t="str">
        <f t="shared" si="4"/>
        <v>C_Ope_007</v>
      </c>
      <c r="D11" s="3" t="s">
        <v>1074</v>
      </c>
      <c r="E11" s="14">
        <v>45666</v>
      </c>
      <c r="F11" s="5" t="s">
        <v>4314</v>
      </c>
      <c r="G11" s="5" t="s">
        <v>1079</v>
      </c>
      <c r="H11" s="6"/>
      <c r="I11" s="6" t="s">
        <v>14</v>
      </c>
      <c r="J11" s="6" t="s">
        <v>5243</v>
      </c>
      <c r="K11" s="6">
        <v>2190661</v>
      </c>
      <c r="L11" s="7" t="s">
        <v>6609</v>
      </c>
      <c r="M11" s="8">
        <v>22635</v>
      </c>
      <c r="N11" s="8" t="str">
        <f t="shared" si="5"/>
        <v>PEN</v>
      </c>
      <c r="O11" s="13"/>
      <c r="P11" s="13">
        <v>8</v>
      </c>
      <c r="Q11" s="3">
        <f t="shared" si="1"/>
        <v>0</v>
      </c>
      <c r="R11" s="3">
        <f t="shared" si="2"/>
        <v>8</v>
      </c>
      <c r="S11" s="3">
        <f t="shared" si="3"/>
        <v>66</v>
      </c>
      <c r="T11" s="24"/>
      <c r="U11" s="24"/>
      <c r="V11" s="3"/>
      <c r="W11" s="25" t="s">
        <v>6630</v>
      </c>
      <c r="X11" s="25"/>
      <c r="Y11" s="25" t="str">
        <f>IFERROR(VLOOKUP(C_Ope_007[[#This Row],[NOTA 2]],Clientes_Proveedores[[Ruc / Dni]:[Razon Social]],2,0),"")</f>
        <v/>
      </c>
      <c r="Z11" s="25"/>
      <c r="AA11" s="25"/>
      <c r="AB11" s="3" t="str">
        <f>IF(C_Ope_007[[#This Row],[FECHA]]&gt;0,TEXT(C_Ope_007[[#This Row],[FECHA]],"mmmm"),0)</f>
        <v>Enero</v>
      </c>
    </row>
    <row r="12" spans="2:28" ht="24" x14ac:dyDescent="0.3">
      <c r="B12" s="2">
        <f>IF(C_Ope_007[[#This Row],[TIPO DE R.]]="R",COUNTIFS($D$4:$D11,"R")+1,"")</f>
        <v>8</v>
      </c>
      <c r="C12" s="19" t="str">
        <f t="shared" si="4"/>
        <v>C_Ope_007</v>
      </c>
      <c r="D12" s="3" t="s">
        <v>1074</v>
      </c>
      <c r="E12" s="14">
        <v>45666</v>
      </c>
      <c r="F12" s="5" t="s">
        <v>4314</v>
      </c>
      <c r="G12" s="5" t="s">
        <v>1079</v>
      </c>
      <c r="H12" s="6"/>
      <c r="I12" s="6" t="s">
        <v>14</v>
      </c>
      <c r="J12" s="6" t="s">
        <v>5242</v>
      </c>
      <c r="K12" s="6">
        <v>1922250</v>
      </c>
      <c r="L12" s="7" t="s">
        <v>6609</v>
      </c>
      <c r="M12" s="8">
        <v>22636</v>
      </c>
      <c r="N12" s="8" t="str">
        <f t="shared" si="5"/>
        <v>PEN</v>
      </c>
      <c r="O12" s="13"/>
      <c r="P12" s="13">
        <v>8</v>
      </c>
      <c r="Q12" s="3">
        <f t="shared" si="1"/>
        <v>0</v>
      </c>
      <c r="R12" s="3">
        <f t="shared" si="2"/>
        <v>8</v>
      </c>
      <c r="S12" s="3">
        <f t="shared" si="3"/>
        <v>58</v>
      </c>
      <c r="T12" s="24"/>
      <c r="U12" s="24"/>
      <c r="V12" s="3"/>
      <c r="W12" s="25" t="s">
        <v>6630</v>
      </c>
      <c r="X12" s="25"/>
      <c r="Y12" s="25" t="str">
        <f>IFERROR(VLOOKUP(C_Ope_007[[#This Row],[NOTA 2]],Clientes_Proveedores[[Ruc / Dni]:[Razon Social]],2,0),"")</f>
        <v/>
      </c>
      <c r="Z12" s="25"/>
      <c r="AA12" s="25"/>
      <c r="AB12" s="3" t="str">
        <f>IF(C_Ope_007[[#This Row],[FECHA]]&gt;0,TEXT(C_Ope_007[[#This Row],[FECHA]],"mmmm"),0)</f>
        <v>Enero</v>
      </c>
    </row>
    <row r="13" spans="2:28" x14ac:dyDescent="0.3">
      <c r="B13" s="2">
        <f>IF(C_Ope_007[[#This Row],[TIPO DE R.]]="R",COUNTIFS($D$4:$D12,"R")+1,"")</f>
        <v>9</v>
      </c>
      <c r="C13" s="19" t="str">
        <f t="shared" si="4"/>
        <v>C_Ope_007</v>
      </c>
      <c r="D13" s="3" t="s">
        <v>1074</v>
      </c>
      <c r="E13" s="14">
        <v>45664</v>
      </c>
      <c r="F13" s="5" t="s">
        <v>4314</v>
      </c>
      <c r="G13" s="5" t="s">
        <v>1079</v>
      </c>
      <c r="H13" s="6"/>
      <c r="I13" s="6" t="s">
        <v>14</v>
      </c>
      <c r="J13" s="6" t="s">
        <v>1119</v>
      </c>
      <c r="K13" s="6">
        <v>16591</v>
      </c>
      <c r="L13" s="7" t="s">
        <v>6633</v>
      </c>
      <c r="M13" s="8">
        <v>22637</v>
      </c>
      <c r="N13" s="8" t="str">
        <f t="shared" si="5"/>
        <v>PEN</v>
      </c>
      <c r="O13" s="13"/>
      <c r="P13" s="13">
        <v>11</v>
      </c>
      <c r="Q13" s="3">
        <f t="shared" si="1"/>
        <v>0</v>
      </c>
      <c r="R13" s="3">
        <f t="shared" si="2"/>
        <v>11</v>
      </c>
      <c r="S13" s="3">
        <f t="shared" si="3"/>
        <v>47</v>
      </c>
      <c r="T13" s="24"/>
      <c r="U13" s="24"/>
      <c r="V13" s="3"/>
      <c r="W13" s="25" t="s">
        <v>6630</v>
      </c>
      <c r="X13" s="25"/>
      <c r="Y13" s="25" t="str">
        <f>IFERROR(VLOOKUP(C_Ope_007[[#This Row],[NOTA 2]],Clientes_Proveedores[[Ruc / Dni]:[Razon Social]],2,0),"")</f>
        <v/>
      </c>
      <c r="Z13" s="25"/>
      <c r="AA13" s="25"/>
      <c r="AB13" s="3" t="str">
        <f>IF(C_Ope_007[[#This Row],[FECHA]]&gt;0,TEXT(C_Ope_007[[#This Row],[FECHA]],"mmmm"),0)</f>
        <v>Enero</v>
      </c>
    </row>
    <row r="14" spans="2:28" ht="24" x14ac:dyDescent="0.3">
      <c r="B14" s="2">
        <f>IF(C_Ope_007[[#This Row],[TIPO DE R.]]="R",COUNTIFS($D$4:$D13,"R")+1,"")</f>
        <v>10</v>
      </c>
      <c r="C14" s="19" t="str">
        <f t="shared" si="4"/>
        <v>C_Ope_007</v>
      </c>
      <c r="D14" s="3" t="s">
        <v>1074</v>
      </c>
      <c r="E14" s="14">
        <v>45666</v>
      </c>
      <c r="F14" s="5" t="s">
        <v>4314</v>
      </c>
      <c r="G14" s="5" t="s">
        <v>1079</v>
      </c>
      <c r="H14" s="6"/>
      <c r="I14" s="6" t="s">
        <v>14</v>
      </c>
      <c r="J14" s="6" t="s">
        <v>1097</v>
      </c>
      <c r="K14" s="6">
        <v>15292</v>
      </c>
      <c r="L14" s="7" t="s">
        <v>7509</v>
      </c>
      <c r="M14" s="8">
        <v>22638</v>
      </c>
      <c r="N14" s="8" t="str">
        <f t="shared" si="5"/>
        <v>PEN</v>
      </c>
      <c r="O14" s="13"/>
      <c r="P14" s="13">
        <v>20</v>
      </c>
      <c r="Q14" s="3">
        <f t="shared" si="1"/>
        <v>0</v>
      </c>
      <c r="R14" s="3">
        <f t="shared" si="2"/>
        <v>20</v>
      </c>
      <c r="S14" s="3">
        <f t="shared" si="3"/>
        <v>27</v>
      </c>
      <c r="T14" s="24"/>
      <c r="U14" s="24"/>
      <c r="V14" s="3"/>
      <c r="W14" s="25" t="s">
        <v>6630</v>
      </c>
      <c r="X14" s="25"/>
      <c r="Y14" s="25" t="str">
        <f>IFERROR(VLOOKUP(C_Ope_007[[#This Row],[NOTA 2]],Clientes_Proveedores[[Ruc / Dni]:[Razon Social]],2,0),"")</f>
        <v/>
      </c>
      <c r="Z14" s="25"/>
      <c r="AA14" s="25"/>
      <c r="AB14" s="3" t="str">
        <f>IF(C_Ope_007[[#This Row],[FECHA]]&gt;0,TEXT(C_Ope_007[[#This Row],[FECHA]],"mmmm"),0)</f>
        <v>Enero</v>
      </c>
    </row>
    <row r="15" spans="2:28" x14ac:dyDescent="0.3">
      <c r="B15" s="2">
        <f>IF(C_Ope_007[[#This Row],[TIPO DE R.]]="R",COUNTIFS($D$4:$D14,"R")+1,"")</f>
        <v>11</v>
      </c>
      <c r="C15" s="19" t="str">
        <f t="shared" si="4"/>
        <v>C_Ope_007</v>
      </c>
      <c r="D15" s="3" t="s">
        <v>1074</v>
      </c>
      <c r="E15" s="14">
        <v>45667</v>
      </c>
      <c r="F15" s="5" t="s">
        <v>4314</v>
      </c>
      <c r="G15" s="5" t="s">
        <v>1079</v>
      </c>
      <c r="H15" s="6"/>
      <c r="I15" s="6" t="s">
        <v>14</v>
      </c>
      <c r="J15" s="6" t="s">
        <v>1148</v>
      </c>
      <c r="K15" s="6">
        <v>126703</v>
      </c>
      <c r="L15" s="7" t="s">
        <v>6550</v>
      </c>
      <c r="M15" s="8">
        <v>22686</v>
      </c>
      <c r="N15" s="8" t="str">
        <f t="shared" si="5"/>
        <v>PEN</v>
      </c>
      <c r="O15" s="13"/>
      <c r="P15" s="13">
        <v>10</v>
      </c>
      <c r="Q15" s="3">
        <f t="shared" si="1"/>
        <v>0</v>
      </c>
      <c r="R15" s="3">
        <f t="shared" si="2"/>
        <v>10</v>
      </c>
      <c r="S15" s="3">
        <f t="shared" si="3"/>
        <v>17</v>
      </c>
      <c r="T15" s="24"/>
      <c r="U15" s="24"/>
      <c r="V15" s="3"/>
      <c r="W15" s="25" t="s">
        <v>6541</v>
      </c>
      <c r="X15" s="25"/>
      <c r="Y15" s="25" t="str">
        <f>IFERROR(VLOOKUP(C_Ope_007[[#This Row],[NOTA 2]],Clientes_Proveedores[[Ruc / Dni]:[Razon Social]],2,0),"")</f>
        <v/>
      </c>
      <c r="Z15" s="25"/>
      <c r="AA15" s="25"/>
      <c r="AB15" s="3" t="str">
        <f>IF(C_Ope_007[[#This Row],[FECHA]]&gt;0,TEXT(C_Ope_007[[#This Row],[FECHA]],"mmmm"),0)</f>
        <v>Enero</v>
      </c>
    </row>
    <row r="16" spans="2:28" x14ac:dyDescent="0.3">
      <c r="B16" s="2">
        <f>IF(C_Ope_007[[#This Row],[TIPO DE R.]]="R",COUNTIFS($D$4:$D15,"R")+1,"")</f>
        <v>12</v>
      </c>
      <c r="C16" s="19" t="str">
        <f t="shared" si="4"/>
        <v>C_Ope_007</v>
      </c>
      <c r="D16" s="3" t="s">
        <v>1074</v>
      </c>
      <c r="E16" s="14">
        <v>45667</v>
      </c>
      <c r="F16" s="5" t="s">
        <v>4314</v>
      </c>
      <c r="G16" s="5" t="s">
        <v>1079</v>
      </c>
      <c r="H16" s="6"/>
      <c r="I16" s="6" t="s">
        <v>14</v>
      </c>
      <c r="J16" s="6" t="s">
        <v>1121</v>
      </c>
      <c r="K16" s="6">
        <v>63</v>
      </c>
      <c r="L16" s="7" t="s">
        <v>7205</v>
      </c>
      <c r="M16" s="8">
        <v>22639</v>
      </c>
      <c r="N16" s="8" t="str">
        <f t="shared" si="5"/>
        <v>PEN</v>
      </c>
      <c r="O16" s="13"/>
      <c r="P16" s="13">
        <v>40</v>
      </c>
      <c r="Q16" s="3">
        <f t="shared" si="1"/>
        <v>0</v>
      </c>
      <c r="R16" s="3">
        <f t="shared" si="2"/>
        <v>40</v>
      </c>
      <c r="S16" s="3">
        <f t="shared" si="3"/>
        <v>-23</v>
      </c>
      <c r="T16" s="24"/>
      <c r="U16" s="24"/>
      <c r="V16" s="3"/>
      <c r="W16" s="25" t="s">
        <v>6539</v>
      </c>
      <c r="X16" s="25"/>
      <c r="Y16" s="25" t="str">
        <f>IFERROR(VLOOKUP(C_Ope_007[[#This Row],[NOTA 2]],Clientes_Proveedores[[Ruc / Dni]:[Razon Social]],2,0),"")</f>
        <v/>
      </c>
      <c r="Z16" s="25"/>
      <c r="AA16" s="25"/>
      <c r="AB16" s="3" t="str">
        <f>IF(C_Ope_007[[#This Row],[FECHA]]&gt;0,TEXT(C_Ope_007[[#This Row],[FECHA]],"mmmm"),0)</f>
        <v>Enero</v>
      </c>
    </row>
    <row r="17" spans="2:28" x14ac:dyDescent="0.3">
      <c r="B17" s="2">
        <f>IF(C_Ope_007[[#This Row],[TIPO DE R.]]="R",COUNTIFS($D$4:$D16,"R")+1,"")</f>
        <v>13</v>
      </c>
      <c r="C17" s="19" t="str">
        <f t="shared" si="4"/>
        <v>C_Ope_007</v>
      </c>
      <c r="D17" s="3" t="s">
        <v>1074</v>
      </c>
      <c r="E17" s="14">
        <v>45670</v>
      </c>
      <c r="F17" s="5" t="s">
        <v>6299</v>
      </c>
      <c r="G17" s="5" t="s">
        <v>1087</v>
      </c>
      <c r="H17" s="6"/>
      <c r="I17" s="6"/>
      <c r="J17" s="6"/>
      <c r="K17" s="6"/>
      <c r="L17" s="7" t="s">
        <v>6302</v>
      </c>
      <c r="M17" s="8">
        <v>22630</v>
      </c>
      <c r="N17" s="8" t="str">
        <f t="shared" si="5"/>
        <v>PEN</v>
      </c>
      <c r="O17" s="13"/>
      <c r="P17" s="13">
        <v>100</v>
      </c>
      <c r="Q17" s="3">
        <f t="shared" si="1"/>
        <v>100</v>
      </c>
      <c r="R17" s="3">
        <f t="shared" si="2"/>
        <v>0</v>
      </c>
      <c r="S17" s="3">
        <f t="shared" si="3"/>
        <v>77</v>
      </c>
      <c r="T17" s="24"/>
      <c r="U17" s="24"/>
      <c r="V17" s="3"/>
      <c r="W17" s="25"/>
      <c r="X17" s="25"/>
      <c r="Y17" s="25" t="str">
        <f>IFERROR(VLOOKUP(C_Ope_007[[#This Row],[NOTA 2]],Clientes_Proveedores[[Ruc / Dni]:[Razon Social]],2,0),"")</f>
        <v/>
      </c>
      <c r="Z17" s="25"/>
      <c r="AA17" s="25"/>
      <c r="AB17" s="3" t="str">
        <f>IF(C_Ope_007[[#This Row],[FECHA]]&gt;0,TEXT(C_Ope_007[[#This Row],[FECHA]],"mmmm"),0)</f>
        <v>Enero</v>
      </c>
    </row>
    <row r="18" spans="2:28" x14ac:dyDescent="0.3">
      <c r="B18" s="2">
        <f>IF(C_Ope_007[[#This Row],[TIPO DE R.]]="R",COUNTIFS($D$4:$D17,"R")+1,"")</f>
        <v>14</v>
      </c>
      <c r="C18" s="19" t="str">
        <f t="shared" si="4"/>
        <v>C_Ope_007</v>
      </c>
      <c r="D18" s="3" t="s">
        <v>1074</v>
      </c>
      <c r="E18" s="14">
        <v>45674</v>
      </c>
      <c r="F18" s="5" t="s">
        <v>6299</v>
      </c>
      <c r="G18" s="5" t="s">
        <v>1087</v>
      </c>
      <c r="H18" s="6"/>
      <c r="I18" s="6"/>
      <c r="J18" s="6"/>
      <c r="K18" s="6"/>
      <c r="L18" s="7" t="s">
        <v>6302</v>
      </c>
      <c r="M18" s="8">
        <v>22699</v>
      </c>
      <c r="N18" s="8" t="str">
        <f t="shared" si="5"/>
        <v>PEN</v>
      </c>
      <c r="O18" s="13"/>
      <c r="P18" s="13">
        <v>100</v>
      </c>
      <c r="Q18" s="3">
        <f t="shared" si="1"/>
        <v>100</v>
      </c>
      <c r="R18" s="3">
        <f t="shared" si="2"/>
        <v>0</v>
      </c>
      <c r="S18" s="3">
        <f t="shared" si="3"/>
        <v>177</v>
      </c>
      <c r="T18" s="24"/>
      <c r="U18" s="24"/>
      <c r="V18" s="3"/>
      <c r="W18" s="25"/>
      <c r="X18" s="25"/>
      <c r="Y18" s="25" t="str">
        <f>IFERROR(VLOOKUP(C_Ope_007[[#This Row],[NOTA 2]],Clientes_Proveedores[[Ruc / Dni]:[Razon Social]],2,0),"")</f>
        <v/>
      </c>
      <c r="Z18" s="25"/>
      <c r="AA18" s="25"/>
      <c r="AB18" s="3" t="str">
        <f>IF(C_Ope_007[[#This Row],[FECHA]]&gt;0,TEXT(C_Ope_007[[#This Row],[FECHA]],"mmmm"),0)</f>
        <v>Enero</v>
      </c>
    </row>
    <row r="19" spans="2:28" ht="36" x14ac:dyDescent="0.3">
      <c r="B19" s="2">
        <f>IF(C_Ope_007[[#This Row],[TIPO DE R.]]="R",COUNTIFS($D$4:$D18,"R")+1,"")</f>
        <v>15</v>
      </c>
      <c r="C19" s="19" t="str">
        <f t="shared" si="4"/>
        <v>C_Ope_007</v>
      </c>
      <c r="D19" s="3" t="s">
        <v>1074</v>
      </c>
      <c r="E19" s="14">
        <v>45670</v>
      </c>
      <c r="F19" s="5" t="s">
        <v>4314</v>
      </c>
      <c r="G19" s="5" t="s">
        <v>1079</v>
      </c>
      <c r="H19" s="6"/>
      <c r="I19" s="6" t="s">
        <v>14</v>
      </c>
      <c r="J19" s="6" t="s">
        <v>5243</v>
      </c>
      <c r="K19" s="6">
        <v>2194927</v>
      </c>
      <c r="L19" s="7" t="s">
        <v>7510</v>
      </c>
      <c r="M19" s="8">
        <v>22700</v>
      </c>
      <c r="N19" s="8" t="str">
        <f t="shared" si="5"/>
        <v>PEN</v>
      </c>
      <c r="O19" s="13"/>
      <c r="P19" s="13">
        <v>8</v>
      </c>
      <c r="Q19" s="3">
        <f t="shared" si="1"/>
        <v>0</v>
      </c>
      <c r="R19" s="3">
        <f t="shared" si="2"/>
        <v>8</v>
      </c>
      <c r="S19" s="3">
        <f t="shared" si="3"/>
        <v>169</v>
      </c>
      <c r="T19" s="24"/>
      <c r="U19" s="24"/>
      <c r="V19" s="3"/>
      <c r="W19" s="25" t="s">
        <v>6630</v>
      </c>
      <c r="X19" s="25"/>
      <c r="Y19" s="25" t="str">
        <f>IFERROR(VLOOKUP(C_Ope_007[[#This Row],[NOTA 2]],Clientes_Proveedores[[Ruc / Dni]:[Razon Social]],2,0),"")</f>
        <v/>
      </c>
      <c r="Z19" s="25"/>
      <c r="AA19" s="25"/>
      <c r="AB19" s="3" t="str">
        <f>IF(C_Ope_007[[#This Row],[FECHA]]&gt;0,TEXT(C_Ope_007[[#This Row],[FECHA]],"mmmm"),0)</f>
        <v>Enero</v>
      </c>
    </row>
    <row r="20" spans="2:28" ht="36" x14ac:dyDescent="0.3">
      <c r="B20" s="2">
        <f>IF(C_Ope_007[[#This Row],[TIPO DE R.]]="R",COUNTIFS($D$4:$D19,"R")+1,"")</f>
        <v>16</v>
      </c>
      <c r="C20" s="19" t="str">
        <f t="shared" si="4"/>
        <v>C_Ope_007</v>
      </c>
      <c r="D20" s="3" t="s">
        <v>1074</v>
      </c>
      <c r="E20" s="14">
        <v>45670</v>
      </c>
      <c r="F20" s="5" t="s">
        <v>4314</v>
      </c>
      <c r="G20" s="5" t="s">
        <v>1079</v>
      </c>
      <c r="H20" s="6"/>
      <c r="I20" s="6" t="s">
        <v>14</v>
      </c>
      <c r="J20" s="6" t="s">
        <v>5245</v>
      </c>
      <c r="K20" s="6">
        <v>1648535</v>
      </c>
      <c r="L20" s="7" t="s">
        <v>7510</v>
      </c>
      <c r="M20" s="8">
        <v>22701</v>
      </c>
      <c r="N20" s="8" t="str">
        <f t="shared" si="5"/>
        <v>PEN</v>
      </c>
      <c r="O20" s="13"/>
      <c r="P20" s="13">
        <v>8</v>
      </c>
      <c r="Q20" s="3">
        <f t="shared" si="1"/>
        <v>0</v>
      </c>
      <c r="R20" s="3">
        <f t="shared" si="2"/>
        <v>8</v>
      </c>
      <c r="S20" s="3">
        <f t="shared" si="3"/>
        <v>161</v>
      </c>
      <c r="T20" s="24"/>
      <c r="U20" s="24"/>
      <c r="V20" s="3"/>
      <c r="W20" s="25" t="s">
        <v>6630</v>
      </c>
      <c r="X20" s="25"/>
      <c r="Y20" s="25" t="str">
        <f>IFERROR(VLOOKUP(C_Ope_007[[#This Row],[NOTA 2]],Clientes_Proveedores[[Ruc / Dni]:[Razon Social]],2,0),"")</f>
        <v/>
      </c>
      <c r="Z20" s="25"/>
      <c r="AA20" s="25"/>
      <c r="AB20" s="3" t="str">
        <f>IF(C_Ope_007[[#This Row],[FECHA]]&gt;0,TEXT(C_Ope_007[[#This Row],[FECHA]],"mmmm"),0)</f>
        <v>Enero</v>
      </c>
    </row>
    <row r="21" spans="2:28" ht="36" x14ac:dyDescent="0.3">
      <c r="B21" s="2">
        <f>IF(C_Ope_007[[#This Row],[TIPO DE R.]]="R",COUNTIFS($D$4:$D20,"R")+1,"")</f>
        <v>17</v>
      </c>
      <c r="C21" s="19" t="str">
        <f t="shared" si="4"/>
        <v>C_Ope_007</v>
      </c>
      <c r="D21" s="3" t="s">
        <v>1074</v>
      </c>
      <c r="E21" s="14">
        <v>45671</v>
      </c>
      <c r="F21" s="5" t="s">
        <v>4314</v>
      </c>
      <c r="G21" s="5" t="s">
        <v>1079</v>
      </c>
      <c r="H21" s="6"/>
      <c r="I21" s="6" t="s">
        <v>14</v>
      </c>
      <c r="J21" s="6" t="s">
        <v>5244</v>
      </c>
      <c r="K21" s="6">
        <v>1630699</v>
      </c>
      <c r="L21" s="7" t="s">
        <v>7511</v>
      </c>
      <c r="M21" s="8">
        <v>22702</v>
      </c>
      <c r="N21" s="8" t="str">
        <f t="shared" si="5"/>
        <v>PEN</v>
      </c>
      <c r="O21" s="13"/>
      <c r="P21" s="13">
        <v>8</v>
      </c>
      <c r="Q21" s="3">
        <f t="shared" si="1"/>
        <v>0</v>
      </c>
      <c r="R21" s="3">
        <f t="shared" si="2"/>
        <v>8</v>
      </c>
      <c r="S21" s="3">
        <f t="shared" si="3"/>
        <v>153</v>
      </c>
      <c r="T21" s="24"/>
      <c r="U21" s="24"/>
      <c r="V21" s="3"/>
      <c r="W21" s="25" t="s">
        <v>6630</v>
      </c>
      <c r="X21" s="25"/>
      <c r="Y21" s="25" t="str">
        <f>IFERROR(VLOOKUP(C_Ope_007[[#This Row],[NOTA 2]],Clientes_Proveedores[[Ruc / Dni]:[Razon Social]],2,0),"")</f>
        <v/>
      </c>
      <c r="Z21" s="25"/>
      <c r="AA21" s="25"/>
      <c r="AB21" s="3" t="str">
        <f>IF(C_Ope_007[[#This Row],[FECHA]]&gt;0,TEXT(C_Ope_007[[#This Row],[FECHA]],"mmmm"),0)</f>
        <v>Enero</v>
      </c>
    </row>
    <row r="22" spans="2:28" ht="36" x14ac:dyDescent="0.3">
      <c r="B22" s="2">
        <f>IF(C_Ope_007[[#This Row],[TIPO DE R.]]="R",COUNTIFS($D$4:$D21,"R")+1,"")</f>
        <v>18</v>
      </c>
      <c r="C22" s="19" t="str">
        <f t="shared" si="4"/>
        <v>C_Ope_007</v>
      </c>
      <c r="D22" s="3" t="s">
        <v>1074</v>
      </c>
      <c r="E22" s="14">
        <v>45671</v>
      </c>
      <c r="F22" s="5" t="s">
        <v>4314</v>
      </c>
      <c r="G22" s="5" t="s">
        <v>1079</v>
      </c>
      <c r="H22" s="6"/>
      <c r="I22" s="6" t="s">
        <v>14</v>
      </c>
      <c r="J22" s="6" t="s">
        <v>5242</v>
      </c>
      <c r="K22" s="6">
        <v>1927453</v>
      </c>
      <c r="L22" s="7" t="s">
        <v>7511</v>
      </c>
      <c r="M22" s="8">
        <v>22703</v>
      </c>
      <c r="N22" s="8" t="str">
        <f t="shared" si="5"/>
        <v>PEN</v>
      </c>
      <c r="O22" s="13"/>
      <c r="P22" s="13">
        <v>8</v>
      </c>
      <c r="Q22" s="3">
        <f t="shared" si="1"/>
        <v>0</v>
      </c>
      <c r="R22" s="3">
        <f t="shared" si="2"/>
        <v>8</v>
      </c>
      <c r="S22" s="3">
        <f t="shared" si="3"/>
        <v>145</v>
      </c>
      <c r="T22" s="24"/>
      <c r="U22" s="24"/>
      <c r="V22" s="3"/>
      <c r="W22" s="25" t="s">
        <v>6630</v>
      </c>
      <c r="X22" s="25"/>
      <c r="Y22" s="25" t="str">
        <f>IFERROR(VLOOKUP(C_Ope_007[[#This Row],[NOTA 2]],Clientes_Proveedores[[Ruc / Dni]:[Razon Social]],2,0),"")</f>
        <v/>
      </c>
      <c r="Z22" s="25"/>
      <c r="AA22" s="25"/>
      <c r="AB22" s="3" t="str">
        <f>IF(C_Ope_007[[#This Row],[FECHA]]&gt;0,TEXT(C_Ope_007[[#This Row],[FECHA]],"mmmm"),0)</f>
        <v>Enero</v>
      </c>
    </row>
    <row r="23" spans="2:28" ht="24" x14ac:dyDescent="0.3">
      <c r="B23" s="2">
        <f>IF(C_Ope_007[[#This Row],[TIPO DE R.]]="R",COUNTIFS($D$4:$D22,"R")+1,"")</f>
        <v>19</v>
      </c>
      <c r="C23" s="19" t="str">
        <f t="shared" si="4"/>
        <v>C_Ope_007</v>
      </c>
      <c r="D23" s="3" t="s">
        <v>1074</v>
      </c>
      <c r="E23" s="14">
        <v>45671</v>
      </c>
      <c r="F23" s="5" t="s">
        <v>4314</v>
      </c>
      <c r="G23" s="5" t="s">
        <v>1079</v>
      </c>
      <c r="H23" s="6"/>
      <c r="I23" s="6" t="s">
        <v>14</v>
      </c>
      <c r="J23" s="6" t="s">
        <v>5244</v>
      </c>
      <c r="K23" s="6">
        <v>1630671</v>
      </c>
      <c r="L23" s="7" t="s">
        <v>7512</v>
      </c>
      <c r="M23" s="8">
        <v>22704</v>
      </c>
      <c r="N23" s="8" t="str">
        <f t="shared" si="5"/>
        <v>PEN</v>
      </c>
      <c r="O23" s="13"/>
      <c r="P23" s="13">
        <v>12</v>
      </c>
      <c r="Q23" s="3">
        <f t="shared" si="1"/>
        <v>0</v>
      </c>
      <c r="R23" s="3">
        <f t="shared" si="2"/>
        <v>12</v>
      </c>
      <c r="S23" s="3">
        <f t="shared" si="3"/>
        <v>133</v>
      </c>
      <c r="T23" s="24"/>
      <c r="U23" s="24"/>
      <c r="V23" s="3"/>
      <c r="W23" s="25" t="s">
        <v>6747</v>
      </c>
      <c r="X23" s="25"/>
      <c r="Y23" s="25" t="str">
        <f>IFERROR(VLOOKUP(C_Ope_007[[#This Row],[NOTA 2]],Clientes_Proveedores[[Ruc / Dni]:[Razon Social]],2,0),"")</f>
        <v/>
      </c>
      <c r="Z23" s="25"/>
      <c r="AA23" s="25"/>
      <c r="AB23" s="3" t="str">
        <f>IF(C_Ope_007[[#This Row],[FECHA]]&gt;0,TEXT(C_Ope_007[[#This Row],[FECHA]],"mmmm"),0)</f>
        <v>Enero</v>
      </c>
    </row>
    <row r="24" spans="2:28" ht="24" x14ac:dyDescent="0.3">
      <c r="B24" s="2">
        <f>IF(C_Ope_007[[#This Row],[TIPO DE R.]]="R",COUNTIFS($D$4:$D23,"R")+1,"")</f>
        <v>20</v>
      </c>
      <c r="C24" s="19" t="str">
        <f t="shared" si="4"/>
        <v>C_Ope_007</v>
      </c>
      <c r="D24" s="3" t="s">
        <v>1074</v>
      </c>
      <c r="E24" s="14">
        <v>45672</v>
      </c>
      <c r="F24" s="5" t="s">
        <v>4314</v>
      </c>
      <c r="G24" s="5" t="s">
        <v>1079</v>
      </c>
      <c r="H24" s="6"/>
      <c r="I24" s="6" t="s">
        <v>14</v>
      </c>
      <c r="J24" s="6" t="s">
        <v>5243</v>
      </c>
      <c r="K24" s="6">
        <v>2197494</v>
      </c>
      <c r="L24" s="7" t="s">
        <v>7513</v>
      </c>
      <c r="M24" s="8">
        <v>22705</v>
      </c>
      <c r="N24" s="8" t="str">
        <f t="shared" si="5"/>
        <v>PEN</v>
      </c>
      <c r="O24" s="13"/>
      <c r="P24" s="13">
        <v>8</v>
      </c>
      <c r="Q24" s="3">
        <f t="shared" si="1"/>
        <v>0</v>
      </c>
      <c r="R24" s="3">
        <f t="shared" si="2"/>
        <v>8</v>
      </c>
      <c r="S24" s="3">
        <f t="shared" si="3"/>
        <v>125</v>
      </c>
      <c r="T24" s="24"/>
      <c r="U24" s="24"/>
      <c r="V24" s="3"/>
      <c r="W24" s="25" t="s">
        <v>6630</v>
      </c>
      <c r="X24" s="25"/>
      <c r="Y24" s="25" t="str">
        <f>IFERROR(VLOOKUP(C_Ope_007[[#This Row],[NOTA 2]],Clientes_Proveedores[[Ruc / Dni]:[Razon Social]],2,0),"")</f>
        <v/>
      </c>
      <c r="Z24" s="25"/>
      <c r="AA24" s="25"/>
      <c r="AB24" s="3" t="str">
        <f>IF(C_Ope_007[[#This Row],[FECHA]]&gt;0,TEXT(C_Ope_007[[#This Row],[FECHA]],"mmmm"),0)</f>
        <v>Enero</v>
      </c>
    </row>
    <row r="25" spans="2:28" ht="24" x14ac:dyDescent="0.3">
      <c r="B25" s="2">
        <f>IF(C_Ope_007[[#This Row],[TIPO DE R.]]="R",COUNTIFS($D$4:$D24,"R")+1,"")</f>
        <v>21</v>
      </c>
      <c r="C25" s="19" t="str">
        <f t="shared" si="4"/>
        <v>C_Ope_007</v>
      </c>
      <c r="D25" s="3" t="s">
        <v>1074</v>
      </c>
      <c r="E25" s="14">
        <v>45672</v>
      </c>
      <c r="F25" s="5" t="s">
        <v>4314</v>
      </c>
      <c r="G25" s="5" t="s">
        <v>1079</v>
      </c>
      <c r="H25" s="6"/>
      <c r="I25" s="6" t="s">
        <v>14</v>
      </c>
      <c r="J25" s="6" t="s">
        <v>5245</v>
      </c>
      <c r="K25" s="6">
        <v>1650250</v>
      </c>
      <c r="L25" s="7" t="s">
        <v>7513</v>
      </c>
      <c r="M25" s="8">
        <v>22706</v>
      </c>
      <c r="N25" s="8" t="str">
        <f t="shared" si="5"/>
        <v>PEN</v>
      </c>
      <c r="O25" s="13"/>
      <c r="P25" s="13">
        <v>8</v>
      </c>
      <c r="Q25" s="3">
        <f t="shared" si="1"/>
        <v>0</v>
      </c>
      <c r="R25" s="3">
        <f t="shared" si="2"/>
        <v>8</v>
      </c>
      <c r="S25" s="3">
        <f t="shared" si="3"/>
        <v>117</v>
      </c>
      <c r="T25" s="24"/>
      <c r="U25" s="24"/>
      <c r="V25" s="3"/>
      <c r="W25" s="25" t="s">
        <v>6630</v>
      </c>
      <c r="X25" s="25"/>
      <c r="Y25" s="25" t="str">
        <f>IFERROR(VLOOKUP(C_Ope_007[[#This Row],[NOTA 2]],Clientes_Proveedores[[Ruc / Dni]:[Razon Social]],2,0),"")</f>
        <v/>
      </c>
      <c r="Z25" s="25"/>
      <c r="AA25" s="25"/>
      <c r="AB25" s="3" t="str">
        <f>IF(C_Ope_007[[#This Row],[FECHA]]&gt;0,TEXT(C_Ope_007[[#This Row],[FECHA]],"mmmm"),0)</f>
        <v>Enero</v>
      </c>
    </row>
    <row r="26" spans="2:28" ht="24" x14ac:dyDescent="0.3">
      <c r="B26" s="2">
        <f>IF(C_Ope_007[[#This Row],[TIPO DE R.]]="R",COUNTIFS($D$4:$D25,"R")+1,"")</f>
        <v>22</v>
      </c>
      <c r="C26" s="19" t="str">
        <f t="shared" si="4"/>
        <v>C_Ope_007</v>
      </c>
      <c r="D26" s="3" t="s">
        <v>1074</v>
      </c>
      <c r="E26" s="14">
        <v>45673</v>
      </c>
      <c r="F26" s="5" t="s">
        <v>4314</v>
      </c>
      <c r="G26" s="5" t="s">
        <v>1079</v>
      </c>
      <c r="H26" s="6"/>
      <c r="I26" s="6" t="s">
        <v>14</v>
      </c>
      <c r="J26" s="6" t="s">
        <v>5243</v>
      </c>
      <c r="K26" s="6">
        <v>2198773</v>
      </c>
      <c r="L26" s="7" t="s">
        <v>7514</v>
      </c>
      <c r="M26" s="8">
        <v>22707</v>
      </c>
      <c r="N26" s="8" t="str">
        <f t="shared" si="5"/>
        <v>PEN</v>
      </c>
      <c r="O26" s="13"/>
      <c r="P26" s="13">
        <v>8</v>
      </c>
      <c r="Q26" s="3">
        <f t="shared" si="1"/>
        <v>0</v>
      </c>
      <c r="R26" s="3">
        <f t="shared" si="2"/>
        <v>8</v>
      </c>
      <c r="S26" s="3">
        <f t="shared" si="3"/>
        <v>109</v>
      </c>
      <c r="T26" s="24"/>
      <c r="U26" s="24"/>
      <c r="V26" s="3"/>
      <c r="W26" s="25" t="s">
        <v>6630</v>
      </c>
      <c r="X26" s="25"/>
      <c r="Y26" s="25" t="str">
        <f>IFERROR(VLOOKUP(C_Ope_007[[#This Row],[NOTA 2]],Clientes_Proveedores[[Ruc / Dni]:[Razon Social]],2,0),"")</f>
        <v/>
      </c>
      <c r="Z26" s="25"/>
      <c r="AA26" s="25"/>
      <c r="AB26" s="3" t="str">
        <f>IF(C_Ope_007[[#This Row],[FECHA]]&gt;0,TEXT(C_Ope_007[[#This Row],[FECHA]],"mmmm"),0)</f>
        <v>Enero</v>
      </c>
    </row>
    <row r="27" spans="2:28" ht="24" x14ac:dyDescent="0.3">
      <c r="B27" s="2">
        <f>IF(C_Ope_007[[#This Row],[TIPO DE R.]]="R",COUNTIFS($D$4:$D26,"R")+1,"")</f>
        <v>23</v>
      </c>
      <c r="C27" s="19" t="str">
        <f t="shared" si="4"/>
        <v>C_Ope_007</v>
      </c>
      <c r="D27" s="3" t="s">
        <v>1074</v>
      </c>
      <c r="E27" s="14">
        <v>45673</v>
      </c>
      <c r="F27" s="5" t="s">
        <v>4314</v>
      </c>
      <c r="G27" s="5" t="s">
        <v>1079</v>
      </c>
      <c r="H27" s="6"/>
      <c r="I27" s="6" t="s">
        <v>14</v>
      </c>
      <c r="J27" s="6" t="s">
        <v>5245</v>
      </c>
      <c r="K27" s="6">
        <v>1651242</v>
      </c>
      <c r="L27" s="7" t="s">
        <v>7514</v>
      </c>
      <c r="M27" s="8">
        <v>22708</v>
      </c>
      <c r="N27" s="8" t="str">
        <f t="shared" si="5"/>
        <v>PEN</v>
      </c>
      <c r="O27" s="13"/>
      <c r="P27" s="13">
        <v>8</v>
      </c>
      <c r="Q27" s="3">
        <f t="shared" si="1"/>
        <v>0</v>
      </c>
      <c r="R27" s="3">
        <f t="shared" si="2"/>
        <v>8</v>
      </c>
      <c r="S27" s="3">
        <f t="shared" si="3"/>
        <v>101</v>
      </c>
      <c r="T27" s="24"/>
      <c r="U27" s="24"/>
      <c r="V27" s="3"/>
      <c r="W27" s="25" t="s">
        <v>6630</v>
      </c>
      <c r="X27" s="25"/>
      <c r="Y27" s="25" t="str">
        <f>IFERROR(VLOOKUP(C_Ope_007[[#This Row],[NOTA 2]],Clientes_Proveedores[[Ruc / Dni]:[Razon Social]],2,0),"")</f>
        <v/>
      </c>
      <c r="Z27" s="25"/>
      <c r="AA27" s="25"/>
      <c r="AB27" s="3" t="str">
        <f>IF(C_Ope_007[[#This Row],[FECHA]]&gt;0,TEXT(C_Ope_007[[#This Row],[FECHA]],"mmmm"),0)</f>
        <v>Enero</v>
      </c>
    </row>
    <row r="28" spans="2:28" x14ac:dyDescent="0.3">
      <c r="B28" s="2">
        <f>IF(C_Ope_007[[#This Row],[TIPO DE R.]]="R",COUNTIFS($D$4:$D27,"R")+1,"")</f>
        <v>24</v>
      </c>
      <c r="C28" s="19" t="str">
        <f t="shared" si="4"/>
        <v>C_Ope_007</v>
      </c>
      <c r="D28" s="3" t="s">
        <v>1074</v>
      </c>
      <c r="E28" s="14">
        <v>45674</v>
      </c>
      <c r="F28" s="5" t="s">
        <v>4314</v>
      </c>
      <c r="G28" s="5" t="s">
        <v>1079</v>
      </c>
      <c r="H28" s="6"/>
      <c r="I28" s="6" t="s">
        <v>14</v>
      </c>
      <c r="J28" s="6" t="s">
        <v>5244</v>
      </c>
      <c r="K28" s="6">
        <v>1633748</v>
      </c>
      <c r="L28" s="7" t="s">
        <v>7390</v>
      </c>
      <c r="M28" s="8">
        <v>22709</v>
      </c>
      <c r="N28" s="8" t="str">
        <f t="shared" si="5"/>
        <v>PEN</v>
      </c>
      <c r="O28" s="13"/>
      <c r="P28" s="13">
        <v>8</v>
      </c>
      <c r="Q28" s="3">
        <f t="shared" si="1"/>
        <v>0</v>
      </c>
      <c r="R28" s="3">
        <f t="shared" si="2"/>
        <v>8</v>
      </c>
      <c r="S28" s="3">
        <f t="shared" si="3"/>
        <v>93</v>
      </c>
      <c r="T28" s="24"/>
      <c r="U28" s="24"/>
      <c r="V28" s="3"/>
      <c r="W28" s="25" t="s">
        <v>6630</v>
      </c>
      <c r="X28" s="25"/>
      <c r="Y28" s="25" t="str">
        <f>IFERROR(VLOOKUP(C_Ope_007[[#This Row],[NOTA 2]],Clientes_Proveedores[[Ruc / Dni]:[Razon Social]],2,0),"")</f>
        <v/>
      </c>
      <c r="Z28" s="25"/>
      <c r="AA28" s="25"/>
      <c r="AB28" s="3" t="str">
        <f>IF(C_Ope_007[[#This Row],[FECHA]]&gt;0,TEXT(C_Ope_007[[#This Row],[FECHA]],"mmmm"),0)</f>
        <v>Enero</v>
      </c>
    </row>
    <row r="29" spans="2:28" x14ac:dyDescent="0.3">
      <c r="B29" s="2">
        <f>IF(C_Ope_007[[#This Row],[TIPO DE R.]]="R",COUNTIFS($D$4:$D28,"R")+1,"")</f>
        <v>25</v>
      </c>
      <c r="C29" s="19" t="str">
        <f t="shared" si="4"/>
        <v>C_Ope_007</v>
      </c>
      <c r="D29" s="3" t="s">
        <v>1074</v>
      </c>
      <c r="E29" s="14">
        <v>45674</v>
      </c>
      <c r="F29" s="5" t="s">
        <v>4314</v>
      </c>
      <c r="G29" s="5" t="s">
        <v>1079</v>
      </c>
      <c r="H29" s="6"/>
      <c r="I29" s="6" t="s">
        <v>14</v>
      </c>
      <c r="J29" s="6" t="s">
        <v>5242</v>
      </c>
      <c r="K29" s="6">
        <v>1930806</v>
      </c>
      <c r="L29" s="7" t="s">
        <v>7390</v>
      </c>
      <c r="M29" s="8">
        <v>22710</v>
      </c>
      <c r="N29" s="8" t="str">
        <f t="shared" si="5"/>
        <v>PEN</v>
      </c>
      <c r="O29" s="13"/>
      <c r="P29" s="13">
        <v>8</v>
      </c>
      <c r="Q29" s="3">
        <f t="shared" si="1"/>
        <v>0</v>
      </c>
      <c r="R29" s="3">
        <f t="shared" si="2"/>
        <v>8</v>
      </c>
      <c r="S29" s="3">
        <f t="shared" si="3"/>
        <v>85</v>
      </c>
      <c r="T29" s="24"/>
      <c r="U29" s="24"/>
      <c r="V29" s="3"/>
      <c r="W29" s="25" t="s">
        <v>6630</v>
      </c>
      <c r="X29" s="25"/>
      <c r="Y29" s="25" t="str">
        <f>IFERROR(VLOOKUP(C_Ope_007[[#This Row],[NOTA 2]],Clientes_Proveedores[[Ruc / Dni]:[Razon Social]],2,0),"")</f>
        <v/>
      </c>
      <c r="Z29" s="25"/>
      <c r="AA29" s="25"/>
      <c r="AB29" s="3" t="str">
        <f>IF(C_Ope_007[[#This Row],[FECHA]]&gt;0,TEXT(C_Ope_007[[#This Row],[FECHA]],"mmmm"),0)</f>
        <v>Enero</v>
      </c>
    </row>
    <row r="30" spans="2:28" ht="24" x14ac:dyDescent="0.3">
      <c r="B30" s="2">
        <f>IF(C_Ope_007[[#This Row],[TIPO DE R.]]="R",COUNTIFS($D$4:$D29,"R")+1,"")</f>
        <v>26</v>
      </c>
      <c r="C30" s="19" t="str">
        <f t="shared" si="4"/>
        <v>C_Ope_007</v>
      </c>
      <c r="D30" s="3" t="s">
        <v>1074</v>
      </c>
      <c r="E30" s="14">
        <v>45670</v>
      </c>
      <c r="F30" s="5" t="s">
        <v>4314</v>
      </c>
      <c r="G30" s="5" t="s">
        <v>1079</v>
      </c>
      <c r="H30" s="6"/>
      <c r="I30" s="6" t="s">
        <v>14</v>
      </c>
      <c r="J30" s="6" t="s">
        <v>1097</v>
      </c>
      <c r="K30" s="6">
        <v>15328</v>
      </c>
      <c r="L30" s="7" t="s">
        <v>7515</v>
      </c>
      <c r="M30" s="8">
        <v>22712</v>
      </c>
      <c r="N30" s="8" t="str">
        <f t="shared" si="5"/>
        <v>PEN</v>
      </c>
      <c r="O30" s="13"/>
      <c r="P30" s="13">
        <v>20</v>
      </c>
      <c r="Q30" s="3">
        <f t="shared" si="1"/>
        <v>0</v>
      </c>
      <c r="R30" s="3">
        <f t="shared" si="2"/>
        <v>20</v>
      </c>
      <c r="S30" s="3">
        <f t="shared" si="3"/>
        <v>65</v>
      </c>
      <c r="T30" s="24"/>
      <c r="U30" s="24"/>
      <c r="V30" s="3"/>
      <c r="W30" s="25" t="s">
        <v>6630</v>
      </c>
      <c r="X30" s="25"/>
      <c r="Y30" s="25" t="str">
        <f>IFERROR(VLOOKUP(C_Ope_007[[#This Row],[NOTA 2]],Clientes_Proveedores[[Ruc / Dni]:[Razon Social]],2,0),"")</f>
        <v/>
      </c>
      <c r="Z30" s="25"/>
      <c r="AA30" s="25"/>
      <c r="AB30" s="3" t="str">
        <f>IF(C_Ope_007[[#This Row],[FECHA]]&gt;0,TEXT(C_Ope_007[[#This Row],[FECHA]],"mmmm"),0)</f>
        <v>Enero</v>
      </c>
    </row>
    <row r="31" spans="2:28" ht="24" x14ac:dyDescent="0.3">
      <c r="B31" s="2">
        <f>IF(C_Ope_007[[#This Row],[TIPO DE R.]]="R",COUNTIFS($D$4:$D30,"R")+1,"")</f>
        <v>27</v>
      </c>
      <c r="C31" s="19" t="str">
        <f t="shared" si="4"/>
        <v>C_Ope_007</v>
      </c>
      <c r="D31" s="3" t="s">
        <v>1074</v>
      </c>
      <c r="E31" s="14">
        <v>45671</v>
      </c>
      <c r="F31" s="5" t="s">
        <v>4314</v>
      </c>
      <c r="G31" s="5" t="s">
        <v>1079</v>
      </c>
      <c r="H31" s="6"/>
      <c r="I31" s="6" t="s">
        <v>14</v>
      </c>
      <c r="J31" s="6" t="s">
        <v>1097</v>
      </c>
      <c r="K31" s="6">
        <v>15340</v>
      </c>
      <c r="L31" s="7" t="s">
        <v>7516</v>
      </c>
      <c r="M31" s="8">
        <v>22713</v>
      </c>
      <c r="N31" s="8" t="str">
        <f t="shared" si="5"/>
        <v>PEN</v>
      </c>
      <c r="O31" s="13"/>
      <c r="P31" s="13">
        <v>20</v>
      </c>
      <c r="Q31" s="3">
        <f t="shared" si="1"/>
        <v>0</v>
      </c>
      <c r="R31" s="3">
        <f t="shared" si="2"/>
        <v>20</v>
      </c>
      <c r="S31" s="3">
        <f t="shared" si="3"/>
        <v>45</v>
      </c>
      <c r="T31" s="24"/>
      <c r="U31" s="24"/>
      <c r="V31" s="3"/>
      <c r="W31" s="25" t="s">
        <v>6630</v>
      </c>
      <c r="X31" s="25"/>
      <c r="Y31" s="25" t="str">
        <f>IFERROR(VLOOKUP(C_Ope_007[[#This Row],[NOTA 2]],Clientes_Proveedores[[Ruc / Dni]:[Razon Social]],2,0),"")</f>
        <v/>
      </c>
      <c r="Z31" s="25"/>
      <c r="AA31" s="25"/>
      <c r="AB31" s="3" t="str">
        <f>IF(C_Ope_007[[#This Row],[FECHA]]&gt;0,TEXT(C_Ope_007[[#This Row],[FECHA]],"mmmm"),0)</f>
        <v>Enero</v>
      </c>
    </row>
    <row r="32" spans="2:28" ht="24" x14ac:dyDescent="0.3">
      <c r="B32" s="2">
        <f>IF(C_Ope_007[[#This Row],[TIPO DE R.]]="R",COUNTIFS($D$4:$D31,"R")+1,"")</f>
        <v>28</v>
      </c>
      <c r="C32" s="19" t="str">
        <f t="shared" si="4"/>
        <v>C_Ope_007</v>
      </c>
      <c r="D32" s="3" t="s">
        <v>1074</v>
      </c>
      <c r="E32" s="14">
        <v>45673</v>
      </c>
      <c r="F32" s="5" t="s">
        <v>4314</v>
      </c>
      <c r="G32" s="5" t="s">
        <v>1079</v>
      </c>
      <c r="H32" s="6"/>
      <c r="I32" s="6" t="s">
        <v>14</v>
      </c>
      <c r="J32" s="6" t="s">
        <v>1097</v>
      </c>
      <c r="K32" s="6">
        <v>15369</v>
      </c>
      <c r="L32" s="7" t="s">
        <v>7509</v>
      </c>
      <c r="M32" s="8">
        <v>22714</v>
      </c>
      <c r="N32" s="8" t="str">
        <f t="shared" si="5"/>
        <v>PEN</v>
      </c>
      <c r="O32" s="13"/>
      <c r="P32" s="13">
        <v>20</v>
      </c>
      <c r="Q32" s="3">
        <f t="shared" si="1"/>
        <v>0</v>
      </c>
      <c r="R32" s="3">
        <f t="shared" si="2"/>
        <v>20</v>
      </c>
      <c r="S32" s="3">
        <f t="shared" si="3"/>
        <v>25</v>
      </c>
      <c r="T32" s="24"/>
      <c r="U32" s="24"/>
      <c r="V32" s="3"/>
      <c r="W32" s="25" t="s">
        <v>6630</v>
      </c>
      <c r="X32" s="25"/>
      <c r="Y32" s="25" t="str">
        <f>IFERROR(VLOOKUP(C_Ope_007[[#This Row],[NOTA 2]],Clientes_Proveedores[[Ruc / Dni]:[Razon Social]],2,0),"")</f>
        <v/>
      </c>
      <c r="Z32" s="25"/>
      <c r="AA32" s="25"/>
      <c r="AB32" s="3" t="str">
        <f>IF(C_Ope_007[[#This Row],[FECHA]]&gt;0,TEXT(C_Ope_007[[#This Row],[FECHA]],"mmmm"),0)</f>
        <v>Enero</v>
      </c>
    </row>
    <row r="33" spans="2:28" x14ac:dyDescent="0.3">
      <c r="B33" s="2">
        <f>IF(C_Ope_007[[#This Row],[TIPO DE R.]]="R",COUNTIFS($D$4:$D32,"R")+1,"")</f>
        <v>29</v>
      </c>
      <c r="C33" s="19" t="str">
        <f t="shared" si="4"/>
        <v>C_Ope_007</v>
      </c>
      <c r="D33" s="3" t="s">
        <v>1074</v>
      </c>
      <c r="E33" s="14">
        <v>45674</v>
      </c>
      <c r="F33" s="5" t="s">
        <v>4314</v>
      </c>
      <c r="G33" s="5" t="s">
        <v>1079</v>
      </c>
      <c r="H33" s="6"/>
      <c r="I33" s="6" t="s">
        <v>14</v>
      </c>
      <c r="J33" s="6" t="s">
        <v>1148</v>
      </c>
      <c r="K33" s="6">
        <v>127099</v>
      </c>
      <c r="L33" s="7" t="s">
        <v>7517</v>
      </c>
      <c r="M33" s="8">
        <v>22711</v>
      </c>
      <c r="N33" s="8" t="str">
        <f t="shared" si="5"/>
        <v>PEN</v>
      </c>
      <c r="O33" s="13"/>
      <c r="P33" s="13">
        <v>10</v>
      </c>
      <c r="Q33" s="3">
        <f t="shared" si="1"/>
        <v>0</v>
      </c>
      <c r="R33" s="3">
        <f t="shared" si="2"/>
        <v>10</v>
      </c>
      <c r="S33" s="3">
        <f t="shared" si="3"/>
        <v>15</v>
      </c>
      <c r="T33" s="24"/>
      <c r="U33" s="24"/>
      <c r="V33" s="3"/>
      <c r="W33" s="25" t="s">
        <v>6630</v>
      </c>
      <c r="X33" s="25"/>
      <c r="Y33" s="25" t="str">
        <f>IFERROR(VLOOKUP(C_Ope_007[[#This Row],[NOTA 2]],Clientes_Proveedores[[Ruc / Dni]:[Razon Social]],2,0),"")</f>
        <v/>
      </c>
      <c r="Z33" s="25"/>
      <c r="AA33" s="25"/>
      <c r="AB33" s="3" t="str">
        <f>IF(C_Ope_007[[#This Row],[FECHA]]&gt;0,TEXT(C_Ope_007[[#This Row],[FECHA]],"mmmm"),0)</f>
        <v>Enero</v>
      </c>
    </row>
    <row r="34" spans="2:28" ht="24" x14ac:dyDescent="0.3">
      <c r="B34" s="2">
        <f>IF(C_Ope_007[[#This Row],[TIPO DE R.]]="R",COUNTIFS($D$4:$D33,"R")+1,"")</f>
        <v>30</v>
      </c>
      <c r="C34" s="19" t="str">
        <f t="shared" si="4"/>
        <v>C_Ope_007</v>
      </c>
      <c r="D34" s="3" t="s">
        <v>1074</v>
      </c>
      <c r="E34" s="14">
        <v>45674</v>
      </c>
      <c r="F34" s="5" t="s">
        <v>4314</v>
      </c>
      <c r="G34" s="5" t="s">
        <v>1079</v>
      </c>
      <c r="H34" s="6"/>
      <c r="I34" s="6" t="s">
        <v>14</v>
      </c>
      <c r="J34" s="6" t="s">
        <v>1088</v>
      </c>
      <c r="K34" s="6">
        <v>33548</v>
      </c>
      <c r="L34" s="7" t="s">
        <v>7518</v>
      </c>
      <c r="M34" s="8">
        <v>22715</v>
      </c>
      <c r="N34" s="8" t="str">
        <f t="shared" si="5"/>
        <v>PEN</v>
      </c>
      <c r="O34" s="13"/>
      <c r="P34" s="13">
        <v>10</v>
      </c>
      <c r="Q34" s="3">
        <f t="shared" si="1"/>
        <v>0</v>
      </c>
      <c r="R34" s="3">
        <f t="shared" si="2"/>
        <v>10</v>
      </c>
      <c r="S34" s="3">
        <f t="shared" si="3"/>
        <v>5</v>
      </c>
      <c r="T34" s="24"/>
      <c r="U34" s="24"/>
      <c r="V34" s="3"/>
      <c r="W34" s="25" t="s">
        <v>6539</v>
      </c>
      <c r="X34" s="25"/>
      <c r="Y34" s="25" t="str">
        <f>IFERROR(VLOOKUP(C_Ope_007[[#This Row],[NOTA 2]],Clientes_Proveedores[[Ruc / Dni]:[Razon Social]],2,0),"")</f>
        <v/>
      </c>
      <c r="Z34" s="25"/>
      <c r="AA34" s="25"/>
      <c r="AB34" s="3" t="str">
        <f>IF(C_Ope_007[[#This Row],[FECHA]]&gt;0,TEXT(C_Ope_007[[#This Row],[FECHA]],"mmmm"),0)</f>
        <v>Enero</v>
      </c>
    </row>
    <row r="35" spans="2:28" x14ac:dyDescent="0.3">
      <c r="B35" s="2">
        <f>IF(C_Ope_007[[#This Row],[TIPO DE R.]]="R",COUNTIFS($D$4:$D34,"R")+1,"")</f>
        <v>31</v>
      </c>
      <c r="C35" s="19" t="str">
        <f t="shared" si="4"/>
        <v>C_Ope_007</v>
      </c>
      <c r="D35" s="3" t="s">
        <v>1074</v>
      </c>
      <c r="E35" s="14">
        <v>45677</v>
      </c>
      <c r="F35" s="5" t="s">
        <v>6299</v>
      </c>
      <c r="G35" s="5" t="s">
        <v>1087</v>
      </c>
      <c r="H35" s="6"/>
      <c r="I35" s="6"/>
      <c r="J35" s="6"/>
      <c r="K35" s="6"/>
      <c r="L35" s="7" t="s">
        <v>6302</v>
      </c>
      <c r="M35" s="8">
        <v>22720</v>
      </c>
      <c r="N35" s="8" t="str">
        <f t="shared" si="5"/>
        <v>PEN</v>
      </c>
      <c r="O35" s="13"/>
      <c r="P35" s="13">
        <v>200</v>
      </c>
      <c r="Q35" s="3">
        <f t="shared" si="1"/>
        <v>200</v>
      </c>
      <c r="R35" s="3">
        <f t="shared" si="2"/>
        <v>0</v>
      </c>
      <c r="S35" s="3">
        <f t="shared" si="3"/>
        <v>205</v>
      </c>
      <c r="T35" s="24"/>
      <c r="U35" s="24"/>
      <c r="V35" s="3"/>
      <c r="W35" s="25"/>
      <c r="X35" s="25"/>
      <c r="Y35" s="25" t="str">
        <f>IFERROR(VLOOKUP(C_Ope_007[[#This Row],[NOTA 2]],Clientes_Proveedores[[Ruc / Dni]:[Razon Social]],2,0),"")</f>
        <v/>
      </c>
      <c r="Z35" s="25"/>
      <c r="AA35" s="25"/>
      <c r="AB35" s="3" t="str">
        <f>IF(C_Ope_007[[#This Row],[FECHA]]&gt;0,TEXT(C_Ope_007[[#This Row],[FECHA]],"mmmm"),0)</f>
        <v>Enero</v>
      </c>
    </row>
    <row r="36" spans="2:28" ht="24" x14ac:dyDescent="0.3">
      <c r="B36" s="2">
        <f>IF(C_Ope_007[[#This Row],[TIPO DE R.]]="R",COUNTIFS($D$4:$D35,"R")+1,"")</f>
        <v>32</v>
      </c>
      <c r="C36" s="19" t="str">
        <f t="shared" si="4"/>
        <v>C_Ope_007</v>
      </c>
      <c r="D36" s="3" t="s">
        <v>1074</v>
      </c>
      <c r="E36" s="14">
        <v>45677</v>
      </c>
      <c r="F36" s="5" t="s">
        <v>4314</v>
      </c>
      <c r="G36" s="5" t="s">
        <v>1079</v>
      </c>
      <c r="H36" s="6"/>
      <c r="I36" s="6" t="s">
        <v>14</v>
      </c>
      <c r="J36" s="6" t="s">
        <v>5244</v>
      </c>
      <c r="K36" s="6">
        <v>1635537</v>
      </c>
      <c r="L36" s="7" t="s">
        <v>7519</v>
      </c>
      <c r="M36" s="8">
        <v>22790</v>
      </c>
      <c r="N36" s="8" t="str">
        <f t="shared" si="5"/>
        <v>PEN</v>
      </c>
      <c r="O36" s="13"/>
      <c r="P36" s="13">
        <v>8</v>
      </c>
      <c r="Q36" s="3">
        <f t="shared" si="1"/>
        <v>0</v>
      </c>
      <c r="R36" s="3">
        <f t="shared" si="2"/>
        <v>8</v>
      </c>
      <c r="S36" s="3">
        <f t="shared" si="3"/>
        <v>197</v>
      </c>
      <c r="T36" s="24"/>
      <c r="U36" s="24"/>
      <c r="V36" s="3"/>
      <c r="W36" s="25" t="s">
        <v>6546</v>
      </c>
      <c r="X36" s="25"/>
      <c r="Y36" s="25" t="str">
        <f>IFERROR(VLOOKUP(C_Ope_007[[#This Row],[NOTA 2]],Clientes_Proveedores[[Ruc / Dni]:[Razon Social]],2,0),"")</f>
        <v/>
      </c>
      <c r="Z36" s="25"/>
      <c r="AA36" s="25"/>
      <c r="AB36" s="3" t="str">
        <f>IF(C_Ope_007[[#This Row],[FECHA]]&gt;0,TEXT(C_Ope_007[[#This Row],[FECHA]],"mmmm"),0)</f>
        <v>Enero</v>
      </c>
    </row>
    <row r="37" spans="2:28" ht="24" x14ac:dyDescent="0.3">
      <c r="B37" s="2">
        <f>IF(C_Ope_007[[#This Row],[TIPO DE R.]]="R",COUNTIFS($D$4:$D36,"R")+1,"")</f>
        <v>33</v>
      </c>
      <c r="C37" s="19" t="str">
        <f t="shared" si="4"/>
        <v>C_Ope_007</v>
      </c>
      <c r="D37" s="3" t="s">
        <v>1074</v>
      </c>
      <c r="E37" s="14">
        <v>45677</v>
      </c>
      <c r="F37" s="5" t="s">
        <v>4314</v>
      </c>
      <c r="G37" s="5" t="s">
        <v>1079</v>
      </c>
      <c r="H37" s="6"/>
      <c r="I37" s="6" t="s">
        <v>14</v>
      </c>
      <c r="J37" s="6" t="s">
        <v>5242</v>
      </c>
      <c r="K37" s="6">
        <v>1933894</v>
      </c>
      <c r="L37" s="7" t="s">
        <v>7519</v>
      </c>
      <c r="M37" s="8">
        <v>22791</v>
      </c>
      <c r="N37" s="8" t="str">
        <f t="shared" si="5"/>
        <v>PEN</v>
      </c>
      <c r="O37" s="13"/>
      <c r="P37" s="13">
        <v>8</v>
      </c>
      <c r="Q37" s="3">
        <f t="shared" si="1"/>
        <v>0</v>
      </c>
      <c r="R37" s="3">
        <f t="shared" si="2"/>
        <v>8</v>
      </c>
      <c r="S37" s="3">
        <f t="shared" si="3"/>
        <v>189</v>
      </c>
      <c r="T37" s="24"/>
      <c r="U37" s="24"/>
      <c r="V37" s="3"/>
      <c r="W37" s="25" t="s">
        <v>6546</v>
      </c>
      <c r="X37" s="25"/>
      <c r="Y37" s="25" t="str">
        <f>IFERROR(VLOOKUP(C_Ope_007[[#This Row],[NOTA 2]],Clientes_Proveedores[[Ruc / Dni]:[Razon Social]],2,0),"")</f>
        <v/>
      </c>
      <c r="Z37" s="25"/>
      <c r="AA37" s="25"/>
      <c r="AB37" s="3" t="str">
        <f>IF(C_Ope_007[[#This Row],[FECHA]]&gt;0,TEXT(C_Ope_007[[#This Row],[FECHA]],"mmmm"),0)</f>
        <v>Enero</v>
      </c>
    </row>
    <row r="38" spans="2:28" ht="24" x14ac:dyDescent="0.3">
      <c r="B38" s="2">
        <f>IF(C_Ope_007[[#This Row],[TIPO DE R.]]="R",COUNTIFS($D$4:$D37,"R")+1,"")</f>
        <v>34</v>
      </c>
      <c r="C38" s="19" t="str">
        <f t="shared" si="4"/>
        <v>C_Ope_007</v>
      </c>
      <c r="D38" s="3" t="s">
        <v>1074</v>
      </c>
      <c r="E38" s="14">
        <v>45678</v>
      </c>
      <c r="F38" s="5" t="s">
        <v>4314</v>
      </c>
      <c r="G38" s="5" t="s">
        <v>1079</v>
      </c>
      <c r="H38" s="6"/>
      <c r="I38" s="6" t="s">
        <v>14</v>
      </c>
      <c r="J38" s="6" t="s">
        <v>5244</v>
      </c>
      <c r="K38" s="6">
        <v>1636554</v>
      </c>
      <c r="L38" s="7" t="s">
        <v>7520</v>
      </c>
      <c r="M38" s="8">
        <v>22792</v>
      </c>
      <c r="N38" s="8" t="str">
        <f t="shared" si="5"/>
        <v>PEN</v>
      </c>
      <c r="O38" s="13"/>
      <c r="P38" s="13">
        <v>8</v>
      </c>
      <c r="Q38" s="3">
        <f t="shared" si="1"/>
        <v>0</v>
      </c>
      <c r="R38" s="3">
        <f t="shared" si="2"/>
        <v>8</v>
      </c>
      <c r="S38" s="3">
        <f t="shared" si="3"/>
        <v>181</v>
      </c>
      <c r="T38" s="24"/>
      <c r="U38" s="24"/>
      <c r="V38" s="3"/>
      <c r="W38" s="25" t="s">
        <v>6630</v>
      </c>
      <c r="X38" s="25"/>
      <c r="Y38" s="25" t="str">
        <f>IFERROR(VLOOKUP(C_Ope_007[[#This Row],[NOTA 2]],Clientes_Proveedores[[Ruc / Dni]:[Razon Social]],2,0),"")</f>
        <v/>
      </c>
      <c r="Z38" s="25"/>
      <c r="AA38" s="25"/>
      <c r="AB38" s="3" t="str">
        <f>IF(C_Ope_007[[#This Row],[FECHA]]&gt;0,TEXT(C_Ope_007[[#This Row],[FECHA]],"mmmm"),0)</f>
        <v>Enero</v>
      </c>
    </row>
    <row r="39" spans="2:28" ht="24" x14ac:dyDescent="0.3">
      <c r="B39" s="2">
        <f>IF(C_Ope_007[[#This Row],[TIPO DE R.]]="R",COUNTIFS($D$4:$D38,"R")+1,"")</f>
        <v>35</v>
      </c>
      <c r="C39" s="19" t="str">
        <f t="shared" si="4"/>
        <v>C_Ope_007</v>
      </c>
      <c r="D39" s="3" t="s">
        <v>1074</v>
      </c>
      <c r="E39" s="14">
        <v>45678</v>
      </c>
      <c r="F39" s="5" t="s">
        <v>4314</v>
      </c>
      <c r="G39" s="5" t="s">
        <v>1079</v>
      </c>
      <c r="H39" s="6"/>
      <c r="I39" s="6" t="s">
        <v>14</v>
      </c>
      <c r="J39" s="6" t="s">
        <v>5242</v>
      </c>
      <c r="K39" s="6">
        <v>1935060</v>
      </c>
      <c r="L39" s="7" t="s">
        <v>7520</v>
      </c>
      <c r="M39" s="8">
        <v>22793</v>
      </c>
      <c r="N39" s="8" t="str">
        <f t="shared" si="5"/>
        <v>PEN</v>
      </c>
      <c r="O39" s="13"/>
      <c r="P39" s="13">
        <v>8</v>
      </c>
      <c r="Q39" s="3">
        <f t="shared" si="1"/>
        <v>0</v>
      </c>
      <c r="R39" s="3">
        <f t="shared" si="2"/>
        <v>8</v>
      </c>
      <c r="S39" s="3">
        <f t="shared" si="3"/>
        <v>173</v>
      </c>
      <c r="T39" s="24"/>
      <c r="U39" s="24"/>
      <c r="V39" s="3"/>
      <c r="W39" s="25" t="s">
        <v>6630</v>
      </c>
      <c r="X39" s="25"/>
      <c r="Y39" s="25" t="str">
        <f>IFERROR(VLOOKUP(C_Ope_007[[#This Row],[NOTA 2]],Clientes_Proveedores[[Ruc / Dni]:[Razon Social]],2,0),"")</f>
        <v/>
      </c>
      <c r="Z39" s="25"/>
      <c r="AA39" s="25"/>
      <c r="AB39" s="3" t="str">
        <f>IF(C_Ope_007[[#This Row],[FECHA]]&gt;0,TEXT(C_Ope_007[[#This Row],[FECHA]],"mmmm"),0)</f>
        <v>Enero</v>
      </c>
    </row>
    <row r="40" spans="2:28" ht="24" x14ac:dyDescent="0.3">
      <c r="B40" s="2">
        <f>IF(C_Ope_007[[#This Row],[TIPO DE R.]]="R",COUNTIFS($D$4:$D39,"R")+1,"")</f>
        <v>36</v>
      </c>
      <c r="C40" s="19" t="str">
        <f t="shared" si="4"/>
        <v>C_Ope_007</v>
      </c>
      <c r="D40" s="3" t="s">
        <v>1074</v>
      </c>
      <c r="E40" s="14">
        <v>45679</v>
      </c>
      <c r="F40" s="5" t="s">
        <v>4314</v>
      </c>
      <c r="G40" s="5" t="s">
        <v>1079</v>
      </c>
      <c r="H40" s="6"/>
      <c r="I40" s="6" t="s">
        <v>14</v>
      </c>
      <c r="J40" s="6" t="s">
        <v>5243</v>
      </c>
      <c r="K40" s="6">
        <v>2205684</v>
      </c>
      <c r="L40" s="7" t="s">
        <v>7521</v>
      </c>
      <c r="M40" s="8">
        <v>22794</v>
      </c>
      <c r="N40" s="8" t="str">
        <f t="shared" si="5"/>
        <v>PEN</v>
      </c>
      <c r="O40" s="13"/>
      <c r="P40" s="13">
        <v>8</v>
      </c>
      <c r="Q40" s="3">
        <f t="shared" si="1"/>
        <v>0</v>
      </c>
      <c r="R40" s="3">
        <f t="shared" si="2"/>
        <v>8</v>
      </c>
      <c r="S40" s="3">
        <f t="shared" si="3"/>
        <v>165</v>
      </c>
      <c r="T40" s="24"/>
      <c r="U40" s="24"/>
      <c r="V40" s="3"/>
      <c r="W40" s="25" t="s">
        <v>6630</v>
      </c>
      <c r="X40" s="25"/>
      <c r="Y40" s="25" t="str">
        <f>IFERROR(VLOOKUP(C_Ope_007[[#This Row],[NOTA 2]],Clientes_Proveedores[[Ruc / Dni]:[Razon Social]],2,0),"")</f>
        <v/>
      </c>
      <c r="Z40" s="25"/>
      <c r="AA40" s="25"/>
      <c r="AB40" s="3" t="str">
        <f>IF(C_Ope_007[[#This Row],[FECHA]]&gt;0,TEXT(C_Ope_007[[#This Row],[FECHA]],"mmmm"),0)</f>
        <v>Enero</v>
      </c>
    </row>
    <row r="41" spans="2:28" ht="24" x14ac:dyDescent="0.3">
      <c r="B41" s="2">
        <f>IF(C_Ope_007[[#This Row],[TIPO DE R.]]="R",COUNTIFS($D$4:$D40,"R")+1,"")</f>
        <v>37</v>
      </c>
      <c r="C41" s="19" t="str">
        <f t="shared" si="4"/>
        <v>C_Ope_007</v>
      </c>
      <c r="D41" s="3" t="s">
        <v>1074</v>
      </c>
      <c r="E41" s="14">
        <v>45679</v>
      </c>
      <c r="F41" s="5" t="s">
        <v>4314</v>
      </c>
      <c r="G41" s="5" t="s">
        <v>1079</v>
      </c>
      <c r="H41" s="6"/>
      <c r="I41" s="6" t="s">
        <v>14</v>
      </c>
      <c r="J41" s="6" t="s">
        <v>5245</v>
      </c>
      <c r="K41" s="6">
        <v>1656262</v>
      </c>
      <c r="L41" s="7" t="s">
        <v>7521</v>
      </c>
      <c r="M41" s="8">
        <v>22795</v>
      </c>
      <c r="N41" s="8" t="str">
        <f t="shared" si="5"/>
        <v>PEN</v>
      </c>
      <c r="O41" s="13"/>
      <c r="P41" s="13">
        <v>8</v>
      </c>
      <c r="Q41" s="3">
        <f t="shared" si="1"/>
        <v>0</v>
      </c>
      <c r="R41" s="3">
        <f t="shared" si="2"/>
        <v>8</v>
      </c>
      <c r="S41" s="3">
        <f t="shared" si="3"/>
        <v>157</v>
      </c>
      <c r="T41" s="24"/>
      <c r="U41" s="24"/>
      <c r="V41" s="3"/>
      <c r="W41" s="25" t="s">
        <v>6630</v>
      </c>
      <c r="X41" s="25"/>
      <c r="Y41" s="25" t="str">
        <f>IFERROR(VLOOKUP(C_Ope_007[[#This Row],[NOTA 2]],Clientes_Proveedores[[Ruc / Dni]:[Razon Social]],2,0),"")</f>
        <v/>
      </c>
      <c r="Z41" s="25"/>
      <c r="AA41" s="25"/>
      <c r="AB41" s="3" t="str">
        <f>IF(C_Ope_007[[#This Row],[FECHA]]&gt;0,TEXT(C_Ope_007[[#This Row],[FECHA]],"mmmm"),0)</f>
        <v>Enero</v>
      </c>
    </row>
    <row r="42" spans="2:28" ht="24" x14ac:dyDescent="0.3">
      <c r="B42" s="2">
        <f>IF(C_Ope_007[[#This Row],[TIPO DE R.]]="R",COUNTIFS($D$4:$D41,"R")+1,"")</f>
        <v>38</v>
      </c>
      <c r="C42" s="19" t="str">
        <f t="shared" si="4"/>
        <v>C_Ope_007</v>
      </c>
      <c r="D42" s="3" t="s">
        <v>1074</v>
      </c>
      <c r="E42" s="14">
        <v>45681</v>
      </c>
      <c r="F42" s="5" t="s">
        <v>4314</v>
      </c>
      <c r="G42" s="5" t="s">
        <v>1079</v>
      </c>
      <c r="H42" s="6"/>
      <c r="I42" s="6" t="s">
        <v>14</v>
      </c>
      <c r="J42" s="6" t="s">
        <v>5243</v>
      </c>
      <c r="K42" s="6">
        <v>2208296</v>
      </c>
      <c r="L42" s="7" t="s">
        <v>7522</v>
      </c>
      <c r="M42" s="8">
        <v>22796</v>
      </c>
      <c r="N42" s="8" t="str">
        <f t="shared" si="5"/>
        <v>PEN</v>
      </c>
      <c r="O42" s="13"/>
      <c r="P42" s="13">
        <v>8</v>
      </c>
      <c r="Q42" s="3">
        <f t="shared" si="1"/>
        <v>0</v>
      </c>
      <c r="R42" s="3">
        <f t="shared" si="2"/>
        <v>8</v>
      </c>
      <c r="S42" s="3">
        <f t="shared" si="3"/>
        <v>149</v>
      </c>
      <c r="T42" s="24"/>
      <c r="U42" s="24"/>
      <c r="V42" s="3"/>
      <c r="W42" s="25" t="s">
        <v>6630</v>
      </c>
      <c r="X42" s="25"/>
      <c r="Y42" s="25" t="str">
        <f>IFERROR(VLOOKUP(C_Ope_007[[#This Row],[NOTA 2]],Clientes_Proveedores[[Ruc / Dni]:[Razon Social]],2,0),"")</f>
        <v/>
      </c>
      <c r="Z42" s="25"/>
      <c r="AA42" s="25"/>
      <c r="AB42" s="3" t="str">
        <f>IF(C_Ope_007[[#This Row],[FECHA]]&gt;0,TEXT(C_Ope_007[[#This Row],[FECHA]],"mmmm"),0)</f>
        <v>Enero</v>
      </c>
    </row>
    <row r="43" spans="2:28" ht="24" x14ac:dyDescent="0.3">
      <c r="B43" s="2">
        <f>IF(C_Ope_007[[#This Row],[TIPO DE R.]]="R",COUNTIFS($D$4:$D42,"R")+1,"")</f>
        <v>39</v>
      </c>
      <c r="C43" s="19" t="str">
        <f t="shared" si="4"/>
        <v>C_Ope_007</v>
      </c>
      <c r="D43" s="3" t="s">
        <v>1074</v>
      </c>
      <c r="E43" s="14">
        <v>45681</v>
      </c>
      <c r="F43" s="5" t="s">
        <v>4314</v>
      </c>
      <c r="G43" s="5" t="s">
        <v>1079</v>
      </c>
      <c r="H43" s="6"/>
      <c r="I43" s="6" t="s">
        <v>14</v>
      </c>
      <c r="J43" s="6" t="s">
        <v>5245</v>
      </c>
      <c r="K43" s="6">
        <v>1658238</v>
      </c>
      <c r="L43" s="7" t="s">
        <v>7522</v>
      </c>
      <c r="M43" s="8">
        <v>22797</v>
      </c>
      <c r="N43" s="8" t="str">
        <f t="shared" si="5"/>
        <v>PEN</v>
      </c>
      <c r="O43" s="13"/>
      <c r="P43" s="13">
        <v>8</v>
      </c>
      <c r="Q43" s="3">
        <f t="shared" si="1"/>
        <v>0</v>
      </c>
      <c r="R43" s="3">
        <f t="shared" si="2"/>
        <v>8</v>
      </c>
      <c r="S43" s="3">
        <f t="shared" si="3"/>
        <v>141</v>
      </c>
      <c r="T43" s="24"/>
      <c r="U43" s="24"/>
      <c r="V43" s="3"/>
      <c r="W43" s="25" t="s">
        <v>6630</v>
      </c>
      <c r="X43" s="25"/>
      <c r="Y43" s="25" t="str">
        <f>IFERROR(VLOOKUP(C_Ope_007[[#This Row],[NOTA 2]],Clientes_Proveedores[[Ruc / Dni]:[Razon Social]],2,0),"")</f>
        <v/>
      </c>
      <c r="Z43" s="25"/>
      <c r="AA43" s="25"/>
      <c r="AB43" s="3" t="str">
        <f>IF(C_Ope_007[[#This Row],[FECHA]]&gt;0,TEXT(C_Ope_007[[#This Row],[FECHA]],"mmmm"),0)</f>
        <v>Enero</v>
      </c>
    </row>
    <row r="44" spans="2:28" x14ac:dyDescent="0.3">
      <c r="B44" s="2">
        <f>IF(C_Ope_007[[#This Row],[TIPO DE R.]]="R",COUNTIFS($D$4:$D43,"R")+1,"")</f>
        <v>40</v>
      </c>
      <c r="C44" s="19" t="str">
        <f t="shared" si="4"/>
        <v>C_Ope_007</v>
      </c>
      <c r="D44" s="3" t="s">
        <v>1074</v>
      </c>
      <c r="E44" s="14">
        <v>45678</v>
      </c>
      <c r="F44" s="5" t="s">
        <v>4314</v>
      </c>
      <c r="G44" s="5" t="s">
        <v>1079</v>
      </c>
      <c r="H44" s="6"/>
      <c r="I44" s="6" t="s">
        <v>14</v>
      </c>
      <c r="J44" s="6" t="s">
        <v>1097</v>
      </c>
      <c r="K44" s="6">
        <v>15423</v>
      </c>
      <c r="L44" s="7" t="s">
        <v>7523</v>
      </c>
      <c r="M44" s="8">
        <v>22799</v>
      </c>
      <c r="N44" s="8" t="str">
        <f t="shared" si="5"/>
        <v>PEN</v>
      </c>
      <c r="O44" s="13"/>
      <c r="P44" s="13">
        <v>20</v>
      </c>
      <c r="Q44" s="3">
        <f t="shared" si="1"/>
        <v>0</v>
      </c>
      <c r="R44" s="3">
        <f t="shared" si="2"/>
        <v>20</v>
      </c>
      <c r="S44" s="3">
        <f t="shared" si="3"/>
        <v>121</v>
      </c>
      <c r="T44" s="24"/>
      <c r="U44" s="24"/>
      <c r="V44" s="3"/>
      <c r="W44" s="25" t="s">
        <v>6630</v>
      </c>
      <c r="X44" s="25"/>
      <c r="Y44" s="25" t="str">
        <f>IFERROR(VLOOKUP(C_Ope_007[[#This Row],[NOTA 2]],Clientes_Proveedores[[Ruc / Dni]:[Razon Social]],2,0),"")</f>
        <v/>
      </c>
      <c r="Z44" s="25"/>
      <c r="AA44" s="25"/>
      <c r="AB44" s="3" t="str">
        <f>IF(C_Ope_007[[#This Row],[FECHA]]&gt;0,TEXT(C_Ope_007[[#This Row],[FECHA]],"mmmm"),0)</f>
        <v>Enero</v>
      </c>
    </row>
    <row r="45" spans="2:28" x14ac:dyDescent="0.3">
      <c r="B45" s="2">
        <f>IF(C_Ope_007[[#This Row],[TIPO DE R.]]="R",COUNTIFS($D$4:$D44,"R")+1,"")</f>
        <v>41</v>
      </c>
      <c r="C45" s="19" t="str">
        <f t="shared" si="4"/>
        <v>C_Ope_007</v>
      </c>
      <c r="D45" s="3" t="s">
        <v>1074</v>
      </c>
      <c r="E45" s="14">
        <v>45679</v>
      </c>
      <c r="F45" s="5" t="s">
        <v>4314</v>
      </c>
      <c r="G45" s="5" t="s">
        <v>1079</v>
      </c>
      <c r="H45" s="6"/>
      <c r="I45" s="6" t="s">
        <v>14</v>
      </c>
      <c r="J45" s="6" t="s">
        <v>1097</v>
      </c>
      <c r="K45" s="6">
        <v>15431</v>
      </c>
      <c r="L45" s="7" t="s">
        <v>7524</v>
      </c>
      <c r="M45" s="8">
        <v>22800</v>
      </c>
      <c r="N45" s="8" t="str">
        <f t="shared" si="5"/>
        <v>PEN</v>
      </c>
      <c r="O45" s="13"/>
      <c r="P45" s="13">
        <v>20</v>
      </c>
      <c r="Q45" s="3">
        <f t="shared" si="1"/>
        <v>0</v>
      </c>
      <c r="R45" s="3">
        <f t="shared" si="2"/>
        <v>20</v>
      </c>
      <c r="S45" s="3">
        <f t="shared" si="3"/>
        <v>101</v>
      </c>
      <c r="T45" s="24"/>
      <c r="U45" s="24"/>
      <c r="V45" s="3"/>
      <c r="W45" s="25" t="s">
        <v>6630</v>
      </c>
      <c r="X45" s="25"/>
      <c r="Y45" s="25" t="str">
        <f>IFERROR(VLOOKUP(C_Ope_007[[#This Row],[NOTA 2]],Clientes_Proveedores[[Ruc / Dni]:[Razon Social]],2,0),"")</f>
        <v/>
      </c>
      <c r="Z45" s="25"/>
      <c r="AA45" s="25"/>
      <c r="AB45" s="3" t="str">
        <f>IF(C_Ope_007[[#This Row],[FECHA]]&gt;0,TEXT(C_Ope_007[[#This Row],[FECHA]],"mmmm"),0)</f>
        <v>Enero</v>
      </c>
    </row>
    <row r="46" spans="2:28" x14ac:dyDescent="0.3">
      <c r="B46" s="2">
        <f>IF(C_Ope_007[[#This Row],[TIPO DE R.]]="R",COUNTIFS($D$4:$D45,"R")+1,"")</f>
        <v>42</v>
      </c>
      <c r="C46" s="19" t="str">
        <f t="shared" si="4"/>
        <v>C_Ope_007</v>
      </c>
      <c r="D46" s="3" t="s">
        <v>1074</v>
      </c>
      <c r="E46" s="14">
        <v>45680</v>
      </c>
      <c r="F46" s="5" t="s">
        <v>4314</v>
      </c>
      <c r="G46" s="5" t="s">
        <v>1079</v>
      </c>
      <c r="H46" s="6"/>
      <c r="I46" s="6" t="s">
        <v>14</v>
      </c>
      <c r="J46" s="6" t="s">
        <v>1119</v>
      </c>
      <c r="K46" s="6">
        <v>16067</v>
      </c>
      <c r="L46" s="7" t="s">
        <v>7525</v>
      </c>
      <c r="M46" s="8">
        <v>22798</v>
      </c>
      <c r="N46" s="8" t="str">
        <f t="shared" si="5"/>
        <v>PEN</v>
      </c>
      <c r="O46" s="13"/>
      <c r="P46" s="13">
        <v>25</v>
      </c>
      <c r="Q46" s="3">
        <f t="shared" si="1"/>
        <v>0</v>
      </c>
      <c r="R46" s="3">
        <f t="shared" si="2"/>
        <v>25</v>
      </c>
      <c r="S46" s="3">
        <f t="shared" si="3"/>
        <v>76</v>
      </c>
      <c r="T46" s="24"/>
      <c r="U46" s="24"/>
      <c r="V46" s="3"/>
      <c r="W46" s="25" t="s">
        <v>6630</v>
      </c>
      <c r="X46" s="25"/>
      <c r="Y46" s="25" t="str">
        <f>IFERROR(VLOOKUP(C_Ope_007[[#This Row],[NOTA 2]],Clientes_Proveedores[[Ruc / Dni]:[Razon Social]],2,0),"")</f>
        <v/>
      </c>
      <c r="Z46" s="25"/>
      <c r="AA46" s="25"/>
      <c r="AB46" s="3" t="str">
        <f>IF(C_Ope_007[[#This Row],[FECHA]]&gt;0,TEXT(C_Ope_007[[#This Row],[FECHA]],"mmmm"),0)</f>
        <v>Enero</v>
      </c>
    </row>
    <row r="47" spans="2:28" x14ac:dyDescent="0.3">
      <c r="B47" s="2">
        <f>IF(C_Ope_007[[#This Row],[TIPO DE R.]]="R",COUNTIFS($D$4:$D46,"R")+1,"")</f>
        <v>43</v>
      </c>
      <c r="C47" s="19" t="str">
        <f t="shared" si="4"/>
        <v>C_Ope_007</v>
      </c>
      <c r="D47" s="3" t="s">
        <v>1074</v>
      </c>
      <c r="E47" s="14">
        <v>45684</v>
      </c>
      <c r="F47" s="5" t="s">
        <v>6299</v>
      </c>
      <c r="G47" s="5" t="s">
        <v>1087</v>
      </c>
      <c r="H47" s="6"/>
      <c r="I47" s="6"/>
      <c r="J47" s="6"/>
      <c r="K47" s="6"/>
      <c r="L47" s="7" t="s">
        <v>6302</v>
      </c>
      <c r="M47" s="8">
        <v>22809</v>
      </c>
      <c r="N47" s="8" t="str">
        <f t="shared" si="5"/>
        <v>PEN</v>
      </c>
      <c r="O47" s="13"/>
      <c r="P47" s="13">
        <v>120</v>
      </c>
      <c r="Q47" s="3">
        <f t="shared" si="1"/>
        <v>120</v>
      </c>
      <c r="R47" s="3">
        <f t="shared" si="2"/>
        <v>0</v>
      </c>
      <c r="S47" s="3">
        <f t="shared" si="3"/>
        <v>196</v>
      </c>
      <c r="T47" s="24"/>
      <c r="U47" s="24"/>
      <c r="V47" s="3"/>
      <c r="W47" s="25"/>
      <c r="X47" s="25"/>
      <c r="Y47" s="25" t="str">
        <f>IFERROR(VLOOKUP(C_Ope_007[[#This Row],[NOTA 2]],Clientes_Proveedores[[Ruc / Dni]:[Razon Social]],2,0),"")</f>
        <v/>
      </c>
      <c r="Z47" s="25"/>
      <c r="AA47" s="25"/>
      <c r="AB47" s="3" t="str">
        <f>IF(C_Ope_007[[#This Row],[FECHA]]&gt;0,TEXT(C_Ope_007[[#This Row],[FECHA]],"mmmm"),0)</f>
        <v>Enero</v>
      </c>
    </row>
    <row r="48" spans="2:28" ht="24" x14ac:dyDescent="0.3">
      <c r="B48" s="2">
        <f>IF(C_Ope_007[[#This Row],[TIPO DE R.]]="R",COUNTIFS($D$4:$D47,"R")+1,"")</f>
        <v>44</v>
      </c>
      <c r="C48" s="19" t="str">
        <f t="shared" si="4"/>
        <v>C_Ope_007</v>
      </c>
      <c r="D48" s="3" t="s">
        <v>1074</v>
      </c>
      <c r="E48" s="14">
        <v>45684</v>
      </c>
      <c r="F48" s="5" t="s">
        <v>4314</v>
      </c>
      <c r="G48" s="5" t="s">
        <v>1079</v>
      </c>
      <c r="H48" s="6"/>
      <c r="I48" s="6" t="s">
        <v>14</v>
      </c>
      <c r="J48" s="6" t="s">
        <v>5244</v>
      </c>
      <c r="K48" s="6">
        <v>1641624</v>
      </c>
      <c r="L48" s="7" t="s">
        <v>7526</v>
      </c>
      <c r="M48" s="8">
        <v>22882</v>
      </c>
      <c r="N48" s="8" t="str">
        <f t="shared" si="5"/>
        <v>PEN</v>
      </c>
      <c r="O48" s="13"/>
      <c r="P48" s="13">
        <v>8</v>
      </c>
      <c r="Q48" s="3">
        <f t="shared" si="1"/>
        <v>0</v>
      </c>
      <c r="R48" s="3">
        <f t="shared" si="2"/>
        <v>8</v>
      </c>
      <c r="S48" s="3">
        <f t="shared" si="3"/>
        <v>188</v>
      </c>
      <c r="T48" s="24"/>
      <c r="U48" s="24"/>
      <c r="V48" s="3"/>
      <c r="W48" s="25" t="s">
        <v>6630</v>
      </c>
      <c r="X48" s="25"/>
      <c r="Y48" s="25" t="str">
        <f>IFERROR(VLOOKUP(C_Ope_007[[#This Row],[NOTA 2]],Clientes_Proveedores[[Ruc / Dni]:[Razon Social]],2,0),"")</f>
        <v/>
      </c>
      <c r="Z48" s="25"/>
      <c r="AA48" s="25"/>
      <c r="AB48" s="3" t="str">
        <f>IF(C_Ope_007[[#This Row],[FECHA]]&gt;0,TEXT(C_Ope_007[[#This Row],[FECHA]],"mmmm"),0)</f>
        <v>Enero</v>
      </c>
    </row>
    <row r="49" spans="2:28" ht="24" x14ac:dyDescent="0.3">
      <c r="B49" s="2">
        <f>IF(C_Ope_007[[#This Row],[TIPO DE R.]]="R",COUNTIFS($D$4:$D48,"R")+1,"")</f>
        <v>45</v>
      </c>
      <c r="C49" s="19" t="str">
        <f t="shared" si="4"/>
        <v>C_Ope_007</v>
      </c>
      <c r="D49" s="3" t="s">
        <v>1074</v>
      </c>
      <c r="E49" s="14">
        <v>45684</v>
      </c>
      <c r="F49" s="5" t="s">
        <v>4314</v>
      </c>
      <c r="G49" s="5" t="s">
        <v>1079</v>
      </c>
      <c r="H49" s="6"/>
      <c r="I49" s="6" t="s">
        <v>14</v>
      </c>
      <c r="J49" s="6" t="s">
        <v>5245</v>
      </c>
      <c r="K49" s="6">
        <v>1660689</v>
      </c>
      <c r="L49" s="7" t="s">
        <v>7526</v>
      </c>
      <c r="M49" s="8">
        <v>22883</v>
      </c>
      <c r="N49" s="8" t="str">
        <f t="shared" si="5"/>
        <v>PEN</v>
      </c>
      <c r="O49" s="13"/>
      <c r="P49" s="13">
        <v>8</v>
      </c>
      <c r="Q49" s="3">
        <f t="shared" si="1"/>
        <v>0</v>
      </c>
      <c r="R49" s="3">
        <f t="shared" si="2"/>
        <v>8</v>
      </c>
      <c r="S49" s="3">
        <f t="shared" si="3"/>
        <v>180</v>
      </c>
      <c r="T49" s="24"/>
      <c r="U49" s="24"/>
      <c r="V49" s="3"/>
      <c r="W49" s="25" t="s">
        <v>6630</v>
      </c>
      <c r="X49" s="25"/>
      <c r="Y49" s="25" t="str">
        <f>IFERROR(VLOOKUP(C_Ope_007[[#This Row],[NOTA 2]],Clientes_Proveedores[[Ruc / Dni]:[Razon Social]],2,0),"")</f>
        <v/>
      </c>
      <c r="Z49" s="25"/>
      <c r="AA49" s="25"/>
      <c r="AB49" s="3" t="str">
        <f>IF(C_Ope_007[[#This Row],[FECHA]]&gt;0,TEXT(C_Ope_007[[#This Row],[FECHA]],"mmmm"),0)</f>
        <v>Enero</v>
      </c>
    </row>
    <row r="50" spans="2:28" ht="36" x14ac:dyDescent="0.3">
      <c r="B50" s="2">
        <f>IF(C_Ope_007[[#This Row],[TIPO DE R.]]="R",COUNTIFS($D$4:$D49,"R")+1,"")</f>
        <v>46</v>
      </c>
      <c r="C50" s="19" t="str">
        <f t="shared" si="4"/>
        <v>C_Ope_007</v>
      </c>
      <c r="D50" s="3" t="s">
        <v>1074</v>
      </c>
      <c r="E50" s="14">
        <v>45685</v>
      </c>
      <c r="F50" s="5" t="s">
        <v>4314</v>
      </c>
      <c r="G50" s="5" t="s">
        <v>1079</v>
      </c>
      <c r="H50" s="6"/>
      <c r="I50" s="6" t="s">
        <v>14</v>
      </c>
      <c r="J50" s="6" t="s">
        <v>5244</v>
      </c>
      <c r="K50" s="6">
        <v>1642617</v>
      </c>
      <c r="L50" s="7" t="s">
        <v>7527</v>
      </c>
      <c r="M50" s="8">
        <v>22884</v>
      </c>
      <c r="N50" s="8" t="str">
        <f t="shared" si="5"/>
        <v>PEN</v>
      </c>
      <c r="O50" s="13"/>
      <c r="P50" s="13">
        <v>8</v>
      </c>
      <c r="Q50" s="3">
        <f t="shared" si="1"/>
        <v>0</v>
      </c>
      <c r="R50" s="3">
        <f t="shared" si="2"/>
        <v>8</v>
      </c>
      <c r="S50" s="3">
        <f t="shared" si="3"/>
        <v>172</v>
      </c>
      <c r="T50" s="24"/>
      <c r="U50" s="24"/>
      <c r="V50" s="3"/>
      <c r="W50" s="25" t="s">
        <v>6630</v>
      </c>
      <c r="X50" s="25"/>
      <c r="Y50" s="25" t="str">
        <f>IFERROR(VLOOKUP(C_Ope_007[[#This Row],[NOTA 2]],Clientes_Proveedores[[Ruc / Dni]:[Razon Social]],2,0),"")</f>
        <v/>
      </c>
      <c r="Z50" s="25"/>
      <c r="AA50" s="25"/>
      <c r="AB50" s="3" t="str">
        <f>IF(C_Ope_007[[#This Row],[FECHA]]&gt;0,TEXT(C_Ope_007[[#This Row],[FECHA]],"mmmm"),0)</f>
        <v>Enero</v>
      </c>
    </row>
    <row r="51" spans="2:28" ht="36" x14ac:dyDescent="0.3">
      <c r="B51" s="2">
        <f>IF(C_Ope_007[[#This Row],[TIPO DE R.]]="R",COUNTIFS($D$4:$D50,"R")+1,"")</f>
        <v>47</v>
      </c>
      <c r="C51" s="19" t="str">
        <f t="shared" si="4"/>
        <v>C_Ope_007</v>
      </c>
      <c r="D51" s="3" t="s">
        <v>1074</v>
      </c>
      <c r="E51" s="14">
        <v>45685</v>
      </c>
      <c r="F51" s="5" t="s">
        <v>4314</v>
      </c>
      <c r="G51" s="5" t="s">
        <v>1079</v>
      </c>
      <c r="H51" s="6"/>
      <c r="I51" s="6" t="s">
        <v>14</v>
      </c>
      <c r="J51" s="6" t="s">
        <v>5242</v>
      </c>
      <c r="K51" s="6">
        <v>1942404</v>
      </c>
      <c r="L51" s="7" t="s">
        <v>7527</v>
      </c>
      <c r="M51" s="8">
        <v>22885</v>
      </c>
      <c r="N51" s="8" t="str">
        <f t="shared" si="5"/>
        <v>PEN</v>
      </c>
      <c r="O51" s="13"/>
      <c r="P51" s="13">
        <v>8</v>
      </c>
      <c r="Q51" s="3">
        <f t="shared" si="1"/>
        <v>0</v>
      </c>
      <c r="R51" s="3">
        <f t="shared" si="2"/>
        <v>8</v>
      </c>
      <c r="S51" s="3">
        <f t="shared" si="3"/>
        <v>164</v>
      </c>
      <c r="T51" s="24"/>
      <c r="U51" s="24"/>
      <c r="V51" s="3"/>
      <c r="W51" s="25" t="s">
        <v>6630</v>
      </c>
      <c r="X51" s="25"/>
      <c r="Y51" s="25" t="str">
        <f>IFERROR(VLOOKUP(C_Ope_007[[#This Row],[NOTA 2]],Clientes_Proveedores[[Ruc / Dni]:[Razon Social]],2,0),"")</f>
        <v/>
      </c>
      <c r="Z51" s="25"/>
      <c r="AA51" s="25"/>
      <c r="AB51" s="3" t="str">
        <f>IF(C_Ope_007[[#This Row],[FECHA]]&gt;0,TEXT(C_Ope_007[[#This Row],[FECHA]],"mmmm"),0)</f>
        <v>Enero</v>
      </c>
    </row>
    <row r="52" spans="2:28" ht="36" x14ac:dyDescent="0.3">
      <c r="B52" s="2">
        <f>IF(C_Ope_007[[#This Row],[TIPO DE R.]]="R",COUNTIFS($D$4:$D51,"R")+1,"")</f>
        <v>48</v>
      </c>
      <c r="C52" s="19" t="str">
        <f t="shared" si="4"/>
        <v>C_Ope_007</v>
      </c>
      <c r="D52" s="3" t="s">
        <v>1074</v>
      </c>
      <c r="E52" s="14">
        <v>45686</v>
      </c>
      <c r="F52" s="5" t="s">
        <v>4314</v>
      </c>
      <c r="G52" s="5" t="s">
        <v>1079</v>
      </c>
      <c r="H52" s="6"/>
      <c r="I52" s="6" t="s">
        <v>14</v>
      </c>
      <c r="J52" s="6" t="s">
        <v>5244</v>
      </c>
      <c r="K52" s="6">
        <v>1643561</v>
      </c>
      <c r="L52" s="7" t="s">
        <v>7528</v>
      </c>
      <c r="M52" s="8">
        <v>22886</v>
      </c>
      <c r="N52" s="8" t="str">
        <f t="shared" si="5"/>
        <v>PEN</v>
      </c>
      <c r="O52" s="13"/>
      <c r="P52" s="13">
        <v>8</v>
      </c>
      <c r="Q52" s="3">
        <f t="shared" si="1"/>
        <v>0</v>
      </c>
      <c r="R52" s="3">
        <f t="shared" si="2"/>
        <v>8</v>
      </c>
      <c r="S52" s="3">
        <f t="shared" si="3"/>
        <v>156</v>
      </c>
      <c r="T52" s="24"/>
      <c r="U52" s="24"/>
      <c r="V52" s="3"/>
      <c r="W52" s="25" t="s">
        <v>6630</v>
      </c>
      <c r="X52" s="25"/>
      <c r="Y52" s="25" t="str">
        <f>IFERROR(VLOOKUP(C_Ope_007[[#This Row],[NOTA 2]],Clientes_Proveedores[[Ruc / Dni]:[Razon Social]],2,0),"")</f>
        <v/>
      </c>
      <c r="Z52" s="25"/>
      <c r="AA52" s="25"/>
      <c r="AB52" s="3" t="str">
        <f>IF(C_Ope_007[[#This Row],[FECHA]]&gt;0,TEXT(C_Ope_007[[#This Row],[FECHA]],"mmmm"),0)</f>
        <v>Enero</v>
      </c>
    </row>
    <row r="53" spans="2:28" ht="36" x14ac:dyDescent="0.3">
      <c r="B53" s="2">
        <f>IF(C_Ope_007[[#This Row],[TIPO DE R.]]="R",COUNTIFS($D$4:$D52,"R")+1,"")</f>
        <v>49</v>
      </c>
      <c r="C53" s="19" t="str">
        <f t="shared" si="4"/>
        <v>C_Ope_007</v>
      </c>
      <c r="D53" s="3" t="s">
        <v>1074</v>
      </c>
      <c r="E53" s="14">
        <v>45686</v>
      </c>
      <c r="F53" s="5" t="s">
        <v>4314</v>
      </c>
      <c r="G53" s="5" t="s">
        <v>1079</v>
      </c>
      <c r="H53" s="6"/>
      <c r="I53" s="6" t="s">
        <v>14</v>
      </c>
      <c r="J53" s="6" t="s">
        <v>5245</v>
      </c>
      <c r="K53" s="6">
        <v>1662545</v>
      </c>
      <c r="L53" s="7" t="s">
        <v>7528</v>
      </c>
      <c r="M53" s="8">
        <v>22887</v>
      </c>
      <c r="N53" s="8" t="str">
        <f t="shared" si="5"/>
        <v>PEN</v>
      </c>
      <c r="O53" s="13"/>
      <c r="P53" s="13">
        <v>8</v>
      </c>
      <c r="Q53" s="3">
        <f t="shared" si="1"/>
        <v>0</v>
      </c>
      <c r="R53" s="3">
        <f t="shared" si="2"/>
        <v>8</v>
      </c>
      <c r="S53" s="3">
        <f t="shared" si="3"/>
        <v>148</v>
      </c>
      <c r="T53" s="24"/>
      <c r="U53" s="24"/>
      <c r="V53" s="3"/>
      <c r="W53" s="25" t="s">
        <v>6630</v>
      </c>
      <c r="X53" s="25"/>
      <c r="Y53" s="25" t="str">
        <f>IFERROR(VLOOKUP(C_Ope_007[[#This Row],[NOTA 2]],Clientes_Proveedores[[Ruc / Dni]:[Razon Social]],2,0),"")</f>
        <v/>
      </c>
      <c r="Z53" s="25"/>
      <c r="AA53" s="25"/>
      <c r="AB53" s="3" t="str">
        <f>IF(C_Ope_007[[#This Row],[FECHA]]&gt;0,TEXT(C_Ope_007[[#This Row],[FECHA]],"mmmm"),0)</f>
        <v>Enero</v>
      </c>
    </row>
    <row r="54" spans="2:28" ht="24" x14ac:dyDescent="0.3">
      <c r="B54" s="2">
        <f>IF(C_Ope_007[[#This Row],[TIPO DE R.]]="R",COUNTIFS($D$4:$D53,"R")+1,"")</f>
        <v>50</v>
      </c>
      <c r="C54" s="19" t="str">
        <f t="shared" si="4"/>
        <v>C_Ope_007</v>
      </c>
      <c r="D54" s="3" t="s">
        <v>1074</v>
      </c>
      <c r="E54" s="14">
        <v>45684</v>
      </c>
      <c r="F54" s="5" t="s">
        <v>4314</v>
      </c>
      <c r="G54" s="5" t="s">
        <v>1079</v>
      </c>
      <c r="H54" s="6"/>
      <c r="I54" s="6" t="s">
        <v>14</v>
      </c>
      <c r="J54" s="6" t="s">
        <v>1097</v>
      </c>
      <c r="K54" s="6">
        <v>15502</v>
      </c>
      <c r="L54" s="7" t="s">
        <v>7509</v>
      </c>
      <c r="M54" s="8">
        <v>22890</v>
      </c>
      <c r="N54" s="8" t="str">
        <f t="shared" si="5"/>
        <v>PEN</v>
      </c>
      <c r="O54" s="13"/>
      <c r="P54" s="13">
        <v>20</v>
      </c>
      <c r="Q54" s="3">
        <f t="shared" si="1"/>
        <v>0</v>
      </c>
      <c r="R54" s="3">
        <f t="shared" si="2"/>
        <v>20</v>
      </c>
      <c r="S54" s="3">
        <f t="shared" si="3"/>
        <v>128</v>
      </c>
      <c r="T54" s="24"/>
      <c r="U54" s="24"/>
      <c r="V54" s="3"/>
      <c r="W54" s="25" t="s">
        <v>6630</v>
      </c>
      <c r="X54" s="25"/>
      <c r="Y54" s="25" t="str">
        <f>IFERROR(VLOOKUP(C_Ope_007[[#This Row],[NOTA 2]],Clientes_Proveedores[[Ruc / Dni]:[Razon Social]],2,0),"")</f>
        <v/>
      </c>
      <c r="Z54" s="25"/>
      <c r="AA54" s="25"/>
      <c r="AB54" s="3" t="str">
        <f>IF(C_Ope_007[[#This Row],[FECHA]]&gt;0,TEXT(C_Ope_007[[#This Row],[FECHA]],"mmmm"),0)</f>
        <v>Enero</v>
      </c>
    </row>
    <row r="55" spans="2:28" x14ac:dyDescent="0.3">
      <c r="B55" s="2">
        <f>IF(C_Ope_007[[#This Row],[TIPO DE R.]]="R",COUNTIFS($D$4:$D54,"R")+1,"")</f>
        <v>51</v>
      </c>
      <c r="C55" s="19" t="str">
        <f t="shared" si="4"/>
        <v>C_Ope_007</v>
      </c>
      <c r="D55" s="3" t="s">
        <v>1074</v>
      </c>
      <c r="E55" s="14">
        <v>45687</v>
      </c>
      <c r="F55" s="5" t="s">
        <v>4314</v>
      </c>
      <c r="G55" s="5" t="s">
        <v>1079</v>
      </c>
      <c r="H55" s="6"/>
      <c r="I55" s="6" t="s">
        <v>14</v>
      </c>
      <c r="J55" s="6" t="s">
        <v>1148</v>
      </c>
      <c r="K55" s="6">
        <v>127645</v>
      </c>
      <c r="L55" s="7" t="s">
        <v>6551</v>
      </c>
      <c r="M55" s="8">
        <v>22888</v>
      </c>
      <c r="N55" s="8" t="str">
        <f t="shared" si="5"/>
        <v>PEN</v>
      </c>
      <c r="O55" s="13"/>
      <c r="P55" s="13">
        <v>10</v>
      </c>
      <c r="Q55" s="3">
        <f t="shared" si="1"/>
        <v>0</v>
      </c>
      <c r="R55" s="3">
        <f t="shared" si="2"/>
        <v>10</v>
      </c>
      <c r="S55" s="3">
        <f t="shared" si="3"/>
        <v>118</v>
      </c>
      <c r="T55" s="24"/>
      <c r="U55" s="24"/>
      <c r="V55" s="3"/>
      <c r="W55" s="25" t="s">
        <v>6546</v>
      </c>
      <c r="X55" s="25"/>
      <c r="Y55" s="25" t="str">
        <f>IFERROR(VLOOKUP(C_Ope_007[[#This Row],[NOTA 2]],Clientes_Proveedores[[Ruc / Dni]:[Razon Social]],2,0),"")</f>
        <v/>
      </c>
      <c r="Z55" s="25"/>
      <c r="AA55" s="25"/>
      <c r="AB55" s="3" t="str">
        <f>IF(C_Ope_007[[#This Row],[FECHA]]&gt;0,TEXT(C_Ope_007[[#This Row],[FECHA]],"mmmm"),0)</f>
        <v>Enero</v>
      </c>
    </row>
    <row r="56" spans="2:28" x14ac:dyDescent="0.3">
      <c r="B56" s="2">
        <f>IF(C_Ope_007[[#This Row],[TIPO DE R.]]="R",COUNTIFS($D$4:$D55,"R")+1,"")</f>
        <v>52</v>
      </c>
      <c r="C56" s="19" t="str">
        <f t="shared" si="4"/>
        <v>C_Ope_007</v>
      </c>
      <c r="D56" s="3" t="s">
        <v>1074</v>
      </c>
      <c r="E56" s="14">
        <v>45687</v>
      </c>
      <c r="F56" s="5" t="s">
        <v>4314</v>
      </c>
      <c r="G56" s="5" t="s">
        <v>1079</v>
      </c>
      <c r="H56" s="6"/>
      <c r="I56" s="6" t="s">
        <v>14</v>
      </c>
      <c r="J56" s="6" t="s">
        <v>1148</v>
      </c>
      <c r="K56" s="6">
        <v>127664</v>
      </c>
      <c r="L56" s="7" t="s">
        <v>6551</v>
      </c>
      <c r="M56" s="8">
        <v>22889</v>
      </c>
      <c r="N56" s="8" t="str">
        <f t="shared" si="5"/>
        <v>PEN</v>
      </c>
      <c r="O56" s="13"/>
      <c r="P56" s="13">
        <v>10</v>
      </c>
      <c r="Q56" s="3">
        <f t="shared" si="1"/>
        <v>0</v>
      </c>
      <c r="R56" s="3">
        <f t="shared" si="2"/>
        <v>10</v>
      </c>
      <c r="S56" s="3">
        <f t="shared" si="3"/>
        <v>108</v>
      </c>
      <c r="T56" s="24"/>
      <c r="U56" s="24"/>
      <c r="V56" s="3"/>
      <c r="W56" s="25" t="s">
        <v>6546</v>
      </c>
      <c r="X56" s="25"/>
      <c r="Y56" s="25" t="str">
        <f>IFERROR(VLOOKUP(C_Ope_007[[#This Row],[NOTA 2]],Clientes_Proveedores[[Ruc / Dni]:[Razon Social]],2,0),"")</f>
        <v/>
      </c>
      <c r="Z56" s="25"/>
      <c r="AA56" s="25"/>
      <c r="AB56" s="3" t="str">
        <f>IF(C_Ope_007[[#This Row],[FECHA]]&gt;0,TEXT(C_Ope_007[[#This Row],[FECHA]],"mmmm"),0)</f>
        <v>Enero</v>
      </c>
    </row>
    <row r="57" spans="2:28" x14ac:dyDescent="0.3">
      <c r="B57" s="2">
        <f>IF(C_Ope_007[[#This Row],[TIPO DE R.]]="R",COUNTIFS($D$4:$D56,"R")+1,"")</f>
        <v>53</v>
      </c>
      <c r="C57" s="19" t="str">
        <f t="shared" si="4"/>
        <v>C_Ope_007</v>
      </c>
      <c r="D57" s="3" t="s">
        <v>1074</v>
      </c>
      <c r="E57" s="14">
        <v>45691</v>
      </c>
      <c r="F57" s="5" t="s">
        <v>4314</v>
      </c>
      <c r="G57" s="5" t="s">
        <v>1079</v>
      </c>
      <c r="H57" s="6"/>
      <c r="I57" s="6" t="s">
        <v>14</v>
      </c>
      <c r="J57" s="6" t="s">
        <v>5244</v>
      </c>
      <c r="K57" s="6">
        <v>1647519</v>
      </c>
      <c r="L57" s="7" t="s">
        <v>7529</v>
      </c>
      <c r="M57" s="8">
        <v>22932</v>
      </c>
      <c r="N57" s="8" t="str">
        <f t="shared" si="5"/>
        <v>PEN</v>
      </c>
      <c r="O57" s="13"/>
      <c r="P57" s="13">
        <v>12</v>
      </c>
      <c r="Q57" s="3">
        <f t="shared" si="1"/>
        <v>0</v>
      </c>
      <c r="R57" s="3">
        <f t="shared" si="2"/>
        <v>12</v>
      </c>
      <c r="S57" s="3">
        <f t="shared" si="3"/>
        <v>96</v>
      </c>
      <c r="T57" s="24"/>
      <c r="U57" s="24"/>
      <c r="V57" s="3"/>
      <c r="W57" s="25" t="s">
        <v>6747</v>
      </c>
      <c r="X57" s="25"/>
      <c r="Y57" s="25" t="str">
        <f>IFERROR(VLOOKUP(C_Ope_007[[#This Row],[NOTA 2]],Clientes_Proveedores[[Ruc / Dni]:[Razon Social]],2,0),"")</f>
        <v/>
      </c>
      <c r="Z57" s="25"/>
      <c r="AA57" s="25"/>
      <c r="AB57" s="3" t="str">
        <f>IF(C_Ope_007[[#This Row],[FECHA]]&gt;0,TEXT(C_Ope_007[[#This Row],[FECHA]],"mmmm"),0)</f>
        <v>Febrero</v>
      </c>
    </row>
    <row r="58" spans="2:28" ht="24" x14ac:dyDescent="0.3">
      <c r="B58" s="2">
        <f>IF(C_Ope_007[[#This Row],[TIPO DE R.]]="R",COUNTIFS($D$4:$D57,"R")+1,"")</f>
        <v>54</v>
      </c>
      <c r="C58" s="19" t="str">
        <f t="shared" si="4"/>
        <v>C_Ope_007</v>
      </c>
      <c r="D58" s="3" t="s">
        <v>1074</v>
      </c>
      <c r="E58" s="14">
        <v>45693</v>
      </c>
      <c r="F58" s="5" t="s">
        <v>4314</v>
      </c>
      <c r="G58" s="5" t="s">
        <v>1079</v>
      </c>
      <c r="H58" s="6"/>
      <c r="I58" s="6" t="s">
        <v>14</v>
      </c>
      <c r="J58" s="6" t="s">
        <v>5244</v>
      </c>
      <c r="K58" s="6">
        <v>1649359</v>
      </c>
      <c r="L58" s="7" t="s">
        <v>7530</v>
      </c>
      <c r="M58" s="8">
        <v>22930</v>
      </c>
      <c r="N58" s="8" t="str">
        <f t="shared" si="5"/>
        <v>PEN</v>
      </c>
      <c r="O58" s="13"/>
      <c r="P58" s="13">
        <v>5</v>
      </c>
      <c r="Q58" s="3">
        <f t="shared" si="1"/>
        <v>0</v>
      </c>
      <c r="R58" s="3">
        <f t="shared" si="2"/>
        <v>5</v>
      </c>
      <c r="S58" s="3">
        <f t="shared" si="3"/>
        <v>91</v>
      </c>
      <c r="T58" s="24"/>
      <c r="U58" s="24"/>
      <c r="V58" s="3"/>
      <c r="W58" s="25" t="s">
        <v>6539</v>
      </c>
      <c r="X58" s="25"/>
      <c r="Y58" s="25" t="str">
        <f>IFERROR(VLOOKUP(C_Ope_007[[#This Row],[NOTA 2]],Clientes_Proveedores[[Ruc / Dni]:[Razon Social]],2,0),"")</f>
        <v/>
      </c>
      <c r="Z58" s="25"/>
      <c r="AA58" s="25"/>
      <c r="AB58" s="3" t="str">
        <f>IF(C_Ope_007[[#This Row],[FECHA]]&gt;0,TEXT(C_Ope_007[[#This Row],[FECHA]],"mmmm"),0)</f>
        <v>Febrero</v>
      </c>
    </row>
    <row r="59" spans="2:28" ht="24" x14ac:dyDescent="0.3">
      <c r="B59" s="2">
        <f>IF(C_Ope_007[[#This Row],[TIPO DE R.]]="R",COUNTIFS($D$4:$D58,"R")+1,"")</f>
        <v>55</v>
      </c>
      <c r="C59" s="19" t="str">
        <f t="shared" si="4"/>
        <v>C_Ope_007</v>
      </c>
      <c r="D59" s="3" t="s">
        <v>1074</v>
      </c>
      <c r="E59" s="14">
        <v>45693</v>
      </c>
      <c r="F59" s="5" t="s">
        <v>4314</v>
      </c>
      <c r="G59" s="5" t="s">
        <v>1079</v>
      </c>
      <c r="H59" s="6"/>
      <c r="I59" s="6" t="s">
        <v>14</v>
      </c>
      <c r="J59" s="6" t="s">
        <v>5245</v>
      </c>
      <c r="K59" s="6">
        <v>1668128</v>
      </c>
      <c r="L59" s="7" t="s">
        <v>7530</v>
      </c>
      <c r="M59" s="8">
        <v>22931</v>
      </c>
      <c r="N59" s="8" t="str">
        <f t="shared" si="5"/>
        <v>PEN</v>
      </c>
      <c r="O59" s="13"/>
      <c r="P59" s="13">
        <v>5</v>
      </c>
      <c r="Q59" s="3">
        <f t="shared" si="1"/>
        <v>0</v>
      </c>
      <c r="R59" s="3">
        <f t="shared" si="2"/>
        <v>5</v>
      </c>
      <c r="S59" s="3">
        <f t="shared" si="3"/>
        <v>86</v>
      </c>
      <c r="T59" s="24"/>
      <c r="U59" s="24"/>
      <c r="V59" s="3"/>
      <c r="W59" s="25" t="s">
        <v>6539</v>
      </c>
      <c r="X59" s="25"/>
      <c r="Y59" s="25" t="str">
        <f>IFERROR(VLOOKUP(C_Ope_007[[#This Row],[NOTA 2]],Clientes_Proveedores[[Ruc / Dni]:[Razon Social]],2,0),"")</f>
        <v/>
      </c>
      <c r="Z59" s="25"/>
      <c r="AA59" s="25"/>
      <c r="AB59" s="3" t="str">
        <f>IF(C_Ope_007[[#This Row],[FECHA]]&gt;0,TEXT(C_Ope_007[[#This Row],[FECHA]],"mmmm"),0)</f>
        <v>Febrero</v>
      </c>
    </row>
    <row r="60" spans="2:28" x14ac:dyDescent="0.3">
      <c r="B60" s="2">
        <f>IF(C_Ope_007[[#This Row],[TIPO DE R.]]="R",COUNTIFS($D$4:$D59,"R")+1,"")</f>
        <v>56</v>
      </c>
      <c r="C60" s="19" t="str">
        <f t="shared" si="4"/>
        <v>C_Ope_007</v>
      </c>
      <c r="D60" s="3" t="s">
        <v>1074</v>
      </c>
      <c r="E60" s="14">
        <v>45691</v>
      </c>
      <c r="F60" s="5" t="s">
        <v>4314</v>
      </c>
      <c r="G60" s="5" t="s">
        <v>1079</v>
      </c>
      <c r="H60" s="6"/>
      <c r="I60" s="6" t="s">
        <v>14</v>
      </c>
      <c r="J60" s="6" t="s">
        <v>1097</v>
      </c>
      <c r="K60" s="6">
        <v>15578</v>
      </c>
      <c r="L60" s="7" t="s">
        <v>7531</v>
      </c>
      <c r="M60" s="8">
        <v>22933</v>
      </c>
      <c r="N60" s="8" t="str">
        <f t="shared" si="5"/>
        <v>PEN</v>
      </c>
      <c r="O60" s="13"/>
      <c r="P60" s="13">
        <v>20</v>
      </c>
      <c r="Q60" s="3">
        <f t="shared" si="1"/>
        <v>0</v>
      </c>
      <c r="R60" s="3">
        <f t="shared" si="2"/>
        <v>20</v>
      </c>
      <c r="S60" s="3">
        <f t="shared" si="3"/>
        <v>66</v>
      </c>
      <c r="T60" s="24"/>
      <c r="U60" s="24"/>
      <c r="V60" s="3"/>
      <c r="W60" s="25" t="s">
        <v>6747</v>
      </c>
      <c r="X60" s="25"/>
      <c r="Y60" s="25" t="str">
        <f>IFERROR(VLOOKUP(C_Ope_007[[#This Row],[NOTA 2]],Clientes_Proveedores[[Ruc / Dni]:[Razon Social]],2,0),"")</f>
        <v/>
      </c>
      <c r="Z60" s="25"/>
      <c r="AA60" s="25"/>
      <c r="AB60" s="3" t="str">
        <f>IF(C_Ope_007[[#This Row],[FECHA]]&gt;0,TEXT(C_Ope_007[[#This Row],[FECHA]],"mmmm"),0)</f>
        <v>Febrero</v>
      </c>
    </row>
    <row r="61" spans="2:28" ht="24" x14ac:dyDescent="0.3">
      <c r="B61" s="2">
        <f>IF(C_Ope_007[[#This Row],[TIPO DE R.]]="R",COUNTIFS($D$4:$D60,"R")+1,"")</f>
        <v>57</v>
      </c>
      <c r="C61" s="19" t="str">
        <f t="shared" si="4"/>
        <v>C_Ope_007</v>
      </c>
      <c r="D61" s="3" t="s">
        <v>1074</v>
      </c>
      <c r="E61" s="14">
        <v>45695</v>
      </c>
      <c r="F61" s="5" t="s">
        <v>4314</v>
      </c>
      <c r="G61" s="5" t="s">
        <v>1079</v>
      </c>
      <c r="H61" s="6"/>
      <c r="I61" s="6" t="s">
        <v>14</v>
      </c>
      <c r="J61" s="6" t="s">
        <v>1088</v>
      </c>
      <c r="K61" s="6">
        <v>33786</v>
      </c>
      <c r="L61" s="7" t="s">
        <v>7532</v>
      </c>
      <c r="M61" s="8">
        <v>23174</v>
      </c>
      <c r="N61" s="8" t="str">
        <f t="shared" si="5"/>
        <v>PEN</v>
      </c>
      <c r="O61" s="13"/>
      <c r="P61" s="13">
        <v>10</v>
      </c>
      <c r="Q61" s="3">
        <f t="shared" si="1"/>
        <v>0</v>
      </c>
      <c r="R61" s="3">
        <f t="shared" si="2"/>
        <v>10</v>
      </c>
      <c r="S61" s="3">
        <f t="shared" si="3"/>
        <v>56</v>
      </c>
      <c r="T61" s="24"/>
      <c r="U61" s="24"/>
      <c r="V61" s="3"/>
      <c r="W61" s="25" t="s">
        <v>6539</v>
      </c>
      <c r="X61" s="25"/>
      <c r="Y61" s="25" t="str">
        <f>IFERROR(VLOOKUP(C_Ope_007[[#This Row],[NOTA 2]],Clientes_Proveedores[[Ruc / Dni]:[Razon Social]],2,0),"")</f>
        <v/>
      </c>
      <c r="Z61" s="25"/>
      <c r="AA61" s="25"/>
      <c r="AB61" s="3" t="str">
        <f>IF(C_Ope_007[[#This Row],[FECHA]]&gt;0,TEXT(C_Ope_007[[#This Row],[FECHA]],"mmmm"),0)</f>
        <v>Febrero</v>
      </c>
    </row>
    <row r="62" spans="2:28" ht="24" x14ac:dyDescent="0.3">
      <c r="B62" s="2">
        <f>IF(C_Ope_007[[#This Row],[TIPO DE R.]]="R",COUNTIFS($D$4:$D61,"R")+1,"")</f>
        <v>58</v>
      </c>
      <c r="C62" s="19" t="str">
        <f t="shared" si="4"/>
        <v>C_Ope_007</v>
      </c>
      <c r="D62" s="3" t="s">
        <v>1074</v>
      </c>
      <c r="E62" s="14">
        <v>45699</v>
      </c>
      <c r="F62" s="5" t="s">
        <v>4314</v>
      </c>
      <c r="G62" s="5" t="s">
        <v>1079</v>
      </c>
      <c r="H62" s="6"/>
      <c r="I62" s="6" t="s">
        <v>14</v>
      </c>
      <c r="J62" s="6" t="s">
        <v>1088</v>
      </c>
      <c r="K62" s="6">
        <v>33834</v>
      </c>
      <c r="L62" s="7" t="s">
        <v>7532</v>
      </c>
      <c r="M62" s="8">
        <v>23175</v>
      </c>
      <c r="N62" s="8" t="str">
        <f t="shared" si="5"/>
        <v>PEN</v>
      </c>
      <c r="O62" s="13"/>
      <c r="P62" s="13">
        <v>10</v>
      </c>
      <c r="Q62" s="3">
        <f t="shared" si="1"/>
        <v>0</v>
      </c>
      <c r="R62" s="3">
        <f t="shared" si="2"/>
        <v>10</v>
      </c>
      <c r="S62" s="3">
        <f t="shared" si="3"/>
        <v>46</v>
      </c>
      <c r="T62" s="24"/>
      <c r="U62" s="24"/>
      <c r="V62" s="3"/>
      <c r="W62" s="25" t="s">
        <v>6539</v>
      </c>
      <c r="X62" s="25"/>
      <c r="Y62" s="25" t="str">
        <f>IFERROR(VLOOKUP(C_Ope_007[[#This Row],[NOTA 2]],Clientes_Proveedores[[Ruc / Dni]:[Razon Social]],2,0),"")</f>
        <v/>
      </c>
      <c r="Z62" s="25"/>
      <c r="AA62" s="25"/>
      <c r="AB62" s="3" t="str">
        <f>IF(C_Ope_007[[#This Row],[FECHA]]&gt;0,TEXT(C_Ope_007[[#This Row],[FECHA]],"mmmm"),0)</f>
        <v>Febrero</v>
      </c>
    </row>
    <row r="63" spans="2:28" ht="24" x14ac:dyDescent="0.3">
      <c r="B63" s="2">
        <f>IF(C_Ope_007[[#This Row],[TIPO DE R.]]="R",COUNTIFS($D$4:$D62,"R")+1,"")</f>
        <v>59</v>
      </c>
      <c r="C63" s="19" t="str">
        <f t="shared" si="4"/>
        <v>C_Ope_007</v>
      </c>
      <c r="D63" s="3" t="s">
        <v>1074</v>
      </c>
      <c r="E63" s="14">
        <v>45708</v>
      </c>
      <c r="F63" s="5" t="s">
        <v>4314</v>
      </c>
      <c r="G63" s="5" t="s">
        <v>1079</v>
      </c>
      <c r="H63" s="6"/>
      <c r="I63" s="6" t="s">
        <v>14</v>
      </c>
      <c r="J63" s="6" t="s">
        <v>1088</v>
      </c>
      <c r="K63" s="6">
        <v>33924</v>
      </c>
      <c r="L63" s="7" t="s">
        <v>7533</v>
      </c>
      <c r="M63" s="8">
        <v>23154</v>
      </c>
      <c r="N63" s="8" t="str">
        <f t="shared" si="5"/>
        <v>PEN</v>
      </c>
      <c r="O63" s="13"/>
      <c r="P63" s="13">
        <v>10</v>
      </c>
      <c r="Q63" s="3">
        <f t="shared" si="1"/>
        <v>0</v>
      </c>
      <c r="R63" s="3">
        <f t="shared" si="2"/>
        <v>10</v>
      </c>
      <c r="S63" s="3">
        <f t="shared" si="3"/>
        <v>36</v>
      </c>
      <c r="T63" s="24"/>
      <c r="U63" s="24"/>
      <c r="V63" s="3"/>
      <c r="W63" s="25" t="s">
        <v>6813</v>
      </c>
      <c r="X63" s="25"/>
      <c r="Y63" s="25" t="str">
        <f>IFERROR(VLOOKUP(C_Ope_007[[#This Row],[NOTA 2]],Clientes_Proveedores[[Ruc / Dni]:[Razon Social]],2,0),"")</f>
        <v/>
      </c>
      <c r="Z63" s="25"/>
      <c r="AA63" s="25"/>
      <c r="AB63" s="3" t="str">
        <f>IF(C_Ope_007[[#This Row],[FECHA]]&gt;0,TEXT(C_Ope_007[[#This Row],[FECHA]],"mmmm"),0)</f>
        <v>Febrero</v>
      </c>
    </row>
    <row r="64" spans="2:28" x14ac:dyDescent="0.3">
      <c r="B64" s="2">
        <f>IF(C_Ope_007[[#This Row],[TIPO DE R.]]="R",COUNTIFS($D$4:$D63,"R")+1,"")</f>
        <v>60</v>
      </c>
      <c r="C64" s="19" t="str">
        <f t="shared" si="4"/>
        <v>C_Ope_007</v>
      </c>
      <c r="D64" s="3" t="s">
        <v>1074</v>
      </c>
      <c r="E64" s="14">
        <v>45709</v>
      </c>
      <c r="F64" s="5" t="s">
        <v>4314</v>
      </c>
      <c r="G64" s="5" t="s">
        <v>1079</v>
      </c>
      <c r="H64" s="6"/>
      <c r="I64" s="6" t="s">
        <v>14</v>
      </c>
      <c r="J64" s="6" t="s">
        <v>1088</v>
      </c>
      <c r="K64" s="6">
        <v>33936</v>
      </c>
      <c r="L64" s="7" t="s">
        <v>7534</v>
      </c>
      <c r="M64" s="8">
        <v>23155</v>
      </c>
      <c r="N64" s="8" t="str">
        <f t="shared" si="5"/>
        <v>PEN</v>
      </c>
      <c r="O64" s="13"/>
      <c r="P64" s="13">
        <v>10</v>
      </c>
      <c r="Q64" s="3">
        <f t="shared" si="1"/>
        <v>0</v>
      </c>
      <c r="R64" s="3">
        <f t="shared" si="2"/>
        <v>10</v>
      </c>
      <c r="S64" s="3">
        <f t="shared" si="3"/>
        <v>26</v>
      </c>
      <c r="T64" s="24"/>
      <c r="U64" s="24"/>
      <c r="V64" s="3"/>
      <c r="W64" s="25" t="s">
        <v>6813</v>
      </c>
      <c r="X64" s="25"/>
      <c r="Y64" s="25" t="str">
        <f>IFERROR(VLOOKUP(C_Ope_007[[#This Row],[NOTA 2]],Clientes_Proveedores[[Ruc / Dni]:[Razon Social]],2,0),"")</f>
        <v/>
      </c>
      <c r="Z64" s="25"/>
      <c r="AA64" s="25"/>
      <c r="AB64" s="3" t="str">
        <f>IF(C_Ope_007[[#This Row],[FECHA]]&gt;0,TEXT(C_Ope_007[[#This Row],[FECHA]],"mmmm"),0)</f>
        <v>Febrero</v>
      </c>
    </row>
    <row r="65" spans="2:28" ht="24" x14ac:dyDescent="0.3">
      <c r="B65" s="2">
        <f>IF(C_Ope_007[[#This Row],[TIPO DE R.]]="R",COUNTIFS($D$4:$D64,"R")+1,"")</f>
        <v>61</v>
      </c>
      <c r="C65" s="19" t="str">
        <f t="shared" si="4"/>
        <v>C_Ope_007</v>
      </c>
      <c r="D65" s="3" t="s">
        <v>1074</v>
      </c>
      <c r="E65" s="14">
        <v>45711</v>
      </c>
      <c r="F65" s="5" t="s">
        <v>4314</v>
      </c>
      <c r="G65" s="5" t="s">
        <v>1079</v>
      </c>
      <c r="H65" s="6"/>
      <c r="I65" s="6" t="s">
        <v>14</v>
      </c>
      <c r="J65" s="6" t="s">
        <v>1088</v>
      </c>
      <c r="K65" s="6">
        <v>33948</v>
      </c>
      <c r="L65" s="7" t="s">
        <v>7535</v>
      </c>
      <c r="M65" s="8">
        <v>23156</v>
      </c>
      <c r="N65" s="8" t="str">
        <f t="shared" si="5"/>
        <v>PEN</v>
      </c>
      <c r="O65" s="13"/>
      <c r="P65" s="13">
        <v>10</v>
      </c>
      <c r="Q65" s="3">
        <f t="shared" si="1"/>
        <v>0</v>
      </c>
      <c r="R65" s="3">
        <f t="shared" si="2"/>
        <v>10</v>
      </c>
      <c r="S65" s="3">
        <f t="shared" si="3"/>
        <v>16</v>
      </c>
      <c r="T65" s="24"/>
      <c r="U65" s="24"/>
      <c r="V65" s="3"/>
      <c r="W65" s="25" t="s">
        <v>6813</v>
      </c>
      <c r="X65" s="25"/>
      <c r="Y65" s="25" t="str">
        <f>IFERROR(VLOOKUP(C_Ope_007[[#This Row],[NOTA 2]],Clientes_Proveedores[[Ruc / Dni]:[Razon Social]],2,0),"")</f>
        <v/>
      </c>
      <c r="Z65" s="25"/>
      <c r="AA65" s="25"/>
      <c r="AB65" s="3" t="str">
        <f>IF(C_Ope_007[[#This Row],[FECHA]]&gt;0,TEXT(C_Ope_007[[#This Row],[FECHA]],"mmmm"),0)</f>
        <v>Febrero</v>
      </c>
    </row>
    <row r="66" spans="2:28" x14ac:dyDescent="0.3">
      <c r="B66" s="2">
        <f>IF(C_Ope_007[[#This Row],[TIPO DE R.]]="R",COUNTIFS($D$4:$D65,"R")+1,"")</f>
        <v>62</v>
      </c>
      <c r="C66" s="19" t="str">
        <f t="shared" si="4"/>
        <v>C_Ope_007</v>
      </c>
      <c r="D66" s="3" t="s">
        <v>1074</v>
      </c>
      <c r="E66" s="14">
        <v>45712</v>
      </c>
      <c r="F66" s="5" t="s">
        <v>6299</v>
      </c>
      <c r="G66" s="5" t="s">
        <v>1087</v>
      </c>
      <c r="H66" s="6"/>
      <c r="I66" s="6"/>
      <c r="J66" s="6"/>
      <c r="K66" s="6"/>
      <c r="L66" s="7" t="s">
        <v>6302</v>
      </c>
      <c r="M66" s="8">
        <v>23168</v>
      </c>
      <c r="N66" s="8" t="str">
        <f t="shared" si="5"/>
        <v>PEN</v>
      </c>
      <c r="O66" s="13"/>
      <c r="P66" s="13">
        <v>70</v>
      </c>
      <c r="Q66" s="3">
        <f t="shared" si="1"/>
        <v>70</v>
      </c>
      <c r="R66" s="3">
        <f t="shared" si="2"/>
        <v>0</v>
      </c>
      <c r="S66" s="3">
        <f t="shared" si="3"/>
        <v>86</v>
      </c>
      <c r="T66" s="24"/>
      <c r="U66" s="24"/>
      <c r="V66" s="3"/>
      <c r="W66" s="25"/>
      <c r="X66" s="25"/>
      <c r="Y66" s="25" t="str">
        <f>IFERROR(VLOOKUP(C_Ope_007[[#This Row],[NOTA 2]],Clientes_Proveedores[[Ruc / Dni]:[Razon Social]],2,0),"")</f>
        <v/>
      </c>
      <c r="Z66" s="25"/>
      <c r="AA66" s="25"/>
      <c r="AB66" s="3" t="str">
        <f>IF(C_Ope_007[[#This Row],[FECHA]]&gt;0,TEXT(C_Ope_007[[#This Row],[FECHA]],"mmmm"),0)</f>
        <v>Febrero</v>
      </c>
    </row>
    <row r="67" spans="2:28" ht="24" x14ac:dyDescent="0.3">
      <c r="B67" s="2">
        <f>IF(C_Ope_007[[#This Row],[TIPO DE R.]]="R",COUNTIFS($D$4:$D66,"R")+1,"")</f>
        <v>63</v>
      </c>
      <c r="C67" s="19" t="str">
        <f t="shared" si="4"/>
        <v>C_Ope_007</v>
      </c>
      <c r="D67" s="3" t="s">
        <v>1074</v>
      </c>
      <c r="E67" s="14">
        <v>45712</v>
      </c>
      <c r="F67" s="5" t="s">
        <v>4314</v>
      </c>
      <c r="G67" s="5" t="s">
        <v>1079</v>
      </c>
      <c r="H67" s="6"/>
      <c r="I67" s="6" t="s">
        <v>14</v>
      </c>
      <c r="J67" s="6" t="s">
        <v>5243</v>
      </c>
      <c r="K67" s="6">
        <v>2243714</v>
      </c>
      <c r="L67" s="7" t="s">
        <v>7536</v>
      </c>
      <c r="M67" s="8">
        <v>23314</v>
      </c>
      <c r="N67" s="8" t="str">
        <f t="shared" si="5"/>
        <v>PEN</v>
      </c>
      <c r="O67" s="13"/>
      <c r="P67" s="13">
        <v>8</v>
      </c>
      <c r="Q67" s="3">
        <f t="shared" si="1"/>
        <v>0</v>
      </c>
      <c r="R67" s="3">
        <f t="shared" si="2"/>
        <v>8</v>
      </c>
      <c r="S67" s="3">
        <f t="shared" si="3"/>
        <v>78</v>
      </c>
      <c r="T67" s="24"/>
      <c r="U67" s="24"/>
      <c r="V67" s="3"/>
      <c r="W67" s="25" t="s">
        <v>6813</v>
      </c>
      <c r="X67" s="25"/>
      <c r="Y67" s="25" t="str">
        <f>IFERROR(VLOOKUP(C_Ope_007[[#This Row],[NOTA 2]],Clientes_Proveedores[[Ruc / Dni]:[Razon Social]],2,0),"")</f>
        <v/>
      </c>
      <c r="Z67" s="25"/>
      <c r="AA67" s="25"/>
      <c r="AB67" s="3" t="str">
        <f>IF(C_Ope_007[[#This Row],[FECHA]]&gt;0,TEXT(C_Ope_007[[#This Row],[FECHA]],"mmmm"),0)</f>
        <v>Febrero</v>
      </c>
    </row>
    <row r="68" spans="2:28" ht="24" x14ac:dyDescent="0.3">
      <c r="B68" s="2">
        <f>IF(C_Ope_007[[#This Row],[TIPO DE R.]]="R",COUNTIFS($D$4:$D67,"R")+1,"")</f>
        <v>64</v>
      </c>
      <c r="C68" s="19" t="str">
        <f t="shared" si="4"/>
        <v>C_Ope_007</v>
      </c>
      <c r="D68" s="3" t="s">
        <v>1074</v>
      </c>
      <c r="E68" s="14">
        <v>45712</v>
      </c>
      <c r="F68" s="5" t="s">
        <v>4314</v>
      </c>
      <c r="G68" s="5" t="s">
        <v>1079</v>
      </c>
      <c r="H68" s="6"/>
      <c r="I68" s="6" t="s">
        <v>14</v>
      </c>
      <c r="J68" s="6" t="s">
        <v>5245</v>
      </c>
      <c r="K68" s="6">
        <v>1683419</v>
      </c>
      <c r="L68" s="7" t="s">
        <v>7536</v>
      </c>
      <c r="M68" s="8">
        <v>23315</v>
      </c>
      <c r="N68" s="8" t="str">
        <f t="shared" si="5"/>
        <v>PEN</v>
      </c>
      <c r="O68" s="13"/>
      <c r="P68" s="13">
        <v>8</v>
      </c>
      <c r="Q68" s="3">
        <f t="shared" si="1"/>
        <v>0</v>
      </c>
      <c r="R68" s="3">
        <f t="shared" si="2"/>
        <v>8</v>
      </c>
      <c r="S68" s="3">
        <f t="shared" si="3"/>
        <v>70</v>
      </c>
      <c r="T68" s="24"/>
      <c r="U68" s="24"/>
      <c r="V68" s="3"/>
      <c r="W68" s="25" t="s">
        <v>6813</v>
      </c>
      <c r="X68" s="25"/>
      <c r="Y68" s="25" t="str">
        <f>IFERROR(VLOOKUP(C_Ope_007[[#This Row],[NOTA 2]],Clientes_Proveedores[[Ruc / Dni]:[Razon Social]],2,0),"")</f>
        <v/>
      </c>
      <c r="Z68" s="25"/>
      <c r="AA68" s="25"/>
      <c r="AB68" s="3" t="str">
        <f>IF(C_Ope_007[[#This Row],[FECHA]]&gt;0,TEXT(C_Ope_007[[#This Row],[FECHA]],"mmmm"),0)</f>
        <v>Febrero</v>
      </c>
    </row>
    <row r="69" spans="2:28" x14ac:dyDescent="0.3">
      <c r="B69" s="2">
        <f>IF(C_Ope_007[[#This Row],[TIPO DE R.]]="R",COUNTIFS($D$4:$D68,"R")+1,"")</f>
        <v>65</v>
      </c>
      <c r="C69" s="19" t="str">
        <f t="shared" si="4"/>
        <v>C_Ope_007</v>
      </c>
      <c r="D69" s="3" t="s">
        <v>1074</v>
      </c>
      <c r="E69" s="14">
        <v>45716</v>
      </c>
      <c r="F69" s="5" t="s">
        <v>4314</v>
      </c>
      <c r="G69" s="5" t="s">
        <v>1079</v>
      </c>
      <c r="H69" s="6"/>
      <c r="I69" s="6" t="s">
        <v>14</v>
      </c>
      <c r="J69" s="6" t="s">
        <v>5243</v>
      </c>
      <c r="K69" s="6">
        <v>2248675</v>
      </c>
      <c r="L69" s="7" t="s">
        <v>7537</v>
      </c>
      <c r="M69" s="8">
        <v>23316</v>
      </c>
      <c r="N69" s="8" t="str">
        <f t="shared" si="5"/>
        <v>PEN</v>
      </c>
      <c r="O69" s="13"/>
      <c r="P69" s="13">
        <v>8</v>
      </c>
      <c r="Q69" s="3">
        <f t="shared" ref="Q69:Q132" si="6">+IF(OR($G69="SALDO",$G69="INGRESO"),$P69,0)</f>
        <v>0</v>
      </c>
      <c r="R69" s="3">
        <f t="shared" ref="R69:R132" si="7">+IF($G69="EGRESO",$P69,0)</f>
        <v>8</v>
      </c>
      <c r="S69" s="3">
        <f t="shared" ref="S69:S132" si="8">IFERROR(IF(G69="SALDO",Q69,S68+Q69-R69),0)</f>
        <v>62</v>
      </c>
      <c r="T69" s="24"/>
      <c r="U69" s="24"/>
      <c r="V69" s="3"/>
      <c r="W69" s="25" t="s">
        <v>6630</v>
      </c>
      <c r="X69" s="25"/>
      <c r="Y69" s="25" t="str">
        <f>IFERROR(VLOOKUP(C_Ope_007[[#This Row],[NOTA 2]],Clientes_Proveedores[[Ruc / Dni]:[Razon Social]],2,0),"")</f>
        <v/>
      </c>
      <c r="Z69" s="25"/>
      <c r="AA69" s="25"/>
      <c r="AB69" s="3" t="str">
        <f>IF(C_Ope_007[[#This Row],[FECHA]]&gt;0,TEXT(C_Ope_007[[#This Row],[FECHA]],"mmmm"),0)</f>
        <v>Febrero</v>
      </c>
    </row>
    <row r="70" spans="2:28" x14ac:dyDescent="0.3">
      <c r="B70" s="2">
        <f>IF(C_Ope_007[[#This Row],[TIPO DE R.]]="R",COUNTIFS($D$4:$D69,"R")+1,"")</f>
        <v>66</v>
      </c>
      <c r="C70" s="19" t="str">
        <f t="shared" ref="C70:C133" si="9">"C_Ope_007"</f>
        <v>C_Ope_007</v>
      </c>
      <c r="D70" s="3" t="s">
        <v>1074</v>
      </c>
      <c r="E70" s="14">
        <v>45716</v>
      </c>
      <c r="F70" s="5" t="s">
        <v>4314</v>
      </c>
      <c r="G70" s="5" t="s">
        <v>1079</v>
      </c>
      <c r="H70" s="6"/>
      <c r="I70" s="6" t="s">
        <v>14</v>
      </c>
      <c r="J70" s="6" t="s">
        <v>5245</v>
      </c>
      <c r="K70" s="6">
        <v>1686804</v>
      </c>
      <c r="L70" s="7" t="s">
        <v>7537</v>
      </c>
      <c r="M70" s="8">
        <v>23317</v>
      </c>
      <c r="N70" s="8" t="str">
        <f t="shared" ref="N70:N133" si="10">"PEN"</f>
        <v>PEN</v>
      </c>
      <c r="O70" s="13"/>
      <c r="P70" s="13">
        <v>8</v>
      </c>
      <c r="Q70" s="3">
        <f t="shared" si="6"/>
        <v>0</v>
      </c>
      <c r="R70" s="3">
        <f t="shared" si="7"/>
        <v>8</v>
      </c>
      <c r="S70" s="3">
        <f t="shared" si="8"/>
        <v>54</v>
      </c>
      <c r="T70" s="24"/>
      <c r="U70" s="24"/>
      <c r="V70" s="3"/>
      <c r="W70" s="25" t="s">
        <v>6630</v>
      </c>
      <c r="X70" s="25"/>
      <c r="Y70" s="25" t="str">
        <f>IFERROR(VLOOKUP(C_Ope_007[[#This Row],[NOTA 2]],Clientes_Proveedores[[Ruc / Dni]:[Razon Social]],2,0),"")</f>
        <v/>
      </c>
      <c r="Z70" s="25"/>
      <c r="AA70" s="25"/>
      <c r="AB70" s="3" t="str">
        <f>IF(C_Ope_007[[#This Row],[FECHA]]&gt;0,TEXT(C_Ope_007[[#This Row],[FECHA]],"mmmm"),0)</f>
        <v>Febrero</v>
      </c>
    </row>
    <row r="71" spans="2:28" ht="24" x14ac:dyDescent="0.3">
      <c r="B71" s="2">
        <f>IF(C_Ope_007[[#This Row],[TIPO DE R.]]="R",COUNTIFS($D$4:$D70,"R")+1,"")</f>
        <v>67</v>
      </c>
      <c r="C71" s="19" t="str">
        <f t="shared" si="9"/>
        <v>C_Ope_007</v>
      </c>
      <c r="D71" s="3" t="s">
        <v>1074</v>
      </c>
      <c r="E71" s="14">
        <v>45716</v>
      </c>
      <c r="F71" s="5" t="s">
        <v>4314</v>
      </c>
      <c r="G71" s="5" t="s">
        <v>1079</v>
      </c>
      <c r="H71" s="6"/>
      <c r="I71" s="6" t="s">
        <v>14</v>
      </c>
      <c r="J71" s="6" t="s">
        <v>5243</v>
      </c>
      <c r="K71" s="6">
        <v>2249084</v>
      </c>
      <c r="L71" s="7" t="s">
        <v>6609</v>
      </c>
      <c r="M71" s="8">
        <v>23318</v>
      </c>
      <c r="N71" s="8" t="str">
        <f t="shared" si="10"/>
        <v>PEN</v>
      </c>
      <c r="O71" s="13"/>
      <c r="P71" s="13">
        <v>8</v>
      </c>
      <c r="Q71" s="3">
        <f t="shared" si="6"/>
        <v>0</v>
      </c>
      <c r="R71" s="3">
        <f t="shared" si="7"/>
        <v>8</v>
      </c>
      <c r="S71" s="3">
        <f t="shared" si="8"/>
        <v>46</v>
      </c>
      <c r="T71" s="24"/>
      <c r="U71" s="24"/>
      <c r="V71" s="3"/>
      <c r="W71" s="25" t="s">
        <v>6630</v>
      </c>
      <c r="X71" s="25"/>
      <c r="Y71" s="25" t="str">
        <f>IFERROR(VLOOKUP(C_Ope_007[[#This Row],[NOTA 2]],Clientes_Proveedores[[Ruc / Dni]:[Razon Social]],2,0),"")</f>
        <v/>
      </c>
      <c r="Z71" s="25"/>
      <c r="AA71" s="25"/>
      <c r="AB71" s="3" t="str">
        <f>IF(C_Ope_007[[#This Row],[FECHA]]&gt;0,TEXT(C_Ope_007[[#This Row],[FECHA]],"mmmm"),0)</f>
        <v>Febrero</v>
      </c>
    </row>
    <row r="72" spans="2:28" ht="24" x14ac:dyDescent="0.3">
      <c r="B72" s="2">
        <f>IF(C_Ope_007[[#This Row],[TIPO DE R.]]="R",COUNTIFS($D$4:$D71,"R")+1,"")</f>
        <v>68</v>
      </c>
      <c r="C72" s="19" t="str">
        <f t="shared" si="9"/>
        <v>C_Ope_007</v>
      </c>
      <c r="D72" s="3" t="s">
        <v>1074</v>
      </c>
      <c r="E72" s="14">
        <v>45716</v>
      </c>
      <c r="F72" s="5" t="s">
        <v>4314</v>
      </c>
      <c r="G72" s="5" t="s">
        <v>1079</v>
      </c>
      <c r="H72" s="6"/>
      <c r="I72" s="6" t="s">
        <v>14</v>
      </c>
      <c r="J72" s="6" t="s">
        <v>5245</v>
      </c>
      <c r="K72" s="6">
        <v>1687149</v>
      </c>
      <c r="L72" s="7" t="s">
        <v>6609</v>
      </c>
      <c r="M72" s="8">
        <v>23319</v>
      </c>
      <c r="N72" s="8" t="str">
        <f t="shared" si="10"/>
        <v>PEN</v>
      </c>
      <c r="O72" s="13"/>
      <c r="P72" s="13">
        <v>8</v>
      </c>
      <c r="Q72" s="3">
        <f t="shared" si="6"/>
        <v>0</v>
      </c>
      <c r="R72" s="3">
        <f t="shared" si="7"/>
        <v>8</v>
      </c>
      <c r="S72" s="3">
        <f t="shared" si="8"/>
        <v>38</v>
      </c>
      <c r="T72" s="24"/>
      <c r="U72" s="24"/>
      <c r="V72" s="3"/>
      <c r="W72" s="25" t="s">
        <v>6630</v>
      </c>
      <c r="X72" s="25"/>
      <c r="Y72" s="25" t="str">
        <f>IFERROR(VLOOKUP(C_Ope_007[[#This Row],[NOTA 2]],Clientes_Proveedores[[Ruc / Dni]:[Razon Social]],2,0),"")</f>
        <v/>
      </c>
      <c r="Z72" s="25"/>
      <c r="AA72" s="25"/>
      <c r="AB72" s="3" t="str">
        <f>IF(C_Ope_007[[#This Row],[FECHA]]&gt;0,TEXT(C_Ope_007[[#This Row],[FECHA]],"mmmm"),0)</f>
        <v>Febrero</v>
      </c>
    </row>
    <row r="73" spans="2:28" x14ac:dyDescent="0.3">
      <c r="B73" s="2">
        <f>IF(C_Ope_007[[#This Row],[TIPO DE R.]]="R",COUNTIFS($D$4:$D72,"R")+1,"")</f>
        <v>69</v>
      </c>
      <c r="C73" s="19" t="str">
        <f t="shared" si="9"/>
        <v>C_Ope_007</v>
      </c>
      <c r="D73" s="3" t="s">
        <v>1074</v>
      </c>
      <c r="E73" s="14">
        <v>45714</v>
      </c>
      <c r="F73" s="5" t="s">
        <v>4314</v>
      </c>
      <c r="G73" s="5" t="s">
        <v>1079</v>
      </c>
      <c r="H73" s="6"/>
      <c r="I73" s="6" t="s">
        <v>14</v>
      </c>
      <c r="J73" s="6" t="s">
        <v>1148</v>
      </c>
      <c r="K73" s="6">
        <v>128711</v>
      </c>
      <c r="L73" s="7" t="s">
        <v>7538</v>
      </c>
      <c r="M73" s="8">
        <v>23320</v>
      </c>
      <c r="N73" s="8" t="str">
        <f t="shared" si="10"/>
        <v>PEN</v>
      </c>
      <c r="O73" s="13"/>
      <c r="P73" s="13">
        <v>10</v>
      </c>
      <c r="Q73" s="3">
        <f t="shared" si="6"/>
        <v>0</v>
      </c>
      <c r="R73" s="3">
        <f t="shared" si="7"/>
        <v>10</v>
      </c>
      <c r="S73" s="3">
        <f t="shared" si="8"/>
        <v>28</v>
      </c>
      <c r="T73" s="24"/>
      <c r="U73" s="24"/>
      <c r="V73" s="3"/>
      <c r="W73" s="25" t="s">
        <v>6813</v>
      </c>
      <c r="X73" s="25"/>
      <c r="Y73" s="25" t="str">
        <f>IFERROR(VLOOKUP(C_Ope_007[[#This Row],[NOTA 2]],Clientes_Proveedores[[Ruc / Dni]:[Razon Social]],2,0),"")</f>
        <v/>
      </c>
      <c r="Z73" s="25"/>
      <c r="AA73" s="25"/>
      <c r="AB73" s="3" t="str">
        <f>IF(C_Ope_007[[#This Row],[FECHA]]&gt;0,TEXT(C_Ope_007[[#This Row],[FECHA]],"mmmm"),0)</f>
        <v>Febrero</v>
      </c>
    </row>
    <row r="74" spans="2:28" x14ac:dyDescent="0.3">
      <c r="B74" s="2">
        <f>IF(C_Ope_007[[#This Row],[TIPO DE R.]]="R",COUNTIFS($D$4:$D73,"R")+1,"")</f>
        <v>70</v>
      </c>
      <c r="C74" s="19" t="str">
        <f t="shared" si="9"/>
        <v>C_Ope_007</v>
      </c>
      <c r="D74" s="3" t="s">
        <v>1074</v>
      </c>
      <c r="E74" s="14">
        <v>45716</v>
      </c>
      <c r="F74" s="5" t="s">
        <v>4314</v>
      </c>
      <c r="G74" s="5" t="s">
        <v>1079</v>
      </c>
      <c r="H74" s="6"/>
      <c r="I74" s="6" t="s">
        <v>14</v>
      </c>
      <c r="J74" s="6" t="s">
        <v>1097</v>
      </c>
      <c r="K74" s="6">
        <v>15766</v>
      </c>
      <c r="L74" s="7" t="s">
        <v>6613</v>
      </c>
      <c r="M74" s="8">
        <v>23322</v>
      </c>
      <c r="N74" s="8" t="str">
        <f t="shared" si="10"/>
        <v>PEN</v>
      </c>
      <c r="O74" s="13"/>
      <c r="P74" s="13">
        <v>20</v>
      </c>
      <c r="Q74" s="3">
        <f t="shared" si="6"/>
        <v>0</v>
      </c>
      <c r="R74" s="3">
        <f t="shared" si="7"/>
        <v>20</v>
      </c>
      <c r="S74" s="3">
        <f t="shared" si="8"/>
        <v>8</v>
      </c>
      <c r="T74" s="24"/>
      <c r="U74" s="24"/>
      <c r="V74" s="3"/>
      <c r="W74" s="25" t="s">
        <v>6630</v>
      </c>
      <c r="X74" s="25"/>
      <c r="Y74" s="25" t="str">
        <f>IFERROR(VLOOKUP(C_Ope_007[[#This Row],[NOTA 2]],Clientes_Proveedores[[Ruc / Dni]:[Razon Social]],2,0),"")</f>
        <v/>
      </c>
      <c r="Z74" s="25"/>
      <c r="AA74" s="25"/>
      <c r="AB74" s="3" t="str">
        <f>IF(C_Ope_007[[#This Row],[FECHA]]&gt;0,TEXT(C_Ope_007[[#This Row],[FECHA]],"mmmm"),0)</f>
        <v>Febrero</v>
      </c>
    </row>
    <row r="75" spans="2:28" x14ac:dyDescent="0.3">
      <c r="B75" s="2">
        <f>IF(C_Ope_007[[#This Row],[TIPO DE R.]]="R",COUNTIFS($D$4:$D74,"R")+1,"")</f>
        <v>71</v>
      </c>
      <c r="C75" s="19" t="str">
        <f t="shared" si="9"/>
        <v>C_Ope_007</v>
      </c>
      <c r="D75" s="3" t="s">
        <v>1074</v>
      </c>
      <c r="E75" s="14">
        <v>45713</v>
      </c>
      <c r="F75" s="5" t="s">
        <v>4314</v>
      </c>
      <c r="G75" s="5" t="s">
        <v>1079</v>
      </c>
      <c r="H75" s="6"/>
      <c r="I75" s="6" t="s">
        <v>14</v>
      </c>
      <c r="J75" s="6" t="s">
        <v>1119</v>
      </c>
      <c r="K75" s="6">
        <v>7018</v>
      </c>
      <c r="L75" s="7" t="s">
        <v>6565</v>
      </c>
      <c r="M75" s="8">
        <v>23321</v>
      </c>
      <c r="N75" s="8" t="str">
        <f t="shared" si="10"/>
        <v>PEN</v>
      </c>
      <c r="O75" s="13"/>
      <c r="P75" s="13">
        <v>30</v>
      </c>
      <c r="Q75" s="3">
        <f t="shared" si="6"/>
        <v>0</v>
      </c>
      <c r="R75" s="3">
        <f t="shared" si="7"/>
        <v>30</v>
      </c>
      <c r="S75" s="3">
        <f t="shared" si="8"/>
        <v>-22</v>
      </c>
      <c r="T75" s="24"/>
      <c r="U75" s="24"/>
      <c r="V75" s="3"/>
      <c r="W75" s="25" t="s">
        <v>6541</v>
      </c>
      <c r="X75" s="25"/>
      <c r="Y75" s="25" t="str">
        <f>IFERROR(VLOOKUP(C_Ope_007[[#This Row],[NOTA 2]],Clientes_Proveedores[[Ruc / Dni]:[Razon Social]],2,0),"")</f>
        <v/>
      </c>
      <c r="Z75" s="25"/>
      <c r="AA75" s="25"/>
      <c r="AB75" s="3" t="str">
        <f>IF(C_Ope_007[[#This Row],[FECHA]]&gt;0,TEXT(C_Ope_007[[#This Row],[FECHA]],"mmmm"),0)</f>
        <v>Febrero</v>
      </c>
    </row>
    <row r="76" spans="2:28" x14ac:dyDescent="0.3">
      <c r="B76" s="2">
        <f>IF(C_Ope_007[[#This Row],[TIPO DE R.]]="R",COUNTIFS($D$4:$D75,"R")+1,"")</f>
        <v>72</v>
      </c>
      <c r="C76" s="19" t="str">
        <f t="shared" si="9"/>
        <v>C_Ope_007</v>
      </c>
      <c r="D76" s="3" t="s">
        <v>1074</v>
      </c>
      <c r="E76" s="14">
        <v>45723</v>
      </c>
      <c r="F76" s="5" t="s">
        <v>6299</v>
      </c>
      <c r="G76" s="5" t="s">
        <v>1087</v>
      </c>
      <c r="H76" s="6"/>
      <c r="I76" s="6"/>
      <c r="J76" s="6"/>
      <c r="K76" s="6"/>
      <c r="L76" s="7" t="s">
        <v>6302</v>
      </c>
      <c r="M76" s="8">
        <v>23326</v>
      </c>
      <c r="N76" s="8" t="str">
        <f t="shared" si="10"/>
        <v>PEN</v>
      </c>
      <c r="O76" s="13"/>
      <c r="P76" s="13">
        <v>130</v>
      </c>
      <c r="Q76" s="3">
        <f t="shared" si="6"/>
        <v>130</v>
      </c>
      <c r="R76" s="3">
        <f t="shared" si="7"/>
        <v>0</v>
      </c>
      <c r="S76" s="3">
        <f t="shared" si="8"/>
        <v>108</v>
      </c>
      <c r="T76" s="24"/>
      <c r="U76" s="24"/>
      <c r="V76" s="3"/>
      <c r="W76" s="25"/>
      <c r="X76" s="25"/>
      <c r="Y76" s="25" t="str">
        <f>IFERROR(VLOOKUP(C_Ope_007[[#This Row],[NOTA 2]],Clientes_Proveedores[[Ruc / Dni]:[Razon Social]],2,0),"")</f>
        <v/>
      </c>
      <c r="Z76" s="25"/>
      <c r="AA76" s="25"/>
      <c r="AB76" s="3" t="str">
        <f>IF(C_Ope_007[[#This Row],[FECHA]]&gt;0,TEXT(C_Ope_007[[#This Row],[FECHA]],"mmmm"),0)</f>
        <v>Marzo</v>
      </c>
    </row>
    <row r="77" spans="2:28" ht="24" x14ac:dyDescent="0.3">
      <c r="B77" s="2">
        <f>IF(C_Ope_007[[#This Row],[TIPO DE R.]]="R",COUNTIFS($D$4:$D76,"R")+1,"")</f>
        <v>73</v>
      </c>
      <c r="C77" s="19" t="str">
        <f t="shared" si="9"/>
        <v>C_Ope_007</v>
      </c>
      <c r="D77" s="3" t="s">
        <v>1074</v>
      </c>
      <c r="E77" s="14">
        <v>45726</v>
      </c>
      <c r="F77" s="5" t="s">
        <v>4314</v>
      </c>
      <c r="G77" s="5" t="s">
        <v>1079</v>
      </c>
      <c r="H77" s="6"/>
      <c r="I77" s="6" t="s">
        <v>14</v>
      </c>
      <c r="J77" s="6" t="s">
        <v>5243</v>
      </c>
      <c r="K77" s="6">
        <v>2259742</v>
      </c>
      <c r="L77" s="7" t="s">
        <v>7539</v>
      </c>
      <c r="M77" s="8">
        <v>23445</v>
      </c>
      <c r="N77" s="8" t="str">
        <f t="shared" si="10"/>
        <v>PEN</v>
      </c>
      <c r="O77" s="13"/>
      <c r="P77" s="13">
        <v>5</v>
      </c>
      <c r="Q77" s="3">
        <f t="shared" si="6"/>
        <v>0</v>
      </c>
      <c r="R77" s="3">
        <f t="shared" si="7"/>
        <v>5</v>
      </c>
      <c r="S77" s="3">
        <f t="shared" si="8"/>
        <v>103</v>
      </c>
      <c r="T77" s="24"/>
      <c r="U77" s="24"/>
      <c r="V77" s="3"/>
      <c r="W77" s="25" t="s">
        <v>6539</v>
      </c>
      <c r="X77" s="25"/>
      <c r="Y77" s="25" t="str">
        <f>IFERROR(VLOOKUP(C_Ope_007[[#This Row],[NOTA 2]],Clientes_Proveedores[[Ruc / Dni]:[Razon Social]],2,0),"")</f>
        <v/>
      </c>
      <c r="Z77" s="25"/>
      <c r="AA77" s="25"/>
      <c r="AB77" s="3" t="str">
        <f>IF(C_Ope_007[[#This Row],[FECHA]]&gt;0,TEXT(C_Ope_007[[#This Row],[FECHA]],"mmmm"),0)</f>
        <v>Marzo</v>
      </c>
    </row>
    <row r="78" spans="2:28" ht="24" x14ac:dyDescent="0.3">
      <c r="B78" s="2">
        <f>IF(C_Ope_007[[#This Row],[TIPO DE R.]]="R",COUNTIFS($D$4:$D77,"R")+1,"")</f>
        <v>74</v>
      </c>
      <c r="C78" s="19" t="str">
        <f t="shared" si="9"/>
        <v>C_Ope_007</v>
      </c>
      <c r="D78" s="3" t="s">
        <v>1074</v>
      </c>
      <c r="E78" s="14">
        <v>45726</v>
      </c>
      <c r="F78" s="5" t="s">
        <v>4314</v>
      </c>
      <c r="G78" s="5" t="s">
        <v>1079</v>
      </c>
      <c r="H78" s="6"/>
      <c r="I78" s="6" t="s">
        <v>14</v>
      </c>
      <c r="J78" s="6" t="s">
        <v>6556</v>
      </c>
      <c r="K78" s="6">
        <v>457522</v>
      </c>
      <c r="L78" s="7" t="s">
        <v>7540</v>
      </c>
      <c r="M78" s="8">
        <v>23446</v>
      </c>
      <c r="N78" s="8" t="str">
        <f t="shared" si="10"/>
        <v>PEN</v>
      </c>
      <c r="O78" s="13"/>
      <c r="P78" s="13">
        <v>5</v>
      </c>
      <c r="Q78" s="3">
        <f t="shared" si="6"/>
        <v>0</v>
      </c>
      <c r="R78" s="3">
        <f t="shared" si="7"/>
        <v>5</v>
      </c>
      <c r="S78" s="3">
        <f t="shared" si="8"/>
        <v>98</v>
      </c>
      <c r="T78" s="24"/>
      <c r="U78" s="24"/>
      <c r="V78" s="3"/>
      <c r="W78" s="25" t="s">
        <v>6539</v>
      </c>
      <c r="X78" s="25"/>
      <c r="Y78" s="25" t="str">
        <f>IFERROR(VLOOKUP(C_Ope_007[[#This Row],[NOTA 2]],Clientes_Proveedores[[Ruc / Dni]:[Razon Social]],2,0),"")</f>
        <v/>
      </c>
      <c r="Z78" s="25"/>
      <c r="AA78" s="25"/>
      <c r="AB78" s="3" t="str">
        <f>IF(C_Ope_007[[#This Row],[FECHA]]&gt;0,TEXT(C_Ope_007[[#This Row],[FECHA]],"mmmm"),0)</f>
        <v>Marzo</v>
      </c>
    </row>
    <row r="79" spans="2:28" ht="24" x14ac:dyDescent="0.3">
      <c r="B79" s="2">
        <f>IF(C_Ope_007[[#This Row],[TIPO DE R.]]="R",COUNTIFS($D$4:$D78,"R")+1,"")</f>
        <v>75</v>
      </c>
      <c r="C79" s="19" t="str">
        <f t="shared" si="9"/>
        <v>C_Ope_007</v>
      </c>
      <c r="D79" s="3" t="s">
        <v>1074</v>
      </c>
      <c r="E79" s="14">
        <v>45726</v>
      </c>
      <c r="F79" s="5" t="s">
        <v>4314</v>
      </c>
      <c r="G79" s="5" t="s">
        <v>1079</v>
      </c>
      <c r="H79" s="6"/>
      <c r="I79" s="6" t="s">
        <v>14</v>
      </c>
      <c r="J79" s="6" t="s">
        <v>6559</v>
      </c>
      <c r="K79" s="6">
        <v>373203</v>
      </c>
      <c r="L79" s="7" t="s">
        <v>7540</v>
      </c>
      <c r="M79" s="8">
        <v>23447</v>
      </c>
      <c r="N79" s="8" t="str">
        <f t="shared" si="10"/>
        <v>PEN</v>
      </c>
      <c r="O79" s="13"/>
      <c r="P79" s="13">
        <v>5</v>
      </c>
      <c r="Q79" s="3">
        <f t="shared" si="6"/>
        <v>0</v>
      </c>
      <c r="R79" s="3">
        <f t="shared" si="7"/>
        <v>5</v>
      </c>
      <c r="S79" s="3">
        <f t="shared" si="8"/>
        <v>93</v>
      </c>
      <c r="T79" s="24"/>
      <c r="U79" s="24"/>
      <c r="V79" s="3"/>
      <c r="W79" s="25" t="s">
        <v>6539</v>
      </c>
      <c r="X79" s="25"/>
      <c r="Y79" s="25" t="str">
        <f>IFERROR(VLOOKUP(C_Ope_007[[#This Row],[NOTA 2]],Clientes_Proveedores[[Ruc / Dni]:[Razon Social]],2,0),"")</f>
        <v/>
      </c>
      <c r="Z79" s="25"/>
      <c r="AA79" s="25"/>
      <c r="AB79" s="3" t="str">
        <f>IF(C_Ope_007[[#This Row],[FECHA]]&gt;0,TEXT(C_Ope_007[[#This Row],[FECHA]],"mmmm"),0)</f>
        <v>Marzo</v>
      </c>
    </row>
    <row r="80" spans="2:28" ht="24" x14ac:dyDescent="0.3">
      <c r="B80" s="2">
        <f>IF(C_Ope_007[[#This Row],[TIPO DE R.]]="R",COUNTIFS($D$4:$D79,"R")+1,"")</f>
        <v>76</v>
      </c>
      <c r="C80" s="19" t="str">
        <f t="shared" si="9"/>
        <v>C_Ope_007</v>
      </c>
      <c r="D80" s="3" t="s">
        <v>1074</v>
      </c>
      <c r="E80" s="14">
        <v>45729</v>
      </c>
      <c r="F80" s="5" t="s">
        <v>4314</v>
      </c>
      <c r="G80" s="5" t="s">
        <v>1079</v>
      </c>
      <c r="H80" s="6"/>
      <c r="I80" s="6" t="s">
        <v>14</v>
      </c>
      <c r="J80" s="6" t="s">
        <v>5243</v>
      </c>
      <c r="K80" s="6">
        <v>2263745</v>
      </c>
      <c r="L80" s="7" t="s">
        <v>6607</v>
      </c>
      <c r="M80" s="8">
        <v>23448</v>
      </c>
      <c r="N80" s="8" t="str">
        <f t="shared" si="10"/>
        <v>PEN</v>
      </c>
      <c r="O80" s="13"/>
      <c r="P80" s="13">
        <v>8</v>
      </c>
      <c r="Q80" s="3">
        <f t="shared" si="6"/>
        <v>0</v>
      </c>
      <c r="R80" s="3">
        <f t="shared" si="7"/>
        <v>8</v>
      </c>
      <c r="S80" s="3">
        <f t="shared" si="8"/>
        <v>85</v>
      </c>
      <c r="T80" s="24"/>
      <c r="U80" s="24"/>
      <c r="V80" s="3"/>
      <c r="W80" s="25" t="s">
        <v>6630</v>
      </c>
      <c r="X80" s="25"/>
      <c r="Y80" s="25" t="str">
        <f>IFERROR(VLOOKUP(C_Ope_007[[#This Row],[NOTA 2]],Clientes_Proveedores[[Ruc / Dni]:[Razon Social]],2,0),"")</f>
        <v/>
      </c>
      <c r="Z80" s="25"/>
      <c r="AA80" s="25"/>
      <c r="AB80" s="3" t="str">
        <f>IF(C_Ope_007[[#This Row],[FECHA]]&gt;0,TEXT(C_Ope_007[[#This Row],[FECHA]],"mmmm"),0)</f>
        <v>Marzo</v>
      </c>
    </row>
    <row r="81" spans="2:28" ht="24" x14ac:dyDescent="0.3">
      <c r="B81" s="2">
        <f>IF(C_Ope_007[[#This Row],[TIPO DE R.]]="R",COUNTIFS($D$4:$D80,"R")+1,"")</f>
        <v>77</v>
      </c>
      <c r="C81" s="19" t="str">
        <f t="shared" si="9"/>
        <v>C_Ope_007</v>
      </c>
      <c r="D81" s="3" t="s">
        <v>1074</v>
      </c>
      <c r="E81" s="14">
        <v>45729</v>
      </c>
      <c r="F81" s="5" t="s">
        <v>4314</v>
      </c>
      <c r="G81" s="5" t="s">
        <v>1079</v>
      </c>
      <c r="H81" s="6"/>
      <c r="I81" s="6" t="s">
        <v>14</v>
      </c>
      <c r="J81" s="6" t="s">
        <v>5245</v>
      </c>
      <c r="K81" s="6">
        <v>1697832</v>
      </c>
      <c r="L81" s="7" t="s">
        <v>6607</v>
      </c>
      <c r="M81" s="8">
        <v>23449</v>
      </c>
      <c r="N81" s="8" t="str">
        <f t="shared" si="10"/>
        <v>PEN</v>
      </c>
      <c r="O81" s="13"/>
      <c r="P81" s="13">
        <v>8</v>
      </c>
      <c r="Q81" s="3">
        <f t="shared" si="6"/>
        <v>0</v>
      </c>
      <c r="R81" s="3">
        <f t="shared" si="7"/>
        <v>8</v>
      </c>
      <c r="S81" s="3">
        <f t="shared" si="8"/>
        <v>77</v>
      </c>
      <c r="T81" s="24"/>
      <c r="U81" s="24"/>
      <c r="V81" s="3"/>
      <c r="W81" s="25" t="s">
        <v>6630</v>
      </c>
      <c r="X81" s="25"/>
      <c r="Y81" s="25" t="str">
        <f>IFERROR(VLOOKUP(C_Ope_007[[#This Row],[NOTA 2]],Clientes_Proveedores[[Ruc / Dni]:[Razon Social]],2,0),"")</f>
        <v/>
      </c>
      <c r="Z81" s="25"/>
      <c r="AA81" s="25"/>
      <c r="AB81" s="3" t="str">
        <f>IF(C_Ope_007[[#This Row],[FECHA]]&gt;0,TEXT(C_Ope_007[[#This Row],[FECHA]],"mmmm"),0)</f>
        <v>Marzo</v>
      </c>
    </row>
    <row r="82" spans="2:28" ht="24" x14ac:dyDescent="0.3">
      <c r="B82" s="2">
        <f>IF(C_Ope_007[[#This Row],[TIPO DE R.]]="R",COUNTIFS($D$4:$D81,"R")+1,"")</f>
        <v>78</v>
      </c>
      <c r="C82" s="19" t="str">
        <f t="shared" si="9"/>
        <v>C_Ope_007</v>
      </c>
      <c r="D82" s="3" t="s">
        <v>1074</v>
      </c>
      <c r="E82" s="14">
        <v>45730</v>
      </c>
      <c r="F82" s="5" t="s">
        <v>4314</v>
      </c>
      <c r="G82" s="5" t="s">
        <v>1079</v>
      </c>
      <c r="H82" s="6"/>
      <c r="I82" s="6" t="s">
        <v>14</v>
      </c>
      <c r="J82" s="6" t="s">
        <v>5243</v>
      </c>
      <c r="K82" s="6">
        <v>2264712</v>
      </c>
      <c r="L82" s="7" t="s">
        <v>7541</v>
      </c>
      <c r="M82" s="8">
        <v>23450</v>
      </c>
      <c r="N82" s="8" t="str">
        <f t="shared" si="10"/>
        <v>PEN</v>
      </c>
      <c r="O82" s="13"/>
      <c r="P82" s="13">
        <v>8</v>
      </c>
      <c r="Q82" s="3">
        <f t="shared" si="6"/>
        <v>0</v>
      </c>
      <c r="R82" s="3">
        <f t="shared" si="7"/>
        <v>8</v>
      </c>
      <c r="S82" s="3">
        <f t="shared" si="8"/>
        <v>69</v>
      </c>
      <c r="T82" s="24"/>
      <c r="U82" s="24"/>
      <c r="V82" s="3"/>
      <c r="W82" s="25" t="s">
        <v>6630</v>
      </c>
      <c r="X82" s="25"/>
      <c r="Y82" s="25" t="str">
        <f>IFERROR(VLOOKUP(C_Ope_007[[#This Row],[NOTA 2]],Clientes_Proveedores[[Ruc / Dni]:[Razon Social]],2,0),"")</f>
        <v/>
      </c>
      <c r="Z82" s="25"/>
      <c r="AA82" s="25"/>
      <c r="AB82" s="3" t="str">
        <f>IF(C_Ope_007[[#This Row],[FECHA]]&gt;0,TEXT(C_Ope_007[[#This Row],[FECHA]],"mmmm"),0)</f>
        <v>Marzo</v>
      </c>
    </row>
    <row r="83" spans="2:28" ht="24" x14ac:dyDescent="0.3">
      <c r="B83" s="2">
        <f>IF(C_Ope_007[[#This Row],[TIPO DE R.]]="R",COUNTIFS($D$4:$D82,"R")+1,"")</f>
        <v>79</v>
      </c>
      <c r="C83" s="19" t="str">
        <f t="shared" si="9"/>
        <v>C_Ope_007</v>
      </c>
      <c r="D83" s="3" t="s">
        <v>1074</v>
      </c>
      <c r="E83" s="14">
        <v>45730</v>
      </c>
      <c r="F83" s="5" t="s">
        <v>4314</v>
      </c>
      <c r="G83" s="5" t="s">
        <v>1079</v>
      </c>
      <c r="H83" s="6"/>
      <c r="I83" s="6" t="s">
        <v>14</v>
      </c>
      <c r="J83" s="6" t="s">
        <v>5245</v>
      </c>
      <c r="K83" s="6">
        <v>1698765</v>
      </c>
      <c r="L83" s="7" t="s">
        <v>7541</v>
      </c>
      <c r="M83" s="8">
        <v>23451</v>
      </c>
      <c r="N83" s="8" t="str">
        <f t="shared" si="10"/>
        <v>PEN</v>
      </c>
      <c r="O83" s="13"/>
      <c r="P83" s="13">
        <v>8</v>
      </c>
      <c r="Q83" s="3">
        <f t="shared" si="6"/>
        <v>0</v>
      </c>
      <c r="R83" s="3">
        <f t="shared" si="7"/>
        <v>8</v>
      </c>
      <c r="S83" s="3">
        <f t="shared" si="8"/>
        <v>61</v>
      </c>
      <c r="T83" s="24"/>
      <c r="U83" s="24"/>
      <c r="V83" s="3"/>
      <c r="W83" s="25" t="s">
        <v>6630</v>
      </c>
      <c r="X83" s="25"/>
      <c r="Y83" s="25" t="str">
        <f>IFERROR(VLOOKUP(C_Ope_007[[#This Row],[NOTA 2]],Clientes_Proveedores[[Ruc / Dni]:[Razon Social]],2,0),"")</f>
        <v/>
      </c>
      <c r="Z83" s="25"/>
      <c r="AA83" s="25"/>
      <c r="AB83" s="3" t="str">
        <f>IF(C_Ope_007[[#This Row],[FECHA]]&gt;0,TEXT(C_Ope_007[[#This Row],[FECHA]],"mmmm"),0)</f>
        <v>Marzo</v>
      </c>
    </row>
    <row r="84" spans="2:28" x14ac:dyDescent="0.3">
      <c r="B84" s="2">
        <f>IF(C_Ope_007[[#This Row],[TIPO DE R.]]="R",COUNTIFS($D$4:$D83,"R")+1,"")</f>
        <v>80</v>
      </c>
      <c r="C84" s="19" t="str">
        <f t="shared" si="9"/>
        <v>C_Ope_007</v>
      </c>
      <c r="D84" s="3" t="s">
        <v>1074</v>
      </c>
      <c r="E84" s="14">
        <v>45727</v>
      </c>
      <c r="F84" s="5" t="s">
        <v>4314</v>
      </c>
      <c r="G84" s="5" t="s">
        <v>1079</v>
      </c>
      <c r="H84" s="6"/>
      <c r="I84" s="6" t="s">
        <v>14</v>
      </c>
      <c r="J84" s="6" t="s">
        <v>1148</v>
      </c>
      <c r="K84" s="6">
        <v>129231</v>
      </c>
      <c r="L84" s="7" t="s">
        <v>7542</v>
      </c>
      <c r="M84" s="8">
        <v>23452</v>
      </c>
      <c r="N84" s="8" t="str">
        <f t="shared" si="10"/>
        <v>PEN</v>
      </c>
      <c r="O84" s="13"/>
      <c r="P84" s="13">
        <v>10</v>
      </c>
      <c r="Q84" s="3">
        <f t="shared" si="6"/>
        <v>0</v>
      </c>
      <c r="R84" s="3">
        <f t="shared" si="7"/>
        <v>10</v>
      </c>
      <c r="S84" s="3">
        <f t="shared" si="8"/>
        <v>51</v>
      </c>
      <c r="T84" s="24"/>
      <c r="U84" s="24"/>
      <c r="V84" s="3"/>
      <c r="W84" s="25" t="s">
        <v>6539</v>
      </c>
      <c r="X84" s="25"/>
      <c r="Y84" s="25" t="str">
        <f>IFERROR(VLOOKUP(C_Ope_007[[#This Row],[NOTA 2]],Clientes_Proveedores[[Ruc / Dni]:[Razon Social]],2,0),"")</f>
        <v/>
      </c>
      <c r="Z84" s="25"/>
      <c r="AA84" s="25"/>
      <c r="AB84" s="3" t="str">
        <f>IF(C_Ope_007[[#This Row],[FECHA]]&gt;0,TEXT(C_Ope_007[[#This Row],[FECHA]],"mmmm"),0)</f>
        <v>Marzo</v>
      </c>
    </row>
    <row r="85" spans="2:28" ht="24" x14ac:dyDescent="0.3">
      <c r="B85" s="2">
        <f>IF(C_Ope_007[[#This Row],[TIPO DE R.]]="R",COUNTIFS($D$4:$D84,"R")+1,"")</f>
        <v>81</v>
      </c>
      <c r="C85" s="19" t="str">
        <f t="shared" si="9"/>
        <v>C_Ope_007</v>
      </c>
      <c r="D85" s="3" t="s">
        <v>1074</v>
      </c>
      <c r="E85" s="14">
        <v>45728</v>
      </c>
      <c r="F85" s="5" t="s">
        <v>4314</v>
      </c>
      <c r="G85" s="5" t="s">
        <v>1079</v>
      </c>
      <c r="H85" s="6"/>
      <c r="I85" s="6" t="s">
        <v>14</v>
      </c>
      <c r="J85" s="6" t="s">
        <v>1148</v>
      </c>
      <c r="K85" s="6">
        <v>129248</v>
      </c>
      <c r="L85" s="7" t="s">
        <v>7543</v>
      </c>
      <c r="M85" s="8">
        <v>23453</v>
      </c>
      <c r="N85" s="8" t="str">
        <f t="shared" si="10"/>
        <v>PEN</v>
      </c>
      <c r="O85" s="13"/>
      <c r="P85" s="13">
        <v>10</v>
      </c>
      <c r="Q85" s="3">
        <f t="shared" si="6"/>
        <v>0</v>
      </c>
      <c r="R85" s="3">
        <f t="shared" si="7"/>
        <v>10</v>
      </c>
      <c r="S85" s="3">
        <f t="shared" si="8"/>
        <v>41</v>
      </c>
      <c r="T85" s="24"/>
      <c r="U85" s="24"/>
      <c r="V85" s="3"/>
      <c r="W85" s="25" t="s">
        <v>6813</v>
      </c>
      <c r="X85" s="25"/>
      <c r="Y85" s="25" t="str">
        <f>IFERROR(VLOOKUP(C_Ope_007[[#This Row],[NOTA 2]],Clientes_Proveedores[[Ruc / Dni]:[Razon Social]],2,0),"")</f>
        <v/>
      </c>
      <c r="Z85" s="25"/>
      <c r="AA85" s="25"/>
      <c r="AB85" s="3" t="str">
        <f>IF(C_Ope_007[[#This Row],[FECHA]]&gt;0,TEXT(C_Ope_007[[#This Row],[FECHA]],"mmmm"),0)</f>
        <v>Marzo</v>
      </c>
    </row>
    <row r="86" spans="2:28" ht="24" x14ac:dyDescent="0.3">
      <c r="B86" s="2">
        <f>IF(C_Ope_007[[#This Row],[TIPO DE R.]]="R",COUNTIFS($D$4:$D85,"R")+1,"")</f>
        <v>82</v>
      </c>
      <c r="C86" s="19" t="str">
        <f t="shared" si="9"/>
        <v>C_Ope_007</v>
      </c>
      <c r="D86" s="3" t="s">
        <v>1074</v>
      </c>
      <c r="E86" s="14">
        <v>45728</v>
      </c>
      <c r="F86" s="5" t="s">
        <v>4314</v>
      </c>
      <c r="G86" s="5" t="s">
        <v>1079</v>
      </c>
      <c r="H86" s="6"/>
      <c r="I86" s="6" t="s">
        <v>14</v>
      </c>
      <c r="J86" s="6" t="s">
        <v>1148</v>
      </c>
      <c r="K86" s="6">
        <v>129256</v>
      </c>
      <c r="L86" s="7" t="s">
        <v>7544</v>
      </c>
      <c r="M86" s="8">
        <v>23454</v>
      </c>
      <c r="N86" s="8" t="str">
        <f t="shared" si="10"/>
        <v>PEN</v>
      </c>
      <c r="O86" s="13"/>
      <c r="P86" s="13">
        <v>10</v>
      </c>
      <c r="Q86" s="3">
        <f t="shared" si="6"/>
        <v>0</v>
      </c>
      <c r="R86" s="3">
        <f t="shared" si="7"/>
        <v>10</v>
      </c>
      <c r="S86" s="3">
        <f t="shared" si="8"/>
        <v>31</v>
      </c>
      <c r="T86" s="24"/>
      <c r="U86" s="24"/>
      <c r="V86" s="3"/>
      <c r="W86" s="25" t="s">
        <v>6813</v>
      </c>
      <c r="X86" s="25"/>
      <c r="Y86" s="25" t="str">
        <f>IFERROR(VLOOKUP(C_Ope_007[[#This Row],[NOTA 2]],Clientes_Proveedores[[Ruc / Dni]:[Razon Social]],2,0),"")</f>
        <v/>
      </c>
      <c r="Z86" s="25"/>
      <c r="AA86" s="25"/>
      <c r="AB86" s="3" t="str">
        <f>IF(C_Ope_007[[#This Row],[FECHA]]&gt;0,TEXT(C_Ope_007[[#This Row],[FECHA]],"mmmm"),0)</f>
        <v>Marzo</v>
      </c>
    </row>
    <row r="87" spans="2:28" ht="24" x14ac:dyDescent="0.3">
      <c r="B87" s="2">
        <f>IF(C_Ope_007[[#This Row],[TIPO DE R.]]="R",COUNTIFS($D$4:$D86,"R")+1,"")</f>
        <v>83</v>
      </c>
      <c r="C87" s="19" t="str">
        <f t="shared" si="9"/>
        <v>C_Ope_007</v>
      </c>
      <c r="D87" s="3" t="s">
        <v>1074</v>
      </c>
      <c r="E87" s="14">
        <v>45726</v>
      </c>
      <c r="F87" s="5" t="s">
        <v>4314</v>
      </c>
      <c r="G87" s="5" t="s">
        <v>1079</v>
      </c>
      <c r="H87" s="6"/>
      <c r="I87" s="6"/>
      <c r="J87" s="6"/>
      <c r="K87" s="6"/>
      <c r="L87" s="7" t="s">
        <v>7545</v>
      </c>
      <c r="M87" s="8">
        <v>23586</v>
      </c>
      <c r="N87" s="8" t="str">
        <f t="shared" si="10"/>
        <v>PEN</v>
      </c>
      <c r="O87" s="13"/>
      <c r="P87" s="13">
        <v>12</v>
      </c>
      <c r="Q87" s="3">
        <f t="shared" si="6"/>
        <v>0</v>
      </c>
      <c r="R87" s="3">
        <f t="shared" si="7"/>
        <v>12</v>
      </c>
      <c r="S87" s="3">
        <f t="shared" si="8"/>
        <v>19</v>
      </c>
      <c r="T87" s="24"/>
      <c r="U87" s="24"/>
      <c r="V87" s="3"/>
      <c r="W87" s="25" t="s">
        <v>6813</v>
      </c>
      <c r="X87" s="25"/>
      <c r="Y87" s="25" t="str">
        <f>IFERROR(VLOOKUP(C_Ope_007[[#This Row],[NOTA 2]],Clientes_Proveedores[[Ruc / Dni]:[Razon Social]],2,0),"")</f>
        <v/>
      </c>
      <c r="Z87" s="25"/>
      <c r="AA87" s="25"/>
      <c r="AB87" s="3" t="str">
        <f>IF(C_Ope_007[[#This Row],[FECHA]]&gt;0,TEXT(C_Ope_007[[#This Row],[FECHA]],"mmmm"),0)</f>
        <v>Marzo</v>
      </c>
    </row>
    <row r="88" spans="2:28" x14ac:dyDescent="0.3">
      <c r="B88" s="2">
        <f>IF(C_Ope_007[[#This Row],[TIPO DE R.]]="R",COUNTIFS($D$4:$D87,"R")+1,"")</f>
        <v>84</v>
      </c>
      <c r="C88" s="19" t="str">
        <f t="shared" si="9"/>
        <v>C_Ope_007</v>
      </c>
      <c r="D88" s="3" t="s">
        <v>1074</v>
      </c>
      <c r="E88" s="14">
        <v>45730</v>
      </c>
      <c r="F88" s="5" t="s">
        <v>4314</v>
      </c>
      <c r="G88" s="5" t="s">
        <v>1079</v>
      </c>
      <c r="H88" s="6"/>
      <c r="I88" s="6" t="s">
        <v>14</v>
      </c>
      <c r="J88" s="6" t="s">
        <v>1119</v>
      </c>
      <c r="K88" s="6">
        <v>16829</v>
      </c>
      <c r="L88" s="7" t="s">
        <v>6565</v>
      </c>
      <c r="M88" s="8">
        <v>23455</v>
      </c>
      <c r="N88" s="8" t="str">
        <f t="shared" si="10"/>
        <v>PEN</v>
      </c>
      <c r="O88" s="13"/>
      <c r="P88" s="13">
        <v>35</v>
      </c>
      <c r="Q88" s="3">
        <f t="shared" si="6"/>
        <v>0</v>
      </c>
      <c r="R88" s="3">
        <f t="shared" si="7"/>
        <v>35</v>
      </c>
      <c r="S88" s="3">
        <f t="shared" si="8"/>
        <v>-16</v>
      </c>
      <c r="T88" s="24"/>
      <c r="U88" s="24"/>
      <c r="V88" s="3"/>
      <c r="W88" s="25" t="s">
        <v>6630</v>
      </c>
      <c r="X88" s="25"/>
      <c r="Y88" s="25" t="str">
        <f>IFERROR(VLOOKUP(C_Ope_007[[#This Row],[NOTA 2]],Clientes_Proveedores[[Ruc / Dni]:[Razon Social]],2,0),"")</f>
        <v/>
      </c>
      <c r="Z88" s="25"/>
      <c r="AA88" s="25"/>
      <c r="AB88" s="3" t="str">
        <f>IF(C_Ope_007[[#This Row],[FECHA]]&gt;0,TEXT(C_Ope_007[[#This Row],[FECHA]],"mmmm"),0)</f>
        <v>Marzo</v>
      </c>
    </row>
    <row r="89" spans="2:28" x14ac:dyDescent="0.3">
      <c r="B89" s="2">
        <f>IF(C_Ope_007[[#This Row],[TIPO DE R.]]="R",COUNTIFS($D$4:$D88,"R")+1,"")</f>
        <v>85</v>
      </c>
      <c r="C89" s="19" t="str">
        <f t="shared" si="9"/>
        <v>C_Ope_007</v>
      </c>
      <c r="D89" s="3" t="s">
        <v>1074</v>
      </c>
      <c r="E89" s="14">
        <v>45733</v>
      </c>
      <c r="F89" s="5" t="s">
        <v>6299</v>
      </c>
      <c r="G89" s="5" t="s">
        <v>1087</v>
      </c>
      <c r="H89" s="6"/>
      <c r="I89" s="6"/>
      <c r="J89" s="6"/>
      <c r="K89" s="6"/>
      <c r="L89" s="7" t="s">
        <v>6302</v>
      </c>
      <c r="M89" s="8">
        <v>23458</v>
      </c>
      <c r="N89" s="8" t="str">
        <f t="shared" si="10"/>
        <v>PEN</v>
      </c>
      <c r="O89" s="13"/>
      <c r="P89" s="13">
        <v>110</v>
      </c>
      <c r="Q89" s="3">
        <f t="shared" si="6"/>
        <v>110</v>
      </c>
      <c r="R89" s="3">
        <f t="shared" si="7"/>
        <v>0</v>
      </c>
      <c r="S89" s="3">
        <f t="shared" si="8"/>
        <v>94</v>
      </c>
      <c r="T89" s="24"/>
      <c r="U89" s="24"/>
      <c r="V89" s="3"/>
      <c r="W89" s="25"/>
      <c r="X89" s="25"/>
      <c r="Y89" s="25" t="str">
        <f>IFERROR(VLOOKUP(C_Ope_007[[#This Row],[NOTA 2]],Clientes_Proveedores[[Ruc / Dni]:[Razon Social]],2,0),"")</f>
        <v/>
      </c>
      <c r="Z89" s="25"/>
      <c r="AA89" s="25"/>
      <c r="AB89" s="3" t="str">
        <f>IF(C_Ope_007[[#This Row],[FECHA]]&gt;0,TEXT(C_Ope_007[[#This Row],[FECHA]],"mmmm"),0)</f>
        <v>Marzo</v>
      </c>
    </row>
    <row r="90" spans="2:28" ht="36" x14ac:dyDescent="0.3">
      <c r="B90" s="2">
        <f>IF(C_Ope_007[[#This Row],[TIPO DE R.]]="R",COUNTIFS($D$4:$D89,"R")+1,"")</f>
        <v>86</v>
      </c>
      <c r="C90" s="19" t="str">
        <f t="shared" si="9"/>
        <v>C_Ope_007</v>
      </c>
      <c r="D90" s="3" t="s">
        <v>1074</v>
      </c>
      <c r="E90" s="14">
        <v>45733</v>
      </c>
      <c r="F90" s="5" t="s">
        <v>4314</v>
      </c>
      <c r="G90" s="5" t="s">
        <v>1079</v>
      </c>
      <c r="H90" s="6"/>
      <c r="I90" s="6" t="s">
        <v>14</v>
      </c>
      <c r="J90" s="6" t="s">
        <v>5242</v>
      </c>
      <c r="K90" s="6">
        <v>1993070</v>
      </c>
      <c r="L90" s="7" t="s">
        <v>7546</v>
      </c>
      <c r="M90" s="8">
        <v>23624</v>
      </c>
      <c r="N90" s="8" t="str">
        <f t="shared" si="10"/>
        <v>PEN</v>
      </c>
      <c r="O90" s="13"/>
      <c r="P90" s="13">
        <v>8</v>
      </c>
      <c r="Q90" s="3">
        <f t="shared" si="6"/>
        <v>0</v>
      </c>
      <c r="R90" s="3">
        <f t="shared" si="7"/>
        <v>8</v>
      </c>
      <c r="S90" s="3">
        <f t="shared" si="8"/>
        <v>86</v>
      </c>
      <c r="T90" s="24"/>
      <c r="U90" s="24"/>
      <c r="V90" s="3"/>
      <c r="W90" s="25" t="s">
        <v>6630</v>
      </c>
      <c r="X90" s="25"/>
      <c r="Y90" s="25" t="str">
        <f>IFERROR(VLOOKUP(C_Ope_007[[#This Row],[NOTA 2]],Clientes_Proveedores[[Ruc / Dni]:[Razon Social]],2,0),"")</f>
        <v/>
      </c>
      <c r="Z90" s="25"/>
      <c r="AA90" s="25"/>
      <c r="AB90" s="3" t="str">
        <f>IF(C_Ope_007[[#This Row],[FECHA]]&gt;0,TEXT(C_Ope_007[[#This Row],[FECHA]],"mmmm"),0)</f>
        <v>Marzo</v>
      </c>
    </row>
    <row r="91" spans="2:28" x14ac:dyDescent="0.3">
      <c r="B91" s="2">
        <f>IF(C_Ope_007[[#This Row],[TIPO DE R.]]="R",COUNTIFS($D$4:$D90,"R")+1,"")</f>
        <v>87</v>
      </c>
      <c r="C91" s="19" t="str">
        <f t="shared" si="9"/>
        <v>C_Ope_007</v>
      </c>
      <c r="D91" s="3" t="s">
        <v>1074</v>
      </c>
      <c r="E91" s="14">
        <v>45734</v>
      </c>
      <c r="F91" s="5" t="s">
        <v>4314</v>
      </c>
      <c r="G91" s="5" t="s">
        <v>1079</v>
      </c>
      <c r="H91" s="6"/>
      <c r="I91" s="6" t="s">
        <v>14</v>
      </c>
      <c r="J91" s="6" t="s">
        <v>5243</v>
      </c>
      <c r="K91" s="6">
        <v>2269122</v>
      </c>
      <c r="L91" s="7" t="s">
        <v>7547</v>
      </c>
      <c r="M91" s="8">
        <v>23625</v>
      </c>
      <c r="N91" s="8" t="str">
        <f t="shared" si="10"/>
        <v>PEN</v>
      </c>
      <c r="O91" s="13"/>
      <c r="P91" s="13">
        <v>8</v>
      </c>
      <c r="Q91" s="3">
        <f t="shared" si="6"/>
        <v>0</v>
      </c>
      <c r="R91" s="3">
        <f t="shared" si="7"/>
        <v>8</v>
      </c>
      <c r="S91" s="3">
        <f t="shared" si="8"/>
        <v>78</v>
      </c>
      <c r="T91" s="24"/>
      <c r="U91" s="24"/>
      <c r="V91" s="3"/>
      <c r="W91" s="25" t="s">
        <v>6630</v>
      </c>
      <c r="X91" s="25"/>
      <c r="Y91" s="25" t="str">
        <f>IFERROR(VLOOKUP(C_Ope_007[[#This Row],[NOTA 2]],Clientes_Proveedores[[Ruc / Dni]:[Razon Social]],2,0),"")</f>
        <v/>
      </c>
      <c r="Z91" s="25"/>
      <c r="AA91" s="25"/>
      <c r="AB91" s="3" t="str">
        <f>IF(C_Ope_007[[#This Row],[FECHA]]&gt;0,TEXT(C_Ope_007[[#This Row],[FECHA]],"mmmm"),0)</f>
        <v>Marzo</v>
      </c>
    </row>
    <row r="92" spans="2:28" x14ac:dyDescent="0.3">
      <c r="B92" s="2">
        <f>IF(C_Ope_007[[#This Row],[TIPO DE R.]]="R",COUNTIFS($D$4:$D91,"R")+1,"")</f>
        <v>88</v>
      </c>
      <c r="C92" s="19" t="str">
        <f t="shared" si="9"/>
        <v>C_Ope_007</v>
      </c>
      <c r="D92" s="3" t="s">
        <v>1074</v>
      </c>
      <c r="E92" s="14">
        <v>45734</v>
      </c>
      <c r="F92" s="5" t="s">
        <v>4314</v>
      </c>
      <c r="G92" s="5" t="s">
        <v>1079</v>
      </c>
      <c r="H92" s="6"/>
      <c r="I92" s="6" t="s">
        <v>14</v>
      </c>
      <c r="J92" s="6" t="s">
        <v>5242</v>
      </c>
      <c r="K92" s="6">
        <v>1994047</v>
      </c>
      <c r="L92" s="7" t="s">
        <v>7547</v>
      </c>
      <c r="M92" s="8">
        <v>23626</v>
      </c>
      <c r="N92" s="8" t="str">
        <f t="shared" si="10"/>
        <v>PEN</v>
      </c>
      <c r="O92" s="13"/>
      <c r="P92" s="13">
        <v>8</v>
      </c>
      <c r="Q92" s="3">
        <f t="shared" si="6"/>
        <v>0</v>
      </c>
      <c r="R92" s="3">
        <f t="shared" si="7"/>
        <v>8</v>
      </c>
      <c r="S92" s="3">
        <f t="shared" si="8"/>
        <v>70</v>
      </c>
      <c r="T92" s="24"/>
      <c r="U92" s="24"/>
      <c r="V92" s="3"/>
      <c r="W92" s="25" t="s">
        <v>6630</v>
      </c>
      <c r="X92" s="25"/>
      <c r="Y92" s="25" t="str">
        <f>IFERROR(VLOOKUP(C_Ope_007[[#This Row],[NOTA 2]],Clientes_Proveedores[[Ruc / Dni]:[Razon Social]],2,0),"")</f>
        <v/>
      </c>
      <c r="Z92" s="25"/>
      <c r="AA92" s="25"/>
      <c r="AB92" s="3" t="str">
        <f>IF(C_Ope_007[[#This Row],[FECHA]]&gt;0,TEXT(C_Ope_007[[#This Row],[FECHA]],"mmmm"),0)</f>
        <v>Marzo</v>
      </c>
    </row>
    <row r="93" spans="2:28" ht="36" x14ac:dyDescent="0.3">
      <c r="B93" s="2">
        <f>IF(C_Ope_007[[#This Row],[TIPO DE R.]]="R",COUNTIFS($D$4:$D92,"R")+1,"")</f>
        <v>89</v>
      </c>
      <c r="C93" s="19" t="str">
        <f t="shared" si="9"/>
        <v>C_Ope_007</v>
      </c>
      <c r="D93" s="3" t="s">
        <v>1074</v>
      </c>
      <c r="E93" s="14">
        <v>45735</v>
      </c>
      <c r="F93" s="5" t="s">
        <v>4314</v>
      </c>
      <c r="G93" s="5" t="s">
        <v>1079</v>
      </c>
      <c r="H93" s="6"/>
      <c r="I93" s="6" t="s">
        <v>14</v>
      </c>
      <c r="J93" s="6" t="s">
        <v>5243</v>
      </c>
      <c r="K93" s="6">
        <v>2270271</v>
      </c>
      <c r="L93" s="7" t="s">
        <v>7548</v>
      </c>
      <c r="M93" s="8">
        <v>23627</v>
      </c>
      <c r="N93" s="8" t="str">
        <f t="shared" si="10"/>
        <v>PEN</v>
      </c>
      <c r="O93" s="13"/>
      <c r="P93" s="13">
        <v>8</v>
      </c>
      <c r="Q93" s="3">
        <f t="shared" si="6"/>
        <v>0</v>
      </c>
      <c r="R93" s="3">
        <f t="shared" si="7"/>
        <v>8</v>
      </c>
      <c r="S93" s="3">
        <f t="shared" si="8"/>
        <v>62</v>
      </c>
      <c r="T93" s="24"/>
      <c r="U93" s="24"/>
      <c r="V93" s="3"/>
      <c r="W93" s="25" t="s">
        <v>6546</v>
      </c>
      <c r="X93" s="25"/>
      <c r="Y93" s="25" t="str">
        <f>IFERROR(VLOOKUP(C_Ope_007[[#This Row],[NOTA 2]],Clientes_Proveedores[[Ruc / Dni]:[Razon Social]],2,0),"")</f>
        <v/>
      </c>
      <c r="Z93" s="25"/>
      <c r="AA93" s="25"/>
      <c r="AB93" s="3" t="str">
        <f>IF(C_Ope_007[[#This Row],[FECHA]]&gt;0,TEXT(C_Ope_007[[#This Row],[FECHA]],"mmmm"),0)</f>
        <v>Marzo</v>
      </c>
    </row>
    <row r="94" spans="2:28" x14ac:dyDescent="0.3">
      <c r="B94" s="2">
        <f>IF(C_Ope_007[[#This Row],[TIPO DE R.]]="R",COUNTIFS($D$4:$D93,"R")+1,"")</f>
        <v>90</v>
      </c>
      <c r="C94" s="19" t="str">
        <f t="shared" si="9"/>
        <v>C_Ope_007</v>
      </c>
      <c r="D94" s="3" t="s">
        <v>1074</v>
      </c>
      <c r="E94" s="14">
        <v>45734</v>
      </c>
      <c r="F94" s="5" t="s">
        <v>4314</v>
      </c>
      <c r="G94" s="5" t="s">
        <v>1079</v>
      </c>
      <c r="H94" s="6"/>
      <c r="I94" s="6" t="s">
        <v>14</v>
      </c>
      <c r="J94" s="6" t="s">
        <v>1097</v>
      </c>
      <c r="K94" s="6">
        <v>15897</v>
      </c>
      <c r="L94" s="7" t="s">
        <v>6753</v>
      </c>
      <c r="M94" s="8">
        <v>23638</v>
      </c>
      <c r="N94" s="8" t="str">
        <f t="shared" si="10"/>
        <v>PEN</v>
      </c>
      <c r="O94" s="13"/>
      <c r="P94" s="13">
        <v>20</v>
      </c>
      <c r="Q94" s="3">
        <f t="shared" si="6"/>
        <v>0</v>
      </c>
      <c r="R94" s="3">
        <f t="shared" si="7"/>
        <v>20</v>
      </c>
      <c r="S94" s="3">
        <f t="shared" si="8"/>
        <v>42</v>
      </c>
      <c r="T94" s="24"/>
      <c r="U94" s="24"/>
      <c r="V94" s="3"/>
      <c r="W94" s="25" t="s">
        <v>6630</v>
      </c>
      <c r="X94" s="25"/>
      <c r="Y94" s="25" t="str">
        <f>IFERROR(VLOOKUP(C_Ope_007[[#This Row],[NOTA 2]],Clientes_Proveedores[[Ruc / Dni]:[Razon Social]],2,0),"")</f>
        <v/>
      </c>
      <c r="Z94" s="25"/>
      <c r="AA94" s="25"/>
      <c r="AB94" s="3" t="str">
        <f>IF(C_Ope_007[[#This Row],[FECHA]]&gt;0,TEXT(C_Ope_007[[#This Row],[FECHA]],"mmmm"),0)</f>
        <v>Marzo</v>
      </c>
    </row>
    <row r="95" spans="2:28" x14ac:dyDescent="0.3">
      <c r="B95" s="2">
        <f>IF(C_Ope_007[[#This Row],[TIPO DE R.]]="R",COUNTIFS($D$4:$D94,"R")+1,"")</f>
        <v>91</v>
      </c>
      <c r="C95" s="19" t="str">
        <f t="shared" si="9"/>
        <v>C_Ope_007</v>
      </c>
      <c r="D95" s="3" t="s">
        <v>1074</v>
      </c>
      <c r="E95" s="14">
        <v>45736</v>
      </c>
      <c r="F95" s="5" t="s">
        <v>4314</v>
      </c>
      <c r="G95" s="5" t="s">
        <v>1079</v>
      </c>
      <c r="H95" s="6"/>
      <c r="I95" s="6" t="s">
        <v>14</v>
      </c>
      <c r="J95" s="6" t="s">
        <v>1148</v>
      </c>
      <c r="K95" s="6">
        <v>129559</v>
      </c>
      <c r="L95" s="7" t="s">
        <v>7549</v>
      </c>
      <c r="M95" s="8">
        <v>23637</v>
      </c>
      <c r="N95" s="8" t="str">
        <f t="shared" si="10"/>
        <v>PEN</v>
      </c>
      <c r="O95" s="13"/>
      <c r="P95" s="13">
        <v>10</v>
      </c>
      <c r="Q95" s="3">
        <f t="shared" si="6"/>
        <v>0</v>
      </c>
      <c r="R95" s="3">
        <f t="shared" si="7"/>
        <v>10</v>
      </c>
      <c r="S95" s="3">
        <f t="shared" si="8"/>
        <v>32</v>
      </c>
      <c r="T95" s="24"/>
      <c r="U95" s="24"/>
      <c r="V95" s="3"/>
      <c r="W95" s="25" t="s">
        <v>6813</v>
      </c>
      <c r="X95" s="25"/>
      <c r="Y95" s="25" t="str">
        <f>IFERROR(VLOOKUP(C_Ope_007[[#This Row],[NOTA 2]],Clientes_Proveedores[[Ruc / Dni]:[Razon Social]],2,0),"")</f>
        <v/>
      </c>
      <c r="Z95" s="25"/>
      <c r="AA95" s="25"/>
      <c r="AB95" s="3" t="str">
        <f>IF(C_Ope_007[[#This Row],[FECHA]]&gt;0,TEXT(C_Ope_007[[#This Row],[FECHA]],"mmmm"),0)</f>
        <v>Marzo</v>
      </c>
    </row>
    <row r="96" spans="2:28" x14ac:dyDescent="0.3">
      <c r="B96" s="2">
        <f>IF(C_Ope_007[[#This Row],[TIPO DE R.]]="R",COUNTIFS($D$4:$D95,"R")+1,"")</f>
        <v>92</v>
      </c>
      <c r="C96" s="19" t="str">
        <f t="shared" si="9"/>
        <v>C_Ope_007</v>
      </c>
      <c r="D96" s="3" t="s">
        <v>1074</v>
      </c>
      <c r="E96" s="14">
        <v>45736</v>
      </c>
      <c r="F96" s="5" t="s">
        <v>4314</v>
      </c>
      <c r="G96" s="5" t="s">
        <v>1079</v>
      </c>
      <c r="H96" s="6"/>
      <c r="I96" s="6"/>
      <c r="J96" s="6"/>
      <c r="K96" s="6"/>
      <c r="L96" s="7" t="s">
        <v>7550</v>
      </c>
      <c r="M96" s="8">
        <v>23640</v>
      </c>
      <c r="N96" s="8" t="str">
        <f t="shared" si="10"/>
        <v>PEN</v>
      </c>
      <c r="O96" s="13"/>
      <c r="P96" s="13">
        <v>15</v>
      </c>
      <c r="Q96" s="3">
        <f t="shared" si="6"/>
        <v>0</v>
      </c>
      <c r="R96" s="3">
        <f t="shared" si="7"/>
        <v>15</v>
      </c>
      <c r="S96" s="3">
        <f t="shared" si="8"/>
        <v>17</v>
      </c>
      <c r="T96" s="24"/>
      <c r="U96" s="24"/>
      <c r="V96" s="3"/>
      <c r="W96" s="25" t="s">
        <v>6813</v>
      </c>
      <c r="X96" s="25"/>
      <c r="Y96" s="25" t="str">
        <f>IFERROR(VLOOKUP(C_Ope_007[[#This Row],[NOTA 2]],Clientes_Proveedores[[Ruc / Dni]:[Razon Social]],2,0),"")</f>
        <v/>
      </c>
      <c r="Z96" s="25"/>
      <c r="AA96" s="25"/>
      <c r="AB96" s="3" t="str">
        <f>IF(C_Ope_007[[#This Row],[FECHA]]&gt;0,TEXT(C_Ope_007[[#This Row],[FECHA]],"mmmm"),0)</f>
        <v>Marzo</v>
      </c>
    </row>
    <row r="97" spans="2:28" x14ac:dyDescent="0.3">
      <c r="B97" s="2">
        <f>IF(C_Ope_007[[#This Row],[TIPO DE R.]]="R",COUNTIFS($D$4:$D96,"R")+1,"")</f>
        <v>93</v>
      </c>
      <c r="C97" s="19" t="str">
        <f t="shared" si="9"/>
        <v>C_Ope_007</v>
      </c>
      <c r="D97" s="3" t="s">
        <v>1074</v>
      </c>
      <c r="E97" s="14">
        <v>45747</v>
      </c>
      <c r="F97" s="5" t="s">
        <v>6299</v>
      </c>
      <c r="G97" s="5" t="s">
        <v>1087</v>
      </c>
      <c r="H97" s="6"/>
      <c r="I97" s="6"/>
      <c r="J97" s="6"/>
      <c r="K97" s="6"/>
      <c r="L97" s="7" t="s">
        <v>6302</v>
      </c>
      <c r="M97" s="8">
        <v>23662</v>
      </c>
      <c r="N97" s="8" t="str">
        <f t="shared" si="10"/>
        <v>PEN</v>
      </c>
      <c r="O97" s="13"/>
      <c r="P97" s="13">
        <v>220</v>
      </c>
      <c r="Q97" s="3">
        <f t="shared" si="6"/>
        <v>220</v>
      </c>
      <c r="R97" s="3">
        <f t="shared" si="7"/>
        <v>0</v>
      </c>
      <c r="S97" s="3">
        <f t="shared" si="8"/>
        <v>237</v>
      </c>
      <c r="T97" s="24"/>
      <c r="U97" s="24"/>
      <c r="V97" s="3"/>
      <c r="W97" s="25"/>
      <c r="X97" s="25"/>
      <c r="Y97" s="25" t="str">
        <f>IFERROR(VLOOKUP(C_Ope_007[[#This Row],[NOTA 2]],Clientes_Proveedores[[Ruc / Dni]:[Razon Social]],2,0),"")</f>
        <v/>
      </c>
      <c r="Z97" s="25"/>
      <c r="AA97" s="25"/>
      <c r="AB97" s="3" t="str">
        <f>IF(C_Ope_007[[#This Row],[FECHA]]&gt;0,TEXT(C_Ope_007[[#This Row],[FECHA]],"mmmm"),0)</f>
        <v>Marzo</v>
      </c>
    </row>
    <row r="98" spans="2:28" x14ac:dyDescent="0.3">
      <c r="B98" s="2">
        <f>IF(C_Ope_007[[#This Row],[TIPO DE R.]]="R",COUNTIFS($D$4:$D97,"R")+1,"")</f>
        <v>94</v>
      </c>
      <c r="C98" s="19" t="str">
        <f t="shared" si="9"/>
        <v>C_Ope_007</v>
      </c>
      <c r="D98" s="3" t="s">
        <v>1074</v>
      </c>
      <c r="E98" s="14">
        <v>45740</v>
      </c>
      <c r="F98" s="5" t="s">
        <v>4314</v>
      </c>
      <c r="G98" s="5" t="s">
        <v>1079</v>
      </c>
      <c r="H98" s="6"/>
      <c r="I98" s="6" t="s">
        <v>14</v>
      </c>
      <c r="J98" s="6" t="s">
        <v>5243</v>
      </c>
      <c r="K98" s="6">
        <v>2275853</v>
      </c>
      <c r="L98" s="7" t="s">
        <v>7551</v>
      </c>
      <c r="M98" s="8">
        <v>23628</v>
      </c>
      <c r="N98" s="8" t="str">
        <f t="shared" si="10"/>
        <v>PEN</v>
      </c>
      <c r="O98" s="13"/>
      <c r="P98" s="13">
        <v>8</v>
      </c>
      <c r="Q98" s="3">
        <f t="shared" si="6"/>
        <v>0</v>
      </c>
      <c r="R98" s="3">
        <f t="shared" si="7"/>
        <v>8</v>
      </c>
      <c r="S98" s="3">
        <f t="shared" si="8"/>
        <v>229</v>
      </c>
      <c r="T98" s="24"/>
      <c r="U98" s="24"/>
      <c r="V98" s="3"/>
      <c r="W98" s="25" t="s">
        <v>6630</v>
      </c>
      <c r="X98" s="25"/>
      <c r="Y98" s="25" t="str">
        <f>IFERROR(VLOOKUP(C_Ope_007[[#This Row],[NOTA 2]],Clientes_Proveedores[[Ruc / Dni]:[Razon Social]],2,0),"")</f>
        <v/>
      </c>
      <c r="Z98" s="25"/>
      <c r="AA98" s="25"/>
      <c r="AB98" s="3" t="str">
        <f>IF(C_Ope_007[[#This Row],[FECHA]]&gt;0,TEXT(C_Ope_007[[#This Row],[FECHA]],"mmmm"),0)</f>
        <v>Marzo</v>
      </c>
    </row>
    <row r="99" spans="2:28" x14ac:dyDescent="0.3">
      <c r="B99" s="2">
        <f>IF(C_Ope_007[[#This Row],[TIPO DE R.]]="R",COUNTIFS($D$4:$D98,"R")+1,"")</f>
        <v>95</v>
      </c>
      <c r="C99" s="19" t="str">
        <f t="shared" si="9"/>
        <v>C_Ope_007</v>
      </c>
      <c r="D99" s="3" t="s">
        <v>1074</v>
      </c>
      <c r="E99" s="14">
        <v>45740</v>
      </c>
      <c r="F99" s="5" t="s">
        <v>4314</v>
      </c>
      <c r="G99" s="5" t="s">
        <v>1079</v>
      </c>
      <c r="H99" s="6"/>
      <c r="I99" s="6" t="s">
        <v>14</v>
      </c>
      <c r="J99" s="6" t="s">
        <v>5245</v>
      </c>
      <c r="K99" s="6">
        <v>1707572</v>
      </c>
      <c r="L99" s="7" t="s">
        <v>7551</v>
      </c>
      <c r="M99" s="8">
        <v>23629</v>
      </c>
      <c r="N99" s="8" t="str">
        <f t="shared" si="10"/>
        <v>PEN</v>
      </c>
      <c r="O99" s="13"/>
      <c r="P99" s="13">
        <v>8</v>
      </c>
      <c r="Q99" s="3">
        <f t="shared" si="6"/>
        <v>0</v>
      </c>
      <c r="R99" s="3">
        <f t="shared" si="7"/>
        <v>8</v>
      </c>
      <c r="S99" s="3">
        <f t="shared" si="8"/>
        <v>221</v>
      </c>
      <c r="T99" s="24"/>
      <c r="U99" s="24"/>
      <c r="V99" s="3"/>
      <c r="W99" s="25" t="s">
        <v>6630</v>
      </c>
      <c r="X99" s="25"/>
      <c r="Y99" s="25" t="str">
        <f>IFERROR(VLOOKUP(C_Ope_007[[#This Row],[NOTA 2]],Clientes_Proveedores[[Ruc / Dni]:[Razon Social]],2,0),"")</f>
        <v/>
      </c>
      <c r="Z99" s="25"/>
      <c r="AA99" s="25"/>
      <c r="AB99" s="3" t="str">
        <f>IF(C_Ope_007[[#This Row],[FECHA]]&gt;0,TEXT(C_Ope_007[[#This Row],[FECHA]],"mmmm"),0)</f>
        <v>Marzo</v>
      </c>
    </row>
    <row r="100" spans="2:28" x14ac:dyDescent="0.3">
      <c r="B100" s="2">
        <f>IF(C_Ope_007[[#This Row],[TIPO DE R.]]="R",COUNTIFS($D$4:$D99,"R")+1,"")</f>
        <v>96</v>
      </c>
      <c r="C100" s="19" t="str">
        <f t="shared" si="9"/>
        <v>C_Ope_007</v>
      </c>
      <c r="D100" s="3" t="s">
        <v>1074</v>
      </c>
      <c r="E100" s="14">
        <v>45741</v>
      </c>
      <c r="F100" s="5" t="s">
        <v>4314</v>
      </c>
      <c r="G100" s="5" t="s">
        <v>1079</v>
      </c>
      <c r="H100" s="6"/>
      <c r="I100" s="6" t="s">
        <v>14</v>
      </c>
      <c r="J100" s="6" t="s">
        <v>5244</v>
      </c>
      <c r="K100" s="6">
        <v>1688549</v>
      </c>
      <c r="L100" s="7" t="s">
        <v>7552</v>
      </c>
      <c r="M100" s="8">
        <v>23630</v>
      </c>
      <c r="N100" s="8" t="str">
        <f t="shared" si="10"/>
        <v>PEN</v>
      </c>
      <c r="O100" s="13"/>
      <c r="P100" s="13">
        <v>8</v>
      </c>
      <c r="Q100" s="3">
        <f t="shared" si="6"/>
        <v>0</v>
      </c>
      <c r="R100" s="3">
        <f t="shared" si="7"/>
        <v>8</v>
      </c>
      <c r="S100" s="3">
        <f t="shared" si="8"/>
        <v>213</v>
      </c>
      <c r="T100" s="24"/>
      <c r="U100" s="24"/>
      <c r="V100" s="3"/>
      <c r="W100" s="25" t="s">
        <v>6630</v>
      </c>
      <c r="X100" s="25"/>
      <c r="Y100" s="25" t="str">
        <f>IFERROR(VLOOKUP(C_Ope_007[[#This Row],[NOTA 2]],Clientes_Proveedores[[Ruc / Dni]:[Razon Social]],2,0),"")</f>
        <v/>
      </c>
      <c r="Z100" s="25"/>
      <c r="AA100" s="25"/>
      <c r="AB100" s="3" t="str">
        <f>IF(C_Ope_007[[#This Row],[FECHA]]&gt;0,TEXT(C_Ope_007[[#This Row],[FECHA]],"mmmm"),0)</f>
        <v>Marzo</v>
      </c>
    </row>
    <row r="101" spans="2:28" x14ac:dyDescent="0.3">
      <c r="B101" s="2">
        <f>IF(C_Ope_007[[#This Row],[TIPO DE R.]]="R",COUNTIFS($D$4:$D100,"R")+1,"")</f>
        <v>97</v>
      </c>
      <c r="C101" s="19" t="str">
        <f t="shared" si="9"/>
        <v>C_Ope_007</v>
      </c>
      <c r="D101" s="3" t="s">
        <v>1074</v>
      </c>
      <c r="E101" s="14">
        <v>45741</v>
      </c>
      <c r="F101" s="5" t="s">
        <v>4314</v>
      </c>
      <c r="G101" s="5" t="s">
        <v>1079</v>
      </c>
      <c r="H101" s="6"/>
      <c r="I101" s="6" t="s">
        <v>14</v>
      </c>
      <c r="J101" s="6" t="s">
        <v>5245</v>
      </c>
      <c r="K101" s="6">
        <v>1708397</v>
      </c>
      <c r="L101" s="7" t="s">
        <v>7552</v>
      </c>
      <c r="M101" s="8">
        <v>23631</v>
      </c>
      <c r="N101" s="8" t="str">
        <f t="shared" si="10"/>
        <v>PEN</v>
      </c>
      <c r="O101" s="13"/>
      <c r="P101" s="13">
        <v>8</v>
      </c>
      <c r="Q101" s="3">
        <f t="shared" si="6"/>
        <v>0</v>
      </c>
      <c r="R101" s="3">
        <f t="shared" si="7"/>
        <v>8</v>
      </c>
      <c r="S101" s="3">
        <f t="shared" si="8"/>
        <v>205</v>
      </c>
      <c r="T101" s="24"/>
      <c r="U101" s="24"/>
      <c r="V101" s="3"/>
      <c r="W101" s="25" t="s">
        <v>6630</v>
      </c>
      <c r="X101" s="25"/>
      <c r="Y101" s="25" t="str">
        <f>IFERROR(VLOOKUP(C_Ope_007[[#This Row],[NOTA 2]],Clientes_Proveedores[[Ruc / Dni]:[Razon Social]],2,0),"")</f>
        <v/>
      </c>
      <c r="Z101" s="25"/>
      <c r="AA101" s="25"/>
      <c r="AB101" s="3" t="str">
        <f>IF(C_Ope_007[[#This Row],[FECHA]]&gt;0,TEXT(C_Ope_007[[#This Row],[FECHA]],"mmmm"),0)</f>
        <v>Marzo</v>
      </c>
    </row>
    <row r="102" spans="2:28" ht="24" x14ac:dyDescent="0.3">
      <c r="B102" s="2">
        <f>IF(C_Ope_007[[#This Row],[TIPO DE R.]]="R",COUNTIFS($D$4:$D101,"R")+1,"")</f>
        <v>98</v>
      </c>
      <c r="C102" s="19" t="str">
        <f t="shared" si="9"/>
        <v>C_Ope_007</v>
      </c>
      <c r="D102" s="3" t="s">
        <v>1074</v>
      </c>
      <c r="E102" s="14">
        <v>45742</v>
      </c>
      <c r="F102" s="5" t="s">
        <v>4314</v>
      </c>
      <c r="G102" s="5" t="s">
        <v>1079</v>
      </c>
      <c r="H102" s="6"/>
      <c r="I102" s="6" t="s">
        <v>14</v>
      </c>
      <c r="J102" s="6" t="s">
        <v>5244</v>
      </c>
      <c r="K102" s="6">
        <v>1689555</v>
      </c>
      <c r="L102" s="7" t="s">
        <v>7553</v>
      </c>
      <c r="M102" s="8">
        <v>23632</v>
      </c>
      <c r="N102" s="8" t="str">
        <f t="shared" si="10"/>
        <v>PEN</v>
      </c>
      <c r="O102" s="13"/>
      <c r="P102" s="13">
        <v>8</v>
      </c>
      <c r="Q102" s="3">
        <f t="shared" si="6"/>
        <v>0</v>
      </c>
      <c r="R102" s="3">
        <f t="shared" si="7"/>
        <v>8</v>
      </c>
      <c r="S102" s="3">
        <f t="shared" si="8"/>
        <v>197</v>
      </c>
      <c r="T102" s="24"/>
      <c r="U102" s="24"/>
      <c r="V102" s="3"/>
      <c r="W102" s="25" t="s">
        <v>6630</v>
      </c>
      <c r="X102" s="25"/>
      <c r="Y102" s="25" t="str">
        <f>IFERROR(VLOOKUP(C_Ope_007[[#This Row],[NOTA 2]],Clientes_Proveedores[[Ruc / Dni]:[Razon Social]],2,0),"")</f>
        <v/>
      </c>
      <c r="Z102" s="25"/>
      <c r="AA102" s="25"/>
      <c r="AB102" s="3" t="str">
        <f>IF(C_Ope_007[[#This Row],[FECHA]]&gt;0,TEXT(C_Ope_007[[#This Row],[FECHA]],"mmmm"),0)</f>
        <v>Marzo</v>
      </c>
    </row>
    <row r="103" spans="2:28" ht="24" x14ac:dyDescent="0.3">
      <c r="B103" s="2">
        <f>IF(C_Ope_007[[#This Row],[TIPO DE R.]]="R",COUNTIFS($D$4:$D102,"R")+1,"")</f>
        <v>99</v>
      </c>
      <c r="C103" s="19" t="str">
        <f t="shared" si="9"/>
        <v>C_Ope_007</v>
      </c>
      <c r="D103" s="3" t="s">
        <v>1074</v>
      </c>
      <c r="E103" s="14">
        <v>45742</v>
      </c>
      <c r="F103" s="5" t="s">
        <v>4314</v>
      </c>
      <c r="G103" s="5" t="s">
        <v>1079</v>
      </c>
      <c r="H103" s="6"/>
      <c r="I103" s="6" t="s">
        <v>14</v>
      </c>
      <c r="J103" s="6" t="s">
        <v>5245</v>
      </c>
      <c r="K103" s="6">
        <v>1709257</v>
      </c>
      <c r="L103" s="7" t="s">
        <v>7553</v>
      </c>
      <c r="M103" s="8">
        <v>23633</v>
      </c>
      <c r="N103" s="8" t="str">
        <f t="shared" si="10"/>
        <v>PEN</v>
      </c>
      <c r="O103" s="13"/>
      <c r="P103" s="13">
        <v>8</v>
      </c>
      <c r="Q103" s="3">
        <f t="shared" si="6"/>
        <v>0</v>
      </c>
      <c r="R103" s="3">
        <f t="shared" si="7"/>
        <v>8</v>
      </c>
      <c r="S103" s="3">
        <f t="shared" si="8"/>
        <v>189</v>
      </c>
      <c r="T103" s="24"/>
      <c r="U103" s="24"/>
      <c r="V103" s="3"/>
      <c r="W103" s="25" t="s">
        <v>6630</v>
      </c>
      <c r="X103" s="25"/>
      <c r="Y103" s="25" t="str">
        <f>IFERROR(VLOOKUP(C_Ope_007[[#This Row],[NOTA 2]],Clientes_Proveedores[[Ruc / Dni]:[Razon Social]],2,0),"")</f>
        <v/>
      </c>
      <c r="Z103" s="25"/>
      <c r="AA103" s="25"/>
      <c r="AB103" s="3" t="str">
        <f>IF(C_Ope_007[[#This Row],[FECHA]]&gt;0,TEXT(C_Ope_007[[#This Row],[FECHA]],"mmmm"),0)</f>
        <v>Marzo</v>
      </c>
    </row>
    <row r="104" spans="2:28" ht="24" x14ac:dyDescent="0.3">
      <c r="B104" s="2">
        <f>IF(C_Ope_007[[#This Row],[TIPO DE R.]]="R",COUNTIFS($D$4:$D103,"R")+1,"")</f>
        <v>100</v>
      </c>
      <c r="C104" s="19" t="str">
        <f t="shared" si="9"/>
        <v>C_Ope_007</v>
      </c>
      <c r="D104" s="3" t="s">
        <v>1074</v>
      </c>
      <c r="E104" s="14">
        <v>45743</v>
      </c>
      <c r="F104" s="5" t="s">
        <v>4314</v>
      </c>
      <c r="G104" s="5" t="s">
        <v>1079</v>
      </c>
      <c r="H104" s="6"/>
      <c r="I104" s="6" t="s">
        <v>14</v>
      </c>
      <c r="J104" s="6" t="s">
        <v>5243</v>
      </c>
      <c r="K104" s="6">
        <v>2279464</v>
      </c>
      <c r="L104" s="7" t="s">
        <v>7251</v>
      </c>
      <c r="M104" s="8">
        <v>23634</v>
      </c>
      <c r="N104" s="8" t="str">
        <f t="shared" si="10"/>
        <v>PEN</v>
      </c>
      <c r="O104" s="13"/>
      <c r="P104" s="13">
        <v>8</v>
      </c>
      <c r="Q104" s="3">
        <f t="shared" si="6"/>
        <v>0</v>
      </c>
      <c r="R104" s="3">
        <f t="shared" si="7"/>
        <v>8</v>
      </c>
      <c r="S104" s="3">
        <f t="shared" si="8"/>
        <v>181</v>
      </c>
      <c r="T104" s="24"/>
      <c r="U104" s="24"/>
      <c r="V104" s="3"/>
      <c r="W104" s="25" t="s">
        <v>6630</v>
      </c>
      <c r="X104" s="25"/>
      <c r="Y104" s="25" t="str">
        <f>IFERROR(VLOOKUP(C_Ope_007[[#This Row],[NOTA 2]],Clientes_Proveedores[[Ruc / Dni]:[Razon Social]],2,0),"")</f>
        <v/>
      </c>
      <c r="Z104" s="25"/>
      <c r="AA104" s="25"/>
      <c r="AB104" s="3" t="str">
        <f>IF(C_Ope_007[[#This Row],[FECHA]]&gt;0,TEXT(C_Ope_007[[#This Row],[FECHA]],"mmmm"),0)</f>
        <v>Marzo</v>
      </c>
    </row>
    <row r="105" spans="2:28" x14ac:dyDescent="0.3">
      <c r="B105" s="2">
        <f>IF(C_Ope_007[[#This Row],[TIPO DE R.]]="R",COUNTIFS($D$4:$D104,"R")+1,"")</f>
        <v>101</v>
      </c>
      <c r="C105" s="19" t="str">
        <f t="shared" si="9"/>
        <v>C_Ope_007</v>
      </c>
      <c r="D105" s="3" t="s">
        <v>1074</v>
      </c>
      <c r="E105" s="14">
        <v>45741</v>
      </c>
      <c r="F105" s="5" t="s">
        <v>4314</v>
      </c>
      <c r="G105" s="5" t="s">
        <v>1079</v>
      </c>
      <c r="H105" s="6"/>
      <c r="I105" s="6" t="s">
        <v>14</v>
      </c>
      <c r="J105" s="6" t="s">
        <v>1429</v>
      </c>
      <c r="K105" s="6">
        <v>16128</v>
      </c>
      <c r="L105" s="7" t="s">
        <v>7554</v>
      </c>
      <c r="M105" s="8">
        <v>23639</v>
      </c>
      <c r="N105" s="8" t="str">
        <f t="shared" si="10"/>
        <v>PEN</v>
      </c>
      <c r="O105" s="13"/>
      <c r="P105" s="13">
        <v>12</v>
      </c>
      <c r="Q105" s="3">
        <f t="shared" si="6"/>
        <v>0</v>
      </c>
      <c r="R105" s="3">
        <f t="shared" si="7"/>
        <v>12</v>
      </c>
      <c r="S105" s="3">
        <f t="shared" si="8"/>
        <v>169</v>
      </c>
      <c r="T105" s="24"/>
      <c r="U105" s="24"/>
      <c r="V105" s="3"/>
      <c r="W105" s="25" t="s">
        <v>6630</v>
      </c>
      <c r="X105" s="25"/>
      <c r="Y105" s="25" t="str">
        <f>IFERROR(VLOOKUP(C_Ope_007[[#This Row],[NOTA 2]],Clientes_Proveedores[[Ruc / Dni]:[Razon Social]],2,0),"")</f>
        <v/>
      </c>
      <c r="Z105" s="25"/>
      <c r="AA105" s="25"/>
      <c r="AB105" s="3" t="str">
        <f>IF(C_Ope_007[[#This Row],[FECHA]]&gt;0,TEXT(C_Ope_007[[#This Row],[FECHA]],"mmmm"),0)</f>
        <v>Marzo</v>
      </c>
    </row>
    <row r="106" spans="2:28" x14ac:dyDescent="0.3">
      <c r="B106" s="2">
        <f>IF(C_Ope_007[[#This Row],[TIPO DE R.]]="R",COUNTIFS($D$4:$D105,"R")+1,"")</f>
        <v>102</v>
      </c>
      <c r="C106" s="19" t="str">
        <f t="shared" si="9"/>
        <v>C_Ope_007</v>
      </c>
      <c r="D106" s="3" t="s">
        <v>1074</v>
      </c>
      <c r="E106" s="14">
        <v>45747</v>
      </c>
      <c r="F106" s="5" t="s">
        <v>4314</v>
      </c>
      <c r="G106" s="5" t="s">
        <v>1079</v>
      </c>
      <c r="H106" s="6"/>
      <c r="I106" s="6" t="s">
        <v>14</v>
      </c>
      <c r="J106" s="6" t="s">
        <v>1119</v>
      </c>
      <c r="K106" s="6">
        <v>17183</v>
      </c>
      <c r="L106" s="7" t="s">
        <v>6633</v>
      </c>
      <c r="M106" s="8">
        <v>23804</v>
      </c>
      <c r="N106" s="8" t="str">
        <f t="shared" si="10"/>
        <v>PEN</v>
      </c>
      <c r="O106" s="13"/>
      <c r="P106" s="13">
        <v>11</v>
      </c>
      <c r="Q106" s="3">
        <f t="shared" si="6"/>
        <v>0</v>
      </c>
      <c r="R106" s="3">
        <f t="shared" si="7"/>
        <v>11</v>
      </c>
      <c r="S106" s="3">
        <f t="shared" si="8"/>
        <v>158</v>
      </c>
      <c r="T106" s="24"/>
      <c r="U106" s="24"/>
      <c r="V106" s="3"/>
      <c r="W106" s="25" t="s">
        <v>6630</v>
      </c>
      <c r="X106" s="25"/>
      <c r="Y106" s="25" t="str">
        <f>IFERROR(VLOOKUP(C_Ope_007[[#This Row],[NOTA 2]],Clientes_Proveedores[[Ruc / Dni]:[Razon Social]],2,0),"")</f>
        <v/>
      </c>
      <c r="Z106" s="25"/>
      <c r="AA106" s="25"/>
      <c r="AB106" s="3" t="str">
        <f>IF(C_Ope_007[[#This Row],[FECHA]]&gt;0,TEXT(C_Ope_007[[#This Row],[FECHA]],"mmmm"),0)</f>
        <v>Marzo</v>
      </c>
    </row>
    <row r="107" spans="2:28" x14ac:dyDescent="0.3">
      <c r="B107" s="2">
        <f>IF(C_Ope_007[[#This Row],[TIPO DE R.]]="R",COUNTIFS($D$4:$D106,"R")+1,"")</f>
        <v>103</v>
      </c>
      <c r="C107" s="19" t="str">
        <f t="shared" si="9"/>
        <v>C_Ope_007</v>
      </c>
      <c r="D107" s="3" t="s">
        <v>1074</v>
      </c>
      <c r="E107" s="14">
        <v>45742</v>
      </c>
      <c r="F107" s="5" t="s">
        <v>4314</v>
      </c>
      <c r="G107" s="5" t="s">
        <v>1079</v>
      </c>
      <c r="H107" s="6"/>
      <c r="I107" s="6" t="s">
        <v>14</v>
      </c>
      <c r="J107" s="6" t="s">
        <v>1119</v>
      </c>
      <c r="K107" s="6">
        <v>16991</v>
      </c>
      <c r="L107" s="7" t="s">
        <v>7205</v>
      </c>
      <c r="M107" s="8">
        <v>23635</v>
      </c>
      <c r="N107" s="8" t="str">
        <f t="shared" si="10"/>
        <v>PEN</v>
      </c>
      <c r="O107" s="13"/>
      <c r="P107" s="13">
        <v>25</v>
      </c>
      <c r="Q107" s="3">
        <f t="shared" si="6"/>
        <v>0</v>
      </c>
      <c r="R107" s="3">
        <f t="shared" si="7"/>
        <v>25</v>
      </c>
      <c r="S107" s="3">
        <f t="shared" si="8"/>
        <v>133</v>
      </c>
      <c r="T107" s="24"/>
      <c r="U107" s="24"/>
      <c r="V107" s="3"/>
      <c r="W107" s="25" t="s">
        <v>6630</v>
      </c>
      <c r="X107" s="25"/>
      <c r="Y107" s="25" t="str">
        <f>IFERROR(VLOOKUP(C_Ope_007[[#This Row],[NOTA 2]],Clientes_Proveedores[[Ruc / Dni]:[Razon Social]],2,0),"")</f>
        <v/>
      </c>
      <c r="Z107" s="25"/>
      <c r="AA107" s="25"/>
      <c r="AB107" s="3" t="str">
        <f>IF(C_Ope_007[[#This Row],[FECHA]]&gt;0,TEXT(C_Ope_007[[#This Row],[FECHA]],"mmmm"),0)</f>
        <v>Marzo</v>
      </c>
    </row>
    <row r="108" spans="2:28" x14ac:dyDescent="0.3">
      <c r="B108" s="2">
        <f>IF(C_Ope_007[[#This Row],[TIPO DE R.]]="R",COUNTIFS($D$4:$D107,"R")+1,"")</f>
        <v>104</v>
      </c>
      <c r="C108" s="19" t="str">
        <f t="shared" si="9"/>
        <v>C_Ope_007</v>
      </c>
      <c r="D108" s="3" t="s">
        <v>1074</v>
      </c>
      <c r="E108" s="14">
        <v>45743</v>
      </c>
      <c r="F108" s="5" t="s">
        <v>4314</v>
      </c>
      <c r="G108" s="5" t="s">
        <v>1079</v>
      </c>
      <c r="H108" s="6"/>
      <c r="I108" s="6" t="s">
        <v>14</v>
      </c>
      <c r="J108" s="6" t="s">
        <v>1121</v>
      </c>
      <c r="K108" s="6">
        <v>718</v>
      </c>
      <c r="L108" s="7" t="s">
        <v>7205</v>
      </c>
      <c r="M108" s="8">
        <v>23661</v>
      </c>
      <c r="N108" s="8" t="str">
        <f t="shared" si="10"/>
        <v>PEN</v>
      </c>
      <c r="O108" s="13"/>
      <c r="P108" s="13">
        <v>35</v>
      </c>
      <c r="Q108" s="3">
        <f t="shared" si="6"/>
        <v>0</v>
      </c>
      <c r="R108" s="3">
        <f t="shared" si="7"/>
        <v>35</v>
      </c>
      <c r="S108" s="3">
        <f t="shared" si="8"/>
        <v>98</v>
      </c>
      <c r="T108" s="24"/>
      <c r="U108" s="24"/>
      <c r="V108" s="3"/>
      <c r="W108" s="25" t="s">
        <v>6539</v>
      </c>
      <c r="X108" s="25"/>
      <c r="Y108" s="25" t="str">
        <f>IFERROR(VLOOKUP(C_Ope_007[[#This Row],[NOTA 2]],Clientes_Proveedores[[Ruc / Dni]:[Razon Social]],2,0),"")</f>
        <v/>
      </c>
      <c r="Z108" s="25"/>
      <c r="AA108" s="25"/>
      <c r="AB108" s="3" t="str">
        <f>IF(C_Ope_007[[#This Row],[FECHA]]&gt;0,TEXT(C_Ope_007[[#This Row],[FECHA]],"mmmm"),0)</f>
        <v>Marzo</v>
      </c>
    </row>
    <row r="109" spans="2:28" x14ac:dyDescent="0.3">
      <c r="B109" s="2">
        <f>IF(C_Ope_007[[#This Row],[TIPO DE R.]]="R",COUNTIFS($D$4:$D108,"R")+1,"")</f>
        <v>105</v>
      </c>
      <c r="C109" s="19" t="str">
        <f t="shared" si="9"/>
        <v>C_Ope_007</v>
      </c>
      <c r="D109" s="3" t="s">
        <v>1074</v>
      </c>
      <c r="E109" s="14">
        <v>45748</v>
      </c>
      <c r="F109" s="5" t="s">
        <v>4314</v>
      </c>
      <c r="G109" s="5" t="s">
        <v>1079</v>
      </c>
      <c r="H109" s="6"/>
      <c r="I109" s="6" t="s">
        <v>14</v>
      </c>
      <c r="J109" s="6" t="s">
        <v>5244</v>
      </c>
      <c r="K109" s="6">
        <v>1694608</v>
      </c>
      <c r="L109" s="7" t="s">
        <v>7555</v>
      </c>
      <c r="M109" s="8">
        <v>23799</v>
      </c>
      <c r="N109" s="8" t="str">
        <f t="shared" si="10"/>
        <v>PEN</v>
      </c>
      <c r="O109" s="13"/>
      <c r="P109" s="13">
        <v>5</v>
      </c>
      <c r="Q109" s="3">
        <f t="shared" si="6"/>
        <v>0</v>
      </c>
      <c r="R109" s="3">
        <f t="shared" si="7"/>
        <v>5</v>
      </c>
      <c r="S109" s="3">
        <f t="shared" si="8"/>
        <v>93</v>
      </c>
      <c r="T109" s="24"/>
      <c r="U109" s="24"/>
      <c r="V109" s="3"/>
      <c r="W109" s="25" t="s">
        <v>6539</v>
      </c>
      <c r="X109" s="25"/>
      <c r="Y109" s="25" t="str">
        <f>IFERROR(VLOOKUP(C_Ope_007[[#This Row],[NOTA 2]],Clientes_Proveedores[[Ruc / Dni]:[Razon Social]],2,0),"")</f>
        <v/>
      </c>
      <c r="Z109" s="25"/>
      <c r="AA109" s="25"/>
      <c r="AB109" s="3" t="str">
        <f>IF(C_Ope_007[[#This Row],[FECHA]]&gt;0,TEXT(C_Ope_007[[#This Row],[FECHA]],"mmmm"),0)</f>
        <v>Abril</v>
      </c>
    </row>
    <row r="110" spans="2:28" x14ac:dyDescent="0.3">
      <c r="B110" s="2">
        <f>IF(C_Ope_007[[#This Row],[TIPO DE R.]]="R",COUNTIFS($D$4:$D109,"R")+1,"")</f>
        <v>106</v>
      </c>
      <c r="C110" s="19" t="str">
        <f t="shared" si="9"/>
        <v>C_Ope_007</v>
      </c>
      <c r="D110" s="3" t="s">
        <v>1074</v>
      </c>
      <c r="E110" s="14">
        <v>45748</v>
      </c>
      <c r="F110" s="5" t="s">
        <v>4314</v>
      </c>
      <c r="G110" s="5" t="s">
        <v>1079</v>
      </c>
      <c r="H110" s="6"/>
      <c r="I110" s="6" t="s">
        <v>14</v>
      </c>
      <c r="J110" s="6" t="s">
        <v>5245</v>
      </c>
      <c r="K110" s="6">
        <v>1714542</v>
      </c>
      <c r="L110" s="7" t="s">
        <v>7555</v>
      </c>
      <c r="M110" s="8">
        <v>23800</v>
      </c>
      <c r="N110" s="8" t="str">
        <f t="shared" si="10"/>
        <v>PEN</v>
      </c>
      <c r="O110" s="13"/>
      <c r="P110" s="13">
        <v>5</v>
      </c>
      <c r="Q110" s="3">
        <f t="shared" si="6"/>
        <v>0</v>
      </c>
      <c r="R110" s="3">
        <f t="shared" si="7"/>
        <v>5</v>
      </c>
      <c r="S110" s="3">
        <f t="shared" si="8"/>
        <v>88</v>
      </c>
      <c r="T110" s="24"/>
      <c r="U110" s="24"/>
      <c r="V110" s="3"/>
      <c r="W110" s="25" t="s">
        <v>6539</v>
      </c>
      <c r="X110" s="25"/>
      <c r="Y110" s="25" t="str">
        <f>IFERROR(VLOOKUP(C_Ope_007[[#This Row],[NOTA 2]],Clientes_Proveedores[[Ruc / Dni]:[Razon Social]],2,0),"")</f>
        <v/>
      </c>
      <c r="Z110" s="25"/>
      <c r="AA110" s="25"/>
      <c r="AB110" s="3" t="str">
        <f>IF(C_Ope_007[[#This Row],[FECHA]]&gt;0,TEXT(C_Ope_007[[#This Row],[FECHA]],"mmmm"),0)</f>
        <v>Abril</v>
      </c>
    </row>
    <row r="111" spans="2:28" ht="24" x14ac:dyDescent="0.3">
      <c r="B111" s="2">
        <f>IF(C_Ope_007[[#This Row],[TIPO DE R.]]="R",COUNTIFS($D$4:$D110,"R")+1,"")</f>
        <v>107</v>
      </c>
      <c r="C111" s="19" t="str">
        <f t="shared" si="9"/>
        <v>C_Ope_007</v>
      </c>
      <c r="D111" s="3" t="s">
        <v>1074</v>
      </c>
      <c r="E111" s="14">
        <v>45748</v>
      </c>
      <c r="F111" s="5" t="s">
        <v>4314</v>
      </c>
      <c r="G111" s="5" t="s">
        <v>1079</v>
      </c>
      <c r="H111" s="6"/>
      <c r="I111" s="6" t="s">
        <v>14</v>
      </c>
      <c r="J111" s="6" t="s">
        <v>5244</v>
      </c>
      <c r="K111" s="6">
        <v>1694925</v>
      </c>
      <c r="L111" s="7" t="s">
        <v>7556</v>
      </c>
      <c r="M111" s="8">
        <v>23801</v>
      </c>
      <c r="N111" s="8" t="str">
        <f t="shared" si="10"/>
        <v>PEN</v>
      </c>
      <c r="O111" s="13"/>
      <c r="P111" s="13">
        <v>8</v>
      </c>
      <c r="Q111" s="3">
        <f t="shared" si="6"/>
        <v>0</v>
      </c>
      <c r="R111" s="3">
        <f t="shared" si="7"/>
        <v>8</v>
      </c>
      <c r="S111" s="3">
        <f t="shared" si="8"/>
        <v>80</v>
      </c>
      <c r="T111" s="24"/>
      <c r="U111" s="24"/>
      <c r="V111" s="3"/>
      <c r="W111" s="25" t="s">
        <v>6813</v>
      </c>
      <c r="X111" s="25"/>
      <c r="Y111" s="25" t="str">
        <f>IFERROR(VLOOKUP(C_Ope_007[[#This Row],[NOTA 2]],Clientes_Proveedores[[Ruc / Dni]:[Razon Social]],2,0),"")</f>
        <v/>
      </c>
      <c r="Z111" s="25"/>
      <c r="AA111" s="25"/>
      <c r="AB111" s="3" t="str">
        <f>IF(C_Ope_007[[#This Row],[FECHA]]&gt;0,TEXT(C_Ope_007[[#This Row],[FECHA]],"mmmm"),0)</f>
        <v>Abril</v>
      </c>
    </row>
    <row r="112" spans="2:28" ht="24" x14ac:dyDescent="0.3">
      <c r="B112" s="2">
        <f>IF(C_Ope_007[[#This Row],[TIPO DE R.]]="R",COUNTIFS($D$4:$D111,"R")+1,"")</f>
        <v>108</v>
      </c>
      <c r="C112" s="19" t="str">
        <f t="shared" si="9"/>
        <v>C_Ope_007</v>
      </c>
      <c r="D112" s="3" t="s">
        <v>1074</v>
      </c>
      <c r="E112" s="14">
        <v>45748</v>
      </c>
      <c r="F112" s="5" t="s">
        <v>4314</v>
      </c>
      <c r="G112" s="5" t="s">
        <v>1079</v>
      </c>
      <c r="H112" s="6"/>
      <c r="I112" s="6" t="s">
        <v>14</v>
      </c>
      <c r="J112" s="6" t="s">
        <v>5245</v>
      </c>
      <c r="K112" s="6">
        <v>1714508</v>
      </c>
      <c r="L112" s="7" t="s">
        <v>7556</v>
      </c>
      <c r="M112" s="8">
        <v>23802</v>
      </c>
      <c r="N112" s="8" t="str">
        <f t="shared" si="10"/>
        <v>PEN</v>
      </c>
      <c r="O112" s="13"/>
      <c r="P112" s="13">
        <v>8</v>
      </c>
      <c r="Q112" s="3">
        <f t="shared" si="6"/>
        <v>0</v>
      </c>
      <c r="R112" s="3">
        <f t="shared" si="7"/>
        <v>8</v>
      </c>
      <c r="S112" s="3">
        <f t="shared" si="8"/>
        <v>72</v>
      </c>
      <c r="T112" s="24"/>
      <c r="U112" s="24"/>
      <c r="V112" s="3"/>
      <c r="W112" s="25" t="s">
        <v>6813</v>
      </c>
      <c r="X112" s="25"/>
      <c r="Y112" s="25" t="str">
        <f>IFERROR(VLOOKUP(C_Ope_007[[#This Row],[NOTA 2]],Clientes_Proveedores[[Ruc / Dni]:[Razon Social]],2,0),"")</f>
        <v/>
      </c>
      <c r="Z112" s="25"/>
      <c r="AA112" s="25"/>
      <c r="AB112" s="3" t="str">
        <f>IF(C_Ope_007[[#This Row],[FECHA]]&gt;0,TEXT(C_Ope_007[[#This Row],[FECHA]],"mmmm"),0)</f>
        <v>Abril</v>
      </c>
    </row>
    <row r="113" spans="2:28" x14ac:dyDescent="0.3">
      <c r="B113" s="2">
        <f>IF(C_Ope_007[[#This Row],[TIPO DE R.]]="R",COUNTIFS($D$4:$D112,"R")+1,"")</f>
        <v>109</v>
      </c>
      <c r="C113" s="19" t="str">
        <f t="shared" si="9"/>
        <v>C_Ope_007</v>
      </c>
      <c r="D113" s="3" t="s">
        <v>1074</v>
      </c>
      <c r="E113" s="14">
        <v>45748</v>
      </c>
      <c r="F113" s="5" t="s">
        <v>4314</v>
      </c>
      <c r="G113" s="5" t="s">
        <v>1079</v>
      </c>
      <c r="H113" s="6"/>
      <c r="I113" s="6" t="s">
        <v>14</v>
      </c>
      <c r="J113" s="6" t="s">
        <v>1429</v>
      </c>
      <c r="K113" s="6">
        <v>16168</v>
      </c>
      <c r="L113" s="7" t="s">
        <v>7557</v>
      </c>
      <c r="M113" s="8">
        <v>23805</v>
      </c>
      <c r="N113" s="8" t="str">
        <f t="shared" si="10"/>
        <v>PEN</v>
      </c>
      <c r="O113" s="13"/>
      <c r="P113" s="13">
        <v>12</v>
      </c>
      <c r="Q113" s="3">
        <f t="shared" si="6"/>
        <v>0</v>
      </c>
      <c r="R113" s="3">
        <f t="shared" si="7"/>
        <v>12</v>
      </c>
      <c r="S113" s="3">
        <f t="shared" si="8"/>
        <v>60</v>
      </c>
      <c r="T113" s="24"/>
      <c r="U113" s="24"/>
      <c r="V113" s="3"/>
      <c r="W113" s="25" t="s">
        <v>6813</v>
      </c>
      <c r="X113" s="25"/>
      <c r="Y113" s="25" t="str">
        <f>IFERROR(VLOOKUP(C_Ope_007[[#This Row],[NOTA 2]],Clientes_Proveedores[[Ruc / Dni]:[Razon Social]],2,0),"")</f>
        <v/>
      </c>
      <c r="Z113" s="25"/>
      <c r="AA113" s="25"/>
      <c r="AB113" s="3" t="str">
        <f>IF(C_Ope_007[[#This Row],[FECHA]]&gt;0,TEXT(C_Ope_007[[#This Row],[FECHA]],"mmmm"),0)</f>
        <v>Abril</v>
      </c>
    </row>
    <row r="114" spans="2:28" ht="24" x14ac:dyDescent="0.3">
      <c r="B114" s="2">
        <f>IF(C_Ope_007[[#This Row],[TIPO DE R.]]="R",COUNTIFS($D$4:$D113,"R")+1,"")</f>
        <v>110</v>
      </c>
      <c r="C114" s="19" t="str">
        <f t="shared" si="9"/>
        <v>C_Ope_007</v>
      </c>
      <c r="D114" s="3" t="s">
        <v>1074</v>
      </c>
      <c r="E114" s="14">
        <v>45754</v>
      </c>
      <c r="F114" s="5" t="s">
        <v>4314</v>
      </c>
      <c r="G114" s="5" t="s">
        <v>1079</v>
      </c>
      <c r="H114" s="6"/>
      <c r="I114" s="6" t="s">
        <v>14</v>
      </c>
      <c r="J114" s="6" t="s">
        <v>5243</v>
      </c>
      <c r="K114" s="6">
        <v>2290932</v>
      </c>
      <c r="L114" s="7" t="s">
        <v>7558</v>
      </c>
      <c r="M114" s="8">
        <v>23803</v>
      </c>
      <c r="N114" s="8" t="str">
        <f t="shared" si="10"/>
        <v>PEN</v>
      </c>
      <c r="O114" s="13"/>
      <c r="P114" s="13">
        <v>8</v>
      </c>
      <c r="Q114" s="3">
        <f t="shared" si="6"/>
        <v>0</v>
      </c>
      <c r="R114" s="3">
        <f t="shared" si="7"/>
        <v>8</v>
      </c>
      <c r="S114" s="3">
        <f t="shared" si="8"/>
        <v>52</v>
      </c>
      <c r="T114" s="24"/>
      <c r="U114" s="24"/>
      <c r="V114" s="3"/>
      <c r="W114" s="25" t="s">
        <v>6630</v>
      </c>
      <c r="X114" s="25"/>
      <c r="Y114" s="25" t="str">
        <f>IFERROR(VLOOKUP(C_Ope_007[[#This Row],[NOTA 2]],Clientes_Proveedores[[Ruc / Dni]:[Razon Social]],2,0),"")</f>
        <v/>
      </c>
      <c r="Z114" s="25"/>
      <c r="AA114" s="25"/>
      <c r="AB114" s="3" t="str">
        <f>IF(C_Ope_007[[#This Row],[FECHA]]&gt;0,TEXT(C_Ope_007[[#This Row],[FECHA]],"mmmm"),0)</f>
        <v>Abril</v>
      </c>
    </row>
    <row r="115" spans="2:28" ht="24" x14ac:dyDescent="0.3">
      <c r="B115" s="2">
        <f>IF(C_Ope_007[[#This Row],[TIPO DE R.]]="R",COUNTIFS($D$4:$D114,"R")+1,"")</f>
        <v>111</v>
      </c>
      <c r="C115" s="19" t="str">
        <f t="shared" si="9"/>
        <v>C_Ope_007</v>
      </c>
      <c r="D115" s="3" t="s">
        <v>1074</v>
      </c>
      <c r="E115" s="14">
        <v>45755</v>
      </c>
      <c r="F115" s="5" t="s">
        <v>4314</v>
      </c>
      <c r="G115" s="5" t="s">
        <v>1079</v>
      </c>
      <c r="H115" s="6"/>
      <c r="I115" s="6" t="s">
        <v>14</v>
      </c>
      <c r="J115" s="6" t="s">
        <v>1097</v>
      </c>
      <c r="K115" s="6">
        <v>16069</v>
      </c>
      <c r="L115" s="7" t="s">
        <v>7559</v>
      </c>
      <c r="M115" s="8">
        <v>23806</v>
      </c>
      <c r="N115" s="8" t="str">
        <f t="shared" si="10"/>
        <v>PEN</v>
      </c>
      <c r="O115" s="13"/>
      <c r="P115" s="13">
        <v>10</v>
      </c>
      <c r="Q115" s="3">
        <f t="shared" si="6"/>
        <v>0</v>
      </c>
      <c r="R115" s="3">
        <f t="shared" si="7"/>
        <v>10</v>
      </c>
      <c r="S115" s="3">
        <f t="shared" si="8"/>
        <v>42</v>
      </c>
      <c r="T115" s="24"/>
      <c r="U115" s="24"/>
      <c r="V115" s="3"/>
      <c r="W115" s="25" t="s">
        <v>6813</v>
      </c>
      <c r="X115" s="25"/>
      <c r="Y115" s="25" t="str">
        <f>IFERROR(VLOOKUP(C_Ope_007[[#This Row],[NOTA 2]],Clientes_Proveedores[[Ruc / Dni]:[Razon Social]],2,0),"")</f>
        <v/>
      </c>
      <c r="Z115" s="25"/>
      <c r="AA115" s="25"/>
      <c r="AB115" s="3" t="str">
        <f>IF(C_Ope_007[[#This Row],[FECHA]]&gt;0,TEXT(C_Ope_007[[#This Row],[FECHA]],"mmmm"),0)</f>
        <v>Abril</v>
      </c>
    </row>
    <row r="116" spans="2:28" x14ac:dyDescent="0.3">
      <c r="B116" s="2">
        <f>IF(C_Ope_007[[#This Row],[TIPO DE R.]]="R",COUNTIFS($D$4:$D115,"R")+1,"")</f>
        <v>112</v>
      </c>
      <c r="C116" s="19" t="str">
        <f t="shared" si="9"/>
        <v>C_Ope_007</v>
      </c>
      <c r="D116" s="3" t="s">
        <v>1074</v>
      </c>
      <c r="E116" s="14">
        <v>45761</v>
      </c>
      <c r="F116" s="5" t="s">
        <v>6299</v>
      </c>
      <c r="G116" s="5" t="s">
        <v>1087</v>
      </c>
      <c r="H116" s="6"/>
      <c r="I116" s="6"/>
      <c r="J116" s="6"/>
      <c r="K116" s="6"/>
      <c r="L116" s="7" t="s">
        <v>6302</v>
      </c>
      <c r="M116" s="8">
        <v>23849</v>
      </c>
      <c r="N116" s="8" t="str">
        <f t="shared" si="10"/>
        <v>PEN</v>
      </c>
      <c r="O116" s="13"/>
      <c r="P116" s="13">
        <v>40</v>
      </c>
      <c r="Q116" s="3">
        <f t="shared" si="6"/>
        <v>40</v>
      </c>
      <c r="R116" s="3">
        <f t="shared" si="7"/>
        <v>0</v>
      </c>
      <c r="S116" s="3">
        <f t="shared" si="8"/>
        <v>82</v>
      </c>
      <c r="T116" s="24"/>
      <c r="U116" s="24"/>
      <c r="V116" s="3"/>
      <c r="W116" s="25"/>
      <c r="X116" s="25"/>
      <c r="Y116" s="25" t="str">
        <f>IFERROR(VLOOKUP(C_Ope_007[[#This Row],[NOTA 2]],Clientes_Proveedores[[Ruc / Dni]:[Razon Social]],2,0),"")</f>
        <v/>
      </c>
      <c r="Z116" s="25"/>
      <c r="AA116" s="25"/>
      <c r="AB116" s="3" t="str">
        <f>IF(C_Ope_007[[#This Row],[FECHA]]&gt;0,TEXT(C_Ope_007[[#This Row],[FECHA]],"mmmm"),0)</f>
        <v>Abril</v>
      </c>
    </row>
    <row r="117" spans="2:28" ht="24" x14ac:dyDescent="0.3">
      <c r="B117" s="2">
        <f>IF(C_Ope_007[[#This Row],[TIPO DE R.]]="R",COUNTIFS($D$4:$D116,"R")+1,"")</f>
        <v>113</v>
      </c>
      <c r="C117" s="19" t="str">
        <f t="shared" si="9"/>
        <v>C_Ope_007</v>
      </c>
      <c r="D117" s="3" t="s">
        <v>1074</v>
      </c>
      <c r="E117" s="14">
        <v>45761</v>
      </c>
      <c r="F117" s="5" t="s">
        <v>4314</v>
      </c>
      <c r="G117" s="5" t="s">
        <v>1079</v>
      </c>
      <c r="H117" s="6"/>
      <c r="I117" s="6" t="s">
        <v>14</v>
      </c>
      <c r="J117" s="6" t="s">
        <v>5245</v>
      </c>
      <c r="K117" s="6">
        <v>1725415</v>
      </c>
      <c r="L117" s="7" t="s">
        <v>6570</v>
      </c>
      <c r="M117" s="8">
        <v>23954</v>
      </c>
      <c r="N117" s="8" t="str">
        <f t="shared" si="10"/>
        <v>PEN</v>
      </c>
      <c r="O117" s="13"/>
      <c r="P117" s="13">
        <v>5</v>
      </c>
      <c r="Q117" s="3">
        <f t="shared" si="6"/>
        <v>0</v>
      </c>
      <c r="R117" s="3">
        <f t="shared" si="7"/>
        <v>5</v>
      </c>
      <c r="S117" s="3">
        <f t="shared" si="8"/>
        <v>77</v>
      </c>
      <c r="T117" s="24"/>
      <c r="U117" s="24"/>
      <c r="V117" s="3"/>
      <c r="W117" s="25" t="s">
        <v>6541</v>
      </c>
      <c r="X117" s="25"/>
      <c r="Y117" s="25" t="str">
        <f>IFERROR(VLOOKUP(C_Ope_007[[#This Row],[NOTA 2]],Clientes_Proveedores[[Ruc / Dni]:[Razon Social]],2,0),"")</f>
        <v/>
      </c>
      <c r="Z117" s="25"/>
      <c r="AA117" s="25"/>
      <c r="AB117" s="3" t="str">
        <f>IF(C_Ope_007[[#This Row],[FECHA]]&gt;0,TEXT(C_Ope_007[[#This Row],[FECHA]],"mmmm"),0)</f>
        <v>Abril</v>
      </c>
    </row>
    <row r="118" spans="2:28" ht="24" x14ac:dyDescent="0.3">
      <c r="B118" s="2">
        <f>IF(C_Ope_007[[#This Row],[TIPO DE R.]]="R",COUNTIFS($D$4:$D117,"R")+1,"")</f>
        <v>114</v>
      </c>
      <c r="C118" s="19" t="str">
        <f t="shared" si="9"/>
        <v>C_Ope_007</v>
      </c>
      <c r="D118" s="3" t="s">
        <v>1074</v>
      </c>
      <c r="E118" s="14">
        <v>45761</v>
      </c>
      <c r="F118" s="5" t="s">
        <v>4314</v>
      </c>
      <c r="G118" s="5" t="s">
        <v>1079</v>
      </c>
      <c r="H118" s="6"/>
      <c r="I118" s="6" t="s">
        <v>14</v>
      </c>
      <c r="J118" s="6" t="s">
        <v>1097</v>
      </c>
      <c r="K118" s="6">
        <v>16124</v>
      </c>
      <c r="L118" s="7" t="s">
        <v>7560</v>
      </c>
      <c r="M118" s="8">
        <v>23958</v>
      </c>
      <c r="N118" s="8" t="str">
        <f t="shared" si="10"/>
        <v>PEN</v>
      </c>
      <c r="O118" s="13"/>
      <c r="P118" s="13">
        <v>20</v>
      </c>
      <c r="Q118" s="3">
        <f t="shared" si="6"/>
        <v>0</v>
      </c>
      <c r="R118" s="3">
        <f t="shared" si="7"/>
        <v>20</v>
      </c>
      <c r="S118" s="3">
        <f t="shared" si="8"/>
        <v>57</v>
      </c>
      <c r="T118" s="24"/>
      <c r="U118" s="24"/>
      <c r="V118" s="3"/>
      <c r="W118" s="25" t="s">
        <v>6813</v>
      </c>
      <c r="X118" s="25"/>
      <c r="Y118" s="25" t="str">
        <f>IFERROR(VLOOKUP(C_Ope_007[[#This Row],[NOTA 2]],Clientes_Proveedores[[Ruc / Dni]:[Razon Social]],2,0),"")</f>
        <v/>
      </c>
      <c r="Z118" s="25"/>
      <c r="AA118" s="25"/>
      <c r="AB118" s="3" t="str">
        <f>IF(C_Ope_007[[#This Row],[FECHA]]&gt;0,TEXT(C_Ope_007[[#This Row],[FECHA]],"mmmm"),0)</f>
        <v>Abril</v>
      </c>
    </row>
    <row r="119" spans="2:28" ht="24" x14ac:dyDescent="0.3">
      <c r="B119" s="2">
        <f>IF(C_Ope_007[[#This Row],[TIPO DE R.]]="R",COUNTIFS($D$4:$D118,"R")+1,"")</f>
        <v>115</v>
      </c>
      <c r="C119" s="19" t="str">
        <f t="shared" si="9"/>
        <v>C_Ope_007</v>
      </c>
      <c r="D119" s="3" t="s">
        <v>1074</v>
      </c>
      <c r="E119" s="14">
        <v>45761</v>
      </c>
      <c r="F119" s="5" t="s">
        <v>4314</v>
      </c>
      <c r="G119" s="5" t="s">
        <v>1079</v>
      </c>
      <c r="H119" s="6"/>
      <c r="I119" s="6" t="s">
        <v>14</v>
      </c>
      <c r="J119" s="6" t="s">
        <v>1097</v>
      </c>
      <c r="K119" s="6">
        <v>16123</v>
      </c>
      <c r="L119" s="7" t="s">
        <v>7560</v>
      </c>
      <c r="M119" s="8">
        <v>23959</v>
      </c>
      <c r="N119" s="8" t="str">
        <f t="shared" si="10"/>
        <v>PEN</v>
      </c>
      <c r="O119" s="13"/>
      <c r="P119" s="13">
        <v>20</v>
      </c>
      <c r="Q119" s="3">
        <f t="shared" si="6"/>
        <v>0</v>
      </c>
      <c r="R119" s="3">
        <f t="shared" si="7"/>
        <v>20</v>
      </c>
      <c r="S119" s="3">
        <f t="shared" si="8"/>
        <v>37</v>
      </c>
      <c r="T119" s="24"/>
      <c r="U119" s="24"/>
      <c r="V119" s="3"/>
      <c r="W119" s="25" t="s">
        <v>6813</v>
      </c>
      <c r="X119" s="25"/>
      <c r="Y119" s="25" t="str">
        <f>IFERROR(VLOOKUP(C_Ope_007[[#This Row],[NOTA 2]],Clientes_Proveedores[[Ruc / Dni]:[Razon Social]],2,0),"")</f>
        <v/>
      </c>
      <c r="Z119" s="25"/>
      <c r="AA119" s="25"/>
      <c r="AB119" s="3" t="str">
        <f>IF(C_Ope_007[[#This Row],[FECHA]]&gt;0,TEXT(C_Ope_007[[#This Row],[FECHA]],"mmmm"),0)</f>
        <v>Abril</v>
      </c>
    </row>
    <row r="120" spans="2:28" x14ac:dyDescent="0.3">
      <c r="B120" s="2">
        <f>IF(C_Ope_007[[#This Row],[TIPO DE R.]]="R",COUNTIFS($D$4:$D119,"R")+1,"")</f>
        <v>116</v>
      </c>
      <c r="C120" s="19" t="str">
        <f t="shared" si="9"/>
        <v>C_Ope_007</v>
      </c>
      <c r="D120" s="3" t="s">
        <v>1074</v>
      </c>
      <c r="E120" s="14">
        <v>45762</v>
      </c>
      <c r="F120" s="5" t="s">
        <v>4314</v>
      </c>
      <c r="G120" s="5" t="s">
        <v>1079</v>
      </c>
      <c r="H120" s="6"/>
      <c r="I120" s="6" t="s">
        <v>14</v>
      </c>
      <c r="J120" s="6" t="s">
        <v>1088</v>
      </c>
      <c r="K120" s="6">
        <v>34359</v>
      </c>
      <c r="L120" s="7" t="s">
        <v>7561</v>
      </c>
      <c r="M120" s="8">
        <v>23960</v>
      </c>
      <c r="N120" s="8" t="str">
        <f t="shared" si="10"/>
        <v>PEN</v>
      </c>
      <c r="O120" s="13"/>
      <c r="P120" s="13">
        <v>10</v>
      </c>
      <c r="Q120" s="3">
        <f t="shared" si="6"/>
        <v>0</v>
      </c>
      <c r="R120" s="3">
        <f t="shared" si="7"/>
        <v>10</v>
      </c>
      <c r="S120" s="3">
        <f t="shared" si="8"/>
        <v>27</v>
      </c>
      <c r="T120" s="24"/>
      <c r="U120" s="24"/>
      <c r="V120" s="3"/>
      <c r="W120" s="25" t="s">
        <v>6546</v>
      </c>
      <c r="X120" s="25"/>
      <c r="Y120" s="25" t="str">
        <f>IFERROR(VLOOKUP(C_Ope_007[[#This Row],[NOTA 2]],Clientes_Proveedores[[Ruc / Dni]:[Razon Social]],2,0),"")</f>
        <v/>
      </c>
      <c r="Z120" s="25"/>
      <c r="AA120" s="25"/>
      <c r="AB120" s="3" t="str">
        <f>IF(C_Ope_007[[#This Row],[FECHA]]&gt;0,TEXT(C_Ope_007[[#This Row],[FECHA]],"mmmm"),0)</f>
        <v>Abril</v>
      </c>
    </row>
    <row r="121" spans="2:28" ht="24" x14ac:dyDescent="0.3">
      <c r="B121" s="2">
        <f>IF(C_Ope_007[[#This Row],[TIPO DE R.]]="R",COUNTIFS($D$4:$D120,"R")+1,"")</f>
        <v>117</v>
      </c>
      <c r="C121" s="19" t="str">
        <f t="shared" si="9"/>
        <v>C_Ope_007</v>
      </c>
      <c r="D121" s="3" t="s">
        <v>1074</v>
      </c>
      <c r="E121" s="14">
        <v>45763</v>
      </c>
      <c r="F121" s="5" t="s">
        <v>4314</v>
      </c>
      <c r="G121" s="5" t="s">
        <v>1079</v>
      </c>
      <c r="H121" s="6"/>
      <c r="I121" s="6" t="s">
        <v>14</v>
      </c>
      <c r="J121" s="6" t="s">
        <v>1097</v>
      </c>
      <c r="K121" s="6">
        <v>16136</v>
      </c>
      <c r="L121" s="7" t="s">
        <v>7560</v>
      </c>
      <c r="M121" s="8">
        <v>23961</v>
      </c>
      <c r="N121" s="8" t="str">
        <f t="shared" si="10"/>
        <v>PEN</v>
      </c>
      <c r="O121" s="13"/>
      <c r="P121" s="13">
        <v>20</v>
      </c>
      <c r="Q121" s="3">
        <f t="shared" si="6"/>
        <v>0</v>
      </c>
      <c r="R121" s="3">
        <f t="shared" si="7"/>
        <v>20</v>
      </c>
      <c r="S121" s="3">
        <f t="shared" si="8"/>
        <v>7</v>
      </c>
      <c r="T121" s="24"/>
      <c r="U121" s="24"/>
      <c r="V121" s="3"/>
      <c r="W121" s="25" t="s">
        <v>6813</v>
      </c>
      <c r="X121" s="25"/>
      <c r="Y121" s="25" t="str">
        <f>IFERROR(VLOOKUP(C_Ope_007[[#This Row],[NOTA 2]],Clientes_Proveedores[[Ruc / Dni]:[Razon Social]],2,0),"")</f>
        <v/>
      </c>
      <c r="Z121" s="25"/>
      <c r="AA121" s="25"/>
      <c r="AB121" s="3" t="str">
        <f>IF(C_Ope_007[[#This Row],[FECHA]]&gt;0,TEXT(C_Ope_007[[#This Row],[FECHA]],"mmmm"),0)</f>
        <v>Abril</v>
      </c>
    </row>
    <row r="122" spans="2:28" ht="24" x14ac:dyDescent="0.3">
      <c r="B122" s="2">
        <f>IF(C_Ope_007[[#This Row],[TIPO DE R.]]="R",COUNTIFS($D$4:$D121,"R")+1,"")</f>
        <v>118</v>
      </c>
      <c r="C122" s="19" t="str">
        <f t="shared" si="9"/>
        <v>C_Ope_007</v>
      </c>
      <c r="D122" s="3" t="s">
        <v>1074</v>
      </c>
      <c r="E122" s="14">
        <v>45763</v>
      </c>
      <c r="F122" s="5" t="s">
        <v>4314</v>
      </c>
      <c r="G122" s="5" t="s">
        <v>1079</v>
      </c>
      <c r="H122" s="6"/>
      <c r="I122" s="6" t="s">
        <v>14</v>
      </c>
      <c r="J122" s="6" t="s">
        <v>1097</v>
      </c>
      <c r="K122" s="6">
        <v>16138</v>
      </c>
      <c r="L122" s="7" t="s">
        <v>7560</v>
      </c>
      <c r="M122" s="8">
        <v>23962</v>
      </c>
      <c r="N122" s="8" t="str">
        <f t="shared" si="10"/>
        <v>PEN</v>
      </c>
      <c r="O122" s="13"/>
      <c r="P122" s="13">
        <v>10</v>
      </c>
      <c r="Q122" s="3">
        <f t="shared" si="6"/>
        <v>0</v>
      </c>
      <c r="R122" s="3">
        <f t="shared" si="7"/>
        <v>10</v>
      </c>
      <c r="S122" s="3">
        <f t="shared" si="8"/>
        <v>-3</v>
      </c>
      <c r="T122" s="24"/>
      <c r="U122" s="24"/>
      <c r="V122" s="3"/>
      <c r="W122" s="25" t="s">
        <v>6813</v>
      </c>
      <c r="X122" s="25"/>
      <c r="Y122" s="25" t="str">
        <f>IFERROR(VLOOKUP(C_Ope_007[[#This Row],[NOTA 2]],Clientes_Proveedores[[Ruc / Dni]:[Razon Social]],2,0),"")</f>
        <v/>
      </c>
      <c r="Z122" s="25"/>
      <c r="AA122" s="25"/>
      <c r="AB122" s="3" t="str">
        <f>IF(C_Ope_007[[#This Row],[FECHA]]&gt;0,TEXT(C_Ope_007[[#This Row],[FECHA]],"mmmm"),0)</f>
        <v>Abril</v>
      </c>
    </row>
    <row r="123" spans="2:28" x14ac:dyDescent="0.3">
      <c r="B123" s="2">
        <f>IF(C_Ope_007[[#This Row],[TIPO DE R.]]="R",COUNTIFS($D$4:$D122,"R")+1,"")</f>
        <v>119</v>
      </c>
      <c r="C123" s="19" t="str">
        <f t="shared" si="9"/>
        <v>C_Ope_007</v>
      </c>
      <c r="D123" s="3" t="s">
        <v>1074</v>
      </c>
      <c r="E123" s="14">
        <v>45770</v>
      </c>
      <c r="F123" s="5" t="s">
        <v>6299</v>
      </c>
      <c r="G123" s="5" t="s">
        <v>1087</v>
      </c>
      <c r="H123" s="6"/>
      <c r="I123" s="6"/>
      <c r="J123" s="6"/>
      <c r="K123" s="6"/>
      <c r="L123" s="7" t="s">
        <v>6302</v>
      </c>
      <c r="M123" s="8">
        <v>23969</v>
      </c>
      <c r="N123" s="8" t="str">
        <f t="shared" si="10"/>
        <v>PEN</v>
      </c>
      <c r="O123" s="13"/>
      <c r="P123" s="13">
        <v>160</v>
      </c>
      <c r="Q123" s="3">
        <f t="shared" si="6"/>
        <v>160</v>
      </c>
      <c r="R123" s="3">
        <f t="shared" si="7"/>
        <v>0</v>
      </c>
      <c r="S123" s="3">
        <f t="shared" si="8"/>
        <v>157</v>
      </c>
      <c r="T123" s="24"/>
      <c r="U123" s="24"/>
      <c r="V123" s="3"/>
      <c r="W123" s="25"/>
      <c r="X123" s="25"/>
      <c r="Y123" s="25" t="str">
        <f>IFERROR(VLOOKUP(C_Ope_007[[#This Row],[NOTA 2]],Clientes_Proveedores[[Ruc / Dni]:[Razon Social]],2,0),"")</f>
        <v/>
      </c>
      <c r="Z123" s="25"/>
      <c r="AA123" s="25"/>
      <c r="AB123" s="3" t="str">
        <f>IF(C_Ope_007[[#This Row],[FECHA]]&gt;0,TEXT(C_Ope_007[[#This Row],[FECHA]],"mmmm"),0)</f>
        <v>Abril</v>
      </c>
    </row>
    <row r="124" spans="2:28" ht="24" x14ac:dyDescent="0.3">
      <c r="B124" s="2">
        <f>IF(C_Ope_007[[#This Row],[TIPO DE R.]]="R",COUNTIFS($D$4:$D123,"R")+1,"")</f>
        <v>120</v>
      </c>
      <c r="C124" s="19" t="str">
        <f t="shared" si="9"/>
        <v>C_Ope_007</v>
      </c>
      <c r="D124" s="3" t="s">
        <v>1074</v>
      </c>
      <c r="E124" s="14">
        <v>45769</v>
      </c>
      <c r="F124" s="5" t="s">
        <v>4314</v>
      </c>
      <c r="G124" s="5" t="s">
        <v>1079</v>
      </c>
      <c r="H124" s="6"/>
      <c r="I124" s="6" t="s">
        <v>14</v>
      </c>
      <c r="J124" s="6" t="s">
        <v>5243</v>
      </c>
      <c r="K124" s="6">
        <v>2307332</v>
      </c>
      <c r="L124" s="7" t="s">
        <v>7562</v>
      </c>
      <c r="M124" s="8">
        <v>23955</v>
      </c>
      <c r="N124" s="8" t="str">
        <f t="shared" si="10"/>
        <v>PEN</v>
      </c>
      <c r="O124" s="13"/>
      <c r="P124" s="13">
        <v>8</v>
      </c>
      <c r="Q124" s="3">
        <f t="shared" si="6"/>
        <v>0</v>
      </c>
      <c r="R124" s="3">
        <f t="shared" si="7"/>
        <v>8</v>
      </c>
      <c r="S124" s="3">
        <f t="shared" si="8"/>
        <v>149</v>
      </c>
      <c r="T124" s="24"/>
      <c r="U124" s="24"/>
      <c r="V124" s="3"/>
      <c r="W124" s="25" t="s">
        <v>6630</v>
      </c>
      <c r="X124" s="25"/>
      <c r="Y124" s="25" t="str">
        <f>IFERROR(VLOOKUP(C_Ope_007[[#This Row],[NOTA 2]],Clientes_Proveedores[[Ruc / Dni]:[Razon Social]],2,0),"")</f>
        <v/>
      </c>
      <c r="Z124" s="25"/>
      <c r="AA124" s="25"/>
      <c r="AB124" s="3" t="str">
        <f>IF(C_Ope_007[[#This Row],[FECHA]]&gt;0,TEXT(C_Ope_007[[#This Row],[FECHA]],"mmmm"),0)</f>
        <v>Abril</v>
      </c>
    </row>
    <row r="125" spans="2:28" ht="24" x14ac:dyDescent="0.3">
      <c r="B125" s="2">
        <f>IF(C_Ope_007[[#This Row],[TIPO DE R.]]="R",COUNTIFS($D$4:$D124,"R")+1,"")</f>
        <v>121</v>
      </c>
      <c r="C125" s="19" t="str">
        <f t="shared" si="9"/>
        <v>C_Ope_007</v>
      </c>
      <c r="D125" s="3" t="s">
        <v>1074</v>
      </c>
      <c r="E125" s="14">
        <v>45769</v>
      </c>
      <c r="F125" s="5" t="s">
        <v>4314</v>
      </c>
      <c r="G125" s="5" t="s">
        <v>1079</v>
      </c>
      <c r="H125" s="6"/>
      <c r="I125" s="6" t="s">
        <v>14</v>
      </c>
      <c r="J125" s="6" t="s">
        <v>5245</v>
      </c>
      <c r="K125" s="6">
        <v>1731642</v>
      </c>
      <c r="L125" s="7" t="s">
        <v>7562</v>
      </c>
      <c r="M125" s="8">
        <v>23956</v>
      </c>
      <c r="N125" s="8" t="str">
        <f t="shared" si="10"/>
        <v>PEN</v>
      </c>
      <c r="O125" s="13"/>
      <c r="P125" s="13">
        <v>8</v>
      </c>
      <c r="Q125" s="3">
        <f t="shared" si="6"/>
        <v>0</v>
      </c>
      <c r="R125" s="3">
        <f t="shared" si="7"/>
        <v>8</v>
      </c>
      <c r="S125" s="3">
        <f t="shared" si="8"/>
        <v>141</v>
      </c>
      <c r="T125" s="24"/>
      <c r="U125" s="24"/>
      <c r="V125" s="3"/>
      <c r="W125" s="25" t="s">
        <v>6630</v>
      </c>
      <c r="X125" s="25"/>
      <c r="Y125" s="25" t="str">
        <f>IFERROR(VLOOKUP(C_Ope_007[[#This Row],[NOTA 2]],Clientes_Proveedores[[Ruc / Dni]:[Razon Social]],2,0),"")</f>
        <v/>
      </c>
      <c r="Z125" s="25"/>
      <c r="AA125" s="25"/>
      <c r="AB125" s="3" t="str">
        <f>IF(C_Ope_007[[#This Row],[FECHA]]&gt;0,TEXT(C_Ope_007[[#This Row],[FECHA]],"mmmm"),0)</f>
        <v>Abril</v>
      </c>
    </row>
    <row r="126" spans="2:28" ht="24" x14ac:dyDescent="0.3">
      <c r="B126" s="2">
        <f>IF(C_Ope_007[[#This Row],[TIPO DE R.]]="R",COUNTIFS($D$4:$D125,"R")+1,"")</f>
        <v>122</v>
      </c>
      <c r="C126" s="19" t="str">
        <f t="shared" si="9"/>
        <v>C_Ope_007</v>
      </c>
      <c r="D126" s="3" t="s">
        <v>1074</v>
      </c>
      <c r="E126" s="14">
        <v>45770</v>
      </c>
      <c r="F126" s="5" t="s">
        <v>4314</v>
      </c>
      <c r="G126" s="5" t="s">
        <v>1079</v>
      </c>
      <c r="H126" s="6"/>
      <c r="I126" s="6" t="s">
        <v>14</v>
      </c>
      <c r="J126" s="6" t="s">
        <v>5244</v>
      </c>
      <c r="K126" s="6">
        <v>1712582</v>
      </c>
      <c r="L126" s="7" t="s">
        <v>7563</v>
      </c>
      <c r="M126" s="8">
        <v>24037</v>
      </c>
      <c r="N126" s="8" t="str">
        <f t="shared" si="10"/>
        <v>PEN</v>
      </c>
      <c r="O126" s="13"/>
      <c r="P126" s="13">
        <v>8</v>
      </c>
      <c r="Q126" s="3">
        <f t="shared" si="6"/>
        <v>0</v>
      </c>
      <c r="R126" s="3">
        <f t="shared" si="7"/>
        <v>8</v>
      </c>
      <c r="S126" s="3">
        <f t="shared" si="8"/>
        <v>133</v>
      </c>
      <c r="T126" s="24"/>
      <c r="U126" s="24"/>
      <c r="V126" s="3"/>
      <c r="W126" s="25" t="s">
        <v>6630</v>
      </c>
      <c r="X126" s="25"/>
      <c r="Y126" s="25" t="str">
        <f>IFERROR(VLOOKUP(C_Ope_007[[#This Row],[NOTA 2]],Clientes_Proveedores[[Ruc / Dni]:[Razon Social]],2,0),"")</f>
        <v/>
      </c>
      <c r="Z126" s="25"/>
      <c r="AA126" s="25"/>
      <c r="AB126" s="3" t="str">
        <f>IF(C_Ope_007[[#This Row],[FECHA]]&gt;0,TEXT(C_Ope_007[[#This Row],[FECHA]],"mmmm"),0)</f>
        <v>Abril</v>
      </c>
    </row>
    <row r="127" spans="2:28" ht="24" x14ac:dyDescent="0.3">
      <c r="B127" s="2">
        <f>IF(C_Ope_007[[#This Row],[TIPO DE R.]]="R",COUNTIFS($D$4:$D126,"R")+1,"")</f>
        <v>123</v>
      </c>
      <c r="C127" s="19" t="str">
        <f t="shared" si="9"/>
        <v>C_Ope_007</v>
      </c>
      <c r="D127" s="3" t="s">
        <v>1074</v>
      </c>
      <c r="E127" s="14">
        <v>45770</v>
      </c>
      <c r="F127" s="5" t="s">
        <v>4314</v>
      </c>
      <c r="G127" s="5" t="s">
        <v>1079</v>
      </c>
      <c r="H127" s="6"/>
      <c r="I127" s="6" t="s">
        <v>14</v>
      </c>
      <c r="J127" s="6" t="s">
        <v>5242</v>
      </c>
      <c r="K127" s="6">
        <v>2029733</v>
      </c>
      <c r="L127" s="7" t="s">
        <v>7563</v>
      </c>
      <c r="M127" s="8">
        <v>24038</v>
      </c>
      <c r="N127" s="8" t="str">
        <f t="shared" si="10"/>
        <v>PEN</v>
      </c>
      <c r="O127" s="13"/>
      <c r="P127" s="13">
        <v>8</v>
      </c>
      <c r="Q127" s="3">
        <f t="shared" si="6"/>
        <v>0</v>
      </c>
      <c r="R127" s="3">
        <f t="shared" si="7"/>
        <v>8</v>
      </c>
      <c r="S127" s="3">
        <f t="shared" si="8"/>
        <v>125</v>
      </c>
      <c r="T127" s="24"/>
      <c r="U127" s="24"/>
      <c r="V127" s="3"/>
      <c r="W127" s="25" t="s">
        <v>6630</v>
      </c>
      <c r="X127" s="25"/>
      <c r="Y127" s="25" t="str">
        <f>IFERROR(VLOOKUP(C_Ope_007[[#This Row],[NOTA 2]],Clientes_Proveedores[[Ruc / Dni]:[Razon Social]],2,0),"")</f>
        <v/>
      </c>
      <c r="Z127" s="25"/>
      <c r="AA127" s="25"/>
      <c r="AB127" s="3" t="str">
        <f>IF(C_Ope_007[[#This Row],[FECHA]]&gt;0,TEXT(C_Ope_007[[#This Row],[FECHA]],"mmmm"),0)</f>
        <v>Abril</v>
      </c>
    </row>
    <row r="128" spans="2:28" ht="24" x14ac:dyDescent="0.3">
      <c r="B128" s="2">
        <f>IF(C_Ope_007[[#This Row],[TIPO DE R.]]="R",COUNTIFS($D$4:$D127,"R")+1,"")</f>
        <v>124</v>
      </c>
      <c r="C128" s="19" t="str">
        <f t="shared" si="9"/>
        <v>C_Ope_007</v>
      </c>
      <c r="D128" s="3" t="s">
        <v>1074</v>
      </c>
      <c r="E128" s="14">
        <v>45768</v>
      </c>
      <c r="F128" s="5" t="s">
        <v>4314</v>
      </c>
      <c r="G128" s="5" t="s">
        <v>1079</v>
      </c>
      <c r="H128" s="6"/>
      <c r="I128" s="6" t="s">
        <v>14</v>
      </c>
      <c r="J128" s="6" t="s">
        <v>1097</v>
      </c>
      <c r="K128" s="6">
        <v>16163</v>
      </c>
      <c r="L128" s="7" t="s">
        <v>7560</v>
      </c>
      <c r="M128" s="8">
        <v>23963</v>
      </c>
      <c r="N128" s="8" t="str">
        <f t="shared" si="10"/>
        <v>PEN</v>
      </c>
      <c r="O128" s="13"/>
      <c r="P128" s="13">
        <v>10</v>
      </c>
      <c r="Q128" s="3">
        <f t="shared" si="6"/>
        <v>0</v>
      </c>
      <c r="R128" s="3">
        <f t="shared" si="7"/>
        <v>10</v>
      </c>
      <c r="S128" s="3">
        <f t="shared" si="8"/>
        <v>115</v>
      </c>
      <c r="T128" s="24"/>
      <c r="U128" s="24"/>
      <c r="V128" s="3"/>
      <c r="W128" s="25" t="s">
        <v>6813</v>
      </c>
      <c r="X128" s="25"/>
      <c r="Y128" s="25" t="str">
        <f>IFERROR(VLOOKUP(C_Ope_007[[#This Row],[NOTA 2]],Clientes_Proveedores[[Ruc / Dni]:[Razon Social]],2,0),"")</f>
        <v/>
      </c>
      <c r="Z128" s="25"/>
      <c r="AA128" s="25"/>
      <c r="AB128" s="3" t="str">
        <f>IF(C_Ope_007[[#This Row],[FECHA]]&gt;0,TEXT(C_Ope_007[[#This Row],[FECHA]],"mmmm"),0)</f>
        <v>Abril</v>
      </c>
    </row>
    <row r="129" spans="2:28" ht="24" x14ac:dyDescent="0.3">
      <c r="B129" s="2">
        <f>IF(C_Ope_007[[#This Row],[TIPO DE R.]]="R",COUNTIFS($D$4:$D128,"R")+1,"")</f>
        <v>125</v>
      </c>
      <c r="C129" s="19" t="str">
        <f t="shared" si="9"/>
        <v>C_Ope_007</v>
      </c>
      <c r="D129" s="3" t="s">
        <v>1074</v>
      </c>
      <c r="E129" s="14">
        <v>45769</v>
      </c>
      <c r="F129" s="5" t="s">
        <v>4314</v>
      </c>
      <c r="G129" s="5" t="s">
        <v>1079</v>
      </c>
      <c r="H129" s="6"/>
      <c r="I129" s="6" t="s">
        <v>14</v>
      </c>
      <c r="J129" s="6" t="s">
        <v>1097</v>
      </c>
      <c r="K129" s="6">
        <v>16174</v>
      </c>
      <c r="L129" s="7" t="s">
        <v>7560</v>
      </c>
      <c r="M129" s="8">
        <v>23964</v>
      </c>
      <c r="N129" s="8" t="str">
        <f t="shared" si="10"/>
        <v>PEN</v>
      </c>
      <c r="O129" s="13"/>
      <c r="P129" s="13">
        <v>20</v>
      </c>
      <c r="Q129" s="3">
        <f t="shared" si="6"/>
        <v>0</v>
      </c>
      <c r="R129" s="3">
        <f t="shared" si="7"/>
        <v>20</v>
      </c>
      <c r="S129" s="3">
        <f t="shared" si="8"/>
        <v>95</v>
      </c>
      <c r="T129" s="24"/>
      <c r="U129" s="24"/>
      <c r="V129" s="3"/>
      <c r="W129" s="25" t="s">
        <v>6630</v>
      </c>
      <c r="X129" s="25"/>
      <c r="Y129" s="25" t="str">
        <f>IFERROR(VLOOKUP(C_Ope_007[[#This Row],[NOTA 2]],Clientes_Proveedores[[Ruc / Dni]:[Razon Social]],2,0),"")</f>
        <v/>
      </c>
      <c r="Z129" s="25"/>
      <c r="AA129" s="25"/>
      <c r="AB129" s="3" t="str">
        <f>IF(C_Ope_007[[#This Row],[FECHA]]&gt;0,TEXT(C_Ope_007[[#This Row],[FECHA]],"mmmm"),0)</f>
        <v>Abril</v>
      </c>
    </row>
    <row r="130" spans="2:28" ht="24" x14ac:dyDescent="0.3">
      <c r="B130" s="2">
        <f>IF(C_Ope_007[[#This Row],[TIPO DE R.]]="R",COUNTIFS($D$4:$D129,"R")+1,"")</f>
        <v>126</v>
      </c>
      <c r="C130" s="19" t="str">
        <f t="shared" si="9"/>
        <v>C_Ope_007</v>
      </c>
      <c r="D130" s="3" t="s">
        <v>1074</v>
      </c>
      <c r="E130" s="14">
        <v>45769</v>
      </c>
      <c r="F130" s="5" t="s">
        <v>4314</v>
      </c>
      <c r="G130" s="5" t="s">
        <v>1079</v>
      </c>
      <c r="H130" s="6"/>
      <c r="I130" s="6" t="s">
        <v>14</v>
      </c>
      <c r="J130" s="6" t="s">
        <v>1088</v>
      </c>
      <c r="K130" s="6">
        <v>34421</v>
      </c>
      <c r="L130" s="7" t="s">
        <v>7564</v>
      </c>
      <c r="M130" s="8">
        <v>23965</v>
      </c>
      <c r="N130" s="8" t="str">
        <f t="shared" si="10"/>
        <v>PEN</v>
      </c>
      <c r="O130" s="13"/>
      <c r="P130" s="13">
        <v>10</v>
      </c>
      <c r="Q130" s="3">
        <f t="shared" si="6"/>
        <v>0</v>
      </c>
      <c r="R130" s="3">
        <f t="shared" si="7"/>
        <v>10</v>
      </c>
      <c r="S130" s="3">
        <f t="shared" si="8"/>
        <v>85</v>
      </c>
      <c r="T130" s="24"/>
      <c r="U130" s="24"/>
      <c r="V130" s="3"/>
      <c r="W130" s="25" t="s">
        <v>6546</v>
      </c>
      <c r="X130" s="25"/>
      <c r="Y130" s="25" t="str">
        <f>IFERROR(VLOOKUP(C_Ope_007[[#This Row],[NOTA 2]],Clientes_Proveedores[[Ruc / Dni]:[Razon Social]],2,0),"")</f>
        <v/>
      </c>
      <c r="Z130" s="25"/>
      <c r="AA130" s="25"/>
      <c r="AB130" s="3" t="str">
        <f>IF(C_Ope_007[[#This Row],[FECHA]]&gt;0,TEXT(C_Ope_007[[#This Row],[FECHA]],"mmmm"),0)</f>
        <v>Abril</v>
      </c>
    </row>
    <row r="131" spans="2:28" ht="24" x14ac:dyDescent="0.3">
      <c r="B131" s="2">
        <f>IF(C_Ope_007[[#This Row],[TIPO DE R.]]="R",COUNTIFS($D$4:$D130,"R")+1,"")</f>
        <v>127</v>
      </c>
      <c r="C131" s="19" t="str">
        <f t="shared" si="9"/>
        <v>C_Ope_007</v>
      </c>
      <c r="D131" s="3" t="s">
        <v>1074</v>
      </c>
      <c r="E131" s="14">
        <v>45770</v>
      </c>
      <c r="F131" s="5" t="s">
        <v>4314</v>
      </c>
      <c r="G131" s="5" t="s">
        <v>1079</v>
      </c>
      <c r="H131" s="6"/>
      <c r="I131" s="6" t="s">
        <v>14</v>
      </c>
      <c r="J131" s="6" t="s">
        <v>1097</v>
      </c>
      <c r="K131" s="6">
        <v>16181</v>
      </c>
      <c r="L131" s="7" t="s">
        <v>7565</v>
      </c>
      <c r="M131" s="8">
        <v>24043</v>
      </c>
      <c r="N131" s="8" t="str">
        <f t="shared" si="10"/>
        <v>PEN</v>
      </c>
      <c r="O131" s="13"/>
      <c r="P131" s="13">
        <v>20</v>
      </c>
      <c r="Q131" s="3">
        <f t="shared" si="6"/>
        <v>0</v>
      </c>
      <c r="R131" s="3">
        <f t="shared" si="7"/>
        <v>20</v>
      </c>
      <c r="S131" s="3">
        <f t="shared" si="8"/>
        <v>65</v>
      </c>
      <c r="T131" s="24"/>
      <c r="U131" s="24"/>
      <c r="V131" s="3"/>
      <c r="W131" s="25" t="s">
        <v>6630</v>
      </c>
      <c r="X131" s="25"/>
      <c r="Y131" s="25" t="str">
        <f>IFERROR(VLOOKUP(C_Ope_007[[#This Row],[NOTA 2]],Clientes_Proveedores[[Ruc / Dni]:[Razon Social]],2,0),"")</f>
        <v/>
      </c>
      <c r="Z131" s="25"/>
      <c r="AA131" s="25"/>
      <c r="AB131" s="3" t="str">
        <f>IF(C_Ope_007[[#This Row],[FECHA]]&gt;0,TEXT(C_Ope_007[[#This Row],[FECHA]],"mmmm"),0)</f>
        <v>Abril</v>
      </c>
    </row>
    <row r="132" spans="2:28" x14ac:dyDescent="0.3">
      <c r="B132" s="2">
        <f>IF(C_Ope_007[[#This Row],[TIPO DE R.]]="R",COUNTIFS($D$4:$D131,"R")+1,"")</f>
        <v>128</v>
      </c>
      <c r="C132" s="19" t="str">
        <f t="shared" si="9"/>
        <v>C_Ope_007</v>
      </c>
      <c r="D132" s="3" t="s">
        <v>1074</v>
      </c>
      <c r="E132" s="14">
        <v>45772</v>
      </c>
      <c r="F132" s="5" t="s">
        <v>4314</v>
      </c>
      <c r="G132" s="5" t="s">
        <v>1079</v>
      </c>
      <c r="H132" s="6"/>
      <c r="I132" s="6" t="s">
        <v>14</v>
      </c>
      <c r="J132" s="6" t="s">
        <v>7566</v>
      </c>
      <c r="K132" s="6">
        <v>34466</v>
      </c>
      <c r="L132" s="7" t="s">
        <v>7567</v>
      </c>
      <c r="M132" s="8">
        <v>24044</v>
      </c>
      <c r="N132" s="8" t="str">
        <f t="shared" si="10"/>
        <v>PEN</v>
      </c>
      <c r="O132" s="13"/>
      <c r="P132" s="13">
        <v>10</v>
      </c>
      <c r="Q132" s="3">
        <f t="shared" si="6"/>
        <v>0</v>
      </c>
      <c r="R132" s="3">
        <f t="shared" si="7"/>
        <v>10</v>
      </c>
      <c r="S132" s="3">
        <f t="shared" si="8"/>
        <v>55</v>
      </c>
      <c r="T132" s="24"/>
      <c r="U132" s="24"/>
      <c r="V132" s="3"/>
      <c r="W132" s="25" t="s">
        <v>6546</v>
      </c>
      <c r="X132" s="25"/>
      <c r="Y132" s="25" t="str">
        <f>IFERROR(VLOOKUP(C_Ope_007[[#This Row],[NOTA 2]],Clientes_Proveedores[[Ruc / Dni]:[Razon Social]],2,0),"")</f>
        <v/>
      </c>
      <c r="Z132" s="25"/>
      <c r="AA132" s="25"/>
      <c r="AB132" s="3" t="str">
        <f>IF(C_Ope_007[[#This Row],[FECHA]]&gt;0,TEXT(C_Ope_007[[#This Row],[FECHA]],"mmmm"),0)</f>
        <v>Abril</v>
      </c>
    </row>
    <row r="133" spans="2:28" ht="24" x14ac:dyDescent="0.3">
      <c r="B133" s="2">
        <f>IF(C_Ope_007[[#This Row],[TIPO DE R.]]="R",COUNTIFS($D$4:$D132,"R")+1,"")</f>
        <v>129</v>
      </c>
      <c r="C133" s="19" t="str">
        <f t="shared" si="9"/>
        <v>C_Ope_007</v>
      </c>
      <c r="D133" s="3" t="s">
        <v>1074</v>
      </c>
      <c r="E133" s="14">
        <v>45772</v>
      </c>
      <c r="F133" s="5" t="s">
        <v>4314</v>
      </c>
      <c r="G133" s="5" t="s">
        <v>1079</v>
      </c>
      <c r="H133" s="6"/>
      <c r="I133" s="6" t="s">
        <v>14</v>
      </c>
      <c r="J133" s="6" t="s">
        <v>1088</v>
      </c>
      <c r="K133" s="6">
        <v>34476</v>
      </c>
      <c r="L133" s="7" t="s">
        <v>7568</v>
      </c>
      <c r="M133" s="8">
        <v>24045</v>
      </c>
      <c r="N133" s="8" t="str">
        <f t="shared" si="10"/>
        <v>PEN</v>
      </c>
      <c r="O133" s="13"/>
      <c r="P133" s="13">
        <v>10</v>
      </c>
      <c r="Q133" s="3">
        <f t="shared" ref="Q133:Q196" si="11">+IF(OR($G133="SALDO",$G133="INGRESO"),$P133,0)</f>
        <v>0</v>
      </c>
      <c r="R133" s="3">
        <f t="shared" ref="R133:R196" si="12">+IF($G133="EGRESO",$P133,0)</f>
        <v>10</v>
      </c>
      <c r="S133" s="3">
        <f t="shared" ref="S133:S196" si="13">IFERROR(IF(G133="SALDO",Q133,S132+Q133-R133),0)</f>
        <v>45</v>
      </c>
      <c r="T133" s="24"/>
      <c r="U133" s="24"/>
      <c r="V133" s="3"/>
      <c r="W133" s="25" t="s">
        <v>6546</v>
      </c>
      <c r="X133" s="25"/>
      <c r="Y133" s="25" t="str">
        <f>IFERROR(VLOOKUP(C_Ope_007[[#This Row],[NOTA 2]],Clientes_Proveedores[[Ruc / Dni]:[Razon Social]],2,0),"")</f>
        <v/>
      </c>
      <c r="Z133" s="25"/>
      <c r="AA133" s="25"/>
      <c r="AB133" s="3" t="str">
        <f>IF(C_Ope_007[[#This Row],[FECHA]]&gt;0,TEXT(C_Ope_007[[#This Row],[FECHA]],"mmmm"),0)</f>
        <v>Abril</v>
      </c>
    </row>
    <row r="134" spans="2:28" ht="24" x14ac:dyDescent="0.3">
      <c r="B134" s="2">
        <f>IF(C_Ope_007[[#This Row],[TIPO DE R.]]="R",COUNTIFS($D$4:$D133,"R")+1,"")</f>
        <v>130</v>
      </c>
      <c r="C134" s="19" t="str">
        <f t="shared" ref="C134:C197" si="14">"C_Ope_007"</f>
        <v>C_Ope_007</v>
      </c>
      <c r="D134" s="3" t="s">
        <v>1074</v>
      </c>
      <c r="E134" s="14">
        <v>45769</v>
      </c>
      <c r="F134" s="5" t="s">
        <v>4314</v>
      </c>
      <c r="G134" s="5" t="s">
        <v>1079</v>
      </c>
      <c r="H134" s="6"/>
      <c r="I134" s="6" t="s">
        <v>14</v>
      </c>
      <c r="J134" s="6" t="s">
        <v>7569</v>
      </c>
      <c r="K134" s="6">
        <v>16565</v>
      </c>
      <c r="L134" s="7" t="s">
        <v>7570</v>
      </c>
      <c r="M134" s="8">
        <v>23957</v>
      </c>
      <c r="N134" s="8" t="str">
        <f t="shared" ref="N134:N197" si="15">"PEN"</f>
        <v>PEN</v>
      </c>
      <c r="O134" s="13"/>
      <c r="P134" s="13">
        <v>0</v>
      </c>
      <c r="Q134" s="3">
        <f t="shared" si="11"/>
        <v>0</v>
      </c>
      <c r="R134" s="3">
        <f t="shared" si="12"/>
        <v>0</v>
      </c>
      <c r="S134" s="3">
        <f t="shared" si="13"/>
        <v>45</v>
      </c>
      <c r="T134" s="24"/>
      <c r="U134" s="24"/>
      <c r="V134" s="3"/>
      <c r="W134" s="25" t="s">
        <v>6813</v>
      </c>
      <c r="X134" s="25"/>
      <c r="Y134" s="25" t="str">
        <f>IFERROR(VLOOKUP(C_Ope_007[[#This Row],[NOTA 2]],Clientes_Proveedores[[Ruc / Dni]:[Razon Social]],2,0),"")</f>
        <v/>
      </c>
      <c r="Z134" s="25"/>
      <c r="AA134" s="25"/>
      <c r="AB134" s="3" t="str">
        <f>IF(C_Ope_007[[#This Row],[FECHA]]&gt;0,TEXT(C_Ope_007[[#This Row],[FECHA]],"mmmm"),0)</f>
        <v>Abril</v>
      </c>
    </row>
    <row r="135" spans="2:28" x14ac:dyDescent="0.3">
      <c r="B135" s="2">
        <f>IF(C_Ope_007[[#This Row],[TIPO DE R.]]="R",COUNTIFS($D$4:$D134,"R")+1,"")</f>
        <v>131</v>
      </c>
      <c r="C135" s="19" t="str">
        <f t="shared" si="14"/>
        <v>C_Ope_007</v>
      </c>
      <c r="D135" s="3" t="s">
        <v>1074</v>
      </c>
      <c r="E135" s="14">
        <v>45776</v>
      </c>
      <c r="F135" s="5" t="s">
        <v>6299</v>
      </c>
      <c r="G135" s="5" t="s">
        <v>1087</v>
      </c>
      <c r="H135" s="6"/>
      <c r="I135" s="6"/>
      <c r="J135" s="6"/>
      <c r="K135" s="6"/>
      <c r="L135" s="7" t="s">
        <v>6302</v>
      </c>
      <c r="M135" s="8">
        <v>24047</v>
      </c>
      <c r="N135" s="8" t="str">
        <f t="shared" si="15"/>
        <v>PEN</v>
      </c>
      <c r="O135" s="13"/>
      <c r="P135" s="13">
        <v>90</v>
      </c>
      <c r="Q135" s="3">
        <f t="shared" si="11"/>
        <v>90</v>
      </c>
      <c r="R135" s="3">
        <f t="shared" si="12"/>
        <v>0</v>
      </c>
      <c r="S135" s="3">
        <f t="shared" si="13"/>
        <v>135</v>
      </c>
      <c r="T135" s="24"/>
      <c r="U135" s="24"/>
      <c r="V135" s="3"/>
      <c r="W135" s="25"/>
      <c r="X135" s="25"/>
      <c r="Y135" s="25" t="str">
        <f>IFERROR(VLOOKUP(C_Ope_007[[#This Row],[NOTA 2]],Clientes_Proveedores[[Ruc / Dni]:[Razon Social]],2,0),"")</f>
        <v/>
      </c>
      <c r="Z135" s="25"/>
      <c r="AA135" s="25"/>
      <c r="AB135" s="3" t="str">
        <f>IF(C_Ope_007[[#This Row],[FECHA]]&gt;0,TEXT(C_Ope_007[[#This Row],[FECHA]],"mmmm"),0)</f>
        <v>Abril</v>
      </c>
    </row>
    <row r="136" spans="2:28" x14ac:dyDescent="0.3">
      <c r="B136" s="2">
        <f>IF(C_Ope_007[[#This Row],[TIPO DE R.]]="R",COUNTIFS($D$4:$D135,"R")+1,"")</f>
        <v>132</v>
      </c>
      <c r="C136" s="19" t="str">
        <f t="shared" si="14"/>
        <v>C_Ope_007</v>
      </c>
      <c r="D136" s="3" t="s">
        <v>1074</v>
      </c>
      <c r="E136" s="14">
        <v>45777</v>
      </c>
      <c r="F136" s="5" t="s">
        <v>6299</v>
      </c>
      <c r="G136" s="5" t="s">
        <v>1087</v>
      </c>
      <c r="H136" s="6"/>
      <c r="I136" s="6"/>
      <c r="J136" s="6"/>
      <c r="K136" s="6"/>
      <c r="L136" s="7" t="s">
        <v>6302</v>
      </c>
      <c r="M136" s="8">
        <v>24078</v>
      </c>
      <c r="N136" s="8" t="str">
        <f t="shared" si="15"/>
        <v>PEN</v>
      </c>
      <c r="O136" s="13"/>
      <c r="P136" s="13">
        <v>400</v>
      </c>
      <c r="Q136" s="3">
        <f t="shared" si="11"/>
        <v>400</v>
      </c>
      <c r="R136" s="3">
        <f t="shared" si="12"/>
        <v>0</v>
      </c>
      <c r="S136" s="3">
        <f t="shared" si="13"/>
        <v>535</v>
      </c>
      <c r="T136" s="24"/>
      <c r="U136" s="24"/>
      <c r="V136" s="3"/>
      <c r="W136" s="25"/>
      <c r="X136" s="25"/>
      <c r="Y136" s="25" t="str">
        <f>IFERROR(VLOOKUP(C_Ope_007[[#This Row],[NOTA 2]],Clientes_Proveedores[[Ruc / Dni]:[Razon Social]],2,0),"")</f>
        <v/>
      </c>
      <c r="Z136" s="25"/>
      <c r="AA136" s="25"/>
      <c r="AB136" s="3" t="str">
        <f>IF(C_Ope_007[[#This Row],[FECHA]]&gt;0,TEXT(C_Ope_007[[#This Row],[FECHA]],"mmmm"),0)</f>
        <v>Abril</v>
      </c>
    </row>
    <row r="137" spans="2:28" x14ac:dyDescent="0.3">
      <c r="B137" s="2">
        <f>IF(C_Ope_007[[#This Row],[TIPO DE R.]]="R",COUNTIFS($D$4:$D136,"R")+1,"")</f>
        <v>133</v>
      </c>
      <c r="C137" s="19" t="str">
        <f t="shared" si="14"/>
        <v>C_Ope_007</v>
      </c>
      <c r="D137" s="3" t="s">
        <v>1074</v>
      </c>
      <c r="E137" s="14">
        <v>45775</v>
      </c>
      <c r="F137" s="5" t="s">
        <v>4314</v>
      </c>
      <c r="G137" s="5" t="s">
        <v>1079</v>
      </c>
      <c r="H137" s="6"/>
      <c r="I137" s="6" t="s">
        <v>14</v>
      </c>
      <c r="J137" s="6" t="s">
        <v>1148</v>
      </c>
      <c r="K137" s="6">
        <v>12157</v>
      </c>
      <c r="L137" s="7" t="s">
        <v>7571</v>
      </c>
      <c r="M137" s="8">
        <v>24039</v>
      </c>
      <c r="N137" s="8" t="str">
        <f t="shared" si="15"/>
        <v>PEN</v>
      </c>
      <c r="O137" s="13"/>
      <c r="P137" s="13">
        <v>10</v>
      </c>
      <c r="Q137" s="3">
        <f t="shared" si="11"/>
        <v>0</v>
      </c>
      <c r="R137" s="3">
        <f t="shared" si="12"/>
        <v>10</v>
      </c>
      <c r="S137" s="3">
        <f t="shared" si="13"/>
        <v>525</v>
      </c>
      <c r="T137" s="24"/>
      <c r="U137" s="24"/>
      <c r="V137" s="3"/>
      <c r="W137" s="25" t="s">
        <v>6813</v>
      </c>
      <c r="X137" s="25"/>
      <c r="Y137" s="25" t="str">
        <f>IFERROR(VLOOKUP(C_Ope_007[[#This Row],[NOTA 2]],Clientes_Proveedores[[Ruc / Dni]:[Razon Social]],2,0),"")</f>
        <v/>
      </c>
      <c r="Z137" s="25"/>
      <c r="AA137" s="25"/>
      <c r="AB137" s="3" t="str">
        <f>IF(C_Ope_007[[#This Row],[FECHA]]&gt;0,TEXT(C_Ope_007[[#This Row],[FECHA]],"mmmm"),0)</f>
        <v>Abril</v>
      </c>
    </row>
    <row r="138" spans="2:28" x14ac:dyDescent="0.3">
      <c r="B138" s="2">
        <f>IF(C_Ope_007[[#This Row],[TIPO DE R.]]="R",COUNTIFS($D$4:$D137,"R")+1,"")</f>
        <v>134</v>
      </c>
      <c r="C138" s="19" t="str">
        <f t="shared" si="14"/>
        <v>C_Ope_007</v>
      </c>
      <c r="D138" s="3" t="s">
        <v>1074</v>
      </c>
      <c r="E138" s="14">
        <v>45775</v>
      </c>
      <c r="F138" s="5" t="s">
        <v>4314</v>
      </c>
      <c r="G138" s="5" t="s">
        <v>1079</v>
      </c>
      <c r="H138" s="6"/>
      <c r="I138" s="6" t="s">
        <v>14</v>
      </c>
      <c r="J138" s="6" t="s">
        <v>1148</v>
      </c>
      <c r="K138" s="6">
        <v>12167</v>
      </c>
      <c r="L138" s="7" t="s">
        <v>7571</v>
      </c>
      <c r="M138" s="8">
        <v>24041</v>
      </c>
      <c r="N138" s="8" t="str">
        <f t="shared" si="15"/>
        <v>PEN</v>
      </c>
      <c r="O138" s="13"/>
      <c r="P138" s="13">
        <v>10</v>
      </c>
      <c r="Q138" s="3">
        <f t="shared" si="11"/>
        <v>0</v>
      </c>
      <c r="R138" s="3">
        <f t="shared" si="12"/>
        <v>10</v>
      </c>
      <c r="S138" s="3">
        <f t="shared" si="13"/>
        <v>515</v>
      </c>
      <c r="T138" s="24"/>
      <c r="U138" s="24"/>
      <c r="V138" s="3"/>
      <c r="W138" s="25" t="s">
        <v>6813</v>
      </c>
      <c r="X138" s="25"/>
      <c r="Y138" s="25" t="str">
        <f>IFERROR(VLOOKUP(C_Ope_007[[#This Row],[NOTA 2]],Clientes_Proveedores[[Ruc / Dni]:[Razon Social]],2,0),"")</f>
        <v/>
      </c>
      <c r="Z138" s="25"/>
      <c r="AA138" s="25"/>
      <c r="AB138" s="3" t="str">
        <f>IF(C_Ope_007[[#This Row],[FECHA]]&gt;0,TEXT(C_Ope_007[[#This Row],[FECHA]],"mmmm"),0)</f>
        <v>Abril</v>
      </c>
    </row>
    <row r="139" spans="2:28" ht="24" x14ac:dyDescent="0.3">
      <c r="B139" s="2">
        <f>IF(C_Ope_007[[#This Row],[TIPO DE R.]]="R",COUNTIFS($D$4:$D138,"R")+1,"")</f>
        <v>135</v>
      </c>
      <c r="C139" s="19" t="str">
        <f t="shared" si="14"/>
        <v>C_Ope_007</v>
      </c>
      <c r="D139" s="3" t="s">
        <v>1074</v>
      </c>
      <c r="E139" s="14">
        <v>45775</v>
      </c>
      <c r="F139" s="5" t="s">
        <v>4314</v>
      </c>
      <c r="G139" s="5" t="s">
        <v>1079</v>
      </c>
      <c r="H139" s="6"/>
      <c r="I139" s="6" t="s">
        <v>14</v>
      </c>
      <c r="J139" s="6" t="s">
        <v>1088</v>
      </c>
      <c r="K139" s="6">
        <v>34500</v>
      </c>
      <c r="L139" s="7" t="s">
        <v>7568</v>
      </c>
      <c r="M139" s="8">
        <v>24046</v>
      </c>
      <c r="N139" s="8" t="str">
        <f t="shared" si="15"/>
        <v>PEN</v>
      </c>
      <c r="O139" s="13"/>
      <c r="P139" s="13">
        <v>10</v>
      </c>
      <c r="Q139" s="3">
        <f t="shared" si="11"/>
        <v>0</v>
      </c>
      <c r="R139" s="3">
        <f t="shared" si="12"/>
        <v>10</v>
      </c>
      <c r="S139" s="3">
        <f t="shared" si="13"/>
        <v>505</v>
      </c>
      <c r="T139" s="24"/>
      <c r="U139" s="24"/>
      <c r="V139" s="3"/>
      <c r="W139" s="25" t="s">
        <v>6539</v>
      </c>
      <c r="X139" s="25"/>
      <c r="Y139" s="25" t="str">
        <f>IFERROR(VLOOKUP(C_Ope_007[[#This Row],[NOTA 2]],Clientes_Proveedores[[Ruc / Dni]:[Razon Social]],2,0),"")</f>
        <v/>
      </c>
      <c r="Z139" s="25"/>
      <c r="AA139" s="25"/>
      <c r="AB139" s="3" t="str">
        <f>IF(C_Ope_007[[#This Row],[FECHA]]&gt;0,TEXT(C_Ope_007[[#This Row],[FECHA]],"mmmm"),0)</f>
        <v>Abril</v>
      </c>
    </row>
    <row r="140" spans="2:28" ht="24" x14ac:dyDescent="0.3">
      <c r="B140" s="2">
        <f>IF(C_Ope_007[[#This Row],[TIPO DE R.]]="R",COUNTIFS($D$4:$D139,"R")+1,"")</f>
        <v>136</v>
      </c>
      <c r="C140" s="19" t="str">
        <f t="shared" si="14"/>
        <v>C_Ope_007</v>
      </c>
      <c r="D140" s="3" t="s">
        <v>1074</v>
      </c>
      <c r="E140" s="14">
        <v>45777</v>
      </c>
      <c r="F140" s="5" t="s">
        <v>4314</v>
      </c>
      <c r="G140" s="5" t="s">
        <v>1079</v>
      </c>
      <c r="H140" s="6"/>
      <c r="I140" s="6" t="s">
        <v>14</v>
      </c>
      <c r="J140" s="6" t="s">
        <v>1088</v>
      </c>
      <c r="K140" s="6">
        <v>34529</v>
      </c>
      <c r="L140" s="7" t="s">
        <v>7532</v>
      </c>
      <c r="M140" s="8">
        <v>24121</v>
      </c>
      <c r="N140" s="8" t="str">
        <f t="shared" si="15"/>
        <v>PEN</v>
      </c>
      <c r="O140" s="13"/>
      <c r="P140" s="13">
        <v>10</v>
      </c>
      <c r="Q140" s="3">
        <f t="shared" si="11"/>
        <v>0</v>
      </c>
      <c r="R140" s="3">
        <f t="shared" si="12"/>
        <v>10</v>
      </c>
      <c r="S140" s="3">
        <f t="shared" si="13"/>
        <v>495</v>
      </c>
      <c r="T140" s="24"/>
      <c r="U140" s="24"/>
      <c r="V140" s="3"/>
      <c r="W140" s="25" t="s">
        <v>6539</v>
      </c>
      <c r="X140" s="25"/>
      <c r="Y140" s="25" t="str">
        <f>IFERROR(VLOOKUP(C_Ope_007[[#This Row],[NOTA 2]],Clientes_Proveedores[[Ruc / Dni]:[Razon Social]],2,0),"")</f>
        <v/>
      </c>
      <c r="Z140" s="25"/>
      <c r="AA140" s="25"/>
      <c r="AB140" s="3" t="str">
        <f>IF(C_Ope_007[[#This Row],[FECHA]]&gt;0,TEXT(C_Ope_007[[#This Row],[FECHA]],"mmmm"),0)</f>
        <v>Abril</v>
      </c>
    </row>
    <row r="141" spans="2:28" ht="24" x14ac:dyDescent="0.3">
      <c r="B141" s="2">
        <f>IF(C_Ope_007[[#This Row],[TIPO DE R.]]="R",COUNTIFS($D$4:$D140,"R")+1,"")</f>
        <v>137</v>
      </c>
      <c r="C141" s="19" t="str">
        <f t="shared" si="14"/>
        <v>C_Ope_007</v>
      </c>
      <c r="D141" s="3" t="s">
        <v>1074</v>
      </c>
      <c r="E141" s="14">
        <v>45777</v>
      </c>
      <c r="F141" s="5" t="s">
        <v>4314</v>
      </c>
      <c r="G141" s="5" t="s">
        <v>1079</v>
      </c>
      <c r="H141" s="6"/>
      <c r="I141" s="6" t="s">
        <v>14</v>
      </c>
      <c r="J141" s="6" t="s">
        <v>1088</v>
      </c>
      <c r="K141" s="6">
        <v>34532</v>
      </c>
      <c r="L141" s="7" t="s">
        <v>7532</v>
      </c>
      <c r="M141" s="8">
        <v>24122</v>
      </c>
      <c r="N141" s="8" t="str">
        <f t="shared" si="15"/>
        <v>PEN</v>
      </c>
      <c r="O141" s="13"/>
      <c r="P141" s="13">
        <v>10</v>
      </c>
      <c r="Q141" s="3">
        <f t="shared" si="11"/>
        <v>0</v>
      </c>
      <c r="R141" s="3">
        <f t="shared" si="12"/>
        <v>10</v>
      </c>
      <c r="S141" s="3">
        <f t="shared" si="13"/>
        <v>485</v>
      </c>
      <c r="T141" s="24"/>
      <c r="U141" s="24"/>
      <c r="V141" s="3"/>
      <c r="W141" s="25" t="s">
        <v>6539</v>
      </c>
      <c r="X141" s="25"/>
      <c r="Y141" s="25" t="str">
        <f>IFERROR(VLOOKUP(C_Ope_007[[#This Row],[NOTA 2]],Clientes_Proveedores[[Ruc / Dni]:[Razon Social]],2,0),"")</f>
        <v/>
      </c>
      <c r="Z141" s="25"/>
      <c r="AA141" s="25"/>
      <c r="AB141" s="3" t="str">
        <f>IF(C_Ope_007[[#This Row],[FECHA]]&gt;0,TEXT(C_Ope_007[[#This Row],[FECHA]],"mmmm"),0)</f>
        <v>Abril</v>
      </c>
    </row>
    <row r="142" spans="2:28" x14ac:dyDescent="0.3">
      <c r="B142" s="2">
        <f>IF(C_Ope_007[[#This Row],[TIPO DE R.]]="R",COUNTIFS($D$4:$D141,"R")+1,"")</f>
        <v>138</v>
      </c>
      <c r="C142" s="19" t="str">
        <f t="shared" si="14"/>
        <v>C_Ope_007</v>
      </c>
      <c r="D142" s="3" t="s">
        <v>1074</v>
      </c>
      <c r="E142" s="14">
        <v>45777</v>
      </c>
      <c r="F142" s="5" t="s">
        <v>4314</v>
      </c>
      <c r="G142" s="5" t="s">
        <v>1079</v>
      </c>
      <c r="H142" s="6"/>
      <c r="I142" s="6" t="s">
        <v>14</v>
      </c>
      <c r="J142" s="6" t="s">
        <v>1119</v>
      </c>
      <c r="K142" s="6">
        <v>17508</v>
      </c>
      <c r="L142" s="7" t="s">
        <v>6565</v>
      </c>
      <c r="M142" s="8">
        <v>24119</v>
      </c>
      <c r="N142" s="8" t="str">
        <f t="shared" si="15"/>
        <v>PEN</v>
      </c>
      <c r="O142" s="13"/>
      <c r="P142" s="13">
        <v>25</v>
      </c>
      <c r="Q142" s="3">
        <f t="shared" si="11"/>
        <v>0</v>
      </c>
      <c r="R142" s="3">
        <f t="shared" si="12"/>
        <v>25</v>
      </c>
      <c r="S142" s="3">
        <f t="shared" si="13"/>
        <v>460</v>
      </c>
      <c r="T142" s="24"/>
      <c r="U142" s="24"/>
      <c r="V142" s="3"/>
      <c r="W142" s="25" t="s">
        <v>6541</v>
      </c>
      <c r="X142" s="25"/>
      <c r="Y142" s="25" t="str">
        <f>IFERROR(VLOOKUP(C_Ope_007[[#This Row],[NOTA 2]],Clientes_Proveedores[[Ruc / Dni]:[Razon Social]],2,0),"")</f>
        <v/>
      </c>
      <c r="Z142" s="25"/>
      <c r="AA142" s="25"/>
      <c r="AB142" s="3" t="str">
        <f>IF(C_Ope_007[[#This Row],[FECHA]]&gt;0,TEXT(C_Ope_007[[#This Row],[FECHA]],"mmmm"),0)</f>
        <v>Abril</v>
      </c>
    </row>
    <row r="143" spans="2:28" ht="24" x14ac:dyDescent="0.3">
      <c r="B143" s="2">
        <f>IF(C_Ope_007[[#This Row],[TIPO DE R.]]="R",COUNTIFS($D$4:$D142,"R")+1,"")</f>
        <v>139</v>
      </c>
      <c r="C143" s="19" t="str">
        <f t="shared" si="14"/>
        <v>C_Ope_007</v>
      </c>
      <c r="D143" s="3" t="s">
        <v>1074</v>
      </c>
      <c r="E143" s="14">
        <v>45779</v>
      </c>
      <c r="F143" s="5" t="s">
        <v>4314</v>
      </c>
      <c r="G143" s="5" t="s">
        <v>1079</v>
      </c>
      <c r="H143" s="6"/>
      <c r="I143" s="6" t="s">
        <v>14</v>
      </c>
      <c r="J143" s="6" t="s">
        <v>5243</v>
      </c>
      <c r="K143" s="6">
        <v>2318055</v>
      </c>
      <c r="L143" s="7" t="s">
        <v>7572</v>
      </c>
      <c r="M143" s="8">
        <v>24117</v>
      </c>
      <c r="N143" s="8" t="str">
        <f t="shared" si="15"/>
        <v>PEN</v>
      </c>
      <c r="O143" s="13"/>
      <c r="P143" s="13">
        <v>8</v>
      </c>
      <c r="Q143" s="3">
        <f t="shared" si="11"/>
        <v>0</v>
      </c>
      <c r="R143" s="3">
        <f t="shared" si="12"/>
        <v>8</v>
      </c>
      <c r="S143" s="3">
        <f t="shared" si="13"/>
        <v>452</v>
      </c>
      <c r="T143" s="24"/>
      <c r="U143" s="24"/>
      <c r="V143" s="3"/>
      <c r="W143" s="25" t="s">
        <v>6541</v>
      </c>
      <c r="X143" s="25"/>
      <c r="Y143" s="25" t="str">
        <f>IFERROR(VLOOKUP(C_Ope_007[[#This Row],[NOTA 2]],Clientes_Proveedores[[Ruc / Dni]:[Razon Social]],2,0),"")</f>
        <v/>
      </c>
      <c r="Z143" s="25"/>
      <c r="AA143" s="25"/>
      <c r="AB143" s="3" t="str">
        <f>IF(C_Ope_007[[#This Row],[FECHA]]&gt;0,TEXT(C_Ope_007[[#This Row],[FECHA]],"mmmm"),0)</f>
        <v>Mayo</v>
      </c>
    </row>
    <row r="144" spans="2:28" ht="24" x14ac:dyDescent="0.3">
      <c r="B144" s="2">
        <f>IF(C_Ope_007[[#This Row],[TIPO DE R.]]="R",COUNTIFS($D$4:$D143,"R")+1,"")</f>
        <v>140</v>
      </c>
      <c r="C144" s="19" t="str">
        <f t="shared" si="14"/>
        <v>C_Ope_007</v>
      </c>
      <c r="D144" s="3" t="s">
        <v>1074</v>
      </c>
      <c r="E144" s="14">
        <v>45779</v>
      </c>
      <c r="F144" s="5" t="s">
        <v>4314</v>
      </c>
      <c r="G144" s="5" t="s">
        <v>1079</v>
      </c>
      <c r="H144" s="6"/>
      <c r="I144" s="6" t="s">
        <v>14</v>
      </c>
      <c r="J144" s="6" t="s">
        <v>5242</v>
      </c>
      <c r="K144" s="6">
        <v>2038904</v>
      </c>
      <c r="L144" s="7" t="s">
        <v>7572</v>
      </c>
      <c r="M144" s="8">
        <v>24118</v>
      </c>
      <c r="N144" s="8" t="str">
        <f t="shared" si="15"/>
        <v>PEN</v>
      </c>
      <c r="O144" s="13"/>
      <c r="P144" s="13">
        <v>8</v>
      </c>
      <c r="Q144" s="3">
        <f t="shared" si="11"/>
        <v>0</v>
      </c>
      <c r="R144" s="3">
        <f t="shared" si="12"/>
        <v>8</v>
      </c>
      <c r="S144" s="3">
        <f t="shared" si="13"/>
        <v>444</v>
      </c>
      <c r="T144" s="24"/>
      <c r="U144" s="24"/>
      <c r="V144" s="3"/>
      <c r="W144" s="25" t="s">
        <v>6541</v>
      </c>
      <c r="X144" s="25"/>
      <c r="Y144" s="25" t="str">
        <f>IFERROR(VLOOKUP(C_Ope_007[[#This Row],[NOTA 2]],Clientes_Proveedores[[Ruc / Dni]:[Razon Social]],2,0),"")</f>
        <v/>
      </c>
      <c r="Z144" s="25"/>
      <c r="AA144" s="25"/>
      <c r="AB144" s="3" t="str">
        <f>IF(C_Ope_007[[#This Row],[FECHA]]&gt;0,TEXT(C_Ope_007[[#This Row],[FECHA]],"mmmm"),0)</f>
        <v>Mayo</v>
      </c>
    </row>
    <row r="145" spans="2:28" ht="24" x14ac:dyDescent="0.3">
      <c r="B145" s="2">
        <f>IF(C_Ope_007[[#This Row],[TIPO DE R.]]="R",COUNTIFS($D$4:$D144,"R")+1,"")</f>
        <v>141</v>
      </c>
      <c r="C145" s="19" t="str">
        <f t="shared" si="14"/>
        <v>C_Ope_007</v>
      </c>
      <c r="D145" s="3" t="s">
        <v>1074</v>
      </c>
      <c r="E145" s="14">
        <v>45783</v>
      </c>
      <c r="F145" s="5" t="s">
        <v>4314</v>
      </c>
      <c r="G145" s="5" t="s">
        <v>1079</v>
      </c>
      <c r="H145" s="6"/>
      <c r="I145" s="6" t="s">
        <v>14</v>
      </c>
      <c r="J145" s="6" t="s">
        <v>5244</v>
      </c>
      <c r="K145" s="6">
        <v>1723365</v>
      </c>
      <c r="L145" s="7" t="s">
        <v>7573</v>
      </c>
      <c r="M145" s="8">
        <v>24248</v>
      </c>
      <c r="N145" s="8" t="str">
        <f t="shared" si="15"/>
        <v>PEN</v>
      </c>
      <c r="O145" s="13"/>
      <c r="P145" s="13">
        <v>8</v>
      </c>
      <c r="Q145" s="3">
        <f t="shared" si="11"/>
        <v>0</v>
      </c>
      <c r="R145" s="3">
        <f t="shared" si="12"/>
        <v>8</v>
      </c>
      <c r="S145" s="3">
        <f t="shared" si="13"/>
        <v>436</v>
      </c>
      <c r="T145" s="24"/>
      <c r="U145" s="24"/>
      <c r="V145" s="3"/>
      <c r="W145" s="25" t="s">
        <v>6541</v>
      </c>
      <c r="X145" s="25"/>
      <c r="Y145" s="25" t="str">
        <f>IFERROR(VLOOKUP(C_Ope_007[[#This Row],[NOTA 2]],Clientes_Proveedores[[Ruc / Dni]:[Razon Social]],2,0),"")</f>
        <v/>
      </c>
      <c r="Z145" s="25"/>
      <c r="AA145" s="25"/>
      <c r="AB145" s="3" t="str">
        <f>IF(C_Ope_007[[#This Row],[FECHA]]&gt;0,TEXT(C_Ope_007[[#This Row],[FECHA]],"mmmm"),0)</f>
        <v>Mayo</v>
      </c>
    </row>
    <row r="146" spans="2:28" ht="24" x14ac:dyDescent="0.3">
      <c r="B146" s="2">
        <f>IF(C_Ope_007[[#This Row],[TIPO DE R.]]="R",COUNTIFS($D$4:$D145,"R")+1,"")</f>
        <v>142</v>
      </c>
      <c r="C146" s="19" t="str">
        <f t="shared" si="14"/>
        <v>C_Ope_007</v>
      </c>
      <c r="D146" s="3" t="s">
        <v>1074</v>
      </c>
      <c r="E146" s="14">
        <v>45783</v>
      </c>
      <c r="F146" s="5" t="s">
        <v>4314</v>
      </c>
      <c r="G146" s="5" t="s">
        <v>1079</v>
      </c>
      <c r="H146" s="6"/>
      <c r="I146" s="6" t="s">
        <v>14</v>
      </c>
      <c r="J146" s="6" t="s">
        <v>5245</v>
      </c>
      <c r="K146" s="6">
        <v>1742822</v>
      </c>
      <c r="L146" s="7" t="s">
        <v>7573</v>
      </c>
      <c r="M146" s="8">
        <v>24249</v>
      </c>
      <c r="N146" s="8" t="str">
        <f t="shared" si="15"/>
        <v>PEN</v>
      </c>
      <c r="O146" s="13"/>
      <c r="P146" s="13">
        <v>8</v>
      </c>
      <c r="Q146" s="3">
        <f t="shared" si="11"/>
        <v>0</v>
      </c>
      <c r="R146" s="3">
        <f t="shared" si="12"/>
        <v>8</v>
      </c>
      <c r="S146" s="3">
        <f t="shared" si="13"/>
        <v>428</v>
      </c>
      <c r="T146" s="24"/>
      <c r="U146" s="24"/>
      <c r="V146" s="3"/>
      <c r="W146" s="25" t="s">
        <v>6541</v>
      </c>
      <c r="X146" s="25"/>
      <c r="Y146" s="25" t="str">
        <f>IFERROR(VLOOKUP(C_Ope_007[[#This Row],[NOTA 2]],Clientes_Proveedores[[Ruc / Dni]:[Razon Social]],2,0),"")</f>
        <v/>
      </c>
      <c r="Z146" s="25"/>
      <c r="AA146" s="25"/>
      <c r="AB146" s="3" t="str">
        <f>IF(C_Ope_007[[#This Row],[FECHA]]&gt;0,TEXT(C_Ope_007[[#This Row],[FECHA]],"mmmm"),0)</f>
        <v>Mayo</v>
      </c>
    </row>
    <row r="147" spans="2:28" ht="24" x14ac:dyDescent="0.3">
      <c r="B147" s="2">
        <f>IF(C_Ope_007[[#This Row],[TIPO DE R.]]="R",COUNTIFS($D$4:$D146,"R")+1,"")</f>
        <v>143</v>
      </c>
      <c r="C147" s="19" t="str">
        <f t="shared" si="14"/>
        <v>C_Ope_007</v>
      </c>
      <c r="D147" s="3" t="s">
        <v>1074</v>
      </c>
      <c r="E147" s="14">
        <v>45786</v>
      </c>
      <c r="F147" s="5" t="s">
        <v>4314</v>
      </c>
      <c r="G147" s="5" t="s">
        <v>1079</v>
      </c>
      <c r="H147" s="6"/>
      <c r="I147" s="6" t="s">
        <v>14</v>
      </c>
      <c r="J147" s="6" t="s">
        <v>5244</v>
      </c>
      <c r="K147" s="6">
        <v>1726373</v>
      </c>
      <c r="L147" s="7" t="s">
        <v>7574</v>
      </c>
      <c r="M147" s="8">
        <v>24371</v>
      </c>
      <c r="N147" s="8" t="str">
        <f t="shared" si="15"/>
        <v>PEN</v>
      </c>
      <c r="O147" s="13"/>
      <c r="P147" s="13">
        <v>8</v>
      </c>
      <c r="Q147" s="3">
        <f t="shared" si="11"/>
        <v>0</v>
      </c>
      <c r="R147" s="3">
        <f t="shared" si="12"/>
        <v>8</v>
      </c>
      <c r="S147" s="3">
        <f t="shared" si="13"/>
        <v>420</v>
      </c>
      <c r="T147" s="24"/>
      <c r="U147" s="24"/>
      <c r="V147" s="3"/>
      <c r="W147" s="25" t="s">
        <v>6541</v>
      </c>
      <c r="X147" s="25"/>
      <c r="Y147" s="25" t="str">
        <f>IFERROR(VLOOKUP(C_Ope_007[[#This Row],[NOTA 2]],Clientes_Proveedores[[Ruc / Dni]:[Razon Social]],2,0),"")</f>
        <v/>
      </c>
      <c r="Z147" s="25"/>
      <c r="AA147" s="25"/>
      <c r="AB147" s="3" t="str">
        <f>IF(C_Ope_007[[#This Row],[FECHA]]&gt;0,TEXT(C_Ope_007[[#This Row],[FECHA]],"mmmm"),0)</f>
        <v>Mayo</v>
      </c>
    </row>
    <row r="148" spans="2:28" ht="24" x14ac:dyDescent="0.3">
      <c r="B148" s="2">
        <f>IF(C_Ope_007[[#This Row],[TIPO DE R.]]="R",COUNTIFS($D$4:$D147,"R")+1,"")</f>
        <v>144</v>
      </c>
      <c r="C148" s="19" t="str">
        <f t="shared" si="14"/>
        <v>C_Ope_007</v>
      </c>
      <c r="D148" s="3" t="s">
        <v>1074</v>
      </c>
      <c r="E148" s="14">
        <v>45786</v>
      </c>
      <c r="F148" s="5" t="s">
        <v>4314</v>
      </c>
      <c r="G148" s="5" t="s">
        <v>1079</v>
      </c>
      <c r="H148" s="6"/>
      <c r="I148" s="6" t="s">
        <v>14</v>
      </c>
      <c r="J148" s="6" t="s">
        <v>5245</v>
      </c>
      <c r="K148" s="6">
        <v>1745720</v>
      </c>
      <c r="L148" s="7" t="s">
        <v>7574</v>
      </c>
      <c r="M148" s="8">
        <v>24372</v>
      </c>
      <c r="N148" s="8" t="str">
        <f t="shared" si="15"/>
        <v>PEN</v>
      </c>
      <c r="O148" s="13"/>
      <c r="P148" s="13">
        <v>8</v>
      </c>
      <c r="Q148" s="3">
        <f t="shared" si="11"/>
        <v>0</v>
      </c>
      <c r="R148" s="3">
        <f t="shared" si="12"/>
        <v>8</v>
      </c>
      <c r="S148" s="3">
        <f t="shared" si="13"/>
        <v>412</v>
      </c>
      <c r="T148" s="24"/>
      <c r="U148" s="24"/>
      <c r="V148" s="3"/>
      <c r="W148" s="25" t="s">
        <v>6541</v>
      </c>
      <c r="X148" s="25"/>
      <c r="Y148" s="25" t="str">
        <f>IFERROR(VLOOKUP(C_Ope_007[[#This Row],[NOTA 2]],Clientes_Proveedores[[Ruc / Dni]:[Razon Social]],2,0),"")</f>
        <v/>
      </c>
      <c r="Z148" s="25"/>
      <c r="AA148" s="25"/>
      <c r="AB148" s="3" t="str">
        <f>IF(C_Ope_007[[#This Row],[FECHA]]&gt;0,TEXT(C_Ope_007[[#This Row],[FECHA]],"mmmm"),0)</f>
        <v>Mayo</v>
      </c>
    </row>
    <row r="149" spans="2:28" x14ac:dyDescent="0.3">
      <c r="B149" s="2">
        <f>IF(C_Ope_007[[#This Row],[TIPO DE R.]]="R",COUNTIFS($D$4:$D148,"R")+1,"")</f>
        <v>145</v>
      </c>
      <c r="C149" s="19" t="str">
        <f t="shared" si="14"/>
        <v>C_Ope_007</v>
      </c>
      <c r="D149" s="3" t="s">
        <v>1074</v>
      </c>
      <c r="E149" s="14">
        <v>45779</v>
      </c>
      <c r="F149" s="5" t="s">
        <v>4314</v>
      </c>
      <c r="G149" s="5" t="s">
        <v>1079</v>
      </c>
      <c r="H149" s="6"/>
      <c r="I149" s="6" t="s">
        <v>14</v>
      </c>
      <c r="J149" s="6" t="s">
        <v>1148</v>
      </c>
      <c r="K149" s="6">
        <v>131416</v>
      </c>
      <c r="L149" s="7" t="s">
        <v>7575</v>
      </c>
      <c r="M149" s="8">
        <v>24123</v>
      </c>
      <c r="N149" s="8" t="str">
        <f t="shared" si="15"/>
        <v>PEN</v>
      </c>
      <c r="O149" s="13"/>
      <c r="P149" s="13">
        <v>10</v>
      </c>
      <c r="Q149" s="3">
        <f t="shared" si="11"/>
        <v>0</v>
      </c>
      <c r="R149" s="3">
        <f t="shared" si="12"/>
        <v>10</v>
      </c>
      <c r="S149" s="3">
        <f t="shared" si="13"/>
        <v>402</v>
      </c>
      <c r="T149" s="24"/>
      <c r="U149" s="24"/>
      <c r="V149" s="3"/>
      <c r="W149" s="25" t="s">
        <v>6813</v>
      </c>
      <c r="X149" s="25"/>
      <c r="Y149" s="25" t="str">
        <f>IFERROR(VLOOKUP(C_Ope_007[[#This Row],[NOTA 2]],Clientes_Proveedores[[Ruc / Dni]:[Razon Social]],2,0),"")</f>
        <v/>
      </c>
      <c r="Z149" s="25"/>
      <c r="AA149" s="25"/>
      <c r="AB149" s="3" t="str">
        <f>IF(C_Ope_007[[#This Row],[FECHA]]&gt;0,TEXT(C_Ope_007[[#This Row],[FECHA]],"mmmm"),0)</f>
        <v>Mayo</v>
      </c>
    </row>
    <row r="150" spans="2:28" x14ac:dyDescent="0.3">
      <c r="B150" s="2">
        <f>IF(C_Ope_007[[#This Row],[TIPO DE R.]]="R",COUNTIFS($D$4:$D149,"R")+1,"")</f>
        <v>146</v>
      </c>
      <c r="C150" s="19" t="str">
        <f t="shared" si="14"/>
        <v>C_Ope_007</v>
      </c>
      <c r="D150" s="3" t="s">
        <v>1074</v>
      </c>
      <c r="E150" s="14">
        <v>45784</v>
      </c>
      <c r="F150" s="5" t="s">
        <v>4314</v>
      </c>
      <c r="G150" s="5" t="s">
        <v>1079</v>
      </c>
      <c r="H150" s="6"/>
      <c r="I150" s="6" t="s">
        <v>14</v>
      </c>
      <c r="J150" s="6" t="s">
        <v>6561</v>
      </c>
      <c r="K150" s="6">
        <v>754</v>
      </c>
      <c r="L150" s="7" t="s">
        <v>6622</v>
      </c>
      <c r="M150" s="8">
        <v>24269</v>
      </c>
      <c r="N150" s="8" t="str">
        <f t="shared" si="15"/>
        <v>PEN</v>
      </c>
      <c r="O150" s="13"/>
      <c r="P150" s="13">
        <v>10</v>
      </c>
      <c r="Q150" s="3">
        <f t="shared" si="11"/>
        <v>0</v>
      </c>
      <c r="R150" s="3">
        <f t="shared" si="12"/>
        <v>10</v>
      </c>
      <c r="S150" s="3">
        <f t="shared" si="13"/>
        <v>392</v>
      </c>
      <c r="T150" s="24"/>
      <c r="U150" s="24"/>
      <c r="V150" s="3"/>
      <c r="W150" s="25" t="s">
        <v>6541</v>
      </c>
      <c r="X150" s="25"/>
      <c r="Y150" s="25" t="str">
        <f>IFERROR(VLOOKUP(C_Ope_007[[#This Row],[NOTA 2]],Clientes_Proveedores[[Ruc / Dni]:[Razon Social]],2,0),"")</f>
        <v/>
      </c>
      <c r="Z150" s="25"/>
      <c r="AA150" s="25"/>
      <c r="AB150" s="3" t="str">
        <f>IF(C_Ope_007[[#This Row],[FECHA]]&gt;0,TEXT(C_Ope_007[[#This Row],[FECHA]],"mmmm"),0)</f>
        <v>Mayo</v>
      </c>
    </row>
    <row r="151" spans="2:28" x14ac:dyDescent="0.3">
      <c r="B151" s="2">
        <f>IF(C_Ope_007[[#This Row],[TIPO DE R.]]="R",COUNTIFS($D$4:$D150,"R")+1,"")</f>
        <v>147</v>
      </c>
      <c r="C151" s="19" t="str">
        <f t="shared" si="14"/>
        <v>C_Ope_007</v>
      </c>
      <c r="D151" s="3" t="s">
        <v>1074</v>
      </c>
      <c r="E151" s="14">
        <v>45782</v>
      </c>
      <c r="F151" s="5" t="s">
        <v>4314</v>
      </c>
      <c r="G151" s="5" t="s">
        <v>1079</v>
      </c>
      <c r="H151" s="6"/>
      <c r="I151" s="6" t="s">
        <v>14</v>
      </c>
      <c r="J151" s="6" t="s">
        <v>1148</v>
      </c>
      <c r="K151" s="6">
        <v>32386</v>
      </c>
      <c r="L151" s="7" t="s">
        <v>6565</v>
      </c>
      <c r="M151" s="8">
        <v>24120</v>
      </c>
      <c r="N151" s="8" t="str">
        <f t="shared" si="15"/>
        <v>PEN</v>
      </c>
      <c r="O151" s="13"/>
      <c r="P151" s="13">
        <v>40</v>
      </c>
      <c r="Q151" s="3">
        <f t="shared" si="11"/>
        <v>0</v>
      </c>
      <c r="R151" s="3">
        <f t="shared" si="12"/>
        <v>40</v>
      </c>
      <c r="S151" s="3">
        <f t="shared" si="13"/>
        <v>352</v>
      </c>
      <c r="T151" s="24"/>
      <c r="U151" s="24"/>
      <c r="V151" s="3"/>
      <c r="W151" s="25" t="s">
        <v>6541</v>
      </c>
      <c r="X151" s="25"/>
      <c r="Y151" s="25" t="str">
        <f>IFERROR(VLOOKUP(C_Ope_007[[#This Row],[NOTA 2]],Clientes_Proveedores[[Ruc / Dni]:[Razon Social]],2,0),"")</f>
        <v/>
      </c>
      <c r="Z151" s="25"/>
      <c r="AA151" s="25"/>
      <c r="AB151" s="3" t="str">
        <f>IF(C_Ope_007[[#This Row],[FECHA]]&gt;0,TEXT(C_Ope_007[[#This Row],[FECHA]],"mmmm"),0)</f>
        <v>Mayo</v>
      </c>
    </row>
    <row r="152" spans="2:28" ht="24" x14ac:dyDescent="0.3">
      <c r="B152" s="2">
        <f>IF(C_Ope_007[[#This Row],[TIPO DE R.]]="R",COUNTIFS($D$4:$D151,"R")+1,"")</f>
        <v>148</v>
      </c>
      <c r="C152" s="19" t="str">
        <f t="shared" si="14"/>
        <v>C_Ope_007</v>
      </c>
      <c r="D152" s="3" t="s">
        <v>1074</v>
      </c>
      <c r="E152" s="14">
        <v>45789</v>
      </c>
      <c r="F152" s="5" t="s">
        <v>4314</v>
      </c>
      <c r="G152" s="5" t="s">
        <v>1079</v>
      </c>
      <c r="H152" s="6"/>
      <c r="I152" s="6" t="s">
        <v>14</v>
      </c>
      <c r="J152" s="6" t="s">
        <v>5243</v>
      </c>
      <c r="K152" s="6">
        <v>2328802</v>
      </c>
      <c r="L152" s="7" t="s">
        <v>7576</v>
      </c>
      <c r="M152" s="8">
        <v>24250</v>
      </c>
      <c r="N152" s="8" t="str">
        <f t="shared" si="15"/>
        <v>PEN</v>
      </c>
      <c r="O152" s="13"/>
      <c r="P152" s="13">
        <v>8</v>
      </c>
      <c r="Q152" s="3">
        <f t="shared" si="11"/>
        <v>0</v>
      </c>
      <c r="R152" s="3">
        <f t="shared" si="12"/>
        <v>8</v>
      </c>
      <c r="S152" s="3">
        <f t="shared" si="13"/>
        <v>344</v>
      </c>
      <c r="T152" s="24"/>
      <c r="U152" s="24"/>
      <c r="V152" s="3"/>
      <c r="W152" s="25" t="s">
        <v>6541</v>
      </c>
      <c r="X152" s="25"/>
      <c r="Y152" s="25" t="str">
        <f>IFERROR(VLOOKUP(C_Ope_007[[#This Row],[NOTA 2]],Clientes_Proveedores[[Ruc / Dni]:[Razon Social]],2,0),"")</f>
        <v/>
      </c>
      <c r="Z152" s="25"/>
      <c r="AA152" s="25"/>
      <c r="AB152" s="3" t="str">
        <f>IF(C_Ope_007[[#This Row],[FECHA]]&gt;0,TEXT(C_Ope_007[[#This Row],[FECHA]],"mmmm"),0)</f>
        <v>Mayo</v>
      </c>
    </row>
    <row r="153" spans="2:28" ht="24" x14ac:dyDescent="0.3">
      <c r="B153" s="2">
        <f>IF(C_Ope_007[[#This Row],[TIPO DE R.]]="R",COUNTIFS($D$4:$D152,"R")+1,"")</f>
        <v>149</v>
      </c>
      <c r="C153" s="19" t="str">
        <f t="shared" si="14"/>
        <v>C_Ope_007</v>
      </c>
      <c r="D153" s="3" t="s">
        <v>1074</v>
      </c>
      <c r="E153" s="14">
        <v>45789</v>
      </c>
      <c r="F153" s="5" t="s">
        <v>4314</v>
      </c>
      <c r="G153" s="5" t="s">
        <v>1079</v>
      </c>
      <c r="H153" s="6"/>
      <c r="I153" s="6" t="s">
        <v>14</v>
      </c>
      <c r="J153" s="6" t="s">
        <v>5242</v>
      </c>
      <c r="K153" s="6">
        <v>2048138</v>
      </c>
      <c r="L153" s="7" t="s">
        <v>7576</v>
      </c>
      <c r="M153" s="8">
        <v>24251</v>
      </c>
      <c r="N153" s="8" t="str">
        <f t="shared" si="15"/>
        <v>PEN</v>
      </c>
      <c r="O153" s="13"/>
      <c r="P153" s="13">
        <v>8</v>
      </c>
      <c r="Q153" s="3">
        <f t="shared" si="11"/>
        <v>0</v>
      </c>
      <c r="R153" s="3">
        <f t="shared" si="12"/>
        <v>8</v>
      </c>
      <c r="S153" s="3">
        <f t="shared" si="13"/>
        <v>336</v>
      </c>
      <c r="T153" s="24"/>
      <c r="U153" s="24"/>
      <c r="V153" s="3"/>
      <c r="W153" s="25" t="s">
        <v>6541</v>
      </c>
      <c r="X153" s="25"/>
      <c r="Y153" s="25" t="str">
        <f>IFERROR(VLOOKUP(C_Ope_007[[#This Row],[NOTA 2]],Clientes_Proveedores[[Ruc / Dni]:[Razon Social]],2,0),"")</f>
        <v/>
      </c>
      <c r="Z153" s="25"/>
      <c r="AA153" s="25"/>
      <c r="AB153" s="3" t="str">
        <f>IF(C_Ope_007[[#This Row],[FECHA]]&gt;0,TEXT(C_Ope_007[[#This Row],[FECHA]],"mmmm"),0)</f>
        <v>Mayo</v>
      </c>
    </row>
    <row r="154" spans="2:28" ht="24" x14ac:dyDescent="0.3">
      <c r="B154" s="2">
        <f>IF(C_Ope_007[[#This Row],[TIPO DE R.]]="R",COUNTIFS($D$4:$D153,"R")+1,"")</f>
        <v>150</v>
      </c>
      <c r="C154" s="19" t="str">
        <f t="shared" si="14"/>
        <v>C_Ope_007</v>
      </c>
      <c r="D154" s="3" t="s">
        <v>1074</v>
      </c>
      <c r="E154" s="14">
        <v>45790</v>
      </c>
      <c r="F154" s="5" t="s">
        <v>4314</v>
      </c>
      <c r="G154" s="5" t="s">
        <v>1079</v>
      </c>
      <c r="H154" s="6"/>
      <c r="I154" s="6" t="s">
        <v>14</v>
      </c>
      <c r="J154" s="6" t="s">
        <v>5243</v>
      </c>
      <c r="K154" s="6">
        <v>2329978</v>
      </c>
      <c r="L154" s="7" t="s">
        <v>7577</v>
      </c>
      <c r="M154" s="8">
        <v>24252</v>
      </c>
      <c r="N154" s="8" t="str">
        <f t="shared" si="15"/>
        <v>PEN</v>
      </c>
      <c r="O154" s="13"/>
      <c r="P154" s="13">
        <v>8</v>
      </c>
      <c r="Q154" s="3">
        <f t="shared" si="11"/>
        <v>0</v>
      </c>
      <c r="R154" s="3">
        <f t="shared" si="12"/>
        <v>8</v>
      </c>
      <c r="S154" s="3">
        <f t="shared" si="13"/>
        <v>328</v>
      </c>
      <c r="T154" s="24"/>
      <c r="U154" s="24"/>
      <c r="V154" s="3"/>
      <c r="W154" s="25" t="s">
        <v>6541</v>
      </c>
      <c r="X154" s="25"/>
      <c r="Y154" s="25" t="str">
        <f>IFERROR(VLOOKUP(C_Ope_007[[#This Row],[NOTA 2]],Clientes_Proveedores[[Ruc / Dni]:[Razon Social]],2,0),"")</f>
        <v/>
      </c>
      <c r="Z154" s="25"/>
      <c r="AA154" s="25"/>
      <c r="AB154" s="3" t="str">
        <f>IF(C_Ope_007[[#This Row],[FECHA]]&gt;0,TEXT(C_Ope_007[[#This Row],[FECHA]],"mmmm"),0)</f>
        <v>Mayo</v>
      </c>
    </row>
    <row r="155" spans="2:28" ht="24" x14ac:dyDescent="0.3">
      <c r="B155" s="2">
        <f>IF(C_Ope_007[[#This Row],[TIPO DE R.]]="R",COUNTIFS($D$4:$D154,"R")+1,"")</f>
        <v>151</v>
      </c>
      <c r="C155" s="19" t="str">
        <f t="shared" si="14"/>
        <v>C_Ope_007</v>
      </c>
      <c r="D155" s="3" t="s">
        <v>1074</v>
      </c>
      <c r="E155" s="14">
        <v>45790</v>
      </c>
      <c r="F155" s="5" t="s">
        <v>4314</v>
      </c>
      <c r="G155" s="5" t="s">
        <v>1079</v>
      </c>
      <c r="H155" s="6"/>
      <c r="I155" s="6" t="s">
        <v>14</v>
      </c>
      <c r="J155" s="6" t="s">
        <v>5242</v>
      </c>
      <c r="K155" s="6">
        <v>2049048</v>
      </c>
      <c r="L155" s="7" t="s">
        <v>7577</v>
      </c>
      <c r="M155" s="8">
        <v>24253</v>
      </c>
      <c r="N155" s="8" t="str">
        <f t="shared" si="15"/>
        <v>PEN</v>
      </c>
      <c r="O155" s="13"/>
      <c r="P155" s="13">
        <v>8</v>
      </c>
      <c r="Q155" s="3">
        <f t="shared" si="11"/>
        <v>0</v>
      </c>
      <c r="R155" s="3">
        <f t="shared" si="12"/>
        <v>8</v>
      </c>
      <c r="S155" s="3">
        <f t="shared" si="13"/>
        <v>320</v>
      </c>
      <c r="T155" s="24"/>
      <c r="U155" s="24"/>
      <c r="V155" s="3"/>
      <c r="W155" s="25" t="s">
        <v>6541</v>
      </c>
      <c r="X155" s="25"/>
      <c r="Y155" s="25" t="str">
        <f>IFERROR(VLOOKUP(C_Ope_007[[#This Row],[NOTA 2]],Clientes_Proveedores[[Ruc / Dni]:[Razon Social]],2,0),"")</f>
        <v/>
      </c>
      <c r="Z155" s="25"/>
      <c r="AA155" s="25"/>
      <c r="AB155" s="3" t="str">
        <f>IF(C_Ope_007[[#This Row],[FECHA]]&gt;0,TEXT(C_Ope_007[[#This Row],[FECHA]],"mmmm"),0)</f>
        <v>Mayo</v>
      </c>
    </row>
    <row r="156" spans="2:28" ht="24" x14ac:dyDescent="0.3">
      <c r="B156" s="2">
        <f>IF(C_Ope_007[[#This Row],[TIPO DE R.]]="R",COUNTIFS($D$4:$D155,"R")+1,"")</f>
        <v>152</v>
      </c>
      <c r="C156" s="19" t="str">
        <f t="shared" si="14"/>
        <v>C_Ope_007</v>
      </c>
      <c r="D156" s="3" t="s">
        <v>1074</v>
      </c>
      <c r="E156" s="14">
        <v>45791</v>
      </c>
      <c r="F156" s="5" t="s">
        <v>4314</v>
      </c>
      <c r="G156" s="5" t="s">
        <v>1079</v>
      </c>
      <c r="H156" s="6"/>
      <c r="I156" s="6" t="s">
        <v>14</v>
      </c>
      <c r="J156" s="6" t="s">
        <v>5244</v>
      </c>
      <c r="K156" s="6">
        <v>1730456</v>
      </c>
      <c r="L156" s="7" t="s">
        <v>7578</v>
      </c>
      <c r="M156" s="8">
        <v>24254</v>
      </c>
      <c r="N156" s="8" t="str">
        <f t="shared" si="15"/>
        <v>PEN</v>
      </c>
      <c r="O156" s="13"/>
      <c r="P156" s="13">
        <v>8</v>
      </c>
      <c r="Q156" s="3">
        <f t="shared" si="11"/>
        <v>0</v>
      </c>
      <c r="R156" s="3">
        <f t="shared" si="12"/>
        <v>8</v>
      </c>
      <c r="S156" s="3">
        <f t="shared" si="13"/>
        <v>312</v>
      </c>
      <c r="T156" s="24"/>
      <c r="U156" s="24"/>
      <c r="V156" s="3"/>
      <c r="W156" s="25" t="s">
        <v>6541</v>
      </c>
      <c r="X156" s="25"/>
      <c r="Y156" s="25" t="str">
        <f>IFERROR(VLOOKUP(C_Ope_007[[#This Row],[NOTA 2]],Clientes_Proveedores[[Ruc / Dni]:[Razon Social]],2,0),"")</f>
        <v/>
      </c>
      <c r="Z156" s="25"/>
      <c r="AA156" s="25"/>
      <c r="AB156" s="3" t="str">
        <f>IF(C_Ope_007[[#This Row],[FECHA]]&gt;0,TEXT(C_Ope_007[[#This Row],[FECHA]],"mmmm"),0)</f>
        <v>Mayo</v>
      </c>
    </row>
    <row r="157" spans="2:28" ht="24" x14ac:dyDescent="0.3">
      <c r="B157" s="2">
        <f>IF(C_Ope_007[[#This Row],[TIPO DE R.]]="R",COUNTIFS($D$4:$D156,"R")+1,"")</f>
        <v>153</v>
      </c>
      <c r="C157" s="19" t="str">
        <f t="shared" si="14"/>
        <v>C_Ope_007</v>
      </c>
      <c r="D157" s="3" t="s">
        <v>1074</v>
      </c>
      <c r="E157" s="14">
        <v>45791</v>
      </c>
      <c r="F157" s="5" t="s">
        <v>4314</v>
      </c>
      <c r="G157" s="5" t="s">
        <v>1079</v>
      </c>
      <c r="H157" s="6"/>
      <c r="I157" s="6" t="s">
        <v>14</v>
      </c>
      <c r="J157" s="6" t="s">
        <v>5281</v>
      </c>
      <c r="K157" s="6">
        <v>967479</v>
      </c>
      <c r="L157" s="7" t="s">
        <v>7579</v>
      </c>
      <c r="M157" s="8">
        <v>24255</v>
      </c>
      <c r="N157" s="8" t="str">
        <f t="shared" si="15"/>
        <v>PEN</v>
      </c>
      <c r="O157" s="13"/>
      <c r="P157" s="13">
        <v>8</v>
      </c>
      <c r="Q157" s="3">
        <f t="shared" si="11"/>
        <v>0</v>
      </c>
      <c r="R157" s="3">
        <f t="shared" si="12"/>
        <v>8</v>
      </c>
      <c r="S157" s="3">
        <f t="shared" si="13"/>
        <v>304</v>
      </c>
      <c r="T157" s="24"/>
      <c r="U157" s="24"/>
      <c r="V157" s="3"/>
      <c r="W157" s="25" t="s">
        <v>6541</v>
      </c>
      <c r="X157" s="25"/>
      <c r="Y157" s="25" t="str">
        <f>IFERROR(VLOOKUP(C_Ope_007[[#This Row],[NOTA 2]],Clientes_Proveedores[[Ruc / Dni]:[Razon Social]],2,0),"")</f>
        <v/>
      </c>
      <c r="Z157" s="25"/>
      <c r="AA157" s="25"/>
      <c r="AB157" s="3" t="str">
        <f>IF(C_Ope_007[[#This Row],[FECHA]]&gt;0,TEXT(C_Ope_007[[#This Row],[FECHA]],"mmmm"),0)</f>
        <v>Mayo</v>
      </c>
    </row>
    <row r="158" spans="2:28" ht="24" x14ac:dyDescent="0.3">
      <c r="B158" s="2">
        <f>IF(C_Ope_007[[#This Row],[TIPO DE R.]]="R",COUNTIFS($D$4:$D157,"R")+1,"")</f>
        <v>154</v>
      </c>
      <c r="C158" s="19" t="str">
        <f t="shared" si="14"/>
        <v>C_Ope_007</v>
      </c>
      <c r="D158" s="3" t="s">
        <v>1074</v>
      </c>
      <c r="E158" s="14">
        <v>45791</v>
      </c>
      <c r="F158" s="5" t="s">
        <v>4314</v>
      </c>
      <c r="G158" s="5" t="s">
        <v>1079</v>
      </c>
      <c r="H158" s="6"/>
      <c r="I158" s="6" t="s">
        <v>14</v>
      </c>
      <c r="J158" s="6" t="s">
        <v>5280</v>
      </c>
      <c r="K158" s="6">
        <v>1055058</v>
      </c>
      <c r="L158" s="7" t="s">
        <v>7579</v>
      </c>
      <c r="M158" s="8">
        <v>24256</v>
      </c>
      <c r="N158" s="8" t="str">
        <f t="shared" si="15"/>
        <v>PEN</v>
      </c>
      <c r="O158" s="13"/>
      <c r="P158" s="13">
        <v>8</v>
      </c>
      <c r="Q158" s="3">
        <f t="shared" si="11"/>
        <v>0</v>
      </c>
      <c r="R158" s="3">
        <f t="shared" si="12"/>
        <v>8</v>
      </c>
      <c r="S158" s="3">
        <f t="shared" si="13"/>
        <v>296</v>
      </c>
      <c r="T158" s="24"/>
      <c r="U158" s="24"/>
      <c r="V158" s="3"/>
      <c r="W158" s="25" t="s">
        <v>6541</v>
      </c>
      <c r="X158" s="25"/>
      <c r="Y158" s="25" t="str">
        <f>IFERROR(VLOOKUP(C_Ope_007[[#This Row],[NOTA 2]],Clientes_Proveedores[[Ruc / Dni]:[Razon Social]],2,0),"")</f>
        <v/>
      </c>
      <c r="Z158" s="25"/>
      <c r="AA158" s="25"/>
      <c r="AB158" s="3" t="str">
        <f>IF(C_Ope_007[[#This Row],[FECHA]]&gt;0,TEXT(C_Ope_007[[#This Row],[FECHA]],"mmmm"),0)</f>
        <v>Mayo</v>
      </c>
    </row>
    <row r="159" spans="2:28" ht="24" x14ac:dyDescent="0.3">
      <c r="B159" s="2">
        <f>IF(C_Ope_007[[#This Row],[TIPO DE R.]]="R",COUNTIFS($D$4:$D158,"R")+1,"")</f>
        <v>155</v>
      </c>
      <c r="C159" s="19" t="str">
        <f t="shared" si="14"/>
        <v>C_Ope_007</v>
      </c>
      <c r="D159" s="3" t="s">
        <v>1074</v>
      </c>
      <c r="E159" s="14">
        <v>45791</v>
      </c>
      <c r="F159" s="5" t="s">
        <v>4314</v>
      </c>
      <c r="G159" s="5" t="s">
        <v>1079</v>
      </c>
      <c r="H159" s="6"/>
      <c r="I159" s="6" t="s">
        <v>14</v>
      </c>
      <c r="J159" s="6" t="s">
        <v>5242</v>
      </c>
      <c r="K159" s="6">
        <v>2050147</v>
      </c>
      <c r="L159" s="7" t="s">
        <v>7578</v>
      </c>
      <c r="M159" s="8">
        <v>24257</v>
      </c>
      <c r="N159" s="8" t="str">
        <f t="shared" si="15"/>
        <v>PEN</v>
      </c>
      <c r="O159" s="13"/>
      <c r="P159" s="13">
        <v>8</v>
      </c>
      <c r="Q159" s="3">
        <f t="shared" si="11"/>
        <v>0</v>
      </c>
      <c r="R159" s="3">
        <f t="shared" si="12"/>
        <v>8</v>
      </c>
      <c r="S159" s="3">
        <f t="shared" si="13"/>
        <v>288</v>
      </c>
      <c r="T159" s="24"/>
      <c r="U159" s="24"/>
      <c r="V159" s="3"/>
      <c r="W159" s="25" t="s">
        <v>6541</v>
      </c>
      <c r="X159" s="25"/>
      <c r="Y159" s="25" t="str">
        <f>IFERROR(VLOOKUP(C_Ope_007[[#This Row],[NOTA 2]],Clientes_Proveedores[[Ruc / Dni]:[Razon Social]],2,0),"")</f>
        <v/>
      </c>
      <c r="Z159" s="25"/>
      <c r="AA159" s="25"/>
      <c r="AB159" s="3" t="str">
        <f>IF(C_Ope_007[[#This Row],[FECHA]]&gt;0,TEXT(C_Ope_007[[#This Row],[FECHA]],"mmmm"),0)</f>
        <v>Mayo</v>
      </c>
    </row>
    <row r="160" spans="2:28" ht="24" x14ac:dyDescent="0.3">
      <c r="B160" s="2">
        <f>IF(C_Ope_007[[#This Row],[TIPO DE R.]]="R",COUNTIFS($D$4:$D159,"R")+1,"")</f>
        <v>156</v>
      </c>
      <c r="C160" s="19" t="str">
        <f t="shared" si="14"/>
        <v>C_Ope_007</v>
      </c>
      <c r="D160" s="3" t="s">
        <v>1074</v>
      </c>
      <c r="E160" s="14">
        <v>45793</v>
      </c>
      <c r="F160" s="5" t="s">
        <v>4314</v>
      </c>
      <c r="G160" s="5" t="s">
        <v>1079</v>
      </c>
      <c r="H160" s="6"/>
      <c r="I160" s="6" t="s">
        <v>14</v>
      </c>
      <c r="J160" s="6" t="s">
        <v>5244</v>
      </c>
      <c r="K160" s="6">
        <v>1732467</v>
      </c>
      <c r="L160" s="7" t="s">
        <v>6601</v>
      </c>
      <c r="M160" s="8">
        <v>24258</v>
      </c>
      <c r="N160" s="8" t="str">
        <f t="shared" si="15"/>
        <v>PEN</v>
      </c>
      <c r="O160" s="13"/>
      <c r="P160" s="13">
        <v>8</v>
      </c>
      <c r="Q160" s="3">
        <f t="shared" si="11"/>
        <v>0</v>
      </c>
      <c r="R160" s="3">
        <f t="shared" si="12"/>
        <v>8</v>
      </c>
      <c r="S160" s="3">
        <f t="shared" si="13"/>
        <v>280</v>
      </c>
      <c r="T160" s="24"/>
      <c r="U160" s="24"/>
      <c r="V160" s="3"/>
      <c r="W160" s="25" t="s">
        <v>6541</v>
      </c>
      <c r="X160" s="25"/>
      <c r="Y160" s="25" t="str">
        <f>IFERROR(VLOOKUP(C_Ope_007[[#This Row],[NOTA 2]],Clientes_Proveedores[[Ruc / Dni]:[Razon Social]],2,0),"")</f>
        <v/>
      </c>
      <c r="Z160" s="25"/>
      <c r="AA160" s="25"/>
      <c r="AB160" s="3" t="str">
        <f>IF(C_Ope_007[[#This Row],[FECHA]]&gt;0,TEXT(C_Ope_007[[#This Row],[FECHA]],"mmmm"),0)</f>
        <v>Mayo</v>
      </c>
    </row>
    <row r="161" spans="2:28" ht="24" x14ac:dyDescent="0.3">
      <c r="B161" s="2">
        <f>IF(C_Ope_007[[#This Row],[TIPO DE R.]]="R",COUNTIFS($D$4:$D160,"R")+1,"")</f>
        <v>157</v>
      </c>
      <c r="C161" s="19" t="str">
        <f t="shared" si="14"/>
        <v>C_Ope_007</v>
      </c>
      <c r="D161" s="3" t="s">
        <v>1074</v>
      </c>
      <c r="E161" s="14">
        <v>45793</v>
      </c>
      <c r="F161" s="5" t="s">
        <v>4314</v>
      </c>
      <c r="G161" s="5" t="s">
        <v>1079</v>
      </c>
      <c r="H161" s="6"/>
      <c r="I161" s="6" t="s">
        <v>14</v>
      </c>
      <c r="J161" s="6" t="s">
        <v>5245</v>
      </c>
      <c r="K161" s="6">
        <v>1752126</v>
      </c>
      <c r="L161" s="7" t="s">
        <v>6601</v>
      </c>
      <c r="M161" s="8">
        <v>24259</v>
      </c>
      <c r="N161" s="8" t="str">
        <f t="shared" si="15"/>
        <v>PEN</v>
      </c>
      <c r="O161" s="13"/>
      <c r="P161" s="13">
        <v>8</v>
      </c>
      <c r="Q161" s="3">
        <f t="shared" si="11"/>
        <v>0</v>
      </c>
      <c r="R161" s="3">
        <f t="shared" si="12"/>
        <v>8</v>
      </c>
      <c r="S161" s="3">
        <f t="shared" si="13"/>
        <v>272</v>
      </c>
      <c r="T161" s="24"/>
      <c r="U161" s="24"/>
      <c r="V161" s="3"/>
      <c r="W161" s="25" t="s">
        <v>6541</v>
      </c>
      <c r="X161" s="25"/>
      <c r="Y161" s="25" t="str">
        <f>IFERROR(VLOOKUP(C_Ope_007[[#This Row],[NOTA 2]],Clientes_Proveedores[[Ruc / Dni]:[Razon Social]],2,0),"")</f>
        <v/>
      </c>
      <c r="Z161" s="25"/>
      <c r="AA161" s="25"/>
      <c r="AB161" s="3" t="str">
        <f>IF(C_Ope_007[[#This Row],[FECHA]]&gt;0,TEXT(C_Ope_007[[#This Row],[FECHA]],"mmmm"),0)</f>
        <v>Mayo</v>
      </c>
    </row>
    <row r="162" spans="2:28" ht="36" x14ac:dyDescent="0.3">
      <c r="B162" s="2">
        <f>IF(C_Ope_007[[#This Row],[TIPO DE R.]]="R",COUNTIFS($D$4:$D161,"R")+1,"")</f>
        <v>158</v>
      </c>
      <c r="C162" s="19" t="str">
        <f t="shared" si="14"/>
        <v>C_Ope_007</v>
      </c>
      <c r="D162" s="3" t="s">
        <v>1074</v>
      </c>
      <c r="E162" s="14">
        <v>45793</v>
      </c>
      <c r="F162" s="5" t="s">
        <v>4314</v>
      </c>
      <c r="G162" s="5" t="s">
        <v>1079</v>
      </c>
      <c r="H162" s="6"/>
      <c r="I162" s="6" t="s">
        <v>14</v>
      </c>
      <c r="J162" s="6" t="s">
        <v>5243</v>
      </c>
      <c r="K162" s="6">
        <v>2333582</v>
      </c>
      <c r="L162" s="7" t="s">
        <v>7580</v>
      </c>
      <c r="M162" s="8">
        <v>24260</v>
      </c>
      <c r="N162" s="8" t="str">
        <f t="shared" si="15"/>
        <v>PEN</v>
      </c>
      <c r="O162" s="13"/>
      <c r="P162" s="13">
        <v>8</v>
      </c>
      <c r="Q162" s="3">
        <f t="shared" si="11"/>
        <v>0</v>
      </c>
      <c r="R162" s="3">
        <f t="shared" si="12"/>
        <v>8</v>
      </c>
      <c r="S162" s="3">
        <f t="shared" si="13"/>
        <v>264</v>
      </c>
      <c r="T162" s="24"/>
      <c r="U162" s="24"/>
      <c r="V162" s="3"/>
      <c r="W162" s="25" t="s">
        <v>6630</v>
      </c>
      <c r="X162" s="25"/>
      <c r="Y162" s="25" t="str">
        <f>IFERROR(VLOOKUP(C_Ope_007[[#This Row],[NOTA 2]],Clientes_Proveedores[[Ruc / Dni]:[Razon Social]],2,0),"")</f>
        <v/>
      </c>
      <c r="Z162" s="25"/>
      <c r="AA162" s="25"/>
      <c r="AB162" s="3" t="str">
        <f>IF(C_Ope_007[[#This Row],[FECHA]]&gt;0,TEXT(C_Ope_007[[#This Row],[FECHA]],"mmmm"),0)</f>
        <v>Mayo</v>
      </c>
    </row>
    <row r="163" spans="2:28" ht="36" x14ac:dyDescent="0.3">
      <c r="B163" s="2">
        <f>IF(C_Ope_007[[#This Row],[TIPO DE R.]]="R",COUNTIFS($D$4:$D162,"R")+1,"")</f>
        <v>159</v>
      </c>
      <c r="C163" s="19" t="str">
        <f t="shared" si="14"/>
        <v>C_Ope_007</v>
      </c>
      <c r="D163" s="3" t="s">
        <v>1074</v>
      </c>
      <c r="E163" s="14">
        <v>45793</v>
      </c>
      <c r="F163" s="5" t="s">
        <v>4314</v>
      </c>
      <c r="G163" s="5" t="s">
        <v>1079</v>
      </c>
      <c r="H163" s="6"/>
      <c r="I163" s="6" t="s">
        <v>14</v>
      </c>
      <c r="J163" s="6" t="s">
        <v>5245</v>
      </c>
      <c r="K163" s="6">
        <v>1752156</v>
      </c>
      <c r="L163" s="7" t="s">
        <v>7580</v>
      </c>
      <c r="M163" s="8">
        <v>24261</v>
      </c>
      <c r="N163" s="8" t="str">
        <f t="shared" si="15"/>
        <v>PEN</v>
      </c>
      <c r="O163" s="13"/>
      <c r="P163" s="13">
        <v>8</v>
      </c>
      <c r="Q163" s="3">
        <f t="shared" si="11"/>
        <v>0</v>
      </c>
      <c r="R163" s="3">
        <f t="shared" si="12"/>
        <v>8</v>
      </c>
      <c r="S163" s="3">
        <f t="shared" si="13"/>
        <v>256</v>
      </c>
      <c r="T163" s="24"/>
      <c r="U163" s="24"/>
      <c r="V163" s="3"/>
      <c r="W163" s="25" t="s">
        <v>6630</v>
      </c>
      <c r="X163" s="25"/>
      <c r="Y163" s="25" t="str">
        <f>IFERROR(VLOOKUP(C_Ope_007[[#This Row],[NOTA 2]],Clientes_Proveedores[[Ruc / Dni]:[Razon Social]],2,0),"")</f>
        <v/>
      </c>
      <c r="Z163" s="25"/>
      <c r="AA163" s="25"/>
      <c r="AB163" s="3" t="str">
        <f>IF(C_Ope_007[[#This Row],[FECHA]]&gt;0,TEXT(C_Ope_007[[#This Row],[FECHA]],"mmmm"),0)</f>
        <v>Mayo</v>
      </c>
    </row>
    <row r="164" spans="2:28" x14ac:dyDescent="0.3">
      <c r="B164" s="2">
        <f>IF(C_Ope_007[[#This Row],[TIPO DE R.]]="R",COUNTIFS($D$4:$D163,"R")+1,"")</f>
        <v>160</v>
      </c>
      <c r="C164" s="19" t="str">
        <f t="shared" si="14"/>
        <v>C_Ope_007</v>
      </c>
      <c r="D164" s="3" t="s">
        <v>1074</v>
      </c>
      <c r="E164" s="14">
        <v>45790</v>
      </c>
      <c r="F164" s="5" t="s">
        <v>4314</v>
      </c>
      <c r="G164" s="5" t="s">
        <v>1079</v>
      </c>
      <c r="H164" s="6"/>
      <c r="I164" s="6" t="s">
        <v>14</v>
      </c>
      <c r="J164" s="6" t="s">
        <v>1148</v>
      </c>
      <c r="K164" s="6">
        <v>12289</v>
      </c>
      <c r="L164" s="7" t="s">
        <v>7220</v>
      </c>
      <c r="M164" s="8">
        <v>24270</v>
      </c>
      <c r="N164" s="8" t="str">
        <f t="shared" si="15"/>
        <v>PEN</v>
      </c>
      <c r="O164" s="13"/>
      <c r="P164" s="13">
        <v>10</v>
      </c>
      <c r="Q164" s="3">
        <f t="shared" si="11"/>
        <v>0</v>
      </c>
      <c r="R164" s="3">
        <f t="shared" si="12"/>
        <v>10</v>
      </c>
      <c r="S164" s="3">
        <f t="shared" si="13"/>
        <v>246</v>
      </c>
      <c r="T164" s="24"/>
      <c r="U164" s="24"/>
      <c r="V164" s="3"/>
      <c r="W164" s="25" t="s">
        <v>6813</v>
      </c>
      <c r="X164" s="25"/>
      <c r="Y164" s="25" t="str">
        <f>IFERROR(VLOOKUP(C_Ope_007[[#This Row],[NOTA 2]],Clientes_Proveedores[[Ruc / Dni]:[Razon Social]],2,0),"")</f>
        <v/>
      </c>
      <c r="Z164" s="25"/>
      <c r="AA164" s="25"/>
      <c r="AB164" s="3" t="str">
        <f>IF(C_Ope_007[[#This Row],[FECHA]]&gt;0,TEXT(C_Ope_007[[#This Row],[FECHA]],"mmmm"),0)</f>
        <v>Mayo</v>
      </c>
    </row>
    <row r="165" spans="2:28" ht="24" x14ac:dyDescent="0.3">
      <c r="B165" s="2">
        <f>IF(C_Ope_007[[#This Row],[TIPO DE R.]]="R",COUNTIFS($D$4:$D164,"R")+1,"")</f>
        <v>161</v>
      </c>
      <c r="C165" s="19" t="str">
        <f t="shared" si="14"/>
        <v>C_Ope_007</v>
      </c>
      <c r="D165" s="3" t="s">
        <v>1074</v>
      </c>
      <c r="E165" s="14">
        <v>45791</v>
      </c>
      <c r="F165" s="5" t="s">
        <v>4314</v>
      </c>
      <c r="G165" s="5" t="s">
        <v>1079</v>
      </c>
      <c r="H165" s="6"/>
      <c r="I165" s="6" t="s">
        <v>14</v>
      </c>
      <c r="J165" s="6" t="s">
        <v>1119</v>
      </c>
      <c r="K165" s="6">
        <v>17528</v>
      </c>
      <c r="L165" s="7" t="s">
        <v>7301</v>
      </c>
      <c r="M165" s="8">
        <v>24271</v>
      </c>
      <c r="N165" s="8" t="str">
        <f t="shared" si="15"/>
        <v>PEN</v>
      </c>
      <c r="O165" s="13"/>
      <c r="P165" s="13">
        <v>22</v>
      </c>
      <c r="Q165" s="3">
        <f t="shared" si="11"/>
        <v>0</v>
      </c>
      <c r="R165" s="3">
        <f t="shared" si="12"/>
        <v>22</v>
      </c>
      <c r="S165" s="3">
        <f t="shared" si="13"/>
        <v>224</v>
      </c>
      <c r="T165" s="24"/>
      <c r="U165" s="24"/>
      <c r="V165" s="3"/>
      <c r="W165" s="25" t="s">
        <v>6541</v>
      </c>
      <c r="X165" s="25"/>
      <c r="Y165" s="25" t="str">
        <f>IFERROR(VLOOKUP(C_Ope_007[[#This Row],[NOTA 2]],Clientes_Proveedores[[Ruc / Dni]:[Razon Social]],2,0),"")</f>
        <v/>
      </c>
      <c r="Z165" s="25"/>
      <c r="AA165" s="25"/>
      <c r="AB165" s="3" t="str">
        <f>IF(C_Ope_007[[#This Row],[FECHA]]&gt;0,TEXT(C_Ope_007[[#This Row],[FECHA]],"mmmm"),0)</f>
        <v>Mayo</v>
      </c>
    </row>
    <row r="166" spans="2:28" x14ac:dyDescent="0.3">
      <c r="B166" s="2">
        <f>IF(C_Ope_007[[#This Row],[TIPO DE R.]]="R",COUNTIFS($D$4:$D165,"R")+1,"")</f>
        <v>162</v>
      </c>
      <c r="C166" s="19" t="str">
        <f t="shared" si="14"/>
        <v>C_Ope_007</v>
      </c>
      <c r="D166" s="3" t="s">
        <v>1074</v>
      </c>
      <c r="E166" s="14">
        <v>45793</v>
      </c>
      <c r="F166" s="5" t="s">
        <v>4314</v>
      </c>
      <c r="G166" s="5" t="s">
        <v>1079</v>
      </c>
      <c r="H166" s="6"/>
      <c r="I166" s="6" t="s">
        <v>14</v>
      </c>
      <c r="J166" s="6" t="s">
        <v>1119</v>
      </c>
      <c r="K166" s="6">
        <v>17750</v>
      </c>
      <c r="L166" s="7" t="s">
        <v>6565</v>
      </c>
      <c r="M166" s="8">
        <v>24273</v>
      </c>
      <c r="N166" s="8" t="str">
        <f t="shared" si="15"/>
        <v>PEN</v>
      </c>
      <c r="O166" s="13"/>
      <c r="P166" s="13">
        <v>25</v>
      </c>
      <c r="Q166" s="3">
        <f t="shared" si="11"/>
        <v>0</v>
      </c>
      <c r="R166" s="3">
        <f t="shared" si="12"/>
        <v>25</v>
      </c>
      <c r="S166" s="3">
        <f t="shared" si="13"/>
        <v>199</v>
      </c>
      <c r="T166" s="24"/>
      <c r="U166" s="24"/>
      <c r="V166" s="3"/>
      <c r="W166" s="25" t="s">
        <v>6541</v>
      </c>
      <c r="X166" s="25"/>
      <c r="Y166" s="25" t="str">
        <f>IFERROR(VLOOKUP(C_Ope_007[[#This Row],[NOTA 2]],Clientes_Proveedores[[Ruc / Dni]:[Razon Social]],2,0),"")</f>
        <v/>
      </c>
      <c r="Z166" s="25"/>
      <c r="AA166" s="25"/>
      <c r="AB166" s="3" t="str">
        <f>IF(C_Ope_007[[#This Row],[FECHA]]&gt;0,TEXT(C_Ope_007[[#This Row],[FECHA]],"mmmm"),0)</f>
        <v>Mayo</v>
      </c>
    </row>
    <row r="167" spans="2:28" ht="24" x14ac:dyDescent="0.3">
      <c r="B167" s="2">
        <f>IF(C_Ope_007[[#This Row],[TIPO DE R.]]="R",COUNTIFS($D$4:$D166,"R")+1,"")</f>
        <v>163</v>
      </c>
      <c r="C167" s="19" t="str">
        <f t="shared" si="14"/>
        <v>C_Ope_007</v>
      </c>
      <c r="D167" s="3" t="s">
        <v>1074</v>
      </c>
      <c r="E167" s="14">
        <v>45796</v>
      </c>
      <c r="F167" s="5" t="s">
        <v>4314</v>
      </c>
      <c r="G167" s="5" t="s">
        <v>1079</v>
      </c>
      <c r="H167" s="6"/>
      <c r="I167" s="6" t="s">
        <v>14</v>
      </c>
      <c r="J167" s="6" t="s">
        <v>5243</v>
      </c>
      <c r="K167" s="6">
        <v>2336944</v>
      </c>
      <c r="L167" s="7" t="s">
        <v>7581</v>
      </c>
      <c r="M167" s="8">
        <v>24262</v>
      </c>
      <c r="N167" s="8" t="str">
        <f t="shared" si="15"/>
        <v>PEN</v>
      </c>
      <c r="O167" s="13"/>
      <c r="P167" s="13">
        <v>5</v>
      </c>
      <c r="Q167" s="3">
        <f t="shared" si="11"/>
        <v>0</v>
      </c>
      <c r="R167" s="3">
        <f t="shared" si="12"/>
        <v>5</v>
      </c>
      <c r="S167" s="3">
        <f t="shared" si="13"/>
        <v>194</v>
      </c>
      <c r="T167" s="24"/>
      <c r="U167" s="24"/>
      <c r="V167" s="3"/>
      <c r="W167" s="25" t="s">
        <v>6539</v>
      </c>
      <c r="X167" s="25"/>
      <c r="Y167" s="25" t="str">
        <f>IFERROR(VLOOKUP(C_Ope_007[[#This Row],[NOTA 2]],Clientes_Proveedores[[Ruc / Dni]:[Razon Social]],2,0),"")</f>
        <v/>
      </c>
      <c r="Z167" s="25"/>
      <c r="AA167" s="25"/>
      <c r="AB167" s="3" t="str">
        <f>IF(C_Ope_007[[#This Row],[FECHA]]&gt;0,TEXT(C_Ope_007[[#This Row],[FECHA]],"mmmm"),0)</f>
        <v>Mayo</v>
      </c>
    </row>
    <row r="168" spans="2:28" ht="24" x14ac:dyDescent="0.3">
      <c r="B168" s="2">
        <f>IF(C_Ope_007[[#This Row],[TIPO DE R.]]="R",COUNTIFS($D$4:$D167,"R")+1,"")</f>
        <v>164</v>
      </c>
      <c r="C168" s="19" t="str">
        <f t="shared" si="14"/>
        <v>C_Ope_007</v>
      </c>
      <c r="D168" s="3" t="s">
        <v>1074</v>
      </c>
      <c r="E168" s="14">
        <v>45796</v>
      </c>
      <c r="F168" s="5" t="s">
        <v>4314</v>
      </c>
      <c r="G168" s="5" t="s">
        <v>1079</v>
      </c>
      <c r="H168" s="6"/>
      <c r="I168" s="6" t="s">
        <v>14</v>
      </c>
      <c r="J168" s="6" t="s">
        <v>5245</v>
      </c>
      <c r="K168" s="6">
        <v>1754708</v>
      </c>
      <c r="L168" s="7" t="s">
        <v>7581</v>
      </c>
      <c r="M168" s="8">
        <v>24263</v>
      </c>
      <c r="N168" s="8" t="str">
        <f t="shared" si="15"/>
        <v>PEN</v>
      </c>
      <c r="O168" s="13"/>
      <c r="P168" s="13">
        <v>5</v>
      </c>
      <c r="Q168" s="3">
        <f t="shared" si="11"/>
        <v>0</v>
      </c>
      <c r="R168" s="3">
        <f t="shared" si="12"/>
        <v>5</v>
      </c>
      <c r="S168" s="3">
        <f t="shared" si="13"/>
        <v>189</v>
      </c>
      <c r="T168" s="24"/>
      <c r="U168" s="24"/>
      <c r="V168" s="3"/>
      <c r="W168" s="25" t="s">
        <v>6539</v>
      </c>
      <c r="X168" s="25"/>
      <c r="Y168" s="25" t="str">
        <f>IFERROR(VLOOKUP(C_Ope_007[[#This Row],[NOTA 2]],Clientes_Proveedores[[Ruc / Dni]:[Razon Social]],2,0),"")</f>
        <v/>
      </c>
      <c r="Z168" s="25"/>
      <c r="AA168" s="25"/>
      <c r="AB168" s="3" t="str">
        <f>IF(C_Ope_007[[#This Row],[FECHA]]&gt;0,TEXT(C_Ope_007[[#This Row],[FECHA]],"mmmm"),0)</f>
        <v>Mayo</v>
      </c>
    </row>
    <row r="169" spans="2:28" ht="24" x14ac:dyDescent="0.3">
      <c r="B169" s="2">
        <f>IF(C_Ope_007[[#This Row],[TIPO DE R.]]="R",COUNTIFS($D$4:$D168,"R")+1,"")</f>
        <v>165</v>
      </c>
      <c r="C169" s="19" t="str">
        <f t="shared" si="14"/>
        <v>C_Ope_007</v>
      </c>
      <c r="D169" s="3" t="s">
        <v>1074</v>
      </c>
      <c r="E169" s="14">
        <v>45796</v>
      </c>
      <c r="F169" s="5" t="s">
        <v>4314</v>
      </c>
      <c r="G169" s="5" t="s">
        <v>1079</v>
      </c>
      <c r="H169" s="6"/>
      <c r="I169" s="6" t="s">
        <v>14</v>
      </c>
      <c r="J169" s="6" t="s">
        <v>5242</v>
      </c>
      <c r="K169" s="6">
        <v>2055223</v>
      </c>
      <c r="L169" s="7" t="s">
        <v>7582</v>
      </c>
      <c r="M169" s="8">
        <v>24264</v>
      </c>
      <c r="N169" s="8" t="str">
        <f t="shared" si="15"/>
        <v>PEN</v>
      </c>
      <c r="O169" s="13"/>
      <c r="P169" s="13">
        <v>8</v>
      </c>
      <c r="Q169" s="3">
        <f t="shared" si="11"/>
        <v>0</v>
      </c>
      <c r="R169" s="3">
        <f t="shared" si="12"/>
        <v>8</v>
      </c>
      <c r="S169" s="3">
        <f t="shared" si="13"/>
        <v>181</v>
      </c>
      <c r="T169" s="24"/>
      <c r="U169" s="24"/>
      <c r="V169" s="3"/>
      <c r="W169" s="25" t="s">
        <v>6630</v>
      </c>
      <c r="X169" s="25"/>
      <c r="Y169" s="25" t="str">
        <f>IFERROR(VLOOKUP(C_Ope_007[[#This Row],[NOTA 2]],Clientes_Proveedores[[Ruc / Dni]:[Razon Social]],2,0),"")</f>
        <v/>
      </c>
      <c r="Z169" s="25"/>
      <c r="AA169" s="25"/>
      <c r="AB169" s="3" t="str">
        <f>IF(C_Ope_007[[#This Row],[FECHA]]&gt;0,TEXT(C_Ope_007[[#This Row],[FECHA]],"mmmm"),0)</f>
        <v>Mayo</v>
      </c>
    </row>
    <row r="170" spans="2:28" ht="24" x14ac:dyDescent="0.3">
      <c r="B170" s="2">
        <f>IF(C_Ope_007[[#This Row],[TIPO DE R.]]="R",COUNTIFS($D$4:$D169,"R")+1,"")</f>
        <v>166</v>
      </c>
      <c r="C170" s="19" t="str">
        <f t="shared" si="14"/>
        <v>C_Ope_007</v>
      </c>
      <c r="D170" s="3" t="s">
        <v>1074</v>
      </c>
      <c r="E170" s="14">
        <v>45796</v>
      </c>
      <c r="F170" s="5" t="s">
        <v>4314</v>
      </c>
      <c r="G170" s="5" t="s">
        <v>1079</v>
      </c>
      <c r="H170" s="6"/>
      <c r="I170" s="6" t="s">
        <v>14</v>
      </c>
      <c r="J170" s="6" t="s">
        <v>5242</v>
      </c>
      <c r="K170" s="6">
        <v>2055100</v>
      </c>
      <c r="L170" s="7" t="s">
        <v>7583</v>
      </c>
      <c r="M170" s="8">
        <v>24374</v>
      </c>
      <c r="N170" s="8" t="str">
        <f t="shared" si="15"/>
        <v>PEN</v>
      </c>
      <c r="O170" s="13"/>
      <c r="P170" s="13">
        <v>8</v>
      </c>
      <c r="Q170" s="3">
        <f t="shared" si="11"/>
        <v>0</v>
      </c>
      <c r="R170" s="3">
        <f t="shared" si="12"/>
        <v>8</v>
      </c>
      <c r="S170" s="3">
        <f t="shared" si="13"/>
        <v>173</v>
      </c>
      <c r="T170" s="24"/>
      <c r="U170" s="24"/>
      <c r="V170" s="3"/>
      <c r="W170" s="25" t="s">
        <v>6541</v>
      </c>
      <c r="X170" s="25"/>
      <c r="Y170" s="25" t="str">
        <f>IFERROR(VLOOKUP(C_Ope_007[[#This Row],[NOTA 2]],Clientes_Proveedores[[Ruc / Dni]:[Razon Social]],2,0),"")</f>
        <v/>
      </c>
      <c r="Z170" s="25"/>
      <c r="AA170" s="25"/>
      <c r="AB170" s="3" t="str">
        <f>IF(C_Ope_007[[#This Row],[FECHA]]&gt;0,TEXT(C_Ope_007[[#This Row],[FECHA]],"mmmm"),0)</f>
        <v>Mayo</v>
      </c>
    </row>
    <row r="171" spans="2:28" ht="24" x14ac:dyDescent="0.3">
      <c r="B171" s="2">
        <f>IF(C_Ope_007[[#This Row],[TIPO DE R.]]="R",COUNTIFS($D$4:$D170,"R")+1,"")</f>
        <v>167</v>
      </c>
      <c r="C171" s="19" t="str">
        <f t="shared" si="14"/>
        <v>C_Ope_007</v>
      </c>
      <c r="D171" s="3" t="s">
        <v>1074</v>
      </c>
      <c r="E171" s="14">
        <v>45797</v>
      </c>
      <c r="F171" s="5" t="s">
        <v>4314</v>
      </c>
      <c r="G171" s="5" t="s">
        <v>1079</v>
      </c>
      <c r="H171" s="6"/>
      <c r="I171" s="6" t="s">
        <v>14</v>
      </c>
      <c r="J171" s="6" t="s">
        <v>5243</v>
      </c>
      <c r="K171" s="6">
        <v>2337809</v>
      </c>
      <c r="L171" s="7" t="s">
        <v>7584</v>
      </c>
      <c r="M171" s="8">
        <v>24265</v>
      </c>
      <c r="N171" s="8" t="str">
        <f t="shared" si="15"/>
        <v>PEN</v>
      </c>
      <c r="O171" s="13"/>
      <c r="P171" s="13">
        <v>8</v>
      </c>
      <c r="Q171" s="3">
        <f t="shared" si="11"/>
        <v>0</v>
      </c>
      <c r="R171" s="3">
        <f t="shared" si="12"/>
        <v>8</v>
      </c>
      <c r="S171" s="3">
        <f t="shared" si="13"/>
        <v>165</v>
      </c>
      <c r="T171" s="24"/>
      <c r="U171" s="24"/>
      <c r="V171" s="3"/>
      <c r="W171" s="25" t="s">
        <v>6813</v>
      </c>
      <c r="X171" s="25"/>
      <c r="Y171" s="25" t="str">
        <f>IFERROR(VLOOKUP(C_Ope_007[[#This Row],[NOTA 2]],Clientes_Proveedores[[Ruc / Dni]:[Razon Social]],2,0),"")</f>
        <v/>
      </c>
      <c r="Z171" s="25"/>
      <c r="AA171" s="25"/>
      <c r="AB171" s="3" t="str">
        <f>IF(C_Ope_007[[#This Row],[FECHA]]&gt;0,TEXT(C_Ope_007[[#This Row],[FECHA]],"mmmm"),0)</f>
        <v>Mayo</v>
      </c>
    </row>
    <row r="172" spans="2:28" ht="24" x14ac:dyDescent="0.3">
      <c r="B172" s="2">
        <f>IF(C_Ope_007[[#This Row],[TIPO DE R.]]="R",COUNTIFS($D$4:$D171,"R")+1,"")</f>
        <v>168</v>
      </c>
      <c r="C172" s="19" t="str">
        <f t="shared" si="14"/>
        <v>C_Ope_007</v>
      </c>
      <c r="D172" s="3" t="s">
        <v>1074</v>
      </c>
      <c r="E172" s="14">
        <v>45797</v>
      </c>
      <c r="F172" s="5" t="s">
        <v>4314</v>
      </c>
      <c r="G172" s="5" t="s">
        <v>1079</v>
      </c>
      <c r="H172" s="6"/>
      <c r="I172" s="6" t="s">
        <v>14</v>
      </c>
      <c r="J172" s="6" t="s">
        <v>5242</v>
      </c>
      <c r="K172" s="6">
        <v>2055996</v>
      </c>
      <c r="L172" s="7" t="s">
        <v>7584</v>
      </c>
      <c r="M172" s="8">
        <v>24266</v>
      </c>
      <c r="N172" s="8" t="str">
        <f t="shared" si="15"/>
        <v>PEN</v>
      </c>
      <c r="O172" s="13"/>
      <c r="P172" s="13">
        <v>8</v>
      </c>
      <c r="Q172" s="3">
        <f t="shared" si="11"/>
        <v>0</v>
      </c>
      <c r="R172" s="3">
        <f t="shared" si="12"/>
        <v>8</v>
      </c>
      <c r="S172" s="3">
        <f t="shared" si="13"/>
        <v>157</v>
      </c>
      <c r="T172" s="24"/>
      <c r="U172" s="24"/>
      <c r="V172" s="3"/>
      <c r="W172" s="25" t="s">
        <v>6813</v>
      </c>
      <c r="X172" s="25"/>
      <c r="Y172" s="25" t="str">
        <f>IFERROR(VLOOKUP(C_Ope_007[[#This Row],[NOTA 2]],Clientes_Proveedores[[Ruc / Dni]:[Razon Social]],2,0),"")</f>
        <v/>
      </c>
      <c r="Z172" s="25"/>
      <c r="AA172" s="25"/>
      <c r="AB172" s="3" t="str">
        <f>IF(C_Ope_007[[#This Row],[FECHA]]&gt;0,TEXT(C_Ope_007[[#This Row],[FECHA]],"mmmm"),0)</f>
        <v>Mayo</v>
      </c>
    </row>
    <row r="173" spans="2:28" ht="24" x14ac:dyDescent="0.3">
      <c r="B173" s="2">
        <f>IF(C_Ope_007[[#This Row],[TIPO DE R.]]="R",COUNTIFS($D$4:$D172,"R")+1,"")</f>
        <v>169</v>
      </c>
      <c r="C173" s="19" t="str">
        <f t="shared" si="14"/>
        <v>C_Ope_007</v>
      </c>
      <c r="D173" s="3" t="s">
        <v>1074</v>
      </c>
      <c r="E173" s="14">
        <v>45798</v>
      </c>
      <c r="F173" s="5" t="s">
        <v>4314</v>
      </c>
      <c r="G173" s="5" t="s">
        <v>1079</v>
      </c>
      <c r="H173" s="6"/>
      <c r="I173" s="6" t="s">
        <v>14</v>
      </c>
      <c r="J173" s="6" t="s">
        <v>5243</v>
      </c>
      <c r="K173" s="6">
        <v>2338912</v>
      </c>
      <c r="L173" s="7" t="s">
        <v>7585</v>
      </c>
      <c r="M173" s="8">
        <v>24267</v>
      </c>
      <c r="N173" s="8" t="str">
        <f t="shared" si="15"/>
        <v>PEN</v>
      </c>
      <c r="O173" s="13"/>
      <c r="P173" s="13">
        <v>8</v>
      </c>
      <c r="Q173" s="3">
        <f t="shared" si="11"/>
        <v>0</v>
      </c>
      <c r="R173" s="3">
        <f t="shared" si="12"/>
        <v>8</v>
      </c>
      <c r="S173" s="3">
        <f t="shared" si="13"/>
        <v>149</v>
      </c>
      <c r="T173" s="24"/>
      <c r="U173" s="24"/>
      <c r="V173" s="3"/>
      <c r="W173" s="25" t="s">
        <v>6630</v>
      </c>
      <c r="X173" s="25"/>
      <c r="Y173" s="25" t="str">
        <f>IFERROR(VLOOKUP(C_Ope_007[[#This Row],[NOTA 2]],Clientes_Proveedores[[Ruc / Dni]:[Razon Social]],2,0),"")</f>
        <v/>
      </c>
      <c r="Z173" s="25"/>
      <c r="AA173" s="25"/>
      <c r="AB173" s="3" t="str">
        <f>IF(C_Ope_007[[#This Row],[FECHA]]&gt;0,TEXT(C_Ope_007[[#This Row],[FECHA]],"mmmm"),0)</f>
        <v>Mayo</v>
      </c>
    </row>
    <row r="174" spans="2:28" ht="24" x14ac:dyDescent="0.3">
      <c r="B174" s="2">
        <f>IF(C_Ope_007[[#This Row],[TIPO DE R.]]="R",COUNTIFS($D$4:$D173,"R")+1,"")</f>
        <v>170</v>
      </c>
      <c r="C174" s="19" t="str">
        <f t="shared" si="14"/>
        <v>C_Ope_007</v>
      </c>
      <c r="D174" s="3" t="s">
        <v>1074</v>
      </c>
      <c r="E174" s="14">
        <v>45798</v>
      </c>
      <c r="F174" s="5" t="s">
        <v>4314</v>
      </c>
      <c r="G174" s="5" t="s">
        <v>1079</v>
      </c>
      <c r="H174" s="6"/>
      <c r="I174" s="6" t="s">
        <v>14</v>
      </c>
      <c r="J174" s="6" t="s">
        <v>5242</v>
      </c>
      <c r="K174" s="6">
        <v>2057203</v>
      </c>
      <c r="L174" s="7" t="s">
        <v>7585</v>
      </c>
      <c r="M174" s="8">
        <v>24268</v>
      </c>
      <c r="N174" s="8" t="str">
        <f t="shared" si="15"/>
        <v>PEN</v>
      </c>
      <c r="O174" s="13"/>
      <c r="P174" s="13">
        <v>8</v>
      </c>
      <c r="Q174" s="3">
        <f t="shared" si="11"/>
        <v>0</v>
      </c>
      <c r="R174" s="3">
        <f t="shared" si="12"/>
        <v>8</v>
      </c>
      <c r="S174" s="3">
        <f t="shared" si="13"/>
        <v>141</v>
      </c>
      <c r="T174" s="24"/>
      <c r="U174" s="24"/>
      <c r="V174" s="3"/>
      <c r="W174" s="25" t="s">
        <v>6630</v>
      </c>
      <c r="X174" s="25"/>
      <c r="Y174" s="25" t="str">
        <f>IFERROR(VLOOKUP(C_Ope_007[[#This Row],[NOTA 2]],Clientes_Proveedores[[Ruc / Dni]:[Razon Social]],2,0),"")</f>
        <v/>
      </c>
      <c r="Z174" s="25"/>
      <c r="AA174" s="25"/>
      <c r="AB174" s="3" t="str">
        <f>IF(C_Ope_007[[#This Row],[FECHA]]&gt;0,TEXT(C_Ope_007[[#This Row],[FECHA]],"mmmm"),0)</f>
        <v>Mayo</v>
      </c>
    </row>
    <row r="175" spans="2:28" ht="48" x14ac:dyDescent="0.3">
      <c r="B175" s="2">
        <f>IF(C_Ope_007[[#This Row],[TIPO DE R.]]="R",COUNTIFS($D$4:$D174,"R")+1,"")</f>
        <v>171</v>
      </c>
      <c r="C175" s="19" t="str">
        <f t="shared" si="14"/>
        <v>C_Ope_007</v>
      </c>
      <c r="D175" s="3" t="s">
        <v>1074</v>
      </c>
      <c r="E175" s="14">
        <v>45799</v>
      </c>
      <c r="F175" s="5" t="s">
        <v>4314</v>
      </c>
      <c r="G175" s="5" t="s">
        <v>1079</v>
      </c>
      <c r="H175" s="6"/>
      <c r="I175" s="6" t="s">
        <v>14</v>
      </c>
      <c r="J175" s="6" t="s">
        <v>5243</v>
      </c>
      <c r="K175" s="6">
        <v>2340202</v>
      </c>
      <c r="L175" s="7" t="s">
        <v>7586</v>
      </c>
      <c r="M175" s="8">
        <v>24381</v>
      </c>
      <c r="N175" s="8" t="str">
        <f t="shared" si="15"/>
        <v>PEN</v>
      </c>
      <c r="O175" s="13"/>
      <c r="P175" s="13">
        <v>5</v>
      </c>
      <c r="Q175" s="3">
        <f t="shared" si="11"/>
        <v>0</v>
      </c>
      <c r="R175" s="3">
        <f t="shared" si="12"/>
        <v>5</v>
      </c>
      <c r="S175" s="3">
        <f t="shared" si="13"/>
        <v>136</v>
      </c>
      <c r="T175" s="24"/>
      <c r="U175" s="24"/>
      <c r="V175" s="3"/>
      <c r="W175" s="25" t="s">
        <v>6539</v>
      </c>
      <c r="X175" s="25"/>
      <c r="Y175" s="25" t="str">
        <f>IFERROR(VLOOKUP(C_Ope_007[[#This Row],[NOTA 2]],Clientes_Proveedores[[Ruc / Dni]:[Razon Social]],2,0),"")</f>
        <v/>
      </c>
      <c r="Z175" s="25"/>
      <c r="AA175" s="25"/>
      <c r="AB175" s="3" t="str">
        <f>IF(C_Ope_007[[#This Row],[FECHA]]&gt;0,TEXT(C_Ope_007[[#This Row],[FECHA]],"mmmm"),0)</f>
        <v>Mayo</v>
      </c>
    </row>
    <row r="176" spans="2:28" ht="48" x14ac:dyDescent="0.3">
      <c r="B176" s="2">
        <f>IF(C_Ope_007[[#This Row],[TIPO DE R.]]="R",COUNTIFS($D$4:$D175,"R")+1,"")</f>
        <v>172</v>
      </c>
      <c r="C176" s="19" t="str">
        <f t="shared" si="14"/>
        <v>C_Ope_007</v>
      </c>
      <c r="D176" s="3" t="s">
        <v>1074</v>
      </c>
      <c r="E176" s="14">
        <v>45799</v>
      </c>
      <c r="F176" s="5" t="s">
        <v>4314</v>
      </c>
      <c r="G176" s="5" t="s">
        <v>1079</v>
      </c>
      <c r="H176" s="6"/>
      <c r="I176" s="6" t="s">
        <v>14</v>
      </c>
      <c r="J176" s="6" t="s">
        <v>5242</v>
      </c>
      <c r="K176" s="6">
        <v>2057998</v>
      </c>
      <c r="L176" s="7" t="s">
        <v>7586</v>
      </c>
      <c r="M176" s="8">
        <v>24382</v>
      </c>
      <c r="N176" s="8" t="str">
        <f t="shared" si="15"/>
        <v>PEN</v>
      </c>
      <c r="O176" s="13"/>
      <c r="P176" s="13">
        <v>5</v>
      </c>
      <c r="Q176" s="3">
        <f t="shared" si="11"/>
        <v>0</v>
      </c>
      <c r="R176" s="3">
        <f t="shared" si="12"/>
        <v>5</v>
      </c>
      <c r="S176" s="3">
        <f t="shared" si="13"/>
        <v>131</v>
      </c>
      <c r="T176" s="24"/>
      <c r="U176" s="24"/>
      <c r="V176" s="3"/>
      <c r="W176" s="25" t="s">
        <v>6539</v>
      </c>
      <c r="X176" s="25"/>
      <c r="Y176" s="25" t="str">
        <f>IFERROR(VLOOKUP(C_Ope_007[[#This Row],[NOTA 2]],Clientes_Proveedores[[Ruc / Dni]:[Razon Social]],2,0),"")</f>
        <v/>
      </c>
      <c r="Z176" s="25"/>
      <c r="AA176" s="25"/>
      <c r="AB176" s="3" t="str">
        <f>IF(C_Ope_007[[#This Row],[FECHA]]&gt;0,TEXT(C_Ope_007[[#This Row],[FECHA]],"mmmm"),0)</f>
        <v>Mayo</v>
      </c>
    </row>
    <row r="177" spans="2:28" ht="24" x14ac:dyDescent="0.3">
      <c r="B177" s="2">
        <f>IF(C_Ope_007[[#This Row],[TIPO DE R.]]="R",COUNTIFS($D$4:$D176,"R")+1,"")</f>
        <v>173</v>
      </c>
      <c r="C177" s="19" t="str">
        <f t="shared" si="14"/>
        <v>C_Ope_007</v>
      </c>
      <c r="D177" s="3" t="s">
        <v>1074</v>
      </c>
      <c r="E177" s="14">
        <v>45800</v>
      </c>
      <c r="F177" s="5" t="s">
        <v>4314</v>
      </c>
      <c r="G177" s="5" t="s">
        <v>1079</v>
      </c>
      <c r="H177" s="6"/>
      <c r="I177" s="6" t="s">
        <v>14</v>
      </c>
      <c r="J177" s="6" t="s">
        <v>5243</v>
      </c>
      <c r="K177" s="6">
        <v>2341134</v>
      </c>
      <c r="L177" s="7" t="s">
        <v>7587</v>
      </c>
      <c r="M177" s="8">
        <v>24383</v>
      </c>
      <c r="N177" s="8" t="str">
        <f t="shared" si="15"/>
        <v>PEN</v>
      </c>
      <c r="O177" s="13"/>
      <c r="P177" s="13">
        <v>8</v>
      </c>
      <c r="Q177" s="3">
        <f t="shared" si="11"/>
        <v>0</v>
      </c>
      <c r="R177" s="3">
        <f t="shared" si="12"/>
        <v>8</v>
      </c>
      <c r="S177" s="3">
        <f t="shared" si="13"/>
        <v>123</v>
      </c>
      <c r="T177" s="24"/>
      <c r="U177" s="24"/>
      <c r="V177" s="3"/>
      <c r="W177" s="25" t="s">
        <v>6630</v>
      </c>
      <c r="X177" s="25"/>
      <c r="Y177" s="25" t="str">
        <f>IFERROR(VLOOKUP(C_Ope_007[[#This Row],[NOTA 2]],Clientes_Proveedores[[Ruc / Dni]:[Razon Social]],2,0),"")</f>
        <v/>
      </c>
      <c r="Z177" s="25"/>
      <c r="AA177" s="25"/>
      <c r="AB177" s="3" t="str">
        <f>IF(C_Ope_007[[#This Row],[FECHA]]&gt;0,TEXT(C_Ope_007[[#This Row],[FECHA]],"mmmm"),0)</f>
        <v>Mayo</v>
      </c>
    </row>
    <row r="178" spans="2:28" ht="24" x14ac:dyDescent="0.3">
      <c r="B178" s="2">
        <f>IF(C_Ope_007[[#This Row],[TIPO DE R.]]="R",COUNTIFS($D$4:$D177,"R")+1,"")</f>
        <v>174</v>
      </c>
      <c r="C178" s="19" t="str">
        <f t="shared" si="14"/>
        <v>C_Ope_007</v>
      </c>
      <c r="D178" s="3" t="s">
        <v>1074</v>
      </c>
      <c r="E178" s="14">
        <v>45800</v>
      </c>
      <c r="F178" s="5" t="s">
        <v>4314</v>
      </c>
      <c r="G178" s="5" t="s">
        <v>1079</v>
      </c>
      <c r="H178" s="6"/>
      <c r="I178" s="6" t="s">
        <v>14</v>
      </c>
      <c r="J178" s="6" t="s">
        <v>5242</v>
      </c>
      <c r="K178" s="6">
        <v>2059163</v>
      </c>
      <c r="L178" s="7" t="s">
        <v>7587</v>
      </c>
      <c r="M178" s="8">
        <v>24384</v>
      </c>
      <c r="N178" s="8" t="str">
        <f t="shared" si="15"/>
        <v>PEN</v>
      </c>
      <c r="O178" s="13"/>
      <c r="P178" s="13">
        <v>8</v>
      </c>
      <c r="Q178" s="3">
        <f t="shared" si="11"/>
        <v>0</v>
      </c>
      <c r="R178" s="3">
        <f t="shared" si="12"/>
        <v>8</v>
      </c>
      <c r="S178" s="3">
        <f t="shared" si="13"/>
        <v>115</v>
      </c>
      <c r="T178" s="24"/>
      <c r="U178" s="24"/>
      <c r="V178" s="3"/>
      <c r="W178" s="25" t="s">
        <v>6630</v>
      </c>
      <c r="X178" s="25"/>
      <c r="Y178" s="25" t="str">
        <f>IFERROR(VLOOKUP(C_Ope_007[[#This Row],[NOTA 2]],Clientes_Proveedores[[Ruc / Dni]:[Razon Social]],2,0),"")</f>
        <v/>
      </c>
      <c r="Z178" s="25"/>
      <c r="AA178" s="25"/>
      <c r="AB178" s="3" t="str">
        <f>IF(C_Ope_007[[#This Row],[FECHA]]&gt;0,TEXT(C_Ope_007[[#This Row],[FECHA]],"mmmm"),0)</f>
        <v>Mayo</v>
      </c>
    </row>
    <row r="179" spans="2:28" ht="24" x14ac:dyDescent="0.3">
      <c r="B179" s="2">
        <f>IF(C_Ope_007[[#This Row],[TIPO DE R.]]="R",COUNTIFS($D$4:$D178,"R")+1,"")</f>
        <v>175</v>
      </c>
      <c r="C179" s="19" t="str">
        <f t="shared" si="14"/>
        <v>C_Ope_007</v>
      </c>
      <c r="D179" s="3" t="s">
        <v>1074</v>
      </c>
      <c r="E179" s="14">
        <v>45796</v>
      </c>
      <c r="F179" s="5" t="s">
        <v>4314</v>
      </c>
      <c r="G179" s="5" t="s">
        <v>1079</v>
      </c>
      <c r="H179" s="6"/>
      <c r="I179" s="6" t="s">
        <v>14</v>
      </c>
      <c r="J179" s="6" t="s">
        <v>1097</v>
      </c>
      <c r="K179" s="6">
        <v>16419</v>
      </c>
      <c r="L179" s="7" t="s">
        <v>7588</v>
      </c>
      <c r="M179" s="8">
        <v>24272</v>
      </c>
      <c r="N179" s="8" t="str">
        <f t="shared" si="15"/>
        <v>PEN</v>
      </c>
      <c r="O179" s="13"/>
      <c r="P179" s="13">
        <v>20</v>
      </c>
      <c r="Q179" s="3">
        <f t="shared" si="11"/>
        <v>0</v>
      </c>
      <c r="R179" s="3">
        <f t="shared" si="12"/>
        <v>20</v>
      </c>
      <c r="S179" s="3">
        <f t="shared" si="13"/>
        <v>95</v>
      </c>
      <c r="T179" s="24"/>
      <c r="U179" s="24"/>
      <c r="V179" s="3"/>
      <c r="W179" s="25" t="s">
        <v>6630</v>
      </c>
      <c r="X179" s="25"/>
      <c r="Y179" s="25" t="str">
        <f>IFERROR(VLOOKUP(C_Ope_007[[#This Row],[NOTA 2]],Clientes_Proveedores[[Ruc / Dni]:[Razon Social]],2,0),"")</f>
        <v/>
      </c>
      <c r="Z179" s="25"/>
      <c r="AA179" s="25"/>
      <c r="AB179" s="3" t="str">
        <f>IF(C_Ope_007[[#This Row],[FECHA]]&gt;0,TEXT(C_Ope_007[[#This Row],[FECHA]],"mmmm"),0)</f>
        <v>Mayo</v>
      </c>
    </row>
    <row r="180" spans="2:28" x14ac:dyDescent="0.3">
      <c r="B180" s="2">
        <f>IF(C_Ope_007[[#This Row],[TIPO DE R.]]="R",COUNTIFS($D$4:$D179,"R")+1,"")</f>
        <v>176</v>
      </c>
      <c r="C180" s="19" t="str">
        <f t="shared" si="14"/>
        <v>C_Ope_007</v>
      </c>
      <c r="D180" s="3" t="s">
        <v>1074</v>
      </c>
      <c r="E180" s="14">
        <v>45797</v>
      </c>
      <c r="F180" s="5" t="s">
        <v>4314</v>
      </c>
      <c r="G180" s="5" t="s">
        <v>1079</v>
      </c>
      <c r="H180" s="6"/>
      <c r="I180" s="6" t="s">
        <v>14</v>
      </c>
      <c r="J180" s="6" t="s">
        <v>1088</v>
      </c>
      <c r="K180" s="6">
        <v>34709</v>
      </c>
      <c r="L180" s="7" t="s">
        <v>7561</v>
      </c>
      <c r="M180" s="8">
        <v>24376</v>
      </c>
      <c r="N180" s="8" t="str">
        <f t="shared" si="15"/>
        <v>PEN</v>
      </c>
      <c r="O180" s="13"/>
      <c r="P180" s="13">
        <v>10</v>
      </c>
      <c r="Q180" s="3">
        <f t="shared" si="11"/>
        <v>0</v>
      </c>
      <c r="R180" s="3">
        <f t="shared" si="12"/>
        <v>10</v>
      </c>
      <c r="S180" s="3">
        <f t="shared" si="13"/>
        <v>85</v>
      </c>
      <c r="T180" s="24"/>
      <c r="U180" s="24"/>
      <c r="V180" s="3"/>
      <c r="W180" s="25" t="s">
        <v>6541</v>
      </c>
      <c r="X180" s="25"/>
      <c r="Y180" s="25" t="str">
        <f>IFERROR(VLOOKUP(C_Ope_007[[#This Row],[NOTA 2]],Clientes_Proveedores[[Ruc / Dni]:[Razon Social]],2,0),"")</f>
        <v/>
      </c>
      <c r="Z180" s="25"/>
      <c r="AA180" s="25"/>
      <c r="AB180" s="3" t="str">
        <f>IF(C_Ope_007[[#This Row],[FECHA]]&gt;0,TEXT(C_Ope_007[[#This Row],[FECHA]],"mmmm"),0)</f>
        <v>Mayo</v>
      </c>
    </row>
    <row r="181" spans="2:28" x14ac:dyDescent="0.3">
      <c r="B181" s="2">
        <f>IF(C_Ope_007[[#This Row],[TIPO DE R.]]="R",COUNTIFS($D$4:$D180,"R")+1,"")</f>
        <v>177</v>
      </c>
      <c r="C181" s="19" t="str">
        <f t="shared" si="14"/>
        <v>C_Ope_007</v>
      </c>
      <c r="D181" s="3" t="s">
        <v>1074</v>
      </c>
      <c r="E181" s="14">
        <v>45807</v>
      </c>
      <c r="F181" s="5" t="s">
        <v>6299</v>
      </c>
      <c r="G181" s="5" t="s">
        <v>1087</v>
      </c>
      <c r="H181" s="6"/>
      <c r="I181" s="6"/>
      <c r="J181" s="6"/>
      <c r="K181" s="6"/>
      <c r="L181" s="7" t="s">
        <v>6302</v>
      </c>
      <c r="M181" s="8">
        <v>24400</v>
      </c>
      <c r="N181" s="8" t="str">
        <f t="shared" si="15"/>
        <v>PEN</v>
      </c>
      <c r="O181" s="13"/>
      <c r="P181" s="13">
        <v>350</v>
      </c>
      <c r="Q181" s="3">
        <f t="shared" si="11"/>
        <v>350</v>
      </c>
      <c r="R181" s="3">
        <f t="shared" si="12"/>
        <v>0</v>
      </c>
      <c r="S181" s="3">
        <f t="shared" si="13"/>
        <v>435</v>
      </c>
      <c r="T181" s="24"/>
      <c r="U181" s="24"/>
      <c r="V181" s="3"/>
      <c r="W181" s="25"/>
      <c r="X181" s="25"/>
      <c r="Y181" s="25" t="str">
        <f>IFERROR(VLOOKUP(C_Ope_007[[#This Row],[NOTA 2]],Clientes_Proveedores[[Ruc / Dni]:[Razon Social]],2,0),"")</f>
        <v/>
      </c>
      <c r="Z181" s="25"/>
      <c r="AA181" s="25"/>
      <c r="AB181" s="3" t="str">
        <f>IF(C_Ope_007[[#This Row],[FECHA]]&gt;0,TEXT(C_Ope_007[[#This Row],[FECHA]],"mmmm"),0)</f>
        <v>Mayo</v>
      </c>
    </row>
    <row r="182" spans="2:28" ht="24" x14ac:dyDescent="0.3">
      <c r="B182" s="2">
        <f>IF(C_Ope_007[[#This Row],[TIPO DE R.]]="R",COUNTIFS($D$4:$D181,"R")+1,"")</f>
        <v>178</v>
      </c>
      <c r="C182" s="19" t="str">
        <f t="shared" si="14"/>
        <v>C_Ope_007</v>
      </c>
      <c r="D182" s="3" t="s">
        <v>1074</v>
      </c>
      <c r="E182" s="14">
        <v>45803</v>
      </c>
      <c r="F182" s="5" t="s">
        <v>4314</v>
      </c>
      <c r="G182" s="5" t="s">
        <v>1079</v>
      </c>
      <c r="H182" s="6"/>
      <c r="I182" s="6" t="s">
        <v>14</v>
      </c>
      <c r="J182" s="6" t="s">
        <v>5243</v>
      </c>
      <c r="K182" s="6">
        <v>2344144</v>
      </c>
      <c r="L182" s="7" t="s">
        <v>7589</v>
      </c>
      <c r="M182" s="8">
        <v>24385</v>
      </c>
      <c r="N182" s="8" t="str">
        <f t="shared" si="15"/>
        <v>PEN</v>
      </c>
      <c r="O182" s="13"/>
      <c r="P182" s="13">
        <v>8</v>
      </c>
      <c r="Q182" s="3">
        <f t="shared" si="11"/>
        <v>0</v>
      </c>
      <c r="R182" s="3">
        <f t="shared" si="12"/>
        <v>8</v>
      </c>
      <c r="S182" s="3">
        <f t="shared" si="13"/>
        <v>427</v>
      </c>
      <c r="T182" s="24"/>
      <c r="U182" s="24"/>
      <c r="V182" s="3"/>
      <c r="W182" s="25" t="s">
        <v>6630</v>
      </c>
      <c r="X182" s="25"/>
      <c r="Y182" s="25" t="str">
        <f>IFERROR(VLOOKUP(C_Ope_007[[#This Row],[NOTA 2]],Clientes_Proveedores[[Ruc / Dni]:[Razon Social]],2,0),"")</f>
        <v/>
      </c>
      <c r="Z182" s="25"/>
      <c r="AA182" s="25"/>
      <c r="AB182" s="3" t="str">
        <f>IF(C_Ope_007[[#This Row],[FECHA]]&gt;0,TEXT(C_Ope_007[[#This Row],[FECHA]],"mmmm"),0)</f>
        <v>Mayo</v>
      </c>
    </row>
    <row r="183" spans="2:28" ht="24" x14ac:dyDescent="0.3">
      <c r="B183" s="2">
        <f>IF(C_Ope_007[[#This Row],[TIPO DE R.]]="R",COUNTIFS($D$4:$D182,"R")+1,"")</f>
        <v>179</v>
      </c>
      <c r="C183" s="19" t="str">
        <f t="shared" si="14"/>
        <v>C_Ope_007</v>
      </c>
      <c r="D183" s="3" t="s">
        <v>1074</v>
      </c>
      <c r="E183" s="14">
        <v>45803</v>
      </c>
      <c r="F183" s="5" t="s">
        <v>4314</v>
      </c>
      <c r="G183" s="5" t="s">
        <v>1079</v>
      </c>
      <c r="H183" s="6"/>
      <c r="I183" s="6" t="s">
        <v>14</v>
      </c>
      <c r="J183" s="6" t="s">
        <v>6556</v>
      </c>
      <c r="K183" s="6">
        <v>476121</v>
      </c>
      <c r="L183" s="7" t="s">
        <v>7590</v>
      </c>
      <c r="M183" s="8">
        <v>24386</v>
      </c>
      <c r="N183" s="8" t="str">
        <f t="shared" si="15"/>
        <v>PEN</v>
      </c>
      <c r="O183" s="13"/>
      <c r="P183" s="13">
        <v>8</v>
      </c>
      <c r="Q183" s="3">
        <f t="shared" si="11"/>
        <v>0</v>
      </c>
      <c r="R183" s="3">
        <f t="shared" si="12"/>
        <v>8</v>
      </c>
      <c r="S183" s="3">
        <f t="shared" si="13"/>
        <v>419</v>
      </c>
      <c r="T183" s="24"/>
      <c r="U183" s="24"/>
      <c r="V183" s="3"/>
      <c r="W183" s="25" t="s">
        <v>6630</v>
      </c>
      <c r="X183" s="25"/>
      <c r="Y183" s="25" t="str">
        <f>IFERROR(VLOOKUP(C_Ope_007[[#This Row],[NOTA 2]],Clientes_Proveedores[[Ruc / Dni]:[Razon Social]],2,0),"")</f>
        <v/>
      </c>
      <c r="Z183" s="25"/>
      <c r="AA183" s="25"/>
      <c r="AB183" s="3" t="str">
        <f>IF(C_Ope_007[[#This Row],[FECHA]]&gt;0,TEXT(C_Ope_007[[#This Row],[FECHA]],"mmmm"),0)</f>
        <v>Mayo</v>
      </c>
    </row>
    <row r="184" spans="2:28" ht="24" x14ac:dyDescent="0.3">
      <c r="B184" s="2">
        <f>IF(C_Ope_007[[#This Row],[TIPO DE R.]]="R",COUNTIFS($D$4:$D183,"R")+1,"")</f>
        <v>180</v>
      </c>
      <c r="C184" s="19" t="str">
        <f t="shared" si="14"/>
        <v>C_Ope_007</v>
      </c>
      <c r="D184" s="3" t="s">
        <v>1074</v>
      </c>
      <c r="E184" s="14">
        <v>45803</v>
      </c>
      <c r="F184" s="5" t="s">
        <v>4314</v>
      </c>
      <c r="G184" s="5" t="s">
        <v>1079</v>
      </c>
      <c r="H184" s="6"/>
      <c r="I184" s="6" t="s">
        <v>14</v>
      </c>
      <c r="J184" s="6" t="s">
        <v>5280</v>
      </c>
      <c r="K184" s="6">
        <v>1061996</v>
      </c>
      <c r="L184" s="7" t="s">
        <v>7590</v>
      </c>
      <c r="M184" s="8">
        <v>24387</v>
      </c>
      <c r="N184" s="8" t="str">
        <f t="shared" si="15"/>
        <v>PEN</v>
      </c>
      <c r="O184" s="13"/>
      <c r="P184" s="13">
        <v>8</v>
      </c>
      <c r="Q184" s="3">
        <f t="shared" si="11"/>
        <v>0</v>
      </c>
      <c r="R184" s="3">
        <f t="shared" si="12"/>
        <v>8</v>
      </c>
      <c r="S184" s="3">
        <f t="shared" si="13"/>
        <v>411</v>
      </c>
      <c r="T184" s="24"/>
      <c r="U184" s="24"/>
      <c r="V184" s="3"/>
      <c r="W184" s="25" t="s">
        <v>6630</v>
      </c>
      <c r="X184" s="25"/>
      <c r="Y184" s="25" t="str">
        <f>IFERROR(VLOOKUP(C_Ope_007[[#This Row],[NOTA 2]],Clientes_Proveedores[[Ruc / Dni]:[Razon Social]],2,0),"")</f>
        <v/>
      </c>
      <c r="Z184" s="25"/>
      <c r="AA184" s="25"/>
      <c r="AB184" s="3" t="str">
        <f>IF(C_Ope_007[[#This Row],[FECHA]]&gt;0,TEXT(C_Ope_007[[#This Row],[FECHA]],"mmmm"),0)</f>
        <v>Mayo</v>
      </c>
    </row>
    <row r="185" spans="2:28" ht="24" x14ac:dyDescent="0.3">
      <c r="B185" s="2">
        <f>IF(C_Ope_007[[#This Row],[TIPO DE R.]]="R",COUNTIFS($D$4:$D184,"R")+1,"")</f>
        <v>181</v>
      </c>
      <c r="C185" s="19" t="str">
        <f t="shared" si="14"/>
        <v>C_Ope_007</v>
      </c>
      <c r="D185" s="3" t="s">
        <v>1074</v>
      </c>
      <c r="E185" s="14">
        <v>45803</v>
      </c>
      <c r="F185" s="5" t="s">
        <v>4314</v>
      </c>
      <c r="G185" s="5" t="s">
        <v>1079</v>
      </c>
      <c r="H185" s="6"/>
      <c r="I185" s="6" t="s">
        <v>14</v>
      </c>
      <c r="J185" s="6" t="s">
        <v>5245</v>
      </c>
      <c r="K185" s="6">
        <v>1760980</v>
      </c>
      <c r="L185" s="7" t="s">
        <v>7589</v>
      </c>
      <c r="M185" s="8">
        <v>24388</v>
      </c>
      <c r="N185" s="8" t="str">
        <f t="shared" si="15"/>
        <v>PEN</v>
      </c>
      <c r="O185" s="13"/>
      <c r="P185" s="13">
        <v>8</v>
      </c>
      <c r="Q185" s="3">
        <f t="shared" si="11"/>
        <v>0</v>
      </c>
      <c r="R185" s="3">
        <f t="shared" si="12"/>
        <v>8</v>
      </c>
      <c r="S185" s="3">
        <f t="shared" si="13"/>
        <v>403</v>
      </c>
      <c r="T185" s="24"/>
      <c r="U185" s="24"/>
      <c r="V185" s="3"/>
      <c r="W185" s="25" t="s">
        <v>6630</v>
      </c>
      <c r="X185" s="25"/>
      <c r="Y185" s="25" t="str">
        <f>IFERROR(VLOOKUP(C_Ope_007[[#This Row],[NOTA 2]],Clientes_Proveedores[[Ruc / Dni]:[Razon Social]],2,0),"")</f>
        <v/>
      </c>
      <c r="Z185" s="25"/>
      <c r="AA185" s="25"/>
      <c r="AB185" s="3" t="str">
        <f>IF(C_Ope_007[[#This Row],[FECHA]]&gt;0,TEXT(C_Ope_007[[#This Row],[FECHA]],"mmmm"),0)</f>
        <v>Mayo</v>
      </c>
    </row>
    <row r="186" spans="2:28" ht="24" x14ac:dyDescent="0.3">
      <c r="B186" s="2">
        <f>IF(C_Ope_007[[#This Row],[TIPO DE R.]]="R",COUNTIFS($D$4:$D185,"R")+1,"")</f>
        <v>182</v>
      </c>
      <c r="C186" s="19" t="str">
        <f t="shared" si="14"/>
        <v>C_Ope_007</v>
      </c>
      <c r="D186" s="3" t="s">
        <v>1074</v>
      </c>
      <c r="E186" s="14">
        <v>45804</v>
      </c>
      <c r="F186" s="5" t="s">
        <v>4314</v>
      </c>
      <c r="G186" s="5" t="s">
        <v>1079</v>
      </c>
      <c r="H186" s="6"/>
      <c r="I186" s="6" t="s">
        <v>14</v>
      </c>
      <c r="J186" s="6" t="s">
        <v>5244</v>
      </c>
      <c r="K186" s="6">
        <v>1741920</v>
      </c>
      <c r="L186" s="7" t="s">
        <v>7591</v>
      </c>
      <c r="M186" s="8">
        <v>24389</v>
      </c>
      <c r="N186" s="8" t="str">
        <f t="shared" si="15"/>
        <v>PEN</v>
      </c>
      <c r="O186" s="13"/>
      <c r="P186" s="13">
        <v>8</v>
      </c>
      <c r="Q186" s="3">
        <f t="shared" si="11"/>
        <v>0</v>
      </c>
      <c r="R186" s="3">
        <f t="shared" si="12"/>
        <v>8</v>
      </c>
      <c r="S186" s="3">
        <f t="shared" si="13"/>
        <v>395</v>
      </c>
      <c r="T186" s="24"/>
      <c r="U186" s="24"/>
      <c r="V186" s="3"/>
      <c r="W186" s="25" t="s">
        <v>6630</v>
      </c>
      <c r="X186" s="25"/>
      <c r="Y186" s="25" t="str">
        <f>IFERROR(VLOOKUP(C_Ope_007[[#This Row],[NOTA 2]],Clientes_Proveedores[[Ruc / Dni]:[Razon Social]],2,0),"")</f>
        <v/>
      </c>
      <c r="Z186" s="25"/>
      <c r="AA186" s="25"/>
      <c r="AB186" s="3" t="str">
        <f>IF(C_Ope_007[[#This Row],[FECHA]]&gt;0,TEXT(C_Ope_007[[#This Row],[FECHA]],"mmmm"),0)</f>
        <v>Mayo</v>
      </c>
    </row>
    <row r="187" spans="2:28" ht="24" x14ac:dyDescent="0.3">
      <c r="B187" s="2">
        <f>IF(C_Ope_007[[#This Row],[TIPO DE R.]]="R",COUNTIFS($D$4:$D186,"R")+1,"")</f>
        <v>183</v>
      </c>
      <c r="C187" s="19" t="str">
        <f t="shared" si="14"/>
        <v>C_Ope_007</v>
      </c>
      <c r="D187" s="3" t="s">
        <v>1074</v>
      </c>
      <c r="E187" s="14">
        <v>45804</v>
      </c>
      <c r="F187" s="5" t="s">
        <v>4314</v>
      </c>
      <c r="G187" s="5" t="s">
        <v>1079</v>
      </c>
      <c r="H187" s="6"/>
      <c r="I187" s="6" t="s">
        <v>14</v>
      </c>
      <c r="J187" s="6" t="s">
        <v>5245</v>
      </c>
      <c r="K187" s="6">
        <v>1761848</v>
      </c>
      <c r="L187" s="7" t="s">
        <v>7591</v>
      </c>
      <c r="M187" s="8">
        <v>24390</v>
      </c>
      <c r="N187" s="8" t="str">
        <f t="shared" si="15"/>
        <v>PEN</v>
      </c>
      <c r="O187" s="13"/>
      <c r="P187" s="13">
        <v>8</v>
      </c>
      <c r="Q187" s="3">
        <f t="shared" si="11"/>
        <v>0</v>
      </c>
      <c r="R187" s="3">
        <f t="shared" si="12"/>
        <v>8</v>
      </c>
      <c r="S187" s="3">
        <f t="shared" si="13"/>
        <v>387</v>
      </c>
      <c r="T187" s="24"/>
      <c r="U187" s="24"/>
      <c r="V187" s="3"/>
      <c r="W187" s="25" t="s">
        <v>6630</v>
      </c>
      <c r="X187" s="25"/>
      <c r="Y187" s="25" t="str">
        <f>IFERROR(VLOOKUP(C_Ope_007[[#This Row],[NOTA 2]],Clientes_Proveedores[[Ruc / Dni]:[Razon Social]],2,0),"")</f>
        <v/>
      </c>
      <c r="Z187" s="25"/>
      <c r="AA187" s="25"/>
      <c r="AB187" s="3" t="str">
        <f>IF(C_Ope_007[[#This Row],[FECHA]]&gt;0,TEXT(C_Ope_007[[#This Row],[FECHA]],"mmmm"),0)</f>
        <v>Mayo</v>
      </c>
    </row>
    <row r="188" spans="2:28" ht="36" x14ac:dyDescent="0.3">
      <c r="B188" s="2">
        <f>IF(C_Ope_007[[#This Row],[TIPO DE R.]]="R",COUNTIFS($D$4:$D187,"R")+1,"")</f>
        <v>184</v>
      </c>
      <c r="C188" s="19" t="str">
        <f t="shared" si="14"/>
        <v>C_Ope_007</v>
      </c>
      <c r="D188" s="3" t="s">
        <v>1074</v>
      </c>
      <c r="E188" s="14">
        <v>45806</v>
      </c>
      <c r="F188" s="5" t="s">
        <v>4314</v>
      </c>
      <c r="G188" s="5" t="s">
        <v>1079</v>
      </c>
      <c r="H188" s="6"/>
      <c r="I188" s="6" t="s">
        <v>14</v>
      </c>
      <c r="J188" s="6" t="s">
        <v>5244</v>
      </c>
      <c r="K188" s="6">
        <v>1744092</v>
      </c>
      <c r="L188" s="7" t="s">
        <v>7592</v>
      </c>
      <c r="M188" s="8">
        <v>24391</v>
      </c>
      <c r="N188" s="8" t="str">
        <f t="shared" si="15"/>
        <v>PEN</v>
      </c>
      <c r="O188" s="13"/>
      <c r="P188" s="13">
        <v>5</v>
      </c>
      <c r="Q188" s="3">
        <f t="shared" si="11"/>
        <v>0</v>
      </c>
      <c r="R188" s="3">
        <f t="shared" si="12"/>
        <v>5</v>
      </c>
      <c r="S188" s="3">
        <f t="shared" si="13"/>
        <v>382</v>
      </c>
      <c r="T188" s="24"/>
      <c r="U188" s="24"/>
      <c r="V188" s="3"/>
      <c r="W188" s="25" t="s">
        <v>6539</v>
      </c>
      <c r="X188" s="25"/>
      <c r="Y188" s="25" t="str">
        <f>IFERROR(VLOOKUP(C_Ope_007[[#This Row],[NOTA 2]],Clientes_Proveedores[[Ruc / Dni]:[Razon Social]],2,0),"")</f>
        <v/>
      </c>
      <c r="Z188" s="25"/>
      <c r="AA188" s="25"/>
      <c r="AB188" s="3" t="str">
        <f>IF(C_Ope_007[[#This Row],[FECHA]]&gt;0,TEXT(C_Ope_007[[#This Row],[FECHA]],"mmmm"),0)</f>
        <v>Mayo</v>
      </c>
    </row>
    <row r="189" spans="2:28" ht="36" x14ac:dyDescent="0.3">
      <c r="B189" s="2">
        <f>IF(C_Ope_007[[#This Row],[TIPO DE R.]]="R",COUNTIFS($D$4:$D188,"R")+1,"")</f>
        <v>185</v>
      </c>
      <c r="C189" s="19" t="str">
        <f t="shared" si="14"/>
        <v>C_Ope_007</v>
      </c>
      <c r="D189" s="3" t="s">
        <v>1074</v>
      </c>
      <c r="E189" s="14">
        <v>45806</v>
      </c>
      <c r="F189" s="5" t="s">
        <v>4314</v>
      </c>
      <c r="G189" s="5" t="s">
        <v>1079</v>
      </c>
      <c r="H189" s="6"/>
      <c r="I189" s="6" t="s">
        <v>14</v>
      </c>
      <c r="J189" s="6" t="s">
        <v>5245</v>
      </c>
      <c r="K189" s="6">
        <v>1763703</v>
      </c>
      <c r="L189" s="7" t="s">
        <v>7592</v>
      </c>
      <c r="M189" s="8">
        <v>24392</v>
      </c>
      <c r="N189" s="8" t="str">
        <f t="shared" si="15"/>
        <v>PEN</v>
      </c>
      <c r="O189" s="13"/>
      <c r="P189" s="13">
        <v>5</v>
      </c>
      <c r="Q189" s="3">
        <f t="shared" si="11"/>
        <v>0</v>
      </c>
      <c r="R189" s="3">
        <f t="shared" si="12"/>
        <v>5</v>
      </c>
      <c r="S189" s="3">
        <f t="shared" si="13"/>
        <v>377</v>
      </c>
      <c r="T189" s="24"/>
      <c r="U189" s="24"/>
      <c r="V189" s="3"/>
      <c r="W189" s="25" t="s">
        <v>6539</v>
      </c>
      <c r="X189" s="25"/>
      <c r="Y189" s="25" t="str">
        <f>IFERROR(VLOOKUP(C_Ope_007[[#This Row],[NOTA 2]],Clientes_Proveedores[[Ruc / Dni]:[Razon Social]],2,0),"")</f>
        <v/>
      </c>
      <c r="Z189" s="25"/>
      <c r="AA189" s="25"/>
      <c r="AB189" s="3" t="str">
        <f>IF(C_Ope_007[[#This Row],[FECHA]]&gt;0,TEXT(C_Ope_007[[#This Row],[FECHA]],"mmmm"),0)</f>
        <v>Mayo</v>
      </c>
    </row>
    <row r="190" spans="2:28" ht="24" x14ac:dyDescent="0.3">
      <c r="B190" s="2">
        <f>IF(C_Ope_007[[#This Row],[TIPO DE R.]]="R",COUNTIFS($D$4:$D189,"R")+1,"")</f>
        <v>186</v>
      </c>
      <c r="C190" s="19" t="str">
        <f t="shared" si="14"/>
        <v>C_Ope_007</v>
      </c>
      <c r="D190" s="3" t="s">
        <v>1074</v>
      </c>
      <c r="E190" s="14">
        <v>45807</v>
      </c>
      <c r="F190" s="5" t="s">
        <v>4314</v>
      </c>
      <c r="G190" s="5" t="s">
        <v>1079</v>
      </c>
      <c r="H190" s="6"/>
      <c r="I190" s="6" t="s">
        <v>14</v>
      </c>
      <c r="J190" s="6" t="s">
        <v>5242</v>
      </c>
      <c r="K190" s="6">
        <v>2066423</v>
      </c>
      <c r="L190" s="7" t="s">
        <v>6608</v>
      </c>
      <c r="M190" s="8">
        <v>24402</v>
      </c>
      <c r="N190" s="8" t="str">
        <f t="shared" si="15"/>
        <v>PEN</v>
      </c>
      <c r="O190" s="13"/>
      <c r="P190" s="13">
        <v>8</v>
      </c>
      <c r="Q190" s="3">
        <f t="shared" si="11"/>
        <v>0</v>
      </c>
      <c r="R190" s="3">
        <f t="shared" si="12"/>
        <v>8</v>
      </c>
      <c r="S190" s="3">
        <f t="shared" si="13"/>
        <v>369</v>
      </c>
      <c r="T190" s="24"/>
      <c r="U190" s="24"/>
      <c r="V190" s="3"/>
      <c r="W190" s="25" t="s">
        <v>6541</v>
      </c>
      <c r="X190" s="25"/>
      <c r="Y190" s="25" t="str">
        <f>IFERROR(VLOOKUP(C_Ope_007[[#This Row],[NOTA 2]],Clientes_Proveedores[[Ruc / Dni]:[Razon Social]],2,0),"")</f>
        <v/>
      </c>
      <c r="Z190" s="25"/>
      <c r="AA190" s="25"/>
      <c r="AB190" s="3" t="str">
        <f>IF(C_Ope_007[[#This Row],[FECHA]]&gt;0,TEXT(C_Ope_007[[#This Row],[FECHA]],"mmmm"),0)</f>
        <v>Mayo</v>
      </c>
    </row>
    <row r="191" spans="2:28" ht="24" x14ac:dyDescent="0.3">
      <c r="B191" s="2">
        <f>IF(C_Ope_007[[#This Row],[TIPO DE R.]]="R",COUNTIFS($D$4:$D190,"R")+1,"")</f>
        <v>187</v>
      </c>
      <c r="C191" s="19" t="str">
        <f t="shared" si="14"/>
        <v>C_Ope_007</v>
      </c>
      <c r="D191" s="3" t="s">
        <v>1074</v>
      </c>
      <c r="E191" s="14">
        <v>45807</v>
      </c>
      <c r="F191" s="5" t="s">
        <v>4314</v>
      </c>
      <c r="G191" s="5" t="s">
        <v>1079</v>
      </c>
      <c r="H191" s="6"/>
      <c r="I191" s="6" t="s">
        <v>14</v>
      </c>
      <c r="J191" s="6" t="s">
        <v>5244</v>
      </c>
      <c r="K191" s="6">
        <v>1744949</v>
      </c>
      <c r="L191" s="7" t="s">
        <v>7593</v>
      </c>
      <c r="M191" s="8">
        <v>24403</v>
      </c>
      <c r="N191" s="8" t="str">
        <f t="shared" si="15"/>
        <v>PEN</v>
      </c>
      <c r="O191" s="13"/>
      <c r="P191" s="13">
        <v>8</v>
      </c>
      <c r="Q191" s="3">
        <f t="shared" si="11"/>
        <v>0</v>
      </c>
      <c r="R191" s="3">
        <f t="shared" si="12"/>
        <v>8</v>
      </c>
      <c r="S191" s="3">
        <f t="shared" si="13"/>
        <v>361</v>
      </c>
      <c r="T191" s="24"/>
      <c r="U191" s="24"/>
      <c r="V191" s="3"/>
      <c r="W191" s="25" t="s">
        <v>6630</v>
      </c>
      <c r="X191" s="25"/>
      <c r="Y191" s="25" t="str">
        <f>IFERROR(VLOOKUP(C_Ope_007[[#This Row],[NOTA 2]],Clientes_Proveedores[[Ruc / Dni]:[Razon Social]],2,0),"")</f>
        <v/>
      </c>
      <c r="Z191" s="25"/>
      <c r="AA191" s="25"/>
      <c r="AB191" s="3" t="str">
        <f>IF(C_Ope_007[[#This Row],[FECHA]]&gt;0,TEXT(C_Ope_007[[#This Row],[FECHA]],"mmmm"),0)</f>
        <v>Mayo</v>
      </c>
    </row>
    <row r="192" spans="2:28" ht="24" x14ac:dyDescent="0.3">
      <c r="B192" s="2">
        <f>IF(C_Ope_007[[#This Row],[TIPO DE R.]]="R",COUNTIFS($D$4:$D191,"R")+1,"")</f>
        <v>188</v>
      </c>
      <c r="C192" s="19" t="str">
        <f t="shared" si="14"/>
        <v>C_Ope_007</v>
      </c>
      <c r="D192" s="3" t="s">
        <v>1074</v>
      </c>
      <c r="E192" s="14">
        <v>45807</v>
      </c>
      <c r="F192" s="5" t="s">
        <v>4314</v>
      </c>
      <c r="G192" s="5" t="s">
        <v>1079</v>
      </c>
      <c r="H192" s="6"/>
      <c r="I192" s="6" t="s">
        <v>14</v>
      </c>
      <c r="J192" s="6" t="s">
        <v>5242</v>
      </c>
      <c r="K192" s="6">
        <v>2066307</v>
      </c>
      <c r="L192" s="7" t="s">
        <v>7593</v>
      </c>
      <c r="M192" s="8">
        <v>24404</v>
      </c>
      <c r="N192" s="8" t="str">
        <f t="shared" si="15"/>
        <v>PEN</v>
      </c>
      <c r="O192" s="13"/>
      <c r="P192" s="13">
        <v>8</v>
      </c>
      <c r="Q192" s="3">
        <f t="shared" si="11"/>
        <v>0</v>
      </c>
      <c r="R192" s="3">
        <f t="shared" si="12"/>
        <v>8</v>
      </c>
      <c r="S192" s="3">
        <f t="shared" si="13"/>
        <v>353</v>
      </c>
      <c r="T192" s="24"/>
      <c r="U192" s="24"/>
      <c r="V192" s="3"/>
      <c r="W192" s="25" t="s">
        <v>6630</v>
      </c>
      <c r="X192" s="25"/>
      <c r="Y192" s="25" t="str">
        <f>IFERROR(VLOOKUP(C_Ope_007[[#This Row],[NOTA 2]],Clientes_Proveedores[[Ruc / Dni]:[Razon Social]],2,0),"")</f>
        <v/>
      </c>
      <c r="Z192" s="25"/>
      <c r="AA192" s="25"/>
      <c r="AB192" s="3" t="str">
        <f>IF(C_Ope_007[[#This Row],[FECHA]]&gt;0,TEXT(C_Ope_007[[#This Row],[FECHA]],"mmmm"),0)</f>
        <v>Mayo</v>
      </c>
    </row>
    <row r="193" spans="2:28" ht="24" x14ac:dyDescent="0.3">
      <c r="B193" s="2">
        <f>IF(C_Ope_007[[#This Row],[TIPO DE R.]]="R",COUNTIFS($D$4:$D192,"R")+1,"")</f>
        <v>189</v>
      </c>
      <c r="C193" s="19" t="str">
        <f t="shared" si="14"/>
        <v>C_Ope_007</v>
      </c>
      <c r="D193" s="3" t="s">
        <v>1074</v>
      </c>
      <c r="E193" s="14">
        <v>45807</v>
      </c>
      <c r="F193" s="5" t="s">
        <v>4314</v>
      </c>
      <c r="G193" s="5" t="s">
        <v>1079</v>
      </c>
      <c r="H193" s="6"/>
      <c r="I193" s="6" t="s">
        <v>14</v>
      </c>
      <c r="J193" s="6" t="s">
        <v>5244</v>
      </c>
      <c r="K193" s="6">
        <v>1745005</v>
      </c>
      <c r="L193" s="7" t="s">
        <v>6608</v>
      </c>
      <c r="M193" s="8">
        <v>24422</v>
      </c>
      <c r="N193" s="8" t="str">
        <f t="shared" si="15"/>
        <v>PEN</v>
      </c>
      <c r="O193" s="13"/>
      <c r="P193" s="13">
        <v>8</v>
      </c>
      <c r="Q193" s="3">
        <f t="shared" si="11"/>
        <v>0</v>
      </c>
      <c r="R193" s="3">
        <f t="shared" si="12"/>
        <v>8</v>
      </c>
      <c r="S193" s="3">
        <f t="shared" si="13"/>
        <v>345</v>
      </c>
      <c r="T193" s="24"/>
      <c r="U193" s="24"/>
      <c r="V193" s="3"/>
      <c r="W193" s="25" t="s">
        <v>6541</v>
      </c>
      <c r="X193" s="25"/>
      <c r="Y193" s="25" t="str">
        <f>IFERROR(VLOOKUP(C_Ope_007[[#This Row],[NOTA 2]],Clientes_Proveedores[[Ruc / Dni]:[Razon Social]],2,0),"")</f>
        <v/>
      </c>
      <c r="Z193" s="25"/>
      <c r="AA193" s="25"/>
      <c r="AB193" s="3" t="str">
        <f>IF(C_Ope_007[[#This Row],[FECHA]]&gt;0,TEXT(C_Ope_007[[#This Row],[FECHA]],"mmmm"),0)</f>
        <v>Mayo</v>
      </c>
    </row>
    <row r="194" spans="2:28" ht="24" x14ac:dyDescent="0.3">
      <c r="B194" s="2">
        <f>IF(C_Ope_007[[#This Row],[TIPO DE R.]]="R",COUNTIFS($D$4:$D193,"R")+1,"")</f>
        <v>190</v>
      </c>
      <c r="C194" s="19" t="str">
        <f t="shared" si="14"/>
        <v>C_Ope_007</v>
      </c>
      <c r="D194" s="3" t="s">
        <v>1074</v>
      </c>
      <c r="E194" s="14">
        <v>45803</v>
      </c>
      <c r="F194" s="5" t="s">
        <v>4314</v>
      </c>
      <c r="G194" s="5" t="s">
        <v>1079</v>
      </c>
      <c r="H194" s="6"/>
      <c r="I194" s="6" t="s">
        <v>14</v>
      </c>
      <c r="J194" s="6" t="s">
        <v>1119</v>
      </c>
      <c r="K194" s="6">
        <v>17597</v>
      </c>
      <c r="L194" s="7" t="s">
        <v>7594</v>
      </c>
      <c r="M194" s="8">
        <v>24394</v>
      </c>
      <c r="N194" s="8" t="str">
        <f t="shared" si="15"/>
        <v>PEN</v>
      </c>
      <c r="O194" s="13"/>
      <c r="P194" s="13">
        <v>11</v>
      </c>
      <c r="Q194" s="3">
        <f t="shared" si="11"/>
        <v>0</v>
      </c>
      <c r="R194" s="3">
        <f t="shared" si="12"/>
        <v>11</v>
      </c>
      <c r="S194" s="3">
        <f t="shared" si="13"/>
        <v>334</v>
      </c>
      <c r="T194" s="24"/>
      <c r="U194" s="24"/>
      <c r="V194" s="3"/>
      <c r="W194" s="25" t="s">
        <v>6630</v>
      </c>
      <c r="X194" s="25"/>
      <c r="Y194" s="25" t="str">
        <f>IFERROR(VLOOKUP(C_Ope_007[[#This Row],[NOTA 2]],Clientes_Proveedores[[Ruc / Dni]:[Razon Social]],2,0),"")</f>
        <v/>
      </c>
      <c r="Z194" s="25"/>
      <c r="AA194" s="25"/>
      <c r="AB194" s="3" t="str">
        <f>IF(C_Ope_007[[#This Row],[FECHA]]&gt;0,TEXT(C_Ope_007[[#This Row],[FECHA]],"mmmm"),0)</f>
        <v>Mayo</v>
      </c>
    </row>
    <row r="195" spans="2:28" x14ac:dyDescent="0.3">
      <c r="B195" s="2">
        <f>IF(C_Ope_007[[#This Row],[TIPO DE R.]]="R",COUNTIFS($D$4:$D194,"R")+1,"")</f>
        <v>191</v>
      </c>
      <c r="C195" s="19" t="str">
        <f t="shared" si="14"/>
        <v>C_Ope_007</v>
      </c>
      <c r="D195" s="3" t="s">
        <v>1074</v>
      </c>
      <c r="E195" s="14">
        <v>45804</v>
      </c>
      <c r="F195" s="5" t="s">
        <v>4314</v>
      </c>
      <c r="G195" s="5" t="s">
        <v>1079</v>
      </c>
      <c r="H195" s="6"/>
      <c r="I195" s="6" t="s">
        <v>14</v>
      </c>
      <c r="J195" s="6" t="s">
        <v>1088</v>
      </c>
      <c r="K195" s="6">
        <v>34760</v>
      </c>
      <c r="L195" s="7" t="s">
        <v>7561</v>
      </c>
      <c r="M195" s="8">
        <v>24377</v>
      </c>
      <c r="N195" s="8" t="str">
        <f t="shared" si="15"/>
        <v>PEN</v>
      </c>
      <c r="O195" s="13"/>
      <c r="P195" s="13">
        <v>10</v>
      </c>
      <c r="Q195" s="3">
        <f t="shared" si="11"/>
        <v>0</v>
      </c>
      <c r="R195" s="3">
        <f t="shared" si="12"/>
        <v>10</v>
      </c>
      <c r="S195" s="3">
        <f t="shared" si="13"/>
        <v>324</v>
      </c>
      <c r="T195" s="24"/>
      <c r="U195" s="24"/>
      <c r="V195" s="3"/>
      <c r="W195" s="25" t="s">
        <v>6541</v>
      </c>
      <c r="X195" s="25"/>
      <c r="Y195" s="25" t="str">
        <f>IFERROR(VLOOKUP(C_Ope_007[[#This Row],[NOTA 2]],Clientes_Proveedores[[Ruc / Dni]:[Razon Social]],2,0),"")</f>
        <v/>
      </c>
      <c r="Z195" s="25"/>
      <c r="AA195" s="25"/>
      <c r="AB195" s="3" t="str">
        <f>IF(C_Ope_007[[#This Row],[FECHA]]&gt;0,TEXT(C_Ope_007[[#This Row],[FECHA]],"mmmm"),0)</f>
        <v>Mayo</v>
      </c>
    </row>
    <row r="196" spans="2:28" ht="24" x14ac:dyDescent="0.3">
      <c r="B196" s="2">
        <f>IF(C_Ope_007[[#This Row],[TIPO DE R.]]="R",COUNTIFS($D$4:$D195,"R")+1,"")</f>
        <v>192</v>
      </c>
      <c r="C196" s="19" t="str">
        <f t="shared" si="14"/>
        <v>C_Ope_007</v>
      </c>
      <c r="D196" s="3" t="s">
        <v>1074</v>
      </c>
      <c r="E196" s="14">
        <v>45804</v>
      </c>
      <c r="F196" s="5" t="s">
        <v>4314</v>
      </c>
      <c r="G196" s="5" t="s">
        <v>1079</v>
      </c>
      <c r="H196" s="6"/>
      <c r="I196" s="6" t="s">
        <v>14</v>
      </c>
      <c r="J196" s="6" t="s">
        <v>1097</v>
      </c>
      <c r="K196" s="6">
        <v>16485</v>
      </c>
      <c r="L196" s="7" t="s">
        <v>6673</v>
      </c>
      <c r="M196" s="8">
        <v>24395</v>
      </c>
      <c r="N196" s="8" t="str">
        <f t="shared" si="15"/>
        <v>PEN</v>
      </c>
      <c r="O196" s="13"/>
      <c r="P196" s="13">
        <v>20</v>
      </c>
      <c r="Q196" s="3">
        <f t="shared" si="11"/>
        <v>0</v>
      </c>
      <c r="R196" s="3">
        <f t="shared" si="12"/>
        <v>20</v>
      </c>
      <c r="S196" s="3">
        <f t="shared" si="13"/>
        <v>304</v>
      </c>
      <c r="T196" s="24"/>
      <c r="U196" s="24"/>
      <c r="V196" s="3"/>
      <c r="W196" s="25" t="s">
        <v>6630</v>
      </c>
      <c r="X196" s="25"/>
      <c r="Y196" s="25" t="str">
        <f>IFERROR(VLOOKUP(C_Ope_007[[#This Row],[NOTA 2]],Clientes_Proveedores[[Ruc / Dni]:[Razon Social]],2,0),"")</f>
        <v/>
      </c>
      <c r="Z196" s="25"/>
      <c r="AA196" s="25"/>
      <c r="AB196" s="3" t="str">
        <f>IF(C_Ope_007[[#This Row],[FECHA]]&gt;0,TEXT(C_Ope_007[[#This Row],[FECHA]],"mmmm"),0)</f>
        <v>Mayo</v>
      </c>
    </row>
    <row r="197" spans="2:28" ht="24" x14ac:dyDescent="0.3">
      <c r="B197" s="2">
        <f>IF(C_Ope_007[[#This Row],[TIPO DE R.]]="R",COUNTIFS($D$4:$D196,"R")+1,"")</f>
        <v>193</v>
      </c>
      <c r="C197" s="19" t="str">
        <f t="shared" si="14"/>
        <v>C_Ope_007</v>
      </c>
      <c r="D197" s="3" t="s">
        <v>1074</v>
      </c>
      <c r="E197" s="14">
        <v>45804</v>
      </c>
      <c r="F197" s="5" t="s">
        <v>4314</v>
      </c>
      <c r="G197" s="5" t="s">
        <v>1079</v>
      </c>
      <c r="H197" s="6"/>
      <c r="I197" s="6" t="s">
        <v>14</v>
      </c>
      <c r="J197" s="6" t="s">
        <v>1097</v>
      </c>
      <c r="K197" s="6">
        <v>16489</v>
      </c>
      <c r="L197" s="7" t="s">
        <v>7595</v>
      </c>
      <c r="M197" s="8">
        <v>24396</v>
      </c>
      <c r="N197" s="8" t="str">
        <f t="shared" si="15"/>
        <v>PEN</v>
      </c>
      <c r="O197" s="13"/>
      <c r="P197" s="13">
        <v>20</v>
      </c>
      <c r="Q197" s="3">
        <f t="shared" ref="Q197:Q233" si="16">+IF(OR($G197="SALDO",$G197="INGRESO"),$P197,0)</f>
        <v>0</v>
      </c>
      <c r="R197" s="3">
        <f t="shared" ref="R197:R233" si="17">+IF($G197="EGRESO",$P197,0)</f>
        <v>20</v>
      </c>
      <c r="S197" s="3">
        <f t="shared" ref="S197:S249" si="18">IFERROR(IF(G197="SALDO",Q197,S196+Q197-R197),0)</f>
        <v>284</v>
      </c>
      <c r="T197" s="24"/>
      <c r="U197" s="24"/>
      <c r="V197" s="3"/>
      <c r="W197" s="25" t="s">
        <v>6630</v>
      </c>
      <c r="X197" s="25"/>
      <c r="Y197" s="25" t="str">
        <f>IFERROR(VLOOKUP(C_Ope_007[[#This Row],[NOTA 2]],Clientes_Proveedores[[Ruc / Dni]:[Razon Social]],2,0),"")</f>
        <v/>
      </c>
      <c r="Z197" s="25"/>
      <c r="AA197" s="25"/>
      <c r="AB197" s="3" t="str">
        <f>IF(C_Ope_007[[#This Row],[FECHA]]&gt;0,TEXT(C_Ope_007[[#This Row],[FECHA]],"mmmm"),0)</f>
        <v>Mayo</v>
      </c>
    </row>
    <row r="198" spans="2:28" ht="24" x14ac:dyDescent="0.3">
      <c r="B198" s="2">
        <f>IF(C_Ope_007[[#This Row],[TIPO DE R.]]="R",COUNTIFS($D$4:$D197,"R")+1,"")</f>
        <v>194</v>
      </c>
      <c r="C198" s="19" t="str">
        <f t="shared" ref="C198:C233" si="19">"C_Ope_007"</f>
        <v>C_Ope_007</v>
      </c>
      <c r="D198" s="3" t="s">
        <v>1074</v>
      </c>
      <c r="E198" s="14">
        <v>45805</v>
      </c>
      <c r="F198" s="5" t="s">
        <v>4314</v>
      </c>
      <c r="G198" s="5" t="s">
        <v>1079</v>
      </c>
      <c r="H198" s="6"/>
      <c r="I198" s="6" t="s">
        <v>14</v>
      </c>
      <c r="J198" s="6" t="s">
        <v>1088</v>
      </c>
      <c r="K198" s="6">
        <v>34775</v>
      </c>
      <c r="L198" s="7" t="s">
        <v>7596</v>
      </c>
      <c r="M198" s="8">
        <v>24378</v>
      </c>
      <c r="N198" s="8" t="str">
        <f t="shared" ref="N198:N233" si="20">"PEN"</f>
        <v>PEN</v>
      </c>
      <c r="O198" s="13"/>
      <c r="P198" s="13">
        <v>10</v>
      </c>
      <c r="Q198" s="3">
        <f t="shared" si="16"/>
        <v>0</v>
      </c>
      <c r="R198" s="3">
        <f t="shared" si="17"/>
        <v>10</v>
      </c>
      <c r="S198" s="3">
        <f t="shared" si="18"/>
        <v>274</v>
      </c>
      <c r="T198" s="24"/>
      <c r="U198" s="24"/>
      <c r="V198" s="3"/>
      <c r="W198" s="25" t="s">
        <v>6541</v>
      </c>
      <c r="X198" s="25"/>
      <c r="Y198" s="25" t="str">
        <f>IFERROR(VLOOKUP(C_Ope_007[[#This Row],[NOTA 2]],Clientes_Proveedores[[Ruc / Dni]:[Razon Social]],2,0),"")</f>
        <v/>
      </c>
      <c r="Z198" s="25"/>
      <c r="AA198" s="25"/>
      <c r="AB198" s="3" t="str">
        <f>IF(C_Ope_007[[#This Row],[FECHA]]&gt;0,TEXT(C_Ope_007[[#This Row],[FECHA]],"mmmm"),0)</f>
        <v>Mayo</v>
      </c>
    </row>
    <row r="199" spans="2:28" ht="24" x14ac:dyDescent="0.3">
      <c r="B199" s="2">
        <f>IF(C_Ope_007[[#This Row],[TIPO DE R.]]="R",COUNTIFS($D$4:$D198,"R")+1,"")</f>
        <v>195</v>
      </c>
      <c r="C199" s="19" t="str">
        <f t="shared" si="19"/>
        <v>C_Ope_007</v>
      </c>
      <c r="D199" s="3" t="s">
        <v>1074</v>
      </c>
      <c r="E199" s="14">
        <v>45806</v>
      </c>
      <c r="F199" s="5" t="s">
        <v>4314</v>
      </c>
      <c r="G199" s="5" t="s">
        <v>1079</v>
      </c>
      <c r="H199" s="6"/>
      <c r="I199" s="6" t="s">
        <v>14</v>
      </c>
      <c r="J199" s="6" t="s">
        <v>1088</v>
      </c>
      <c r="K199" s="6">
        <v>34782</v>
      </c>
      <c r="L199" s="7" t="s">
        <v>7596</v>
      </c>
      <c r="M199" s="8">
        <v>24379</v>
      </c>
      <c r="N199" s="8" t="str">
        <f t="shared" si="20"/>
        <v>PEN</v>
      </c>
      <c r="O199" s="13"/>
      <c r="P199" s="13">
        <v>5</v>
      </c>
      <c r="Q199" s="3">
        <f t="shared" si="16"/>
        <v>0</v>
      </c>
      <c r="R199" s="3">
        <f t="shared" si="17"/>
        <v>5</v>
      </c>
      <c r="S199" s="3">
        <f t="shared" si="18"/>
        <v>269</v>
      </c>
      <c r="T199" s="24"/>
      <c r="U199" s="24"/>
      <c r="V199" s="3"/>
      <c r="W199" s="25" t="s">
        <v>6541</v>
      </c>
      <c r="X199" s="25"/>
      <c r="Y199" s="25" t="str">
        <f>IFERROR(VLOOKUP(C_Ope_007[[#This Row],[NOTA 2]],Clientes_Proveedores[[Ruc / Dni]:[Razon Social]],2,0),"")</f>
        <v/>
      </c>
      <c r="Z199" s="25"/>
      <c r="AA199" s="25"/>
      <c r="AB199" s="3" t="str">
        <f>IF(C_Ope_007[[#This Row],[FECHA]]&gt;0,TEXT(C_Ope_007[[#This Row],[FECHA]],"mmmm"),0)</f>
        <v>Mayo</v>
      </c>
    </row>
    <row r="200" spans="2:28" ht="24" x14ac:dyDescent="0.3">
      <c r="B200" s="2">
        <f>IF(C_Ope_007[[#This Row],[TIPO DE R.]]="R",COUNTIFS($D$4:$D199,"R")+1,"")</f>
        <v>196</v>
      </c>
      <c r="C200" s="19" t="str">
        <f t="shared" si="19"/>
        <v>C_Ope_007</v>
      </c>
      <c r="D200" s="3" t="s">
        <v>1074</v>
      </c>
      <c r="E200" s="14">
        <v>45806</v>
      </c>
      <c r="F200" s="5" t="s">
        <v>4314</v>
      </c>
      <c r="G200" s="5" t="s">
        <v>1079</v>
      </c>
      <c r="H200" s="6"/>
      <c r="I200" s="6" t="s">
        <v>14</v>
      </c>
      <c r="J200" s="6" t="s">
        <v>1088</v>
      </c>
      <c r="K200" s="6">
        <v>34786</v>
      </c>
      <c r="L200" s="7" t="s">
        <v>7596</v>
      </c>
      <c r="M200" s="8">
        <v>24380</v>
      </c>
      <c r="N200" s="8" t="str">
        <f t="shared" si="20"/>
        <v>PEN</v>
      </c>
      <c r="O200" s="13"/>
      <c r="P200" s="13">
        <v>5</v>
      </c>
      <c r="Q200" s="3">
        <f t="shared" si="16"/>
        <v>0</v>
      </c>
      <c r="R200" s="3">
        <f t="shared" si="17"/>
        <v>5</v>
      </c>
      <c r="S200" s="3">
        <f t="shared" si="18"/>
        <v>264</v>
      </c>
      <c r="T200" s="24"/>
      <c r="U200" s="24"/>
      <c r="V200" s="3"/>
      <c r="W200" s="25" t="s">
        <v>6541</v>
      </c>
      <c r="X200" s="25"/>
      <c r="Y200" s="25" t="str">
        <f>IFERROR(VLOOKUP(C_Ope_007[[#This Row],[NOTA 2]],Clientes_Proveedores[[Ruc / Dni]:[Razon Social]],2,0),"")</f>
        <v/>
      </c>
      <c r="Z200" s="25"/>
      <c r="AA200" s="25"/>
      <c r="AB200" s="3" t="str">
        <f>IF(C_Ope_007[[#This Row],[FECHA]]&gt;0,TEXT(C_Ope_007[[#This Row],[FECHA]],"mmmm"),0)</f>
        <v>Mayo</v>
      </c>
    </row>
    <row r="201" spans="2:28" x14ac:dyDescent="0.3">
      <c r="B201" s="2">
        <f>IF(C_Ope_007[[#This Row],[TIPO DE R.]]="R",COUNTIFS($D$4:$D200,"R")+1,"")</f>
        <v>197</v>
      </c>
      <c r="C201" s="19" t="str">
        <f t="shared" si="19"/>
        <v>C_Ope_007</v>
      </c>
      <c r="D201" s="3" t="s">
        <v>1074</v>
      </c>
      <c r="E201" s="14">
        <v>45806</v>
      </c>
      <c r="F201" s="5" t="s">
        <v>4314</v>
      </c>
      <c r="G201" s="5" t="s">
        <v>1079</v>
      </c>
      <c r="H201" s="6"/>
      <c r="I201" s="6" t="s">
        <v>14</v>
      </c>
      <c r="J201" s="6" t="s">
        <v>1148</v>
      </c>
      <c r="K201" s="6">
        <v>132482</v>
      </c>
      <c r="L201" s="7" t="s">
        <v>7597</v>
      </c>
      <c r="M201" s="8">
        <v>24393</v>
      </c>
      <c r="N201" s="8" t="str">
        <f t="shared" si="20"/>
        <v>PEN</v>
      </c>
      <c r="O201" s="13"/>
      <c r="P201" s="13">
        <v>10</v>
      </c>
      <c r="Q201" s="3">
        <f t="shared" si="16"/>
        <v>0</v>
      </c>
      <c r="R201" s="3">
        <f t="shared" si="17"/>
        <v>10</v>
      </c>
      <c r="S201" s="3">
        <f t="shared" si="18"/>
        <v>254</v>
      </c>
      <c r="T201" s="24"/>
      <c r="U201" s="24"/>
      <c r="V201" s="3"/>
      <c r="W201" s="25" t="s">
        <v>6539</v>
      </c>
      <c r="X201" s="25"/>
      <c r="Y201" s="25" t="str">
        <f>IFERROR(VLOOKUP(C_Ope_007[[#This Row],[NOTA 2]],Clientes_Proveedores[[Ruc / Dni]:[Razon Social]],2,0),"")</f>
        <v/>
      </c>
      <c r="Z201" s="25"/>
      <c r="AA201" s="25"/>
      <c r="AB201" s="3" t="str">
        <f>IF(C_Ope_007[[#This Row],[FECHA]]&gt;0,TEXT(C_Ope_007[[#This Row],[FECHA]],"mmmm"),0)</f>
        <v>Mayo</v>
      </c>
    </row>
    <row r="202" spans="2:28" x14ac:dyDescent="0.3">
      <c r="B202" s="2">
        <f>IF(C_Ope_007[[#This Row],[TIPO DE R.]]="R",COUNTIFS($D$4:$D201,"R")+1,"")</f>
        <v>198</v>
      </c>
      <c r="C202" s="19" t="str">
        <f t="shared" si="19"/>
        <v>C_Ope_007</v>
      </c>
      <c r="D202" s="3" t="s">
        <v>1074</v>
      </c>
      <c r="E202" s="14">
        <v>45804</v>
      </c>
      <c r="F202" s="5" t="s">
        <v>4314</v>
      </c>
      <c r="G202" s="5" t="s">
        <v>1079</v>
      </c>
      <c r="H202" s="6"/>
      <c r="I202" s="6" t="s">
        <v>14</v>
      </c>
      <c r="J202" s="6" t="s">
        <v>1119</v>
      </c>
      <c r="K202" s="6">
        <v>17896</v>
      </c>
      <c r="L202" s="7" t="s">
        <v>6565</v>
      </c>
      <c r="M202" s="8">
        <v>24375</v>
      </c>
      <c r="N202" s="8" t="str">
        <f t="shared" si="20"/>
        <v>PEN</v>
      </c>
      <c r="O202" s="13"/>
      <c r="P202" s="13">
        <v>25</v>
      </c>
      <c r="Q202" s="3">
        <f t="shared" si="16"/>
        <v>0</v>
      </c>
      <c r="R202" s="3">
        <f t="shared" si="17"/>
        <v>25</v>
      </c>
      <c r="S202" s="3">
        <f t="shared" si="18"/>
        <v>229</v>
      </c>
      <c r="T202" s="24"/>
      <c r="U202" s="24"/>
      <c r="V202" s="3"/>
      <c r="W202" s="25" t="s">
        <v>6541</v>
      </c>
      <c r="X202" s="25"/>
      <c r="Y202" s="25" t="str">
        <f>IFERROR(VLOOKUP(C_Ope_007[[#This Row],[NOTA 2]],Clientes_Proveedores[[Ruc / Dni]:[Razon Social]],2,0),"")</f>
        <v/>
      </c>
      <c r="Z202" s="25"/>
      <c r="AA202" s="25"/>
      <c r="AB202" s="3" t="str">
        <f>IF(C_Ope_007[[#This Row],[FECHA]]&gt;0,TEXT(C_Ope_007[[#This Row],[FECHA]],"mmmm"),0)</f>
        <v>Mayo</v>
      </c>
    </row>
    <row r="203" spans="2:28" x14ac:dyDescent="0.3">
      <c r="B203" s="2">
        <f>IF(C_Ope_007[[#This Row],[TIPO DE R.]]="R",COUNTIFS($D$4:$D202,"R")+1,"")</f>
        <v>199</v>
      </c>
      <c r="C203" s="19" t="str">
        <f t="shared" si="19"/>
        <v>C_Ope_007</v>
      </c>
      <c r="D203" s="3" t="s">
        <v>1074</v>
      </c>
      <c r="E203" s="14">
        <v>45811</v>
      </c>
      <c r="F203" s="5" t="s">
        <v>4314</v>
      </c>
      <c r="G203" s="5" t="s">
        <v>1079</v>
      </c>
      <c r="H203" s="6"/>
      <c r="I203" s="6" t="s">
        <v>14</v>
      </c>
      <c r="J203" s="6" t="s">
        <v>5244</v>
      </c>
      <c r="K203" s="6">
        <v>1748397</v>
      </c>
      <c r="L203" s="7" t="s">
        <v>7263</v>
      </c>
      <c r="M203" s="8">
        <v>24436</v>
      </c>
      <c r="N203" s="8" t="str">
        <f t="shared" si="20"/>
        <v>PEN</v>
      </c>
      <c r="O203" s="13"/>
      <c r="P203" s="13">
        <v>8</v>
      </c>
      <c r="Q203" s="3">
        <f t="shared" si="16"/>
        <v>0</v>
      </c>
      <c r="R203" s="3">
        <f t="shared" si="17"/>
        <v>8</v>
      </c>
      <c r="S203" s="3">
        <f t="shared" si="18"/>
        <v>221</v>
      </c>
      <c r="T203" s="24"/>
      <c r="U203" s="24"/>
      <c r="V203" s="3"/>
      <c r="W203" s="25" t="s">
        <v>6630</v>
      </c>
      <c r="X203" s="25"/>
      <c r="Y203" s="25" t="str">
        <f>IFERROR(VLOOKUP(C_Ope_007[[#This Row],[NOTA 2]],Clientes_Proveedores[[Ruc / Dni]:[Razon Social]],2,0),"")</f>
        <v/>
      </c>
      <c r="Z203" s="25"/>
      <c r="AA203" s="25"/>
      <c r="AB203" s="3" t="str">
        <f>IF(C_Ope_007[[#This Row],[FECHA]]&gt;0,TEXT(C_Ope_007[[#This Row],[FECHA]],"mmmm"),0)</f>
        <v>Junio</v>
      </c>
    </row>
    <row r="204" spans="2:28" x14ac:dyDescent="0.3">
      <c r="B204" s="2">
        <f>IF(C_Ope_007[[#This Row],[TIPO DE R.]]="R",COUNTIFS($D$4:$D203,"R")+1,"")</f>
        <v>200</v>
      </c>
      <c r="C204" s="19" t="str">
        <f t="shared" si="19"/>
        <v>C_Ope_007</v>
      </c>
      <c r="D204" s="3" t="s">
        <v>1074</v>
      </c>
      <c r="E204" s="14">
        <v>45811</v>
      </c>
      <c r="F204" s="5" t="s">
        <v>4314</v>
      </c>
      <c r="G204" s="5" t="s">
        <v>1079</v>
      </c>
      <c r="H204" s="6"/>
      <c r="I204" s="6" t="s">
        <v>14</v>
      </c>
      <c r="J204" s="6" t="s">
        <v>6556</v>
      </c>
      <c r="K204" s="6">
        <v>478106</v>
      </c>
      <c r="L204" s="7" t="s">
        <v>6629</v>
      </c>
      <c r="M204" s="8">
        <v>24437</v>
      </c>
      <c r="N204" s="8" t="str">
        <f t="shared" si="20"/>
        <v>PEN</v>
      </c>
      <c r="O204" s="13"/>
      <c r="P204" s="13">
        <v>8</v>
      </c>
      <c r="Q204" s="3">
        <f t="shared" si="16"/>
        <v>0</v>
      </c>
      <c r="R204" s="3">
        <f t="shared" si="17"/>
        <v>8</v>
      </c>
      <c r="S204" s="3">
        <f t="shared" si="18"/>
        <v>213</v>
      </c>
      <c r="T204" s="24"/>
      <c r="U204" s="24"/>
      <c r="V204" s="3"/>
      <c r="W204" s="25" t="s">
        <v>6630</v>
      </c>
      <c r="X204" s="25"/>
      <c r="Y204" s="25" t="str">
        <f>IFERROR(VLOOKUP(C_Ope_007[[#This Row],[NOTA 2]],Clientes_Proveedores[[Ruc / Dni]:[Razon Social]],2,0),"")</f>
        <v/>
      </c>
      <c r="Z204" s="25"/>
      <c r="AA204" s="25"/>
      <c r="AB204" s="3" t="str">
        <f>IF(C_Ope_007[[#This Row],[FECHA]]&gt;0,TEXT(C_Ope_007[[#This Row],[FECHA]],"mmmm"),0)</f>
        <v>Junio</v>
      </c>
    </row>
    <row r="205" spans="2:28" x14ac:dyDescent="0.3">
      <c r="B205" s="2">
        <f>IF(C_Ope_007[[#This Row],[TIPO DE R.]]="R",COUNTIFS($D$4:$D204,"R")+1,"")</f>
        <v>201</v>
      </c>
      <c r="C205" s="19" t="str">
        <f t="shared" si="19"/>
        <v>C_Ope_007</v>
      </c>
      <c r="D205" s="3" t="s">
        <v>1074</v>
      </c>
      <c r="E205" s="14">
        <v>45811</v>
      </c>
      <c r="F205" s="5" t="s">
        <v>4314</v>
      </c>
      <c r="G205" s="5" t="s">
        <v>1079</v>
      </c>
      <c r="H205" s="6"/>
      <c r="I205" s="6" t="s">
        <v>14</v>
      </c>
      <c r="J205" s="6" t="s">
        <v>5280</v>
      </c>
      <c r="K205" s="6">
        <v>1066340</v>
      </c>
      <c r="L205" s="7" t="s">
        <v>6629</v>
      </c>
      <c r="M205" s="8">
        <v>24438</v>
      </c>
      <c r="N205" s="8" t="str">
        <f t="shared" si="20"/>
        <v>PEN</v>
      </c>
      <c r="O205" s="13"/>
      <c r="P205" s="13">
        <v>8</v>
      </c>
      <c r="Q205" s="3">
        <f t="shared" si="16"/>
        <v>0</v>
      </c>
      <c r="R205" s="3">
        <f t="shared" si="17"/>
        <v>8</v>
      </c>
      <c r="S205" s="3">
        <f t="shared" si="18"/>
        <v>205</v>
      </c>
      <c r="T205" s="24"/>
      <c r="U205" s="24"/>
      <c r="V205" s="3"/>
      <c r="W205" s="25" t="s">
        <v>6630</v>
      </c>
      <c r="X205" s="25"/>
      <c r="Y205" s="25" t="str">
        <f>IFERROR(VLOOKUP(C_Ope_007[[#This Row],[NOTA 2]],Clientes_Proveedores[[Ruc / Dni]:[Razon Social]],2,0),"")</f>
        <v/>
      </c>
      <c r="Z205" s="25"/>
      <c r="AA205" s="25"/>
      <c r="AB205" s="3" t="str">
        <f>IF(C_Ope_007[[#This Row],[FECHA]]&gt;0,TEXT(C_Ope_007[[#This Row],[FECHA]],"mmmm"),0)</f>
        <v>Junio</v>
      </c>
    </row>
    <row r="206" spans="2:28" x14ac:dyDescent="0.3">
      <c r="B206" s="2">
        <f>IF(C_Ope_007[[#This Row],[TIPO DE R.]]="R",COUNTIFS($D$4:$D205,"R")+1,"")</f>
        <v>202</v>
      </c>
      <c r="C206" s="19" t="str">
        <f t="shared" si="19"/>
        <v>C_Ope_007</v>
      </c>
      <c r="D206" s="3" t="s">
        <v>1074</v>
      </c>
      <c r="E206" s="14">
        <v>45811</v>
      </c>
      <c r="F206" s="5" t="s">
        <v>4314</v>
      </c>
      <c r="G206" s="5" t="s">
        <v>1079</v>
      </c>
      <c r="H206" s="6"/>
      <c r="I206" s="6" t="s">
        <v>14</v>
      </c>
      <c r="J206" s="6" t="s">
        <v>5281</v>
      </c>
      <c r="K206" s="6">
        <v>977336</v>
      </c>
      <c r="L206" s="7" t="s">
        <v>6629</v>
      </c>
      <c r="M206" s="8">
        <v>24439</v>
      </c>
      <c r="N206" s="8" t="str">
        <f t="shared" si="20"/>
        <v>PEN</v>
      </c>
      <c r="O206" s="13"/>
      <c r="P206" s="13">
        <v>8</v>
      </c>
      <c r="Q206" s="3">
        <f t="shared" si="16"/>
        <v>0</v>
      </c>
      <c r="R206" s="3">
        <f t="shared" si="17"/>
        <v>8</v>
      </c>
      <c r="S206" s="3">
        <f t="shared" si="18"/>
        <v>197</v>
      </c>
      <c r="T206" s="24"/>
      <c r="U206" s="24"/>
      <c r="V206" s="3"/>
      <c r="W206" s="25" t="s">
        <v>6630</v>
      </c>
      <c r="X206" s="25"/>
      <c r="Y206" s="25" t="str">
        <f>IFERROR(VLOOKUP(C_Ope_007[[#This Row],[NOTA 2]],Clientes_Proveedores[[Ruc / Dni]:[Razon Social]],2,0),"")</f>
        <v/>
      </c>
      <c r="Z206" s="25"/>
      <c r="AA206" s="25"/>
      <c r="AB206" s="3" t="str">
        <f>IF(C_Ope_007[[#This Row],[FECHA]]&gt;0,TEXT(C_Ope_007[[#This Row],[FECHA]],"mmmm"),0)</f>
        <v>Junio</v>
      </c>
    </row>
    <row r="207" spans="2:28" x14ac:dyDescent="0.3">
      <c r="B207" s="2">
        <f>IF(C_Ope_007[[#This Row],[TIPO DE R.]]="R",COUNTIFS($D$4:$D206,"R")+1,"")</f>
        <v>203</v>
      </c>
      <c r="C207" s="19" t="str">
        <f t="shared" si="19"/>
        <v>C_Ope_007</v>
      </c>
      <c r="D207" s="3" t="s">
        <v>1074</v>
      </c>
      <c r="E207" s="14">
        <v>45811</v>
      </c>
      <c r="F207" s="5" t="s">
        <v>4314</v>
      </c>
      <c r="G207" s="5" t="s">
        <v>1079</v>
      </c>
      <c r="H207" s="6"/>
      <c r="I207" s="6" t="s">
        <v>14</v>
      </c>
      <c r="J207" s="6" t="s">
        <v>5280</v>
      </c>
      <c r="K207" s="6">
        <v>1066503</v>
      </c>
      <c r="L207" s="7" t="s">
        <v>6629</v>
      </c>
      <c r="M207" s="8">
        <v>24440</v>
      </c>
      <c r="N207" s="8" t="str">
        <f t="shared" si="20"/>
        <v>PEN</v>
      </c>
      <c r="O207" s="13"/>
      <c r="P207" s="13">
        <v>8</v>
      </c>
      <c r="Q207" s="3">
        <f t="shared" si="16"/>
        <v>0</v>
      </c>
      <c r="R207" s="3">
        <f t="shared" si="17"/>
        <v>8</v>
      </c>
      <c r="S207" s="3">
        <f t="shared" si="18"/>
        <v>189</v>
      </c>
      <c r="T207" s="24"/>
      <c r="U207" s="24"/>
      <c r="V207" s="3"/>
      <c r="W207" s="25" t="s">
        <v>6630</v>
      </c>
      <c r="X207" s="25"/>
      <c r="Y207" s="25" t="str">
        <f>IFERROR(VLOOKUP(C_Ope_007[[#This Row],[NOTA 2]],Clientes_Proveedores[[Ruc / Dni]:[Razon Social]],2,0),"")</f>
        <v/>
      </c>
      <c r="Z207" s="25"/>
      <c r="AA207" s="25"/>
      <c r="AB207" s="3" t="str">
        <f>IF(C_Ope_007[[#This Row],[FECHA]]&gt;0,TEXT(C_Ope_007[[#This Row],[FECHA]],"mmmm"),0)</f>
        <v>Junio</v>
      </c>
    </row>
    <row r="208" spans="2:28" ht="24" x14ac:dyDescent="0.3">
      <c r="B208" s="2">
        <f>IF(C_Ope_007[[#This Row],[TIPO DE R.]]="R",COUNTIFS($D$4:$D207,"R")+1,"")</f>
        <v>204</v>
      </c>
      <c r="C208" s="19" t="str">
        <f t="shared" si="19"/>
        <v>C_Ope_007</v>
      </c>
      <c r="D208" s="3" t="s">
        <v>1074</v>
      </c>
      <c r="E208" s="14">
        <v>45813</v>
      </c>
      <c r="F208" s="5" t="s">
        <v>4314</v>
      </c>
      <c r="G208" s="5" t="s">
        <v>1079</v>
      </c>
      <c r="H208" s="6"/>
      <c r="I208" s="6" t="s">
        <v>14</v>
      </c>
      <c r="J208" s="6" t="s">
        <v>5244</v>
      </c>
      <c r="K208" s="6">
        <v>1750250</v>
      </c>
      <c r="L208" s="7" t="s">
        <v>7598</v>
      </c>
      <c r="M208" s="8">
        <v>24510</v>
      </c>
      <c r="N208" s="8" t="str">
        <f t="shared" si="20"/>
        <v>PEN</v>
      </c>
      <c r="O208" s="13"/>
      <c r="P208" s="13">
        <v>8</v>
      </c>
      <c r="Q208" s="3">
        <f t="shared" si="16"/>
        <v>0</v>
      </c>
      <c r="R208" s="3">
        <f t="shared" si="17"/>
        <v>8</v>
      </c>
      <c r="S208" s="3">
        <f t="shared" si="18"/>
        <v>181</v>
      </c>
      <c r="T208" s="24"/>
      <c r="U208" s="24"/>
      <c r="V208" s="3"/>
      <c r="W208" s="25" t="s">
        <v>6630</v>
      </c>
      <c r="X208" s="25"/>
      <c r="Y208" s="25" t="str">
        <f>IFERROR(VLOOKUP(C_Ope_007[[#This Row],[NOTA 2]],Clientes_Proveedores[[Ruc / Dni]:[Razon Social]],2,0),"")</f>
        <v/>
      </c>
      <c r="Z208" s="25"/>
      <c r="AA208" s="25"/>
      <c r="AB208" s="3" t="str">
        <f>IF(C_Ope_007[[#This Row],[FECHA]]&gt;0,TEXT(C_Ope_007[[#This Row],[FECHA]],"mmmm"),0)</f>
        <v>Junio</v>
      </c>
    </row>
    <row r="209" spans="2:28" ht="24" x14ac:dyDescent="0.3">
      <c r="B209" s="2">
        <f>IF(C_Ope_007[[#This Row],[TIPO DE R.]]="R",COUNTIFS($D$4:$D208,"R")+1,"")</f>
        <v>205</v>
      </c>
      <c r="C209" s="19" t="str">
        <f t="shared" si="19"/>
        <v>C_Ope_007</v>
      </c>
      <c r="D209" s="3" t="s">
        <v>1074</v>
      </c>
      <c r="E209" s="14">
        <v>45813</v>
      </c>
      <c r="F209" s="5" t="s">
        <v>4314</v>
      </c>
      <c r="G209" s="5" t="s">
        <v>1079</v>
      </c>
      <c r="H209" s="6"/>
      <c r="I209" s="6" t="s">
        <v>14</v>
      </c>
      <c r="J209" s="6" t="s">
        <v>6556</v>
      </c>
      <c r="K209" s="6">
        <v>478653</v>
      </c>
      <c r="L209" s="7" t="s">
        <v>7599</v>
      </c>
      <c r="M209" s="8">
        <v>24511</v>
      </c>
      <c r="N209" s="8" t="str">
        <f t="shared" si="20"/>
        <v>PEN</v>
      </c>
      <c r="O209" s="13"/>
      <c r="P209" s="13">
        <v>8</v>
      </c>
      <c r="Q209" s="3">
        <f t="shared" si="16"/>
        <v>0</v>
      </c>
      <c r="R209" s="3">
        <f t="shared" si="17"/>
        <v>8</v>
      </c>
      <c r="S209" s="3">
        <f t="shared" si="18"/>
        <v>173</v>
      </c>
      <c r="T209" s="24"/>
      <c r="U209" s="24"/>
      <c r="V209" s="3"/>
      <c r="W209" s="25" t="s">
        <v>6630</v>
      </c>
      <c r="X209" s="25"/>
      <c r="Y209" s="25" t="str">
        <f>IFERROR(VLOOKUP(C_Ope_007[[#This Row],[NOTA 2]],Clientes_Proveedores[[Ruc / Dni]:[Razon Social]],2,0),"")</f>
        <v/>
      </c>
      <c r="Z209" s="25"/>
      <c r="AA209" s="25"/>
      <c r="AB209" s="3" t="str">
        <f>IF(C_Ope_007[[#This Row],[FECHA]]&gt;0,TEXT(C_Ope_007[[#This Row],[FECHA]],"mmmm"),0)</f>
        <v>Junio</v>
      </c>
    </row>
    <row r="210" spans="2:28" ht="24" x14ac:dyDescent="0.3">
      <c r="B210" s="2">
        <f>IF(C_Ope_007[[#This Row],[TIPO DE R.]]="R",COUNTIFS($D$4:$D209,"R")+1,"")</f>
        <v>206</v>
      </c>
      <c r="C210" s="19" t="str">
        <f t="shared" si="19"/>
        <v>C_Ope_007</v>
      </c>
      <c r="D210" s="3" t="s">
        <v>1074</v>
      </c>
      <c r="E210" s="14">
        <v>45813</v>
      </c>
      <c r="F210" s="5" t="s">
        <v>4314</v>
      </c>
      <c r="G210" s="5" t="s">
        <v>1079</v>
      </c>
      <c r="H210" s="6"/>
      <c r="I210" s="6" t="s">
        <v>14</v>
      </c>
      <c r="J210" s="6" t="s">
        <v>5280</v>
      </c>
      <c r="K210" s="6">
        <v>1067690</v>
      </c>
      <c r="L210" s="7" t="s">
        <v>7599</v>
      </c>
      <c r="M210" s="8">
        <v>24512</v>
      </c>
      <c r="N210" s="8" t="str">
        <f t="shared" si="20"/>
        <v>PEN</v>
      </c>
      <c r="O210" s="13"/>
      <c r="P210" s="13">
        <v>8</v>
      </c>
      <c r="Q210" s="3">
        <f t="shared" si="16"/>
        <v>0</v>
      </c>
      <c r="R210" s="3">
        <f t="shared" si="17"/>
        <v>8</v>
      </c>
      <c r="S210" s="3">
        <f t="shared" si="18"/>
        <v>165</v>
      </c>
      <c r="T210" s="24"/>
      <c r="U210" s="24"/>
      <c r="V210" s="3"/>
      <c r="W210" s="25" t="s">
        <v>6630</v>
      </c>
      <c r="X210" s="25"/>
      <c r="Y210" s="25" t="str">
        <f>IFERROR(VLOOKUP(C_Ope_007[[#This Row],[NOTA 2]],Clientes_Proveedores[[Ruc / Dni]:[Razon Social]],2,0),"")</f>
        <v/>
      </c>
      <c r="Z210" s="25"/>
      <c r="AA210" s="25"/>
      <c r="AB210" s="3" t="str">
        <f>IF(C_Ope_007[[#This Row],[FECHA]]&gt;0,TEXT(C_Ope_007[[#This Row],[FECHA]],"mmmm"),0)</f>
        <v>Junio</v>
      </c>
    </row>
    <row r="211" spans="2:28" ht="24" x14ac:dyDescent="0.3">
      <c r="B211" s="2">
        <f>IF(C_Ope_007[[#This Row],[TIPO DE R.]]="R",COUNTIFS($D$4:$D210,"R")+1,"")</f>
        <v>207</v>
      </c>
      <c r="C211" s="19" t="str">
        <f t="shared" si="19"/>
        <v>C_Ope_007</v>
      </c>
      <c r="D211" s="3" t="s">
        <v>1074</v>
      </c>
      <c r="E211" s="14">
        <v>45813</v>
      </c>
      <c r="F211" s="5" t="s">
        <v>4314</v>
      </c>
      <c r="G211" s="5" t="s">
        <v>1079</v>
      </c>
      <c r="H211" s="6"/>
      <c r="I211" s="6" t="s">
        <v>14</v>
      </c>
      <c r="J211" s="6" t="s">
        <v>5245</v>
      </c>
      <c r="K211" s="6">
        <v>1770412</v>
      </c>
      <c r="L211" s="7" t="s">
        <v>7598</v>
      </c>
      <c r="M211" s="8">
        <v>24513</v>
      </c>
      <c r="N211" s="8" t="str">
        <f t="shared" si="20"/>
        <v>PEN</v>
      </c>
      <c r="O211" s="13"/>
      <c r="P211" s="13">
        <v>8</v>
      </c>
      <c r="Q211" s="3">
        <f t="shared" si="16"/>
        <v>0</v>
      </c>
      <c r="R211" s="3">
        <f t="shared" si="17"/>
        <v>8</v>
      </c>
      <c r="S211" s="3">
        <f t="shared" si="18"/>
        <v>157</v>
      </c>
      <c r="T211" s="24"/>
      <c r="U211" s="24"/>
      <c r="V211" s="3"/>
      <c r="W211" s="25" t="s">
        <v>6630</v>
      </c>
      <c r="X211" s="25"/>
      <c r="Y211" s="25" t="str">
        <f>IFERROR(VLOOKUP(C_Ope_007[[#This Row],[NOTA 2]],Clientes_Proveedores[[Ruc / Dni]:[Razon Social]],2,0),"")</f>
        <v/>
      </c>
      <c r="Z211" s="25"/>
      <c r="AA211" s="25"/>
      <c r="AB211" s="3" t="str">
        <f>IF(C_Ope_007[[#This Row],[FECHA]]&gt;0,TEXT(C_Ope_007[[#This Row],[FECHA]],"mmmm"),0)</f>
        <v>Junio</v>
      </c>
    </row>
    <row r="212" spans="2:28" ht="24" x14ac:dyDescent="0.3">
      <c r="B212" s="2">
        <f>IF(C_Ope_007[[#This Row],[TIPO DE R.]]="R",COUNTIFS($D$4:$D211,"R")+1,"")</f>
        <v>208</v>
      </c>
      <c r="C212" s="19" t="str">
        <f t="shared" si="19"/>
        <v>C_Ope_007</v>
      </c>
      <c r="D212" s="3" t="s">
        <v>1074</v>
      </c>
      <c r="E212" s="14">
        <v>45814</v>
      </c>
      <c r="F212" s="5" t="s">
        <v>4314</v>
      </c>
      <c r="G212" s="5" t="s">
        <v>1079</v>
      </c>
      <c r="H212" s="6"/>
      <c r="I212" s="6" t="s">
        <v>14</v>
      </c>
      <c r="J212" s="6" t="s">
        <v>5244</v>
      </c>
      <c r="K212" s="6">
        <v>1751405</v>
      </c>
      <c r="L212" s="7" t="s">
        <v>6601</v>
      </c>
      <c r="M212" s="8">
        <v>24514</v>
      </c>
      <c r="N212" s="8" t="str">
        <f t="shared" si="20"/>
        <v>PEN</v>
      </c>
      <c r="O212" s="13"/>
      <c r="P212" s="13">
        <v>8</v>
      </c>
      <c r="Q212" s="3">
        <f t="shared" si="16"/>
        <v>0</v>
      </c>
      <c r="R212" s="3">
        <f t="shared" si="17"/>
        <v>8</v>
      </c>
      <c r="S212" s="3">
        <f t="shared" si="18"/>
        <v>149</v>
      </c>
      <c r="T212" s="24"/>
      <c r="U212" s="24"/>
      <c r="V212" s="3"/>
      <c r="W212" s="25" t="s">
        <v>6541</v>
      </c>
      <c r="X212" s="25"/>
      <c r="Y212" s="25" t="str">
        <f>IFERROR(VLOOKUP(C_Ope_007[[#This Row],[NOTA 2]],Clientes_Proveedores[[Ruc / Dni]:[Razon Social]],2,0),"")</f>
        <v/>
      </c>
      <c r="Z212" s="25"/>
      <c r="AA212" s="25"/>
      <c r="AB212" s="3" t="str">
        <f>IF(C_Ope_007[[#This Row],[FECHA]]&gt;0,TEXT(C_Ope_007[[#This Row],[FECHA]],"mmmm"),0)</f>
        <v>Junio</v>
      </c>
    </row>
    <row r="213" spans="2:28" x14ac:dyDescent="0.3">
      <c r="B213" s="2">
        <f>IF(C_Ope_007[[#This Row],[TIPO DE R.]]="R",COUNTIFS($D$4:$D212,"R")+1,"")</f>
        <v>209</v>
      </c>
      <c r="C213" s="19" t="str">
        <f t="shared" si="19"/>
        <v>C_Ope_007</v>
      </c>
      <c r="D213" s="3" t="s">
        <v>1074</v>
      </c>
      <c r="E213" s="14">
        <v>45814</v>
      </c>
      <c r="F213" s="5" t="s">
        <v>4314</v>
      </c>
      <c r="G213" s="5" t="s">
        <v>1079</v>
      </c>
      <c r="H213" s="6"/>
      <c r="I213" s="6" t="s">
        <v>14</v>
      </c>
      <c r="J213" s="6" t="s">
        <v>5245</v>
      </c>
      <c r="K213" s="6">
        <v>1771105</v>
      </c>
      <c r="L213" s="7" t="s">
        <v>7600</v>
      </c>
      <c r="M213" s="8">
        <v>24515</v>
      </c>
      <c r="N213" s="8" t="str">
        <f t="shared" si="20"/>
        <v>PEN</v>
      </c>
      <c r="O213" s="13"/>
      <c r="P213" s="13">
        <v>8</v>
      </c>
      <c r="Q213" s="3">
        <f t="shared" si="16"/>
        <v>0</v>
      </c>
      <c r="R213" s="3">
        <f t="shared" si="17"/>
        <v>8</v>
      </c>
      <c r="S213" s="3">
        <f t="shared" si="18"/>
        <v>141</v>
      </c>
      <c r="T213" s="24"/>
      <c r="U213" s="24"/>
      <c r="V213" s="3"/>
      <c r="W213" s="25" t="s">
        <v>6546</v>
      </c>
      <c r="X213" s="25"/>
      <c r="Y213" s="25" t="str">
        <f>IFERROR(VLOOKUP(C_Ope_007[[#This Row],[NOTA 2]],Clientes_Proveedores[[Ruc / Dni]:[Razon Social]],2,0),"")</f>
        <v/>
      </c>
      <c r="Z213" s="25"/>
      <c r="AA213" s="25"/>
      <c r="AB213" s="3" t="str">
        <f>IF(C_Ope_007[[#This Row],[FECHA]]&gt;0,TEXT(C_Ope_007[[#This Row],[FECHA]],"mmmm"),0)</f>
        <v>Junio</v>
      </c>
    </row>
    <row r="214" spans="2:28" x14ac:dyDescent="0.3">
      <c r="B214" s="2">
        <f>IF(C_Ope_007[[#This Row],[TIPO DE R.]]="R",COUNTIFS($D$4:$D213,"R")+1,"")</f>
        <v>210</v>
      </c>
      <c r="C214" s="19" t="str">
        <f t="shared" si="19"/>
        <v>C_Ope_007</v>
      </c>
      <c r="D214" s="3" t="s">
        <v>1074</v>
      </c>
      <c r="E214" s="14">
        <v>45811</v>
      </c>
      <c r="F214" s="5" t="s">
        <v>4314</v>
      </c>
      <c r="G214" s="5" t="s">
        <v>1079</v>
      </c>
      <c r="H214" s="6"/>
      <c r="I214" s="6" t="s">
        <v>14</v>
      </c>
      <c r="J214" s="6" t="s">
        <v>1119</v>
      </c>
      <c r="K214" s="6">
        <v>17681</v>
      </c>
      <c r="L214" s="7" t="s">
        <v>6633</v>
      </c>
      <c r="M214" s="8">
        <v>24441</v>
      </c>
      <c r="N214" s="8" t="str">
        <f t="shared" si="20"/>
        <v>PEN</v>
      </c>
      <c r="O214" s="13"/>
      <c r="P214" s="13">
        <v>11</v>
      </c>
      <c r="Q214" s="3">
        <f t="shared" si="16"/>
        <v>0</v>
      </c>
      <c r="R214" s="3">
        <f t="shared" si="17"/>
        <v>11</v>
      </c>
      <c r="S214" s="3">
        <f t="shared" si="18"/>
        <v>130</v>
      </c>
      <c r="T214" s="24"/>
      <c r="U214" s="24"/>
      <c r="V214" s="3"/>
      <c r="W214" s="25" t="s">
        <v>6630</v>
      </c>
      <c r="X214" s="25"/>
      <c r="Y214" s="25" t="str">
        <f>IFERROR(VLOOKUP(C_Ope_007[[#This Row],[NOTA 2]],Clientes_Proveedores[[Ruc / Dni]:[Razon Social]],2,0),"")</f>
        <v/>
      </c>
      <c r="Z214" s="25"/>
      <c r="AA214" s="25"/>
      <c r="AB214" s="3" t="str">
        <f>IF(C_Ope_007[[#This Row],[FECHA]]&gt;0,TEXT(C_Ope_007[[#This Row],[FECHA]],"mmmm"),0)</f>
        <v>Junio</v>
      </c>
    </row>
    <row r="215" spans="2:28" x14ac:dyDescent="0.3">
      <c r="B215" s="2">
        <f>IF(C_Ope_007[[#This Row],[TIPO DE R.]]="R",COUNTIFS($D$4:$D214,"R")+1,"")</f>
        <v>211</v>
      </c>
      <c r="C215" s="19" t="str">
        <f t="shared" si="19"/>
        <v>C_Ope_007</v>
      </c>
      <c r="D215" s="3" t="s">
        <v>1074</v>
      </c>
      <c r="E215" s="14">
        <v>45811</v>
      </c>
      <c r="F215" s="5" t="s">
        <v>4314</v>
      </c>
      <c r="G215" s="5" t="s">
        <v>1079</v>
      </c>
      <c r="H215" s="6"/>
      <c r="I215" s="6" t="s">
        <v>14</v>
      </c>
      <c r="J215" s="6" t="s">
        <v>1119</v>
      </c>
      <c r="K215" s="6">
        <v>17687</v>
      </c>
      <c r="L215" s="7" t="s">
        <v>6633</v>
      </c>
      <c r="M215" s="8">
        <v>24442</v>
      </c>
      <c r="N215" s="8" t="str">
        <f t="shared" si="20"/>
        <v>PEN</v>
      </c>
      <c r="O215" s="13"/>
      <c r="P215" s="13">
        <v>11</v>
      </c>
      <c r="Q215" s="3">
        <f t="shared" si="16"/>
        <v>0</v>
      </c>
      <c r="R215" s="3">
        <f t="shared" si="17"/>
        <v>11</v>
      </c>
      <c r="S215" s="3">
        <f t="shared" si="18"/>
        <v>119</v>
      </c>
      <c r="T215" s="24"/>
      <c r="U215" s="24"/>
      <c r="V215" s="3"/>
      <c r="W215" s="25" t="s">
        <v>6630</v>
      </c>
      <c r="X215" s="25"/>
      <c r="Y215" s="25" t="str">
        <f>IFERROR(VLOOKUP(C_Ope_007[[#This Row],[NOTA 2]],Clientes_Proveedores[[Ruc / Dni]:[Razon Social]],2,0),"")</f>
        <v/>
      </c>
      <c r="Z215" s="25"/>
      <c r="AA215" s="25"/>
      <c r="AB215" s="3" t="str">
        <f>IF(C_Ope_007[[#This Row],[FECHA]]&gt;0,TEXT(C_Ope_007[[#This Row],[FECHA]],"mmmm"),0)</f>
        <v>Junio</v>
      </c>
    </row>
    <row r="216" spans="2:28" x14ac:dyDescent="0.3">
      <c r="B216" s="2">
        <f>IF(C_Ope_007[[#This Row],[TIPO DE R.]]="R",COUNTIFS($D$4:$D215,"R")+1,"")</f>
        <v>212</v>
      </c>
      <c r="C216" s="19" t="str">
        <f t="shared" si="19"/>
        <v>C_Ope_007</v>
      </c>
      <c r="D216" s="3" t="s">
        <v>1074</v>
      </c>
      <c r="E216" s="14">
        <v>45814</v>
      </c>
      <c r="F216" s="5" t="s">
        <v>4314</v>
      </c>
      <c r="G216" s="5" t="s">
        <v>1079</v>
      </c>
      <c r="H216" s="6"/>
      <c r="I216" s="6" t="s">
        <v>14</v>
      </c>
      <c r="J216" s="6" t="s">
        <v>1097</v>
      </c>
      <c r="K216" s="6">
        <v>16596</v>
      </c>
      <c r="L216" s="7" t="s">
        <v>7601</v>
      </c>
      <c r="M216" s="8">
        <v>24517</v>
      </c>
      <c r="N216" s="8" t="str">
        <f t="shared" si="20"/>
        <v>PEN</v>
      </c>
      <c r="O216" s="13"/>
      <c r="P216" s="13">
        <v>20</v>
      </c>
      <c r="Q216" s="3">
        <f t="shared" si="16"/>
        <v>0</v>
      </c>
      <c r="R216" s="3">
        <f t="shared" si="17"/>
        <v>20</v>
      </c>
      <c r="S216" s="3">
        <f t="shared" si="18"/>
        <v>99</v>
      </c>
      <c r="T216" s="24"/>
      <c r="U216" s="24"/>
      <c r="V216" s="3"/>
      <c r="W216" s="25" t="s">
        <v>6813</v>
      </c>
      <c r="X216" s="25"/>
      <c r="Y216" s="25" t="str">
        <f>IFERROR(VLOOKUP(C_Ope_007[[#This Row],[NOTA 2]],Clientes_Proveedores[[Ruc / Dni]:[Razon Social]],2,0),"")</f>
        <v/>
      </c>
      <c r="Z216" s="25"/>
      <c r="AA216" s="25"/>
      <c r="AB216" s="3" t="str">
        <f>IF(C_Ope_007[[#This Row],[FECHA]]&gt;0,TEXT(C_Ope_007[[#This Row],[FECHA]],"mmmm"),0)</f>
        <v>Junio</v>
      </c>
    </row>
    <row r="217" spans="2:28" x14ac:dyDescent="0.3">
      <c r="B217" s="2">
        <f>IF(C_Ope_007[[#This Row],[TIPO DE R.]]="R",COUNTIFS($D$4:$D216,"R")+1,"")</f>
        <v>213</v>
      </c>
      <c r="C217" s="19" t="str">
        <f t="shared" si="19"/>
        <v>C_Ope_007</v>
      </c>
      <c r="D217" s="3" t="s">
        <v>1074</v>
      </c>
      <c r="E217" s="14">
        <v>45814</v>
      </c>
      <c r="F217" s="5" t="s">
        <v>4314</v>
      </c>
      <c r="G217" s="5" t="s">
        <v>1079</v>
      </c>
      <c r="H217" s="6"/>
      <c r="I217" s="6" t="s">
        <v>14</v>
      </c>
      <c r="J217" s="6" t="s">
        <v>1119</v>
      </c>
      <c r="K217" s="6">
        <v>18073</v>
      </c>
      <c r="L217" s="7" t="s">
        <v>6565</v>
      </c>
      <c r="M217" s="8">
        <v>24516</v>
      </c>
      <c r="N217" s="8" t="str">
        <f t="shared" si="20"/>
        <v>PEN</v>
      </c>
      <c r="O217" s="13"/>
      <c r="P217" s="13">
        <v>25</v>
      </c>
      <c r="Q217" s="3">
        <f t="shared" si="16"/>
        <v>0</v>
      </c>
      <c r="R217" s="3">
        <f t="shared" si="17"/>
        <v>25</v>
      </c>
      <c r="S217" s="3">
        <f t="shared" si="18"/>
        <v>74</v>
      </c>
      <c r="T217" s="24"/>
      <c r="U217" s="24"/>
      <c r="V217" s="3"/>
      <c r="W217" s="25" t="s">
        <v>6546</v>
      </c>
      <c r="X217" s="25"/>
      <c r="Y217" s="25" t="str">
        <f>IFERROR(VLOOKUP(C_Ope_007[[#This Row],[NOTA 2]],Clientes_Proveedores[[Ruc / Dni]:[Razon Social]],2,0),"")</f>
        <v/>
      </c>
      <c r="Z217" s="25"/>
      <c r="AA217" s="25"/>
      <c r="AB217" s="3" t="str">
        <f>IF(C_Ope_007[[#This Row],[FECHA]]&gt;0,TEXT(C_Ope_007[[#This Row],[FECHA]],"mmmm"),0)</f>
        <v>Junio</v>
      </c>
    </row>
    <row r="218" spans="2:28" x14ac:dyDescent="0.3">
      <c r="B218" s="2">
        <f>IF(C_Ope_007[[#This Row],[TIPO DE R.]]="R",COUNTIFS($D$4:$D217,"R")+1,"")</f>
        <v>214</v>
      </c>
      <c r="C218" s="19" t="str">
        <f t="shared" si="19"/>
        <v>C_Ope_007</v>
      </c>
      <c r="D218" s="3" t="s">
        <v>1074</v>
      </c>
      <c r="E218" s="14">
        <v>45819</v>
      </c>
      <c r="F218" s="5" t="s">
        <v>6299</v>
      </c>
      <c r="G218" s="5" t="s">
        <v>1087</v>
      </c>
      <c r="H218" s="6"/>
      <c r="I218" s="6"/>
      <c r="J218" s="6"/>
      <c r="K218" s="6"/>
      <c r="L218" s="7" t="s">
        <v>6302</v>
      </c>
      <c r="M218" s="8">
        <v>24526</v>
      </c>
      <c r="N218" s="8" t="str">
        <f t="shared" si="20"/>
        <v>PEN</v>
      </c>
      <c r="O218" s="13"/>
      <c r="P218" s="13">
        <v>130</v>
      </c>
      <c r="Q218" s="3">
        <f t="shared" si="16"/>
        <v>130</v>
      </c>
      <c r="R218" s="3">
        <f t="shared" si="17"/>
        <v>0</v>
      </c>
      <c r="S218" s="3">
        <f t="shared" si="18"/>
        <v>204</v>
      </c>
      <c r="T218" s="24"/>
      <c r="U218" s="24"/>
      <c r="V218" s="3"/>
      <c r="W218" s="25"/>
      <c r="X218" s="25"/>
      <c r="Y218" s="25" t="str">
        <f>IFERROR(VLOOKUP(C_Ope_007[[#This Row],[NOTA 2]],Clientes_Proveedores[[Ruc / Dni]:[Razon Social]],2,0),"")</f>
        <v/>
      </c>
      <c r="Z218" s="25"/>
      <c r="AA218" s="25"/>
      <c r="AB218" s="3" t="str">
        <f>IF(C_Ope_007[[#This Row],[FECHA]]&gt;0,TEXT(C_Ope_007[[#This Row],[FECHA]],"mmmm"),0)</f>
        <v>Junio</v>
      </c>
    </row>
    <row r="219" spans="2:28" ht="24" x14ac:dyDescent="0.3">
      <c r="B219" s="2">
        <f>IF(C_Ope_007[[#This Row],[TIPO DE R.]]="R",COUNTIFS($D$4:$D218,"R")+1,"")</f>
        <v>215</v>
      </c>
      <c r="C219" s="19" t="str">
        <f t="shared" si="19"/>
        <v>C_Ope_007</v>
      </c>
      <c r="D219" s="3" t="s">
        <v>1074</v>
      </c>
      <c r="E219" s="14">
        <v>45820</v>
      </c>
      <c r="F219" s="5" t="s">
        <v>4314</v>
      </c>
      <c r="G219" s="5" t="s">
        <v>1079</v>
      </c>
      <c r="H219" s="6"/>
      <c r="I219" s="6" t="s">
        <v>14</v>
      </c>
      <c r="J219" s="6" t="s">
        <v>5243</v>
      </c>
      <c r="K219" s="6">
        <v>2363852</v>
      </c>
      <c r="L219" s="7" t="s">
        <v>7602</v>
      </c>
      <c r="M219" s="8">
        <v>24702</v>
      </c>
      <c r="N219" s="8" t="str">
        <f t="shared" si="20"/>
        <v>PEN</v>
      </c>
      <c r="O219" s="13"/>
      <c r="P219" s="13">
        <v>8</v>
      </c>
      <c r="Q219" s="3">
        <f t="shared" si="16"/>
        <v>0</v>
      </c>
      <c r="R219" s="3">
        <f t="shared" si="17"/>
        <v>8</v>
      </c>
      <c r="S219" s="3">
        <f t="shared" si="18"/>
        <v>196</v>
      </c>
      <c r="T219" s="24"/>
      <c r="U219" s="24"/>
      <c r="V219" s="3"/>
      <c r="W219" s="25" t="s">
        <v>6541</v>
      </c>
      <c r="X219" s="25"/>
      <c r="Y219" s="25" t="str">
        <f>IFERROR(VLOOKUP(C_Ope_007[[#This Row],[NOTA 2]],Clientes_Proveedores[[Ruc / Dni]:[Razon Social]],2,0),"")</f>
        <v/>
      </c>
      <c r="Z219" s="25"/>
      <c r="AA219" s="25"/>
      <c r="AB219" s="3" t="str">
        <f>IF(C_Ope_007[[#This Row],[FECHA]]&gt;0,TEXT(C_Ope_007[[#This Row],[FECHA]],"mmmm"),0)</f>
        <v>Junio</v>
      </c>
    </row>
    <row r="220" spans="2:28" ht="24" x14ac:dyDescent="0.3">
      <c r="B220" s="2">
        <f>IF(C_Ope_007[[#This Row],[TIPO DE R.]]="R",COUNTIFS($D$4:$D219,"R")+1,"")</f>
        <v>216</v>
      </c>
      <c r="C220" s="19" t="str">
        <f t="shared" si="19"/>
        <v>C_Ope_007</v>
      </c>
      <c r="D220" s="3" t="s">
        <v>1074</v>
      </c>
      <c r="E220" s="14">
        <v>45820</v>
      </c>
      <c r="F220" s="5" t="s">
        <v>4314</v>
      </c>
      <c r="G220" s="5" t="s">
        <v>1079</v>
      </c>
      <c r="H220" s="6"/>
      <c r="I220" s="6" t="s">
        <v>14</v>
      </c>
      <c r="J220" s="6" t="s">
        <v>5242</v>
      </c>
      <c r="K220" s="6">
        <v>2079916</v>
      </c>
      <c r="L220" s="7" t="s">
        <v>7602</v>
      </c>
      <c r="M220" s="8">
        <v>24703</v>
      </c>
      <c r="N220" s="8" t="str">
        <f t="shared" si="20"/>
        <v>PEN</v>
      </c>
      <c r="O220" s="13"/>
      <c r="P220" s="13">
        <v>8</v>
      </c>
      <c r="Q220" s="3">
        <f t="shared" si="16"/>
        <v>0</v>
      </c>
      <c r="R220" s="3">
        <f t="shared" si="17"/>
        <v>8</v>
      </c>
      <c r="S220" s="3">
        <f t="shared" si="18"/>
        <v>188</v>
      </c>
      <c r="T220" s="24"/>
      <c r="U220" s="24"/>
      <c r="V220" s="3"/>
      <c r="W220" s="25" t="s">
        <v>6541</v>
      </c>
      <c r="X220" s="25"/>
      <c r="Y220" s="25" t="str">
        <f>IFERROR(VLOOKUP(C_Ope_007[[#This Row],[NOTA 2]],Clientes_Proveedores[[Ruc / Dni]:[Razon Social]],2,0),"")</f>
        <v/>
      </c>
      <c r="Z220" s="25"/>
      <c r="AA220" s="25"/>
      <c r="AB220" s="3" t="str">
        <f>IF(C_Ope_007[[#This Row],[FECHA]]&gt;0,TEXT(C_Ope_007[[#This Row],[FECHA]],"mmmm"),0)</f>
        <v>Junio</v>
      </c>
    </row>
    <row r="221" spans="2:28" x14ac:dyDescent="0.3">
      <c r="B221" s="2">
        <f>IF(C_Ope_007[[#This Row],[TIPO DE R.]]="R",COUNTIFS($D$4:$D220,"R")+1,"")</f>
        <v>217</v>
      </c>
      <c r="C221" s="19" t="str">
        <f t="shared" si="19"/>
        <v>C_Ope_007</v>
      </c>
      <c r="D221" s="3" t="s">
        <v>1074</v>
      </c>
      <c r="E221" s="14">
        <v>45828</v>
      </c>
      <c r="F221" s="5" t="s">
        <v>4314</v>
      </c>
      <c r="G221" s="5" t="s">
        <v>1079</v>
      </c>
      <c r="H221" s="6"/>
      <c r="I221" s="6" t="s">
        <v>14</v>
      </c>
      <c r="J221" s="6" t="s">
        <v>1148</v>
      </c>
      <c r="K221" s="6">
        <v>133227</v>
      </c>
      <c r="L221" s="7" t="s">
        <v>7603</v>
      </c>
      <c r="M221" s="8">
        <v>24706</v>
      </c>
      <c r="N221" s="8" t="str">
        <f t="shared" si="20"/>
        <v>PEN</v>
      </c>
      <c r="O221" s="13"/>
      <c r="P221" s="13">
        <v>10</v>
      </c>
      <c r="Q221" s="3">
        <f t="shared" si="16"/>
        <v>0</v>
      </c>
      <c r="R221" s="3">
        <f t="shared" si="17"/>
        <v>10</v>
      </c>
      <c r="S221" s="3">
        <f t="shared" si="18"/>
        <v>178</v>
      </c>
      <c r="T221" s="24"/>
      <c r="U221" s="24"/>
      <c r="V221" s="3"/>
      <c r="W221" s="25" t="s">
        <v>6539</v>
      </c>
      <c r="X221" s="25"/>
      <c r="Y221" s="25" t="str">
        <f>IFERROR(VLOOKUP(C_Ope_007[[#This Row],[NOTA 2]],Clientes_Proveedores[[Ruc / Dni]:[Razon Social]],2,0),"")</f>
        <v/>
      </c>
      <c r="Z221" s="25"/>
      <c r="AA221" s="25"/>
      <c r="AB221" s="3" t="str">
        <f>IF(C_Ope_007[[#This Row],[FECHA]]&gt;0,TEXT(C_Ope_007[[#This Row],[FECHA]],"mmmm"),0)</f>
        <v>Junio</v>
      </c>
    </row>
    <row r="222" spans="2:28" x14ac:dyDescent="0.3">
      <c r="B222" s="2">
        <f>IF(C_Ope_007[[#This Row],[TIPO DE R.]]="R",COUNTIFS($D$4:$D221,"R")+1,"")</f>
        <v>218</v>
      </c>
      <c r="C222" s="19" t="str">
        <f t="shared" si="19"/>
        <v>C_Ope_007</v>
      </c>
      <c r="D222" s="3" t="s">
        <v>1074</v>
      </c>
      <c r="E222" s="14">
        <v>45828</v>
      </c>
      <c r="F222" s="5" t="s">
        <v>4314</v>
      </c>
      <c r="G222" s="5" t="s">
        <v>1079</v>
      </c>
      <c r="H222" s="6"/>
      <c r="I222" s="6" t="s">
        <v>14</v>
      </c>
      <c r="J222" s="6" t="s">
        <v>1148</v>
      </c>
      <c r="K222" s="6">
        <v>133234</v>
      </c>
      <c r="L222" s="7" t="s">
        <v>7603</v>
      </c>
      <c r="M222" s="8">
        <v>24707</v>
      </c>
      <c r="N222" s="8" t="str">
        <f t="shared" si="20"/>
        <v>PEN</v>
      </c>
      <c r="O222" s="13"/>
      <c r="P222" s="13">
        <v>10</v>
      </c>
      <c r="Q222" s="3">
        <f t="shared" si="16"/>
        <v>0</v>
      </c>
      <c r="R222" s="3">
        <f t="shared" si="17"/>
        <v>10</v>
      </c>
      <c r="S222" s="3">
        <f t="shared" si="18"/>
        <v>168</v>
      </c>
      <c r="T222" s="24"/>
      <c r="U222" s="24"/>
      <c r="V222" s="3"/>
      <c r="W222" s="25" t="s">
        <v>6539</v>
      </c>
      <c r="X222" s="25"/>
      <c r="Y222" s="25" t="str">
        <f>IFERROR(VLOOKUP(C_Ope_007[[#This Row],[NOTA 2]],Clientes_Proveedores[[Ruc / Dni]:[Razon Social]],2,0),"")</f>
        <v/>
      </c>
      <c r="Z222" s="25"/>
      <c r="AA222" s="25"/>
      <c r="AB222" s="3" t="str">
        <f>IF(C_Ope_007[[#This Row],[FECHA]]&gt;0,TEXT(C_Ope_007[[#This Row],[FECHA]],"mmmm"),0)</f>
        <v>Junio</v>
      </c>
    </row>
    <row r="223" spans="2:28" x14ac:dyDescent="0.3">
      <c r="B223" s="2">
        <f>IF(C_Ope_007[[#This Row],[TIPO DE R.]]="R",COUNTIFS($D$4:$D222,"R")+1,"")</f>
        <v>219</v>
      </c>
      <c r="C223" s="19" t="str">
        <f t="shared" si="19"/>
        <v>C_Ope_007</v>
      </c>
      <c r="D223" s="3" t="s">
        <v>1074</v>
      </c>
      <c r="E223" s="14">
        <v>45828</v>
      </c>
      <c r="F223" s="5" t="s">
        <v>4314</v>
      </c>
      <c r="G223" s="5" t="s">
        <v>1079</v>
      </c>
      <c r="H223" s="6"/>
      <c r="I223" s="6" t="s">
        <v>14</v>
      </c>
      <c r="J223" s="6" t="s">
        <v>1148</v>
      </c>
      <c r="K223" s="6">
        <v>133243</v>
      </c>
      <c r="L223" s="7" t="s">
        <v>7603</v>
      </c>
      <c r="M223" s="8">
        <v>24708</v>
      </c>
      <c r="N223" s="8" t="str">
        <f t="shared" si="20"/>
        <v>PEN</v>
      </c>
      <c r="O223" s="13"/>
      <c r="P223" s="13">
        <v>10</v>
      </c>
      <c r="Q223" s="3">
        <f t="shared" si="16"/>
        <v>0</v>
      </c>
      <c r="R223" s="3">
        <f t="shared" si="17"/>
        <v>10</v>
      </c>
      <c r="S223" s="3">
        <f t="shared" si="18"/>
        <v>158</v>
      </c>
      <c r="T223" s="24"/>
      <c r="U223" s="24"/>
      <c r="V223" s="3"/>
      <c r="W223" s="25" t="s">
        <v>6539</v>
      </c>
      <c r="X223" s="25"/>
      <c r="Y223" s="25" t="str">
        <f>IFERROR(VLOOKUP(C_Ope_007[[#This Row],[NOTA 2]],Clientes_Proveedores[[Ruc / Dni]:[Razon Social]],2,0),"")</f>
        <v/>
      </c>
      <c r="Z223" s="25"/>
      <c r="AA223" s="25"/>
      <c r="AB223" s="3" t="str">
        <f>IF(C_Ope_007[[#This Row],[FECHA]]&gt;0,TEXT(C_Ope_007[[#This Row],[FECHA]],"mmmm"),0)</f>
        <v>Junio</v>
      </c>
    </row>
    <row r="224" spans="2:28" x14ac:dyDescent="0.3">
      <c r="B224" s="2">
        <f>IF(C_Ope_007[[#This Row],[TIPO DE R.]]="R",COUNTIFS($D$4:$D223,"R")+1,"")</f>
        <v>220</v>
      </c>
      <c r="C224" s="19" t="str">
        <f t="shared" si="19"/>
        <v>C_Ope_007</v>
      </c>
      <c r="D224" s="3" t="s">
        <v>1074</v>
      </c>
      <c r="E224" s="14">
        <v>45828</v>
      </c>
      <c r="F224" s="5" t="s">
        <v>4314</v>
      </c>
      <c r="G224" s="5" t="s">
        <v>1079</v>
      </c>
      <c r="H224" s="6"/>
      <c r="I224" s="6" t="s">
        <v>14</v>
      </c>
      <c r="J224" s="6" t="s">
        <v>1148</v>
      </c>
      <c r="K224" s="6">
        <v>133252</v>
      </c>
      <c r="L224" s="7" t="s">
        <v>7603</v>
      </c>
      <c r="M224" s="8">
        <v>24709</v>
      </c>
      <c r="N224" s="8" t="str">
        <f t="shared" si="20"/>
        <v>PEN</v>
      </c>
      <c r="O224" s="13"/>
      <c r="P224" s="13">
        <v>10</v>
      </c>
      <c r="Q224" s="3">
        <f t="shared" si="16"/>
        <v>0</v>
      </c>
      <c r="R224" s="3">
        <f t="shared" si="17"/>
        <v>10</v>
      </c>
      <c r="S224" s="3">
        <f t="shared" si="18"/>
        <v>148</v>
      </c>
      <c r="T224" s="24"/>
      <c r="U224" s="24"/>
      <c r="V224" s="3"/>
      <c r="W224" s="25" t="s">
        <v>6539</v>
      </c>
      <c r="X224" s="25"/>
      <c r="Y224" s="25" t="str">
        <f>IFERROR(VLOOKUP(C_Ope_007[[#This Row],[NOTA 2]],Clientes_Proveedores[[Ruc / Dni]:[Razon Social]],2,0),"")</f>
        <v/>
      </c>
      <c r="Z224" s="25"/>
      <c r="AA224" s="25"/>
      <c r="AB224" s="3" t="str">
        <f>IF(C_Ope_007[[#This Row],[FECHA]]&gt;0,TEXT(C_Ope_007[[#This Row],[FECHA]],"mmmm"),0)</f>
        <v>Junio</v>
      </c>
    </row>
    <row r="225" spans="2:28" ht="24" x14ac:dyDescent="0.3">
      <c r="B225" s="2">
        <f>IF(C_Ope_007[[#This Row],[TIPO DE R.]]="R",COUNTIFS($D$4:$D224,"R")+1,"")</f>
        <v>221</v>
      </c>
      <c r="C225" s="19" t="str">
        <f t="shared" si="19"/>
        <v>C_Ope_007</v>
      </c>
      <c r="D225" s="3" t="s">
        <v>1074</v>
      </c>
      <c r="E225" s="14">
        <v>45832</v>
      </c>
      <c r="F225" s="5" t="s">
        <v>4314</v>
      </c>
      <c r="G225" s="5" t="s">
        <v>1079</v>
      </c>
      <c r="H225" s="6"/>
      <c r="I225" s="6" t="s">
        <v>14</v>
      </c>
      <c r="J225" s="6" t="s">
        <v>5244</v>
      </c>
      <c r="K225" s="6">
        <v>1767402</v>
      </c>
      <c r="L225" s="7" t="s">
        <v>7604</v>
      </c>
      <c r="M225" s="8">
        <v>24704</v>
      </c>
      <c r="N225" s="8" t="str">
        <f t="shared" si="20"/>
        <v>PEN</v>
      </c>
      <c r="O225" s="13"/>
      <c r="P225" s="13">
        <v>8</v>
      </c>
      <c r="Q225" s="3">
        <f t="shared" si="16"/>
        <v>0</v>
      </c>
      <c r="R225" s="3">
        <f t="shared" si="17"/>
        <v>8</v>
      </c>
      <c r="S225" s="3">
        <f t="shared" si="18"/>
        <v>140</v>
      </c>
      <c r="T225" s="24"/>
      <c r="U225" s="24"/>
      <c r="V225" s="3"/>
      <c r="W225" s="25" t="s">
        <v>6541</v>
      </c>
      <c r="X225" s="25"/>
      <c r="Y225" s="25" t="str">
        <f>IFERROR(VLOOKUP(C_Ope_007[[#This Row],[NOTA 2]],Clientes_Proveedores[[Ruc / Dni]:[Razon Social]],2,0),"")</f>
        <v/>
      </c>
      <c r="Z225" s="25"/>
      <c r="AA225" s="25"/>
      <c r="AB225" s="3" t="str">
        <f>IF(C_Ope_007[[#This Row],[FECHA]]&gt;0,TEXT(C_Ope_007[[#This Row],[FECHA]],"mmmm"),0)</f>
        <v>Junio</v>
      </c>
    </row>
    <row r="226" spans="2:28" ht="24" x14ac:dyDescent="0.3">
      <c r="B226" s="2">
        <f>IF(C_Ope_007[[#This Row],[TIPO DE R.]]="R",COUNTIFS($D$4:$D225,"R")+1,"")</f>
        <v>222</v>
      </c>
      <c r="C226" s="19" t="str">
        <f t="shared" si="19"/>
        <v>C_Ope_007</v>
      </c>
      <c r="D226" s="3" t="s">
        <v>1074</v>
      </c>
      <c r="E226" s="14">
        <v>45831</v>
      </c>
      <c r="F226" s="5" t="s">
        <v>4314</v>
      </c>
      <c r="G226" s="5" t="s">
        <v>1079</v>
      </c>
      <c r="H226" s="6"/>
      <c r="I226" s="6" t="s">
        <v>14</v>
      </c>
      <c r="J226" s="6" t="s">
        <v>1088</v>
      </c>
      <c r="K226" s="6">
        <v>34986</v>
      </c>
      <c r="L226" s="7" t="s">
        <v>7605</v>
      </c>
      <c r="M226" s="8">
        <v>24710</v>
      </c>
      <c r="N226" s="8" t="str">
        <f t="shared" si="20"/>
        <v>PEN</v>
      </c>
      <c r="O226" s="13"/>
      <c r="P226" s="13">
        <v>10</v>
      </c>
      <c r="Q226" s="3">
        <f t="shared" si="16"/>
        <v>0</v>
      </c>
      <c r="R226" s="3">
        <f t="shared" si="17"/>
        <v>10</v>
      </c>
      <c r="S226" s="3">
        <f t="shared" si="18"/>
        <v>130</v>
      </c>
      <c r="T226" s="24"/>
      <c r="U226" s="24"/>
      <c r="V226" s="3"/>
      <c r="W226" s="25" t="s">
        <v>6813</v>
      </c>
      <c r="X226" s="25"/>
      <c r="Y226" s="25" t="str">
        <f>IFERROR(VLOOKUP(C_Ope_007[[#This Row],[NOTA 2]],Clientes_Proveedores[[Ruc / Dni]:[Razon Social]],2,0),"")</f>
        <v/>
      </c>
      <c r="Z226" s="25"/>
      <c r="AA226" s="25"/>
      <c r="AB226" s="3" t="str">
        <f>IF(C_Ope_007[[#This Row],[FECHA]]&gt;0,TEXT(C_Ope_007[[#This Row],[FECHA]],"mmmm"),0)</f>
        <v>Junio</v>
      </c>
    </row>
    <row r="227" spans="2:28" ht="24" x14ac:dyDescent="0.3">
      <c r="B227" s="2">
        <f>IF(C_Ope_007[[#This Row],[TIPO DE R.]]="R",COUNTIFS($D$4:$D226,"R")+1,"")</f>
        <v>223</v>
      </c>
      <c r="C227" s="19" t="str">
        <f t="shared" si="19"/>
        <v>C_Ope_007</v>
      </c>
      <c r="D227" s="3" t="s">
        <v>1074</v>
      </c>
      <c r="E227" s="14">
        <v>45832</v>
      </c>
      <c r="F227" s="5" t="s">
        <v>4314</v>
      </c>
      <c r="G227" s="5" t="s">
        <v>1079</v>
      </c>
      <c r="H227" s="6"/>
      <c r="I227" s="6" t="s">
        <v>14</v>
      </c>
      <c r="J227" s="6" t="s">
        <v>1097</v>
      </c>
      <c r="K227" s="6">
        <v>16737</v>
      </c>
      <c r="L227" s="7" t="s">
        <v>7606</v>
      </c>
      <c r="M227" s="8">
        <v>24711</v>
      </c>
      <c r="N227" s="8" t="str">
        <f t="shared" si="20"/>
        <v>PEN</v>
      </c>
      <c r="O227" s="13"/>
      <c r="P227" s="13">
        <v>20</v>
      </c>
      <c r="Q227" s="3">
        <f t="shared" si="16"/>
        <v>0</v>
      </c>
      <c r="R227" s="3">
        <f t="shared" si="17"/>
        <v>20</v>
      </c>
      <c r="S227" s="3">
        <f t="shared" si="18"/>
        <v>110</v>
      </c>
      <c r="T227" s="24"/>
      <c r="U227" s="24"/>
      <c r="V227" s="3"/>
      <c r="W227" s="25" t="s">
        <v>6541</v>
      </c>
      <c r="X227" s="25"/>
      <c r="Y227" s="25" t="str">
        <f>IFERROR(VLOOKUP(C_Ope_007[[#This Row],[NOTA 2]],Clientes_Proveedores[[Ruc / Dni]:[Razon Social]],2,0),"")</f>
        <v/>
      </c>
      <c r="Z227" s="25"/>
      <c r="AA227" s="25"/>
      <c r="AB227" s="3" t="str">
        <f>IF(C_Ope_007[[#This Row],[FECHA]]&gt;0,TEXT(C_Ope_007[[#This Row],[FECHA]],"mmmm"),0)</f>
        <v>Junio</v>
      </c>
    </row>
    <row r="228" spans="2:28" ht="24" x14ac:dyDescent="0.3">
      <c r="B228" s="2">
        <f>IF(C_Ope_007[[#This Row],[TIPO DE R.]]="R",COUNTIFS($D$4:$D227,"R")+1,"")</f>
        <v>224</v>
      </c>
      <c r="C228" s="19" t="str">
        <f t="shared" si="19"/>
        <v>C_Ope_007</v>
      </c>
      <c r="D228" s="3" t="s">
        <v>1074</v>
      </c>
      <c r="E228" s="14">
        <v>45832</v>
      </c>
      <c r="F228" s="5" t="s">
        <v>4314</v>
      </c>
      <c r="G228" s="5" t="s">
        <v>1079</v>
      </c>
      <c r="H228" s="6"/>
      <c r="I228" s="6" t="s">
        <v>14</v>
      </c>
      <c r="J228" s="6" t="s">
        <v>1097</v>
      </c>
      <c r="K228" s="6">
        <v>16736</v>
      </c>
      <c r="L228" s="7" t="s">
        <v>7606</v>
      </c>
      <c r="M228" s="8">
        <v>24712</v>
      </c>
      <c r="N228" s="8" t="str">
        <f t="shared" si="20"/>
        <v>PEN</v>
      </c>
      <c r="O228" s="13"/>
      <c r="P228" s="13">
        <v>20</v>
      </c>
      <c r="Q228" s="3">
        <f t="shared" si="16"/>
        <v>0</v>
      </c>
      <c r="R228" s="3">
        <f t="shared" si="17"/>
        <v>20</v>
      </c>
      <c r="S228" s="3">
        <f t="shared" si="18"/>
        <v>90</v>
      </c>
      <c r="T228" s="24"/>
      <c r="U228" s="24"/>
      <c r="V228" s="3"/>
      <c r="W228" s="25" t="s">
        <v>6541</v>
      </c>
      <c r="X228" s="25"/>
      <c r="Y228" s="25" t="str">
        <f>IFERROR(VLOOKUP(C_Ope_007[[#This Row],[NOTA 2]],Clientes_Proveedores[[Ruc / Dni]:[Razon Social]],2,0),"")</f>
        <v/>
      </c>
      <c r="Z228" s="25"/>
      <c r="AA228" s="25"/>
      <c r="AB228" s="3" t="str">
        <f>IF(C_Ope_007[[#This Row],[FECHA]]&gt;0,TEXT(C_Ope_007[[#This Row],[FECHA]],"mmmm"),0)</f>
        <v>Junio</v>
      </c>
    </row>
    <row r="229" spans="2:28" ht="24" x14ac:dyDescent="0.3">
      <c r="B229" s="2">
        <f>IF(C_Ope_007[[#This Row],[TIPO DE R.]]="R",COUNTIFS($D$4:$D228,"R")+1,"")</f>
        <v>225</v>
      </c>
      <c r="C229" s="19" t="str">
        <f t="shared" si="19"/>
        <v>C_Ope_007</v>
      </c>
      <c r="D229" s="3" t="s">
        <v>1074</v>
      </c>
      <c r="E229" s="14">
        <v>45832</v>
      </c>
      <c r="F229" s="5" t="s">
        <v>4314</v>
      </c>
      <c r="G229" s="5" t="s">
        <v>1079</v>
      </c>
      <c r="H229" s="6"/>
      <c r="I229" s="6" t="s">
        <v>14</v>
      </c>
      <c r="J229" s="6" t="s">
        <v>1119</v>
      </c>
      <c r="K229" s="6">
        <v>17818</v>
      </c>
      <c r="L229" s="7" t="s">
        <v>7594</v>
      </c>
      <c r="M229" s="8">
        <v>24713</v>
      </c>
      <c r="N229" s="8" t="str">
        <f t="shared" si="20"/>
        <v>PEN</v>
      </c>
      <c r="O229" s="13"/>
      <c r="P229" s="13">
        <v>11</v>
      </c>
      <c r="Q229" s="3">
        <f t="shared" si="16"/>
        <v>0</v>
      </c>
      <c r="R229" s="3">
        <f t="shared" si="17"/>
        <v>11</v>
      </c>
      <c r="S229" s="3">
        <f t="shared" si="18"/>
        <v>79</v>
      </c>
      <c r="T229" s="24"/>
      <c r="U229" s="24"/>
      <c r="V229" s="3"/>
      <c r="W229" s="25" t="s">
        <v>6813</v>
      </c>
      <c r="X229" s="25"/>
      <c r="Y229" s="25" t="str">
        <f>IFERROR(VLOOKUP(C_Ope_007[[#This Row],[NOTA 2]],Clientes_Proveedores[[Ruc / Dni]:[Razon Social]],2,0),"")</f>
        <v/>
      </c>
      <c r="Z229" s="25"/>
      <c r="AA229" s="25"/>
      <c r="AB229" s="3" t="str">
        <f>IF(C_Ope_007[[#This Row],[FECHA]]&gt;0,TEXT(C_Ope_007[[#This Row],[FECHA]],"mmmm"),0)</f>
        <v>Junio</v>
      </c>
    </row>
    <row r="230" spans="2:28" x14ac:dyDescent="0.3">
      <c r="B230" s="2">
        <f>IF(C_Ope_007[[#This Row],[TIPO DE R.]]="R",COUNTIFS($D$4:$D229,"R")+1,"")</f>
        <v>226</v>
      </c>
      <c r="C230" s="19" t="str">
        <f t="shared" si="19"/>
        <v>C_Ope_007</v>
      </c>
      <c r="D230" s="3" t="s">
        <v>1074</v>
      </c>
      <c r="E230" s="14">
        <v>45835</v>
      </c>
      <c r="F230" s="5" t="s">
        <v>4314</v>
      </c>
      <c r="G230" s="5" t="s">
        <v>1079</v>
      </c>
      <c r="H230" s="6"/>
      <c r="I230" s="6" t="s">
        <v>14</v>
      </c>
      <c r="J230" s="6" t="s">
        <v>1148</v>
      </c>
      <c r="K230" s="6">
        <v>133564</v>
      </c>
      <c r="L230" s="7" t="s">
        <v>6550</v>
      </c>
      <c r="M230" s="8">
        <v>24731</v>
      </c>
      <c r="N230" s="8" t="str">
        <f t="shared" si="20"/>
        <v>PEN</v>
      </c>
      <c r="O230" s="13"/>
      <c r="P230" s="13">
        <v>10</v>
      </c>
      <c r="Q230" s="3">
        <f t="shared" si="16"/>
        <v>0</v>
      </c>
      <c r="R230" s="3">
        <f t="shared" si="17"/>
        <v>10</v>
      </c>
      <c r="S230" s="3">
        <f t="shared" si="18"/>
        <v>69</v>
      </c>
      <c r="T230" s="24"/>
      <c r="U230" s="24"/>
      <c r="V230" s="3"/>
      <c r="W230" s="25" t="s">
        <v>6813</v>
      </c>
      <c r="X230" s="25"/>
      <c r="Y230" s="25" t="str">
        <f>IFERROR(VLOOKUP(C_Ope_007[[#This Row],[NOTA 2]],Clientes_Proveedores[[Ruc / Dni]:[Razon Social]],2,0),"")</f>
        <v/>
      </c>
      <c r="Z230" s="25"/>
      <c r="AA230" s="25"/>
      <c r="AB230" s="3" t="str">
        <f>IF(C_Ope_007[[#This Row],[FECHA]]&gt;0,TEXT(C_Ope_007[[#This Row],[FECHA]],"mmmm"),0)</f>
        <v>Junio</v>
      </c>
    </row>
    <row r="231" spans="2:28" x14ac:dyDescent="0.3">
      <c r="B231" s="2">
        <f>IF(C_Ope_007[[#This Row],[TIPO DE R.]]="R",COUNTIFS($D$4:$D230,"R")+1,"")</f>
        <v>227</v>
      </c>
      <c r="C231" s="19" t="str">
        <f t="shared" si="19"/>
        <v>C_Ope_007</v>
      </c>
      <c r="D231" s="3" t="s">
        <v>1074</v>
      </c>
      <c r="E231" s="14">
        <v>45838</v>
      </c>
      <c r="F231" s="5" t="s">
        <v>4314</v>
      </c>
      <c r="G231" s="5" t="s">
        <v>1079</v>
      </c>
      <c r="H231" s="6"/>
      <c r="I231" s="6" t="s">
        <v>14</v>
      </c>
      <c r="J231" s="6" t="s">
        <v>1148</v>
      </c>
      <c r="K231" s="6">
        <v>133652</v>
      </c>
      <c r="L231" s="7" t="s">
        <v>7603</v>
      </c>
      <c r="M231" s="8">
        <v>24762</v>
      </c>
      <c r="N231" s="8" t="str">
        <f t="shared" si="20"/>
        <v>PEN</v>
      </c>
      <c r="O231" s="13"/>
      <c r="P231" s="13">
        <v>10</v>
      </c>
      <c r="Q231" s="3">
        <f t="shared" si="16"/>
        <v>0</v>
      </c>
      <c r="R231" s="3">
        <f t="shared" si="17"/>
        <v>10</v>
      </c>
      <c r="S231" s="3">
        <f t="shared" si="18"/>
        <v>59</v>
      </c>
      <c r="T231" s="24"/>
      <c r="U231" s="24"/>
      <c r="V231" s="3"/>
      <c r="W231" s="25" t="s">
        <v>6539</v>
      </c>
      <c r="X231" s="25"/>
      <c r="Y231" s="25" t="str">
        <f>IFERROR(VLOOKUP(C_Ope_007[[#This Row],[NOTA 2]],Clientes_Proveedores[[Ruc / Dni]:[Razon Social]],2,0),"")</f>
        <v/>
      </c>
      <c r="Z231" s="25"/>
      <c r="AA231" s="25"/>
      <c r="AB231" s="3" t="str">
        <f>IF(C_Ope_007[[#This Row],[FECHA]]&gt;0,TEXT(C_Ope_007[[#This Row],[FECHA]],"mmmm"),0)</f>
        <v>Junio</v>
      </c>
    </row>
    <row r="232" spans="2:28" x14ac:dyDescent="0.3">
      <c r="B232" s="2">
        <f>IF(C_Ope_007[[#This Row],[TIPO DE R.]]="R",COUNTIFS($D$4:$D231,"R")+1,"")</f>
        <v>228</v>
      </c>
      <c r="C232" s="19" t="str">
        <f t="shared" si="19"/>
        <v>C_Ope_007</v>
      </c>
      <c r="D232" s="3" t="s">
        <v>1074</v>
      </c>
      <c r="E232" s="14">
        <v>45833</v>
      </c>
      <c r="F232" s="5" t="s">
        <v>4314</v>
      </c>
      <c r="G232" s="5" t="s">
        <v>1079</v>
      </c>
      <c r="H232" s="6"/>
      <c r="I232" s="6" t="s">
        <v>14</v>
      </c>
      <c r="J232" s="6" t="s">
        <v>5162</v>
      </c>
      <c r="K232" s="6">
        <v>39254</v>
      </c>
      <c r="L232" s="7" t="s">
        <v>7607</v>
      </c>
      <c r="M232" s="8">
        <v>24705</v>
      </c>
      <c r="N232" s="8" t="str">
        <f t="shared" si="20"/>
        <v>PEN</v>
      </c>
      <c r="O232" s="3"/>
      <c r="P232" s="3">
        <v>0</v>
      </c>
      <c r="Q232" s="3">
        <f t="shared" si="16"/>
        <v>0</v>
      </c>
      <c r="R232" s="3">
        <f t="shared" si="17"/>
        <v>0</v>
      </c>
      <c r="S232" s="3">
        <f t="shared" si="18"/>
        <v>59</v>
      </c>
      <c r="T232" s="24"/>
      <c r="U232" s="24"/>
      <c r="V232" s="3"/>
      <c r="W232" s="25" t="s">
        <v>6813</v>
      </c>
      <c r="X232" s="25"/>
      <c r="Y232" s="25" t="str">
        <f>IFERROR(VLOOKUP(C_Ope_007[[#This Row],[NOTA 2]],Clientes_Proveedores[[Ruc / Dni]:[Razon Social]],2,0),"")</f>
        <v/>
      </c>
      <c r="Z232" s="25"/>
      <c r="AA232" s="25"/>
      <c r="AB232" s="3" t="str">
        <f>IF(C_Ope_007[[#This Row],[FECHA]]&gt;0,TEXT(C_Ope_007[[#This Row],[FECHA]],"mmmm"),0)</f>
        <v>Junio</v>
      </c>
    </row>
    <row r="233" spans="2:28" x14ac:dyDescent="0.3">
      <c r="B233" s="2">
        <f>IF(C_Ope_007[[#This Row],[TIPO DE R.]]="R",COUNTIFS($D$4:$D232,"R")+1,"")</f>
        <v>229</v>
      </c>
      <c r="C233" s="19" t="str">
        <f t="shared" si="19"/>
        <v>C_Ope_007</v>
      </c>
      <c r="D233" s="3" t="s">
        <v>1074</v>
      </c>
      <c r="E233" s="14">
        <v>45839</v>
      </c>
      <c r="F233" s="5" t="s">
        <v>6299</v>
      </c>
      <c r="G233" s="5" t="s">
        <v>1087</v>
      </c>
      <c r="H233" s="6"/>
      <c r="I233" s="6"/>
      <c r="J233" s="6"/>
      <c r="K233" s="6"/>
      <c r="L233" s="7" t="s">
        <v>6302</v>
      </c>
      <c r="M233" s="8">
        <v>24774</v>
      </c>
      <c r="N233" s="8" t="str">
        <f t="shared" si="20"/>
        <v>PEN</v>
      </c>
      <c r="O233" s="13"/>
      <c r="P233" s="13">
        <v>150</v>
      </c>
      <c r="Q233" s="3">
        <f t="shared" si="16"/>
        <v>150</v>
      </c>
      <c r="R233" s="3">
        <f t="shared" si="17"/>
        <v>0</v>
      </c>
      <c r="S233" s="3">
        <f t="shared" si="18"/>
        <v>209</v>
      </c>
      <c r="T233" s="24"/>
      <c r="U233" s="24"/>
      <c r="V233" s="3"/>
      <c r="W233" s="25"/>
      <c r="X233" s="25"/>
      <c r="Y233" s="25" t="str">
        <f>IFERROR(VLOOKUP(C_Ope_007[[#This Row],[NOTA 2]],Clientes_Proveedores[[Ruc / Dni]:[Razon Social]],2,0),"")</f>
        <v/>
      </c>
      <c r="Z233" s="25"/>
      <c r="AA233" s="25"/>
      <c r="AB233" s="3" t="str">
        <f>IF(C_Ope_007[[#This Row],[FECHA]]&gt;0,TEXT(C_Ope_007[[#This Row],[FECHA]],"mmmm"),0)</f>
        <v>Julio</v>
      </c>
    </row>
    <row r="234" spans="2:28" ht="24" x14ac:dyDescent="0.3">
      <c r="B234" s="2">
        <f>IF(C_Ope_007[[#This Row],[TIPO DE R.]]="R",COUNTIFS($D$4:$D233,"R")+1,"")</f>
        <v>230</v>
      </c>
      <c r="C234" s="19" t="str">
        <f t="shared" ref="C234:C242" si="21">"C_Ope_007"</f>
        <v>C_Ope_007</v>
      </c>
      <c r="D234" s="3" t="s">
        <v>1074</v>
      </c>
      <c r="E234" s="14">
        <v>45839</v>
      </c>
      <c r="F234" s="5" t="s">
        <v>4314</v>
      </c>
      <c r="G234" s="5" t="s">
        <v>1079</v>
      </c>
      <c r="H234" s="6" t="s">
        <v>919</v>
      </c>
      <c r="I234" s="6" t="s">
        <v>14</v>
      </c>
      <c r="J234" s="6" t="s">
        <v>5244</v>
      </c>
      <c r="K234" s="6">
        <v>1773706</v>
      </c>
      <c r="L234" s="7" t="s">
        <v>7608</v>
      </c>
      <c r="M234" s="8">
        <v>24974</v>
      </c>
      <c r="N234" s="8" t="str">
        <f t="shared" ref="N234:N242" si="22">"PEN"</f>
        <v>PEN</v>
      </c>
      <c r="O234" s="13"/>
      <c r="P234" s="13">
        <v>8</v>
      </c>
      <c r="Q234" s="3">
        <f t="shared" ref="Q234:Q242" si="23">+IF(OR($G234="SALDO",$G234="INGRESO"),$P234,0)</f>
        <v>0</v>
      </c>
      <c r="R234" s="3">
        <f t="shared" ref="R234:R242" si="24">+IF($G234="EGRESO",$P234,0)</f>
        <v>8</v>
      </c>
      <c r="S234" s="3">
        <f t="shared" si="18"/>
        <v>201</v>
      </c>
      <c r="T234" s="24" t="s">
        <v>1081</v>
      </c>
      <c r="U234" s="24"/>
      <c r="V234" s="3"/>
      <c r="W234" s="25" t="s">
        <v>6541</v>
      </c>
      <c r="X234" s="25">
        <v>20517252558</v>
      </c>
      <c r="Y234" s="25" t="str">
        <f>IFERROR(VLOOKUP(C_Ope_007[[#This Row],[NOTA 2]],Clientes_Proveedores[[Ruc / Dni]:[Razon Social]],2,0),"")</f>
        <v>COVISUR S.A.</v>
      </c>
      <c r="Z234" s="25"/>
      <c r="AA234" s="25"/>
      <c r="AB234" s="3" t="str">
        <f>IF(C_Ope_007[[#This Row],[FECHA]]&gt;0,TEXT(C_Ope_007[[#This Row],[FECHA]],"mmmm"),0)</f>
        <v>Julio</v>
      </c>
    </row>
    <row r="235" spans="2:28" ht="24" x14ac:dyDescent="0.3">
      <c r="B235" s="2">
        <f>IF(C_Ope_007[[#This Row],[TIPO DE R.]]="R",COUNTIFS($D$4:$D234,"R")+1,"")</f>
        <v>231</v>
      </c>
      <c r="C235" s="19" t="str">
        <f t="shared" si="21"/>
        <v>C_Ope_007</v>
      </c>
      <c r="D235" s="3" t="s">
        <v>1074</v>
      </c>
      <c r="E235" s="14">
        <v>45839</v>
      </c>
      <c r="F235" s="5" t="s">
        <v>4314</v>
      </c>
      <c r="G235" s="5" t="s">
        <v>1079</v>
      </c>
      <c r="H235" s="6" t="s">
        <v>919</v>
      </c>
      <c r="I235" s="6" t="s">
        <v>14</v>
      </c>
      <c r="J235" s="6" t="s">
        <v>5281</v>
      </c>
      <c r="K235" s="6">
        <v>991569</v>
      </c>
      <c r="L235" s="7" t="s">
        <v>7609</v>
      </c>
      <c r="M235" s="8">
        <v>24975</v>
      </c>
      <c r="N235" s="8" t="str">
        <f t="shared" si="22"/>
        <v>PEN</v>
      </c>
      <c r="O235" s="13"/>
      <c r="P235" s="13">
        <v>8</v>
      </c>
      <c r="Q235" s="3">
        <f t="shared" si="23"/>
        <v>0</v>
      </c>
      <c r="R235" s="3">
        <f t="shared" si="24"/>
        <v>8</v>
      </c>
      <c r="S235" s="3">
        <f t="shared" si="18"/>
        <v>193</v>
      </c>
      <c r="T235" s="24" t="s">
        <v>1081</v>
      </c>
      <c r="U235" s="24"/>
      <c r="V235" s="3"/>
      <c r="W235" s="25" t="s">
        <v>6541</v>
      </c>
      <c r="X235" s="25">
        <v>20517252558</v>
      </c>
      <c r="Y235" s="25" t="str">
        <f>IFERROR(VLOOKUP(C_Ope_007[[#This Row],[NOTA 2]],Clientes_Proveedores[[Ruc / Dni]:[Razon Social]],2,0),"")</f>
        <v>COVISUR S.A.</v>
      </c>
      <c r="Z235" s="25"/>
      <c r="AA235" s="25"/>
      <c r="AB235" s="3" t="str">
        <f>IF(C_Ope_007[[#This Row],[FECHA]]&gt;0,TEXT(C_Ope_007[[#This Row],[FECHA]],"mmmm"),0)</f>
        <v>Julio</v>
      </c>
    </row>
    <row r="236" spans="2:28" ht="24" x14ac:dyDescent="0.3">
      <c r="B236" s="2">
        <f>IF(C_Ope_007[[#This Row],[TIPO DE R.]]="R",COUNTIFS($D$4:$D235,"R")+1,"")</f>
        <v>232</v>
      </c>
      <c r="C236" s="19" t="str">
        <f t="shared" si="21"/>
        <v>C_Ope_007</v>
      </c>
      <c r="D236" s="3" t="s">
        <v>1074</v>
      </c>
      <c r="E236" s="14">
        <v>45839</v>
      </c>
      <c r="F236" s="5" t="s">
        <v>4314</v>
      </c>
      <c r="G236" s="5" t="s">
        <v>1079</v>
      </c>
      <c r="H236" s="6" t="s">
        <v>919</v>
      </c>
      <c r="I236" s="6" t="s">
        <v>14</v>
      </c>
      <c r="J236" s="6" t="s">
        <v>5280</v>
      </c>
      <c r="K236" s="6">
        <v>1083556</v>
      </c>
      <c r="L236" s="7" t="s">
        <v>7609</v>
      </c>
      <c r="M236" s="8">
        <v>24976</v>
      </c>
      <c r="N236" s="8" t="str">
        <f t="shared" si="22"/>
        <v>PEN</v>
      </c>
      <c r="O236" s="13"/>
      <c r="P236" s="13">
        <v>8</v>
      </c>
      <c r="Q236" s="3">
        <f t="shared" si="23"/>
        <v>0</v>
      </c>
      <c r="R236" s="3">
        <f t="shared" si="24"/>
        <v>8</v>
      </c>
      <c r="S236" s="3">
        <f t="shared" si="18"/>
        <v>185</v>
      </c>
      <c r="T236" s="24" t="s">
        <v>1081</v>
      </c>
      <c r="U236" s="24"/>
      <c r="V236" s="3"/>
      <c r="W236" s="25" t="s">
        <v>6541</v>
      </c>
      <c r="X236" s="25">
        <v>20517252558</v>
      </c>
      <c r="Y236" s="25" t="str">
        <f>IFERROR(VLOOKUP(C_Ope_007[[#This Row],[NOTA 2]],Clientes_Proveedores[[Ruc / Dni]:[Razon Social]],2,0),"")</f>
        <v>COVISUR S.A.</v>
      </c>
      <c r="Z236" s="25"/>
      <c r="AA236" s="25"/>
      <c r="AB236" s="3" t="str">
        <f>IF(C_Ope_007[[#This Row],[FECHA]]&gt;0,TEXT(C_Ope_007[[#This Row],[FECHA]],"mmmm"),0)</f>
        <v>Julio</v>
      </c>
    </row>
    <row r="237" spans="2:28" ht="24" x14ac:dyDescent="0.3">
      <c r="B237" s="2">
        <f>IF(C_Ope_007[[#This Row],[TIPO DE R.]]="R",COUNTIFS($D$4:$D236,"R")+1,"")</f>
        <v>233</v>
      </c>
      <c r="C237" s="19" t="str">
        <f t="shared" si="21"/>
        <v>C_Ope_007</v>
      </c>
      <c r="D237" s="3" t="s">
        <v>1074</v>
      </c>
      <c r="E237" s="14">
        <v>45839</v>
      </c>
      <c r="F237" s="5" t="s">
        <v>4314</v>
      </c>
      <c r="G237" s="5" t="s">
        <v>1079</v>
      </c>
      <c r="H237" s="6" t="s">
        <v>919</v>
      </c>
      <c r="I237" s="6" t="s">
        <v>14</v>
      </c>
      <c r="J237" s="6" t="s">
        <v>5245</v>
      </c>
      <c r="K237" s="6">
        <v>1794127</v>
      </c>
      <c r="L237" s="7" t="s">
        <v>7608</v>
      </c>
      <c r="M237" s="8">
        <v>24977</v>
      </c>
      <c r="N237" s="8" t="str">
        <f t="shared" si="22"/>
        <v>PEN</v>
      </c>
      <c r="O237" s="13"/>
      <c r="P237" s="13">
        <v>8</v>
      </c>
      <c r="Q237" s="3">
        <f t="shared" si="23"/>
        <v>0</v>
      </c>
      <c r="R237" s="3">
        <f t="shared" si="24"/>
        <v>8</v>
      </c>
      <c r="S237" s="3">
        <f t="shared" si="18"/>
        <v>177</v>
      </c>
      <c r="T237" s="24" t="s">
        <v>1081</v>
      </c>
      <c r="U237" s="24"/>
      <c r="V237" s="3"/>
      <c r="W237" s="25" t="s">
        <v>6541</v>
      </c>
      <c r="X237" s="25">
        <v>20517252558</v>
      </c>
      <c r="Y237" s="25" t="str">
        <f>IFERROR(VLOOKUP(C_Ope_007[[#This Row],[NOTA 2]],Clientes_Proveedores[[Ruc / Dni]:[Razon Social]],2,0),"")</f>
        <v>COVISUR S.A.</v>
      </c>
      <c r="Z237" s="25"/>
      <c r="AA237" s="25"/>
      <c r="AB237" s="3" t="str">
        <f>IF(C_Ope_007[[#This Row],[FECHA]]&gt;0,TEXT(C_Ope_007[[#This Row],[FECHA]],"mmmm"),0)</f>
        <v>Julio</v>
      </c>
    </row>
    <row r="238" spans="2:28" ht="24" x14ac:dyDescent="0.3">
      <c r="B238" s="2">
        <f>IF(C_Ope_007[[#This Row],[TIPO DE R.]]="R",COUNTIFS($D$4:$D237,"R")+1,"")</f>
        <v>234</v>
      </c>
      <c r="C238" s="19" t="str">
        <f t="shared" si="21"/>
        <v>C_Ope_007</v>
      </c>
      <c r="D238" s="3" t="s">
        <v>1074</v>
      </c>
      <c r="E238" s="14">
        <v>45854</v>
      </c>
      <c r="F238" s="5" t="s">
        <v>4314</v>
      </c>
      <c r="G238" s="5" t="s">
        <v>1079</v>
      </c>
      <c r="H238" s="6" t="s">
        <v>919</v>
      </c>
      <c r="I238" s="6" t="s">
        <v>14</v>
      </c>
      <c r="J238" s="6" t="s">
        <v>5244</v>
      </c>
      <c r="K238" s="6">
        <v>1785373</v>
      </c>
      <c r="L238" s="7" t="s">
        <v>7610</v>
      </c>
      <c r="M238" s="8">
        <v>24978</v>
      </c>
      <c r="N238" s="8" t="str">
        <f t="shared" si="22"/>
        <v>PEN</v>
      </c>
      <c r="O238" s="13"/>
      <c r="P238" s="13">
        <v>8</v>
      </c>
      <c r="Q238" s="3">
        <f t="shared" si="23"/>
        <v>0</v>
      </c>
      <c r="R238" s="3">
        <f t="shared" si="24"/>
        <v>8</v>
      </c>
      <c r="S238" s="3">
        <f t="shared" si="18"/>
        <v>169</v>
      </c>
      <c r="T238" s="24" t="s">
        <v>1081</v>
      </c>
      <c r="U238" s="24"/>
      <c r="V238" s="3"/>
      <c r="W238" s="25" t="s">
        <v>6630</v>
      </c>
      <c r="X238" s="25">
        <v>20517252558</v>
      </c>
      <c r="Y238" s="25" t="str">
        <f>IFERROR(VLOOKUP(C_Ope_007[[#This Row],[NOTA 2]],Clientes_Proveedores[[Ruc / Dni]:[Razon Social]],2,0),"")</f>
        <v>COVISUR S.A.</v>
      </c>
      <c r="Z238" s="25"/>
      <c r="AA238" s="25"/>
      <c r="AB238" s="3" t="str">
        <f>IF(C_Ope_007[[#This Row],[FECHA]]&gt;0,TEXT(C_Ope_007[[#This Row],[FECHA]],"mmmm"),0)</f>
        <v>Julio</v>
      </c>
    </row>
    <row r="239" spans="2:28" ht="24" x14ac:dyDescent="0.3">
      <c r="B239" s="2">
        <f>IF(C_Ope_007[[#This Row],[TIPO DE R.]]="R",COUNTIFS($D$4:$D238,"R")+1,"")</f>
        <v>235</v>
      </c>
      <c r="C239" s="19" t="str">
        <f t="shared" si="21"/>
        <v>C_Ope_007</v>
      </c>
      <c r="D239" s="3" t="s">
        <v>1074</v>
      </c>
      <c r="E239" s="14">
        <v>45855</v>
      </c>
      <c r="F239" s="5" t="s">
        <v>4314</v>
      </c>
      <c r="G239" s="5" t="s">
        <v>1079</v>
      </c>
      <c r="H239" s="6" t="s">
        <v>919</v>
      </c>
      <c r="I239" s="6" t="s">
        <v>14</v>
      </c>
      <c r="J239" s="6" t="s">
        <v>5243</v>
      </c>
      <c r="K239" s="6">
        <v>2400996</v>
      </c>
      <c r="L239" s="7" t="s">
        <v>7611</v>
      </c>
      <c r="M239" s="8">
        <v>24979</v>
      </c>
      <c r="N239" s="8" t="str">
        <f t="shared" si="22"/>
        <v>PEN</v>
      </c>
      <c r="O239" s="13"/>
      <c r="P239" s="13">
        <v>5</v>
      </c>
      <c r="Q239" s="3">
        <f t="shared" si="23"/>
        <v>0</v>
      </c>
      <c r="R239" s="3">
        <f t="shared" si="24"/>
        <v>5</v>
      </c>
      <c r="S239" s="3">
        <f t="shared" si="18"/>
        <v>164</v>
      </c>
      <c r="T239" s="24" t="s">
        <v>1081</v>
      </c>
      <c r="U239" s="24"/>
      <c r="V239" s="3"/>
      <c r="W239" s="25" t="s">
        <v>6539</v>
      </c>
      <c r="X239" s="25">
        <v>20517252558</v>
      </c>
      <c r="Y239" s="25" t="str">
        <f>IFERROR(VLOOKUP(C_Ope_007[[#This Row],[NOTA 2]],Clientes_Proveedores[[Ruc / Dni]:[Razon Social]],2,0),"")</f>
        <v>COVISUR S.A.</v>
      </c>
      <c r="Z239" s="25"/>
      <c r="AA239" s="25"/>
      <c r="AB239" s="3" t="str">
        <f>IF(C_Ope_007[[#This Row],[FECHA]]&gt;0,TEXT(C_Ope_007[[#This Row],[FECHA]],"mmmm"),0)</f>
        <v>Julio</v>
      </c>
    </row>
    <row r="240" spans="2:28" ht="24" x14ac:dyDescent="0.3">
      <c r="B240" s="2">
        <f>IF(C_Ope_007[[#This Row],[TIPO DE R.]]="R",COUNTIFS($D$4:$D239,"R")+1,"")</f>
        <v>236</v>
      </c>
      <c r="C240" s="19" t="str">
        <f t="shared" si="21"/>
        <v>C_Ope_007</v>
      </c>
      <c r="D240" s="3" t="s">
        <v>1074</v>
      </c>
      <c r="E240" s="14">
        <v>45855</v>
      </c>
      <c r="F240" s="5" t="s">
        <v>4314</v>
      </c>
      <c r="G240" s="5" t="s">
        <v>1079</v>
      </c>
      <c r="H240" s="6" t="s">
        <v>919</v>
      </c>
      <c r="I240" s="6" t="s">
        <v>14</v>
      </c>
      <c r="J240" s="6" t="s">
        <v>5245</v>
      </c>
      <c r="K240" s="6">
        <v>1806446</v>
      </c>
      <c r="L240" s="7" t="s">
        <v>7611</v>
      </c>
      <c r="M240" s="8">
        <v>24980</v>
      </c>
      <c r="N240" s="8" t="str">
        <f t="shared" si="22"/>
        <v>PEN</v>
      </c>
      <c r="O240" s="13"/>
      <c r="P240" s="13">
        <v>5</v>
      </c>
      <c r="Q240" s="3">
        <f t="shared" si="23"/>
        <v>0</v>
      </c>
      <c r="R240" s="3">
        <f t="shared" si="24"/>
        <v>5</v>
      </c>
      <c r="S240" s="3">
        <f t="shared" si="18"/>
        <v>159</v>
      </c>
      <c r="T240" s="24" t="s">
        <v>1081</v>
      </c>
      <c r="U240" s="24"/>
      <c r="V240" s="3"/>
      <c r="W240" s="25" t="s">
        <v>6539</v>
      </c>
      <c r="X240" s="25">
        <v>20517252558</v>
      </c>
      <c r="Y240" s="25" t="str">
        <f>IFERROR(VLOOKUP(C_Ope_007[[#This Row],[NOTA 2]],Clientes_Proveedores[[Ruc / Dni]:[Razon Social]],2,0),"")</f>
        <v>COVISUR S.A.</v>
      </c>
      <c r="Z240" s="25"/>
      <c r="AA240" s="25"/>
      <c r="AB240" s="3" t="str">
        <f>IF(C_Ope_007[[#This Row],[FECHA]]&gt;0,TEXT(C_Ope_007[[#This Row],[FECHA]],"mmmm"),0)</f>
        <v>Julio</v>
      </c>
    </row>
    <row r="241" spans="2:28" ht="36" x14ac:dyDescent="0.3">
      <c r="B241" s="2">
        <f>IF(C_Ope_007[[#This Row],[TIPO DE R.]]="R",COUNTIFS($D$4:$D240,"R")+1,"")</f>
        <v>237</v>
      </c>
      <c r="C241" s="19" t="str">
        <f t="shared" si="21"/>
        <v>C_Ope_007</v>
      </c>
      <c r="D241" s="3" t="s">
        <v>1074</v>
      </c>
      <c r="E241" s="14">
        <v>45848</v>
      </c>
      <c r="F241" s="5" t="s">
        <v>4314</v>
      </c>
      <c r="G241" s="5" t="s">
        <v>1079</v>
      </c>
      <c r="H241" s="6" t="s">
        <v>170</v>
      </c>
      <c r="I241" s="6" t="s">
        <v>14</v>
      </c>
      <c r="J241" s="6" t="s">
        <v>1148</v>
      </c>
      <c r="K241" s="6">
        <v>134004</v>
      </c>
      <c r="L241" s="7" t="s">
        <v>7612</v>
      </c>
      <c r="M241" s="8">
        <v>24981</v>
      </c>
      <c r="N241" s="8" t="str">
        <f t="shared" si="22"/>
        <v>PEN</v>
      </c>
      <c r="O241" s="13"/>
      <c r="P241" s="13">
        <v>10</v>
      </c>
      <c r="Q241" s="3">
        <f t="shared" si="23"/>
        <v>0</v>
      </c>
      <c r="R241" s="3">
        <f t="shared" si="24"/>
        <v>10</v>
      </c>
      <c r="S241" s="3">
        <f t="shared" si="18"/>
        <v>149</v>
      </c>
      <c r="T241" s="24" t="s">
        <v>1081</v>
      </c>
      <c r="U241" s="24"/>
      <c r="V241" s="3"/>
      <c r="W241" s="25" t="s">
        <v>6860</v>
      </c>
      <c r="X241" s="25">
        <v>20124952850</v>
      </c>
      <c r="Y241" s="25" t="str">
        <f>IFERROR(VLOOKUP(C_Ope_007[[#This Row],[NOTA 2]],Clientes_Proveedores[[Ruc / Dni]:[Razon Social]],2,0),"")</f>
        <v>ALIMENTOS Y SERVICIOS AGROPECUARIOS SRL.</v>
      </c>
      <c r="Z241" s="25"/>
      <c r="AA241" s="25"/>
      <c r="AB241" s="3" t="str">
        <f>IF(C_Ope_007[[#This Row],[FECHA]]&gt;0,TEXT(C_Ope_007[[#This Row],[FECHA]],"mmmm"),0)</f>
        <v>Julio</v>
      </c>
    </row>
    <row r="242" spans="2:28" x14ac:dyDescent="0.3">
      <c r="B242" s="2">
        <f>IF(C_Ope_007[[#This Row],[TIPO DE R.]]="R",COUNTIFS($D$4:$D241,"R")+1,"")</f>
        <v>238</v>
      </c>
      <c r="C242" s="19" t="str">
        <f t="shared" si="21"/>
        <v>C_Ope_007</v>
      </c>
      <c r="D242" s="3" t="s">
        <v>1074</v>
      </c>
      <c r="E242" s="14">
        <v>45855</v>
      </c>
      <c r="F242" s="5" t="s">
        <v>4314</v>
      </c>
      <c r="G242" s="5" t="s">
        <v>1079</v>
      </c>
      <c r="H242" s="6" t="s">
        <v>950</v>
      </c>
      <c r="I242" s="6" t="s">
        <v>70</v>
      </c>
      <c r="J242" s="6"/>
      <c r="K242" s="6">
        <v>24982</v>
      </c>
      <c r="L242" s="7" t="s">
        <v>7613</v>
      </c>
      <c r="M242" s="8">
        <v>24982</v>
      </c>
      <c r="N242" s="8" t="str">
        <f t="shared" si="22"/>
        <v>PEN</v>
      </c>
      <c r="O242" s="13"/>
      <c r="P242" s="13">
        <v>12</v>
      </c>
      <c r="Q242" s="3">
        <f t="shared" si="23"/>
        <v>0</v>
      </c>
      <c r="R242" s="3">
        <f t="shared" si="24"/>
        <v>12</v>
      </c>
      <c r="S242" s="3">
        <f t="shared" si="18"/>
        <v>137</v>
      </c>
      <c r="T242" s="24" t="s">
        <v>1081</v>
      </c>
      <c r="U242" s="24"/>
      <c r="V242" s="3"/>
      <c r="W242" s="25"/>
      <c r="X242" s="25"/>
      <c r="Y242" s="25" t="str">
        <f>IFERROR(VLOOKUP(C_Ope_007[[#This Row],[NOTA 2]],Clientes_Proveedores[[Ruc / Dni]:[Razon Social]],2,0),"")</f>
        <v/>
      </c>
      <c r="Z242" s="25"/>
      <c r="AA242" s="25"/>
      <c r="AB242" s="3" t="str">
        <f>IF(C_Ope_007[[#This Row],[FECHA]]&gt;0,TEXT(C_Ope_007[[#This Row],[FECHA]],"mmmm"),0)</f>
        <v>Julio</v>
      </c>
    </row>
    <row r="243" spans="2:28" ht="24" x14ac:dyDescent="0.3">
      <c r="B243" s="2">
        <f>IF(C_Ope_007[[#This Row],[TIPO DE R.]]="R",COUNTIFS($D$4:$D242,"R")+1,"")</f>
        <v>239</v>
      </c>
      <c r="C243" s="19" t="str">
        <f t="shared" ref="C243:C249" si="25">"C_Ope_007"</f>
        <v>C_Ope_007</v>
      </c>
      <c r="D243" s="3" t="s">
        <v>1074</v>
      </c>
      <c r="E243" s="14">
        <v>45859</v>
      </c>
      <c r="F243" s="5" t="s">
        <v>4314</v>
      </c>
      <c r="G243" s="5" t="s">
        <v>1079</v>
      </c>
      <c r="H243" s="6" t="s">
        <v>919</v>
      </c>
      <c r="I243" s="6" t="s">
        <v>14</v>
      </c>
      <c r="J243" s="6" t="s">
        <v>5244</v>
      </c>
      <c r="K243" s="6">
        <v>1790082</v>
      </c>
      <c r="L243" s="7" t="s">
        <v>7614</v>
      </c>
      <c r="M243" s="8">
        <v>25076</v>
      </c>
      <c r="N243" s="8" t="str">
        <f t="shared" ref="N243:N249" si="26">"PEN"</f>
        <v>PEN</v>
      </c>
      <c r="O243" s="13"/>
      <c r="P243" s="13">
        <v>8</v>
      </c>
      <c r="Q243" s="3">
        <f t="shared" ref="Q243:Q249" si="27">+IF(OR($G243="SALDO",$G243="INGRESO"),$P243,0)</f>
        <v>0</v>
      </c>
      <c r="R243" s="3">
        <f t="shared" ref="R243:R249" si="28">+IF($G243="EGRESO",$P243,0)</f>
        <v>8</v>
      </c>
      <c r="S243" s="13">
        <f t="shared" si="18"/>
        <v>129</v>
      </c>
      <c r="T243" s="24"/>
      <c r="U243" s="24"/>
      <c r="V243" s="3"/>
      <c r="W243" s="25" t="s">
        <v>7615</v>
      </c>
      <c r="X243" s="25">
        <v>20517252558</v>
      </c>
      <c r="Y243" s="25" t="str">
        <f>IFERROR(VLOOKUP(C_Ope_007[[#This Row],[NOTA 2]],Clientes_Proveedores[[Ruc / Dni]:[Razon Social]],2,0),"")</f>
        <v>COVISUR S.A.</v>
      </c>
      <c r="Z243" s="25"/>
      <c r="AA243" s="25"/>
      <c r="AB243" s="3" t="str">
        <f>IF(C_Ope_007[[#This Row],[FECHA]]&gt;0,TEXT(C_Ope_007[[#This Row],[FECHA]],"mmmm"),0)</f>
        <v>Julio</v>
      </c>
    </row>
    <row r="244" spans="2:28" ht="24" x14ac:dyDescent="0.3">
      <c r="B244" s="2">
        <f>IF(C_Ope_007[[#This Row],[TIPO DE R.]]="R",COUNTIFS($D$4:$D243,"R")+1,"")</f>
        <v>240</v>
      </c>
      <c r="C244" s="19" t="str">
        <f t="shared" si="25"/>
        <v>C_Ope_007</v>
      </c>
      <c r="D244" s="3" t="s">
        <v>1074</v>
      </c>
      <c r="E244" s="14">
        <v>45863</v>
      </c>
      <c r="F244" s="5" t="s">
        <v>4880</v>
      </c>
      <c r="G244" s="5" t="s">
        <v>1079</v>
      </c>
      <c r="H244" s="6" t="s">
        <v>950</v>
      </c>
      <c r="I244" s="6" t="s">
        <v>70</v>
      </c>
      <c r="J244" s="6"/>
      <c r="K244" s="6">
        <v>25110</v>
      </c>
      <c r="L244" s="7" t="s">
        <v>7616</v>
      </c>
      <c r="M244" s="8">
        <v>25110</v>
      </c>
      <c r="N244" s="8" t="str">
        <f t="shared" si="26"/>
        <v>PEN</v>
      </c>
      <c r="O244" s="13"/>
      <c r="P244" s="13">
        <v>10</v>
      </c>
      <c r="Q244" s="3">
        <f t="shared" si="27"/>
        <v>0</v>
      </c>
      <c r="R244" s="3">
        <f t="shared" si="28"/>
        <v>10</v>
      </c>
      <c r="S244" s="3">
        <f t="shared" si="18"/>
        <v>119</v>
      </c>
      <c r="T244" s="24"/>
      <c r="U244" s="24"/>
      <c r="V244" s="3"/>
      <c r="W244" s="25" t="s">
        <v>6813</v>
      </c>
      <c r="X244" s="25"/>
      <c r="Y244" s="25" t="str">
        <f>IFERROR(VLOOKUP(C_Ope_007[[#This Row],[NOTA 2]],Clientes_Proveedores[[Ruc / Dni]:[Razon Social]],2,0),"")</f>
        <v/>
      </c>
      <c r="Z244" s="25" t="s">
        <v>4972</v>
      </c>
      <c r="AA244" s="25"/>
      <c r="AB244" s="3" t="str">
        <f>IF(C_Ope_007[[#This Row],[FECHA]]&gt;0,TEXT(C_Ope_007[[#This Row],[FECHA]],"mmmm"),0)</f>
        <v>Julio</v>
      </c>
    </row>
    <row r="245" spans="2:28" ht="24" x14ac:dyDescent="0.3">
      <c r="B245" s="2">
        <f>IF(C_Ope_007[[#This Row],[TIPO DE R.]]="R",COUNTIFS($D$4:$D244,"R")+1,"")</f>
        <v>241</v>
      </c>
      <c r="C245" s="19" t="str">
        <f t="shared" si="25"/>
        <v>C_Ope_007</v>
      </c>
      <c r="D245" s="3" t="s">
        <v>1074</v>
      </c>
      <c r="E245" s="14">
        <v>45874</v>
      </c>
      <c r="F245" s="5" t="s">
        <v>4880</v>
      </c>
      <c r="G245" s="5" t="s">
        <v>1079</v>
      </c>
      <c r="H245" s="6" t="s">
        <v>919</v>
      </c>
      <c r="I245" s="6" t="s">
        <v>14</v>
      </c>
      <c r="J245" s="6" t="s">
        <v>5244</v>
      </c>
      <c r="K245" s="6">
        <v>1803237</v>
      </c>
      <c r="L245" s="7" t="s">
        <v>7617</v>
      </c>
      <c r="M245" s="8">
        <v>25107</v>
      </c>
      <c r="N245" s="8" t="str">
        <f t="shared" si="26"/>
        <v>PEN</v>
      </c>
      <c r="O245" s="13"/>
      <c r="P245" s="13">
        <v>8</v>
      </c>
      <c r="Q245" s="3">
        <f t="shared" si="27"/>
        <v>0</v>
      </c>
      <c r="R245" s="3">
        <f t="shared" si="28"/>
        <v>8</v>
      </c>
      <c r="S245" s="3">
        <f t="shared" si="18"/>
        <v>111</v>
      </c>
      <c r="T245" s="24"/>
      <c r="U245" s="24"/>
      <c r="V245" s="3"/>
      <c r="W245" s="25" t="s">
        <v>6546</v>
      </c>
      <c r="X245" s="25">
        <v>20517252558</v>
      </c>
      <c r="Y245" s="25" t="str">
        <f>IFERROR(VLOOKUP(C_Ope_007[[#This Row],[NOTA 2]],Clientes_Proveedores[[Ruc / Dni]:[Razon Social]],2,0),"")</f>
        <v>COVISUR S.A.</v>
      </c>
      <c r="Z245" s="25" t="s">
        <v>6677</v>
      </c>
      <c r="AA245" s="25"/>
      <c r="AB245" s="3" t="str">
        <f>IF(C_Ope_007[[#This Row],[FECHA]]&gt;0,TEXT(C_Ope_007[[#This Row],[FECHA]],"mmmm"),0)</f>
        <v>Agosto</v>
      </c>
    </row>
    <row r="246" spans="2:28" ht="24" x14ac:dyDescent="0.3">
      <c r="B246" s="2">
        <f>IF(C_Ope_007[[#This Row],[TIPO DE R.]]="R",COUNTIFS($D$4:$D245,"R")+1,"")</f>
        <v>242</v>
      </c>
      <c r="C246" s="19" t="str">
        <f t="shared" si="25"/>
        <v>C_Ope_007</v>
      </c>
      <c r="D246" s="3" t="s">
        <v>1074</v>
      </c>
      <c r="E246" s="14">
        <v>45874</v>
      </c>
      <c r="F246" s="5" t="s">
        <v>4880</v>
      </c>
      <c r="G246" s="5" t="s">
        <v>1079</v>
      </c>
      <c r="H246" s="6" t="s">
        <v>919</v>
      </c>
      <c r="I246" s="6" t="s">
        <v>14</v>
      </c>
      <c r="J246" s="6" t="s">
        <v>5245</v>
      </c>
      <c r="K246" s="6">
        <v>1823633</v>
      </c>
      <c r="L246" s="7" t="s">
        <v>7618</v>
      </c>
      <c r="M246" s="8">
        <v>25141</v>
      </c>
      <c r="N246" s="8" t="str">
        <f t="shared" si="26"/>
        <v>PEN</v>
      </c>
      <c r="O246" s="13"/>
      <c r="P246" s="13">
        <v>8</v>
      </c>
      <c r="Q246" s="3">
        <f t="shared" si="27"/>
        <v>0</v>
      </c>
      <c r="R246" s="3">
        <f t="shared" si="28"/>
        <v>8</v>
      </c>
      <c r="S246" s="3">
        <f t="shared" si="18"/>
        <v>103</v>
      </c>
      <c r="T246" s="24"/>
      <c r="U246" s="24"/>
      <c r="V246" s="3"/>
      <c r="W246" s="25" t="s">
        <v>6546</v>
      </c>
      <c r="X246" s="25">
        <v>20517252558</v>
      </c>
      <c r="Y246" s="25" t="str">
        <f>IFERROR(VLOOKUP(C_Ope_007[[#This Row],[NOTA 2]],Clientes_Proveedores[[Ruc / Dni]:[Razon Social]],2,0),"")</f>
        <v>COVISUR S.A.</v>
      </c>
      <c r="Z246" s="25" t="s">
        <v>6677</v>
      </c>
      <c r="AA246" s="25"/>
      <c r="AB246" s="3" t="str">
        <f>IF(C_Ope_007[[#This Row],[FECHA]]&gt;0,TEXT(C_Ope_007[[#This Row],[FECHA]],"mmmm"),0)</f>
        <v>Agosto</v>
      </c>
    </row>
    <row r="247" spans="2:28" ht="36" x14ac:dyDescent="0.3">
      <c r="B247" s="2">
        <f>IF(C_Ope_007[[#This Row],[TIPO DE R.]]="R",COUNTIFS($D$4:$D246,"R")+1,"")</f>
        <v>243</v>
      </c>
      <c r="C247" s="19" t="str">
        <f t="shared" si="25"/>
        <v>C_Ope_007</v>
      </c>
      <c r="D247" s="3" t="s">
        <v>1074</v>
      </c>
      <c r="E247" s="14">
        <v>45873</v>
      </c>
      <c r="F247" s="5" t="s">
        <v>4880</v>
      </c>
      <c r="G247" s="5" t="s">
        <v>1079</v>
      </c>
      <c r="H247" s="6" t="s">
        <v>970</v>
      </c>
      <c r="I247" s="6" t="s">
        <v>14</v>
      </c>
      <c r="J247" s="6" t="s">
        <v>1119</v>
      </c>
      <c r="K247" s="6">
        <v>18114</v>
      </c>
      <c r="L247" s="7" t="s">
        <v>7619</v>
      </c>
      <c r="M247" s="8">
        <v>25109</v>
      </c>
      <c r="N247" s="8" t="str">
        <f t="shared" si="26"/>
        <v>PEN</v>
      </c>
      <c r="O247" s="13"/>
      <c r="P247" s="13">
        <v>11</v>
      </c>
      <c r="Q247" s="3">
        <f t="shared" si="27"/>
        <v>0</v>
      </c>
      <c r="R247" s="3">
        <f t="shared" si="28"/>
        <v>11</v>
      </c>
      <c r="S247" s="3">
        <f t="shared" si="18"/>
        <v>92</v>
      </c>
      <c r="T247" s="24"/>
      <c r="U247" s="24"/>
      <c r="V247" s="3"/>
      <c r="W247" s="25" t="s">
        <v>6813</v>
      </c>
      <c r="X247" s="25">
        <v>20454058187</v>
      </c>
      <c r="Y247" s="25" t="str">
        <f>IFERROR(VLOOKUP(C_Ope_007[[#This Row],[NOTA 2]],Clientes_Proveedores[[Ruc / Dni]:[Razon Social]],2,0),"")</f>
        <v>ZONA ESPECIAL DE DESARROLLO ZED MATARANI</v>
      </c>
      <c r="Z247" s="25" t="s">
        <v>4972</v>
      </c>
      <c r="AA247" s="25"/>
      <c r="AB247" s="3" t="str">
        <f>IF(C_Ope_007[[#This Row],[FECHA]]&gt;0,TEXT(C_Ope_007[[#This Row],[FECHA]],"mmmm"),0)</f>
        <v>Agosto</v>
      </c>
    </row>
    <row r="248" spans="2:28" ht="36" x14ac:dyDescent="0.3">
      <c r="B248" s="2">
        <f>IF(C_Ope_007[[#This Row],[TIPO DE R.]]="R",COUNTIFS($D$4:$D247,"R")+1,"")</f>
        <v>244</v>
      </c>
      <c r="C248" s="19" t="str">
        <f t="shared" si="25"/>
        <v>C_Ope_007</v>
      </c>
      <c r="D248" s="3" t="s">
        <v>1074</v>
      </c>
      <c r="E248" s="14">
        <v>45887</v>
      </c>
      <c r="F248" s="5" t="s">
        <v>4880</v>
      </c>
      <c r="G248" s="5" t="s">
        <v>1079</v>
      </c>
      <c r="H248" s="6" t="s">
        <v>624</v>
      </c>
      <c r="I248" s="6" t="s">
        <v>14</v>
      </c>
      <c r="J248" s="6" t="s">
        <v>1097</v>
      </c>
      <c r="K248" s="6">
        <v>17385</v>
      </c>
      <c r="L248" s="7" t="s">
        <v>7620</v>
      </c>
      <c r="M248" s="8">
        <v>25108</v>
      </c>
      <c r="N248" s="8" t="str">
        <f t="shared" si="26"/>
        <v>PEN</v>
      </c>
      <c r="O248" s="13"/>
      <c r="P248" s="13">
        <v>20</v>
      </c>
      <c r="Q248" s="3">
        <f t="shared" si="27"/>
        <v>0</v>
      </c>
      <c r="R248" s="3">
        <f t="shared" si="28"/>
        <v>20</v>
      </c>
      <c r="S248" s="3">
        <f t="shared" si="18"/>
        <v>72</v>
      </c>
      <c r="T248" s="24"/>
      <c r="U248" s="24"/>
      <c r="V248" s="3"/>
      <c r="W248" s="25" t="s">
        <v>6546</v>
      </c>
      <c r="X248" s="25">
        <v>20259858934</v>
      </c>
      <c r="Y248" s="25" t="str">
        <f>IFERROR(VLOOKUP(C_Ope_007[[#This Row],[NOTA 2]],Clientes_Proveedores[[Ruc / Dni]:[Razon Social]],2,0),"")</f>
        <v>COMERCIALIZACION Y SERVICIOS EL EDEN S.A.C.</v>
      </c>
      <c r="Z248" s="25" t="s">
        <v>4972</v>
      </c>
      <c r="AA248" s="25"/>
      <c r="AB248" s="3" t="str">
        <f>IF(C_Ope_007[[#This Row],[FECHA]]&gt;0,TEXT(C_Ope_007[[#This Row],[FECHA]],"mmmm"),0)</f>
        <v>Agosto</v>
      </c>
    </row>
    <row r="249" spans="2:28" x14ac:dyDescent="0.3">
      <c r="B249" s="2">
        <f>IF(C_Ope_007[[#This Row],[TIPO DE R.]]="R",COUNTIFS($D$4:$D248,"R")+1,"")</f>
        <v>245</v>
      </c>
      <c r="C249" s="19" t="str">
        <f t="shared" si="25"/>
        <v>C_Ope_007</v>
      </c>
      <c r="D249" s="3" t="s">
        <v>1074</v>
      </c>
      <c r="E249" s="14">
        <v>45880</v>
      </c>
      <c r="F249" s="5" t="s">
        <v>4314</v>
      </c>
      <c r="G249" s="5" t="s">
        <v>1079</v>
      </c>
      <c r="H249" s="6"/>
      <c r="I249" s="6"/>
      <c r="J249" s="6"/>
      <c r="K249" s="6"/>
      <c r="L249" s="7" t="s">
        <v>7621</v>
      </c>
      <c r="M249" s="8">
        <v>3335174</v>
      </c>
      <c r="N249" s="8" t="str">
        <f t="shared" si="26"/>
        <v>PEN</v>
      </c>
      <c r="O249" s="13"/>
      <c r="P249" s="13">
        <v>129</v>
      </c>
      <c r="Q249" s="3">
        <f t="shared" si="27"/>
        <v>0</v>
      </c>
      <c r="R249" s="3">
        <f t="shared" si="28"/>
        <v>129</v>
      </c>
      <c r="S249" s="3">
        <f t="shared" si="18"/>
        <v>-57</v>
      </c>
      <c r="T249" s="24"/>
      <c r="U249" s="24"/>
      <c r="V249" s="3"/>
      <c r="W249" s="25"/>
      <c r="X249" s="25"/>
      <c r="Y249" s="25" t="str">
        <f>IFERROR(VLOOKUP(C_Ope_007[[#This Row],[NOTA 2]],Clientes_Proveedores[[Ruc / Dni]:[Razon Social]],2,0),"")</f>
        <v/>
      </c>
      <c r="Z249" s="25"/>
      <c r="AA249" s="25"/>
      <c r="AB249" s="3" t="str">
        <f>IF(C_Ope_007[[#This Row],[FECHA]]&gt;0,TEXT(C_Ope_007[[#This Row],[FECHA]],"mmmm"),0)</f>
        <v>Agosto</v>
      </c>
    </row>
    <row r="252" spans="2:28" x14ac:dyDescent="0.3">
      <c r="B252" s="97" t="s">
        <v>6744</v>
      </c>
      <c r="C252" s="98"/>
      <c r="D252" s="96" t="s">
        <v>860</v>
      </c>
    </row>
  </sheetData>
  <mergeCells count="1">
    <mergeCell ref="B2:AB2"/>
  </mergeCells>
  <conditionalFormatting sqref="B252:D252">
    <cfRule type="expression" dxfId="14" priority="1">
      <formula>$T252="OK"</formula>
    </cfRule>
  </conditionalFormatting>
  <conditionalFormatting sqref="B5:AB249">
    <cfRule type="expression" dxfId="13" priority="280">
      <formula>$U5="OK"</formula>
    </cfRule>
    <cfRule type="expression" dxfId="12" priority="281">
      <formula>$T5="OK"</formula>
    </cfRule>
    <cfRule type="expression" dxfId="11" priority="282">
      <formula>$D5="D"</formula>
    </cfRule>
  </conditionalFormatting>
  <conditionalFormatting sqref="E249:N249">
    <cfRule type="expression" dxfId="10" priority="2">
      <formula>$U249="OK"</formula>
    </cfRule>
    <cfRule type="expression" dxfId="9" priority="3">
      <formula>$T249="OK"</formula>
    </cfRule>
    <cfRule type="expression" dxfId="8" priority="4">
      <formula>$D249="D"</formula>
    </cfRule>
  </conditionalFormatting>
  <dataValidations count="4">
    <dataValidation type="list" allowBlank="1" showInputMessage="1" showErrorMessage="1" sqref="I5:I249" xr:uid="{551B6222-F48A-5E4E-8C0B-387419A0C3CF}">
      <formula1>Documentos</formula1>
    </dataValidation>
    <dataValidation type="list" allowBlank="1" showInputMessage="1" showErrorMessage="1" sqref="G5:G249" xr:uid="{674ECEBB-62D5-9E43-A6B3-4027B3C22AF4}">
      <formula1>"SALDO,INGRESO,EGRESO"</formula1>
    </dataValidation>
    <dataValidation type="list" allowBlank="1" showInputMessage="1" showErrorMessage="1" sqref="D5:D249" xr:uid="{C46EA01A-25E1-6141-BE28-4B97FA4F2A93}">
      <formula1>"R,D"</formula1>
    </dataValidation>
    <dataValidation type="list" allowBlank="1" showInputMessage="1" showErrorMessage="1" sqref="H5:H249" xr:uid="{BDBEA8D4-3978-4846-AF61-02C5439D2D41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3" fitToHeight="0" orientation="landscape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D1F0-DB6B-4353-813F-E05982435D5B}">
  <sheetPr codeName="Hoja17">
    <tabColor rgb="FF002060"/>
    <pageSetUpPr fitToPage="1"/>
  </sheetPr>
  <dimension ref="B2:AB136"/>
  <sheetViews>
    <sheetView showGridLines="0" topLeftCell="A101" zoomScaleNormal="100" zoomScaleSheetLayoutView="100" workbookViewId="0">
      <selection activeCell="I112" sqref="I112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5.44140625" bestFit="1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bestFit="1" customWidth="1"/>
    <col min="23" max="27" width="15.88671875" customWidth="1" outlineLevel="1"/>
    <col min="28" max="28" width="12.88671875" customWidth="1" outlineLevel="1"/>
  </cols>
  <sheetData>
    <row r="2" spans="2:28" ht="23.4" x14ac:dyDescent="0.3">
      <c r="B2" s="263" t="s">
        <v>7622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2">
        <f>IF(C_Ope_008[[#This Row],[TIPO DE R.]]="R",COUNTIFS($D$4:$D4,"R")+1,"")</f>
        <v>1</v>
      </c>
      <c r="C5" s="19" t="str">
        <f>"C_Ope_008"</f>
        <v>C_Ope_008</v>
      </c>
      <c r="D5" s="3" t="s">
        <v>1074</v>
      </c>
      <c r="E5" s="4">
        <v>45658</v>
      </c>
      <c r="F5" s="5" t="s">
        <v>4433</v>
      </c>
      <c r="G5" s="6" t="s">
        <v>1064</v>
      </c>
      <c r="H5" s="6"/>
      <c r="I5" s="6"/>
      <c r="J5" s="6"/>
      <c r="K5" s="6"/>
      <c r="L5" s="7" t="s">
        <v>1076</v>
      </c>
      <c r="M5" s="8">
        <v>22573</v>
      </c>
      <c r="N5" s="8" t="str">
        <f t="shared" ref="N5" si="0">"PEN"</f>
        <v>PEN</v>
      </c>
      <c r="O5" s="13"/>
      <c r="P5" s="9">
        <v>45.8</v>
      </c>
      <c r="Q5" s="9">
        <f t="shared" ref="Q5:Q36" si="1">+IF(OR($G5="SALDO",$G5="INGRESO"),$P5,0)</f>
        <v>45.8</v>
      </c>
      <c r="R5" s="9">
        <f t="shared" ref="R5:R36" si="2">+IF($G5="EGRESO",$P5,0)</f>
        <v>0</v>
      </c>
      <c r="S5" s="9">
        <f t="shared" ref="S5:S36" si="3">IFERROR(IF(G5="SALDO",Q5,S4+Q5-R5),0)</f>
        <v>45.8</v>
      </c>
      <c r="T5" s="24"/>
      <c r="U5" s="24"/>
      <c r="V5" s="15"/>
      <c r="W5" s="25"/>
      <c r="X5" s="25"/>
      <c r="Y5" s="25" t="str">
        <f>IFERROR(VLOOKUP(C_Ope_008[[#This Row],[NOTA 2]],Clientes_Proveedores[[Ruc / Dni]:[Razon Social]],2,0),"")</f>
        <v/>
      </c>
      <c r="Z5" s="25"/>
      <c r="AA5" s="25"/>
      <c r="AB5" s="3" t="str">
        <f>IF(C_Ope_008[[#This Row],[FECHA]]&gt;0,TEXT(C_Ope_008[[#This Row],[FECHA]],"mmmm"),0)</f>
        <v>Enero</v>
      </c>
    </row>
    <row r="6" spans="2:28" x14ac:dyDescent="0.3">
      <c r="B6" s="2">
        <f>IF(C_Ope_008[[#This Row],[TIPO DE R.]]="R",COUNTIFS($D$4:$D5,"R")+1,"")</f>
        <v>2</v>
      </c>
      <c r="C6" s="19" t="str">
        <f t="shared" ref="C6:C37" si="4">"C_Ope_008"</f>
        <v>C_Ope_008</v>
      </c>
      <c r="D6" s="3" t="s">
        <v>1074</v>
      </c>
      <c r="E6" s="14">
        <v>45666</v>
      </c>
      <c r="F6" s="5" t="s">
        <v>4433</v>
      </c>
      <c r="G6" s="5" t="s">
        <v>1079</v>
      </c>
      <c r="H6" s="6"/>
      <c r="I6" s="6" t="s">
        <v>14</v>
      </c>
      <c r="J6" s="6" t="s">
        <v>1429</v>
      </c>
      <c r="K6" s="6">
        <v>36277</v>
      </c>
      <c r="L6" s="7" t="s">
        <v>7623</v>
      </c>
      <c r="M6" s="8">
        <v>22596</v>
      </c>
      <c r="N6" s="8" t="str">
        <f t="shared" ref="N6:N37" si="5">"PEN"</f>
        <v>PEN</v>
      </c>
      <c r="O6" s="13"/>
      <c r="P6" s="13">
        <v>13</v>
      </c>
      <c r="Q6" s="3">
        <f t="shared" si="1"/>
        <v>0</v>
      </c>
      <c r="R6" s="3">
        <f t="shared" si="2"/>
        <v>13</v>
      </c>
      <c r="S6" s="3">
        <f t="shared" si="3"/>
        <v>32.799999999999997</v>
      </c>
      <c r="T6" s="24"/>
      <c r="U6" s="24"/>
      <c r="V6" s="3"/>
      <c r="W6" s="25" t="s">
        <v>6546</v>
      </c>
      <c r="X6" s="25"/>
      <c r="Y6" s="25" t="str">
        <f>IFERROR(VLOOKUP(C_Ope_008[[#This Row],[NOTA 2]],Clientes_Proveedores[[Ruc / Dni]:[Razon Social]],2,0),"")</f>
        <v/>
      </c>
      <c r="Z6" s="25"/>
      <c r="AA6" s="25"/>
      <c r="AB6" s="3" t="str">
        <f>IF(C_Ope_008[[#This Row],[FECHA]]&gt;0,TEXT(C_Ope_008[[#This Row],[FECHA]],"mmmm"),0)</f>
        <v>Enero</v>
      </c>
    </row>
    <row r="7" spans="2:28" x14ac:dyDescent="0.3">
      <c r="B7" s="2">
        <f>IF(C_Ope_008[[#This Row],[TIPO DE R.]]="R",COUNTIFS($D$4:$D6,"R")+1,"")</f>
        <v>3</v>
      </c>
      <c r="C7" s="19" t="str">
        <f t="shared" si="4"/>
        <v>C_Ope_008</v>
      </c>
      <c r="D7" s="3" t="s">
        <v>1074</v>
      </c>
      <c r="E7" s="14">
        <v>45670</v>
      </c>
      <c r="F7" s="5" t="s">
        <v>6299</v>
      </c>
      <c r="G7" s="5" t="s">
        <v>1087</v>
      </c>
      <c r="H7" s="6"/>
      <c r="I7" s="6"/>
      <c r="J7" s="6"/>
      <c r="K7" s="6"/>
      <c r="L7" s="7" t="s">
        <v>7624</v>
      </c>
      <c r="M7" s="8">
        <v>22693</v>
      </c>
      <c r="N7" s="8" t="str">
        <f t="shared" si="5"/>
        <v>PEN</v>
      </c>
      <c r="O7" s="13"/>
      <c r="P7" s="13">
        <v>170</v>
      </c>
      <c r="Q7" s="3">
        <f t="shared" si="1"/>
        <v>170</v>
      </c>
      <c r="R7" s="3">
        <f t="shared" si="2"/>
        <v>0</v>
      </c>
      <c r="S7" s="3">
        <f t="shared" si="3"/>
        <v>202.8</v>
      </c>
      <c r="T7" s="24"/>
      <c r="U7" s="24"/>
      <c r="V7" s="3"/>
      <c r="W7" s="25"/>
      <c r="X7" s="25"/>
      <c r="Y7" s="25" t="str">
        <f>IFERROR(VLOOKUP(C_Ope_008[[#This Row],[NOTA 2]],Clientes_Proveedores[[Ruc / Dni]:[Razon Social]],2,0),"")</f>
        <v/>
      </c>
      <c r="Z7" s="25"/>
      <c r="AA7" s="25"/>
      <c r="AB7" s="3" t="str">
        <f>IF(C_Ope_008[[#This Row],[FECHA]]&gt;0,TEXT(C_Ope_008[[#This Row],[FECHA]],"mmmm"),0)</f>
        <v>Enero</v>
      </c>
    </row>
    <row r="8" spans="2:28" ht="24" x14ac:dyDescent="0.3">
      <c r="B8" s="2">
        <f>IF(C_Ope_008[[#This Row],[TIPO DE R.]]="R",COUNTIFS($D$4:$D7,"R")+1,"")</f>
        <v>4</v>
      </c>
      <c r="C8" s="19" t="str">
        <f t="shared" si="4"/>
        <v>C_Ope_008</v>
      </c>
      <c r="D8" s="3" t="s">
        <v>1074</v>
      </c>
      <c r="E8" s="14">
        <v>45671</v>
      </c>
      <c r="F8" s="5" t="s">
        <v>4433</v>
      </c>
      <c r="G8" s="5" t="s">
        <v>1079</v>
      </c>
      <c r="H8" s="6"/>
      <c r="I8" s="6" t="s">
        <v>14</v>
      </c>
      <c r="J8" s="6" t="s">
        <v>1083</v>
      </c>
      <c r="K8" s="6">
        <v>1667</v>
      </c>
      <c r="L8" s="7" t="s">
        <v>7625</v>
      </c>
      <c r="M8" s="8">
        <v>22644</v>
      </c>
      <c r="N8" s="8" t="str">
        <f t="shared" si="5"/>
        <v>PEN</v>
      </c>
      <c r="O8" s="13"/>
      <c r="P8" s="13">
        <v>52.73</v>
      </c>
      <c r="Q8" s="3">
        <f t="shared" si="1"/>
        <v>0</v>
      </c>
      <c r="R8" s="3">
        <f t="shared" si="2"/>
        <v>52.73</v>
      </c>
      <c r="S8" s="3">
        <f t="shared" si="3"/>
        <v>150.07000000000002</v>
      </c>
      <c r="T8" s="24"/>
      <c r="U8" s="24"/>
      <c r="V8" s="3"/>
      <c r="W8" s="25" t="s">
        <v>6539</v>
      </c>
      <c r="X8" s="25"/>
      <c r="Y8" s="25" t="str">
        <f>IFERROR(VLOOKUP(C_Ope_008[[#This Row],[NOTA 2]],Clientes_Proveedores[[Ruc / Dni]:[Razon Social]],2,0),"")</f>
        <v/>
      </c>
      <c r="Z8" s="25"/>
      <c r="AA8" s="25"/>
      <c r="AB8" s="3" t="str">
        <f>IF(C_Ope_008[[#This Row],[FECHA]]&gt;0,TEXT(C_Ope_008[[#This Row],[FECHA]],"mmmm"),0)</f>
        <v>Enero</v>
      </c>
    </row>
    <row r="9" spans="2:28" ht="24" x14ac:dyDescent="0.3">
      <c r="B9" s="2">
        <f>IF(C_Ope_008[[#This Row],[TIPO DE R.]]="R",COUNTIFS($D$4:$D8,"R")+1,"")</f>
        <v>5</v>
      </c>
      <c r="C9" s="19" t="str">
        <f t="shared" si="4"/>
        <v>C_Ope_008</v>
      </c>
      <c r="D9" s="3" t="s">
        <v>1074</v>
      </c>
      <c r="E9" s="14">
        <v>45671</v>
      </c>
      <c r="F9" s="5" t="s">
        <v>4433</v>
      </c>
      <c r="G9" s="5" t="s">
        <v>1079</v>
      </c>
      <c r="H9" s="6"/>
      <c r="I9" s="6" t="s">
        <v>14</v>
      </c>
      <c r="J9" s="6" t="s">
        <v>1121</v>
      </c>
      <c r="K9" s="6">
        <v>2897</v>
      </c>
      <c r="L9" s="7" t="s">
        <v>7626</v>
      </c>
      <c r="M9" s="8">
        <v>22645</v>
      </c>
      <c r="N9" s="8" t="str">
        <f t="shared" si="5"/>
        <v>PEN</v>
      </c>
      <c r="O9" s="13"/>
      <c r="P9" s="13">
        <v>15</v>
      </c>
      <c r="Q9" s="3">
        <f t="shared" si="1"/>
        <v>0</v>
      </c>
      <c r="R9" s="3">
        <f t="shared" si="2"/>
        <v>15</v>
      </c>
      <c r="S9" s="3">
        <f t="shared" si="3"/>
        <v>135.07000000000002</v>
      </c>
      <c r="T9" s="24"/>
      <c r="U9" s="24"/>
      <c r="V9" s="3"/>
      <c r="W9" s="25" t="s">
        <v>6813</v>
      </c>
      <c r="X9" s="25"/>
      <c r="Y9" s="25" t="str">
        <f>IFERROR(VLOOKUP(C_Ope_008[[#This Row],[NOTA 2]],Clientes_Proveedores[[Ruc / Dni]:[Razon Social]],2,0),"")</f>
        <v/>
      </c>
      <c r="Z9" s="25"/>
      <c r="AA9" s="25"/>
      <c r="AB9" s="3" t="str">
        <f>IF(C_Ope_008[[#This Row],[FECHA]]&gt;0,TEXT(C_Ope_008[[#This Row],[FECHA]],"mmmm"),0)</f>
        <v>Enero</v>
      </c>
    </row>
    <row r="10" spans="2:28" x14ac:dyDescent="0.3">
      <c r="B10" s="2">
        <f>IF(C_Ope_008[[#This Row],[TIPO DE R.]]="R",COUNTIFS($D$4:$D9,"R")+1,"")</f>
        <v>6</v>
      </c>
      <c r="C10" s="19" t="str">
        <f t="shared" si="4"/>
        <v>C_Ope_008</v>
      </c>
      <c r="D10" s="3" t="s">
        <v>1074</v>
      </c>
      <c r="E10" s="14">
        <v>45673</v>
      </c>
      <c r="F10" s="5" t="s">
        <v>4433</v>
      </c>
      <c r="G10" s="5" t="s">
        <v>1079</v>
      </c>
      <c r="H10" s="6"/>
      <c r="I10" s="6" t="s">
        <v>21</v>
      </c>
      <c r="J10" s="6">
        <v>3</v>
      </c>
      <c r="K10" s="6">
        <v>1250</v>
      </c>
      <c r="L10" s="7" t="s">
        <v>7627</v>
      </c>
      <c r="M10" s="8">
        <v>22671</v>
      </c>
      <c r="N10" s="8" t="str">
        <f t="shared" si="5"/>
        <v>PEN</v>
      </c>
      <c r="O10" s="13"/>
      <c r="P10" s="13">
        <v>60</v>
      </c>
      <c r="Q10" s="3">
        <f t="shared" si="1"/>
        <v>0</v>
      </c>
      <c r="R10" s="3">
        <f t="shared" si="2"/>
        <v>60</v>
      </c>
      <c r="S10" s="3">
        <f t="shared" si="3"/>
        <v>75.070000000000022</v>
      </c>
      <c r="T10" s="24"/>
      <c r="U10" s="24"/>
      <c r="V10" s="3"/>
      <c r="W10" s="25" t="s">
        <v>6950</v>
      </c>
      <c r="X10" s="25"/>
      <c r="Y10" s="25" t="str">
        <f>IFERROR(VLOOKUP(C_Ope_008[[#This Row],[NOTA 2]],Clientes_Proveedores[[Ruc / Dni]:[Razon Social]],2,0),"")</f>
        <v/>
      </c>
      <c r="Z10" s="25"/>
      <c r="AA10" s="25"/>
      <c r="AB10" s="3" t="str">
        <f>IF(C_Ope_008[[#This Row],[FECHA]]&gt;0,TEXT(C_Ope_008[[#This Row],[FECHA]],"mmmm"),0)</f>
        <v>Enero</v>
      </c>
    </row>
    <row r="11" spans="2:28" ht="24" x14ac:dyDescent="0.3">
      <c r="B11" s="2">
        <f>IF(C_Ope_008[[#This Row],[TIPO DE R.]]="R",COUNTIFS($D$4:$D10,"R")+1,"")</f>
        <v>7</v>
      </c>
      <c r="C11" s="19" t="str">
        <f t="shared" si="4"/>
        <v>C_Ope_008</v>
      </c>
      <c r="D11" s="3" t="s">
        <v>1074</v>
      </c>
      <c r="E11" s="14">
        <v>45674</v>
      </c>
      <c r="F11" s="5" t="s">
        <v>4433</v>
      </c>
      <c r="G11" s="5" t="s">
        <v>1079</v>
      </c>
      <c r="H11" s="6"/>
      <c r="I11" s="6" t="s">
        <v>14</v>
      </c>
      <c r="J11" s="6" t="s">
        <v>1119</v>
      </c>
      <c r="K11" s="6">
        <v>3785</v>
      </c>
      <c r="L11" s="7" t="s">
        <v>7628</v>
      </c>
      <c r="M11" s="8">
        <v>22692</v>
      </c>
      <c r="N11" s="8" t="str">
        <f t="shared" si="5"/>
        <v>PEN</v>
      </c>
      <c r="O11" s="13"/>
      <c r="P11" s="13">
        <v>61</v>
      </c>
      <c r="Q11" s="3">
        <f t="shared" si="1"/>
        <v>0</v>
      </c>
      <c r="R11" s="3">
        <f t="shared" si="2"/>
        <v>61</v>
      </c>
      <c r="S11" s="3">
        <f t="shared" si="3"/>
        <v>14.070000000000022</v>
      </c>
      <c r="T11" s="24"/>
      <c r="U11" s="24"/>
      <c r="V11" s="3"/>
      <c r="W11" s="25" t="s">
        <v>6539</v>
      </c>
      <c r="X11" s="25"/>
      <c r="Y11" s="25" t="str">
        <f>IFERROR(VLOOKUP(C_Ope_008[[#This Row],[NOTA 2]],Clientes_Proveedores[[Ruc / Dni]:[Razon Social]],2,0),"")</f>
        <v/>
      </c>
      <c r="Z11" s="25"/>
      <c r="AA11" s="25"/>
      <c r="AB11" s="3" t="str">
        <f>IF(C_Ope_008[[#This Row],[FECHA]]&gt;0,TEXT(C_Ope_008[[#This Row],[FECHA]],"mmmm"),0)</f>
        <v>Enero</v>
      </c>
    </row>
    <row r="12" spans="2:28" x14ac:dyDescent="0.3">
      <c r="B12" s="2">
        <f>IF(C_Ope_008[[#This Row],[TIPO DE R.]]="R",COUNTIFS($D$4:$D11,"R")+1,"")</f>
        <v>8</v>
      </c>
      <c r="C12" s="19" t="str">
        <f t="shared" si="4"/>
        <v>C_Ope_008</v>
      </c>
      <c r="D12" s="3" t="s">
        <v>1074</v>
      </c>
      <c r="E12" s="14">
        <v>45678</v>
      </c>
      <c r="F12" s="5" t="s">
        <v>6299</v>
      </c>
      <c r="G12" s="5" t="s">
        <v>1087</v>
      </c>
      <c r="H12" s="6"/>
      <c r="I12" s="6"/>
      <c r="J12" s="6"/>
      <c r="K12" s="6"/>
      <c r="L12" s="7" t="s">
        <v>7624</v>
      </c>
      <c r="M12" s="8">
        <v>22743</v>
      </c>
      <c r="N12" s="8" t="str">
        <f t="shared" si="5"/>
        <v>PEN</v>
      </c>
      <c r="O12" s="13"/>
      <c r="P12" s="13">
        <v>190</v>
      </c>
      <c r="Q12" s="3">
        <f t="shared" si="1"/>
        <v>190</v>
      </c>
      <c r="R12" s="3">
        <f t="shared" si="2"/>
        <v>0</v>
      </c>
      <c r="S12" s="3">
        <f t="shared" si="3"/>
        <v>204.07000000000002</v>
      </c>
      <c r="T12" s="24"/>
      <c r="U12" s="24"/>
      <c r="V12" s="3"/>
      <c r="W12" s="25"/>
      <c r="X12" s="25"/>
      <c r="Y12" s="25" t="str">
        <f>IFERROR(VLOOKUP(C_Ope_008[[#This Row],[NOTA 2]],Clientes_Proveedores[[Ruc / Dni]:[Razon Social]],2,0),"")</f>
        <v/>
      </c>
      <c r="Z12" s="25"/>
      <c r="AA12" s="25"/>
      <c r="AB12" s="3" t="str">
        <f>IF(C_Ope_008[[#This Row],[FECHA]]&gt;0,TEXT(C_Ope_008[[#This Row],[FECHA]],"mmmm"),0)</f>
        <v>Enero</v>
      </c>
    </row>
    <row r="13" spans="2:28" x14ac:dyDescent="0.3">
      <c r="B13" s="2">
        <f>IF(C_Ope_008[[#This Row],[TIPO DE R.]]="R",COUNTIFS($D$4:$D12,"R")+1,"")</f>
        <v>9</v>
      </c>
      <c r="C13" s="19" t="str">
        <f t="shared" si="4"/>
        <v>C_Ope_008</v>
      </c>
      <c r="D13" s="3" t="s">
        <v>1074</v>
      </c>
      <c r="E13" s="14">
        <v>45677</v>
      </c>
      <c r="F13" s="5" t="s">
        <v>4433</v>
      </c>
      <c r="G13" s="5" t="s">
        <v>1079</v>
      </c>
      <c r="H13" s="6"/>
      <c r="I13" s="6" t="s">
        <v>14</v>
      </c>
      <c r="J13" s="6" t="s">
        <v>1121</v>
      </c>
      <c r="K13" s="6">
        <v>1032</v>
      </c>
      <c r="L13" s="7" t="s">
        <v>7629</v>
      </c>
      <c r="M13" s="8">
        <v>22729</v>
      </c>
      <c r="N13" s="8" t="str">
        <f t="shared" si="5"/>
        <v>PEN</v>
      </c>
      <c r="O13" s="13"/>
      <c r="P13" s="13">
        <v>10</v>
      </c>
      <c r="Q13" s="3">
        <f t="shared" si="1"/>
        <v>0</v>
      </c>
      <c r="R13" s="3">
        <f t="shared" si="2"/>
        <v>10</v>
      </c>
      <c r="S13" s="3">
        <f t="shared" si="3"/>
        <v>194.07000000000002</v>
      </c>
      <c r="T13" s="24"/>
      <c r="U13" s="24"/>
      <c r="V13" s="3"/>
      <c r="W13" s="25" t="s">
        <v>6950</v>
      </c>
      <c r="X13" s="25"/>
      <c r="Y13" s="25" t="str">
        <f>IFERROR(VLOOKUP(C_Ope_008[[#This Row],[NOTA 2]],Clientes_Proveedores[[Ruc / Dni]:[Razon Social]],2,0),"")</f>
        <v/>
      </c>
      <c r="Z13" s="25"/>
      <c r="AA13" s="25"/>
      <c r="AB13" s="3" t="str">
        <f>IF(C_Ope_008[[#This Row],[FECHA]]&gt;0,TEXT(C_Ope_008[[#This Row],[FECHA]],"mmmm"),0)</f>
        <v>Enero</v>
      </c>
    </row>
    <row r="14" spans="2:28" ht="24" x14ac:dyDescent="0.3">
      <c r="B14" s="2">
        <f>IF(C_Ope_008[[#This Row],[TIPO DE R.]]="R",COUNTIFS($D$4:$D13,"R")+1,"")</f>
        <v>10</v>
      </c>
      <c r="C14" s="19" t="str">
        <f t="shared" si="4"/>
        <v>C_Ope_008</v>
      </c>
      <c r="D14" s="3" t="s">
        <v>1074</v>
      </c>
      <c r="E14" s="14">
        <v>45677</v>
      </c>
      <c r="F14" s="5" t="s">
        <v>4433</v>
      </c>
      <c r="G14" s="5" t="s">
        <v>1079</v>
      </c>
      <c r="H14" s="6"/>
      <c r="I14" s="6" t="s">
        <v>14</v>
      </c>
      <c r="J14" s="6" t="s">
        <v>1119</v>
      </c>
      <c r="K14" s="6">
        <v>5156</v>
      </c>
      <c r="L14" s="7" t="s">
        <v>7630</v>
      </c>
      <c r="M14" s="8">
        <v>22731</v>
      </c>
      <c r="N14" s="8" t="str">
        <f t="shared" si="5"/>
        <v>PEN</v>
      </c>
      <c r="O14" s="13"/>
      <c r="P14" s="13">
        <v>20</v>
      </c>
      <c r="Q14" s="3">
        <f t="shared" si="1"/>
        <v>0</v>
      </c>
      <c r="R14" s="3">
        <f t="shared" si="2"/>
        <v>20</v>
      </c>
      <c r="S14" s="3">
        <f t="shared" si="3"/>
        <v>174.07000000000002</v>
      </c>
      <c r="T14" s="24"/>
      <c r="U14" s="24"/>
      <c r="V14" s="3"/>
      <c r="W14" s="25" t="s">
        <v>6950</v>
      </c>
      <c r="X14" s="25"/>
      <c r="Y14" s="25" t="str">
        <f>IFERROR(VLOOKUP(C_Ope_008[[#This Row],[NOTA 2]],Clientes_Proveedores[[Ruc / Dni]:[Razon Social]],2,0),"")</f>
        <v/>
      </c>
      <c r="Z14" s="25"/>
      <c r="AA14" s="25"/>
      <c r="AB14" s="3" t="str">
        <f>IF(C_Ope_008[[#This Row],[FECHA]]&gt;0,TEXT(C_Ope_008[[#This Row],[FECHA]],"mmmm"),0)</f>
        <v>Enero</v>
      </c>
    </row>
    <row r="15" spans="2:28" ht="24" x14ac:dyDescent="0.3">
      <c r="B15" s="2">
        <f>IF(C_Ope_008[[#This Row],[TIPO DE R.]]="R",COUNTIFS($D$4:$D14,"R")+1,"")</f>
        <v>11</v>
      </c>
      <c r="C15" s="19" t="str">
        <f t="shared" si="4"/>
        <v>C_Ope_008</v>
      </c>
      <c r="D15" s="3" t="s">
        <v>1074</v>
      </c>
      <c r="E15" s="14">
        <v>45678</v>
      </c>
      <c r="F15" s="5" t="s">
        <v>4433</v>
      </c>
      <c r="G15" s="5" t="s">
        <v>1079</v>
      </c>
      <c r="H15" s="6"/>
      <c r="I15" s="6" t="s">
        <v>14</v>
      </c>
      <c r="J15" s="6" t="s">
        <v>1148</v>
      </c>
      <c r="K15" s="6">
        <v>3293</v>
      </c>
      <c r="L15" s="7" t="s">
        <v>7631</v>
      </c>
      <c r="M15" s="8">
        <v>22742</v>
      </c>
      <c r="N15" s="8" t="str">
        <f t="shared" si="5"/>
        <v>PEN</v>
      </c>
      <c r="O15" s="13"/>
      <c r="P15" s="13">
        <v>58</v>
      </c>
      <c r="Q15" s="3">
        <f t="shared" si="1"/>
        <v>0</v>
      </c>
      <c r="R15" s="3">
        <f t="shared" si="2"/>
        <v>58</v>
      </c>
      <c r="S15" s="3">
        <f t="shared" si="3"/>
        <v>116.07000000000002</v>
      </c>
      <c r="T15" s="24"/>
      <c r="U15" s="24"/>
      <c r="V15" s="3"/>
      <c r="W15" s="25" t="s">
        <v>6541</v>
      </c>
      <c r="X15" s="25"/>
      <c r="Y15" s="25" t="str">
        <f>IFERROR(VLOOKUP(C_Ope_008[[#This Row],[NOTA 2]],Clientes_Proveedores[[Ruc / Dni]:[Razon Social]],2,0),"")</f>
        <v/>
      </c>
      <c r="Z15" s="25"/>
      <c r="AA15" s="25"/>
      <c r="AB15" s="3" t="str">
        <f>IF(C_Ope_008[[#This Row],[FECHA]]&gt;0,TEXT(C_Ope_008[[#This Row],[FECHA]],"mmmm"),0)</f>
        <v>Enero</v>
      </c>
    </row>
    <row r="16" spans="2:28" x14ac:dyDescent="0.3">
      <c r="B16" s="2">
        <f>IF(C_Ope_008[[#This Row],[TIPO DE R.]]="R",COUNTIFS($D$4:$D15,"R")+1,"")</f>
        <v>12</v>
      </c>
      <c r="C16" s="19" t="str">
        <f t="shared" si="4"/>
        <v>C_Ope_008</v>
      </c>
      <c r="D16" s="3" t="s">
        <v>1074</v>
      </c>
      <c r="E16" s="14">
        <v>45678</v>
      </c>
      <c r="F16" s="5" t="s">
        <v>4433</v>
      </c>
      <c r="G16" s="5" t="s">
        <v>1079</v>
      </c>
      <c r="H16" s="6"/>
      <c r="I16" s="6" t="s">
        <v>14</v>
      </c>
      <c r="J16" s="6" t="s">
        <v>1148</v>
      </c>
      <c r="K16" s="6">
        <v>12474</v>
      </c>
      <c r="L16" s="7" t="s">
        <v>7632</v>
      </c>
      <c r="M16" s="8">
        <v>22752</v>
      </c>
      <c r="N16" s="8" t="str">
        <f t="shared" si="5"/>
        <v>PEN</v>
      </c>
      <c r="O16" s="13"/>
      <c r="P16" s="13">
        <v>10</v>
      </c>
      <c r="Q16" s="3">
        <f t="shared" si="1"/>
        <v>0</v>
      </c>
      <c r="R16" s="3">
        <f t="shared" si="2"/>
        <v>10</v>
      </c>
      <c r="S16" s="3">
        <f t="shared" si="3"/>
        <v>106.07000000000002</v>
      </c>
      <c r="T16" s="24"/>
      <c r="U16" s="24"/>
      <c r="V16" s="3"/>
      <c r="W16" s="25" t="s">
        <v>6546</v>
      </c>
      <c r="X16" s="25"/>
      <c r="Y16" s="25" t="str">
        <f>IFERROR(VLOOKUP(C_Ope_008[[#This Row],[NOTA 2]],Clientes_Proveedores[[Ruc / Dni]:[Razon Social]],2,0),"")</f>
        <v/>
      </c>
      <c r="Z16" s="25"/>
      <c r="AA16" s="25"/>
      <c r="AB16" s="3" t="str">
        <f>IF(C_Ope_008[[#This Row],[FECHA]]&gt;0,TEXT(C_Ope_008[[#This Row],[FECHA]],"mmmm"),0)</f>
        <v>Enero</v>
      </c>
    </row>
    <row r="17" spans="2:28" x14ac:dyDescent="0.3">
      <c r="B17" s="2">
        <f>IF(C_Ope_008[[#This Row],[TIPO DE R.]]="R",COUNTIFS($D$4:$D16,"R")+1,"")</f>
        <v>13</v>
      </c>
      <c r="C17" s="19" t="str">
        <f t="shared" si="4"/>
        <v>C_Ope_008</v>
      </c>
      <c r="D17" s="3" t="s">
        <v>1074</v>
      </c>
      <c r="E17" s="14">
        <v>45678</v>
      </c>
      <c r="F17" s="5" t="s">
        <v>4433</v>
      </c>
      <c r="G17" s="5" t="s">
        <v>1079</v>
      </c>
      <c r="H17" s="6"/>
      <c r="I17" s="6" t="s">
        <v>14</v>
      </c>
      <c r="J17" s="6" t="s">
        <v>1148</v>
      </c>
      <c r="K17" s="6">
        <v>5833</v>
      </c>
      <c r="L17" s="7" t="s">
        <v>7633</v>
      </c>
      <c r="M17" s="8">
        <v>22753</v>
      </c>
      <c r="N17" s="8" t="str">
        <f t="shared" si="5"/>
        <v>PEN</v>
      </c>
      <c r="O17" s="13"/>
      <c r="P17" s="13">
        <v>40</v>
      </c>
      <c r="Q17" s="3">
        <f t="shared" si="1"/>
        <v>0</v>
      </c>
      <c r="R17" s="3">
        <f t="shared" si="2"/>
        <v>40</v>
      </c>
      <c r="S17" s="3">
        <f t="shared" si="3"/>
        <v>66.070000000000022</v>
      </c>
      <c r="T17" s="24"/>
      <c r="U17" s="24"/>
      <c r="V17" s="3"/>
      <c r="W17" s="25" t="s">
        <v>6546</v>
      </c>
      <c r="X17" s="25"/>
      <c r="Y17" s="25" t="str">
        <f>IFERROR(VLOOKUP(C_Ope_008[[#This Row],[NOTA 2]],Clientes_Proveedores[[Ruc / Dni]:[Razon Social]],2,0),"")</f>
        <v/>
      </c>
      <c r="Z17" s="25"/>
      <c r="AA17" s="25"/>
      <c r="AB17" s="3" t="str">
        <f>IF(C_Ope_008[[#This Row],[FECHA]]&gt;0,TEXT(C_Ope_008[[#This Row],[FECHA]],"mmmm"),0)</f>
        <v>Enero</v>
      </c>
    </row>
    <row r="18" spans="2:28" x14ac:dyDescent="0.3">
      <c r="B18" s="2">
        <f>IF(C_Ope_008[[#This Row],[TIPO DE R.]]="R",COUNTIFS($D$4:$D17,"R")+1,"")</f>
        <v>14</v>
      </c>
      <c r="C18" s="19" t="str">
        <f t="shared" si="4"/>
        <v>C_Ope_008</v>
      </c>
      <c r="D18" s="3" t="s">
        <v>1074</v>
      </c>
      <c r="E18" s="14">
        <v>45684</v>
      </c>
      <c r="F18" s="5" t="s">
        <v>6299</v>
      </c>
      <c r="G18" s="5" t="s">
        <v>1087</v>
      </c>
      <c r="H18" s="6"/>
      <c r="I18" s="6"/>
      <c r="J18" s="6"/>
      <c r="K18" s="6"/>
      <c r="L18" s="7" t="s">
        <v>7624</v>
      </c>
      <c r="M18" s="8">
        <v>22808</v>
      </c>
      <c r="N18" s="8" t="str">
        <f t="shared" si="5"/>
        <v>PEN</v>
      </c>
      <c r="O18" s="13"/>
      <c r="P18" s="13">
        <v>130</v>
      </c>
      <c r="Q18" s="3">
        <f t="shared" si="1"/>
        <v>130</v>
      </c>
      <c r="R18" s="3">
        <f t="shared" si="2"/>
        <v>0</v>
      </c>
      <c r="S18" s="3">
        <f t="shared" si="3"/>
        <v>196.07000000000002</v>
      </c>
      <c r="T18" s="24"/>
      <c r="U18" s="24"/>
      <c r="V18" s="3"/>
      <c r="W18" s="25"/>
      <c r="X18" s="25"/>
      <c r="Y18" s="25" t="str">
        <f>IFERROR(VLOOKUP(C_Ope_008[[#This Row],[NOTA 2]],Clientes_Proveedores[[Ruc / Dni]:[Razon Social]],2,0),"")</f>
        <v/>
      </c>
      <c r="Z18" s="25"/>
      <c r="AA18" s="25"/>
      <c r="AB18" s="3" t="str">
        <f>IF(C_Ope_008[[#This Row],[FECHA]]&gt;0,TEXT(C_Ope_008[[#This Row],[FECHA]],"mmmm"),0)</f>
        <v>Enero</v>
      </c>
    </row>
    <row r="19" spans="2:28" ht="24" x14ac:dyDescent="0.3">
      <c r="B19" s="2">
        <f>IF(C_Ope_008[[#This Row],[TIPO DE R.]]="R",COUNTIFS($D$4:$D18,"R")+1,"")</f>
        <v>15</v>
      </c>
      <c r="C19" s="19" t="str">
        <f t="shared" si="4"/>
        <v>C_Ope_008</v>
      </c>
      <c r="D19" s="3" t="s">
        <v>1074</v>
      </c>
      <c r="E19" s="14">
        <v>45684</v>
      </c>
      <c r="F19" s="5" t="s">
        <v>4433</v>
      </c>
      <c r="G19" s="5" t="s">
        <v>1079</v>
      </c>
      <c r="H19" s="6"/>
      <c r="I19" s="6" t="s">
        <v>14</v>
      </c>
      <c r="J19" s="6" t="s">
        <v>1148</v>
      </c>
      <c r="K19" s="6">
        <v>12520</v>
      </c>
      <c r="L19" s="7" t="s">
        <v>7634</v>
      </c>
      <c r="M19" s="8">
        <v>22814</v>
      </c>
      <c r="N19" s="8" t="str">
        <f t="shared" si="5"/>
        <v>PEN</v>
      </c>
      <c r="O19" s="13"/>
      <c r="P19" s="13">
        <v>10</v>
      </c>
      <c r="Q19" s="3">
        <f t="shared" si="1"/>
        <v>0</v>
      </c>
      <c r="R19" s="3">
        <f t="shared" si="2"/>
        <v>10</v>
      </c>
      <c r="S19" s="3">
        <f t="shared" si="3"/>
        <v>186.07000000000002</v>
      </c>
      <c r="T19" s="24"/>
      <c r="U19" s="24"/>
      <c r="V19" s="3"/>
      <c r="W19" s="25" t="s">
        <v>6546</v>
      </c>
      <c r="X19" s="25"/>
      <c r="Y19" s="25" t="str">
        <f>IFERROR(VLOOKUP(C_Ope_008[[#This Row],[NOTA 2]],Clientes_Proveedores[[Ruc / Dni]:[Razon Social]],2,0),"")</f>
        <v/>
      </c>
      <c r="Z19" s="25"/>
      <c r="AA19" s="25"/>
      <c r="AB19" s="3" t="str">
        <f>IF(C_Ope_008[[#This Row],[FECHA]]&gt;0,TEXT(C_Ope_008[[#This Row],[FECHA]],"mmmm"),0)</f>
        <v>Enero</v>
      </c>
    </row>
    <row r="20" spans="2:28" x14ac:dyDescent="0.3">
      <c r="B20" s="2">
        <f>IF(C_Ope_008[[#This Row],[TIPO DE R.]]="R",COUNTIFS($D$4:$D19,"R")+1,"")</f>
        <v>16</v>
      </c>
      <c r="C20" s="19" t="str">
        <f t="shared" si="4"/>
        <v>C_Ope_008</v>
      </c>
      <c r="D20" s="3" t="s">
        <v>1074</v>
      </c>
      <c r="E20" s="14">
        <v>45695</v>
      </c>
      <c r="F20" s="5" t="s">
        <v>6299</v>
      </c>
      <c r="G20" s="5" t="s">
        <v>1087</v>
      </c>
      <c r="H20" s="6"/>
      <c r="I20" s="6"/>
      <c r="J20" s="6"/>
      <c r="K20" s="6"/>
      <c r="L20" s="7" t="s">
        <v>6327</v>
      </c>
      <c r="M20" s="8">
        <v>22938</v>
      </c>
      <c r="N20" s="8" t="str">
        <f t="shared" si="5"/>
        <v>PEN</v>
      </c>
      <c r="O20" s="13"/>
      <c r="P20" s="13">
        <v>20</v>
      </c>
      <c r="Q20" s="3">
        <f t="shared" si="1"/>
        <v>20</v>
      </c>
      <c r="R20" s="3">
        <f t="shared" si="2"/>
        <v>0</v>
      </c>
      <c r="S20" s="3">
        <f t="shared" si="3"/>
        <v>206.07000000000002</v>
      </c>
      <c r="T20" s="24"/>
      <c r="U20" s="24"/>
      <c r="V20" s="3"/>
      <c r="W20" s="25"/>
      <c r="X20" s="25"/>
      <c r="Y20" s="25" t="str">
        <f>IFERROR(VLOOKUP(C_Ope_008[[#This Row],[NOTA 2]],Clientes_Proveedores[[Ruc / Dni]:[Razon Social]],2,0),"")</f>
        <v/>
      </c>
      <c r="Z20" s="25"/>
      <c r="AA20" s="25"/>
      <c r="AB20" s="3" t="str">
        <f>IF(C_Ope_008[[#This Row],[FECHA]]&gt;0,TEXT(C_Ope_008[[#This Row],[FECHA]],"mmmm"),0)</f>
        <v>Febrero</v>
      </c>
    </row>
    <row r="21" spans="2:28" x14ac:dyDescent="0.3">
      <c r="B21" s="2">
        <f>IF(C_Ope_008[[#This Row],[TIPO DE R.]]="R",COUNTIFS($D$4:$D20,"R")+1,"")</f>
        <v>17</v>
      </c>
      <c r="C21" s="19" t="str">
        <f t="shared" si="4"/>
        <v>C_Ope_008</v>
      </c>
      <c r="D21" s="3" t="s">
        <v>1074</v>
      </c>
      <c r="E21" s="14">
        <v>45695</v>
      </c>
      <c r="F21" s="5" t="s">
        <v>6299</v>
      </c>
      <c r="G21" s="5" t="s">
        <v>1087</v>
      </c>
      <c r="H21" s="6"/>
      <c r="I21" s="6"/>
      <c r="J21" s="6"/>
      <c r="K21" s="6"/>
      <c r="L21" s="7" t="s">
        <v>6327</v>
      </c>
      <c r="M21" s="8">
        <v>22939</v>
      </c>
      <c r="N21" s="8" t="str">
        <f t="shared" si="5"/>
        <v>PEN</v>
      </c>
      <c r="O21" s="13"/>
      <c r="P21" s="13">
        <v>400</v>
      </c>
      <c r="Q21" s="3">
        <f t="shared" si="1"/>
        <v>400</v>
      </c>
      <c r="R21" s="3">
        <f t="shared" si="2"/>
        <v>0</v>
      </c>
      <c r="S21" s="3">
        <f t="shared" si="3"/>
        <v>606.07000000000005</v>
      </c>
      <c r="T21" s="24"/>
      <c r="U21" s="24"/>
      <c r="V21" s="3"/>
      <c r="W21" s="25"/>
      <c r="X21" s="25"/>
      <c r="Y21" s="25" t="str">
        <f>IFERROR(VLOOKUP(C_Ope_008[[#This Row],[NOTA 2]],Clientes_Proveedores[[Ruc / Dni]:[Razon Social]],2,0),"")</f>
        <v/>
      </c>
      <c r="Z21" s="25"/>
      <c r="AA21" s="25"/>
      <c r="AB21" s="3" t="str">
        <f>IF(C_Ope_008[[#This Row],[FECHA]]&gt;0,TEXT(C_Ope_008[[#This Row],[FECHA]],"mmmm"),0)</f>
        <v>Febrero</v>
      </c>
    </row>
    <row r="22" spans="2:28" ht="24" x14ac:dyDescent="0.3">
      <c r="B22" s="2">
        <f>IF(C_Ope_008[[#This Row],[TIPO DE R.]]="R",COUNTIFS($D$4:$D21,"R")+1,"")</f>
        <v>18</v>
      </c>
      <c r="C22" s="19" t="str">
        <f t="shared" si="4"/>
        <v>C_Ope_008</v>
      </c>
      <c r="D22" s="3" t="s">
        <v>1074</v>
      </c>
      <c r="E22" s="14">
        <v>45696</v>
      </c>
      <c r="F22" s="5" t="s">
        <v>4433</v>
      </c>
      <c r="G22" s="5" t="s">
        <v>1079</v>
      </c>
      <c r="H22" s="6"/>
      <c r="I22" s="6" t="s">
        <v>14</v>
      </c>
      <c r="J22" s="6" t="s">
        <v>1121</v>
      </c>
      <c r="K22" s="6">
        <v>62</v>
      </c>
      <c r="L22" s="7" t="s">
        <v>7635</v>
      </c>
      <c r="M22" s="8">
        <v>22971</v>
      </c>
      <c r="N22" s="8" t="str">
        <f t="shared" si="5"/>
        <v>PEN</v>
      </c>
      <c r="O22" s="13"/>
      <c r="P22" s="13">
        <v>12</v>
      </c>
      <c r="Q22" s="3">
        <f t="shared" si="1"/>
        <v>0</v>
      </c>
      <c r="R22" s="3">
        <f t="shared" si="2"/>
        <v>12</v>
      </c>
      <c r="S22" s="3">
        <f t="shared" si="3"/>
        <v>594.07000000000005</v>
      </c>
      <c r="T22" s="24"/>
      <c r="U22" s="24"/>
      <c r="V22" s="3"/>
      <c r="W22" s="25" t="s">
        <v>6630</v>
      </c>
      <c r="X22" s="25"/>
      <c r="Y22" s="25" t="str">
        <f>IFERROR(VLOOKUP(C_Ope_008[[#This Row],[NOTA 2]],Clientes_Proveedores[[Ruc / Dni]:[Razon Social]],2,0),"")</f>
        <v/>
      </c>
      <c r="Z22" s="25"/>
      <c r="AA22" s="25"/>
      <c r="AB22" s="3" t="str">
        <f>IF(C_Ope_008[[#This Row],[FECHA]]&gt;0,TEXT(C_Ope_008[[#This Row],[FECHA]],"mmmm"),0)</f>
        <v>Febrero</v>
      </c>
    </row>
    <row r="23" spans="2:28" x14ac:dyDescent="0.3">
      <c r="B23" s="2">
        <f>IF(C_Ope_008[[#This Row],[TIPO DE R.]]="R",COUNTIFS($D$4:$D22,"R")+1,"")</f>
        <v>19</v>
      </c>
      <c r="C23" s="19" t="str">
        <f t="shared" si="4"/>
        <v>C_Ope_008</v>
      </c>
      <c r="D23" s="3" t="s">
        <v>1074</v>
      </c>
      <c r="E23" s="14">
        <v>45698</v>
      </c>
      <c r="F23" s="5" t="s">
        <v>4433</v>
      </c>
      <c r="G23" s="5" t="s">
        <v>1079</v>
      </c>
      <c r="H23" s="6"/>
      <c r="I23" s="6" t="s">
        <v>14</v>
      </c>
      <c r="J23" s="6" t="s">
        <v>1148</v>
      </c>
      <c r="K23" s="6">
        <v>12605</v>
      </c>
      <c r="L23" s="7" t="s">
        <v>7636</v>
      </c>
      <c r="M23" s="8">
        <v>22958</v>
      </c>
      <c r="N23" s="8" t="str">
        <f t="shared" si="5"/>
        <v>PEN</v>
      </c>
      <c r="O23" s="13"/>
      <c r="P23" s="13">
        <v>10</v>
      </c>
      <c r="Q23" s="3">
        <f t="shared" si="1"/>
        <v>0</v>
      </c>
      <c r="R23" s="3">
        <f t="shared" si="2"/>
        <v>10</v>
      </c>
      <c r="S23" s="3">
        <f t="shared" si="3"/>
        <v>584.07000000000005</v>
      </c>
      <c r="T23" s="24"/>
      <c r="U23" s="24"/>
      <c r="V23" s="3"/>
      <c r="W23" s="25" t="s">
        <v>6630</v>
      </c>
      <c r="X23" s="25"/>
      <c r="Y23" s="25" t="str">
        <f>IFERROR(VLOOKUP(C_Ope_008[[#This Row],[NOTA 2]],Clientes_Proveedores[[Ruc / Dni]:[Razon Social]],2,0),"")</f>
        <v/>
      </c>
      <c r="Z23" s="25"/>
      <c r="AA23" s="25"/>
      <c r="AB23" s="3" t="str">
        <f>IF(C_Ope_008[[#This Row],[FECHA]]&gt;0,TEXT(C_Ope_008[[#This Row],[FECHA]],"mmmm"),0)</f>
        <v>Febrero</v>
      </c>
    </row>
    <row r="24" spans="2:28" ht="24" x14ac:dyDescent="0.3">
      <c r="B24" s="2">
        <f>IF(C_Ope_008[[#This Row],[TIPO DE R.]]="R",COUNTIFS($D$4:$D23,"R")+1,"")</f>
        <v>20</v>
      </c>
      <c r="C24" s="19" t="str">
        <f t="shared" si="4"/>
        <v>C_Ope_008</v>
      </c>
      <c r="D24" s="3" t="s">
        <v>1074</v>
      </c>
      <c r="E24" s="14">
        <v>45709</v>
      </c>
      <c r="F24" s="5" t="s">
        <v>4433</v>
      </c>
      <c r="G24" s="5" t="s">
        <v>1079</v>
      </c>
      <c r="H24" s="6"/>
      <c r="I24" s="6"/>
      <c r="J24" s="6" t="s">
        <v>7637</v>
      </c>
      <c r="K24" s="6">
        <v>176</v>
      </c>
      <c r="L24" s="7" t="s">
        <v>7638</v>
      </c>
      <c r="M24" s="8">
        <v>23122</v>
      </c>
      <c r="N24" s="8" t="str">
        <f t="shared" si="5"/>
        <v>PEN</v>
      </c>
      <c r="O24" s="13"/>
      <c r="P24" s="13">
        <v>100</v>
      </c>
      <c r="Q24" s="3">
        <f t="shared" si="1"/>
        <v>0</v>
      </c>
      <c r="R24" s="3">
        <f t="shared" si="2"/>
        <v>100</v>
      </c>
      <c r="S24" s="3">
        <f t="shared" si="3"/>
        <v>484.07000000000005</v>
      </c>
      <c r="T24" s="24"/>
      <c r="U24" s="24"/>
      <c r="V24" s="3"/>
      <c r="W24" s="25" t="s">
        <v>6950</v>
      </c>
      <c r="X24" s="25"/>
      <c r="Y24" s="25" t="str">
        <f>IFERROR(VLOOKUP(C_Ope_008[[#This Row],[NOTA 2]],Clientes_Proveedores[[Ruc / Dni]:[Razon Social]],2,0),"")</f>
        <v/>
      </c>
      <c r="Z24" s="25"/>
      <c r="AA24" s="25"/>
      <c r="AB24" s="3" t="str">
        <f>IF(C_Ope_008[[#This Row],[FECHA]]&gt;0,TEXT(C_Ope_008[[#This Row],[FECHA]],"mmmm"),0)</f>
        <v>Febrero</v>
      </c>
    </row>
    <row r="25" spans="2:28" ht="24" x14ac:dyDescent="0.3">
      <c r="B25" s="2">
        <f>IF(C_Ope_008[[#This Row],[TIPO DE R.]]="R",COUNTIFS($D$4:$D24,"R")+1,"")</f>
        <v>21</v>
      </c>
      <c r="C25" s="19" t="str">
        <f t="shared" si="4"/>
        <v>C_Ope_008</v>
      </c>
      <c r="D25" s="3" t="s">
        <v>1074</v>
      </c>
      <c r="E25" s="14">
        <v>45712</v>
      </c>
      <c r="F25" s="5" t="s">
        <v>4433</v>
      </c>
      <c r="G25" s="5" t="s">
        <v>1079</v>
      </c>
      <c r="H25" s="6"/>
      <c r="I25" s="6" t="s">
        <v>14</v>
      </c>
      <c r="J25" s="6" t="s">
        <v>7639</v>
      </c>
      <c r="K25" s="6">
        <v>14226</v>
      </c>
      <c r="L25" s="7" t="s">
        <v>7640</v>
      </c>
      <c r="M25" s="8">
        <v>23160</v>
      </c>
      <c r="N25" s="8" t="str">
        <f t="shared" si="5"/>
        <v>PEN</v>
      </c>
      <c r="O25" s="13"/>
      <c r="P25" s="13">
        <v>65.900000000000006</v>
      </c>
      <c r="Q25" s="3">
        <f t="shared" si="1"/>
        <v>0</v>
      </c>
      <c r="R25" s="3">
        <f t="shared" si="2"/>
        <v>65.900000000000006</v>
      </c>
      <c r="S25" s="3">
        <f t="shared" si="3"/>
        <v>418.17000000000007</v>
      </c>
      <c r="T25" s="24"/>
      <c r="U25" s="24"/>
      <c r="V25" s="3"/>
      <c r="W25" s="25" t="s">
        <v>6950</v>
      </c>
      <c r="X25" s="25"/>
      <c r="Y25" s="25" t="str">
        <f>IFERROR(VLOOKUP(C_Ope_008[[#This Row],[NOTA 2]],Clientes_Proveedores[[Ruc / Dni]:[Razon Social]],2,0),"")</f>
        <v/>
      </c>
      <c r="Z25" s="25"/>
      <c r="AA25" s="25"/>
      <c r="AB25" s="3" t="str">
        <f>IF(C_Ope_008[[#This Row],[FECHA]]&gt;0,TEXT(C_Ope_008[[#This Row],[FECHA]],"mmmm"),0)</f>
        <v>Febrero</v>
      </c>
    </row>
    <row r="26" spans="2:28" x14ac:dyDescent="0.3">
      <c r="B26" s="2">
        <f>IF(C_Ope_008[[#This Row],[TIPO DE R.]]="R",COUNTIFS($D$4:$D25,"R")+1,"")</f>
        <v>22</v>
      </c>
      <c r="C26" s="19" t="str">
        <f t="shared" si="4"/>
        <v>C_Ope_008</v>
      </c>
      <c r="D26" s="3" t="s">
        <v>1074</v>
      </c>
      <c r="E26" s="14">
        <v>45712</v>
      </c>
      <c r="F26" s="5" t="s">
        <v>4433</v>
      </c>
      <c r="G26" s="5" t="s">
        <v>1079</v>
      </c>
      <c r="H26" s="6"/>
      <c r="I26" s="6" t="s">
        <v>21</v>
      </c>
      <c r="J26" s="6">
        <v>1</v>
      </c>
      <c r="K26" s="6">
        <v>649</v>
      </c>
      <c r="L26" s="7" t="s">
        <v>7641</v>
      </c>
      <c r="M26" s="8">
        <v>23170</v>
      </c>
      <c r="N26" s="8" t="str">
        <f t="shared" si="5"/>
        <v>PEN</v>
      </c>
      <c r="O26" s="13"/>
      <c r="P26" s="13">
        <v>48</v>
      </c>
      <c r="Q26" s="3">
        <f t="shared" si="1"/>
        <v>0</v>
      </c>
      <c r="R26" s="3">
        <f t="shared" si="2"/>
        <v>48</v>
      </c>
      <c r="S26" s="3">
        <f t="shared" si="3"/>
        <v>370.17000000000007</v>
      </c>
      <c r="T26" s="24"/>
      <c r="U26" s="24"/>
      <c r="V26" s="3"/>
      <c r="W26" s="25" t="s">
        <v>6747</v>
      </c>
      <c r="X26" s="25"/>
      <c r="Y26" s="25" t="str">
        <f>IFERROR(VLOOKUP(C_Ope_008[[#This Row],[NOTA 2]],Clientes_Proveedores[[Ruc / Dni]:[Razon Social]],2,0),"")</f>
        <v/>
      </c>
      <c r="Z26" s="25"/>
      <c r="AA26" s="25"/>
      <c r="AB26" s="3" t="str">
        <f>IF(C_Ope_008[[#This Row],[FECHA]]&gt;0,TEXT(C_Ope_008[[#This Row],[FECHA]],"mmmm"),0)</f>
        <v>Febrero</v>
      </c>
    </row>
    <row r="27" spans="2:28" x14ac:dyDescent="0.3">
      <c r="B27" s="2">
        <f>IF(C_Ope_008[[#This Row],[TIPO DE R.]]="R",COUNTIFS($D$4:$D26,"R")+1,"")</f>
        <v>23</v>
      </c>
      <c r="C27" s="19" t="str">
        <f t="shared" si="4"/>
        <v>C_Ope_008</v>
      </c>
      <c r="D27" s="3" t="s">
        <v>1074</v>
      </c>
      <c r="E27" s="14">
        <v>45712</v>
      </c>
      <c r="F27" s="5" t="s">
        <v>4433</v>
      </c>
      <c r="G27" s="5" t="s">
        <v>1079</v>
      </c>
      <c r="H27" s="6"/>
      <c r="I27" s="6" t="s">
        <v>14</v>
      </c>
      <c r="J27" s="6" t="s">
        <v>2789</v>
      </c>
      <c r="K27" s="6">
        <v>39600</v>
      </c>
      <c r="L27" s="7" t="s">
        <v>7642</v>
      </c>
      <c r="M27" s="8">
        <v>23173</v>
      </c>
      <c r="N27" s="8" t="str">
        <f t="shared" si="5"/>
        <v>PEN</v>
      </c>
      <c r="O27" s="13"/>
      <c r="P27" s="13">
        <v>45</v>
      </c>
      <c r="Q27" s="3">
        <f t="shared" si="1"/>
        <v>0</v>
      </c>
      <c r="R27" s="3">
        <f t="shared" si="2"/>
        <v>45</v>
      </c>
      <c r="S27" s="3">
        <f t="shared" si="3"/>
        <v>325.17000000000007</v>
      </c>
      <c r="T27" s="24"/>
      <c r="U27" s="24"/>
      <c r="V27" s="3"/>
      <c r="W27" s="25" t="s">
        <v>6950</v>
      </c>
      <c r="X27" s="25"/>
      <c r="Y27" s="25" t="str">
        <f>IFERROR(VLOOKUP(C_Ope_008[[#This Row],[NOTA 2]],Clientes_Proveedores[[Ruc / Dni]:[Razon Social]],2,0),"")</f>
        <v/>
      </c>
      <c r="Z27" s="25"/>
      <c r="AA27" s="25"/>
      <c r="AB27" s="3" t="str">
        <f>IF(C_Ope_008[[#This Row],[FECHA]]&gt;0,TEXT(C_Ope_008[[#This Row],[FECHA]],"mmmm"),0)</f>
        <v>Febrero</v>
      </c>
    </row>
    <row r="28" spans="2:28" x14ac:dyDescent="0.3">
      <c r="B28" s="2">
        <f>IF(C_Ope_008[[#This Row],[TIPO DE R.]]="R",COUNTIFS($D$4:$D27,"R")+1,"")</f>
        <v>24</v>
      </c>
      <c r="C28" s="19" t="str">
        <f t="shared" si="4"/>
        <v>C_Ope_008</v>
      </c>
      <c r="D28" s="3" t="s">
        <v>1074</v>
      </c>
      <c r="E28" s="14">
        <v>45712</v>
      </c>
      <c r="F28" s="5" t="s">
        <v>4433</v>
      </c>
      <c r="G28" s="5" t="s">
        <v>1079</v>
      </c>
      <c r="H28" s="6"/>
      <c r="I28" s="6" t="s">
        <v>14</v>
      </c>
      <c r="J28" s="6" t="s">
        <v>1148</v>
      </c>
      <c r="K28" s="6">
        <v>5894</v>
      </c>
      <c r="L28" s="7" t="s">
        <v>7643</v>
      </c>
      <c r="M28" s="8">
        <v>23188</v>
      </c>
      <c r="N28" s="8" t="str">
        <f t="shared" si="5"/>
        <v>PEN</v>
      </c>
      <c r="O28" s="13"/>
      <c r="P28" s="13">
        <v>40</v>
      </c>
      <c r="Q28" s="3">
        <f t="shared" si="1"/>
        <v>0</v>
      </c>
      <c r="R28" s="3">
        <f t="shared" si="2"/>
        <v>40</v>
      </c>
      <c r="S28" s="3">
        <f t="shared" si="3"/>
        <v>285.17000000000007</v>
      </c>
      <c r="T28" s="24"/>
      <c r="U28" s="24"/>
      <c r="V28" s="3"/>
      <c r="W28" s="25" t="s">
        <v>6541</v>
      </c>
      <c r="X28" s="25"/>
      <c r="Y28" s="25" t="str">
        <f>IFERROR(VLOOKUP(C_Ope_008[[#This Row],[NOTA 2]],Clientes_Proveedores[[Ruc / Dni]:[Razon Social]],2,0),"")</f>
        <v/>
      </c>
      <c r="Z28" s="25"/>
      <c r="AA28" s="25"/>
      <c r="AB28" s="3" t="str">
        <f>IF(C_Ope_008[[#This Row],[FECHA]]&gt;0,TEXT(C_Ope_008[[#This Row],[FECHA]],"mmmm"),0)</f>
        <v>Febrero</v>
      </c>
    </row>
    <row r="29" spans="2:28" x14ac:dyDescent="0.3">
      <c r="B29" s="2">
        <f>IF(C_Ope_008[[#This Row],[TIPO DE R.]]="R",COUNTIFS($D$4:$D28,"R")+1,"")</f>
        <v>25</v>
      </c>
      <c r="C29" s="19" t="str">
        <f t="shared" si="4"/>
        <v>C_Ope_008</v>
      </c>
      <c r="D29" s="3" t="s">
        <v>1074</v>
      </c>
      <c r="E29" s="14">
        <v>45714</v>
      </c>
      <c r="F29" s="5" t="s">
        <v>4433</v>
      </c>
      <c r="G29" s="5" t="s">
        <v>1079</v>
      </c>
      <c r="H29" s="6"/>
      <c r="I29" s="6" t="s">
        <v>14</v>
      </c>
      <c r="J29" s="6" t="s">
        <v>1148</v>
      </c>
      <c r="K29" s="6">
        <v>12716</v>
      </c>
      <c r="L29" s="7" t="s">
        <v>7644</v>
      </c>
      <c r="M29" s="8">
        <v>23226</v>
      </c>
      <c r="N29" s="8" t="str">
        <f t="shared" si="5"/>
        <v>PEN</v>
      </c>
      <c r="O29" s="13"/>
      <c r="P29" s="13">
        <v>10</v>
      </c>
      <c r="Q29" s="3">
        <f t="shared" si="1"/>
        <v>0</v>
      </c>
      <c r="R29" s="3">
        <f t="shared" si="2"/>
        <v>10</v>
      </c>
      <c r="S29" s="3">
        <f t="shared" si="3"/>
        <v>275.17000000000007</v>
      </c>
      <c r="T29" s="24"/>
      <c r="U29" s="24"/>
      <c r="V29" s="3"/>
      <c r="W29" s="25" t="s">
        <v>6747</v>
      </c>
      <c r="X29" s="25"/>
      <c r="Y29" s="25" t="str">
        <f>IFERROR(VLOOKUP(C_Ope_008[[#This Row],[NOTA 2]],Clientes_Proveedores[[Ruc / Dni]:[Razon Social]],2,0),"")</f>
        <v/>
      </c>
      <c r="Z29" s="25"/>
      <c r="AA29" s="25"/>
      <c r="AB29" s="3" t="str">
        <f>IF(C_Ope_008[[#This Row],[FECHA]]&gt;0,TEXT(C_Ope_008[[#This Row],[FECHA]],"mmmm"),0)</f>
        <v>Febrero</v>
      </c>
    </row>
    <row r="30" spans="2:28" ht="24" x14ac:dyDescent="0.3">
      <c r="B30" s="2">
        <f>IF(C_Ope_008[[#This Row],[TIPO DE R.]]="R",COUNTIFS($D$4:$D29,"R")+1,"")</f>
        <v>26</v>
      </c>
      <c r="C30" s="19" t="str">
        <f t="shared" si="4"/>
        <v>C_Ope_008</v>
      </c>
      <c r="D30" s="3" t="s">
        <v>1074</v>
      </c>
      <c r="E30" s="14">
        <v>45721</v>
      </c>
      <c r="F30" s="5" t="s">
        <v>4433</v>
      </c>
      <c r="G30" s="5" t="s">
        <v>1079</v>
      </c>
      <c r="H30" s="6"/>
      <c r="I30" s="6" t="s">
        <v>14</v>
      </c>
      <c r="J30" s="6" t="s">
        <v>1119</v>
      </c>
      <c r="K30" s="6">
        <v>16674</v>
      </c>
      <c r="L30" s="7" t="s">
        <v>7645</v>
      </c>
      <c r="M30" s="8">
        <v>23299</v>
      </c>
      <c r="N30" s="8" t="str">
        <f t="shared" si="5"/>
        <v>PEN</v>
      </c>
      <c r="O30" s="13"/>
      <c r="P30" s="13">
        <v>25</v>
      </c>
      <c r="Q30" s="3">
        <f t="shared" si="1"/>
        <v>0</v>
      </c>
      <c r="R30" s="3">
        <f t="shared" si="2"/>
        <v>25</v>
      </c>
      <c r="S30" s="3">
        <f t="shared" si="3"/>
        <v>250.17000000000007</v>
      </c>
      <c r="T30" s="24"/>
      <c r="U30" s="24"/>
      <c r="V30" s="3"/>
      <c r="W30" s="25" t="s">
        <v>6541</v>
      </c>
      <c r="X30" s="25"/>
      <c r="Y30" s="25" t="str">
        <f>IFERROR(VLOOKUP(C_Ope_008[[#This Row],[NOTA 2]],Clientes_Proveedores[[Ruc / Dni]:[Razon Social]],2,0),"")</f>
        <v/>
      </c>
      <c r="Z30" s="25"/>
      <c r="AA30" s="25"/>
      <c r="AB30" s="3" t="str">
        <f>IF(C_Ope_008[[#This Row],[FECHA]]&gt;0,TEXT(C_Ope_008[[#This Row],[FECHA]],"mmmm"),0)</f>
        <v>Marzo</v>
      </c>
    </row>
    <row r="31" spans="2:28" ht="24" x14ac:dyDescent="0.3">
      <c r="B31" s="2">
        <f>IF(C_Ope_008[[#This Row],[TIPO DE R.]]="R",COUNTIFS($D$4:$D30,"R")+1,"")</f>
        <v>27</v>
      </c>
      <c r="C31" s="19" t="str">
        <f t="shared" si="4"/>
        <v>C_Ope_008</v>
      </c>
      <c r="D31" s="3" t="s">
        <v>1074</v>
      </c>
      <c r="E31" s="14">
        <v>45723</v>
      </c>
      <c r="F31" s="5" t="s">
        <v>4433</v>
      </c>
      <c r="G31" s="5" t="s">
        <v>1079</v>
      </c>
      <c r="H31" s="6"/>
      <c r="I31" s="6" t="s">
        <v>14</v>
      </c>
      <c r="J31" s="6" t="s">
        <v>1121</v>
      </c>
      <c r="K31" s="6">
        <v>229</v>
      </c>
      <c r="L31" s="7" t="s">
        <v>7646</v>
      </c>
      <c r="M31" s="8">
        <v>23325</v>
      </c>
      <c r="N31" s="8" t="str">
        <f t="shared" si="5"/>
        <v>PEN</v>
      </c>
      <c r="O31" s="13"/>
      <c r="P31" s="13">
        <v>40</v>
      </c>
      <c r="Q31" s="3">
        <f t="shared" si="1"/>
        <v>0</v>
      </c>
      <c r="R31" s="3">
        <f t="shared" si="2"/>
        <v>40</v>
      </c>
      <c r="S31" s="3">
        <f t="shared" si="3"/>
        <v>210.17000000000007</v>
      </c>
      <c r="T31" s="24"/>
      <c r="U31" s="24"/>
      <c r="V31" s="3"/>
      <c r="W31" s="25" t="s">
        <v>6546</v>
      </c>
      <c r="X31" s="25"/>
      <c r="Y31" s="25" t="str">
        <f>IFERROR(VLOOKUP(C_Ope_008[[#This Row],[NOTA 2]],Clientes_Proveedores[[Ruc / Dni]:[Razon Social]],2,0),"")</f>
        <v/>
      </c>
      <c r="Z31" s="25"/>
      <c r="AA31" s="25"/>
      <c r="AB31" s="3" t="str">
        <f>IF(C_Ope_008[[#This Row],[FECHA]]&gt;0,TEXT(C_Ope_008[[#This Row],[FECHA]],"mmmm"),0)</f>
        <v>Marzo</v>
      </c>
    </row>
    <row r="32" spans="2:28" x14ac:dyDescent="0.3">
      <c r="B32" s="2">
        <f>IF(C_Ope_008[[#This Row],[TIPO DE R.]]="R",COUNTIFS($D$4:$D31,"R")+1,"")</f>
        <v>28</v>
      </c>
      <c r="C32" s="19" t="str">
        <f t="shared" si="4"/>
        <v>C_Ope_008</v>
      </c>
      <c r="D32" s="3" t="s">
        <v>1074</v>
      </c>
      <c r="E32" s="14">
        <v>45723</v>
      </c>
      <c r="F32" s="5" t="s">
        <v>4433</v>
      </c>
      <c r="G32" s="5" t="s">
        <v>1079</v>
      </c>
      <c r="H32" s="6"/>
      <c r="I32" s="6" t="s">
        <v>14</v>
      </c>
      <c r="J32" s="6" t="s">
        <v>1119</v>
      </c>
      <c r="K32" s="6">
        <v>16734</v>
      </c>
      <c r="L32" s="7" t="s">
        <v>7647</v>
      </c>
      <c r="M32" s="8">
        <v>23327</v>
      </c>
      <c r="N32" s="8" t="str">
        <f t="shared" si="5"/>
        <v>PEN</v>
      </c>
      <c r="O32" s="13"/>
      <c r="P32" s="13">
        <v>30</v>
      </c>
      <c r="Q32" s="3">
        <f t="shared" si="1"/>
        <v>0</v>
      </c>
      <c r="R32" s="3">
        <f t="shared" si="2"/>
        <v>30</v>
      </c>
      <c r="S32" s="3">
        <f t="shared" si="3"/>
        <v>180.17000000000007</v>
      </c>
      <c r="T32" s="24"/>
      <c r="U32" s="24"/>
      <c r="V32" s="3"/>
      <c r="W32" s="25" t="s">
        <v>6630</v>
      </c>
      <c r="X32" s="25"/>
      <c r="Y32" s="25" t="str">
        <f>IFERROR(VLOOKUP(C_Ope_008[[#This Row],[NOTA 2]],Clientes_Proveedores[[Ruc / Dni]:[Razon Social]],2,0),"")</f>
        <v/>
      </c>
      <c r="Z32" s="25"/>
      <c r="AA32" s="25"/>
      <c r="AB32" s="3" t="str">
        <f>IF(C_Ope_008[[#This Row],[FECHA]]&gt;0,TEXT(C_Ope_008[[#This Row],[FECHA]],"mmmm"),0)</f>
        <v>Marzo</v>
      </c>
    </row>
    <row r="33" spans="2:28" x14ac:dyDescent="0.3">
      <c r="B33" s="2">
        <f>IF(C_Ope_008[[#This Row],[TIPO DE R.]]="R",COUNTIFS($D$4:$D32,"R")+1,"")</f>
        <v>29</v>
      </c>
      <c r="C33" s="19" t="str">
        <f t="shared" si="4"/>
        <v>C_Ope_008</v>
      </c>
      <c r="D33" s="3" t="s">
        <v>1074</v>
      </c>
      <c r="E33" s="14">
        <v>45727</v>
      </c>
      <c r="F33" s="5" t="s">
        <v>6299</v>
      </c>
      <c r="G33" s="5" t="s">
        <v>1087</v>
      </c>
      <c r="H33" s="6"/>
      <c r="I33" s="6"/>
      <c r="J33" s="6"/>
      <c r="K33" s="6"/>
      <c r="L33" s="7" t="s">
        <v>6327</v>
      </c>
      <c r="M33" s="8">
        <v>23457</v>
      </c>
      <c r="N33" s="8" t="str">
        <f t="shared" si="5"/>
        <v>PEN</v>
      </c>
      <c r="O33" s="13"/>
      <c r="P33" s="13">
        <v>20</v>
      </c>
      <c r="Q33" s="3">
        <f t="shared" si="1"/>
        <v>20</v>
      </c>
      <c r="R33" s="3">
        <f t="shared" si="2"/>
        <v>0</v>
      </c>
      <c r="S33" s="3">
        <f t="shared" si="3"/>
        <v>200.17000000000007</v>
      </c>
      <c r="T33" s="24"/>
      <c r="U33" s="24"/>
      <c r="V33" s="3"/>
      <c r="W33" s="25"/>
      <c r="X33" s="25"/>
      <c r="Y33" s="25" t="str">
        <f>IFERROR(VLOOKUP(C_Ope_008[[#This Row],[NOTA 2]],Clientes_Proveedores[[Ruc / Dni]:[Razon Social]],2,0),"")</f>
        <v/>
      </c>
      <c r="Z33" s="25"/>
      <c r="AA33" s="25"/>
      <c r="AB33" s="3" t="str">
        <f>IF(C_Ope_008[[#This Row],[FECHA]]&gt;0,TEXT(C_Ope_008[[#This Row],[FECHA]],"mmmm"),0)</f>
        <v>Marzo</v>
      </c>
    </row>
    <row r="34" spans="2:28" x14ac:dyDescent="0.3">
      <c r="B34" s="2">
        <f>IF(C_Ope_008[[#This Row],[TIPO DE R.]]="R",COUNTIFS($D$4:$D33,"R")+1,"")</f>
        <v>30</v>
      </c>
      <c r="C34" s="19" t="str">
        <f t="shared" si="4"/>
        <v>C_Ope_008</v>
      </c>
      <c r="D34" s="3" t="s">
        <v>1074</v>
      </c>
      <c r="E34" s="14">
        <v>45726</v>
      </c>
      <c r="F34" s="5" t="s">
        <v>4433</v>
      </c>
      <c r="G34" s="5" t="s">
        <v>1079</v>
      </c>
      <c r="H34" s="6"/>
      <c r="I34" s="6" t="s">
        <v>21</v>
      </c>
      <c r="J34" s="6">
        <v>2</v>
      </c>
      <c r="K34" s="6">
        <v>1701</v>
      </c>
      <c r="L34" s="7" t="s">
        <v>7648</v>
      </c>
      <c r="M34" s="8">
        <v>23362</v>
      </c>
      <c r="N34" s="8" t="str">
        <f t="shared" si="5"/>
        <v>PEN</v>
      </c>
      <c r="O34" s="13"/>
      <c r="P34" s="13">
        <v>30</v>
      </c>
      <c r="Q34" s="3">
        <f t="shared" si="1"/>
        <v>0</v>
      </c>
      <c r="R34" s="3">
        <f t="shared" si="2"/>
        <v>30</v>
      </c>
      <c r="S34" s="3">
        <f t="shared" si="3"/>
        <v>170.17000000000007</v>
      </c>
      <c r="T34" s="24"/>
      <c r="U34" s="24"/>
      <c r="V34" s="3"/>
      <c r="W34" s="25" t="s">
        <v>6747</v>
      </c>
      <c r="X34" s="25"/>
      <c r="Y34" s="25" t="str">
        <f>IFERROR(VLOOKUP(C_Ope_008[[#This Row],[NOTA 2]],Clientes_Proveedores[[Ruc / Dni]:[Razon Social]],2,0),"")</f>
        <v/>
      </c>
      <c r="Z34" s="25"/>
      <c r="AA34" s="25"/>
      <c r="AB34" s="3" t="str">
        <f>IF(C_Ope_008[[#This Row],[FECHA]]&gt;0,TEXT(C_Ope_008[[#This Row],[FECHA]],"mmmm"),0)</f>
        <v>Marzo</v>
      </c>
    </row>
    <row r="35" spans="2:28" x14ac:dyDescent="0.3">
      <c r="B35" s="2">
        <f>IF(C_Ope_008[[#This Row],[TIPO DE R.]]="R",COUNTIFS($D$4:$D34,"R")+1,"")</f>
        <v>31</v>
      </c>
      <c r="C35" s="19" t="str">
        <f t="shared" si="4"/>
        <v>C_Ope_008</v>
      </c>
      <c r="D35" s="3" t="s">
        <v>1074</v>
      </c>
      <c r="E35" s="14">
        <v>45727</v>
      </c>
      <c r="F35" s="5" t="s">
        <v>4433</v>
      </c>
      <c r="G35" s="5" t="s">
        <v>1079</v>
      </c>
      <c r="H35" s="6"/>
      <c r="I35" s="6" t="s">
        <v>14</v>
      </c>
      <c r="J35" s="6" t="s">
        <v>1148</v>
      </c>
      <c r="K35" s="6">
        <v>12785</v>
      </c>
      <c r="L35" s="7" t="s">
        <v>7649</v>
      </c>
      <c r="M35" s="8">
        <v>23363</v>
      </c>
      <c r="N35" s="8" t="str">
        <f t="shared" si="5"/>
        <v>PEN</v>
      </c>
      <c r="O35" s="13"/>
      <c r="P35" s="13">
        <v>10</v>
      </c>
      <c r="Q35" s="3">
        <f t="shared" si="1"/>
        <v>0</v>
      </c>
      <c r="R35" s="3">
        <f t="shared" si="2"/>
        <v>10</v>
      </c>
      <c r="S35" s="3">
        <f t="shared" si="3"/>
        <v>160.17000000000007</v>
      </c>
      <c r="T35" s="24"/>
      <c r="U35" s="24"/>
      <c r="V35" s="3"/>
      <c r="W35" s="25" t="s">
        <v>6541</v>
      </c>
      <c r="X35" s="25"/>
      <c r="Y35" s="25" t="str">
        <f>IFERROR(VLOOKUP(C_Ope_008[[#This Row],[NOTA 2]],Clientes_Proveedores[[Ruc / Dni]:[Razon Social]],2,0),"")</f>
        <v/>
      </c>
      <c r="Z35" s="25"/>
      <c r="AA35" s="25"/>
      <c r="AB35" s="3" t="str">
        <f>IF(C_Ope_008[[#This Row],[FECHA]]&gt;0,TEXT(C_Ope_008[[#This Row],[FECHA]],"mmmm"),0)</f>
        <v>Marzo</v>
      </c>
    </row>
    <row r="36" spans="2:28" ht="24" x14ac:dyDescent="0.3">
      <c r="B36" s="2">
        <f>IF(C_Ope_008[[#This Row],[TIPO DE R.]]="R",COUNTIFS($D$4:$D35,"R")+1,"")</f>
        <v>32</v>
      </c>
      <c r="C36" s="19" t="str">
        <f t="shared" si="4"/>
        <v>C_Ope_008</v>
      </c>
      <c r="D36" s="3" t="s">
        <v>1074</v>
      </c>
      <c r="E36" s="14">
        <v>45727</v>
      </c>
      <c r="F36" s="5" t="s">
        <v>4433</v>
      </c>
      <c r="G36" s="5" t="s">
        <v>1079</v>
      </c>
      <c r="H36" s="6"/>
      <c r="I36" s="6" t="s">
        <v>14</v>
      </c>
      <c r="J36" s="6" t="s">
        <v>1148</v>
      </c>
      <c r="K36" s="6">
        <v>12793</v>
      </c>
      <c r="L36" s="7" t="s">
        <v>7650</v>
      </c>
      <c r="M36" s="8">
        <v>23387</v>
      </c>
      <c r="N36" s="8" t="str">
        <f t="shared" si="5"/>
        <v>PEN</v>
      </c>
      <c r="O36" s="13"/>
      <c r="P36" s="13">
        <v>38</v>
      </c>
      <c r="Q36" s="3">
        <f t="shared" si="1"/>
        <v>0</v>
      </c>
      <c r="R36" s="3">
        <f t="shared" si="2"/>
        <v>38</v>
      </c>
      <c r="S36" s="3">
        <f t="shared" si="3"/>
        <v>122.17000000000007</v>
      </c>
      <c r="T36" s="24"/>
      <c r="U36" s="24"/>
      <c r="V36" s="3"/>
      <c r="W36" s="25" t="s">
        <v>6747</v>
      </c>
      <c r="X36" s="25"/>
      <c r="Y36" s="25" t="str">
        <f>IFERROR(VLOOKUP(C_Ope_008[[#This Row],[NOTA 2]],Clientes_Proveedores[[Ruc / Dni]:[Razon Social]],2,0),"")</f>
        <v/>
      </c>
      <c r="Z36" s="25"/>
      <c r="AA36" s="25"/>
      <c r="AB36" s="3" t="str">
        <f>IF(C_Ope_008[[#This Row],[FECHA]]&gt;0,TEXT(C_Ope_008[[#This Row],[FECHA]],"mmmm"),0)</f>
        <v>Marzo</v>
      </c>
    </row>
    <row r="37" spans="2:28" x14ac:dyDescent="0.3">
      <c r="B37" s="2">
        <f>IF(C_Ope_008[[#This Row],[TIPO DE R.]]="R",COUNTIFS($D$4:$D36,"R")+1,"")</f>
        <v>33</v>
      </c>
      <c r="C37" s="19" t="str">
        <f t="shared" si="4"/>
        <v>C_Ope_008</v>
      </c>
      <c r="D37" s="3" t="s">
        <v>1074</v>
      </c>
      <c r="E37" s="14">
        <v>45728</v>
      </c>
      <c r="F37" s="5" t="s">
        <v>4433</v>
      </c>
      <c r="G37" s="5" t="s">
        <v>1079</v>
      </c>
      <c r="H37" s="6"/>
      <c r="I37" s="6" t="s">
        <v>14</v>
      </c>
      <c r="J37" s="6" t="s">
        <v>1148</v>
      </c>
      <c r="K37" s="6">
        <v>12797</v>
      </c>
      <c r="L37" s="7" t="s">
        <v>7651</v>
      </c>
      <c r="M37" s="8">
        <v>23391</v>
      </c>
      <c r="N37" s="8" t="str">
        <f t="shared" si="5"/>
        <v>PEN</v>
      </c>
      <c r="O37" s="13"/>
      <c r="P37" s="13">
        <v>5</v>
      </c>
      <c r="Q37" s="3">
        <f t="shared" ref="Q37:Q68" si="6">+IF(OR($G37="SALDO",$G37="INGRESO"),$P37,0)</f>
        <v>0</v>
      </c>
      <c r="R37" s="3">
        <f t="shared" ref="R37:R68" si="7">+IF($G37="EGRESO",$P37,0)</f>
        <v>5</v>
      </c>
      <c r="S37" s="3">
        <f t="shared" ref="S37:S68" si="8">IFERROR(IF(G37="SALDO",Q37,S36+Q37-R37),0)</f>
        <v>117.17000000000007</v>
      </c>
      <c r="T37" s="24"/>
      <c r="U37" s="24"/>
      <c r="V37" s="3"/>
      <c r="W37" s="25" t="s">
        <v>6541</v>
      </c>
      <c r="X37" s="25"/>
      <c r="Y37" s="25" t="str">
        <f>IFERROR(VLOOKUP(C_Ope_008[[#This Row],[NOTA 2]],Clientes_Proveedores[[Ruc / Dni]:[Razon Social]],2,0),"")</f>
        <v/>
      </c>
      <c r="Z37" s="25"/>
      <c r="AA37" s="25"/>
      <c r="AB37" s="3" t="str">
        <f>IF(C_Ope_008[[#This Row],[FECHA]]&gt;0,TEXT(C_Ope_008[[#This Row],[FECHA]],"mmmm"),0)</f>
        <v>Marzo</v>
      </c>
    </row>
    <row r="38" spans="2:28" x14ac:dyDescent="0.3">
      <c r="B38" s="2">
        <f>IF(C_Ope_008[[#This Row],[TIPO DE R.]]="R",COUNTIFS($D$4:$D37,"R")+1,"")</f>
        <v>34</v>
      </c>
      <c r="C38" s="19" t="str">
        <f t="shared" ref="C38:C69" si="9">"C_Ope_008"</f>
        <v>C_Ope_008</v>
      </c>
      <c r="D38" s="3" t="s">
        <v>1074</v>
      </c>
      <c r="E38" s="14">
        <v>45728</v>
      </c>
      <c r="F38" s="5" t="s">
        <v>4433</v>
      </c>
      <c r="G38" s="5" t="s">
        <v>1079</v>
      </c>
      <c r="H38" s="6"/>
      <c r="I38" s="6" t="s">
        <v>14</v>
      </c>
      <c r="J38" s="6" t="s">
        <v>1148</v>
      </c>
      <c r="K38" s="6">
        <v>12804</v>
      </c>
      <c r="L38" s="7" t="s">
        <v>7644</v>
      </c>
      <c r="M38" s="8">
        <v>23399</v>
      </c>
      <c r="N38" s="8" t="str">
        <f t="shared" ref="N38:N69" si="10">"PEN"</f>
        <v>PEN</v>
      </c>
      <c r="O38" s="13"/>
      <c r="P38" s="13">
        <v>25</v>
      </c>
      <c r="Q38" s="3">
        <f t="shared" si="6"/>
        <v>0</v>
      </c>
      <c r="R38" s="3">
        <f t="shared" si="7"/>
        <v>25</v>
      </c>
      <c r="S38" s="3">
        <f t="shared" si="8"/>
        <v>92.170000000000073</v>
      </c>
      <c r="T38" s="24"/>
      <c r="U38" s="24"/>
      <c r="V38" s="3"/>
      <c r="W38" s="25" t="s">
        <v>6546</v>
      </c>
      <c r="X38" s="25"/>
      <c r="Y38" s="25" t="str">
        <f>IFERROR(VLOOKUP(C_Ope_008[[#This Row],[NOTA 2]],Clientes_Proveedores[[Ruc / Dni]:[Razon Social]],2,0),"")</f>
        <v/>
      </c>
      <c r="Z38" s="25"/>
      <c r="AA38" s="25"/>
      <c r="AB38" s="3" t="str">
        <f>IF(C_Ope_008[[#This Row],[FECHA]]&gt;0,TEXT(C_Ope_008[[#This Row],[FECHA]],"mmmm"),0)</f>
        <v>Marzo</v>
      </c>
    </row>
    <row r="39" spans="2:28" x14ac:dyDescent="0.3">
      <c r="B39" s="2">
        <f>IF(C_Ope_008[[#This Row],[TIPO DE R.]]="R",COUNTIFS($D$4:$D38,"R")+1,"")</f>
        <v>35</v>
      </c>
      <c r="C39" s="19" t="str">
        <f t="shared" si="9"/>
        <v>C_Ope_008</v>
      </c>
      <c r="D39" s="3" t="s">
        <v>1074</v>
      </c>
      <c r="E39" s="14">
        <v>45734</v>
      </c>
      <c r="F39" s="5" t="s">
        <v>6299</v>
      </c>
      <c r="G39" s="5" t="s">
        <v>1087</v>
      </c>
      <c r="H39" s="6"/>
      <c r="I39" s="6"/>
      <c r="J39" s="6"/>
      <c r="K39" s="6"/>
      <c r="L39" s="7" t="s">
        <v>6327</v>
      </c>
      <c r="M39" s="8">
        <v>23549</v>
      </c>
      <c r="N39" s="8" t="str">
        <f t="shared" si="10"/>
        <v>PEN</v>
      </c>
      <c r="O39" s="13"/>
      <c r="P39" s="13">
        <v>110</v>
      </c>
      <c r="Q39" s="3">
        <f t="shared" si="6"/>
        <v>110</v>
      </c>
      <c r="R39" s="3">
        <f t="shared" si="7"/>
        <v>0</v>
      </c>
      <c r="S39" s="3">
        <f t="shared" si="8"/>
        <v>202.17000000000007</v>
      </c>
      <c r="T39" s="24"/>
      <c r="U39" s="24"/>
      <c r="V39" s="3"/>
      <c r="W39" s="25"/>
      <c r="X39" s="25"/>
      <c r="Y39" s="25" t="str">
        <f>IFERROR(VLOOKUP(C_Ope_008[[#This Row],[NOTA 2]],Clientes_Proveedores[[Ruc / Dni]:[Razon Social]],2,0),"")</f>
        <v/>
      </c>
      <c r="Z39" s="25"/>
      <c r="AA39" s="25"/>
      <c r="AB39" s="3" t="str">
        <f>IF(C_Ope_008[[#This Row],[FECHA]]&gt;0,TEXT(C_Ope_008[[#This Row],[FECHA]],"mmmm"),0)</f>
        <v>Marzo</v>
      </c>
    </row>
    <row r="40" spans="2:28" x14ac:dyDescent="0.3">
      <c r="B40" s="2">
        <f>IF(C_Ope_008[[#This Row],[TIPO DE R.]]="R",COUNTIFS($D$4:$D39,"R")+1,"")</f>
        <v>36</v>
      </c>
      <c r="C40" s="19" t="str">
        <f t="shared" si="9"/>
        <v>C_Ope_008</v>
      </c>
      <c r="D40" s="3" t="s">
        <v>1074</v>
      </c>
      <c r="E40" s="14">
        <v>45735</v>
      </c>
      <c r="F40" s="5" t="s">
        <v>4433</v>
      </c>
      <c r="G40" s="5" t="s">
        <v>1079</v>
      </c>
      <c r="H40" s="6"/>
      <c r="I40" s="6" t="s">
        <v>21</v>
      </c>
      <c r="J40" s="6" t="s">
        <v>6959</v>
      </c>
      <c r="K40" s="6">
        <v>65</v>
      </c>
      <c r="L40" s="7" t="s">
        <v>7652</v>
      </c>
      <c r="M40" s="8">
        <v>23526</v>
      </c>
      <c r="N40" s="8" t="str">
        <f t="shared" si="10"/>
        <v>PEN</v>
      </c>
      <c r="O40" s="13"/>
      <c r="P40" s="13">
        <v>10</v>
      </c>
      <c r="Q40" s="3">
        <f t="shared" si="6"/>
        <v>0</v>
      </c>
      <c r="R40" s="3">
        <f t="shared" si="7"/>
        <v>10</v>
      </c>
      <c r="S40" s="3">
        <f t="shared" si="8"/>
        <v>192.17000000000007</v>
      </c>
      <c r="T40" s="24"/>
      <c r="U40" s="24"/>
      <c r="V40" s="3"/>
      <c r="W40" s="25" t="s">
        <v>6747</v>
      </c>
      <c r="X40" s="25"/>
      <c r="Y40" s="25" t="str">
        <f>IFERROR(VLOOKUP(C_Ope_008[[#This Row],[NOTA 2]],Clientes_Proveedores[[Ruc / Dni]:[Razon Social]],2,0),"")</f>
        <v/>
      </c>
      <c r="Z40" s="25"/>
      <c r="AA40" s="25"/>
      <c r="AB40" s="3" t="str">
        <f>IF(C_Ope_008[[#This Row],[FECHA]]&gt;0,TEXT(C_Ope_008[[#This Row],[FECHA]],"mmmm"),0)</f>
        <v>Marzo</v>
      </c>
    </row>
    <row r="41" spans="2:28" x14ac:dyDescent="0.3">
      <c r="B41" s="2">
        <f>IF(C_Ope_008[[#This Row],[TIPO DE R.]]="R",COUNTIFS($D$4:$D40,"R")+1,"")</f>
        <v>37</v>
      </c>
      <c r="C41" s="19" t="str">
        <f t="shared" si="9"/>
        <v>C_Ope_008</v>
      </c>
      <c r="D41" s="3" t="s">
        <v>1074</v>
      </c>
      <c r="E41" s="14">
        <v>45736</v>
      </c>
      <c r="F41" s="5" t="s">
        <v>4433</v>
      </c>
      <c r="G41" s="5" t="s">
        <v>1079</v>
      </c>
      <c r="H41" s="6"/>
      <c r="I41" s="6" t="s">
        <v>21</v>
      </c>
      <c r="J41" s="6">
        <v>1</v>
      </c>
      <c r="K41" s="6">
        <v>978</v>
      </c>
      <c r="L41" s="7" t="s">
        <v>7653</v>
      </c>
      <c r="M41" s="8">
        <v>23525</v>
      </c>
      <c r="N41" s="8" t="str">
        <f t="shared" si="10"/>
        <v>PEN</v>
      </c>
      <c r="O41" s="13"/>
      <c r="P41" s="13">
        <v>25</v>
      </c>
      <c r="Q41" s="3">
        <f t="shared" si="6"/>
        <v>0</v>
      </c>
      <c r="R41" s="3">
        <f t="shared" si="7"/>
        <v>25</v>
      </c>
      <c r="S41" s="3">
        <f t="shared" si="8"/>
        <v>167.17000000000007</v>
      </c>
      <c r="T41" s="24"/>
      <c r="U41" s="24"/>
      <c r="V41" s="3"/>
      <c r="W41" s="25" t="s">
        <v>6950</v>
      </c>
      <c r="X41" s="25"/>
      <c r="Y41" s="25" t="str">
        <f>IFERROR(VLOOKUP(C_Ope_008[[#This Row],[NOTA 2]],Clientes_Proveedores[[Ruc / Dni]:[Razon Social]],2,0),"")</f>
        <v/>
      </c>
      <c r="Z41" s="25"/>
      <c r="AA41" s="25"/>
      <c r="AB41" s="3" t="str">
        <f>IF(C_Ope_008[[#This Row],[FECHA]]&gt;0,TEXT(C_Ope_008[[#This Row],[FECHA]],"mmmm"),0)</f>
        <v>Marzo</v>
      </c>
    </row>
    <row r="42" spans="2:28" x14ac:dyDescent="0.3">
      <c r="B42" s="2">
        <f>IF(C_Ope_008[[#This Row],[TIPO DE R.]]="R",COUNTIFS($D$4:$D41,"R")+1,"")</f>
        <v>38</v>
      </c>
      <c r="C42" s="19" t="str">
        <f t="shared" si="9"/>
        <v>C_Ope_008</v>
      </c>
      <c r="D42" s="3" t="s">
        <v>1074</v>
      </c>
      <c r="E42" s="14">
        <v>45736</v>
      </c>
      <c r="F42" s="5" t="s">
        <v>4433</v>
      </c>
      <c r="G42" s="5" t="s">
        <v>1079</v>
      </c>
      <c r="H42" s="6"/>
      <c r="I42" s="6" t="s">
        <v>21</v>
      </c>
      <c r="J42" s="6">
        <v>1</v>
      </c>
      <c r="K42" s="6">
        <v>11470</v>
      </c>
      <c r="L42" s="7" t="s">
        <v>7627</v>
      </c>
      <c r="M42" s="8">
        <v>23527</v>
      </c>
      <c r="N42" s="8" t="str">
        <f t="shared" si="10"/>
        <v>PEN</v>
      </c>
      <c r="O42" s="13"/>
      <c r="P42" s="13">
        <v>30</v>
      </c>
      <c r="Q42" s="3">
        <f t="shared" si="6"/>
        <v>0</v>
      </c>
      <c r="R42" s="3">
        <f t="shared" si="7"/>
        <v>30</v>
      </c>
      <c r="S42" s="3">
        <f t="shared" si="8"/>
        <v>137.17000000000007</v>
      </c>
      <c r="T42" s="24"/>
      <c r="U42" s="24"/>
      <c r="V42" s="3"/>
      <c r="W42" s="25" t="s">
        <v>6950</v>
      </c>
      <c r="X42" s="25"/>
      <c r="Y42" s="25" t="str">
        <f>IFERROR(VLOOKUP(C_Ope_008[[#This Row],[NOTA 2]],Clientes_Proveedores[[Ruc / Dni]:[Razon Social]],2,0),"")</f>
        <v/>
      </c>
      <c r="Z42" s="25"/>
      <c r="AA42" s="25"/>
      <c r="AB42" s="3" t="str">
        <f>IF(C_Ope_008[[#This Row],[FECHA]]&gt;0,TEXT(C_Ope_008[[#This Row],[FECHA]],"mmmm"),0)</f>
        <v>Marzo</v>
      </c>
    </row>
    <row r="43" spans="2:28" ht="24" x14ac:dyDescent="0.3">
      <c r="B43" s="2">
        <f>IF(C_Ope_008[[#This Row],[TIPO DE R.]]="R",COUNTIFS($D$4:$D42,"R")+1,"")</f>
        <v>39</v>
      </c>
      <c r="C43" s="19" t="str">
        <f t="shared" si="9"/>
        <v>C_Ope_008</v>
      </c>
      <c r="D43" s="3" t="s">
        <v>1074</v>
      </c>
      <c r="E43" s="14">
        <v>45737</v>
      </c>
      <c r="F43" s="5" t="s">
        <v>4433</v>
      </c>
      <c r="G43" s="5" t="s">
        <v>1079</v>
      </c>
      <c r="H43" s="6"/>
      <c r="I43" s="6" t="s">
        <v>21</v>
      </c>
      <c r="J43" s="6">
        <v>1</v>
      </c>
      <c r="K43" s="6">
        <v>11472</v>
      </c>
      <c r="L43" s="7" t="s">
        <v>7654</v>
      </c>
      <c r="M43" s="8">
        <v>23554</v>
      </c>
      <c r="N43" s="8" t="str">
        <f t="shared" si="10"/>
        <v>PEN</v>
      </c>
      <c r="O43" s="13"/>
      <c r="P43" s="13">
        <v>20</v>
      </c>
      <c r="Q43" s="3">
        <f t="shared" si="6"/>
        <v>0</v>
      </c>
      <c r="R43" s="3">
        <f t="shared" si="7"/>
        <v>20</v>
      </c>
      <c r="S43" s="3">
        <f t="shared" si="8"/>
        <v>117.17000000000007</v>
      </c>
      <c r="T43" s="24"/>
      <c r="U43" s="24"/>
      <c r="V43" s="3"/>
      <c r="W43" s="25" t="s">
        <v>6950</v>
      </c>
      <c r="X43" s="25"/>
      <c r="Y43" s="25" t="str">
        <f>IFERROR(VLOOKUP(C_Ope_008[[#This Row],[NOTA 2]],Clientes_Proveedores[[Ruc / Dni]:[Razon Social]],2,0),"")</f>
        <v/>
      </c>
      <c r="Z43" s="25"/>
      <c r="AA43" s="25"/>
      <c r="AB43" s="3" t="str">
        <f>IF(C_Ope_008[[#This Row],[FECHA]]&gt;0,TEXT(C_Ope_008[[#This Row],[FECHA]],"mmmm"),0)</f>
        <v>Marzo</v>
      </c>
    </row>
    <row r="44" spans="2:28" x14ac:dyDescent="0.3">
      <c r="B44" s="2">
        <f>IF(C_Ope_008[[#This Row],[TIPO DE R.]]="R",COUNTIFS($D$4:$D43,"R")+1,"")</f>
        <v>40</v>
      </c>
      <c r="C44" s="19" t="str">
        <f t="shared" si="9"/>
        <v>C_Ope_008</v>
      </c>
      <c r="D44" s="3" t="s">
        <v>1074</v>
      </c>
      <c r="E44" s="14">
        <v>45740</v>
      </c>
      <c r="F44" s="5" t="s">
        <v>6299</v>
      </c>
      <c r="G44" s="5" t="s">
        <v>1087</v>
      </c>
      <c r="H44" s="6"/>
      <c r="I44" s="6"/>
      <c r="J44" s="6"/>
      <c r="K44" s="6"/>
      <c r="L44" s="7" t="s">
        <v>6327</v>
      </c>
      <c r="M44" s="8">
        <v>23698</v>
      </c>
      <c r="N44" s="8" t="str">
        <f t="shared" si="10"/>
        <v>PEN</v>
      </c>
      <c r="O44" s="13"/>
      <c r="P44" s="13">
        <v>90</v>
      </c>
      <c r="Q44" s="3">
        <f t="shared" si="6"/>
        <v>90</v>
      </c>
      <c r="R44" s="3">
        <f t="shared" si="7"/>
        <v>0</v>
      </c>
      <c r="S44" s="3">
        <f t="shared" si="8"/>
        <v>207.17000000000007</v>
      </c>
      <c r="T44" s="24"/>
      <c r="U44" s="24"/>
      <c r="V44" s="3"/>
      <c r="W44" s="25"/>
      <c r="X44" s="25"/>
      <c r="Y44" s="25" t="str">
        <f>IFERROR(VLOOKUP(C_Ope_008[[#This Row],[NOTA 2]],Clientes_Proveedores[[Ruc / Dni]:[Razon Social]],2,0),"")</f>
        <v/>
      </c>
      <c r="Z44" s="25"/>
      <c r="AA44" s="25"/>
      <c r="AB44" s="3" t="str">
        <f>IF(C_Ope_008[[#This Row],[FECHA]]&gt;0,TEXT(C_Ope_008[[#This Row],[FECHA]],"mmmm"),0)</f>
        <v>Marzo</v>
      </c>
    </row>
    <row r="45" spans="2:28" ht="24" x14ac:dyDescent="0.3">
      <c r="B45" s="2">
        <f>IF(C_Ope_008[[#This Row],[TIPO DE R.]]="R",COUNTIFS($D$4:$D44,"R")+1,"")</f>
        <v>41</v>
      </c>
      <c r="C45" s="19" t="str">
        <f t="shared" si="9"/>
        <v>C_Ope_008</v>
      </c>
      <c r="D45" s="3" t="s">
        <v>1074</v>
      </c>
      <c r="E45" s="14">
        <v>45740</v>
      </c>
      <c r="F45" s="5" t="s">
        <v>4433</v>
      </c>
      <c r="G45" s="5" t="s">
        <v>1079</v>
      </c>
      <c r="H45" s="6"/>
      <c r="I45" s="6" t="s">
        <v>21</v>
      </c>
      <c r="J45" s="6">
        <v>1</v>
      </c>
      <c r="K45" s="6">
        <v>81</v>
      </c>
      <c r="L45" s="7" t="s">
        <v>7655</v>
      </c>
      <c r="M45" s="8">
        <v>23601</v>
      </c>
      <c r="N45" s="8" t="str">
        <f t="shared" si="10"/>
        <v>PEN</v>
      </c>
      <c r="O45" s="13"/>
      <c r="P45" s="13">
        <v>20</v>
      </c>
      <c r="Q45" s="3">
        <f t="shared" si="6"/>
        <v>0</v>
      </c>
      <c r="R45" s="3">
        <f t="shared" si="7"/>
        <v>20</v>
      </c>
      <c r="S45" s="3">
        <f t="shared" si="8"/>
        <v>187.17000000000007</v>
      </c>
      <c r="T45" s="24"/>
      <c r="U45" s="24"/>
      <c r="V45" s="3"/>
      <c r="W45" s="25" t="s">
        <v>6950</v>
      </c>
      <c r="X45" s="25"/>
      <c r="Y45" s="25" t="str">
        <f>IFERROR(VLOOKUP(C_Ope_008[[#This Row],[NOTA 2]],Clientes_Proveedores[[Ruc / Dni]:[Razon Social]],2,0),"")</f>
        <v/>
      </c>
      <c r="Z45" s="25"/>
      <c r="AA45" s="25"/>
      <c r="AB45" s="3" t="str">
        <f>IF(C_Ope_008[[#This Row],[FECHA]]&gt;0,TEXT(C_Ope_008[[#This Row],[FECHA]],"mmmm"),0)</f>
        <v>Marzo</v>
      </c>
    </row>
    <row r="46" spans="2:28" x14ac:dyDescent="0.3">
      <c r="B46" s="2">
        <f>IF(C_Ope_008[[#This Row],[TIPO DE R.]]="R",COUNTIFS($D$4:$D45,"R")+1,"")</f>
        <v>42</v>
      </c>
      <c r="C46" s="19" t="str">
        <f t="shared" si="9"/>
        <v>C_Ope_008</v>
      </c>
      <c r="D46" s="3" t="s">
        <v>1074</v>
      </c>
      <c r="E46" s="14">
        <v>45744</v>
      </c>
      <c r="F46" s="5" t="s">
        <v>4433</v>
      </c>
      <c r="G46" s="5" t="s">
        <v>1079</v>
      </c>
      <c r="H46" s="6"/>
      <c r="I46" s="6" t="s">
        <v>14</v>
      </c>
      <c r="J46" s="6" t="s">
        <v>1148</v>
      </c>
      <c r="K46" s="6">
        <v>5962</v>
      </c>
      <c r="L46" s="7" t="s">
        <v>7633</v>
      </c>
      <c r="M46" s="8">
        <v>23636</v>
      </c>
      <c r="N46" s="8" t="str">
        <f t="shared" si="10"/>
        <v>PEN</v>
      </c>
      <c r="O46" s="13"/>
      <c r="P46" s="13">
        <v>40</v>
      </c>
      <c r="Q46" s="3">
        <f t="shared" si="6"/>
        <v>0</v>
      </c>
      <c r="R46" s="3">
        <f t="shared" si="7"/>
        <v>40</v>
      </c>
      <c r="S46" s="3">
        <f t="shared" si="8"/>
        <v>147.17000000000007</v>
      </c>
      <c r="T46" s="24"/>
      <c r="U46" s="24"/>
      <c r="V46" s="3"/>
      <c r="W46" s="25" t="s">
        <v>6546</v>
      </c>
      <c r="X46" s="25"/>
      <c r="Y46" s="25" t="str">
        <f>IFERROR(VLOOKUP(C_Ope_008[[#This Row],[NOTA 2]],Clientes_Proveedores[[Ruc / Dni]:[Razon Social]],2,0),"")</f>
        <v/>
      </c>
      <c r="Z46" s="25"/>
      <c r="AA46" s="25"/>
      <c r="AB46" s="3" t="str">
        <f>IF(C_Ope_008[[#This Row],[FECHA]]&gt;0,TEXT(C_Ope_008[[#This Row],[FECHA]],"mmmm"),0)</f>
        <v>Marzo</v>
      </c>
    </row>
    <row r="47" spans="2:28" ht="24" x14ac:dyDescent="0.3">
      <c r="B47" s="2">
        <f>IF(C_Ope_008[[#This Row],[TIPO DE R.]]="R",COUNTIFS($D$4:$D46,"R")+1,"")</f>
        <v>43</v>
      </c>
      <c r="C47" s="19" t="str">
        <f t="shared" si="9"/>
        <v>C_Ope_008</v>
      </c>
      <c r="D47" s="3" t="s">
        <v>1074</v>
      </c>
      <c r="E47" s="14">
        <v>45751</v>
      </c>
      <c r="F47" s="5" t="s">
        <v>4433</v>
      </c>
      <c r="G47" s="5" t="s">
        <v>1079</v>
      </c>
      <c r="H47" s="6"/>
      <c r="I47" s="6" t="s">
        <v>14</v>
      </c>
      <c r="J47" s="6" t="s">
        <v>1121</v>
      </c>
      <c r="K47" s="6">
        <v>272</v>
      </c>
      <c r="L47" s="7" t="s">
        <v>7656</v>
      </c>
      <c r="M47" s="8">
        <v>23737</v>
      </c>
      <c r="N47" s="8" t="str">
        <f t="shared" si="10"/>
        <v>PEN</v>
      </c>
      <c r="O47" s="13"/>
      <c r="P47" s="13">
        <v>80</v>
      </c>
      <c r="Q47" s="3">
        <f t="shared" si="6"/>
        <v>0</v>
      </c>
      <c r="R47" s="3">
        <f t="shared" si="7"/>
        <v>80</v>
      </c>
      <c r="S47" s="3">
        <f t="shared" si="8"/>
        <v>67.170000000000073</v>
      </c>
      <c r="T47" s="24"/>
      <c r="U47" s="24"/>
      <c r="V47" s="3"/>
      <c r="W47" s="25" t="s">
        <v>6546</v>
      </c>
      <c r="X47" s="25"/>
      <c r="Y47" s="25" t="str">
        <f>IFERROR(VLOOKUP(C_Ope_008[[#This Row],[NOTA 2]],Clientes_Proveedores[[Ruc / Dni]:[Razon Social]],2,0),"")</f>
        <v/>
      </c>
      <c r="Z47" s="25"/>
      <c r="AA47" s="25"/>
      <c r="AB47" s="3" t="str">
        <f>IF(C_Ope_008[[#This Row],[FECHA]]&gt;0,TEXT(C_Ope_008[[#This Row],[FECHA]],"mmmm"),0)</f>
        <v>Abril</v>
      </c>
    </row>
    <row r="48" spans="2:28" x14ac:dyDescent="0.3">
      <c r="B48" s="2">
        <f>IF(C_Ope_008[[#This Row],[TIPO DE R.]]="R",COUNTIFS($D$4:$D47,"R")+1,"")</f>
        <v>44</v>
      </c>
      <c r="C48" s="19" t="str">
        <f t="shared" si="9"/>
        <v>C_Ope_008</v>
      </c>
      <c r="D48" s="3" t="s">
        <v>1074</v>
      </c>
      <c r="E48" s="14">
        <v>45755</v>
      </c>
      <c r="F48" s="5" t="s">
        <v>6299</v>
      </c>
      <c r="G48" s="5" t="s">
        <v>1087</v>
      </c>
      <c r="H48" s="6"/>
      <c r="I48" s="6"/>
      <c r="J48" s="6"/>
      <c r="K48" s="6"/>
      <c r="L48" s="7" t="s">
        <v>6327</v>
      </c>
      <c r="M48" s="8">
        <v>23767</v>
      </c>
      <c r="N48" s="8" t="str">
        <f t="shared" si="10"/>
        <v>PEN</v>
      </c>
      <c r="O48" s="13"/>
      <c r="P48" s="13">
        <v>130</v>
      </c>
      <c r="Q48" s="3">
        <f t="shared" si="6"/>
        <v>130</v>
      </c>
      <c r="R48" s="3">
        <f t="shared" si="7"/>
        <v>0</v>
      </c>
      <c r="S48" s="3">
        <f t="shared" si="8"/>
        <v>197.17000000000007</v>
      </c>
      <c r="T48" s="24"/>
      <c r="U48" s="24"/>
      <c r="V48" s="3"/>
      <c r="W48" s="25"/>
      <c r="X48" s="25"/>
      <c r="Y48" s="25" t="str">
        <f>IFERROR(VLOOKUP(C_Ope_008[[#This Row],[NOTA 2]],Clientes_Proveedores[[Ruc / Dni]:[Razon Social]],2,0),"")</f>
        <v/>
      </c>
      <c r="Z48" s="25"/>
      <c r="AA48" s="25"/>
      <c r="AB48" s="3" t="str">
        <f>IF(C_Ope_008[[#This Row],[FECHA]]&gt;0,TEXT(C_Ope_008[[#This Row],[FECHA]],"mmmm"),0)</f>
        <v>Abril</v>
      </c>
    </row>
    <row r="49" spans="2:28" ht="24" x14ac:dyDescent="0.3">
      <c r="B49" s="2">
        <f>IF(C_Ope_008[[#This Row],[TIPO DE R.]]="R",COUNTIFS($D$4:$D48,"R")+1,"")</f>
        <v>45</v>
      </c>
      <c r="C49" s="19" t="str">
        <f t="shared" si="9"/>
        <v>C_Ope_008</v>
      </c>
      <c r="D49" s="3" t="s">
        <v>1074</v>
      </c>
      <c r="E49" s="14">
        <v>45756</v>
      </c>
      <c r="F49" s="5" t="s">
        <v>4433</v>
      </c>
      <c r="G49" s="5" t="s">
        <v>1079</v>
      </c>
      <c r="H49" s="6"/>
      <c r="I49" s="6" t="s">
        <v>14</v>
      </c>
      <c r="J49" s="6" t="s">
        <v>1121</v>
      </c>
      <c r="K49" s="6">
        <v>3925</v>
      </c>
      <c r="L49" s="7" t="s">
        <v>7657</v>
      </c>
      <c r="M49" s="8">
        <v>23788</v>
      </c>
      <c r="N49" s="8" t="str">
        <f t="shared" si="10"/>
        <v>PEN</v>
      </c>
      <c r="O49" s="13"/>
      <c r="P49" s="13">
        <v>66</v>
      </c>
      <c r="Q49" s="3">
        <f t="shared" si="6"/>
        <v>0</v>
      </c>
      <c r="R49" s="3">
        <f t="shared" si="7"/>
        <v>66</v>
      </c>
      <c r="S49" s="3">
        <f t="shared" si="8"/>
        <v>131.17000000000007</v>
      </c>
      <c r="T49" s="24"/>
      <c r="U49" s="24"/>
      <c r="V49" s="3"/>
      <c r="W49" s="25" t="s">
        <v>6950</v>
      </c>
      <c r="X49" s="25"/>
      <c r="Y49" s="25" t="str">
        <f>IFERROR(VLOOKUP(C_Ope_008[[#This Row],[NOTA 2]],Clientes_Proveedores[[Ruc / Dni]:[Razon Social]],2,0),"")</f>
        <v/>
      </c>
      <c r="Z49" s="25"/>
      <c r="AA49" s="25"/>
      <c r="AB49" s="3" t="str">
        <f>IF(C_Ope_008[[#This Row],[FECHA]]&gt;0,TEXT(C_Ope_008[[#This Row],[FECHA]],"mmmm"),0)</f>
        <v>Abril</v>
      </c>
    </row>
    <row r="50" spans="2:28" ht="24" x14ac:dyDescent="0.3">
      <c r="B50" s="2">
        <f>IF(C_Ope_008[[#This Row],[TIPO DE R.]]="R",COUNTIFS($D$4:$D49,"R")+1,"")</f>
        <v>46</v>
      </c>
      <c r="C50" s="19" t="str">
        <f t="shared" si="9"/>
        <v>C_Ope_008</v>
      </c>
      <c r="D50" s="3" t="s">
        <v>1074</v>
      </c>
      <c r="E50" s="14">
        <v>45757</v>
      </c>
      <c r="F50" s="5" t="s">
        <v>4433</v>
      </c>
      <c r="G50" s="5" t="s">
        <v>1079</v>
      </c>
      <c r="H50" s="6"/>
      <c r="I50" s="6" t="s">
        <v>14</v>
      </c>
      <c r="J50" s="6" t="s">
        <v>1148</v>
      </c>
      <c r="K50" s="6">
        <v>118</v>
      </c>
      <c r="L50" s="7" t="s">
        <v>7658</v>
      </c>
      <c r="M50" s="8">
        <v>23808</v>
      </c>
      <c r="N50" s="8" t="str">
        <f t="shared" si="10"/>
        <v>PEN</v>
      </c>
      <c r="O50" s="13"/>
      <c r="P50" s="13">
        <v>20.5</v>
      </c>
      <c r="Q50" s="3">
        <f t="shared" si="6"/>
        <v>0</v>
      </c>
      <c r="R50" s="3">
        <f t="shared" si="7"/>
        <v>20.5</v>
      </c>
      <c r="S50" s="3">
        <f t="shared" si="8"/>
        <v>110.67000000000007</v>
      </c>
      <c r="T50" s="24"/>
      <c r="U50" s="24"/>
      <c r="V50" s="3"/>
      <c r="W50" s="25" t="s">
        <v>6541</v>
      </c>
      <c r="X50" s="25"/>
      <c r="Y50" s="25" t="str">
        <f>IFERROR(VLOOKUP(C_Ope_008[[#This Row],[NOTA 2]],Clientes_Proveedores[[Ruc / Dni]:[Razon Social]],2,0),"")</f>
        <v/>
      </c>
      <c r="Z50" s="25"/>
      <c r="AA50" s="25"/>
      <c r="AB50" s="3" t="str">
        <f>IF(C_Ope_008[[#This Row],[FECHA]]&gt;0,TEXT(C_Ope_008[[#This Row],[FECHA]],"mmmm"),0)</f>
        <v>Abril</v>
      </c>
    </row>
    <row r="51" spans="2:28" ht="24" x14ac:dyDescent="0.3">
      <c r="B51" s="2">
        <f>IF(C_Ope_008[[#This Row],[TIPO DE R.]]="R",COUNTIFS($D$4:$D50,"R")+1,"")</f>
        <v>47</v>
      </c>
      <c r="C51" s="19" t="str">
        <f t="shared" si="9"/>
        <v>C_Ope_008</v>
      </c>
      <c r="D51" s="3" t="s">
        <v>1074</v>
      </c>
      <c r="E51" s="14">
        <v>45758</v>
      </c>
      <c r="F51" s="5" t="s">
        <v>4433</v>
      </c>
      <c r="G51" s="5" t="s">
        <v>1079</v>
      </c>
      <c r="H51" s="6"/>
      <c r="I51" s="6" t="s">
        <v>14</v>
      </c>
      <c r="J51" s="6" t="s">
        <v>1121</v>
      </c>
      <c r="K51" s="6">
        <v>231</v>
      </c>
      <c r="L51" s="7" t="s">
        <v>7659</v>
      </c>
      <c r="M51" s="8">
        <v>23821</v>
      </c>
      <c r="N51" s="8" t="str">
        <f t="shared" si="10"/>
        <v>PEN</v>
      </c>
      <c r="O51" s="13"/>
      <c r="P51" s="13">
        <v>30</v>
      </c>
      <c r="Q51" s="3">
        <f t="shared" si="6"/>
        <v>0</v>
      </c>
      <c r="R51" s="3">
        <f t="shared" si="7"/>
        <v>30</v>
      </c>
      <c r="S51" s="3">
        <f t="shared" si="8"/>
        <v>80.670000000000073</v>
      </c>
      <c r="T51" s="24"/>
      <c r="U51" s="24"/>
      <c r="V51" s="3"/>
      <c r="W51" s="25" t="s">
        <v>6541</v>
      </c>
      <c r="X51" s="25"/>
      <c r="Y51" s="25" t="str">
        <f>IFERROR(VLOOKUP(C_Ope_008[[#This Row],[NOTA 2]],Clientes_Proveedores[[Ruc / Dni]:[Razon Social]],2,0),"")</f>
        <v/>
      </c>
      <c r="Z51" s="25"/>
      <c r="AA51" s="25"/>
      <c r="AB51" s="3" t="str">
        <f>IF(C_Ope_008[[#This Row],[FECHA]]&gt;0,TEXT(C_Ope_008[[#This Row],[FECHA]],"mmmm"),0)</f>
        <v>Abril</v>
      </c>
    </row>
    <row r="52" spans="2:28" ht="24" x14ac:dyDescent="0.3">
      <c r="B52" s="2">
        <f>IF(C_Ope_008[[#This Row],[TIPO DE R.]]="R",COUNTIFS($D$4:$D51,"R")+1,"")</f>
        <v>48</v>
      </c>
      <c r="C52" s="19" t="str">
        <f t="shared" si="9"/>
        <v>C_Ope_008</v>
      </c>
      <c r="D52" s="3" t="s">
        <v>1074</v>
      </c>
      <c r="E52" s="14">
        <v>45758</v>
      </c>
      <c r="F52" s="5" t="s">
        <v>4433</v>
      </c>
      <c r="G52" s="5" t="s">
        <v>1079</v>
      </c>
      <c r="H52" s="6"/>
      <c r="I52" s="6" t="s">
        <v>14</v>
      </c>
      <c r="J52" s="6" t="s">
        <v>1148</v>
      </c>
      <c r="K52" s="6">
        <v>3443</v>
      </c>
      <c r="L52" s="7" t="s">
        <v>7660</v>
      </c>
      <c r="M52" s="8">
        <v>23822</v>
      </c>
      <c r="N52" s="8" t="str">
        <f t="shared" si="10"/>
        <v>PEN</v>
      </c>
      <c r="O52" s="13"/>
      <c r="P52" s="13">
        <v>58</v>
      </c>
      <c r="Q52" s="3">
        <f t="shared" si="6"/>
        <v>0</v>
      </c>
      <c r="R52" s="3">
        <f t="shared" si="7"/>
        <v>58</v>
      </c>
      <c r="S52" s="3">
        <f t="shared" si="8"/>
        <v>22.670000000000073</v>
      </c>
      <c r="T52" s="24"/>
      <c r="U52" s="24"/>
      <c r="V52" s="3"/>
      <c r="W52" s="25" t="s">
        <v>6541</v>
      </c>
      <c r="X52" s="25"/>
      <c r="Y52" s="25" t="str">
        <f>IFERROR(VLOOKUP(C_Ope_008[[#This Row],[NOTA 2]],Clientes_Proveedores[[Ruc / Dni]:[Razon Social]],2,0),"")</f>
        <v/>
      </c>
      <c r="Z52" s="25"/>
      <c r="AA52" s="25"/>
      <c r="AB52" s="3" t="str">
        <f>IF(C_Ope_008[[#This Row],[FECHA]]&gt;0,TEXT(C_Ope_008[[#This Row],[FECHA]],"mmmm"),0)</f>
        <v>Abril</v>
      </c>
    </row>
    <row r="53" spans="2:28" x14ac:dyDescent="0.3">
      <c r="B53" s="2">
        <f>IF(C_Ope_008[[#This Row],[TIPO DE R.]]="R",COUNTIFS($D$4:$D52,"R")+1,"")</f>
        <v>49</v>
      </c>
      <c r="C53" s="19" t="str">
        <f t="shared" si="9"/>
        <v>C_Ope_008</v>
      </c>
      <c r="D53" s="3" t="s">
        <v>1074</v>
      </c>
      <c r="E53" s="14">
        <v>45761</v>
      </c>
      <c r="F53" s="5" t="s">
        <v>6299</v>
      </c>
      <c r="G53" s="5" t="s">
        <v>1087</v>
      </c>
      <c r="H53" s="6"/>
      <c r="I53" s="6"/>
      <c r="J53" s="6"/>
      <c r="K53" s="6"/>
      <c r="L53" s="7" t="s">
        <v>6327</v>
      </c>
      <c r="M53" s="8">
        <v>23889</v>
      </c>
      <c r="N53" s="8" t="str">
        <f t="shared" si="10"/>
        <v>PEN</v>
      </c>
      <c r="O53" s="13"/>
      <c r="P53" s="13">
        <v>220</v>
      </c>
      <c r="Q53" s="3">
        <f t="shared" si="6"/>
        <v>220</v>
      </c>
      <c r="R53" s="3">
        <f t="shared" si="7"/>
        <v>0</v>
      </c>
      <c r="S53" s="3">
        <f t="shared" si="8"/>
        <v>242.67000000000007</v>
      </c>
      <c r="T53" s="24"/>
      <c r="U53" s="24"/>
      <c r="V53" s="3"/>
      <c r="W53" s="25"/>
      <c r="X53" s="25"/>
      <c r="Y53" s="25" t="str">
        <f>IFERROR(VLOOKUP(C_Ope_008[[#This Row],[NOTA 2]],Clientes_Proveedores[[Ruc / Dni]:[Razon Social]],2,0),"")</f>
        <v/>
      </c>
      <c r="Z53" s="25"/>
      <c r="AA53" s="25"/>
      <c r="AB53" s="3" t="str">
        <f>IF(C_Ope_008[[#This Row],[FECHA]]&gt;0,TEXT(C_Ope_008[[#This Row],[FECHA]],"mmmm"),0)</f>
        <v>Abril</v>
      </c>
    </row>
    <row r="54" spans="2:28" x14ac:dyDescent="0.3">
      <c r="B54" s="2">
        <f>IF(C_Ope_008[[#This Row],[TIPO DE R.]]="R",COUNTIFS($D$4:$D53,"R")+1,"")</f>
        <v>50</v>
      </c>
      <c r="C54" s="19" t="str">
        <f t="shared" si="9"/>
        <v>C_Ope_008</v>
      </c>
      <c r="D54" s="3" t="s">
        <v>1074</v>
      </c>
      <c r="E54" s="14">
        <v>45761</v>
      </c>
      <c r="F54" s="5" t="s">
        <v>4433</v>
      </c>
      <c r="G54" s="5" t="s">
        <v>1079</v>
      </c>
      <c r="H54" s="6"/>
      <c r="I54" s="6" t="s">
        <v>14</v>
      </c>
      <c r="J54" s="6" t="s">
        <v>1148</v>
      </c>
      <c r="K54" s="6">
        <v>13039</v>
      </c>
      <c r="L54" s="7" t="s">
        <v>7661</v>
      </c>
      <c r="M54" s="8">
        <v>23838</v>
      </c>
      <c r="N54" s="8" t="str">
        <f t="shared" si="10"/>
        <v>PEN</v>
      </c>
      <c r="O54" s="13"/>
      <c r="P54" s="13">
        <v>40</v>
      </c>
      <c r="Q54" s="3">
        <f t="shared" si="6"/>
        <v>0</v>
      </c>
      <c r="R54" s="3">
        <f t="shared" si="7"/>
        <v>40</v>
      </c>
      <c r="S54" s="3">
        <f t="shared" si="8"/>
        <v>202.67000000000007</v>
      </c>
      <c r="T54" s="24"/>
      <c r="U54" s="24"/>
      <c r="V54" s="3"/>
      <c r="W54" s="25" t="s">
        <v>6747</v>
      </c>
      <c r="X54" s="25"/>
      <c r="Y54" s="25" t="str">
        <f>IFERROR(VLOOKUP(C_Ope_008[[#This Row],[NOTA 2]],Clientes_Proveedores[[Ruc / Dni]:[Razon Social]],2,0),"")</f>
        <v/>
      </c>
      <c r="Z54" s="25"/>
      <c r="AA54" s="25"/>
      <c r="AB54" s="3" t="str">
        <f>IF(C_Ope_008[[#This Row],[FECHA]]&gt;0,TEXT(C_Ope_008[[#This Row],[FECHA]],"mmmm"),0)</f>
        <v>Abril</v>
      </c>
    </row>
    <row r="55" spans="2:28" x14ac:dyDescent="0.3">
      <c r="B55" s="2">
        <f>IF(C_Ope_008[[#This Row],[TIPO DE R.]]="R",COUNTIFS($D$4:$D54,"R")+1,"")</f>
        <v>51</v>
      </c>
      <c r="C55" s="19" t="str">
        <f t="shared" si="9"/>
        <v>C_Ope_008</v>
      </c>
      <c r="D55" s="3" t="s">
        <v>1074</v>
      </c>
      <c r="E55" s="14">
        <v>45761</v>
      </c>
      <c r="F55" s="5" t="s">
        <v>4433</v>
      </c>
      <c r="G55" s="5" t="s">
        <v>1079</v>
      </c>
      <c r="H55" s="6"/>
      <c r="I55" s="6" t="s">
        <v>14</v>
      </c>
      <c r="J55" s="6" t="s">
        <v>1148</v>
      </c>
      <c r="K55" s="6">
        <v>13041</v>
      </c>
      <c r="L55" s="7" t="s">
        <v>7662</v>
      </c>
      <c r="M55" s="8">
        <v>23842</v>
      </c>
      <c r="N55" s="8" t="str">
        <f t="shared" si="10"/>
        <v>PEN</v>
      </c>
      <c r="O55" s="13"/>
      <c r="P55" s="13">
        <v>45</v>
      </c>
      <c r="Q55" s="3">
        <f t="shared" si="6"/>
        <v>0</v>
      </c>
      <c r="R55" s="3">
        <f t="shared" si="7"/>
        <v>45</v>
      </c>
      <c r="S55" s="3">
        <f t="shared" si="8"/>
        <v>157.67000000000007</v>
      </c>
      <c r="T55" s="24"/>
      <c r="U55" s="24"/>
      <c r="V55" s="3"/>
      <c r="W55" s="25" t="s">
        <v>6747</v>
      </c>
      <c r="X55" s="25"/>
      <c r="Y55" s="25" t="str">
        <f>IFERROR(VLOOKUP(C_Ope_008[[#This Row],[NOTA 2]],Clientes_Proveedores[[Ruc / Dni]:[Razon Social]],2,0),"")</f>
        <v/>
      </c>
      <c r="Z55" s="25"/>
      <c r="AA55" s="25"/>
      <c r="AB55" s="3" t="str">
        <f>IF(C_Ope_008[[#This Row],[FECHA]]&gt;0,TEXT(C_Ope_008[[#This Row],[FECHA]],"mmmm"),0)</f>
        <v>Abril</v>
      </c>
    </row>
    <row r="56" spans="2:28" ht="24" x14ac:dyDescent="0.3">
      <c r="B56" s="2">
        <f>IF(C_Ope_008[[#This Row],[TIPO DE R.]]="R",COUNTIFS($D$4:$D55,"R")+1,"")</f>
        <v>52</v>
      </c>
      <c r="C56" s="19" t="str">
        <f t="shared" si="9"/>
        <v>C_Ope_008</v>
      </c>
      <c r="D56" s="3" t="s">
        <v>1074</v>
      </c>
      <c r="E56" s="14">
        <v>45761</v>
      </c>
      <c r="F56" s="5" t="s">
        <v>4433</v>
      </c>
      <c r="G56" s="5" t="s">
        <v>1079</v>
      </c>
      <c r="H56" s="6"/>
      <c r="I56" s="6" t="s">
        <v>14</v>
      </c>
      <c r="J56" s="6" t="s">
        <v>1121</v>
      </c>
      <c r="K56" s="6">
        <v>21970</v>
      </c>
      <c r="L56" s="7" t="s">
        <v>7663</v>
      </c>
      <c r="M56" s="8">
        <v>23848</v>
      </c>
      <c r="N56" s="8" t="str">
        <f t="shared" si="10"/>
        <v>PEN</v>
      </c>
      <c r="O56" s="13"/>
      <c r="P56" s="13">
        <v>30</v>
      </c>
      <c r="Q56" s="3">
        <f t="shared" si="6"/>
        <v>0</v>
      </c>
      <c r="R56" s="3">
        <f t="shared" si="7"/>
        <v>30</v>
      </c>
      <c r="S56" s="3">
        <f t="shared" si="8"/>
        <v>127.67000000000007</v>
      </c>
      <c r="T56" s="24"/>
      <c r="U56" s="24"/>
      <c r="V56" s="3"/>
      <c r="W56" s="25" t="s">
        <v>6747</v>
      </c>
      <c r="X56" s="25"/>
      <c r="Y56" s="25" t="str">
        <f>IFERROR(VLOOKUP(C_Ope_008[[#This Row],[NOTA 2]],Clientes_Proveedores[[Ruc / Dni]:[Razon Social]],2,0),"")</f>
        <v/>
      </c>
      <c r="Z56" s="25"/>
      <c r="AA56" s="25"/>
      <c r="AB56" s="3" t="str">
        <f>IF(C_Ope_008[[#This Row],[FECHA]]&gt;0,TEXT(C_Ope_008[[#This Row],[FECHA]],"mmmm"),0)</f>
        <v>Abril</v>
      </c>
    </row>
    <row r="57" spans="2:28" ht="24" x14ac:dyDescent="0.3">
      <c r="B57" s="2">
        <f>IF(C_Ope_008[[#This Row],[TIPO DE R.]]="R",COUNTIFS($D$4:$D56,"R")+1,"")</f>
        <v>53</v>
      </c>
      <c r="C57" s="19" t="str">
        <f t="shared" si="9"/>
        <v>C_Ope_008</v>
      </c>
      <c r="D57" s="3" t="s">
        <v>1074</v>
      </c>
      <c r="E57" s="14">
        <v>45763</v>
      </c>
      <c r="F57" s="5" t="s">
        <v>4433</v>
      </c>
      <c r="G57" s="5" t="s">
        <v>1079</v>
      </c>
      <c r="H57" s="6"/>
      <c r="I57" s="6" t="s">
        <v>14</v>
      </c>
      <c r="J57" s="6" t="s">
        <v>1119</v>
      </c>
      <c r="K57" s="6">
        <v>5554</v>
      </c>
      <c r="L57" s="7" t="s">
        <v>7664</v>
      </c>
      <c r="M57" s="8">
        <v>23893</v>
      </c>
      <c r="N57" s="8" t="str">
        <f t="shared" si="10"/>
        <v>PEN</v>
      </c>
      <c r="O57" s="13"/>
      <c r="P57" s="13">
        <v>50</v>
      </c>
      <c r="Q57" s="3">
        <f t="shared" si="6"/>
        <v>0</v>
      </c>
      <c r="R57" s="3">
        <f t="shared" si="7"/>
        <v>50</v>
      </c>
      <c r="S57" s="3">
        <f t="shared" si="8"/>
        <v>77.670000000000073</v>
      </c>
      <c r="T57" s="24"/>
      <c r="U57" s="24"/>
      <c r="V57" s="3"/>
      <c r="W57" s="25" t="s">
        <v>6950</v>
      </c>
      <c r="X57" s="25"/>
      <c r="Y57" s="25" t="str">
        <f>IFERROR(VLOOKUP(C_Ope_008[[#This Row],[NOTA 2]],Clientes_Proveedores[[Ruc / Dni]:[Razon Social]],2,0),"")</f>
        <v/>
      </c>
      <c r="Z57" s="25"/>
      <c r="AA57" s="25"/>
      <c r="AB57" s="3" t="str">
        <f>IF(C_Ope_008[[#This Row],[FECHA]]&gt;0,TEXT(C_Ope_008[[#This Row],[FECHA]],"mmmm"),0)</f>
        <v>Abril</v>
      </c>
    </row>
    <row r="58" spans="2:28" x14ac:dyDescent="0.3">
      <c r="B58" s="2">
        <f>IF(C_Ope_008[[#This Row],[TIPO DE R.]]="R",COUNTIFS($D$4:$D57,"R")+1,"")</f>
        <v>54</v>
      </c>
      <c r="C58" s="19" t="str">
        <f t="shared" si="9"/>
        <v>C_Ope_008</v>
      </c>
      <c r="D58" s="3" t="s">
        <v>1074</v>
      </c>
      <c r="E58" s="14">
        <v>45769</v>
      </c>
      <c r="F58" s="5" t="s">
        <v>4433</v>
      </c>
      <c r="G58" s="5" t="s">
        <v>1079</v>
      </c>
      <c r="H58" s="6"/>
      <c r="I58" s="6" t="s">
        <v>14</v>
      </c>
      <c r="J58" s="6" t="s">
        <v>1119</v>
      </c>
      <c r="K58" s="6">
        <v>17389</v>
      </c>
      <c r="L58" s="7" t="s">
        <v>7647</v>
      </c>
      <c r="M58" s="8">
        <v>24080</v>
      </c>
      <c r="N58" s="8" t="str">
        <f t="shared" si="10"/>
        <v>PEN</v>
      </c>
      <c r="O58" s="13"/>
      <c r="P58" s="13">
        <v>35</v>
      </c>
      <c r="Q58" s="3">
        <f t="shared" si="6"/>
        <v>0</v>
      </c>
      <c r="R58" s="3">
        <f t="shared" si="7"/>
        <v>35</v>
      </c>
      <c r="S58" s="3">
        <f t="shared" si="8"/>
        <v>42.670000000000073</v>
      </c>
      <c r="T58" s="24"/>
      <c r="U58" s="24"/>
      <c r="V58" s="3"/>
      <c r="W58" s="25" t="s">
        <v>6546</v>
      </c>
      <c r="X58" s="25"/>
      <c r="Y58" s="25" t="str">
        <f>IFERROR(VLOOKUP(C_Ope_008[[#This Row],[NOTA 2]],Clientes_Proveedores[[Ruc / Dni]:[Razon Social]],2,0),"")</f>
        <v/>
      </c>
      <c r="Z58" s="25"/>
      <c r="AA58" s="25"/>
      <c r="AB58" s="3" t="str">
        <f>IF(C_Ope_008[[#This Row],[FECHA]]&gt;0,TEXT(C_Ope_008[[#This Row],[FECHA]],"mmmm"),0)</f>
        <v>Abril</v>
      </c>
    </row>
    <row r="59" spans="2:28" x14ac:dyDescent="0.3">
      <c r="B59" s="2">
        <f>IF(C_Ope_008[[#This Row],[TIPO DE R.]]="R",COUNTIFS($D$4:$D58,"R")+1,"")</f>
        <v>55</v>
      </c>
      <c r="C59" s="19" t="str">
        <f t="shared" si="9"/>
        <v>C_Ope_008</v>
      </c>
      <c r="D59" s="3" t="s">
        <v>1074</v>
      </c>
      <c r="E59" s="14">
        <v>45777</v>
      </c>
      <c r="F59" s="5" t="s">
        <v>6299</v>
      </c>
      <c r="G59" s="5" t="s">
        <v>1087</v>
      </c>
      <c r="H59" s="6"/>
      <c r="I59" s="6"/>
      <c r="J59" s="6"/>
      <c r="K59" s="6"/>
      <c r="L59" s="7" t="s">
        <v>6327</v>
      </c>
      <c r="M59" s="8">
        <v>24079</v>
      </c>
      <c r="N59" s="8" t="str">
        <f t="shared" si="10"/>
        <v>PEN</v>
      </c>
      <c r="O59" s="13"/>
      <c r="P59" s="13">
        <v>110</v>
      </c>
      <c r="Q59" s="3">
        <f t="shared" si="6"/>
        <v>110</v>
      </c>
      <c r="R59" s="3">
        <f t="shared" si="7"/>
        <v>0</v>
      </c>
      <c r="S59" s="3">
        <f t="shared" si="8"/>
        <v>152.67000000000007</v>
      </c>
      <c r="T59" s="24"/>
      <c r="U59" s="24"/>
      <c r="V59" s="3"/>
      <c r="W59" s="25"/>
      <c r="X59" s="25"/>
      <c r="Y59" s="25" t="str">
        <f>IFERROR(VLOOKUP(C_Ope_008[[#This Row],[NOTA 2]],Clientes_Proveedores[[Ruc / Dni]:[Razon Social]],2,0),"")</f>
        <v/>
      </c>
      <c r="Z59" s="25"/>
      <c r="AA59" s="25"/>
      <c r="AB59" s="3" t="str">
        <f>IF(C_Ope_008[[#This Row],[FECHA]]&gt;0,TEXT(C_Ope_008[[#This Row],[FECHA]],"mmmm"),0)</f>
        <v>Abril</v>
      </c>
    </row>
    <row r="60" spans="2:28" x14ac:dyDescent="0.3">
      <c r="B60" s="2">
        <f>IF(C_Ope_008[[#This Row],[TIPO DE R.]]="R",COUNTIFS($D$4:$D59,"R")+1,"")</f>
        <v>56</v>
      </c>
      <c r="C60" s="19" t="str">
        <f t="shared" si="9"/>
        <v>C_Ope_008</v>
      </c>
      <c r="D60" s="3" t="s">
        <v>1074</v>
      </c>
      <c r="E60" s="14">
        <v>45777</v>
      </c>
      <c r="F60" s="5" t="s">
        <v>6299</v>
      </c>
      <c r="G60" s="5" t="s">
        <v>1087</v>
      </c>
      <c r="H60" s="6"/>
      <c r="I60" s="6"/>
      <c r="J60" s="6"/>
      <c r="K60" s="6"/>
      <c r="L60" s="7" t="s">
        <v>6327</v>
      </c>
      <c r="M60" s="8">
        <v>24103</v>
      </c>
      <c r="N60" s="8" t="str">
        <f t="shared" si="10"/>
        <v>PEN</v>
      </c>
      <c r="O60" s="13"/>
      <c r="P60" s="13">
        <v>300</v>
      </c>
      <c r="Q60" s="3">
        <f t="shared" si="6"/>
        <v>300</v>
      </c>
      <c r="R60" s="3">
        <f t="shared" si="7"/>
        <v>0</v>
      </c>
      <c r="S60" s="3">
        <f t="shared" si="8"/>
        <v>452.67000000000007</v>
      </c>
      <c r="T60" s="24"/>
      <c r="U60" s="24"/>
      <c r="V60" s="3"/>
      <c r="W60" s="25"/>
      <c r="X60" s="25"/>
      <c r="Y60" s="25" t="str">
        <f>IFERROR(VLOOKUP(C_Ope_008[[#This Row],[NOTA 2]],Clientes_Proveedores[[Ruc / Dni]:[Razon Social]],2,0),"")</f>
        <v/>
      </c>
      <c r="Z60" s="25"/>
      <c r="AA60" s="25"/>
      <c r="AB60" s="3" t="str">
        <f>IF(C_Ope_008[[#This Row],[FECHA]]&gt;0,TEXT(C_Ope_008[[#This Row],[FECHA]],"mmmm"),0)</f>
        <v>Abril</v>
      </c>
    </row>
    <row r="61" spans="2:28" x14ac:dyDescent="0.3">
      <c r="B61" s="2">
        <f>IF(C_Ope_008[[#This Row],[TIPO DE R.]]="R",COUNTIFS($D$4:$D60,"R")+1,"")</f>
        <v>57</v>
      </c>
      <c r="C61" s="19" t="str">
        <f t="shared" si="9"/>
        <v>C_Ope_008</v>
      </c>
      <c r="D61" s="3" t="s">
        <v>1074</v>
      </c>
      <c r="E61" s="14">
        <v>45779</v>
      </c>
      <c r="F61" s="5" t="s">
        <v>4433</v>
      </c>
      <c r="G61" s="5" t="s">
        <v>1079</v>
      </c>
      <c r="H61" s="6"/>
      <c r="I61" s="6" t="s">
        <v>14</v>
      </c>
      <c r="J61" s="6" t="s">
        <v>1119</v>
      </c>
      <c r="K61" s="6">
        <v>4356</v>
      </c>
      <c r="L61" s="7" t="s">
        <v>7665</v>
      </c>
      <c r="M61" s="8">
        <v>24081</v>
      </c>
      <c r="N61" s="8" t="str">
        <f t="shared" si="10"/>
        <v>PEN</v>
      </c>
      <c r="O61" s="13"/>
      <c r="P61" s="13">
        <v>17</v>
      </c>
      <c r="Q61" s="3">
        <f t="shared" si="6"/>
        <v>0</v>
      </c>
      <c r="R61" s="3">
        <f t="shared" si="7"/>
        <v>17</v>
      </c>
      <c r="S61" s="3">
        <f t="shared" si="8"/>
        <v>435.67000000000007</v>
      </c>
      <c r="T61" s="24"/>
      <c r="U61" s="24"/>
      <c r="V61" s="3"/>
      <c r="W61" s="25" t="s">
        <v>6539</v>
      </c>
      <c r="X61" s="25"/>
      <c r="Y61" s="25" t="str">
        <f>IFERROR(VLOOKUP(C_Ope_008[[#This Row],[NOTA 2]],Clientes_Proveedores[[Ruc / Dni]:[Razon Social]],2,0),"")</f>
        <v/>
      </c>
      <c r="Z61" s="25"/>
      <c r="AA61" s="25"/>
      <c r="AB61" s="3" t="str">
        <f>IF(C_Ope_008[[#This Row],[FECHA]]&gt;0,TEXT(C_Ope_008[[#This Row],[FECHA]],"mmmm"),0)</f>
        <v>Mayo</v>
      </c>
    </row>
    <row r="62" spans="2:28" ht="24" x14ac:dyDescent="0.3">
      <c r="B62" s="2">
        <f>IF(C_Ope_008[[#This Row],[TIPO DE R.]]="R",COUNTIFS($D$4:$D61,"R")+1,"")</f>
        <v>58</v>
      </c>
      <c r="C62" s="19" t="str">
        <f t="shared" si="9"/>
        <v>C_Ope_008</v>
      </c>
      <c r="D62" s="3" t="s">
        <v>1074</v>
      </c>
      <c r="E62" s="14">
        <v>45783</v>
      </c>
      <c r="F62" s="5" t="s">
        <v>4433</v>
      </c>
      <c r="G62" s="5" t="s">
        <v>1079</v>
      </c>
      <c r="H62" s="6"/>
      <c r="I62" s="6" t="s">
        <v>14</v>
      </c>
      <c r="J62" s="6" t="s">
        <v>1148</v>
      </c>
      <c r="K62" s="6">
        <v>13203</v>
      </c>
      <c r="L62" s="7" t="s">
        <v>7666</v>
      </c>
      <c r="M62" s="8">
        <v>24171</v>
      </c>
      <c r="N62" s="8" t="str">
        <f t="shared" si="10"/>
        <v>PEN</v>
      </c>
      <c r="O62" s="13"/>
      <c r="P62" s="13">
        <v>15</v>
      </c>
      <c r="Q62" s="3">
        <f t="shared" si="6"/>
        <v>0</v>
      </c>
      <c r="R62" s="3">
        <f t="shared" si="7"/>
        <v>15</v>
      </c>
      <c r="S62" s="3">
        <f t="shared" si="8"/>
        <v>420.67000000000007</v>
      </c>
      <c r="T62" s="24"/>
      <c r="U62" s="24"/>
      <c r="V62" s="3"/>
      <c r="W62" s="25" t="s">
        <v>6747</v>
      </c>
      <c r="X62" s="25"/>
      <c r="Y62" s="25" t="str">
        <f>IFERROR(VLOOKUP(C_Ope_008[[#This Row],[NOTA 2]],Clientes_Proveedores[[Ruc / Dni]:[Razon Social]],2,0),"")</f>
        <v/>
      </c>
      <c r="Z62" s="25"/>
      <c r="AA62" s="25"/>
      <c r="AB62" s="3" t="str">
        <f>IF(C_Ope_008[[#This Row],[FECHA]]&gt;0,TEXT(C_Ope_008[[#This Row],[FECHA]],"mmmm"),0)</f>
        <v>Mayo</v>
      </c>
    </row>
    <row r="63" spans="2:28" x14ac:dyDescent="0.3">
      <c r="B63" s="2">
        <f>IF(C_Ope_008[[#This Row],[TIPO DE R.]]="R",COUNTIFS($D$4:$D62,"R")+1,"")</f>
        <v>59</v>
      </c>
      <c r="C63" s="19" t="str">
        <f t="shared" si="9"/>
        <v>C_Ope_008</v>
      </c>
      <c r="D63" s="3" t="s">
        <v>1074</v>
      </c>
      <c r="E63" s="14">
        <v>45785</v>
      </c>
      <c r="F63" s="5" t="s">
        <v>4433</v>
      </c>
      <c r="G63" s="5" t="s">
        <v>1079</v>
      </c>
      <c r="H63" s="6"/>
      <c r="I63" s="6" t="s">
        <v>14</v>
      </c>
      <c r="J63" s="6" t="s">
        <v>7667</v>
      </c>
      <c r="K63" s="6">
        <v>6850</v>
      </c>
      <c r="L63" s="7" t="s">
        <v>7668</v>
      </c>
      <c r="M63" s="8">
        <v>24140</v>
      </c>
      <c r="N63" s="8" t="str">
        <f t="shared" si="10"/>
        <v>PEN</v>
      </c>
      <c r="O63" s="13"/>
      <c r="P63" s="13">
        <v>14</v>
      </c>
      <c r="Q63" s="3">
        <f t="shared" si="6"/>
        <v>0</v>
      </c>
      <c r="R63" s="3">
        <f t="shared" si="7"/>
        <v>14</v>
      </c>
      <c r="S63" s="3">
        <f t="shared" si="8"/>
        <v>406.67000000000007</v>
      </c>
      <c r="T63" s="24"/>
      <c r="U63" s="24"/>
      <c r="V63" s="3"/>
      <c r="W63" s="25" t="s">
        <v>6541</v>
      </c>
      <c r="X63" s="25"/>
      <c r="Y63" s="25" t="str">
        <f>IFERROR(VLOOKUP(C_Ope_008[[#This Row],[NOTA 2]],Clientes_Proveedores[[Ruc / Dni]:[Razon Social]],2,0),"")</f>
        <v/>
      </c>
      <c r="Z63" s="25"/>
      <c r="AA63" s="25"/>
      <c r="AB63" s="3" t="str">
        <f>IF(C_Ope_008[[#This Row],[FECHA]]&gt;0,TEXT(C_Ope_008[[#This Row],[FECHA]],"mmmm"),0)</f>
        <v>Mayo</v>
      </c>
    </row>
    <row r="64" spans="2:28" x14ac:dyDescent="0.3">
      <c r="B64" s="2">
        <f>IF(C_Ope_008[[#This Row],[TIPO DE R.]]="R",COUNTIFS($D$4:$D63,"R")+1,"")</f>
        <v>60</v>
      </c>
      <c r="C64" s="19" t="str">
        <f t="shared" si="9"/>
        <v>C_Ope_008</v>
      </c>
      <c r="D64" s="3" t="s">
        <v>1074</v>
      </c>
      <c r="E64" s="14">
        <v>45786</v>
      </c>
      <c r="F64" s="5" t="s">
        <v>4433</v>
      </c>
      <c r="G64" s="5" t="s">
        <v>1079</v>
      </c>
      <c r="H64" s="6"/>
      <c r="I64" s="6" t="s">
        <v>21</v>
      </c>
      <c r="J64" s="6">
        <v>1</v>
      </c>
      <c r="K64" s="6">
        <v>1965</v>
      </c>
      <c r="L64" s="7" t="s">
        <v>7627</v>
      </c>
      <c r="M64" s="8">
        <v>24151</v>
      </c>
      <c r="N64" s="8" t="str">
        <f t="shared" si="10"/>
        <v>PEN</v>
      </c>
      <c r="O64" s="13"/>
      <c r="P64" s="13">
        <v>25</v>
      </c>
      <c r="Q64" s="3">
        <f t="shared" si="6"/>
        <v>0</v>
      </c>
      <c r="R64" s="3">
        <f t="shared" si="7"/>
        <v>25</v>
      </c>
      <c r="S64" s="3">
        <f t="shared" si="8"/>
        <v>381.67000000000007</v>
      </c>
      <c r="T64" s="24"/>
      <c r="U64" s="24"/>
      <c r="V64" s="3"/>
      <c r="W64" s="25" t="s">
        <v>6950</v>
      </c>
      <c r="X64" s="25"/>
      <c r="Y64" s="25" t="str">
        <f>IFERROR(VLOOKUP(C_Ope_008[[#This Row],[NOTA 2]],Clientes_Proveedores[[Ruc / Dni]:[Razon Social]],2,0),"")</f>
        <v/>
      </c>
      <c r="Z64" s="25"/>
      <c r="AA64" s="25"/>
      <c r="AB64" s="3" t="str">
        <f>IF(C_Ope_008[[#This Row],[FECHA]]&gt;0,TEXT(C_Ope_008[[#This Row],[FECHA]],"mmmm"),0)</f>
        <v>Mayo</v>
      </c>
    </row>
    <row r="65" spans="2:28" x14ac:dyDescent="0.3">
      <c r="B65" s="2">
        <f>IF(C_Ope_008[[#This Row],[TIPO DE R.]]="R",COUNTIFS($D$4:$D64,"R")+1,"")</f>
        <v>61</v>
      </c>
      <c r="C65" s="19" t="str">
        <f t="shared" si="9"/>
        <v>C_Ope_008</v>
      </c>
      <c r="D65" s="3" t="s">
        <v>1074</v>
      </c>
      <c r="E65" s="14">
        <v>45786</v>
      </c>
      <c r="F65" s="5" t="s">
        <v>4433</v>
      </c>
      <c r="G65" s="5" t="s">
        <v>1079</v>
      </c>
      <c r="H65" s="6"/>
      <c r="I65" s="6" t="s">
        <v>14</v>
      </c>
      <c r="J65" s="6" t="s">
        <v>1626</v>
      </c>
      <c r="K65" s="6">
        <v>36312</v>
      </c>
      <c r="L65" s="7" t="s">
        <v>7669</v>
      </c>
      <c r="M65" s="8">
        <v>24152</v>
      </c>
      <c r="N65" s="8" t="str">
        <f t="shared" si="10"/>
        <v>PEN</v>
      </c>
      <c r="O65" s="13"/>
      <c r="P65" s="13">
        <v>15</v>
      </c>
      <c r="Q65" s="3">
        <f t="shared" si="6"/>
        <v>0</v>
      </c>
      <c r="R65" s="3">
        <f t="shared" si="7"/>
        <v>15</v>
      </c>
      <c r="S65" s="3">
        <f t="shared" si="8"/>
        <v>366.67000000000007</v>
      </c>
      <c r="T65" s="24"/>
      <c r="U65" s="24"/>
      <c r="V65" s="3"/>
      <c r="W65" s="25" t="s">
        <v>6546</v>
      </c>
      <c r="X65" s="25"/>
      <c r="Y65" s="25" t="str">
        <f>IFERROR(VLOOKUP(C_Ope_008[[#This Row],[NOTA 2]],Clientes_Proveedores[[Ruc / Dni]:[Razon Social]],2,0),"")</f>
        <v/>
      </c>
      <c r="Z65" s="25"/>
      <c r="AA65" s="25"/>
      <c r="AB65" s="3" t="str">
        <f>IF(C_Ope_008[[#This Row],[FECHA]]&gt;0,TEXT(C_Ope_008[[#This Row],[FECHA]],"mmmm"),0)</f>
        <v>Mayo</v>
      </c>
    </row>
    <row r="66" spans="2:28" x14ac:dyDescent="0.3">
      <c r="B66" s="2">
        <f>IF(C_Ope_008[[#This Row],[TIPO DE R.]]="R",COUNTIFS($D$4:$D65,"R")+1,"")</f>
        <v>62</v>
      </c>
      <c r="C66" s="19" t="str">
        <f t="shared" si="9"/>
        <v>C_Ope_008</v>
      </c>
      <c r="D66" s="3" t="s">
        <v>1074</v>
      </c>
      <c r="E66" s="14">
        <v>45786</v>
      </c>
      <c r="F66" s="5" t="s">
        <v>4433</v>
      </c>
      <c r="G66" s="5" t="s">
        <v>1079</v>
      </c>
      <c r="H66" s="6"/>
      <c r="I66" s="6" t="s">
        <v>21</v>
      </c>
      <c r="J66" s="6">
        <v>1</v>
      </c>
      <c r="K66" s="6">
        <v>11493</v>
      </c>
      <c r="L66" s="7" t="s">
        <v>7627</v>
      </c>
      <c r="M66" s="8">
        <v>24156</v>
      </c>
      <c r="N66" s="8" t="str">
        <f t="shared" si="10"/>
        <v>PEN</v>
      </c>
      <c r="O66" s="13"/>
      <c r="P66" s="13">
        <v>20</v>
      </c>
      <c r="Q66" s="3">
        <f t="shared" si="6"/>
        <v>0</v>
      </c>
      <c r="R66" s="3">
        <f t="shared" si="7"/>
        <v>20</v>
      </c>
      <c r="S66" s="3">
        <f t="shared" si="8"/>
        <v>346.67000000000007</v>
      </c>
      <c r="T66" s="24"/>
      <c r="U66" s="24"/>
      <c r="V66" s="3"/>
      <c r="W66" s="25" t="s">
        <v>6950</v>
      </c>
      <c r="X66" s="25"/>
      <c r="Y66" s="25" t="str">
        <f>IFERROR(VLOOKUP(C_Ope_008[[#This Row],[NOTA 2]],Clientes_Proveedores[[Ruc / Dni]:[Razon Social]],2,0),"")</f>
        <v/>
      </c>
      <c r="Z66" s="25"/>
      <c r="AA66" s="25"/>
      <c r="AB66" s="3" t="str">
        <f>IF(C_Ope_008[[#This Row],[FECHA]]&gt;0,TEXT(C_Ope_008[[#This Row],[FECHA]],"mmmm"),0)</f>
        <v>Mayo</v>
      </c>
    </row>
    <row r="67" spans="2:28" x14ac:dyDescent="0.3">
      <c r="B67" s="2">
        <f>IF(C_Ope_008[[#This Row],[TIPO DE R.]]="R",COUNTIFS($D$4:$D66,"R")+1,"")</f>
        <v>63</v>
      </c>
      <c r="C67" s="19" t="str">
        <f t="shared" si="9"/>
        <v>C_Ope_008</v>
      </c>
      <c r="D67" s="3" t="s">
        <v>1074</v>
      </c>
      <c r="E67" s="14">
        <v>45791</v>
      </c>
      <c r="F67" s="5" t="s">
        <v>6299</v>
      </c>
      <c r="G67" s="5" t="s">
        <v>1087</v>
      </c>
      <c r="H67" s="6"/>
      <c r="I67" s="6"/>
      <c r="J67" s="6"/>
      <c r="K67" s="6"/>
      <c r="L67" s="7" t="s">
        <v>6327</v>
      </c>
      <c r="M67" s="8">
        <v>24214</v>
      </c>
      <c r="N67" s="8" t="str">
        <f t="shared" si="10"/>
        <v>PEN</v>
      </c>
      <c r="O67" s="13"/>
      <c r="P67" s="13">
        <v>300</v>
      </c>
      <c r="Q67" s="3">
        <f t="shared" si="6"/>
        <v>300</v>
      </c>
      <c r="R67" s="3">
        <f t="shared" si="7"/>
        <v>0</v>
      </c>
      <c r="S67" s="3">
        <f t="shared" si="8"/>
        <v>646.67000000000007</v>
      </c>
      <c r="T67" s="24"/>
      <c r="U67" s="24"/>
      <c r="V67" s="3"/>
      <c r="W67" s="25"/>
      <c r="X67" s="25"/>
      <c r="Y67" s="25" t="str">
        <f>IFERROR(VLOOKUP(C_Ope_008[[#This Row],[NOTA 2]],Clientes_Proveedores[[Ruc / Dni]:[Razon Social]],2,0),"")</f>
        <v/>
      </c>
      <c r="Z67" s="25"/>
      <c r="AA67" s="25"/>
      <c r="AB67" s="3" t="str">
        <f>IF(C_Ope_008[[#This Row],[FECHA]]&gt;0,TEXT(C_Ope_008[[#This Row],[FECHA]],"mmmm"),0)</f>
        <v>Mayo</v>
      </c>
    </row>
    <row r="68" spans="2:28" x14ac:dyDescent="0.3">
      <c r="B68" s="2">
        <f>IF(C_Ope_008[[#This Row],[TIPO DE R.]]="R",COUNTIFS($D$4:$D67,"R")+1,"")</f>
        <v>64</v>
      </c>
      <c r="C68" s="19" t="str">
        <f t="shared" si="9"/>
        <v>C_Ope_008</v>
      </c>
      <c r="D68" s="3" t="s">
        <v>1074</v>
      </c>
      <c r="E68" s="14">
        <v>45789</v>
      </c>
      <c r="F68" s="5" t="s">
        <v>4433</v>
      </c>
      <c r="G68" s="5" t="s">
        <v>1079</v>
      </c>
      <c r="H68" s="6"/>
      <c r="I68" s="6" t="s">
        <v>14</v>
      </c>
      <c r="J68" s="6" t="s">
        <v>2789</v>
      </c>
      <c r="K68" s="6">
        <v>40996</v>
      </c>
      <c r="L68" s="7" t="s">
        <v>7647</v>
      </c>
      <c r="M68" s="8">
        <v>24185</v>
      </c>
      <c r="N68" s="8" t="str">
        <f t="shared" si="10"/>
        <v>PEN</v>
      </c>
      <c r="O68" s="13"/>
      <c r="P68" s="13">
        <v>55</v>
      </c>
      <c r="Q68" s="3">
        <f t="shared" si="6"/>
        <v>0</v>
      </c>
      <c r="R68" s="3">
        <f t="shared" si="7"/>
        <v>55</v>
      </c>
      <c r="S68" s="3">
        <f t="shared" si="8"/>
        <v>591.67000000000007</v>
      </c>
      <c r="T68" s="24"/>
      <c r="U68" s="24"/>
      <c r="V68" s="3"/>
      <c r="W68" s="25" t="s">
        <v>6950</v>
      </c>
      <c r="X68" s="25"/>
      <c r="Y68" s="25" t="str">
        <f>IFERROR(VLOOKUP(C_Ope_008[[#This Row],[NOTA 2]],Clientes_Proveedores[[Ruc / Dni]:[Razon Social]],2,0),"")</f>
        <v/>
      </c>
      <c r="Z68" s="25"/>
      <c r="AA68" s="25"/>
      <c r="AB68" s="3" t="str">
        <f>IF(C_Ope_008[[#This Row],[FECHA]]&gt;0,TEXT(C_Ope_008[[#This Row],[FECHA]],"mmmm"),0)</f>
        <v>Mayo</v>
      </c>
    </row>
    <row r="69" spans="2:28" ht="24" x14ac:dyDescent="0.3">
      <c r="B69" s="2">
        <f>IF(C_Ope_008[[#This Row],[TIPO DE R.]]="R",COUNTIFS($D$4:$D68,"R")+1,"")</f>
        <v>65</v>
      </c>
      <c r="C69" s="19" t="str">
        <f t="shared" si="9"/>
        <v>C_Ope_008</v>
      </c>
      <c r="D69" s="3" t="s">
        <v>1074</v>
      </c>
      <c r="E69" s="14">
        <v>45790</v>
      </c>
      <c r="F69" s="5" t="s">
        <v>4433</v>
      </c>
      <c r="G69" s="5" t="s">
        <v>1079</v>
      </c>
      <c r="H69" s="6"/>
      <c r="I69" s="6" t="s">
        <v>14</v>
      </c>
      <c r="J69" s="6" t="s">
        <v>1121</v>
      </c>
      <c r="K69" s="6">
        <v>235</v>
      </c>
      <c r="L69" s="7" t="s">
        <v>7670</v>
      </c>
      <c r="M69" s="8">
        <v>24194</v>
      </c>
      <c r="N69" s="8" t="str">
        <f t="shared" si="10"/>
        <v>PEN</v>
      </c>
      <c r="O69" s="13"/>
      <c r="P69" s="13">
        <v>70</v>
      </c>
      <c r="Q69" s="3">
        <f t="shared" ref="Q69:Q101" si="11">+IF(OR($G69="SALDO",$G69="INGRESO"),$P69,0)</f>
        <v>0</v>
      </c>
      <c r="R69" s="3">
        <f t="shared" ref="R69:R101" si="12">+IF($G69="EGRESO",$P69,0)</f>
        <v>70</v>
      </c>
      <c r="S69" s="3">
        <f t="shared" ref="S69:S100" si="13">IFERROR(IF(G69="SALDO",Q69,S68+Q69-R69),0)</f>
        <v>521.67000000000007</v>
      </c>
      <c r="T69" s="24"/>
      <c r="U69" s="24"/>
      <c r="V69" s="3"/>
      <c r="W69" s="25" t="s">
        <v>6546</v>
      </c>
      <c r="X69" s="25"/>
      <c r="Y69" s="25" t="str">
        <f>IFERROR(VLOOKUP(C_Ope_008[[#This Row],[NOTA 2]],Clientes_Proveedores[[Ruc / Dni]:[Razon Social]],2,0),"")</f>
        <v/>
      </c>
      <c r="Z69" s="25"/>
      <c r="AA69" s="25"/>
      <c r="AB69" s="3" t="str">
        <f>IF(C_Ope_008[[#This Row],[FECHA]]&gt;0,TEXT(C_Ope_008[[#This Row],[FECHA]],"mmmm"),0)</f>
        <v>Mayo</v>
      </c>
    </row>
    <row r="70" spans="2:28" ht="24" x14ac:dyDescent="0.3">
      <c r="B70" s="2">
        <f>IF(C_Ope_008[[#This Row],[TIPO DE R.]]="R",COUNTIFS($D$4:$D69,"R")+1,"")</f>
        <v>66</v>
      </c>
      <c r="C70" s="19" t="str">
        <f t="shared" ref="C70:C89" si="14">"C_Ope_008"</f>
        <v>C_Ope_008</v>
      </c>
      <c r="D70" s="3" t="s">
        <v>1074</v>
      </c>
      <c r="E70" s="14">
        <v>45797</v>
      </c>
      <c r="F70" s="5" t="s">
        <v>4433</v>
      </c>
      <c r="G70" s="5" t="s">
        <v>1079</v>
      </c>
      <c r="H70" s="6"/>
      <c r="I70" s="6" t="s">
        <v>14</v>
      </c>
      <c r="J70" s="6" t="s">
        <v>1121</v>
      </c>
      <c r="K70" s="6">
        <v>22329</v>
      </c>
      <c r="L70" s="7" t="s">
        <v>7671</v>
      </c>
      <c r="M70" s="8">
        <v>24228</v>
      </c>
      <c r="N70" s="8" t="str">
        <f t="shared" ref="N70:N89" si="15">"PEN"</f>
        <v>PEN</v>
      </c>
      <c r="O70" s="13"/>
      <c r="P70" s="13">
        <v>19.5</v>
      </c>
      <c r="Q70" s="3">
        <f t="shared" si="11"/>
        <v>0</v>
      </c>
      <c r="R70" s="3">
        <f t="shared" si="12"/>
        <v>19.5</v>
      </c>
      <c r="S70" s="3">
        <f t="shared" si="13"/>
        <v>502.17000000000007</v>
      </c>
      <c r="T70" s="24"/>
      <c r="U70" s="24"/>
      <c r="V70" s="3"/>
      <c r="W70" s="25" t="s">
        <v>6539</v>
      </c>
      <c r="X70" s="25"/>
      <c r="Y70" s="25" t="str">
        <f>IFERROR(VLOOKUP(C_Ope_008[[#This Row],[NOTA 2]],Clientes_Proveedores[[Ruc / Dni]:[Razon Social]],2,0),"")</f>
        <v/>
      </c>
      <c r="Z70" s="25"/>
      <c r="AA70" s="25"/>
      <c r="AB70" s="3" t="str">
        <f>IF(C_Ope_008[[#This Row],[FECHA]]&gt;0,TEXT(C_Ope_008[[#This Row],[FECHA]],"mmmm"),0)</f>
        <v>Mayo</v>
      </c>
    </row>
    <row r="71" spans="2:28" ht="24" x14ac:dyDescent="0.3">
      <c r="B71" s="2">
        <f>IF(C_Ope_008[[#This Row],[TIPO DE R.]]="R",COUNTIFS($D$4:$D70,"R")+1,"")</f>
        <v>67</v>
      </c>
      <c r="C71" s="19" t="str">
        <f t="shared" si="14"/>
        <v>C_Ope_008</v>
      </c>
      <c r="D71" s="3" t="s">
        <v>1074</v>
      </c>
      <c r="E71" s="14">
        <v>45797</v>
      </c>
      <c r="F71" s="5" t="s">
        <v>4433</v>
      </c>
      <c r="G71" s="5" t="s">
        <v>1079</v>
      </c>
      <c r="H71" s="6"/>
      <c r="I71" s="6" t="s">
        <v>14</v>
      </c>
      <c r="J71" s="6" t="s">
        <v>1148</v>
      </c>
      <c r="K71" s="6">
        <v>13308</v>
      </c>
      <c r="L71" s="7" t="s">
        <v>7672</v>
      </c>
      <c r="M71" s="8">
        <v>24236</v>
      </c>
      <c r="N71" s="8" t="str">
        <f t="shared" si="15"/>
        <v>PEN</v>
      </c>
      <c r="O71" s="13"/>
      <c r="P71" s="13">
        <v>50</v>
      </c>
      <c r="Q71" s="3">
        <f t="shared" si="11"/>
        <v>0</v>
      </c>
      <c r="R71" s="3">
        <f t="shared" si="12"/>
        <v>50</v>
      </c>
      <c r="S71" s="3">
        <f t="shared" si="13"/>
        <v>452.17000000000007</v>
      </c>
      <c r="T71" s="24"/>
      <c r="U71" s="24"/>
      <c r="V71" s="3"/>
      <c r="W71" s="25" t="s">
        <v>6546</v>
      </c>
      <c r="X71" s="25"/>
      <c r="Y71" s="25" t="str">
        <f>IFERROR(VLOOKUP(C_Ope_008[[#This Row],[NOTA 2]],Clientes_Proveedores[[Ruc / Dni]:[Razon Social]],2,0),"")</f>
        <v/>
      </c>
      <c r="Z71" s="25"/>
      <c r="AA71" s="25"/>
      <c r="AB71" s="3" t="str">
        <f>IF(C_Ope_008[[#This Row],[FECHA]]&gt;0,TEXT(C_Ope_008[[#This Row],[FECHA]],"mmmm"),0)</f>
        <v>Mayo</v>
      </c>
    </row>
    <row r="72" spans="2:28" x14ac:dyDescent="0.3">
      <c r="B72" s="2">
        <f>IF(C_Ope_008[[#This Row],[TIPO DE R.]]="R",COUNTIFS($D$4:$D71,"R")+1,"")</f>
        <v>68</v>
      </c>
      <c r="C72" s="19" t="str">
        <f t="shared" si="14"/>
        <v>C_Ope_008</v>
      </c>
      <c r="D72" s="3" t="s">
        <v>1074</v>
      </c>
      <c r="E72" s="14">
        <v>45797</v>
      </c>
      <c r="F72" s="5" t="s">
        <v>4433</v>
      </c>
      <c r="G72" s="5" t="s">
        <v>1079</v>
      </c>
      <c r="H72" s="6"/>
      <c r="I72" s="6" t="s">
        <v>14</v>
      </c>
      <c r="J72" s="6" t="s">
        <v>2789</v>
      </c>
      <c r="K72" s="6">
        <v>41156</v>
      </c>
      <c r="L72" s="7" t="s">
        <v>7673</v>
      </c>
      <c r="M72" s="8">
        <v>24237</v>
      </c>
      <c r="N72" s="8" t="str">
        <f t="shared" si="15"/>
        <v>PEN</v>
      </c>
      <c r="O72" s="13"/>
      <c r="P72" s="13">
        <v>75</v>
      </c>
      <c r="Q72" s="3">
        <f t="shared" si="11"/>
        <v>0</v>
      </c>
      <c r="R72" s="3">
        <f t="shared" si="12"/>
        <v>75</v>
      </c>
      <c r="S72" s="3">
        <f t="shared" si="13"/>
        <v>377.17000000000007</v>
      </c>
      <c r="T72" s="24"/>
      <c r="U72" s="24"/>
      <c r="V72" s="3"/>
      <c r="W72" s="25" t="s">
        <v>6950</v>
      </c>
      <c r="X72" s="25"/>
      <c r="Y72" s="25" t="str">
        <f>IFERROR(VLOOKUP(C_Ope_008[[#This Row],[NOTA 2]],Clientes_Proveedores[[Ruc / Dni]:[Razon Social]],2,0),"")</f>
        <v/>
      </c>
      <c r="Z72" s="25"/>
      <c r="AA72" s="25"/>
      <c r="AB72" s="3" t="str">
        <f>IF(C_Ope_008[[#This Row],[FECHA]]&gt;0,TEXT(C_Ope_008[[#This Row],[FECHA]],"mmmm"),0)</f>
        <v>Mayo</v>
      </c>
    </row>
    <row r="73" spans="2:28" x14ac:dyDescent="0.3">
      <c r="B73" s="2">
        <f>IF(C_Ope_008[[#This Row],[TIPO DE R.]]="R",COUNTIFS($D$4:$D72,"R")+1,"")</f>
        <v>69</v>
      </c>
      <c r="C73" s="19" t="str">
        <f t="shared" si="14"/>
        <v>C_Ope_008</v>
      </c>
      <c r="D73" s="3" t="s">
        <v>1074</v>
      </c>
      <c r="E73" s="14">
        <v>45798</v>
      </c>
      <c r="F73" s="5" t="s">
        <v>4433</v>
      </c>
      <c r="G73" s="5" t="s">
        <v>1079</v>
      </c>
      <c r="H73" s="6"/>
      <c r="I73" s="6" t="s">
        <v>14</v>
      </c>
      <c r="J73" s="6" t="s">
        <v>1121</v>
      </c>
      <c r="K73" s="6">
        <v>266</v>
      </c>
      <c r="L73" s="7" t="s">
        <v>7674</v>
      </c>
      <c r="M73" s="8">
        <v>24293</v>
      </c>
      <c r="N73" s="8" t="str">
        <f t="shared" si="15"/>
        <v>PEN</v>
      </c>
      <c r="O73" s="13"/>
      <c r="P73" s="13">
        <v>35</v>
      </c>
      <c r="Q73" s="3">
        <f t="shared" si="11"/>
        <v>0</v>
      </c>
      <c r="R73" s="3">
        <f t="shared" si="12"/>
        <v>35</v>
      </c>
      <c r="S73" s="3">
        <f t="shared" si="13"/>
        <v>342.17000000000007</v>
      </c>
      <c r="T73" s="24"/>
      <c r="U73" s="24"/>
      <c r="V73" s="3"/>
      <c r="W73" s="25" t="s">
        <v>6747</v>
      </c>
      <c r="X73" s="25"/>
      <c r="Y73" s="25" t="str">
        <f>IFERROR(VLOOKUP(C_Ope_008[[#This Row],[NOTA 2]],Clientes_Proveedores[[Ruc / Dni]:[Razon Social]],2,0),"")</f>
        <v/>
      </c>
      <c r="Z73" s="25"/>
      <c r="AA73" s="25"/>
      <c r="AB73" s="3" t="str">
        <f>IF(C_Ope_008[[#This Row],[FECHA]]&gt;0,TEXT(C_Ope_008[[#This Row],[FECHA]],"mmmm"),0)</f>
        <v>Mayo</v>
      </c>
    </row>
    <row r="74" spans="2:28" ht="24" x14ac:dyDescent="0.3">
      <c r="B74" s="2">
        <f>IF(C_Ope_008[[#This Row],[TIPO DE R.]]="R",COUNTIFS($D$4:$D73,"R")+1,"")</f>
        <v>70</v>
      </c>
      <c r="C74" s="19" t="str">
        <f t="shared" si="14"/>
        <v>C_Ope_008</v>
      </c>
      <c r="D74" s="3" t="s">
        <v>1074</v>
      </c>
      <c r="E74" s="14">
        <v>45799</v>
      </c>
      <c r="F74" s="5" t="s">
        <v>4433</v>
      </c>
      <c r="G74" s="5" t="s">
        <v>1079</v>
      </c>
      <c r="H74" s="6"/>
      <c r="I74" s="6" t="s">
        <v>14</v>
      </c>
      <c r="J74" s="6" t="s">
        <v>1148</v>
      </c>
      <c r="K74" s="6">
        <v>1927</v>
      </c>
      <c r="L74" s="7" t="s">
        <v>7675</v>
      </c>
      <c r="M74" s="8">
        <v>24292</v>
      </c>
      <c r="N74" s="8" t="str">
        <f t="shared" si="15"/>
        <v>PEN</v>
      </c>
      <c r="O74" s="13"/>
      <c r="P74" s="13">
        <v>19</v>
      </c>
      <c r="Q74" s="3">
        <f t="shared" si="11"/>
        <v>0</v>
      </c>
      <c r="R74" s="3">
        <f t="shared" si="12"/>
        <v>19</v>
      </c>
      <c r="S74" s="3">
        <f t="shared" si="13"/>
        <v>323.17000000000007</v>
      </c>
      <c r="T74" s="24"/>
      <c r="U74" s="24"/>
      <c r="V74" s="3"/>
      <c r="W74" s="25" t="s">
        <v>6541</v>
      </c>
      <c r="X74" s="25"/>
      <c r="Y74" s="25" t="str">
        <f>IFERROR(VLOOKUP(C_Ope_008[[#This Row],[NOTA 2]],Clientes_Proveedores[[Ruc / Dni]:[Razon Social]],2,0),"")</f>
        <v/>
      </c>
      <c r="Z74" s="25"/>
      <c r="AA74" s="25"/>
      <c r="AB74" s="3" t="str">
        <f>IF(C_Ope_008[[#This Row],[FECHA]]&gt;0,TEXT(C_Ope_008[[#This Row],[FECHA]],"mmmm"),0)</f>
        <v>Mayo</v>
      </c>
    </row>
    <row r="75" spans="2:28" ht="24" x14ac:dyDescent="0.3">
      <c r="B75" s="2">
        <f>IF(C_Ope_008[[#This Row],[TIPO DE R.]]="R",COUNTIFS($D$4:$D74,"R")+1,"")</f>
        <v>71</v>
      </c>
      <c r="C75" s="19" t="str">
        <f t="shared" si="14"/>
        <v>C_Ope_008</v>
      </c>
      <c r="D75" s="3" t="s">
        <v>1074</v>
      </c>
      <c r="E75" s="14">
        <v>45800</v>
      </c>
      <c r="F75" s="5" t="s">
        <v>4433</v>
      </c>
      <c r="G75" s="5" t="s">
        <v>1079</v>
      </c>
      <c r="H75" s="6"/>
      <c r="I75" s="6" t="s">
        <v>14</v>
      </c>
      <c r="J75" s="6" t="s">
        <v>1121</v>
      </c>
      <c r="K75" s="6">
        <v>708</v>
      </c>
      <c r="L75" s="7" t="s">
        <v>7676</v>
      </c>
      <c r="M75" s="8">
        <v>24291</v>
      </c>
      <c r="N75" s="8" t="str">
        <f t="shared" si="15"/>
        <v>PEN</v>
      </c>
      <c r="O75" s="13"/>
      <c r="P75" s="13">
        <v>20</v>
      </c>
      <c r="Q75" s="3">
        <f t="shared" si="11"/>
        <v>0</v>
      </c>
      <c r="R75" s="3">
        <f t="shared" si="12"/>
        <v>20</v>
      </c>
      <c r="S75" s="3">
        <f t="shared" si="13"/>
        <v>303.17000000000007</v>
      </c>
      <c r="T75" s="24"/>
      <c r="U75" s="24"/>
      <c r="V75" s="3"/>
      <c r="W75" s="25" t="s">
        <v>6541</v>
      </c>
      <c r="X75" s="25"/>
      <c r="Y75" s="25" t="str">
        <f>IFERROR(VLOOKUP(C_Ope_008[[#This Row],[NOTA 2]],Clientes_Proveedores[[Ruc / Dni]:[Razon Social]],2,0),"")</f>
        <v/>
      </c>
      <c r="Z75" s="25"/>
      <c r="AA75" s="25"/>
      <c r="AB75" s="3" t="str">
        <f>IF(C_Ope_008[[#This Row],[FECHA]]&gt;0,TEXT(C_Ope_008[[#This Row],[FECHA]],"mmmm"),0)</f>
        <v>Mayo</v>
      </c>
    </row>
    <row r="76" spans="2:28" ht="24" x14ac:dyDescent="0.3">
      <c r="B76" s="2">
        <f>IF(C_Ope_008[[#This Row],[TIPO DE R.]]="R",COUNTIFS($D$4:$D75,"R")+1,"")</f>
        <v>72</v>
      </c>
      <c r="C76" s="19" t="str">
        <f t="shared" si="14"/>
        <v>C_Ope_008</v>
      </c>
      <c r="D76" s="3" t="s">
        <v>1074</v>
      </c>
      <c r="E76" s="14">
        <v>45800</v>
      </c>
      <c r="F76" s="5" t="s">
        <v>4433</v>
      </c>
      <c r="G76" s="5" t="s">
        <v>1079</v>
      </c>
      <c r="H76" s="6"/>
      <c r="I76" s="6" t="s">
        <v>14</v>
      </c>
      <c r="J76" s="6" t="s">
        <v>1626</v>
      </c>
      <c r="K76" s="6">
        <v>37054</v>
      </c>
      <c r="L76" s="7" t="s">
        <v>7677</v>
      </c>
      <c r="M76" s="8">
        <v>24294</v>
      </c>
      <c r="N76" s="8" t="str">
        <f t="shared" si="15"/>
        <v>PEN</v>
      </c>
      <c r="O76" s="13"/>
      <c r="P76" s="13">
        <v>16</v>
      </c>
      <c r="Q76" s="3">
        <f t="shared" si="11"/>
        <v>0</v>
      </c>
      <c r="R76" s="3">
        <f t="shared" si="12"/>
        <v>16</v>
      </c>
      <c r="S76" s="3">
        <f t="shared" si="13"/>
        <v>287.17000000000007</v>
      </c>
      <c r="T76" s="24"/>
      <c r="U76" s="24"/>
      <c r="V76" s="3"/>
      <c r="W76" s="25" t="s">
        <v>6539</v>
      </c>
      <c r="X76" s="25"/>
      <c r="Y76" s="25" t="str">
        <f>IFERROR(VLOOKUP(C_Ope_008[[#This Row],[NOTA 2]],Clientes_Proveedores[[Ruc / Dni]:[Razon Social]],2,0),"")</f>
        <v/>
      </c>
      <c r="Z76" s="25"/>
      <c r="AA76" s="25"/>
      <c r="AB76" s="3" t="str">
        <f>IF(C_Ope_008[[#This Row],[FECHA]]&gt;0,TEXT(C_Ope_008[[#This Row],[FECHA]],"mmmm"),0)</f>
        <v>Mayo</v>
      </c>
    </row>
    <row r="77" spans="2:28" ht="24" x14ac:dyDescent="0.3">
      <c r="B77" s="2">
        <f>IF(C_Ope_008[[#This Row],[TIPO DE R.]]="R",COUNTIFS($D$4:$D76,"R")+1,"")</f>
        <v>73</v>
      </c>
      <c r="C77" s="19" t="str">
        <f t="shared" si="14"/>
        <v>C_Ope_008</v>
      </c>
      <c r="D77" s="3" t="s">
        <v>1074</v>
      </c>
      <c r="E77" s="14">
        <v>45803</v>
      </c>
      <c r="F77" s="5" t="s">
        <v>4433</v>
      </c>
      <c r="G77" s="5" t="s">
        <v>1079</v>
      </c>
      <c r="H77" s="6"/>
      <c r="I77" s="6" t="s">
        <v>14</v>
      </c>
      <c r="J77" s="6" t="s">
        <v>1119</v>
      </c>
      <c r="K77" s="6">
        <v>5132</v>
      </c>
      <c r="L77" s="7" t="s">
        <v>7678</v>
      </c>
      <c r="M77" s="8">
        <v>24316</v>
      </c>
      <c r="N77" s="8" t="str">
        <f t="shared" si="15"/>
        <v>PEN</v>
      </c>
      <c r="O77" s="13"/>
      <c r="P77" s="13">
        <v>130</v>
      </c>
      <c r="Q77" s="3">
        <f t="shared" si="11"/>
        <v>0</v>
      </c>
      <c r="R77" s="3">
        <f t="shared" si="12"/>
        <v>130</v>
      </c>
      <c r="S77" s="3">
        <f t="shared" si="13"/>
        <v>157.17000000000007</v>
      </c>
      <c r="T77" s="24"/>
      <c r="U77" s="24"/>
      <c r="V77" s="3"/>
      <c r="W77" s="25" t="s">
        <v>6541</v>
      </c>
      <c r="X77" s="25"/>
      <c r="Y77" s="25" t="str">
        <f>IFERROR(VLOOKUP(C_Ope_008[[#This Row],[NOTA 2]],Clientes_Proveedores[[Ruc / Dni]:[Razon Social]],2,0),"")</f>
        <v/>
      </c>
      <c r="Z77" s="25"/>
      <c r="AA77" s="25"/>
      <c r="AB77" s="3" t="str">
        <f>IF(C_Ope_008[[#This Row],[FECHA]]&gt;0,TEXT(C_Ope_008[[#This Row],[FECHA]],"mmmm"),0)</f>
        <v>Mayo</v>
      </c>
    </row>
    <row r="78" spans="2:28" x14ac:dyDescent="0.3">
      <c r="B78" s="2">
        <f>IF(C_Ope_008[[#This Row],[TIPO DE R.]]="R",COUNTIFS($D$4:$D77,"R")+1,"")</f>
        <v>74</v>
      </c>
      <c r="C78" s="19" t="str">
        <f t="shared" si="14"/>
        <v>C_Ope_008</v>
      </c>
      <c r="D78" s="3" t="s">
        <v>1074</v>
      </c>
      <c r="E78" s="14">
        <v>45804</v>
      </c>
      <c r="F78" s="5" t="s">
        <v>4433</v>
      </c>
      <c r="G78" s="5" t="s">
        <v>1079</v>
      </c>
      <c r="H78" s="6"/>
      <c r="I78" s="6"/>
      <c r="J78" s="6" t="s">
        <v>7637</v>
      </c>
      <c r="K78" s="6">
        <v>8</v>
      </c>
      <c r="L78" s="7" t="s">
        <v>7679</v>
      </c>
      <c r="M78" s="8">
        <v>24319</v>
      </c>
      <c r="N78" s="8" t="str">
        <f t="shared" si="15"/>
        <v>PEN</v>
      </c>
      <c r="O78" s="13"/>
      <c r="P78" s="13">
        <v>30</v>
      </c>
      <c r="Q78" s="3">
        <f t="shared" si="11"/>
        <v>0</v>
      </c>
      <c r="R78" s="3">
        <f t="shared" si="12"/>
        <v>30</v>
      </c>
      <c r="S78" s="3">
        <f t="shared" si="13"/>
        <v>127.17000000000007</v>
      </c>
      <c r="T78" s="24"/>
      <c r="U78" s="24"/>
      <c r="V78" s="3"/>
      <c r="W78" s="25" t="s">
        <v>6950</v>
      </c>
      <c r="X78" s="25"/>
      <c r="Y78" s="25" t="str">
        <f>IFERROR(VLOOKUP(C_Ope_008[[#This Row],[NOTA 2]],Clientes_Proveedores[[Ruc / Dni]:[Razon Social]],2,0),"")</f>
        <v/>
      </c>
      <c r="Z78" s="25"/>
      <c r="AA78" s="25"/>
      <c r="AB78" s="3" t="str">
        <f>IF(C_Ope_008[[#This Row],[FECHA]]&gt;0,TEXT(C_Ope_008[[#This Row],[FECHA]],"mmmm"),0)</f>
        <v>Mayo</v>
      </c>
    </row>
    <row r="79" spans="2:28" ht="24" x14ac:dyDescent="0.3">
      <c r="B79" s="2">
        <f>IF(C_Ope_008[[#This Row],[TIPO DE R.]]="R",COUNTIFS($D$4:$D78,"R")+1,"")</f>
        <v>75</v>
      </c>
      <c r="C79" s="19" t="str">
        <f t="shared" si="14"/>
        <v>C_Ope_008</v>
      </c>
      <c r="D79" s="3" t="s">
        <v>1074</v>
      </c>
      <c r="E79" s="14">
        <v>45804</v>
      </c>
      <c r="F79" s="5" t="s">
        <v>4433</v>
      </c>
      <c r="G79" s="5" t="s">
        <v>1079</v>
      </c>
      <c r="H79" s="6"/>
      <c r="I79" s="6" t="s">
        <v>14</v>
      </c>
      <c r="J79" s="6" t="s">
        <v>1119</v>
      </c>
      <c r="K79" s="6">
        <v>17897</v>
      </c>
      <c r="L79" s="7" t="s">
        <v>7680</v>
      </c>
      <c r="M79" s="8">
        <v>24320</v>
      </c>
      <c r="N79" s="8" t="str">
        <f t="shared" si="15"/>
        <v>PEN</v>
      </c>
      <c r="O79" s="13"/>
      <c r="P79" s="13">
        <v>14</v>
      </c>
      <c r="Q79" s="3">
        <f t="shared" si="11"/>
        <v>0</v>
      </c>
      <c r="R79" s="3">
        <f t="shared" si="12"/>
        <v>14</v>
      </c>
      <c r="S79" s="3">
        <f t="shared" si="13"/>
        <v>113.17000000000007</v>
      </c>
      <c r="T79" s="24"/>
      <c r="U79" s="24"/>
      <c r="V79" s="3"/>
      <c r="W79" s="25" t="s">
        <v>6541</v>
      </c>
      <c r="X79" s="25"/>
      <c r="Y79" s="25" t="str">
        <f>IFERROR(VLOOKUP(C_Ope_008[[#This Row],[NOTA 2]],Clientes_Proveedores[[Ruc / Dni]:[Razon Social]],2,0),"")</f>
        <v/>
      </c>
      <c r="Z79" s="25"/>
      <c r="AA79" s="25"/>
      <c r="AB79" s="3" t="str">
        <f>IF(C_Ope_008[[#This Row],[FECHA]]&gt;0,TEXT(C_Ope_008[[#This Row],[FECHA]],"mmmm"),0)</f>
        <v>Mayo</v>
      </c>
    </row>
    <row r="80" spans="2:28" ht="24" x14ac:dyDescent="0.3">
      <c r="B80" s="2">
        <f>IF(C_Ope_008[[#This Row],[TIPO DE R.]]="R",COUNTIFS($D$4:$D79,"R")+1,"")</f>
        <v>76</v>
      </c>
      <c r="C80" s="19" t="str">
        <f t="shared" si="14"/>
        <v>C_Ope_008</v>
      </c>
      <c r="D80" s="3" t="s">
        <v>1074</v>
      </c>
      <c r="E80" s="14">
        <v>45805</v>
      </c>
      <c r="F80" s="5" t="s">
        <v>4433</v>
      </c>
      <c r="G80" s="5" t="s">
        <v>1079</v>
      </c>
      <c r="H80" s="6"/>
      <c r="I80" s="6" t="s">
        <v>14</v>
      </c>
      <c r="J80" s="6" t="s">
        <v>1119</v>
      </c>
      <c r="K80" s="6">
        <v>7632</v>
      </c>
      <c r="L80" s="7" t="s">
        <v>7681</v>
      </c>
      <c r="M80" s="8">
        <v>24338</v>
      </c>
      <c r="N80" s="8" t="str">
        <f t="shared" si="15"/>
        <v>PEN</v>
      </c>
      <c r="O80" s="13"/>
      <c r="P80" s="13">
        <v>45.5</v>
      </c>
      <c r="Q80" s="3">
        <f t="shared" si="11"/>
        <v>0</v>
      </c>
      <c r="R80" s="3">
        <f t="shared" si="12"/>
        <v>45.5</v>
      </c>
      <c r="S80" s="3">
        <f t="shared" si="13"/>
        <v>67.670000000000073</v>
      </c>
      <c r="T80" s="24"/>
      <c r="U80" s="24"/>
      <c r="V80" s="3"/>
      <c r="W80" s="25" t="s">
        <v>6950</v>
      </c>
      <c r="X80" s="25"/>
      <c r="Y80" s="25" t="str">
        <f>IFERROR(VLOOKUP(C_Ope_008[[#This Row],[NOTA 2]],Clientes_Proveedores[[Ruc / Dni]:[Razon Social]],2,0),"")</f>
        <v/>
      </c>
      <c r="Z80" s="25"/>
      <c r="AA80" s="25"/>
      <c r="AB80" s="3" t="str">
        <f>IF(C_Ope_008[[#This Row],[FECHA]]&gt;0,TEXT(C_Ope_008[[#This Row],[FECHA]],"mmmm"),0)</f>
        <v>Mayo</v>
      </c>
    </row>
    <row r="81" spans="2:28" x14ac:dyDescent="0.3">
      <c r="B81" s="2">
        <f>IF(C_Ope_008[[#This Row],[TIPO DE R.]]="R",COUNTIFS($D$4:$D80,"R")+1,"")</f>
        <v>77</v>
      </c>
      <c r="C81" s="19" t="str">
        <f t="shared" si="14"/>
        <v>C_Ope_008</v>
      </c>
      <c r="D81" s="3" t="s">
        <v>1074</v>
      </c>
      <c r="E81" s="14">
        <v>45812</v>
      </c>
      <c r="F81" s="5" t="s">
        <v>6299</v>
      </c>
      <c r="G81" s="5" t="s">
        <v>1087</v>
      </c>
      <c r="H81" s="6"/>
      <c r="I81" s="6"/>
      <c r="J81" s="6"/>
      <c r="K81" s="6"/>
      <c r="L81" s="7" t="s">
        <v>6327</v>
      </c>
      <c r="M81" s="8">
        <v>24501</v>
      </c>
      <c r="N81" s="8" t="str">
        <f t="shared" si="15"/>
        <v>PEN</v>
      </c>
      <c r="O81" s="13"/>
      <c r="P81" s="13">
        <v>130</v>
      </c>
      <c r="Q81" s="3">
        <f t="shared" si="11"/>
        <v>130</v>
      </c>
      <c r="R81" s="3">
        <f t="shared" si="12"/>
        <v>0</v>
      </c>
      <c r="S81" s="3">
        <f t="shared" si="13"/>
        <v>197.67000000000007</v>
      </c>
      <c r="T81" s="24"/>
      <c r="U81" s="24"/>
      <c r="V81" s="3"/>
      <c r="W81" s="25"/>
      <c r="X81" s="25"/>
      <c r="Y81" s="25" t="str">
        <f>IFERROR(VLOOKUP(C_Ope_008[[#This Row],[NOTA 2]],Clientes_Proveedores[[Ruc / Dni]:[Razon Social]],2,0),"")</f>
        <v/>
      </c>
      <c r="Z81" s="25"/>
      <c r="AA81" s="25"/>
      <c r="AB81" s="3" t="str">
        <f>IF(C_Ope_008[[#This Row],[FECHA]]&gt;0,TEXT(C_Ope_008[[#This Row],[FECHA]],"mmmm"),0)</f>
        <v>Junio</v>
      </c>
    </row>
    <row r="82" spans="2:28" ht="24" x14ac:dyDescent="0.3">
      <c r="B82" s="2">
        <f>IF(C_Ope_008[[#This Row],[TIPO DE R.]]="R",COUNTIFS($D$4:$D81,"R")+1,"")</f>
        <v>78</v>
      </c>
      <c r="C82" s="19" t="str">
        <f t="shared" si="14"/>
        <v>C_Ope_008</v>
      </c>
      <c r="D82" s="3" t="s">
        <v>1074</v>
      </c>
      <c r="E82" s="14">
        <v>45812</v>
      </c>
      <c r="F82" s="5" t="s">
        <v>4433</v>
      </c>
      <c r="G82" s="5" t="s">
        <v>1079</v>
      </c>
      <c r="H82" s="6"/>
      <c r="I82" s="6" t="s">
        <v>14</v>
      </c>
      <c r="J82" s="6" t="s">
        <v>1119</v>
      </c>
      <c r="K82" s="6">
        <v>7664</v>
      </c>
      <c r="L82" s="7" t="s">
        <v>7682</v>
      </c>
      <c r="M82" s="8">
        <v>24433</v>
      </c>
      <c r="N82" s="8" t="str">
        <f t="shared" si="15"/>
        <v>PEN</v>
      </c>
      <c r="O82" s="13"/>
      <c r="P82" s="13">
        <v>65</v>
      </c>
      <c r="Q82" s="3">
        <f t="shared" si="11"/>
        <v>0</v>
      </c>
      <c r="R82" s="3">
        <f t="shared" si="12"/>
        <v>65</v>
      </c>
      <c r="S82" s="3">
        <f t="shared" si="13"/>
        <v>132.67000000000007</v>
      </c>
      <c r="T82" s="24"/>
      <c r="U82" s="24"/>
      <c r="V82" s="3"/>
      <c r="W82" s="25" t="s">
        <v>6950</v>
      </c>
      <c r="X82" s="25"/>
      <c r="Y82" s="25" t="str">
        <f>IFERROR(VLOOKUP(C_Ope_008[[#This Row],[NOTA 2]],Clientes_Proveedores[[Ruc / Dni]:[Razon Social]],2,0),"")</f>
        <v/>
      </c>
      <c r="Z82" s="25"/>
      <c r="AA82" s="25"/>
      <c r="AB82" s="3" t="str">
        <f>IF(C_Ope_008[[#This Row],[FECHA]]&gt;0,TEXT(C_Ope_008[[#This Row],[FECHA]],"mmmm"),0)</f>
        <v>Junio</v>
      </c>
    </row>
    <row r="83" spans="2:28" ht="24" x14ac:dyDescent="0.3">
      <c r="B83" s="2">
        <f>IF(C_Ope_008[[#This Row],[TIPO DE R.]]="R",COUNTIFS($D$4:$D82,"R")+1,"")</f>
        <v>79</v>
      </c>
      <c r="C83" s="19" t="str">
        <f t="shared" si="14"/>
        <v>C_Ope_008</v>
      </c>
      <c r="D83" s="3" t="s">
        <v>1074</v>
      </c>
      <c r="E83" s="14">
        <v>45812</v>
      </c>
      <c r="F83" s="5" t="s">
        <v>4433</v>
      </c>
      <c r="G83" s="5" t="s">
        <v>1079</v>
      </c>
      <c r="H83" s="6"/>
      <c r="I83" s="6" t="s">
        <v>14</v>
      </c>
      <c r="J83" s="6" t="s">
        <v>1119</v>
      </c>
      <c r="K83" s="6">
        <v>7664</v>
      </c>
      <c r="L83" s="7" t="s">
        <v>7683</v>
      </c>
      <c r="M83" s="8">
        <v>24500</v>
      </c>
      <c r="N83" s="8" t="str">
        <f t="shared" si="15"/>
        <v>PEN</v>
      </c>
      <c r="O83" s="13"/>
      <c r="P83" s="13">
        <v>0</v>
      </c>
      <c r="Q83" s="3">
        <f t="shared" si="11"/>
        <v>0</v>
      </c>
      <c r="R83" s="3">
        <f t="shared" si="12"/>
        <v>0</v>
      </c>
      <c r="S83" s="3">
        <f t="shared" si="13"/>
        <v>132.67000000000007</v>
      </c>
      <c r="T83" s="24"/>
      <c r="U83" s="24"/>
      <c r="V83" s="3"/>
      <c r="W83" s="25" t="s">
        <v>6950</v>
      </c>
      <c r="X83" s="25"/>
      <c r="Y83" s="25" t="str">
        <f>IFERROR(VLOOKUP(C_Ope_008[[#This Row],[NOTA 2]],Clientes_Proveedores[[Ruc / Dni]:[Razon Social]],2,0),"")</f>
        <v/>
      </c>
      <c r="Z83" s="25"/>
      <c r="AA83" s="25"/>
      <c r="AB83" s="3" t="str">
        <f>IF(C_Ope_008[[#This Row],[FECHA]]&gt;0,TEXT(C_Ope_008[[#This Row],[FECHA]],"mmmm"),0)</f>
        <v>Junio</v>
      </c>
    </row>
    <row r="84" spans="2:28" x14ac:dyDescent="0.3">
      <c r="B84" s="2">
        <f>IF(C_Ope_008[[#This Row],[TIPO DE R.]]="R",COUNTIFS($D$4:$D83,"R")+1,"")</f>
        <v>80</v>
      </c>
      <c r="C84" s="19" t="str">
        <f t="shared" si="14"/>
        <v>C_Ope_008</v>
      </c>
      <c r="D84" s="3" t="s">
        <v>1074</v>
      </c>
      <c r="E84" s="14">
        <v>45817</v>
      </c>
      <c r="F84" s="5" t="s">
        <v>6299</v>
      </c>
      <c r="G84" s="5" t="s">
        <v>1087</v>
      </c>
      <c r="H84" s="6"/>
      <c r="I84" s="6"/>
      <c r="J84" s="6"/>
      <c r="K84" s="6"/>
      <c r="L84" s="7" t="s">
        <v>6327</v>
      </c>
      <c r="M84" s="8">
        <v>24504</v>
      </c>
      <c r="N84" s="8" t="str">
        <f t="shared" si="15"/>
        <v>PEN</v>
      </c>
      <c r="O84" s="13"/>
      <c r="P84" s="13">
        <v>70</v>
      </c>
      <c r="Q84" s="3">
        <f t="shared" si="11"/>
        <v>70</v>
      </c>
      <c r="R84" s="3">
        <f t="shared" si="12"/>
        <v>0</v>
      </c>
      <c r="S84" s="3">
        <f t="shared" si="13"/>
        <v>202.67000000000007</v>
      </c>
      <c r="T84" s="24"/>
      <c r="U84" s="24"/>
      <c r="V84" s="3"/>
      <c r="W84" s="25"/>
      <c r="X84" s="25"/>
      <c r="Y84" s="25" t="str">
        <f>IFERROR(VLOOKUP(C_Ope_008[[#This Row],[NOTA 2]],Clientes_Proveedores[[Ruc / Dni]:[Razon Social]],2,0),"")</f>
        <v/>
      </c>
      <c r="Z84" s="25"/>
      <c r="AA84" s="25"/>
      <c r="AB84" s="3" t="str">
        <f>IF(C_Ope_008[[#This Row],[FECHA]]&gt;0,TEXT(C_Ope_008[[#This Row],[FECHA]],"mmmm"),0)</f>
        <v>Junio</v>
      </c>
    </row>
    <row r="85" spans="2:28" ht="24" x14ac:dyDescent="0.3">
      <c r="B85" s="2">
        <f>IF(C_Ope_008[[#This Row],[TIPO DE R.]]="R",COUNTIFS($D$4:$D84,"R")+1,"")</f>
        <v>81</v>
      </c>
      <c r="C85" s="19" t="str">
        <f t="shared" si="14"/>
        <v>C_Ope_008</v>
      </c>
      <c r="D85" s="3" t="s">
        <v>1074</v>
      </c>
      <c r="E85" s="14">
        <v>45820</v>
      </c>
      <c r="F85" s="5" t="s">
        <v>4433</v>
      </c>
      <c r="G85" s="5" t="s">
        <v>1079</v>
      </c>
      <c r="H85" s="6"/>
      <c r="I85" s="6" t="s">
        <v>14</v>
      </c>
      <c r="J85" s="6" t="s">
        <v>1119</v>
      </c>
      <c r="K85" s="6">
        <v>7693</v>
      </c>
      <c r="L85" s="7" t="s">
        <v>7684</v>
      </c>
      <c r="M85" s="8">
        <v>24549</v>
      </c>
      <c r="N85" s="8" t="str">
        <f t="shared" si="15"/>
        <v>PEN</v>
      </c>
      <c r="O85" s="13"/>
      <c r="P85" s="13">
        <v>91.5</v>
      </c>
      <c r="Q85" s="3">
        <f t="shared" si="11"/>
        <v>0</v>
      </c>
      <c r="R85" s="3">
        <f t="shared" si="12"/>
        <v>91.5</v>
      </c>
      <c r="S85" s="3">
        <f t="shared" si="13"/>
        <v>111.17000000000007</v>
      </c>
      <c r="T85" s="24"/>
      <c r="U85" s="24"/>
      <c r="V85" s="3"/>
      <c r="W85" s="25" t="s">
        <v>6950</v>
      </c>
      <c r="X85" s="25"/>
      <c r="Y85" s="25" t="str">
        <f>IFERROR(VLOOKUP(C_Ope_008[[#This Row],[NOTA 2]],Clientes_Proveedores[[Ruc / Dni]:[Razon Social]],2,0),"")</f>
        <v/>
      </c>
      <c r="Z85" s="25"/>
      <c r="AA85" s="25"/>
      <c r="AB85" s="3" t="str">
        <f>IF(C_Ope_008[[#This Row],[FECHA]]&gt;0,TEXT(C_Ope_008[[#This Row],[FECHA]],"mmmm"),0)</f>
        <v>Junio</v>
      </c>
    </row>
    <row r="86" spans="2:28" ht="24" x14ac:dyDescent="0.3">
      <c r="B86" s="2">
        <f>IF(C_Ope_008[[#This Row],[TIPO DE R.]]="R",COUNTIFS($D$4:$D85,"R")+1,"")</f>
        <v>82</v>
      </c>
      <c r="C86" s="19" t="str">
        <f t="shared" si="14"/>
        <v>C_Ope_008</v>
      </c>
      <c r="D86" s="3" t="s">
        <v>1074</v>
      </c>
      <c r="E86" s="14">
        <v>45825</v>
      </c>
      <c r="F86" s="5" t="s">
        <v>4433</v>
      </c>
      <c r="G86" s="5" t="s">
        <v>1079</v>
      </c>
      <c r="H86" s="6"/>
      <c r="I86" s="6" t="s">
        <v>14</v>
      </c>
      <c r="J86" s="6" t="s">
        <v>1119</v>
      </c>
      <c r="K86" s="6">
        <v>18248</v>
      </c>
      <c r="L86" s="7" t="s">
        <v>7685</v>
      </c>
      <c r="M86" s="8">
        <v>24597</v>
      </c>
      <c r="N86" s="8" t="str">
        <f t="shared" si="15"/>
        <v>PEN</v>
      </c>
      <c r="O86" s="13"/>
      <c r="P86" s="13">
        <v>18</v>
      </c>
      <c r="Q86" s="3">
        <f t="shared" si="11"/>
        <v>0</v>
      </c>
      <c r="R86" s="3">
        <f t="shared" si="12"/>
        <v>18</v>
      </c>
      <c r="S86" s="3">
        <f t="shared" si="13"/>
        <v>93.170000000000073</v>
      </c>
      <c r="T86" s="24"/>
      <c r="U86" s="24"/>
      <c r="V86" s="3"/>
      <c r="W86" s="25" t="s">
        <v>6546</v>
      </c>
      <c r="X86" s="25"/>
      <c r="Y86" s="25" t="str">
        <f>IFERROR(VLOOKUP(C_Ope_008[[#This Row],[NOTA 2]],Clientes_Proveedores[[Ruc / Dni]:[Razon Social]],2,0),"")</f>
        <v/>
      </c>
      <c r="Z86" s="25"/>
      <c r="AA86" s="25"/>
      <c r="AB86" s="3" t="str">
        <f>IF(C_Ope_008[[#This Row],[FECHA]]&gt;0,TEXT(C_Ope_008[[#This Row],[FECHA]],"mmmm"),0)</f>
        <v>Junio</v>
      </c>
    </row>
    <row r="87" spans="2:28" x14ac:dyDescent="0.3">
      <c r="B87" s="2">
        <f>IF(C_Ope_008[[#This Row],[TIPO DE R.]]="R",COUNTIFS($D$4:$D86,"R")+1,"")</f>
        <v>83</v>
      </c>
      <c r="C87" s="19" t="str">
        <f t="shared" si="14"/>
        <v>C_Ope_008</v>
      </c>
      <c r="D87" s="3" t="s">
        <v>1074</v>
      </c>
      <c r="E87" s="14">
        <v>45833</v>
      </c>
      <c r="F87" s="5" t="s">
        <v>6299</v>
      </c>
      <c r="G87" s="5" t="s">
        <v>1087</v>
      </c>
      <c r="H87" s="6"/>
      <c r="I87" s="6"/>
      <c r="J87" s="6"/>
      <c r="K87" s="6"/>
      <c r="L87" s="7" t="s">
        <v>6327</v>
      </c>
      <c r="M87" s="8">
        <v>24687</v>
      </c>
      <c r="N87" s="8" t="str">
        <f t="shared" si="15"/>
        <v>PEN</v>
      </c>
      <c r="O87" s="13"/>
      <c r="P87" s="13">
        <v>110</v>
      </c>
      <c r="Q87" s="3">
        <f t="shared" si="11"/>
        <v>110</v>
      </c>
      <c r="R87" s="3">
        <f t="shared" si="12"/>
        <v>0</v>
      </c>
      <c r="S87" s="3">
        <f t="shared" si="13"/>
        <v>203.17000000000007</v>
      </c>
      <c r="T87" s="24"/>
      <c r="U87" s="24"/>
      <c r="V87" s="3"/>
      <c r="W87" s="25"/>
      <c r="X87" s="25"/>
      <c r="Y87" s="25" t="str">
        <f>IFERROR(VLOOKUP(C_Ope_008[[#This Row],[NOTA 2]],Clientes_Proveedores[[Ruc / Dni]:[Razon Social]],2,0),"")</f>
        <v/>
      </c>
      <c r="Z87" s="25"/>
      <c r="AA87" s="25"/>
      <c r="AB87" s="3" t="str">
        <f>IF(C_Ope_008[[#This Row],[FECHA]]&gt;0,TEXT(C_Ope_008[[#This Row],[FECHA]],"mmmm"),0)</f>
        <v>Junio</v>
      </c>
    </row>
    <row r="88" spans="2:28" ht="24" x14ac:dyDescent="0.3">
      <c r="B88" s="2">
        <f>IF(C_Ope_008[[#This Row],[TIPO DE R.]]="R",COUNTIFS($D$4:$D87,"R")+1,"")</f>
        <v>84</v>
      </c>
      <c r="C88" s="19" t="str">
        <f t="shared" si="14"/>
        <v>C_Ope_008</v>
      </c>
      <c r="D88" s="3" t="s">
        <v>1074</v>
      </c>
      <c r="E88" s="14">
        <v>45833</v>
      </c>
      <c r="F88" s="5" t="s">
        <v>4433</v>
      </c>
      <c r="G88" s="5" t="s">
        <v>1079</v>
      </c>
      <c r="H88" s="6"/>
      <c r="I88" s="6" t="s">
        <v>21</v>
      </c>
      <c r="J88" s="6" t="s">
        <v>7686</v>
      </c>
      <c r="K88" s="6">
        <v>53</v>
      </c>
      <c r="L88" s="7" t="s">
        <v>7687</v>
      </c>
      <c r="M88" s="8">
        <v>24691</v>
      </c>
      <c r="N88" s="8" t="str">
        <f t="shared" si="15"/>
        <v>PEN</v>
      </c>
      <c r="O88" s="13"/>
      <c r="P88" s="13">
        <v>30</v>
      </c>
      <c r="Q88" s="3">
        <f t="shared" si="11"/>
        <v>0</v>
      </c>
      <c r="R88" s="3">
        <f t="shared" si="12"/>
        <v>30</v>
      </c>
      <c r="S88" s="3">
        <f t="shared" si="13"/>
        <v>173.17000000000007</v>
      </c>
      <c r="T88" s="24"/>
      <c r="U88" s="24"/>
      <c r="V88" s="3"/>
      <c r="W88" s="25" t="s">
        <v>6539</v>
      </c>
      <c r="X88" s="25"/>
      <c r="Y88" s="25" t="str">
        <f>IFERROR(VLOOKUP(C_Ope_008[[#This Row],[NOTA 2]],Clientes_Proveedores[[Ruc / Dni]:[Razon Social]],2,0),"")</f>
        <v/>
      </c>
      <c r="Z88" s="25"/>
      <c r="AA88" s="25"/>
      <c r="AB88" s="3" t="str">
        <f>IF(C_Ope_008[[#This Row],[FECHA]]&gt;0,TEXT(C_Ope_008[[#This Row],[FECHA]],"mmmm"),0)</f>
        <v>Junio</v>
      </c>
    </row>
    <row r="89" spans="2:28" x14ac:dyDescent="0.3">
      <c r="B89" s="2">
        <f>IF(C_Ope_008[[#This Row],[TIPO DE R.]]="R",COUNTIFS($D$4:$D88,"R")+1,"")</f>
        <v>85</v>
      </c>
      <c r="C89" s="19" t="str">
        <f t="shared" si="14"/>
        <v>C_Ope_008</v>
      </c>
      <c r="D89" s="3" t="s">
        <v>1074</v>
      </c>
      <c r="E89" s="14">
        <v>45833</v>
      </c>
      <c r="F89" s="5" t="s">
        <v>6299</v>
      </c>
      <c r="G89" s="5" t="s">
        <v>1087</v>
      </c>
      <c r="H89" s="6"/>
      <c r="I89" s="6"/>
      <c r="J89" s="6"/>
      <c r="K89" s="6"/>
      <c r="L89" s="7" t="s">
        <v>6327</v>
      </c>
      <c r="M89" s="8">
        <v>24767</v>
      </c>
      <c r="N89" s="8" t="str">
        <f t="shared" si="15"/>
        <v>PEN</v>
      </c>
      <c r="O89" s="13"/>
      <c r="P89" s="13">
        <v>30</v>
      </c>
      <c r="Q89" s="3">
        <f t="shared" si="11"/>
        <v>30</v>
      </c>
      <c r="R89" s="3">
        <f t="shared" si="12"/>
        <v>0</v>
      </c>
      <c r="S89" s="3">
        <f t="shared" si="13"/>
        <v>203.17000000000007</v>
      </c>
      <c r="T89" s="24"/>
      <c r="U89" s="24"/>
      <c r="V89" s="3"/>
      <c r="W89" s="25"/>
      <c r="X89" s="25"/>
      <c r="Y89" s="25" t="str">
        <f>IFERROR(VLOOKUP(C_Ope_008[[#This Row],[NOTA 2]],Clientes_Proveedores[[Ruc / Dni]:[Razon Social]],2,0),"")</f>
        <v/>
      </c>
      <c r="Z89" s="25"/>
      <c r="AA89" s="25"/>
      <c r="AB89" s="3" t="str">
        <f>IF(C_Ope_008[[#This Row],[FECHA]]&gt;0,TEXT(C_Ope_008[[#This Row],[FECHA]],"mmmm"),0)</f>
        <v>Junio</v>
      </c>
    </row>
    <row r="90" spans="2:28" ht="60" x14ac:dyDescent="0.3">
      <c r="B90" s="2">
        <f>IF(C_Ope_008[[#This Row],[TIPO DE R.]]="R",COUNTIFS($D$4:$D89,"R")+1,"")</f>
        <v>86</v>
      </c>
      <c r="C90" s="19" t="str">
        <f t="shared" ref="C90:C97" si="16">"C_Ope_008"</f>
        <v>C_Ope_008</v>
      </c>
      <c r="D90" s="3" t="s">
        <v>1074</v>
      </c>
      <c r="E90" s="14">
        <v>45839</v>
      </c>
      <c r="F90" s="5" t="s">
        <v>4433</v>
      </c>
      <c r="G90" s="5" t="s">
        <v>1079</v>
      </c>
      <c r="H90" s="6" t="s">
        <v>435</v>
      </c>
      <c r="I90" s="6" t="s">
        <v>14</v>
      </c>
      <c r="J90" s="6" t="s">
        <v>1148</v>
      </c>
      <c r="K90" s="6">
        <v>3606</v>
      </c>
      <c r="L90" s="7" t="s">
        <v>7688</v>
      </c>
      <c r="M90" s="8">
        <v>24757</v>
      </c>
      <c r="N90" s="8" t="str">
        <f t="shared" ref="N90:N97" si="17">"PEN"</f>
        <v>PEN</v>
      </c>
      <c r="O90" s="13"/>
      <c r="P90" s="13">
        <v>58</v>
      </c>
      <c r="Q90" s="3">
        <f t="shared" si="11"/>
        <v>0</v>
      </c>
      <c r="R90" s="3">
        <f t="shared" si="12"/>
        <v>58</v>
      </c>
      <c r="S90" s="3">
        <f t="shared" si="13"/>
        <v>145.17000000000007</v>
      </c>
      <c r="T90" s="24" t="s">
        <v>1081</v>
      </c>
      <c r="U90" s="24"/>
      <c r="V90" s="3"/>
      <c r="W90" s="25" t="s">
        <v>6541</v>
      </c>
      <c r="X90" s="25">
        <v>20602593593</v>
      </c>
      <c r="Y90" s="25" t="str">
        <f>IFERROR(VLOOKUP(C_Ope_008[[#This Row],[NOTA 2]],Clientes_Proveedores[[Ruc / Dni]:[Razon Social]],2,0),"")</f>
        <v>SP TRANSPORT LOGISTIC SOCIEDAD ANONIMA CERRADA - SP TRANSPORT LOGISTIC S.A.C.</v>
      </c>
      <c r="Z90" s="25"/>
      <c r="AA90" s="25"/>
      <c r="AB90" s="3" t="str">
        <f>IF(C_Ope_008[[#This Row],[FECHA]]&gt;0,TEXT(C_Ope_008[[#This Row],[FECHA]],"mmmm"),0)</f>
        <v>Julio</v>
      </c>
    </row>
    <row r="91" spans="2:28" ht="24" x14ac:dyDescent="0.3">
      <c r="B91" s="2">
        <f>IF(C_Ope_008[[#This Row],[TIPO DE R.]]="R",COUNTIFS($D$4:$D90,"R")+1,"")</f>
        <v>87</v>
      </c>
      <c r="C91" s="19" t="str">
        <f t="shared" si="16"/>
        <v>C_Ope_008</v>
      </c>
      <c r="D91" s="3" t="s">
        <v>1074</v>
      </c>
      <c r="E91" s="14">
        <v>45840</v>
      </c>
      <c r="F91" s="5" t="s">
        <v>4433</v>
      </c>
      <c r="G91" s="5" t="s">
        <v>1079</v>
      </c>
      <c r="H91" s="6" t="s">
        <v>664</v>
      </c>
      <c r="I91" s="6" t="s">
        <v>14</v>
      </c>
      <c r="J91" s="6" t="s">
        <v>1121</v>
      </c>
      <c r="K91" s="6">
        <v>3292</v>
      </c>
      <c r="L91" s="7" t="s">
        <v>7689</v>
      </c>
      <c r="M91" s="8">
        <v>24786</v>
      </c>
      <c r="N91" s="8" t="str">
        <f t="shared" si="17"/>
        <v>PEN</v>
      </c>
      <c r="O91" s="13"/>
      <c r="P91" s="13">
        <v>20</v>
      </c>
      <c r="Q91" s="3">
        <f t="shared" si="11"/>
        <v>0</v>
      </c>
      <c r="R91" s="3">
        <f t="shared" si="12"/>
        <v>20</v>
      </c>
      <c r="S91" s="3">
        <f t="shared" si="13"/>
        <v>125.17000000000007</v>
      </c>
      <c r="T91" s="24" t="s">
        <v>1081</v>
      </c>
      <c r="U91" s="24"/>
      <c r="V91" s="3"/>
      <c r="W91" s="25" t="s">
        <v>6541</v>
      </c>
      <c r="X91" s="25">
        <v>10402383548</v>
      </c>
      <c r="Y91" s="25" t="str">
        <f>IFERROR(VLOOKUP(C_Ope_008[[#This Row],[NOTA 2]],Clientes_Proveedores[[Ruc / Dni]:[Razon Social]],2,0),"")</f>
        <v>HUALLA SANCHEZ GUSTAVO PAUL</v>
      </c>
      <c r="Z91" s="25"/>
      <c r="AA91" s="25"/>
      <c r="AB91" s="3" t="str">
        <f>IF(C_Ope_008[[#This Row],[FECHA]]&gt;0,TEXT(C_Ope_008[[#This Row],[FECHA]],"mmmm"),0)</f>
        <v>Julio</v>
      </c>
    </row>
    <row r="92" spans="2:28" x14ac:dyDescent="0.3">
      <c r="B92" s="2">
        <f>IF(C_Ope_008[[#This Row],[TIPO DE R.]]="R",COUNTIFS($D$4:$D91,"R")+1,"")</f>
        <v>88</v>
      </c>
      <c r="C92" s="19" t="str">
        <f t="shared" si="16"/>
        <v>C_Ope_008</v>
      </c>
      <c r="D92" s="3" t="s">
        <v>1074</v>
      </c>
      <c r="E92" s="14">
        <v>45848</v>
      </c>
      <c r="F92" s="5" t="s">
        <v>4433</v>
      </c>
      <c r="G92" s="5" t="s">
        <v>1079</v>
      </c>
      <c r="H92" s="6" t="s">
        <v>967</v>
      </c>
      <c r="I92" s="6" t="s">
        <v>14</v>
      </c>
      <c r="J92" s="6" t="s">
        <v>7690</v>
      </c>
      <c r="K92" s="6">
        <v>117451</v>
      </c>
      <c r="L92" s="7" t="s">
        <v>7691</v>
      </c>
      <c r="M92" s="8">
        <v>24839</v>
      </c>
      <c r="N92" s="8" t="str">
        <f t="shared" si="17"/>
        <v>PEN</v>
      </c>
      <c r="O92" s="13"/>
      <c r="P92" s="13">
        <v>24</v>
      </c>
      <c r="Q92" s="3">
        <f t="shared" si="11"/>
        <v>0</v>
      </c>
      <c r="R92" s="3">
        <f t="shared" si="12"/>
        <v>24</v>
      </c>
      <c r="S92" s="3">
        <f t="shared" si="13"/>
        <v>101.17000000000007</v>
      </c>
      <c r="T92" s="24" t="s">
        <v>1081</v>
      </c>
      <c r="U92" s="24"/>
      <c r="V92" s="3"/>
      <c r="W92" s="25" t="s">
        <v>6950</v>
      </c>
      <c r="X92" s="25">
        <v>20602819834</v>
      </c>
      <c r="Y92" s="25" t="str">
        <f>IFERROR(VLOOKUP(C_Ope_008[[#This Row],[NOTA 2]],Clientes_Proveedores[[Ruc / Dni]:[Razon Social]],2,0),"")</f>
        <v>GRIFOS PEBSA S.A.</v>
      </c>
      <c r="Z92" s="25"/>
      <c r="AA92" s="25"/>
      <c r="AB92" s="3" t="str">
        <f>IF(C_Ope_008[[#This Row],[FECHA]]&gt;0,TEXT(C_Ope_008[[#This Row],[FECHA]],"mmmm"),0)</f>
        <v>Julio</v>
      </c>
    </row>
    <row r="93" spans="2:28" ht="24" x14ac:dyDescent="0.3">
      <c r="B93" s="2">
        <f>IF(C_Ope_008[[#This Row],[TIPO DE R.]]="R",COUNTIFS($D$4:$D92,"R")+1,"")</f>
        <v>89</v>
      </c>
      <c r="C93" s="19" t="str">
        <f t="shared" si="16"/>
        <v>C_Ope_008</v>
      </c>
      <c r="D93" s="3" t="s">
        <v>1074</v>
      </c>
      <c r="E93" s="14">
        <v>45848</v>
      </c>
      <c r="F93" s="5" t="s">
        <v>4433</v>
      </c>
      <c r="G93" s="5" t="s">
        <v>1079</v>
      </c>
      <c r="H93" s="6" t="s">
        <v>941</v>
      </c>
      <c r="I93" s="6" t="s">
        <v>21</v>
      </c>
      <c r="J93" s="6">
        <v>1</v>
      </c>
      <c r="K93" s="6">
        <v>2526</v>
      </c>
      <c r="L93" s="7" t="s">
        <v>7692</v>
      </c>
      <c r="M93" s="8">
        <v>24851</v>
      </c>
      <c r="N93" s="8" t="str">
        <f t="shared" si="17"/>
        <v>PEN</v>
      </c>
      <c r="O93" s="13"/>
      <c r="P93" s="13">
        <v>70</v>
      </c>
      <c r="Q93" s="3">
        <f t="shared" si="11"/>
        <v>0</v>
      </c>
      <c r="R93" s="3">
        <f t="shared" si="12"/>
        <v>70</v>
      </c>
      <c r="S93" s="3">
        <f t="shared" si="13"/>
        <v>31.170000000000073</v>
      </c>
      <c r="T93" s="24" t="s">
        <v>1081</v>
      </c>
      <c r="U93" s="24"/>
      <c r="V93" s="3"/>
      <c r="W93" s="25" t="s">
        <v>6747</v>
      </c>
      <c r="X93" s="25">
        <v>10449376124</v>
      </c>
      <c r="Y93" s="25" t="str">
        <f>IFERROR(VLOOKUP(C_Ope_008[[#This Row],[NOTA 2]],Clientes_Proveedores[[Ruc / Dni]:[Razon Social]],2,0),"")</f>
        <v>TRELLES MAMANI ELMER</v>
      </c>
      <c r="Z93" s="25"/>
      <c r="AA93" s="25"/>
      <c r="AB93" s="3" t="str">
        <f>IF(C_Ope_008[[#This Row],[FECHA]]&gt;0,TEXT(C_Ope_008[[#This Row],[FECHA]],"mmmm"),0)</f>
        <v>Julio</v>
      </c>
    </row>
    <row r="94" spans="2:28" ht="24" x14ac:dyDescent="0.3">
      <c r="B94" s="2">
        <f>IF(C_Ope_008[[#This Row],[TIPO DE R.]]="R",COUNTIFS($D$4:$D93,"R")+1,"")</f>
        <v>90</v>
      </c>
      <c r="C94" s="19" t="str">
        <f t="shared" si="16"/>
        <v>C_Ope_008</v>
      </c>
      <c r="D94" s="3" t="s">
        <v>1074</v>
      </c>
      <c r="E94" s="14">
        <v>45849</v>
      </c>
      <c r="F94" s="5" t="s">
        <v>4433</v>
      </c>
      <c r="G94" s="5" t="s">
        <v>1079</v>
      </c>
      <c r="H94" s="6" t="s">
        <v>942</v>
      </c>
      <c r="I94" s="6" t="s">
        <v>21</v>
      </c>
      <c r="J94" s="6">
        <v>2</v>
      </c>
      <c r="K94" s="6">
        <v>589</v>
      </c>
      <c r="L94" s="7" t="s">
        <v>7693</v>
      </c>
      <c r="M94" s="8">
        <v>24868</v>
      </c>
      <c r="N94" s="8" t="str">
        <f t="shared" si="17"/>
        <v>PEN</v>
      </c>
      <c r="O94" s="13"/>
      <c r="P94" s="13">
        <v>20</v>
      </c>
      <c r="Q94" s="3">
        <f t="shared" si="11"/>
        <v>0</v>
      </c>
      <c r="R94" s="3">
        <f t="shared" si="12"/>
        <v>20</v>
      </c>
      <c r="S94" s="3">
        <f t="shared" si="13"/>
        <v>11.170000000000073</v>
      </c>
      <c r="T94" s="24" t="s">
        <v>1081</v>
      </c>
      <c r="U94" s="24"/>
      <c r="V94" s="3"/>
      <c r="W94" s="25" t="s">
        <v>6539</v>
      </c>
      <c r="X94" s="25">
        <v>10434937391</v>
      </c>
      <c r="Y94" s="25" t="str">
        <f>IFERROR(VLOOKUP(C_Ope_008[[#This Row],[NOTA 2]],Clientes_Proveedores[[Ruc / Dni]:[Razon Social]],2,0),"")</f>
        <v>REVOLLO BUSTINZA JORGE LUIS</v>
      </c>
      <c r="Z94" s="25"/>
      <c r="AA94" s="25"/>
      <c r="AB94" s="3" t="str">
        <f>IF(C_Ope_008[[#This Row],[FECHA]]&gt;0,TEXT(C_Ope_008[[#This Row],[FECHA]],"mmmm"),0)</f>
        <v>Julio</v>
      </c>
    </row>
    <row r="95" spans="2:28" ht="24" x14ac:dyDescent="0.3">
      <c r="B95" s="2">
        <f>IF(C_Ope_008[[#This Row],[TIPO DE R.]]="R",COUNTIFS($D$4:$D94,"R")+1,"")</f>
        <v>91</v>
      </c>
      <c r="C95" s="19" t="str">
        <f t="shared" si="16"/>
        <v>C_Ope_008</v>
      </c>
      <c r="D95" s="3" t="s">
        <v>1074</v>
      </c>
      <c r="E95" s="14">
        <v>45849</v>
      </c>
      <c r="F95" s="5" t="s">
        <v>4433</v>
      </c>
      <c r="G95" s="5" t="s">
        <v>1079</v>
      </c>
      <c r="H95" s="6" t="s">
        <v>933</v>
      </c>
      <c r="I95" s="6" t="s">
        <v>14</v>
      </c>
      <c r="J95" s="6" t="s">
        <v>1119</v>
      </c>
      <c r="K95" s="6">
        <v>71396</v>
      </c>
      <c r="L95" s="7" t="s">
        <v>7694</v>
      </c>
      <c r="M95" s="8">
        <v>24869</v>
      </c>
      <c r="N95" s="8" t="str">
        <f t="shared" si="17"/>
        <v>PEN</v>
      </c>
      <c r="O95" s="13"/>
      <c r="P95" s="13">
        <v>46</v>
      </c>
      <c r="Q95" s="3">
        <f t="shared" si="11"/>
        <v>0</v>
      </c>
      <c r="R95" s="3">
        <f t="shared" si="12"/>
        <v>46</v>
      </c>
      <c r="S95" s="3">
        <f t="shared" si="13"/>
        <v>-34.829999999999927</v>
      </c>
      <c r="T95" s="24" t="s">
        <v>1081</v>
      </c>
      <c r="U95" s="24"/>
      <c r="V95" s="3"/>
      <c r="W95" s="25" t="s">
        <v>6539</v>
      </c>
      <c r="X95" s="25">
        <v>20497914885</v>
      </c>
      <c r="Y95" s="25" t="str">
        <f>IFERROR(VLOOKUP(C_Ope_008[[#This Row],[NOTA 2]],Clientes_Proveedores[[Ruc / Dni]:[Razon Social]],2,0),"")</f>
        <v>REPUESTOS Y MAQUINARIAS S.A.</v>
      </c>
      <c r="Z95" s="25"/>
      <c r="AA95" s="25"/>
      <c r="AB95" s="3" t="str">
        <f>IF(C_Ope_008[[#This Row],[FECHA]]&gt;0,TEXT(C_Ope_008[[#This Row],[FECHA]],"mmmm"),0)</f>
        <v>Julio</v>
      </c>
    </row>
    <row r="96" spans="2:28" ht="24" x14ac:dyDescent="0.3">
      <c r="B96" s="2">
        <f>IF(C_Ope_008[[#This Row],[TIPO DE R.]]="R",COUNTIFS($D$4:$D95,"R")+1,"")</f>
        <v>92</v>
      </c>
      <c r="C96" s="19" t="str">
        <f t="shared" si="16"/>
        <v>C_Ope_008</v>
      </c>
      <c r="D96" s="3" t="s">
        <v>1074</v>
      </c>
      <c r="E96" s="14">
        <v>45849</v>
      </c>
      <c r="F96" s="5" t="s">
        <v>4433</v>
      </c>
      <c r="G96" s="5" t="s">
        <v>1079</v>
      </c>
      <c r="H96" s="6" t="s">
        <v>945</v>
      </c>
      <c r="I96" s="6" t="s">
        <v>14</v>
      </c>
      <c r="J96" s="6" t="s">
        <v>1121</v>
      </c>
      <c r="K96" s="6">
        <v>1026</v>
      </c>
      <c r="L96" s="7" t="s">
        <v>7695</v>
      </c>
      <c r="M96" s="8">
        <v>24870</v>
      </c>
      <c r="N96" s="8" t="str">
        <f t="shared" si="17"/>
        <v>PEN</v>
      </c>
      <c r="O96" s="13"/>
      <c r="P96" s="13">
        <v>20</v>
      </c>
      <c r="Q96" s="3">
        <f t="shared" si="11"/>
        <v>0</v>
      </c>
      <c r="R96" s="3">
        <f t="shared" si="12"/>
        <v>20</v>
      </c>
      <c r="S96" s="3">
        <f t="shared" si="13"/>
        <v>-54.829999999999927</v>
      </c>
      <c r="T96" s="24" t="s">
        <v>1081</v>
      </c>
      <c r="U96" s="24"/>
      <c r="V96" s="3"/>
      <c r="W96" s="25" t="s">
        <v>6546</v>
      </c>
      <c r="X96" s="25">
        <v>20610943625</v>
      </c>
      <c r="Y96" s="25" t="str">
        <f>IFERROR(VLOOKUP(C_Ope_008[[#This Row],[NOTA 2]],Clientes_Proveedores[[Ruc / Dni]:[Razon Social]],2,0),"")</f>
        <v>G Y A MULTISERVICIOS EL TREBOL S.R.L.</v>
      </c>
      <c r="Z96" s="25"/>
      <c r="AA96" s="25"/>
      <c r="AB96" s="3" t="str">
        <f>IF(C_Ope_008[[#This Row],[FECHA]]&gt;0,TEXT(C_Ope_008[[#This Row],[FECHA]],"mmmm"),0)</f>
        <v>Julio</v>
      </c>
    </row>
    <row r="97" spans="2:28" ht="24" x14ac:dyDescent="0.3">
      <c r="B97" s="2">
        <f>IF(C_Ope_008[[#This Row],[TIPO DE R.]]="R",COUNTIFS($D$4:$D96,"R")+1,"")</f>
        <v>93</v>
      </c>
      <c r="C97" s="19" t="str">
        <f t="shared" si="16"/>
        <v>C_Ope_008</v>
      </c>
      <c r="D97" s="3" t="s">
        <v>1074</v>
      </c>
      <c r="E97" s="14">
        <v>45849</v>
      </c>
      <c r="F97" s="5" t="s">
        <v>4433</v>
      </c>
      <c r="G97" s="5" t="s">
        <v>1079</v>
      </c>
      <c r="H97" s="6" t="s">
        <v>975</v>
      </c>
      <c r="I97" s="6" t="s">
        <v>21</v>
      </c>
      <c r="J97" s="6">
        <v>1</v>
      </c>
      <c r="K97" s="6">
        <v>85</v>
      </c>
      <c r="L97" s="7" t="s">
        <v>7696</v>
      </c>
      <c r="M97" s="8">
        <v>24871</v>
      </c>
      <c r="N97" s="8" t="str">
        <f t="shared" si="17"/>
        <v>PEN</v>
      </c>
      <c r="O97" s="13"/>
      <c r="P97" s="13">
        <v>70</v>
      </c>
      <c r="Q97" s="3">
        <f t="shared" si="11"/>
        <v>0</v>
      </c>
      <c r="R97" s="3">
        <f t="shared" si="12"/>
        <v>70</v>
      </c>
      <c r="S97" s="3">
        <f t="shared" si="13"/>
        <v>-124.82999999999993</v>
      </c>
      <c r="T97" s="24" t="s">
        <v>1081</v>
      </c>
      <c r="U97" s="24"/>
      <c r="V97" s="3"/>
      <c r="W97" s="25" t="s">
        <v>6950</v>
      </c>
      <c r="X97" s="25">
        <v>10704693015</v>
      </c>
      <c r="Y97" s="25" t="str">
        <f>IFERROR(VLOOKUP(C_Ope_008[[#This Row],[NOTA 2]],Clientes_Proveedores[[Ruc / Dni]:[Razon Social]],2,0),"")</f>
        <v>RODRIGUEZ PUTAPAÑA JUAN LUIS</v>
      </c>
      <c r="Z97" s="25"/>
      <c r="AA97" s="25"/>
      <c r="AB97" s="3" t="str">
        <f>IF(C_Ope_008[[#This Row],[FECHA]]&gt;0,TEXT(C_Ope_008[[#This Row],[FECHA]],"mmmm"),0)</f>
        <v>Julio</v>
      </c>
    </row>
    <row r="98" spans="2:28" ht="24" x14ac:dyDescent="0.3">
      <c r="B98" s="2">
        <f>IF(C_Ope_008[[#This Row],[TIPO DE R.]]="R",COUNTIFS($D$4:$D97,"R")+1,"")</f>
        <v>94</v>
      </c>
      <c r="C98" s="19" t="str">
        <f>"C_Ope_008"</f>
        <v>C_Ope_008</v>
      </c>
      <c r="D98" s="3" t="s">
        <v>1074</v>
      </c>
      <c r="E98" s="14">
        <v>45850</v>
      </c>
      <c r="F98" s="5" t="s">
        <v>4433</v>
      </c>
      <c r="G98" s="5" t="s">
        <v>1079</v>
      </c>
      <c r="H98" s="6" t="s">
        <v>946</v>
      </c>
      <c r="I98" s="6" t="s">
        <v>14</v>
      </c>
      <c r="J98" s="6" t="s">
        <v>1121</v>
      </c>
      <c r="K98" s="6">
        <v>79799</v>
      </c>
      <c r="L98" s="7" t="s">
        <v>7697</v>
      </c>
      <c r="M98" s="8">
        <v>24884</v>
      </c>
      <c r="N98" s="8" t="str">
        <f>"PEN"</f>
        <v>PEN</v>
      </c>
      <c r="O98" s="13"/>
      <c r="P98" s="13">
        <v>9</v>
      </c>
      <c r="Q98" s="3">
        <f t="shared" si="11"/>
        <v>0</v>
      </c>
      <c r="R98" s="3">
        <f t="shared" si="12"/>
        <v>9</v>
      </c>
      <c r="S98" s="3">
        <f t="shared" si="13"/>
        <v>-133.82999999999993</v>
      </c>
      <c r="T98" s="24" t="s">
        <v>1081</v>
      </c>
      <c r="U98" s="24"/>
      <c r="V98" s="3"/>
      <c r="W98" s="25" t="s">
        <v>6541</v>
      </c>
      <c r="X98" s="25">
        <v>20603219377</v>
      </c>
      <c r="Y98" s="25" t="str">
        <f>IFERROR(VLOOKUP(C_Ope_008[[#This Row],[NOTA 2]],Clientes_Proveedores[[Ruc / Dni]:[Razon Social]],2,0),"")</f>
        <v>REMINSUR S.R.L.</v>
      </c>
      <c r="Z98" s="25"/>
      <c r="AA98" s="25"/>
      <c r="AB98" s="3" t="str">
        <f>IF(C_Ope_008[[#This Row],[FECHA]]&gt;0,TEXT(C_Ope_008[[#This Row],[FECHA]],"mmmm"),0)</f>
        <v>Julio</v>
      </c>
    </row>
    <row r="99" spans="2:28" ht="36" x14ac:dyDescent="0.3">
      <c r="B99" s="2">
        <f>IF(C_Ope_008[[#This Row],[TIPO DE R.]]="R",COUNTIFS($D$4:$D98,"R")+1,"")</f>
        <v>95</v>
      </c>
      <c r="C99" s="19" t="str">
        <f t="shared" ref="C99:C101" si="18">"C_Ope_008"</f>
        <v>C_Ope_008</v>
      </c>
      <c r="D99" s="3" t="s">
        <v>1074</v>
      </c>
      <c r="E99" s="14">
        <v>45852</v>
      </c>
      <c r="F99" s="5" t="s">
        <v>4433</v>
      </c>
      <c r="G99" s="5" t="s">
        <v>1079</v>
      </c>
      <c r="H99" s="6" t="s">
        <v>943</v>
      </c>
      <c r="I99" s="6" t="s">
        <v>14</v>
      </c>
      <c r="J99" s="6" t="s">
        <v>1088</v>
      </c>
      <c r="K99" s="6">
        <v>2190</v>
      </c>
      <c r="L99" s="7" t="s">
        <v>7698</v>
      </c>
      <c r="M99" s="8">
        <v>24881</v>
      </c>
      <c r="N99" s="8" t="str">
        <f t="shared" ref="N99:N101" si="19">"PEN"</f>
        <v>PEN</v>
      </c>
      <c r="O99" s="13"/>
      <c r="P99" s="13">
        <v>50</v>
      </c>
      <c r="Q99" s="3">
        <f t="shared" si="11"/>
        <v>0</v>
      </c>
      <c r="R99" s="3">
        <f t="shared" si="12"/>
        <v>50</v>
      </c>
      <c r="S99" s="3">
        <f t="shared" si="13"/>
        <v>-183.82999999999993</v>
      </c>
      <c r="T99" s="24" t="s">
        <v>1081</v>
      </c>
      <c r="U99" s="24"/>
      <c r="V99" s="3"/>
      <c r="W99" s="25" t="s">
        <v>6546</v>
      </c>
      <c r="X99" s="25">
        <v>20600725417</v>
      </c>
      <c r="Y99" s="25" t="str">
        <f>IFERROR(VLOOKUP(C_Ope_008[[#This Row],[NOTA 2]],Clientes_Proveedores[[Ruc / Dni]:[Razon Social]],2,0),"")</f>
        <v>DISTRIBUIDORA AREQUIPA MAJES E.I.R.L.</v>
      </c>
      <c r="Z99" s="25"/>
      <c r="AA99" s="25"/>
      <c r="AB99" s="3" t="str">
        <f>IF(C_Ope_008[[#This Row],[FECHA]]&gt;0,TEXT(C_Ope_008[[#This Row],[FECHA]],"mmmm"),0)</f>
        <v>Julio</v>
      </c>
    </row>
    <row r="100" spans="2:28" ht="24" x14ac:dyDescent="0.3">
      <c r="B100" s="2">
        <f>IF(C_Ope_008[[#This Row],[TIPO DE R.]]="R",COUNTIFS($D$4:$D99,"R")+1,"")</f>
        <v>96</v>
      </c>
      <c r="C100" s="19" t="str">
        <f t="shared" si="18"/>
        <v>C_Ope_008</v>
      </c>
      <c r="D100" s="3" t="s">
        <v>1074</v>
      </c>
      <c r="E100" s="14">
        <v>45852</v>
      </c>
      <c r="F100" s="5" t="s">
        <v>4433</v>
      </c>
      <c r="G100" s="5" t="s">
        <v>1079</v>
      </c>
      <c r="H100" s="6" t="s">
        <v>944</v>
      </c>
      <c r="I100" s="6" t="s">
        <v>14</v>
      </c>
      <c r="J100" s="6" t="s">
        <v>1119</v>
      </c>
      <c r="K100" s="6">
        <v>67808</v>
      </c>
      <c r="L100" s="7" t="s">
        <v>7699</v>
      </c>
      <c r="M100" s="8">
        <v>24882</v>
      </c>
      <c r="N100" s="8" t="str">
        <f t="shared" si="19"/>
        <v>PEN</v>
      </c>
      <c r="O100" s="13"/>
      <c r="P100" s="13">
        <v>70</v>
      </c>
      <c r="Q100" s="3">
        <f t="shared" si="11"/>
        <v>0</v>
      </c>
      <c r="R100" s="3">
        <f t="shared" si="12"/>
        <v>70</v>
      </c>
      <c r="S100" s="3">
        <f t="shared" si="13"/>
        <v>-253.82999999999993</v>
      </c>
      <c r="T100" s="24" t="s">
        <v>1081</v>
      </c>
      <c r="U100" s="24"/>
      <c r="V100" s="3"/>
      <c r="W100" s="25" t="s">
        <v>6546</v>
      </c>
      <c r="X100" s="25">
        <v>20453904971</v>
      </c>
      <c r="Y100" s="25" t="str">
        <f>IFERROR(VLOOKUP(C_Ope_008[[#This Row],[NOTA 2]],Clientes_Proveedores[[Ruc / Dni]:[Razon Social]],2,0),"")</f>
        <v>REPUESTOS NUEVA ERA E.I.R.L.</v>
      </c>
      <c r="Z100" s="25"/>
      <c r="AA100" s="25"/>
      <c r="AB100" s="3" t="str">
        <f>IF(C_Ope_008[[#This Row],[FECHA]]&gt;0,TEXT(C_Ope_008[[#This Row],[FECHA]],"mmmm"),0)</f>
        <v>Julio</v>
      </c>
    </row>
    <row r="101" spans="2:28" ht="36" x14ac:dyDescent="0.3">
      <c r="B101" s="2">
        <f>IF(C_Ope_008[[#This Row],[TIPO DE R.]]="R",COUNTIFS($D$4:$D100,"R")+1,"")</f>
        <v>97</v>
      </c>
      <c r="C101" s="19" t="str">
        <f t="shared" si="18"/>
        <v>C_Ope_008</v>
      </c>
      <c r="D101" s="3" t="s">
        <v>1074</v>
      </c>
      <c r="E101" s="14">
        <v>45852</v>
      </c>
      <c r="F101" s="5" t="s">
        <v>4433</v>
      </c>
      <c r="G101" s="5" t="s">
        <v>1079</v>
      </c>
      <c r="H101" s="6" t="s">
        <v>506</v>
      </c>
      <c r="I101" s="6" t="s">
        <v>14</v>
      </c>
      <c r="J101" s="6" t="s">
        <v>1429</v>
      </c>
      <c r="K101" s="6">
        <v>44341</v>
      </c>
      <c r="L101" s="7" t="s">
        <v>7700</v>
      </c>
      <c r="M101" s="8">
        <v>24883</v>
      </c>
      <c r="N101" s="8" t="str">
        <f t="shared" si="19"/>
        <v>PEN</v>
      </c>
      <c r="O101" s="13"/>
      <c r="P101" s="13">
        <v>13</v>
      </c>
      <c r="Q101" s="3">
        <f t="shared" si="11"/>
        <v>0</v>
      </c>
      <c r="R101" s="3">
        <f t="shared" si="12"/>
        <v>13</v>
      </c>
      <c r="S101" s="3">
        <f t="shared" ref="S101:S117" si="20">IFERROR(IF(G101="SALDO",Q101,S100+Q101-R101),0)</f>
        <v>-266.82999999999993</v>
      </c>
      <c r="T101" s="24" t="s">
        <v>1081</v>
      </c>
      <c r="U101" s="24"/>
      <c r="V101" s="3"/>
      <c r="W101" s="25" t="s">
        <v>6747</v>
      </c>
      <c r="X101" s="25">
        <v>20608545591</v>
      </c>
      <c r="Y101" s="25" t="str">
        <f>IFERROR(VLOOKUP(C_Ope_008[[#This Row],[NOTA 2]],Clientes_Proveedores[[Ruc / Dni]:[Razon Social]],2,0),"")</f>
        <v>REPUESTOS ELIBEM IMPORTACIONES S.R.L.</v>
      </c>
      <c r="Z101" s="25"/>
      <c r="AA101" s="25"/>
      <c r="AB101" s="3" t="str">
        <f>IF(C_Ope_008[[#This Row],[FECHA]]&gt;0,TEXT(C_Ope_008[[#This Row],[FECHA]],"mmmm"),0)</f>
        <v>Julio</v>
      </c>
    </row>
    <row r="102" spans="2:28" ht="36" x14ac:dyDescent="0.3">
      <c r="B102" s="2">
        <f>IF(C_Ope_008[[#This Row],[TIPO DE R.]]="R",COUNTIFS($D$4:$D101,"R")+1,"")</f>
        <v>98</v>
      </c>
      <c r="C102" s="19" t="str">
        <f>"C_Ope_008"</f>
        <v>C_Ope_008</v>
      </c>
      <c r="D102" s="3" t="s">
        <v>1074</v>
      </c>
      <c r="E102" s="14">
        <v>45853</v>
      </c>
      <c r="F102" s="5" t="s">
        <v>4433</v>
      </c>
      <c r="G102" s="5" t="s">
        <v>1079</v>
      </c>
      <c r="H102" s="6" t="s">
        <v>968</v>
      </c>
      <c r="I102" s="6" t="s">
        <v>14</v>
      </c>
      <c r="J102" s="6" t="s">
        <v>1148</v>
      </c>
      <c r="K102" s="6">
        <v>4670</v>
      </c>
      <c r="L102" s="7" t="s">
        <v>7701</v>
      </c>
      <c r="M102" s="8">
        <v>24896</v>
      </c>
      <c r="N102" s="8" t="str">
        <f>"PEN"</f>
        <v>PEN</v>
      </c>
      <c r="O102" s="13"/>
      <c r="P102" s="13">
        <v>65</v>
      </c>
      <c r="Q102" s="3">
        <f>+IF(OR($G102="SALDO",$G102="INGRESO"),$P102,0)</f>
        <v>0</v>
      </c>
      <c r="R102" s="3">
        <f>+IF($G102="EGRESO",$P102,0)</f>
        <v>65</v>
      </c>
      <c r="S102" s="3">
        <f t="shared" si="20"/>
        <v>-331.82999999999993</v>
      </c>
      <c r="T102" s="24" t="s">
        <v>1081</v>
      </c>
      <c r="U102" s="24"/>
      <c r="V102" s="3"/>
      <c r="W102" s="25" t="s">
        <v>6546</v>
      </c>
      <c r="X102" s="25">
        <v>20434848262</v>
      </c>
      <c r="Y102" s="25" t="str">
        <f>IFERROR(VLOOKUP(C_Ope_008[[#This Row],[NOTA 2]],Clientes_Proveedores[[Ruc / Dni]:[Razon Social]],2,0),"")</f>
        <v>JLU REPRESENTACIONES E.I.R.L.</v>
      </c>
      <c r="Z102" s="25"/>
      <c r="AA102" s="25"/>
      <c r="AB102" s="3" t="str">
        <f>IF(C_Ope_008[[#This Row],[FECHA]]&gt;0,TEXT(C_Ope_008[[#This Row],[FECHA]],"mmmm"),0)</f>
        <v>Julio</v>
      </c>
    </row>
    <row r="103" spans="2:28" x14ac:dyDescent="0.3">
      <c r="B103" s="2">
        <f>IF(C_Ope_008[[#This Row],[TIPO DE R.]]="R",COUNTIFS($D$4:$D102,"R")+1,"")</f>
        <v>99</v>
      </c>
      <c r="C103" s="19" t="str">
        <f>"C_Ope_008"</f>
        <v>C_Ope_008</v>
      </c>
      <c r="D103" s="3" t="s">
        <v>1074</v>
      </c>
      <c r="E103" s="14">
        <v>45854</v>
      </c>
      <c r="F103" s="5" t="s">
        <v>3353</v>
      </c>
      <c r="G103" s="5" t="s">
        <v>1087</v>
      </c>
      <c r="H103" s="6"/>
      <c r="I103" s="6"/>
      <c r="J103" s="6"/>
      <c r="K103" s="6"/>
      <c r="L103" s="7" t="s">
        <v>7702</v>
      </c>
      <c r="M103" s="8">
        <v>24899</v>
      </c>
      <c r="N103" s="8" t="str">
        <f>"PEN"</f>
        <v>PEN</v>
      </c>
      <c r="O103" s="13"/>
      <c r="P103" s="13">
        <v>400</v>
      </c>
      <c r="Q103" s="3">
        <f>+IF(OR($G103="SALDO",$G103="INGRESO"),$P103,0)</f>
        <v>400</v>
      </c>
      <c r="R103" s="3">
        <f>+IF($G103="EGRESO",$P103,0)</f>
        <v>0</v>
      </c>
      <c r="S103" s="3">
        <f t="shared" si="20"/>
        <v>68.170000000000073</v>
      </c>
      <c r="T103" s="24"/>
      <c r="U103" s="24"/>
      <c r="V103" s="3"/>
      <c r="W103" s="25"/>
      <c r="X103" s="25"/>
      <c r="Y103" s="25" t="str">
        <f>IFERROR(VLOOKUP(C_Ope_008[[#This Row],[NOTA 2]],Clientes_Proveedores[[Ruc / Dni]:[Razon Social]],2,0),"")</f>
        <v/>
      </c>
      <c r="Z103" s="25"/>
      <c r="AA103" s="25"/>
      <c r="AB103" s="3" t="str">
        <f>IF(C_Ope_008[[#This Row],[FECHA]]&gt;0,TEXT(C_Ope_008[[#This Row],[FECHA]],"mmmm"),0)</f>
        <v>Julio</v>
      </c>
    </row>
    <row r="104" spans="2:28" ht="24" x14ac:dyDescent="0.3">
      <c r="B104" s="2">
        <f>IF(C_Ope_008[[#This Row],[TIPO DE R.]]="R",COUNTIFS($D$4:$D103,"R")+1,"")</f>
        <v>100</v>
      </c>
      <c r="C104" s="19" t="str">
        <f>"C_Ope_008"</f>
        <v>C_Ope_008</v>
      </c>
      <c r="D104" s="3" t="s">
        <v>1074</v>
      </c>
      <c r="E104" s="14">
        <v>45860</v>
      </c>
      <c r="F104" s="5" t="s">
        <v>4433</v>
      </c>
      <c r="G104" s="5" t="s">
        <v>1079</v>
      </c>
      <c r="H104" s="6" t="s">
        <v>995</v>
      </c>
      <c r="I104" s="6" t="s">
        <v>14</v>
      </c>
      <c r="J104" s="6" t="s">
        <v>1119</v>
      </c>
      <c r="K104" s="6">
        <v>7851</v>
      </c>
      <c r="L104" s="7" t="s">
        <v>7703</v>
      </c>
      <c r="M104" s="8">
        <v>25000</v>
      </c>
      <c r="N104" s="8" t="str">
        <f>"PEN"</f>
        <v>PEN</v>
      </c>
      <c r="O104" s="13"/>
      <c r="P104" s="13">
        <v>63</v>
      </c>
      <c r="Q104" s="3">
        <f>+IF(OR($G104="SALDO",$G104="INGRESO"),$P104,0)</f>
        <v>0</v>
      </c>
      <c r="R104" s="3">
        <f>+IF($G104="EGRESO",$P104,0)</f>
        <v>63</v>
      </c>
      <c r="S104" s="3">
        <f t="shared" si="20"/>
        <v>5.1700000000000728</v>
      </c>
      <c r="T104" s="24" t="s">
        <v>1081</v>
      </c>
      <c r="U104" s="24"/>
      <c r="V104" s="3"/>
      <c r="W104" s="25" t="s">
        <v>6950</v>
      </c>
      <c r="X104" s="25">
        <v>10413228722</v>
      </c>
      <c r="Y104" s="25" t="str">
        <f>IFERROR(VLOOKUP(C_Ope_008[[#This Row],[NOTA 2]],Clientes_Proveedores[[Ruc / Dni]:[Razon Social]],2,0),"")</f>
        <v>LLAMO FLORES CARLOS MANUEL</v>
      </c>
      <c r="Z104" s="25"/>
      <c r="AA104" s="25"/>
      <c r="AB104" s="3" t="str">
        <f>IF(C_Ope_008[[#This Row],[FECHA]]&gt;0,TEXT(C_Ope_008[[#This Row],[FECHA]],"mmmm"),0)</f>
        <v>Julio</v>
      </c>
    </row>
    <row r="105" spans="2:28" ht="24" x14ac:dyDescent="0.3">
      <c r="B105" s="2">
        <f>IF(C_Ope_008[[#This Row],[TIPO DE R.]]="R",COUNTIFS($D$4:$D104,"R")+1,"")</f>
        <v>101</v>
      </c>
      <c r="C105" s="19" t="str">
        <f>"C_Ope_008"</f>
        <v>C_Ope_008</v>
      </c>
      <c r="D105" s="3" t="s">
        <v>1074</v>
      </c>
      <c r="E105" s="14">
        <v>45860</v>
      </c>
      <c r="F105" s="5" t="s">
        <v>4433</v>
      </c>
      <c r="G105" s="5" t="s">
        <v>1079</v>
      </c>
      <c r="H105" s="6" t="s">
        <v>996</v>
      </c>
      <c r="I105" s="6" t="s">
        <v>21</v>
      </c>
      <c r="J105" s="6">
        <v>1</v>
      </c>
      <c r="K105" s="6">
        <v>11427</v>
      </c>
      <c r="L105" s="7" t="s">
        <v>7704</v>
      </c>
      <c r="M105" s="8">
        <v>25001</v>
      </c>
      <c r="N105" s="8" t="str">
        <f>"PEN"</f>
        <v>PEN</v>
      </c>
      <c r="O105" s="13"/>
      <c r="P105" s="13">
        <v>23</v>
      </c>
      <c r="Q105" s="3">
        <f>+IF(OR($G105="SALDO",$G105="INGRESO"),$P105,0)</f>
        <v>0</v>
      </c>
      <c r="R105" s="3">
        <f>+IF($G105="EGRESO",$P105,0)</f>
        <v>23</v>
      </c>
      <c r="S105" s="3">
        <f t="shared" si="20"/>
        <v>-17.829999999999927</v>
      </c>
      <c r="T105" s="24" t="s">
        <v>1081</v>
      </c>
      <c r="U105" s="24"/>
      <c r="V105" s="3"/>
      <c r="W105" s="25" t="s">
        <v>6950</v>
      </c>
      <c r="X105" s="25">
        <v>10429073796</v>
      </c>
      <c r="Y105" s="25" t="str">
        <f>IFERROR(VLOOKUP(C_Ope_008[[#This Row],[NOTA 2]],Clientes_Proveedores[[Ruc / Dni]:[Razon Social]],2,0),"")</f>
        <v>MAQUERA NAVEZ OSCAR NICANOR</v>
      </c>
      <c r="Z105" s="25"/>
      <c r="AA105" s="25"/>
      <c r="AB105" s="3" t="str">
        <f>IF(C_Ope_008[[#This Row],[FECHA]]&gt;0,TEXT(C_Ope_008[[#This Row],[FECHA]],"mmmm"),0)</f>
        <v>Julio</v>
      </c>
    </row>
    <row r="106" spans="2:28" x14ac:dyDescent="0.3">
      <c r="B106" s="2">
        <f>IF(C_Ope_008[[#This Row],[TIPO DE R.]]="R",COUNTIFS($D$4:$D105,"R")+1,"")</f>
        <v>102</v>
      </c>
      <c r="C106" s="19" t="str">
        <f>"C_Ope_008"</f>
        <v>C_Ope_008</v>
      </c>
      <c r="D106" s="3" t="s">
        <v>1074</v>
      </c>
      <c r="E106" s="14">
        <v>45880</v>
      </c>
      <c r="F106" s="5" t="s">
        <v>3353</v>
      </c>
      <c r="G106" s="5" t="s">
        <v>1087</v>
      </c>
      <c r="H106" s="6"/>
      <c r="I106" s="6"/>
      <c r="J106" s="6"/>
      <c r="K106" s="6"/>
      <c r="L106" s="7" t="s">
        <v>7702</v>
      </c>
      <c r="M106" s="8">
        <v>25118</v>
      </c>
      <c r="N106" s="8" t="str">
        <f>"PEN"</f>
        <v>PEN</v>
      </c>
      <c r="O106" s="13"/>
      <c r="P106" s="13">
        <v>200</v>
      </c>
      <c r="Q106" s="3">
        <f>+IF(OR($G106="SALDO",$G106="INGRESO"),$P106,0)</f>
        <v>200</v>
      </c>
      <c r="R106" s="3">
        <f>+IF($G106="EGRESO",$P106,0)</f>
        <v>0</v>
      </c>
      <c r="S106" s="3">
        <f t="shared" si="20"/>
        <v>182.17000000000007</v>
      </c>
      <c r="T106" s="24"/>
      <c r="U106" s="24"/>
      <c r="V106" s="3"/>
      <c r="W106" s="25"/>
      <c r="X106" s="25"/>
      <c r="Y106" s="25" t="str">
        <f>IFERROR(VLOOKUP(C_Ope_008[[#This Row],[NOTA 2]],Clientes_Proveedores[[Ruc / Dni]:[Razon Social]],2,0),"")</f>
        <v/>
      </c>
      <c r="Z106" s="25"/>
      <c r="AA106" s="25"/>
      <c r="AB106" s="3" t="str">
        <f>IF(C_Ope_008[[#This Row],[FECHA]]&gt;0,TEXT(C_Ope_008[[#This Row],[FECHA]],"mmmm"),0)</f>
        <v>Agosto</v>
      </c>
    </row>
    <row r="107" spans="2:28" ht="36" x14ac:dyDescent="0.3">
      <c r="B107" s="2">
        <f>IF(C_Ope_008[[#This Row],[TIPO DE R.]]="R",COUNTIFS($D$4:$D106,"R")+1,"")</f>
        <v>103</v>
      </c>
      <c r="C107" s="19" t="str">
        <f t="shared" ref="C107:C117" si="21">"C_Ope_008"</f>
        <v>C_Ope_008</v>
      </c>
      <c r="D107" s="3" t="s">
        <v>1074</v>
      </c>
      <c r="E107" s="14">
        <v>45882</v>
      </c>
      <c r="F107" s="5" t="s">
        <v>4433</v>
      </c>
      <c r="G107" s="5" t="s">
        <v>1079</v>
      </c>
      <c r="H107" s="6" t="s">
        <v>1018</v>
      </c>
      <c r="I107" s="6" t="s">
        <v>14</v>
      </c>
      <c r="J107" s="6" t="s">
        <v>1821</v>
      </c>
      <c r="K107" s="6">
        <v>1008</v>
      </c>
      <c r="L107" s="7" t="s">
        <v>7705</v>
      </c>
      <c r="M107" s="8">
        <v>25164</v>
      </c>
      <c r="N107" s="8" t="str">
        <f t="shared" ref="N107:N117" si="22">"PEN"</f>
        <v>PEN</v>
      </c>
      <c r="O107" s="13"/>
      <c r="P107" s="13">
        <v>60</v>
      </c>
      <c r="Q107" s="3">
        <f t="shared" ref="Q107:Q117" si="23">+IF(OR($G107="SALDO",$G107="INGRESO"),$P107,0)</f>
        <v>0</v>
      </c>
      <c r="R107" s="3">
        <f t="shared" ref="R107:R117" si="24">+IF($G107="EGRESO",$P107,0)</f>
        <v>60</v>
      </c>
      <c r="S107" s="3">
        <f t="shared" si="20"/>
        <v>122.17000000000007</v>
      </c>
      <c r="T107" s="24" t="s">
        <v>1081</v>
      </c>
      <c r="U107" s="24"/>
      <c r="V107" s="3"/>
      <c r="W107" s="25" t="s">
        <v>6541</v>
      </c>
      <c r="X107" s="25">
        <v>20605533125</v>
      </c>
      <c r="Y107" s="25" t="str">
        <f>IFERROR(VLOOKUP(C_Ope_008[[#This Row],[NOTA 2]],Clientes_Proveedores[[Ruc / Dni]:[Razon Social]],2,0),"")</f>
        <v>E &amp; M SEÑALIZACIONES S.A.C.</v>
      </c>
      <c r="Z107" s="25"/>
      <c r="AA107" s="25"/>
      <c r="AB107" s="3" t="str">
        <f>IF(C_Ope_008[[#This Row],[FECHA]]&gt;0,TEXT(C_Ope_008[[#This Row],[FECHA]],"mmmm"),0)</f>
        <v>Agosto</v>
      </c>
    </row>
    <row r="108" spans="2:28" ht="24" x14ac:dyDescent="0.3">
      <c r="B108" s="2">
        <f>IF(C_Ope_008[[#This Row],[TIPO DE R.]]="R",COUNTIFS($D$4:$D107,"R")+1,"")</f>
        <v>104</v>
      </c>
      <c r="C108" s="19" t="str">
        <f t="shared" si="21"/>
        <v>C_Ope_008</v>
      </c>
      <c r="D108" s="3" t="s">
        <v>1074</v>
      </c>
      <c r="E108" s="14">
        <v>45884</v>
      </c>
      <c r="F108" s="5" t="s">
        <v>4433</v>
      </c>
      <c r="G108" s="5" t="s">
        <v>1079</v>
      </c>
      <c r="H108" s="6" t="s">
        <v>995</v>
      </c>
      <c r="I108" s="6" t="s">
        <v>14</v>
      </c>
      <c r="J108" s="6" t="s">
        <v>1119</v>
      </c>
      <c r="K108" s="6">
        <v>7923</v>
      </c>
      <c r="L108" s="7" t="s">
        <v>7706</v>
      </c>
      <c r="M108" s="8">
        <v>25176</v>
      </c>
      <c r="N108" s="8" t="str">
        <f t="shared" si="22"/>
        <v>PEN</v>
      </c>
      <c r="O108" s="13"/>
      <c r="P108" s="13">
        <v>88</v>
      </c>
      <c r="Q108" s="3">
        <f t="shared" si="23"/>
        <v>0</v>
      </c>
      <c r="R108" s="3">
        <f t="shared" si="24"/>
        <v>88</v>
      </c>
      <c r="S108" s="3">
        <f t="shared" si="20"/>
        <v>34.170000000000073</v>
      </c>
      <c r="T108" s="24" t="s">
        <v>1081</v>
      </c>
      <c r="U108" s="24"/>
      <c r="V108" s="3"/>
      <c r="W108" s="25" t="s">
        <v>6950</v>
      </c>
      <c r="X108" s="25">
        <v>10413228722</v>
      </c>
      <c r="Y108" s="25" t="str">
        <f>IFERROR(VLOOKUP(C_Ope_008[[#This Row],[NOTA 2]],Clientes_Proveedores[[Ruc / Dni]:[Razon Social]],2,0),"")</f>
        <v>LLAMO FLORES CARLOS MANUEL</v>
      </c>
      <c r="Z108" s="25"/>
      <c r="AA108" s="25"/>
      <c r="AB108" s="3" t="str">
        <f>IF(C_Ope_008[[#This Row],[FECHA]]&gt;0,TEXT(C_Ope_008[[#This Row],[FECHA]],"mmmm"),0)</f>
        <v>Agosto</v>
      </c>
    </row>
    <row r="109" spans="2:28" ht="24" x14ac:dyDescent="0.3">
      <c r="B109" s="2">
        <f>IF(C_Ope_008[[#This Row],[TIPO DE R.]]="R",COUNTIFS($D$4:$D108,"R")+1,"")</f>
        <v>105</v>
      </c>
      <c r="C109" s="19" t="str">
        <f t="shared" si="21"/>
        <v>C_Ope_008</v>
      </c>
      <c r="D109" s="3" t="s">
        <v>1074</v>
      </c>
      <c r="E109" s="14">
        <v>45884</v>
      </c>
      <c r="F109" s="5" t="s">
        <v>4433</v>
      </c>
      <c r="G109" s="5" t="s">
        <v>1079</v>
      </c>
      <c r="H109" s="6" t="s">
        <v>995</v>
      </c>
      <c r="I109" s="6" t="s">
        <v>14</v>
      </c>
      <c r="J109" s="6" t="s">
        <v>1119</v>
      </c>
      <c r="K109" s="6">
        <v>7924</v>
      </c>
      <c r="L109" s="7" t="s">
        <v>7707</v>
      </c>
      <c r="M109" s="8">
        <v>25177</v>
      </c>
      <c r="N109" s="8" t="str">
        <f t="shared" si="22"/>
        <v>PEN</v>
      </c>
      <c r="O109" s="13"/>
      <c r="P109" s="13">
        <v>83</v>
      </c>
      <c r="Q109" s="3">
        <f t="shared" si="23"/>
        <v>0</v>
      </c>
      <c r="R109" s="3">
        <f t="shared" si="24"/>
        <v>83</v>
      </c>
      <c r="S109" s="3">
        <f t="shared" si="20"/>
        <v>-48.829999999999927</v>
      </c>
      <c r="T109" s="24" t="s">
        <v>1081</v>
      </c>
      <c r="U109" s="24"/>
      <c r="V109" s="3"/>
      <c r="W109" s="25" t="s">
        <v>6950</v>
      </c>
      <c r="X109" s="25">
        <v>10413228722</v>
      </c>
      <c r="Y109" s="25" t="str">
        <f>IFERROR(VLOOKUP(C_Ope_008[[#This Row],[NOTA 2]],Clientes_Proveedores[[Ruc / Dni]:[Razon Social]],2,0),"")</f>
        <v>LLAMO FLORES CARLOS MANUEL</v>
      </c>
      <c r="Z109" s="25"/>
      <c r="AA109" s="25"/>
      <c r="AB109" s="3" t="str">
        <f>IF(C_Ope_008[[#This Row],[FECHA]]&gt;0,TEXT(C_Ope_008[[#This Row],[FECHA]],"mmmm"),0)</f>
        <v>Agosto</v>
      </c>
    </row>
    <row r="110" spans="2:28" ht="36" x14ac:dyDescent="0.3">
      <c r="B110" s="2">
        <f>IF(C_Ope_008[[#This Row],[TIPO DE R.]]="R",COUNTIFS($D$4:$D109,"R")+1,"")</f>
        <v>106</v>
      </c>
      <c r="C110" s="19" t="str">
        <f t="shared" si="21"/>
        <v>C_Ope_008</v>
      </c>
      <c r="D110" s="3" t="s">
        <v>1074</v>
      </c>
      <c r="E110" s="14">
        <v>45884</v>
      </c>
      <c r="F110" s="5" t="s">
        <v>4433</v>
      </c>
      <c r="G110" s="5" t="s">
        <v>1079</v>
      </c>
      <c r="H110" s="6" t="s">
        <v>1042</v>
      </c>
      <c r="I110" s="6" t="s">
        <v>14</v>
      </c>
      <c r="J110" s="6" t="s">
        <v>1148</v>
      </c>
      <c r="K110" s="6">
        <v>33914</v>
      </c>
      <c r="L110" s="7" t="s">
        <v>7708</v>
      </c>
      <c r="M110" s="8">
        <v>25178</v>
      </c>
      <c r="N110" s="8" t="str">
        <f t="shared" si="22"/>
        <v>PEN</v>
      </c>
      <c r="O110" s="13"/>
      <c r="P110" s="13">
        <v>51</v>
      </c>
      <c r="Q110" s="3">
        <f t="shared" si="23"/>
        <v>0</v>
      </c>
      <c r="R110" s="3">
        <f t="shared" si="24"/>
        <v>51</v>
      </c>
      <c r="S110" s="3">
        <f t="shared" si="20"/>
        <v>-99.829999999999927</v>
      </c>
      <c r="T110" s="24" t="s">
        <v>1081</v>
      </c>
      <c r="U110" s="24"/>
      <c r="V110" s="3"/>
      <c r="W110" s="25" t="s">
        <v>6950</v>
      </c>
      <c r="X110" s="25">
        <v>20601292727</v>
      </c>
      <c r="Y110" s="25" t="str">
        <f>IFERROR(VLOOKUP(C_Ope_008[[#This Row],[NOTA 2]],Clientes_Proveedores[[Ruc / Dni]:[Razon Social]],2,0),"")</f>
        <v>H &amp; P MANGUERAS Y CONEXIONES S.A.C.</v>
      </c>
      <c r="Z110" s="25"/>
      <c r="AA110" s="25"/>
      <c r="AB110" s="3" t="str">
        <f>IF(C_Ope_008[[#This Row],[FECHA]]&gt;0,TEXT(C_Ope_008[[#This Row],[FECHA]],"mmmm"),0)</f>
        <v>Agosto</v>
      </c>
    </row>
    <row r="111" spans="2:28" ht="24" x14ac:dyDescent="0.3">
      <c r="B111" s="2">
        <f>IF(C_Ope_008[[#This Row],[TIPO DE R.]]="R",COUNTIFS($D$4:$D110,"R")+1,"")</f>
        <v>107</v>
      </c>
      <c r="C111" s="19" t="str">
        <f t="shared" si="21"/>
        <v>C_Ope_008</v>
      </c>
      <c r="D111" s="3" t="s">
        <v>1074</v>
      </c>
      <c r="E111" s="14">
        <v>45884</v>
      </c>
      <c r="F111" s="5" t="s">
        <v>4433</v>
      </c>
      <c r="G111" s="5" t="s">
        <v>1079</v>
      </c>
      <c r="H111" s="6" t="s">
        <v>1042</v>
      </c>
      <c r="I111" s="6" t="s">
        <v>14</v>
      </c>
      <c r="J111" s="6" t="s">
        <v>1148</v>
      </c>
      <c r="K111" s="6">
        <v>33915</v>
      </c>
      <c r="L111" s="7" t="s">
        <v>7709</v>
      </c>
      <c r="M111" s="8">
        <v>25179</v>
      </c>
      <c r="N111" s="8" t="str">
        <f t="shared" si="22"/>
        <v>PEN</v>
      </c>
      <c r="O111" s="13"/>
      <c r="P111" s="13">
        <v>79</v>
      </c>
      <c r="Q111" s="3">
        <f t="shared" si="23"/>
        <v>0</v>
      </c>
      <c r="R111" s="3">
        <f t="shared" si="24"/>
        <v>79</v>
      </c>
      <c r="S111" s="3">
        <f t="shared" si="20"/>
        <v>-178.82999999999993</v>
      </c>
      <c r="T111" s="24" t="s">
        <v>1081</v>
      </c>
      <c r="U111" s="24"/>
      <c r="V111" s="3"/>
      <c r="W111" s="25" t="s">
        <v>6950</v>
      </c>
      <c r="X111" s="25">
        <v>20601292727</v>
      </c>
      <c r="Y111" s="25" t="str">
        <f>IFERROR(VLOOKUP(C_Ope_008[[#This Row],[NOTA 2]],Clientes_Proveedores[[Ruc / Dni]:[Razon Social]],2,0),"")</f>
        <v>H &amp; P MANGUERAS Y CONEXIONES S.A.C.</v>
      </c>
      <c r="Z111" s="25"/>
      <c r="AA111" s="25"/>
      <c r="AB111" s="3" t="str">
        <f>IF(C_Ope_008[[#This Row],[FECHA]]&gt;0,TEXT(C_Ope_008[[#This Row],[FECHA]],"mmmm"),0)</f>
        <v>Agosto</v>
      </c>
    </row>
    <row r="112" spans="2:28" ht="24" x14ac:dyDescent="0.3">
      <c r="B112" s="2">
        <f>IF(C_Ope_008[[#This Row],[TIPO DE R.]]="R",COUNTIFS($D$4:$D111,"R")+1,"")</f>
        <v>108</v>
      </c>
      <c r="C112" s="19" t="str">
        <f t="shared" si="21"/>
        <v>C_Ope_008</v>
      </c>
      <c r="D112" s="3" t="s">
        <v>1074</v>
      </c>
      <c r="E112" s="14">
        <v>45887</v>
      </c>
      <c r="F112" s="5" t="s">
        <v>4433</v>
      </c>
      <c r="G112" s="5" t="s">
        <v>1079</v>
      </c>
      <c r="H112" s="6" t="s">
        <v>1043</v>
      </c>
      <c r="I112" s="6" t="s">
        <v>14</v>
      </c>
      <c r="J112" s="6" t="s">
        <v>1148</v>
      </c>
      <c r="K112" s="6">
        <v>13959</v>
      </c>
      <c r="L112" s="7" t="s">
        <v>7710</v>
      </c>
      <c r="M112" s="8">
        <v>25180</v>
      </c>
      <c r="N112" s="8" t="str">
        <f t="shared" si="22"/>
        <v>PEN</v>
      </c>
      <c r="O112" s="13"/>
      <c r="P112" s="13">
        <v>25</v>
      </c>
      <c r="Q112" s="3">
        <f t="shared" si="23"/>
        <v>0</v>
      </c>
      <c r="R112" s="3">
        <f t="shared" si="24"/>
        <v>25</v>
      </c>
      <c r="S112" s="3">
        <f t="shared" si="20"/>
        <v>-203.82999999999993</v>
      </c>
      <c r="T112" s="24" t="s">
        <v>1081</v>
      </c>
      <c r="U112" s="24"/>
      <c r="V112" s="3"/>
      <c r="W112" s="25" t="s">
        <v>6541</v>
      </c>
      <c r="X112" s="25">
        <v>10294164630</v>
      </c>
      <c r="Y112" s="25" t="str">
        <f>IFERROR(VLOOKUP(C_Ope_008[[#This Row],[NOTA 2]],Clientes_Proveedores[[Ruc / Dni]:[Razon Social]],2,0),"")</f>
        <v>FLORES FLORES DOLORES MARIA</v>
      </c>
      <c r="Z112" s="25"/>
      <c r="AA112" s="25"/>
      <c r="AB112" s="3" t="str">
        <f>IF(C_Ope_008[[#This Row],[FECHA]]&gt;0,TEXT(C_Ope_008[[#This Row],[FECHA]],"mmmm"),0)</f>
        <v>Agosto</v>
      </c>
    </row>
    <row r="113" spans="2:28" ht="24" x14ac:dyDescent="0.3">
      <c r="B113" s="2">
        <f>IF(C_Ope_008[[#This Row],[TIPO DE R.]]="R",COUNTIFS($D$4:$D112,"R")+1,"")</f>
        <v>109</v>
      </c>
      <c r="C113" s="19" t="str">
        <f t="shared" si="21"/>
        <v>C_Ope_008</v>
      </c>
      <c r="D113" s="3" t="s">
        <v>1074</v>
      </c>
      <c r="E113" s="14">
        <v>45887</v>
      </c>
      <c r="F113" s="5" t="s">
        <v>4433</v>
      </c>
      <c r="G113" s="5" t="s">
        <v>1079</v>
      </c>
      <c r="H113" s="6" t="s">
        <v>1043</v>
      </c>
      <c r="I113" s="6" t="s">
        <v>14</v>
      </c>
      <c r="J113" s="6" t="s">
        <v>1148</v>
      </c>
      <c r="K113" s="6">
        <v>13970</v>
      </c>
      <c r="L113" s="7" t="s">
        <v>7711</v>
      </c>
      <c r="M113" s="8">
        <v>25181</v>
      </c>
      <c r="N113" s="8" t="str">
        <f t="shared" si="22"/>
        <v>PEN</v>
      </c>
      <c r="O113" s="13"/>
      <c r="P113" s="13">
        <v>10</v>
      </c>
      <c r="Q113" s="3">
        <f t="shared" si="23"/>
        <v>0</v>
      </c>
      <c r="R113" s="3">
        <f t="shared" si="24"/>
        <v>10</v>
      </c>
      <c r="S113" s="3">
        <f t="shared" si="20"/>
        <v>-213.82999999999993</v>
      </c>
      <c r="T113" s="24" t="s">
        <v>1081</v>
      </c>
      <c r="U113" s="24"/>
      <c r="V113" s="3"/>
      <c r="W113" s="25" t="s">
        <v>6546</v>
      </c>
      <c r="X113" s="25">
        <v>10294164630</v>
      </c>
      <c r="Y113" s="25" t="str">
        <f>IFERROR(VLOOKUP(C_Ope_008[[#This Row],[NOTA 2]],Clientes_Proveedores[[Ruc / Dni]:[Razon Social]],2,0),"")</f>
        <v>FLORES FLORES DOLORES MARIA</v>
      </c>
      <c r="Z113" s="25"/>
      <c r="AA113" s="25"/>
      <c r="AB113" s="3" t="str">
        <f>IF(C_Ope_008[[#This Row],[FECHA]]&gt;0,TEXT(C_Ope_008[[#This Row],[FECHA]],"mmmm"),0)</f>
        <v>Agosto</v>
      </c>
    </row>
    <row r="114" spans="2:28" ht="24" x14ac:dyDescent="0.3">
      <c r="B114" s="2">
        <f>IF(C_Ope_008[[#This Row],[TIPO DE R.]]="R",COUNTIFS($D$4:$D113,"R")+1,"")</f>
        <v>110</v>
      </c>
      <c r="C114" s="19" t="str">
        <f t="shared" si="21"/>
        <v>C_Ope_008</v>
      </c>
      <c r="D114" s="3" t="s">
        <v>1074</v>
      </c>
      <c r="E114" s="14">
        <v>45888</v>
      </c>
      <c r="F114" s="5" t="s">
        <v>4433</v>
      </c>
      <c r="G114" s="5" t="s">
        <v>1079</v>
      </c>
      <c r="H114" s="6" t="s">
        <v>1044</v>
      </c>
      <c r="I114" s="6" t="s">
        <v>14</v>
      </c>
      <c r="J114" s="6" t="s">
        <v>7712</v>
      </c>
      <c r="K114" s="6">
        <v>6303</v>
      </c>
      <c r="L114" s="7" t="s">
        <v>7713</v>
      </c>
      <c r="M114" s="8">
        <v>25193</v>
      </c>
      <c r="N114" s="8" t="str">
        <f t="shared" si="22"/>
        <v>PEN</v>
      </c>
      <c r="O114" s="13"/>
      <c r="P114" s="13">
        <v>7.5</v>
      </c>
      <c r="Q114" s="3">
        <f t="shared" si="23"/>
        <v>0</v>
      </c>
      <c r="R114" s="3">
        <f t="shared" si="24"/>
        <v>7.5</v>
      </c>
      <c r="S114" s="3">
        <f t="shared" si="20"/>
        <v>-221.32999999999993</v>
      </c>
      <c r="T114" s="24" t="s">
        <v>1081</v>
      </c>
      <c r="U114" s="24"/>
      <c r="V114" s="3"/>
      <c r="W114" s="25" t="s">
        <v>6546</v>
      </c>
      <c r="X114" s="25">
        <v>20601014956</v>
      </c>
      <c r="Y114" s="25" t="str">
        <f>IFERROR(VLOOKUP(C_Ope_008[[#This Row],[NOTA 2]],Clientes_Proveedores[[Ruc / Dni]:[Razon Social]],2,0),"")</f>
        <v>ELIBEM IMPORT E.I.R.L.</v>
      </c>
      <c r="Z114" s="25"/>
      <c r="AA114" s="25"/>
      <c r="AB114" s="3" t="str">
        <f>IF(C_Ope_008[[#This Row],[FECHA]]&gt;0,TEXT(C_Ope_008[[#This Row],[FECHA]],"mmmm"),0)</f>
        <v>Agosto</v>
      </c>
    </row>
    <row r="115" spans="2:28" ht="24" x14ac:dyDescent="0.3">
      <c r="B115" s="2">
        <f>IF(C_Ope_008[[#This Row],[TIPO DE R.]]="R",COUNTIFS($D$4:$D114,"R")+1,"")</f>
        <v>111</v>
      </c>
      <c r="C115" s="19" t="str">
        <f t="shared" si="21"/>
        <v>C_Ope_008</v>
      </c>
      <c r="D115" s="3" t="s">
        <v>1074</v>
      </c>
      <c r="E115" s="14">
        <v>45889</v>
      </c>
      <c r="F115" s="5" t="s">
        <v>4433</v>
      </c>
      <c r="G115" s="5" t="s">
        <v>1079</v>
      </c>
      <c r="H115" s="6" t="s">
        <v>1045</v>
      </c>
      <c r="I115" s="6" t="s">
        <v>14</v>
      </c>
      <c r="J115" s="6" t="s">
        <v>7714</v>
      </c>
      <c r="K115" s="6">
        <v>1453</v>
      </c>
      <c r="L115" s="7" t="s">
        <v>7715</v>
      </c>
      <c r="M115" s="8">
        <v>25205</v>
      </c>
      <c r="N115" s="8" t="str">
        <f t="shared" si="22"/>
        <v>PEN</v>
      </c>
      <c r="O115" s="13"/>
      <c r="P115" s="13">
        <v>41.73</v>
      </c>
      <c r="Q115" s="3">
        <f t="shared" si="23"/>
        <v>0</v>
      </c>
      <c r="R115" s="3">
        <f t="shared" si="24"/>
        <v>41.73</v>
      </c>
      <c r="S115" s="3">
        <f t="shared" si="20"/>
        <v>-263.05999999999995</v>
      </c>
      <c r="T115" s="24" t="s">
        <v>1081</v>
      </c>
      <c r="U115" s="24"/>
      <c r="V115" s="3"/>
      <c r="W115" s="25" t="s">
        <v>6541</v>
      </c>
      <c r="X115" s="25">
        <v>20611135271</v>
      </c>
      <c r="Y115" s="25" t="str">
        <f>IFERROR(VLOOKUP(C_Ope_008[[#This Row],[NOTA 2]],Clientes_Proveedores[[Ruc / Dni]:[Razon Social]],2,0),"")</f>
        <v>GASOLINERA LA PARCELA 45 S.A.C.</v>
      </c>
      <c r="Z115" s="25"/>
      <c r="AA115" s="25"/>
      <c r="AB115" s="3" t="str">
        <f>IF(C_Ope_008[[#This Row],[FECHA]]&gt;0,TEXT(C_Ope_008[[#This Row],[FECHA]],"mmmm"),0)</f>
        <v>Agosto</v>
      </c>
    </row>
    <row r="116" spans="2:28" ht="24" x14ac:dyDescent="0.3">
      <c r="B116" s="2">
        <f>IF(C_Ope_008[[#This Row],[TIPO DE R.]]="R",COUNTIFS($D$4:$D115,"R")+1,"")</f>
        <v>112</v>
      </c>
      <c r="C116" s="19" t="str">
        <f t="shared" si="21"/>
        <v>C_Ope_008</v>
      </c>
      <c r="D116" s="3" t="s">
        <v>1074</v>
      </c>
      <c r="E116" s="14">
        <v>45889</v>
      </c>
      <c r="F116" s="5" t="s">
        <v>4433</v>
      </c>
      <c r="G116" s="5" t="s">
        <v>1079</v>
      </c>
      <c r="H116" s="6" t="s">
        <v>995</v>
      </c>
      <c r="I116" s="6" t="s">
        <v>14</v>
      </c>
      <c r="J116" s="6" t="s">
        <v>1119</v>
      </c>
      <c r="K116" s="6">
        <v>7940</v>
      </c>
      <c r="L116" s="7" t="s">
        <v>7716</v>
      </c>
      <c r="M116" s="8">
        <v>25226</v>
      </c>
      <c r="N116" s="8" t="str">
        <f t="shared" si="22"/>
        <v>PEN</v>
      </c>
      <c r="O116" s="13"/>
      <c r="P116" s="13">
        <v>26</v>
      </c>
      <c r="Q116" s="3">
        <f t="shared" si="23"/>
        <v>0</v>
      </c>
      <c r="R116" s="3">
        <f t="shared" si="24"/>
        <v>26</v>
      </c>
      <c r="S116" s="3">
        <f t="shared" si="20"/>
        <v>-289.05999999999995</v>
      </c>
      <c r="T116" s="24" t="s">
        <v>1081</v>
      </c>
      <c r="U116" s="24"/>
      <c r="V116" s="3"/>
      <c r="W116" s="25" t="s">
        <v>6950</v>
      </c>
      <c r="X116" s="25">
        <v>10413228722</v>
      </c>
      <c r="Y116" s="25" t="str">
        <f>IFERROR(VLOOKUP(C_Ope_008[[#This Row],[NOTA 2]],Clientes_Proveedores[[Ruc / Dni]:[Razon Social]],2,0),"")</f>
        <v>LLAMO FLORES CARLOS MANUEL</v>
      </c>
      <c r="Z116" s="25"/>
      <c r="AA116" s="25"/>
      <c r="AB116" s="3" t="str">
        <f>IF(C_Ope_008[[#This Row],[FECHA]]&gt;0,TEXT(C_Ope_008[[#This Row],[FECHA]],"mmmm"),0)</f>
        <v>Agosto</v>
      </c>
    </row>
    <row r="117" spans="2:28" ht="36" x14ac:dyDescent="0.3">
      <c r="B117" s="2">
        <f>IF(C_Ope_008[[#This Row],[TIPO DE R.]]="R",COUNTIFS($D$4:$D116,"R")+1,"")</f>
        <v>113</v>
      </c>
      <c r="C117" s="19" t="str">
        <f t="shared" si="21"/>
        <v>C_Ope_008</v>
      </c>
      <c r="D117" s="3" t="s">
        <v>1074</v>
      </c>
      <c r="E117" s="14">
        <v>45894</v>
      </c>
      <c r="F117" s="5" t="s">
        <v>4433</v>
      </c>
      <c r="G117" s="5" t="s">
        <v>1079</v>
      </c>
      <c r="H117" s="6" t="s">
        <v>506</v>
      </c>
      <c r="I117" s="6" t="s">
        <v>14</v>
      </c>
      <c r="J117" s="6" t="s">
        <v>1429</v>
      </c>
      <c r="K117" s="6">
        <v>46024</v>
      </c>
      <c r="L117" s="7" t="s">
        <v>7717</v>
      </c>
      <c r="M117" s="8">
        <v>25257</v>
      </c>
      <c r="N117" s="8" t="str">
        <f t="shared" si="22"/>
        <v>PEN</v>
      </c>
      <c r="O117" s="13"/>
      <c r="P117" s="13">
        <v>13</v>
      </c>
      <c r="Q117" s="3">
        <f t="shared" si="23"/>
        <v>0</v>
      </c>
      <c r="R117" s="3">
        <f t="shared" si="24"/>
        <v>13</v>
      </c>
      <c r="S117" s="3">
        <f t="shared" si="20"/>
        <v>-302.05999999999995</v>
      </c>
      <c r="T117" s="24" t="s">
        <v>1081</v>
      </c>
      <c r="U117" s="24"/>
      <c r="V117" s="3"/>
      <c r="W117" s="25" t="s">
        <v>6747</v>
      </c>
      <c r="X117" s="25">
        <v>20608545591</v>
      </c>
      <c r="Y117" s="25" t="str">
        <f>IFERROR(VLOOKUP(C_Ope_008[[#This Row],[NOTA 2]],Clientes_Proveedores[[Ruc / Dni]:[Razon Social]],2,0),"")</f>
        <v>REPUESTOS ELIBEM IMPORTACIONES S.R.L.</v>
      </c>
      <c r="Z117" s="25"/>
      <c r="AA117" s="25"/>
      <c r="AB117" s="3" t="str">
        <f>IF(C_Ope_008[[#This Row],[FECHA]]&gt;0,TEXT(C_Ope_008[[#This Row],[FECHA]],"mmmm"),0)</f>
        <v>Agosto</v>
      </c>
    </row>
    <row r="136" spans="2:4" x14ac:dyDescent="0.3">
      <c r="B136" s="97" t="s">
        <v>7942</v>
      </c>
      <c r="C136" s="98"/>
      <c r="D136" s="96" t="s">
        <v>864</v>
      </c>
    </row>
  </sheetData>
  <mergeCells count="1">
    <mergeCell ref="B2:AB2"/>
  </mergeCells>
  <conditionalFormatting sqref="B5:AB89 G90:V90 X90:AB91 B90:F98 H91:V91 G91:G98 H92:AB98 F99:G101">
    <cfRule type="expression" dxfId="7" priority="280">
      <formula>$U5="OK"</formula>
    </cfRule>
    <cfRule type="expression" dxfId="6" priority="281">
      <formula>$D5="D"</formula>
    </cfRule>
  </conditionalFormatting>
  <conditionalFormatting sqref="B5:AB135">
    <cfRule type="expression" dxfId="5" priority="304">
      <formula>$T5="OK"</formula>
    </cfRule>
  </conditionalFormatting>
  <conditionalFormatting sqref="B136:AB10028">
    <cfRule type="expression" dxfId="4" priority="1">
      <formula>$T136="OK"</formula>
    </cfRule>
  </conditionalFormatting>
  <dataValidations count="4">
    <dataValidation type="list" allowBlank="1" showInputMessage="1" showErrorMessage="1" sqref="I5:I117" xr:uid="{0D2CCB36-15D7-4D17-B337-247CE71A9BBC}">
      <formula1>Documentos</formula1>
    </dataValidation>
    <dataValidation type="list" allowBlank="1" showInputMessage="1" showErrorMessage="1" sqref="G5:G117" xr:uid="{C4EC3039-B4D0-4089-8C55-856C3B459475}">
      <formula1>"SALDO,INGRESO,EGRESO"</formula1>
    </dataValidation>
    <dataValidation type="list" allowBlank="1" showInputMessage="1" showErrorMessage="1" sqref="D5:D117" xr:uid="{9AFFED78-FFC5-4A67-BFC9-A45D07FA1C9C}">
      <formula1>"R,D"</formula1>
    </dataValidation>
    <dataValidation type="list" allowBlank="1" showInputMessage="1" showErrorMessage="1" sqref="H5:H117" xr:uid="{94910EE0-E4ED-4EB7-9351-812B0CDFC251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3" fitToHeight="0" orientation="landscape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EF7D-F196-A744-8837-96224FB6245D}">
  <sheetPr codeName="Hoja18">
    <tabColor rgb="FF002060"/>
    <pageSetUpPr fitToPage="1"/>
  </sheetPr>
  <dimension ref="B2:AB79"/>
  <sheetViews>
    <sheetView showGridLines="0" topLeftCell="A58" zoomScaleNormal="100" zoomScaleSheetLayoutView="100" workbookViewId="0">
      <selection activeCell="E69" sqref="E69:E70"/>
    </sheetView>
  </sheetViews>
  <sheetFormatPr defaultColWidth="11.44140625" defaultRowHeight="14.4" outlineLevelCol="1" x14ac:dyDescent="0.3"/>
  <cols>
    <col min="1" max="1" width="1.44140625" customWidth="1"/>
    <col min="2" max="2" width="9.44140625" bestFit="1" customWidth="1"/>
    <col min="3" max="3" width="15.44140625" bestFit="1" customWidth="1"/>
    <col min="4" max="4" width="13.44140625" bestFit="1" customWidth="1"/>
    <col min="5" max="5" width="10.77734375" bestFit="1" customWidth="1"/>
    <col min="6" max="6" width="14.21875" customWidth="1"/>
    <col min="7" max="7" width="11.77734375" bestFit="1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8" width="11.2187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bestFit="1" customWidth="1"/>
    <col min="23" max="27" width="15.88671875" customWidth="1" outlineLevel="1"/>
    <col min="28" max="28" width="12.88671875" customWidth="1" outlineLevel="1"/>
  </cols>
  <sheetData>
    <row r="2" spans="2:28" ht="23.4" x14ac:dyDescent="0.3">
      <c r="B2" s="263" t="s">
        <v>7718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</row>
    <row r="4" spans="2:28" ht="27.6" x14ac:dyDescent="0.3">
      <c r="B4" s="1" t="s">
        <v>1047</v>
      </c>
      <c r="C4" s="1" t="s">
        <v>1048</v>
      </c>
      <c r="D4" s="1" t="s">
        <v>1049</v>
      </c>
      <c r="E4" s="1" t="s">
        <v>1050</v>
      </c>
      <c r="F4" s="1" t="s">
        <v>1051</v>
      </c>
      <c r="G4" s="1" t="s">
        <v>1052</v>
      </c>
      <c r="H4" s="1" t="s">
        <v>1053</v>
      </c>
      <c r="I4" s="1" t="s">
        <v>1054</v>
      </c>
      <c r="J4" s="1" t="s">
        <v>1055</v>
      </c>
      <c r="K4" s="1" t="s">
        <v>1056</v>
      </c>
      <c r="L4" s="1" t="s">
        <v>1057</v>
      </c>
      <c r="M4" s="1" t="s">
        <v>1058</v>
      </c>
      <c r="N4" s="1" t="s">
        <v>1059</v>
      </c>
      <c r="O4" s="1" t="s">
        <v>1060</v>
      </c>
      <c r="P4" s="1" t="s">
        <v>1061</v>
      </c>
      <c r="Q4" s="1" t="s">
        <v>1062</v>
      </c>
      <c r="R4" s="1" t="s">
        <v>1063</v>
      </c>
      <c r="S4" s="1" t="s">
        <v>1064</v>
      </c>
      <c r="T4" s="1" t="s">
        <v>1065</v>
      </c>
      <c r="U4" s="1" t="s">
        <v>1066</v>
      </c>
      <c r="V4" s="1" t="s">
        <v>1067</v>
      </c>
      <c r="W4" s="1" t="s">
        <v>1068</v>
      </c>
      <c r="X4" s="1" t="s">
        <v>1069</v>
      </c>
      <c r="Y4" s="1" t="s">
        <v>1070</v>
      </c>
      <c r="Z4" s="1" t="s">
        <v>1071</v>
      </c>
      <c r="AA4" s="1" t="s">
        <v>1072</v>
      </c>
      <c r="AB4" s="1" t="s">
        <v>1073</v>
      </c>
    </row>
    <row r="5" spans="2:28" x14ac:dyDescent="0.3">
      <c r="B5" s="2">
        <f>IF(C_Ope_009[[#This Row],[TIPO DE R.]]="R",COUNTIFS($D$4:$D4,"R")+1,"")</f>
        <v>1</v>
      </c>
      <c r="C5" s="19" t="str">
        <f>"C_Ope_009"</f>
        <v>C_Ope_009</v>
      </c>
      <c r="D5" s="3" t="s">
        <v>1074</v>
      </c>
      <c r="E5" s="4">
        <v>45658</v>
      </c>
      <c r="F5" s="5" t="s">
        <v>7719</v>
      </c>
      <c r="G5" s="6" t="s">
        <v>1064</v>
      </c>
      <c r="H5" s="6"/>
      <c r="I5" s="6"/>
      <c r="J5" s="6"/>
      <c r="K5" s="6"/>
      <c r="L5" s="7" t="s">
        <v>1076</v>
      </c>
      <c r="M5" s="8"/>
      <c r="N5" s="8" t="str">
        <f t="shared" ref="N5" si="0">"PEN"</f>
        <v>PEN</v>
      </c>
      <c r="O5" s="13"/>
      <c r="P5" s="9">
        <v>205.4</v>
      </c>
      <c r="Q5" s="9">
        <f t="shared" ref="Q5:Q36" si="1">+IF(OR($G5="SALDO",$G5="INGRESO"),$P5,0)</f>
        <v>205.4</v>
      </c>
      <c r="R5" s="9">
        <f t="shared" ref="R5:R36" si="2">+IF($G5="EGRESO",$P5,0)</f>
        <v>0</v>
      </c>
      <c r="S5" s="9">
        <f t="shared" ref="S5:S36" si="3">IFERROR(IF(G5="SALDO",Q5,S4+Q5-R5),0)</f>
        <v>205.4</v>
      </c>
      <c r="T5" s="24"/>
      <c r="U5" s="24"/>
      <c r="V5" s="15"/>
      <c r="W5" s="25"/>
      <c r="X5" s="25"/>
      <c r="Y5" s="25"/>
      <c r="Z5" s="25"/>
      <c r="AA5" s="25"/>
      <c r="AB5" s="3" t="str">
        <f>IF(C_Ope_009[[#This Row],[FECHA]]&gt;0,TEXT(C_Ope_009[[#This Row],[FECHA]],"mmmm"),0)</f>
        <v>Enero</v>
      </c>
    </row>
    <row r="6" spans="2:28" x14ac:dyDescent="0.3">
      <c r="B6" s="2">
        <f>IF(C_Ope_009[[#This Row],[TIPO DE R.]]="R",COUNTIFS($D$4:$D5,"R")+1,"")</f>
        <v>2</v>
      </c>
      <c r="C6" s="19" t="str">
        <f t="shared" ref="C6:C37" si="4">"C_Ope_009"</f>
        <v>C_Ope_009</v>
      </c>
      <c r="D6" s="3" t="s">
        <v>1074</v>
      </c>
      <c r="E6" s="14">
        <v>45668</v>
      </c>
      <c r="F6" s="5" t="s">
        <v>7719</v>
      </c>
      <c r="G6" s="5" t="s">
        <v>1079</v>
      </c>
      <c r="H6" s="6"/>
      <c r="I6" s="6" t="s">
        <v>21</v>
      </c>
      <c r="J6" s="6">
        <v>1</v>
      </c>
      <c r="K6" s="6">
        <v>923</v>
      </c>
      <c r="L6" s="7" t="s">
        <v>7720</v>
      </c>
      <c r="M6" s="8" t="s">
        <v>7721</v>
      </c>
      <c r="N6" s="8" t="str">
        <f t="shared" ref="N6:N37" si="5">"PEN"</f>
        <v>PEN</v>
      </c>
      <c r="O6" s="13"/>
      <c r="P6" s="13">
        <v>50</v>
      </c>
      <c r="Q6" s="3">
        <f t="shared" si="1"/>
        <v>0</v>
      </c>
      <c r="R6" s="3">
        <f t="shared" si="2"/>
        <v>50</v>
      </c>
      <c r="S6" s="3">
        <f t="shared" si="3"/>
        <v>155.4</v>
      </c>
      <c r="T6" s="24"/>
      <c r="U6" s="24"/>
      <c r="V6" s="3"/>
      <c r="W6" s="25" t="s">
        <v>7722</v>
      </c>
      <c r="X6" s="25"/>
      <c r="Y6" s="25"/>
      <c r="Z6" s="25"/>
      <c r="AA6" s="25"/>
      <c r="AB6" s="3" t="str">
        <f>IF(C_Ope_009[[#This Row],[FECHA]]&gt;0,TEXT(C_Ope_009[[#This Row],[FECHA]],"mmmm"),0)</f>
        <v>Enero</v>
      </c>
    </row>
    <row r="7" spans="2:28" x14ac:dyDescent="0.3">
      <c r="B7" s="2">
        <f>IF(C_Ope_009[[#This Row],[TIPO DE R.]]="R",COUNTIFS($D$4:$D6,"R")+1,"")</f>
        <v>3</v>
      </c>
      <c r="C7" s="19" t="str">
        <f t="shared" si="4"/>
        <v>C_Ope_009</v>
      </c>
      <c r="D7" s="3" t="s">
        <v>1074</v>
      </c>
      <c r="E7" s="14">
        <v>45678</v>
      </c>
      <c r="F7" s="5" t="s">
        <v>7719</v>
      </c>
      <c r="G7" s="5" t="s">
        <v>1079</v>
      </c>
      <c r="H7" s="6"/>
      <c r="I7" s="6" t="s">
        <v>14</v>
      </c>
      <c r="J7" s="6" t="s">
        <v>7723</v>
      </c>
      <c r="K7" s="6">
        <v>104560</v>
      </c>
      <c r="L7" s="7" t="s">
        <v>7724</v>
      </c>
      <c r="M7" s="8" t="s">
        <v>7725</v>
      </c>
      <c r="N7" s="8" t="str">
        <f t="shared" si="5"/>
        <v>PEN</v>
      </c>
      <c r="O7" s="13"/>
      <c r="P7" s="13">
        <v>52.6</v>
      </c>
      <c r="Q7" s="3">
        <f t="shared" si="1"/>
        <v>0</v>
      </c>
      <c r="R7" s="3">
        <f t="shared" si="2"/>
        <v>52.6</v>
      </c>
      <c r="S7" s="3">
        <f t="shared" si="3"/>
        <v>102.80000000000001</v>
      </c>
      <c r="T7" s="24"/>
      <c r="U7" s="24"/>
      <c r="V7" s="3"/>
      <c r="W7" s="25" t="s">
        <v>7726</v>
      </c>
      <c r="X7" s="25"/>
      <c r="Y7" s="25"/>
      <c r="Z7" s="25"/>
      <c r="AA7" s="25"/>
      <c r="AB7" s="3" t="str">
        <f>IF(C_Ope_009[[#This Row],[FECHA]]&gt;0,TEXT(C_Ope_009[[#This Row],[FECHA]],"mmmm"),0)</f>
        <v>Enero</v>
      </c>
    </row>
    <row r="8" spans="2:28" x14ac:dyDescent="0.3">
      <c r="B8" s="2">
        <f>IF(C_Ope_009[[#This Row],[TIPO DE R.]]="R",COUNTIFS($D$4:$D7,"R")+1,"")</f>
        <v>4</v>
      </c>
      <c r="C8" s="19" t="str">
        <f t="shared" si="4"/>
        <v>C_Ope_009</v>
      </c>
      <c r="D8" s="3" t="s">
        <v>1074</v>
      </c>
      <c r="E8" s="14">
        <v>45681</v>
      </c>
      <c r="F8" s="5" t="s">
        <v>7719</v>
      </c>
      <c r="G8" s="5" t="s">
        <v>1079</v>
      </c>
      <c r="H8" s="6"/>
      <c r="I8" s="6" t="s">
        <v>14</v>
      </c>
      <c r="J8" s="6" t="s">
        <v>7727</v>
      </c>
      <c r="K8" s="6">
        <v>76007</v>
      </c>
      <c r="L8" s="7" t="s">
        <v>7728</v>
      </c>
      <c r="M8" s="8" t="s">
        <v>7729</v>
      </c>
      <c r="N8" s="8" t="str">
        <f t="shared" si="5"/>
        <v>PEN</v>
      </c>
      <c r="O8" s="13"/>
      <c r="P8" s="13">
        <v>16.600000000000001</v>
      </c>
      <c r="Q8" s="3">
        <f t="shared" si="1"/>
        <v>0</v>
      </c>
      <c r="R8" s="3">
        <f t="shared" si="2"/>
        <v>16.600000000000001</v>
      </c>
      <c r="S8" s="3">
        <f t="shared" si="3"/>
        <v>86.200000000000017</v>
      </c>
      <c r="T8" s="24"/>
      <c r="U8" s="24"/>
      <c r="V8" s="3"/>
      <c r="W8" s="25" t="s">
        <v>7726</v>
      </c>
      <c r="X8" s="25"/>
      <c r="Y8" s="25"/>
      <c r="Z8" s="25"/>
      <c r="AA8" s="25"/>
      <c r="AB8" s="3" t="str">
        <f>IF(C_Ope_009[[#This Row],[FECHA]]&gt;0,TEXT(C_Ope_009[[#This Row],[FECHA]],"mmmm"),0)</f>
        <v>Enero</v>
      </c>
    </row>
    <row r="9" spans="2:28" x14ac:dyDescent="0.3">
      <c r="B9" s="2">
        <f>IF(C_Ope_009[[#This Row],[TIPO DE R.]]="R",COUNTIFS($D$4:$D8,"R")+1,"")</f>
        <v>5</v>
      </c>
      <c r="C9" s="19" t="str">
        <f t="shared" si="4"/>
        <v>C_Ope_009</v>
      </c>
      <c r="D9" s="3" t="s">
        <v>1074</v>
      </c>
      <c r="E9" s="14">
        <v>45684</v>
      </c>
      <c r="F9" s="5" t="s">
        <v>7719</v>
      </c>
      <c r="G9" s="5" t="s">
        <v>1079</v>
      </c>
      <c r="H9" s="6"/>
      <c r="I9" s="6" t="s">
        <v>21</v>
      </c>
      <c r="J9" s="6">
        <v>2</v>
      </c>
      <c r="K9" s="6">
        <v>740</v>
      </c>
      <c r="L9" s="7" t="s">
        <v>7730</v>
      </c>
      <c r="M9" s="8" t="s">
        <v>7731</v>
      </c>
      <c r="N9" s="8" t="str">
        <f t="shared" si="5"/>
        <v>PEN</v>
      </c>
      <c r="O9" s="13"/>
      <c r="P9" s="13">
        <v>15</v>
      </c>
      <c r="Q9" s="3">
        <f t="shared" si="1"/>
        <v>0</v>
      </c>
      <c r="R9" s="3">
        <f t="shared" si="2"/>
        <v>15</v>
      </c>
      <c r="S9" s="3">
        <f t="shared" si="3"/>
        <v>71.200000000000017</v>
      </c>
      <c r="T9" s="24"/>
      <c r="U9" s="24"/>
      <c r="V9" s="3"/>
      <c r="W9" s="25" t="s">
        <v>7726</v>
      </c>
      <c r="X9" s="25"/>
      <c r="Y9" s="25"/>
      <c r="Z9" s="25"/>
      <c r="AA9" s="25"/>
      <c r="AB9" s="3" t="str">
        <f>IF(C_Ope_009[[#This Row],[FECHA]]&gt;0,TEXT(C_Ope_009[[#This Row],[FECHA]],"mmmm"),0)</f>
        <v>Enero</v>
      </c>
    </row>
    <row r="10" spans="2:28" x14ac:dyDescent="0.3">
      <c r="B10" s="2">
        <f>IF(C_Ope_009[[#This Row],[TIPO DE R.]]="R",COUNTIFS($D$4:$D9,"R")+1,"")</f>
        <v>6</v>
      </c>
      <c r="C10" s="19" t="str">
        <f t="shared" si="4"/>
        <v>C_Ope_009</v>
      </c>
      <c r="D10" s="3" t="s">
        <v>1074</v>
      </c>
      <c r="E10" s="14">
        <v>45685</v>
      </c>
      <c r="F10" s="5" t="s">
        <v>6299</v>
      </c>
      <c r="G10" s="5" t="s">
        <v>1087</v>
      </c>
      <c r="H10" s="6"/>
      <c r="I10" s="6"/>
      <c r="J10" s="6"/>
      <c r="K10" s="6"/>
      <c r="L10" s="7" t="s">
        <v>7732</v>
      </c>
      <c r="M10" s="8" t="s">
        <v>7733</v>
      </c>
      <c r="N10" s="8" t="str">
        <f t="shared" si="5"/>
        <v>PEN</v>
      </c>
      <c r="O10" s="13"/>
      <c r="P10" s="13">
        <v>130</v>
      </c>
      <c r="Q10" s="3">
        <f t="shared" si="1"/>
        <v>130</v>
      </c>
      <c r="R10" s="3">
        <f t="shared" si="2"/>
        <v>0</v>
      </c>
      <c r="S10" s="3">
        <f t="shared" si="3"/>
        <v>201.20000000000002</v>
      </c>
      <c r="T10" s="24"/>
      <c r="U10" s="24"/>
      <c r="V10" s="3"/>
      <c r="W10" s="25"/>
      <c r="X10" s="25"/>
      <c r="Y10" s="25"/>
      <c r="Z10" s="25"/>
      <c r="AA10" s="25"/>
      <c r="AB10" s="3" t="str">
        <f>IF(C_Ope_009[[#This Row],[FECHA]]&gt;0,TEXT(C_Ope_009[[#This Row],[FECHA]],"mmmm"),0)</f>
        <v>Enero</v>
      </c>
    </row>
    <row r="11" spans="2:28" x14ac:dyDescent="0.3">
      <c r="B11" s="2">
        <f>IF(C_Ope_009[[#This Row],[TIPO DE R.]]="R",COUNTIFS($D$4:$D10,"R")+1,"")</f>
        <v>7</v>
      </c>
      <c r="C11" s="19" t="str">
        <f t="shared" si="4"/>
        <v>C_Ope_009</v>
      </c>
      <c r="D11" s="3" t="s">
        <v>1074</v>
      </c>
      <c r="E11" s="14">
        <v>45687</v>
      </c>
      <c r="F11" s="5" t="s">
        <v>7719</v>
      </c>
      <c r="G11" s="5" t="s">
        <v>1079</v>
      </c>
      <c r="H11" s="6"/>
      <c r="I11" s="6" t="s">
        <v>14</v>
      </c>
      <c r="J11" s="6" t="s">
        <v>2058</v>
      </c>
      <c r="K11" s="6">
        <v>110221</v>
      </c>
      <c r="L11" s="7" t="s">
        <v>7734</v>
      </c>
      <c r="M11" s="8" t="s">
        <v>7735</v>
      </c>
      <c r="N11" s="8" t="str">
        <f t="shared" si="5"/>
        <v>PEN</v>
      </c>
      <c r="O11" s="13"/>
      <c r="P11" s="13">
        <v>32</v>
      </c>
      <c r="Q11" s="3">
        <f t="shared" si="1"/>
        <v>0</v>
      </c>
      <c r="R11" s="3">
        <f t="shared" si="2"/>
        <v>32</v>
      </c>
      <c r="S11" s="3">
        <f t="shared" si="3"/>
        <v>169.20000000000002</v>
      </c>
      <c r="T11" s="24"/>
      <c r="U11" s="24"/>
      <c r="V11" s="3"/>
      <c r="W11" s="25" t="s">
        <v>7736</v>
      </c>
      <c r="X11" s="25"/>
      <c r="Y11" s="25"/>
      <c r="Z11" s="25"/>
      <c r="AA11" s="25"/>
      <c r="AB11" s="3" t="str">
        <f>IF(C_Ope_009[[#This Row],[FECHA]]&gt;0,TEXT(C_Ope_009[[#This Row],[FECHA]],"mmmm"),0)</f>
        <v>Enero</v>
      </c>
    </row>
    <row r="12" spans="2:28" x14ac:dyDescent="0.3">
      <c r="B12" s="2">
        <f>IF(C_Ope_009[[#This Row],[TIPO DE R.]]="R",COUNTIFS($D$4:$D11,"R")+1,"")</f>
        <v>8</v>
      </c>
      <c r="C12" s="19" t="str">
        <f t="shared" si="4"/>
        <v>C_Ope_009</v>
      </c>
      <c r="D12" s="3" t="s">
        <v>1074</v>
      </c>
      <c r="E12" s="14">
        <v>45688</v>
      </c>
      <c r="F12" s="5" t="s">
        <v>7719</v>
      </c>
      <c r="G12" s="5" t="s">
        <v>1079</v>
      </c>
      <c r="H12" s="6"/>
      <c r="I12" s="6" t="s">
        <v>14</v>
      </c>
      <c r="J12" s="6" t="s">
        <v>7727</v>
      </c>
      <c r="K12" s="6">
        <v>76049</v>
      </c>
      <c r="L12" s="7" t="s">
        <v>7728</v>
      </c>
      <c r="M12" s="8" t="s">
        <v>7737</v>
      </c>
      <c r="N12" s="8" t="str">
        <f t="shared" si="5"/>
        <v>PEN</v>
      </c>
      <c r="O12" s="13"/>
      <c r="P12" s="13">
        <v>16.600000000000001</v>
      </c>
      <c r="Q12" s="3">
        <f t="shared" si="1"/>
        <v>0</v>
      </c>
      <c r="R12" s="3">
        <f t="shared" si="2"/>
        <v>16.600000000000001</v>
      </c>
      <c r="S12" s="3">
        <f t="shared" si="3"/>
        <v>152.60000000000002</v>
      </c>
      <c r="T12" s="24"/>
      <c r="U12" s="24"/>
      <c r="V12" s="3"/>
      <c r="W12" s="25" t="s">
        <v>7738</v>
      </c>
      <c r="X12" s="25"/>
      <c r="Y12" s="25"/>
      <c r="Z12" s="25"/>
      <c r="AA12" s="25"/>
      <c r="AB12" s="3" t="str">
        <f>IF(C_Ope_009[[#This Row],[FECHA]]&gt;0,TEXT(C_Ope_009[[#This Row],[FECHA]],"mmmm"),0)</f>
        <v>Enero</v>
      </c>
    </row>
    <row r="13" spans="2:28" x14ac:dyDescent="0.3">
      <c r="B13" s="2">
        <f>IF(C_Ope_009[[#This Row],[TIPO DE R.]]="R",COUNTIFS($D$4:$D12,"R")+1,"")</f>
        <v>9</v>
      </c>
      <c r="C13" s="19" t="str">
        <f t="shared" si="4"/>
        <v>C_Ope_009</v>
      </c>
      <c r="D13" s="3" t="s">
        <v>1074</v>
      </c>
      <c r="E13" s="14">
        <v>45691</v>
      </c>
      <c r="F13" s="5" t="s">
        <v>7719</v>
      </c>
      <c r="G13" s="5" t="s">
        <v>1079</v>
      </c>
      <c r="H13" s="6"/>
      <c r="I13" s="6" t="s">
        <v>14</v>
      </c>
      <c r="J13" s="6" t="s">
        <v>2058</v>
      </c>
      <c r="K13" s="6">
        <v>110444</v>
      </c>
      <c r="L13" s="7" t="s">
        <v>7739</v>
      </c>
      <c r="M13" s="8" t="s">
        <v>7740</v>
      </c>
      <c r="N13" s="8" t="str">
        <f t="shared" si="5"/>
        <v>PEN</v>
      </c>
      <c r="O13" s="13"/>
      <c r="P13" s="13">
        <v>40</v>
      </c>
      <c r="Q13" s="3">
        <f t="shared" si="1"/>
        <v>0</v>
      </c>
      <c r="R13" s="3">
        <f t="shared" si="2"/>
        <v>40</v>
      </c>
      <c r="S13" s="3">
        <f t="shared" si="3"/>
        <v>112.60000000000002</v>
      </c>
      <c r="T13" s="24"/>
      <c r="U13" s="24"/>
      <c r="V13" s="3"/>
      <c r="W13" s="25" t="s">
        <v>7722</v>
      </c>
      <c r="X13" s="25"/>
      <c r="Y13" s="25"/>
      <c r="Z13" s="25"/>
      <c r="AA13" s="25"/>
      <c r="AB13" s="3" t="str">
        <f>IF(C_Ope_009[[#This Row],[FECHA]]&gt;0,TEXT(C_Ope_009[[#This Row],[FECHA]],"mmmm"),0)</f>
        <v>Febrero</v>
      </c>
    </row>
    <row r="14" spans="2:28" x14ac:dyDescent="0.3">
      <c r="B14" s="2">
        <f>IF(C_Ope_009[[#This Row],[TIPO DE R.]]="R",COUNTIFS($D$4:$D13,"R")+1,"")</f>
        <v>10</v>
      </c>
      <c r="C14" s="19" t="str">
        <f t="shared" si="4"/>
        <v>C_Ope_009</v>
      </c>
      <c r="D14" s="3" t="s">
        <v>1074</v>
      </c>
      <c r="E14" s="14">
        <v>45693</v>
      </c>
      <c r="F14" s="5" t="s">
        <v>7719</v>
      </c>
      <c r="G14" s="5" t="s">
        <v>1079</v>
      </c>
      <c r="H14" s="6"/>
      <c r="I14" s="6" t="s">
        <v>14</v>
      </c>
      <c r="J14" s="6" t="s">
        <v>1148</v>
      </c>
      <c r="K14" s="6">
        <v>80</v>
      </c>
      <c r="L14" s="7" t="s">
        <v>7741</v>
      </c>
      <c r="M14" s="8" t="s">
        <v>7742</v>
      </c>
      <c r="N14" s="8" t="str">
        <f t="shared" si="5"/>
        <v>PEN</v>
      </c>
      <c r="O14" s="13"/>
      <c r="P14" s="13">
        <v>25</v>
      </c>
      <c r="Q14" s="3">
        <f t="shared" si="1"/>
        <v>0</v>
      </c>
      <c r="R14" s="3">
        <f t="shared" si="2"/>
        <v>25</v>
      </c>
      <c r="S14" s="3">
        <f t="shared" si="3"/>
        <v>87.600000000000023</v>
      </c>
      <c r="T14" s="24"/>
      <c r="U14" s="24"/>
      <c r="V14" s="3"/>
      <c r="W14" s="25" t="s">
        <v>7743</v>
      </c>
      <c r="X14" s="25"/>
      <c r="Y14" s="25"/>
      <c r="Z14" s="25"/>
      <c r="AA14" s="25"/>
      <c r="AB14" s="3" t="str">
        <f>IF(C_Ope_009[[#This Row],[FECHA]]&gt;0,TEXT(C_Ope_009[[#This Row],[FECHA]],"mmmm"),0)</f>
        <v>Febrero</v>
      </c>
    </row>
    <row r="15" spans="2:28" x14ac:dyDescent="0.3">
      <c r="B15" s="2">
        <f>IF(C_Ope_009[[#This Row],[TIPO DE R.]]="R",COUNTIFS($D$4:$D14,"R")+1,"")</f>
        <v>11</v>
      </c>
      <c r="C15" s="19" t="str">
        <f t="shared" si="4"/>
        <v>C_Ope_009</v>
      </c>
      <c r="D15" s="3" t="s">
        <v>1074</v>
      </c>
      <c r="E15" s="14">
        <v>45694</v>
      </c>
      <c r="F15" s="5" t="s">
        <v>7719</v>
      </c>
      <c r="G15" s="5" t="s">
        <v>1079</v>
      </c>
      <c r="H15" s="6"/>
      <c r="I15" s="6"/>
      <c r="J15" s="6"/>
      <c r="K15" s="6">
        <v>80</v>
      </c>
      <c r="L15" s="7" t="s">
        <v>7744</v>
      </c>
      <c r="M15" s="8" t="s">
        <v>7745</v>
      </c>
      <c r="N15" s="8" t="str">
        <f t="shared" si="5"/>
        <v>PEN</v>
      </c>
      <c r="O15" s="13"/>
      <c r="P15" s="13">
        <v>6</v>
      </c>
      <c r="Q15" s="3">
        <f t="shared" si="1"/>
        <v>0</v>
      </c>
      <c r="R15" s="3">
        <f t="shared" si="2"/>
        <v>6</v>
      </c>
      <c r="S15" s="3">
        <f t="shared" si="3"/>
        <v>81.600000000000023</v>
      </c>
      <c r="T15" s="24"/>
      <c r="U15" s="24"/>
      <c r="V15" s="3"/>
      <c r="W15" s="25" t="s">
        <v>7726</v>
      </c>
      <c r="X15" s="25"/>
      <c r="Y15" s="25"/>
      <c r="Z15" s="25"/>
      <c r="AA15" s="25"/>
      <c r="AB15" s="3" t="str">
        <f>IF(C_Ope_009[[#This Row],[FECHA]]&gt;0,TEXT(C_Ope_009[[#This Row],[FECHA]],"mmmm"),0)</f>
        <v>Febrero</v>
      </c>
    </row>
    <row r="16" spans="2:28" x14ac:dyDescent="0.3">
      <c r="B16" s="2">
        <f>IF(C_Ope_009[[#This Row],[TIPO DE R.]]="R",COUNTIFS($D$4:$D15,"R")+1,"")</f>
        <v>12</v>
      </c>
      <c r="C16" s="19" t="str">
        <f t="shared" si="4"/>
        <v>C_Ope_009</v>
      </c>
      <c r="D16" s="3" t="s">
        <v>1074</v>
      </c>
      <c r="E16" s="14">
        <v>45695</v>
      </c>
      <c r="F16" s="5" t="s">
        <v>6299</v>
      </c>
      <c r="G16" s="5" t="s">
        <v>1087</v>
      </c>
      <c r="H16" s="6"/>
      <c r="I16" s="6"/>
      <c r="J16" s="6"/>
      <c r="K16" s="6"/>
      <c r="L16" s="7" t="s">
        <v>7732</v>
      </c>
      <c r="M16" s="8" t="s">
        <v>7746</v>
      </c>
      <c r="N16" s="8" t="str">
        <f t="shared" si="5"/>
        <v>PEN</v>
      </c>
      <c r="O16" s="13"/>
      <c r="P16" s="13">
        <v>400</v>
      </c>
      <c r="Q16" s="3">
        <f t="shared" si="1"/>
        <v>400</v>
      </c>
      <c r="R16" s="3">
        <f t="shared" si="2"/>
        <v>0</v>
      </c>
      <c r="S16" s="3">
        <f t="shared" si="3"/>
        <v>481.6</v>
      </c>
      <c r="T16" s="24"/>
      <c r="U16" s="24"/>
      <c r="V16" s="3"/>
      <c r="W16" s="25"/>
      <c r="X16" s="25"/>
      <c r="Y16" s="25"/>
      <c r="Z16" s="25"/>
      <c r="AA16" s="25"/>
      <c r="AB16" s="3" t="str">
        <f>IF(C_Ope_009[[#This Row],[FECHA]]&gt;0,TEXT(C_Ope_009[[#This Row],[FECHA]],"mmmm"),0)</f>
        <v>Febrero</v>
      </c>
    </row>
    <row r="17" spans="2:28" x14ac:dyDescent="0.3">
      <c r="B17" s="2">
        <f>IF(C_Ope_009[[#This Row],[TIPO DE R.]]="R",COUNTIFS($D$4:$D16,"R")+1,"")</f>
        <v>13</v>
      </c>
      <c r="C17" s="19" t="str">
        <f t="shared" si="4"/>
        <v>C_Ope_009</v>
      </c>
      <c r="D17" s="3" t="s">
        <v>1074</v>
      </c>
      <c r="E17" s="14">
        <v>45702</v>
      </c>
      <c r="F17" s="5" t="s">
        <v>7719</v>
      </c>
      <c r="G17" s="5" t="s">
        <v>1079</v>
      </c>
      <c r="H17" s="6"/>
      <c r="I17" s="6"/>
      <c r="J17" s="6"/>
      <c r="K17" s="6">
        <v>6401</v>
      </c>
      <c r="L17" s="7" t="s">
        <v>7747</v>
      </c>
      <c r="M17" s="8" t="s">
        <v>7748</v>
      </c>
      <c r="N17" s="8" t="str">
        <f t="shared" si="5"/>
        <v>PEN</v>
      </c>
      <c r="O17" s="13"/>
      <c r="P17" s="13">
        <v>16</v>
      </c>
      <c r="Q17" s="3">
        <f t="shared" si="1"/>
        <v>0</v>
      </c>
      <c r="R17" s="3">
        <f t="shared" si="2"/>
        <v>16</v>
      </c>
      <c r="S17" s="3">
        <f t="shared" si="3"/>
        <v>465.6</v>
      </c>
      <c r="T17" s="24"/>
      <c r="U17" s="24"/>
      <c r="V17" s="3"/>
      <c r="W17" s="25" t="s">
        <v>7736</v>
      </c>
      <c r="X17" s="25"/>
      <c r="Y17" s="25"/>
      <c r="Z17" s="25"/>
      <c r="AA17" s="25"/>
      <c r="AB17" s="3" t="str">
        <f>IF(C_Ope_009[[#This Row],[FECHA]]&gt;0,TEXT(C_Ope_009[[#This Row],[FECHA]],"mmmm"),0)</f>
        <v>Febrero</v>
      </c>
    </row>
    <row r="18" spans="2:28" x14ac:dyDescent="0.3">
      <c r="B18" s="2">
        <f>IF(C_Ope_009[[#This Row],[TIPO DE R.]]="R",COUNTIFS($D$4:$D17,"R")+1,"")</f>
        <v>14</v>
      </c>
      <c r="C18" s="19" t="str">
        <f t="shared" si="4"/>
        <v>C_Ope_009</v>
      </c>
      <c r="D18" s="3" t="s">
        <v>1074</v>
      </c>
      <c r="E18" s="14">
        <v>45702</v>
      </c>
      <c r="F18" s="5" t="s">
        <v>7719</v>
      </c>
      <c r="G18" s="5" t="s">
        <v>1079</v>
      </c>
      <c r="H18" s="6"/>
      <c r="I18" s="6" t="s">
        <v>14</v>
      </c>
      <c r="J18" s="6" t="s">
        <v>7749</v>
      </c>
      <c r="K18" s="6">
        <v>726</v>
      </c>
      <c r="L18" s="7" t="s">
        <v>7750</v>
      </c>
      <c r="M18" s="8" t="s">
        <v>7751</v>
      </c>
      <c r="N18" s="8" t="str">
        <f t="shared" si="5"/>
        <v>PEN</v>
      </c>
      <c r="O18" s="13"/>
      <c r="P18" s="13">
        <v>38</v>
      </c>
      <c r="Q18" s="3">
        <f t="shared" si="1"/>
        <v>0</v>
      </c>
      <c r="R18" s="3">
        <f t="shared" si="2"/>
        <v>38</v>
      </c>
      <c r="S18" s="3">
        <f t="shared" si="3"/>
        <v>427.6</v>
      </c>
      <c r="T18" s="24"/>
      <c r="U18" s="24"/>
      <c r="V18" s="3"/>
      <c r="W18" s="25" t="s">
        <v>6186</v>
      </c>
      <c r="X18" s="25"/>
      <c r="Y18" s="25"/>
      <c r="Z18" s="25"/>
      <c r="AA18" s="25"/>
      <c r="AB18" s="3" t="str">
        <f>IF(C_Ope_009[[#This Row],[FECHA]]&gt;0,TEXT(C_Ope_009[[#This Row],[FECHA]],"mmmm"),0)</f>
        <v>Febrero</v>
      </c>
    </row>
    <row r="19" spans="2:28" x14ac:dyDescent="0.3">
      <c r="B19" s="2">
        <f>IF(C_Ope_009[[#This Row],[TIPO DE R.]]="R",COUNTIFS($D$4:$D18,"R")+1,"")</f>
        <v>15</v>
      </c>
      <c r="C19" s="19" t="str">
        <f t="shared" si="4"/>
        <v>C_Ope_009</v>
      </c>
      <c r="D19" s="3" t="s">
        <v>1074</v>
      </c>
      <c r="E19" s="14">
        <v>45702</v>
      </c>
      <c r="F19" s="5" t="s">
        <v>7719</v>
      </c>
      <c r="G19" s="5" t="s">
        <v>1079</v>
      </c>
      <c r="H19" s="6"/>
      <c r="I19" s="6" t="s">
        <v>14</v>
      </c>
      <c r="J19" s="6" t="s">
        <v>7727</v>
      </c>
      <c r="K19" s="6">
        <v>76124</v>
      </c>
      <c r="L19" s="7" t="s">
        <v>7728</v>
      </c>
      <c r="M19" s="8" t="s">
        <v>7752</v>
      </c>
      <c r="N19" s="8" t="str">
        <f t="shared" si="5"/>
        <v>PEN</v>
      </c>
      <c r="O19" s="13"/>
      <c r="P19" s="13">
        <v>16.600000000000001</v>
      </c>
      <c r="Q19" s="3">
        <f t="shared" si="1"/>
        <v>0</v>
      </c>
      <c r="R19" s="3">
        <f t="shared" si="2"/>
        <v>16.600000000000001</v>
      </c>
      <c r="S19" s="3">
        <f t="shared" si="3"/>
        <v>411</v>
      </c>
      <c r="T19" s="24"/>
      <c r="U19" s="24"/>
      <c r="V19" s="3"/>
      <c r="W19" s="25" t="s">
        <v>7726</v>
      </c>
      <c r="X19" s="25"/>
      <c r="Y19" s="25"/>
      <c r="Z19" s="25"/>
      <c r="AA19" s="25"/>
      <c r="AB19" s="3" t="str">
        <f>IF(C_Ope_009[[#This Row],[FECHA]]&gt;0,TEXT(C_Ope_009[[#This Row],[FECHA]],"mmmm"),0)</f>
        <v>Febrero</v>
      </c>
    </row>
    <row r="20" spans="2:28" x14ac:dyDescent="0.3">
      <c r="B20" s="2">
        <f>IF(C_Ope_009[[#This Row],[TIPO DE R.]]="R",COUNTIFS($D$4:$D19,"R")+1,"")</f>
        <v>16</v>
      </c>
      <c r="C20" s="19" t="str">
        <f t="shared" si="4"/>
        <v>C_Ope_009</v>
      </c>
      <c r="D20" s="3" t="s">
        <v>1074</v>
      </c>
      <c r="E20" s="14">
        <v>45702</v>
      </c>
      <c r="F20" s="5" t="s">
        <v>7719</v>
      </c>
      <c r="G20" s="5" t="s">
        <v>1079</v>
      </c>
      <c r="H20" s="6"/>
      <c r="I20" s="6" t="s">
        <v>14</v>
      </c>
      <c r="J20" s="6" t="s">
        <v>1429</v>
      </c>
      <c r="K20" s="6">
        <v>2773</v>
      </c>
      <c r="L20" s="7" t="s">
        <v>7753</v>
      </c>
      <c r="M20" s="8" t="s">
        <v>7754</v>
      </c>
      <c r="N20" s="8" t="str">
        <f t="shared" si="5"/>
        <v>PEN</v>
      </c>
      <c r="O20" s="13"/>
      <c r="P20" s="13">
        <v>164</v>
      </c>
      <c r="Q20" s="3">
        <f t="shared" si="1"/>
        <v>0</v>
      </c>
      <c r="R20" s="3">
        <f t="shared" si="2"/>
        <v>164</v>
      </c>
      <c r="S20" s="3">
        <f t="shared" si="3"/>
        <v>247</v>
      </c>
      <c r="T20" s="24"/>
      <c r="U20" s="24"/>
      <c r="V20" s="3"/>
      <c r="W20" s="25" t="s">
        <v>7722</v>
      </c>
      <c r="X20" s="25"/>
      <c r="Y20" s="25"/>
      <c r="Z20" s="25"/>
      <c r="AA20" s="25"/>
      <c r="AB20" s="3" t="str">
        <f>IF(C_Ope_009[[#This Row],[FECHA]]&gt;0,TEXT(C_Ope_009[[#This Row],[FECHA]],"mmmm"),0)</f>
        <v>Febrero</v>
      </c>
    </row>
    <row r="21" spans="2:28" x14ac:dyDescent="0.3">
      <c r="B21" s="2">
        <f>IF(C_Ope_009[[#This Row],[TIPO DE R.]]="R",COUNTIFS($D$4:$D20,"R")+1,"")</f>
        <v>17</v>
      </c>
      <c r="C21" s="19" t="str">
        <f t="shared" si="4"/>
        <v>C_Ope_009</v>
      </c>
      <c r="D21" s="3" t="s">
        <v>1074</v>
      </c>
      <c r="E21" s="14">
        <v>45712</v>
      </c>
      <c r="F21" s="5" t="s">
        <v>7719</v>
      </c>
      <c r="G21" s="5" t="s">
        <v>1079</v>
      </c>
      <c r="H21" s="6"/>
      <c r="I21" s="6" t="s">
        <v>14</v>
      </c>
      <c r="J21" s="6" t="s">
        <v>7727</v>
      </c>
      <c r="K21" s="6">
        <v>76174</v>
      </c>
      <c r="L21" s="7" t="s">
        <v>7728</v>
      </c>
      <c r="M21" s="8" t="s">
        <v>7755</v>
      </c>
      <c r="N21" s="8" t="str">
        <f t="shared" si="5"/>
        <v>PEN</v>
      </c>
      <c r="O21" s="13"/>
      <c r="P21" s="13">
        <v>16.600000000000001</v>
      </c>
      <c r="Q21" s="3">
        <f t="shared" si="1"/>
        <v>0</v>
      </c>
      <c r="R21" s="3">
        <f t="shared" si="2"/>
        <v>16.600000000000001</v>
      </c>
      <c r="S21" s="3">
        <f t="shared" si="3"/>
        <v>230.4</v>
      </c>
      <c r="T21" s="24"/>
      <c r="U21" s="24"/>
      <c r="V21" s="3"/>
      <c r="W21" s="25" t="s">
        <v>7726</v>
      </c>
      <c r="X21" s="25"/>
      <c r="Y21" s="25"/>
      <c r="Z21" s="25"/>
      <c r="AA21" s="25"/>
      <c r="AB21" s="3" t="str">
        <f>IF(C_Ope_009[[#This Row],[FECHA]]&gt;0,TEXT(C_Ope_009[[#This Row],[FECHA]],"mmmm"),0)</f>
        <v>Febrero</v>
      </c>
    </row>
    <row r="22" spans="2:28" x14ac:dyDescent="0.3">
      <c r="B22" s="2">
        <f>IF(C_Ope_009[[#This Row],[TIPO DE R.]]="R",COUNTIFS($D$4:$D21,"R")+1,"")</f>
        <v>18</v>
      </c>
      <c r="C22" s="19" t="str">
        <f t="shared" si="4"/>
        <v>C_Ope_009</v>
      </c>
      <c r="D22" s="3" t="s">
        <v>1074</v>
      </c>
      <c r="E22" s="14">
        <v>45721</v>
      </c>
      <c r="F22" s="5" t="s">
        <v>6299</v>
      </c>
      <c r="G22" s="5" t="s">
        <v>1087</v>
      </c>
      <c r="H22" s="6"/>
      <c r="I22" s="6"/>
      <c r="J22" s="6"/>
      <c r="K22" s="6"/>
      <c r="L22" s="7" t="s">
        <v>7756</v>
      </c>
      <c r="M22" s="8" t="s">
        <v>7757</v>
      </c>
      <c r="N22" s="8" t="str">
        <f t="shared" si="5"/>
        <v>PEN</v>
      </c>
      <c r="O22" s="13"/>
      <c r="P22" s="13">
        <v>46</v>
      </c>
      <c r="Q22" s="3">
        <f t="shared" si="1"/>
        <v>46</v>
      </c>
      <c r="R22" s="3">
        <f t="shared" si="2"/>
        <v>0</v>
      </c>
      <c r="S22" s="3">
        <f t="shared" si="3"/>
        <v>276.39999999999998</v>
      </c>
      <c r="T22" s="24"/>
      <c r="U22" s="24"/>
      <c r="V22" s="3"/>
      <c r="W22" s="25" t="s">
        <v>6186</v>
      </c>
      <c r="X22" s="25"/>
      <c r="Y22" s="25"/>
      <c r="Z22" s="25"/>
      <c r="AA22" s="25"/>
      <c r="AB22" s="3" t="str">
        <f>IF(C_Ope_009[[#This Row],[FECHA]]&gt;0,TEXT(C_Ope_009[[#This Row],[FECHA]],"mmmm"),0)</f>
        <v>Marzo</v>
      </c>
    </row>
    <row r="23" spans="2:28" x14ac:dyDescent="0.3">
      <c r="B23" s="2">
        <f>IF(C_Ope_009[[#This Row],[TIPO DE R.]]="R",COUNTIFS($D$4:$D22,"R")+1,"")</f>
        <v>19</v>
      </c>
      <c r="C23" s="19" t="str">
        <f t="shared" si="4"/>
        <v>C_Ope_009</v>
      </c>
      <c r="D23" s="3" t="s">
        <v>1074</v>
      </c>
      <c r="E23" s="14">
        <v>45723</v>
      </c>
      <c r="F23" s="5" t="s">
        <v>7719</v>
      </c>
      <c r="G23" s="5" t="s">
        <v>1079</v>
      </c>
      <c r="H23" s="6"/>
      <c r="I23" s="6" t="s">
        <v>14</v>
      </c>
      <c r="J23" s="6" t="s">
        <v>7758</v>
      </c>
      <c r="K23" s="6">
        <v>34362</v>
      </c>
      <c r="L23" s="7" t="s">
        <v>7728</v>
      </c>
      <c r="M23" s="8" t="s">
        <v>7759</v>
      </c>
      <c r="N23" s="8" t="str">
        <f t="shared" si="5"/>
        <v>PEN</v>
      </c>
      <c r="O23" s="13"/>
      <c r="P23" s="13">
        <v>24.4</v>
      </c>
      <c r="Q23" s="3">
        <f t="shared" si="1"/>
        <v>0</v>
      </c>
      <c r="R23" s="3">
        <f t="shared" si="2"/>
        <v>24.4</v>
      </c>
      <c r="S23" s="3">
        <f t="shared" si="3"/>
        <v>251.99999999999997</v>
      </c>
      <c r="T23" s="24"/>
      <c r="U23" s="24"/>
      <c r="V23" s="3"/>
      <c r="W23" s="25" t="s">
        <v>7726</v>
      </c>
      <c r="X23" s="25"/>
      <c r="Y23" s="25"/>
      <c r="Z23" s="25"/>
      <c r="AA23" s="25"/>
      <c r="AB23" s="3" t="str">
        <f>IF(C_Ope_009[[#This Row],[FECHA]]&gt;0,TEXT(C_Ope_009[[#This Row],[FECHA]],"mmmm"),0)</f>
        <v>Marzo</v>
      </c>
    </row>
    <row r="24" spans="2:28" x14ac:dyDescent="0.3">
      <c r="B24" s="2">
        <f>IF(C_Ope_009[[#This Row],[TIPO DE R.]]="R",COUNTIFS($D$4:$D23,"R")+1,"")</f>
        <v>20</v>
      </c>
      <c r="C24" s="19" t="str">
        <f t="shared" si="4"/>
        <v>C_Ope_009</v>
      </c>
      <c r="D24" s="3" t="s">
        <v>1074</v>
      </c>
      <c r="E24" s="14">
        <v>45730</v>
      </c>
      <c r="F24" s="5" t="s">
        <v>7719</v>
      </c>
      <c r="G24" s="5" t="s">
        <v>1079</v>
      </c>
      <c r="H24" s="6"/>
      <c r="I24" s="6" t="s">
        <v>14</v>
      </c>
      <c r="J24" s="6" t="s">
        <v>7727</v>
      </c>
      <c r="K24" s="6">
        <v>76308</v>
      </c>
      <c r="L24" s="7" t="s">
        <v>7728</v>
      </c>
      <c r="M24" s="8" t="s">
        <v>7760</v>
      </c>
      <c r="N24" s="8" t="str">
        <f t="shared" si="5"/>
        <v>PEN</v>
      </c>
      <c r="O24" s="13"/>
      <c r="P24" s="13">
        <v>16.600000000000001</v>
      </c>
      <c r="Q24" s="3">
        <f t="shared" si="1"/>
        <v>0</v>
      </c>
      <c r="R24" s="3">
        <f t="shared" si="2"/>
        <v>16.600000000000001</v>
      </c>
      <c r="S24" s="3">
        <f t="shared" si="3"/>
        <v>235.39999999999998</v>
      </c>
      <c r="T24" s="24"/>
      <c r="U24" s="24"/>
      <c r="V24" s="3"/>
      <c r="W24" s="25" t="s">
        <v>7726</v>
      </c>
      <c r="X24" s="25"/>
      <c r="Y24" s="25"/>
      <c r="Z24" s="25"/>
      <c r="AA24" s="25"/>
      <c r="AB24" s="3" t="str">
        <f>IF(C_Ope_009[[#This Row],[FECHA]]&gt;0,TEXT(C_Ope_009[[#This Row],[FECHA]],"mmmm"),0)</f>
        <v>Marzo</v>
      </c>
    </row>
    <row r="25" spans="2:28" x14ac:dyDescent="0.3">
      <c r="B25" s="2">
        <f>IF(C_Ope_009[[#This Row],[TIPO DE R.]]="R",COUNTIFS($D$4:$D24,"R")+1,"")</f>
        <v>21</v>
      </c>
      <c r="C25" s="19" t="str">
        <f t="shared" si="4"/>
        <v>C_Ope_009</v>
      </c>
      <c r="D25" s="3" t="s">
        <v>1074</v>
      </c>
      <c r="E25" s="14">
        <v>45737</v>
      </c>
      <c r="F25" s="5" t="s">
        <v>7719</v>
      </c>
      <c r="G25" s="5" t="s">
        <v>1079</v>
      </c>
      <c r="H25" s="6"/>
      <c r="I25" s="6" t="s">
        <v>14</v>
      </c>
      <c r="J25" s="6" t="s">
        <v>7758</v>
      </c>
      <c r="K25" s="6">
        <v>34440</v>
      </c>
      <c r="L25" s="7" t="s">
        <v>7728</v>
      </c>
      <c r="M25" s="8" t="s">
        <v>7761</v>
      </c>
      <c r="N25" s="8" t="str">
        <f t="shared" si="5"/>
        <v>PEN</v>
      </c>
      <c r="O25" s="13"/>
      <c r="P25" s="13">
        <v>16.600000000000001</v>
      </c>
      <c r="Q25" s="3">
        <f t="shared" si="1"/>
        <v>0</v>
      </c>
      <c r="R25" s="3">
        <f t="shared" si="2"/>
        <v>16.600000000000001</v>
      </c>
      <c r="S25" s="3">
        <f t="shared" si="3"/>
        <v>218.79999999999998</v>
      </c>
      <c r="T25" s="24"/>
      <c r="U25" s="24"/>
      <c r="V25" s="3"/>
      <c r="W25" s="25" t="s">
        <v>7726</v>
      </c>
      <c r="X25" s="25"/>
      <c r="Y25" s="25"/>
      <c r="Z25" s="25"/>
      <c r="AA25" s="25"/>
      <c r="AB25" s="3" t="str">
        <f>IF(C_Ope_009[[#This Row],[FECHA]]&gt;0,TEXT(C_Ope_009[[#This Row],[FECHA]],"mmmm"),0)</f>
        <v>Marzo</v>
      </c>
    </row>
    <row r="26" spans="2:28" x14ac:dyDescent="0.3">
      <c r="B26" s="2">
        <f>IF(C_Ope_009[[#This Row],[TIPO DE R.]]="R",COUNTIFS($D$4:$D25,"R")+1,"")</f>
        <v>22</v>
      </c>
      <c r="C26" s="19" t="str">
        <f t="shared" si="4"/>
        <v>C_Ope_009</v>
      </c>
      <c r="D26" s="3" t="s">
        <v>1074</v>
      </c>
      <c r="E26" s="14">
        <v>45740</v>
      </c>
      <c r="F26" s="5" t="s">
        <v>7719</v>
      </c>
      <c r="G26" s="5" t="s">
        <v>1079</v>
      </c>
      <c r="H26" s="6"/>
      <c r="I26" s="6" t="s">
        <v>14</v>
      </c>
      <c r="J26" s="6" t="s">
        <v>1088</v>
      </c>
      <c r="K26" s="6">
        <v>5377</v>
      </c>
      <c r="L26" s="7" t="s">
        <v>7762</v>
      </c>
      <c r="M26" s="8" t="s">
        <v>7763</v>
      </c>
      <c r="N26" s="8" t="str">
        <f t="shared" si="5"/>
        <v>PEN</v>
      </c>
      <c r="O26" s="13"/>
      <c r="P26" s="13">
        <v>34</v>
      </c>
      <c r="Q26" s="3">
        <f t="shared" si="1"/>
        <v>0</v>
      </c>
      <c r="R26" s="3">
        <f t="shared" si="2"/>
        <v>34</v>
      </c>
      <c r="S26" s="3">
        <f t="shared" si="3"/>
        <v>184.79999999999998</v>
      </c>
      <c r="T26" s="24"/>
      <c r="U26" s="24"/>
      <c r="V26" s="3"/>
      <c r="W26" s="25" t="s">
        <v>7722</v>
      </c>
      <c r="X26" s="25"/>
      <c r="Y26" s="25"/>
      <c r="Z26" s="25"/>
      <c r="AA26" s="25"/>
      <c r="AB26" s="3" t="str">
        <f>IF(C_Ope_009[[#This Row],[FECHA]]&gt;0,TEXT(C_Ope_009[[#This Row],[FECHA]],"mmmm"),0)</f>
        <v>Marzo</v>
      </c>
    </row>
    <row r="27" spans="2:28" x14ac:dyDescent="0.3">
      <c r="B27" s="2">
        <f>IF(C_Ope_009[[#This Row],[TIPO DE R.]]="R",COUNTIFS($D$4:$D26,"R")+1,"")</f>
        <v>23</v>
      </c>
      <c r="C27" s="19" t="str">
        <f t="shared" si="4"/>
        <v>C_Ope_009</v>
      </c>
      <c r="D27" s="3" t="s">
        <v>1074</v>
      </c>
      <c r="E27" s="14">
        <v>45744</v>
      </c>
      <c r="F27" s="5" t="s">
        <v>7719</v>
      </c>
      <c r="G27" s="5" t="s">
        <v>1079</v>
      </c>
      <c r="H27" s="6"/>
      <c r="I27" s="6" t="s">
        <v>14</v>
      </c>
      <c r="J27" s="6" t="s">
        <v>7758</v>
      </c>
      <c r="K27" s="6">
        <v>34464</v>
      </c>
      <c r="L27" s="7" t="s">
        <v>7728</v>
      </c>
      <c r="M27" s="8" t="s">
        <v>7764</v>
      </c>
      <c r="N27" s="8" t="str">
        <f t="shared" si="5"/>
        <v>PEN</v>
      </c>
      <c r="O27" s="13"/>
      <c r="P27" s="13">
        <v>16.600000000000001</v>
      </c>
      <c r="Q27" s="3">
        <f t="shared" si="1"/>
        <v>0</v>
      </c>
      <c r="R27" s="3">
        <f t="shared" si="2"/>
        <v>16.600000000000001</v>
      </c>
      <c r="S27" s="3">
        <f t="shared" si="3"/>
        <v>168.2</v>
      </c>
      <c r="T27" s="24"/>
      <c r="U27" s="24"/>
      <c r="V27" s="3"/>
      <c r="W27" s="25" t="s">
        <v>7726</v>
      </c>
      <c r="X27" s="25"/>
      <c r="Y27" s="25"/>
      <c r="Z27" s="25"/>
      <c r="AA27" s="25"/>
      <c r="AB27" s="3" t="str">
        <f>IF(C_Ope_009[[#This Row],[FECHA]]&gt;0,TEXT(C_Ope_009[[#This Row],[FECHA]],"mmmm"),0)</f>
        <v>Marzo</v>
      </c>
    </row>
    <row r="28" spans="2:28" x14ac:dyDescent="0.3">
      <c r="B28" s="2">
        <f>IF(C_Ope_009[[#This Row],[TIPO DE R.]]="R",COUNTIFS($D$4:$D27,"R")+1,"")</f>
        <v>24</v>
      </c>
      <c r="C28" s="19" t="str">
        <f t="shared" si="4"/>
        <v>C_Ope_009</v>
      </c>
      <c r="D28" s="3" t="s">
        <v>1074</v>
      </c>
      <c r="E28" s="14">
        <v>45749</v>
      </c>
      <c r="F28" s="5" t="s">
        <v>7719</v>
      </c>
      <c r="G28" s="5" t="s">
        <v>1079</v>
      </c>
      <c r="H28" s="6"/>
      <c r="I28" s="6" t="s">
        <v>14</v>
      </c>
      <c r="J28" s="6" t="s">
        <v>7758</v>
      </c>
      <c r="K28" s="6">
        <v>34496</v>
      </c>
      <c r="L28" s="7" t="s">
        <v>7765</v>
      </c>
      <c r="M28" s="8" t="s">
        <v>7766</v>
      </c>
      <c r="N28" s="8" t="str">
        <f t="shared" si="5"/>
        <v>PEN</v>
      </c>
      <c r="O28" s="13"/>
      <c r="P28" s="13">
        <v>16.600000000000001</v>
      </c>
      <c r="Q28" s="3">
        <f t="shared" si="1"/>
        <v>0</v>
      </c>
      <c r="R28" s="3">
        <f t="shared" si="2"/>
        <v>16.600000000000001</v>
      </c>
      <c r="S28" s="3">
        <f t="shared" si="3"/>
        <v>151.6</v>
      </c>
      <c r="T28" s="24"/>
      <c r="U28" s="24"/>
      <c r="V28" s="3"/>
      <c r="W28" s="25" t="s">
        <v>7726</v>
      </c>
      <c r="X28" s="25"/>
      <c r="Y28" s="25"/>
      <c r="Z28" s="25"/>
      <c r="AA28" s="25"/>
      <c r="AB28" s="3" t="str">
        <f>IF(C_Ope_009[[#This Row],[FECHA]]&gt;0,TEXT(C_Ope_009[[#This Row],[FECHA]],"mmmm"),0)</f>
        <v>Abril</v>
      </c>
    </row>
    <row r="29" spans="2:28" x14ac:dyDescent="0.3">
      <c r="B29" s="2">
        <f>IF(C_Ope_009[[#This Row],[TIPO DE R.]]="R",COUNTIFS($D$4:$D28,"R")+1,"")</f>
        <v>25</v>
      </c>
      <c r="C29" s="19" t="str">
        <f t="shared" si="4"/>
        <v>C_Ope_009</v>
      </c>
      <c r="D29" s="3" t="s">
        <v>1074</v>
      </c>
      <c r="E29" s="14">
        <v>45751</v>
      </c>
      <c r="F29" s="5" t="s">
        <v>7719</v>
      </c>
      <c r="G29" s="5" t="s">
        <v>1079</v>
      </c>
      <c r="H29" s="6"/>
      <c r="I29" s="6" t="s">
        <v>14</v>
      </c>
      <c r="J29" s="6" t="s">
        <v>2058</v>
      </c>
      <c r="K29" s="6">
        <v>114030</v>
      </c>
      <c r="L29" s="7" t="s">
        <v>7767</v>
      </c>
      <c r="M29" s="8" t="s">
        <v>7768</v>
      </c>
      <c r="N29" s="8" t="str">
        <f t="shared" si="5"/>
        <v>PEN</v>
      </c>
      <c r="O29" s="13"/>
      <c r="P29" s="13">
        <v>55.2</v>
      </c>
      <c r="Q29" s="3">
        <f t="shared" si="1"/>
        <v>0</v>
      </c>
      <c r="R29" s="3">
        <f t="shared" si="2"/>
        <v>55.2</v>
      </c>
      <c r="S29" s="3">
        <f t="shared" si="3"/>
        <v>96.399999999999991</v>
      </c>
      <c r="T29" s="24"/>
      <c r="U29" s="24"/>
      <c r="V29" s="3"/>
      <c r="W29" s="25" t="s">
        <v>7722</v>
      </c>
      <c r="X29" s="25"/>
      <c r="Y29" s="25"/>
      <c r="Z29" s="25"/>
      <c r="AA29" s="25"/>
      <c r="AB29" s="3" t="str">
        <f>IF(C_Ope_009[[#This Row],[FECHA]]&gt;0,TEXT(C_Ope_009[[#This Row],[FECHA]],"mmmm"),0)</f>
        <v>Abril</v>
      </c>
    </row>
    <row r="30" spans="2:28" x14ac:dyDescent="0.3">
      <c r="B30" s="2">
        <f>IF(C_Ope_009[[#This Row],[TIPO DE R.]]="R",COUNTIFS($D$4:$D29,"R")+1,"")</f>
        <v>26</v>
      </c>
      <c r="C30" s="19" t="str">
        <f t="shared" si="4"/>
        <v>C_Ope_009</v>
      </c>
      <c r="D30" s="3" t="s">
        <v>1074</v>
      </c>
      <c r="E30" s="14">
        <v>45758</v>
      </c>
      <c r="F30" s="5" t="s">
        <v>7719</v>
      </c>
      <c r="G30" s="5" t="s">
        <v>1079</v>
      </c>
      <c r="H30" s="6"/>
      <c r="I30" s="6" t="s">
        <v>14</v>
      </c>
      <c r="J30" s="6" t="s">
        <v>7758</v>
      </c>
      <c r="K30" s="6">
        <v>34583</v>
      </c>
      <c r="L30" s="7" t="s">
        <v>7728</v>
      </c>
      <c r="M30" s="8" t="s">
        <v>7769</v>
      </c>
      <c r="N30" s="8" t="str">
        <f t="shared" si="5"/>
        <v>PEN</v>
      </c>
      <c r="O30" s="13"/>
      <c r="P30" s="13">
        <v>16.600000000000001</v>
      </c>
      <c r="Q30" s="3">
        <f t="shared" si="1"/>
        <v>0</v>
      </c>
      <c r="R30" s="3">
        <f t="shared" si="2"/>
        <v>16.600000000000001</v>
      </c>
      <c r="S30" s="3">
        <f t="shared" si="3"/>
        <v>79.799999999999983</v>
      </c>
      <c r="T30" s="24"/>
      <c r="U30" s="24"/>
      <c r="V30" s="3"/>
      <c r="W30" s="25" t="s">
        <v>7726</v>
      </c>
      <c r="X30" s="25"/>
      <c r="Y30" s="25"/>
      <c r="Z30" s="25"/>
      <c r="AA30" s="25"/>
      <c r="AB30" s="3" t="str">
        <f>IF(C_Ope_009[[#This Row],[FECHA]]&gt;0,TEXT(C_Ope_009[[#This Row],[FECHA]],"mmmm"),0)</f>
        <v>Abril</v>
      </c>
    </row>
    <row r="31" spans="2:28" x14ac:dyDescent="0.3">
      <c r="B31" s="2">
        <f>IF(C_Ope_009[[#This Row],[TIPO DE R.]]="R",COUNTIFS($D$4:$D30,"R")+1,"")</f>
        <v>27</v>
      </c>
      <c r="C31" s="19" t="str">
        <f t="shared" si="4"/>
        <v>C_Ope_009</v>
      </c>
      <c r="D31" s="3" t="s">
        <v>1074</v>
      </c>
      <c r="E31" s="14">
        <v>45758</v>
      </c>
      <c r="F31" s="5" t="s">
        <v>7719</v>
      </c>
      <c r="G31" s="5" t="s">
        <v>1079</v>
      </c>
      <c r="H31" s="6"/>
      <c r="I31" s="6" t="s">
        <v>14</v>
      </c>
      <c r="J31" s="6" t="s">
        <v>2058</v>
      </c>
      <c r="K31" s="6">
        <v>114443</v>
      </c>
      <c r="L31" s="7" t="s">
        <v>7770</v>
      </c>
      <c r="M31" s="8" t="s">
        <v>7771</v>
      </c>
      <c r="N31" s="8" t="str">
        <f t="shared" si="5"/>
        <v>PEN</v>
      </c>
      <c r="O31" s="13"/>
      <c r="P31" s="13">
        <v>48.3</v>
      </c>
      <c r="Q31" s="3">
        <f t="shared" si="1"/>
        <v>0</v>
      </c>
      <c r="R31" s="3">
        <f t="shared" si="2"/>
        <v>48.3</v>
      </c>
      <c r="S31" s="3">
        <f t="shared" si="3"/>
        <v>31.499999999999986</v>
      </c>
      <c r="T31" s="24"/>
      <c r="U31" s="24"/>
      <c r="V31" s="3"/>
      <c r="W31" s="25" t="s">
        <v>7722</v>
      </c>
      <c r="X31" s="25"/>
      <c r="Y31" s="25"/>
      <c r="Z31" s="25"/>
      <c r="AA31" s="25"/>
      <c r="AB31" s="3" t="str">
        <f>IF(C_Ope_009[[#This Row],[FECHA]]&gt;0,TEXT(C_Ope_009[[#This Row],[FECHA]],"mmmm"),0)</f>
        <v>Abril</v>
      </c>
    </row>
    <row r="32" spans="2:28" x14ac:dyDescent="0.3">
      <c r="B32" s="2">
        <f>IF(C_Ope_009[[#This Row],[TIPO DE R.]]="R",COUNTIFS($D$4:$D31,"R")+1,"")</f>
        <v>28</v>
      </c>
      <c r="C32" s="19" t="str">
        <f t="shared" si="4"/>
        <v>C_Ope_009</v>
      </c>
      <c r="D32" s="3" t="s">
        <v>1074</v>
      </c>
      <c r="E32" s="14">
        <v>45762</v>
      </c>
      <c r="F32" s="5" t="s">
        <v>6299</v>
      </c>
      <c r="G32" s="5" t="s">
        <v>1087</v>
      </c>
      <c r="H32" s="6"/>
      <c r="I32" s="6"/>
      <c r="J32" s="6"/>
      <c r="K32" s="6"/>
      <c r="L32" s="7" t="s">
        <v>7772</v>
      </c>
      <c r="M32" s="8" t="s">
        <v>7773</v>
      </c>
      <c r="N32" s="8" t="str">
        <f t="shared" si="5"/>
        <v>PEN</v>
      </c>
      <c r="O32" s="13"/>
      <c r="P32" s="13">
        <v>16</v>
      </c>
      <c r="Q32" s="3">
        <f t="shared" si="1"/>
        <v>16</v>
      </c>
      <c r="R32" s="3">
        <f t="shared" si="2"/>
        <v>0</v>
      </c>
      <c r="S32" s="3">
        <f t="shared" si="3"/>
        <v>47.499999999999986</v>
      </c>
      <c r="T32" s="24"/>
      <c r="U32" s="24"/>
      <c r="V32" s="3"/>
      <c r="W32" s="25" t="s">
        <v>7736</v>
      </c>
      <c r="X32" s="25"/>
      <c r="Y32" s="25"/>
      <c r="Z32" s="25"/>
      <c r="AA32" s="25"/>
      <c r="AB32" s="3" t="str">
        <f>IF(C_Ope_009[[#This Row],[FECHA]]&gt;0,TEXT(C_Ope_009[[#This Row],[FECHA]],"mmmm"),0)</f>
        <v>Abril</v>
      </c>
    </row>
    <row r="33" spans="2:28" x14ac:dyDescent="0.3">
      <c r="B33" s="2">
        <f>IF(C_Ope_009[[#This Row],[TIPO DE R.]]="R",COUNTIFS($D$4:$D32,"R")+1,"")</f>
        <v>29</v>
      </c>
      <c r="C33" s="19" t="str">
        <f t="shared" si="4"/>
        <v>C_Ope_009</v>
      </c>
      <c r="D33" s="3" t="s">
        <v>1074</v>
      </c>
      <c r="E33" s="14">
        <v>45771</v>
      </c>
      <c r="F33" s="5" t="s">
        <v>7719</v>
      </c>
      <c r="G33" s="5" t="s">
        <v>1079</v>
      </c>
      <c r="H33" s="6"/>
      <c r="I33" s="6" t="s">
        <v>14</v>
      </c>
      <c r="J33" s="6" t="s">
        <v>7774</v>
      </c>
      <c r="K33" s="6">
        <v>2352376</v>
      </c>
      <c r="L33" s="7" t="s">
        <v>7775</v>
      </c>
      <c r="M33" s="8" t="s">
        <v>7776</v>
      </c>
      <c r="N33" s="8" t="str">
        <f t="shared" si="5"/>
        <v>PEN</v>
      </c>
      <c r="O33" s="13"/>
      <c r="P33" s="13">
        <v>22.8</v>
      </c>
      <c r="Q33" s="3">
        <f t="shared" si="1"/>
        <v>0</v>
      </c>
      <c r="R33" s="3">
        <f t="shared" si="2"/>
        <v>22.8</v>
      </c>
      <c r="S33" s="3">
        <f t="shared" si="3"/>
        <v>24.699999999999985</v>
      </c>
      <c r="T33" s="24"/>
      <c r="U33" s="24"/>
      <c r="V33" s="3"/>
      <c r="W33" s="25" t="s">
        <v>7736</v>
      </c>
      <c r="X33" s="25"/>
      <c r="Y33" s="25"/>
      <c r="Z33" s="25"/>
      <c r="AA33" s="25"/>
      <c r="AB33" s="3" t="str">
        <f>IF(C_Ope_009[[#This Row],[FECHA]]&gt;0,TEXT(C_Ope_009[[#This Row],[FECHA]],"mmmm"),0)</f>
        <v>Abril</v>
      </c>
    </row>
    <row r="34" spans="2:28" x14ac:dyDescent="0.3">
      <c r="B34" s="2">
        <f>IF(C_Ope_009[[#This Row],[TIPO DE R.]]="R",COUNTIFS($D$4:$D33,"R")+1,"")</f>
        <v>30</v>
      </c>
      <c r="C34" s="19" t="str">
        <f t="shared" si="4"/>
        <v>C_Ope_009</v>
      </c>
      <c r="D34" s="3" t="s">
        <v>1074</v>
      </c>
      <c r="E34" s="14">
        <v>45772</v>
      </c>
      <c r="F34" s="5" t="s">
        <v>7719</v>
      </c>
      <c r="G34" s="5" t="s">
        <v>1079</v>
      </c>
      <c r="H34" s="6"/>
      <c r="I34" s="6" t="s">
        <v>14</v>
      </c>
      <c r="J34" s="6" t="s">
        <v>7758</v>
      </c>
      <c r="K34" s="6">
        <v>34651</v>
      </c>
      <c r="L34" s="7" t="s">
        <v>7728</v>
      </c>
      <c r="M34" s="8" t="s">
        <v>7777</v>
      </c>
      <c r="N34" s="8" t="str">
        <f t="shared" si="5"/>
        <v>PEN</v>
      </c>
      <c r="O34" s="13"/>
      <c r="P34" s="13">
        <v>24.4</v>
      </c>
      <c r="Q34" s="3">
        <f t="shared" si="1"/>
        <v>0</v>
      </c>
      <c r="R34" s="3">
        <f t="shared" si="2"/>
        <v>24.4</v>
      </c>
      <c r="S34" s="3">
        <f t="shared" si="3"/>
        <v>0.2999999999999865</v>
      </c>
      <c r="T34" s="24"/>
      <c r="U34" s="24"/>
      <c r="V34" s="3"/>
      <c r="W34" s="25" t="s">
        <v>7726</v>
      </c>
      <c r="X34" s="25"/>
      <c r="Y34" s="25"/>
      <c r="Z34" s="25"/>
      <c r="AA34" s="25"/>
      <c r="AB34" s="3" t="str">
        <f>IF(C_Ope_009[[#This Row],[FECHA]]&gt;0,TEXT(C_Ope_009[[#This Row],[FECHA]],"mmmm"),0)</f>
        <v>Abril</v>
      </c>
    </row>
    <row r="35" spans="2:28" x14ac:dyDescent="0.3">
      <c r="B35" s="2">
        <f>IF(C_Ope_009[[#This Row],[TIPO DE R.]]="R",COUNTIFS($D$4:$D34,"R")+1,"")</f>
        <v>31</v>
      </c>
      <c r="C35" s="19" t="str">
        <f t="shared" si="4"/>
        <v>C_Ope_009</v>
      </c>
      <c r="D35" s="3" t="s">
        <v>1074</v>
      </c>
      <c r="E35" s="14">
        <v>45775</v>
      </c>
      <c r="F35" s="5" t="s">
        <v>6299</v>
      </c>
      <c r="G35" s="5" t="s">
        <v>1087</v>
      </c>
      <c r="H35" s="6"/>
      <c r="I35" s="6"/>
      <c r="J35" s="6"/>
      <c r="K35" s="6"/>
      <c r="L35" s="7" t="s">
        <v>7732</v>
      </c>
      <c r="M35" s="8" t="s">
        <v>7778</v>
      </c>
      <c r="N35" s="8" t="str">
        <f t="shared" si="5"/>
        <v>PEN</v>
      </c>
      <c r="O35" s="13"/>
      <c r="P35" s="13">
        <v>200</v>
      </c>
      <c r="Q35" s="3">
        <f t="shared" si="1"/>
        <v>200</v>
      </c>
      <c r="R35" s="3">
        <f t="shared" si="2"/>
        <v>0</v>
      </c>
      <c r="S35" s="3">
        <f t="shared" si="3"/>
        <v>200.29999999999998</v>
      </c>
      <c r="T35" s="24"/>
      <c r="U35" s="24"/>
      <c r="V35" s="3"/>
      <c r="W35" s="25"/>
      <c r="X35" s="25"/>
      <c r="Y35" s="25"/>
      <c r="Z35" s="25"/>
      <c r="AA35" s="25"/>
      <c r="AB35" s="3" t="str">
        <f>IF(C_Ope_009[[#This Row],[FECHA]]&gt;0,TEXT(C_Ope_009[[#This Row],[FECHA]],"mmmm"),0)</f>
        <v>Abril</v>
      </c>
    </row>
    <row r="36" spans="2:28" x14ac:dyDescent="0.3">
      <c r="B36" s="2">
        <f>IF(C_Ope_009[[#This Row],[TIPO DE R.]]="R",COUNTIFS($D$4:$D35,"R")+1,"")</f>
        <v>32</v>
      </c>
      <c r="C36" s="19" t="str">
        <f t="shared" si="4"/>
        <v>C_Ope_009</v>
      </c>
      <c r="D36" s="3" t="s">
        <v>1074</v>
      </c>
      <c r="E36" s="14">
        <v>45777</v>
      </c>
      <c r="F36" s="5" t="s">
        <v>7719</v>
      </c>
      <c r="G36" s="5" t="s">
        <v>1079</v>
      </c>
      <c r="H36" s="6"/>
      <c r="I36" s="6" t="s">
        <v>14</v>
      </c>
      <c r="J36" s="6" t="s">
        <v>7758</v>
      </c>
      <c r="K36" s="6">
        <v>34669</v>
      </c>
      <c r="L36" s="7" t="s">
        <v>7728</v>
      </c>
      <c r="M36" s="8" t="s">
        <v>7779</v>
      </c>
      <c r="N36" s="8" t="str">
        <f t="shared" si="5"/>
        <v>PEN</v>
      </c>
      <c r="O36" s="13"/>
      <c r="P36" s="13">
        <v>16.600000000000001</v>
      </c>
      <c r="Q36" s="3">
        <f t="shared" si="1"/>
        <v>0</v>
      </c>
      <c r="R36" s="3">
        <f t="shared" si="2"/>
        <v>16.600000000000001</v>
      </c>
      <c r="S36" s="3">
        <f t="shared" si="3"/>
        <v>183.7</v>
      </c>
      <c r="T36" s="24"/>
      <c r="U36" s="24"/>
      <c r="V36" s="3"/>
      <c r="W36" s="25" t="s">
        <v>7726</v>
      </c>
      <c r="X36" s="25"/>
      <c r="Y36" s="25"/>
      <c r="Z36" s="25"/>
      <c r="AA36" s="25"/>
      <c r="AB36" s="3" t="str">
        <f>IF(C_Ope_009[[#This Row],[FECHA]]&gt;0,TEXT(C_Ope_009[[#This Row],[FECHA]],"mmmm"),0)</f>
        <v>Abril</v>
      </c>
    </row>
    <row r="37" spans="2:28" x14ac:dyDescent="0.3">
      <c r="B37" s="2">
        <f>IF(C_Ope_009[[#This Row],[TIPO DE R.]]="R",COUNTIFS($D$4:$D36,"R")+1,"")</f>
        <v>33</v>
      </c>
      <c r="C37" s="19" t="str">
        <f t="shared" si="4"/>
        <v>C_Ope_009</v>
      </c>
      <c r="D37" s="3" t="s">
        <v>1074</v>
      </c>
      <c r="E37" s="14">
        <v>45782</v>
      </c>
      <c r="F37" s="5" t="s">
        <v>7719</v>
      </c>
      <c r="G37" s="5" t="s">
        <v>1079</v>
      </c>
      <c r="H37" s="6"/>
      <c r="I37" s="6" t="s">
        <v>14</v>
      </c>
      <c r="J37" s="6" t="s">
        <v>2058</v>
      </c>
      <c r="K37" s="6">
        <v>115513</v>
      </c>
      <c r="L37" s="7" t="s">
        <v>7770</v>
      </c>
      <c r="M37" s="8" t="s">
        <v>7780</v>
      </c>
      <c r="N37" s="8" t="str">
        <f t="shared" si="5"/>
        <v>PEN</v>
      </c>
      <c r="O37" s="13"/>
      <c r="P37" s="13">
        <v>52.5</v>
      </c>
      <c r="Q37" s="3">
        <f t="shared" ref="Q37:Q57" si="6">+IF(OR($G37="SALDO",$G37="INGRESO"),$P37,0)</f>
        <v>0</v>
      </c>
      <c r="R37" s="3">
        <f t="shared" ref="R37:R57" si="7">+IF($G37="EGRESO",$P37,0)</f>
        <v>52.5</v>
      </c>
      <c r="S37" s="3">
        <f t="shared" ref="S37:S53" si="8">IFERROR(IF(G37="SALDO",Q37,S36+Q37-R37),0)</f>
        <v>131.19999999999999</v>
      </c>
      <c r="T37" s="24"/>
      <c r="U37" s="24"/>
      <c r="V37" s="3"/>
      <c r="W37" s="25" t="s">
        <v>7722</v>
      </c>
      <c r="X37" s="25"/>
      <c r="Y37" s="25"/>
      <c r="Z37" s="25"/>
      <c r="AA37" s="25"/>
      <c r="AB37" s="3" t="str">
        <f>IF(C_Ope_009[[#This Row],[FECHA]]&gt;0,TEXT(C_Ope_009[[#This Row],[FECHA]],"mmmm"),0)</f>
        <v>Mayo</v>
      </c>
    </row>
    <row r="38" spans="2:28" x14ac:dyDescent="0.3">
      <c r="B38" s="2">
        <f>IF(C_Ope_009[[#This Row],[TIPO DE R.]]="R",COUNTIFS($D$4:$D37,"R")+1,"")</f>
        <v>34</v>
      </c>
      <c r="C38" s="19" t="str">
        <f t="shared" ref="C38:C57" si="9">"C_Ope_009"</f>
        <v>C_Ope_009</v>
      </c>
      <c r="D38" s="3" t="s">
        <v>1074</v>
      </c>
      <c r="E38" s="14">
        <v>45786</v>
      </c>
      <c r="F38" s="5" t="s">
        <v>7719</v>
      </c>
      <c r="G38" s="5" t="s">
        <v>1079</v>
      </c>
      <c r="H38" s="6"/>
      <c r="I38" s="6" t="s">
        <v>14</v>
      </c>
      <c r="J38" s="6" t="s">
        <v>7727</v>
      </c>
      <c r="K38" s="6">
        <v>765550</v>
      </c>
      <c r="L38" s="7" t="s">
        <v>7728</v>
      </c>
      <c r="M38" s="8" t="s">
        <v>7781</v>
      </c>
      <c r="N38" s="8" t="str">
        <f t="shared" ref="N38:N57" si="10">"PEN"</f>
        <v>PEN</v>
      </c>
      <c r="O38" s="13"/>
      <c r="P38" s="13">
        <v>16.600000000000001</v>
      </c>
      <c r="Q38" s="3">
        <f t="shared" si="6"/>
        <v>0</v>
      </c>
      <c r="R38" s="3">
        <f t="shared" si="7"/>
        <v>16.600000000000001</v>
      </c>
      <c r="S38" s="3">
        <f t="shared" si="8"/>
        <v>114.6</v>
      </c>
      <c r="T38" s="24"/>
      <c r="U38" s="24"/>
      <c r="V38" s="3"/>
      <c r="W38" s="25" t="s">
        <v>7726</v>
      </c>
      <c r="X38" s="25"/>
      <c r="Y38" s="25"/>
      <c r="Z38" s="25"/>
      <c r="AA38" s="25"/>
      <c r="AB38" s="3" t="str">
        <f>IF(C_Ope_009[[#This Row],[FECHA]]&gt;0,TEXT(C_Ope_009[[#This Row],[FECHA]],"mmmm"),0)</f>
        <v>Mayo</v>
      </c>
    </row>
    <row r="39" spans="2:28" x14ac:dyDescent="0.3">
      <c r="B39" s="2">
        <f>IF(C_Ope_009[[#This Row],[TIPO DE R.]]="R",COUNTIFS($D$4:$D38,"R")+1,"")</f>
        <v>35</v>
      </c>
      <c r="C39" s="19" t="str">
        <f t="shared" si="9"/>
        <v>C_Ope_009</v>
      </c>
      <c r="D39" s="3" t="s">
        <v>1074</v>
      </c>
      <c r="E39" s="14">
        <v>45786</v>
      </c>
      <c r="F39" s="5" t="s">
        <v>7719</v>
      </c>
      <c r="G39" s="5" t="s">
        <v>1079</v>
      </c>
      <c r="H39" s="6"/>
      <c r="I39" s="6" t="s">
        <v>14</v>
      </c>
      <c r="J39" s="6" t="s">
        <v>2058</v>
      </c>
      <c r="K39" s="6">
        <v>115758</v>
      </c>
      <c r="L39" s="7" t="s">
        <v>7770</v>
      </c>
      <c r="M39" s="8" t="s">
        <v>7782</v>
      </c>
      <c r="N39" s="8" t="str">
        <f t="shared" si="10"/>
        <v>PEN</v>
      </c>
      <c r="O39" s="13"/>
      <c r="P39" s="13">
        <v>52.5</v>
      </c>
      <c r="Q39" s="3">
        <f t="shared" si="6"/>
        <v>0</v>
      </c>
      <c r="R39" s="3">
        <f t="shared" si="7"/>
        <v>52.5</v>
      </c>
      <c r="S39" s="3">
        <f t="shared" si="8"/>
        <v>62.099999999999994</v>
      </c>
      <c r="T39" s="24"/>
      <c r="U39" s="24"/>
      <c r="V39" s="3"/>
      <c r="W39" s="25" t="s">
        <v>7722</v>
      </c>
      <c r="X39" s="25"/>
      <c r="Y39" s="25"/>
      <c r="Z39" s="25"/>
      <c r="AA39" s="25"/>
      <c r="AB39" s="3" t="str">
        <f>IF(C_Ope_009[[#This Row],[FECHA]]&gt;0,TEXT(C_Ope_009[[#This Row],[FECHA]],"mmmm"),0)</f>
        <v>Mayo</v>
      </c>
    </row>
    <row r="40" spans="2:28" x14ac:dyDescent="0.3">
      <c r="B40" s="2">
        <f>IF(C_Ope_009[[#This Row],[TIPO DE R.]]="R",COUNTIFS($D$4:$D39,"R")+1,"")</f>
        <v>36</v>
      </c>
      <c r="C40" s="19" t="str">
        <f t="shared" si="9"/>
        <v>C_Ope_009</v>
      </c>
      <c r="D40" s="3" t="s">
        <v>1074</v>
      </c>
      <c r="E40" s="14">
        <v>45791</v>
      </c>
      <c r="F40" s="5" t="s">
        <v>6299</v>
      </c>
      <c r="G40" s="5" t="s">
        <v>1087</v>
      </c>
      <c r="H40" s="6"/>
      <c r="I40" s="6"/>
      <c r="J40" s="6"/>
      <c r="K40" s="6"/>
      <c r="L40" s="7" t="s">
        <v>7732</v>
      </c>
      <c r="M40" s="8" t="s">
        <v>7783</v>
      </c>
      <c r="N40" s="8" t="str">
        <f t="shared" si="10"/>
        <v>PEN</v>
      </c>
      <c r="O40" s="13"/>
      <c r="P40" s="13">
        <v>300</v>
      </c>
      <c r="Q40" s="3">
        <f t="shared" si="6"/>
        <v>300</v>
      </c>
      <c r="R40" s="3">
        <f t="shared" si="7"/>
        <v>0</v>
      </c>
      <c r="S40" s="3">
        <f t="shared" si="8"/>
        <v>362.1</v>
      </c>
      <c r="T40" s="24"/>
      <c r="U40" s="24"/>
      <c r="V40" s="3"/>
      <c r="W40" s="25"/>
      <c r="X40" s="25"/>
      <c r="Y40" s="25"/>
      <c r="Z40" s="25"/>
      <c r="AA40" s="25"/>
      <c r="AB40" s="3" t="str">
        <f>IF(C_Ope_009[[#This Row],[FECHA]]&gt;0,TEXT(C_Ope_009[[#This Row],[FECHA]],"mmmm"),0)</f>
        <v>Mayo</v>
      </c>
    </row>
    <row r="41" spans="2:28" x14ac:dyDescent="0.3">
      <c r="B41" s="2">
        <f>IF(C_Ope_009[[#This Row],[TIPO DE R.]]="R",COUNTIFS($D$4:$D40,"R")+1,"")</f>
        <v>37</v>
      </c>
      <c r="C41" s="19" t="str">
        <f t="shared" si="9"/>
        <v>C_Ope_009</v>
      </c>
      <c r="D41" s="3" t="s">
        <v>1074</v>
      </c>
      <c r="E41" s="14">
        <v>45793</v>
      </c>
      <c r="F41" s="5" t="s">
        <v>7719</v>
      </c>
      <c r="G41" s="5" t="s">
        <v>1079</v>
      </c>
      <c r="H41" s="6"/>
      <c r="I41" s="6" t="s">
        <v>14</v>
      </c>
      <c r="J41" s="6" t="s">
        <v>7758</v>
      </c>
      <c r="K41" s="6">
        <v>34751</v>
      </c>
      <c r="L41" s="7" t="s">
        <v>7728</v>
      </c>
      <c r="M41" s="8" t="s">
        <v>7784</v>
      </c>
      <c r="N41" s="8" t="str">
        <f t="shared" si="10"/>
        <v>PEN</v>
      </c>
      <c r="O41" s="13"/>
      <c r="P41" s="13">
        <v>16.600000000000001</v>
      </c>
      <c r="Q41" s="3">
        <f t="shared" si="6"/>
        <v>0</v>
      </c>
      <c r="R41" s="3">
        <f t="shared" si="7"/>
        <v>16.600000000000001</v>
      </c>
      <c r="S41" s="3">
        <f t="shared" si="8"/>
        <v>345.5</v>
      </c>
      <c r="T41" s="24"/>
      <c r="U41" s="24"/>
      <c r="V41" s="3"/>
      <c r="W41" s="25" t="s">
        <v>7726</v>
      </c>
      <c r="X41" s="25"/>
      <c r="Y41" s="25"/>
      <c r="Z41" s="25"/>
      <c r="AA41" s="25"/>
      <c r="AB41" s="3" t="str">
        <f>IF(C_Ope_009[[#This Row],[FECHA]]&gt;0,TEXT(C_Ope_009[[#This Row],[FECHA]],"mmmm"),0)</f>
        <v>Mayo</v>
      </c>
    </row>
    <row r="42" spans="2:28" x14ac:dyDescent="0.3">
      <c r="B42" s="2">
        <f>IF(C_Ope_009[[#This Row],[TIPO DE R.]]="R",COUNTIFS($D$4:$D41,"R")+1,"")</f>
        <v>38</v>
      </c>
      <c r="C42" s="19" t="str">
        <f t="shared" si="9"/>
        <v>C_Ope_009</v>
      </c>
      <c r="D42" s="3" t="s">
        <v>1074</v>
      </c>
      <c r="E42" s="14">
        <v>45793</v>
      </c>
      <c r="F42" s="5" t="s">
        <v>7719</v>
      </c>
      <c r="G42" s="5" t="s">
        <v>1079</v>
      </c>
      <c r="H42" s="6"/>
      <c r="I42" s="6" t="s">
        <v>14</v>
      </c>
      <c r="J42" s="6" t="s">
        <v>2058</v>
      </c>
      <c r="K42" s="6">
        <v>116141</v>
      </c>
      <c r="L42" s="7" t="s">
        <v>7785</v>
      </c>
      <c r="M42" s="8" t="s">
        <v>7786</v>
      </c>
      <c r="N42" s="8" t="str">
        <f t="shared" si="10"/>
        <v>PEN</v>
      </c>
      <c r="O42" s="13"/>
      <c r="P42" s="13">
        <v>56.3</v>
      </c>
      <c r="Q42" s="3">
        <f t="shared" si="6"/>
        <v>0</v>
      </c>
      <c r="R42" s="3">
        <f t="shared" si="7"/>
        <v>56.3</v>
      </c>
      <c r="S42" s="3">
        <f t="shared" si="8"/>
        <v>289.2</v>
      </c>
      <c r="T42" s="24"/>
      <c r="U42" s="24"/>
      <c r="V42" s="3"/>
      <c r="W42" s="25" t="s">
        <v>7722</v>
      </c>
      <c r="X42" s="25"/>
      <c r="Y42" s="25"/>
      <c r="Z42" s="25"/>
      <c r="AA42" s="25"/>
      <c r="AB42" s="3" t="str">
        <f>IF(C_Ope_009[[#This Row],[FECHA]]&gt;0,TEXT(C_Ope_009[[#This Row],[FECHA]],"mmmm"),0)</f>
        <v>Mayo</v>
      </c>
    </row>
    <row r="43" spans="2:28" x14ac:dyDescent="0.3">
      <c r="B43" s="2">
        <f>IF(C_Ope_009[[#This Row],[TIPO DE R.]]="R",COUNTIFS($D$4:$D42,"R")+1,"")</f>
        <v>39</v>
      </c>
      <c r="C43" s="19" t="str">
        <f t="shared" si="9"/>
        <v>C_Ope_009</v>
      </c>
      <c r="D43" s="3" t="s">
        <v>1074</v>
      </c>
      <c r="E43" s="14">
        <v>45799</v>
      </c>
      <c r="F43" s="5" t="s">
        <v>7719</v>
      </c>
      <c r="G43" s="5" t="s">
        <v>1079</v>
      </c>
      <c r="H43" s="6"/>
      <c r="I43" s="6" t="s">
        <v>14</v>
      </c>
      <c r="J43" s="6" t="s">
        <v>7758</v>
      </c>
      <c r="K43" s="6">
        <v>34784</v>
      </c>
      <c r="L43" s="7" t="s">
        <v>7787</v>
      </c>
      <c r="M43" s="8" t="s">
        <v>7788</v>
      </c>
      <c r="N43" s="8" t="str">
        <f t="shared" si="10"/>
        <v>PEN</v>
      </c>
      <c r="O43" s="13"/>
      <c r="P43" s="13">
        <v>16.600000000000001</v>
      </c>
      <c r="Q43" s="3">
        <f t="shared" si="6"/>
        <v>0</v>
      </c>
      <c r="R43" s="3">
        <f t="shared" si="7"/>
        <v>16.600000000000001</v>
      </c>
      <c r="S43" s="3">
        <f t="shared" si="8"/>
        <v>272.59999999999997</v>
      </c>
      <c r="T43" s="24"/>
      <c r="U43" s="24"/>
      <c r="V43" s="3"/>
      <c r="W43" s="25" t="s">
        <v>7726</v>
      </c>
      <c r="X43" s="25"/>
      <c r="Y43" s="25"/>
      <c r="Z43" s="25"/>
      <c r="AA43" s="25"/>
      <c r="AB43" s="3" t="str">
        <f>IF(C_Ope_009[[#This Row],[FECHA]]&gt;0,TEXT(C_Ope_009[[#This Row],[FECHA]],"mmmm"),0)</f>
        <v>Mayo</v>
      </c>
    </row>
    <row r="44" spans="2:28" x14ac:dyDescent="0.3">
      <c r="B44" s="2">
        <f>IF(C_Ope_009[[#This Row],[TIPO DE R.]]="R",COUNTIFS($D$4:$D43,"R")+1,"")</f>
        <v>40</v>
      </c>
      <c r="C44" s="19" t="str">
        <f t="shared" si="9"/>
        <v>C_Ope_009</v>
      </c>
      <c r="D44" s="3" t="s">
        <v>1074</v>
      </c>
      <c r="E44" s="14">
        <v>45799</v>
      </c>
      <c r="F44" s="5" t="s">
        <v>7719</v>
      </c>
      <c r="G44" s="5" t="s">
        <v>1079</v>
      </c>
      <c r="H44" s="6"/>
      <c r="I44" s="6"/>
      <c r="J44" s="6"/>
      <c r="K44" s="6">
        <v>1023</v>
      </c>
      <c r="L44" s="7" t="s">
        <v>7789</v>
      </c>
      <c r="M44" s="8" t="s">
        <v>7790</v>
      </c>
      <c r="N44" s="8" t="str">
        <f t="shared" si="10"/>
        <v>PEN</v>
      </c>
      <c r="O44" s="13"/>
      <c r="P44" s="13">
        <v>20</v>
      </c>
      <c r="Q44" s="3">
        <f t="shared" si="6"/>
        <v>0</v>
      </c>
      <c r="R44" s="3">
        <f t="shared" si="7"/>
        <v>20</v>
      </c>
      <c r="S44" s="3">
        <f t="shared" si="8"/>
        <v>252.59999999999997</v>
      </c>
      <c r="T44" s="24"/>
      <c r="U44" s="24"/>
      <c r="V44" s="3"/>
      <c r="W44" s="25" t="s">
        <v>7743</v>
      </c>
      <c r="X44" s="25"/>
      <c r="Y44" s="25"/>
      <c r="Z44" s="25"/>
      <c r="AA44" s="25"/>
      <c r="AB44" s="3" t="str">
        <f>IF(C_Ope_009[[#This Row],[FECHA]]&gt;0,TEXT(C_Ope_009[[#This Row],[FECHA]],"mmmm"),0)</f>
        <v>Mayo</v>
      </c>
    </row>
    <row r="45" spans="2:28" x14ac:dyDescent="0.3">
      <c r="B45" s="2">
        <f>IF(C_Ope_009[[#This Row],[TIPO DE R.]]="R",COUNTIFS($D$4:$D44,"R")+1,"")</f>
        <v>41</v>
      </c>
      <c r="C45" s="19" t="str">
        <f t="shared" si="9"/>
        <v>C_Ope_009</v>
      </c>
      <c r="D45" s="3" t="s">
        <v>1074</v>
      </c>
      <c r="E45" s="14">
        <v>45800</v>
      </c>
      <c r="F45" s="5" t="s">
        <v>7719</v>
      </c>
      <c r="G45" s="5" t="s">
        <v>1079</v>
      </c>
      <c r="H45" s="6"/>
      <c r="I45" s="6" t="s">
        <v>14</v>
      </c>
      <c r="J45" s="6" t="s">
        <v>2058</v>
      </c>
      <c r="K45" s="6">
        <v>116504</v>
      </c>
      <c r="L45" s="7" t="s">
        <v>7791</v>
      </c>
      <c r="M45" s="8" t="s">
        <v>7792</v>
      </c>
      <c r="N45" s="8" t="str">
        <f t="shared" si="10"/>
        <v>PEN</v>
      </c>
      <c r="O45" s="13"/>
      <c r="P45" s="13">
        <v>48.3</v>
      </c>
      <c r="Q45" s="3">
        <f t="shared" si="6"/>
        <v>0</v>
      </c>
      <c r="R45" s="3">
        <f t="shared" si="7"/>
        <v>48.3</v>
      </c>
      <c r="S45" s="3">
        <f t="shared" si="8"/>
        <v>204.29999999999995</v>
      </c>
      <c r="T45" s="24"/>
      <c r="U45" s="24"/>
      <c r="V45" s="3"/>
      <c r="W45" s="25" t="s">
        <v>7722</v>
      </c>
      <c r="X45" s="25"/>
      <c r="Y45" s="25"/>
      <c r="Z45" s="25"/>
      <c r="AA45" s="25"/>
      <c r="AB45" s="3" t="str">
        <f>IF(C_Ope_009[[#This Row],[FECHA]]&gt;0,TEXT(C_Ope_009[[#This Row],[FECHA]],"mmmm"),0)</f>
        <v>Mayo</v>
      </c>
    </row>
    <row r="46" spans="2:28" x14ac:dyDescent="0.3">
      <c r="B46" s="2">
        <f>IF(C_Ope_009[[#This Row],[TIPO DE R.]]="R",COUNTIFS($D$4:$D45,"R")+1,"")</f>
        <v>42</v>
      </c>
      <c r="C46" s="19" t="str">
        <f t="shared" si="9"/>
        <v>C_Ope_009</v>
      </c>
      <c r="D46" s="3" t="s">
        <v>1074</v>
      </c>
      <c r="E46" s="14">
        <v>45800</v>
      </c>
      <c r="F46" s="5" t="s">
        <v>7719</v>
      </c>
      <c r="G46" s="5" t="s">
        <v>1079</v>
      </c>
      <c r="H46" s="6"/>
      <c r="I46" s="6" t="s">
        <v>14</v>
      </c>
      <c r="J46" s="6" t="s">
        <v>7727</v>
      </c>
      <c r="K46" s="6">
        <v>76645</v>
      </c>
      <c r="L46" s="7" t="s">
        <v>7728</v>
      </c>
      <c r="M46" s="8" t="s">
        <v>7793</v>
      </c>
      <c r="N46" s="8" t="str">
        <f t="shared" si="10"/>
        <v>PEN</v>
      </c>
      <c r="O46" s="13"/>
      <c r="P46" s="13">
        <v>16.600000000000001</v>
      </c>
      <c r="Q46" s="3">
        <f t="shared" si="6"/>
        <v>0</v>
      </c>
      <c r="R46" s="3">
        <f t="shared" si="7"/>
        <v>16.600000000000001</v>
      </c>
      <c r="S46" s="3">
        <f t="shared" si="8"/>
        <v>187.69999999999996</v>
      </c>
      <c r="T46" s="24"/>
      <c r="U46" s="24"/>
      <c r="V46" s="3"/>
      <c r="W46" s="25" t="s">
        <v>7726</v>
      </c>
      <c r="X46" s="25"/>
      <c r="Y46" s="25"/>
      <c r="Z46" s="25"/>
      <c r="AA46" s="25"/>
      <c r="AB46" s="3" t="str">
        <f>IF(C_Ope_009[[#This Row],[FECHA]]&gt;0,TEXT(C_Ope_009[[#This Row],[FECHA]],"mmmm"),0)</f>
        <v>Mayo</v>
      </c>
    </row>
    <row r="47" spans="2:28" x14ac:dyDescent="0.3">
      <c r="B47" s="2">
        <f>IF(C_Ope_009[[#This Row],[TIPO DE R.]]="R",COUNTIFS($D$4:$D46,"R")+1,"")</f>
        <v>43</v>
      </c>
      <c r="C47" s="19" t="str">
        <f t="shared" si="9"/>
        <v>C_Ope_009</v>
      </c>
      <c r="D47" s="3" t="s">
        <v>1074</v>
      </c>
      <c r="E47" s="14">
        <v>45806</v>
      </c>
      <c r="F47" s="5" t="s">
        <v>6299</v>
      </c>
      <c r="G47" s="5" t="s">
        <v>1087</v>
      </c>
      <c r="H47" s="6"/>
      <c r="I47" s="6"/>
      <c r="J47" s="6"/>
      <c r="K47" s="6"/>
      <c r="L47" s="7" t="s">
        <v>7794</v>
      </c>
      <c r="M47" s="8" t="s">
        <v>7795</v>
      </c>
      <c r="N47" s="8" t="str">
        <f t="shared" si="10"/>
        <v>PEN</v>
      </c>
      <c r="O47" s="13"/>
      <c r="P47" s="13">
        <v>164</v>
      </c>
      <c r="Q47" s="3">
        <f t="shared" si="6"/>
        <v>164</v>
      </c>
      <c r="R47" s="3">
        <f t="shared" si="7"/>
        <v>0</v>
      </c>
      <c r="S47" s="3">
        <f t="shared" si="8"/>
        <v>351.69999999999993</v>
      </c>
      <c r="T47" s="24"/>
      <c r="U47" s="24"/>
      <c r="V47" s="3"/>
      <c r="W47" s="25" t="s">
        <v>7722</v>
      </c>
      <c r="X47" s="25"/>
      <c r="Y47" s="25"/>
      <c r="Z47" s="25"/>
      <c r="AA47" s="25"/>
      <c r="AB47" s="3" t="str">
        <f>IF(C_Ope_009[[#This Row],[FECHA]]&gt;0,TEXT(C_Ope_009[[#This Row],[FECHA]],"mmmm"),0)</f>
        <v>Mayo</v>
      </c>
    </row>
    <row r="48" spans="2:28" x14ac:dyDescent="0.3">
      <c r="B48" s="2">
        <f>IF(C_Ope_009[[#This Row],[TIPO DE R.]]="R",COUNTIFS($D$4:$D47,"R")+1,"")</f>
        <v>44</v>
      </c>
      <c r="C48" s="19" t="str">
        <f t="shared" si="9"/>
        <v>C_Ope_009</v>
      </c>
      <c r="D48" s="3" t="s">
        <v>1074</v>
      </c>
      <c r="E48" s="14">
        <v>45806</v>
      </c>
      <c r="F48" s="5" t="s">
        <v>7719</v>
      </c>
      <c r="G48" s="5" t="s">
        <v>1079</v>
      </c>
      <c r="H48" s="6"/>
      <c r="I48" s="6" t="s">
        <v>14</v>
      </c>
      <c r="J48" s="6" t="s">
        <v>7796</v>
      </c>
      <c r="K48" s="6">
        <v>164498</v>
      </c>
      <c r="L48" s="7" t="s">
        <v>7797</v>
      </c>
      <c r="M48" s="8" t="s">
        <v>7798</v>
      </c>
      <c r="N48" s="8" t="str">
        <f t="shared" si="10"/>
        <v>PEN</v>
      </c>
      <c r="O48" s="13"/>
      <c r="P48" s="13">
        <v>27.8</v>
      </c>
      <c r="Q48" s="3">
        <f t="shared" si="6"/>
        <v>0</v>
      </c>
      <c r="R48" s="3">
        <f t="shared" si="7"/>
        <v>27.8</v>
      </c>
      <c r="S48" s="3">
        <f t="shared" si="8"/>
        <v>323.89999999999992</v>
      </c>
      <c r="T48" s="24"/>
      <c r="U48" s="24"/>
      <c r="V48" s="3"/>
      <c r="W48" s="25" t="s">
        <v>7736</v>
      </c>
      <c r="X48" s="25"/>
      <c r="Y48" s="25"/>
      <c r="Z48" s="25"/>
      <c r="AA48" s="25"/>
      <c r="AB48" s="3" t="str">
        <f>IF(C_Ope_009[[#This Row],[FECHA]]&gt;0,TEXT(C_Ope_009[[#This Row],[FECHA]],"mmmm"),0)</f>
        <v>Mayo</v>
      </c>
    </row>
    <row r="49" spans="2:28" x14ac:dyDescent="0.3">
      <c r="B49" s="2">
        <f>IF(C_Ope_009[[#This Row],[TIPO DE R.]]="R",COUNTIFS($D$4:$D48,"R")+1,"")</f>
        <v>45</v>
      </c>
      <c r="C49" s="19" t="str">
        <f t="shared" si="9"/>
        <v>C_Ope_009</v>
      </c>
      <c r="D49" s="3" t="s">
        <v>1074</v>
      </c>
      <c r="E49" s="14">
        <v>45807</v>
      </c>
      <c r="F49" s="5" t="s">
        <v>7719</v>
      </c>
      <c r="G49" s="5" t="s">
        <v>1079</v>
      </c>
      <c r="H49" s="6"/>
      <c r="I49" s="6" t="s">
        <v>14</v>
      </c>
      <c r="J49" s="6" t="s">
        <v>7758</v>
      </c>
      <c r="K49" s="6">
        <v>34831</v>
      </c>
      <c r="L49" s="7" t="s">
        <v>7728</v>
      </c>
      <c r="M49" s="8" t="s">
        <v>7799</v>
      </c>
      <c r="N49" s="8" t="str">
        <f t="shared" si="10"/>
        <v>PEN</v>
      </c>
      <c r="O49" s="13"/>
      <c r="P49" s="13">
        <v>16.600000000000001</v>
      </c>
      <c r="Q49" s="3">
        <f t="shared" si="6"/>
        <v>0</v>
      </c>
      <c r="R49" s="3">
        <f t="shared" si="7"/>
        <v>16.600000000000001</v>
      </c>
      <c r="S49" s="3">
        <f t="shared" si="8"/>
        <v>307.2999999999999</v>
      </c>
      <c r="T49" s="24"/>
      <c r="U49" s="24"/>
      <c r="V49" s="3"/>
      <c r="W49" s="25" t="s">
        <v>7726</v>
      </c>
      <c r="X49" s="25"/>
      <c r="Y49" s="25"/>
      <c r="Z49" s="25"/>
      <c r="AA49" s="25"/>
      <c r="AB49" s="3" t="str">
        <f>IF(C_Ope_009[[#This Row],[FECHA]]&gt;0,TEXT(C_Ope_009[[#This Row],[FECHA]],"mmmm"),0)</f>
        <v>Mayo</v>
      </c>
    </row>
    <row r="50" spans="2:28" x14ac:dyDescent="0.3">
      <c r="B50" s="2">
        <f>IF(C_Ope_009[[#This Row],[TIPO DE R.]]="R",COUNTIFS($D$4:$D49,"R")+1,"")</f>
        <v>46</v>
      </c>
      <c r="C50" s="19" t="str">
        <f t="shared" si="9"/>
        <v>C_Ope_009</v>
      </c>
      <c r="D50" s="3" t="s">
        <v>1074</v>
      </c>
      <c r="E50" s="14">
        <v>45807</v>
      </c>
      <c r="F50" s="5" t="s">
        <v>7719</v>
      </c>
      <c r="G50" s="5" t="s">
        <v>1079</v>
      </c>
      <c r="H50" s="6"/>
      <c r="I50" s="6" t="s">
        <v>14</v>
      </c>
      <c r="J50" s="6" t="s">
        <v>2058</v>
      </c>
      <c r="K50" s="6">
        <v>117018</v>
      </c>
      <c r="L50" s="7" t="s">
        <v>7791</v>
      </c>
      <c r="M50" s="8" t="s">
        <v>7800</v>
      </c>
      <c r="N50" s="8" t="str">
        <f t="shared" si="10"/>
        <v>PEN</v>
      </c>
      <c r="O50" s="13"/>
      <c r="P50" s="13">
        <v>48.3</v>
      </c>
      <c r="Q50" s="3">
        <f t="shared" si="6"/>
        <v>0</v>
      </c>
      <c r="R50" s="3">
        <f t="shared" si="7"/>
        <v>48.3</v>
      </c>
      <c r="S50" s="3">
        <f>IFERROR(IF(G50="SALDO",Q50,S49+Q50-R50),0)</f>
        <v>258.99999999999989</v>
      </c>
      <c r="T50" s="24"/>
      <c r="U50" s="24"/>
      <c r="V50" s="3"/>
      <c r="W50" s="25" t="s">
        <v>7722</v>
      </c>
      <c r="X50" s="25"/>
      <c r="Y50" s="25"/>
      <c r="Z50" s="25"/>
      <c r="AA50" s="25"/>
      <c r="AB50" s="3" t="str">
        <f>IF(C_Ope_009[[#This Row],[FECHA]]&gt;0,TEXT(C_Ope_009[[#This Row],[FECHA]],"mmmm"),0)</f>
        <v>Mayo</v>
      </c>
    </row>
    <row r="51" spans="2:28" x14ac:dyDescent="0.3">
      <c r="B51" s="2">
        <f>IF(C_Ope_009[[#This Row],[TIPO DE R.]]="R",COUNTIFS($D$4:$D50,"R")+1,"")</f>
        <v>47</v>
      </c>
      <c r="C51" s="19" t="str">
        <f t="shared" si="9"/>
        <v>C_Ope_009</v>
      </c>
      <c r="D51" s="3" t="s">
        <v>1074</v>
      </c>
      <c r="E51" s="14">
        <v>45821</v>
      </c>
      <c r="F51" s="5" t="s">
        <v>7719</v>
      </c>
      <c r="G51" s="5" t="s">
        <v>1079</v>
      </c>
      <c r="H51" s="6"/>
      <c r="I51" s="6" t="s">
        <v>14</v>
      </c>
      <c r="J51" s="6" t="s">
        <v>7758</v>
      </c>
      <c r="K51" s="6">
        <v>34915</v>
      </c>
      <c r="L51" s="7" t="s">
        <v>7728</v>
      </c>
      <c r="M51" s="8" t="s">
        <v>7801</v>
      </c>
      <c r="N51" s="8" t="str">
        <f t="shared" si="10"/>
        <v>PEN</v>
      </c>
      <c r="O51" s="13"/>
      <c r="P51" s="13">
        <v>16.600000000000001</v>
      </c>
      <c r="Q51" s="3">
        <f t="shared" si="6"/>
        <v>0</v>
      </c>
      <c r="R51" s="3">
        <f t="shared" si="7"/>
        <v>16.600000000000001</v>
      </c>
      <c r="S51" s="3">
        <f t="shared" si="8"/>
        <v>242.39999999999989</v>
      </c>
      <c r="T51" s="24"/>
      <c r="U51" s="24"/>
      <c r="V51" s="3"/>
      <c r="W51" s="25" t="s">
        <v>7726</v>
      </c>
      <c r="X51" s="25"/>
      <c r="Y51" s="25"/>
      <c r="Z51" s="25"/>
      <c r="AA51" s="25"/>
      <c r="AB51" s="3" t="str">
        <f>IF(C_Ope_009[[#This Row],[FECHA]]&gt;0,TEXT(C_Ope_009[[#This Row],[FECHA]],"mmmm"),0)</f>
        <v>Junio</v>
      </c>
    </row>
    <row r="52" spans="2:28" x14ac:dyDescent="0.3">
      <c r="B52" s="2">
        <f>IF(C_Ope_009[[#This Row],[TIPO DE R.]]="R",COUNTIFS($D$4:$D51,"R")+1,"")</f>
        <v>48</v>
      </c>
      <c r="C52" s="19" t="str">
        <f t="shared" si="9"/>
        <v>C_Ope_009</v>
      </c>
      <c r="D52" s="3" t="s">
        <v>1074</v>
      </c>
      <c r="E52" s="14">
        <v>45821</v>
      </c>
      <c r="F52" s="5" t="s">
        <v>7719</v>
      </c>
      <c r="G52" s="5" t="s">
        <v>1079</v>
      </c>
      <c r="H52" s="6"/>
      <c r="I52" s="6" t="s">
        <v>14</v>
      </c>
      <c r="J52" s="6" t="s">
        <v>2058</v>
      </c>
      <c r="K52" s="6">
        <v>117807</v>
      </c>
      <c r="L52" s="7" t="s">
        <v>7791</v>
      </c>
      <c r="M52" s="8" t="s">
        <v>7802</v>
      </c>
      <c r="N52" s="8" t="str">
        <f t="shared" si="10"/>
        <v>PEN</v>
      </c>
      <c r="O52" s="13"/>
      <c r="P52" s="13">
        <v>56</v>
      </c>
      <c r="Q52" s="3">
        <f t="shared" si="6"/>
        <v>0</v>
      </c>
      <c r="R52" s="3">
        <f t="shared" si="7"/>
        <v>56</v>
      </c>
      <c r="S52" s="3">
        <f>IFERROR(IF(G52="SALDO",Q52,S51+Q52-R52),0)</f>
        <v>186.39999999999989</v>
      </c>
      <c r="T52" s="24"/>
      <c r="U52" s="24"/>
      <c r="V52" s="3"/>
      <c r="W52" s="25" t="s">
        <v>7722</v>
      </c>
      <c r="X52" s="25"/>
      <c r="Y52" s="25"/>
      <c r="Z52" s="25"/>
      <c r="AA52" s="25"/>
      <c r="AB52" s="3" t="str">
        <f>IF(C_Ope_009[[#This Row],[FECHA]]&gt;0,TEXT(C_Ope_009[[#This Row],[FECHA]],"mmmm"),0)</f>
        <v>Junio</v>
      </c>
    </row>
    <row r="53" spans="2:28" x14ac:dyDescent="0.3">
      <c r="B53" s="2">
        <f>IF(C_Ope_009[[#This Row],[TIPO DE R.]]="R",COUNTIFS($D$4:$D52,"R")+1,"")</f>
        <v>49</v>
      </c>
      <c r="C53" s="19" t="str">
        <f t="shared" si="9"/>
        <v>C_Ope_009</v>
      </c>
      <c r="D53" s="3" t="s">
        <v>1074</v>
      </c>
      <c r="E53" s="14">
        <v>45825</v>
      </c>
      <c r="F53" s="5" t="s">
        <v>7719</v>
      </c>
      <c r="G53" s="5" t="s">
        <v>1079</v>
      </c>
      <c r="H53" s="6"/>
      <c r="I53" s="6" t="s">
        <v>14</v>
      </c>
      <c r="J53" s="6" t="s">
        <v>2058</v>
      </c>
      <c r="K53" s="6">
        <v>117980</v>
      </c>
      <c r="L53" s="7" t="s">
        <v>7734</v>
      </c>
      <c r="M53" s="8" t="s">
        <v>7803</v>
      </c>
      <c r="N53" s="8" t="str">
        <f t="shared" si="10"/>
        <v>PEN</v>
      </c>
      <c r="O53" s="13"/>
      <c r="P53" s="13">
        <v>56</v>
      </c>
      <c r="Q53" s="3">
        <f t="shared" si="6"/>
        <v>0</v>
      </c>
      <c r="R53" s="3">
        <f t="shared" si="7"/>
        <v>56</v>
      </c>
      <c r="S53" s="3">
        <f t="shared" si="8"/>
        <v>130.39999999999989</v>
      </c>
      <c r="T53" s="24"/>
      <c r="U53" s="24"/>
      <c r="V53" s="3"/>
      <c r="W53" s="25" t="s">
        <v>7726</v>
      </c>
      <c r="X53" s="25"/>
      <c r="Y53" s="25"/>
      <c r="Z53" s="25"/>
      <c r="AA53" s="25"/>
      <c r="AB53" s="3" t="str">
        <f>IF(C_Ope_009[[#This Row],[FECHA]]&gt;0,TEXT(C_Ope_009[[#This Row],[FECHA]],"mmmm"),0)</f>
        <v>Junio</v>
      </c>
    </row>
    <row r="54" spans="2:28" x14ac:dyDescent="0.3">
      <c r="B54" s="2">
        <f>IF(C_Ope_009[[#This Row],[TIPO DE R.]]="R",COUNTIFS($D$4:$D53,"R")+1,"")</f>
        <v>50</v>
      </c>
      <c r="C54" s="19" t="str">
        <f t="shared" si="9"/>
        <v>C_Ope_009</v>
      </c>
      <c r="D54" s="3" t="s">
        <v>1074</v>
      </c>
      <c r="E54" s="14">
        <v>45828</v>
      </c>
      <c r="F54" s="5" t="s">
        <v>7719</v>
      </c>
      <c r="G54" s="5" t="s">
        <v>1079</v>
      </c>
      <c r="H54" s="6"/>
      <c r="I54" s="6" t="s">
        <v>14</v>
      </c>
      <c r="J54" s="6" t="s">
        <v>7727</v>
      </c>
      <c r="K54" s="6">
        <v>76779</v>
      </c>
      <c r="L54" s="7" t="s">
        <v>7728</v>
      </c>
      <c r="M54" s="8" t="s">
        <v>7804</v>
      </c>
      <c r="N54" s="8" t="str">
        <f t="shared" si="10"/>
        <v>PEN</v>
      </c>
      <c r="O54" s="13"/>
      <c r="P54" s="13">
        <v>16.600000000000001</v>
      </c>
      <c r="Q54" s="3">
        <f t="shared" si="6"/>
        <v>0</v>
      </c>
      <c r="R54" s="3">
        <f t="shared" si="7"/>
        <v>16.600000000000001</v>
      </c>
      <c r="S54" s="3">
        <f t="shared" ref="S54:S71" si="11">IFERROR(IF(G54="SALDO",Q54,S53+Q54-R54),0)</f>
        <v>113.7999999999999</v>
      </c>
      <c r="T54" s="24"/>
      <c r="U54" s="24"/>
      <c r="V54" s="3"/>
      <c r="W54" s="25" t="s">
        <v>7726</v>
      </c>
      <c r="X54" s="25"/>
      <c r="Y54" s="25"/>
      <c r="Z54" s="25"/>
      <c r="AA54" s="25"/>
      <c r="AB54" s="3" t="str">
        <f>IF(C_Ope_009[[#This Row],[FECHA]]&gt;0,TEXT(C_Ope_009[[#This Row],[FECHA]],"mmmm"),0)</f>
        <v>Junio</v>
      </c>
    </row>
    <row r="55" spans="2:28" x14ac:dyDescent="0.3">
      <c r="B55" s="2">
        <f>IF(C_Ope_009[[#This Row],[TIPO DE R.]]="R",COUNTIFS($D$4:$D54,"R")+1,"")</f>
        <v>51</v>
      </c>
      <c r="C55" s="19" t="str">
        <f t="shared" si="9"/>
        <v>C_Ope_009</v>
      </c>
      <c r="D55" s="3" t="s">
        <v>1074</v>
      </c>
      <c r="E55" s="14">
        <v>45832</v>
      </c>
      <c r="F55" s="5" t="s">
        <v>7719</v>
      </c>
      <c r="G55" s="5" t="s">
        <v>1079</v>
      </c>
      <c r="H55" s="6"/>
      <c r="I55" s="6" t="s">
        <v>14</v>
      </c>
      <c r="J55" s="6" t="s">
        <v>2058</v>
      </c>
      <c r="K55" s="6">
        <v>118445</v>
      </c>
      <c r="L55" s="7" t="s">
        <v>7791</v>
      </c>
      <c r="M55" s="8" t="s">
        <v>7805</v>
      </c>
      <c r="N55" s="8" t="str">
        <f t="shared" si="10"/>
        <v>PEN</v>
      </c>
      <c r="O55" s="13"/>
      <c r="P55" s="13">
        <v>56</v>
      </c>
      <c r="Q55" s="3">
        <f t="shared" si="6"/>
        <v>0</v>
      </c>
      <c r="R55" s="3">
        <f t="shared" si="7"/>
        <v>56</v>
      </c>
      <c r="S55" s="3">
        <f t="shared" si="11"/>
        <v>57.799999999999898</v>
      </c>
      <c r="T55" s="24"/>
      <c r="U55" s="24"/>
      <c r="V55" s="3"/>
      <c r="W55" s="25" t="s">
        <v>7722</v>
      </c>
      <c r="X55" s="25"/>
      <c r="Y55" s="25"/>
      <c r="Z55" s="25"/>
      <c r="AA55" s="25"/>
      <c r="AB55" s="3" t="str">
        <f>IF(C_Ope_009[[#This Row],[FECHA]]&gt;0,TEXT(C_Ope_009[[#This Row],[FECHA]],"mmmm"),0)</f>
        <v>Junio</v>
      </c>
    </row>
    <row r="56" spans="2:28" x14ac:dyDescent="0.3">
      <c r="B56" s="2">
        <f>IF(C_Ope_009[[#This Row],[TIPO DE R.]]="R",COUNTIFS($D$4:$D55,"R")+1,"")</f>
        <v>52</v>
      </c>
      <c r="C56" s="19" t="str">
        <f t="shared" si="9"/>
        <v>C_Ope_009</v>
      </c>
      <c r="D56" s="3" t="s">
        <v>1074</v>
      </c>
      <c r="E56" s="14">
        <v>45834</v>
      </c>
      <c r="F56" s="5" t="s">
        <v>7719</v>
      </c>
      <c r="G56" s="5" t="s">
        <v>1079</v>
      </c>
      <c r="H56" s="6"/>
      <c r="I56" s="6" t="s">
        <v>14</v>
      </c>
      <c r="J56" s="6" t="s">
        <v>7758</v>
      </c>
      <c r="K56" s="6">
        <v>35002</v>
      </c>
      <c r="L56" s="7" t="s">
        <v>7728</v>
      </c>
      <c r="M56" s="8" t="s">
        <v>7806</v>
      </c>
      <c r="N56" s="8" t="str">
        <f t="shared" si="10"/>
        <v>PEN</v>
      </c>
      <c r="O56" s="13"/>
      <c r="P56" s="13">
        <v>16.600000000000001</v>
      </c>
      <c r="Q56" s="3">
        <f t="shared" si="6"/>
        <v>0</v>
      </c>
      <c r="R56" s="3">
        <f t="shared" si="7"/>
        <v>16.600000000000001</v>
      </c>
      <c r="S56" s="3">
        <f t="shared" si="11"/>
        <v>41.199999999999896</v>
      </c>
      <c r="T56" s="24"/>
      <c r="U56" s="24"/>
      <c r="V56" s="3"/>
      <c r="W56" s="25" t="s">
        <v>7726</v>
      </c>
      <c r="X56" s="25"/>
      <c r="Y56" s="25"/>
      <c r="Z56" s="25"/>
      <c r="AA56" s="25"/>
      <c r="AB56" s="3" t="str">
        <f>IF(C_Ope_009[[#This Row],[FECHA]]&gt;0,TEXT(C_Ope_009[[#This Row],[FECHA]],"mmmm"),0)</f>
        <v>Junio</v>
      </c>
    </row>
    <row r="57" spans="2:28" x14ac:dyDescent="0.3">
      <c r="B57" s="2">
        <f>IF(C_Ope_009[[#This Row],[TIPO DE R.]]="R",COUNTIFS($D$4:$D56,"R")+1,"")</f>
        <v>53</v>
      </c>
      <c r="C57" s="19" t="str">
        <f t="shared" si="9"/>
        <v>C_Ope_009</v>
      </c>
      <c r="D57" s="3" t="s">
        <v>1074</v>
      </c>
      <c r="E57" s="14">
        <v>45839</v>
      </c>
      <c r="F57" s="5" t="s">
        <v>6299</v>
      </c>
      <c r="G57" s="5" t="s">
        <v>1087</v>
      </c>
      <c r="H57" s="6"/>
      <c r="I57" s="6"/>
      <c r="J57" s="6"/>
      <c r="K57" s="6"/>
      <c r="L57" s="7" t="s">
        <v>7732</v>
      </c>
      <c r="M57" s="8" t="s">
        <v>7876</v>
      </c>
      <c r="N57" s="8" t="str">
        <f t="shared" si="10"/>
        <v>PEN</v>
      </c>
      <c r="O57" s="13"/>
      <c r="P57" s="13">
        <v>160</v>
      </c>
      <c r="Q57" s="3">
        <f t="shared" si="6"/>
        <v>160</v>
      </c>
      <c r="R57" s="3">
        <f t="shared" si="7"/>
        <v>0</v>
      </c>
      <c r="S57" s="3">
        <f t="shared" si="11"/>
        <v>201.1999999999999</v>
      </c>
      <c r="T57" s="24"/>
      <c r="U57" s="24"/>
      <c r="V57" s="3"/>
      <c r="W57" s="25"/>
      <c r="X57" s="25"/>
      <c r="Y57" s="25"/>
      <c r="Z57" s="25"/>
      <c r="AA57" s="25"/>
      <c r="AB57" s="3" t="str">
        <f>IF(C_Ope_009[[#This Row],[FECHA]]&gt;0,TEXT(C_Ope_009[[#This Row],[FECHA]],"mmmm"),0)</f>
        <v>Julio</v>
      </c>
    </row>
    <row r="58" spans="2:28" ht="24" x14ac:dyDescent="0.3">
      <c r="B58" s="2">
        <f>IF(C_Ope_009[[#This Row],[TIPO DE R.]]="R",COUNTIFS($D$4:$D57,"R")+1,"")</f>
        <v>54</v>
      </c>
      <c r="C58" s="19" t="str">
        <f t="shared" ref="C58:C68" si="12">"C_Ope_009"</f>
        <v>C_Ope_009</v>
      </c>
      <c r="D58" s="3" t="s">
        <v>1074</v>
      </c>
      <c r="E58" s="14">
        <v>45839</v>
      </c>
      <c r="F58" s="5" t="s">
        <v>7719</v>
      </c>
      <c r="G58" s="5" t="s">
        <v>1079</v>
      </c>
      <c r="H58" s="6" t="s">
        <v>343</v>
      </c>
      <c r="I58" s="6" t="s">
        <v>14</v>
      </c>
      <c r="J58" s="6" t="s">
        <v>2058</v>
      </c>
      <c r="K58" s="6">
        <v>118842</v>
      </c>
      <c r="L58" s="7" t="s">
        <v>7791</v>
      </c>
      <c r="M58" s="8" t="s">
        <v>7807</v>
      </c>
      <c r="N58" s="8" t="str">
        <f t="shared" ref="N58:N68" si="13">"PEN"</f>
        <v>PEN</v>
      </c>
      <c r="O58" s="13"/>
      <c r="P58" s="13">
        <v>56</v>
      </c>
      <c r="Q58" s="3">
        <f t="shared" ref="Q58:Q68" si="14">+IF(OR($G58="SALDO",$G58="INGRESO"),$P58,0)</f>
        <v>0</v>
      </c>
      <c r="R58" s="3">
        <f t="shared" ref="R58:R68" si="15">+IF($G58="EGRESO",$P58,0)</f>
        <v>56</v>
      </c>
      <c r="S58" s="3">
        <f t="shared" si="11"/>
        <v>145.1999999999999</v>
      </c>
      <c r="T58" s="24" t="s">
        <v>1081</v>
      </c>
      <c r="U58" s="24"/>
      <c r="V58" s="3"/>
      <c r="W58" s="25" t="s">
        <v>7722</v>
      </c>
      <c r="X58" s="25"/>
      <c r="Y58" s="25"/>
      <c r="Z58" s="25"/>
      <c r="AA58" s="25"/>
      <c r="AB58" s="3" t="str">
        <f>IF(C_Ope_009[[#This Row],[FECHA]]&gt;0,TEXT(C_Ope_009[[#This Row],[FECHA]],"mmmm"),0)</f>
        <v>Julio</v>
      </c>
    </row>
    <row r="59" spans="2:28" x14ac:dyDescent="0.3">
      <c r="B59" s="2">
        <f>IF(C_Ope_009[[#This Row],[TIPO DE R.]]="R",COUNTIFS($D$4:$D58,"R")+1,"")</f>
        <v>55</v>
      </c>
      <c r="C59" s="19" t="str">
        <f t="shared" si="12"/>
        <v>C_Ope_009</v>
      </c>
      <c r="D59" s="3" t="s">
        <v>1074</v>
      </c>
      <c r="E59" s="14">
        <v>45840</v>
      </c>
      <c r="F59" s="5" t="s">
        <v>7719</v>
      </c>
      <c r="G59" s="5" t="s">
        <v>1079</v>
      </c>
      <c r="H59" s="6" t="s">
        <v>623</v>
      </c>
      <c r="I59" s="6" t="s">
        <v>14</v>
      </c>
      <c r="J59" s="6" t="s">
        <v>7758</v>
      </c>
      <c r="K59" s="6">
        <v>35034</v>
      </c>
      <c r="L59" s="7" t="s">
        <v>7787</v>
      </c>
      <c r="M59" s="8" t="s">
        <v>7808</v>
      </c>
      <c r="N59" s="8" t="str">
        <f t="shared" si="13"/>
        <v>PEN</v>
      </c>
      <c r="O59" s="13"/>
      <c r="P59" s="13">
        <v>16.600000000000001</v>
      </c>
      <c r="Q59" s="3">
        <f t="shared" si="14"/>
        <v>0</v>
      </c>
      <c r="R59" s="3">
        <f t="shared" si="15"/>
        <v>16.600000000000001</v>
      </c>
      <c r="S59" s="3">
        <f t="shared" si="11"/>
        <v>128.59999999999991</v>
      </c>
      <c r="T59" s="24" t="s">
        <v>1081</v>
      </c>
      <c r="U59" s="24"/>
      <c r="V59" s="3"/>
      <c r="W59" s="25" t="s">
        <v>7726</v>
      </c>
      <c r="X59" s="25"/>
      <c r="Y59" s="25"/>
      <c r="Z59" s="25"/>
      <c r="AA59" s="25"/>
      <c r="AB59" s="3" t="str">
        <f>IF(C_Ope_009[[#This Row],[FECHA]]&gt;0,TEXT(C_Ope_009[[#This Row],[FECHA]],"mmmm"),0)</f>
        <v>Julio</v>
      </c>
    </row>
    <row r="60" spans="2:28" ht="24" x14ac:dyDescent="0.3">
      <c r="B60" s="2">
        <f>IF(C_Ope_009[[#This Row],[TIPO DE R.]]="R",COUNTIFS($D$4:$D59,"R")+1,"")</f>
        <v>56</v>
      </c>
      <c r="C60" s="19" t="str">
        <f t="shared" si="12"/>
        <v>C_Ope_009</v>
      </c>
      <c r="D60" s="3" t="s">
        <v>1074</v>
      </c>
      <c r="E60" s="14">
        <v>45841</v>
      </c>
      <c r="F60" s="5" t="s">
        <v>7719</v>
      </c>
      <c r="G60" s="5" t="s">
        <v>1079</v>
      </c>
      <c r="H60" s="6" t="s">
        <v>997</v>
      </c>
      <c r="I60" s="6" t="s">
        <v>21</v>
      </c>
      <c r="J60" s="6">
        <v>1</v>
      </c>
      <c r="K60" s="6">
        <v>15194</v>
      </c>
      <c r="L60" s="7" t="s">
        <v>7809</v>
      </c>
      <c r="M60" s="8" t="s">
        <v>7810</v>
      </c>
      <c r="N60" s="8" t="str">
        <f t="shared" si="13"/>
        <v>PEN</v>
      </c>
      <c r="O60" s="13"/>
      <c r="P60" s="13">
        <v>26</v>
      </c>
      <c r="Q60" s="3">
        <f t="shared" si="14"/>
        <v>0</v>
      </c>
      <c r="R60" s="3">
        <f t="shared" si="15"/>
        <v>26</v>
      </c>
      <c r="S60" s="3">
        <f t="shared" si="11"/>
        <v>102.59999999999991</v>
      </c>
      <c r="T60" s="24" t="s">
        <v>1081</v>
      </c>
      <c r="U60" s="24"/>
      <c r="V60" s="3"/>
      <c r="W60" s="25" t="s">
        <v>7811</v>
      </c>
      <c r="X60" s="25"/>
      <c r="Y60" s="25"/>
      <c r="Z60" s="25"/>
      <c r="AA60" s="25"/>
      <c r="AB60" s="3" t="str">
        <f>IF(C_Ope_009[[#This Row],[FECHA]]&gt;0,TEXT(C_Ope_009[[#This Row],[FECHA]],"mmmm"),0)</f>
        <v>Julio</v>
      </c>
    </row>
    <row r="61" spans="2:28" x14ac:dyDescent="0.3">
      <c r="B61" s="2">
        <f>IF(C_Ope_009[[#This Row],[TIPO DE R.]]="R",COUNTIFS($D$4:$D60,"R")+1,"")</f>
        <v>57</v>
      </c>
      <c r="C61" s="19" t="str">
        <f t="shared" si="12"/>
        <v>C_Ope_009</v>
      </c>
      <c r="D61" s="3" t="s">
        <v>1074</v>
      </c>
      <c r="E61" s="14">
        <v>45841</v>
      </c>
      <c r="F61" s="5" t="s">
        <v>7719</v>
      </c>
      <c r="G61" s="5" t="s">
        <v>1079</v>
      </c>
      <c r="H61" s="6" t="s">
        <v>950</v>
      </c>
      <c r="I61" s="6" t="s">
        <v>70</v>
      </c>
      <c r="J61" s="6"/>
      <c r="K61" s="6" t="s">
        <v>7812</v>
      </c>
      <c r="L61" s="7" t="s">
        <v>7813</v>
      </c>
      <c r="M61" s="8" t="s">
        <v>7812</v>
      </c>
      <c r="N61" s="8" t="str">
        <f t="shared" si="13"/>
        <v>PEN</v>
      </c>
      <c r="O61" s="13"/>
      <c r="P61" s="13">
        <v>28</v>
      </c>
      <c r="Q61" s="3">
        <f t="shared" si="14"/>
        <v>0</v>
      </c>
      <c r="R61" s="3">
        <f t="shared" si="15"/>
        <v>28</v>
      </c>
      <c r="S61" s="3">
        <f t="shared" si="11"/>
        <v>74.599999999999909</v>
      </c>
      <c r="T61" s="24" t="s">
        <v>1081</v>
      </c>
      <c r="U61" s="24"/>
      <c r="V61" s="3"/>
      <c r="W61" s="25" t="s">
        <v>7736</v>
      </c>
      <c r="X61" s="25"/>
      <c r="Y61" s="25"/>
      <c r="Z61" s="25"/>
      <c r="AA61" s="25"/>
      <c r="AB61" s="3" t="str">
        <f>IF(C_Ope_009[[#This Row],[FECHA]]&gt;0,TEXT(C_Ope_009[[#This Row],[FECHA]],"mmmm"),0)</f>
        <v>Julio</v>
      </c>
    </row>
    <row r="62" spans="2:28" x14ac:dyDescent="0.3">
      <c r="B62" s="2">
        <f>IF(C_Ope_009[[#This Row],[TIPO DE R.]]="R",COUNTIFS($D$4:$D61,"R")+1,"")</f>
        <v>58</v>
      </c>
      <c r="C62" s="19" t="str">
        <f t="shared" si="12"/>
        <v>C_Ope_009</v>
      </c>
      <c r="D62" s="3" t="s">
        <v>1074</v>
      </c>
      <c r="E62" s="14">
        <v>45842</v>
      </c>
      <c r="F62" s="5" t="s">
        <v>7719</v>
      </c>
      <c r="G62" s="5" t="s">
        <v>1079</v>
      </c>
      <c r="H62" s="6" t="s">
        <v>623</v>
      </c>
      <c r="I62" s="6" t="s">
        <v>14</v>
      </c>
      <c r="J62" s="6" t="s">
        <v>7758</v>
      </c>
      <c r="K62" s="6">
        <v>35053</v>
      </c>
      <c r="L62" s="7" t="s">
        <v>7728</v>
      </c>
      <c r="M62" s="8" t="s">
        <v>7814</v>
      </c>
      <c r="N62" s="8" t="str">
        <f t="shared" si="13"/>
        <v>PEN</v>
      </c>
      <c r="O62" s="13"/>
      <c r="P62" s="13">
        <v>16.600000000000001</v>
      </c>
      <c r="Q62" s="3">
        <f t="shared" si="14"/>
        <v>0</v>
      </c>
      <c r="R62" s="3">
        <f t="shared" si="15"/>
        <v>16.600000000000001</v>
      </c>
      <c r="S62" s="3">
        <f t="shared" si="11"/>
        <v>57.999999999999908</v>
      </c>
      <c r="T62" s="24" t="s">
        <v>1081</v>
      </c>
      <c r="U62" s="24"/>
      <c r="V62" s="3"/>
      <c r="W62" s="25" t="s">
        <v>7726</v>
      </c>
      <c r="X62" s="25"/>
      <c r="Y62" s="25"/>
      <c r="Z62" s="25"/>
      <c r="AA62" s="25"/>
      <c r="AB62" s="3" t="str">
        <f>IF(C_Ope_009[[#This Row],[FECHA]]&gt;0,TEXT(C_Ope_009[[#This Row],[FECHA]],"mmmm"),0)</f>
        <v>Julio</v>
      </c>
    </row>
    <row r="63" spans="2:28" ht="24" x14ac:dyDescent="0.3">
      <c r="B63" s="2">
        <f>IF(C_Ope_009[[#This Row],[TIPO DE R.]]="R",COUNTIFS($D$4:$D62,"R")+1,"")</f>
        <v>59</v>
      </c>
      <c r="C63" s="19" t="str">
        <f t="shared" si="12"/>
        <v>C_Ope_009</v>
      </c>
      <c r="D63" s="3" t="s">
        <v>1074</v>
      </c>
      <c r="E63" s="14">
        <v>45846</v>
      </c>
      <c r="F63" s="5" t="s">
        <v>7719</v>
      </c>
      <c r="G63" s="5" t="s">
        <v>1079</v>
      </c>
      <c r="H63" s="6" t="s">
        <v>343</v>
      </c>
      <c r="I63" s="6" t="s">
        <v>14</v>
      </c>
      <c r="J63" s="6" t="s">
        <v>2058</v>
      </c>
      <c r="K63" s="6">
        <v>119262</v>
      </c>
      <c r="L63" s="7" t="s">
        <v>7791</v>
      </c>
      <c r="M63" s="8" t="s">
        <v>7815</v>
      </c>
      <c r="N63" s="8" t="str">
        <f t="shared" si="13"/>
        <v>PEN</v>
      </c>
      <c r="O63" s="13"/>
      <c r="P63" s="13">
        <v>52.5</v>
      </c>
      <c r="Q63" s="3">
        <f t="shared" si="14"/>
        <v>0</v>
      </c>
      <c r="R63" s="3">
        <f t="shared" si="15"/>
        <v>52.5</v>
      </c>
      <c r="S63" s="3">
        <f t="shared" si="11"/>
        <v>5.4999999999999076</v>
      </c>
      <c r="T63" s="24" t="s">
        <v>1081</v>
      </c>
      <c r="U63" s="24"/>
      <c r="V63" s="3"/>
      <c r="W63" s="25" t="s">
        <v>7722</v>
      </c>
      <c r="X63" s="25"/>
      <c r="Y63" s="25"/>
      <c r="Z63" s="25"/>
      <c r="AA63" s="25"/>
      <c r="AB63" s="3" t="str">
        <f>IF(C_Ope_009[[#This Row],[FECHA]]&gt;0,TEXT(C_Ope_009[[#This Row],[FECHA]],"mmmm"),0)</f>
        <v>Julio</v>
      </c>
    </row>
    <row r="64" spans="2:28" x14ac:dyDescent="0.3">
      <c r="B64" s="2">
        <f>IF(C_Ope_009[[#This Row],[TIPO DE R.]]="R",COUNTIFS($D$4:$D63,"R")+1,"")</f>
        <v>60</v>
      </c>
      <c r="C64" s="19" t="str">
        <f t="shared" si="12"/>
        <v>C_Ope_009</v>
      </c>
      <c r="D64" s="3" t="s">
        <v>1074</v>
      </c>
      <c r="E64" s="14">
        <v>45849</v>
      </c>
      <c r="F64" s="5" t="s">
        <v>7719</v>
      </c>
      <c r="G64" s="5" t="s">
        <v>1079</v>
      </c>
      <c r="H64" s="6" t="s">
        <v>623</v>
      </c>
      <c r="I64" s="6" t="s">
        <v>14</v>
      </c>
      <c r="J64" s="6" t="s">
        <v>7727</v>
      </c>
      <c r="K64" s="6">
        <v>76923</v>
      </c>
      <c r="L64" s="7" t="s">
        <v>7728</v>
      </c>
      <c r="M64" s="8" t="s">
        <v>7816</v>
      </c>
      <c r="N64" s="8" t="str">
        <f t="shared" si="13"/>
        <v>PEN</v>
      </c>
      <c r="O64" s="13"/>
      <c r="P64" s="13">
        <v>13.99</v>
      </c>
      <c r="Q64" s="3">
        <f t="shared" si="14"/>
        <v>0</v>
      </c>
      <c r="R64" s="3">
        <f t="shared" si="15"/>
        <v>13.99</v>
      </c>
      <c r="S64" s="3">
        <f t="shared" si="11"/>
        <v>-8.4900000000000926</v>
      </c>
      <c r="T64" s="24" t="s">
        <v>1081</v>
      </c>
      <c r="U64" s="24"/>
      <c r="V64" s="3"/>
      <c r="W64" s="25" t="s">
        <v>7726</v>
      </c>
      <c r="X64" s="25"/>
      <c r="Y64" s="25"/>
      <c r="Z64" s="25"/>
      <c r="AA64" s="25"/>
      <c r="AB64" s="3" t="str">
        <f>IF(C_Ope_009[[#This Row],[FECHA]]&gt;0,TEXT(C_Ope_009[[#This Row],[FECHA]],"mmmm"),0)</f>
        <v>Julio</v>
      </c>
    </row>
    <row r="65" spans="2:28" ht="24" x14ac:dyDescent="0.3">
      <c r="B65" s="2">
        <f>IF(C_Ope_009[[#This Row],[TIPO DE R.]]="R",COUNTIFS($D$4:$D64,"R")+1,"")</f>
        <v>61</v>
      </c>
      <c r="C65" s="19" t="str">
        <f t="shared" si="12"/>
        <v>C_Ope_009</v>
      </c>
      <c r="D65" s="3" t="s">
        <v>1074</v>
      </c>
      <c r="E65" s="14">
        <v>45854</v>
      </c>
      <c r="F65" s="5" t="s">
        <v>7719</v>
      </c>
      <c r="G65" s="5" t="s">
        <v>1079</v>
      </c>
      <c r="H65" s="6" t="s">
        <v>343</v>
      </c>
      <c r="I65" s="6" t="s">
        <v>14</v>
      </c>
      <c r="J65" s="6" t="s">
        <v>2058</v>
      </c>
      <c r="K65" s="6">
        <v>119823</v>
      </c>
      <c r="L65" s="7" t="s">
        <v>7817</v>
      </c>
      <c r="M65" s="8" t="s">
        <v>7818</v>
      </c>
      <c r="N65" s="8" t="str">
        <f t="shared" si="13"/>
        <v>PEN</v>
      </c>
      <c r="O65" s="13"/>
      <c r="P65" s="13">
        <v>75</v>
      </c>
      <c r="Q65" s="3">
        <f t="shared" si="14"/>
        <v>0</v>
      </c>
      <c r="R65" s="3">
        <f t="shared" si="15"/>
        <v>75</v>
      </c>
      <c r="S65" s="3">
        <f t="shared" si="11"/>
        <v>-83.490000000000094</v>
      </c>
      <c r="T65" s="24" t="s">
        <v>1081</v>
      </c>
      <c r="U65" s="24"/>
      <c r="V65" s="3"/>
      <c r="W65" s="25" t="s">
        <v>7722</v>
      </c>
      <c r="X65" s="25"/>
      <c r="Y65" s="25"/>
      <c r="Z65" s="25"/>
      <c r="AA65" s="25"/>
      <c r="AB65" s="3" t="str">
        <f>IF(C_Ope_009[[#This Row],[FECHA]]&gt;0,TEXT(C_Ope_009[[#This Row],[FECHA]],"mmmm"),0)</f>
        <v>Julio</v>
      </c>
    </row>
    <row r="66" spans="2:28" x14ac:dyDescent="0.3">
      <c r="B66" s="2">
        <f>IF(C_Ope_009[[#This Row],[TIPO DE R.]]="R",COUNTIFS($D$4:$D65,"R")+1,"")</f>
        <v>62</v>
      </c>
      <c r="C66" s="19" t="str">
        <f t="shared" si="12"/>
        <v>C_Ope_009</v>
      </c>
      <c r="D66" s="3" t="s">
        <v>1074</v>
      </c>
      <c r="E66" s="14">
        <v>45856</v>
      </c>
      <c r="F66" s="5" t="s">
        <v>7719</v>
      </c>
      <c r="G66" s="5" t="s">
        <v>1079</v>
      </c>
      <c r="H66" s="6" t="s">
        <v>623</v>
      </c>
      <c r="I66" s="6" t="s">
        <v>14</v>
      </c>
      <c r="J66" s="6" t="s">
        <v>7727</v>
      </c>
      <c r="K66" s="6">
        <v>76966</v>
      </c>
      <c r="L66" s="7" t="s">
        <v>7728</v>
      </c>
      <c r="M66" s="8" t="s">
        <v>7819</v>
      </c>
      <c r="N66" s="8" t="str">
        <f t="shared" si="13"/>
        <v>PEN</v>
      </c>
      <c r="O66" s="13"/>
      <c r="P66" s="13">
        <v>13.99</v>
      </c>
      <c r="Q66" s="3">
        <f t="shared" si="14"/>
        <v>0</v>
      </c>
      <c r="R66" s="3">
        <f t="shared" si="15"/>
        <v>13.99</v>
      </c>
      <c r="S66" s="3">
        <f t="shared" si="11"/>
        <v>-97.480000000000089</v>
      </c>
      <c r="T66" s="24" t="s">
        <v>1081</v>
      </c>
      <c r="U66" s="24"/>
      <c r="V66" s="3"/>
      <c r="W66" s="25" t="s">
        <v>7726</v>
      </c>
      <c r="X66" s="25"/>
      <c r="Y66" s="25"/>
      <c r="Z66" s="25"/>
      <c r="AA66" s="25"/>
      <c r="AB66" s="3" t="str">
        <f>IF(C_Ope_009[[#This Row],[FECHA]]&gt;0,TEXT(C_Ope_009[[#This Row],[FECHA]],"mmmm"),0)</f>
        <v>Julio</v>
      </c>
    </row>
    <row r="67" spans="2:28" x14ac:dyDescent="0.3">
      <c r="B67" s="2">
        <f>IF(C_Ope_009[[#This Row],[TIPO DE R.]]="R",COUNTIFS($D$4:$D66,"R")+1,"")</f>
        <v>63</v>
      </c>
      <c r="C67" s="19" t="str">
        <f>"C_Ope_009"</f>
        <v>C_Ope_009</v>
      </c>
      <c r="D67" s="3" t="s">
        <v>1074</v>
      </c>
      <c r="E67" s="14">
        <v>45863</v>
      </c>
      <c r="F67" s="5" t="s">
        <v>3353</v>
      </c>
      <c r="G67" s="5" t="s">
        <v>1087</v>
      </c>
      <c r="H67" s="6"/>
      <c r="I67" s="6"/>
      <c r="J67" s="6"/>
      <c r="K67" s="6"/>
      <c r="L67" s="7" t="s">
        <v>7732</v>
      </c>
      <c r="M67" s="8" t="s">
        <v>7878</v>
      </c>
      <c r="N67" s="8" t="str">
        <f>"PEN"</f>
        <v>PEN</v>
      </c>
      <c r="O67" s="13"/>
      <c r="P67" s="13">
        <v>200</v>
      </c>
      <c r="Q67" s="3">
        <f>+IF(OR($G67="SALDO",$G67="INGRESO"),$P67,0)</f>
        <v>200</v>
      </c>
      <c r="R67" s="3">
        <f>+IF($G67="EGRESO",$P67,0)</f>
        <v>0</v>
      </c>
      <c r="S67" s="13">
        <f t="shared" si="11"/>
        <v>102.51999999999991</v>
      </c>
      <c r="T67" s="24"/>
      <c r="U67" s="24"/>
      <c r="V67" s="3"/>
      <c r="W67" s="25"/>
      <c r="X67" s="25"/>
      <c r="Y67" s="25"/>
      <c r="Z67" s="25"/>
      <c r="AA67" s="25"/>
      <c r="AB67" s="3" t="str">
        <f>IF(C_Ope_009[[#This Row],[FECHA]]&gt;0,TEXT(C_Ope_009[[#This Row],[FECHA]],"mmmm"),0)</f>
        <v>Julio</v>
      </c>
    </row>
    <row r="68" spans="2:28" x14ac:dyDescent="0.3">
      <c r="B68" s="2">
        <f>IF(C_Ope_009[[#This Row],[TIPO DE R.]]="R",COUNTIFS($D$4:$D67,"R")+1,"")</f>
        <v>64</v>
      </c>
      <c r="C68" s="19" t="str">
        <f t="shared" si="12"/>
        <v>C_Ope_009</v>
      </c>
      <c r="D68" s="3" t="s">
        <v>1074</v>
      </c>
      <c r="E68" s="14">
        <v>45863</v>
      </c>
      <c r="F68" s="5" t="s">
        <v>7719</v>
      </c>
      <c r="G68" s="5" t="s">
        <v>1079</v>
      </c>
      <c r="H68" s="6" t="s">
        <v>623</v>
      </c>
      <c r="I68" s="6" t="s">
        <v>14</v>
      </c>
      <c r="J68" s="6" t="s">
        <v>7727</v>
      </c>
      <c r="K68" s="6">
        <v>77003</v>
      </c>
      <c r="L68" s="7" t="s">
        <v>7728</v>
      </c>
      <c r="M68" s="8" t="s">
        <v>7820</v>
      </c>
      <c r="N68" s="8" t="str">
        <f t="shared" si="13"/>
        <v>PEN</v>
      </c>
      <c r="O68" s="13"/>
      <c r="P68" s="13">
        <v>13.99</v>
      </c>
      <c r="Q68" s="3">
        <f t="shared" si="14"/>
        <v>0</v>
      </c>
      <c r="R68" s="3">
        <f t="shared" si="15"/>
        <v>13.99</v>
      </c>
      <c r="S68" s="3">
        <f t="shared" si="11"/>
        <v>88.529999999999916</v>
      </c>
      <c r="T68" s="24" t="s">
        <v>1081</v>
      </c>
      <c r="U68" s="24"/>
      <c r="V68" s="3"/>
      <c r="W68" s="25" t="s">
        <v>7726</v>
      </c>
      <c r="X68" s="25"/>
      <c r="Y68" s="25"/>
      <c r="Z68" s="25"/>
      <c r="AA68" s="25"/>
      <c r="AB68" s="3" t="str">
        <f>IF(C_Ope_009[[#This Row],[FECHA]]&gt;0,TEXT(C_Ope_009[[#This Row],[FECHA]],"mmmm"),0)</f>
        <v>Julio</v>
      </c>
    </row>
    <row r="69" spans="2:28" x14ac:dyDescent="0.3">
      <c r="B69" s="165">
        <f>IF(C_Ope_009[[#This Row],[TIPO DE R.]]="R",COUNTIFS($D$4:$D68,"R")+1,"")</f>
        <v>65</v>
      </c>
      <c r="C69" s="19" t="str">
        <f t="shared" ref="C69:C70" si="16">"C_Ope_009"</f>
        <v>C_Ope_009</v>
      </c>
      <c r="D69" s="13" t="s">
        <v>1074</v>
      </c>
      <c r="E69" s="166">
        <v>45870</v>
      </c>
      <c r="F69" s="167" t="s">
        <v>7719</v>
      </c>
      <c r="G69" s="167" t="s">
        <v>1079</v>
      </c>
      <c r="H69" s="6" t="s">
        <v>623</v>
      </c>
      <c r="I69" s="6" t="s">
        <v>14</v>
      </c>
      <c r="J69" s="6" t="s">
        <v>7727</v>
      </c>
      <c r="K69" s="6">
        <v>77025</v>
      </c>
      <c r="L69" s="168" t="s">
        <v>7728</v>
      </c>
      <c r="M69" s="169" t="s">
        <v>7874</v>
      </c>
      <c r="N69" s="169" t="str">
        <f t="shared" ref="N69:N70" si="17">"PEN"</f>
        <v>PEN</v>
      </c>
      <c r="O69" s="13"/>
      <c r="P69" s="170">
        <v>13.99</v>
      </c>
      <c r="Q69" s="171">
        <f t="shared" ref="Q69:Q70" si="18">+IF(OR($G69="SALDO",$G69="INGRESO"),$P69,0)</f>
        <v>0</v>
      </c>
      <c r="R69" s="171">
        <f t="shared" ref="R69:R70" si="19">+IF($G69="EGRESO",$P69,0)</f>
        <v>13.99</v>
      </c>
      <c r="S69" s="13">
        <f t="shared" si="11"/>
        <v>74.539999999999921</v>
      </c>
      <c r="T69" s="186" t="s">
        <v>1081</v>
      </c>
      <c r="U69" s="172"/>
      <c r="V69" s="171"/>
      <c r="W69" s="25" t="s">
        <v>7726</v>
      </c>
      <c r="X69" s="25"/>
      <c r="Y69" s="25"/>
      <c r="Z69" s="25"/>
      <c r="AA69" s="25"/>
      <c r="AB69" s="171" t="str">
        <f>IF(C_Ope_009[[#This Row],[FECHA]]&gt;0,TEXT(C_Ope_009[[#This Row],[FECHA]],"mmmm"),0)</f>
        <v>Agosto</v>
      </c>
    </row>
    <row r="70" spans="2:28" x14ac:dyDescent="0.3">
      <c r="B70" s="165">
        <f>IF(C_Ope_009[[#This Row],[TIPO DE R.]]="R",COUNTIFS($D$4:$D69,"R")+1,"")</f>
        <v>66</v>
      </c>
      <c r="C70" s="19" t="str">
        <f t="shared" si="16"/>
        <v>C_Ope_009</v>
      </c>
      <c r="D70" s="13" t="s">
        <v>1074</v>
      </c>
      <c r="E70" s="166">
        <v>45877</v>
      </c>
      <c r="F70" s="167" t="s">
        <v>7719</v>
      </c>
      <c r="G70" s="167" t="s">
        <v>1079</v>
      </c>
      <c r="H70" s="6" t="s">
        <v>623</v>
      </c>
      <c r="I70" s="6" t="s">
        <v>14</v>
      </c>
      <c r="J70" s="6" t="s">
        <v>7727</v>
      </c>
      <c r="K70" s="6">
        <v>77061</v>
      </c>
      <c r="L70" s="168" t="s">
        <v>7728</v>
      </c>
      <c r="M70" s="169" t="s">
        <v>7875</v>
      </c>
      <c r="N70" s="169" t="str">
        <f t="shared" si="17"/>
        <v>PEN</v>
      </c>
      <c r="O70" s="13"/>
      <c r="P70" s="170">
        <v>13.99</v>
      </c>
      <c r="Q70" s="171">
        <f t="shared" si="18"/>
        <v>0</v>
      </c>
      <c r="R70" s="171">
        <f t="shared" si="19"/>
        <v>13.99</v>
      </c>
      <c r="S70" s="13">
        <f t="shared" si="11"/>
        <v>60.549999999999919</v>
      </c>
      <c r="T70" s="186" t="s">
        <v>1081</v>
      </c>
      <c r="U70" s="172"/>
      <c r="V70" s="171"/>
      <c r="W70" s="25" t="s">
        <v>7726</v>
      </c>
      <c r="X70" s="25"/>
      <c r="Y70" s="25"/>
      <c r="Z70" s="25"/>
      <c r="AA70" s="25"/>
      <c r="AB70" s="171" t="str">
        <f>IF(C_Ope_009[[#This Row],[FECHA]]&gt;0,TEXT(C_Ope_009[[#This Row],[FECHA]],"mmmm"),0)</f>
        <v>Agosto</v>
      </c>
    </row>
    <row r="71" spans="2:28" x14ac:dyDescent="0.3">
      <c r="B71" s="2">
        <f>IF(C_Ope_009[[#This Row],[TIPO DE R.]]="R",COUNTIFS($D$4:$D70,"R")+1,"")</f>
        <v>67</v>
      </c>
      <c r="C71" s="19" t="str">
        <f>"C_Ope_009"</f>
        <v>C_Ope_009</v>
      </c>
      <c r="D71" s="3" t="s">
        <v>1074</v>
      </c>
      <c r="E71" s="14">
        <v>45880</v>
      </c>
      <c r="F71" s="5" t="s">
        <v>3353</v>
      </c>
      <c r="G71" s="5" t="s">
        <v>1087</v>
      </c>
      <c r="H71" s="6"/>
      <c r="I71" s="6"/>
      <c r="J71" s="6"/>
      <c r="K71" s="6"/>
      <c r="L71" s="7" t="s">
        <v>7732</v>
      </c>
      <c r="M71" s="8" t="s">
        <v>7879</v>
      </c>
      <c r="N71" s="8" t="str">
        <f>"PEN"</f>
        <v>PEN</v>
      </c>
      <c r="O71" s="13"/>
      <c r="P71" s="13">
        <v>110</v>
      </c>
      <c r="Q71" s="3">
        <f>+IF(OR($G71="SALDO",$G71="INGRESO"),$P71,0)</f>
        <v>110</v>
      </c>
      <c r="R71" s="3">
        <f>+IF($G71="EGRESO",$P71,0)</f>
        <v>0</v>
      </c>
      <c r="S71" s="13">
        <f t="shared" si="11"/>
        <v>170.54999999999993</v>
      </c>
      <c r="T71" s="24"/>
      <c r="U71" s="24"/>
      <c r="V71" s="3"/>
      <c r="W71" s="25"/>
      <c r="X71" s="25"/>
      <c r="Y71" s="25"/>
      <c r="Z71" s="25"/>
      <c r="AA71" s="25"/>
      <c r="AB71" s="3" t="str">
        <f>IF(C_Ope_009[[#This Row],[FECHA]]&gt;0,TEXT(C_Ope_009[[#This Row],[FECHA]],"mmmm"),0)</f>
        <v>Agosto</v>
      </c>
    </row>
    <row r="79" spans="2:28" x14ac:dyDescent="0.3">
      <c r="B79" s="97" t="s">
        <v>7942</v>
      </c>
      <c r="C79" s="98"/>
      <c r="D79" s="96" t="s">
        <v>799</v>
      </c>
    </row>
  </sheetData>
  <mergeCells count="1">
    <mergeCell ref="B2:AB2"/>
  </mergeCells>
  <conditionalFormatting sqref="B79:D79">
    <cfRule type="expression" dxfId="3" priority="1">
      <formula>$T79="OK"</formula>
    </cfRule>
  </conditionalFormatting>
  <conditionalFormatting sqref="B5:AB71">
    <cfRule type="expression" dxfId="2" priority="305">
      <formula>$U5="OK"</formula>
    </cfRule>
    <cfRule type="expression" dxfId="1" priority="306">
      <formula>$T5="OK"</formula>
    </cfRule>
    <cfRule type="expression" dxfId="0" priority="307">
      <formula>$D5="D"</formula>
    </cfRule>
  </conditionalFormatting>
  <dataValidations count="4">
    <dataValidation type="list" allowBlank="1" showInputMessage="1" showErrorMessage="1" sqref="I5:I71" xr:uid="{A1063430-9BEB-104B-8220-061BDD9DFBB4}">
      <formula1>Documentos</formula1>
    </dataValidation>
    <dataValidation type="list" allowBlank="1" showInputMessage="1" showErrorMessage="1" sqref="G5:G71" xr:uid="{1CEE44E5-BE96-264C-B753-9215E5DCAD6B}">
      <formula1>"SALDO,INGRESO,EGRESO"</formula1>
    </dataValidation>
    <dataValidation type="list" allowBlank="1" showInputMessage="1" showErrorMessage="1" sqref="D5:D71" xr:uid="{BFFD2556-AAF3-F148-BD08-D132B69DF607}">
      <formula1>"R,D"</formula1>
    </dataValidation>
    <dataValidation type="list" allowBlank="1" showInputMessage="1" showErrorMessage="1" sqref="H5:H71" xr:uid="{549F91A7-8EA0-A245-BF81-A382FC2EE0AE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3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B479C48E64FB4B8FA0C717E026C76E" ma:contentTypeVersion="12" ma:contentTypeDescription="Crear nuevo documento." ma:contentTypeScope="" ma:versionID="0346b9b43770a469b7a1b4af488b1f2e">
  <xsd:schema xmlns:xsd="http://www.w3.org/2001/XMLSchema" xmlns:xs="http://www.w3.org/2001/XMLSchema" xmlns:p="http://schemas.microsoft.com/office/2006/metadata/properties" xmlns:ns2="ab9eddc0-6e7f-40e8-8a25-a6194df63471" xmlns:ns3="c97ac79a-b521-43e2-b269-2370fa5bb204" targetNamespace="http://schemas.microsoft.com/office/2006/metadata/properties" ma:root="true" ma:fieldsID="84ed265c178dad4b7c6864367c3fecb1" ns2:_="" ns3:_="">
    <xsd:import namespace="ab9eddc0-6e7f-40e8-8a25-a6194df63471"/>
    <xsd:import namespace="c97ac79a-b521-43e2-b269-2370fa5bb2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eddc0-6e7f-40e8-8a25-a6194df634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cb3ed0d-05b5-4e3c-8223-404b83b067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ac79a-b521-43e2-b269-2370fa5bb2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03660e-e974-43b8-80b1-cc0500821b99}" ma:internalName="TaxCatchAll" ma:showField="CatchAllData" ma:web="c97ac79a-b521-43e2-b269-2370fa5bb2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7ac79a-b521-43e2-b269-2370fa5bb204" xsi:nil="true"/>
    <lcf76f155ced4ddcb4097134ff3c332f xmlns="ab9eddc0-6e7f-40e8-8a25-a6194df634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151443-8795-44D6-85C7-57B39950FC8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1ED703C-7523-42E2-92C4-6ACFEC2C90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eddc0-6e7f-40e8-8a25-a6194df63471"/>
    <ds:schemaRef ds:uri="c97ac79a-b521-43e2-b269-2370fa5bb2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67ECCA-7564-41B3-B948-7B025001C4A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F71C632-8DF4-4A54-BBDA-BFF74666D2BB}">
  <ds:schemaRefs>
    <ds:schemaRef ds:uri="http://schemas.microsoft.com/office/2006/metadata/properties"/>
    <ds:schemaRef ds:uri="http://schemas.microsoft.com/office/infopath/2007/PartnerControls"/>
    <ds:schemaRef ds:uri="c97ac79a-b521-43e2-b269-2370fa5bb204"/>
    <ds:schemaRef ds:uri="ab9eddc0-6e7f-40e8-8a25-a6194df634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79</vt:i4>
      </vt:variant>
    </vt:vector>
  </HeadingPairs>
  <TitlesOfParts>
    <vt:vector size="99" baseType="lpstr">
      <vt:lpstr>Reporte_Bancos</vt:lpstr>
      <vt:lpstr>Clientes_Proveedores</vt:lpstr>
      <vt:lpstr>B_Bcp_Soles</vt:lpstr>
      <vt:lpstr>B_Bcp_Dolares</vt:lpstr>
      <vt:lpstr>B_Interbank_Soles</vt:lpstr>
      <vt:lpstr>B_Bbva_Soles</vt:lpstr>
      <vt:lpstr>B_Banco_Nacion</vt:lpstr>
      <vt:lpstr>C_Arequipa_Soles</vt:lpstr>
      <vt:lpstr>C_Finanzas_Soles</vt:lpstr>
      <vt:lpstr>FE</vt:lpstr>
      <vt:lpstr>Caja_Operativa</vt:lpstr>
      <vt:lpstr>Ruben Bustamante</vt:lpstr>
      <vt:lpstr>Walter A</vt:lpstr>
      <vt:lpstr>Juber Monteza</vt:lpstr>
      <vt:lpstr>Willian León</vt:lpstr>
      <vt:lpstr>Juan Tarifa</vt:lpstr>
      <vt:lpstr>Miguel Solis</vt:lpstr>
      <vt:lpstr>Anthony Huamani</vt:lpstr>
      <vt:lpstr>Nelson Quispe</vt:lpstr>
      <vt:lpstr>Ronald Guizado</vt:lpstr>
      <vt:lpstr>'Anthony Huamani'!Documentos</vt:lpstr>
      <vt:lpstr>B_Banco_Nacion!Documentos</vt:lpstr>
      <vt:lpstr>B_Bbva_Soles!Documentos</vt:lpstr>
      <vt:lpstr>B_Bcp_Dolares!Documentos</vt:lpstr>
      <vt:lpstr>B_Interbank_Soles!Documentos</vt:lpstr>
      <vt:lpstr>C_Arequipa_Soles!Documentos</vt:lpstr>
      <vt:lpstr>C_Finanzas_Soles!Documentos</vt:lpstr>
      <vt:lpstr>'Caja_Operativa'!Documentos</vt:lpstr>
      <vt:lpstr>'Juan Tarifa'!Documentos</vt:lpstr>
      <vt:lpstr>'Juber Monteza'!Documentos</vt:lpstr>
      <vt:lpstr>'Miguel Solis'!Documentos</vt:lpstr>
      <vt:lpstr>'Nelson Quispe'!Documentos</vt:lpstr>
      <vt:lpstr>'Ronald Guizado'!Documentos</vt:lpstr>
      <vt:lpstr>'Ruben Bustamante'!Documentos</vt:lpstr>
      <vt:lpstr>'Walter A'!Documentos</vt:lpstr>
      <vt:lpstr>'Willian León'!Documentos</vt:lpstr>
      <vt:lpstr>Documentos</vt:lpstr>
      <vt:lpstr>'Anthony Huamani'!Operaciones_Finanzas</vt:lpstr>
      <vt:lpstr>'Caja_Operativa'!Operaciones_Finanzas</vt:lpstr>
      <vt:lpstr>'Juan Tarifa'!Operaciones_Finanzas</vt:lpstr>
      <vt:lpstr>'Miguel Solis'!Operaciones_Finanzas</vt:lpstr>
      <vt:lpstr>'Nelson Quispe'!Operaciones_Finanzas</vt:lpstr>
      <vt:lpstr>'Ronald Guizado'!Operaciones_Finanzas</vt:lpstr>
      <vt:lpstr>'Willian León'!Operaciones_Finanzas</vt:lpstr>
      <vt:lpstr>Operaciones_Finanzas</vt:lpstr>
      <vt:lpstr>'Anthony Huamani'!Print_Area</vt:lpstr>
      <vt:lpstr>B_Banco_Nacion!Print_Area</vt:lpstr>
      <vt:lpstr>B_Bbva_Soles!Print_Area</vt:lpstr>
      <vt:lpstr>B_Bcp_Dolares!Print_Area</vt:lpstr>
      <vt:lpstr>B_Bcp_Soles!Print_Area</vt:lpstr>
      <vt:lpstr>B_Interbank_Soles!Print_Area</vt:lpstr>
      <vt:lpstr>C_Arequipa_Soles!Print_Area</vt:lpstr>
      <vt:lpstr>C_Finanzas_Soles!Print_Area</vt:lpstr>
      <vt:lpstr>'Caja_Operativa'!Print_Area</vt:lpstr>
      <vt:lpstr>FE!Print_Area</vt:lpstr>
      <vt:lpstr>'Juan Tarifa'!Print_Area</vt:lpstr>
      <vt:lpstr>'Juber Monteza'!Print_Area</vt:lpstr>
      <vt:lpstr>'Miguel Solis'!Print_Area</vt:lpstr>
      <vt:lpstr>'Nelson Quispe'!Print_Area</vt:lpstr>
      <vt:lpstr>Reporte_Bancos!Print_Area</vt:lpstr>
      <vt:lpstr>'Ronald Guizado'!Print_Area</vt:lpstr>
      <vt:lpstr>'Ruben Bustamante'!Print_Area</vt:lpstr>
      <vt:lpstr>'Walter A'!Print_Area</vt:lpstr>
      <vt:lpstr>'Willian León'!Print_Area</vt:lpstr>
      <vt:lpstr>'Anthony Huamani'!Print_Titles</vt:lpstr>
      <vt:lpstr>B_Banco_Nacion!Print_Titles</vt:lpstr>
      <vt:lpstr>B_Bbva_Soles!Print_Titles</vt:lpstr>
      <vt:lpstr>B_Bcp_Dolares!Print_Titles</vt:lpstr>
      <vt:lpstr>B_Bcp_Soles!Print_Titles</vt:lpstr>
      <vt:lpstr>B_Interbank_Soles!Print_Titles</vt:lpstr>
      <vt:lpstr>C_Arequipa_Soles!Print_Titles</vt:lpstr>
      <vt:lpstr>C_Finanzas_Soles!Print_Titles</vt:lpstr>
      <vt:lpstr>'Caja_Operativa'!Print_Titles</vt:lpstr>
      <vt:lpstr>'Juan Tarifa'!Print_Titles</vt:lpstr>
      <vt:lpstr>'Juber Monteza'!Print_Titles</vt:lpstr>
      <vt:lpstr>'Miguel Solis'!Print_Titles</vt:lpstr>
      <vt:lpstr>'Nelson Quispe'!Print_Titles</vt:lpstr>
      <vt:lpstr>Reporte_Bancos!Print_Titles</vt:lpstr>
      <vt:lpstr>'Ronald Guizado'!Print_Titles</vt:lpstr>
      <vt:lpstr>'Ruben Bustamante'!Print_Titles</vt:lpstr>
      <vt:lpstr>'Walter A'!Print_Titles</vt:lpstr>
      <vt:lpstr>'Willian León'!Print_Titles</vt:lpstr>
      <vt:lpstr>'Anthony Huamani'!Proveedores_Clientes</vt:lpstr>
      <vt:lpstr>B_Banco_Nacion!Proveedores_Clientes</vt:lpstr>
      <vt:lpstr>B_Bbva_Soles!Proveedores_Clientes</vt:lpstr>
      <vt:lpstr>B_Bcp_Dolares!Proveedores_Clientes</vt:lpstr>
      <vt:lpstr>B_Interbank_Soles!Proveedores_Clientes</vt:lpstr>
      <vt:lpstr>C_Arequipa_Soles!Proveedores_Clientes</vt:lpstr>
      <vt:lpstr>C_Finanzas_Soles!Proveedores_Clientes</vt:lpstr>
      <vt:lpstr>'Caja_Operativa'!Proveedores_Clientes</vt:lpstr>
      <vt:lpstr>'Juan Tarifa'!Proveedores_Clientes</vt:lpstr>
      <vt:lpstr>'Juber Monteza'!Proveedores_Clientes</vt:lpstr>
      <vt:lpstr>'Miguel Solis'!Proveedores_Clientes</vt:lpstr>
      <vt:lpstr>'Nelson Quispe'!Proveedores_Clientes</vt:lpstr>
      <vt:lpstr>'Ronald Guizado'!Proveedores_Clientes</vt:lpstr>
      <vt:lpstr>'Ruben Bustamante'!Proveedores_Clientes</vt:lpstr>
      <vt:lpstr>'Walter A'!Proveedores_Clientes</vt:lpstr>
      <vt:lpstr>'Willian León'!Proveedores_Clientes</vt:lpstr>
      <vt:lpstr>Proveedores_Clientes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Elías Paco</dc:creator>
  <cp:keywords/>
  <dc:description/>
  <cp:lastModifiedBy>Jarek Challco</cp:lastModifiedBy>
  <cp:revision/>
  <cp:lastPrinted>2025-08-29T22:32:29Z</cp:lastPrinted>
  <dcterms:created xsi:type="dcterms:W3CDTF">2025-06-29T18:42:00Z</dcterms:created>
  <dcterms:modified xsi:type="dcterms:W3CDTF">2025-11-05T01:21:23Z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0x010100CFB479C48E64FB4B8FA0C717E026C76E</vt:lpwstr>
  </property>
  <property fmtid="{D5CDD505-2E9C-101B-9397-08002B2CF9AE}" pid="3" name="MediaServiceImageTags">
    <vt:lpwstr/>
  </property>
</Properties>
</file>